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<sst xmlns="http://schemas.openxmlformats.org/spreadsheetml/2006/main" count="74845" uniqueCount="47054">
  <si>
    <t>names</t>
  </si>
  <si>
    <t>sentences</t>
  </si>
  <si>
    <t>translation</t>
  </si>
  <si>
    <t>v_QOlSCBRmfWY</t>
  </si>
  <si>
    <t>A young woman is seen standing in a room and leads into her dancing.</t>
  </si>
  <si>
    <t>The girl dances around the room while the camera captures her movements.</t>
  </si>
  <si>
    <t>She continues dancing around the room and ends by laying on the floor.</t>
  </si>
  <si>
    <t>v_ehGHCYKzyZ8</t>
  </si>
  <si>
    <t>The video starts with a title logo sequence.</t>
  </si>
  <si>
    <t>A man and woman are in a living room demonstrating exercises.</t>
  </si>
  <si>
    <t>The woman lays on the ground.</t>
  </si>
  <si>
    <t>The man starts pointing to different areas of the woman's body as she does an exercise.</t>
  </si>
  <si>
    <t>The woman begins to do small sit ups.</t>
  </si>
  <si>
    <t>The woman ends with a final title logo sequence.</t>
  </si>
  <si>
    <t>v_nwznKOuZM7w</t>
  </si>
  <si>
    <t>Two people are seen moving around a kitchen quickly performing various tasks and sitting down.</t>
  </si>
  <si>
    <t>They then wax down a ski in the kitchen while continuing to move around.</t>
  </si>
  <si>
    <t>v_ogQozSI5V8U</t>
  </si>
  <si>
    <t>We see a hallway with a wooden floor.</t>
  </si>
  <si>
    <t>A dog in socks walks slowly out onto the floor as a lady films him.</t>
  </si>
  <si>
    <t>The dog turns around and goes back to the other room.</t>
  </si>
  <si>
    <t>v_nHE7u40plD0</t>
  </si>
  <si>
    <t>A woman and a man are sitting on the sidewalk playing music.</t>
  </si>
  <si>
    <t>People stand next to them and watch them play.</t>
  </si>
  <si>
    <t>A little boy holding a yellow ball walks by.</t>
  </si>
  <si>
    <t>A man poses for a picture in front of them.</t>
  </si>
  <si>
    <t>v_69IsHpmRyfk</t>
  </si>
  <si>
    <t>A young girl is seen sitting in a chair with a person standing next to her.</t>
  </si>
  <si>
    <t>The person next to her then piercing one ear followed by the other.</t>
  </si>
  <si>
    <t>The person rubs lotion on the piercings afterwards.</t>
  </si>
  <si>
    <t>v_D18b2IZpxk0</t>
  </si>
  <si>
    <t>A woman is shown riding a camel past pyramids in Egypt.</t>
  </si>
  <si>
    <t>The camel walks as the woman leans forward.</t>
  </si>
  <si>
    <t>And hand covers the lens as the harness is shown.</t>
  </si>
  <si>
    <t>v_pizl41xmw7k</t>
  </si>
  <si>
    <t>A child mops the floor of a hallway in a house.</t>
  </si>
  <si>
    <t>The child sets the mop down and plays with her family member.</t>
  </si>
  <si>
    <t>The child walks into the bedroom area and continues to mop the floor.</t>
  </si>
  <si>
    <t>v_oP77DgsbhKQ</t>
  </si>
  <si>
    <t>A man is seen kneeling down on the floor speaking to the camera.</t>
  </si>
  <si>
    <t>The man mixes up various ingredients and begins laying plaster on the floor.</t>
  </si>
  <si>
    <t>He measures the floor and tiles and cuts out a piece of tile to lay on the floor.</t>
  </si>
  <si>
    <t>He continues laying tiles on the floor while looking back to speak to the camera.</t>
  </si>
  <si>
    <t>v_fzp5ooc727c</t>
  </si>
  <si>
    <t>Two lines of young men are walking side by side down a road.</t>
  </si>
  <si>
    <t>Then one man stands in a field holding a wooden object and begins twisting it.</t>
  </si>
  <si>
    <t>He then bends down and grabs a ball.</t>
  </si>
  <si>
    <t>After,the ball is placed on the ground and he picks it up and hits it as if he's playing baseball.</t>
  </si>
  <si>
    <t>The ball is thrown back and he its it again.</t>
  </si>
  <si>
    <t>Shortly after, a field of men are shown and they begin playing a game against one another.</t>
  </si>
  <si>
    <t>There was a penalty and one players attempts to hit the ball into the goal from the side.</t>
  </si>
  <si>
    <t>After,everyone is pictured lying down on the ground as if they are dead but one person begins to sit up but gets hit in the head by the ball and lays back down.</t>
  </si>
  <si>
    <t>Lastly,the screen flashes to a black screen and the words The End are shown.</t>
  </si>
  <si>
    <t>v_fN2DiOswmOA</t>
  </si>
  <si>
    <t>The screen shows the title of preparing a Chilean Hulte salad dish.</t>
  </si>
  <si>
    <t>A person is mixing salad ingredients in a large bowl.</t>
  </si>
  <si>
    <t>There is information shown about Dr.</t>
  </si>
  <si>
    <t>Rachel Collin's trip to Chile.</t>
  </si>
  <si>
    <t>There are several people standing under a canopy at a food market.</t>
  </si>
  <si>
    <t>Two customers make a purchase and give money to the seller and give the camera a thumbs up.</t>
  </si>
  <si>
    <t>The chef is showing hulte placed on a kitchen counter.</t>
  </si>
  <si>
    <t>The chef is slicing the hulte in circular bite size pieces.</t>
  </si>
  <si>
    <t>A woman eats the cut pieces of hulte.</t>
  </si>
  <si>
    <t>The chef chops some cilantro on the kitchen counter.</t>
  </si>
  <si>
    <t>Then the chef places the ingredients in a salad bowl.</t>
  </si>
  <si>
    <t>The finished product is shown on screen, followed by a group of people sitting together and enjoying the salad.</t>
  </si>
  <si>
    <t>The end credits are displayed on the screen.</t>
  </si>
  <si>
    <t>v_t0ajvfx6dgA</t>
  </si>
  <si>
    <t>A man in a suit is sitting behind a desk.</t>
  </si>
  <si>
    <t>People are playing lacrosse on a field of grass.</t>
  </si>
  <si>
    <t>A person in a yellow uniform is standing in front of a net blocking balls.</t>
  </si>
  <si>
    <t>v_IoiDAHNryTk</t>
  </si>
  <si>
    <t>A girl is seen climbing across a set of monkey bars followed by her waving to the camera.</t>
  </si>
  <si>
    <t>She climbs her way back on the bars and jumps down mid way through.</t>
  </si>
  <si>
    <t>v__yWADgOFxP0</t>
  </si>
  <si>
    <t>A camera pans over a snowy area and leads into a man standing on a snowboard and riding down a mountain.</t>
  </si>
  <si>
    <t>The man zooms in on himself riding down the hill and ends with him turning off the camera.</t>
  </si>
  <si>
    <t>v_AGgJVF3nT6I</t>
  </si>
  <si>
    <t>A playroom is seen followed by a young boy sliding down a slide and climbing back up again.</t>
  </si>
  <si>
    <t>He slides down again, this time landing on his back, and continues to slide down several more times.</t>
  </si>
  <si>
    <t>v_XD3yFrJHiv8</t>
  </si>
  <si>
    <t>A man and woman are sitting on red couches with sports jerseys hanging on the wall and a blue screen on the wall behind them in the middle of them.</t>
  </si>
  <si>
    <t>The woman picks up a clipboard next to her and smooths out the papers that are on top of it while smiling, crosses her legs and sits back.</t>
  </si>
  <si>
    <t>The man is talking this whole time while the woman gets comfortable on her couch and the woman briefly talks.</t>
  </si>
  <si>
    <t>Various clips begin to play and it briefly shows parts of a city, then most of it is of men outdoors and playing soccer on sand in a middle of city, and occasionally blue words pop up on the screen when certain plays in the game are made.</t>
  </si>
  <si>
    <t>When the clips end the man and woman on the couch begin talking and she puts her clipboard down.</t>
  </si>
  <si>
    <t>v_lZKrd84QElk</t>
  </si>
  <si>
    <t>The former president is seen walking in a large field next to a woman and surrounded by a large crowd.</t>
  </si>
  <si>
    <t>The man gives a speech while people cheering and he shakes hands with others.</t>
  </si>
  <si>
    <t>The man then shares a beer with other people around him.</t>
  </si>
  <si>
    <t>v_6lYTHj9vImo</t>
  </si>
  <si>
    <t>Four kids are outside in the beach playing in the sand,two boys on the left and two girls on the right.</t>
  </si>
  <si>
    <t>The girls have about six sand castles and a large circle surrounding it filled with water.</t>
  </si>
  <si>
    <t>They then take off running to the beach to grab more water as the boy comes and looks at their work.</t>
  </si>
  <si>
    <t>Once they are done,both of the girls take off running to the water but then stop midway to come back and get their floats.</t>
  </si>
  <si>
    <t>v_E3QtX6r9QX0</t>
  </si>
  <si>
    <t>A large pile of leaves are seen being blown around with shots of a blower being shown.</t>
  </si>
  <si>
    <t>the leaves continue to be shown blowing around as well as a machine sitting off in the distance.</t>
  </si>
  <si>
    <t>v_iYxj8a1TPYk</t>
  </si>
  <si>
    <t>A basketball player is seen dribbling a ball in various shots for the camera and leads into the player making baskets over and over again.</t>
  </si>
  <si>
    <t>The man is then seen speaking to the camera and transitions into him scoring several more baskets.</t>
  </si>
  <si>
    <t>v_cp52LdlmlUk</t>
  </si>
  <si>
    <t>People are standing in a room working out.</t>
  </si>
  <si>
    <t>They are stepping up and down on small stepping stools.</t>
  </si>
  <si>
    <t>They continue working out in the room.</t>
  </si>
  <si>
    <t>v_bpg2PC2neQM</t>
  </si>
  <si>
    <t>A black and white video is being played of people playing lacrosse on a field.</t>
  </si>
  <si>
    <t>It then turns back to color and splits into multiple frames and speeds.</t>
  </si>
  <si>
    <t>The video includes numerous clips of players in lacrosse games, hitting the ball toward opposing goals.</t>
  </si>
  <si>
    <t>v_RgzbNJPchqc</t>
  </si>
  <si>
    <t>A man is playing the bagpipes in front of people.</t>
  </si>
  <si>
    <t>The people on the couch in front of him start laughing.</t>
  </si>
  <si>
    <t>v__zHSfEhEqkU</t>
  </si>
  <si>
    <t>A man is seen padding a canoe along the water while the camera captures him from several angles.</t>
  </si>
  <si>
    <t>The man continues riding around followed by performing several ways to turn the canoe around.</t>
  </si>
  <si>
    <t>v_EsVxUf4Ae2c</t>
  </si>
  <si>
    <t>A man is standing on ice with his pole standing straight up beside him.</t>
  </si>
  <si>
    <t>The man grabs his fishing pole and starts fishing in the hole in the ice.</t>
  </si>
  <si>
    <t>The man appears to have caught something and kneels down to pull his fishing line by hand.</t>
  </si>
  <si>
    <t>The man pulls a fish out of the water and poses with it.</t>
  </si>
  <si>
    <t>The man unhooks the hook from the fish's mouth.</t>
  </si>
  <si>
    <t>The man kisses the fish and releases it back into the hole.</t>
  </si>
  <si>
    <t>v_---9CpRcKoU</t>
  </si>
  <si>
    <t>A man was sitting inside a room.</t>
  </si>
  <si>
    <t>He is holding a bowl of noodles and broth.</t>
  </si>
  <si>
    <t>He is drinking the broth from a bowl.</t>
  </si>
  <si>
    <t>v_epqnpUCVLK8</t>
  </si>
  <si>
    <t>A little boy is laying on an exercise ball.</t>
  </si>
  <si>
    <t>The boy falls of and gets back on the ball before he falls off again.</t>
  </si>
  <si>
    <t>He tries to sit on the ball but the ball rolls away.</t>
  </si>
  <si>
    <t>He retrieves it and continues to sit on and fall off the ball.</t>
  </si>
  <si>
    <t>v_GFE2wAi9fjo</t>
  </si>
  <si>
    <t>A woman puts a pair of shoes on while sitting in an office chair.</t>
  </si>
  <si>
    <t>The woman buckles her shoes.</t>
  </si>
  <si>
    <t>v_W19-fYOO9sg</t>
  </si>
  <si>
    <t>A close up of a bike wheel is seen that leads into a person's hands pushing on the tire.</t>
  </si>
  <si>
    <t>The person uses a tool along the tire to help move it along.</t>
  </si>
  <si>
    <t>The person finally pushes the tire along it's sides.</t>
  </si>
  <si>
    <t>v_ztD4lVJATws</t>
  </si>
  <si>
    <t>A woman is seen kneeling on the floor and pulling onto a piece of exercise equipment.</t>
  </si>
  <si>
    <t>The woman begins turning her body with the equipment while speaking to the camera.</t>
  </si>
  <si>
    <t>She continues pulling onto the lever while looking back to the camera.</t>
  </si>
  <si>
    <t>v_V_Nj_BhesEY</t>
  </si>
  <si>
    <t>Three people stand by the corner of a building.</t>
  </si>
  <si>
    <t>One of the persons, a young boy, takes a bow.</t>
  </si>
  <si>
    <t>A crowd of people watch him.</t>
  </si>
  <si>
    <t>He proceeds to perform various karate moves, such as bowing, cartwheels and flips.</t>
  </si>
  <si>
    <t>v_p9iE8iemCMs</t>
  </si>
  <si>
    <t>A person is holding a flute.</t>
  </si>
  <si>
    <t>The person shows a fingering for the second octave of the note.</t>
  </si>
  <si>
    <t>The person shows the fingering on the third octave.</t>
  </si>
  <si>
    <t>The woman talks directly to the camera.</t>
  </si>
  <si>
    <t>v_bNwrAuu0qiQ</t>
  </si>
  <si>
    <t>An intro leads into several pictures of a tennis player and leaders into video footage of the player playing matches.</t>
  </si>
  <si>
    <t>The tennis player is shown in several shots of games performing incredible stunts and clenching his fists to celebrate in the end.</t>
  </si>
  <si>
    <t>v_37pwbUp8t1I</t>
  </si>
  <si>
    <t>Hiphop dancers perform in front of a crowd.</t>
  </si>
  <si>
    <t>They are all doing the same basic dance and having pictures taken of them.</t>
  </si>
  <si>
    <t>v_TmI9MxCDBMw</t>
  </si>
  <si>
    <t>A murky river is shown next to a row of trees.</t>
  </si>
  <si>
    <t>A bunch of people on intertubes go by slowly.</t>
  </si>
  <si>
    <t>Then we see rapid waters as the tubers go over small falls.</t>
  </si>
  <si>
    <t>v_4x7HYKV8zkY</t>
  </si>
  <si>
    <t>Three girls are on the beach talking.</t>
  </si>
  <si>
    <t>They do several flips on the beach.</t>
  </si>
  <si>
    <t>They lift one of the girls up for a stunt.</t>
  </si>
  <si>
    <t>v__Af_9cK5x4E</t>
  </si>
  <si>
    <t>The camera pans above lush and green terrain over what looks like a mountain range.</t>
  </si>
  <si>
    <t>A man is shown covered in sweat and then jumping across various hills performing stunts on a dirt bike.</t>
  </si>
  <si>
    <t>He rotates and flips and performs all sorts of acrobatics.</t>
  </si>
  <si>
    <t>He is highly skilled and jumping over everything.</t>
  </si>
  <si>
    <t>The video then shows multiple men on dirt bikes jumping in various different places and shows the action from a variety of angles.</t>
  </si>
  <si>
    <t>The men continue performing their stuns in various other landscapes.</t>
  </si>
  <si>
    <t>v_y5j9TqTy9Xw</t>
  </si>
  <si>
    <t>A woman is walking along a track.</t>
  </si>
  <si>
    <t>She takes off at a fast run.</t>
  </si>
  <si>
    <t>She jumps over a bar and onto a mat.</t>
  </si>
  <si>
    <t>v_Kp7pUEKrb8Q</t>
  </si>
  <si>
    <t>A person is slicing limes on a board.</t>
  </si>
  <si>
    <t>They put the limes and sugar into a blender.</t>
  </si>
  <si>
    <t>They strain the juice and pour it into a jar.</t>
  </si>
  <si>
    <t>They put a straw and a lime wedge on the rim of the glass.</t>
  </si>
  <si>
    <t>v_5lre5zbUV1Q</t>
  </si>
  <si>
    <t>A child scrubs out the kitchen sink using a brush.</t>
  </si>
  <si>
    <t>The boy turns on the sink faucet.</t>
  </si>
  <si>
    <t>The child uses the faucet nozzle to rinse out the sink.</t>
  </si>
  <si>
    <t>The boy returns the sink nozzle to the faucet and turns off the water.</t>
  </si>
  <si>
    <t>v_D0dyvNTI7yU</t>
  </si>
  <si>
    <t>A man in a bare studio showcases a series of martial arts moves by himself in front of a camera.</t>
  </si>
  <si>
    <t>A man appears in a white t-shirt and black pants, barefoot and begins to showcase martial arts moves.</t>
  </si>
  <si>
    <t>The man begins using moves that exhibit floor work and light tumbles along with a headstand.</t>
  </si>
  <si>
    <t>The man progresses into controlled somersaults and side to side work along with high kicks.</t>
  </si>
  <si>
    <t>v_huFuRGoZt9I</t>
  </si>
  <si>
    <t>A dealer is shown laying out cards on a table while other people's hands are shown on the side.</t>
  </si>
  <si>
    <t>The person then lays out cards while another person lays out their chips.</t>
  </si>
  <si>
    <t>v_CmEQjszPDrg</t>
  </si>
  <si>
    <t>Several people are outside with running equipment and numbers pinned to them jogging at a slow pace at what seams to be a Marathon or a 5k.</t>
  </si>
  <si>
    <t>A lady dressed in all black however,seems to be the focal point throughout the video and she is walking at an extremely slow pace for the whole time.</t>
  </si>
  <si>
    <t>After the crowd is shown and more people are seen running through the city or even participating in a wheel chair as the people on the side cheer them on.</t>
  </si>
  <si>
    <t>v_RULNhPrXnfA</t>
  </si>
  <si>
    <t>A man is shown standing in front of a blue background as many harmonicas are shown and he starts playing them.</t>
  </si>
  <si>
    <t>He is then shown speaking into the camera and going into detail with regards to the products features.</t>
  </si>
  <si>
    <t>He shows off how many he has in his coat and continues talking.</t>
  </si>
  <si>
    <t>He is then shown playing another harmonica as he gives instruction on it.</t>
  </si>
  <si>
    <t>He speaks some more and shows his harmonica again as the video goes to an end title screen that reads Howcast original".</t>
  </si>
  <si>
    <t>v_Zd22n1caVgM</t>
  </si>
  <si>
    <t>A boy wearing white shorts is standing in a room.</t>
  </si>
  <si>
    <t>He puts something in his mouth.</t>
  </si>
  <si>
    <t>He kicks his legs up to the side.</t>
  </si>
  <si>
    <t>The kneels down onto the ground.</t>
  </si>
  <si>
    <t>v_ZKP5J7OKEvI</t>
  </si>
  <si>
    <t>A small group of people are seen sitting on the side and lead into two people dancing together.</t>
  </si>
  <si>
    <t>The people continue dancing along the floor and end by clapping with the band.</t>
  </si>
  <si>
    <t>v_44BfVJnhBgc</t>
  </si>
  <si>
    <t>A runner tests a prosthetic leg in a long distance run.</t>
  </si>
  <si>
    <t>He runs inside then runs outside.</t>
  </si>
  <si>
    <t>v_VFOjLDa5VtA</t>
  </si>
  <si>
    <t>A small group of people are seen wandering around a tennis court hitting a ball over the net.</t>
  </si>
  <si>
    <t>The people hit the ball back and fourth while others watch on the side.</t>
  </si>
  <si>
    <t>They continue to play the game as well as others.</t>
  </si>
  <si>
    <t>v_KKrHX-pywBQ</t>
  </si>
  <si>
    <t>A young man wearing a white shirt and helmet and black pants is holding a skateboard in his hands as he walks.</t>
  </si>
  <si>
    <t>He puts the skateboard down and begins skating on an asphalt road.</t>
  </si>
  <si>
    <t>He flips the skateboard several times and goes on circles.</t>
  </si>
  <si>
    <t>Two people walk past him as he continues to skateboard.</t>
  </si>
  <si>
    <t>The man begins to speed up on his skateboard as he goes down the road.</t>
  </si>
  <si>
    <t>He also skates past a lake on a long and winding road.</t>
  </si>
  <si>
    <t>He skates past a field and mountains that are filled with greenery.</t>
  </si>
  <si>
    <t>He tries various stunts and tricks on his skateboard.</t>
  </si>
  <si>
    <t>He continues to skateboard through the roads.</t>
  </si>
  <si>
    <t>He falls off the skateboard on the side of the road, but gets right back on it and skates away.</t>
  </si>
  <si>
    <t>v_HxJnPUqF9i8</t>
  </si>
  <si>
    <t>Athletes throw a javelin during a competition.</t>
  </si>
  <si>
    <t>A man practices his throwing stance walking and doing half throws without javeline.</t>
  </si>
  <si>
    <t>A man practices his throwing stance walking and doing half throws holding a javeline.</t>
  </si>
  <si>
    <t>The man swings a hammer.</t>
  </si>
  <si>
    <t>The man throws a weighted ball.</t>
  </si>
  <si>
    <t>Athletes train in a gym doing throwing motions on weighted cable machines.</t>
  </si>
  <si>
    <t>v_FKl0077EUoY</t>
  </si>
  <si>
    <t>We see a person sharpen a knife on a sanding disc.</t>
  </si>
  <si>
    <t>The person touches it and turns it off.</t>
  </si>
  <si>
    <t>The person turns it on and then off off.</t>
  </si>
  <si>
    <t>We see the man talking to the camera.</t>
  </si>
  <si>
    <t>v_lfuNoeRYWz4</t>
  </si>
  <si>
    <t>Text is shown from the centers for disease control regarding proper handwashing.</t>
  </si>
  <si>
    <t>A woman is shown soaping her hands while water is running in a sink.</t>
  </si>
  <si>
    <t>She reaches for a towel and then turns the faucet one with one hand.</t>
  </si>
  <si>
    <t>She soaps her hands, then rinses with the water before grabbing another towel to turn off the faucet, and discarding the towel.</t>
  </si>
  <si>
    <t>v_x4iCAIPRDVQ</t>
  </si>
  <si>
    <t>People exercise on fitness machines while people sits on front and watch.</t>
  </si>
  <si>
    <t>A man pass on front holding a jacket and stand next a TV.</t>
  </si>
  <si>
    <t>A group of woman walk on front people exercising.</t>
  </si>
  <si>
    <t>v_NwfS7eZiMLg</t>
  </si>
  <si>
    <t>A man is playing the bagpipes at the bottom of the stairs in the living room of a house, wearing a button up and dress pants, along with socks.</t>
  </si>
  <si>
    <t>He begins to tap his foot along with the beat of his tune, He starts to tap his left foot in a back and forth rhythm with his right foot.</t>
  </si>
  <si>
    <t>He finishes, and smiles at the camera.</t>
  </si>
  <si>
    <t>v_aJbl1eVBzk0</t>
  </si>
  <si>
    <t>People are working in a bike shop fixing a bike.</t>
  </si>
  <si>
    <t>They put the wheels back onto the bike.</t>
  </si>
  <si>
    <t>The put the seat on the bike.</t>
  </si>
  <si>
    <t>The bike is put together on the floor.</t>
  </si>
  <si>
    <t>v_UYHgieL5IKM</t>
  </si>
  <si>
    <t>A man is giving advice on outdoor activities, specifically mushrooming and closeup is shown and the man talks about it.</t>
  </si>
  <si>
    <t>The man cuts one open and then cuts it in half.</t>
  </si>
  <si>
    <t>Another man talks about the experience.</t>
  </si>
  <si>
    <t>v_PgZ2e0H1ZVE</t>
  </si>
  <si>
    <t>A young man wearing a hat is seen speaking to the camera and holding up a chart.</t>
  </si>
  <si>
    <t>He continues speaking and begins playing a harmonica.</t>
  </si>
  <si>
    <t>He holds up the sign more while continuing to play and speak to the camera.</t>
  </si>
  <si>
    <t>v_h8J08sJ2no0</t>
  </si>
  <si>
    <t>A person walks on the roof of a climbing equipment, then he goes down the wall and reach the floor and walk forward.</t>
  </si>
  <si>
    <t>The man stand with the hands on the border on the equipment and descend down the walk with the hands, then he walk on hands sideward.</t>
  </si>
  <si>
    <t>v_g0XO-rWHmzs</t>
  </si>
  <si>
    <t>A woman is seen holding two dogs on a leash and proceeds to unhook them and let them go.</t>
  </si>
  <si>
    <t>One down then does his business into a bag tied to him and runs off behind bikes.</t>
  </si>
  <si>
    <t>v_WGpz-hV-Ejw</t>
  </si>
  <si>
    <t>A young girl is standing on a court with a jump rope.</t>
  </si>
  <si>
    <t>She begins jumping in front of a table of judges.</t>
  </si>
  <si>
    <t>She hops, spins, and flips with the rope.</t>
  </si>
  <si>
    <t>v_i2u80Y3BMYs</t>
  </si>
  <si>
    <t>Two men in work out clothes are standing up against the wall and they begin to talk about working out.</t>
  </si>
  <si>
    <t>One man is then shown and he bends down and shows the proper way to lift the bar with weight on it.</t>
  </si>
  <si>
    <t>A replay is then shown and the boy bends from the knees and then flips his wrist and brings it over his shoulder as he goes down into a squatting position.</t>
  </si>
  <si>
    <t>v_WvxwmaDFGqk</t>
  </si>
  <si>
    <t>A man is seen kneeling in a gym.</t>
  </si>
  <si>
    <t>He leans forward several times.</t>
  </si>
  <si>
    <t>He is performing slow stretching moves.</t>
  </si>
  <si>
    <t>v_xmag8UI8iws</t>
  </si>
  <si>
    <t>A person is using a leaf blower to blow leaves into a pile.</t>
  </si>
  <si>
    <t>The leaves blow up onto a hedge.</t>
  </si>
  <si>
    <t>They walk in front of a tree.</t>
  </si>
  <si>
    <t>v_N9LTq3gYmsI</t>
  </si>
  <si>
    <t>A group of people are sitting down at the top of a snow slide in a tube.</t>
  </si>
  <si>
    <t>The person holding the camera starts his journey and he is off down the slopes of snow.</t>
  </si>
  <si>
    <t>As he reaches the bottom,several black mats are placed in front of him to help slow him down.</t>
  </si>
  <si>
    <t>v_GqWH2IYPw6U</t>
  </si>
  <si>
    <t>Various shots of a city are shown followed by a girl playing violin and many other watching.</t>
  </si>
  <si>
    <t>Another girl steps in and joins her by singing and several others join in to sing as well.</t>
  </si>
  <si>
    <t>A mime walks in with fireworks while the group still sings and many around are seen laughing and smiling.</t>
  </si>
  <si>
    <t>v_MlbM7Mew0Ys</t>
  </si>
  <si>
    <t>Two men exercise inside a gym, then a man jumps rope crossing his arms and also the moving the rope on front.</t>
  </si>
  <si>
    <t>The man moves the rope with his right hand, then he moves both hands while skipping.</t>
  </si>
  <si>
    <t>Then, the man jumps crossing the arms, after he jumps normal for long time.</t>
  </si>
  <si>
    <t>Next, the a young man jumps rope raising the feet high, then he cross his the arms jumping.</t>
  </si>
  <si>
    <t>After, the young man moves the rope with the right hand, then he moves it with both hands and also moves the rope on front.</t>
  </si>
  <si>
    <t>After, the young man jumps alternate crossing the arms, skipping and moving the rope on front.</t>
  </si>
  <si>
    <t>v_hJiaSHwOkcs</t>
  </si>
  <si>
    <t>A man is sitting on top of a horse.</t>
  </si>
  <si>
    <t>He begins getting chased around the arena by a man pushing a wheelbarrow.</t>
  </si>
  <si>
    <t>The horse runs from bull in the pen.</t>
  </si>
  <si>
    <t>v_TEaugXCX1m4</t>
  </si>
  <si>
    <t>A lighthouse is shown on the beach before we see a man running with a surf board.</t>
  </si>
  <si>
    <t>The man rides a wave, then through it.</t>
  </si>
  <si>
    <t>He completes several stunts before walking onto the beach with the board under his arm.</t>
  </si>
  <si>
    <t>v_9rW35YTKYq8</t>
  </si>
  <si>
    <t>A man is shown flipping a violin in his hands, playing a popular song on his violin.</t>
  </si>
  <si>
    <t>The camera shows the violinist from various angles playing the popular song and not breaking concentration.</t>
  </si>
  <si>
    <t>The camera pans all around the player and shows him playing the complete song.</t>
  </si>
  <si>
    <t>v_hoisfXCLJDQ</t>
  </si>
  <si>
    <t>A camera zooms in on a person riding in a tube.</t>
  </si>
  <si>
    <t>More people are seen riding in tubes behind the man.</t>
  </si>
  <si>
    <t>The people continue to ride around the area down the river.</t>
  </si>
  <si>
    <t>v_mnqSG5o84NE</t>
  </si>
  <si>
    <t>A man train a boy kick box while two men watch sitting in the room.</t>
  </si>
  <si>
    <t>Then, the man stands and kick the boy who kick back then kneels.</t>
  </si>
  <si>
    <t>After, the man trains another child while showing movements.</t>
  </si>
  <si>
    <t>After, the man stands to practice kicks, then the man lye down and and hug the child who continues practicing kick box.</t>
  </si>
  <si>
    <t>v_IWuiVS3-Z7k</t>
  </si>
  <si>
    <t>People are shown walking along a beach.</t>
  </si>
  <si>
    <t>Several people in paintball gear are running through an obstacle course.</t>
  </si>
  <si>
    <t>The people shoot at each other, hiding behind the obstacles.</t>
  </si>
  <si>
    <t>The winner dances and runs across the field.</t>
  </si>
  <si>
    <t>v_nvsK9ggeics</t>
  </si>
  <si>
    <t>A young child is seen sitting behind a drum set playing the drums.</t>
  </si>
  <si>
    <t>The boy continues playing the instrument while the camera zooms in on him playing.</t>
  </si>
  <si>
    <t>v_rAuz_Pf3lp8</t>
  </si>
  <si>
    <t>A family has a picnic, and goes tubing on inflatable rafts in a narrow body of water surrounded by trees, on a rainy day.</t>
  </si>
  <si>
    <t>A family of people sit at an outdoor wooden picnic table, eating, waiving at the camera.</t>
  </si>
  <si>
    <t>The family watch the weather outdoors as it begins to rain and a little girl runs out into the rain and dances in it.</t>
  </si>
  <si>
    <t>The family then appears, floating, talking and smiling on inflatable tubes on a narrow body of water.</t>
  </si>
  <si>
    <t>The event ends and the family leaves an area bordered by a wooden fence.</t>
  </si>
  <si>
    <t>v_pxb95-aSDYo</t>
  </si>
  <si>
    <t>A man plays guitar and harmonica at the same time.</t>
  </si>
  <si>
    <t>Then, the man sings while playing the guitar.</t>
  </si>
  <si>
    <t>After, the man continues playing both the guitar and the harmonica, then sing.</t>
  </si>
  <si>
    <t>Next, the man plays the harmonica and the guitar together.</t>
  </si>
  <si>
    <t>v_48xSiJdaH2g</t>
  </si>
  <si>
    <t>The video is about Wallwik and wallpaper removal system.</t>
  </si>
  <si>
    <t>It shows a woman removing wallpaper off the wall in a convenient and easy manner.</t>
  </si>
  <si>
    <t>She is using a a scouring tool to scratch off the wallpaper from the wall.</t>
  </si>
  <si>
    <t>Then she uses a soap solution and dips the sheet in the solution.</t>
  </si>
  <si>
    <t>There's a man hanging the wet sheets on the wall.</t>
  </si>
  <si>
    <t>A woman uses a sprayer on the moist sheets and sprays it on.</t>
  </si>
  <si>
    <t>Then a man and woman begin peeling off the old wallpaper off of the wall.</t>
  </si>
  <si>
    <t>The video shows instructions on how to use the Wallwik products.</t>
  </si>
  <si>
    <t>v_y7WO-8cQfO0</t>
  </si>
  <si>
    <t>The video begins with a title sequence.</t>
  </si>
  <si>
    <t>A young man is shown in a gym performing tricks with a jump rope as music plays in the background.</t>
  </si>
  <si>
    <t>He then lays down and begins doing tricks on the floor.</t>
  </si>
  <si>
    <t>The young man gets up again and does more tricks while standing.</t>
  </si>
  <si>
    <t>At one point, his friends assist with the jump rope tricks.</t>
  </si>
  <si>
    <t>The video ends with credits showing the young man's name, along with the names of those who assisted him.</t>
  </si>
  <si>
    <t>v_74EoyLUbtgI</t>
  </si>
  <si>
    <t>A lady is seen putting wax on a mans shoes.</t>
  </si>
  <si>
    <t>We see the cloth hanging on the wall.</t>
  </si>
  <si>
    <t>We see the footprints on the platform.</t>
  </si>
  <si>
    <t>The woman rubs the mans shoes with a cloth.</t>
  </si>
  <si>
    <t>We see the cloth on the wall, then the lines of cloth near the shoes shine sign.</t>
  </si>
  <si>
    <t>A man is standing on a platform.</t>
  </si>
  <si>
    <t>We see the holographic man on the wall with the paper.</t>
  </si>
  <si>
    <t>v_D9rHZpZoeRA</t>
  </si>
  <si>
    <t>A black two door Audi A3 is shown and then the camera zooms in on the tires.</t>
  </si>
  <si>
    <t>A finger then touches the emergency light and the lights on the car begin to flash.</t>
  </si>
  <si>
    <t>Next,the truck is opened,and the person removes the spare tire and the jack.</t>
  </si>
  <si>
    <t>He then lifts the car and continues to loosen the bolts on the wheel of the car.</t>
  </si>
  <si>
    <t>Once loose,the wheel is removed and the spare is put on and the same actions are performed in reverse.</t>
  </si>
  <si>
    <t>v_kqVIHq94kgs</t>
  </si>
  <si>
    <t>A woman mixes items together in a bowl.</t>
  </si>
  <si>
    <t>She rubs that onto a wooden table.</t>
  </si>
  <si>
    <t>She laughs and puts her hands in the air.</t>
  </si>
  <si>
    <t>v_WY9zvUkK_4Y</t>
  </si>
  <si>
    <t>Two girls stand between a girl in a hair salon stool and begin brushing her and parting her hair.</t>
  </si>
  <si>
    <t>One woman braids her hair continuously to eventually create a french braid.</t>
  </si>
  <si>
    <t>Both women stand talking to the camera while presenting the braid just made.</t>
  </si>
  <si>
    <t>v_N-6-MdxRg50</t>
  </si>
  <si>
    <t>We see a colorful opening scene.</t>
  </si>
  <si>
    <t>Kids in colorful clothes walk on a stage and get in place.</t>
  </si>
  <si>
    <t>The kids perform zumba on a stage.</t>
  </si>
  <si>
    <t>The girl second from left goes the wrong direction and almost runs into another girl.</t>
  </si>
  <si>
    <t>We see an an ending screen.</t>
  </si>
  <si>
    <t>v_uFMDSiHu7g4</t>
  </si>
  <si>
    <t>A man wearing a striped shirt dances with a girl in a brown blouse at a street festival.</t>
  </si>
  <si>
    <t>Other couple join in and dance in a street festival while performers play on a stage.</t>
  </si>
  <si>
    <t>Onlookers pass by while the group continues to dance.</t>
  </si>
  <si>
    <t>v_Pu92wJ-7UTQ</t>
  </si>
  <si>
    <t>The man is strumming one drum.</t>
  </si>
  <si>
    <t>The man strum the other drum while moving his leg.</t>
  </si>
  <si>
    <t>The man play two drums at the same time.</t>
  </si>
  <si>
    <t>v_dsVvnFkGAn0</t>
  </si>
  <si>
    <t>The woman is sitting by the fireplace holding a violin.</t>
  </si>
  <si>
    <t>The woman placed the violin between her neck and shoulder and began strumming the violin with the stick.</t>
  </si>
  <si>
    <t>The lady put the violin on her lap and talked.</t>
  </si>
  <si>
    <t>v_JgHQCKz_DRc</t>
  </si>
  <si>
    <t>A man sits in a chair as he is getting his hair cut.</t>
  </si>
  <si>
    <t>A man in a black shirt moves a light around.</t>
  </si>
  <si>
    <t>People scramble behind the hair stylist.</t>
  </si>
  <si>
    <t>A hair stylist continuously combs and cuts the man's hair.</t>
  </si>
  <si>
    <t>The hair stylists rubs some pomade on the man's hair.</t>
  </si>
  <si>
    <t>The man is seen posing.</t>
  </si>
  <si>
    <t>v_DEmArEKL8gc</t>
  </si>
  <si>
    <t>A teenage female cheer leading squad walks around on a mat and get in formation.</t>
  </si>
  <si>
    <t>The routine begins in a manikin challenge and they all begin to do a flip.</t>
  </si>
  <si>
    <t>After,they do a several straddle jumps and begin thrown up in stands.</t>
  </si>
  <si>
    <t>Once the stunts are done,half of the team begins doing cart wheels and they all meet back in the middle to do stunts in the air.</t>
  </si>
  <si>
    <t>More stunts are done and the girls finish by landing in a split,they then get up and hug each other in the middle of the mat.</t>
  </si>
  <si>
    <t>v_8ikOQRbeQL8</t>
  </si>
  <si>
    <t>A woman wearing a hood and glasses is talking.</t>
  </si>
  <si>
    <t>She is holding a baton and twirling it in her hands.</t>
  </si>
  <si>
    <t>v_zzz_3yWpTXo</t>
  </si>
  <si>
    <t>A woman is seen standing behind a sink and washing dishes while speaking to the camera.</t>
  </si>
  <si>
    <t>The woman continues washing silverware while looking over to the camera and smiling.</t>
  </si>
  <si>
    <t>v_iMiKGoQ7RjE</t>
  </si>
  <si>
    <t>A man in a black hat is hitting a ball on the grass with a club.</t>
  </si>
  <si>
    <t>He continues to talk to the camera.</t>
  </si>
  <si>
    <t>He holds up a small trophy.</t>
  </si>
  <si>
    <t>v_Vjsd6Ec6eKA</t>
  </si>
  <si>
    <t>A group of people are on a field.</t>
  </si>
  <si>
    <t>They attach a camera to one of the player's heads.</t>
  </si>
  <si>
    <t>They lift each other over their heads in cheerleading stunts that can be seen from the camera's view.</t>
  </si>
  <si>
    <t>They smile and laugh as they continue to perform stunts.</t>
  </si>
  <si>
    <t>v_XnUi1SG9jxA</t>
  </si>
  <si>
    <t>A large group of people are seen standing around when several clips are shown of a man attempting to jump over a bar.</t>
  </si>
  <si>
    <t>The man completes the jump after a couple tries and is shown again in slow motion.</t>
  </si>
  <si>
    <t>The man attempts jumping higher several more times and ends up knocking the bar down each time.</t>
  </si>
  <si>
    <t>v_FeKEqUxiReA</t>
  </si>
  <si>
    <t>A woman is laughing as she jumps rope inside a gym.</t>
  </si>
  <si>
    <t>She continues jumping for a long period of time, speeding up and changing positions as men with cameras record her.</t>
  </si>
  <si>
    <t>v_BB2vrBWgXkU</t>
  </si>
  <si>
    <t>A woman wearing a leopard print shirt and a denim jacket is doing a tutorial on fake nails and how to use them.</t>
  </si>
  <si>
    <t>She is holding a packet of the fake nails in her hand as she explains the process.</t>
  </si>
  <si>
    <t>Then she demonstrates how to place the fake nails on top of her nails.</t>
  </si>
  <si>
    <t>Then she takes a nail file and files the ends of the nails to smooth it.</t>
  </si>
  <si>
    <t>She then uses some glue to glue the nails over her nails.</t>
  </si>
  <si>
    <t>Then she clips off the excess to shorten the nails, followed by filing the nails.</t>
  </si>
  <si>
    <t>She also uses some lime green nail polish and paints the nails to finish off the process and make them shiny.</t>
  </si>
  <si>
    <t>v_S6t9Lq1xKJk</t>
  </si>
  <si>
    <t>A cook is standing in front of a large stove.</t>
  </si>
  <si>
    <t>It is covered in ingredients and pans on burners.</t>
  </si>
  <si>
    <t>The man creates a giant omelette, finally flipping it onto a plate and handing it to a patron.</t>
  </si>
  <si>
    <t>v_0_xap_BBDrw</t>
  </si>
  <si>
    <t>An old man with gray hair, wearing red shirt and black pants is dribbling the ball in an indoor court, he dribbled the ball side by side, between his legs.</t>
  </si>
  <si>
    <t>He shoot the ball into the ring, then start dribbling again to side to side and between his legs, and shoot the ball into the ring.</t>
  </si>
  <si>
    <t>v_CQvmcZSfyhI</t>
  </si>
  <si>
    <t>A group of cheerleaders come from the side stage and begin smiling and waving to the crowd before settling into their formation.</t>
  </si>
  <si>
    <t>The routine begins and they start doing hurkies,throwing each other in the air and holding each other up.</t>
  </si>
  <si>
    <t>Doing the middle of the routine,half of the girls sit in the back behind the rest of the cheerleaders as they do a part of the routine.</t>
  </si>
  <si>
    <t>The routine ends and they all run across the stage with spirit fingers before leaving the stage.</t>
  </si>
  <si>
    <t>v_QdmUojrWdmE</t>
  </si>
  <si>
    <t>Music plays as surfers ride the waves.</t>
  </si>
  <si>
    <t>A few men are shown preparing to surf, prepping their board and getting dressed.</t>
  </si>
  <si>
    <t>A helicopter rides over the shoreline where the surfers are riding.</t>
  </si>
  <si>
    <t>A couple laughs together on the beach in a tent awaiting more surfing.</t>
  </si>
  <si>
    <t>A man is then shown prepping his board with surf wax.</t>
  </si>
  <si>
    <t>The crowd watches others riding waves.</t>
  </si>
  <si>
    <t>The crowd cheers multiples surfing runs on.</t>
  </si>
  <si>
    <t>Kelly Slater is featured on a successful run, followed by more clips riding the waves.</t>
  </si>
  <si>
    <t>Kelly Slater is paused mid wave to wrap up the story line.</t>
  </si>
  <si>
    <t>Music and producer credits are then shown.</t>
  </si>
  <si>
    <t>v_L2oaUDyzWPA</t>
  </si>
  <si>
    <t>We see a golden title on a black screen.</t>
  </si>
  <si>
    <t>A man is playing a harmonica as arrows point to numbers above him.</t>
  </si>
  <si>
    <t>We see another title screen and more arrows on numbers.</t>
  </si>
  <si>
    <t>The title screen returns and the man plays with the arrows above him again.</t>
  </si>
  <si>
    <t>The fourth title screen and the man plays with arrows above.</t>
  </si>
  <si>
    <t>The name shows up and the video ends.</t>
  </si>
  <si>
    <t>v_bdC2YPVHGZM</t>
  </si>
  <si>
    <t>A man puts on a helmet with a camera mounted on it.</t>
  </si>
  <si>
    <t>The man participates in a lacrosse match with the camera recording in first person perspective.</t>
  </si>
  <si>
    <t>The man makes a successful shot on goal and high fives a teammate.</t>
  </si>
  <si>
    <t>The two teams shake hands after the game.</t>
  </si>
  <si>
    <t>The man walks towards a group of people dressed in black.</t>
  </si>
  <si>
    <t>v_fny1HWXezlE</t>
  </si>
  <si>
    <t>A small child is seen climbing on a camel as well as a woman in front of him.</t>
  </si>
  <si>
    <t>A man stands the camel up on it's legs and walks around the area.</t>
  </si>
  <si>
    <t>The man continues to walk around with the camels while the camera pans to their movements.</t>
  </si>
  <si>
    <t>v_pYb8jzB5vs0</t>
  </si>
  <si>
    <t>An intro leads into a man in women sitting beside a pool and talking.</t>
  </si>
  <si>
    <t>The people are then shown underwater wearing scuba gear and teaching one another hand signals while the man speaks to the camera above the surface.</t>
  </si>
  <si>
    <t>v_kNkYgYnJTXk</t>
  </si>
  <si>
    <t>A person is seen in various shots riding around in a canoe and smiling off into the distance.</t>
  </si>
  <si>
    <t>Another person is seen sitting in a canoe and demonstrates how to properly turn around.</t>
  </si>
  <si>
    <t>The man continues moving along the water moving his paddle around while the camera captures his movements.</t>
  </si>
  <si>
    <t>v_cMeKc9mp9wI</t>
  </si>
  <si>
    <t>A group of men are riding around on horses while carry large sticks and holding them into the air.</t>
  </si>
  <si>
    <t>One man comes close to the camera man and near the crowd for a few moments.</t>
  </si>
  <si>
    <t>The man on horses go back to the stable to await their return, and eventually go back out into the ring.</t>
  </si>
  <si>
    <t>v_qbGml8XLhz8</t>
  </si>
  <si>
    <t>A man steps to the side on a lawn and begins moving his arms and legs around.</t>
  </si>
  <si>
    <t>He slowly moves his arms in various motions while stepping from side to side.</t>
  </si>
  <si>
    <t>He moves his legs up and his arms continuously following until he finishes the performance.</t>
  </si>
  <si>
    <t>v_90LkAH4tZC4</t>
  </si>
  <si>
    <t>The person in black shirt is playing drums.</t>
  </si>
  <si>
    <t>The camera zoomed in to the drums as the person continue to play.</t>
  </si>
  <si>
    <t>The camera shifted to the view looking down the drums.</t>
  </si>
  <si>
    <t>v_F9HKxxoNNSQ</t>
  </si>
  <si>
    <t>A person throw a disc with a stick, the disc arrives to a triangle on the floor where two people stand.</t>
  </si>
  <si>
    <t>Then, another disk slides on the floor to stop inside the triangle.</t>
  </si>
  <si>
    <t>After, the person throw another disc that stops inside the triangle.</t>
  </si>
  <si>
    <t>The rules oh the shuffleboard game is displayed in a board.</t>
  </si>
  <si>
    <t>v_L0jbYqV9Zaw</t>
  </si>
  <si>
    <t>Paintballs are flying at men in front of a tent.</t>
  </si>
  <si>
    <t>The men back into the tent.</t>
  </si>
  <si>
    <t>People are getting ready for the paintball competition.</t>
  </si>
  <si>
    <t>Paintballs come out of a man's mouth.</t>
  </si>
  <si>
    <t>The sun is setting.</t>
  </si>
  <si>
    <t>v_thgW2RT30qQ</t>
  </si>
  <si>
    <t>An intro leads into several clips of a person lifting heavy weights over their shoulders as well as their arms all around.</t>
  </si>
  <si>
    <t>More shots are show of athletes performing impressive stunts while looking off into the distance and people measuring their throws.</t>
  </si>
  <si>
    <t>v_NSdBL6HqlWk</t>
  </si>
  <si>
    <t>A man is playing cymbals under a bright light on a stage.</t>
  </si>
  <si>
    <t>He is joined by a woman on a bass drum.</t>
  </si>
  <si>
    <t>Then they are joined by other drummers, and a man on a huge set in the background.</t>
  </si>
  <si>
    <t>Lights flash as they perform in unison.</t>
  </si>
  <si>
    <t>v_AdFg_21LRg4</t>
  </si>
  <si>
    <t>A montage of bullfighting is being shown.</t>
  </si>
  <si>
    <t>The matador is being hit by the bull, while other matadors try to distract the bull.</t>
  </si>
  <si>
    <t>v_h4m7bYDVLAc</t>
  </si>
  <si>
    <t>A woman blindfolded in a yard and swinging away at a pinata being moved around.</t>
  </si>
  <si>
    <t>Several people around her are watches and can't help but laugh.</t>
  </si>
  <si>
    <t>The woman is laughing as well and finally hits the pinata for the children to grab.</t>
  </si>
  <si>
    <t>v_by4dS4tgkY0</t>
  </si>
  <si>
    <t>A man is talking to the camera from a parking lot.</t>
  </si>
  <si>
    <t>He runs down the street while continuing to talk.</t>
  </si>
  <si>
    <t>He runs onto several city streets, not stopping.</t>
  </si>
  <si>
    <t>v_shLUZZS9oYc</t>
  </si>
  <si>
    <t>A man is standing outside by the sidewalk cutting down a set of hedges.</t>
  </si>
  <si>
    <t>As he finishes the side,he moves to the front of the plant and continues cutting the plant down.</t>
  </si>
  <si>
    <t>Once a small portion is shown,he looks at the plant and then cuts off the item in his hand.</t>
  </si>
  <si>
    <t>v_QLJAQBUisuQ</t>
  </si>
  <si>
    <t>A man is talking to the camera.</t>
  </si>
  <si>
    <t>An Olympic field is shown with many people walking around on it.</t>
  </si>
  <si>
    <t>The man runs down a strip of track and jumps into a pile of sand.</t>
  </si>
  <si>
    <t>He has a flag wrapped around him and waves at the audience.</t>
  </si>
  <si>
    <t>v_vt81bZ6_GcQ</t>
  </si>
  <si>
    <t>People are in a pool playing water polo.</t>
  </si>
  <si>
    <t>A man in a white shirt walks along side the pool.</t>
  </si>
  <si>
    <t>A woman holding a dog is standing on a dock.</t>
  </si>
  <si>
    <t>v_KE2tDW9x9d8</t>
  </si>
  <si>
    <t>A girl is seen talking to the camera with her hand on her hip and leads into her holding up various ingredients.</t>
  </si>
  <si>
    <t>She then mixes the ingredients together on a slice of bread and creates a sandwich while pouring chips out onto the side.</t>
  </si>
  <si>
    <t>She then presents the plate while speaking to the camera and holding up various liquids.</t>
  </si>
  <si>
    <t>v_qxlVkDpdyOA</t>
  </si>
  <si>
    <t>We see two men walking and jumping on jump-stilts.</t>
  </si>
  <si>
    <t>One man jumps down the road, the the other as a man photographs them.</t>
  </si>
  <si>
    <t>A man on a bike rides past the men.</t>
  </si>
  <si>
    <t>Four bikes ride past the men.</t>
  </si>
  <si>
    <t>v_QQNW2ha8WIs</t>
  </si>
  <si>
    <t>A boy jumps on a trampoline while catching a stuffed doll on his shoulders in the air.</t>
  </si>
  <si>
    <t>The boy falls back and lands on his back on the trampoline.</t>
  </si>
  <si>
    <t>The boy jumps and catches the doll and slams it between his legs on the trampoline.</t>
  </si>
  <si>
    <t>The boy misses trying to catch the doll and falls on the trampoline.</t>
  </si>
  <si>
    <t>v_p1JSdZmztGk</t>
  </si>
  <si>
    <t>Two people are seen speaking to one another while standing on the docks as well as speak to the camera.</t>
  </si>
  <si>
    <t>The people enjoy themselves around the are by getting their hair cut, eating food, and the man preparing a boat.</t>
  </si>
  <si>
    <t>Several shots are shown of a kitchen as well as people riding on the boat and still continue to speak to the camera.</t>
  </si>
  <si>
    <t>v_x3z3dVUxmJ0</t>
  </si>
  <si>
    <t>The name of the business is shown.</t>
  </si>
  <si>
    <t>A person is braiding a client's hair.</t>
  </si>
  <si>
    <t>A person is running scissor through a braid.</t>
  </si>
  <si>
    <t>A person is applying rods to braids.</t>
  </si>
  <si>
    <t>A person is putting braids with rods into water.</t>
  </si>
  <si>
    <t>A client with reading glasses is talking.</t>
  </si>
  <si>
    <t>A client is leaving after braids are done.</t>
  </si>
  <si>
    <t>The credits of the video are shown.</t>
  </si>
  <si>
    <t>v_HhbTyPnFVIg</t>
  </si>
  <si>
    <t>A woman stand with athletic jacket in a grass covered and forested yard.</t>
  </si>
  <si>
    <t>The woman enters an open workshop area.</t>
  </si>
  <si>
    <t>Logs are stacked upright on a chopping block.</t>
  </si>
  <si>
    <t>The woman uses an an ax to split the logs in half.</t>
  </si>
  <si>
    <t>v_qCnHgcP3tM8</t>
  </si>
  <si>
    <t>Cars are driving down the highway fairly quickly.</t>
  </si>
  <si>
    <t>They stop, a man gets out and helps two women get out.</t>
  </si>
  <si>
    <t>They go into a bar and throw a ball into a girls drink starting a beer pong war.</t>
  </si>
  <si>
    <t>He wakes up in his dorm and then click on his ipad to start a beer pong championship.</t>
  </si>
  <si>
    <t>v_EwMAJPldfKs</t>
  </si>
  <si>
    <t>A young lady with a grey jacket on is standing in front of a sink lathering her hands.</t>
  </si>
  <si>
    <t>She then turns the water on and begins to rinse her hands and flex her fingers to make sure all of the soap is off.</t>
  </si>
  <si>
    <t>After that is done,she grabs a white towel,dries her hands and wipes her mouth.</t>
  </si>
  <si>
    <t>v_ikZwamRM5mo</t>
  </si>
  <si>
    <t>Several percussionists stand on a field.</t>
  </si>
  <si>
    <t>They march in place on the field.</t>
  </si>
  <si>
    <t>They are drumming in sync.</t>
  </si>
  <si>
    <t>A woman walks by with a video camera.</t>
  </si>
  <si>
    <t>v_QeVVKZhoFCg</t>
  </si>
  <si>
    <t>A girl with several facial piercings his seen rubbing lotion all over her face and powdering her cheeks and face.</t>
  </si>
  <si>
    <t>She then puts eyeliner on followed by mascara and lip liner.</t>
  </si>
  <si>
    <t>She colors in her eyebrows and puts on fake eye lashes, then rubbing some of the black off and more mascara on.</t>
  </si>
  <si>
    <t>She puts a bit of blush in her cheeks and then smiles and waves to the camera.</t>
  </si>
  <si>
    <t>v_Lo0EQXmaeXM</t>
  </si>
  <si>
    <t>The man looks at the camera and then goes back to looking somewhere else and talking.</t>
  </si>
  <si>
    <t>then the cups they're both holding that has a blue liquid in it is then put into their mouths and they both gargle until they have lots of bubbles formed in their mouths.</t>
  </si>
  <si>
    <t>v_TBeZXLchito</t>
  </si>
  <si>
    <t>People skateboard in a competition on the road while bending and holding his arms back.</t>
  </si>
  <si>
    <t>Then, a skateboarder opens his arms and signal others to advance.</t>
  </si>
  <si>
    <t>Then, the skateboarders pass on front spectators watching on side the road.</t>
  </si>
  <si>
    <t>People take picture to the skateboarders.</t>
  </si>
  <si>
    <t>A skateboarder fells on the road.</t>
  </si>
  <si>
    <t>People continues skateboarding in the road.</t>
  </si>
  <si>
    <t>v_SHS8pNOsZDU</t>
  </si>
  <si>
    <t>A group rides horses playing a game of polo on a field.</t>
  </si>
  <si>
    <t>The group fight over the ball and ride in a tight formation.</t>
  </si>
  <si>
    <t>A member on the team breaks away and rides toward the goal on his horse.</t>
  </si>
  <si>
    <t>v_yo3s6V19YtQ</t>
  </si>
  <si>
    <t>A young man is rappelling up the side of a cliff.</t>
  </si>
  <si>
    <t>Another man watches and helps from below.</t>
  </si>
  <si>
    <t>The man continues climbing until he reaches the top.</t>
  </si>
  <si>
    <t>v_tgdLeBX7aXk</t>
  </si>
  <si>
    <t>People are playing cricket together outside.</t>
  </si>
  <si>
    <t>A group of people hold up a trophy.</t>
  </si>
  <si>
    <t>People are walking around outside playing cricket.</t>
  </si>
  <si>
    <t>v_wBhtt9x74TA</t>
  </si>
  <si>
    <t>A woman is standing by a toilet in a bikini.</t>
  </si>
  <si>
    <t>A man is rubbing sunscreen onto her legs.</t>
  </si>
  <si>
    <t>She begins to rub her leg.</t>
  </si>
  <si>
    <t>v_f-aGlEjgZoE</t>
  </si>
  <si>
    <t>A woman is seen speaking to the camera while holding up various objects.</t>
  </si>
  <si>
    <t>The puts tape on he eye and begins putting eyeliner above her eye.</t>
  </si>
  <si>
    <t>She continues putting the makeup on while speaking to the camera and takes off the tape in the end.</t>
  </si>
  <si>
    <t>v_HfowLX1u38Y</t>
  </si>
  <si>
    <t>man wearing a purple shirt is holding a gas pipe.</t>
  </si>
  <si>
    <t>the man is using the pipe to light up the woodfire.</t>
  </si>
  <si>
    <t>man is standing outside a house lighting up a woodfire.</t>
  </si>
  <si>
    <t>v_UhB739uudDo</t>
  </si>
  <si>
    <t>A man is seen standing in a field with a dog while holding onto toys.</t>
  </si>
  <si>
    <t>The man then begins throwing the toys while the dog chases after them.</t>
  </si>
  <si>
    <t>The men continues to do tricks with the dog and end with a picture.</t>
  </si>
  <si>
    <t>v_WBkqGBFsdgI</t>
  </si>
  <si>
    <t>An older blonde newswoman is reading a story.</t>
  </si>
  <si>
    <t>Various pictures are shown of shuffleboard history.</t>
  </si>
  <si>
    <t>An older man is interviewed for the camera.</t>
  </si>
  <si>
    <t>Various clips of people playing shuffleboard are shown.</t>
  </si>
  <si>
    <t>The older blonde reporter ends the news story.</t>
  </si>
  <si>
    <t>v_JH31FxBZ5Xw</t>
  </si>
  <si>
    <t>Several shots of wrestlers are shown.</t>
  </si>
  <si>
    <t>They all are doing flips off the corner.</t>
  </si>
  <si>
    <t>The land on their opponent.</t>
  </si>
  <si>
    <t>They knock them down to the floor.</t>
  </si>
  <si>
    <t>v_TgDzZIop_uw</t>
  </si>
  <si>
    <t>An unseen person demonstrates how to remove and install a tire valve on a tire using a special tool.</t>
  </si>
  <si>
    <t>A pair of hands is seen yielding a metal tool over a yellow walled tire lying on a flat surface.</t>
  </si>
  <si>
    <t>The hand uses the metal curved tool to pluck the old tire valve out of its hole.</t>
  </si>
  <si>
    <t>The hand then uses a metal, black, tool to insert a new valve into the tire.</t>
  </si>
  <si>
    <t>v_PwMDJapSo70</t>
  </si>
  <si>
    <t>A person's hands are seen moving around a cat and trimming it's claws while the cat lays still and looks around.</t>
  </si>
  <si>
    <t>The person then files the nails of the cat and zooms in on the cat's belly in the end.</t>
  </si>
  <si>
    <t>v_MKmrqcoCZ-M</t>
  </si>
  <si>
    <t>A man is sitting on a black mat in a gym.</t>
  </si>
  <si>
    <t>He lays back and does crunches on the mat.</t>
  </si>
  <si>
    <t>He sits up and continues talking.</t>
  </si>
  <si>
    <t>v_kH8YpzoflKg</t>
  </si>
  <si>
    <t>A camera pans around a shirtless man sitting in the snow followed by the man snowboarding and men riding up a hill.</t>
  </si>
  <si>
    <t>Several shots are shown of people riding down the snowy hill and doing tricks in front of the camera.</t>
  </si>
  <si>
    <t>v_GffGGAwbcHo</t>
  </si>
  <si>
    <t>A caveman is seen walking a purple rock.</t>
  </si>
  <si>
    <t>He runs into a big dog and the dog eats the caveman.</t>
  </si>
  <si>
    <t>A God walks a poodle.</t>
  </si>
  <si>
    <t>A cowboy walks his dog and is shot outside a saloon.</t>
  </si>
  <si>
    <t>Chaplin is seen walking his dog.</t>
  </si>
  <si>
    <t>A hippie dog lies down on the floor and seems to be hallucinating.</t>
  </si>
  <si>
    <t>Dogs and spacecraft are seen exploring space.</t>
  </si>
  <si>
    <t>v_E3h0UHRsSQk</t>
  </si>
  <si>
    <t>A man wearing a black clothes is sharpening the knife on a stone.</t>
  </si>
  <si>
    <t>The man beside him on blue long sleeves drawing something on the table with his finger.</t>
  </si>
  <si>
    <t>The man turn the knife to sharpen the other side and then wipe it with paper towel.</t>
  </si>
  <si>
    <t>The man in navy blue shirt point to the knife while the man sharpening the knife tries to sharpen it one hand.</t>
  </si>
  <si>
    <t>He continues sharpening the knife, turn it again to further sharpen the other side and wipe it again with paper towel.</t>
  </si>
  <si>
    <t>Throws the old and dirty paper towel and reach the roll of paper towel and clean the knife.</t>
  </si>
  <si>
    <t>v_-ibmoYKRxQk</t>
  </si>
  <si>
    <t>A camera pans around a snowy area and transitions into several people in tubes down a hill.</t>
  </si>
  <si>
    <t>The people laugh while riding down the hill when one person falls off and the camera pans around the people.</t>
  </si>
  <si>
    <t>The camera shows one more shot of the people all riding down the long hill together.</t>
  </si>
  <si>
    <t>v_x2FfKHiN_3s</t>
  </si>
  <si>
    <t>A man is sitting on a frozen lake, fishing through a hole and surrounded by fishing gear.</t>
  </si>
  <si>
    <t>He walks away from his stuff, and a fish pulls his pole into the water, disappearing with it.</t>
  </si>
  <si>
    <t>He stands angrily with his hands on his hips, then gets another pole to try to get it back.</t>
  </si>
  <si>
    <t>v_UYFDYX4i2EY</t>
  </si>
  <si>
    <t>A man is standing on a stage performing different moves.</t>
  </si>
  <si>
    <t>He walks off the stage and someone else walks onto the stage.</t>
  </si>
  <si>
    <t>v_LNlGgtg70uQ</t>
  </si>
  <si>
    <t>This woman is showing her viewers how to make a Chambord Royale.</t>
  </si>
  <si>
    <t>First she fills her shaker up halfway with ice and then she adds vodka and Chambord and she puts one ounce of both of them and then she adds a little bit of pineapple juice and cranberry juice.</t>
  </si>
  <si>
    <t>Next she shakes everything up and strains the drink into the cocktail cup.</t>
  </si>
  <si>
    <t>v_59mz2Nd8GM0</t>
  </si>
  <si>
    <t>This perosn is shown making a sandwich that includes lunch meat, swiss cheese, and mayonnaise.</t>
  </si>
  <si>
    <t>He then mixes an egg and milk together and puts the sandwich into the mix.</t>
  </si>
  <si>
    <t>He puts the sandwich into a skillet that's on the stove for a little bit, and then he puts the sandwich on a white square shaped plate, which I'm guessing he ate.</t>
  </si>
  <si>
    <t>v_DU2hdNIS2WI</t>
  </si>
  <si>
    <t>A very large, muscular man is shown in a gym with a weight bar as piano music plays in the background.</t>
  </si>
  <si>
    <t>The video begins with the weight on the floor and the man getting ready to lift it.</t>
  </si>
  <si>
    <t>He lifts the weight and first brings it parallel to his shoulders.</t>
  </si>
  <si>
    <t>He then lifts it completely over his head with his arms extended.</t>
  </si>
  <si>
    <t>After leaving his arms up for several seconds, he allows the weight to fall on the ground.</t>
  </si>
  <si>
    <t>v_MSjSXzk2k50</t>
  </si>
  <si>
    <t>An intro leads into a woman pulling out a bucket and piecing together a mop.</t>
  </si>
  <si>
    <t>The camera pans around the bucket and the woman continues using the mop inside the bucket and moving around the object.</t>
  </si>
  <si>
    <t>v_HHDMFrN7vFs</t>
  </si>
  <si>
    <t>A man in a red shirt is sitting at an exercise bike.</t>
  </si>
  <si>
    <t>He is moving his legs on the pedals.</t>
  </si>
  <si>
    <t>There are other bikes next to him.</t>
  </si>
  <si>
    <t>v_DCYz8p4zH6o</t>
  </si>
  <si>
    <t>A man is seen kneeling on the floor swinging his arms back and fourth.</t>
  </si>
  <si>
    <t>Text moves across his face as he swings his arms.</t>
  </si>
  <si>
    <t>The man continues to swing his arms and ends with credits rolling.</t>
  </si>
  <si>
    <t>v_MiTIi_QYt2k</t>
  </si>
  <si>
    <t>A close up of a wooden bench is seen followed by a person mixing ingredients together.</t>
  </si>
  <si>
    <t>A person is then seen holding a rag and wiping down the bench.</t>
  </si>
  <si>
    <t>More ingredients are mixed afterwards that leads into more wiping down with the rag.</t>
  </si>
  <si>
    <t>v_56m7PcBuUFc</t>
  </si>
  <si>
    <t>A girl is pushing two little boys on a backyard swing.</t>
  </si>
  <si>
    <t>She smiles at the camera as she pushes the boys back and forth.</t>
  </si>
  <si>
    <t>v_u35hesPTsNE</t>
  </si>
  <si>
    <t>A band is seen sitting on the stage with one man playing the drums and a woman interviewing him.</t>
  </si>
  <si>
    <t>The man continues playing as the women speaks to the crowd and sings while they play.</t>
  </si>
  <si>
    <t>v_eAOBdYKju70</t>
  </si>
  <si>
    <t>Various shots are shown of horse saddles and various people riding these saddles on horses.</t>
  </si>
  <si>
    <t>A girl wraps the rope around her saddle while others practice on placed saddles.</t>
  </si>
  <si>
    <t>People ride around the saddles and show various caddie and how to ride them.</t>
  </si>
  <si>
    <t>A tourist is being interviewed on riding experience but she watched other riding and felt confident.</t>
  </si>
  <si>
    <t>A man speakers on his experience and various shots of the horses and wildlife are shown.</t>
  </si>
  <si>
    <t>v_szW1c2SGdew</t>
  </si>
  <si>
    <t>A man swings his leg in the air creating letters and we see an opening screen.</t>
  </si>
  <si>
    <t>two men are in two different rooms performing Capoeira moves.</t>
  </si>
  <si>
    <t>A man does a handstand move.</t>
  </si>
  <si>
    <t>The man does a handstand and pauses.</t>
  </si>
  <si>
    <t>We see the website on a black screen.</t>
  </si>
  <si>
    <t>We see four screens with images of men doing Capoeira.</t>
  </si>
  <si>
    <t>v_5kIl4TspdR0</t>
  </si>
  <si>
    <t>Someone is brushing their teeth with an electric toothbrush.</t>
  </si>
  <si>
    <t>They wear braces so they make sure to scrub all around very well.</t>
  </si>
  <si>
    <t>You can see the tongue moving around never really being comfortable inside of the mouth.</t>
  </si>
  <si>
    <t>The man continues to brush, toothpaste spewing down his lips a bit .</t>
  </si>
  <si>
    <t>v_eMB9L-LDK1E</t>
  </si>
  <si>
    <t>A person sprays a sink and wipes it with a towel.</t>
  </si>
  <si>
    <t>They spray a bath tub and wipe it with a towel.</t>
  </si>
  <si>
    <t>They spray a toilet and wipe it with a toilet.</t>
  </si>
  <si>
    <t>v_UUjXw1xjprU</t>
  </si>
  <si>
    <t>There are several people gathered in a skating park with skateboards.</t>
  </si>
  <si>
    <t>There a young man wearing a red hat talking about a skateboarding event at Red Bull skate Arcade.</t>
  </si>
  <si>
    <t>Several spectators are gathered in the arcade along with a panel of judges.</t>
  </si>
  <si>
    <t>Some of the participants are beating the heat by splashing water on themselves.</t>
  </si>
  <si>
    <t>The participants begin their stunts on the skateboards as they go over ramps and steep slopes.</t>
  </si>
  <si>
    <t>Several participants are showing off their stunts as spectators cheer and clap for them.</t>
  </si>
  <si>
    <t>They show off their scary yet impressive stunts as the climb up walls and steep ramps without falling.</t>
  </si>
  <si>
    <t>The crowds cheer for them and applaud them.</t>
  </si>
  <si>
    <t>The winners are awarded certificates and prizes for winning.</t>
  </si>
  <si>
    <t>v_QooDDNWaQjU</t>
  </si>
  <si>
    <t>A person throws a Frisbee for her dog for a dog to retrieve during an event on a sporting field.</t>
  </si>
  <si>
    <t>The dog catches the Frisbee and brings it back to the trainer.</t>
  </si>
  <si>
    <t>v_mvQxhjjVWOk</t>
  </si>
  <si>
    <t>There is a woman representing Jamaica participating on a long jump event.</t>
  </si>
  <si>
    <t>There is another woman doing long jump from another country.</t>
  </si>
  <si>
    <t>Several other contestant are participating in the same long jump competition.</t>
  </si>
  <si>
    <t>There are spectators watching them as they compete against each other.</t>
  </si>
  <si>
    <t>The contestant from Istanbul makes very long jump in the sand pit.</t>
  </si>
  <si>
    <t>The contestants continue competing in the sporting event.</t>
  </si>
  <si>
    <t>v_sRYDJ379UYc</t>
  </si>
  <si>
    <t>A man is seen sitting on a piece of exercise equipment with a trainer standing in front of him.</t>
  </si>
  <si>
    <t>The man then moves back and fourth on the machine while the other man helps.</t>
  </si>
  <si>
    <t>He is shown again in another clips moving and the trainer helping.</t>
  </si>
  <si>
    <t>v_w50et2-vEOQ</t>
  </si>
  <si>
    <t>We see the title and introductions screens.</t>
  </si>
  <si>
    <t>We see a boat with a man on it.</t>
  </si>
  <si>
    <t>We see people and the interior of the boat.</t>
  </si>
  <si>
    <t>The man wakeboards around a lake.</t>
  </si>
  <si>
    <t>We see the boat with people in it.</t>
  </si>
  <si>
    <t>The man pulls out the ladder and climbs on the boat then we see a boat take off, and in a show room.</t>
  </si>
  <si>
    <t>The man falls off the wakeboard 2 times.</t>
  </si>
  <si>
    <t>We see the ending title screen.</t>
  </si>
  <si>
    <t>v_WMoofjkumOs</t>
  </si>
  <si>
    <t>In the beginning the man is shown tricking the bull.</t>
  </si>
  <si>
    <t>Many other men have been shown tricking bulls in front of large crowds.</t>
  </si>
  <si>
    <t>v_TF591ByrGYk</t>
  </si>
  <si>
    <t>A young male gymnast is is an arena standing on a mat preparing to do his routine.</t>
  </si>
  <si>
    <t>The boy then approached the bars and does a series of swings and hand stand in the air.</t>
  </si>
  <si>
    <t>While he's performing,he adds several flips and rolls into his performance before finally jumping off of the bars.</t>
  </si>
  <si>
    <t>v_95pMelnv2dQ</t>
  </si>
  <si>
    <t>Men play badminton in the sand.</t>
  </si>
  <si>
    <t>A man on the left serves the birdie both men on the right miss it.</t>
  </si>
  <si>
    <t>the man on the right serves and the man on the left hits it back but it hits the net.</t>
  </si>
  <si>
    <t>A man stands on the left watching.</t>
  </si>
  <si>
    <t>v_y_HCdBEJbNE</t>
  </si>
  <si>
    <t>A man puts plaster on a base.</t>
  </si>
  <si>
    <t>The man walks over and rubs it on the ceiling.</t>
  </si>
  <si>
    <t>We see the stilts the man is walking on.</t>
  </si>
  <si>
    <t>The camera becomes wobbly and blurry.</t>
  </si>
  <si>
    <t>The man bends down to grab more plaster.</t>
  </si>
  <si>
    <t>The man smiles and the video ends.</t>
  </si>
  <si>
    <t>v_RWjCwIOuzrc</t>
  </si>
  <si>
    <t>There is a man nodding in the first frame.</t>
  </si>
  <si>
    <t>The video movies to the man putting up the wall paper by first measuring it out, lining up the pattern and putting it up on the wall.</t>
  </si>
  <si>
    <t>He then unscrews a light switch and pulls it out just a little, making some slits in the fabric or paper, then putting the light switch back over the new wall paper.</t>
  </si>
  <si>
    <t>The camera shows wall paper in a finished room, going over different rooms with different wall papers.</t>
  </si>
  <si>
    <t>The man is later seen measuring and marking the wall, rolling out more wall paper and putting it up on the wall.</t>
  </si>
  <si>
    <t>Then it shows two tables that look like they have also been wall papered.</t>
  </si>
  <si>
    <t>v__4licRHiRRs</t>
  </si>
  <si>
    <t>A text intro leads into a picture of a dog and the same dog running along the yard.</t>
  </si>
  <si>
    <t>The dog is seen in several clips chasing after a frisbee.</t>
  </si>
  <si>
    <t>A man throws the frisbee to the dog in the yard who continues chasing after him.</t>
  </si>
  <si>
    <t>v_c2-6_i1yV5E</t>
  </si>
  <si>
    <t>Individuals run with a elongated stick and use it to elevated their bodies over a heighten hurdle.</t>
  </si>
  <si>
    <t>A guy touches the back of the individual as he lifts his body.</t>
  </si>
  <si>
    <t>The guy seems like he falls backs while trying to lift his body because the clip is reversed.</t>
  </si>
  <si>
    <t>v_gDNgiybMA1s</t>
  </si>
  <si>
    <t>A camera pans up to a person standing in a kitchen and then dancing on the floor.</t>
  </si>
  <si>
    <t>The man continues to dance around while looking to the camera and singing.</t>
  </si>
  <si>
    <t>v_O4P07fipvIA</t>
  </si>
  <si>
    <t>A large group of cheerleaders are seen running into an arena cheering and beginning performing a routine with one another.</t>
  </si>
  <si>
    <t>The girls continue cheering around the stage while lifting one another up and performing tricks and pans to the audience in the end.</t>
  </si>
  <si>
    <t>v_hru57dsi0N0</t>
  </si>
  <si>
    <t>A woman is seated in a chair in a dining room.</t>
  </si>
  <si>
    <t>She shows off her bare feet and their shape.</t>
  </si>
  <si>
    <t>She then puts on and tries to lace her shoes around the swollen feet.</t>
  </si>
  <si>
    <t>v_XHMrvd3sKzE</t>
  </si>
  <si>
    <t>Two kids are climbing a rock wall.</t>
  </si>
  <si>
    <t>The adults are guiding the lines.</t>
  </si>
  <si>
    <t>The kids continue to climb.</t>
  </si>
  <si>
    <t>The one on the right will make it to the top first.</t>
  </si>
  <si>
    <t>The one on the left did not make it to the top, both hop back down the wall.</t>
  </si>
  <si>
    <t>v_mAWuiYWXmb8</t>
  </si>
  <si>
    <t>A woman and a man exercise sitting on a cardio machine.</t>
  </si>
  <si>
    <t>A woman works out sitting on a cardio machine.</t>
  </si>
  <si>
    <t>A man sits next a woman performing cardio workouts.</t>
  </si>
  <si>
    <t>v_l8NepxsCh34</t>
  </si>
  <si>
    <t>A girl is playing hopscotch on a sidewalk.</t>
  </si>
  <si>
    <t>She gets to the end and turns around to go back.</t>
  </si>
  <si>
    <t>Another girl throws a puck onto the sidewalk and starts to play hopscotch.</t>
  </si>
  <si>
    <t>v_UZ9D6DhrmDI</t>
  </si>
  <si>
    <t>A person solves a cube puzzle flipping the pieces around.</t>
  </si>
  <si>
    <t>The person solves the puzzle and show a chronometer.</t>
  </si>
  <si>
    <t>v_s9Wop4PMZaw</t>
  </si>
  <si>
    <t>Two young children are seen riding on a camel past a group of people and a man leading them along.</t>
  </si>
  <si>
    <t>The man continues to lead the camel around with the children on top and ends with them climbing down and others walking up.</t>
  </si>
  <si>
    <t>v_2N129Bw1jiQ</t>
  </si>
  <si>
    <t>Young children are seen jumping on a mat back and fourth while two older women watch them on the side.</t>
  </si>
  <si>
    <t>The boy then takes a big leap and the girl stands in front of him.</t>
  </si>
  <si>
    <t>v_ffyPN2-EDg4</t>
  </si>
  <si>
    <t>A man walks up to a snow scoop.</t>
  </si>
  <si>
    <t>The man shovels the snow on a roof while the cameraman talks.</t>
  </si>
  <si>
    <t>The man stops scooping the snow.</t>
  </si>
  <si>
    <t>v_aTrEYoCRL2k</t>
  </si>
  <si>
    <t>A man sitting in a leaf blower starts the machine and blows a large pile of leafs into the brush nearby.</t>
  </si>
  <si>
    <t>We we see the vehicle back and and go back and forth blowing the leaves.</t>
  </si>
  <si>
    <t>The cameraman stops the vehicle and gets out.</t>
  </si>
  <si>
    <t>We see the full vehicle from the front and see the field.</t>
  </si>
  <si>
    <t>v_sRgBK2_nb0I</t>
  </si>
  <si>
    <t>We see a man raise his arms and prepare to mount the pommel horse.</t>
  </si>
  <si>
    <t>The man mounts the pommel horse.</t>
  </si>
  <si>
    <t>The man does a handstand and throws his open legs over the pommel.</t>
  </si>
  <si>
    <t>The man spins around on the pommel horse.</t>
  </si>
  <si>
    <t>The man does a handstand and dismounts.</t>
  </si>
  <si>
    <t>The man raises his arms and walks away.</t>
  </si>
  <si>
    <t>The man shakes another man's hand.</t>
  </si>
  <si>
    <t>v_jnnHUCs-t3o</t>
  </si>
  <si>
    <t>Several people are playing in a public swimming pool.</t>
  </si>
  <si>
    <t>They swim in the water, playing a game with a ball.</t>
  </si>
  <si>
    <t>They hit the ball back and forth, trying to keep it from each other.</t>
  </si>
  <si>
    <t>v_m22TDwfa8go</t>
  </si>
  <si>
    <t>A woman is seen talking to the camera and presenting various liquids to the camera.</t>
  </si>
  <si>
    <t>She ready's the tip of a glass and dips the glass into sugar on a plate.</t>
  </si>
  <si>
    <t>She pours various liquids into a mixer and shakes the mixture all together.</t>
  </si>
  <si>
    <t>She pours the drink out into the glass while still speaking to the camera.</t>
  </si>
  <si>
    <t>v_Vcv9P-4Tty0</t>
  </si>
  <si>
    <t>A group of people are seen standing on a sandy field with one throwing a soccer ball to another.</t>
  </si>
  <si>
    <t>The other person scores a goal and other players jump on him and congratulate him.</t>
  </si>
  <si>
    <t>The same goal is shown several more times from different angles.</t>
  </si>
  <si>
    <t>v_3NSikmqK3Ys</t>
  </si>
  <si>
    <t>man is standing in front of a motorbike and puts a toilet lid in the black leathe seat.</t>
  </si>
  <si>
    <t>the man is driving the motorbike thorugh the street and a dog is running next to him.</t>
  </si>
  <si>
    <t>the man opens the motorbike trunk and close it.</t>
  </si>
  <si>
    <t>v_EU-IdUKbLSg</t>
  </si>
  <si>
    <t>A large group of people are seen swimming around a pool while a coach yells on the sides.</t>
  </si>
  <si>
    <t>Shots of people playing are shown when one hits the other.</t>
  </si>
  <si>
    <t>The coaches yell to one another while people still play the game.</t>
  </si>
  <si>
    <t>v_ciXArKhjAv8</t>
  </si>
  <si>
    <t>A little boy is standing eating ice cream.</t>
  </si>
  <si>
    <t>There is a dog on the floor behind him.</t>
  </si>
  <si>
    <t>He laughs and turns around.</t>
  </si>
  <si>
    <t>v_K-r_Tj7uFGw</t>
  </si>
  <si>
    <t>A girl is sitting on a large chair with two girls beside her and a man tattooing her foot.</t>
  </si>
  <si>
    <t>Another man steps into frame and the girls continue talking to each other while the artist.</t>
  </si>
  <si>
    <t>v_TOfBNYOlv8c</t>
  </si>
  <si>
    <t>A woman behind a bar is showing how to make a mixed drink.</t>
  </si>
  <si>
    <t>A series of shots appear with a person pouring alcohol into a martini glass and then the screen fades into the video title screen showing a website name, the name of the drink they are making and the person who will be making it.</t>
  </si>
  <si>
    <t>A website address is shown at the bottom of the screen.</t>
  </si>
  <si>
    <t>A girl standing behind the bar explains what ingredients she is using for the drink, the amounts she is using, and mixes them all together in a glass and presents the drink.</t>
  </si>
  <si>
    <t>The camera zooms in on the drink and fades to black to end the video.</t>
  </si>
  <si>
    <t>v_hlwSgE7Epwo</t>
  </si>
  <si>
    <t>A woman standing outside near a tennis court talking about things.</t>
  </si>
  <si>
    <t>A girl in all black with a baton practicing her moves and dances inside of the studio.</t>
  </si>
  <si>
    <t>Her coach does an interview while sitting down with her hands held together.</t>
  </si>
  <si>
    <t>The girl continues to practice by herself in the studio.</t>
  </si>
  <si>
    <t>v_O-zE1-Yw3w0</t>
  </si>
  <si>
    <t>A young girl introduces the video and explains what she will be doing to wood.</t>
  </si>
  <si>
    <t>She places a piece of bubblewrap and makes sure it covers around about half of the wood.</t>
  </si>
  <si>
    <t>She then covers the rest of the wood and walks across it like a plank.</t>
  </si>
  <si>
    <t>v_VgQ6a7oVx7g</t>
  </si>
  <si>
    <t>People are performing gymnastic stunts in front of an audience.</t>
  </si>
  <si>
    <t>A guy locks his arms around bars above his head.</t>
  </si>
  <si>
    <t>The guy swings his body while holding on to the bars.</t>
  </si>
  <si>
    <t>The guy flips off the bars and lands on his feet, claps, and begins to leave.</t>
  </si>
  <si>
    <t>A man approaches the guy clapping.</t>
  </si>
  <si>
    <t>v_21krmbuT21s</t>
  </si>
  <si>
    <t>Two gymasts are performing in front of a crowd.</t>
  </si>
  <si>
    <t>One is spinning constantly on a beam.</t>
  </si>
  <si>
    <t>The man in red mounts and begins to spin, performing several tricks.</t>
  </si>
  <si>
    <t>The man dismounts, and puts one victorious arm up into the air.</t>
  </si>
  <si>
    <t>v_STwMeZMg_aA</t>
  </si>
  <si>
    <t>A boy pulls a string of a home fitness machine while talking.</t>
  </si>
  <si>
    <t>Then, the boy falls down the floor.</t>
  </si>
  <si>
    <t>v_EmlmKZ6Gi3Y</t>
  </si>
  <si>
    <t>There's a large team of participants getting ready to do engage in a water tubing activity.</t>
  </si>
  <si>
    <t>They walk down a hilly terrain to the river.</t>
  </si>
  <si>
    <t>They get onto their tubes and begin going down the rapids.</t>
  </si>
  <si>
    <t>The participants seem very calm and happy as they wave to the camera.</t>
  </si>
  <si>
    <t>They all begin their journey down the rapids as the water starts getting more turbulent.</t>
  </si>
  <si>
    <t>They continue going along the with water current as they flow steadily through the water.</t>
  </si>
  <si>
    <t>Then they all arrive at banks of the river where the water is calm and steady flowing.</t>
  </si>
  <si>
    <t>v_hQXWnoipdFE</t>
  </si>
  <si>
    <t>The video is represented by North Face and Cliff Bar where they show mountain climbers at Yosemite National Park.</t>
  </si>
  <si>
    <t>There are several people talking about the fascination of mountain climbing.</t>
  </si>
  <si>
    <t>There are pictures of people wearing bandanas shown sitting on the mountain tops.</t>
  </si>
  <si>
    <t>There's a man who is mountain climbing on a steep slope.</t>
  </si>
  <si>
    <t>Another man takes a leap from the top of mountain in an attempt to bungee jump from that height.</t>
  </si>
  <si>
    <t>v_pHZogKGkc9o</t>
  </si>
  <si>
    <t>A group of young boys are inside a basketball court.</t>
  </si>
  <si>
    <t>They play a game while the coach cheers them on and instructs them.</t>
  </si>
  <si>
    <t>Some of the boys watch from the sidelines, waiting for their turn.</t>
  </si>
  <si>
    <t>v_9V7cMp_w1_0</t>
  </si>
  <si>
    <t>Winter scenes with vehicles and heavy snow are shown.</t>
  </si>
  <si>
    <t>Scenes from the interior of an airport are shown, with people walking around or waiting.</t>
  </si>
  <si>
    <t>A woman talks to the camera.</t>
  </si>
  <si>
    <t>A man cleans snow off a car.</t>
  </si>
  <si>
    <t>More scenes from a winter storm are shown.</t>
  </si>
  <si>
    <t>Scenes of people cleaning snow off their vehicles are shown.</t>
  </si>
  <si>
    <t>A different woman talks to the camera.</t>
  </si>
  <si>
    <t>A car drives away from the camera.</t>
  </si>
  <si>
    <t>Two people talk to the camera.</t>
  </si>
  <si>
    <t>A truck drives away from the camera.</t>
  </si>
  <si>
    <t>v_NOxiMgQMeuk</t>
  </si>
  <si>
    <t>A woman is shown with a paintbrush and a piece of canvas.</t>
  </si>
  <si>
    <t>She uses green paint to fill in a drawing of a plant.</t>
  </si>
  <si>
    <t>She goes around in circles, painting the image.</t>
  </si>
  <si>
    <t>v_6tveUnZe7WA</t>
  </si>
  <si>
    <t>A white male is dressed outside in a Scotland uniform standing outside in the middle of a cemetery.</t>
  </si>
  <si>
    <t>As he is standing,he plays the bag pipes with the American Flag hanging down from them.</t>
  </si>
  <si>
    <t>When he is finished,he begins to look to his right,shakes his head,catches his breath and keeps playing.</t>
  </si>
  <si>
    <t>v_jzDXtd0__DM</t>
  </si>
  <si>
    <t>A close up of a sign is seen followed by a young couple looking to the camera.</t>
  </si>
  <si>
    <t>Other people are seen standing on the side and watching the other two.</t>
  </si>
  <si>
    <t>The coupe hold on and then jump off the side while the others stand and watch.</t>
  </si>
  <si>
    <t>v_i5jZVSzLbYQ</t>
  </si>
  <si>
    <t>A person is seen performing various flips and tricks in front of audience and leads into a young boy standing in the middle.</t>
  </si>
  <si>
    <t>The boy and man then battle against one another doing several tricks and ends with the an holding the boy's arm.</t>
  </si>
  <si>
    <t>He then claps to the boy and several people on the side clap.</t>
  </si>
  <si>
    <t>v_vX8L1RcZ4cc</t>
  </si>
  <si>
    <t>A little boy doing karate is yelling commands.</t>
  </si>
  <si>
    <t>He starts to do some of his karate moves, moving all around the court.</t>
  </si>
  <si>
    <t>He is a blue belt being judged for his skills.</t>
  </si>
  <si>
    <t>He bows gracefully before walking off and the judges throw up their flags.</t>
  </si>
  <si>
    <t>v_3TbZ7uSYUe8</t>
  </si>
  <si>
    <t>A group of men are standing on a diving board and they take terms jumping off of the diving board.</t>
  </si>
  <si>
    <t>As the last person jumps off the board,a group of men are shown walking across the pool.</t>
  </si>
  <si>
    <t>v_FhbsTTHT2Zs</t>
  </si>
  <si>
    <t>A woman with blonde hair,a purple jacket and black gloves on is standing near a stable talking.</t>
  </si>
  <si>
    <t>As she continues talking,her saddle is shown and she begins talking about the specifics of it.</t>
  </si>
  <si>
    <t>The lady then puts it on the horse and begins rubbing certain parts of it to make sure it is secure.</t>
  </si>
  <si>
    <t>v_xld0M1MXNiE</t>
  </si>
  <si>
    <t>A close up of a globe is shown with a person pointing a hookah at it.</t>
  </si>
  <si>
    <t>The man is then seen looking closely to the camera.</t>
  </si>
  <si>
    <t>He finally blows smoke rings out of his mouth.</t>
  </si>
  <si>
    <t>v_0SmA1cGocz4</t>
  </si>
  <si>
    <t>The word curling appears on the screen numerous times.</t>
  </si>
  <si>
    <t>A woman is shown having her hair dried, brushed, and curled by a specialist.</t>
  </si>
  <si>
    <t>He places her hair is rollers, then takes them down and styles it.</t>
  </si>
  <si>
    <t>Then she poses with her new hair style.</t>
  </si>
  <si>
    <t>v_py4ekPd5G_k</t>
  </si>
  <si>
    <t>Several shots of a building are shown as well as a lake surrounded by trees.</t>
  </si>
  <si>
    <t>Many people are seen riding canoes and a person's feet and legs are shown.</t>
  </si>
  <si>
    <t>The people ride down the river while the camera pans in more landscapes and trees.</t>
  </si>
  <si>
    <t>v_5IkU9svJFRI</t>
  </si>
  <si>
    <t>We see a boy squatting in the dirt.</t>
  </si>
  <si>
    <t>We then see the title screen.</t>
  </si>
  <si>
    <t>The little boy attempts to make a campfire using a flint.</t>
  </si>
  <si>
    <t>Small flames start and grow.</t>
  </si>
  <si>
    <t>The boy stands up next to his fire.</t>
  </si>
  <si>
    <t>We see 2 title cards about starting fires for survival and the website is show before the end screens.</t>
  </si>
  <si>
    <t>v_3YiGMRp-7B4</t>
  </si>
  <si>
    <t>A group of people are standing in a parking lot.</t>
  </si>
  <si>
    <t>The people move in several martial arts techniques.</t>
  </si>
  <si>
    <t>They kick and punch back and forth.</t>
  </si>
  <si>
    <t>v_kfW5sm39ZYE</t>
  </si>
  <si>
    <t>We see a flat tire on a car.</t>
  </si>
  <si>
    <t>the owner takes out the spare tire and tools.</t>
  </si>
  <si>
    <t>The person jacks up the car.</t>
  </si>
  <si>
    <t>The person puts their hand under the raised tire.</t>
  </si>
  <si>
    <t>The man takes off the bad tire.</t>
  </si>
  <si>
    <t>The man shows a screw in his tire.</t>
  </si>
  <si>
    <t>The man puts the spare tire on.</t>
  </si>
  <si>
    <t>The man lowers the car on the spare.</t>
  </si>
  <si>
    <t>v_WGzUnE043iA</t>
  </si>
  <si>
    <t>A man in a canoe talks and paddles in a lake surrounded by large rocks, trees, foliage, stray kayaks, and other people in canoes.</t>
  </si>
  <si>
    <t>The man begins at a profile view holding a paddle while sitting in a canoe and talking to a camera occasionally pointing to a nearby shore with the paddle.</t>
  </si>
  <si>
    <t>The man then uses the paddle in the water to push the canoe off deeper into the water.</t>
  </si>
  <si>
    <t>The man begins to paddle freely in the water, passing along the way, a group of people on a canoe and several stray canoes and kayaks in the water, before facing the camera again in a close up and talking.</t>
  </si>
  <si>
    <t>v_aDDq5ofaFHI</t>
  </si>
  <si>
    <t>White words appear on the screen and say "THE AMERICAN DREAM" and a man wearing a helmet jumps onto the dirt hill path and continues to walk down, grabs his skateboard and begins skating on the road at the end of the hill of a very scenic area.</t>
  </si>
  <si>
    <t>The man is now skating in a road in a residential area where he passes many homes with cars parked on the roads.</t>
  </si>
  <si>
    <t>The man continues to skate through residential areas, water edges along parks, harbors, cities and etcetera.</t>
  </si>
  <si>
    <t>The man ends with a walk along a rocky beach and carrying his skateboard on his right shoulder.</t>
  </si>
  <si>
    <t>v_Jo3R272P8eM</t>
  </si>
  <si>
    <t>A woman is holding a microphone standing outside a room.</t>
  </si>
  <si>
    <t>People are playing wall ball in the room.</t>
  </si>
  <si>
    <t>The woman is holding a piece of paper.</t>
  </si>
  <si>
    <t>v_SCGQIhvDcIo</t>
  </si>
  <si>
    <t>The "LLumar" logo appears on screen.</t>
  </si>
  <si>
    <t>A young girl with a pool cue walks to a pool table, the camera focuses on her low cut top.</t>
  </si>
  <si>
    <t>Several women play pool at the table in revealing clothing.</t>
  </si>
  <si>
    <t>The "LLumar" logo reappears on screen.</t>
  </si>
  <si>
    <t>v_hsJJbTqSQR4</t>
  </si>
  <si>
    <t>A young girl is seen standing on a tennis court holding a racket.</t>
  </si>
  <si>
    <t>The woman begins swinging the racket while another boy stands beside her.</t>
  </si>
  <si>
    <t>The woman continues swinging and walks back to the boy.</t>
  </si>
  <si>
    <t>v_w-6Oo3bgms4</t>
  </si>
  <si>
    <t>Several men are playing soccer in a gym.</t>
  </si>
  <si>
    <t>There are some spectators in the background.</t>
  </si>
  <si>
    <t>Another group of men are playing soccer.</t>
  </si>
  <si>
    <t>There are spectators in the background.</t>
  </si>
  <si>
    <t>Various scenes of soccer matches are shown with spectators.</t>
  </si>
  <si>
    <t>v_Y8WY_c3onSY</t>
  </si>
  <si>
    <t>A couple girls are seen riding down a long slide in the middle of a park.</t>
  </si>
  <si>
    <t>More children ride down the slide while a mother helps the kids at the top.</t>
  </si>
  <si>
    <t>v_u3B3M17akWU</t>
  </si>
  <si>
    <t>A woman is seen sitting down holding an ice cream while looking at the camera.</t>
  </si>
  <si>
    <t>She continues to eat the ice cream as the camera pans around her and watching her eat.</t>
  </si>
  <si>
    <t>v_-G8N5FxjZbw</t>
  </si>
  <si>
    <t>A man is seen playing a set of bagpipes while people behind him push around bicycles.</t>
  </si>
  <si>
    <t>He is seen playing again while more people walk in and out of frame with children and dogs.</t>
  </si>
  <si>
    <t>Some people stop to hear him play and he stops to look to the camera.</t>
  </si>
  <si>
    <t>v_gXKGS1N3zuM</t>
  </si>
  <si>
    <t>A belly dancer dressed in red and black is demonstrating how to hip circles and shimmy.</t>
  </si>
  <si>
    <t>She is standing with her feet hip width apart.</t>
  </si>
  <si>
    <t>Then she shows how to do the foot work as she moves her hips in circles.</t>
  </si>
  <si>
    <t>She simultaneously moves her hips and as she moves sideways.</t>
  </si>
  <si>
    <t>Then she extends her hands and up on one side as she continues to move along sideways.</t>
  </si>
  <si>
    <t>She repeats the steps going back and forth as she twirls her hips.</t>
  </si>
  <si>
    <t>v_SQncxXAlBFE</t>
  </si>
  <si>
    <t>A woman body builder slowly lifts a giant barbell of weights up into the air.</t>
  </si>
  <si>
    <t>She lifts it to her chest, Then over her head before freezing in place.</t>
  </si>
  <si>
    <t>v_qHU7T2LBToI</t>
  </si>
  <si>
    <t>A cheerleading team performs on a blue mat.</t>
  </si>
  <si>
    <t>They dance and tumble during their routine.</t>
  </si>
  <si>
    <t>v_MBouLt-hXDU</t>
  </si>
  <si>
    <t>Cake chemistry explaining how to do a at home experiment, They give all the ingredients needed and begin to explain what they will be doing.</t>
  </si>
  <si>
    <t>The start to give step by step instructions on how to mix the ingredients together.</t>
  </si>
  <si>
    <t>They give very detailed information about what to do before putting them in the oven.</t>
  </si>
  <si>
    <t>Once, they come out of the oven they explain the difference between all of the cakes and the different ingredients they did not put in each to see why the results were different.</t>
  </si>
  <si>
    <t>v_rbDbXXqaZaM</t>
  </si>
  <si>
    <t>A man drives a mowing machine to cut the grass of a backyard.</t>
  </si>
  <si>
    <t>The man pass on front the home to continues mowing the other parts of the yard.</t>
  </si>
  <si>
    <t>v_iyGve9RCjV4</t>
  </si>
  <si>
    <t>Two people are seen performing various martial arts with one another while a large group of people watch on the sides.</t>
  </si>
  <si>
    <t>More people stand in the middle and perform with one another and ends with people moving around and grabbing one another.</t>
  </si>
  <si>
    <t>v_fynO9wmckLA</t>
  </si>
  <si>
    <t>Two young men are standing indoors, talking to the camera.</t>
  </si>
  <si>
    <t>They demonstrate how they run on a track, and do a long jump into sand.</t>
  </si>
  <si>
    <t>v_pmPEfkb8roQ</t>
  </si>
  <si>
    <t>A fence in front of a house is shown.</t>
  </si>
  <si>
    <t>A man wearing white starts painting the fence.</t>
  </si>
  <si>
    <t>v_0MtST08F2Xc</t>
  </si>
  <si>
    <t>A person in blue pants is raking some fallen leaves from the ground.</t>
  </si>
  <si>
    <t>There is a black dog and a white dog jumping around the person raking the leaves.</t>
  </si>
  <si>
    <t>The white dog is trying to bite off the rake.</t>
  </si>
  <si>
    <t>Both the dogs are playing around the man raking the leaves, trying to bite the rake.</t>
  </si>
  <si>
    <t>The person is moving the rake in circles as the dogs are jumping around him.</t>
  </si>
  <si>
    <t>v_AEH6JEd_03c</t>
  </si>
  <si>
    <t>A butterfly is flying on the screen with words on slides.</t>
  </si>
  <si>
    <t>A person is mixing ingredients in a bowl.</t>
  </si>
  <si>
    <t>They spoon the dough onto a cookie sheet.</t>
  </si>
  <si>
    <t>Bakes cookies are shown stacked up on a plate.</t>
  </si>
  <si>
    <t>v_P6lwZ6gKvUw</t>
  </si>
  <si>
    <t>A person is seen sitting in a chair and leads into her peeling a potato with a knife.</t>
  </si>
  <si>
    <t>The person then finishes peeling the potatoes and putting it down.</t>
  </si>
  <si>
    <t>v_JV4ss42WZG8</t>
  </si>
  <si>
    <t>A person is seen cutting up various fruits while also seen speaking to the camera.</t>
  </si>
  <si>
    <t>The person mixes various ingredients into a container of water.</t>
  </si>
  <si>
    <t>The person spins around the container in the end.</t>
  </si>
  <si>
    <t>v_vw64k9rIi_g</t>
  </si>
  <si>
    <t>A person's hand washes a grey cat in a white tub of water.</t>
  </si>
  <si>
    <t>A grey cat is sitting in a white tub of clear water, drenched in water.</t>
  </si>
  <si>
    <t>A hand with a tattoo appears and wipes the cat's back with a red cloth.</t>
  </si>
  <si>
    <t>The hand then wipes the cat's neck and the back of its head with the red cloth.</t>
  </si>
  <si>
    <t>The hand, finally, lets the red cloth fall into the water as the hand holds itself up to the cat's nose.</t>
  </si>
  <si>
    <t>v_heLlfK--Bx0</t>
  </si>
  <si>
    <t>A girl is standing with her back turned on a court.</t>
  </si>
  <si>
    <t>She turns, accidentally dropping a rope.</t>
  </si>
  <si>
    <t>She then performs, spinning and jumping with the rope.</t>
  </si>
  <si>
    <t>v_BvACPvbUq1k</t>
  </si>
  <si>
    <t>A person is seen shoveling up some snow with the camera laid on his head.</t>
  </si>
  <si>
    <t>He shows several shots of him shoveling up the snow, a close up of his face, and panning around the area.</t>
  </si>
  <si>
    <t>v_Gpocjp7hSzU</t>
  </si>
  <si>
    <t>A chef shows all the ingredients to do pasta.</t>
  </si>
  <si>
    <t>Then, the chef puts the pasta in hot water, then pours oil in a pan.</t>
  </si>
  <si>
    <t>Next, the chef adds to the pan the garlic, tomatoes, basil, salt, pepper and the cooked pasta and mix.</t>
  </si>
  <si>
    <t>After, the chef adds the parmesan cheese on top the pasta and serves in a dish.</t>
  </si>
  <si>
    <t>The chef put cheese and two green leaves on top the pasta in the dish.</t>
  </si>
  <si>
    <t>v__TeU8A-CGbU</t>
  </si>
  <si>
    <t>A person install a carpet using a machine.</t>
  </si>
  <si>
    <t>The person cuts a piece of stained carpet.</t>
  </si>
  <si>
    <t>Then, the person replace with a new piece and bush.</t>
  </si>
  <si>
    <t>v_cByxAZfw_hM</t>
  </si>
  <si>
    <t>man is running in a race track and make a long jump while people in stands is watching him an clapping.</t>
  </si>
  <si>
    <t>people on side of the racetrack is sitting on a side.</t>
  </si>
  <si>
    <t>v_TGVWaA_xTGE</t>
  </si>
  <si>
    <t>A woman is seen sitting behind a set of bongo drums and playing along while speaking to the camera.</t>
  </si>
  <si>
    <t>The woman continues hitting the drums while speaking to the camera and singing along.</t>
  </si>
  <si>
    <t>v_vvdmMyyAtN0</t>
  </si>
  <si>
    <t>A woman is lying on a bed with her hair spread.</t>
  </si>
  <si>
    <t>There are several images of her from behind with very long hair.</t>
  </si>
  <si>
    <t>We then see numerous images of her with her hair cut off to shoulder length.</t>
  </si>
  <si>
    <t>v_VJyNbaAz6Xs</t>
  </si>
  <si>
    <t>A man in a red coat is outside on a snowboard.</t>
  </si>
  <si>
    <t>He starts going down a course and doing some really cool tricks while moving.</t>
  </si>
  <si>
    <t>Some men are rubbing down their boards and another gets on the field and starts doing some flips and stuff in mid air.</t>
  </si>
  <si>
    <t>These are all pretty experienced people on the boards, they are even boarding through water and having a good time.</t>
  </si>
  <si>
    <t>v_lroya8XhuPs</t>
  </si>
  <si>
    <t>woman is standing talking to the camera holding a microphone and interviewing voleyball players.</t>
  </si>
  <si>
    <t>men are standing in a sandy field being interviewed.</t>
  </si>
  <si>
    <t>men are in sandy field showing he girl how to play beach soccer.</t>
  </si>
  <si>
    <t>woman is sin front of the net talking to the camera.</t>
  </si>
  <si>
    <t>v_dWPlarw_xg8</t>
  </si>
  <si>
    <t>A man gets pumped up to do a long jump then does it.</t>
  </si>
  <si>
    <t>Others go next and try to get the crowd pumped up for their respective long jumps.</t>
  </si>
  <si>
    <t>v_q-RNYziOHjE</t>
  </si>
  <si>
    <t>A black female is talking to the screen with long blonde curly hair and a black sweater.</t>
  </si>
  <si>
    <t>A blow dryer is shown and the lady then begins drying a girl's hair.</t>
  </si>
  <si>
    <t>The girls hair is then shown extremely curly and the young lady has trouble drying her hair.</t>
  </si>
  <si>
    <t>The Red by Kiss blow dryer is shown again and the lady continues drying the young lady's hair.</t>
  </si>
  <si>
    <t>v_Cjq9wf9XnX0</t>
  </si>
  <si>
    <t>man is putting the lifts on a pole.</t>
  </si>
  <si>
    <t>man is standing in middle of a room in a gym lifting weight.</t>
  </si>
  <si>
    <t>a lot of different lifts are stacked in the gym.</t>
  </si>
  <si>
    <t>v_ffWMjZCysO0</t>
  </si>
  <si>
    <t>A person is seen running along the road wearing equipment and speaking to the camera.</t>
  </si>
  <si>
    <t>The man runs around using strings as well as speaking to the camera.</t>
  </si>
  <si>
    <t>The man continues speaking while more shots are shown of him running.</t>
  </si>
  <si>
    <t>v_NttjvRpSdsI</t>
  </si>
  <si>
    <t>People are sitting in stands watching people.</t>
  </si>
  <si>
    <t>The people are in robes.</t>
  </si>
  <si>
    <t>They are doing karate moves on the floor.</t>
  </si>
  <si>
    <t>v_XCXcwMyrqYM</t>
  </si>
  <si>
    <t>A man talks about a bow he is using in front of an open field.</t>
  </si>
  <si>
    <t>The man shows how to use the bow by hitting a target in the field.</t>
  </si>
  <si>
    <t>Several vehicles drive down a road behind the field.</t>
  </si>
  <si>
    <t>Cows graze behind the road.</t>
  </si>
  <si>
    <t>The man hits his last target and walks away.</t>
  </si>
  <si>
    <t>v_JnYteBN2LDI</t>
  </si>
  <si>
    <t>A male bartender stands behind a bar in front of drinks and mixing cups.</t>
  </si>
  <si>
    <t>The man picks up a steel sup and pours its contents of ice into a glass he holds in opposite hand.</t>
  </si>
  <si>
    <t>The man then picks up a small steel shot glass and fills it with liquir.</t>
  </si>
  <si>
    <t>The man then pours the liquir into from the shot glass into the glass cup with ice.</t>
  </si>
  <si>
    <t>The man picks up another glass with red juice inside and pours it into the glass with ice before setting back down.</t>
  </si>
  <si>
    <t>The man pours the cup with all the liquids into a mixing cup then uses it to cap and shake the mixer.</t>
  </si>
  <si>
    <t>The man stops shaking and sepperates the two cups, setting them back on the counter.</t>
  </si>
  <si>
    <t>The man grabs a third empty glass and moves it to the opposite side of the counter.</t>
  </si>
  <si>
    <t>The man picks up the mixer and pours its contents into the empty glass before setting it back down.</t>
  </si>
  <si>
    <t>The man then adds a staw and miniature umbrella into the drink for decoration before holding up the glass.</t>
  </si>
  <si>
    <t>v_NsYBZUTzgDw</t>
  </si>
  <si>
    <t>A woman lifts up a cat from the table and sits down with it in her lap.</t>
  </si>
  <si>
    <t>The woman uses trimming scissors to cut the cats claws.</t>
  </si>
  <si>
    <t>v_43j1BAyP6Q0</t>
  </si>
  <si>
    <t>An unseen person navigates several Amazon dot com pages on exercise equipment.</t>
  </si>
  <si>
    <t>An Amazon page showing an exercise machine alone is shown, followed by another image of a Amazon page showing a woman using an exercise machine along with a price and information about the equipment.</t>
  </si>
  <si>
    <t>Another page showing a eliptical trainer is shown in which an active computer mouse is navigating the review for the item at which point another model elliptical trainer on another page is shown.</t>
  </si>
  <si>
    <t>v_HeHQxObROwQ</t>
  </si>
  <si>
    <t>A woman is spreading shaving cream on another woman's legs.</t>
  </si>
  <si>
    <t>She puts her hands under water and begins to shave the woman's legs for her.</t>
  </si>
  <si>
    <t>She starts from bottom to top of the leg and continues that motion.</t>
  </si>
  <si>
    <t>The video is very unsteady, but the woman continues to shave her friends leg.</t>
  </si>
  <si>
    <t>v_tjuYS-6UC_M</t>
  </si>
  <si>
    <t>A pinata hangs from a tree, as a group of girls stand in front of it.</t>
  </si>
  <si>
    <t>One has a stick and is blindfolded.</t>
  </si>
  <si>
    <t>She hits the pinata, then walks away.</t>
  </si>
  <si>
    <t>v_MGF7I9aCPPM</t>
  </si>
  <si>
    <t>A woman in a pink shirt is riding a cycle bike.</t>
  </si>
  <si>
    <t>She is then doing push ups on the ground.</t>
  </si>
  <si>
    <t>She does sit ups on the ground.</t>
  </si>
  <si>
    <t>v_NnEUVHhtLZs</t>
  </si>
  <si>
    <t>a man is seated, talking to a talk show host.</t>
  </si>
  <si>
    <t>They are animated as they speak to one another.</t>
  </si>
  <si>
    <t>They continue talking, then the host presents the man with a gift.</t>
  </si>
  <si>
    <t>v_zCI36lTmBqY</t>
  </si>
  <si>
    <t>A man is sitting inside on a chair inhaling from a pipe that looked like it was an oboe.</t>
  </si>
  <si>
    <t>He takes the hose out of his mouth and start to exhale forming O's in the air.</t>
  </si>
  <si>
    <t>He starts to blow his smoke in a container and makes some really cool circles i have never seen anything like it.</t>
  </si>
  <si>
    <t>It's pretty cool how he is forming the o's, just relaxing and enjoy simple fun.</t>
  </si>
  <si>
    <t>v_LmWcpkqUurg</t>
  </si>
  <si>
    <t>A man stands at the front of his minivan and shows it.</t>
  </si>
  <si>
    <t>The man leans on the tailgate of his van and shows storage cargo features inside.</t>
  </si>
  <si>
    <t>The man assembles together poles.</t>
  </si>
  <si>
    <t>The man sits in the drivers seat of the van and places the rod frame into a socket and twists it around.</t>
  </si>
  <si>
    <t>The man adjusts the rod and reaches under the van to remove a spare tire.</t>
  </si>
  <si>
    <t>The man removes the spare tire from its enclosure.</t>
  </si>
  <si>
    <t>The man works on installing the new tire.</t>
  </si>
  <si>
    <t>v_Si4_ER4lUME</t>
  </si>
  <si>
    <t>A young woman is seen sitting in a kayak looking to the camera.</t>
  </si>
  <si>
    <t>The girl then begins moving the paddle back and fourth.</t>
  </si>
  <si>
    <t>She pauses her paddling to laugh off into the distance.</t>
  </si>
  <si>
    <t>v_t8_XO-nWaYg</t>
  </si>
  <si>
    <t>There are two teenage boys playing and solving the Rubic's cube.</t>
  </si>
  <si>
    <t>Another small boy comes in there and takes a look at the camera.</t>
  </si>
  <si>
    <t>The teenagers are competing against each other to solve the cube.</t>
  </si>
  <si>
    <t>They both finish almost at the same time and solve the Rubic's cube.</t>
  </si>
  <si>
    <t>They proudly show off their skills in the camera.</t>
  </si>
  <si>
    <t>v_EhxFw5Eb1VE</t>
  </si>
  <si>
    <t>The male athlete is standing by the two poles, raised his arms up, then jumped on the poles with his arms, while under him, a man pull out a red beam.</t>
  </si>
  <si>
    <t>The athlete perform his exhibition on the poles, he stand on his arms while his feet and legs are extended straight up in the air, he turns around, swirl, jumped and twist around then jumped on the mat, standing straight.</t>
  </si>
  <si>
    <t>v_1BfYAuxv6Wk</t>
  </si>
  <si>
    <t>Maria is demonstrating how to make a Nyquil cocktail drink.</t>
  </si>
  <si>
    <t>She shows the ingredients required for the drink.</t>
  </si>
  <si>
    <t>She points to vodka, jagermeister and food coloring.</t>
  </si>
  <si>
    <t>She then takes a shaker and pours and vodka and the jagermeister.</t>
  </si>
  <si>
    <t>Then adds some ice in it and shakes it.</t>
  </si>
  <si>
    <t>She uses a strainer to strain the drink into a cocktail glass and places the glass on the table.</t>
  </si>
  <si>
    <t>v_ueDoskgg2yw</t>
  </si>
  <si>
    <t>There are some men shaving with Gillette shaving gel.</t>
  </si>
  <si>
    <t>There's a model whose face is completely lathered with shaving gel and he is using a blue razor to shave his face.</t>
  </si>
  <si>
    <t>Another male model also has his entire face lathered with shaving gel.</t>
  </si>
  <si>
    <t>He is also shaving his face with a blue razor.</t>
  </si>
  <si>
    <t>He shaves his cheeks and mustache area.</t>
  </si>
  <si>
    <t>He pumps out a small amount gel on his hands.</t>
  </si>
  <si>
    <t>Then shows the difference between regular foam cream and gel shaving cream and continues having.</t>
  </si>
  <si>
    <t>He then poses with a lady model who touches his face to feel his smooth skin.</t>
  </si>
  <si>
    <t>The entire Gillette shaving set is shown.</t>
  </si>
  <si>
    <t>v_sgwg1C3i-Vw</t>
  </si>
  <si>
    <t>An introduction for a canoe sporting brand appears on the screen.</t>
  </si>
  <si>
    <t>Several people are shown preparing to get their canoes into the water on a snowy day.</t>
  </si>
  <si>
    <t>Several other people get off of a bus and head toward the water.</t>
  </si>
  <si>
    <t>People are then shown doing several canoe an skiing training exercises.</t>
  </si>
  <si>
    <t>Then, in the water, people are shown canoeing and having fun.</t>
  </si>
  <si>
    <t>The video ends with the canoesport website displayed.</t>
  </si>
  <si>
    <t>v_v4KygkYPdp0</t>
  </si>
  <si>
    <t>The credits of the clip are shown.</t>
  </si>
  <si>
    <t>A person rests his hands on the top of drums.</t>
  </si>
  <si>
    <t>The person is playing the drums.</t>
  </si>
  <si>
    <t>The person claps their hands.</t>
  </si>
  <si>
    <t>The person puts his fingers together.</t>
  </si>
  <si>
    <t>v_2dFLbFsFyuY</t>
  </si>
  <si>
    <t>A woman holds a yellow ball behind her neck.</t>
  </si>
  <si>
    <t>She turns around and launches the ball onto a field.</t>
  </si>
  <si>
    <t>People run to measure the distance.</t>
  </si>
  <si>
    <t>A man in a red shirt holds a ball behind his neck.</t>
  </si>
  <si>
    <t>He turns around and launches the ball on the field.</t>
  </si>
  <si>
    <t>People run to measure the distance of it.</t>
  </si>
  <si>
    <t>Another woman holds a ball behind her neck.</t>
  </si>
  <si>
    <t>She also turns around and launches the ball onto the field.</t>
  </si>
  <si>
    <t>People then run over to measure the distance.</t>
  </si>
  <si>
    <t>She waves at the crowd.</t>
  </si>
  <si>
    <t>She then throws the ball again.</t>
  </si>
  <si>
    <t>The results then flash on the screen.</t>
  </si>
  <si>
    <t>v_zDPsJ3ECaTI</t>
  </si>
  <si>
    <t>An intro starts and begins showing a group of people.</t>
  </si>
  <si>
    <t>Various people perform a dance routine together with an instructor performing front and center.</t>
  </si>
  <si>
    <t>The routine continues with the people and instructor moving around with their arms and legs doing various movements to music.</t>
  </si>
  <si>
    <t>v_t3zAh4NBVko</t>
  </si>
  <si>
    <t>A boy and a girl are sitting behind a table.</t>
  </si>
  <si>
    <t>They begin to arm wrestle on the table.</t>
  </si>
  <si>
    <t>The man wins and smiles.</t>
  </si>
  <si>
    <t>v_mn1ozn0j7D8</t>
  </si>
  <si>
    <t>We see a couple opening title screens.</t>
  </si>
  <si>
    <t>A man is shaving with a straight razor.</t>
  </si>
  <si>
    <t>We see the man behind him and the men hug and talk.</t>
  </si>
  <si>
    <t>The man returns to shaving his face.</t>
  </si>
  <si>
    <t>We see the man in the rear again.</t>
  </si>
  <si>
    <t>The shaving man talks and we see the ending title screens.</t>
  </si>
  <si>
    <t>v_oG4zf8dAQKw</t>
  </si>
  <si>
    <t>A close up of products are shown followed by a woman open the package in front of a mirror.</t>
  </si>
  <si>
    <t>The woman puts the package into her mouth, swishes it around, then spits it out.</t>
  </si>
  <si>
    <t>v_OBbHkBVDX8Y</t>
  </si>
  <si>
    <t>A man is seen standing on stage holding an instruments in his hands.</t>
  </si>
  <si>
    <t>He then picks up the instrument and begins playing on stage.</t>
  </si>
  <si>
    <t>The man continues to play and ends looking away.</t>
  </si>
  <si>
    <t>v_jlqC3lFqxhQ</t>
  </si>
  <si>
    <t>The video begins with a backdrop of a snowy area and introduces the names of the people in the video and that it's the "Wisp Snowboard Trip 2014.</t>
  </si>
  <si>
    <t>The video then goes into numerous various different segments of a bunch of different people snowboarding while doing tricks either in the daytime or nighttime and at various different locations.</t>
  </si>
  <si>
    <t>The outro goes to gray and then fade to black.</t>
  </si>
  <si>
    <t>v_ZJCbT3300OA</t>
  </si>
  <si>
    <t>A large intertube is shown on the screen.</t>
  </si>
  <si>
    <t>A bunch of sledders get on the tubes.</t>
  </si>
  <si>
    <t>They ride them down a steep hill together.</t>
  </si>
  <si>
    <t>v_QxsELAtsSWE</t>
  </si>
  <si>
    <t>A female news anchor introduces a story.</t>
  </si>
  <si>
    <t>A female news reporter speaks to a fitness instructor inside a gym, where cyclists are riding fitness bikes.</t>
  </si>
  <si>
    <t>Exercises such as yoga and bicycling are demonstrated by those in the gym.</t>
  </si>
  <si>
    <t>The female news reporter continues talking to the fitness instructor.</t>
  </si>
  <si>
    <t>She speaks to the anchor back in the studio.</t>
  </si>
  <si>
    <t>v_eL0LrJio1XE</t>
  </si>
  <si>
    <t>A bike stands on a bumpy unpaved road.</t>
  </si>
  <si>
    <t>People rides bikes very fast in the road and giving high jumps when passing the bumpy part of the road.</t>
  </si>
  <si>
    <t>The shadows of a biker cast on the bumpy road.</t>
  </si>
  <si>
    <t>v_iM-HdlplAhw</t>
  </si>
  <si>
    <t>A child is seen handing onto a set of monkey bars while children running around.</t>
  </si>
  <si>
    <t>The girl then begins climbing across the set of monkey bars.</t>
  </si>
  <si>
    <t>She climbs all the way to the end and jumps off the side.</t>
  </si>
  <si>
    <t>v_CNH37tJNzFE</t>
  </si>
  <si>
    <t>A close up of a gear shaft is seen following by someone opening a trunk and pulling a tire out.</t>
  </si>
  <si>
    <t>The person puts a jack under the car and begins unscrewing the tire and taking it off.</t>
  </si>
  <si>
    <t>The person puts a new tire on and screws it in place while taking off the jack and putting the hubcap back on.</t>
  </si>
  <si>
    <t>v_DLJqhYP-C0k</t>
  </si>
  <si>
    <t>The opening credits are shown for a video about bowling.</t>
  </si>
  <si>
    <t>The video then shows several bowlers doing bowling tricks at a bowling alley.</t>
  </si>
  <si>
    <t>A credit comes onto the screen introducing the grad finale trick.</t>
  </si>
  <si>
    <t>A man throws the ball and simultaneously throws himself down the alley as well.</t>
  </si>
  <si>
    <t>The closing credits then com onto the screen to end the video.</t>
  </si>
  <si>
    <t>v_nMTyJxJIZUs</t>
  </si>
  <si>
    <t>A small child paints another individual's fingernails.</t>
  </si>
  <si>
    <t>The other individual examines the nails.</t>
  </si>
  <si>
    <t>v_rt1kYX3slRI</t>
  </si>
  <si>
    <t>A man mounts a beam in front of a crowd.</t>
  </si>
  <si>
    <t>The gymnast begins to drop, lift, hold, and spin in circles on the high beams for the crowd.</t>
  </si>
  <si>
    <t>He dismounts gracefully, raising his arms to the crowd before walking away.</t>
  </si>
  <si>
    <t>v_Cy56IkwsQVs</t>
  </si>
  <si>
    <t>Several young people, talk and laugh while standing around a table covered in beer cans and blue plastic cups.</t>
  </si>
  <si>
    <t>A young man stands around a table in a room talking to two two women and some more men, occasionally laughing and smiling.</t>
  </si>
  <si>
    <t>A small white balls is thrown across the table as the people attempt to throw the balls in the blue cups from across the table.</t>
  </si>
  <si>
    <t>In the final moments of the clip a ball flies across the table and the men react in a triumphant way throwing their arms in the air in celebration.</t>
  </si>
  <si>
    <t>v_Sw7iRtHxMSs</t>
  </si>
  <si>
    <t>A group of young men poses and goofs around in front of a table full of red cups.</t>
  </si>
  <si>
    <t>A young man in black puts two shot glasses down on the table.</t>
  </si>
  <si>
    <t>Another group of young men sit in chairs outside.</t>
  </si>
  <si>
    <t>A young man in grey bounces a ball on the table and in to one of the cups and celebrates with the young man next to him.</t>
  </si>
  <si>
    <t>A young man in black bounces a ball toward the cups but misses.</t>
  </si>
  <si>
    <t>Another man holds his hand up next to the cups.</t>
  </si>
  <si>
    <t>The two men that bounced the balls at the cups clink the shot glasses together and then drink the shot.</t>
  </si>
  <si>
    <t>A young man in black pats the back of the young man in grey.</t>
  </si>
  <si>
    <t>The young man in grey drinks from one of the red cups on the table while the young man in black pretends to punch him.</t>
  </si>
  <si>
    <t>Another young man rearranges the remaining cups on the table.</t>
  </si>
  <si>
    <t>The young man in grey and the young man in black fist bump.</t>
  </si>
  <si>
    <t>v_3gsF785TAmg</t>
  </si>
  <si>
    <t>A game of volleyball is being played between blue and yellow team.</t>
  </si>
  <si>
    <t>The yellow team servies the ball and it is hit continually back and forth until the yellow team scores a point.</t>
  </si>
  <si>
    <t>A player on the yellow team falls and the players on each team assist her.</t>
  </si>
  <si>
    <t>They take her shoe and sock off and massage her leg.</t>
  </si>
  <si>
    <t>Two people proceed to pick her up with the help of a third and take her off the court and lay her down to the side to continue care.</t>
  </si>
  <si>
    <t>v_awv0jtZpeoo</t>
  </si>
  <si>
    <t>A man in a red shirt is working out an an exercise machine.</t>
  </si>
  <si>
    <t>A woman in a purple shirt walks behind him.</t>
  </si>
  <si>
    <t>Two people are talking to each other behind him.</t>
  </si>
  <si>
    <t>v_0QyHaXliXKs</t>
  </si>
  <si>
    <t>A large group of people are seen holding up flags and walking in a circle while many others watch on the sides.</t>
  </si>
  <si>
    <t>Two people are then seen walking up to the circle and lead into a wrestling match between the two.</t>
  </si>
  <si>
    <t>One man bows to the other and the winner walks away from the stage.</t>
  </si>
  <si>
    <t>v_ak8MVjE2p3Y</t>
  </si>
  <si>
    <t>There's a man sitting on a busy city street wearing a turban and smoking a cigarette.</t>
  </si>
  <si>
    <t>There are several people walking past him.</t>
  </si>
  <si>
    <t>He continues to smoke the cigarette as he inhales and exhales the smoke.</t>
  </si>
  <si>
    <t>There is a lot of traffic on the street as well as many people walking on the street.</t>
  </si>
  <si>
    <t>v_CvhSPJ0sBCk</t>
  </si>
  <si>
    <t>Two people are shown parasailing together across ocean water.</t>
  </si>
  <si>
    <t>They move their sails around as they go.</t>
  </si>
  <si>
    <t>v_iDz8nKDpumY</t>
  </si>
  <si>
    <t>Two people are seen riding on skis behind a boat with one person having a child on their shoulders.</t>
  </si>
  <si>
    <t>The people all hang onto one another while the young child climbs on top of them and falls off in the end.</t>
  </si>
  <si>
    <t>v_OH5UXwa3F7E</t>
  </si>
  <si>
    <t>We see an opening screen and a man runs and does a high jump at fifteen feet.</t>
  </si>
  <si>
    <t>We see a man jump the high jump on a track at various height with lots of cut scenes.</t>
  </si>
  <si>
    <t>We see seventeen and a still of the man.</t>
  </si>
  <si>
    <t>We see fifteen nine scroll across the screen.</t>
  </si>
  <si>
    <t>We see a series of still of the man and sixteen six.</t>
  </si>
  <si>
    <t>Seventeen two scrolls across the screen.</t>
  </si>
  <si>
    <t>We see seventeen nine scroll across the screen.</t>
  </si>
  <si>
    <t>We then see the ending credits.</t>
  </si>
  <si>
    <t>v_iGuOr5KwLQ0</t>
  </si>
  <si>
    <t>A man in a toga skates on rollerblades in a parking lot.</t>
  </si>
  <si>
    <t>A person holding a camera is standing to the side watching the man on rollerblades.</t>
  </si>
  <si>
    <t>v_dvzwVrZkDiI</t>
  </si>
  <si>
    <t>A small child is seen looking up at the camera holding a coffee cup.</t>
  </si>
  <si>
    <t>The girl takes a drink out of the cup and puts it back down.</t>
  </si>
  <si>
    <t>She continues drinking out of the container and looks up to the camera.</t>
  </si>
  <si>
    <t>v_ITyNMYw_pxc</t>
  </si>
  <si>
    <t>Two men are seen standing before a game of darts and begin throwing darts onto the board.</t>
  </si>
  <si>
    <t>The men look back and laugh with one another while still playing.</t>
  </si>
  <si>
    <t>The continue to play with others around them and end by shaking hands with another.</t>
  </si>
  <si>
    <t>v_lVXgy-JU14Q</t>
  </si>
  <si>
    <t>The woman in black uniform threw the javelin ball.</t>
  </si>
  <si>
    <t>The small woman with yellow shirt and black sleeves threw the ball.</t>
  </si>
  <si>
    <t>The woman in white shirt and black pants stretched for a bit then threw the ball.</t>
  </si>
  <si>
    <t>The athletes one by one threw the javelin ball while on the sides are people who measures how far the it was thrown.</t>
  </si>
  <si>
    <t>v_my4UPLGI6w4</t>
  </si>
  <si>
    <t>There's a man coming out of his garage with an electrical leaf blower.</t>
  </si>
  <si>
    <t>He begins blowing the leaves off of his yard for fall cleanup.</t>
  </si>
  <si>
    <t>He walks around his yard with the blower as he cleans the leaves.</t>
  </si>
  <si>
    <t>v_NRdxsuSCJyM</t>
  </si>
  <si>
    <t>A scuba diver holds onto a rock as he throws a peace sign in the air.</t>
  </si>
  <si>
    <t>The man lets go of the rock and puts up two peace signs in the air.</t>
  </si>
  <si>
    <t>The man fixes his snorkel and goggles.</t>
  </si>
  <si>
    <t>v_kMsWDe0V1Xg</t>
  </si>
  <si>
    <t>Blue lights light up a stage.</t>
  </si>
  <si>
    <t>A man's silhouette is visible and we see the arena in blue light.</t>
  </si>
  <si>
    <t>The man on stage plays lit in a red light.</t>
  </si>
  <si>
    <t>We see the arena in blue and the sax player in red.</t>
  </si>
  <si>
    <t>We see another member of the band.</t>
  </si>
  <si>
    <t>We see the man on the saxophone playing close and far.</t>
  </si>
  <si>
    <t>We see the whole arena and the man playing close.</t>
  </si>
  <si>
    <t>We pan from the man out to the audience.</t>
  </si>
  <si>
    <t>v_x4DuEusRR7Q</t>
  </si>
  <si>
    <t>A person is seen swimming the depths of a pool floor.</t>
  </si>
  <si>
    <t>The man comes up before the camera, his face showing.</t>
  </si>
  <si>
    <t>He then swims slowly back toward the surface.</t>
  </si>
  <si>
    <t>v_Ufm19cvrxGs</t>
  </si>
  <si>
    <t>A set of instruction is seen with diagrams.</t>
  </si>
  <si>
    <t>A man uses a tool to repair individual links of a bike chain.</t>
  </si>
  <si>
    <t>The bike chain is fastened back together on the bike gears using a specialized tool.</t>
  </si>
  <si>
    <t>The person inspects the newly replaced chain by hand.</t>
  </si>
  <si>
    <t>The person points to different areas on the bike gearing with the bike on the rack after the job is complete.</t>
  </si>
  <si>
    <t>v_uz4Tb2RG1tY</t>
  </si>
  <si>
    <t>A chef is seen speaking to the camera holding up a knife as well as a sharpener.</t>
  </si>
  <si>
    <t>The man then sharpens the knife on a board on the table as well as on the sharpener.</t>
  </si>
  <si>
    <t>v_M_LSDRzVN38</t>
  </si>
  <si>
    <t>A blindfolded young woman swings a stick around wildly as a man holds a piñata high above her head on a string at a birthday party.</t>
  </si>
  <si>
    <t>Then woman swings a few more times as the man brings the piñata up and down with the attached string and as she does this knocks a piece of the piñata off and a few kids gather round her to see if any candy fell out.</t>
  </si>
  <si>
    <t>The woman feels for the piñata a few times with the stick, but does not swing as kids continue to look up in amazement.</t>
  </si>
  <si>
    <t>v_dFSGN8U8EnA</t>
  </si>
  <si>
    <t>Various shots are shown of women putting lotion on themselves on a beach while the camera pans around from several sides.</t>
  </si>
  <si>
    <t>More shots are shown of women in various angles rubbing lotion all over their bodies and looking off into the distance seductively.</t>
  </si>
  <si>
    <t>v_1fF1OQtpctg</t>
  </si>
  <si>
    <t>A cheer-leading team begins to hold up posters as their mascot runs behind them.</t>
  </si>
  <si>
    <t>They then begin to do a routine and some of the girls run with streamers as the rest of them hold up the girls for their stunt.</t>
  </si>
  <si>
    <t>The stunt is finished and the retreat back to their original position and begin doing cartwheels and other tricks and stunts along with their mascot.</t>
  </si>
  <si>
    <t>As the routine continues,more stunts are performed and the Tiger mascot continues to cheer with the girls.</t>
  </si>
  <si>
    <t>v_SnBTp7iV2kE</t>
  </si>
  <si>
    <t>A boy and a man take turns playing billiards while a crowd watches.</t>
  </si>
  <si>
    <t>The man wipes his face with a towel.</t>
  </si>
  <si>
    <t>The boy wins and the crowd cheers.</t>
  </si>
  <si>
    <t>Several men pick up the boy in celebration.</t>
  </si>
  <si>
    <t>The winning shot is replayed in slow motion.</t>
  </si>
  <si>
    <t>v_OqajYZVt1Wc</t>
  </si>
  <si>
    <t>A women is seen holding a thread of string in her hands and begins knitting the string with her hands.</t>
  </si>
  <si>
    <t>She continues threading the string with her hands and ends by holding the thread up to show.</t>
  </si>
  <si>
    <t>v_xlTKV-3QSW8</t>
  </si>
  <si>
    <t>A man sitting in a raft in water talks to the camera.</t>
  </si>
  <si>
    <t>The man demonstrates techniques while talking to the camera.</t>
  </si>
  <si>
    <t>The man rafts downstream while paddling.</t>
  </si>
  <si>
    <t>v_62h9hnNTKWM</t>
  </si>
  <si>
    <t>Alexandra Raisman from Massachusetts is seen wearing purple leotards, getting ready to do gymnastics on the horse bar.</t>
  </si>
  <si>
    <t>She jumps right onto the horse bar and does some front and back flips.</t>
  </si>
  <si>
    <t>Then she does some back hand springs on the horse bar.</t>
  </si>
  <si>
    <t>she swiftly jumps on the horse bar while maintaining complete control over body and balance.</t>
  </si>
  <si>
    <t>She does a final back flip and a front flip and then, gets off the horse bar.</t>
  </si>
  <si>
    <t>The spectators cheer for her as she walks away.</t>
  </si>
  <si>
    <t>v_bQ3yPbCICRg</t>
  </si>
  <si>
    <t>A man is seen bending over a bang in the middle of drummers.</t>
  </si>
  <si>
    <t>The people hit the drums continuously while the camera pans around.</t>
  </si>
  <si>
    <t>The men drum while the camera pans around them.</t>
  </si>
  <si>
    <t>v_4innF37ifyY</t>
  </si>
  <si>
    <t>A news man is speaking in front of a group of people.</t>
  </si>
  <si>
    <t>A man is shown on a diving board high atop a cliff.</t>
  </si>
  <si>
    <t>He dives, jumping into the shallow waters below.</t>
  </si>
  <si>
    <t>v_4fEY6zIq8bQ</t>
  </si>
  <si>
    <t>The man is plastering the wall.</t>
  </si>
  <si>
    <t>The man bend over then continue to plaster the wall.</t>
  </si>
  <si>
    <t>The man cover the wall with pink plaster until the whole wall is covered.</t>
  </si>
  <si>
    <t>v_Launtf-qjDM</t>
  </si>
  <si>
    <t>A man with a orange shirt and blue gloves is shown operating a fire torch machine.</t>
  </si>
  <si>
    <t>Two more people are shown and and a close up is pictured.</t>
  </si>
  <si>
    <t>Lastly,the camera pans out on a man standing up torching away at a machine.</t>
  </si>
  <si>
    <t>v_bY0bGFJ-k1U</t>
  </si>
  <si>
    <t>A close up of a hand is seen that pans out to a man putting gloves on.</t>
  </si>
  <si>
    <t>The man then assembles a torch and begins burning a piece of metal in front of him.</t>
  </si>
  <si>
    <t>The man continues to work and hammer objects as well as sand it on the side.</t>
  </si>
  <si>
    <t>v_eW5W8dVB_I4</t>
  </si>
  <si>
    <t>Two men are standing on the side of the court holding basketball.</t>
  </si>
  <si>
    <t>The men are giving interview, talking to the camera, while one man is talking the other man is listening, then vice versa.</t>
  </si>
  <si>
    <t>The man went to the basket dribble to the ball, the men ran to the basket and shot the ball.</t>
  </si>
  <si>
    <t>v_G5mKcPzVMG4</t>
  </si>
  <si>
    <t>A man in gray shirt and cap is sitting next to a boat motor, while behind him is a woman riding a surfboard, and holding a harness attached to the boat.</t>
  </si>
  <si>
    <t>As the woman moving the dolphins started to swim with her, the dolphins' fins are visible as they swim up and down.</t>
  </si>
  <si>
    <t>v_ITGlho0dw-k</t>
  </si>
  <si>
    <t>We see an opening title screen.</t>
  </si>
  <si>
    <t>We see a lady putting sunscreen on in a bathroom and on the beach.</t>
  </si>
  <si>
    <t>We see a title screen and see the lady buy her sunscreen and another title screen.</t>
  </si>
  <si>
    <t>The lady throws a way a bottle and looks on her phone before going to the bathroom and putting sunscreen on.</t>
  </si>
  <si>
    <t>We see a title screen and the lady applies sunscreen and a friend puts some on her back.</t>
  </si>
  <si>
    <t>The lady puts on sunscreen on the beach and her friend run on the beach.</t>
  </si>
  <si>
    <t>We see a title screen and the ending screen.</t>
  </si>
  <si>
    <t>v_YizcSEo0bTo</t>
  </si>
  <si>
    <t>A group of kids are inside a building.</t>
  </si>
  <si>
    <t>They are all riding bumper cars around a track.</t>
  </si>
  <si>
    <t>They bump and slam into each other.</t>
  </si>
  <si>
    <t>v_44r5SAczrOg</t>
  </si>
  <si>
    <t>A person is solving a cube puzzle spinning the pieces to match the colors.</t>
  </si>
  <si>
    <t>When, the person match all the color, points the table and puts the cube puzzle on it.</t>
  </si>
  <si>
    <t>v_KpOSIph2hHw</t>
  </si>
  <si>
    <t>We see a GoPro opening screen.</t>
  </si>
  <si>
    <t>We see a lady walking with a raft into a river.</t>
  </si>
  <si>
    <t>We see people riding rafts in the river.</t>
  </si>
  <si>
    <t>We see a mans's legs and the lady rides past.</t>
  </si>
  <si>
    <t>We see the lady handing a beverage in a can to the cameraman.</t>
  </si>
  <si>
    <t>The cameraman goes under a branch that is across the water.</t>
  </si>
  <si>
    <t>We then see the GoPro ending scene.</t>
  </si>
  <si>
    <t>v_fHEUdQY1cdc</t>
  </si>
  <si>
    <t>Several people are seen running down the road around a bull with some holding sticks in their hands.</t>
  </si>
  <si>
    <t>The people crowd around the bull waving sticks and follow the bull around as he gets angry.</t>
  </si>
  <si>
    <t>Another bull is shown and the two fight while the people stand and cheer on the sides.</t>
  </si>
  <si>
    <t>v_8i2lkdpB2w0</t>
  </si>
  <si>
    <t>People are sitting in row boats in the water.</t>
  </si>
  <si>
    <t>A man is standing up in a red row boat.</t>
  </si>
  <si>
    <t>A boat flips over and the camera goes into the water.</t>
  </si>
  <si>
    <t>Two people standing on a dock lift their boat out of the water.</t>
  </si>
  <si>
    <t>v_QlCA9f1WD84</t>
  </si>
  <si>
    <t>A painter applies plaster to a wall using a wide flat edge tool.</t>
  </si>
  <si>
    <t>The man moves electrical wire handing on the while to plaster around it.</t>
  </si>
  <si>
    <t>Other rooms of the house are seen in different stages of completeness.</t>
  </si>
  <si>
    <t>v_2yjRePOzYq4</t>
  </si>
  <si>
    <t>A man skips on a truck signed with white lines, when he arrives to the third line jumps high and lands in the sandbox.</t>
  </si>
  <si>
    <t>The playback of a man performing long jump is show several times.</t>
  </si>
  <si>
    <t>v_3l7quTy4c2s</t>
  </si>
  <si>
    <t>A cheerleader girl stands in the grass.</t>
  </si>
  <si>
    <t>A young man wearing baseball hat greats her with a pie tin and jokes with her.</t>
  </si>
  <si>
    <t>The man pushes a pie tin in the girls face as a joke getting her very messy.</t>
  </si>
  <si>
    <t>A girl in gymnastics class does tumbling down a red mat with team looking on.</t>
  </si>
  <si>
    <t>A woman cheerleader boxes with a mascot during a football game.</t>
  </si>
  <si>
    <t>The mascot engulfs the girl and pulls her into his uniform.</t>
  </si>
  <si>
    <t>A cheer leading group comes together in a circle holding hands and flip team members when one falls to the ground.</t>
  </si>
  <si>
    <t>A group of cheerleaders in black to back flips on a track of football field.</t>
  </si>
  <si>
    <t>A group of girls hoist up[ a teammate to do a human pyramid.</t>
  </si>
  <si>
    <t>The teammate falls to the ground and lands on top of others.</t>
  </si>
  <si>
    <t>A man in Hawaiian shirt sets up a trampoline during a basketball competition.</t>
  </si>
  <si>
    <t>A group of cheerleaders hold up a woman together in front of the trampoline.</t>
  </si>
  <si>
    <t>The man comes back running and jumps on the trampoline but knocks the girl over while performing his stunt.</t>
  </si>
  <si>
    <t>A group of cheerleaders in red do somersaults on the field when one falls down.</t>
  </si>
  <si>
    <t>A cheerleader girl in black does a back hand spring and falls to the ground.</t>
  </si>
  <si>
    <t>A group of cheerleaders dance together with pom poms.</t>
  </si>
  <si>
    <t>Another group of cheerleaders in the background lift up teammates when one falls over.</t>
  </si>
  <si>
    <t>A group of cheerleaders in blue lift up teammates in competition when one falls to the ground.</t>
  </si>
  <si>
    <t>A girl in white shirt talks to the camera.</t>
  </si>
  <si>
    <t>the girl does a summersault but falls to the ground.</t>
  </si>
  <si>
    <t>A girl in green shirt with friends does a high kick on a field but falls to the ground.</t>
  </si>
  <si>
    <t>A cheerleader falls to the ground while dancing with group.</t>
  </si>
  <si>
    <t>A cheerleader is lifted up into the hands of team when she falls to the ground.</t>
  </si>
  <si>
    <t>A group of cheerleaders in yellow lift temmate in a pyramid but drop her.</t>
  </si>
  <si>
    <t>A group of women jump from a trampoline and do slam dunks during basketball competition.</t>
  </si>
  <si>
    <t>One girl misses the trampoline and runs into the mat.</t>
  </si>
  <si>
    <t>Men from the basketball team rush over to check on her.</t>
  </si>
  <si>
    <t>v_UF2v4emX7rc</t>
  </si>
  <si>
    <t>A group of men in masks are gathered around targets.</t>
  </si>
  <si>
    <t>They are holding paint guns as they run across the field.</t>
  </si>
  <si>
    <t>They hide behind obstacles, shooting at each other.</t>
  </si>
  <si>
    <t>v_nKnsvy7-wAI</t>
  </si>
  <si>
    <t>A man is seen running down the street holding a box and speaking to another.</t>
  </si>
  <si>
    <t>The man then plays a game with a small girl and bows after each game.</t>
  </si>
  <si>
    <t>The two continue to play with the man laughing at the camera and him giving her a kiss in the end.</t>
  </si>
  <si>
    <t>v_8vcO5DRxP6c</t>
  </si>
  <si>
    <t>A man picks up a ball and puts it behind his neck and throws it onto the field.</t>
  </si>
  <si>
    <t>Another man in a blue shirt picks up a ball and puts it behind his ear and throws it onto the field.</t>
  </si>
  <si>
    <t>People measure the distance on the field.</t>
  </si>
  <si>
    <t>The man puts on a white t shirt and puts his arms in the air.</t>
  </si>
  <si>
    <t>Another man launches a ball onto the field.</t>
  </si>
  <si>
    <t>v_YZJghuPmff8</t>
  </si>
  <si>
    <t>A woman holds the back section of a girls hair while she gets ready to style it.</t>
  </si>
  <si>
    <t>The woman uses a single pick comb to separate strands of hair.</t>
  </si>
  <si>
    <t>The woman clips back sections of hair.</t>
  </si>
  <si>
    <t>The woman pulls on strands of hairs to get them straightened out.</t>
  </si>
  <si>
    <t>The woman braids them the strands of hair together.</t>
  </si>
  <si>
    <t>v_ol4ScGsyhbI</t>
  </si>
  <si>
    <t>An image is shown of a man posing with trophies and flexing his biceps.</t>
  </si>
  <si>
    <t>The images cut to videos, as he wins multiple arm wrestling matches and trophies.</t>
  </si>
  <si>
    <t>In the final scenes, a vast audience talks as they watch him win yet again.</t>
  </si>
  <si>
    <t>v_wZ-teiWX4mg</t>
  </si>
  <si>
    <t>man is standing in an ice rink practicing hockey.</t>
  </si>
  <si>
    <t>man is putting hockey uniform.</t>
  </si>
  <si>
    <t>v_i1llwxnI_Vo</t>
  </si>
  <si>
    <t>There are several people gathered on the street where live music is playing.</t>
  </si>
  <si>
    <t>There are couples dancing together to the music doing the Salsa style of dance.</t>
  </si>
  <si>
    <t>There are many restaurants and stores in that town square where people are gathered to see the couples dance.</t>
  </si>
  <si>
    <t>Some of the bystanders are video taping the dancers.</t>
  </si>
  <si>
    <t>The couples continue to dance till the music ends.</t>
  </si>
  <si>
    <t>One guy kisses his girlfriend on the cheek after the dance is over.</t>
  </si>
  <si>
    <t>v_8eDJXDetgGE</t>
  </si>
  <si>
    <t>A man is seen holding a stick up and leads into clips of men playing field hockey.</t>
  </si>
  <si>
    <t>Men are seen running up and down a field chasing after a ball and scoring a goal.</t>
  </si>
  <si>
    <t>Several clips are shown of people playing this game as well as celebrating with team mates.</t>
  </si>
  <si>
    <t>v_W3fKTlm1BPs</t>
  </si>
  <si>
    <t>An intro leads into a camera following around a lacrosse match and pausing to show off players movements.</t>
  </si>
  <si>
    <t>The game continues on as the people play and run around chasing a ball.</t>
  </si>
  <si>
    <t>v_j-qAgWm_Ylw</t>
  </si>
  <si>
    <t>The man in stripes shirt ran to the narrow path and hopped and jumped on the sandy ground.</t>
  </si>
  <si>
    <t>The men are jumped one by one on the sandy ground while a man and woman are holding a rake and smoothen the ground.</t>
  </si>
  <si>
    <t>Two people are holding a tape measure and measure the jump.</t>
  </si>
  <si>
    <t>v_grroBKRxAMY</t>
  </si>
  <si>
    <t>Words are shown on the screen.</t>
  </si>
  <si>
    <t>A man is talking while standing outside in front of a hill.</t>
  </si>
  <si>
    <t>The man is holding a shovel standing in front of a small tree.</t>
  </si>
  <si>
    <t>The man continues talking and then shovels out some weeds and dirt around the tree.</t>
  </si>
  <si>
    <t>He picks up rocks from around the tree.</t>
  </si>
  <si>
    <t>There is a white bucket in front of him of bark that he puts around the tree.</t>
  </si>
  <si>
    <t>v_v_UmAH95xls</t>
  </si>
  <si>
    <t>Two girls are sitting on the porch of a house while shaving their legs.</t>
  </si>
  <si>
    <t>A boy walks out and looks before walking away.</t>
  </si>
  <si>
    <t>The girls continue soaping up and shaving.</t>
  </si>
  <si>
    <t>v_aA6Bchzww4Y</t>
  </si>
  <si>
    <t>A man uses a mallet to chip ice off of a car while it is snowing outside and a man videos him from behind.</t>
  </si>
  <si>
    <t>A man in a black winter coat and gloves uses a mallet to chip ice off of an ice covered car in the snow.</t>
  </si>
  <si>
    <t>The man then takes his car keys and tries to open the trunk which is frozen and requires tugging to open.</t>
  </si>
  <si>
    <t>The man continues to slam at the ice on the car with the mallet as the ice chips off in chunks.</t>
  </si>
  <si>
    <t>The man tries to open his trunk again, this time the opening is easier and the man climbs into the trunk of the car to the front of the car to open the drivers door from the inside drivers seat.</t>
  </si>
  <si>
    <t>v_nrC41oAR-F0</t>
  </si>
  <si>
    <t>A large mat is seen with a bar on top and two people watching on the sides.</t>
  </si>
  <si>
    <t>A man is then seen running in from the side.</t>
  </si>
  <si>
    <t>The man jumps over the beam and stands up on the mat.</t>
  </si>
  <si>
    <t>v_o9gsbkp135s</t>
  </si>
  <si>
    <t>A person is shown outside brushing snow off of a car with lights on.</t>
  </si>
  <si>
    <t>The man walks around the car pushing more of the snow off and shutting the door.</t>
  </si>
  <si>
    <t>v_5MjAgMF_FzA</t>
  </si>
  <si>
    <t>A black screen with a white title appears.</t>
  </si>
  <si>
    <t>A cook is in front of a professional stove putting seasoning into a metal pan and warming a pan over a gas lit blue flame.</t>
  </si>
  <si>
    <t>The cook now scoops a large portion of mixed egg from a large metal pot into the small metal pan.</t>
  </si>
  <si>
    <t>He begins to whisk the egg mixture with two wooden sticks, holding the pan over the burner.</t>
  </si>
  <si>
    <t>When the egg is almost fully cooked, the man begins to shape the egg inside of the pan with the wooden sticks in the shape of an omelet.</t>
  </si>
  <si>
    <t>He rolls the omelet back and forth in the pan.</t>
  </si>
  <si>
    <t>End black screen and a blue word.</t>
  </si>
  <si>
    <t>v_feio1hW6Dy0</t>
  </si>
  <si>
    <t>A close up of ballet shoes are shown followed by a woman putting them on and moving around in a bedroom.</t>
  </si>
  <si>
    <t>She moves her arms and feet in the point shoes and whips her hair all around the room.</t>
  </si>
  <si>
    <t>v_3VzXH3o88mw</t>
  </si>
  <si>
    <t>A person is seen mixing various ingredients into a blender as well as rolling rough up into a ball and speaking to the camera.</t>
  </si>
  <si>
    <t>The man speaks to other chefs and instructs them on how to roll a ball of rough.</t>
  </si>
  <si>
    <t>He then puts the dough in a machine to make spaghetti and then puts them in a plate to present.</t>
  </si>
  <si>
    <t>v_HNBiW2Nq318</t>
  </si>
  <si>
    <t>A person is seen bending forward on a gymnastics beam while moving his hands up to keep balance.</t>
  </si>
  <si>
    <t>The man then attempts a flip but lands on his stomach and falls off, walking away in pain and his jump shown again in slow motion.</t>
  </si>
  <si>
    <t>v_USoYnMSrWv0</t>
  </si>
  <si>
    <t>Four people play Foosball at a Foosball table.</t>
  </si>
  <si>
    <t>One of the girls playing pulls an arm out of place on the table.</t>
  </si>
  <si>
    <t>The same girl reaches across the table to control an arm on the other side.</t>
  </si>
  <si>
    <t>The girl on the other side tries to stop her.</t>
  </si>
  <si>
    <t>A fifth person sits in a chair watching.</t>
  </si>
  <si>
    <t>v_JKFxKhCQPUs</t>
  </si>
  <si>
    <t>A male gymnast wearing a blue leotard is doing gymnastics on a horse bar.</t>
  </si>
  <si>
    <t>He is performing in an indoor stadium full of spectators.</t>
  </si>
  <si>
    <t>He continues to excel in doing his moves steadily on the horse bar.</t>
  </si>
  <si>
    <t>After he's done, he gets off the bar and one of the coaches hugs him as the crowd cheers for him.</t>
  </si>
  <si>
    <t>v__ekWWP0dQZM</t>
  </si>
  <si>
    <t>A ballerina is shown in class warming up her feet and walking away crying.</t>
  </si>
  <si>
    <t>Various actors talk to the camera about filming a movie about ballet and the moves they learned.</t>
  </si>
  <si>
    <t>The ballerinas are moving around the set while the camera is rolling.</t>
  </si>
  <si>
    <t>The actors continue talking about tricks and what they learned.</t>
  </si>
  <si>
    <t>A man plays the violin while the final scene is filmed and everyone is dancing.</t>
  </si>
  <si>
    <t>v_X5Bxa0OvdwI</t>
  </si>
  <si>
    <t>Various items are shown on a floor and leads into a woman holding up the products and speaking to the camera.</t>
  </si>
  <si>
    <t>She holds up her shoe and lights a match over the polish.</t>
  </si>
  <si>
    <t>She then takes a rag and runs over the boot with the polish in small circles.</t>
  </si>
  <si>
    <t>v_kdRcWkrZRZo</t>
  </si>
  <si>
    <t>A still picture of an individual's back is shown.</t>
  </si>
  <si>
    <t>Some sort of item is shown in close up.</t>
  </si>
  <si>
    <t>A man and a woman talk to the camera in a newscast setting.</t>
  </si>
  <si>
    <t>Scenes of summer beach goers are shown in a news report context.</t>
  </si>
  <si>
    <t>A man is shown walking near a boat with dogs.</t>
  </si>
  <si>
    <t>The man is shown near a grill.</t>
  </si>
  <si>
    <t>A quick cut of a the item from before is shown up close.</t>
  </si>
  <si>
    <t>The man is interviewed while seated, with a quick cut of him walking.</t>
  </si>
  <si>
    <t>The man removes his shirt.</t>
  </si>
  <si>
    <t>More close up scenes of the item are shown.</t>
  </si>
  <si>
    <t>Still images and video of skin damage are shown.</t>
  </si>
  <si>
    <t>The man talks in an indoor environment.</t>
  </si>
  <si>
    <t>Another still image of the item is shown.</t>
  </si>
  <si>
    <t>The man is interviewed seated again.</t>
  </si>
  <si>
    <t>A still screen of text is shown.</t>
  </si>
  <si>
    <t>A different man talks to the camera while a logo is shown beside him.</t>
  </si>
  <si>
    <t>A webpage about the first man is shown.</t>
  </si>
  <si>
    <t>v_1VmqefkNV_8</t>
  </si>
  <si>
    <t>A man is dancing on a stage in a yellow shirt.</t>
  </si>
  <si>
    <t>People in the audience watching him are dancing with him.</t>
  </si>
  <si>
    <t>A man walks in front of the crowd.</t>
  </si>
  <si>
    <t>v_MlGh0geYhSg</t>
  </si>
  <si>
    <t>A horse kicks a man in a red shirt.</t>
  </si>
  <si>
    <t>A girl in a grey shirt gets thrown off a horse.</t>
  </si>
  <si>
    <t>A man riding a horse gets bucked off.</t>
  </si>
  <si>
    <t>A horse tips over backward with a a person on it.</t>
  </si>
  <si>
    <t>A man is riding on a horse and flies off.</t>
  </si>
  <si>
    <t>A white horse misses a jump and the person falls off.</t>
  </si>
  <si>
    <t>A man gets hit by a rope while chasing a calf.</t>
  </si>
  <si>
    <t>A horse gets his head stuck in a garbage can.</t>
  </si>
  <si>
    <t>v_chLoV5zQxVA</t>
  </si>
  <si>
    <t>The words "How to Fly a Kite With No Wind" appear on a black screen.</t>
  </si>
  <si>
    <t>Man wearing a yellow t-shirt appears in a large suburban field.</t>
  </si>
  <si>
    <t>The man puts together a rainbow colored kite with long yellow tails.</t>
  </si>
  <si>
    <t>The man drives a small green mowing tractor while holding the kite's string as it flies above.</t>
  </si>
  <si>
    <t>A young lady speaks on screen and then drives the tractor while holding the flying kite.</t>
  </si>
  <si>
    <t>v_eZ_qerXno64</t>
  </si>
  <si>
    <t>A little girl is shown playing table tennis, hitting the ball extremely quickly back and forth over the net.</t>
  </si>
  <si>
    <t>Some of the balls fly past her, but she continues hitting new balls without pausing.</t>
  </si>
  <si>
    <t>v_ZT63nK4lexg</t>
  </si>
  <si>
    <t>A man walks over and chalks his hands.</t>
  </si>
  <si>
    <t>The man walks the bars, stretches and stands there.</t>
  </si>
  <si>
    <t>The man mounts the bars and begins to spin.</t>
  </si>
  <si>
    <t>The man flips and dismounts.</t>
  </si>
  <si>
    <t>The man walks away from the bars.</t>
  </si>
  <si>
    <t>v_ioHDdIBu2go</t>
  </si>
  <si>
    <t>A woman talks, then she holds the tube of a vacuum and points the nozzle.</t>
  </si>
  <si>
    <t>The woman vacuum dirt on a carpet, then she extends the tube while explaining.</t>
  </si>
  <si>
    <t>Then, the woman puts a small nozzle and vacuum a couch, then she explains how to remove the dust container.</t>
  </si>
  <si>
    <t>The woman continues explaining next to the vacuum.</t>
  </si>
  <si>
    <t>v_mqUJEX9qk8E</t>
  </si>
  <si>
    <t>two men are riding horses in a dusty field in mountains.</t>
  </si>
  <si>
    <t>men and a woman wearing Kufiyyas on their heads are standing on dessert next to horses.</t>
  </si>
  <si>
    <t>dessert with mountains in the distance is shown and the men are standing next to a kids ride the horses adn are going in the desert.</t>
  </si>
  <si>
    <t>v_eGW0rygfcrg</t>
  </si>
  <si>
    <t>A man and a woman are standing in a bar.</t>
  </si>
  <si>
    <t>We see the man and a woman ballroom dancing.</t>
  </si>
  <si>
    <t>The lady kicks her leg out behind and in front of her.</t>
  </si>
  <si>
    <t>We zoom in on the legs of the dancers.</t>
  </si>
  <si>
    <t>The camera goes blurry and the scene ends.</t>
  </si>
  <si>
    <t>v_kkLRLb8TGwI</t>
  </si>
  <si>
    <t>A bunch of females are shown playing a water polo match in an indoor pool.</t>
  </si>
  <si>
    <t>it appears to be a tournament as they are highly competitive and going all out.</t>
  </si>
  <si>
    <t>Various shots of the action are shown in normal motion and in slow motion.</t>
  </si>
  <si>
    <t>The match appears to be getting very tense as both teams are trying their best to score and both goalies put up great defense.</t>
  </si>
  <si>
    <t>A young girl who played in the match is then shown with her entire family as they take a picture.</t>
  </si>
  <si>
    <t>v_MsBqlgdzeag</t>
  </si>
  <si>
    <t>A man approaches a trunk standing by some dirt.</t>
  </si>
  <si>
    <t>He grabs an ax sitting on the dirt.</t>
  </si>
  <si>
    <t>He takes the ax and cuts the trunk in half.</t>
  </si>
  <si>
    <t>The trunk falls and he picks up one of the halves.</t>
  </si>
  <si>
    <t>He takes the ax to the trunk and cuts it in half.</t>
  </si>
  <si>
    <t>He stands the other trunk and cuts it in half.</t>
  </si>
  <si>
    <t>v_mb1LoOTM_NI</t>
  </si>
  <si>
    <t>Two men are standing at the table in arm wrestling position.</t>
  </si>
  <si>
    <t>A woman is positioning the men, holding their hands.</t>
  </si>
  <si>
    <t>One man without glasses is bending on the side to with his weight.</t>
  </si>
  <si>
    <t>The man with glass put down the other man's hand and won.</t>
  </si>
  <si>
    <t>v_HVfr9FnEj-Q</t>
  </si>
  <si>
    <t>Ladies are standing in a workout room.</t>
  </si>
  <si>
    <t>The ladies are belly dancing.</t>
  </si>
  <si>
    <t>The ladies dip down and toss their hair backwards.</t>
  </si>
  <si>
    <t>They swing their dipped bodies.</t>
  </si>
  <si>
    <t>The ladies dip and bend backwards.</t>
  </si>
  <si>
    <t>The ladies throw their hair back and forth.</t>
  </si>
  <si>
    <t>2:43 A man is in the room in the back and bends down.</t>
  </si>
  <si>
    <t>The ladies finish dancing and take a bow.</t>
  </si>
  <si>
    <t>v_yN3e-giBxns</t>
  </si>
  <si>
    <t>It's a nighttime outside at a horse ranch and a lot of people are standing around.</t>
  </si>
  <si>
    <t>Suddenly a horse with a man riding on him quickly starts running and there's a calf roped to the horse who is running in front of them.</t>
  </si>
  <si>
    <t>The man lassos the calf, jumps off the horse, throws the calf on its side and quickly ties it up.</t>
  </si>
  <si>
    <t>The man gets up, walks back to his horse, jumps back on and the horse slowly begins to walk as the calf is trying to stand up.</t>
  </si>
  <si>
    <t>v_uE_8WuNO7cA</t>
  </si>
  <si>
    <t>We see an opening screen with a moon.</t>
  </si>
  <si>
    <t>A lady appears holding a pumpkin.</t>
  </si>
  <si>
    <t>We see the lady in the lower left hand of the screen talking.</t>
  </si>
  <si>
    <t>We see a person open and clean a pumpkin.</t>
  </si>
  <si>
    <t>We see the person carve a drawing on a pumpkin.</t>
  </si>
  <si>
    <t>We see a person draw on the pumpkin with a black marker.</t>
  </si>
  <si>
    <t>We see the finished jack o lantern with a candle in it.</t>
  </si>
  <si>
    <t>v_IoOkg-_S4cY</t>
  </si>
  <si>
    <t>A gymnastic girl is performing balance beam.</t>
  </si>
  <si>
    <t>The girl is getting ready to get on the beam from a jump pad.</t>
  </si>
  <si>
    <t>The girl performs flawlessly on the beam.</t>
  </si>
  <si>
    <t>The girl lands on floor perfectly with a big smile.</t>
  </si>
  <si>
    <t>v_UGd9cVzHQOU</t>
  </si>
  <si>
    <t>A man is seen using a machine across a long stretch of leaves while moving up and down the lawn.</t>
  </si>
  <si>
    <t>He continues pushing the leaves around the area and moving up and down the lawn.</t>
  </si>
  <si>
    <t>v_YdenUU3g0XY</t>
  </si>
  <si>
    <t>A man introduces the topic of the video, which is how to do a smash shot in Badminton.</t>
  </si>
  <si>
    <t>He slowly demonstrates the necessary approach and form of the shot.</t>
  </si>
  <si>
    <t>We then see a player perform the shot multiple times as another person sets him up.</t>
  </si>
  <si>
    <t>v_E4ItlgO16LI</t>
  </si>
  <si>
    <t>A male gymnast in a blue outfit applies chalk dust to his hands.</t>
  </si>
  <si>
    <t>An infographic appears, showing his name to be Danell Leyva from the USA.</t>
  </si>
  <si>
    <t>He steps up to a parallel bars and waves.</t>
  </si>
  <si>
    <t>He performs his routine, executing many flips and handstands.</t>
  </si>
  <si>
    <t>He dismounts badly, falling over and landing on his back beside the mat.</t>
  </si>
  <si>
    <t>He steps back onto the mat and briefly raises his arms.</t>
  </si>
  <si>
    <t>v_BsceC-igcTY</t>
  </si>
  <si>
    <t>Hockey players walk out onto the ice, greeting each other.</t>
  </si>
  <si>
    <t>They play the game, trying to get the puck past their opponents into the goal.</t>
  </si>
  <si>
    <t>They roll around on the ice slowly.</t>
  </si>
  <si>
    <t>v_V1NtrnPz3sA</t>
  </si>
  <si>
    <t>An athletic woman is stretching with a ball and swinging her legs back and fourth.</t>
  </si>
  <si>
    <t>She throws the ball and again prepares for another throw.</t>
  </si>
  <si>
    <t>She spins around throwing the ball yet again with a third throw followed shortly after.</t>
  </si>
  <si>
    <t>She performs one last throw and spins herself around once again.</t>
  </si>
  <si>
    <t>v_2kx--bbqXHg</t>
  </si>
  <si>
    <t>Cotton balls are being set on fire and put out in various ways.</t>
  </si>
  <si>
    <t>An ax is used to put out the fire.</t>
  </si>
  <si>
    <t>A piece of wood is used to put out the fire.</t>
  </si>
  <si>
    <t>v_lHy_OZ8GygM</t>
  </si>
  <si>
    <t>A woman wash the head of a man and cuts his hair, then the woman stands next two man an touch the head of the young man.</t>
  </si>
  <si>
    <t>The woman cuts the hair of a young man using first a machine, and then a comb and scissors.</t>
  </si>
  <si>
    <t>Then, the woman dry the hair with a dryer and brush the head.</t>
  </si>
  <si>
    <t>After, the woman takes cream on her hands and comb the head of the man with her fingers to gives form to the hair.</t>
  </si>
  <si>
    <t>Next, the woman explains the hairstyle.</t>
  </si>
  <si>
    <t>v_LvRP3c5n3P8</t>
  </si>
  <si>
    <t>People walk in the hallways of a hospital, then a doctor reviews the injured leg of a man leaving green sparkles on the leg and a machine.</t>
  </si>
  <si>
    <t>Then, the man makes a call and leaves green sparkles on the phone that it is passes to the hand of a nurse that grabs the phone.</t>
  </si>
  <si>
    <t>After the nurse enters to visit a a sick man as well two doctors who carry green sparkles on their hands that leaves on the sick man.</t>
  </si>
  <si>
    <t>A person wash hand, use hand sanitizes and cleans an stethoscope to get rid off microbes.</t>
  </si>
  <si>
    <t>v_VM-ldOw7e4Y</t>
  </si>
  <si>
    <t>An athlete prepares to perform long jump in a stadium full of people, then a white male runs and jumps high to land in the sand.</t>
  </si>
  <si>
    <t>Also, three black males runs fast and jump high to perform long jump.</t>
  </si>
  <si>
    <t>Also, a white male perform long jump, as well two black men do long jumps.</t>
  </si>
  <si>
    <t>A score board shows and score, while a person stands walk away, and takes off his sweet sweater.</t>
  </si>
  <si>
    <t>A black male jumps high happy a runs celebrating his triumph.</t>
  </si>
  <si>
    <t>v_8HxMXHc8Nr0</t>
  </si>
  <si>
    <t>A screen appears with instructions how to attach an InStep bike trailer.</t>
  </si>
  <si>
    <t>A man is showing how to attach an InStep bike trailer on the back wheel of a bike.</t>
  </si>
  <si>
    <t>Then, the man continues to explain the process sitting in dining room.</t>
  </si>
  <si>
    <t>Two toddlers are sitting in a bike trailer, while the man attach the safety belts.</t>
  </si>
  <si>
    <t>v_ZN7C8n_6uH8</t>
  </si>
  <si>
    <t>A black and white filter pans over a soccer match going on in an indoor field.</t>
  </si>
  <si>
    <t>Color is then shown as more people play soccer back and fourth shown in several shots.</t>
  </si>
  <si>
    <t>v_8SCg3toperM</t>
  </si>
  <si>
    <t>A large group of people are seen running around a field playing lacrosse while others watch.</t>
  </si>
  <si>
    <t>The game continues on as people still watch them on the sides.</t>
  </si>
  <si>
    <t>They stop various times to speak to one another and continue playing the game.</t>
  </si>
  <si>
    <t>v_KSP62q7tM68</t>
  </si>
  <si>
    <t>A person is seen riding waves on the water as well as people partying at a house.</t>
  </si>
  <si>
    <t>A Dj is shown playing music as well as people dancing around and surfers surfing.</t>
  </si>
  <si>
    <t>More shots are shown of people surfing and having fun at the house.</t>
  </si>
  <si>
    <t>v_n3wYcW4mnrs</t>
  </si>
  <si>
    <t>We see an opening screen on white.</t>
  </si>
  <si>
    <t>We then see people on tube playing in a river.</t>
  </si>
  <si>
    <t>A boy in sunglasses floats past the camera.</t>
  </si>
  <si>
    <t>A boy throws a peace sign to the camera.</t>
  </si>
  <si>
    <t>People go over a waterfall in their rafts.</t>
  </si>
  <si>
    <t>We see a bunch of people jump into the water.</t>
  </si>
  <si>
    <t>v_f_mbX87xabo</t>
  </si>
  <si>
    <t>A child plays a chrome flute inside of home.</t>
  </si>
  <si>
    <t>The girl finishes the song and lowers the flute.</t>
  </si>
  <si>
    <t>v_0j9TxzwRr6E</t>
  </si>
  <si>
    <t>Two men plays foosball in an arena with two referees standing near by watching the fame.</t>
  </si>
  <si>
    <t>We see the bleacher an spectators.</t>
  </si>
  <si>
    <t>A point is scored and see people clapping and a replay and a title screen.</t>
  </si>
  <si>
    <t>The man in gray backs up and wipes sweat.</t>
  </si>
  <si>
    <t>We see the man in black speaking with the people behind him before the men return to the game.</t>
  </si>
  <si>
    <t>v_etfSrbmOvUE</t>
  </si>
  <si>
    <t>Two people climb a rock climbing wall at night in front of a narrow pool of water surrounding by a crowd of onlookers.</t>
  </si>
  <si>
    <t>The two people climb slowly up the wall, when over midway up, the person on the left falls from the wall and into the water below.</t>
  </si>
  <si>
    <t>Another race up the wall begins in which the person on the right falls off and the person on the left climbs to the top of the wall and then jumps off the wall into the water.</t>
  </si>
  <si>
    <t>In the same setting, but now during the daytime, a lone person wearing skis catapults through the air past the rock climbing wall and lands in the water below.</t>
  </si>
  <si>
    <t>v_twGoVVPO08Q</t>
  </si>
  <si>
    <t>An audience watching pans out into a large track and athletes running into a pit.</t>
  </si>
  <si>
    <t>Several people are shown running down the track while the audience claps and people speak to the camera.</t>
  </si>
  <si>
    <t>v_PQ-qpoPeqM0</t>
  </si>
  <si>
    <t>A young man pulls a wheel out and shows the proper structure of a wheel.</t>
  </si>
  <si>
    <t>He checks the current pressure for the tire and begins pumping air into the tire.</t>
  </si>
  <si>
    <t>He shows the difference between good tread and bad tread as well as when to know when to replace your tires.</t>
  </si>
  <si>
    <t>v_GVmGXTEm46s</t>
  </si>
  <si>
    <t>A close up of a sink is shown followed by a person rubbing it down with a rag from various angles.</t>
  </si>
  <si>
    <t>The sink is shown again by itself followed by water dripping down.</t>
  </si>
  <si>
    <t>v_Qx4YLntwZ5s</t>
  </si>
  <si>
    <t>We see a lady taking in a room and touching her hair.</t>
  </si>
  <si>
    <t>There is a title screen.</t>
  </si>
  <si>
    <t>The lady shows us the products and tools she uses on her hair.</t>
  </si>
  <si>
    <t>We see the lady doing her hair.</t>
  </si>
  <si>
    <t>The lady sections her hair and adds product.</t>
  </si>
  <si>
    <t>The lady twists her hair around her finger.</t>
  </si>
  <si>
    <t>The lady begin blow drys her hair.</t>
  </si>
  <si>
    <t>We see images of the ladies finished hair.</t>
  </si>
  <si>
    <t>v_D84XQFQ4tsU</t>
  </si>
  <si>
    <t>A body of water is shown.</t>
  </si>
  <si>
    <t>A person takes a lid off of a pot.</t>
  </si>
  <si>
    <t>They show a camp site with a tent.</t>
  </si>
  <si>
    <t>They put a cloth into the bucket.</t>
  </si>
  <si>
    <t>v_hJn5L1nrkL4</t>
  </si>
  <si>
    <t>There are two men playing table tennis in an indoor stadium.</t>
  </si>
  <si>
    <t>One of the players is wearing blue and the other player is in a red shirt.</t>
  </si>
  <si>
    <t>There is a person dressed in a black shirt seated near the players.</t>
  </si>
  <si>
    <t>There are several spectators seated in the stadium.</t>
  </si>
  <si>
    <t>They continue playing a rally for some time.</t>
  </si>
  <si>
    <t>The player in the red shirt misses the ball and gives his opponent a winning point.</t>
  </si>
  <si>
    <t>The player in blue cheers loudly after his winning point and breaks into a dance.</t>
  </si>
  <si>
    <t>He continues dancing and goes towards his opponent to mock him.</t>
  </si>
  <si>
    <t>He then goes back to the table tennis table.</t>
  </si>
  <si>
    <t>The man dressed on black shows the score.</t>
  </si>
  <si>
    <t>v_JTGS1YulUQw</t>
  </si>
  <si>
    <t>A close up of booklets are shown with a person flipping them open and reading.</t>
  </si>
  <si>
    <t>The woman marks a name down and peels it off to put on a sock.</t>
  </si>
  <si>
    <t>The woman then lays an iron over the name and peels off the paper to show how to properly label a gift.</t>
  </si>
  <si>
    <t>v_cEHyZzBsWnw</t>
  </si>
  <si>
    <t>A female weightlifter lifts a barbell with her legs.</t>
  </si>
  <si>
    <t>She gets it to her stomach, then pulls.</t>
  </si>
  <si>
    <t>She goes up and down, working her abdominals.</t>
  </si>
  <si>
    <t>v_uG2sRzp5Bk4</t>
  </si>
  <si>
    <t>Information about Blackjack site iis provided.</t>
  </si>
  <si>
    <t>There are two people shown playing in a casino.</t>
  </si>
  <si>
    <t>A representative from Blackjack is showing a casino gambling game.</t>
  </si>
  <si>
    <t>He lays playing cards on the table against tokens.</t>
  </si>
  <si>
    <t>There are several tokens stacked up on the table.</t>
  </si>
  <si>
    <t>He is explaining how to play the gambling game to maximize one's money.</t>
  </si>
  <si>
    <t>He puts more cards on the table and takes a hand to earn more tokens.</t>
  </si>
  <si>
    <t>Information on how to download the app is provided on the screen.</t>
  </si>
  <si>
    <t>v_abjQ1EyqJuw</t>
  </si>
  <si>
    <t>As the camera walks, it was showing the well maintained hedges, at the center of two hedges is a narrow path leading to a wider field surrounded by more hedges.</t>
  </si>
  <si>
    <t>On one side of the hedge is a man in black shirt, he is standing on a ladder, he is trimming the hedges.</t>
  </si>
  <si>
    <t>Near the man is an empty bench, on the side are more well trimmed hedges.</t>
  </si>
  <si>
    <t>v_GjjRDUirW7g</t>
  </si>
  <si>
    <t>A man is seen speaking to the camera while holding a box up to show an instrument inside.</t>
  </si>
  <si>
    <t>The man pulls out the harmonica and continues to show it off to the camera.</t>
  </si>
  <si>
    <t>The man plays the harmonica and pauses to hold it up to the screen as well as a picture.</t>
  </si>
  <si>
    <t>v_RIaNmXzBQnE</t>
  </si>
  <si>
    <t>There is a woman eating ice cream from a tub and talking to the camera man.</t>
  </si>
  <si>
    <t>And he tries to look into the tub, but she pulls it away.</t>
  </si>
  <si>
    <t>The camera person sits down to continue talking to the woman.</t>
  </si>
  <si>
    <t>She gets up and he follows her through the house as she walks into the kitchen.</t>
  </si>
  <si>
    <t>She puts the rest of the ice cream in the freezer and rinses the spoon.</t>
  </si>
  <si>
    <t>v_ZNUkzdw2EeI</t>
  </si>
  <si>
    <t>An athletic man is seen stepping up to a circle and throwing a discuss off into the distance.</t>
  </si>
  <si>
    <t>He then runs excitedly while cameras follow him and shown other athletes spinning the disk.</t>
  </si>
  <si>
    <t>More shots are shown of people celebrating and the athlete runs into the stands.</t>
  </si>
  <si>
    <t>v_oEd7WT4mVSE</t>
  </si>
  <si>
    <t>A woman is sitting at a table using a hookah while another woman makes silly faces and gestures behind her.</t>
  </si>
  <si>
    <t>They speak animatedly with the person behind the camera.</t>
  </si>
  <si>
    <t>There is a close up of the items on the table in front of them.</t>
  </si>
  <si>
    <t>The woman with the camera turns it to face herself before aiming it back toward the other women.</t>
  </si>
  <si>
    <t>One of the women coughs as a cloud of smoke hits her in the face.</t>
  </si>
  <si>
    <t>v_Lmne5ZF0McI</t>
  </si>
  <si>
    <t>man is jumping wearing stilts on a sidewalk.</t>
  </si>
  <si>
    <t>a calm green grassy field is behind the man wearinf stilts.</t>
  </si>
  <si>
    <t>man is wearing white sweater and stilts and is in a green grassy park.</t>
  </si>
  <si>
    <t>v_yinXvETACC4</t>
  </si>
  <si>
    <t>A host is seen speaking to the camera and leads into a trainer speaking with others exercising behind her.</t>
  </si>
  <si>
    <t>More shots of people exercising on bikes are shown and ends with the trainer walking through and talking.</t>
  </si>
  <si>
    <t>v_r82RY124wVY</t>
  </si>
  <si>
    <t>A woman is standing on a tennis court talking.</t>
  </si>
  <si>
    <t>She begins to play tennis on the court.</t>
  </si>
  <si>
    <t>She serves a tennis ball across the court several times.</t>
  </si>
  <si>
    <t>v_9eqfQyr3J7k</t>
  </si>
  <si>
    <t>Several people are outside in a ski resort sitting on the tubes.</t>
  </si>
  <si>
    <t>After,the three individuals in the front,are pulled down the slope and they begin to slide down.</t>
  </si>
  <si>
    <t>Once they are off,the man who pushed him down walks away and more people begin to go down.</t>
  </si>
  <si>
    <t>v_GQVqSLs2Ulg</t>
  </si>
  <si>
    <t>A man is seen holding a glass while speaking to the camera when another man walks in and begins painting the wall.</t>
  </si>
  <si>
    <t>The man continues to paint up and down the wall while the camera captures him and the other man walks away.</t>
  </si>
  <si>
    <t>v_FXN6qiDsClw</t>
  </si>
  <si>
    <t>An animation demonstrating the arc length of a welding type tool emitting heat.</t>
  </si>
  <si>
    <t>A demonstration of the tool emitting heat in real time.</t>
  </si>
  <si>
    <t>A graph illustrating the Long Arc of the tool documenting Voltage and Amperage.</t>
  </si>
  <si>
    <t>The tool is shown in real time emitting heat with a photo of a welded material.</t>
  </si>
  <si>
    <t>A graph illustrates Short Arc with the Voltage and Amperage documented.</t>
  </si>
  <si>
    <t>A man in a blue coat and orange gloves uses the arc tool.</t>
  </si>
  <si>
    <t>v_K2l7ops-tno</t>
  </si>
  <si>
    <t>A man is placing tiles on the floor.</t>
  </si>
  <si>
    <t>A woman appears, removing tiles from a box and talking about them.</t>
  </si>
  <si>
    <t>The woman kneels onto the ground, cutting and applying tiles.</t>
  </si>
  <si>
    <t>A man rolls a pressure roller over the finished floor before the woman returns, speaking about the finished product.</t>
  </si>
  <si>
    <t>v_mB90PudOrnU</t>
  </si>
  <si>
    <t>A girl is giving a small dog a bath.</t>
  </si>
  <si>
    <t>She has an orange bottle in her hand.</t>
  </si>
  <si>
    <t>v_g7IZWqeyM20</t>
  </si>
  <si>
    <t>A white intro screen appears with a red,white and black art swirl on the left side red and black words on the right that say "England Squash&amp;Racketball" and the website in black at the bottom.</t>
  </si>
  <si>
    <t>A man appears with a racket and he's talking to the camera as he hits a racketball then various small clips play afterwards that include him hitting the racketball as well as various other people playing, too.</t>
  </si>
  <si>
    <t>The outro screen appears and it's exactly like the white intro screen.</t>
  </si>
  <si>
    <t>v_T49ZxNX1DFM</t>
  </si>
  <si>
    <t>There are people throwing balls to each other in the pool.</t>
  </si>
  <si>
    <t>there are people swimming to the other side of the pool.</t>
  </si>
  <si>
    <t>v_jUPbimyUndA</t>
  </si>
  <si>
    <t>woman is walking wearing a bikini and eating a chocolate is snowy day.</t>
  </si>
  <si>
    <t>people are in sidewalk watching the girl walks.</t>
  </si>
  <si>
    <t>woman is in a restaurant wearing a bikini and two aiter are watching her.</t>
  </si>
  <si>
    <t>woman walks in a airport eating a restaurant.</t>
  </si>
  <si>
    <t>v_7lv1VOxIng4</t>
  </si>
  <si>
    <t>A little girl is putting makeup on her face.</t>
  </si>
  <si>
    <t>She puts lipstick on her lips.</t>
  </si>
  <si>
    <t>She puts mascara on her eyelashes.</t>
  </si>
  <si>
    <t>She sprays body spray on her shirt.</t>
  </si>
  <si>
    <t>She puts eye shadow on her eyes.</t>
  </si>
  <si>
    <t>v_iE3I2ICIvHE</t>
  </si>
  <si>
    <t>A gymnast is seen standing ready before a beam and then jumping on to perform a routine.</t>
  </si>
  <si>
    <t>The girl then performs several flips and tricks on the beam, ending with her jumping off the side with her legs together and holding her arms up.</t>
  </si>
  <si>
    <t>v_-AjZCBMb4qU</t>
  </si>
  <si>
    <t>A girl is seating in front of a table, playing an accordian.</t>
  </si>
  <si>
    <t>She stares at the camera as she plays the keyboard and pulls the accordian in and out.</t>
  </si>
  <si>
    <t>v_RisNywzGXt8</t>
  </si>
  <si>
    <t>A lady pulls and fixes her outfit.</t>
  </si>
  <si>
    <t>The lady messes with her hair.</t>
  </si>
  <si>
    <t>The lady tries on shoes while standing and sitting.</t>
  </si>
  <si>
    <t>v_IT9uvR9yjxI</t>
  </si>
  <si>
    <t>An intro is shown of maps and a house close up.</t>
  </si>
  <si>
    <t>Afterwards a close up of a roof is shown as well as logos.</t>
  </si>
  <si>
    <t>More pictures are shown of trucks parked as well as logos.</t>
  </si>
  <si>
    <t>v_YRRcCaxIoR4</t>
  </si>
  <si>
    <t>Pole Vault Greats is on the screen.</t>
  </si>
  <si>
    <t>There are several scenes of men and women pole vaulting.</t>
  </si>
  <si>
    <t>v_F4eF_nO2UFs</t>
  </si>
  <si>
    <t>Tools sit on a table and we see a person unpack a bike and assemble it.</t>
  </si>
  <si>
    <t>We see the man put a tire on the bike.</t>
  </si>
  <si>
    <t>A person tightens the holds on the handlebars.</t>
  </si>
  <si>
    <t>The man puts grease on the paddles and installs them before airing the tires.</t>
  </si>
  <si>
    <t>We then see the finished bike.</t>
  </si>
  <si>
    <t>The ending title screen is shown.</t>
  </si>
  <si>
    <t>v_DG9-yffcXS4</t>
  </si>
  <si>
    <t>A man is seen pulling shades off of a window and removing the bars around the sides.</t>
  </si>
  <si>
    <t>Another man assists him by putting newer bars into the window as well as cutting the boards so they fit.</t>
  </si>
  <si>
    <t>In the end the camera pans around the new roof showing off it's great results.</t>
  </si>
  <si>
    <t>v_ux4iT6vQQb0</t>
  </si>
  <si>
    <t>People run motocross on a bumpy road in the wood.</t>
  </si>
  <si>
    <t>A person climbs a bump with a motorcycle.</t>
  </si>
  <si>
    <t>Also people rides motorcycles on an unpaved flat surface.</t>
  </si>
  <si>
    <t>v_OtcJMIJTTx4</t>
  </si>
  <si>
    <t>A little girl stands on a diving board.</t>
  </si>
  <si>
    <t>Then the little girl jumps, flip and dives in the swimming pool.</t>
  </si>
  <si>
    <t>People are in the swimming pool.</t>
  </si>
  <si>
    <t>v_WltsIClflnA</t>
  </si>
  <si>
    <t>kid is swinging on a playground.</t>
  </si>
  <si>
    <t>woman runs to the swings and sits.</t>
  </si>
  <si>
    <t>woman stands and foot up.</t>
  </si>
  <si>
    <t>v_EOSvdsejPQQ</t>
  </si>
  <si>
    <t>A man is sitting on the stairs playing a harmonica.</t>
  </si>
  <si>
    <t>He stands up and continues playing it.</t>
  </si>
  <si>
    <t>Words come up on the screen.</t>
  </si>
  <si>
    <t>v_JBTiD2-FcR0</t>
  </si>
  <si>
    <t>A closeup of a bag of cement mix is shown.</t>
  </si>
  <si>
    <t>One man adds water into a container while another watches.</t>
  </si>
  <si>
    <t>The first man pours the cement mix into the container.</t>
  </si>
  <si>
    <t>The second man uses a mixer on the container.</t>
  </si>
  <si>
    <t>one of the men applies the mixture to a wall.</t>
  </si>
  <si>
    <t>v_Tovbyt_ZiIc</t>
  </si>
  <si>
    <t>Opening credits show the description of the video.</t>
  </si>
  <si>
    <t>A woman waves her hand and acknowledges her hair and face as she continues to talk.</t>
  </si>
  <si>
    <t>The woman has her hair down and starts styling her hair.</t>
  </si>
  <si>
    <t>She completes styling her hair and continues to talk.</t>
  </si>
  <si>
    <t>v_gV6W0rAHyZg</t>
  </si>
  <si>
    <t>There's a man in a white shirt standing in an open field doing a tutorial for Expert Village on how to play lacrosse.</t>
  </si>
  <si>
    <t>He is holding a lacrosse stick in his hands as he explains the techniques of the game.</t>
  </si>
  <si>
    <t>He makes hand gestures to demonstrate the correct method of holding the lacrosse stick for effective playing technique.</t>
  </si>
  <si>
    <t>v_bX8QXK9mjKA</t>
  </si>
  <si>
    <t>A large group of people are at a carnival playing in their own bumper cars and a few of them bump into one another and come to a stop.</t>
  </si>
  <si>
    <t>They laugh and begin to pull their bumper cars away from one another.</t>
  </si>
  <si>
    <t>The people start driving around again where they all continue to either bump into one another or just drive around.</t>
  </si>
  <si>
    <t>Eventually all the bumper cars come to a complete stop and the ride is over.</t>
  </si>
  <si>
    <t>v_BFICeyu5oMM</t>
  </si>
  <si>
    <t>Ingredients are sitting on a wooden block.</t>
  </si>
  <si>
    <t>A person starts mixing the ingredients together.</t>
  </si>
  <si>
    <t>Words come onto the screen at the end.</t>
  </si>
  <si>
    <t>v_rF1n8L571vM</t>
  </si>
  <si>
    <t>A logo with engine pistons is seen and a disclaimer is shown.</t>
  </si>
  <si>
    <t>Two women in gym exercise pants ride on stationary bikes in a gym together.</t>
  </si>
  <si>
    <t>v_i9g2MGNUVQI</t>
  </si>
  <si>
    <t>A woman is seen speaking to the camera and leads into the news interviewing a man.</t>
  </si>
  <si>
    <t>Several shots are then shown of two bulls fighting other while others watch and speak to the camera.</t>
  </si>
  <si>
    <t>v_f4s1ngeK5P4</t>
  </si>
  <si>
    <t>A person is seen wearing slippers and holding a stick in their hands.</t>
  </si>
  <si>
    <t>The person then begins walking around a room pushing the ball around with the stick.</t>
  </si>
  <si>
    <t>The person continues hitting the ball while walking around the room.</t>
  </si>
  <si>
    <t>v_Uofnmkfohkc</t>
  </si>
  <si>
    <t>A young child is seen riding a skateboard down a road following a group of older boys.</t>
  </si>
  <si>
    <t>Several shots of him riding around are shown as well as him failing and riding more.</t>
  </si>
  <si>
    <t>He fist bumps the camera man and more shots are shown of him riding around.</t>
  </si>
  <si>
    <t>v_F2Igw6lvqwk</t>
  </si>
  <si>
    <t>A girl is sitting at the bottom of the stairs while trying to put her shoes on.</t>
  </si>
  <si>
    <t>She looks off in the distance in a disgusted manor, at the same time appearing quite distracted.</t>
  </si>
  <si>
    <t>She finishes by tying up her shoe laces and laughing to herself and the person filming her.</t>
  </si>
  <si>
    <t>v_BhxKjirVF4Y</t>
  </si>
  <si>
    <t>A woman dressed in gym clothes is doing a tutorial on spinning in a gym.</t>
  </si>
  <si>
    <t>She is demonstrating the dumbbells that she will be using.</t>
  </si>
  <si>
    <t>She then demonstrates the exercise bike and continues to bike along with some other women at the gym.</t>
  </si>
  <si>
    <t>She explains how to do some rigorous exercise on the bike.</t>
  </si>
  <si>
    <t>there are several other women who are also biking on the exercise bike with her.</t>
  </si>
  <si>
    <t>v_cmM0li5O1t0</t>
  </si>
  <si>
    <t>We see a little girl water skiing.</t>
  </si>
  <si>
    <t>We see a man holding a child water skiing.</t>
  </si>
  <si>
    <t>The man lets go, and grabs her jacket again.</t>
  </si>
  <si>
    <t>The man points to the skis.</t>
  </si>
  <si>
    <t>The man lefts go and grabs the jacket again.</t>
  </si>
  <si>
    <t>v_yVK-GMdc9UA</t>
  </si>
  <si>
    <t>A man is smiling at the camera.</t>
  </si>
  <si>
    <t>He is ironing clothes on an ironing board.</t>
  </si>
  <si>
    <t>He flips the clothes over and irons the other side.</t>
  </si>
  <si>
    <t>v_gU81ZXdYh7o</t>
  </si>
  <si>
    <t>A boy in an orange shirt is standing in a room.</t>
  </si>
  <si>
    <t>He starts punching a punching bag.</t>
  </si>
  <si>
    <t>The punching bag moves in the air.</t>
  </si>
  <si>
    <t>v_irnvsfchQX8</t>
  </si>
  <si>
    <t>A boy paddles a boat.</t>
  </si>
  <si>
    <t>v_BwwjQZDn3NE</t>
  </si>
  <si>
    <t>A man is seen outside dancing to himself while wiping a rag on the car.</t>
  </si>
  <si>
    <t>The weather is pouring rain and the man continues to dance around the car holding a rag.</t>
  </si>
  <si>
    <t>The man moves to the front of the car followed by taking his shirt off and waving to the camera.</t>
  </si>
  <si>
    <t>v_XKvzx2cD9KY</t>
  </si>
  <si>
    <t>There is a large crowd shown clapping and two hosts speaking in the beginning.</t>
  </si>
  <si>
    <t>A line of men are then shown wearing sumo wrestling outfits.</t>
  </si>
  <si>
    <t>Two people get inside of the ring and begin fighting.</t>
  </si>
  <si>
    <t>The two people grab each other's necks and try to knock their opponent down to the ground.</t>
  </si>
  <si>
    <t>v_2wUKu5UIHmI</t>
  </si>
  <si>
    <t>The camera captures a close up of an older woman putting makeup on and smacking her lips to the camera.</t>
  </si>
  <si>
    <t>She then puts mascara on as well as more lipstick and nods her head back and fourth smiling.</t>
  </si>
  <si>
    <t>v_hmT9H0IjiGs</t>
  </si>
  <si>
    <t>A man wearing a white hat is demonstrating how to make a Caribbean drink.</t>
  </si>
  <si>
    <t>He shows a bowl filled with citrus fruits.</t>
  </si>
  <si>
    <t>He takes a lemon juicer and some lemons and limes and oranges.</t>
  </si>
  <si>
    <t>He then juices the oranges and lemon on the juicer.</t>
  </si>
  <si>
    <t>He then empties the juice a large cocktail bowl.</t>
  </si>
  <si>
    <t>He adds rum to the juice along with some vanilla extract.</t>
  </si>
  <si>
    <t>He also mixes in sugar and rum and whisks the drink.</t>
  </si>
  <si>
    <t>He finally adds a bowl full of water and stirs it well.</t>
  </si>
  <si>
    <t>He pours the beverage in cocktail glasses and places it on the kitchen counter.</t>
  </si>
  <si>
    <t>v_f14r3tC-Y4E</t>
  </si>
  <si>
    <t>A large boat is shown sailing through ocean water.</t>
  </si>
  <si>
    <t>A man in scuba gear climbs over the side.</t>
  </si>
  <si>
    <t>He works on pulling a large bag into the boat, trying not to capsize.</t>
  </si>
  <si>
    <t>v_KwhqAV_0o40</t>
  </si>
  <si>
    <t>A man dressed in snow gear is standing on a frozen body of water and bending over as he looks into a fish hole that his fishing pole is in.</t>
  </si>
  <si>
    <t>The man pulls on his fishing pole, goes on his knees, and continues to slowly pull the fishing pole up and the camera man who had already put the camera down bends down and grabs the fish and places it onto the ice.</t>
  </si>
  <si>
    <t>The man picks the camera up and angles the camera towards the fish on the ice and the man who was fishing is smiling, unhooks the fish then holds it up in the air.</t>
  </si>
  <si>
    <t>v_hRoHfDR4-e0</t>
  </si>
  <si>
    <t>People handles bulls in a rodeo ring, a man is throw to the air by a bull.</t>
  </si>
  <si>
    <t>People are throw by bulls to the ground while jumping and kicking with the back legs while people watch the rodeo.</t>
  </si>
  <si>
    <t>Several people riding bulls are throw to the ground while other people distract the bulls that jumps and kicks.</t>
  </si>
  <si>
    <t>v_1wqSUOGmpBs</t>
  </si>
  <si>
    <t>Two very large sumos are in an elevated circle doing leg warm ups and squatting while another man in the middle dressed in Japanese garb referees.</t>
  </si>
  <si>
    <t>The referee lets them know when to start and the sumos wrestle while the referee walks around the ring and monitors them.</t>
  </si>
  <si>
    <t>Finally one of the men is able to push another man out of the ring,they stop wrestling, the loser walks to his end and they bow to one another and both leave the ring.</t>
  </si>
  <si>
    <t>v_TtQPtLPTqBA</t>
  </si>
  <si>
    <t>A girl is pouring something into a sink.</t>
  </si>
  <si>
    <t>She walks away and wipes her hands on a towel.</t>
  </si>
  <si>
    <t>She pours the bowl into a bucket on the ground.</t>
  </si>
  <si>
    <t>She starts wiping the floor with a towel.</t>
  </si>
  <si>
    <t>She moves the bucket up to the front of the classroom and dumps it out.</t>
  </si>
  <si>
    <t>v_C8IEqXTBod0</t>
  </si>
  <si>
    <t>We see the title screen for the video.</t>
  </si>
  <si>
    <t>We change to a woman putting on her cold weather clothes.</t>
  </si>
  <si>
    <t>She grabs a shovel and walks away.</t>
  </si>
  <si>
    <t>We see the lady sitting and laying on a chair and reading.</t>
  </si>
  <si>
    <t>The lady is outside shoveling the snow and talking.</t>
  </si>
  <si>
    <t>We see articles online about shoveling.</t>
  </si>
  <si>
    <t>The lady is jumping and warming up.</t>
  </si>
  <si>
    <t>We see a snowy city and then people shoveling snow.</t>
  </si>
  <si>
    <t>v_0JpULUYPDX0</t>
  </si>
  <si>
    <t>A person is seen standing on a court holding a tennis racket.</t>
  </si>
  <si>
    <t>The man then demonstrates several moves with the tennis racket and hitting the ball to another.</t>
  </si>
  <si>
    <t>The two continuously hit the ball back and fourth to one another.</t>
  </si>
  <si>
    <t>v_kWPvAxLzGw8</t>
  </si>
  <si>
    <t>A woman is sitting down wearing green sunglasses.</t>
  </si>
  <si>
    <t>She is talking on the cell phone.</t>
  </si>
  <si>
    <t>She is riding in a car.</t>
  </si>
  <si>
    <t>She is laying on a chair getting her foot tattooed.</t>
  </si>
  <si>
    <t>She is showing her foot tattoo.</t>
  </si>
  <si>
    <t>She is sitting outside talking again.</t>
  </si>
  <si>
    <t>v_Yp9DBq34bFQ</t>
  </si>
  <si>
    <t>A woman is seen squeezing lotion out of a bottle onto her skin and rubbing it into her arms.</t>
  </si>
  <si>
    <t>More pictures are shown on the screen of people and lotions as well as steps on how to use it properly.</t>
  </si>
  <si>
    <t>v_p9yq0kAqGU4</t>
  </si>
  <si>
    <t>Men pull a rope in a game of tug of war.</t>
  </si>
  <si>
    <t>A lady bends down to take a photo and a lady walks and films the even.</t>
  </si>
  <si>
    <t>We see a tower in the field.</t>
  </si>
  <si>
    <t>The men let go of the rope, one man falls and claps.</t>
  </si>
  <si>
    <t>A man smiles and gives a thumbs up to the camera.</t>
  </si>
  <si>
    <t>v_zlOErVVHKEk</t>
  </si>
  <si>
    <t>People are playing a game in a field.</t>
  </si>
  <si>
    <t>The man with the mallet and the man with the red hat run back and forth.</t>
  </si>
  <si>
    <t>A man with a blue shirt runs toward home plate.</t>
  </si>
  <si>
    <t>The man with the mallet is shown getting hit in slow motion.</t>
  </si>
  <si>
    <t>A woman is up to bat and is shown running after getting a hit.</t>
  </si>
  <si>
    <t>v_FPbPkjLAEzs</t>
  </si>
  <si>
    <t>A man is parasailing on the ocean.</t>
  </si>
  <si>
    <t>Other people also begin sailing in the water, some falling over.</t>
  </si>
  <si>
    <t>v_xC9s-_MNO_Q</t>
  </si>
  <si>
    <t>We see a man decorating a Christmas tree.</t>
  </si>
  <si>
    <t>The man adds a string of lights.</t>
  </si>
  <si>
    <t>A little girl ads bulbs to the tree.</t>
  </si>
  <si>
    <t>The man turns the lights on.</t>
  </si>
  <si>
    <t>The man and the girl add bulbs to the tree.</t>
  </si>
  <si>
    <t>The lady goes up and own the stairs.</t>
  </si>
  <si>
    <t>The lady adds ornaments to the tree.</t>
  </si>
  <si>
    <t>The man stands on a ladder and adds ornaments.</t>
  </si>
  <si>
    <t>The lady turns off the lights and the family looks at the tree together.</t>
  </si>
  <si>
    <t>The man and woman kiss each other.</t>
  </si>
  <si>
    <t>v_scapZQe6_Iw</t>
  </si>
  <si>
    <t>Two men are standing on a field behind a row of houses.</t>
  </si>
  <si>
    <t>One swings a bat and runs onto the field, chasing a ball.</t>
  </si>
  <si>
    <t>The ball is thrown back to the batter, and he continues the game of cricket with his team mates.</t>
  </si>
  <si>
    <t>v_0H_9zlnmW4U</t>
  </si>
  <si>
    <t>A man is seen standing in a large field and leads into him moving his arms and legs around the area.</t>
  </si>
  <si>
    <t>The man continues moving around the area moving his hands up and down and looking off into the distance.</t>
  </si>
  <si>
    <t>v_JDfFAljt4JM</t>
  </si>
  <si>
    <t>Two people are seen doing a ballet dance on stage followed by a woman doing a dance while others watch on the side.</t>
  </si>
  <si>
    <t>The woman continue spinning with the man walking in and out of frame and ends with her bowing to the audience.</t>
  </si>
  <si>
    <t>v_08wKlw4a_so</t>
  </si>
  <si>
    <t>A black dog walks on a lawn.</t>
  </si>
  <si>
    <t>A lady rakes leaves from the lawn onto the pavement sidewalk.</t>
  </si>
  <si>
    <t>The lady stops raking, turns around, and talks plus gestures.</t>
  </si>
  <si>
    <t>A white ball rolls to a parked car.</t>
  </si>
  <si>
    <t>v_xpEbejnuGEY</t>
  </si>
  <si>
    <t>A woman is seen kneeling into frame next to a patio set.</t>
  </si>
  <si>
    <t>She then shows off various cleaning tools an rubs them along a chair.</t>
  </si>
  <si>
    <t>She brings the chair inside and pours paint into a bucket and paints along the side.</t>
  </si>
  <si>
    <t>She shows off the chair outside again while speaking to the camera.</t>
  </si>
  <si>
    <t>v_K4F8I74OM-Y</t>
  </si>
  <si>
    <t>A brunette woman newscaster is wearing a white shirt and royal blue blazer over it and is speaking into the camera.</t>
  </si>
  <si>
    <t>A clip begins and it features people running and the words on the screen say they are novices who are training to run a marathon in Tel Aviv, Israel.</t>
  </si>
  <si>
    <t>A man appears training them and different marathoners in training take turns being interviewed while they continue to switch back and forth to everyone going through the training.</t>
  </si>
  <si>
    <t>The last clip is the view from the start of a marathon and hundreds of people start running as they leave the start line.</t>
  </si>
  <si>
    <t>v_LChqFAESyCg</t>
  </si>
  <si>
    <t>There's a young girl standing in her bathroom doing a tutorial on how to apply lipstick.</t>
  </si>
  <si>
    <t>she opens her mirror cabinet and takes her lipstick out.</t>
  </si>
  <si>
    <t>She begins applying the lipstick on her lips.</t>
  </si>
  <si>
    <t>Then she uses the same lipstick and dabs it on her cheeks.</t>
  </si>
  <si>
    <t>She uses her fingers to smear the lipstick evenly on her cheek bones.</t>
  </si>
  <si>
    <t>Then she pouts and smiles for the camera, striking a pose.</t>
  </si>
  <si>
    <t>v_H2KVO7LWU5w</t>
  </si>
  <si>
    <t>A toddler is holding a leaf blower.</t>
  </si>
  <si>
    <t>A teen is raking the lawn.</t>
  </si>
  <si>
    <t>A teen tosses a rake full of leaves at the toddler.</t>
  </si>
  <si>
    <t>v_b39hqdpOn7k</t>
  </si>
  <si>
    <t>A still shot picture of a man appears while a lot of white words go scrolling from the bottom to the top.</t>
  </si>
  <si>
    <t>The man is now in an enclosed ad small racquetball court area and he's going through the motions of hitting a ball with his racquet with the words "not recommended" in the upper left corner.</t>
  </si>
  <si>
    <t>A screen quickly appears and it has white text that say "please subscribe to this youtube channel".</t>
  </si>
  <si>
    <t>The man is then shown again playing racquetball on the court until the outro screen appears and it includes a lot of white wording that is scrolling from the bottom to the top.</t>
  </si>
  <si>
    <t>v_skSPijG9sgU</t>
  </si>
  <si>
    <t>A few kids are seen standing on a stage followed by the children pushing a puck along the ice.</t>
  </si>
  <si>
    <t>Several people are shown playing the game around them and panning to the audience reacting as well as people standing on the sides.</t>
  </si>
  <si>
    <t>v_puGw7gu96AM</t>
  </si>
  <si>
    <t>A man comes out of a gate on a horse.</t>
  </si>
  <si>
    <t>He lassos and ropes a calf.</t>
  </si>
  <si>
    <t>He then jumps down and ties the calf.</t>
  </si>
  <si>
    <t>v_2Q0WGQbJbso</t>
  </si>
  <si>
    <t>A person plays a violin in front of a huge crowd of people.</t>
  </si>
  <si>
    <t>The people give him a standing ovation at the end.</t>
  </si>
  <si>
    <t>v_uMQEaWGQvrc</t>
  </si>
  <si>
    <t>A man on a diving board walks to the end.</t>
  </si>
  <si>
    <t>the man bounces on the board two times then dives into the water.</t>
  </si>
  <si>
    <t>The man surfaces and swims towards the edge of the pool.</t>
  </si>
  <si>
    <t>v_rHUCx_JqNk4</t>
  </si>
  <si>
    <t>a woman with pink hair is posing for the camera.</t>
  </si>
  <si>
    <t>She brushes out her hair with her hands before separating it into sections.</t>
  </si>
  <si>
    <t>She then braids the hair down the side of her head.</t>
  </si>
  <si>
    <t>v_Nj_fvFbf56I</t>
  </si>
  <si>
    <t>A little boy runs across a hopscotch on the ground.</t>
  </si>
  <si>
    <t>He returns to the beginning, and tries to jump.</t>
  </si>
  <si>
    <t>He hops all the way to the end.</t>
  </si>
  <si>
    <t>v_XzYtm5WdAE8</t>
  </si>
  <si>
    <t>A man is seen standing in a large field behind a piece of heavy machinery.</t>
  </si>
  <si>
    <t>The man pushes the machine along some tall grass while the camera follows his movements.</t>
  </si>
  <si>
    <t>The man continues pushing along the high grass.</t>
  </si>
  <si>
    <t>v_7D5ItfgJFVw</t>
  </si>
  <si>
    <t>The white rabbit is in the cage.</t>
  </si>
  <si>
    <t>The rabbit is cleaning its hands by licking it.</t>
  </si>
  <si>
    <t>The rabbit cleaned his back and then wend down to the first floor of his cage.</t>
  </si>
  <si>
    <t>v_OqoUemFpetc</t>
  </si>
  <si>
    <t>Two teams playing throwing balls to hit an opponent.</t>
  </si>
  <si>
    <t>The players hold two balls and throw each other to hit and opponent.</t>
  </si>
  <si>
    <t>A boy holding a ball throw to another player and the opponents also throws ball.</t>
  </si>
  <si>
    <t>v_ktYgm8bRK-g</t>
  </si>
  <si>
    <t>A woman begins walking down a cobble stone sidewalk with brown boots and then she is seen twirling a hula hoop.</t>
  </si>
  <si>
    <t>With the hula hoop,the girl begins flipping and dancing with it between her legs.</t>
  </si>
  <si>
    <t>She progresses and adds another hula hip and both of them go on at the same time.</t>
  </si>
  <si>
    <t>In her next setting,she has about five around her body and continues to dance.</t>
  </si>
  <si>
    <t>She continues to do the same thing with different amounts and with other body parts as people come and take pictures of her displaying her talent.</t>
  </si>
  <si>
    <t>Lastly, another small videos appears showing advertisements for the Jump Rope sisters youtube page.</t>
  </si>
  <si>
    <t>v_cCISvaObBxI</t>
  </si>
  <si>
    <t>Two teams play soccer in an indoor soccer court, the team wearing white t-shirt wins the competition.</t>
  </si>
  <si>
    <t>The player scores and celebrate with a teammate.</t>
  </si>
  <si>
    <t>Other teams plays soccer, a player with white uniform receives a ball and score.</t>
  </si>
  <si>
    <t>Two teams play soccer, and the player with the yellow uniform scores.</t>
  </si>
  <si>
    <t>Two team of girls compete, a girl with red uniform scores and the team wins.</t>
  </si>
  <si>
    <t>Then, a player with a white uniform scores with a spectacular movement.</t>
  </si>
  <si>
    <t>v_waF8oGaQqvI</t>
  </si>
  <si>
    <t>A special effect intro appears and a blue word appears in the middle of the screen and say's "Howcast".</t>
  </si>
  <si>
    <t>A woman is lying on a bed in a business with a man sitting next to her and a list of things pop up on the screen under the words "YOU WILL NEED" appear on the screen.</t>
  </si>
  <si>
    <t>The woman is shown doing various things as steps show up under each action she does, and even tips appear on the screen that lead up to the woman laying on the bed as a man tattoos her.</t>
  </si>
  <si>
    <t>When he's done tattooing her he holds up a white bottle with a green cap and talks to her while showing it and white words appear on the screen giving a warning that "Applying too much topical anesthetic and then covering the tattoo can cause seizures".</t>
  </si>
  <si>
    <t>The woman stands up to show her tattoo and the woman is briefly shown sunbathing with the tattoo covered up.</t>
  </si>
  <si>
    <t>A close up of her tattoo is shown and words appear over it that say's "Democrats are more likely to have tattoos", then a white screen appears with the blue words in the middle that say "Howcast".</t>
  </si>
  <si>
    <t>v_lJ02cAklA6o</t>
  </si>
  <si>
    <t>A man is seated while someone buffs his shoes.</t>
  </si>
  <si>
    <t>The person uses a brush to clean his shoes thorougly.</t>
  </si>
  <si>
    <t>Then they use polish to shine them.</t>
  </si>
  <si>
    <t>v_yVsOoFr61x4</t>
  </si>
  <si>
    <t>A young girl is seen walking to the end of a diving board with several other people around her.</t>
  </si>
  <si>
    <t>The girl puts her arms up and then dives into the pool.</t>
  </si>
  <si>
    <t>She's seen again coming to the surface in the pool and swimming over to the edge.</t>
  </si>
  <si>
    <t>v_NGF0rQiDxNk</t>
  </si>
  <si>
    <t>A female gymnast is spinning and jumping on a pair of high beams as her coach watches, prepared to catch her.</t>
  </si>
  <si>
    <t>He steps onto the beam as she dismounts, arms in the air.</t>
  </si>
  <si>
    <t>v_NV2scxevYKk</t>
  </si>
  <si>
    <t>Two men do maneuvers on a canoe pivoting the canoe helping with the paddlers.</t>
  </si>
  <si>
    <t>Then, the men pivot the canoe away from the bow paddlers while paddling fast the oars.</t>
  </si>
  <si>
    <t>After, the men slides the canoe forward using the oars to advance.</t>
  </si>
  <si>
    <t>Next, the men sail on the river until arrive to the bank of the river.</t>
  </si>
  <si>
    <t>v_Vfb3LmFDols</t>
  </si>
  <si>
    <t>We see a man in BMX bike arena talking.</t>
  </si>
  <si>
    <t>We see people bring bikes up a ramp.</t>
  </si>
  <si>
    <t>We see people start when the gate opens.</t>
  </si>
  <si>
    <t>We then see people riding bikes.</t>
  </si>
  <si>
    <t>We see a man wipe dirt from his hair and turn off the camera.</t>
  </si>
  <si>
    <t>v_Xf8y5_b2dq4</t>
  </si>
  <si>
    <t>A man is seen holding onto a paint machine and spraying it around all the furniture.</t>
  </si>
  <si>
    <t>He continues painting around the area while the camera pans around his movements.</t>
  </si>
  <si>
    <t>He finishes the painting and the camera pans around the furniture.</t>
  </si>
  <si>
    <t>v_QEdbqJijx1w</t>
  </si>
  <si>
    <t>A woman is seen speaking to the camera while sitting in a chair.</t>
  </si>
  <si>
    <t>She then holds up a contact lens and puts one in her eye.</t>
  </si>
  <si>
    <t>She puts another contact in her eye and smiles to the camera.</t>
  </si>
  <si>
    <t>v_blSOfdlqJtY</t>
  </si>
  <si>
    <t>A large group of people are seen playing around a gymnasium throwing balls at one another and bouncing around.</t>
  </si>
  <si>
    <t>The people continue throwing balls when one hits the camera and shows a persons face.</t>
  </si>
  <si>
    <t>The game continues on with the people throwing balls around and people watching on the sides.</t>
  </si>
  <si>
    <t>v_s0YJOzALDNg</t>
  </si>
  <si>
    <t>A group of people are under a covering.</t>
  </si>
  <si>
    <t>They are riding around in a series of bumper cars.</t>
  </si>
  <si>
    <t>The cars bump into each other as they drive around.</t>
  </si>
  <si>
    <t>v_UxlDSfC7S-0</t>
  </si>
  <si>
    <t>A bag of Spill Master Absorbant is shown on the screen.</t>
  </si>
  <si>
    <t>A man stands in a warehouse talking to the camera and pours some liquid on the ground.</t>
  </si>
  <si>
    <t>He takes a bowl of some material and sprinkled it over the spills.</t>
  </si>
  <si>
    <t>He then sweeps up the material with a broom and dust pan.</t>
  </si>
  <si>
    <t>v__-zOtZZ_fwI</t>
  </si>
  <si>
    <t>A woman is video taping some men in a living room getting jackets on.</t>
  </si>
  <si>
    <t>One of the men motions the the camera person to follow him as he grabs a broom and walks down a hall and out a door to a snow covered parking lot.</t>
  </si>
  <si>
    <t>They walk out into the parking lot as another man comes outside.</t>
  </si>
  <si>
    <t>The man with the broom brushes snow off of an SUV as another man does the same at a car next to him.</t>
  </si>
  <si>
    <t>v_cdiazgshHuc</t>
  </si>
  <si>
    <t>A girl holds up a brush and walks up to the horse.</t>
  </si>
  <si>
    <t>The girl brushes of the coat of the horse in a stable.</t>
  </si>
  <si>
    <t>The girl removes the ankle braces from the horse.</t>
  </si>
  <si>
    <t>The girl wraps up the braces together an puts them away.</t>
  </si>
  <si>
    <t>A horse sticks his head out from a stable and a man watches.</t>
  </si>
  <si>
    <t>v_dth80jcqPxU</t>
  </si>
  <si>
    <t>Several types of shot put throws and terminology are demonstrated.</t>
  </si>
  <si>
    <t>The different throws show different block types.</t>
  </si>
  <si>
    <t>These are used in various sling types.</t>
  </si>
  <si>
    <t>Some names of some of the throws are the glide shot, the spin Shot, and the stand throw.</t>
  </si>
  <si>
    <t>v_6VW7ZPurE7c</t>
  </si>
  <si>
    <t>A small dog is seen wearing an outfit and walking on two legs while people stand around him and watch.</t>
  </si>
  <si>
    <t>The dog continues walking around and looking around as people watch.</t>
  </si>
  <si>
    <t>v_EOradtej9GU</t>
  </si>
  <si>
    <t>A mountain full of snow appears and a man begins skiing down the slopes.</t>
  </si>
  <si>
    <t>As he skis,more men appear before he reappears by himself.</t>
  </si>
  <si>
    <t>Once alone,the man skis rapidly down the slopes and does spins and kneels as he skis.</t>
  </si>
  <si>
    <t>Eventually,he goes to fast and ends up flipping over into a pile of snow.</t>
  </si>
  <si>
    <t>v_FaKQvJBhMPg</t>
  </si>
  <si>
    <t>A man and a woman are sitting in two separate floating donuts, the man in the blue, the woman in the green, and both are smiling then the man raises his left arm to wave.</t>
  </si>
  <si>
    <t>A group of people are also on different colored floating donuts, playing, falling in the water and having a good time.</t>
  </si>
  <si>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t>
  </si>
  <si>
    <t>The woman is now sitting in a green floating donut, still holding the mic, and still talking.</t>
  </si>
  <si>
    <t>A white screen appears appears with a maroon and white logo, then it changes to another white screen that has a blue website in the middle of it.</t>
  </si>
  <si>
    <t>v_DMUFb7gvUx4</t>
  </si>
  <si>
    <t>Men travel in a plane and arrives to the top of a mountain.</t>
  </si>
  <si>
    <t>Then, men get down the plane and ski down the hill.</t>
  </si>
  <si>
    <t>A person ski behind a man down the slope of the mountain.</t>
  </si>
  <si>
    <t>A snow removal clear the snow of the road.</t>
  </si>
  <si>
    <t>After, the men ski down the hill in middle of the trees.</t>
  </si>
  <si>
    <t>The men ski in a wood area that is uneven.</t>
  </si>
  <si>
    <t>v_56kqqlco5H0</t>
  </si>
  <si>
    <t>A gymnast wearing a blue outfit climes onto the a balance beam and performs a hand stand with a split in a competition in front of a huge American flag.</t>
  </si>
  <si>
    <t>The gymnast proceeds on the balance beam and performs a front somersault and then three consecutive backward somersaults in a row.</t>
  </si>
  <si>
    <t>The gymnast continues with her performance on the parallel bar with spin moves, jump moves and dance moves.</t>
  </si>
  <si>
    <t>The gymnast prepares for the dismount at one end of the parallel bar does a forward somersault on the parallel bar and a somersault with a spin and lands the dismount perfectly.</t>
  </si>
  <si>
    <t>v_nOJUyDGq_l0</t>
  </si>
  <si>
    <t>A group of men are gathered in a circle in a room.</t>
  </si>
  <si>
    <t>They shake each other's hands, then start fighting in the ring of people.</t>
  </si>
  <si>
    <t>They spin and kick, never actually hitting each other.</t>
  </si>
  <si>
    <t>When they finish the group comes together, clapping as a group.</t>
  </si>
  <si>
    <t>v_2zl0O1VRDC4</t>
  </si>
  <si>
    <t>A person puts sealing material around steel planks and a roof.</t>
  </si>
  <si>
    <t>Then, the man paints a roof with black paint.</t>
  </si>
  <si>
    <t>v_U2td95KJU7Y</t>
  </si>
  <si>
    <t>A boy stand on a pool diving board in an Olympic competition.</t>
  </si>
  <si>
    <t>Then, the boy jumps and does four flips in the air and falls into the water.</t>
  </si>
  <si>
    <t>The crowd applaud the boy holding British flags.</t>
  </si>
  <si>
    <t>A man hugs the boy who looks happy, and the boy walks around.</t>
  </si>
  <si>
    <t>The boy jumps from a diving board and does four flips in the air before gets into the water.</t>
  </si>
  <si>
    <t>v_bWCIcijlgCo</t>
  </si>
  <si>
    <t>The video begins with several shots of people riding down long roads on skateboards in fast motion as well as slow.</t>
  </si>
  <si>
    <t>The people perform various jumps and tricks down these long and winding roads and shows the boarder speaking into the camera.</t>
  </si>
  <si>
    <t>v_LrwBGQ9B0Vg</t>
  </si>
  <si>
    <t>A group of fish swim around in the ocean floor.</t>
  </si>
  <si>
    <t>A long yellow fish passes the camera.</t>
  </si>
  <si>
    <t>Scuba divers gather on a boat as a man speaks.</t>
  </si>
  <si>
    <t>We see several fish and a shark.</t>
  </si>
  <si>
    <t>The scuba divers dive, looking at the fish and waving at the camera.</t>
  </si>
  <si>
    <t>v_7BM40jqPYgA</t>
  </si>
  <si>
    <t>A boy makes repairs to a disassembled bicycle with the use of a solder in a backyard near the back steps of a house.</t>
  </si>
  <si>
    <t>A boy enters the scene and pulls on a pair of gloves while wearing a sports protective mask, turns on a blue machine on the back steps and picks up a solder.</t>
  </si>
  <si>
    <t>The boy then begins to solder a disassembled bicycle on the ground in a backyard.</t>
  </si>
  <si>
    <t>The boy then gets up and walks out of the scene after lifting the lid on his mask.</t>
  </si>
  <si>
    <t>v_U0IJmOHoa1M</t>
  </si>
  <si>
    <t>The cricket team of Sri Lanka is playing against another country.</t>
  </si>
  <si>
    <t>the cricketers are playing a competitive game in the field.</t>
  </si>
  <si>
    <t>The Sri Lanka team is represented by the blue uniform.</t>
  </si>
  <si>
    <t>The batsman scores four runs as the bowler throws an overhand ball.</t>
  </si>
  <si>
    <t>The video shows different cricket matches taking place where Sri Lanka is playing against teams from different countries.</t>
  </si>
  <si>
    <t>The stadium is filled with spectators cheering for the cricketers.</t>
  </si>
  <si>
    <t>The match goes on full swing as the batsmen score four runs.</t>
  </si>
  <si>
    <t>The fielder runs to catch the ball after the batsman hits it high, almost catching the ball to make him clean bold.</t>
  </si>
  <si>
    <t>v_iiY3TE2O1QE</t>
  </si>
  <si>
    <t>A camera is held by someone under water and swimming in the ocean.</t>
  </si>
  <si>
    <t>It pans to several shots of men playing soccer on a beach and kick the ball around.</t>
  </si>
  <si>
    <t>The camera pans over the ball followed by several more shots of the man playing.</t>
  </si>
  <si>
    <t>v_MyqWp3ipXxA</t>
  </si>
  <si>
    <t>A large rock is shown followed by people moving around objects and leading into a new segment.</t>
  </si>
  <si>
    <t>A man is then seen cutting up a pumpkin while a woman speaks and leads into a weather report.</t>
  </si>
  <si>
    <t>The man then shows the pumpkin around a group of people as well as close up.</t>
  </si>
  <si>
    <t>v_ohNtDBYmhX0</t>
  </si>
  <si>
    <t>A male skateboarder is skating, he jumped on the railing and then slipped and fell on his back and a hand helped him up.</t>
  </si>
  <si>
    <t>A boy jumped in a platform with his skateboard and slipped and fell.</t>
  </si>
  <si>
    <t>The skateboarders jumped on the platform or railings and slipped and fell on the ground.</t>
  </si>
  <si>
    <t>v_nfTFGY2n_io</t>
  </si>
  <si>
    <t>A family talks about making healthy food.</t>
  </si>
  <si>
    <t>They start by making smoothies and read ingredients from coconut sugar.</t>
  </si>
  <si>
    <t>They blend food and prepare the food and then blend the smoothie.</t>
  </si>
  <si>
    <t>v_m7XKITsRtVw</t>
  </si>
  <si>
    <t>A man and a woman are drinking coffee outside next to a camper.</t>
  </si>
  <si>
    <t>The man is playing guitar.</t>
  </si>
  <si>
    <t>The woman walks to the camera and starts showing off paper documents.</t>
  </si>
  <si>
    <t>She throws the papers and walks back to the man.</t>
  </si>
  <si>
    <t>v_PLgcXxX3A2A</t>
  </si>
  <si>
    <t>A boy on a team throws a basketball at other team members.</t>
  </si>
  <si>
    <t>Others join in, some falling as they are hit with the ball.</t>
  </si>
  <si>
    <t>v_8ClpQ4q6NmM</t>
  </si>
  <si>
    <t>A man is seen kneeling down next to a dog scrubbing his back while another man pours water over the dog's body.</t>
  </si>
  <si>
    <t>The man continues scrubbing as the other pours water and ends with the dog running away.</t>
  </si>
  <si>
    <t>v_j_vP89LZlp8</t>
  </si>
  <si>
    <t>A woman brushes her long hair at home.</t>
  </si>
  <si>
    <t>The woman sits down on the sofa.</t>
  </si>
  <si>
    <t>The woman gets up and turns away.</t>
  </si>
  <si>
    <t>The person turns around walks out of view.</t>
  </si>
  <si>
    <t>v_-vDMeHr1ZfI</t>
  </si>
  <si>
    <t>a lot of desserts are in a sliding belt in a counter.</t>
  </si>
  <si>
    <t>a sunset in a beach and in a lake is shown.</t>
  </si>
  <si>
    <t>people is doing kayaking in a lake going though the lake with big gren vegetation.</t>
  </si>
  <si>
    <t>v_rggwT0-G5sk</t>
  </si>
  <si>
    <t>Two young men are shown running back and fourth down a court hitting a tennis ball.</t>
  </si>
  <si>
    <t>They keep hitting the ball against the wall and chasing the ball around.</t>
  </si>
  <si>
    <t>One pauses and hits the ball on his racket and again throws it for the boys to play.</t>
  </si>
  <si>
    <t>One falls down on the ground towards the end and the other helps him up.</t>
  </si>
  <si>
    <t>v_WQAVlmS5IWs</t>
  </si>
  <si>
    <t>A woman talks to the camera while bathing a baby in the bathtub.</t>
  </si>
  <si>
    <t>The woman demonstrates a small scrubbing pad to the camera.</t>
  </si>
  <si>
    <t>The woman uses the pad on the baby.</t>
  </si>
  <si>
    <t>v_6Dt510HMEWA</t>
  </si>
  <si>
    <t>Some people are floating on the ocean on a yellow raft.</t>
  </si>
  <si>
    <t>They float by large rocks and cliffs.</t>
  </si>
  <si>
    <t>v_g8Yx4qWzNH0</t>
  </si>
  <si>
    <t>A man is bent down on a mat.</t>
  </si>
  <si>
    <t>He picks up a large weight and lifts it over his head.</t>
  </si>
  <si>
    <t>He drops the weight onto the ground.</t>
  </si>
  <si>
    <t>A man in a blue shirt claps.</t>
  </si>
  <si>
    <t>v_J8WxSDLZwu0</t>
  </si>
  <si>
    <t>This baby hits the ball and falls down.</t>
  </si>
  <si>
    <t>Then he gets back up and grabs the stick to attempt hitting the ball again.</t>
  </si>
  <si>
    <t>Next he falls again and gets back up while holding the stick and he grabs the ball hitting it really far.</t>
  </si>
  <si>
    <t>v_ZazjI26IQUo</t>
  </si>
  <si>
    <t>A parent is tattooing their very small child that looks like he is about 3 .</t>
  </si>
  <si>
    <t>He is crying because it hurts and his mean mother is keeping him held down while they tattoo his arm.</t>
  </si>
  <si>
    <t>They keep going with the tattoo it is on his upper arm but you can't tell what they are tattooing.</t>
  </si>
  <si>
    <t>The artist grabs something green and starts to shake it.</t>
  </si>
  <si>
    <t>v_dI1RqUHyWYo</t>
  </si>
  <si>
    <t>Several people at an indoor pool jump off of a diving board into the pool water below exhibiting a mix of advanced diving techniques and diving technique mishaps.</t>
  </si>
  <si>
    <t>Several divers jump off of the diving board into the water below performing many techniques including flips.</t>
  </si>
  <si>
    <t>More, less successful dives are shown near the end of the clip before the scene fades to black.</t>
  </si>
  <si>
    <t>v_29k1TypoU4w</t>
  </si>
  <si>
    <t>A man is seen kneeling on a mat and demonstrating how to do a proper exercise but moving his arms and legs.</t>
  </si>
  <si>
    <t>The man moves back and fourth while moving his arms and legs and speaking to the camera.</t>
  </si>
  <si>
    <t>v_0gA_3BAxtVM</t>
  </si>
  <si>
    <t>People are riding bicycles around a dirt track.</t>
  </si>
  <si>
    <t>Two men crash into each other and fall down.</t>
  </si>
  <si>
    <t>Several people crash into each other and fall down on the track.</t>
  </si>
  <si>
    <t>v_54Hp_Z-cu-s</t>
  </si>
  <si>
    <t>People are interacting in a track field.</t>
  </si>
  <si>
    <t>The marching band are walking with their instruments down a track.</t>
  </si>
  <si>
    <t>The drummers are performing as they walk.</t>
  </si>
  <si>
    <t>v_HMc2QoiQcoA</t>
  </si>
  <si>
    <t>A woman is seated on a bed in a bedroom.</t>
  </si>
  <si>
    <t>She runs her hands through her hair as she talks.</t>
  </si>
  <si>
    <t>She opens a cigarette case and smokes a cigarette while she talks.</t>
  </si>
  <si>
    <t>v_HGG_st1NOYM</t>
  </si>
  <si>
    <t>Women in bikinis are playing volleyball on the beach.</t>
  </si>
  <si>
    <t>One of the women falls onto the sand.</t>
  </si>
  <si>
    <t>They pose for a picture on the beach.</t>
  </si>
  <si>
    <t>v_PlSk7Q9v15A</t>
  </si>
  <si>
    <t>We see two opening title screens.</t>
  </si>
  <si>
    <t>We see a man behind a bar talking.</t>
  </si>
  <si>
    <t>The man adds ice to a martin glass and a tall glass.</t>
  </si>
  <si>
    <t>the man adds three shots to the glass and shakes it.</t>
  </si>
  <si>
    <t>The man puts a strainer on the glass and pours the ice out of the martini glass.</t>
  </si>
  <si>
    <t>The man pours the lime green drink in the martini glass and adds a cherry and straw.</t>
  </si>
  <si>
    <t>We see the closing screen.</t>
  </si>
  <si>
    <t>v_loUYsxA2RHg</t>
  </si>
  <si>
    <t>An elderly man is setting up his camera and then goes off to get on his riding mower.</t>
  </si>
  <si>
    <t>He appears on the left side riding down the sidewalk until he reaches his lawn.</t>
  </si>
  <si>
    <t>He makes a turn and starts working through the grass, going in circles until he reaches the center of the lawn.</t>
  </si>
  <si>
    <t>He then goes back and reaches a small patch of grass that he missed the first time.</t>
  </si>
  <si>
    <t>He goes back through one more time making sure that he didn't miss any spots, and gets off his lawn mower to turn the camera off.</t>
  </si>
  <si>
    <t>v_6rG5dBgwBDc</t>
  </si>
  <si>
    <t>Snowflakes are shown falling down the screen before we see a christmas tree.</t>
  </si>
  <si>
    <t>A woman is talking before she starts preparing and decorating the tree.</t>
  </si>
  <si>
    <t>She applies a plethora of ornaments and lights, and the tree is shown several different states of decoration.</t>
  </si>
  <si>
    <t>v_kHSCvFav1p4</t>
  </si>
  <si>
    <t>Two people are seen standing around a gym hitting a birdie to one another.</t>
  </si>
  <si>
    <t>The men hit the object back and fourth while others watch on the side.</t>
  </si>
  <si>
    <t>The people continue to watch the two play and one off the side takes his shirt off.</t>
  </si>
  <si>
    <t>v_uZC3WPkta-I</t>
  </si>
  <si>
    <t>A group of people are outside playing a game of croquet in the yard.</t>
  </si>
  <si>
    <t>One of the women in a kirt has her hand behind her back just watching them play.</t>
  </si>
  <si>
    <t>The other woman is the only female playing, she take her turn and then it's back to the men.</t>
  </si>
  <si>
    <t>The man in sandals hit the black ball and then it is once again the woman's turn.</t>
  </si>
  <si>
    <t>v_p4RUPQAV0ro</t>
  </si>
  <si>
    <t>A man walks up and picks up a weight.</t>
  </si>
  <si>
    <t>He lifts it up to his shoulders and then over his head.</t>
  </si>
  <si>
    <t>A person stands up and puts his fist in the air.</t>
  </si>
  <si>
    <t>Another man next to him picks up a weight and lifts it over his head.</t>
  </si>
  <si>
    <t>The men shake hands before walking off.</t>
  </si>
  <si>
    <t>v_2zQk4ZEfzf4</t>
  </si>
  <si>
    <t>A man is seen standing in a sand pit and begins spinning around and throwing the object.</t>
  </si>
  <si>
    <t>The man is shown several times spinning around and throwing the object off into the distance.</t>
  </si>
  <si>
    <t>v_awag66wjX4k</t>
  </si>
  <si>
    <t>A bike company is showing off their bikes and how to fix them.</t>
  </si>
  <si>
    <t>There is an intro of the bike company's logo.</t>
  </si>
  <si>
    <t>Then a man gives a quick into talk about the bikes.</t>
  </si>
  <si>
    <t>A person with gloves then shows off some tools and paste.</t>
  </si>
  <si>
    <t>He then uses the tools and paste to fix the bike's handle.</t>
  </si>
  <si>
    <t>The person then shows off the finished product of a fully adjustable handle.</t>
  </si>
  <si>
    <t>The ending screen shows the bike company's logo again.</t>
  </si>
  <si>
    <t>v_bPvxr2-L_HU</t>
  </si>
  <si>
    <t>A person in Blue pants attemps to pile drive a guy in a pink suit.</t>
  </si>
  <si>
    <t>The guy in the pink suit gets revenge.</t>
  </si>
  <si>
    <t>v_14dA-qLmNZo</t>
  </si>
  <si>
    <t>A large group of people are seen riding along the water on boats.</t>
  </si>
  <si>
    <t>One person crashes into another and shows a person speaking to the camera.</t>
  </si>
  <si>
    <t>More clips are shown of the boats together and logos being shown.</t>
  </si>
  <si>
    <t>v_lTFCUuLtUJs</t>
  </si>
  <si>
    <t>A large group of people are seen standing around a track leading into several people running down the road.</t>
  </si>
  <si>
    <t>A woman is seen speaking to the camera while several people are seen running and drinking water.</t>
  </si>
  <si>
    <t>More people speaking to the camera while showing them run in different locations.</t>
  </si>
  <si>
    <t>v_y0VZOcxbjRM</t>
  </si>
  <si>
    <t>There are five ladies playing shuffleboard in an indoor shuffleboard court.</t>
  </si>
  <si>
    <t>There are three women in green and two women dressed in cream colored shirts playing against each other.</t>
  </si>
  <si>
    <t>A lady from the green team begins to aim the stick to hit the puck while another team member helps her rearrange the pucks.</t>
  </si>
  <si>
    <t>Then she shoots the puck with the stick and steps back to give her opponent a chance.</t>
  </si>
  <si>
    <t>A player from the cream team then hits the puck with her stick but is not very successful.</t>
  </si>
  <si>
    <t>A man steps in and replaces the puck on the shuffleboard.</t>
  </si>
  <si>
    <t>Then another player from the green team comes forward to play.</t>
  </si>
  <si>
    <t>v_zU6SnkNIdrw</t>
  </si>
  <si>
    <t>A man is wearing an apron and standing in his kitchen.</t>
  </si>
  <si>
    <t>Several food items in bowls are shown.</t>
  </si>
  <si>
    <t>A white bowl is filled with sugar, eggs, and peanut butter, then blended.</t>
  </si>
  <si>
    <t>He presses balls of cookie dough onto a pan and bakes them.</t>
  </si>
  <si>
    <t>He eats one of the cookies for the camera while he talks about them.</t>
  </si>
  <si>
    <t>v_Gkv5ibx0tYw</t>
  </si>
  <si>
    <t>A woman with short blonde hair is sitting in a chair talking.</t>
  </si>
  <si>
    <t>She holds up a hair curler and puts it in her hair.</t>
  </si>
  <si>
    <t>She takes it out and continues talking.</t>
  </si>
  <si>
    <t>v_BbeZ2t__2iA</t>
  </si>
  <si>
    <t>A close up of a man is seen holding a coffee cup and leads into him taking a sip.</t>
  </si>
  <si>
    <t>He nods his head in approval to the coffee and is shown again drinking more coffee next to a person.</t>
  </si>
  <si>
    <t>v_ilXO32we9uo</t>
  </si>
  <si>
    <t>Two men are sailing on the blue water, with their white boat with white flags, then they avoided the buoys on the water.</t>
  </si>
  <si>
    <t>A plan written on a white paper with black pen, and then the plan is put into action, when the white boat sail on the water and turn around.</t>
  </si>
  <si>
    <t>v_qZaWIb28kfU</t>
  </si>
  <si>
    <t>A man and a boy walks around a wood fire holding sheets and wearing corned hats, while a crowd stand in a circle.</t>
  </si>
  <si>
    <t>Then, the man stand and talks to people.</t>
  </si>
  <si>
    <t>Suddenly, fire and smoke come out from the wood fire with sparkles.</t>
  </si>
  <si>
    <t>v_J4vq7MLMAtY</t>
  </si>
  <si>
    <t>Several people are shown at a party playing different games and having fun.</t>
  </si>
  <si>
    <t>A man begins to talk to one of the women as she is playing one of the games.</t>
  </si>
  <si>
    <t>The game begins to get heated while several of the women laugh and joke around.</t>
  </si>
  <si>
    <t>One of the women takes a picture of the laughing women playing the game.</t>
  </si>
  <si>
    <t>A man helps as the women try to get the hang of playing the game.</t>
  </si>
  <si>
    <t>v_3S5RoKVsAys</t>
  </si>
  <si>
    <t>We see a man in a barber shop and see images of the shop.</t>
  </si>
  <si>
    <t>The barber speaks cut with scenes of a barber shop.</t>
  </si>
  <si>
    <t>We see a Union Jack flag on the arm of a chair.</t>
  </si>
  <si>
    <t>A large dog walks through the room.</t>
  </si>
  <si>
    <t>We see the man shaving a man with a straight razor.</t>
  </si>
  <si>
    <t>v_bzJTmN6wAC4</t>
  </si>
  <si>
    <t>A man is seated in front of a canvas.</t>
  </si>
  <si>
    <t>He is using a palette to paint an ombre scene.</t>
  </si>
  <si>
    <t>He then covers the ombre to a silhouette of a tree on a hill.</t>
  </si>
  <si>
    <t>v_c_KU8M2YfzA</t>
  </si>
  <si>
    <t>A black screen is visible and white words begin to appear.</t>
  </si>
  <si>
    <t>Next,there's a line of ten boys standing together behind a rope outside in a large grassy field.</t>
  </si>
  <si>
    <t>The boys form a circle and begin leaning to the left in a lounge position to exercise.</t>
  </si>
  <si>
    <t>When they are finished,they begin pulling tug of war and the man on the left side with black suit wins.</t>
  </si>
  <si>
    <t>Another group of boys are shown and they begin crouching down in effort to win the game.</t>
  </si>
  <si>
    <t>v_2WeG8QGOfcI</t>
  </si>
  <si>
    <t>We see an instructor leading an aerobics class.</t>
  </si>
  <si>
    <t>The people do a popping waist dance.</t>
  </si>
  <si>
    <t>The people go back and forth.</t>
  </si>
  <si>
    <t>A man walks past the door.</t>
  </si>
  <si>
    <t>A man in blue enters the room.</t>
  </si>
  <si>
    <t>The people lift their legs high.</t>
  </si>
  <si>
    <t>The instructor finishes and walks back and forth.</t>
  </si>
  <si>
    <t>v_VwclmKWo_-M</t>
  </si>
  <si>
    <t>There are three young men in a house.</t>
  </si>
  <si>
    <t>One the men is sitting on a couch in the living room eating a packet of Doritos.</t>
  </si>
  <si>
    <t>And there are two other men who are staring at him while he eats.</t>
  </si>
  <si>
    <t>One of the men gets up and washes his hands.</t>
  </si>
  <si>
    <t>He then opens a can of coke and drinks from it.</t>
  </si>
  <si>
    <t>Then he begins chopping tomatoes and lettuce to make a sandwich.</t>
  </si>
  <si>
    <t>He slices some ham and makes two toasts in a toaster.</t>
  </si>
  <si>
    <t>Then he puts mayonnaise on the bread and tops it with the meat, lettuce and tomato.</t>
  </si>
  <si>
    <t>He cuts the sandwich in half and serves it on a plate.</t>
  </si>
  <si>
    <t>Then he offers the sandwich plate to the man seated on the couch eating the Doritos.</t>
  </si>
  <si>
    <t>The man takes the plate and takes a bite of the sandwich as the other man stands next to him and watches.</t>
  </si>
  <si>
    <t>v_Bri_myFFu4A</t>
  </si>
  <si>
    <t>A person retrieves an instrument from a closet.</t>
  </si>
  <si>
    <t>The man examines the instrument in his hand.</t>
  </si>
  <si>
    <t>The person holds up the violin to his chin and gets ready.</t>
  </si>
  <si>
    <t>The person plays a song on the violin.</t>
  </si>
  <si>
    <t>The man finishes the song and lowers the instrument.</t>
  </si>
  <si>
    <t>v_AsTfp_4Um1A</t>
  </si>
  <si>
    <t>Two little girls take pack a suitcase and take a trip to New York City.</t>
  </si>
  <si>
    <t>Two little girls stand in a room dressed in costumes that later morph into ballerina outfits.</t>
  </si>
  <si>
    <t>The two girls begin to dance together while singing or speaking into the camera.</t>
  </si>
  <si>
    <t>The clip fades to the two girls folding and packing clothes in a suitcase in a bedroom in a house, The girls pack tutus in a pink suitcase and then cut to them in a horse drawn carriage in the streets of New York, talking and pointing to landmarks.</t>
  </si>
  <si>
    <t>The trip ends and the two girls run into a building and then sing together on the edge of a water fountain before running off.</t>
  </si>
  <si>
    <t>v_ybF4RykZxK8</t>
  </si>
  <si>
    <t>A man is seen riding down on a skateboard while the camera follows his movements.</t>
  </si>
  <si>
    <t>The man skates around the street through obstacles and down the street.</t>
  </si>
  <si>
    <t>More people continue riding down the street while the camera follows them.</t>
  </si>
  <si>
    <t>v_qf5wMRlZYnQ</t>
  </si>
  <si>
    <t>A belly dancer is seen moving herself along a stage and performing a routine while many watch.</t>
  </si>
  <si>
    <t>She continues the routine and ends by shaking her hair around and bending backwards to pose.</t>
  </si>
  <si>
    <t>v_f6JZ3LWJRVE</t>
  </si>
  <si>
    <t>Two men hunt and shoot a buffalo in a sandy, desert like setting.</t>
  </si>
  <si>
    <t>A room filled with stuffed and hunted animals displays in a room with many of them mounted on walls.</t>
  </si>
  <si>
    <t>Two brown buffalos are standing next to each other on a sandy ground in extremely windy weather.</t>
  </si>
  <si>
    <t>Two men watch the two buffalos from a distance with weapons mounted aiming to shoot as a camera man stands behind them filming the incident.</t>
  </si>
  <si>
    <t>One of the buffalos is shot by an yellow tipped weapon while walking away.</t>
  </si>
  <si>
    <t>One of the men is then shown standing over the dead animal.</t>
  </si>
  <si>
    <t>v_ESgcgoYgg0o</t>
  </si>
  <si>
    <t>woman is sitting in front of other in a consulting room and take the glasses out and wash her hands.</t>
  </si>
  <si>
    <t>woman gives her contact lenses and he other woman holds it with the index finger put some some liquid and put it in the eye, then do the same with the other contact put the lenses and talk to the other woman.</t>
  </si>
  <si>
    <t>v_JNSaWuU8ky4</t>
  </si>
  <si>
    <t>Three people are seen kneeling on a small raft and flip themselves into the water.</t>
  </si>
  <si>
    <t>More people are seen padding along and move over to the people in the water.</t>
  </si>
  <si>
    <t>The people in the water climb back in and finally put themselves in a canoe.</t>
  </si>
  <si>
    <t>v_KTIzccovgeg</t>
  </si>
  <si>
    <t>A lake is seen with the view of a city skyline across the way.</t>
  </si>
  <si>
    <t>A group of walkers walk along the sidewalk near the lake.</t>
  </si>
  <si>
    <t>A man uses a snow blower on a sidewalk area.</t>
  </si>
  <si>
    <t>People use snow shovels to clear the sidewalk.</t>
  </si>
  <si>
    <t>A spade gardening tool is used to break up ice.</t>
  </si>
  <si>
    <t>A man applies salt to the cleared sidewalk area.</t>
  </si>
  <si>
    <t>v_0hWGSkDnRHA</t>
  </si>
  <si>
    <t>Two people are seen passing a ball back and fourth in a pool and leads into one speaking to the camera.</t>
  </si>
  <si>
    <t>The man demonstrates how to properly throw the ball with his hands while still speaking to the camera.</t>
  </si>
  <si>
    <t>v_WsXxnCQ_MIc</t>
  </si>
  <si>
    <t>A young woman uses hair products on and blow dries her hair straight with a dryer that has a comb attached to the end of it.</t>
  </si>
  <si>
    <t>The woman begins by removing a terry cloth turban from her head and revealing a wet may batch of hair.</t>
  </si>
  <si>
    <t>The woman then begins to put section of her hair in twist braids.</t>
  </si>
  <si>
    <t>The women then starts blowdrying sections of her hair with a comb attached blow dryer.</t>
  </si>
  <si>
    <t>The woman swings her straightened hair and smiles.</t>
  </si>
  <si>
    <t>v_9WmsYbZl1pw</t>
  </si>
  <si>
    <t>There's a sandwich that is still whole and has been cut in half into a triangular shape and white words pop up on the screen noting that it's a "Reuben sandwich".</t>
  </si>
  <si>
    <t>A man in the kitchen appears and he's putting seasonings into a pan and he starts swishing the pan around.</t>
  </si>
  <si>
    <t>An introduction of 6 different small videos of foods appear and there's text below that say's "Steve's cooking".</t>
  </si>
  <si>
    <t>A large piece of raw meat appears on a white plate and the word Reuben flashes a few times on it as it's shown in various different angles.</t>
  </si>
  <si>
    <t>The man then places the meat into a large pot and pours liquids onto it until it's fully covered and begins to season it with various seasonings and at the same time the names of the seasonings appear on the screen as each seasonings fall.</t>
  </si>
  <si>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t>
  </si>
  <si>
    <t>A pair of tongs pull out a piece of meat from the pot and is placed onto a white square plate where it gets put onto a cutting board and gets thinly sliced with a large serrated knife.</t>
  </si>
  <si>
    <t>An empty large clear bowl is shown and mayonnaise, ketchup, relish, worcesterchire sauce, and hot sauce get spooned into the bowl.</t>
  </si>
  <si>
    <t>A purple onion, celery and parsley then get chopped up individually and each individually gets thrown into the bowl where it begins to get mixed by a whisk and then seasoned with salt and pepper and mixed some more.</t>
  </si>
  <si>
    <t>A finger dips into the bowl to get a sample out and mixing continues for a bit longer.</t>
  </si>
  <si>
    <t>A small brush with melted butter begins to butter bread on both sides which gets put onto a flat grill and flipped until both sides are grilled.</t>
  </si>
  <si>
    <t>Some white shredded food gets thrown onto the grill and is stirred around by a black spatula.</t>
  </si>
  <si>
    <t>Thin slices of meat appear next to the white shredded food and they get topped with 3 slices of swiss cheese and covered with a white bowl until the cheese melts, then the white shredded food is scooped up and put onto the meat and cheese.</t>
  </si>
  <si>
    <t>The mixed sauce from the clear bowl is then shown being spread onto the bread with a spoon and the meat,cheese and shredded white food is put onto the bread, topped with the other bread, and then sliced in half diagonally.</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</si>
  <si>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</si>
  <si>
    <t>v_B2qCBkXrb8s</t>
  </si>
  <si>
    <t>A large man is seen standing and bowing in front of another large man while one holds his hands out inbetween the two men.</t>
  </si>
  <si>
    <t>Several people sit around the circle and the circle and the men wrestle one another.</t>
  </si>
  <si>
    <t>One pushes the other to the ground and the audience cheers.</t>
  </si>
  <si>
    <t>The man pushes another out of the circle and the audience claps once again.</t>
  </si>
  <si>
    <t>v_LgoMRWkBDkQ</t>
  </si>
  <si>
    <t>A man takes out the ice over the windows of a car.</t>
  </si>
  <si>
    <t>A person stand watching a man takes out ice on a car.</t>
  </si>
  <si>
    <t>v_LPeyqO2pRd4</t>
  </si>
  <si>
    <t>A woman add ice on a glass while talking.</t>
  </si>
  <si>
    <t>Then, the woman adds syrup in the glass using a measure cup.</t>
  </si>
  <si>
    <t>After, the woman add liquid to the glass, then pours the it in a black cup.</t>
  </si>
  <si>
    <t>After, the woman serves the mix in another glass.</t>
  </si>
  <si>
    <t>v_yRup8RDsCzk</t>
  </si>
  <si>
    <t>Two men are doing martial arts with others around them watching.</t>
  </si>
  <si>
    <t>Many other men are shown doing several flips and tricks around each other.</t>
  </si>
  <si>
    <t>Two men flip near each other while others around them watch.</t>
  </si>
  <si>
    <t>v_PqP3JIJEU5I</t>
  </si>
  <si>
    <t>A man is smoothing a substance on a roof with a trowel.</t>
  </si>
  <si>
    <t>He moves quickly to smooth out dents.</t>
  </si>
  <si>
    <t>The man moves to the bottom and smooths back up the top.</t>
  </si>
  <si>
    <t>He finishes and walks away.</t>
  </si>
  <si>
    <t>v_-yOwB5rvMAo</t>
  </si>
  <si>
    <t>A blonde woman stands by a bridge yelling.</t>
  </si>
  <si>
    <t>A brunette extends purple and red yarn to the woman.</t>
  </si>
  <si>
    <t>The woman is hallucinating this and is then doing an interview.</t>
  </si>
  <si>
    <t>A group of people in a classroom cheerfully knit away and play with yarn.</t>
  </si>
  <si>
    <t>The blonde woman hallucinates seeing the woman who gave her the yarn, and starts laughing hysterically.</t>
  </si>
  <si>
    <t>The group cheerfully displays their yarn.</t>
  </si>
  <si>
    <t>v_JHFjlLtpIcU</t>
  </si>
  <si>
    <t>A crowd watches a gymnastics show.</t>
  </si>
  <si>
    <t>A gymnast runs up to a high bar and alternates between the high and low bar, performing various gymnastics moves and flips.</t>
  </si>
  <si>
    <t>She flips off the bar and lands on her feet.</t>
  </si>
  <si>
    <t>Her fellow gymnasts run up to her in excitement.</t>
  </si>
  <si>
    <t>v_B-nlhZ0RR4A</t>
  </si>
  <si>
    <t>A man in a blue outfit puts chalk on his hands.</t>
  </si>
  <si>
    <t>A man in a yellow shirt is watching.</t>
  </si>
  <si>
    <t>The man in the blue outfit picks up a large weight and lifts it over his head.</t>
  </si>
  <si>
    <t>The crowd cheers for him.</t>
  </si>
  <si>
    <t>He gives a man in a suit a hug.</t>
  </si>
  <si>
    <t>v_aH7puGPu39Y</t>
  </si>
  <si>
    <t>Three men wearing snowboards get out a ski lift, and a man tie his shoe.</t>
  </si>
  <si>
    <t>Then, the men ski down a hill covered with snow.</t>
  </si>
  <si>
    <t>A man bend his legs on the snow, then continue skiing with other men.</t>
  </si>
  <si>
    <t>v_UoO7VCPs8Jw</t>
  </si>
  <si>
    <t>A man holding a shot put stands on a base.</t>
  </si>
  <si>
    <t>The man turns his back to the camera and prepares to throw.</t>
  </si>
  <si>
    <t>The man throws the ball and and spins around.</t>
  </si>
  <si>
    <t>v_b5E7-GxvCdk</t>
  </si>
  <si>
    <t>A woman is on her hands and knees cutting grass with some scissors.</t>
  </si>
  <si>
    <t>The camera pans out to give a full view of her cutting the grass.</t>
  </si>
  <si>
    <t>She makes a joke about the grass having split ends and bad roots.</t>
  </si>
  <si>
    <t>The camera goes back to a close up of the grass and the video ends.</t>
  </si>
  <si>
    <t>v_17nr8u_ze0o</t>
  </si>
  <si>
    <t>A camera pans around several wooded areas and leads into a boy holding a leaf blower and smiling to the camera.</t>
  </si>
  <si>
    <t>The camera pans to an older man and then back to the boys blowing leaves.</t>
  </si>
  <si>
    <t>v_UG82vrvkYFk</t>
  </si>
  <si>
    <t>A man in green trunks throws a man in red trunks in a wrestling ring.</t>
  </si>
  <si>
    <t>The man in green trunks rolls out of the ring.</t>
  </si>
  <si>
    <t>The man in green trunks spears the other man.</t>
  </si>
  <si>
    <t>The man in green trunks power bombs the other man.</t>
  </si>
  <si>
    <t>The man in green trunks pins the other man and wins the match.</t>
  </si>
  <si>
    <t>v_Tix8XrlBZxg</t>
  </si>
  <si>
    <t>It's snowing outside of a home with a gray parked van and the man is holding tools, puts the camera down and then begins to clean the snow off of the van.</t>
  </si>
  <si>
    <t>The man moves the camera and adjusts the position and then walks back to the van begins cleaning the snow off of the entire top of the van.</t>
  </si>
  <si>
    <t>The man walks back to the camera and moves it once more so it can capture a different view and he continues to wipe the snow off of the side and top of the van.</t>
  </si>
  <si>
    <t>The piece of the tool breaks off and the man grabs it and shows it to the camera and continues talking, goes off camera, and then shows the camera he has fixed the tool and then moves the camera again.</t>
  </si>
  <si>
    <t>A woman shows up and she touches the van with her hands and starts to wipe off the snow with just her hands.</t>
  </si>
  <si>
    <t>v_CBckvP5FR4A</t>
  </si>
  <si>
    <t>First a screen is shown, showing what song the man will be playing using the guitar.</t>
  </si>
  <si>
    <t>Then the man is shown sitting down playing the guitar and he never looks up at the camera.</t>
  </si>
  <si>
    <t>Finally the video ends and the only thing seen is darkness.</t>
  </si>
  <si>
    <t>v_bNuRrXSjJl0</t>
  </si>
  <si>
    <t>A woman is seen standing ready on a diving board and leads into her holding out her arms and performing an impressive dive.</t>
  </si>
  <si>
    <t>The woman is seen several more times diving into the pool and coming to the surface.</t>
  </si>
  <si>
    <t>v_dufQjqa3v6w</t>
  </si>
  <si>
    <t>A man talks in an office holding a harmonica.</t>
  </si>
  <si>
    <t>Then, the man opens a stand and turns on the radio.</t>
  </si>
  <si>
    <t>After, the man plyas the harmonica.</t>
  </si>
  <si>
    <t>v_qRuPuzY6yiE</t>
  </si>
  <si>
    <t>A large group of army solider are seen holding a large rope on one side of each other while other soldiers watch.</t>
  </si>
  <si>
    <t>A man stands in the middle and the people begin pulling the rope from one another.</t>
  </si>
  <si>
    <t>One side pulls the others down and the rest of the team cheer while the camera pans around.</t>
  </si>
  <si>
    <t>v_R0dqEWnDC7k</t>
  </si>
  <si>
    <t>The video shows two countries represented by blue and green uniforms playing the game of cricket professionally.</t>
  </si>
  <si>
    <t>The batsmen is batting while the bowler is doing an overhand throw.</t>
  </si>
  <si>
    <t>The next scene shows a team of cricketers wearing white uniforms getting ready to play as they gather in a circle with their captain.</t>
  </si>
  <si>
    <t>v_ejMpWeFZLec</t>
  </si>
  <si>
    <t>A girl walks into the center of a room with a hula hoop.</t>
  </si>
  <si>
    <t>She does several acts and stunts with the hoop, bringing her head and arms in and out.</t>
  </si>
  <si>
    <t>v_tLdbdQ9fVZE</t>
  </si>
  <si>
    <t>A person is seen standing next to a tree while waving and speaking to the camera.</t>
  </si>
  <si>
    <t>The person then holds up dirt and leads into several clips of her raking around a tree and pointing to it.</t>
  </si>
  <si>
    <t>v_8wxFQrFEo3M</t>
  </si>
  <si>
    <t>An intro screen of clouds appear and the blue words across it say "HOOKAH TRICK MONTAGE HD".</t>
  </si>
  <si>
    <t>Various words show up in between many different clips of many different people blowing smoke out of their mouths and doing many different tricks; and when the words are put together they say "ITS TIME TO MAKE IT RIGHT".</t>
  </si>
  <si>
    <t>When the clips are done a black screen appears and blue letters appear and it say's "Thanks for watching".</t>
  </si>
  <si>
    <t>v_kM7jFLYDUy0</t>
  </si>
  <si>
    <t>A boy is in a bumper car, spinning around by himself.</t>
  </si>
  <si>
    <t>He moves back and forward in his car.</t>
  </si>
  <si>
    <t>He looks lonely as he finally comes to a stop.</t>
  </si>
  <si>
    <t>v_qumU7AgV3Mk</t>
  </si>
  <si>
    <t>People interact in a circling ice arena.</t>
  </si>
  <si>
    <t>A lady talks to a group of males.</t>
  </si>
  <si>
    <t>A guy slips, falls on the ice arena, and laughs.</t>
  </si>
  <si>
    <t>A man opens his mouth very wide to show his excitement.</t>
  </si>
  <si>
    <t>A lady stops the circling stone with a broom.</t>
  </si>
  <si>
    <t>The credits with two mini clips are shown.</t>
  </si>
  <si>
    <t>v_FNHoSA0hLgM</t>
  </si>
  <si>
    <t>An older boy and a younger one are on a racquetball court.</t>
  </si>
  <si>
    <t>They hit the ball back and forth against the wall.</t>
  </si>
  <si>
    <t>They continue fighting over the ball, trying to beat each other in the game.</t>
  </si>
  <si>
    <t>v_aeKIYkn99_Q</t>
  </si>
  <si>
    <t>We see the title on a black screen.</t>
  </si>
  <si>
    <t>People are in line at a ski slope.</t>
  </si>
  <si>
    <t>We see people in rafts being pulled up a hill and people riding rafts down the slope.</t>
  </si>
  <si>
    <t>We see a man at the top of the mountain.</t>
  </si>
  <si>
    <t>We see writing stating the camera was dropped.</t>
  </si>
  <si>
    <t>The man films his face as he slides down the hill.</t>
  </si>
  <si>
    <t>We see a young man's face as he rides down the hill.</t>
  </si>
  <si>
    <t>We see people walking to their cars in the parking lot.</t>
  </si>
  <si>
    <t>At the end we see a kid laying on a raft.</t>
  </si>
  <si>
    <t>v_t_2jTjX3a_o</t>
  </si>
  <si>
    <t>A countdown is shown followed by a woman catching balls thrown at her.</t>
  </si>
  <si>
    <t>The number counts down more and shows more clips of women playing dodgeball.</t>
  </si>
  <si>
    <t>Several more numbers and clips are shown ending with people performing impressive throws.</t>
  </si>
  <si>
    <t>v_YnB0VW34wlY</t>
  </si>
  <si>
    <t>A boy is chopping wood in a forest.</t>
  </si>
  <si>
    <t>The boy almost drops the axe.</t>
  </si>
  <si>
    <t>The boy looks at the camera.</t>
  </si>
  <si>
    <t>v_dI1GZfJ-A0E</t>
  </si>
  <si>
    <t>A person is seen walking back to the end of their car and putting their hands on their hips.</t>
  </si>
  <si>
    <t>They realize they have a flat tire and pull out a jack attempting to get it off.</t>
  </si>
  <si>
    <t>The woman falls and fails backwards off a bridge, landing on a truck.</t>
  </si>
  <si>
    <t>v_9bnt6lDcF6Y</t>
  </si>
  <si>
    <t>A man in a blue polo speaks to the camera.</t>
  </si>
  <si>
    <t>In a different setting, the man is instructing a blonde woman on how to perform sit ups.</t>
  </si>
  <si>
    <t>The woman does sit ups.</t>
  </si>
  <si>
    <t>The man returns to speak to the camera.</t>
  </si>
  <si>
    <t>v_Q7eK0xT6VSQ</t>
  </si>
  <si>
    <t>A video is shown how to change a spare tire.</t>
  </si>
  <si>
    <t>The first tire is taken off and replaced, but nothing else is done.</t>
  </si>
  <si>
    <t>v_jwd8ELi0au8</t>
  </si>
  <si>
    <t>We see a dart board on a wall.</t>
  </si>
  <si>
    <t>Two men are playing a game of darts.</t>
  </si>
  <si>
    <t>We see the camera operator.</t>
  </si>
  <si>
    <t>We see a man up close in the camera.</t>
  </si>
  <si>
    <t>We see a man up close.</t>
  </si>
  <si>
    <t>We see a mans socks and a man close to the camera.</t>
  </si>
  <si>
    <t>v_q4FZTmaqEx8</t>
  </si>
  <si>
    <t>A man is seen speaking to the camera and begins kneeling down on a roof.</t>
  </si>
  <si>
    <t>The man then use a tool to scrape off tiles on the roof as well as another tool to put them back down.</t>
  </si>
  <si>
    <t>The man continues taking off tiles on the roof and gluing others down and ends by smiling to the camera.</t>
  </si>
  <si>
    <t>v_fJ45W32t6h0</t>
  </si>
  <si>
    <t>A person kicks off a tubing participant to ride down the snow slide.</t>
  </si>
  <si>
    <t>The camera pans to two tubers who are waiting to go down themselves.</t>
  </si>
  <si>
    <t>The next two people ride down the slide.</t>
  </si>
  <si>
    <t>Finally, The cameraman takes the ride and we get to live vicariously through them.</t>
  </si>
  <si>
    <t>v_x3cOxXOYbwA</t>
  </si>
  <si>
    <t>A weight is seen putting put on a bar and leads into a man kneeling down.</t>
  </si>
  <si>
    <t>The man grabs a set of weights and begins to lift it over his head.</t>
  </si>
  <si>
    <t>He throws the weight up and then back on the ground.</t>
  </si>
  <si>
    <t>v_P6t2HLPZ3Dk</t>
  </si>
  <si>
    <t>A boy dressed in a burgundy polo is at a bowling alley and throws the ball high up in the air and it ends up coming back in the other lane.</t>
  </si>
  <si>
    <t>More bowlers are shown and they begin falling onto the lanes as the attempt to throw the ball.</t>
  </si>
  <si>
    <t>A man then comes along and spins around on his head and ends up hitting the pins with the balls.</t>
  </si>
  <si>
    <t>Finally,a ball is thrown correctly and the man congratulates him.</t>
  </si>
  <si>
    <t>v_RTbvrcdPcrs</t>
  </si>
  <si>
    <t>People are working out in a room.</t>
  </si>
  <si>
    <t>They are stepping up and down on a blue mat.</t>
  </si>
  <si>
    <t>They start raising their hands in the air.</t>
  </si>
  <si>
    <t>v_CtooIi6Mk7U</t>
  </si>
  <si>
    <t>A man is standing in a yard flying a kite.</t>
  </si>
  <si>
    <t>A woman is standing in front of him and flies the kite after.</t>
  </si>
  <si>
    <t>The kite is shown in the sky.</t>
  </si>
  <si>
    <t>Another woman starts flying the kite outside.</t>
  </si>
  <si>
    <t>v_UnpBbcIa3zA</t>
  </si>
  <si>
    <t>An athlete sets up her stance in order to throw a disc during a track and field event.</t>
  </si>
  <si>
    <t>The woman throws the disc far across the field.</t>
  </si>
  <si>
    <t>The athlete celebrates the throw and the crowd cheers.</t>
  </si>
  <si>
    <t>A replay is seen of the woman's throw.</t>
  </si>
  <si>
    <t>v_RmuhtC-TCck</t>
  </si>
  <si>
    <t>A man explains while stands on a fenced court.</t>
  </si>
  <si>
    <t>Then, the man dance hip hop, and then explain doing hip hop demonstrations.</t>
  </si>
  <si>
    <t>After, the man sit on the floor and raise his body with her hands, the spins the legs to do hip hop movements.</t>
  </si>
  <si>
    <t>v_hrcSCXaNhmY</t>
  </si>
  <si>
    <t>A man is in a field with Frisbees in his hand and throws it to his black and white husky dog.</t>
  </si>
  <si>
    <t>The two continue to do tricks and the dog jumps on the mans back.</t>
  </si>
  <si>
    <t>More Frisbee are thrown and the dog catches the Frisbee and the man hugs the dog.</t>
  </si>
  <si>
    <t>v_yPEf9ajKwI8</t>
  </si>
  <si>
    <t>people are moving the furniture out of the living room, even the carpet and everything.</t>
  </si>
  <si>
    <t>They come in and sweep the floor and then start putting down some tarp and wood.</t>
  </si>
  <si>
    <t>They are remodeling the floor from carpet to wood floors.</t>
  </si>
  <si>
    <t>Once the floor is done they bring back all the furniture.</t>
  </si>
  <si>
    <t>v_KcSo4p-hhBs</t>
  </si>
  <si>
    <t>A woman is seen speaking to the camera and leads into her cutting a person's hair.</t>
  </si>
  <si>
    <t>She continues cutting and styling the hair while the man looks off into the distance.</t>
  </si>
  <si>
    <t>v_nR7tqWpNpe8</t>
  </si>
  <si>
    <t>There's a group of rafters wearing yellow vests going on an adventure.</t>
  </si>
  <si>
    <t>They are rowing the raft through the river as the turbulent waves gush towards their raft.</t>
  </si>
  <si>
    <t>They continue rafting through the river as they stay afloat against the fierce waves.</t>
  </si>
  <si>
    <t>The rafters stay afloat despite the turbulent and agitated waves of the river.</t>
  </si>
  <si>
    <t>Some of the rafters are on top of a hill and one of the rafter is diving into the water.</t>
  </si>
  <si>
    <t>The rafters continue their journey through the turbulent waters of the river.</t>
  </si>
  <si>
    <t>There's a person bungee jumping from an elevated crane into the river.</t>
  </si>
  <si>
    <t>v_lfGmSfTjnA8</t>
  </si>
  <si>
    <t>A woman is standing in a messy kitchen in front of the sink preparing to cut something.</t>
  </si>
  <si>
    <t>She grabs a potato and a peeler and begins taking the edges off.</t>
  </si>
  <si>
    <t>As she continues cutting,two young girls walk in the kitchen and begin watching her and grabbing dishes.</t>
  </si>
  <si>
    <t>v_zfqach0dDYo</t>
  </si>
  <si>
    <t>wrestler is in a ring doing a head lock and a man jumps outside the ring and push the men.</t>
  </si>
  <si>
    <t>referee is in the ring and counts the seconds of the wreslers on the floor.</t>
  </si>
  <si>
    <t>v__B2kFN9MfwU</t>
  </si>
  <si>
    <t>A woman is shown hosting a news segment when the camera pans to sunscreen news.</t>
  </si>
  <si>
    <t>Several people are shown on a beach and interviewed by a reporter on sunscreen.</t>
  </si>
  <si>
    <t>Bottles are shown containing sunscreen and people putting it on.</t>
  </si>
  <si>
    <t>The reporter talks to people and pans back to shirts used for sunscreen and people traveling around the world.</t>
  </si>
  <si>
    <t>v_18QVPZgjy8w</t>
  </si>
  <si>
    <t>A man holds a badminton racket in a gym and talks.</t>
  </si>
  <si>
    <t>The man leans to the left and holds the racket out.</t>
  </si>
  <si>
    <t>The man turns to the right and shows his back to the camera.</t>
  </si>
  <si>
    <t>the man talks to the camera and the man jumps back and forth across the screen.</t>
  </si>
  <si>
    <t>The man talks to the camera and the man leans left one more time.</t>
  </si>
  <si>
    <t>We see the closing title screen.</t>
  </si>
  <si>
    <t>v_xYuqZ_RrCC0</t>
  </si>
  <si>
    <t>A man combs his beard in front of a mirror in his bathroom.</t>
  </si>
  <si>
    <t>The man reaches down to pick up sizzors then trims his mustache.</t>
  </si>
  <si>
    <t>The man picks up lotion which he applies to his neck.</t>
  </si>
  <si>
    <t>The man picks up a package of razors and assembles them into his steel razor gadget.</t>
  </si>
  <si>
    <t>The man uses his razor to trim his face and beard.</t>
  </si>
  <si>
    <t>The man picks up a package and applies a product to his face.</t>
  </si>
  <si>
    <t>The man uses a towel to wipe down his face.</t>
  </si>
  <si>
    <t>the man picks up a bottle of oil from the counter and applies it to his beard.</t>
  </si>
  <si>
    <t>v_xi1oCOBPAzQ</t>
  </si>
  <si>
    <t>A close up of a fishing hole is shown with a person using objects to fish and another stands off in the distance.</t>
  </si>
  <si>
    <t>The man uses the objects to capture a fish and zooms in on a hole.</t>
  </si>
  <si>
    <t>They finally pack up a tent and carry it with them as they drive along.</t>
  </si>
  <si>
    <t>v_icjyAZ3KVBw</t>
  </si>
  <si>
    <t>A man in a red shirt is standing next to an exercise machine.</t>
  </si>
  <si>
    <t>He gets on the machine and starts working out.</t>
  </si>
  <si>
    <t>v_qSXMTcGBqtY</t>
  </si>
  <si>
    <t>A woman straights the hair of a young lady using a brush and a hair dryer.</t>
  </si>
  <si>
    <t>The woman holds part of the the hair up, then she curves the hair with and hair iron.</t>
  </si>
  <si>
    <t>v_J3jICOa0WCk</t>
  </si>
  <si>
    <t>A large group of people are seen standing around a parking lot with one holding a ball.</t>
  </si>
  <si>
    <t>The group then plays a game of kickball while moving around the area and throwing balls at one another.</t>
  </si>
  <si>
    <t>The people continue walking around while looking to one another and throwing the ball.</t>
  </si>
  <si>
    <t>v_eg3oZ4XCEKk</t>
  </si>
  <si>
    <t>A large group of people are seen running around a disney resort while waving to the camera and several shots of the kingdom being shown.</t>
  </si>
  <si>
    <t>Many characters are shown waving to the runners as well as more shots of people running past characters and going through the finish line and celebrating.</t>
  </si>
  <si>
    <t>v_Q-HdDcyC9d8</t>
  </si>
  <si>
    <t>The person with black apron spray a white foam on the shoes.</t>
  </si>
  <si>
    <t>The person brush the shoes with white foam on it.</t>
  </si>
  <si>
    <t>The person brushed the shoes after the foam is gone and began spraying a chemical in it and polished the metal part of the shoes.</t>
  </si>
  <si>
    <t>v_AnbC-26sAI4</t>
  </si>
  <si>
    <t>Several various shots are shown of a large boat traveling along a tough storm.</t>
  </si>
  <si>
    <t>A man is seen steering the boat through the storm and talking to a camera with the video ending of more shots of the boat.</t>
  </si>
  <si>
    <t>v_OWEwmnZvvJE</t>
  </si>
  <si>
    <t>A young man is seen standing around a pool followed by several clips of the boy jumping in the pool and swimming around.</t>
  </si>
  <si>
    <t>The boy continues to swim all around the pool with a man swimming behind him and the boy smiling to the camera.</t>
  </si>
  <si>
    <t>v_qakxXmFvFy0</t>
  </si>
  <si>
    <t>Three kids are making a sand castle on the beach.</t>
  </si>
  <si>
    <t>A man is laying next to them on a towel.</t>
  </si>
  <si>
    <t>v_xDRvD_-fvd8</t>
  </si>
  <si>
    <t>After a Tissot ad appears, a row of fencers are shown.</t>
  </si>
  <si>
    <t>They high five, and are displayed in several clips fighting, then back to the row of standing on the stage.</t>
  </si>
  <si>
    <t>One is injured, and is carried away.</t>
  </si>
  <si>
    <t>v_Ix2vIutdeNQ</t>
  </si>
  <si>
    <t>A smiling man in sunglasses opens mouthwash and gargles.</t>
  </si>
  <si>
    <t>The man spits in a cup.</t>
  </si>
  <si>
    <t>A lady removes a plaque from the wall.</t>
  </si>
  <si>
    <t>We see a closing screen.</t>
  </si>
  <si>
    <t>v_UgsqMLsPG0k</t>
  </si>
  <si>
    <t>The man then puts plaster on a base and applies it to the ceiling while on stilts.</t>
  </si>
  <si>
    <t>The man walks back and forth smoothing the applied plaster.</t>
  </si>
  <si>
    <t>The man walks to and turns off the camera.</t>
  </si>
  <si>
    <t>v_eLQ1c2tMJls</t>
  </si>
  <si>
    <t>A man picks up a brown boot and brushes it.</t>
  </si>
  <si>
    <t>A man opens an aerosol can and sprays the boot.</t>
  </si>
  <si>
    <t>A man rubs the products of a black tube on the boot's sole edge.</t>
  </si>
  <si>
    <t>v_4a0Q-IAqO8U</t>
  </si>
  <si>
    <t>A man in a black shirt is standing outside talking.</t>
  </si>
  <si>
    <t>He then is inside a swimming pool.</t>
  </si>
  <si>
    <t>He is back outside talking to the camera.</t>
  </si>
  <si>
    <t>v_PSUGaj7_5LI</t>
  </si>
  <si>
    <t>At the bowling alley, there are a lot of people.</t>
  </si>
  <si>
    <t>The little boy rolls for his turn and he strikes.</t>
  </si>
  <si>
    <t>He waits for his ball to come back and gets prepared to take his next turn, it's another strike.</t>
  </si>
  <si>
    <t>He takes another turn and makes another strike, everyone is congratulating and hugging him.</t>
  </si>
  <si>
    <t>v_n7ED3zaQqws</t>
  </si>
  <si>
    <t>A person is seen moving along a pool while the camera watches from behind.</t>
  </si>
  <si>
    <t>A man is then seen speaking to the camera and moving his arms around.</t>
  </si>
  <si>
    <t>More clips are shown of the person swimming along the water.</t>
  </si>
  <si>
    <t>v_juKQ_gU42EM</t>
  </si>
  <si>
    <t>A anchorman in a suit sits with a laptop on his clear desk.</t>
  </si>
  <si>
    <t>A man is tackled by a bull.</t>
  </si>
  <si>
    <t>The man gets up and his mouth is bloody.</t>
  </si>
  <si>
    <t>People help the man out of the rodeo dirt area.</t>
  </si>
  <si>
    <t>v_6iuD3pSgBcw</t>
  </si>
  <si>
    <t>A young man is standing on stage and eventually several other boys join in wearing kilts.</t>
  </si>
  <si>
    <t>They stand in front of one drum and perform a routine using only drums.</t>
  </si>
  <si>
    <t>The boys spin and flip their sticks constantly and continue performing their drumming routine.</t>
  </si>
  <si>
    <t>One stands up and begins singing a song while the others join in.</t>
  </si>
  <si>
    <t>They boys go back to playing the drums and finally finish by playing each other's drums and faster than other.</t>
  </si>
  <si>
    <t>v_kI0AyrGe-NU</t>
  </si>
  <si>
    <t>Two cats are seen laying on a bed facing one another.</t>
  </si>
  <si>
    <t>One cat then begins to lick the other.</t>
  </si>
  <si>
    <t>The first cat then stops and the other licks afterwards.</t>
  </si>
  <si>
    <t>v_NbIxjYWSURI</t>
  </si>
  <si>
    <t>A montage of athletes completing incredible stunts and races are shown as well as hundreds of people watching in the audience.</t>
  </si>
  <si>
    <t>The shots lead into several more athletes jumping over a pole while pausing the in the middle, finishing with the shot being shown again in slow motion.</t>
  </si>
  <si>
    <t>The final gymnast waves to the camera and walks away.</t>
  </si>
  <si>
    <t>v_DWVI_N4Aeo8</t>
  </si>
  <si>
    <t>A diving is seen standing ready with his arms out to the side.</t>
  </si>
  <si>
    <t>The man then performs an impressive dive and is followed by several clips of other people diving.</t>
  </si>
  <si>
    <t>v_Or7mIy83LsQ</t>
  </si>
  <si>
    <t>A teen stand on a track, then he runs and jumps long on a sand box, after the teen stands and walk.</t>
  </si>
  <si>
    <t>A person pass behind the teen.</t>
  </si>
  <si>
    <t>An athlete performs long jump in the sand box.</t>
  </si>
  <si>
    <t>Another athlete runs and jumps long over the sand box.</t>
  </si>
  <si>
    <t>v_JNuVGc8mn54</t>
  </si>
  <si>
    <t>There men have chairs and are sitting int he subway way making some music.</t>
  </si>
  <si>
    <t>One of them is playing guitar and two of them are playing the violin.</t>
  </si>
  <si>
    <t>People walk by them and a kid pushing a stroller and some other children come and stop to watch them for a little by.</t>
  </si>
  <si>
    <t>There is a crowd that has actually stopped to watch them play, clapping and one of them leaving money in their case.</t>
  </si>
  <si>
    <t>v_-sXrwv7C5CI</t>
  </si>
  <si>
    <t>A man jumps onto two bars.</t>
  </si>
  <si>
    <t>He does a gymnastics routine on the bars.</t>
  </si>
  <si>
    <t>A man in a white jacket watches him perform.</t>
  </si>
  <si>
    <t>He does a flip and lands on the mat.</t>
  </si>
  <si>
    <t>The crowd applauds him after he lands.</t>
  </si>
  <si>
    <t>v_5yfDyVVkPuU</t>
  </si>
  <si>
    <t>Two men are seen speaking to the camera followed by several clips of people hitting a ball.</t>
  </si>
  <si>
    <t>More shots are shown of people holding up sticks and hitting a ball with another coach near by helping and speaking to the camera.</t>
  </si>
  <si>
    <t>v_5gBRDguUe8U</t>
  </si>
  <si>
    <t>A person is seen sitting on a stool and piecing together several parts of a bike.</t>
  </si>
  <si>
    <t>The person continues piecing the bike together and pans around the finished product in the end.</t>
  </si>
  <si>
    <t>v_F6FyJl5OQ0A</t>
  </si>
  <si>
    <t>A green boat with black and white accents on it is gliding on the water.</t>
  </si>
  <si>
    <t>A pair of blue and black shoes are on a deck while a foot is being placed the right side.</t>
  </si>
  <si>
    <t>A man is now standing on a waterboard that the blue shoes are attached to and he's holding a blue rope attached to a triangular handle.</t>
  </si>
  <si>
    <t>White words on a black screen show up and read Zucky Wakeboarding 2015 summer and then fades away.</t>
  </si>
  <si>
    <t>The man is shown again and now he's in motion wake boarding as he holds onto the handle connected to the rope and he is doing various tricks going from side to side, occasionally jumping, spinning and sometimes doing all at once.</t>
  </si>
  <si>
    <t>The video ends with white words and numbers on a black screen that read -END- editor: 05.</t>
  </si>
  <si>
    <t>v_lpeyMIH1YqA</t>
  </si>
  <si>
    <t>A man is sitting on a revolving chair with his one leg folded over the other.</t>
  </si>
  <si>
    <t>Another man takes a cloth and begins cleaning his black leather shoes with a cloth to make it shiny.</t>
  </si>
  <si>
    <t>He cleans the shoe with a back and forth motion.</t>
  </si>
  <si>
    <t>v_qfb0Qe7s9oo</t>
  </si>
  <si>
    <t>A woman with blonde hair is explaining how to make rosemary vodka lemonade.</t>
  </si>
  <si>
    <t>Two jars of liquid appear.</t>
  </si>
  <si>
    <t>The woman takes a sip of the liquid.</t>
  </si>
  <si>
    <t>The woman prepares the liquid with herbs and sugar in a bowl.</t>
  </si>
  <si>
    <t>The woman pours the liquid in a glass.</t>
  </si>
  <si>
    <t>The woman pours the liquid into jars with ice.</t>
  </si>
  <si>
    <t>The woman mixes the concoction.</t>
  </si>
  <si>
    <t>The woman drinks the liquid in a jar.</t>
  </si>
  <si>
    <t>The video ends with a view of the jars with liquid.</t>
  </si>
  <si>
    <t>v_yTJCrP0HqEE</t>
  </si>
  <si>
    <t>A woman is shown speaking to the camera and showing various shots of children sitting in a chair and performing on tv.</t>
  </si>
  <si>
    <t>The woman speaks more to the camera and puts a contact into the girls eye.</t>
  </si>
  <si>
    <t>The girl smiles into a mirror and shows how she takes out the contacts and a reminder on your phone.</t>
  </si>
  <si>
    <t>One last woman speaks to the camera and the girl cheers and smiles again.</t>
  </si>
  <si>
    <t>v_0gvD2pktxxw</t>
  </si>
  <si>
    <t>a boy is sitting in front of a timer on a computer monitor.</t>
  </si>
  <si>
    <t>He has several rubik's cubes in a row.</t>
  </si>
  <si>
    <t>He is timing himself as he attempts to solve the cube.</t>
  </si>
  <si>
    <t>He moves quickly, solving them in short time.</t>
  </si>
  <si>
    <t>He clenches his fists with joy.</t>
  </si>
  <si>
    <t>v_jWuq6clN5q4</t>
  </si>
  <si>
    <t>The people are shown playing the drums using wooden drumsticks.</t>
  </si>
  <si>
    <t>There are also people behind them playing golden cymbals.</t>
  </si>
  <si>
    <t>After a while they all stop playing and stand silently.</t>
  </si>
  <si>
    <t>v_AEer099-yUM</t>
  </si>
  <si>
    <t>A woman stands in a red dress.</t>
  </si>
  <si>
    <t>She is throwing darts at a board.</t>
  </si>
  <si>
    <t>She throws several darts at the board.</t>
  </si>
  <si>
    <t>She throws darts in slow motion.</t>
  </si>
  <si>
    <t>v_FoPNGc6Lg8k</t>
  </si>
  <si>
    <t>A woman is completing a routine in the olympics on the balance beam.</t>
  </si>
  <si>
    <t>She jumps up and down gracefully and then falls for a bit of a point deduction.</t>
  </si>
  <si>
    <t>She finishes her routine and gets a hug from her coach.</t>
  </si>
  <si>
    <t>v_ffDlO-IrsxI</t>
  </si>
  <si>
    <t>An assortment of teams male and female are lined up outside of a building then they are let in.</t>
  </si>
  <si>
    <t>In the building,there are multiple pool tables and a man begins instructing them on what to do.</t>
  </si>
  <si>
    <t>Different people begin hitting the balls and the instructor goes over to help them.</t>
  </si>
  <si>
    <t>v_Alv7N6Ynm1Y</t>
  </si>
  <si>
    <t>A group of people have gathered on a stage.</t>
  </si>
  <si>
    <t>The audience claps for the performers.</t>
  </si>
  <si>
    <t>They shake hands and hug as credits roll.</t>
  </si>
  <si>
    <t>v_5IwVWA2HY5M</t>
  </si>
  <si>
    <t>A woman is in a kitchen, talking.</t>
  </si>
  <si>
    <t>She is showing off an array of sandwich toppings.</t>
  </si>
  <si>
    <t>She places meat and cheese on bread, then closes the sandwich.</t>
  </si>
  <si>
    <t>v_x0HMqVvqHJE</t>
  </si>
  <si>
    <t>Many females, some in blue shirts and some in white shirts, run around on a field playing a game.</t>
  </si>
  <si>
    <t>A few people watch from the bleachers in the background.</t>
  </si>
  <si>
    <t>Two referees runs about and down the field with the players.</t>
  </si>
  <si>
    <t>Other players watch from the sideline near a fence.</t>
  </si>
  <si>
    <t>A group of people keeping score sit at a table on the sideline.</t>
  </si>
  <si>
    <t>Some of the people watching from the bleachers are standing now.</t>
  </si>
  <si>
    <t>A man in a blue sweatshirt walks on the sideline.</t>
  </si>
  <si>
    <t>v_H9ekrZnisUI</t>
  </si>
  <si>
    <t>Outside in the yard there is a lady dressed like a cupcake and she is playing a game of cricket.</t>
  </si>
  <si>
    <t>She hits the yellow ball but it does not move very far at all.</t>
  </si>
  <si>
    <t>She has a little bit of trouble trying to get a good position to hit the ball again.</t>
  </si>
  <si>
    <t>When she finally hits it again it does not go through the course like she was expecting so she is disappointed.</t>
  </si>
  <si>
    <t>v_VBY8feOQgy4</t>
  </si>
  <si>
    <t>There is an indoor gym where two contestants are fencing with each other.</t>
  </si>
  <si>
    <t>There is a person dressed in black who is their referee.</t>
  </si>
  <si>
    <t>Another pair of contestants are also fencing at the same event.</t>
  </si>
  <si>
    <t>Two men dressed in fencing gear continue to fence in the gym.</t>
  </si>
  <si>
    <t>v_bEniqIC5Ric</t>
  </si>
  <si>
    <t>A woman rides a camel holding a rode with her right hand while a man pulls the camel.</t>
  </si>
  <si>
    <t>Then, the camel stops and the woman gets down from the camel.</t>
  </si>
  <si>
    <t>v_OyeXXxV3MSg</t>
  </si>
  <si>
    <t>Two men laugh and bow there heads watching work get done.</t>
  </si>
  <si>
    <t>The person paints their friends nails.</t>
  </si>
  <si>
    <t>The man removes his friends hand and continues working.</t>
  </si>
  <si>
    <t>v_MM5mreexkI8</t>
  </si>
  <si>
    <t>A young girl runs through the living room dropping flowers and dirt around.</t>
  </si>
  <si>
    <t>A woman grabs a vacuum and vacuums the floor.</t>
  </si>
  <si>
    <t>She inserts a tool into the vacuum and vacuums along the baseboards.</t>
  </si>
  <si>
    <t>She uses a special tool of the vacuum to vacuum around the sofa and the stair carpet.</t>
  </si>
  <si>
    <t>She uses another tool of the vacuum to vacuum around windows.</t>
  </si>
  <si>
    <t>She pulls a tray out of the vacuum.</t>
  </si>
  <si>
    <t>v_ytXLI-2wgaQ</t>
  </si>
  <si>
    <t>A group of children play hockey on a field with coaches coaching as they play.</t>
  </si>
  <si>
    <t>A coach demonstrates how to block a goal inside of a interior gym in front of a group of young people.</t>
  </si>
  <si>
    <t>The children then emulate the training as the camera cuts to the coach talking to the camera.</t>
  </si>
  <si>
    <t>The children continue to play hockey until the screen fades.</t>
  </si>
  <si>
    <t>v_TN8tBV7CY6U</t>
  </si>
  <si>
    <t>A close up is shown of a mini pool table with cues and balls.</t>
  </si>
  <si>
    <t>A man uses the cue to shoot the balls into the pockets.</t>
  </si>
  <si>
    <t>He sits a doll on the table to show size.</t>
  </si>
  <si>
    <t>He also shoots a wiffle ball on the table, and a marble.</t>
  </si>
  <si>
    <t>v_DD3MU7uM9mM</t>
  </si>
  <si>
    <t>Two men are fighting inside a wrestling ring.</t>
  </si>
  <si>
    <t>They flip and tumble over each other.</t>
  </si>
  <si>
    <t>One of the wrestlers pins the other, and the count goes to three.</t>
  </si>
  <si>
    <t>v_25dJIdZj6Xs</t>
  </si>
  <si>
    <t>Two people wearing scuba gear are sitting at the edge of a boat with their backs to the water.</t>
  </si>
  <si>
    <t>The person on the right leans all the way back and splashes in the water.</t>
  </si>
  <si>
    <t>The next person also leans back but can't fully fall into the water because they're stuck to something on the boat, so their legs go flailing.</t>
  </si>
  <si>
    <t>v_sTtFSpelQk4</t>
  </si>
  <si>
    <t>A man in a red life vest demonstrates how to paddle in a canoe through gestures and through talking to the camera from a canoe in a body of water.</t>
  </si>
  <si>
    <t>A man in a red canoe is paddling with one oar in a small body of water while talking to the camera.</t>
  </si>
  <si>
    <t>The man drifts to the side slightly while talking using the paddle as an anchor in the water and seemingly demonstrating how to paddle using the paddle and hand gestures to explain how to move the paddle and canoe in the water.</t>
  </si>
  <si>
    <t>The man then pushes away from the camera with the paddle and drifts out into the water before paddling back to the camera again.</t>
  </si>
  <si>
    <t>v_-_Ud3LXSjdE</t>
  </si>
  <si>
    <t>A young kid is smoking a cigarette.</t>
  </si>
  <si>
    <t>The kid flip the cigarette and tried to put the other end of the cigarette to his mouth.</t>
  </si>
  <si>
    <t>The young kid continue to smoke, he make faces and then smoked.</t>
  </si>
  <si>
    <t>v_5LHIoaSvKCU</t>
  </si>
  <si>
    <t>A young child is seen speaking to the camera while holding up a glass and walking to a cabinet.</t>
  </si>
  <si>
    <t>She fills up the glass and peels lemons into the water.</t>
  </si>
  <si>
    <t>She then uses a spoon to drink the water as well as a straw and nodding her head waving.</t>
  </si>
  <si>
    <t>v_II0BlR0BriI</t>
  </si>
  <si>
    <t>A man is talking inside a gym.</t>
  </si>
  <si>
    <t>A group of female gymnasts form a cluster, then lift a girl over their heads.</t>
  </si>
  <si>
    <t>They hold her up by one leg before twirling her back down and catch her in their arms.</t>
  </si>
  <si>
    <t>v_PjSOjB7qhcA</t>
  </si>
  <si>
    <t>Girls are playing dodge ball outside with only one ball.</t>
  </si>
  <si>
    <t>A girl gets hit with the ball.</t>
  </si>
  <si>
    <t>The girl gets out of the game and goes and holds onto the clothing line.</t>
  </si>
  <si>
    <t>v_tXNycNfALsE</t>
  </si>
  <si>
    <t>A gymnast is seen looking off in the distance and rubbing her hands together.</t>
  </si>
  <si>
    <t>She puts her hands up and begins performing a gymnastics routine on a beam.</t>
  </si>
  <si>
    <t>She moves herself all along the beam and ends by jumping down and others applauding.</t>
  </si>
  <si>
    <t>v_4X8raZBOzvM</t>
  </si>
  <si>
    <t>Two old bagpipe players play towards each other.</t>
  </si>
  <si>
    <t>One bagpipe player turns.</t>
  </si>
  <si>
    <t>The bagpipe players finish playing.</t>
  </si>
  <si>
    <t>The crowd claps for the players.</t>
  </si>
  <si>
    <t>v_U7iNqQs1kRk</t>
  </si>
  <si>
    <t>A man is seated in a chair with a hand drum as another man plays bongos behind him.</t>
  </si>
  <si>
    <t>They play for an extended period together.</t>
  </si>
  <si>
    <t>v_rMes9poepAI</t>
  </si>
  <si>
    <t>We see the title card for the product.</t>
  </si>
  <si>
    <t>We see a lady cleaning her floor.</t>
  </si>
  <si>
    <t>We see the vacuum attachment product and see the product in action.</t>
  </si>
  <si>
    <t>The lady shows each side, and we see her attach the product.</t>
  </si>
  <si>
    <t>We see the lady mopping.</t>
  </si>
  <si>
    <t>Then we see the ease of using the attachment.</t>
  </si>
  <si>
    <t>We see the lady relaxing after cleaning.</t>
  </si>
  <si>
    <t>We see the attachment product again.</t>
  </si>
  <si>
    <t>We see the lady giving a thumbs up.</t>
  </si>
  <si>
    <t>The title screen returns to end the video.</t>
  </si>
  <si>
    <t>v_09Kr5TQ9DHQ</t>
  </si>
  <si>
    <t>A person is shown drawing several lines on a piece of paper that leads into several fast motion clips of snowy areas.</t>
  </si>
  <si>
    <t>More close ups are shown followed by a person riding down the mountain.</t>
  </si>
  <si>
    <t>More people riding down are shown and leads into several shots of people performing ski and snowboarding tricks down a mountain.</t>
  </si>
  <si>
    <t>v_UCFV1JYhq18</t>
  </si>
  <si>
    <t>An advertisement is on the screen first.</t>
  </si>
  <si>
    <t>A girl is jumping rope as people are watching.</t>
  </si>
  <si>
    <t>She is doing tricks and flips as she jumps.</t>
  </si>
  <si>
    <t>The video ends with credits of the ones who put the video together.</t>
  </si>
  <si>
    <t>v_J9Sl_H-1BOA</t>
  </si>
  <si>
    <t>A young girl is seen sitting front of a piano and playing the instrument with her finger tips.</t>
  </si>
  <si>
    <t>She continues playing while the camera captures her from afar.</t>
  </si>
  <si>
    <t>v_C0OxaqCr_wk</t>
  </si>
  <si>
    <t>A person is seen speaking while smoking a cigarette and blowing smoke out of their mouths.</t>
  </si>
  <si>
    <t>The person continues speaking while smoking the cigarette and gradually blowing smoke while she speaks.</t>
  </si>
  <si>
    <t>v_dbR5AzEZOPE</t>
  </si>
  <si>
    <t>three man are standing in a gym talking to each other.</t>
  </si>
  <si>
    <t>men opens the wooden door and enters in the gym and are watching the first men, and they panicked.</t>
  </si>
  <si>
    <t>men start running in the court trying to grab a pink ball and start playing dodgeball.</t>
  </si>
  <si>
    <t>man is talking to the camera in font of a bricked wall.</t>
  </si>
  <si>
    <t>v_bGDwE1v16HU</t>
  </si>
  <si>
    <t>A woman is seen speaking to the camera and leads into clips of her leading an exercise class as well as shots of the studio.</t>
  </si>
  <si>
    <t>The woman continues riding along on the exercise bike while teaching the class and continuing to speak to the camera.</t>
  </si>
  <si>
    <t>v_2-xPjKzp-Kk</t>
  </si>
  <si>
    <t>A person moves poker cards and tokens on the table in a casino on front people.</t>
  </si>
  <si>
    <t>A client tap with the finger inside a square.</t>
  </si>
  <si>
    <t>Then, the person stacks all the cards and puts the tokens inside the squares.</t>
  </si>
  <si>
    <t>Then people start to gamble, while the woman distribute the cards and pick up tokens.</t>
  </si>
  <si>
    <t>After, the client shows with the hand, then the person make gestures with the hand showing the table.</t>
  </si>
  <si>
    <t>Next the woman pick up the cards.</t>
  </si>
  <si>
    <t>v_cAmGHiqmnaw</t>
  </si>
  <si>
    <t>A rodeo is shown as a man charges out of the gate to throw the rope around a baby calf.</t>
  </si>
  <si>
    <t>he is instantly successful and hops back on his horse.</t>
  </si>
  <si>
    <t>v_LyJxXonLzT4</t>
  </si>
  <si>
    <t>A man is in a bar demonstrating how to make drinks.</t>
  </si>
  <si>
    <t>He fills a glass with ice.</t>
  </si>
  <si>
    <t>Then he begins measuring various liquors into a cup, and then pours it into the glass.</t>
  </si>
  <si>
    <t>He shakes the drink together and then pours the mixture into shot glasses.</t>
  </si>
  <si>
    <t>Finally he puts another liquor into the glasses.</t>
  </si>
  <si>
    <t>The video ends with the man holding both glasses up.</t>
  </si>
  <si>
    <t>v_73n-KuFkH94</t>
  </si>
  <si>
    <t>Several shots of athletic runners are shown followed by slow motion shots of an athlete running a long jump and celebrating.</t>
  </si>
  <si>
    <t>The camera pans into scenes of men stretching and watching followed by one running down the long jump and cheering to the crowd.</t>
  </si>
  <si>
    <t>His jump is shown several more times followed by other's jumping performing their jump in front of the large crowd.</t>
  </si>
  <si>
    <t>v_JNBWPj42n-g</t>
  </si>
  <si>
    <t>A man's hands are shown at a table.</t>
  </si>
  <si>
    <t>He places a cardboard box over wrapping paper.</t>
  </si>
  <si>
    <t>He begins to wrap the box, demonstrating how to properly wrap a present.</t>
  </si>
  <si>
    <t>He tapes the wrapping paper around the box.</t>
  </si>
  <si>
    <t>The man ties a bow around the box as the camera slows down the motion.</t>
  </si>
  <si>
    <t>He cuts the excess bow away, and we see a sticker with a woman's face.</t>
  </si>
  <si>
    <t>v_8BAn48zfc68</t>
  </si>
  <si>
    <t>A woman wearing sweat gear and seen trying obtain a light with a lighter.</t>
  </si>
  <si>
    <t>She fails to do so and begins walking towards the camera.</t>
  </si>
  <si>
    <t>v_BSl22Hx2WGM</t>
  </si>
  <si>
    <t>Several shots are shown of close ups of cheerleaders leading into clips of them performing tricks and flips with one another.</t>
  </si>
  <si>
    <t>The video continues with many shots of the cheerleaders performing together in slow motion and doing tricks with one another.</t>
  </si>
  <si>
    <t>v_8HdfGmQaabM</t>
  </si>
  <si>
    <t>A blonde woman in a green sweater is talking.</t>
  </si>
  <si>
    <t>She shows off a plate filled with pasta salad and vegetables.</t>
  </si>
  <si>
    <t>She shows how she made the pesto sauce in a blender before mixing mini tomatoes in with the pasta.</t>
  </si>
  <si>
    <t>She returns to the camera, continuing to talk before we see a final scene of the pasta.</t>
  </si>
  <si>
    <t>v_bi6C3kyP4mU</t>
  </si>
  <si>
    <t>Several men are pictured outside in their kayaking uniforms ready to start rafting.</t>
  </si>
  <si>
    <t>Several people begin rafting and they are shown in bars and on buses.</t>
  </si>
  <si>
    <t>As they continue rafting,a clear bucket with a black circle with several lines is shown on each raft and the people walk by putting out cigarettes on it.</t>
  </si>
  <si>
    <t>More people began kayaking and end up flipping the rafts over until a man comes and starts to talk.</t>
  </si>
  <si>
    <t>v_ZYrQ-TSPQfU</t>
  </si>
  <si>
    <t>People whom are wearing helmets, are paddling a inflated boat down a rocky body of water.</t>
  </si>
  <si>
    <t>Water splashes into the inflated boat.</t>
  </si>
  <si>
    <t>The people stop paddling, and the boat is still.</t>
  </si>
  <si>
    <t>v_v1Iv-ySc2LM</t>
  </si>
  <si>
    <t>A child uses a mop to wash the floor of a home.</t>
  </si>
  <si>
    <t>The child twist the mop to turn it over.</t>
  </si>
  <si>
    <t>v_6ECElQXTBIY</t>
  </si>
  <si>
    <t>A little girl walks into a gym as her name flashes on the screen.</t>
  </si>
  <si>
    <t>The little girl performs a routine with a baton.</t>
  </si>
  <si>
    <t>The girl does a flip, throws her baton and catches it while on the ground.</t>
  </si>
  <si>
    <t>The girl pauses and counts.</t>
  </si>
  <si>
    <t>The girl does a split and lays her baton on the ground.</t>
  </si>
  <si>
    <t>v_cd_-gvb82Bs</t>
  </si>
  <si>
    <t>A man is seen speaking to the camera holding a window washer and begins getting the windows wet.</t>
  </si>
  <si>
    <t>He then points to the window while wiping it down over and over again with various tools.</t>
  </si>
  <si>
    <t>v_TxiLjdHoXU4</t>
  </si>
  <si>
    <t>A gymnast stands ready at the end then flips up onto a beam.</t>
  </si>
  <si>
    <t>She performs a gymnastic routine while several people on the sides watch her.</t>
  </si>
  <si>
    <t>She continues flipping around the beam and doing various acrobatic tricks.</t>
  </si>
  <si>
    <t>She jumps down and gives her coach a hug while the camera shows her movements in slow motion and she speaks to a woman.</t>
  </si>
  <si>
    <t>v_98buk_vE_z4</t>
  </si>
  <si>
    <t>Two people are seen playing a set of bongo drums while singing and looking to the camera.</t>
  </si>
  <si>
    <t>The men continuously play and end by stopping and smiling at one another.</t>
  </si>
  <si>
    <t>v_XGwP_Y-x-dI</t>
  </si>
  <si>
    <t>In a sped up special effect, there are 3 people who are shoveling a driveway and removing snow from a car on the right side of their driveway while neighbors and other snow plows are also moving about behind them.</t>
  </si>
  <si>
    <t>A person drops their shovel in the driveway, then runs to the end of the driveway to play in the snow, then goes back and picks the shovel back up to shovel again.</t>
  </si>
  <si>
    <t>A black car pulls int o the newly shoveled driveway and the people continue to shovel snow onto the road outside of their driveway.</t>
  </si>
  <si>
    <t>v_13hdhdieZuc</t>
  </si>
  <si>
    <t>There's a woman with short brown hair doing makeup tutorial.</t>
  </si>
  <si>
    <t>She begins by wearing a headband to keep her hair out of her face.</t>
  </si>
  <si>
    <t>Then she starts applying some foundation all over her face and blends it in.</t>
  </si>
  <si>
    <t>Then she takes an eyeliner and applies it with a brush under her eyes and on her eyelids.</t>
  </si>
  <si>
    <t>She then takes some powder compact and pats it on her face and spreads it evenly.</t>
  </si>
  <si>
    <t>Then with a brush she applies some eyeliner on her eyelids, followed by an eyeliner pencil which she uses on her eyelids and under her eyes.</t>
  </si>
  <si>
    <t>She takes a pair of eyelash curlers and curls her lashes and then applies some mascara with a brush.</t>
  </si>
  <si>
    <t>She finishes off the makeup with a lipstick that she puts on her upper and lower lips.</t>
  </si>
  <si>
    <t>Then she removes her headband and straightens her hair to finish off her look.</t>
  </si>
  <si>
    <t>She shows the before makeup and after makeup pictures to show the difference.</t>
  </si>
  <si>
    <t>v_KOiRoi5_SnQ</t>
  </si>
  <si>
    <t>A man is standing on a pair of skis.</t>
  </si>
  <si>
    <t>He then skis quickly down a snowy embankment, accidentally hitting a skier in his path and sending her careening to the right.</t>
  </si>
  <si>
    <t>they stop and talk, checking to make sure she is ok.</t>
  </si>
  <si>
    <t>v_pPGniqIBs-U</t>
  </si>
  <si>
    <t>A man is seen holding a small child while looking and smiling to the camera.</t>
  </si>
  <si>
    <t>The two then climb on a camel and ride around while waving to the camera.</t>
  </si>
  <si>
    <t>The two ride back together with the woman leading them in front.</t>
  </si>
  <si>
    <t>v_fNPEa0Sd4hM</t>
  </si>
  <si>
    <t>Olympic triple jumps are shown in a stadium.</t>
  </si>
  <si>
    <t>The first person in yellow goes over 17 meters.</t>
  </si>
  <si>
    <t>The second person does about the same as does the third person.</t>
  </si>
  <si>
    <t>v_oD5lGBt7U7g</t>
  </si>
  <si>
    <t>Several shots are shown of the inside of a shop followed by a person unboxing a bike.</t>
  </si>
  <si>
    <t>The man then brings out tools and tightens them along the bike and is shown peddling the bike with his hands and showing off the finished bike.</t>
  </si>
  <si>
    <t>v_RoAtTRjWKEg</t>
  </si>
  <si>
    <t>A girl is on a low beam, preparing to flip.</t>
  </si>
  <si>
    <t>She flips forward, then turns backward with her arms outstretched.</t>
  </si>
  <si>
    <t>v_8b3ZBE0n3V8</t>
  </si>
  <si>
    <t>A boy walk in the room from the left doorway holding a red stuffed animal sits down at the table then put animal away.</t>
  </si>
  <si>
    <t>A girl walk in the room front the right doorway and sits down at the table.</t>
  </si>
  <si>
    <t>They begin arm wrestling and the girl wins.</t>
  </si>
  <si>
    <t>the girl smiles at the camera sighting her victory then they both get up to exit room from the same sides they entered in from.</t>
  </si>
  <si>
    <t>v_ql7I6qtyhBU</t>
  </si>
  <si>
    <t>The screen shows company sponsors for a winter club event.</t>
  </si>
  <si>
    <t>A blue convertible drives past the North shore Winter Club.</t>
  </si>
  <si>
    <t>A couple enters the club while a silver mini van is parked outside.</t>
  </si>
  <si>
    <t>Several people are entering the Curling room inside the club.</t>
  </si>
  <si>
    <t>The coach representing the Brasil team, wearing a green jersey is giving instructions to the players.</t>
  </si>
  <si>
    <t>The coach talks to the players while they prepare themselves.</t>
  </si>
  <si>
    <t>The players begin playing with their sticks as they push the rocks through the floor, Several other players are practicing curling on the floor as they glide through the slippery surface.</t>
  </si>
  <si>
    <t>Players continue to play and exchange high fives as they practice.</t>
  </si>
  <si>
    <t>About nine of the contestants receive medals of victory from the judge.</t>
  </si>
  <si>
    <t>They applaud themselves and each other high fives to express their victory.</t>
  </si>
  <si>
    <t>The video ends with details about all the sponsors responsible for the event.</t>
  </si>
  <si>
    <t>v_yduDG8EcM0A</t>
  </si>
  <si>
    <t>There's a little boy wearing a red Elmo shirt standing on a step stool in the kitchen with his grandmother.</t>
  </si>
  <si>
    <t>They are juicing a lemon on an electric juicer that is placed on the kitchen counter near the sink.</t>
  </si>
  <si>
    <t>the boy seems excited to help his grandmother juice the lemon.</t>
  </si>
  <si>
    <t>He puts his hand over her hand while she is juicing the lemon.</t>
  </si>
  <si>
    <t>v_FZtIVsmpYcI</t>
  </si>
  <si>
    <t>We see a lawnmower and a persons hand.</t>
  </si>
  <si>
    <t>A person starts the mower and it smokes.</t>
  </si>
  <si>
    <t>We see the man mowing the lawn with a smoking mower.</t>
  </si>
  <si>
    <t>We see the mower from the point of view of the mower.</t>
  </si>
  <si>
    <t>We see the boy start the lawn mower again.</t>
  </si>
  <si>
    <t>The boy mows the lawn.</t>
  </si>
  <si>
    <t>We then see the boy walking with the mower.</t>
  </si>
  <si>
    <t>v_2mmN96TdEdY</t>
  </si>
  <si>
    <t>An intro leads into several clips of people solving rubix cubes while a timer captures their speed on the side.</t>
  </si>
  <si>
    <t>More people continue to solve the puzzle as the camera captures them from many sides.</t>
  </si>
  <si>
    <t>v_0YQPGAsZPgY</t>
  </si>
  <si>
    <t>A four piece percussion and string band play on a stage with the main focus being a man on the bongos in the center of the stage and wearing sunshades indoors.</t>
  </si>
  <si>
    <t>A man plays bongos in an animated fashion while a woman next to him plays the keyboard and a man behind him plays guitar.</t>
  </si>
  <si>
    <t>A man next to him begins to hit a stick against a metallic percussion instrument.</t>
  </si>
  <si>
    <t>The man playing the bongos knocks one of them over at which point the man next to him sets the bongo upright again.</t>
  </si>
  <si>
    <t>v_Deo_GsHyw8Y</t>
  </si>
  <si>
    <t>Al's begins his skiing tips with an iron and a sponge.</t>
  </si>
  <si>
    <t>Demonstrating what and how you would use it on the ski's.</t>
  </si>
  <si>
    <t>He shows you on the ski's how to rub it on.</t>
  </si>
  <si>
    <t>Then he explains a little more about the process.</t>
  </si>
  <si>
    <t>v_eQc-8npRq18</t>
  </si>
  <si>
    <t>A person is seen standing before a large track holding a pole.</t>
  </si>
  <si>
    <t>The person begins to run down the track while still holding the pole.</t>
  </si>
  <si>
    <t>The man then jumps over a beam and onto a mat.</t>
  </si>
  <si>
    <t>v_G836MDBhEpg</t>
  </si>
  <si>
    <t>A woman behind a bar explaining how to make a drink.</t>
  </si>
  <si>
    <t>She pours several ingredients into a shaker and shakes it.</t>
  </si>
  <si>
    <t>She then pours the drink from the shaker into a shot glass and holds it up.</t>
  </si>
  <si>
    <t>v_xm01x3C3RJo</t>
  </si>
  <si>
    <t>A dog is put into a bath tub.</t>
  </si>
  <si>
    <t>A girl pours water onto the dog out of a cup.</t>
  </si>
  <si>
    <t>She rubs shampoo on the dogs fur.</t>
  </si>
  <si>
    <t>She dries the dog off with a towel.</t>
  </si>
  <si>
    <t>v__mupI51ie9A</t>
  </si>
  <si>
    <t>three kids are hitting a ball with a racket.</t>
  </si>
  <si>
    <t>They are ducking so it doesn't hit them in their heads.</t>
  </si>
  <si>
    <t>They are each taking turns hitting the ball.</t>
  </si>
  <si>
    <t>Moving around all over the court trying to catch it.</t>
  </si>
  <si>
    <t>v_dU4sCY0kHtk</t>
  </si>
  <si>
    <t>A woman wearing pajamas is talking and standing on a star decorated stage.</t>
  </si>
  <si>
    <t>She demonstrates several dance steps as she speaks.</t>
  </si>
  <si>
    <t>She steps back and forth, turns and shakes her hips like a belly dancer.</t>
  </si>
  <si>
    <t>v_c6ie4KwFnAs</t>
  </si>
  <si>
    <t>There is a team of boys dressed in blue uniforms playing soccer against another team of boys dressed in blue striped uniforms in an indoor gym.</t>
  </si>
  <si>
    <t>There are several spectators seated on the side watching the players play soccer.</t>
  </si>
  <si>
    <t>The goalie dressed in yellow tries to stop the opponent's ball.</t>
  </si>
  <si>
    <t>There is also another game of soccer between a team dressed in red and a team dressed inn blue.</t>
  </si>
  <si>
    <t>The first set of teams continue playing the game as the solid blue team scores a goal.</t>
  </si>
  <si>
    <t>v_yNyv7Ykn5oo</t>
  </si>
  <si>
    <t>A group of people start to dig a structure close to the shore.</t>
  </si>
  <si>
    <t>As the digging continues more people join to dig as a pattern ensues.</t>
  </si>
  <si>
    <t>The digging continues and people start to add rocks in a linear fashion around the rig and dig beside the rocks and eventually cover the rocks with sand.</t>
  </si>
  <si>
    <t>Finally in the tide moves up and starts to destroy the structure that was created.</t>
  </si>
  <si>
    <t>In the end people observe the failing structure and leave while a girl stands in the middle as the water moves up and destroys it completely.</t>
  </si>
  <si>
    <t>v_AzUK4Nwd-sY</t>
  </si>
  <si>
    <t>Two people are seen riding around horses and leads into more people riding horses and walking around.</t>
  </si>
  <si>
    <t>A man leads another with a horse around a field while a dog runs around behind him.</t>
  </si>
  <si>
    <t>The camera interviews a man speaking to others while holding the horses.</t>
  </si>
  <si>
    <t>v_fXgszraP2tc</t>
  </si>
  <si>
    <t>A man is seen speaking to the camera while holding onto a leash in different locations.</t>
  </si>
  <si>
    <t>The man is then seen walking around a dog and leads into him back inside still speaking to the camera.</t>
  </si>
  <si>
    <t>He continues to speak more while holding onto the rope and walking around with the dog.</t>
  </si>
  <si>
    <t>v_qBvQjv1XyfQ</t>
  </si>
  <si>
    <t>A man is shown talking to the camera and leads into an athletic girl swinging around on uneven bars.</t>
  </si>
  <si>
    <t>She hops down while the man talks again and switches back and fourth to him talking and her performing.</t>
  </si>
  <si>
    <t>She puts chalk on her hands and continues flipping around on the bars and the man finishes speaking.</t>
  </si>
  <si>
    <t>v_Tk3zk2pJ9KA</t>
  </si>
  <si>
    <t>A camera pans over several landscapes located in the desert as well as the night sky moving around.</t>
  </si>
  <si>
    <t>The sun rises and more shots of landscapes are shown as well as animals in the area.</t>
  </si>
  <si>
    <t>People are then seen riding around on a boat through a tough river and end with a plane flying over the area.</t>
  </si>
  <si>
    <t>v_6fI4gF_2VCk</t>
  </si>
  <si>
    <t>A man's face is seen close up speaking and leads into him smoking a cigarette.</t>
  </si>
  <si>
    <t>The man continues to take drags out of the cigarette while blowing smoke off into the distance.</t>
  </si>
  <si>
    <t>He moves his hand up and down to smoke and blow the smoke out.</t>
  </si>
  <si>
    <t>v_p9JNte3VMKQ</t>
  </si>
  <si>
    <t>A man is seen speaking to the camera while holding a knife in his hands and begins sharpening the knife along a board.</t>
  </si>
  <si>
    <t>The man continues sharpening the blade and then uses other boards to sharpen the knife.</t>
  </si>
  <si>
    <t>v_hwY9jvSjC9I</t>
  </si>
  <si>
    <t>The woman is shown putting her feet into her shoes while they are tied.</t>
  </si>
  <si>
    <t>But after a few minutes of her lifting her feet off of the ground, she takes them off without using her hands.</t>
  </si>
  <si>
    <t>Then she bends down to turn the camera off.</t>
  </si>
  <si>
    <t>v_sObM6mb3hgs</t>
  </si>
  <si>
    <t>Several young men exhibit rollerblading stunts using many different pedestrian environments to showcase the stunts including, sidewalks,stairwells, stair railings, walls and parking lots.</t>
  </si>
  <si>
    <t>A camera picks up several candid environment shots picking up lines of palm trees, and a vast cityscape filled with buildings and some foliage.</t>
  </si>
  <si>
    <t>A group of young men are showcased one by one ,with an onscreen name template, rollerblading stunts on stairs and stair railings, jumping in the air, sliding on rails and landing.</t>
  </si>
  <si>
    <t>The men showcase some mishaps in which they fall after the stunt, but then perform more stunts successfully.</t>
  </si>
  <si>
    <t>v_iWj81FBROQQ</t>
  </si>
  <si>
    <t>A gymnast is seen looking off into the distance and leads into her hold her arms up.</t>
  </si>
  <si>
    <t>She jumps onto a beam and begins performing various flips and tricks.</t>
  </si>
  <si>
    <t>The girl jumps all around the beam and ends by jumping down and raising her arms up and smiling to the camera.</t>
  </si>
  <si>
    <t>v_deuSw3RnNLU</t>
  </si>
  <si>
    <t>A woman makes a batch of master cleanse drink at the counter in the kitchen using lemons, water, syrup and red pepper.</t>
  </si>
  <si>
    <t>A woman enters a kitchen, talks to the camera and begins to cut and juice lemons.</t>
  </si>
  <si>
    <t>The woman then pours the lemon juice into a bottle of water.</t>
  </si>
  <si>
    <t>The woman then adds syrup and red pepper to the mixture with blue measuring spoons and a measuring glass, after which she leans on the counter and talks to the camera some more.</t>
  </si>
  <si>
    <t>v_77w2Am_ttbg</t>
  </si>
  <si>
    <t>A man is seen sitting on a piece of exercise equipment moving himself back and fourth.</t>
  </si>
  <si>
    <t>A dog walks around the man working and ends by the camera facing the ground.</t>
  </si>
  <si>
    <t>v_yEFS8M4pgMU</t>
  </si>
  <si>
    <t>There two teams of men playing the game of tug of war in a gym.</t>
  </si>
  <si>
    <t>There are several people seated in the gym watching them play the game.</t>
  </si>
  <si>
    <t>The referee is standing next to the contestants as they continue to pull the rope harder.</t>
  </si>
  <si>
    <t>The opposing team pulls harder and the team in the white ends up falling down and losing.</t>
  </si>
  <si>
    <t>v_IY1bVy1yZv4</t>
  </si>
  <si>
    <t>A man is sitting down on the ground fixing a child's bike.</t>
  </si>
  <si>
    <t>A kid in a yellow shirt is standing next to him watching.</t>
  </si>
  <si>
    <t>A boy in a blue shirt is pushing another bike behind him.</t>
  </si>
  <si>
    <t>v_fvUQQF5S4Dg</t>
  </si>
  <si>
    <t>A person serves an ice cream with a stick to a man, the cone falls to the floor.</t>
  </si>
  <si>
    <t>The man gives another cone, then the man takes of the cone and gives back to the man.</t>
  </si>
  <si>
    <t>After, the man gives the cone with a napkin, but he takes the cone again, after he gives the ice cream in his mouth.</t>
  </si>
  <si>
    <t>Finally, the man gives the cone to the man while a crowd watch.</t>
  </si>
  <si>
    <t>v_9mpPAwSmUmk</t>
  </si>
  <si>
    <t>A guy works on a roof.</t>
  </si>
  <si>
    <t>A guy removes nails and pieces of the roof.</t>
  </si>
  <si>
    <t>A guy removes dirt and twigs from the corner of the roof.</t>
  </si>
  <si>
    <t>A guy measures and cuts pieces for the roof.</t>
  </si>
  <si>
    <t>v_-AUKiMfqga4</t>
  </si>
  <si>
    <t>A skillet is on a stove with ingredients on the counter alongside it.</t>
  </si>
  <si>
    <t>Someone puts onions in the skillet and beats eggs and other ingredients into a bowl before adding them to the skillet too.</t>
  </si>
  <si>
    <t>He flips the eggs, making an omelette.</t>
  </si>
  <si>
    <t>He flips the omelette gently onto a plate for serving.</t>
  </si>
  <si>
    <t>v_54chD8QFKyk</t>
  </si>
  <si>
    <t>A white cat is sleeping on terra cotta tiles.</t>
  </si>
  <si>
    <t>White text explains how to clip the cat's nails.</t>
  </si>
  <si>
    <t>A woman takes the cats paws, clipping them gently with a clipper until they are finished.</t>
  </si>
  <si>
    <t>v_D74hnUdBs04</t>
  </si>
  <si>
    <t>A large group of people are seen standing on a field playing a volleyball game with one another.</t>
  </si>
  <si>
    <t>The camera pans around the beach and back to the people playing with one another passing the ball around.</t>
  </si>
  <si>
    <t>v_sOyox_6AG1w</t>
  </si>
  <si>
    <t>An intro for a running video that says Running appears on screen.</t>
  </si>
  <si>
    <t>A lady commentates over a video of a huge sum of people completing a marathon in New York City.</t>
  </si>
  <si>
    <t>The video goes to show the top 5 events in the marathons history, The lady commentates over every event, as the video countsdown from 5 to 1 while showing the events occur, She explains every event in detail.</t>
  </si>
  <si>
    <t>The video concludes with an outro image.</t>
  </si>
  <si>
    <t>v_p4rdUt1iDkY</t>
  </si>
  <si>
    <t>A man kneels down on a blue mat and raises a bar above his head.</t>
  </si>
  <si>
    <t>He stands up and walks off.</t>
  </si>
  <si>
    <t>v_JzLqc6MhJtc</t>
  </si>
  <si>
    <t>A woman is sitting in a chair.</t>
  </si>
  <si>
    <t>A person is painting something onto their finger.</t>
  </si>
  <si>
    <t>The woman looks up at the camera.</t>
  </si>
  <si>
    <t>v_ZTtPztql5jM</t>
  </si>
  <si>
    <t>Rain falls on a large auditorium.</t>
  </si>
  <si>
    <t>Many people are in the stands.</t>
  </si>
  <si>
    <t>Several athletes stand in the arena.</t>
  </si>
  <si>
    <t>The athletes throw discs on the field.</t>
  </si>
  <si>
    <t>v_cJYtpnf5aOM</t>
  </si>
  <si>
    <t>A boy in young boy drives a small tractor lawn mower around the yard of a house maneuvering around obstacles.</t>
  </si>
  <si>
    <t>The boy mows over some small flowers in the grass.</t>
  </si>
  <si>
    <t>v_2hgXJR5QdkU</t>
  </si>
  <si>
    <t>A woman with curly hair and very thing eyebrows is sucking from a hookah.</t>
  </si>
  <si>
    <t>She blows out all of the smoke that she inhaled, she is laying in bed by herself relaxing.</t>
  </si>
  <si>
    <t>She seems like she is very bored just blowing smoke recording herself.</t>
  </si>
  <si>
    <t>Turns out, there is another person in the room with her feeding her, she smiles really big and continues exhaling smoke out.</t>
  </si>
  <si>
    <t>v_LKf1eTzmK14</t>
  </si>
  <si>
    <t>A runner is running on a track in front of a crowd of people.</t>
  </si>
  <si>
    <t>A man is shown talking to the camera.</t>
  </si>
  <si>
    <t>Runners are running down a track with crowds on both sides and one of the runners stumbles.</t>
  </si>
  <si>
    <t>Another runner is shown and a man is shown talking to the camera.</t>
  </si>
  <si>
    <t>A runner is crawling across a finish line while other runners are running through the finish line.</t>
  </si>
  <si>
    <t>The distressed runner is carried away.</t>
  </si>
  <si>
    <t>Runners in distress are shown.</t>
  </si>
  <si>
    <t>Various runners are shown in distress and talking to the camera.</t>
  </si>
  <si>
    <t>More distressed runners are shown.</t>
  </si>
  <si>
    <t>v_7pcnWE7jpQY</t>
  </si>
  <si>
    <t>A person is attempting high jumps.</t>
  </si>
  <si>
    <t>The first few attempts are good.</t>
  </si>
  <si>
    <t>The final attempt is not ever achieved.</t>
  </si>
  <si>
    <t>v_EuIBTFqVOt8</t>
  </si>
  <si>
    <t>Two men are shown performing an arm wrestling match with many watching on the sidelines and a ref calling who the winner is.</t>
  </si>
  <si>
    <t>Several more men battle back and fourth with one another and more people stepping in and out of frame to watch.</t>
  </si>
  <si>
    <t>v_We9NR-CaIgM</t>
  </si>
  <si>
    <t>People performs arts martial movers, standing on their heads and spinning.</t>
  </si>
  <si>
    <t>Then, a man and a boy jumps over, then kids stands on their head an spin around.</t>
  </si>
  <si>
    <t>Boys bend his body backwards until the feet reach the ground.</t>
  </si>
  <si>
    <t>Teens twist their bodies and bend to the other end.</t>
  </si>
  <si>
    <t>v_W04glwJ_IYI</t>
  </si>
  <si>
    <t>A woman grooms an angry poodle who is collared and tethered to a pole attached to a black grooming table.</t>
  </si>
  <si>
    <t>A brown poodle is being combed by a woman in a yellow walled room on a black grooming table.</t>
  </si>
  <si>
    <t>The woman holds out a pink plastic toy which the dog begins to bite, snap and grab at while the woman combs the poodles fur.</t>
  </si>
  <si>
    <t>The poodle continues to snap at the pink toy and also at the woman's hand and the comb.</t>
  </si>
  <si>
    <t>v_vNMBtwYDH9E</t>
  </si>
  <si>
    <t>A gymnast mounts a low beam in a gym.</t>
  </si>
  <si>
    <t>She performs on the beam, doing handsprings and flips.</t>
  </si>
  <si>
    <t>She then dismounts with her hands in the air.</t>
  </si>
  <si>
    <t>v_mfq5Y7S3BWs</t>
  </si>
  <si>
    <t>A woman is standing by a bathroom door talking.</t>
  </si>
  <si>
    <t>The same woman is now seen on a stationary bicycle teaching a spin class.</t>
  </si>
  <si>
    <t>Several other people in the class can be seen on stationary bicycles in the mirror behind the instructor.</t>
  </si>
  <si>
    <t>The woman is then shown on the ground demonstrating an exercise.</t>
  </si>
  <si>
    <t>The spin class is shown again still in progress.</t>
  </si>
  <si>
    <t>The instructor then does floor exercises again with the class following along.</t>
  </si>
  <si>
    <t>The instructor and the class finish on the bikes again.</t>
  </si>
  <si>
    <t>v_oWsEp7hsmZg</t>
  </si>
  <si>
    <t>A lady stands and talks in a gym.</t>
  </si>
  <si>
    <t>She points to her abdomen, then lays on a bench.</t>
  </si>
  <si>
    <t>The lady holds the bench and and lifts her abdomen and legs.</t>
  </si>
  <si>
    <t>The lady sits up and scoots to the edge.</t>
  </si>
  <si>
    <t>The lady performs the same exercise with her butt hanging off the bench.</t>
  </si>
  <si>
    <t>The lady finishes, sits upright and speaks.</t>
  </si>
  <si>
    <t>v_1XQUDJhMcj8</t>
  </si>
  <si>
    <t>A woman is seen hosting a news segment that leads into clips of fire fighters running down a block and carrying objects over their heads.</t>
  </si>
  <si>
    <t>More people are seen speaking to the camera as they continue running around and women speaking to the camera.</t>
  </si>
  <si>
    <t>v_2xQVZorob1Q</t>
  </si>
  <si>
    <t>An individual shovels snow, but only the lower legs and shovel are visible on camera.</t>
  </si>
  <si>
    <t>The individual sets aside the shovel and walks towards the camera.</t>
  </si>
  <si>
    <t>The camera once again shows the individual shoveling.</t>
  </si>
  <si>
    <t>v_AXyRIyXqnzI</t>
  </si>
  <si>
    <t>a man in a grey warm up suit practices shot put behind a net.</t>
  </si>
  <si>
    <t>Another man in a green sweatshirt practices a shot put throw in a field behind a net gate.</t>
  </si>
  <si>
    <t>still photos are featured between multiple men practicing their shot put throw.</t>
  </si>
  <si>
    <t>A series of shot put throws are featured in consecutive tosses.</t>
  </si>
  <si>
    <t>v_WWyGnNfcj8Q</t>
  </si>
  <si>
    <t>A man is seen decorating a cake blindfolded while a small group of people watch.</t>
  </si>
  <si>
    <t>The man adds frosting to the cake while others continue to watch as well as other ingredients.</t>
  </si>
  <si>
    <t>He takes off the blindfold and cheers as well as putting hawaii outfits on everyone and dancing around.</t>
  </si>
  <si>
    <t>v_sW_iLVVMF4w</t>
  </si>
  <si>
    <t>A man is outside on the roof of his shed with a leaf blower ready to clean the leaves off the roof.</t>
  </si>
  <si>
    <t>He shows a close up of the leaf blower and explains the specifics of it, primes the machine, sets the camera down and starts it.</t>
  </si>
  <si>
    <t>He picks up the camera and gets a close up of the leaf blower again.</t>
  </si>
  <si>
    <t>He now blows the leaves off of the roof of his shed.</t>
  </si>
  <si>
    <t>v_RDC4sqe8xVk</t>
  </si>
  <si>
    <t>A man is getting dressed to ski in the falling snow.</t>
  </si>
  <si>
    <t>He is talking to the camera about skiing.</t>
  </si>
  <si>
    <t>He is then seen going through the air, and down steep slopes as he skis.</t>
  </si>
  <si>
    <t>v_H306mUUJ5BE</t>
  </si>
  <si>
    <t>A man is seen speaking to the camera while sitting in a chair and putting his arms up every now and then.</t>
  </si>
  <si>
    <t>He then plays a harmonica moving his hands around while pausing to speak to the camera and ends up speaking and pointing.</t>
  </si>
  <si>
    <t>v_C4xYnBd7PM0</t>
  </si>
  <si>
    <t>A man is seen standing beside a bull and holding up a red flag.</t>
  </si>
  <si>
    <t>The bull is then shown attacking several men in many clips.</t>
  </si>
  <si>
    <t>More people are shown chasing bulls with them chasing after.</t>
  </si>
  <si>
    <t>v_L1oWKMy5ofM</t>
  </si>
  <si>
    <t>A woman is sitting and talking in front of a laptop.</t>
  </si>
  <si>
    <t>She gets up in front of a room of family members.</t>
  </si>
  <si>
    <t>She dances, showing several moves to the people as she shimmies across the room.</t>
  </si>
  <si>
    <t>v__rzxmgPv6Co</t>
  </si>
  <si>
    <t>A man is standing in his uniform in a desert like area talking.</t>
  </si>
  <si>
    <t>While he his talking,several videos of him are shown off road motorcycle racing around the course jumping over humps.</t>
  </si>
  <si>
    <t>However,he comes back during the segments to show how he uses techniques in certain jumps and the correct way to do it.</t>
  </si>
  <si>
    <t>v_W2wyahjyTFc</t>
  </si>
  <si>
    <t>A little girl is standing in front of a hopscotch game in her living room.</t>
  </si>
  <si>
    <t>She jumps forward on each square, then turns and goes the other way.</t>
  </si>
  <si>
    <t>She smiles and bows for the camera.</t>
  </si>
  <si>
    <t>v_C1YNGahOoiA</t>
  </si>
  <si>
    <t>A man fasten his legs on a pole of a sail boat an lay down on his back on the border of the boat.</t>
  </si>
  <si>
    <t>Then, the man sail the boat holding a rope and lay down on the border of the boat.</t>
  </si>
  <si>
    <t>The man falls in the water, then he gets up in the boat and continues sailing on his back.</t>
  </si>
  <si>
    <t>A sail board pass next to the boat.</t>
  </si>
  <si>
    <t>v_h0p_7Q2Bucc</t>
  </si>
  <si>
    <t>A man appears treading water as he is waiting to get out of the water and walk up a set of stairs.</t>
  </si>
  <si>
    <t>He finally gets off the stairs and joins the others who are on the wooden diving board.</t>
  </si>
  <si>
    <t>First,a set of three girls jump off before he does and creates a large commotion of waves.</t>
  </si>
  <si>
    <t>v_vOpFUVofoM4</t>
  </si>
  <si>
    <t>A picture of a coffee cup is shown as well as a spoon to relaxing music.</t>
  </si>
  <si>
    <t>Various title screens are shown and eventually the same picture of the coffee cup appears while soft music plays in the background.</t>
  </si>
  <si>
    <t>v_LGj7_gw2GbQ</t>
  </si>
  <si>
    <t>The credits of a clip are shown.</t>
  </si>
  <si>
    <t>A person is water boarding on a body of water.</t>
  </si>
  <si>
    <t>People ride a boat and interact.</t>
  </si>
  <si>
    <t>A lady hula hoops to music.</t>
  </si>
  <si>
    <t>A male leaps from the rocks into the waters.</t>
  </si>
  <si>
    <t>People are on the shore and some are on the boat.</t>
  </si>
  <si>
    <t>A man jumps of a boat with his waterboard.</t>
  </si>
  <si>
    <t>A guy uses a hula hoop as a jump rope.</t>
  </si>
  <si>
    <t>Women dance to music in a social function.</t>
  </si>
  <si>
    <t>The individual is in the body of water.</t>
  </si>
  <si>
    <t>Two adults run in a wooden, hollow cylinder.</t>
  </si>
  <si>
    <t>An individual back flips off a boat.</t>
  </si>
  <si>
    <t>A female stands on waterboard that is on grass.</t>
  </si>
  <si>
    <t>People jump off an inflated boat.</t>
  </si>
  <si>
    <t>The credits of a video are shown with clips.</t>
  </si>
  <si>
    <t>v_jhakEVLCqNM</t>
  </si>
  <si>
    <t>A youth talks inside a home, then he gets outside the home.</t>
  </si>
  <si>
    <t>A man and a teen stand on front a swimming pool talking, and a person lay down on a chair.</t>
  </si>
  <si>
    <t>Then, the man pushes the teen to the water who has trouble to swim.</t>
  </si>
  <si>
    <t>After, the man gets in the water and flip the teen.</t>
  </si>
  <si>
    <t>The teen gets out the swimming pool and throws chair to the man.</t>
  </si>
  <si>
    <t>Next, the teen walks away angry, and the men and the woman take the chairs out of the pool.</t>
  </si>
  <si>
    <t>v_0D9EmyHxhcg</t>
  </si>
  <si>
    <t>Several people are in a skate part rollerblading with one another.</t>
  </si>
  <si>
    <t>The people then move out to scenic places and starts to roller blade throughout the city.</t>
  </si>
  <si>
    <t>More people begin to skate and they start to make ramps in the alley way and going tricks in a skate park.</t>
  </si>
  <si>
    <t>v_cTZw5NUK1-c</t>
  </si>
  <si>
    <t>Various shots of beaches are shown followed by the camera panning over several shots of waves.</t>
  </si>
  <si>
    <t>A person is then seen riding a surfboard through various shots in the camera.</t>
  </si>
  <si>
    <t>People are shown speaking to the camera when another person crashing on their board several times.</t>
  </si>
  <si>
    <t>More people are seen walking down as more surfers continue riding the waves.</t>
  </si>
  <si>
    <t>v_G4D6UtJh3AU</t>
  </si>
  <si>
    <t>A woman is holding a baby in her lap as a woman next to her uses a plastic comb to brush his hair.</t>
  </si>
  <si>
    <t>She talks to the baby as she brushes, and the baby watches her intently.</t>
  </si>
  <si>
    <t>v_AtUAYnNTniM</t>
  </si>
  <si>
    <t>A man lifts a girl up over his head, then over his shoulder.</t>
  </si>
  <si>
    <t>He stands her on his hands, balancing her in the air as other watch.</t>
  </si>
  <si>
    <t>He drops then lifts her again.</t>
  </si>
  <si>
    <t>v_YiMOKwzEf1k</t>
  </si>
  <si>
    <t>A kneeing man runs a small grass cutter over the surface of the lawn.</t>
  </si>
  <si>
    <t>The man mows the shaded green grass.</t>
  </si>
  <si>
    <t>The man mows the sun lit grass.</t>
  </si>
  <si>
    <t>v_1WSFrupQzQI</t>
  </si>
  <si>
    <t>We see the title screens flying up.</t>
  </si>
  <si>
    <t>A bull runs out on the field.</t>
  </si>
  <si>
    <t>A bull rams a wall where the matador is standing.</t>
  </si>
  <si>
    <t>The matador teases the bull with a red cloth.</t>
  </si>
  <si>
    <t>We see the ending screen.</t>
  </si>
  <si>
    <t>v_EX3szlLBdFM</t>
  </si>
  <si>
    <t>A person is seen moving along a large court followed by other people moving around beside him.</t>
  </si>
  <si>
    <t>Several people are seen running up and down the court while others watch on the side.</t>
  </si>
  <si>
    <t>The people continue moving around while others watch them perform drills.</t>
  </si>
  <si>
    <t>v__ekSmyvWdRQ</t>
  </si>
  <si>
    <t>A person is putting salad into a clear bowl.</t>
  </si>
  <si>
    <t>They grab an orange pepper from a pile.</t>
  </si>
  <si>
    <t>They chop the pepper in half.</t>
  </si>
  <si>
    <t>v_8jj-mhVrlGA</t>
  </si>
  <si>
    <t>A woman is shown speaking to the camera and point off into the distance.</t>
  </si>
  <si>
    <t>The camera pans out into another man standing on the court and two basketballs shown.</t>
  </si>
  <si>
    <t>The man and woman then shoot hoops with the balls and pass each other back and fourth.</t>
  </si>
  <si>
    <t>v_XqmMZs2-3ZI</t>
  </si>
  <si>
    <t>A woman is sitting on her little couch thinking about cookies.</t>
  </si>
  <si>
    <t>You are informed of all the ingredients needed to make a batch of delicious cookies and the equipment required to make them.</t>
  </si>
  <si>
    <t>She goes to the kitchen and turns on the oven and begins mixing ingredients in a kitchenaid.</t>
  </si>
  <si>
    <t>Once mixed nicely she places the cookie in the oven and when they done she returns to her couch with her teddy bear and munches out.</t>
  </si>
  <si>
    <t>v_7KKYKIlGaXk</t>
  </si>
  <si>
    <t>A view is seen of an enormous pool.</t>
  </si>
  <si>
    <t>It stretches very long distances, with people using boats and rafts in the water.</t>
  </si>
  <si>
    <t>It is an extensive water park located in Indonesia.</t>
  </si>
  <si>
    <t>People are shown water skiing in the clear blue waters.</t>
  </si>
  <si>
    <t>v_l-R4wiSZcRc</t>
  </si>
  <si>
    <t>An intro leads into several older clips of olympic performers performing incredible acts.</t>
  </si>
  <si>
    <t>One group of people are seen swimming while hundreds of people cheer and many people look to the camera and smile.</t>
  </si>
  <si>
    <t>Another man shakes the hand of an athlete and he waves while shaking the hands of others and people applauding.</t>
  </si>
  <si>
    <t>v_fVBXRUWEyoA</t>
  </si>
  <si>
    <t>A woman sits on a couch and clips the front and back paws of an orange and a black and white cat as they sit in her lap.</t>
  </si>
  <si>
    <t>An orange cat stands on a couch and sniffs the cushions.</t>
  </si>
  <si>
    <t>A woman sits down on the couch and puts the orange cat in her lap and begins to clip the front and back paws of the cat.</t>
  </si>
  <si>
    <t>The woman puts the orange cat down and picks up a black and white cat with whom she does the same clipping of front and black paws, after which, the black and white cat runs off away from the couch.</t>
  </si>
  <si>
    <t>v_yST1TsQ6mgY</t>
  </si>
  <si>
    <t>Various pictures are shown of people close up in an area as well as people riding around on a camel.</t>
  </si>
  <si>
    <t>People continue riding around on the camels with one man leading them in front and the camera capturing several more people.</t>
  </si>
  <si>
    <t>In the end the camels are seen wandering around one another and a picture of everyone standing together.</t>
  </si>
  <si>
    <t>v_vfLKyUMzFHg</t>
  </si>
  <si>
    <t>A man is seen speaking to the camera and pointing to a table and laying out cards.</t>
  </si>
  <si>
    <t>He then performs a game of black jack while moving the cards and dice around while still speaking to the camera.</t>
  </si>
  <si>
    <t>v_gE1nShlv6mo</t>
  </si>
  <si>
    <t>A woman shows how to clean a shirt with a steam machine while talking.</t>
  </si>
  <si>
    <t>The woman finish cleaning the shirt and takes it off from a hanger and put on the iron board.</t>
  </si>
  <si>
    <t>After, the woman shows a container, then gabs the steam machine and shows while talking.</t>
  </si>
  <si>
    <t>v_fTGtoTlJyh0</t>
  </si>
  <si>
    <t>A person is spray painting bars that are taped together different colors.</t>
  </si>
  <si>
    <t>They put a sticker of words onto the bars.</t>
  </si>
  <si>
    <t>v_6asjaqo0OHc</t>
  </si>
  <si>
    <t>A man is talking as he looks at a bicycle.</t>
  </si>
  <si>
    <t>He places a speed control tool on the handlebar of the bike.</t>
  </si>
  <si>
    <t>He continues talking until he has the bar in place.</t>
  </si>
  <si>
    <t>v_y-87JMf_-J8</t>
  </si>
  <si>
    <t>A man is seen sitting on a stool while holing a guitar in his hands.</t>
  </si>
  <si>
    <t>The camera pans closely around the guitar while the man continues to speak.</t>
  </si>
  <si>
    <t>The man then plays the guitar a bit and moves his hands up and down the neck.</t>
  </si>
  <si>
    <t>v_hrpRVbLRoJ4</t>
  </si>
  <si>
    <t>A person is seen riding around on a horse over jumps in slow motion while others watch.</t>
  </si>
  <si>
    <t>The video moves quicker as more people are seen jumping over obstacles and one speaking to the camera.</t>
  </si>
  <si>
    <t>Several more clips are shown of people riding around on horses as well as pictures inbetween and more close ups of horses.</t>
  </si>
  <si>
    <t>v_hbipKjS0G7w</t>
  </si>
  <si>
    <t>A lady bents over slightly in an outdoor court.</t>
  </si>
  <si>
    <t>The lady rises and turns.</t>
  </si>
  <si>
    <t>The lady release her hand from her neck.</t>
  </si>
  <si>
    <t>v_4BofYu8Soz8</t>
  </si>
  <si>
    <t>A man is seen swimming in a pool while passing a ball to a dog back and fourth.</t>
  </si>
  <si>
    <t>The man continues to pass the ball while the dog hits it right back.</t>
  </si>
  <si>
    <t>v_Gxjfc5O6AAc</t>
  </si>
  <si>
    <t>Various still images of a man's hair are shown.</t>
  </si>
  <si>
    <t>A man is shown receiving a hair cut and styling in sped up time.</t>
  </si>
  <si>
    <t>Still images of the man's hair after the styling are shown.</t>
  </si>
  <si>
    <t>v_3gQsAKZ71tU</t>
  </si>
  <si>
    <t>A man stands on a court.</t>
  </si>
  <si>
    <t>He hits a ball with a racket.</t>
  </si>
  <si>
    <t>Several different athletes are shown hitting balls.</t>
  </si>
  <si>
    <t>Some of them cheer at the end.</t>
  </si>
  <si>
    <t>v_1dM62Xpm9Ns</t>
  </si>
  <si>
    <t>A man is cutting an onion with a knife on a cutting board.</t>
  </si>
  <si>
    <t>A woman is reading a newspaper nearby while he speaks to her and shows her something in his hand.</t>
  </si>
  <si>
    <t>The man sharpens his knives using an electric tool.</t>
  </si>
  <si>
    <t>He then continues cutting his onion.</t>
  </si>
  <si>
    <t>v_wYIeRRTRtX8</t>
  </si>
  <si>
    <t>A woman is standing on a diving board.</t>
  </si>
  <si>
    <t>She jumps into the water.</t>
  </si>
  <si>
    <t>People are standing under the diving board.</t>
  </si>
  <si>
    <t>v_3S7EwcX-Rd0</t>
  </si>
  <si>
    <t>A bicycling competition is about to begin and the crowd is ready.</t>
  </si>
  <si>
    <t>The riders start and already many fall during the first big jump.</t>
  </si>
  <si>
    <t>Various highlights are shown of the riders attempting the large jumps.</t>
  </si>
  <si>
    <t>Three winners are crowned at the end in a ceremony.</t>
  </si>
  <si>
    <t>v_NbmseYFNIlA</t>
  </si>
  <si>
    <t>A man is seen holding a flag while others stand around him and a runner comes into frame.</t>
  </si>
  <si>
    <t>The runner takes several jumps and lands into a pit all in slow motion.</t>
  </si>
  <si>
    <t>v_H7EmlU0wQ6g</t>
  </si>
  <si>
    <t>A person is using a vacuum attachment to vacuum the wood floor.</t>
  </si>
  <si>
    <t>The person then vacuums a rug on the floor.</t>
  </si>
  <si>
    <t>The person vacuums the back of a cat laying nearby.</t>
  </si>
  <si>
    <t>The person returns to vacuuming the wood floor.</t>
  </si>
  <si>
    <t>v_9wpV8Gknh1E</t>
  </si>
  <si>
    <t>A woman and her 2 children are riding around on a camel at a fair or some event.</t>
  </si>
  <si>
    <t>There is a worker who is walking with them in circles walking the camel with a rope as they ride.</t>
  </si>
  <si>
    <t>They go around quite a few times again and again in a circle around a small gated area.</t>
  </si>
  <si>
    <t>When they are done they stop by a red railing, the worker taps the camel on the face while the rider get off.</t>
  </si>
  <si>
    <t>v_bp1blshSKJU</t>
  </si>
  <si>
    <t>A woman is standing on a piano.</t>
  </si>
  <si>
    <t>A person is playing the piano.</t>
  </si>
  <si>
    <t>The piano turns and a woman is standing behind it.</t>
  </si>
  <si>
    <t>v_KB9sqtTJTZw</t>
  </si>
  <si>
    <t>We see a dark opening screen.</t>
  </si>
  <si>
    <t>We then see people performing hip hop dances.</t>
  </si>
  <si>
    <t>We see a sign for the 2004 event.</t>
  </si>
  <si>
    <t>We see people in front of an audience dancing.</t>
  </si>
  <si>
    <t>We see a man do a spin the crowd clips for.</t>
  </si>
  <si>
    <t>We see a sign for the 2005 event.</t>
  </si>
  <si>
    <t>Two men take a bow.</t>
  </si>
  <si>
    <t>We see a screen for the 2006 event.</t>
  </si>
  <si>
    <t>A man in red does a bunch of moves.</t>
  </si>
  <si>
    <t>We see signs for the 2007 event.</t>
  </si>
  <si>
    <t>v_qemvXlRMQgM</t>
  </si>
  <si>
    <t>A close up of a blue hookah is shown bottom to top.</t>
  </si>
  <si>
    <t>The bowl is shown, then the hookah is filled with water by gloves.</t>
  </si>
  <si>
    <t>The hose is attached to the hookah.</t>
  </si>
  <si>
    <t>Tobacco is packed into the bowl, then covered with tin foil and punctured with a toothpick.</t>
  </si>
  <si>
    <t>A piece of coal is lit, then the invisible person smokes the hookah while reading a book.</t>
  </si>
  <si>
    <t>v_jwlYaPt2DIs</t>
  </si>
  <si>
    <t>We see a man at a table in a field juicing a fruit to make a juice.</t>
  </si>
  <si>
    <t>The man juices 2 fruit then puts sugar in in two glasses.</t>
  </si>
  <si>
    <t>The man then cuts and juices four more fruit.</t>
  </si>
  <si>
    <t>The man adds more sugar to the glasses and ice water from the bucket under the fruit.</t>
  </si>
  <si>
    <t>v_wr_1p7obP-g</t>
  </si>
  <si>
    <t>Several photographs of households and objects are shown followed by a man pouring liquids into a bucket.</t>
  </si>
  <si>
    <t>He pours more objects into the bucket while another man swirls it around.</t>
  </si>
  <si>
    <t>The man opens a box full of stone and lays down some plaster on a wall.</t>
  </si>
  <si>
    <t>He pushes the stone into the wall over and over again to create a stone wall for a home.</t>
  </si>
  <si>
    <t>v_TT2e7-NbUxo</t>
  </si>
  <si>
    <t>A boy is sitting in a salon chair and talking.</t>
  </si>
  <si>
    <t>A stylist cuts his hair into a new style.</t>
  </si>
  <si>
    <t>He dries and sprays the hair into a spikey look.</t>
  </si>
  <si>
    <t>v_12IrPzohRSw</t>
  </si>
  <si>
    <t>We see people in bumper cars at a carnival.</t>
  </si>
  <si>
    <t>The camera pans left and we see the driving court.</t>
  </si>
  <si>
    <t>A person in purple drives past the camera.</t>
  </si>
  <si>
    <t>A girl smiles at the camera as she drives past.</t>
  </si>
  <si>
    <t>v_rVcgTALWCRA</t>
  </si>
  <si>
    <t>A girl is playing with sand on a beach.</t>
  </si>
  <si>
    <t>She then stands up and looks at other people.</t>
  </si>
  <si>
    <t>v_at_ahUtnF9Q</t>
  </si>
  <si>
    <t>People are standing next to a ping pong table.</t>
  </si>
  <si>
    <t>A man is demonstrating how to play without a paddle.</t>
  </si>
  <si>
    <t>Two people start playing a game of ping pong.</t>
  </si>
  <si>
    <t>v_Ly70Hwy52WA</t>
  </si>
  <si>
    <t>two men are sitting on round tables talking in microphones.</t>
  </si>
  <si>
    <t>men are being interviewed in a large soccer field.</t>
  </si>
  <si>
    <t>men are playing ping pong in themiddle of stadium while a lot of people are gathered around.</t>
  </si>
  <si>
    <t>v_sxf0x55Cvb4</t>
  </si>
  <si>
    <t>We see a swiftly-moving, white water stream.</t>
  </si>
  <si>
    <t>A man in blue rafting equipment and a helmet is watching from a bed of rocks.</t>
  </si>
  <si>
    <t>We notice a man in a kayak and a yellow helmet coming in from the left.</t>
  </si>
  <si>
    <t>As he approaches, his kayak flips upside-down.</t>
  </si>
  <si>
    <t>As the view follows him, we notice another man seated on the rocks to the right in red with a white helmet.</t>
  </si>
  <si>
    <t>v_4b2_OpAGwW0</t>
  </si>
  <si>
    <t>A woman braids her hair in several braids.</t>
  </si>
  <si>
    <t>She ties them behind her head.</t>
  </si>
  <si>
    <t>v_veNIfCkd1Pw</t>
  </si>
  <si>
    <t>A gymnast performs uneven bars routine while people watch.</t>
  </si>
  <si>
    <t>The judge supervises the routine of the gymnast.</t>
  </si>
  <si>
    <t>Then, the gymnast spins holding the higher bar and jumps stand on the mat.</t>
  </si>
  <si>
    <t>v_VNR1j2U7gE4</t>
  </si>
  <si>
    <t>Two men are seen standing around a large room and hitting a tennis ball around with tennis rackets.</t>
  </si>
  <si>
    <t>The men hit the ball back and fourth to one another and run around the room at the same time.</t>
  </si>
  <si>
    <t>v_UAFIstY4a8Q</t>
  </si>
  <si>
    <t>We see two opening screens for poker at a casino.</t>
  </si>
  <si>
    <t>We see the dealer speak and deal cards.</t>
  </si>
  <si>
    <t>We see a large jackpot sign.</t>
  </si>
  <si>
    <t>We see the dealer shuffle the cards.</t>
  </si>
  <si>
    <t>We see the man peek at his cards.</t>
  </si>
  <si>
    <t>The man peeks at his cards again.</t>
  </si>
  <si>
    <t>The dealer turns over the players cards.</t>
  </si>
  <si>
    <t>We see the closing screen for the casino.</t>
  </si>
  <si>
    <t>v_CcMic7jNIuE</t>
  </si>
  <si>
    <t>A man in a blue shirt and shorts lifts a large weight over his head.</t>
  </si>
  <si>
    <t>Another man is filming it.</t>
  </si>
  <si>
    <t>The same man comes back and lifts the weight over his head again.</t>
  </si>
  <si>
    <t>He drops it on the ground and walks away.</t>
  </si>
  <si>
    <t>v_dLOwmXV_yTw</t>
  </si>
  <si>
    <t>Holiday gift wrapping made easy, this glass store give a tutorial on how to wrap awkward shaped gifts.</t>
  </si>
  <si>
    <t>You place the object on the wrapping paper to start.</t>
  </si>
  <si>
    <t>After, you fold the tip of the paper, you grab the scissor and cut strips.</t>
  </si>
  <si>
    <t>Then you use tape to hold it down and top it off with a bow.</t>
  </si>
  <si>
    <t>v_V2MlQezL1IE</t>
  </si>
  <si>
    <t>The video begins with a title screen.</t>
  </si>
  <si>
    <t>An older man is seen in a gym speaking to the camera while men play volleyball in the background.</t>
  </si>
  <si>
    <t>A simulated screen showing a volleyball court shows while he speaks.</t>
  </si>
  <si>
    <t>The video then comes back to the older man who is directing the players.</t>
  </si>
  <si>
    <t>The men begin tossing a volleyball back and forth.</t>
  </si>
  <si>
    <t>The video ends with a final title screen.</t>
  </si>
  <si>
    <t>v_MZz0OTfvjrY</t>
  </si>
  <si>
    <t>An Asian girl sitting at a desk describes arm wrestling.</t>
  </si>
  <si>
    <t>the girl introduces An Asian boy who sits across from the Asian girl.</t>
  </si>
  <si>
    <t>The girl and boy prepare to arm wrestle as a referee stands above the girl arm wrestler uses both arms and pushes in the wrong direction.</t>
  </si>
  <si>
    <t>The girl and boy arm wrestlers get into position again with the referee setting them up they begin wrestling.</t>
  </si>
  <si>
    <t>The girl wrestler tries to wrestle using both arms and her body but falls to the floor.</t>
  </si>
  <si>
    <t>v_Cp4a_gN4pDQ</t>
  </si>
  <si>
    <t>Three men are seen sitting behind a set of bongo drums playing quickly while several camera flashes are shown.</t>
  </si>
  <si>
    <t>The men continue playing again while laughing and smiling at one another.</t>
  </si>
  <si>
    <t>v_owflykBauOA</t>
  </si>
  <si>
    <t>A teenaged boy jumps on a skateboard, skating across a street and up a driveway before going back onto the street.</t>
  </si>
  <si>
    <t>He dismounts, talking as he kicks the board.</t>
  </si>
  <si>
    <t>He smiles at the camera, wearing sunglasses.</t>
  </si>
  <si>
    <t>v_Pr3iVnKpv0c</t>
  </si>
  <si>
    <t>A teen plays violin in a room.</t>
  </si>
  <si>
    <t>The teen holds the violin with the left hand moving the fingers and playing with the bow.</t>
  </si>
  <si>
    <t>Then, the teen end playing the violin.</t>
  </si>
  <si>
    <t>v_YPXeQVi39nU</t>
  </si>
  <si>
    <t>A man is on the beach with a bike.</t>
  </si>
  <si>
    <t>He sands down his surfboard.</t>
  </si>
  <si>
    <t>He goes surfing in the water.</t>
  </si>
  <si>
    <t>v_Mzojo2EeWu8</t>
  </si>
  <si>
    <t>People are playing a game of volleyball in the sand on the beach.</t>
  </si>
  <si>
    <t>People are playing drums on the beach.</t>
  </si>
  <si>
    <t>A woman in a yellow outfit is dancing.</t>
  </si>
  <si>
    <t>The team poses for a picture behind a banner.</t>
  </si>
  <si>
    <t>v_xH7qxBIz-tU</t>
  </si>
  <si>
    <t>A man in a suit shows up on the screen.</t>
  </si>
  <si>
    <t>The man begins to fight with another man.</t>
  </si>
  <si>
    <t>The man in the suit resets his stance.</t>
  </si>
  <si>
    <t>After fighting more the man in the suit resets his stance again.</t>
  </si>
  <si>
    <t>After the fighting continues another man shows up in the room and escorts the man in the suit out.</t>
  </si>
  <si>
    <t>v_dG_jxrIaK6w</t>
  </si>
  <si>
    <t>A man is seen speaking to the camera and pans it back to a piano.</t>
  </si>
  <si>
    <t>The man then begins playing the piano while the camera captures his movements.</t>
  </si>
  <si>
    <t>He continues to play and ends by turning off the camera and looking off into the distance.</t>
  </si>
  <si>
    <t>v_5c1zqvr3yKM</t>
  </si>
  <si>
    <t>A woman is holding a cat onto a table.</t>
  </si>
  <si>
    <t>She starts clipping the cats nails with a tool.</t>
  </si>
  <si>
    <t>She finishes and pets the cat.</t>
  </si>
  <si>
    <t>v_aNQRlsp5yv8</t>
  </si>
  <si>
    <t>A man and a boy make a sand castle in the beach.</t>
  </si>
  <si>
    <t>People approach to watch the castle and start to make small house next the sand castle.</t>
  </si>
  <si>
    <t>A little girl is doing more houses next to the castle.</t>
  </si>
  <si>
    <t>The man digs a hole in the center while the boy help extend the castle.</t>
  </si>
  <si>
    <t>v_QYb2ektVZek</t>
  </si>
  <si>
    <t>A woman walks on the street wearing a cap.</t>
  </si>
  <si>
    <t>A city is zoom in a map, then a girl performs water sky in a river pulled by a boat while flipping in the air.</t>
  </si>
  <si>
    <t>A road is leading to a water ski station, then a woman slides on ramps in the water holding a water ski rope.</t>
  </si>
  <si>
    <t>A man takes pictures to the girl.</t>
  </si>
  <si>
    <t>Then the girl change clothes and stand on a truck holding prizes.</t>
  </si>
  <si>
    <t>v_UeuZeIASSPw</t>
  </si>
  <si>
    <t>woman is standing in a racetrack and start running to make a long jump.</t>
  </si>
  <si>
    <t>man stands and marks the space where the woman jumped.</t>
  </si>
  <si>
    <t>the long jump is repeated and a new woman is running in the race track to make the long jump too and a man sits rise a whie flag.</t>
  </si>
  <si>
    <t>woman is in race trakc while other men are in the background and the woman makes the long jump in the competition and then a repetition is shown along the results.</t>
  </si>
  <si>
    <t>v_civPiYFf2vE</t>
  </si>
  <si>
    <t>We see a opening title screen.</t>
  </si>
  <si>
    <t>We see a man holding a vacuum and using the vacuum to hold two bowling balls.</t>
  </si>
  <si>
    <t>The man vacuums stairs and a car interior.</t>
  </si>
  <si>
    <t>We see the vacuum and the man vacuums the ceiling, couch, blinds and others.</t>
  </si>
  <si>
    <t>We see the man empty the canister and put the vacuum in a closet.</t>
  </si>
  <si>
    <t>v_Gg8Ha8OPtZ0</t>
  </si>
  <si>
    <t>There are two young boys, one dressed in a red shirt and the other in a striped shirt at a bowling alley.</t>
  </si>
  <si>
    <t>The boy in the red shirt bowls with a large green ball and hits a strike.</t>
  </si>
  <si>
    <t>He is ecstatic after his win and begins jumping with joy.</t>
  </si>
  <si>
    <t>v_Ccy8WD2k4L8</t>
  </si>
  <si>
    <t>A woman is dancing on a stage.</t>
  </si>
  <si>
    <t>She picks up a microphone and starts singing.</t>
  </si>
  <si>
    <t>She begins to play a drum set in front of her.</t>
  </si>
  <si>
    <t>v_6EN1q4TmPtI</t>
  </si>
  <si>
    <t>Young people carry inflatable boats and get in the water.</t>
  </si>
  <si>
    <t>Then, the young people lie face down on the boats and sail in the river.</t>
  </si>
  <si>
    <t>After, the men advance in the water moving the hand to help advance.</t>
  </si>
  <si>
    <t>v_-zp0Sban5Wk</t>
  </si>
  <si>
    <t>A woman is standing in her kitchen in front of a counter.</t>
  </si>
  <si>
    <t>She shows a plate of food, and several ingredients.</t>
  </si>
  <si>
    <t>She boils pasta in a pot, draining it.</t>
  </si>
  <si>
    <t>She then mixes cheese, orzo, and vegetables, creating an orzo pasta salad.</t>
  </si>
  <si>
    <t>She takes a bite of the food.</t>
  </si>
  <si>
    <t>v__HeqBIO9TgQ</t>
  </si>
  <si>
    <t>A lady and a child are washing dishes in the dirt.</t>
  </si>
  <si>
    <t>The little girl walks away.</t>
  </si>
  <si>
    <t>The lady rinses her dishes and puts them on a shelf.</t>
  </si>
  <si>
    <t>We see the boys standing behind the lady.</t>
  </si>
  <si>
    <t>We see the shelf and the dishes.</t>
  </si>
  <si>
    <t>We then see the closing credits screen.</t>
  </si>
  <si>
    <t>v_fMVKdmMVixQ</t>
  </si>
  <si>
    <t>A group of people stand behind a master yogi.</t>
  </si>
  <si>
    <t>He instructs them on position before leading them in yoga.</t>
  </si>
  <si>
    <t>They perform several moves, slowly and gracefully.</t>
  </si>
  <si>
    <t>v_nhW0O7NC0GM</t>
  </si>
  <si>
    <t>A man is seen sitting in the water in a kayak speaking to the camera.</t>
  </si>
  <si>
    <t>The man continues speaking while holding a paddle in his hands.</t>
  </si>
  <si>
    <t>He moves around a bit in the water and leads into him paddling along the water.</t>
  </si>
  <si>
    <t>v_520b6oA9s-U</t>
  </si>
  <si>
    <t>A woman explains how to make a cake in a kitchen, then she puts four eggs and sugar in a bowl and beat with an electric mixer and add more ingredients to form a wet mix.</t>
  </si>
  <si>
    <t>The woman puts solids on a big bowl and then add the wet mix, oil and milk, then mix with an spatula.</t>
  </si>
  <si>
    <t>After, the woman puts the mix in a greased baking pan and make a syrup with orange juice in a pot.</t>
  </si>
  <si>
    <t>Next, she put the baking cake on a dish and put syrup on top.</t>
  </si>
  <si>
    <t>v_nn__PD7zCcs</t>
  </si>
  <si>
    <t>An elderly man is standing in a small room and is plastering a ceiling where he starts in the middle of the room.</t>
  </si>
  <si>
    <t>He then moves to the left and begins to plaster in the corner of the ceiling.</t>
  </si>
  <si>
    <t>The man then stops plastering, and while still talking he faces towards the direction of the camera.</t>
  </si>
  <si>
    <t>v_RKsto2FmBzM</t>
  </si>
  <si>
    <t>A man with a orange shirt and black hat with glasses are outside standing in front of a green tree.</t>
  </si>
  <si>
    <t>A lawn is shown and then the man begins to mow his lawn.</t>
  </si>
  <si>
    <t>Once the man is finished he comes back to camera and starts talking.</t>
  </si>
  <si>
    <t>v_Sbgh1UQcG24</t>
  </si>
  <si>
    <t>A man standing or sitting behind a chopping board with vegetables on it equips a forearm-mounted knife.</t>
  </si>
  <si>
    <t>The man talks to the camera while pointing the knife at the camera.</t>
  </si>
  <si>
    <t>The man chops various types of items on the chopping board with the knife in sped up video.</t>
  </si>
  <si>
    <t>The man removes the knife and manipulates the containers of ingredients around him.</t>
  </si>
  <si>
    <t>The man re-equips the knife and resumes chopping.</t>
  </si>
  <si>
    <t>The man removes the knife and manipulates the ingredients around him again.</t>
  </si>
  <si>
    <t>The man re-equips the knife and resumes chopping again.</t>
  </si>
  <si>
    <t>The man removes the knife and cleans up his work area.</t>
  </si>
  <si>
    <t>v_DAd-joUpMIk</t>
  </si>
  <si>
    <t>A woman is getting ready too bungee jump from a cable car.</t>
  </si>
  <si>
    <t>She is surrounded by two men in yellow shirts.</t>
  </si>
  <si>
    <t>One of the men is holding a phone camera in his hand to video tape her as she jumps.</t>
  </si>
  <si>
    <t>The men begin singing to cheer and encourage her to jump.</t>
  </si>
  <si>
    <t>After much hesitation, the woman finally jumps and hangs from the rope.</t>
  </si>
  <si>
    <t>There is another woman in the cable car getting ready to jump down.</t>
  </si>
  <si>
    <t>There is a huge crowd standing on the bridge, looking up at the cable car.</t>
  </si>
  <si>
    <t>v_Hxb8D4W-G0I</t>
  </si>
  <si>
    <t>A boy sits on a rock before walking along a shoreline.</t>
  </si>
  <si>
    <t>The young man rides his skateboard down hills around a beach town.</t>
  </si>
  <si>
    <t>The young goes to a local restaurant for a meal.</t>
  </si>
  <si>
    <t>The harbor is seen and the young man walks down a train track at sunset.</t>
  </si>
  <si>
    <t>v_TdNiQsZNJTU</t>
  </si>
  <si>
    <t>A group of people are swimming in a large indoor pool.</t>
  </si>
  <si>
    <t>They swim laps back and forth as they go.</t>
  </si>
  <si>
    <t>They try to compete, getting to the other side the fastest.</t>
  </si>
  <si>
    <t>v_kDurnkUZCXs</t>
  </si>
  <si>
    <t>An individual uses a hose and a thin instrument to clean a shoe.</t>
  </si>
  <si>
    <t>The individual sets aside the shoe and turns over the other shoe.</t>
  </si>
  <si>
    <t>The individual uses the thin implement to dig between the patterns of the shoe bottom.</t>
  </si>
  <si>
    <t>v_SdbxPbXeQJ0</t>
  </si>
  <si>
    <t>A man is sitting on a couch drinking a beer.</t>
  </si>
  <si>
    <t>He stands up and walks out the door.</t>
  </si>
  <si>
    <t>Someone is walking into a kitchen.</t>
  </si>
  <si>
    <t>They open the fridge and get a beer.</t>
  </si>
  <si>
    <t>They bring it to the man in bed.</t>
  </si>
  <si>
    <t>He sits up and starts drinking the beer.</t>
  </si>
  <si>
    <t>A person picks up a cell phone on a bed.</t>
  </si>
  <si>
    <t>v_aa-bFJZmcko</t>
  </si>
  <si>
    <t>Various shots of a close up of a bike and a person pointing to the bike in various spots.</t>
  </si>
  <si>
    <t>The person continuously adjusts the bike and pans the camera all around it in the end.</t>
  </si>
  <si>
    <t>v_9riZioI46sM</t>
  </si>
  <si>
    <t>A boy is bent over in his bedroom.</t>
  </si>
  <si>
    <t>He is trying to put on a shoe.</t>
  </si>
  <si>
    <t>He sits down, playing with a broken lace.</t>
  </si>
  <si>
    <t>He continues working with the shoe lace until he can get it tied.</t>
  </si>
  <si>
    <t>v_aVL9ArQS_Ag</t>
  </si>
  <si>
    <t>A man holds a pair of boots while talking and showing dirty parts.</t>
  </si>
  <si>
    <t>Then, the man put a clothe inside the boot and brush the shaft of the boot thoroughly.</t>
  </si>
  <si>
    <t>v_gSeE_Ms-2TI</t>
  </si>
  <si>
    <t>A man is seen kneeling down on a roof and speaking to the camera.</t>
  </si>
  <si>
    <t>The camera pans all around the roof while the man is seen sitting and still speaking.</t>
  </si>
  <si>
    <t>The camera pans all around the roof and shows the man still sitting.</t>
  </si>
  <si>
    <t>v_4Gs7Xyn16QI</t>
  </si>
  <si>
    <t>A woman walks, then runs with a javelin.</t>
  </si>
  <si>
    <t>She throws it across the field, landing near her goal.</t>
  </si>
  <si>
    <t>A few other teammates also perform the act, then we see the final scoreboard.</t>
  </si>
  <si>
    <t>v_1UQYk6ohuRE</t>
  </si>
  <si>
    <t>A man talks on front a bush while other person stands on his right side.</t>
  </si>
  <si>
    <t>Then, the man cuts the dead flowers of the bush while talking.</t>
  </si>
  <si>
    <t>Also, the person cuts the dead flowers of the bush.</t>
  </si>
  <si>
    <t>v_VbP9fOp-Umg</t>
  </si>
  <si>
    <t>This young woman is dancing with the baton in her hands.</t>
  </si>
  <si>
    <t>She's in the middle of the street wearing a red tanktop, shorts, and flip flops.</t>
  </si>
  <si>
    <t>There are lots of people watching her while she does the batons outside.</t>
  </si>
  <si>
    <t>When she''s done, the music stops playing and a few people clap for her performance.</t>
  </si>
  <si>
    <t>v_wvlyV067oOU</t>
  </si>
  <si>
    <t>The young kids are bouncing on the big trampoline.</t>
  </si>
  <si>
    <t>The young boy fell on his back as he avoided the ball.</t>
  </si>
  <si>
    <t>The kids are wearing helmet as they threw the ball and other side of the kids dodge the ball.</t>
  </si>
  <si>
    <t>Two adult people went up to the trampoline to watch the kids.</t>
  </si>
  <si>
    <t>v_CtA4VynDEkI</t>
  </si>
  <si>
    <t>A bunch of young children are shown playing in a park playground.</t>
  </si>
  <si>
    <t>A young boy climbs back and forth on the monkey bars.</t>
  </si>
  <si>
    <t>Another child then joins him on the bars as well.</t>
  </si>
  <si>
    <t>v_kDz85hnSKdo</t>
  </si>
  <si>
    <t>A man in a yellow life vest is sitting in a canoe.</t>
  </si>
  <si>
    <t>He is paddling from side to side.</t>
  </si>
  <si>
    <t>The camera goes underwater next to the canoe.</t>
  </si>
  <si>
    <t>v_DpI9JtaMtec</t>
  </si>
  <si>
    <t>Sandwiches are displayed in a slideshow.</t>
  </si>
  <si>
    <t>A person spreads mustard sauce on slices of bread, then the person put on top Swiss cheese, jam , sauerkraut and a slice of bread on top.</t>
  </si>
  <si>
    <t>After, the person spreads butter on the sandwiches and put them on a hot surface, then the person cuts the sandwiches in half.</t>
  </si>
  <si>
    <t>v_aPXqTfbtgYI</t>
  </si>
  <si>
    <t>A white middle aged man is standing in a crowd of people playing a saxophone.</t>
  </si>
  <si>
    <t>As he continues,the video pans out and several other people join him in playing the saxophone and it is revealed that someone else is pressing the buttons for the man as he is blowing into the instrument.</t>
  </si>
  <si>
    <t>Then the camera pans back out and the crowd begins clapping for the audience.</t>
  </si>
  <si>
    <t>v_U0Q10ZdqnJo</t>
  </si>
  <si>
    <t>There's a woman in a white shirt in an indoor tennis court hitting balls across the court.</t>
  </si>
  <si>
    <t>She bounces the ball on the ground and then serves the ball across the net.</t>
  </si>
  <si>
    <t>v_rcpsp52nguY</t>
  </si>
  <si>
    <t>A man walks across some snow carrying a large snow shovel.</t>
  </si>
  <si>
    <t>The man shovels a long path of snow.</t>
  </si>
  <si>
    <t>The man turns around and shovels a long path of snow again.</t>
  </si>
  <si>
    <t>The man shovels snow for a third time.</t>
  </si>
  <si>
    <t>The man shovels a really long path of snow at a different location.</t>
  </si>
  <si>
    <t>The man turns around and shovels a second path of snow, right next to the recent shoveled snow path.</t>
  </si>
  <si>
    <t>v_XEqijKYIJNg</t>
  </si>
  <si>
    <t>A woman shows a dish with vegetables and display the calories, the ingredients and the preparation of a dish.</t>
  </si>
  <si>
    <t>Then, the woman puts vegetables on a bowl, then she fry a leave and put it in the bowl.</t>
  </si>
  <si>
    <t>Then, the woman mix the vegetables and serves it on a dish.</t>
  </si>
  <si>
    <t>v_QX3pwZOJbRs</t>
  </si>
  <si>
    <t>Two women attempt to wash two dogs.</t>
  </si>
  <si>
    <t>They get in the tub with the dogs and do shampoo, soap, and then rinse the dogs.</t>
  </si>
  <si>
    <t>They dry the dogs and the dogs are much happier.</t>
  </si>
  <si>
    <t>v_7n9It_jjaBg</t>
  </si>
  <si>
    <t>A man stands on a bridge guardrail with a harness while another man holds him.</t>
  </si>
  <si>
    <t>The man jumps off the bridge to the river below.</t>
  </si>
  <si>
    <t>The man swings back and forth over the rapids.</t>
  </si>
  <si>
    <t>v_f0CVl853HUg</t>
  </si>
  <si>
    <t>A woman wearing green with red hair is scrubbing some clothes vigorously.</t>
  </si>
  <si>
    <t>The water and soap is splashing off of it on to the wall/ She picks up the piece of cloth and hits it against the stand.</t>
  </si>
  <si>
    <t>Then she gets some water from a buckets and pours it over.</t>
  </si>
  <si>
    <t>She squeezes it out and then put the cloth into a bucket of soapy water.</t>
  </si>
  <si>
    <t>v_SIX51vtOOek</t>
  </si>
  <si>
    <t>There's an open land area with greenery around and grassy surface area.</t>
  </si>
  <si>
    <t>There's a lawn trimmer lying on the ground near some over grown patches of grass.</t>
  </si>
  <si>
    <t>A person wearing gray pants and gloves using a lawn trimmer to trim the patches of grass.</t>
  </si>
  <si>
    <t>He is trimming the lawn in a back and forth motion, moving the trimmer horizontally across the grass.</t>
  </si>
  <si>
    <t>v_IKhLjVIYisg</t>
  </si>
  <si>
    <t>A close up is shown of a cracked asphalt road.</t>
  </si>
  <si>
    <t>Then we see a man walking, carrying a pair of inline skates.</t>
  </si>
  <si>
    <t>The man performs stunts, going down staircases and riding medians, doing flips and riding backwards.</t>
  </si>
  <si>
    <t>When he is done, he rides away.</t>
  </si>
  <si>
    <t>v_nQVJyUX8fHw</t>
  </si>
  <si>
    <t>A child plays tennis in a court returning balls while a boy stands next to her.</t>
  </si>
  <si>
    <t>The boy left the court while the child continues returning balls, then the boy returns.</t>
  </si>
  <si>
    <t>Then, the boy left again the court, and then he returns with a racket and a ball.</t>
  </si>
  <si>
    <t>The child serves the ball, and the boy helps stands next her watching.</t>
  </si>
  <si>
    <t>v_3k5dJSs2zkg</t>
  </si>
  <si>
    <t>A man is seen speaking to the camera and leads into several shots of people speaking and wearing heels.</t>
  </si>
  <si>
    <t>The women walk on the ground down a street while many watch and then all run down the road in heels.</t>
  </si>
  <si>
    <t>v_im6KJzbZzKE</t>
  </si>
  <si>
    <t>An athletic woman is seen standing before a track and begins running down the side.</t>
  </si>
  <si>
    <t>She runs and jumps into a sand pit while a man records her score.</t>
  </si>
  <si>
    <t>Several more clips are shown of women running down the track and jumping into the pit.</t>
  </si>
  <si>
    <t>v_lM3uGxHWZBA</t>
  </si>
  <si>
    <t>Several people are seen running around a field playing a game together.</t>
  </si>
  <si>
    <t>The players cheer and speak to one another as well as showing more highlights of the game.</t>
  </si>
  <si>
    <t>More clips are shown of people walking away and playing the game.</t>
  </si>
  <si>
    <t>v_38nAdby_fTw</t>
  </si>
  <si>
    <t>A person rides a dirt bike over a hill or dirt pile with help from an incline structure.</t>
  </si>
  <si>
    <t>A person stands, shakes their head and leaves on a dirt bike.</t>
  </si>
  <si>
    <t>Two guys sit on their dirt bike and discuss.</t>
  </si>
  <si>
    <t>One guy uses his rear tire to cause dirt to spray.</t>
  </si>
  <si>
    <t>v_swId_MFHywI</t>
  </si>
  <si>
    <t>A black book called Windmills is on the screen.</t>
  </si>
  <si>
    <t>The camera zooms into a dancer.</t>
  </si>
  <si>
    <t>VincaniTV comes up on the screen.</t>
  </si>
  <si>
    <t>the instructor is talking.</t>
  </si>
  <si>
    <t>The instructor is sitting on the floor introducing the move.</t>
  </si>
  <si>
    <t>A shot of the move is shown, then the instructor shows how to do it.</t>
  </si>
  <si>
    <t>He pushes himself up on his hand and does another move.</t>
  </si>
  <si>
    <t>He is on one knee to show another move.</t>
  </si>
  <si>
    <t>The screen goes to another shot of the same move but faster this time.</t>
  </si>
  <si>
    <t>The instructor is standing and talking.</t>
  </si>
  <si>
    <t>The screen ends with a VincaniTV promo.</t>
  </si>
  <si>
    <t>v_TnOdqLQPQA4</t>
  </si>
  <si>
    <t>A woman is standing in a camp site.</t>
  </si>
  <si>
    <t>She lights matches and throws them into a pile of wood.</t>
  </si>
  <si>
    <t>v_c6BcS5NdI6E</t>
  </si>
  <si>
    <t>A large group of people are seen playing a game of volley ball with one another while moving around the beach.</t>
  </si>
  <si>
    <t>Several shots are shown of the people wandering around one another playing the game back and fourth over the net and helping one another.</t>
  </si>
  <si>
    <t>v_-SYV9IB-36s</t>
  </si>
  <si>
    <t>An ad for Howcast is shown.</t>
  </si>
  <si>
    <t>It is followed by a woman in a chair who smiles for the camera, and a woman with braided hair who is speaking.</t>
  </si>
  <si>
    <t>The woman in red applies various makeups to the seated woman, explaining the process as she goes.</t>
  </si>
  <si>
    <t>When she is finished, she speaks again to the camera.</t>
  </si>
  <si>
    <t>v_AZaSkc1gnhY</t>
  </si>
  <si>
    <t>A man drinks coffee and then plays guitar indoor.</t>
  </si>
  <si>
    <t>The man makes a pause and takes his coffee.</t>
  </si>
  <si>
    <t>Then, the man hols a cup of coffee and a guitar in the street.</t>
  </si>
  <si>
    <t>After, the man plays guitar indoor on front an audience.</t>
  </si>
  <si>
    <t>Next, the man plays harmonica and guitar at the same time.</t>
  </si>
  <si>
    <t>v_assDWZW6zTA</t>
  </si>
  <si>
    <t>A boy is seen speaking to the camera holding two basketballs and leads into him holding them up to his face.</t>
  </si>
  <si>
    <t>The boy then moves up and down the court while dribbling the balls and shoots a basket off in the end.</t>
  </si>
  <si>
    <t>v_5WJL9eJ8YDw</t>
  </si>
  <si>
    <t>An intro leads into several clips of people standing in a circle and throwing an object off into the distance and ends by walking away.</t>
  </si>
  <si>
    <t>Several more people are seen steeping up into the circle throwing objects off into the distance and cheering with one another.</t>
  </si>
  <si>
    <t>v_PJdE8Ui2eno</t>
  </si>
  <si>
    <t>A man is seen holding onto a rope and speaking to the camera.</t>
  </si>
  <si>
    <t>He holds up his belt while speaking to the camera and begins climbing up the wall.</t>
  </si>
  <si>
    <t>The man climbs all the way up the wall and ends by looking off from the camera.</t>
  </si>
  <si>
    <t>v_sHRajZw7A8g</t>
  </si>
  <si>
    <t>We see a blue opening screen with a drink.</t>
  </si>
  <si>
    <t>We see a lady mixing drinks behind a bar.</t>
  </si>
  <si>
    <t>The lady add ice and three shots liquor to a glass.</t>
  </si>
  <si>
    <t>The lady pours something red in the glass.</t>
  </si>
  <si>
    <t>The lady adds something form the dispenser and a can.</t>
  </si>
  <si>
    <t>The lady stirs then pushes the drink forward.</t>
  </si>
  <si>
    <t>We see a red closing screen and a long black screen.</t>
  </si>
  <si>
    <t>v_3Edxa-t4MxA</t>
  </si>
  <si>
    <t>Various shots of trophies are shown with girls interviewing the camera as well as performing gymnastics moves.</t>
  </si>
  <si>
    <t>An instructor then shows the girls how to perform a stunt properly and has another girl climb on top of their hands.</t>
  </si>
  <si>
    <t>The girl continuously perform stunts with the instructors help and another girl is shown speaking to the camera.</t>
  </si>
  <si>
    <t>v_EWt03pUigc0</t>
  </si>
  <si>
    <t>There's a news reporter dressed in a pink floral dress and a white jacket giving an update on sports news.</t>
  </si>
  <si>
    <t>She shows events of the London Paralympics.</t>
  </si>
  <si>
    <t>She is showing the viewers the different events such as shoot put, swimming and running and the gold medals that were won in these events.</t>
  </si>
  <si>
    <t>While the news is being telecast, there are captions on the bottom about current events.</t>
  </si>
  <si>
    <t>She also shows the viewers all the medals that are won by all countries that participated in the Paralympics.</t>
  </si>
  <si>
    <t>v_u10c6Nx4K0A</t>
  </si>
  <si>
    <t>A woman runs down a dirt path.</t>
  </si>
  <si>
    <t>She uses a pole to vault over a high beam.</t>
  </si>
  <si>
    <t>v_j6S6eWSeGr0</t>
  </si>
  <si>
    <t>A person is shown in fast motion spraying liquid all over a fence in a back yard.</t>
  </si>
  <si>
    <t>The person continues spraying and ends with the camera fading to black.</t>
  </si>
  <si>
    <t>v_xKDHIyd_tWA</t>
  </si>
  <si>
    <t>The video begins with a title slide.</t>
  </si>
  <si>
    <t>A woman and child are in a park with a jump rope.</t>
  </si>
  <si>
    <t>The woman begins to demonstrate how to use the jump rope while the child attempts to copy her.</t>
  </si>
  <si>
    <t>At one point, another woman in the background runs across the screen while jump roping.</t>
  </si>
  <si>
    <t>The video ends with both women speaking to the camera and a final title sequence.</t>
  </si>
  <si>
    <t>v_-v9YLmGCYO0</t>
  </si>
  <si>
    <t>A baby is sitting in a swing.</t>
  </si>
  <si>
    <t>The baby is laughing and shaking its feet.</t>
  </si>
  <si>
    <t>The baby turns to the side of the swing.</t>
  </si>
  <si>
    <t>v_M6O-QNDUdwU</t>
  </si>
  <si>
    <t>Several swimmers walk past each other, shaking hands.</t>
  </si>
  <si>
    <t>They gather in the pool, then engage in a game of water polo.</t>
  </si>
  <si>
    <t>They hit the ball back and forth, trying to get it into the net.</t>
  </si>
  <si>
    <t>v_8cKjwHtCGU0</t>
  </si>
  <si>
    <t>A man in a red shirt is talking to the camera.</t>
  </si>
  <si>
    <t>He begins to hit a ball against a wall in front of him.</t>
  </si>
  <si>
    <t>He stops and walks towards the camera.</t>
  </si>
  <si>
    <t>v_sX8Rr1o4XWM</t>
  </si>
  <si>
    <t>A close up of a sign is shown followed by a person dipping paint.</t>
  </si>
  <si>
    <t>The person is then seen spreading paint all around the area while another smiles to the camera.</t>
  </si>
  <si>
    <t>The men continue to lay plaster down on the walls.</t>
  </si>
  <si>
    <t>v_J65l9OEP3pI</t>
  </si>
  <si>
    <t>A man is cleaning snow that has fallen on his car.</t>
  </si>
  <si>
    <t>He is standing on the road where his car is parked.</t>
  </si>
  <si>
    <t>He clears off snow from the top of his car by scraping it.</t>
  </si>
  <si>
    <t>He then cleans the sides of his car.</t>
  </si>
  <si>
    <t>He gives someone a thumbs up as he cleans the car.</t>
  </si>
  <si>
    <t>He then moves to the front of the car to clean the windshield.</t>
  </si>
  <si>
    <t>v_1D7iddqIIhM</t>
  </si>
  <si>
    <t>A close up of a hookah is seen that leads to another man.</t>
  </si>
  <si>
    <t>The man grabs the hose and takes a hit from the hookah.</t>
  </si>
  <si>
    <t>The man then blows smoke into the camera lens.</t>
  </si>
  <si>
    <t>v_oYH-XLQzMxU</t>
  </si>
  <si>
    <t>The man bounces the ball and hits it with his racket.</t>
  </si>
  <si>
    <t>The man bounces the ball and hits it across the court.</t>
  </si>
  <si>
    <t>The man then bounces and hits one more ball.</t>
  </si>
  <si>
    <t>v_hsUfo_jHQ60</t>
  </si>
  <si>
    <t>An athletic man is seen running through a street in slow motion while the camera moves around his body.</t>
  </si>
  <si>
    <t>The video then freezes on his feet to show text and ends with him holding his arms up into the air.</t>
  </si>
  <si>
    <t>v_YddPa1ujWuk</t>
  </si>
  <si>
    <t>A woman is seen speaking to the camera while holding up a box and newspaper.</t>
  </si>
  <si>
    <t>The woman then begins cutting the news paper and place the box in the middle.</t>
  </si>
  <si>
    <t>The women wraps up the box with the news paper and tapes it down on the sides.</t>
  </si>
  <si>
    <t>v_20i6YGSnt-c</t>
  </si>
  <si>
    <t>A man is seen speaking to the camera and begins shaving off his facial hair.</t>
  </si>
  <si>
    <t>The man continues shaving and shows off his before and after pictures.</t>
  </si>
  <si>
    <t>v_UeMcMSTO-Yg</t>
  </si>
  <si>
    <t>A woman is seen speaking to the camera and showing off various tools to the camera.</t>
  </si>
  <si>
    <t>She explains how each tool works for cleaning a horse and ends by smiling to the camera.</t>
  </si>
  <si>
    <t>v_II3AiNrQ1uA</t>
  </si>
  <si>
    <t>A text introduction describing the event is shown.</t>
  </si>
  <si>
    <t>A woman performs gymnastics on uneven bars while a number of spectators watch.</t>
  </si>
  <si>
    <t>The woman dismounts from the bars.</t>
  </si>
  <si>
    <t>v_nEAypudaSFs</t>
  </si>
  <si>
    <t>There's a young man in a red shirt and blue beanie hat playing the harmonica.</t>
  </si>
  <si>
    <t>He plays rhythmically as he moves the harmonica rapidly through his mouth to play a fast tune.</t>
  </si>
  <si>
    <t>He continues playing the tune as he closes his eyes in deep concentration.</t>
  </si>
  <si>
    <t>He moves the harmonica side ways as he continues playing till he comes to an end.</t>
  </si>
  <si>
    <t>v__AdJtwjeITM</t>
  </si>
  <si>
    <t>A group of older men walk into a ice rink.</t>
  </si>
  <si>
    <t>The group of men gather and get ready to play curling.</t>
  </si>
  <si>
    <t>A younger man and an older man work as a team to move the curl.</t>
  </si>
  <si>
    <t>A older gentleman smiles at the camera while holding his curling stick over his head.</t>
  </si>
  <si>
    <t>The group of men then start to display number and have a laugh.</t>
  </si>
  <si>
    <t>v_2DtotlMv9Gg</t>
  </si>
  <si>
    <t>People are playing lacrosse on a field.</t>
  </si>
  <si>
    <t>They score a point into the net.</t>
  </si>
  <si>
    <t>Two men high five on the field.</t>
  </si>
  <si>
    <t>v_HGDatODUecQ</t>
  </si>
  <si>
    <t>A close up of water rapids is shown followed by a group of people attempting to paddle in a raft.</t>
  </si>
  <si>
    <t>The people riding all down the river while sticking their paddle up at one point all together.</t>
  </si>
  <si>
    <t>v_lhH3qdh8n3g</t>
  </si>
  <si>
    <t>There are about ten or more people dressed in athletic wear doing a synchronized form of exercise.</t>
  </si>
  <si>
    <t>They are doing the steps rhythmically to the beats of a song that is played in the fitness center.</t>
  </si>
  <si>
    <t>There are disco lights flashing in the fitness center.</t>
  </si>
  <si>
    <t>They continue to do the steps as they clap their hands in between the steps.</t>
  </si>
  <si>
    <t>They also step on and step off of a step stool as they continue their steps.</t>
  </si>
  <si>
    <t>v_bx5ZHOUG-nI</t>
  </si>
  <si>
    <t>A person is seen bending down over a bucket filled with water and washing clothes in the bucket.</t>
  </si>
  <si>
    <t>The boy continues washing when another person steps in to help wash the clothes and speak to the camera.</t>
  </si>
  <si>
    <t>v_uDNLf3ty9ao</t>
  </si>
  <si>
    <t>A man in a brown sweater is sitting down and talking.</t>
  </si>
  <si>
    <t>A woman in a black and white sweater sits behind him.</t>
  </si>
  <si>
    <t>She takes off her sweater and puts it on the chair behind him.</t>
  </si>
  <si>
    <t>A boy in a blue shirt hits behind him.</t>
  </si>
  <si>
    <t>v_9E-FFtZl9qM</t>
  </si>
  <si>
    <t>A woman is seen speaking to the camera and leading into clips of her running.</t>
  </si>
  <si>
    <t>Close ups of her feet are shown as well as more clips of her speaking and running.</t>
  </si>
  <si>
    <t>She's shown packing up a car and showing off her tools as well as her gear while still running on the road.</t>
  </si>
  <si>
    <t>v_lwqSz2Q2L-E</t>
  </si>
  <si>
    <t>A woman is seen sitting on a stool smoking a cigarette and looking off into the distance.</t>
  </si>
  <si>
    <t>The woman blows smoke into the air as the camera captures her from several angles continuously smoking.</t>
  </si>
  <si>
    <t>v_5JkN8t5k0jU</t>
  </si>
  <si>
    <t>An intro of titles eventually leads to an athlete holding a large amount of weights over his head.</t>
  </si>
  <si>
    <t>The same man does another lit with his weights while another man watches in the background.</t>
  </si>
  <si>
    <t>He throws the weights down and throws his arms up in the air to celebrate.</t>
  </si>
  <si>
    <t>v_LXHc1X1pKEM</t>
  </si>
  <si>
    <t>A woman with short hair and a white tank top is sitting in her bathroom talking about a cyclist who is going to shave his legs.</t>
  </si>
  <si>
    <t>She stands up and shows the cycling team printed on her tank top.</t>
  </si>
  <si>
    <t>She shows the viewers the type of razor she will be using.</t>
  </si>
  <si>
    <t>There's a young man sitting on the bath tub along with the woman.</t>
  </si>
  <si>
    <t>He washes his legs with baby soap and water and begins shaving his legs.</t>
  </si>
  <si>
    <t>Then the woman takes the razor and helps her husband shave his legs.</t>
  </si>
  <si>
    <t>v__cLb2ZRS_4M</t>
  </si>
  <si>
    <t>many guys in all black stands on a grassy area with music instruments and does a sync performance in front of other people sitting on the grass watching.</t>
  </si>
  <si>
    <t>the guys play the drums and do movements back and forth as they play the drums that is connected to there body.</t>
  </si>
  <si>
    <t>the guys do hand movements and stomps there feet lightly as part of the performance.</t>
  </si>
  <si>
    <t>v_P6z57_sYXm8</t>
  </si>
  <si>
    <t>Windsurfer turns his sail around in a 360.</t>
  </si>
  <si>
    <t>Windsurfer rides the waves slowly forward.</t>
  </si>
  <si>
    <t>Man walks in front of the camera.</t>
  </si>
  <si>
    <t>Windsurfer spins his sail around quickly.</t>
  </si>
  <si>
    <t>Windsurfer falls into the ocean.</t>
  </si>
  <si>
    <t>v_mb5CLhyHMvU</t>
  </si>
  <si>
    <t>People are skiing down a snowy slope very slowly and gracefully.</t>
  </si>
  <si>
    <t>A little boy is bending down trying to catch more speed, he is pretty good at skiing.</t>
  </si>
  <si>
    <t>They continue forward very slowly taking their time and enjoying the experience.</t>
  </si>
  <si>
    <t>they start to slow down a bit almost stopping but then they build back up and continue on.</t>
  </si>
  <si>
    <t>v_XztphLXwZjU</t>
  </si>
  <si>
    <t>A man is indoors, quickly placing wood tiles onto a floor as the camera plays extremely fast.</t>
  </si>
  <si>
    <t>He uses a leveler and cutter and completes the room with grout before walking out.</t>
  </si>
  <si>
    <t>v_KfP205pf7PU</t>
  </si>
  <si>
    <t>Cars drive by a sign by the road.</t>
  </si>
  <si>
    <t>Several women are shown around a table preparing to knit.</t>
  </si>
  <si>
    <t>A woman talks to the camera in an interview style.</t>
  </si>
  <si>
    <t>The women around the table engage in knitting-related activities.</t>
  </si>
  <si>
    <t>A bus is shown parked outside the building.</t>
  </si>
  <si>
    <t>The woman from the interview scene talks to the camera again.</t>
  </si>
  <si>
    <t>The women at the table are shown knitting.</t>
  </si>
  <si>
    <t>Several exterior shots of the building's locale are shown.</t>
  </si>
  <si>
    <t>The women at the table are shown knitting again.</t>
  </si>
  <si>
    <t>v_bhAVJ2uUw0U</t>
  </si>
  <si>
    <t>A person is seen wiping off the face of a baby with a rag while the baby sticks it's tongue out.</t>
  </si>
  <si>
    <t>the woman continues cleaning the baby and is shown smiling to the camera and waving.</t>
  </si>
  <si>
    <t>v_c1T9LbXOVUs</t>
  </si>
  <si>
    <t>Two men are seen playing rock paper scissors with one another and hitting the person who loses.</t>
  </si>
  <si>
    <t>The men continue playing this game back and fourth and rub each other's heads while others watch.</t>
  </si>
  <si>
    <t>v_Q48_MDiak-w</t>
  </si>
  <si>
    <t>An athlete performs hammer Throw by spins a heavy ball several times with his body.</t>
  </si>
  <si>
    <t>Then, the athlete throws the ball to the field.</t>
  </si>
  <si>
    <t>v_Sx7YgFLnwfM</t>
  </si>
  <si>
    <t>A woman is sitting in a chair talking.</t>
  </si>
  <si>
    <t>A persons hand is playing rock paper scissors with a robot.</t>
  </si>
  <si>
    <t>A man in a white shirt is talking to the woman.</t>
  </si>
  <si>
    <t>v_0_9_HIvxNMw</t>
  </si>
  <si>
    <t>A group of people are dressed in ski gear, riding in a lift.</t>
  </si>
  <si>
    <t>They are seen going down hills, skiing and throwing snow into the air.</t>
  </si>
  <si>
    <t>v_bqv3vCT0T5s</t>
  </si>
  <si>
    <t>A 2011 dance competition in Israel is shown with a woman in gold belly dancing solo with neon lights behind her.</t>
  </si>
  <si>
    <t>She turns her back to the audience to show different angles of her moves.</t>
  </si>
  <si>
    <t>Finally, she artfully collapses on the floor as the song ends.</t>
  </si>
  <si>
    <t>v_z5bc9KKiAGI</t>
  </si>
  <si>
    <t>A boy is standing behind a counter.</t>
  </si>
  <si>
    <t>He is throwing darts at a wall.</t>
  </si>
  <si>
    <t>A woman is standing next to him.</t>
  </si>
  <si>
    <t>v_SCM5-6hQCGY</t>
  </si>
  <si>
    <t>The little girl who's wearing a rainbow sweater is shown sitting in the sand making a huge hill of sand.</t>
  </si>
  <si>
    <t>Next she looks up and says something.</t>
  </si>
  <si>
    <t>she then keeps adding more sand to the hill.</t>
  </si>
  <si>
    <t>then a little boy joins her and just touches the hill, but walks away.</t>
  </si>
  <si>
    <t>He then comes back again to point at the hill.</t>
  </si>
  <si>
    <t>v_SlgBcsCTy58</t>
  </si>
  <si>
    <t>A woman is seen speaking to the camera while transitioning into shots of her grooming a dog.</t>
  </si>
  <si>
    <t>The girl is seen washing the dogs as well as blow drying them and trimming their fur.</t>
  </si>
  <si>
    <t>She continues speaking while showing off her clean dogs and others walking on the side.</t>
  </si>
  <si>
    <t>v_wohWWAB47KM</t>
  </si>
  <si>
    <t>A man is water skiing behind a boat on a lake.</t>
  </si>
  <si>
    <t>Some people show up on the screen who are watching and recording.</t>
  </si>
  <si>
    <t>The water skier tries to do a flip and ends up crashing into the water.</t>
  </si>
  <si>
    <t>v_BUk-fR6TAnk</t>
  </si>
  <si>
    <t>A blue page with white writing explains that the video is about how to wrap a present.</t>
  </si>
  <si>
    <t>Scissors and different types of tape are shown, as well as a roll of wrapping paper.</t>
  </si>
  <si>
    <t>A woman is on the floor with a box.</t>
  </si>
  <si>
    <t>She demonstrates how to cut and fold the paper around the present.</t>
  </si>
  <si>
    <t>She tapes the present shut.</t>
  </si>
  <si>
    <t>She then places a translucent bow on the gift.</t>
  </si>
  <si>
    <t>v_e6Dhfn1d3ic</t>
  </si>
  <si>
    <t>Men are acting silly in a bathroom.</t>
  </si>
  <si>
    <t>One man shows off his legs to the camera.</t>
  </si>
  <si>
    <t>Two men are dancing and shaving their legs near the sink.</t>
  </si>
  <si>
    <t>Another man joins the men near the sink to help with the shaving.</t>
  </si>
  <si>
    <t>v_zTnRo6yABtg</t>
  </si>
  <si>
    <t>A man walks onto a field in front of his dog.</t>
  </si>
  <si>
    <t>He throws a frisbee, and the dog catches it.</t>
  </si>
  <si>
    <t>He does several tricks with the frisbees and the dog.</t>
  </si>
  <si>
    <t>v_FUrLg7FETWo</t>
  </si>
  <si>
    <t>A woman is seen swinging an ax down on a log while another man watches on the side.</t>
  </si>
  <si>
    <t>Another woman takes off the log and the girl prepares to swing.</t>
  </si>
  <si>
    <t>She swings the ax again and looks back smiling to the camera.</t>
  </si>
  <si>
    <t>v_k_gjsTv-jy8</t>
  </si>
  <si>
    <t>A person is standing behind a counter putting food onto a tray.</t>
  </si>
  <si>
    <t>They put the tray into an oven.</t>
  </si>
  <si>
    <t>They take the tray out of the oven and lift cookies onto a plate.</t>
  </si>
  <si>
    <t>They wash off the mat in the sink.</t>
  </si>
  <si>
    <t>v_0JCM9uzZafU</t>
  </si>
  <si>
    <t>We see a ladies hand on a magazine.</t>
  </si>
  <si>
    <t>The lady cuts slices of an article.</t>
  </si>
  <si>
    <t>She puts the paper in water and lays then on her white nails, she peels the paper off and the letters stick.</t>
  </si>
  <si>
    <t>The lady puts clear polish over the nails.</t>
  </si>
  <si>
    <t>The lady sticks rhinestones to her nails.</t>
  </si>
  <si>
    <t>The lady puts clear polish over the decorated nails.</t>
  </si>
  <si>
    <t>We see the lady turning pages in the magazine.</t>
  </si>
  <si>
    <t>We see the white ending screen.</t>
  </si>
  <si>
    <t>v_y8OQkNk8WpY</t>
  </si>
  <si>
    <t>People are sliding down the ice.</t>
  </si>
  <si>
    <t>They are holding a curling stick and a ball.</t>
  </si>
  <si>
    <t>Two men in white shirts run next to the person sliding.</t>
  </si>
  <si>
    <t>v_NbTlXQLScRo</t>
  </si>
  <si>
    <t>A man is seen speaking to the camera followed by him laying several ingredients out and boiling them in some water.</t>
  </si>
  <si>
    <t>He then pours more food items under water and into a pot filled with water.</t>
  </si>
  <si>
    <t>v_iNhoeDq_EBQ</t>
  </si>
  <si>
    <t>A large group of people are seen standing on a mat and performing a routine with one another.</t>
  </si>
  <si>
    <t>The people do various flips and tricks around the mat and end with a pose and waving to the audience.</t>
  </si>
  <si>
    <t>v_Jd3D2d-RwL0</t>
  </si>
  <si>
    <t>A close up of a leaf blower is shown followed by the camera looking around the area.</t>
  </si>
  <si>
    <t>A hand is then seen starting the machine and pushing the machine around the yard.</t>
  </si>
  <si>
    <t>The man turns off the machine and looks around the front while pointing to the top of the machine.</t>
  </si>
  <si>
    <t>The camera pans around the machine and the man is shown giving a thumbs up.</t>
  </si>
  <si>
    <t>v_sb0r71oGs3M</t>
  </si>
  <si>
    <t>A lady sits on a couch and discusses.</t>
  </si>
  <si>
    <t>The lady sails a boat.</t>
  </si>
  <si>
    <t>The lady goes water boarding.</t>
  </si>
  <si>
    <t>v_zf4MXHeiSXs</t>
  </si>
  <si>
    <t>People rides horses on an unpaved road passing for the woods and on front the ocean.</t>
  </si>
  <si>
    <t>People arrive to a place and gets off the horse and then continue riding passing woods, river, the ocean and beautiful landscapes.</t>
  </si>
  <si>
    <t>Then, people arrive to a camping place, then they running on front the ocean.</t>
  </si>
  <si>
    <t>v_N3WVKg7Q2io</t>
  </si>
  <si>
    <t>Some boys are in the pools playing with volleyballs.</t>
  </si>
  <si>
    <t>There is a large swimming team swimming and throwing the ball around to their team mates, scoring.</t>
  </si>
  <si>
    <t>Then, there is a team on the filed playing flag football.</t>
  </si>
  <si>
    <t>They are running around trying to score for their team.</t>
  </si>
  <si>
    <t>v_ub0pmYL8i5s</t>
  </si>
  <si>
    <t>A silver sink is shown and a black hose with a scrubber on the bottom of it begins cleaning the sink with steam coming out of it.</t>
  </si>
  <si>
    <t>Once completed,the person then takes a white rag and goes into the sink and washes away the moisture from the steam.</t>
  </si>
  <si>
    <t>v_k42CKebiSLA</t>
  </si>
  <si>
    <t>A man travels to Japan to study how to be a sumo wrestler.</t>
  </si>
  <si>
    <t>The man gets training and learns the techniques of sumo.</t>
  </si>
  <si>
    <t>v_BoKEPRjFydk</t>
  </si>
  <si>
    <t>There are several athletes doing discus throw in an outdoor ring.</t>
  </si>
  <si>
    <t>The first athlete who is dressed in a red and white shirt begins the discus throw using a one and a half kilograms discus.</t>
  </si>
  <si>
    <t>He spins and rotates on the spot and throws the discus.</t>
  </si>
  <si>
    <t>Then another athlete throws the discus but in unsuccessful.</t>
  </si>
  <si>
    <t>The athlete in blue then makes his attempt at the discus throw as he swings and spins to throw the disc.</t>
  </si>
  <si>
    <t>Then another athlete who has won third place throws the discus successfully.</t>
  </si>
  <si>
    <t>Some more athletes come to the ring and throw the discus.</t>
  </si>
  <si>
    <t>The stadium bleachers are not filled with sufficient spectators due to security reasons.</t>
  </si>
  <si>
    <t>v_QYU2srH753Q</t>
  </si>
  <si>
    <t>The credits of the clip is shown.</t>
  </si>
  <si>
    <t>A person cracks their hands.</t>
  </si>
  <si>
    <t>Birds flock the sky above the dirt track.</t>
  </si>
  <si>
    <t>A person's shadow moves over the surface of a white trailer.</t>
  </si>
  <si>
    <t>A person rides a dirt bike.</t>
  </si>
  <si>
    <t>A person shovels dirt.</t>
  </si>
  <si>
    <t>A person stands with sign at the end of the dirt race track.</t>
  </si>
  <si>
    <t>A person lifts a dirt bike and places on a stool.</t>
  </si>
  <si>
    <t>A male child runs and smiles.</t>
  </si>
  <si>
    <t>A helicopter hovers over the race track.</t>
  </si>
  <si>
    <t>A lady pulls on a rider's helmet.</t>
  </si>
  <si>
    <t>v__i_ERtwvcJE</t>
  </si>
  <si>
    <t>A man is shown staring off into the distance while another holds a ball at a beer pong table.</t>
  </si>
  <si>
    <t>The camera shows the ball hitting the table and landing into the cup on the other side.</t>
  </si>
  <si>
    <t>The first man looks down at the cup and grimaces at what he sees.</t>
  </si>
  <si>
    <t>v_4R5KDUqBPcU</t>
  </si>
  <si>
    <t>There's a man wearing a black athletic suit in a shot put field practicing shot put.</t>
  </si>
  <si>
    <t>He begins by taking the ball in his hand and holding it against his neck.</t>
  </si>
  <si>
    <t>Then he spins around and throws the ball far ahead.</t>
  </si>
  <si>
    <t>v_l8aaaDY4ehA</t>
  </si>
  <si>
    <t>We see a man mowing a lawn.</t>
  </si>
  <si>
    <t>He stands on the stairs to mow.</t>
  </si>
  <si>
    <t>It switches to a woman mowing.</t>
  </si>
  <si>
    <t>It goes back to the man mowing.</t>
  </si>
  <si>
    <t>The man puts the mower in the shed and goes into the house.</t>
  </si>
  <si>
    <t>v_aFpWNTroghs</t>
  </si>
  <si>
    <t>An intro comes into the screen for a video about removing mulch.</t>
  </si>
  <si>
    <t>A man digs his heel into the base of a tree to push away the mulch.</t>
  </si>
  <si>
    <t>He gets down on his knees and begins to remove the mulch by hand by pushing it further from the base of the tree.</t>
  </si>
  <si>
    <t>He takes out some clippers and clips some of the roots.</t>
  </si>
  <si>
    <t>Last, the video ends with the closing captions.</t>
  </si>
  <si>
    <t>v_nsDyItaRUXI</t>
  </si>
  <si>
    <t>A woman is knitting what appears to be a scarf while sitting in front of a computer keyboard.</t>
  </si>
  <si>
    <t>She is using the needles to make the scarf.</t>
  </si>
  <si>
    <t>She pulls the yarn through with the loop several times.</t>
  </si>
  <si>
    <t>v_MRpg1K7YWSE</t>
  </si>
  <si>
    <t>A person's hand is seen throwing several darts onto a board on the other side of the room.</t>
  </si>
  <si>
    <t>The camera then moves closer to the board and zooms in on the location of where the darts are thrown.</t>
  </si>
  <si>
    <t>v_uEaxyzKonCY</t>
  </si>
  <si>
    <t>A group of people are seen on a tennis court with 4 men playing together.</t>
  </si>
  <si>
    <t>They continue playing the game back and fourth with each other whiles others play in the background.</t>
  </si>
  <si>
    <t>v_qkN9uA8izVE</t>
  </si>
  <si>
    <t>Two men are seen holding each other's hands and moving one to the other side arm wrestling.</t>
  </si>
  <si>
    <t>The men struggle a bit and ends with one slamming the other's down.</t>
  </si>
  <si>
    <t>v_K-eZfCs8yOc</t>
  </si>
  <si>
    <t>A young man plays violin while wearing headsets.</t>
  </si>
  <si>
    <t>Then, the young man finish playing and take off the headsets.</t>
  </si>
  <si>
    <t>v_xj-f9hzQ3Lc</t>
  </si>
  <si>
    <t>Several dirt bikers are standing under a garage behind a stand preparing to race.</t>
  </si>
  <si>
    <t>Someone calls a mark and they all stand up on their pedals preparing to be released.</t>
  </si>
  <si>
    <t>The bar is finally let down and the boys begin racing throughout the track that's covered in hills as people stand throughout it to watch them.</t>
  </si>
  <si>
    <t>v_A5JcwIaP30Y</t>
  </si>
  <si>
    <t>A man is trying to balance himself on a rope, he walks on it and does a flip off.</t>
  </si>
  <si>
    <t>He gets back on the rope and does another back flip off.</t>
  </si>
  <si>
    <t>He grips the the rope super tight with his feet while he walks across.</t>
  </si>
  <si>
    <t>He has trouble balancing on it, starts going backwards.</t>
  </si>
  <si>
    <t>v_gnVupEzu59g</t>
  </si>
  <si>
    <t>People are snowboarding down a hill of snow.</t>
  </si>
  <si>
    <t>A man in red goggles is standing in the snow.</t>
  </si>
  <si>
    <t>People are riding a ski lift up the mountain.</t>
  </si>
  <si>
    <t>v_6lIi6-Y6q10</t>
  </si>
  <si>
    <t>There's a man dressed in a formal attire with shirt and tie demonstrating how to make a cocktail called Pimms.</t>
  </si>
  <si>
    <t>He puts some ice cubes in a talll glass and then adds some Pimms in it.</t>
  </si>
  <si>
    <t>He slices some lemons and puts the lemons along with a cherry on a toothpick.</t>
  </si>
  <si>
    <t>Then he puts a slice of cucumber that is cut lengthwise into the cocktail.</t>
  </si>
  <si>
    <t>v_H3cFZelOk2Y</t>
  </si>
  <si>
    <t>Two team are in each other end of the rope while people are watching and two persons are taking pictures.</t>
  </si>
  <si>
    <t>The two teams began pulling the rope.</t>
  </si>
  <si>
    <t>The team in yellow shirt won and then two team shake hands and hugged each other and then gave a bow.</t>
  </si>
  <si>
    <t>v_M_CU9guT3C0</t>
  </si>
  <si>
    <t>A woman talks in a kitchen, then she shows a brush.</t>
  </si>
  <si>
    <t>The woman opens the faucet and washes a dish with the brush, then she brush her hand while explaining.</t>
  </si>
  <si>
    <t>Then, she washes a dish with the brush, then she explains showing the brush.</t>
  </si>
  <si>
    <t>v_jwYgWG2fqOA</t>
  </si>
  <si>
    <t>A dancer positions herself to begin her dance.</t>
  </si>
  <si>
    <t>The dancer performs her dance routine holding a wand.</t>
  </si>
  <si>
    <t>The woman throws her wand as part of her dance and runs to grab it and resumes her performance.</t>
  </si>
  <si>
    <t>The woman takes a bow, finishing her dance.</t>
  </si>
  <si>
    <t>v_fO2fWjYEhMc</t>
  </si>
  <si>
    <t>A man in white shirt and white shorts is holding a croquet bat, he is bending over and swing the bat slowly in the air before hitting the blue ball.</t>
  </si>
  <si>
    <t>The ball went flying passing the ball in a small rectangular holes, and hit the ground.</t>
  </si>
  <si>
    <t>v__pMQwrt-cf4</t>
  </si>
  <si>
    <t>We see the opening title screen.</t>
  </si>
  <si>
    <t>We see stills of the flooring material.</t>
  </si>
  <si>
    <t>A man cuts and puts the superfloor on the floor.</t>
  </si>
  <si>
    <t>The man then unrolls carpet over the superfloor.</t>
  </si>
  <si>
    <t>We then see the ending screen.</t>
  </si>
  <si>
    <t>v_tGuPkIKGIK4</t>
  </si>
  <si>
    <t>A woman holds a dog and take to the bathroom to take a bath in a bathtub while rubbing the body with soap.</t>
  </si>
  <si>
    <t>The dog waits until the woman grab a towel to dry the body of the dog.</t>
  </si>
  <si>
    <t>The dog looks angry and show his teeth.</t>
  </si>
  <si>
    <t>Then, woman give a kiss to then dog.</t>
  </si>
  <si>
    <t>v_8eqO6e2wWmY</t>
  </si>
  <si>
    <t>A few men and a woman are indoors playing badminton They are very into it and competing heavily.</t>
  </si>
  <si>
    <t>The men go back and forth in an attempt to score and are very focused.</t>
  </si>
  <si>
    <t>Various shots in fast motion and in slow motion are shown of the action.</t>
  </si>
  <si>
    <t>v_HGy8UgabFMw</t>
  </si>
  <si>
    <t>A man in blue shirt and jeans is wearing black gloves and trimming the hedge with an orange trimming machine, doing the side first then the front and then the other side.</t>
  </si>
  <si>
    <t>He climbed the blue-green ladder to trim the top of the hedge, he moved the ladder to do the middle top of the hedge.</t>
  </si>
  <si>
    <t>The man trimmed the round low bush, used the ladder to trim the top of the round hedge.</t>
  </si>
  <si>
    <t>v_mGLCCohSA0A</t>
  </si>
  <si>
    <t>Several kitchens are shown in the backdrop as a Around the House Menards logo flashes in the middle of the screen.</t>
  </si>
  <si>
    <t>After, a man in blue polo is shown pasting tile on the back of the kitchen walls to renovate the home.</t>
  </si>
  <si>
    <t>Another man is shown sanding and painting the wall and renovating another home.</t>
  </si>
  <si>
    <t>A block of tile is shown again but it is flipped over to see the net on the back of it.</t>
  </si>
  <si>
    <t>The men continue to renovate the house, measuring the wall,fixing the lights and pasting the tile on the wall.</t>
  </si>
  <si>
    <t>Finally, the finished product of the wall is shown.</t>
  </si>
  <si>
    <t>v_WEoelJQYlxk</t>
  </si>
  <si>
    <t>A picture of a man washing a car is shown and leads into several men washing the same car.</t>
  </si>
  <si>
    <t>The men vacuum the inside as well as clean the dashboard and entire interior and exterior.</t>
  </si>
  <si>
    <t>The car is shown off again in the end all clean.</t>
  </si>
  <si>
    <t>v_h9WOFfVGeAQ</t>
  </si>
  <si>
    <t>A man is standing up playing bagpipes.</t>
  </si>
  <si>
    <t>People are sitting on a couch laughing at him.</t>
  </si>
  <si>
    <t>v_8EDq3cjHhz0</t>
  </si>
  <si>
    <t>We see two people in a studio.</t>
  </si>
  <si>
    <t>We then see a man in a bowling alley speaking to the camera with a man in a bowling pin costume.</t>
  </si>
  <si>
    <t>The man then interviews a man in a black jacket.</t>
  </si>
  <si>
    <t>We see the bowling pin throw a green bowling ball.</t>
  </si>
  <si>
    <t>The newscaster then throws a blue ball down the lane and another ball at the bowling pin mascot who falls over.</t>
  </si>
  <si>
    <t>We then see a split screen with the pin running behind the newscaster and the people in the studio in the upper left corner.</t>
  </si>
  <si>
    <t>The pin throws a ball at the newscaster, and we return to the studio.</t>
  </si>
  <si>
    <t>v_wBwBm7Ju9a8</t>
  </si>
  <si>
    <t>A talking and smiling man is standing in an indoor area and then motions to his right and a woman walks towards him and she begins to talk and smile with him.</t>
  </si>
  <si>
    <t>The woman is now jumping on a trampoline by herself and then she stands on a jumping board and simulates a jump off of a diving board and going straight down into a pool, but instead she lands on a large, soft, black landing mat.</t>
  </si>
  <si>
    <t>The man is now jumping on the trampoline and he does the the exact same thing as the woman just did.</t>
  </si>
  <si>
    <t>Now the woman is standing at an outdoor pool talking and she jumps off of the diving board first, does a few flips and then lands in the water.</t>
  </si>
  <si>
    <t>The man appears in front of the camera holding up a small speedo, he shakes his head in disapproval of the speedos, throws it on the camera, and they show him doing leg warm ups wearing a long pair of swimming shorts.</t>
  </si>
  <si>
    <t>Then man goes on the diving board, rubs his hands together, then jumps off the diving board 4 times and does various flips before he lands in the water.</t>
  </si>
  <si>
    <t>The man and the woman are now on the ground talking and they turn to look at the tallest diving board, and a quick shot from tallest diving board is showing high it is, then it goes back to the man and the woman still standing next to the pool and talking.</t>
  </si>
  <si>
    <t>v_wBbSb9Ubis4</t>
  </si>
  <si>
    <t>A close up of a bull is seen as well as another laying on the ground.</t>
  </si>
  <si>
    <t>Another bull is seen running off into the distance and chasing a person.</t>
  </si>
  <si>
    <t>Several people are seen running away from a bull in many shots as they chase them down.</t>
  </si>
  <si>
    <t>v_kZMDKbfIis0</t>
  </si>
  <si>
    <t>A man is kneeling down on ice.</t>
  </si>
  <si>
    <t>He begins playing a game of curling.</t>
  </si>
  <si>
    <t>Two people scrub the ice in front of the curling ball.</t>
  </si>
  <si>
    <t>v_6aWTCiY3eww</t>
  </si>
  <si>
    <t>A man is seen climbing onto of a camel and begins walking around with a man in front.</t>
  </si>
  <si>
    <t>The man speaks to one on top and gives the camel a slap while looking back to speak to the camera.</t>
  </si>
  <si>
    <t>v_NcEWimHnC54</t>
  </si>
  <si>
    <t>We see snow covered ski slope and a title screen.</t>
  </si>
  <si>
    <t>We see people skiing and snowboarding down the hill.</t>
  </si>
  <si>
    <t>The names are shown in a blue bar above.</t>
  </si>
  <si>
    <t>We see a man holding a selfie stick as he boards down the hill.</t>
  </si>
  <si>
    <t>We see a person in dense woods riding a snowboard.</t>
  </si>
  <si>
    <t>We see the ending credits.</t>
  </si>
  <si>
    <t>v_n96adnrNnno</t>
  </si>
  <si>
    <t>Two Asians a man and a female are sitting down at a table before going to the inside of a gym.</t>
  </si>
  <si>
    <t>In the gym,several young girls begin doing gymnastics and performing before coming back and doing an interview with the reporter.</t>
  </si>
  <si>
    <t>Next,a young man approaches the bars,does his routine,and then comes back to to his interview.</t>
  </si>
  <si>
    <t>v_beRmfL0Uh28</t>
  </si>
  <si>
    <t>A Caucasian man wearing a red helmet is sitting in a boat in the water talking to water.</t>
  </si>
  <si>
    <t>The rocky water is shown and then the man comes down kayaking throughout the white waters.</t>
  </si>
  <si>
    <t>A flash of vacant water is shown then a group of ten people are pictured kayaking together over the rocks and water and eventually are pushed out the kayak by the large wave.</t>
  </si>
  <si>
    <t>The group of people continue swimming through the water trying to find land.</t>
  </si>
  <si>
    <t>They eventually get out and each person begins talking the camera about what they've just experienced.</t>
  </si>
  <si>
    <t>v_X74SOIQRD4M</t>
  </si>
  <si>
    <t>The players are running in the field with their bats.</t>
  </si>
  <si>
    <t>The player in shirt is running with player in red shirt.</t>
  </si>
  <si>
    <t>The two players began walking.</t>
  </si>
  <si>
    <t>v_RDCZQ0nWIPc</t>
  </si>
  <si>
    <t>A white screen appears and special affects reveal the words "Howcast original".</t>
  </si>
  <si>
    <t>A man is talking while various clips of people rollerblading play and a screen pops up indicating that he's giving tips on "Rollerblading Basics: How to Control Speed on Rollerblades", and he picks up a pair of rollerblades and points to the wheels, then more clips of him rollerblading and showing examples plays.</t>
  </si>
  <si>
    <t>The outro appears and it's the white screen in the intro that include the words "Howcast original".</t>
  </si>
  <si>
    <t>v_7rf06_5zNJk</t>
  </si>
  <si>
    <t>Members of a belly dance academy do a choreographed routine in an advertisement for the school.</t>
  </si>
  <si>
    <t>They move around the stage and then show their bellies.</t>
  </si>
  <si>
    <t>v_HEuC9ZEY91E</t>
  </si>
  <si>
    <t>People are going down a hill of snow on sleds.</t>
  </si>
  <si>
    <t>People are standing on the side of the hill watching them.</t>
  </si>
  <si>
    <t>People are making a snow man in the snow.</t>
  </si>
  <si>
    <t>v_s1WQ4zNikKA</t>
  </si>
  <si>
    <t>A camera pans around a shower and zooms in on a person shaving their legs.</t>
  </si>
  <si>
    <t>The camera watches her move her arms all around her legs while the water runs down the drain.</t>
  </si>
  <si>
    <t>v_Y2gFwWnli4g</t>
  </si>
  <si>
    <t>A chef speaks as she stands by a table full of cooking ingredients.</t>
  </si>
  <si>
    <t>She grabs oil and salt and pours it into a mixing bowl.</t>
  </si>
  <si>
    <t>She stirs the ingredients with some tongs.</t>
  </si>
  <si>
    <t>She pours some tomatoes, zucchini and red onions into the mixing bowl.</t>
  </si>
  <si>
    <t>She cuts up some cilantro.</t>
  </si>
  <si>
    <t>She throws the cilantro into the mixing bowl.</t>
  </si>
  <si>
    <t>She mixes the vegetables in the mixing bowl with the tongs.</t>
  </si>
  <si>
    <t>She places the vegetable on top of some arugula on a plate.</t>
  </si>
  <si>
    <t>She shows off the salad.</t>
  </si>
  <si>
    <t>v_6TgVNz6PATk</t>
  </si>
  <si>
    <t>A person in red jacket is standing at the side of the lane.</t>
  </si>
  <si>
    <t>Two people are sliding down the lane covered in snow.</t>
  </si>
  <si>
    <t>The woman in the tube is going further down the lane as she wave her arms.</t>
  </si>
  <si>
    <t>v_xLRUuV1z3QA</t>
  </si>
  <si>
    <t>A woman is standing next to a camel holding the leash.</t>
  </si>
  <si>
    <t>The woman climbed on the camel, and the camel stood up.</t>
  </si>
  <si>
    <t>The camel walk around and stopped as the woman pull the leash and the camel sat down and the woman got off the camel.</t>
  </si>
  <si>
    <t>v_rhOtqArO-3Y</t>
  </si>
  <si>
    <t>The video shows a canopy representing the Eastern Mountain Sports event.</t>
  </si>
  <si>
    <t>Several players are getting ready for the sporting event in an outdoor setting on a bright sunny day.</t>
  </si>
  <si>
    <t>There is a boy balancing on a tight rope.</t>
  </si>
  <si>
    <t>There are several other contestants walking on the tight rope.</t>
  </si>
  <si>
    <t>Several people watch the contestants perform.</t>
  </si>
  <si>
    <t>Two people are playing with a Frisbee as one person walks on the rope.</t>
  </si>
  <si>
    <t>A girl and boy try the tight rope together.</t>
  </si>
  <si>
    <t>There are people enjoying themselves on a hammock.</t>
  </si>
  <si>
    <t>The end credits thank the people and organizers of the event.</t>
  </si>
  <si>
    <t>v_SwQbnQX7LCQ</t>
  </si>
  <si>
    <t>A grey car is parked on a driveway, then a person washes the rims of the car.</t>
  </si>
  <si>
    <t>After, the person spreads soap on the car with a bottle joint to a hose, after he brushes the front light of the car.</t>
  </si>
  <si>
    <t>Then, the person cleans the hood with a cloth.</t>
  </si>
  <si>
    <t>Next, the person rinses and dries the car.</t>
  </si>
  <si>
    <t>v_Lml6HGhM4yg</t>
  </si>
  <si>
    <t>A person is seen holding a tennis racket on a field and hits the ball across the field.</t>
  </si>
  <si>
    <t>He then smiles and walks to the camera while pointing into the distance and fist bumping.</t>
  </si>
  <si>
    <t>v_u1grT0O81Qg</t>
  </si>
  <si>
    <t>A group of fencers pose with an instructor.</t>
  </si>
  <si>
    <t>The fencers are shown inside a gym, practicing.</t>
  </si>
  <si>
    <t>They jab and do various moves with each other during the match.</t>
  </si>
  <si>
    <t>v_qCtoh8hxjOA</t>
  </si>
  <si>
    <t>A person is seen sitting a top a slide and begins riding down the slide.</t>
  </si>
  <si>
    <t>She meets another person at the bottom while laughing to the camera and another person running in.</t>
  </si>
  <si>
    <t>v_n18TxTWnbFI</t>
  </si>
  <si>
    <t>A person is standing on a diving board.</t>
  </si>
  <si>
    <t>They jump off the diving board into the pool.</t>
  </si>
  <si>
    <t>He falls backward into the water.</t>
  </si>
  <si>
    <t>Someone is jumping into the water off the diving board.</t>
  </si>
  <si>
    <t>A person jumps and goes under the water.</t>
  </si>
  <si>
    <t>A man is jumping high and does a flip into the water off of the diving board.</t>
  </si>
  <si>
    <t>A person does a black flip into the water off the diving board.</t>
  </si>
  <si>
    <t>v_0jBwj0bfZ3Y</t>
  </si>
  <si>
    <t>A small ground of people are seen standing around a baseball field looking around to one another.</t>
  </si>
  <si>
    <t>Suddenly a few begin dancing around and one holds the ball in the middle.</t>
  </si>
  <si>
    <t>v_Ok_Tjkob8IA</t>
  </si>
  <si>
    <t>little kid is standing in front of a counter with jars and ingedients in front of her.</t>
  </si>
  <si>
    <t>woman is putting sugar in a pan with water and heat it, put water and lemon juice and mixing all the ingredients in a jar.</t>
  </si>
  <si>
    <t>v_1aRRlW0k-_4</t>
  </si>
  <si>
    <t>A boy is playing with a ball.</t>
  </si>
  <si>
    <t>Kids are practicing lacrosse on a field of grass.</t>
  </si>
  <si>
    <t>A man in a black jacket is watching them play.</t>
  </si>
  <si>
    <t>v_DRI64Xoxy5w</t>
  </si>
  <si>
    <t>There are lots of people standing outdoors just walking around and talking.</t>
  </si>
  <si>
    <t>A little boy goes behind a ladder and other people keep walking around.</t>
  </si>
  <si>
    <t>A pinata drops from high above and he hits the pinata using a stick and then someone comes out holding a bowl filled with bags.</t>
  </si>
  <si>
    <t>v_h7cetqsBVn0</t>
  </si>
  <si>
    <t>There is a line of camels sitting on the ground in the Outback area of Australia.</t>
  </si>
  <si>
    <t>there are tourists waiting to get onto the camels to enjoy a camel back ride.</t>
  </si>
  <si>
    <t>Men in red shirts and cowboy hats are helping the tourists get on the camels' backs.</t>
  </si>
  <si>
    <t>The camels slowly raise themselves up and begin walking around with the tourists on their backs.</t>
  </si>
  <si>
    <t>The tourists are happy as they wave to the camera as they enjoy the camel ride.</t>
  </si>
  <si>
    <t>The camels walk slowly through the dry and muddy grasslands.</t>
  </si>
  <si>
    <t>Then the tourists get off of the camels and walk towards an outdoor dinning area where several tables are arranged with white tablecloths and dinnerware.</t>
  </si>
  <si>
    <t>v__9h6NBOPTy8</t>
  </si>
  <si>
    <t>A martini glass is being filled with vodka.</t>
  </si>
  <si>
    <t>A woman is shown behind a bar with different alcohol bottles.</t>
  </si>
  <si>
    <t>She mixes them together, then decorates the final drink.</t>
  </si>
  <si>
    <t>v_oZnbAhzN3jg</t>
  </si>
  <si>
    <t>A person shows how to clean large windows.</t>
  </si>
  <si>
    <t>First the soap is applied then it is scraped away.</t>
  </si>
  <si>
    <t>The process is repeated and finished.</t>
  </si>
  <si>
    <t>v_YtPZMBePf5c</t>
  </si>
  <si>
    <t>A man is seen swirling a stick around a pot while a young boy on the side watches him work.</t>
  </si>
  <si>
    <t>The man teases the boy with a cone and lets the boy have it, only to be taken away again.</t>
  </si>
  <si>
    <t>The man then puts ice cream on the cone and smiles at the boy while he walks away and other's watch.</t>
  </si>
  <si>
    <t>v_DmTI8y6Anvo</t>
  </si>
  <si>
    <t>A basketball player is seen jumping under a basketball ball net and shooting a ball continuously at the net.</t>
  </si>
  <si>
    <t>She continues shooting and the video ends with various text across the screen.</t>
  </si>
  <si>
    <t>v_seScyTd2XSc</t>
  </si>
  <si>
    <t>A person holds out cleaning product and a spray bottle with the mixture over a kitchen sink.</t>
  </si>
  <si>
    <t>The person sprays down the stainless steel sink with detergent in a spray bottle.</t>
  </si>
  <si>
    <t>A sponge is used to scrub the sing with the cleaning solution.</t>
  </si>
  <si>
    <t>The faucet is turned on and is used to rinse out the sink.</t>
  </si>
  <si>
    <t>v_evj6y2xZCnM</t>
  </si>
  <si>
    <t>a baby in a screen is shown and someone hits the screen with a hammer.</t>
  </si>
  <si>
    <t>man is doing skateboard and is felling of the board in different places.</t>
  </si>
  <si>
    <t>man is skateboarding going down a large stairs and fells.</t>
  </si>
  <si>
    <t>man is skateboarding down a cement rail in stairs.</t>
  </si>
  <si>
    <t>v_9PRK4oy1hhY</t>
  </si>
  <si>
    <t>A reporter interview two boys and a little boy.</t>
  </si>
  <si>
    <t>Then, the big boys and the small boys play soccer table while the reporter continue the interview.</t>
  </si>
  <si>
    <t>v_FnrvqpjHe6I</t>
  </si>
  <si>
    <t>The young female players are running around the court throwing ball to on each other.</t>
  </si>
  <si>
    <t>Some of the players are avoiding the ball, so they continue to run around.</t>
  </si>
  <si>
    <t>The female players walked as they kicked the ball from one side to the next.</t>
  </si>
  <si>
    <t>The players kicked the ball to the next person on the opposite side of the court.</t>
  </si>
  <si>
    <t>v_PXvqhB91EkA</t>
  </si>
  <si>
    <t>A small group of people are seen riding exercise bikes next to one another while a woman stands in the middle motivating them.</t>
  </si>
  <si>
    <t>The people continue spinning around on the bikes with some struggling and others continuing to peddle.</t>
  </si>
  <si>
    <t>v_GEmuTigZlYA</t>
  </si>
  <si>
    <t>A woman is seen brushing copious amounts of hair off of a dog's body and collecting the fur in her hand.</t>
  </si>
  <si>
    <t>The dog moves his leg a bit as the woman continues brushing and looks back to watch her brush.</t>
  </si>
  <si>
    <t>v_YAm1JXAtqh4</t>
  </si>
  <si>
    <t>A person runs down a track and throws a javelin.</t>
  </si>
  <si>
    <t>Another person runs down the track and throws a javelin.</t>
  </si>
  <si>
    <t>v_0_ZLjaAEx5s</t>
  </si>
  <si>
    <t>The lady whips her hair from side to side.</t>
  </si>
  <si>
    <t>The lady parts her hair.</t>
  </si>
  <si>
    <t>The lady brushes her hair, applies gel to her parted hair, and starts to braid her hair.</t>
  </si>
  <si>
    <t>The lady puts a hair ties around the two braids.</t>
  </si>
  <si>
    <t>The lady puts a hat on her head.</t>
  </si>
  <si>
    <t>The lady gives a peace sign and waves.</t>
  </si>
  <si>
    <t>v_XqW8wjFpGRU</t>
  </si>
  <si>
    <t>People are dancing and choreographing a routine.</t>
  </si>
  <si>
    <t>They jump around and clap at the end.</t>
  </si>
  <si>
    <t>v_4hbMYlgO8_o</t>
  </si>
  <si>
    <t>A man is seen kneeling down in a large field around small trees and holding a stick.</t>
  </si>
  <si>
    <t>The man then wacks the stick along the grass and moving his arms back and fourth.</t>
  </si>
  <si>
    <t>v_6B3qNzgqnpc</t>
  </si>
  <si>
    <t>A person sitting in a canoe is slowly streaming down a river.</t>
  </si>
  <si>
    <t>A shot of a bird is seen off in the distance, as well as another bird.</t>
  </si>
  <si>
    <t>The canoe keeps floating while various bird are shown sitting in the water as well as the trees.</t>
  </si>
  <si>
    <t>v_d8M7yIj9jbE</t>
  </si>
  <si>
    <t>A young man is sitting down in a room talking to three other people serving as news anchors.</t>
  </si>
  <si>
    <t>The video then flips to a bar and shows Obama playing a game of pool.</t>
  </si>
  <si>
    <t>After,the four people begin talking again about the former president and his attire.</t>
  </si>
  <si>
    <t>v_KmhzUY2ooCw</t>
  </si>
  <si>
    <t>A backyard seen appears with several people outside.</t>
  </si>
  <si>
    <t>The people are playing a game of croquette, taking turns with the bat and hitting the balls.</t>
  </si>
  <si>
    <t>v_HKgnushHynQ</t>
  </si>
  <si>
    <t>People side dive into a swimming pool.</t>
  </si>
  <si>
    <t>People are standing in a swimming pool.</t>
  </si>
  <si>
    <t>Girls are dancing on the lawn in swim suits.</t>
  </si>
  <si>
    <t>People are jumping up and down in a swimming pool with their arms around each other.</t>
  </si>
  <si>
    <t>People begin playing water polo in the swimming pool.</t>
  </si>
  <si>
    <t>v_MyPQ_e4dGDw</t>
  </si>
  <si>
    <t>A lemon sits on a cutting board.</t>
  </si>
  <si>
    <t>Someone chops the lemon and squeezes it into a glass.</t>
  </si>
  <si>
    <t>The other half is squeezed in.</t>
  </si>
  <si>
    <t>They then add sugar to the mix.</t>
  </si>
  <si>
    <t>v_KNzFJses9jc</t>
  </si>
  <si>
    <t>A large crane is seen sitting on the ground and leads into a man using tools on a wall.</t>
  </si>
  <si>
    <t>The camera continues to watch the person work as he uses the tool to create sparks on the wall.</t>
  </si>
  <si>
    <t>v_H-fl49tiqGE</t>
  </si>
  <si>
    <t>women are in rubbers sliding down a snowy hill.</t>
  </si>
  <si>
    <t>women stands and laugh and walks.</t>
  </si>
  <si>
    <t>v_M2ntILX6VP0</t>
  </si>
  <si>
    <t>A baby calf is seen running around a sand pit when a man riding a horse and swinging a rope begins to chase him.</t>
  </si>
  <si>
    <t>The man ties up the calf and rides away while the video leads into shots of a horse kicking a rider off of it's back.</t>
  </si>
  <si>
    <t>More shots are shown of horses kicking riders off while people grab the horse in the end.</t>
  </si>
  <si>
    <t>v_1GzrcmQ5Pcc</t>
  </si>
  <si>
    <t>People are running around playing dodge ball.</t>
  </si>
  <si>
    <t>A woman is holding a camera taking a picture.</t>
  </si>
  <si>
    <t>A woman in a blue shirt poses with a man for a picture.</t>
  </si>
  <si>
    <t>v_0L959X4oxaY</t>
  </si>
  <si>
    <t>A man is standing on top of a hill.</t>
  </si>
  <si>
    <t>A woman is seated on a sled.</t>
  </si>
  <si>
    <t>She is then released down the hill, moving quickly.</t>
  </si>
  <si>
    <t>v_g7l-Y_bgPkI</t>
  </si>
  <si>
    <t>Several people are watching a man in a white hat on a tennis court.</t>
  </si>
  <si>
    <t>The man in the white hat is holding his hand up.</t>
  </si>
  <si>
    <t>The ball is served and it goes outside the court.</t>
  </si>
  <si>
    <t>The ball is thrown to the man in the white hat.</t>
  </si>
  <si>
    <t>The man in the white hat prepares to serve the ball.</t>
  </si>
  <si>
    <t>v_pmn8_4zKo7I</t>
  </si>
  <si>
    <t>A man is outside smoking a cigarette with his friend.</t>
  </si>
  <si>
    <t>They are just sitting out relaxing blowing smoke.</t>
  </si>
  <si>
    <t>Another man with a camera walks by while they sit chatting.</t>
  </si>
  <si>
    <t>Its a nice day to just relax and have a smoke outside with friends.</t>
  </si>
  <si>
    <t>v_URzytLugoVw</t>
  </si>
  <si>
    <t>Two men are running on the baseball field.</t>
  </si>
  <si>
    <t>A ball appears and falls to the ground at home plate and a man kicks it.</t>
  </si>
  <si>
    <t>Another man on the field catches the ball.</t>
  </si>
  <si>
    <t>The man with the ball's team runs over to him.</t>
  </si>
  <si>
    <t>We see the play again slow motion.</t>
  </si>
  <si>
    <t>v_GgfyTMpHfnI</t>
  </si>
  <si>
    <t>We see a girl with a braid then shaking loose curls in her hair.</t>
  </si>
  <si>
    <t>We watch the girl as she curls and braids her hair.</t>
  </si>
  <si>
    <t>The girl using a curling iron and curls her hair.</t>
  </si>
  <si>
    <t>She then braids and twists her hair into a side braid.</t>
  </si>
  <si>
    <t>The girl shows us the back of her hair and then curls the bottom with a curling iron.</t>
  </si>
  <si>
    <t>The girl makes faces and the ending title screen then loads.</t>
  </si>
  <si>
    <t>v_zPZGjZES31A</t>
  </si>
  <si>
    <t>The camera pans a residence's yard.</t>
  </si>
  <si>
    <t>A man wearing a white hoodie and black warm ups with white stripes is mowing the yard with a push lawn mower.</t>
  </si>
  <si>
    <t>The camera captures a rain storm starting and raining over the yard while the man continues to mow the yard.</t>
  </si>
  <si>
    <t>v_Ug3pM64HhK4</t>
  </si>
  <si>
    <t>A Woman is braiding her hair.</t>
  </si>
  <si>
    <t>She is Crossing the strands.</t>
  </si>
  <si>
    <t>Her braid is done on one side and she continues on the next.</t>
  </si>
  <si>
    <t>Crossing and adding hair to the braid.</t>
  </si>
  <si>
    <t>She finishes and turns around and puts the back into a ponytail.</t>
  </si>
  <si>
    <t>v_MoVZoCmkdjY</t>
  </si>
  <si>
    <t>A man and a woman sit behind a table.</t>
  </si>
  <si>
    <t>The man pours a drink into several glasses on the table.</t>
  </si>
  <si>
    <t>A woman is making a drink on the table.</t>
  </si>
  <si>
    <t>She pours a blue bottle into the drink.</t>
  </si>
  <si>
    <t>She pours the drink into smaller glasses on the table.</t>
  </si>
  <si>
    <t>v_HV_yqsiFoKA</t>
  </si>
  <si>
    <t>man wearing a black vest is alone on a ring wrestling with another man who is kneeling on the floor.</t>
  </si>
  <si>
    <t>two other men gets in the ring and are wresting the man in the center.</t>
  </si>
  <si>
    <t>people are around the ring wtching the wrest.</t>
  </si>
  <si>
    <t>three journalists are standing wearing suits and watch the men in the ring.</t>
  </si>
  <si>
    <t>v_Bbb8CybvMlk</t>
  </si>
  <si>
    <t>An introduction comes onto the screen for a video about wrapping gifts.</t>
  </si>
  <si>
    <t>Several different close up shots are shows of wrapped gifts and gift wrapping supplies.</t>
  </si>
  <si>
    <t>A person comes onto the screen and begins to wrap a gift.</t>
  </si>
  <si>
    <t>She decorates the gift with ribbons and attachments to embellish it.</t>
  </si>
  <si>
    <t>Several other gift wrapping ideas are then shown on the one after the other.</t>
  </si>
  <si>
    <t>The video ends with the closing credits shown on the screen.</t>
  </si>
  <si>
    <t>v_HiEClhlj5_A</t>
  </si>
  <si>
    <t>A camera pans down a long list and leads into a group of men and one speaking to them all.</t>
  </si>
  <si>
    <t>Two men shake hands and begin rolling paint along a long paper.</t>
  </si>
  <si>
    <t>They race to put the paper on a long wall and photographs of men measuring the wall follow.</t>
  </si>
  <si>
    <t>The men fist bump another and shake hands as the men continue writing down notes and pictures of high scores shown.</t>
  </si>
  <si>
    <t>v_IOoj4yWCoPg</t>
  </si>
  <si>
    <t>A woman is sitting outside her home and washing her clothes in a tub filled with water and soap.</t>
  </si>
  <si>
    <t>She removes the clothes from the tub and then soaks them in another tub filled with water.</t>
  </si>
  <si>
    <t>She puts the water hose into the water tub.</t>
  </si>
  <si>
    <t>She adds more clothes in the soapy water and continues washing the clothes.</t>
  </si>
  <si>
    <t>v_xMQcYD044z4</t>
  </si>
  <si>
    <t>old man is standing in front of a young man talking to him.</t>
  </si>
  <si>
    <t>young man is in the middle of stage and its spreading white cram on his hands and walks making deep beraths.</t>
  </si>
  <si>
    <t>man is ready to lifting weight in middle of a white stage and people behind jim is clapping.</t>
  </si>
  <si>
    <t>v_GwJ9DmiW8dk</t>
  </si>
  <si>
    <t>A woman in a purple bodysuit and wearing a bib on her back approaches a wooden balance beam in front of a large audience who is cheering her on.</t>
  </si>
  <si>
    <t>The woman jumps on the the balance beam and a man quickly grabs the ramp she used to jump onto the balance beam and removes it from the area.</t>
  </si>
  <si>
    <t>The woman begins her routine that includes, jumps, flips, and small dance moves.</t>
  </si>
  <si>
    <t>During the routine the woman flips and slightly loses her balance but quickly recovers and remains on the balance beam.</t>
  </si>
  <si>
    <t>The woman goes to the furthest end of the balance beam, has a very concentrated look on her face and she quickly does a series of flips off of the balance beam, lands on her feet, throws her two arms in the air and waves to the audience who is cheering wildly.</t>
  </si>
  <si>
    <t>v_3XUxm78gjJE</t>
  </si>
  <si>
    <t>People are playing baseball on a field of grass.</t>
  </si>
  <si>
    <t>A person in a blue shirt falls down throwing the baseball.</t>
  </si>
  <si>
    <t>The audience is dancing on the side of the field.</t>
  </si>
  <si>
    <t>v_RclRzty0YVE</t>
  </si>
  <si>
    <t>A person is seen standing on the beach with a soccer ball in front of him and a person standing in a goal.</t>
  </si>
  <si>
    <t>The person then kicks the ball several times to the goalie.</t>
  </si>
  <si>
    <t>The goalie attempts to block the shots that are aimed at the net.</t>
  </si>
  <si>
    <t>v_lngs7qR5AXA</t>
  </si>
  <si>
    <t>A man lays in bed and wakes up.</t>
  </si>
  <si>
    <t>The man makes and drinks a cup of coffee.</t>
  </si>
  <si>
    <t>The man drinks from the cup and when he lowers the cup the man is dress as Captain America.</t>
  </si>
  <si>
    <t>v_syAccI5soVw</t>
  </si>
  <si>
    <t>A young girl is seen performing a belly dancing routine in front of a large group of people.</t>
  </si>
  <si>
    <t>The girl continues swinging her arms and legs around in front of the audience and ends by bowing and blowing a kiss.</t>
  </si>
  <si>
    <t>v_nIIFlJnOXXs</t>
  </si>
  <si>
    <t>A woman standing behind an ironing board grabs a pair of pants.</t>
  </si>
  <si>
    <t>She starts ironing the pants inside out.</t>
  </si>
  <si>
    <t>She turns the pants back the right way and continues ironing them.</t>
  </si>
  <si>
    <t>v_n-1KBnDiWQU</t>
  </si>
  <si>
    <t>A man is on a canoe holding a paddle in a swimming pool.</t>
  </si>
  <si>
    <t>A man pivots a canoe helping with an oar.</t>
  </si>
  <si>
    <t>v_aV5DMcsNMmk</t>
  </si>
  <si>
    <t>A dog holding a cup in its mouth jumps up on a couch.</t>
  </si>
  <si>
    <t>The dog proceeds to eat something in the cup.</t>
  </si>
  <si>
    <t>v_9OVSvoKwa0A</t>
  </si>
  <si>
    <t>People are sitting in bumper cars.</t>
  </si>
  <si>
    <t>A man on the side is holding onto the side of one of the cars.</t>
  </si>
  <si>
    <t>He jumps off onto the side.</t>
  </si>
  <si>
    <t>v_Z1siDLDwbiY</t>
  </si>
  <si>
    <t>A person begins clearing snow off of a windshield on a car.</t>
  </si>
  <si>
    <t>They then clean the snow off the doors of the car.</t>
  </si>
  <si>
    <t>They then clean the back window off of a car.</t>
  </si>
  <si>
    <t>v_Ol2rfUv3zHI</t>
  </si>
  <si>
    <t>A man in a red shirt is playing a drum set.</t>
  </si>
  <si>
    <t>A man in a blue shirt is sitting down talking.</t>
  </si>
  <si>
    <t>v_13vEnzRCKzo</t>
  </si>
  <si>
    <t>The woman irons a piece of clothing on an ironing board.</t>
  </si>
  <si>
    <t>The woman flips the piece of clothing.</t>
  </si>
  <si>
    <t>The woman continues to iron the piece of clothing.</t>
  </si>
  <si>
    <t>v_FMXPFrZYhes</t>
  </si>
  <si>
    <t>A male athlete is outside in a field surrounded by people and begins to spin around and throws a shot put.</t>
  </si>
  <si>
    <t>The crowd begins to cheer and the man throws his hands up jumps in happiness.</t>
  </si>
  <si>
    <t>v_29Vrl0rJbSo</t>
  </si>
  <si>
    <t>A lady stands in a bathroom talking.</t>
  </si>
  <si>
    <t>the lady shows the camera her brush and blow dryer.</t>
  </si>
  <si>
    <t>The lady brushes her hair.</t>
  </si>
  <si>
    <t>the lady blow drys her hair while she spins her hair on a brush.</t>
  </si>
  <si>
    <t>The lady turns the blow dryer off and talks to the camera while she adjusts her hair.</t>
  </si>
  <si>
    <t>The lady puts her brush down and talks to the camera.</t>
  </si>
  <si>
    <t>v_rrTNLcPCWK8</t>
  </si>
  <si>
    <t>People are gathered on bleachers in a gym.</t>
  </si>
  <si>
    <t>Team mates come out waving a white flag.</t>
  </si>
  <si>
    <t>A basketball game commences, trying to make baskets.</t>
  </si>
  <si>
    <t>v_6NQl2Vcf0P0</t>
  </si>
  <si>
    <t>A man in a rodeo owing is performing a stunt.</t>
  </si>
  <si>
    <t>A man is riding a horse in a rodeo ring.</t>
  </si>
  <si>
    <t>the man lassos a cow and throws it to the ground.</t>
  </si>
  <si>
    <t>the man then hog ties the cow.</t>
  </si>
  <si>
    <t>The man gets back on his horse and we pan up and see the scoreboard.</t>
  </si>
  <si>
    <t>v_yWCrbhU_X_U</t>
  </si>
  <si>
    <t>Two little kids are eating an ice cream cone at mcdonalds.</t>
  </si>
  <si>
    <t>They are licking and so happy to have ice cream.</t>
  </si>
  <si>
    <t>The little girl is playing peek a boo with someone and both of their faces have ice cream on them.</t>
  </si>
  <si>
    <t>They are just enjoying the ice cream very much.</t>
  </si>
  <si>
    <t>v_5xgBlI9Xx0I</t>
  </si>
  <si>
    <t>A gymnast is shown swinging back and fourth on uneven bars.</t>
  </si>
  <si>
    <t>He performs a routine swinging around and around while hundreds of people watch.</t>
  </si>
  <si>
    <t>He finishes by sticking his arms up in the air and bowing to the audience.</t>
  </si>
  <si>
    <t>v_Ffi7vDa3C2I</t>
  </si>
  <si>
    <t>Two men are rollerblading on a sidewalk of a quiet street.</t>
  </si>
  <si>
    <t>There are four young men and women rollerblading on a street with lots of trees.</t>
  </si>
  <si>
    <t>There are some professionals rollerblading in a stadium and on a sidewalk by a fountain.</t>
  </si>
  <si>
    <t>One man jumps over a chained sidewalk while rollerblading.</t>
  </si>
  <si>
    <t>A couple is rollerblading on a sidewalk and another man is jumping over a barricade onto a sidewalk.</t>
  </si>
  <si>
    <t>Several people are rollerblading on the sidewalk.</t>
  </si>
  <si>
    <t>There are some people competing in a rollerblading competition.</t>
  </si>
  <si>
    <t>There are some men rollerblading through streets at very high speed.</t>
  </si>
  <si>
    <t>Some of them are climbing stairs with their roller blades.</t>
  </si>
  <si>
    <t>Some men are rollerblading through a busy city and on bridges.</t>
  </si>
  <si>
    <t>There is a group of young children rollerblading together.</t>
  </si>
  <si>
    <t>One man leaps over a wall while rollerblading.</t>
  </si>
  <si>
    <t>One person dives straight into water as he comes rollerblading at high speed.</t>
  </si>
  <si>
    <t>People are rollerblading through the city, going down the stairs and even on sidewalks.</t>
  </si>
  <si>
    <t>Two boys jump into an S shaped structure while rollerblading.</t>
  </si>
  <si>
    <t>Two people are doing figure eights on a bridge as they roller blade.</t>
  </si>
  <si>
    <t>One person goes steadily while rollerblading.</t>
  </si>
  <si>
    <t>v_zBmVL3I3nFU</t>
  </si>
  <si>
    <t>First the woman shows us how she looks with her afro before she makes a bug bun.</t>
  </si>
  <si>
    <t>First she sprays her hair with water from a spray bottle.</t>
  </si>
  <si>
    <t>Then she adds moisturizer to her hair and ties a ponytail holder onto her hair.</t>
  </si>
  <si>
    <t>Then she twists the ends of her hair to make a small bun and she wraps it to make it secure.</t>
  </si>
  <si>
    <t>Then she lightly twists the braiding hair and uses as many bobby pins as she needs.</t>
  </si>
  <si>
    <t>Finally, she puts gel on her edges to lay them down and she puts a bandanna on her edges.</t>
  </si>
  <si>
    <t>Then she takes it off and it's all done.</t>
  </si>
  <si>
    <t>v_fUJ88Ir7Dgc</t>
  </si>
  <si>
    <t>A person is seen walking around a track in the middle of a large audience.</t>
  </si>
  <si>
    <t>The athlete then sits down while another stands next to him and prepares.</t>
  </si>
  <si>
    <t>The man is then seen jumping over a bar followed by the same shot being shown again.</t>
  </si>
  <si>
    <t>v_5RLeo8LymY4</t>
  </si>
  <si>
    <t>A pair is rowing on kayaks down a lazy river stream.</t>
  </si>
  <si>
    <t>They use paddles to move their kayaks along the water.</t>
  </si>
  <si>
    <t>The pair looks toward each other, as if talking.</t>
  </si>
  <si>
    <t>v_FOF8YgUhRNA</t>
  </si>
  <si>
    <t>A shot of a glass being poured is shown and leads into a woman speaking to the camera.</t>
  </si>
  <si>
    <t>The woman holds a glass and mixes various liquids into the glass.</t>
  </si>
  <si>
    <t>The tops it off with a lemon and slides the drink closer and still speaking.</t>
  </si>
  <si>
    <t>v_Jm1y_W7RLSI</t>
  </si>
  <si>
    <t>A woman is seen standing before a camera and begins putting lotion on her hands and rubbing it round her face.</t>
  </si>
  <si>
    <t>The woman continuously rubs lotion all into her face and ends by looking into the camera.</t>
  </si>
  <si>
    <t>v_aKfUE-KeYWw</t>
  </si>
  <si>
    <t>This man is shown mowing the lawn while a big greyhound walks behind him.</t>
  </si>
  <si>
    <t>There is also another small dog in the yard who's just sitting down in one spot.</t>
  </si>
  <si>
    <t>v_0RZ5_8VD4vc</t>
  </si>
  <si>
    <t>This video allows viewers to hear the testimony of a customer who has used the pro roofing service.</t>
  </si>
  <si>
    <t>First the man tells how he heard about the service and how great it is.</t>
  </si>
  <si>
    <t>He also says that he chose pro roofing because the neighbors chose it and persuaded him by telling how great the service is.</t>
  </si>
  <si>
    <t>v_bHxWHW2PGy4</t>
  </si>
  <si>
    <t>The white water polo team huddles together.</t>
  </si>
  <si>
    <t>The game begins and blue scores while deep in the white defense to tie the game.</t>
  </si>
  <si>
    <t>White answers with a powerful goal to grab the lead back.</t>
  </si>
  <si>
    <t>Blue moves in and after a couple of passes ties the game back up.</t>
  </si>
  <si>
    <t>White scores to take the lead, and blue comes right back to tie once again.</t>
  </si>
  <si>
    <t>A scramble for the ball results in white gaining a 2-on-1 advantage and a goal.</t>
  </si>
  <si>
    <t>They push their lead further late and put the game out of reach, winning 14-10.</t>
  </si>
  <si>
    <t>The team celebrates together in the water.</t>
  </si>
  <si>
    <t>The team celebrates their gold metal at the podium.</t>
  </si>
  <si>
    <t>v_r4iurK3kOe8</t>
  </si>
  <si>
    <t>A girl and a dog is in the field.</t>
  </si>
  <si>
    <t>The girl is holding two frisbee, then she walked and turned side by side and the dog roll over in front of her, the dog touched the knees of the girl, the girl walked with her hands up and the dog walked with his two front paws up.</t>
  </si>
  <si>
    <t>The girl threw the frisbee and the dog chase of it and placed it on the ground.</t>
  </si>
  <si>
    <t>v_kdjLJTGj4H0</t>
  </si>
  <si>
    <t>Women are playing a game of curling.</t>
  </si>
  <si>
    <t>The audience watching them cheers and applauds.</t>
  </si>
  <si>
    <t>v_qvLFSqPCvn8</t>
  </si>
  <si>
    <t>A man grabs a tire from the back of the car and quickly runs to the front right of the car, drops it on the grass, then runs to the tire still on the car and begins to raise the car with a jack, and remove the lugs, rim and tire and throws them on the grass.</t>
  </si>
  <si>
    <t>The man then grabs the tire he pulled out from the back of the car, puts it on the car, puts the rim on it and tightens lugs onto them with his hand and then he picks up the tool and tightens the lugs with that.</t>
  </si>
  <si>
    <t>The man then removes the jack from under the car and tightens the lugs again with the tool and he stands up out of breath and smiles.</t>
  </si>
  <si>
    <t>v_YWsqpINl8Ic</t>
  </si>
  <si>
    <t>A handyman is standing in front of a porch and talking.</t>
  </si>
  <si>
    <t>The man uses two squeegees to clean two windows at the same time.</t>
  </si>
  <si>
    <t>The man finishes and puts his tools in his tool belt.</t>
  </si>
  <si>
    <t>He smiles and walks away.</t>
  </si>
  <si>
    <t>v_yVrru7t3478</t>
  </si>
  <si>
    <t>A camera is seen moving closer to a playground and shows a woman going down a slide.</t>
  </si>
  <si>
    <t>A dog rides down with her and another dog walks around the area.</t>
  </si>
  <si>
    <t>The woman rides down several more times with the small dog next to her.</t>
  </si>
  <si>
    <t>v_g2Dv154zmMU</t>
  </si>
  <si>
    <t>Two people are seen speaking to the camera and leads into them passing a ball on sticks to one another.</t>
  </si>
  <si>
    <t>The woman pauses to speak to the camera several times as well as show more clips of the two hitting the ball.</t>
  </si>
  <si>
    <t>v_yqkjHCPsdF0</t>
  </si>
  <si>
    <t>A group of people play water volleyball in a indoor pool with a few onlookers on the sidelines.</t>
  </si>
  <si>
    <t>A yellow volleyball is thrown between people in a pool.</t>
  </si>
  <si>
    <t>A person makes a goal with the yellow volleyball in a white net.</t>
  </si>
  <si>
    <t>The ball is thrown to the other side of the pool where another goal is met in a white net on the opposite side of the pool.</t>
  </si>
  <si>
    <t>v_kC1DyxcRHBg</t>
  </si>
  <si>
    <t>There's a person wearing pink gloves doing a tutorial on how to clean a white kitchen sink.</t>
  </si>
  <si>
    <t>The person sprays some white cleaning powder in the sink and then sprays some Clorox bleach on it.</t>
  </si>
  <si>
    <t>Then takes a pink scrub and begins scrubbing the sink in back and forth motion.</t>
  </si>
  <si>
    <t>The person makes sure that all the sides of the sink are cleaned, including the drain.</t>
  </si>
  <si>
    <t>Then she starts the tap to wash off the powder and bleach.</t>
  </si>
  <si>
    <t>She then uses a paper towel to wipe off the water and clean off any residual powder from the sink.</t>
  </si>
  <si>
    <t>v_AnPLZtJs7zE</t>
  </si>
  <si>
    <t>A man is talking to the camera next to a fence.</t>
  </si>
  <si>
    <t>The man is holding a paintbrush.</t>
  </si>
  <si>
    <t>The man dips the paintbrush into a bucket of paint and starts painting the fence.</t>
  </si>
  <si>
    <t>The man moves along the fence painting it.</t>
  </si>
  <si>
    <t>The man finishes painting and steps away from the fence.</t>
  </si>
  <si>
    <t>v_f6Nhpyq1XdU</t>
  </si>
  <si>
    <t>A woman standing in front of the white sing, turned on the faucet, got some liquid soap and wash her hand.</t>
  </si>
  <si>
    <t>She turned around and get some hand napkins from the wall, wiped her hands and threw the paper in the trash basket.</t>
  </si>
  <si>
    <t>v_bGql7ldp84A</t>
  </si>
  <si>
    <t>A woman comes onto the screen announcing that she will do a video on how to make a cookie dessert.</t>
  </si>
  <si>
    <t>She begins with all the ingredients she will need for the cookies and begins to combine the dry ingredients.</t>
  </si>
  <si>
    <t>She then proceeds to mix the wet ingredients in a glass bowl.</t>
  </si>
  <si>
    <t>After she mixes all the ingredients together she begins to roll the dough into balls and place them onto a cookie sheet, and puts them into the oven.</t>
  </si>
  <si>
    <t>She takes them out of the oven and begins to wrap them into individual sets.</t>
  </si>
  <si>
    <t>The video ends with the closing credits.</t>
  </si>
  <si>
    <t>v_RCyZgp1F06s</t>
  </si>
  <si>
    <t>A small child is seen sitting on a swing smiling at the camera.</t>
  </si>
  <si>
    <t>The boy moves back and fourth on the swing while another boy is seen swinging next to him.</t>
  </si>
  <si>
    <t>The two continue swinging back and fourth while the camera captures them from different angles.</t>
  </si>
  <si>
    <t>v_aF0gDTbcOxE</t>
  </si>
  <si>
    <t>Several clips are shown of robots fighting one another as well as the inside and outside of a building.</t>
  </si>
  <si>
    <t>More robots are shown close up as well as people adjusting the robots and setting them down to fight.</t>
  </si>
  <si>
    <t>The people continue using the robots and end by shaking hands and bowing with another man.</t>
  </si>
  <si>
    <t>v_STgbw-zqZJM</t>
  </si>
  <si>
    <t>A leaf blower machine blows a large pile of leaves around a parking lot.</t>
  </si>
  <si>
    <t>The machine continues moving through the lot and flowing the leaves into a large pile.</t>
  </si>
  <si>
    <t>v_JXL7LxJSjzw</t>
  </si>
  <si>
    <t>We see a lady in the woods chopping logs of wood.</t>
  </si>
  <si>
    <t>The lady puts a log on a platform.</t>
  </si>
  <si>
    <t>We see chickens running around the background.</t>
  </si>
  <si>
    <t>The lady laughs as she picks up a piece of wood.</t>
  </si>
  <si>
    <t>We see a chicken flapping it's wings in the background.</t>
  </si>
  <si>
    <t>The lady finishes and throws her hands in the air.</t>
  </si>
  <si>
    <t>v_5iIJl-wjE9U</t>
  </si>
  <si>
    <t>Girls are talking to the camera.</t>
  </si>
  <si>
    <t>They are making hand motions as they talk.</t>
  </si>
  <si>
    <t>They are playing rock, paper scissors.</t>
  </si>
  <si>
    <t>A girl is laying on the ged as another girl puts her butt in her face.</t>
  </si>
  <si>
    <t>The girl is talking to the camera again.</t>
  </si>
  <si>
    <t>v_c3SJUucMqJQ</t>
  </si>
  <si>
    <t>A person picks up a cat off of a chair.</t>
  </si>
  <si>
    <t>They lay the cat down on their lap.</t>
  </si>
  <si>
    <t>They begin to clip the nails of the cat.</t>
  </si>
  <si>
    <t>A person is sitting next to them on a laptop.</t>
  </si>
  <si>
    <t>The person pets the belly of the cat.</t>
  </si>
  <si>
    <t>They take the cat back and set it in a chair.</t>
  </si>
  <si>
    <t>v_WSaGZOdrjtM</t>
  </si>
  <si>
    <t>a male athlete prepares to run down a track.</t>
  </si>
  <si>
    <t>He takes off running, vaulting himself over a bar and onto a mat.</t>
  </si>
  <si>
    <t>He jumps up exuberantly, celebrating as the crowd cheers.</t>
  </si>
  <si>
    <t>v_A0H6JceDqlg</t>
  </si>
  <si>
    <t>A man serves a tennis ball with a racket while he talks.</t>
  </si>
  <si>
    <t>The man bounces a ball and shows how to move the body, then he serves a ball.</t>
  </si>
  <si>
    <t>The man continues talking in the tennis court.</t>
  </si>
  <si>
    <t>v_hKezMv52Nw8</t>
  </si>
  <si>
    <t>A female athlete is standing in a field and takes off running and does a long jump in to the pit.</t>
  </si>
  <si>
    <t>After,she walks off and her jump is measures as they show her replay.</t>
  </si>
  <si>
    <t>After,more girls begin to jump and represent their team and their jumps are measured as well.</t>
  </si>
  <si>
    <t>However,for the last jump,a close up is shown of the board because her foot barely touches it and they want to give her credit for those centimeters.</t>
  </si>
  <si>
    <t>v_RkhSR7pz9qc</t>
  </si>
  <si>
    <t>We see two teams of men playing soccer indoors.</t>
  </si>
  <si>
    <t>Two men collide and fall to the ground.</t>
  </si>
  <si>
    <t>Three men high five and hug each other.</t>
  </si>
  <si>
    <t>A man throws the ball clear across the room to the other goal.</t>
  </si>
  <si>
    <t>Two sets of people n the crowd are interviewed.</t>
  </si>
  <si>
    <t>We see the crowd and a man interviewed and see some scoring shots.</t>
  </si>
  <si>
    <t>We see three men stand and pose for a photo and a man is interviewed before we return to the game.</t>
  </si>
  <si>
    <t>v_FTCCoZdr5fo</t>
  </si>
  <si>
    <t>A man and woman are sitting on a couch talking.</t>
  </si>
  <si>
    <t>They are driving in a car down a street.</t>
  </si>
  <si>
    <t>They are rollerblading down a sidewalk.</t>
  </si>
  <si>
    <t>v_3jt4XE6ilIQ</t>
  </si>
  <si>
    <t>There's a man in a white shirt being interviewed in the 60 Minutes program by the host of the show.</t>
  </si>
  <si>
    <t>He is talking about his participation as a matador in a bull fighting event where there are several spectators watching him.</t>
  </si>
  <si>
    <t>During the event, he gets injured and is taken on a stretcher by the paramedics for first aid treatment.</t>
  </si>
  <si>
    <t>v_PbZIYJxoWdY</t>
  </si>
  <si>
    <t>A man is seen speaking to the camera and leads into several shots of a boat on water as well as people holding a camera and wake boarding.</t>
  </si>
  <si>
    <t>The people are then seen climbing on a rock and walking around a forest, ending by jumping in the water.</t>
  </si>
  <si>
    <t>More clips are shown of them wakeboarding as well as riding in the boat and jumping into the water.</t>
  </si>
  <si>
    <t>v_Ap7GCrt9C4w</t>
  </si>
  <si>
    <t>women are in the background of a gym lifting weights.</t>
  </si>
  <si>
    <t>man is preparing himself to lift weigh and stands in front of weight.</t>
  </si>
  <si>
    <t>v_w-st-23ZQSs</t>
  </si>
  <si>
    <t>Stacy is clapping and getting pumped up and ready to perform.</t>
  </si>
  <si>
    <t>She gets her pole and starts running with it and jumps onto the cushion.</t>
  </si>
  <si>
    <t>Then, other women follow suit doing the same after her scoring differently.</t>
  </si>
  <si>
    <t>Next is the men's turn to take their turns one by one following the women.</t>
  </si>
  <si>
    <t>v_NQyAC1aweec</t>
  </si>
  <si>
    <t>A cat is shown close up with a person's hand cutting the nails on the cat.</t>
  </si>
  <si>
    <t>The person continues cutting the claws while the cat attempts to get up several times.</t>
  </si>
  <si>
    <t>v_nxyENrsY4mo</t>
  </si>
  <si>
    <t>A small quote comes across the screen and the title pages follows.</t>
  </si>
  <si>
    <t>After,several people are pictured outside in a field grooming their horses.</t>
  </si>
  <si>
    <t>Finally,the people then get on their horses and they all begin competing with one another playing a game of Polo.</t>
  </si>
  <si>
    <t>As they play,a woman is shown on the side of the field taking pictures and a small logo for the photography shows on the end of the screen.</t>
  </si>
  <si>
    <t>v_1UIhgxQXcfI</t>
  </si>
  <si>
    <t>This person has dried grains and is now putting them into a small blender.</t>
  </si>
  <si>
    <t>Then he adds an egg and salt to the grains, plus other ingredients too.</t>
  </si>
  <si>
    <t>Next he makes a ball of the grain and then flattens it out, he then puts a cup onto it to make little round shaped cookies.</t>
  </si>
  <si>
    <t>He puts them on a pan and into an oven, after they're done he eats them along with some beer.</t>
  </si>
  <si>
    <t>v_rBsE1WGXbz0</t>
  </si>
  <si>
    <t>A man throws a ball onto a field.</t>
  </si>
  <si>
    <t>People are standing around measuring the distance.</t>
  </si>
  <si>
    <t>People are watching them from the sidelines.</t>
  </si>
  <si>
    <t>v_7QA5qyCXwyg</t>
  </si>
  <si>
    <t>A man is standing in a living room.</t>
  </si>
  <si>
    <t>He is using his hands to beat a set of drums.</t>
  </si>
  <si>
    <t>He continues playing for the rest of the video.</t>
  </si>
  <si>
    <t>v_36K1e9WgEpU</t>
  </si>
  <si>
    <t>Several people in donut shaped inflatable rafts float down a narrow stream guided by people helping them in the water and watched by a small group of people on nearby land.</t>
  </si>
  <si>
    <t>A group of people, float in a line, down a narrow stream of water in donut shaped, black inflatable rafts.</t>
  </si>
  <si>
    <t>One woman gets stuck on a rock in the raft and shimmies herself loose.</t>
  </si>
  <si>
    <t>The people reach the end of the narrow stream where a group of people help them off of the rafts and another small group of people watches them from nearby land.</t>
  </si>
  <si>
    <t>v_Rvsc5eymWIg</t>
  </si>
  <si>
    <t>man is holding a impact drill pulling out a car wheel.</t>
  </si>
  <si>
    <t>man is holding the wheel in a table and taking out the rubber from the rim and he changes it for another.</t>
  </si>
  <si>
    <t>car is in street next to a mountain.</t>
  </si>
  <si>
    <t>v_opGZh9nUlWA</t>
  </si>
  <si>
    <t>A lady stands in a dance studio.</t>
  </si>
  <si>
    <t>the lady performs a ballet dance.</t>
  </si>
  <si>
    <t>The lady lifts her leg up behind her and moves it to the front and rests it on her leg.</t>
  </si>
  <si>
    <t>The lady stands in front of the camera facing the mirror.</t>
  </si>
  <si>
    <t>We see a person sitting on the left side of the room.</t>
  </si>
  <si>
    <t>v_PbzmcZ_IORE</t>
  </si>
  <si>
    <t>A toy dog is walking on the floor.</t>
  </si>
  <si>
    <t>It stops to look around back and forth.</t>
  </si>
  <si>
    <t>Someone picks the dog up and puts it back down.</t>
  </si>
  <si>
    <t>v_gnZssGiQC7A</t>
  </si>
  <si>
    <t>A man at a professional sports event performs a long jump over a pit of sand in front of a stadium filled with people.</t>
  </si>
  <si>
    <t>The man begins by encouraging the audience to clap by throwing his hands up at the crowd and gesturing for applause.</t>
  </si>
  <si>
    <t>The man then kneels slightly to prepare for the run and begins to run down a stretch of narrow lane before catapulting in the air over the sandpit.</t>
  </si>
  <si>
    <t>The man lands on the other side of the pit and gestures to the audience again for applause as men smooth sand over with long handled and wide brush brooms, the audience claps and waves flags and camera people rush around the event capturing it on film.</t>
  </si>
  <si>
    <t>v_4dVVaDvCzn0</t>
  </si>
  <si>
    <t>Words come across the screen over an image.</t>
  </si>
  <si>
    <t>We see ladies dealing cards on purple tables in a casino with no customers.</t>
  </si>
  <si>
    <t>the dealer smiles and deals cards and points to them.</t>
  </si>
  <si>
    <t>The dealer finishes and waves her arms across the table as words appear on the screen.</t>
  </si>
  <si>
    <t>v_hg8WbkmC2nU</t>
  </si>
  <si>
    <t>A man is seen speaking to the camera while walking around a kitchen and checking on food.</t>
  </si>
  <si>
    <t>Several shots of food are shown on tables as well as racks and the chef continues to speak to the staff behind.</t>
  </si>
  <si>
    <t>The man walks out front and speaks with the customers that are coming in and finished by speaking to the camera.</t>
  </si>
  <si>
    <t>v_2Is_nJdG2to</t>
  </si>
  <si>
    <t>A woman brush the hair of a girl while talking sitting on a bed.</t>
  </si>
  <si>
    <t>Then, the woman kneel on the bed and touch the shoulders of the girl.</t>
  </si>
  <si>
    <t>v_GHcNgllmcpM</t>
  </si>
  <si>
    <t>A large crowd is seen sitting before a stage and leads into a young woman hitting drums in a circle and moving around the stage.</t>
  </si>
  <si>
    <t>The woman continues hitting the drums while the crowd watches and ends with text scrolling across the screen.</t>
  </si>
  <si>
    <t>v_T_CvR3zm6K8</t>
  </si>
  <si>
    <t>Men are playing volleyball in the sand.</t>
  </si>
  <si>
    <t>Cheerleaders are standing next to them watching.</t>
  </si>
  <si>
    <t>A woman is playing soccer on a beach.</t>
  </si>
  <si>
    <t>v_ehO168THGqU</t>
  </si>
  <si>
    <t>Two men skateboarding at an indoor skate park along side each other.</t>
  </si>
  <si>
    <t>They stop and give other pointers, trying to perfect how to jump on the rail.</t>
  </si>
  <si>
    <t>One of them tries again and again and the other gets a stick out of his bag and extends it towards the rail.</t>
  </si>
  <si>
    <t>Then, another male comes and joins in, they play rock paper scissors and get back on board.</t>
  </si>
  <si>
    <t>v_Tm7N2HU4noQ</t>
  </si>
  <si>
    <t>We see a basketball title screen.</t>
  </si>
  <si>
    <t>A man is coaching as a teen makes basketball shots.</t>
  </si>
  <si>
    <t>The man takes the ball and demonstrates a hip move the the boy tries.</t>
  </si>
  <si>
    <t>The man demonstrates something and the boy shoots the ball.</t>
  </si>
  <si>
    <t>We see the tips on the screen 1 by one.</t>
  </si>
  <si>
    <t>We then see the ending title screen.</t>
  </si>
  <si>
    <t>v_MXN34b2OUjQ</t>
  </si>
  <si>
    <t>two girl teams play field hockey with hockey sticks and a small ball.</t>
  </si>
  <si>
    <t>the team with the burgundy shirts scores three times and the other team scored none.</t>
  </si>
  <si>
    <t>v__bSRAXNa5PY</t>
  </si>
  <si>
    <t>We see a man dive into a pool in slow motion.</t>
  </si>
  <si>
    <t>We see the judges giving the man his score and talking to him.</t>
  </si>
  <si>
    <t>We see a lady clapping.</t>
  </si>
  <si>
    <t>We see the diver being interviewed.</t>
  </si>
  <si>
    <t>We see the crowd stand and clap.</t>
  </si>
  <si>
    <t>we see the final score cards for all the contestants.</t>
  </si>
  <si>
    <t>v_TeXm2KTfkzo</t>
  </si>
  <si>
    <t>Trees blow in the breeze as a man mows the lawn.</t>
  </si>
  <si>
    <t>The sun peeks from behind the clouds and lights the scene up.</t>
  </si>
  <si>
    <t>the man stops and empties grass in the garbage.</t>
  </si>
  <si>
    <t>A man enters carrying a baby and leaves.</t>
  </si>
  <si>
    <t>The man mows along side of the bushes.</t>
  </si>
  <si>
    <t>The man stops and empties his bag again.</t>
  </si>
  <si>
    <t>The man empties his bag and puts it back on the mower and walks away.</t>
  </si>
  <si>
    <t>v_oDZ6refg3Ew</t>
  </si>
  <si>
    <t>A woman is seen performing a dance routine while moving around on the beach near the water.</t>
  </si>
  <si>
    <t>The woman continues moving around on the beach shaking her arms and legs and looking off into the distance.</t>
  </si>
  <si>
    <t>v_oOnKQgQZOZ0</t>
  </si>
  <si>
    <t>A water polo match is happening at an enclosed swimming pool.</t>
  </si>
  <si>
    <t>There are a few spectators looking on from the sides of the pool, while a referee is following the actions to stay in control of the match.</t>
  </si>
  <si>
    <t>It is quiet other than the young kids that are involved in the game.</t>
  </si>
  <si>
    <t>They are having a great time and are very involved in what they are doing.</t>
  </si>
  <si>
    <t>v_Fu46pdVz4qY</t>
  </si>
  <si>
    <t>We see a lady in a pink shirt talking to the camera.</t>
  </si>
  <si>
    <t>We see the lady pick up a basket of laundry and put it down.</t>
  </si>
  <si>
    <t>the lady shakes out a dress and puts it on an ironing board.</t>
  </si>
  <si>
    <t>The lady rubs the dress and straitens it out.</t>
  </si>
  <si>
    <t>The lady puts a shirt on the board then puts it back in the basket.</t>
  </si>
  <si>
    <t>The lady folds the dress, smiles and the scene ends.</t>
  </si>
  <si>
    <t>v_cQxTLj4XwuU</t>
  </si>
  <si>
    <t>A man is seated on a couch.</t>
  </si>
  <si>
    <t>He lifts up a shoe and bottle of detergent.</t>
  </si>
  <si>
    <t>He takes it to a sink, where he washes it.</t>
  </si>
  <si>
    <t>He then places two pieces of fruit on top, and eats them off with his mouth.</t>
  </si>
  <si>
    <t>v_2Peh_gdQCjg</t>
  </si>
  <si>
    <t>Descriptive text is shown against a red movie curtain backdrop.</t>
  </si>
  <si>
    <t>A coach shows different leg stances to a student for playing badminton.</t>
  </si>
  <si>
    <t>The coach returns serves from the student using the racket during a practice drill.</t>
  </si>
  <si>
    <t>The students returns serves from the instructor for a practice drill.</t>
  </si>
  <si>
    <t>v_4KgIfmPLuAY</t>
  </si>
  <si>
    <t>A man kneels on a mat and shows her back an front with his left hand while talking.</t>
  </si>
  <si>
    <t>Then, the man lift a kettlebell and put on front his chest while talking.</t>
  </si>
  <si>
    <t>Then, the man put the kettlebell on the floor and continues talking.</t>
  </si>
  <si>
    <t>v_k_ZCg9tqGQo</t>
  </si>
  <si>
    <t>A woman is seen standing in front of mirror with a man beside her followed by her laying on a table.</t>
  </si>
  <si>
    <t>The man then quickly tattoos her face and transitions into her sitting up then back down again to show off her tattoo.</t>
  </si>
  <si>
    <t>v_N_o9Qp0FLVY</t>
  </si>
  <si>
    <t>woman is in a shower spreading soap and water in her arms.</t>
  </si>
  <si>
    <t>woman is shaving her legs on the bathtub.</t>
  </si>
  <si>
    <t>someone open the curtains and is a man that is inside and runs from the bathroom with a mask on his face.</t>
  </si>
  <si>
    <t>v_9H8OBfrm1Rw</t>
  </si>
  <si>
    <t>Rain is pouring down and a person is walking across the field pointing his finger across the field.</t>
  </si>
  <si>
    <t>After,he is shown in a field holding his hand up starts to play lacrosse.</t>
  </si>
  <si>
    <t>More games continue and the guy who was pointing begins making goals and leading his team.</t>
  </si>
  <si>
    <t>v_IdhpB7doBOE</t>
  </si>
  <si>
    <t>A woman talks facing a camera, in front of a dance studio advertisement sign, as four girls demonstrate ballet techniques in front of a ballet bar in a dance studio.</t>
  </si>
  <si>
    <t>A woman with blonde hair, and dressed in all black, stands in front of a dance studio advertisement and talks while facing the camera.</t>
  </si>
  <si>
    <t>The camera cuts away to four girls in ballet outfits and ballet shoes facing a ballet bar with their backs to the camera and demonstrating ballet knee bends.</t>
  </si>
  <si>
    <t>The girls then demonstrate ballet toe points as the camera cuts back to the lone woman who continues to talk facing the camera, until the scene fades to a marketing graphic.</t>
  </si>
  <si>
    <t>v_mz2-lgoNz1M</t>
  </si>
  <si>
    <t>A man wearing a white shirt and a camouflage print hat and ear and lip piercings is demonstrating how to do permanent tattoos.</t>
  </si>
  <si>
    <t>He shows how he shaves the client's arm with a razor and rubs some alcohol on it to prep the skin.</t>
  </si>
  <si>
    <t>Then he places a stencil on the client's arm to lay down the outline of the tattoo.</t>
  </si>
  <si>
    <t>Then he applies some cream over the skin to minimize bleeding.</t>
  </si>
  <si>
    <t>He begins to use the tattoo machine to draw on the tattoo over the outline.</t>
  </si>
  <si>
    <t>He also shows how he uses different colors to fill in the outline of the design.</t>
  </si>
  <si>
    <t>He then completes the tattoo as per the client's specifications.</t>
  </si>
  <si>
    <t>v_ZgIKmwnCqr4</t>
  </si>
  <si>
    <t>A little baby is outside holding a stick attempting to hit the pinata with it.</t>
  </si>
  <si>
    <t>Behind her,a lady is holding up the baby and assisting her as she hits the pinata.</t>
  </si>
  <si>
    <t>As the pinata bounces up and down,the young baby barely hits it and then ends up turning towards the camera.</t>
  </si>
  <si>
    <t>v_sTMbpIfI-6o</t>
  </si>
  <si>
    <t>A little girl is seated at a table in front of two glasses, a 7up bottle and a plate of lime slices.</t>
  </si>
  <si>
    <t>She adds the soda and lime slices to the glasses, squeezing the juice into the liquid before taking a drink.</t>
  </si>
  <si>
    <t>v_hJ4ZU-FA5XA</t>
  </si>
  <si>
    <t>An old style television show is shown where a man cuts a woman's hair.</t>
  </si>
  <si>
    <t>A man then cuts her hair real short while another man looks in from outside.</t>
  </si>
  <si>
    <t>v_po9uigsunAU</t>
  </si>
  <si>
    <t>A man is outside in a soccer field putting his equipment in a book bag.</t>
  </si>
  <si>
    <t>Once the things are in his bags,he secures it with his straps and begins jumping up and down.</t>
  </si>
  <si>
    <t>The main tasks begins and the man begins running through the woods.</t>
  </si>
  <si>
    <t>All of a sudden,a small body of water is shown and people are tubing and sitting down enjoying each other.</t>
  </si>
  <si>
    <t>v_m6T68amiXjs</t>
  </si>
  <si>
    <t>A boy with a hat is seen walking and talking behind some trees.</t>
  </si>
  <si>
    <t>The boy sneaks out onto a field where another boy is playing field hockey.</t>
  </si>
  <si>
    <t>The boy in the hat takes the ball.</t>
  </si>
  <si>
    <t>The boy playing field hockey is seen leaping around in the background.</t>
  </si>
  <si>
    <t>The boy in the hat kicks the ball back to the field hockey player and another player is seen.</t>
  </si>
  <si>
    <t>The two field hockey players are seen running around and hitting the field hockey ball with their sticks.</t>
  </si>
  <si>
    <t>One of the field hockey players is seen with his arms and legs wrapped around the leg of the boy with the hat.</t>
  </si>
  <si>
    <t>v_ExNd4o46kao</t>
  </si>
  <si>
    <t>A little girl uses a sweeper to hit a disc.</t>
  </si>
  <si>
    <t>The disc travels down the court before stopping, as do further discs.</t>
  </si>
  <si>
    <t>She continues playing the game, unsure how to win.</t>
  </si>
  <si>
    <t>v_kxwTPAhlhpw</t>
  </si>
  <si>
    <t>A man is standing behind a bar talking.</t>
  </si>
  <si>
    <t>He puts ice in a glass.</t>
  </si>
  <si>
    <t>He pours shots into the glass.</t>
  </si>
  <si>
    <t>He stirs the drink with a straw.</t>
  </si>
  <si>
    <t>v_d-uGSELb0N0</t>
  </si>
  <si>
    <t>Several individuals are shown playing volleyball in a gymnasium from the right side of the net while other people are engaging in other activity in the background.</t>
  </si>
  <si>
    <t>The camera pans left to show the team on the left side of the net.</t>
  </si>
  <si>
    <t>The camera returns to the team on the right side.</t>
  </si>
  <si>
    <t>v_P6UwokP8BEg</t>
  </si>
  <si>
    <t>Three men exhibit hammer throws in an outdoor Olympic event surrounded by onlookers on the field and in bleachers.</t>
  </si>
  <si>
    <t>A man stands at an outdoor Olympic game and performs a hammer throw surrounded by people and and an audience in bleachers before letting the hammer go to fly in the air.</t>
  </si>
  <si>
    <t>Two more men perform a hammer throw in the same way releasing the hammer into the air to fly out into a field.</t>
  </si>
  <si>
    <t>Three men stand in the middle of a field and hold up medals that hanging around their necks.</t>
  </si>
  <si>
    <t>v_tT7ljH8GCl8</t>
  </si>
  <si>
    <t>A lawnmower is outside next to a line of round rocks.</t>
  </si>
  <si>
    <t>A person starts the mower and begins pushing it alongside the rock border.</t>
  </si>
  <si>
    <t>We get a first hand view of the person's lawn being mowed as they turn and push the mower all over.</t>
  </si>
  <si>
    <t>The man's face is shown just before he turns off the camera.</t>
  </si>
  <si>
    <t>v_Mfk4bUp_ZC0</t>
  </si>
  <si>
    <t>Children are riding the bumper cars at an amusement park or carnival.</t>
  </si>
  <si>
    <t>A Traffic jam traps the little girls in the middle of cars.</t>
  </si>
  <si>
    <t>the little girl in the hat smiles as she looks in her sisters face.</t>
  </si>
  <si>
    <t>v_LwJFjFdJy5c</t>
  </si>
  <si>
    <t>A large group of people are seen sitting around an outdoor field.</t>
  </si>
  <si>
    <t>A dog is seen running up and down the field in the middle of the audience.</t>
  </si>
  <si>
    <t>The dog keeps running back and fourth while the camera watches from the side.</t>
  </si>
  <si>
    <t>v_lxMSX0Y0b8I</t>
  </si>
  <si>
    <t>We see a couple of title screens.</t>
  </si>
  <si>
    <t>We see a man perform a series of Capoeira moves with the names before the move.</t>
  </si>
  <si>
    <t>We see a man shift and roundhouse kick.</t>
  </si>
  <si>
    <t>The man does a handstand on one hand and kicks his legs in the air.</t>
  </si>
  <si>
    <t>The man does a flip from a handstands.</t>
  </si>
  <si>
    <t>v_cdP8_KujTCE</t>
  </si>
  <si>
    <t>We see a colorful and playful title screen.</t>
  </si>
  <si>
    <t>We then see people in a room and outdoors at a fancy party.</t>
  </si>
  <si>
    <t>A woman walks through the door.</t>
  </si>
  <si>
    <t>The man in the suit come through the gate.</t>
  </si>
  <si>
    <t>A man in red walks past the camera.</t>
  </si>
  <si>
    <t>The lady in white sees the camera and hides.</t>
  </si>
  <si>
    <t>We see Colorful crystal like closing screen.</t>
  </si>
  <si>
    <t>v_IjdTjpaPPNg</t>
  </si>
  <si>
    <t>People are riding horses along a dirt trail.</t>
  </si>
  <si>
    <t>They are crossing a river of water on the horses.</t>
  </si>
  <si>
    <t>They continue on their ride on the horses.</t>
  </si>
  <si>
    <t>v_hKn_RK3VSAo</t>
  </si>
  <si>
    <t>Several people in a lab create a formula, and interview with a journalist, interspersed with images of people applying sunscreen to themselves.</t>
  </si>
  <si>
    <t>Many people are shown on video in candid shots of them applying sunscreen to themselves while outdoors.</t>
  </si>
  <si>
    <t>A woman in a lab prepares a formula of varied ingredients interspersed with talking to a camera.</t>
  </si>
  <si>
    <t>More scientists are shown in the lab interviewing and talking intermixed with shots of them preparing formulas in the lab and one final shot of a man in an outdoor market handling ingredients for sale.</t>
  </si>
  <si>
    <t>v_GCtrfXIBbwA</t>
  </si>
  <si>
    <t>young man is playing the harmonica.</t>
  </si>
  <si>
    <t>young man introduces his video lesson and lays out the lesson plan.</t>
  </si>
  <si>
    <t>Musical notes are displayed onscreen while harmonica plays.</t>
  </si>
  <si>
    <t>v_bu7zk-YxEoY</t>
  </si>
  <si>
    <t>An athletic woman is seen stepping up to a beam and beginnings performing a gymnastics routine on it.</t>
  </si>
  <si>
    <t>The woman continues moving around on the beam and ends with her jumping down with her arms up and speaking to her coach as her ending is shown again in slow motion.</t>
  </si>
  <si>
    <t>v_GHOCVoZsFHE</t>
  </si>
  <si>
    <t>A man is seen speaking to the camera an leads into clips of him demonstrating martial arts with another man.</t>
  </si>
  <si>
    <t>The men continue to demonstrate with one another while pausing to speak to the camera.</t>
  </si>
  <si>
    <t>v_CXM1sXEMSWI</t>
  </si>
  <si>
    <t>An introduction comes onto the screen for a funny video about beer drinking.</t>
  </si>
  <si>
    <t>Some guys in a room prepare to do a trick with a beer can.</t>
  </si>
  <si>
    <t>They perform the trick and a guy begins to chug the beer.</t>
  </si>
  <si>
    <t>Shortly thereafter, the guy begins throwing up all the beer into a trash can while everyone laughs.</t>
  </si>
  <si>
    <t>v_s82_J03bqwQ</t>
  </si>
  <si>
    <t>A man is seen riding in on a skateboard followed by a man drinking a beer through a hose and a man sitting in a car flipping off the camera man.</t>
  </si>
  <si>
    <t>More random shots are show of landscapes, dogs, people standing around, and moving along the water.</t>
  </si>
  <si>
    <t>The video leads into people riding along on the water kite surfing and leads into a man speaking to others outside while smoking a cigarette.</t>
  </si>
  <si>
    <t>v_YaHTgeeDs7s</t>
  </si>
  <si>
    <t>A bunch of kids are playing on the bumpers cars at an amusement park.</t>
  </si>
  <si>
    <t>The crash into each other over and over and seem to be a bit confused as to what to do.</t>
  </si>
  <si>
    <t>They have smiles on their faces as they continue to go around the track.</t>
  </si>
  <si>
    <t>v_0jrThYemNLs</t>
  </si>
  <si>
    <t>A close up of a white fencing mask and a black fencing mask.</t>
  </si>
  <si>
    <t>A fencing coach gives instruction to the two fencing competitors.</t>
  </si>
  <si>
    <t>Two competitors discus fencing strategies.</t>
  </si>
  <si>
    <t>More fencing scenes while a girl and boy argue on the sideline.</t>
  </si>
  <si>
    <t>More competition with the fencing couch watching and critiquing.</t>
  </si>
  <si>
    <t>v_CvVqbdk6owc</t>
  </si>
  <si>
    <t>A groip of dancers are on stage doing a routine for the audience.</t>
  </si>
  <si>
    <t>The car show shows the inside of some pretty neat cars with beautiful exteriors.</t>
  </si>
  <si>
    <t>Another group of dancers take turns break dancing on their heads.</t>
  </si>
  <si>
    <t>They go one by one and are circled by and audience watching around them.</t>
  </si>
  <si>
    <t>v_a_n3mR1iVDI</t>
  </si>
  <si>
    <t>A man is seen hosting a news segment that leads into several shots of people shuffling pucks along the ice in slow motion.</t>
  </si>
  <si>
    <t>More shots are shown of people playing the game and ends with a 3d animation across the screen.</t>
  </si>
  <si>
    <t>v_So3EfVyUP64</t>
  </si>
  <si>
    <t>A woman with short hair is seen talking to the camera then flipping a pair of paints inside out.</t>
  </si>
  <si>
    <t>She folds the pants neatly on an ironing board and begins ironing the paints thoroughly.</t>
  </si>
  <si>
    <t>v_j9ww01sQkvY</t>
  </si>
  <si>
    <t>The camera focuses on a smiling man seated next to others.</t>
  </si>
  <si>
    <t>Another individual walks through the frame foreground and briefly obscures the first man.</t>
  </si>
  <si>
    <t>v_t3UI2gjo8X8</t>
  </si>
  <si>
    <t>We see a man in the pool with a cap on.</t>
  </si>
  <si>
    <t>We see a man make a goal with a ball.</t>
  </si>
  <si>
    <t>We see another goal scored.</t>
  </si>
  <si>
    <t>We see another goal being scored.</t>
  </si>
  <si>
    <t>We see the man score a goal and swim off.</t>
  </si>
  <si>
    <t>We see the man outdoors swimming and make 3 goals.</t>
  </si>
  <si>
    <t>We see another score and the men playing in the water.</t>
  </si>
  <si>
    <t>v_huv327wdIU8</t>
  </si>
  <si>
    <t>A group of boys are shown running down a gym holding hands and putting their hands into the air.</t>
  </si>
  <si>
    <t>A woman speaks to the boys while they drink some water and transitions into them playing a game and scoring a goal.</t>
  </si>
  <si>
    <t>The same shot is shown again in slow motion and several more shots of the boys playing are shown.</t>
  </si>
  <si>
    <t>v_hIQ4Lmazo4g</t>
  </si>
  <si>
    <t>We see two little girls in coats playing in the sand.</t>
  </si>
  <si>
    <t>We pan left and see the ocean.</t>
  </si>
  <si>
    <t>We return to the girls.</t>
  </si>
  <si>
    <t>The wind blows he left girls hood on to her head.</t>
  </si>
  <si>
    <t>We pan left to see the ocean again.</t>
  </si>
  <si>
    <t>The left girl moves her hair out of her face as she talks to the camera.</t>
  </si>
  <si>
    <t>v_EfJO4zg7bYE</t>
  </si>
  <si>
    <t>A man is standing beside a counter while holding a rag.</t>
  </si>
  <si>
    <t>He picks up a container of polish and talks about the surface of the counter.</t>
  </si>
  <si>
    <t>He rubs it down with polish and the two rags, then dusts it to a shine.</t>
  </si>
  <si>
    <t>v_dfex2oZYqmU</t>
  </si>
  <si>
    <t>A soccer match is occurring on a field and a player is shown falling down.</t>
  </si>
  <si>
    <t>The man is able to get up and the video shows the fall again in slow motion.</t>
  </si>
  <si>
    <t>The players continue playing and one of them even scores a goal.</t>
  </si>
  <si>
    <t>The goal is shown over and over in low motion to show the significance of the play.</t>
  </si>
  <si>
    <t>v_91ozOcjKl5M</t>
  </si>
  <si>
    <t>Ingredients are shown on a sliver platter.</t>
  </si>
  <si>
    <t>A man begins chopping food on a black chopping board.</t>
  </si>
  <si>
    <t>He adds pasta to a large pot on the stove.</t>
  </si>
  <si>
    <t>He starts cooking in a pan on the stove.</t>
  </si>
  <si>
    <t>He covers the pan with a lid.</t>
  </si>
  <si>
    <t>He puts the pasta into a bowl.</t>
  </si>
  <si>
    <t>He pours the sauce on top of the pasta.</t>
  </si>
  <si>
    <t>v_xOTW_-tiEjY</t>
  </si>
  <si>
    <t>A baby is sitting at a table eating a Popsicle.</t>
  </si>
  <si>
    <t>He takes a bite out of his Popsicle.</t>
  </si>
  <si>
    <t>He takes something out of his bib and puts it in his mouth.</t>
  </si>
  <si>
    <t>v_b1uGF3c3Vz4</t>
  </si>
  <si>
    <t>A young woman is sitting in a chair playing with a cat.</t>
  </si>
  <si>
    <t>She then takes clothes pins,grabs the nape of the hair and clips the cats nails.</t>
  </si>
  <si>
    <t>After awhile,the cats tries to bite her hands,once the girl is done,she removes the pins and waves at the camera.</t>
  </si>
  <si>
    <t>v_SkytxdoXLs4</t>
  </si>
  <si>
    <t>A group of kids are running between orange cones on a court.</t>
  </si>
  <si>
    <t>They are competing to see how quickly they can jump between them as the coach claps and cheers them on.</t>
  </si>
  <si>
    <t>v_rS8T1dAdiCs</t>
  </si>
  <si>
    <t>A girl sits a table talking.</t>
  </si>
  <si>
    <t>We see an intro screen.</t>
  </si>
  <si>
    <t>The girl sits at the table and shows a gift bag.</t>
  </si>
  <si>
    <t>A cat runs across the table and jumps off.</t>
  </si>
  <si>
    <t>We see the girl puts gifts into a gift bag with tissue paper.</t>
  </si>
  <si>
    <t>The girl moves the cat off the table and onto the floor.</t>
  </si>
  <si>
    <t>The girl adds more tissue paper to the bag.</t>
  </si>
  <si>
    <t>v_WhOsURGm0Kg</t>
  </si>
  <si>
    <t>Several cups are shown sitting on a table with a man standing behind.</t>
  </si>
  <si>
    <t>The man then throws the ball into a cup and cheers.</t>
  </si>
  <si>
    <t>He finally walks away from the camera.</t>
  </si>
  <si>
    <t>v_36JC5C6I4sg</t>
  </si>
  <si>
    <t>People wash a car with water using a hose.</t>
  </si>
  <si>
    <t>A man stands on the side watching the men.</t>
  </si>
  <si>
    <t>Then, the men put soap on the car, after they rinse the car with water.</t>
  </si>
  <si>
    <t>A man gets inside the car.</t>
  </si>
  <si>
    <t>v_4KzG9JBE9V8</t>
  </si>
  <si>
    <t>A kid rides an inner tube down a big snow hill.</t>
  </si>
  <si>
    <t>People stand and sit on the sides of the snow hill watching.</t>
  </si>
  <si>
    <t>v_P4Z4sQNQtJM</t>
  </si>
  <si>
    <t>A woman is standing outdoors in a pink martial arts outfit.</t>
  </si>
  <si>
    <t>She moves slowly, showing various martial arts moves.</t>
  </si>
  <si>
    <t>She continues moving slowly as the names of the moves appear onscreen.</t>
  </si>
  <si>
    <t>v_wAqQ-8OxhXY</t>
  </si>
  <si>
    <t>A close up of homes are shown with a person walking with a dog and then speaking to the camera.</t>
  </si>
  <si>
    <t>The man continues speaking as he leads the dog around the neighborhood.</t>
  </si>
  <si>
    <t>v_dtEs78TCOZQ</t>
  </si>
  <si>
    <t>An older gentleman is brushing a brown horse.</t>
  </si>
  <si>
    <t>He turns around and talks to an older lady.</t>
  </si>
  <si>
    <t>The horse lifts its leg up.</t>
  </si>
  <si>
    <t>v_DXOKFXlx84M</t>
  </si>
  <si>
    <t>A dog is seen laying comfortably in a large bowl with a man beside him.</t>
  </si>
  <si>
    <t>The man is seen kneeling down next to the dog and begins rubbing him down.</t>
  </si>
  <si>
    <t>The man continues to clean off the dog in the bath.</t>
  </si>
  <si>
    <t>v_u6FTTLK6GUg</t>
  </si>
  <si>
    <t>People are playing dodge ball in a gym.</t>
  </si>
  <si>
    <t>They start throwing the balls at each other.</t>
  </si>
  <si>
    <t>v_a0bj_vVpK9s</t>
  </si>
  <si>
    <t>A man pushes a tube down a hill.</t>
  </si>
  <si>
    <t>Another person sleds down the hill on a tube.</t>
  </si>
  <si>
    <t>A person in a red jacket is standing at the bottom.</t>
  </si>
  <si>
    <t>v_PKLLNgcEuRI</t>
  </si>
  <si>
    <t>This man is wearing a blue t-shirt and white shorts and he is doing his gymnastic routine.</t>
  </si>
  <si>
    <t>Then he gets off and walks away to go somewhere else.</t>
  </si>
  <si>
    <t>There is also another man there with him who's walking around and he's wearing a green shirt.</t>
  </si>
  <si>
    <t>v_9QnASEwOBT4</t>
  </si>
  <si>
    <t>A man is seen speaking to a woman as she puts on a belt and then walks on stage.</t>
  </si>
  <si>
    <t>The woman then bends down and lifts a large weight over her head, followed by throwing it down and walking off stage.</t>
  </si>
  <si>
    <t>Her same lift is shown again in slow motion.</t>
  </si>
  <si>
    <t>v_j4EFi_NoEbQ</t>
  </si>
  <si>
    <t>boy is skateboarding in a skate park at night.</t>
  </si>
  <si>
    <t>boy is skateboarding in a sidewalk with peopl walking by.</t>
  </si>
  <si>
    <t>man is skateboarding in street and a car almost run over.</t>
  </si>
  <si>
    <t>scenes of men skteboarding in a fences and falling off.</t>
  </si>
  <si>
    <t>v_zUPadKgtYHw</t>
  </si>
  <si>
    <t>a lot of people are on a marathon running in street while people is on sides.</t>
  </si>
  <si>
    <t>different women and men are acrossing the finish.</t>
  </si>
  <si>
    <t>v_Kbr2nr94EB0</t>
  </si>
  <si>
    <t>A man in a black shirt is talking on a basketball court.</t>
  </si>
  <si>
    <t>A boy is playing basketball on the court.</t>
  </si>
  <si>
    <t>v_zSWuVb-aYAA</t>
  </si>
  <si>
    <t>A lady performance on stage with a dog(s) .</t>
  </si>
  <si>
    <t>The dog fetches plates that the lady tosses.</t>
  </si>
  <si>
    <t>A second dog joins the act on stage.</t>
  </si>
  <si>
    <t>The dogs fetch plates together.</t>
  </si>
  <si>
    <t>A dog continuously jumps over another dog and into the lady's hand.</t>
  </si>
  <si>
    <t>A dog jumps through hula hoops.</t>
  </si>
  <si>
    <t>A dog jumps from the stage onto the lady's back.</t>
  </si>
  <si>
    <t>A dog bites on a red plate and does not let go.</t>
  </si>
  <si>
    <t>A dog jumps on a lady's elevated soles.</t>
  </si>
  <si>
    <t>The performers take a bow and with the dog exit the stage.</t>
  </si>
  <si>
    <t>The stage curtains are drawn.</t>
  </si>
  <si>
    <t>v_09G6PvM5q9Y</t>
  </si>
  <si>
    <t>A woman stands behind a table with high heels on it.</t>
  </si>
  <si>
    <t>She starts wiping off the shoe.</t>
  </si>
  <si>
    <t>She uses a q-tip to clean the side of the shoe.</t>
  </si>
  <si>
    <t>She sprays the shoe with Windex and wipes it off.</t>
  </si>
  <si>
    <t>v_3oJ62-Ce9ys</t>
  </si>
  <si>
    <t>A hand is seen putting weights on a bar and leads into a person lifting weights on their shoulders and walking.</t>
  </si>
  <si>
    <t>The person sets the weights down and walks back with the weights lunging.</t>
  </si>
  <si>
    <t>v_nQgmUkyblgc</t>
  </si>
  <si>
    <t>A barefoot woman in a purple outfit and beige headscarf is kneeling and washing dishes in an outdoor body of water in front of grass and a wooden platform.</t>
  </si>
  <si>
    <t>The woman rinses a bronze platter in the narrow body of water and proceeds to place it in an orange plastic bucket.</t>
  </si>
  <si>
    <t>The woman continues to wash other dishes and place them in the orange basket.</t>
  </si>
  <si>
    <t>The camera pans out a great distance and turns to show a yellow bannister on an outdoor deck with a brown leather chaise like seating area over looking a large lake.</t>
  </si>
  <si>
    <t>v_pPsqB3tY7hk</t>
  </si>
  <si>
    <t>Various shots of landscapes are shown as well as people pushing a puck to play shuffleboard.</t>
  </si>
  <si>
    <t>More shots of the game are shown as well as text instructions on how to play.</t>
  </si>
  <si>
    <t>A man keeps score and leads into more shots of the game being played.</t>
  </si>
  <si>
    <t>v_5MfhJjbNNJE</t>
  </si>
  <si>
    <t>A man is holding a jump rope and talking.</t>
  </si>
  <si>
    <t>He starts jump roping and doing tricks.</t>
  </si>
  <si>
    <t>v_nSgBX7D4XLA</t>
  </si>
  <si>
    <t>A small group of men are seen standing on a boat with one pushing a shuffleboard.</t>
  </si>
  <si>
    <t>The men then begin playing shuffleboard with one another while taking turns.</t>
  </si>
  <si>
    <t>They continue playing on the side of the boat.</t>
  </si>
  <si>
    <t>v_WgJy8seQ7z4</t>
  </si>
  <si>
    <t>Two men are arm wrestling on a table.</t>
  </si>
  <si>
    <t>Another man walks up to the table and stands in front of them.</t>
  </si>
  <si>
    <t>They finish arm wrestling and they start to stand up.</t>
  </si>
  <si>
    <t>v_loYCYGQpGRw</t>
  </si>
  <si>
    <t>A woman is adding ingredients to a pan on the stove.</t>
  </si>
  <si>
    <t>She stirs the ingredients in the pan.</t>
  </si>
  <si>
    <t>She pulls a large pot of pasta and dumps it into the pan.</t>
  </si>
  <si>
    <t>v_G4kjV4ulJzo</t>
  </si>
  <si>
    <t>A woman is walking down the street with two dogs.</t>
  </si>
  <si>
    <t>The larger dog is holding a leash in his mouth.</t>
  </si>
  <si>
    <t>The smaller dog is attached to the leash, and is essentially being led by the larger dog on the walk.</t>
  </si>
  <si>
    <t>A man walks in front, leading the way.</t>
  </si>
  <si>
    <t>v_VmwvfQDR4YQ</t>
  </si>
  <si>
    <t>A man is doing flips on the grass.</t>
  </si>
  <si>
    <t>A man in a white hat is standing next to the man.</t>
  </si>
  <si>
    <t>One of the men throws a rock into the air.</t>
  </si>
  <si>
    <t>v_kv8lsSjfguI</t>
  </si>
  <si>
    <t>Families are outside in a large field standing behind an orange make shift fence listening to a woman talk into a microphone.</t>
  </si>
  <si>
    <t>A male then comes along dressed in the same shrit as a woman and begins to throw Frisbees to a dog.</t>
  </si>
  <si>
    <t>This activity continues and the dog begins jumping over the dog's head and its back.</t>
  </si>
  <si>
    <t>Others then join in and the boy picks up the dog and walks away.</t>
  </si>
  <si>
    <t>v_6KG4p_pfMQc</t>
  </si>
  <si>
    <t>man wearing a red shirt is standing in a large green field behind kids.</t>
  </si>
  <si>
    <t>little blonde kid throw a ball and a kid kicks the ball in the field.</t>
  </si>
  <si>
    <t>kisd are running in the field to catch th ball.</t>
  </si>
  <si>
    <t>v_woiigfrANUM</t>
  </si>
  <si>
    <t>A man stands in an arena preparing to skateboard.</t>
  </si>
  <si>
    <t>The man skates down a halfpipe and goes back and forth from one end to the other.</t>
  </si>
  <si>
    <t>The man loses his skateboard and comes down the wall on his knees.</t>
  </si>
  <si>
    <t>We see the man's disappointment as another man prepares to skate.</t>
  </si>
  <si>
    <t>The man walks away and hops on his skateboard behind the stage.</t>
  </si>
  <si>
    <t>v_2duxXAsCW0k</t>
  </si>
  <si>
    <t>A man with an umbrella is wiping his car during the rain.</t>
  </si>
  <si>
    <t>He smiles at the camera and begins to talk to the camera person.</t>
  </si>
  <si>
    <t>v_V2ltLccVh_Q</t>
  </si>
  <si>
    <t>Several shots are shown of paintball gear as well as a man smoking a cigarette.</t>
  </si>
  <si>
    <t>This leads into people playing paintball with one another and running around.</t>
  </si>
  <si>
    <t>More shots are shown of people playing and speaking to one another.</t>
  </si>
  <si>
    <t>v_Vpue9WHrcAk</t>
  </si>
  <si>
    <t>A woman puts a cigarette in her mouth.</t>
  </si>
  <si>
    <t>Then, the woman lights a cigarette and smokes.</t>
  </si>
  <si>
    <t>The woman blows smoke from his mouth.</t>
  </si>
  <si>
    <t>v_ZgVmS-AhYgA</t>
  </si>
  <si>
    <t>A group of rafters carries a raft down a path.</t>
  </si>
  <si>
    <t>Groups of rafters ride down a river going over small waterfalls.</t>
  </si>
  <si>
    <t>The rafters climb out from there boat onto the shore and walk up the path.</t>
  </si>
  <si>
    <t>People jump from rocks into a swimming hole of the river.</t>
  </si>
  <si>
    <t>The rafters enjoy an outdoor lunch at a beach house.</t>
  </si>
  <si>
    <t>v_uLXSOqRSa4A</t>
  </si>
  <si>
    <t>A group of people are on a lift way above the mountains.</t>
  </si>
  <si>
    <t>A person climbs onto it, looking down.</t>
  </si>
  <si>
    <t>They bungee jump, hanging and swinging above the ground.</t>
  </si>
  <si>
    <t>v_4dw_Hk9Wpc4</t>
  </si>
  <si>
    <t>A large school of small fish swim in the ocean.</t>
  </si>
  <si>
    <t>A seal swims in the ocean.</t>
  </si>
  <si>
    <t>The scene switches to a dog scuba diving with humans.</t>
  </si>
  <si>
    <t>The dog is shown with a human on a ship, with part of its scuba equipment on.</t>
  </si>
  <si>
    <t>The scene returns to the dog scuba diving.</t>
  </si>
  <si>
    <t>The scene changes to a cat walking around.</t>
  </si>
  <si>
    <t>The cat is shown swimming and scuba diving.</t>
  </si>
  <si>
    <t>The cat and dog are shown in various quick scenes together.</t>
  </si>
  <si>
    <t>v_SKbjRXF35Wk</t>
  </si>
  <si>
    <t>Two people are dancing on a dance floor.</t>
  </si>
  <si>
    <t>People are sitting and standing on the sidelines watching them dance.</t>
  </si>
  <si>
    <t>They continue to dance on the dance floor.</t>
  </si>
  <si>
    <t>v_m0u1kjhlHJ4</t>
  </si>
  <si>
    <t>A man puts a ball on the ground, then throws a flag.</t>
  </si>
  <si>
    <t>He hits the ball, setting a game into motion.</t>
  </si>
  <si>
    <t>The players fight over the ball, getting it into the goal and the audience cheers.</t>
  </si>
  <si>
    <t>The game continues as the players compete.</t>
  </si>
  <si>
    <t>v__HQTWGmXXsc</t>
  </si>
  <si>
    <t>A young woman with a black dress and red cardigan on is standing in the corner of a kitchen cutting fruits.</t>
  </si>
  <si>
    <t>After awhile,she grabs six strawberries and leaves them on the cutting board as she begins to cut grapes.</t>
  </si>
  <si>
    <t>In front of her,there are two large white bowls full of fruit and she begins putting the cut up fruit in those bowls.</t>
  </si>
  <si>
    <t>The camera then moves and the person zooms in on the contents of the fruit bowls,showing pineapples,strawberries and grapes.</t>
  </si>
  <si>
    <t>v_ZYAY3TEUjGI</t>
  </si>
  <si>
    <t>A man is sitting in a chair getting his hair cut by a barber.</t>
  </si>
  <si>
    <t>A man takes a comb and a pair of scissors and starts to cut the hair above the comb and then combs it to the front of the man's head.</t>
  </si>
  <si>
    <t>The male then turns and the middle of the hair begins to get trimmed.</t>
  </si>
  <si>
    <t>Next is the sides and the same actions are repeated until the hair is finished.</t>
  </si>
  <si>
    <t>Finally,razors are taken out and the barber begins to edge the man's hair and the barber goes over the hair one final time with the comb and scissors.</t>
  </si>
  <si>
    <t>v_OTwG3OCsPoY</t>
  </si>
  <si>
    <t>A man is see speaking to the camera while sitting on a piece of exercise equipment.</t>
  </si>
  <si>
    <t>He adjusts the settings on the machine and begins using it back and fourth.</t>
  </si>
  <si>
    <t>He grabs onto the machine and moves himself ending by speaking to the camera.</t>
  </si>
  <si>
    <t>v_YbEX3klOS3Q</t>
  </si>
  <si>
    <t>A male athlete prepares himself to run.</t>
  </si>
  <si>
    <t>He runs with a javelin over his shoulder.</t>
  </si>
  <si>
    <t>He throws it as hard as he can.</t>
  </si>
  <si>
    <t>Then others do the same shortly after.</t>
  </si>
  <si>
    <t>v_dygVFom6V5c</t>
  </si>
  <si>
    <t>Two women are riding on the back of a four wheeler, and waving.</t>
  </si>
  <si>
    <t>A man is shown posing with several people, going to a field to play paintball.</t>
  </si>
  <si>
    <t>The people gear up and hide behind obstacles, shooting at one another.</t>
  </si>
  <si>
    <t>v_ui_CNb4FUtQ</t>
  </si>
  <si>
    <t>A man plays the saxophone in various public settings while the audiences watch.</t>
  </si>
  <si>
    <t>The man plays while laying on the ground.</t>
  </si>
  <si>
    <t>A security guard accosts him and escorts him away.</t>
  </si>
  <si>
    <t>The man stands up and walks away while playing.</t>
  </si>
  <si>
    <t>More scenes of the man playing the saxophone in various public settings are shown.</t>
  </si>
  <si>
    <t>v_xpoIzpip_TQ</t>
  </si>
  <si>
    <t>Players are on a court playing volley ball.</t>
  </si>
  <si>
    <t>A man in a black shirt dives and hits the ground.</t>
  </si>
  <si>
    <t>Someone scores and the crowd celebrates.</t>
  </si>
  <si>
    <t>v_HJZj6z1dyT4</t>
  </si>
  <si>
    <t>A close up of a fooseball table is shown with people moving polls all around.</t>
  </si>
  <si>
    <t>The man bounces up and down as the people continue to play with one another.</t>
  </si>
  <si>
    <t>One man runs away to grab the ball and leads back into them playing.</t>
  </si>
  <si>
    <t>v_V66cwBOS80A</t>
  </si>
  <si>
    <t>A man is seen speaking to the camera while a large group of people walk behind him.</t>
  </si>
  <si>
    <t>Several shots are then shown of people riding down a riving in a raft while some fall out.</t>
  </si>
  <si>
    <t>More clips are shown of people riding in the water as well as falling out and yelling to the camera.</t>
  </si>
  <si>
    <t>v_LDSEEw5oUM4</t>
  </si>
  <si>
    <t>A woman is seen walking onto a large gym floor while holding a baton and striking a pose.</t>
  </si>
  <si>
    <t>The woman then performs a dance routine with the baton throwing it up into the air and spinning around.</t>
  </si>
  <si>
    <t>She continues spinning around and holds a pose in the end and walks away from the judges.</t>
  </si>
  <si>
    <t>v_4-rJZdNgMX8</t>
  </si>
  <si>
    <t>The logo "theksiny on skin" and "The #1 Way to Not Get a Cold or Flu" is shown on screen.</t>
  </si>
  <si>
    <t>Dr Lisa Kellett speaks to the camera in a medical exam room next to a sink.</t>
  </si>
  <si>
    <t>The doctor demonstrates the steps to washing hands like doctors do.</t>
  </si>
  <si>
    <t>The logo and website address appears on screen again.</t>
  </si>
  <si>
    <t>v_MAUZbZnbM_Y</t>
  </si>
  <si>
    <t>web page and the adress of the company.</t>
  </si>
  <si>
    <t>green signs on a pole.</t>
  </si>
  <si>
    <t>woman is talking on the phone inside a car store.</t>
  </si>
  <si>
    <t>man is polishing a black car while people is watching.</t>
  </si>
  <si>
    <t>two men are cleaning the car on the outside and the inside.</t>
  </si>
  <si>
    <t>three cars are parked in front of the store.</t>
  </si>
  <si>
    <t>v__fwExctFJpg</t>
  </si>
  <si>
    <t>A person is seen riding around on a horse holding a piece of rope in his hands moving back and fourth.</t>
  </si>
  <si>
    <t>The man backs the horse up a bit and then takes off chasing a calf and roping him and tying him down.</t>
  </si>
  <si>
    <t>He throws his hands up in the air while the calf moves and then climbs back on top of the horse.</t>
  </si>
  <si>
    <t>v_hXGE1GGTHzM</t>
  </si>
  <si>
    <t>This man is trying to shoot the white ball on the pool table backwards.</t>
  </si>
  <si>
    <t>He keeps trying to shoot it backwards, but he just can't so he decided to do it the regular way and shoot forwards.</t>
  </si>
  <si>
    <t>When he does it, he puts the cue stick down and walks away.</t>
  </si>
  <si>
    <t>v_xQxT2_meU50</t>
  </si>
  <si>
    <t>A man is standing in a field holding an ax.</t>
  </si>
  <si>
    <t>The man lifts the ax above his head.</t>
  </si>
  <si>
    <t>The man splits a log of wood on a stump.</t>
  </si>
  <si>
    <t>the man then stands upright.</t>
  </si>
  <si>
    <t>v_POhazPPwHhQ</t>
  </si>
  <si>
    <t>A car is seen driving along the road that leads into people tightening roads and grabbing drinks.</t>
  </si>
  <si>
    <t>Several clips are shown of people walking across the rope as well as bouncing on it.</t>
  </si>
  <si>
    <t>More close ups are shown of peoples faces as well as standing an bouncing on the rope.</t>
  </si>
  <si>
    <t>v_j3h8Di7V3nk</t>
  </si>
  <si>
    <t>A man is seen bending over while taking a shoe off to wipe his feet then puts the shoe back on.</t>
  </si>
  <si>
    <t>He does this to his other foot and then walks along the rocks while a man records him and others walk around.</t>
  </si>
  <si>
    <t>v_J3NhT51f0To</t>
  </si>
  <si>
    <t>A blond girl is in a residential home, smiling and talking while holding a violin in front of her.</t>
  </si>
  <si>
    <t>The girl briefly stops talking, and then backs up and brings the violin to her chin as she's talking and then starts playing by pulling the fiddle across the strings.</t>
  </si>
  <si>
    <t>The girl stops pulling the fiddle across the strings and walks closer to the camera to talk, and then resumes moving the fiddle across the strings.</t>
  </si>
  <si>
    <t>The girl then backs up, and turns to show her left side as she moves the fiddle across the violin strings, and then she moves to face forward again and walks closer to the camera and plays some more.</t>
  </si>
  <si>
    <t>The girl stops playing and pulls he violin away from her chin.</t>
  </si>
  <si>
    <t>v_F2yh5HfIj2c</t>
  </si>
  <si>
    <t>A man wearing scuba gear walks along the edge of a swimming pool.</t>
  </si>
  <si>
    <t>The man starts talking to the camera and shows the camera various items.</t>
  </si>
  <si>
    <t>The camera shows the swimming pool.</t>
  </si>
  <si>
    <t>A tool and air compressor is shown.</t>
  </si>
  <si>
    <t>The man enters the swimming pool and proceeds to place a cover on the drain while under water in the scuba gear.</t>
  </si>
  <si>
    <t>The man gives a thumbs up.</t>
  </si>
  <si>
    <t>The man shows the bubbles the tool makes underwater while bobbing his head.</t>
  </si>
  <si>
    <t>v_GyLX64aJY80</t>
  </si>
  <si>
    <t>Two slicess of bread,a plate,and two slices of cheese are on the counter.</t>
  </si>
  <si>
    <t>The person then takes one slice,spreads the butter over it and puts two slices of cheese on it and adds the other slice on top of it.</t>
  </si>
  <si>
    <t>The sandwich now has butter on both sides and the sandwich is placed in a skillet and is fried.</t>
  </si>
  <si>
    <t>Once complete,it is placed on a red plate and cut in half with a thick knife.</t>
  </si>
  <si>
    <t>v_3C00m8lkJi0</t>
  </si>
  <si>
    <t>A man is shown holding a large bin as well as several people around him gathering leaves.</t>
  </si>
  <si>
    <t>More people are shown walking around scraping leaves while a woman speaks to the crowd and inspires them to work more.</t>
  </si>
  <si>
    <t>The people continue working and the sun shines down on a tree.</t>
  </si>
  <si>
    <t>v_Ht2gV7oaqbo</t>
  </si>
  <si>
    <t>Two people are seen standing outside on a mat.</t>
  </si>
  <si>
    <t>One person then grabs the other person by the legs.</t>
  </si>
  <si>
    <t>The men then flip each other down on the ground.</t>
  </si>
  <si>
    <t>v_mJZj3znhBas</t>
  </si>
  <si>
    <t>People are playing a game of lacrosse onto a field.</t>
  </si>
  <si>
    <t>A woman is talking to the camera in a gym.</t>
  </si>
  <si>
    <t>A train is driving on the tracks.</t>
  </si>
  <si>
    <t>They continue to play lacrosse on a field.</t>
  </si>
  <si>
    <t>v_rPeQxKmIe4I</t>
  </si>
  <si>
    <t>The person is swimming under the sea.</t>
  </si>
  <si>
    <t>The woman is swimming forward, she looked at the camera.</t>
  </si>
  <si>
    <t>The woman is shaking her head while behind her another diver is swimming.</t>
  </si>
  <si>
    <t>v_O-6zE9_S2KM</t>
  </si>
  <si>
    <t>A pair of hands are shown at a black jack table.</t>
  </si>
  <si>
    <t>A woman is dealing the cards and chips.</t>
  </si>
  <si>
    <t>The chips are shown in a stack at the end.</t>
  </si>
  <si>
    <t>v_-2DajzzRwn0</t>
  </si>
  <si>
    <t>Several teams of people are seen playing a game of tug of war with one another with people watching on the sides.</t>
  </si>
  <si>
    <t>The people continue competing with one another and ends with one team winning.</t>
  </si>
  <si>
    <t>v_boQbuyDjWnc</t>
  </si>
  <si>
    <t>An old man in black shirt and eye glasses is sitting on a green table, in front of him are book, chips with different colors and stack of cards.</t>
  </si>
  <si>
    <t>He placed the cards on the table, on top of the yellow stars on the table, he arrange the cards in horizontal way.</t>
  </si>
  <si>
    <t>v_hYVFzI_kfaQ</t>
  </si>
  <si>
    <t>The woman is shown emptying two different foods onto the plate to make a fruit salad.</t>
  </si>
  <si>
    <t>She touches the strawberries and apples.</t>
  </si>
  <si>
    <t>Then she sprinkles little berries onto the other fruit.</t>
  </si>
  <si>
    <t>v_mZYqH82delk</t>
  </si>
  <si>
    <t>There is a man kneeling down on a red yoga mat.</t>
  </si>
  <si>
    <t>The coach standing next to him make sure he is going up and down while he's kneeling and he holds his back to feel the muscle movement.</t>
  </si>
  <si>
    <t>v_Nogr8GCIL9k</t>
  </si>
  <si>
    <t>A guy stands outside, gestures, and talks.</t>
  </si>
  <si>
    <t>A man ascends from the water, begins water boarding, and does flips.</t>
  </si>
  <si>
    <t>A water vehicle is pulling a man holding a rope.</t>
  </si>
  <si>
    <t>The guy begins to leave after making the last point.</t>
  </si>
  <si>
    <t>v_DFOoFr2H-24</t>
  </si>
  <si>
    <t>A man is seen playing an instrument while another watches in the background.</t>
  </si>
  <si>
    <t>He pauses to speak to a large group of boys and continues playing the instrument, blowing wind into their smoke.</t>
  </si>
  <si>
    <t>The boys watch in amazement and bends down closely to another boy.</t>
  </si>
  <si>
    <t>v_rP2MviNn52g</t>
  </si>
  <si>
    <t>People are playing a tag of war game.</t>
  </si>
  <si>
    <t>Children wave at their teammates.</t>
  </si>
  <si>
    <t>The children pull the adults to their side, the right side.</t>
  </si>
  <si>
    <t>The children let go the rope, jump up and down, plus cheer.</t>
  </si>
  <si>
    <t>v_07GFy_Z7Nuc</t>
  </si>
  <si>
    <t>A male gymnast walks up to the parallel bars and uses a spring board to jump up.</t>
  </si>
  <si>
    <t>Another man pulls the spring board out of the way.</t>
  </si>
  <si>
    <t>A large crowd watches from the stands in the gym.</t>
  </si>
  <si>
    <t>The gymnast does a parallel bar routine.</t>
  </si>
  <si>
    <t>Several other male gymnasts walk around in the background.</t>
  </si>
  <si>
    <t>The male gymnast completes his routine and runs off of the gym floor.</t>
  </si>
  <si>
    <t>v_6QhZNQlsGys</t>
  </si>
  <si>
    <t>People are balancing on a rope on the beach.</t>
  </si>
  <si>
    <t>A man in a white shirt does a hand stand on the rope.</t>
  </si>
  <si>
    <t>A person is swinging on a rope in the background.</t>
  </si>
  <si>
    <t>v_F99Suh6SvD8</t>
  </si>
  <si>
    <t>Two girls practice fencing in a school gym with protective gear on and a coach against the wall watching and coaching them as they fence.</t>
  </si>
  <si>
    <t>The two girls talk to the coach and then begin to fence with each other as the coach motions to where they should stand and navigate the space during the spar.</t>
  </si>
  <si>
    <t>Both girls end the spar and remove their head gear as they talk to the coach.</t>
  </si>
  <si>
    <t>v_LSvjzZHbetU</t>
  </si>
  <si>
    <t>A woman in a green sweater puts on a face mask.</t>
  </si>
  <si>
    <t>She paints a wooden fence.</t>
  </si>
  <si>
    <t>She puts news paper onto the fence.</t>
  </si>
  <si>
    <t>She pours a bucket of paint into a sprayer.</t>
  </si>
  <si>
    <t>She starts spraying the fence with a hose.</t>
  </si>
  <si>
    <t>v_PGNwd5bySwI</t>
  </si>
  <si>
    <t>Two men are talking in front of a helicopter.</t>
  </si>
  <si>
    <t>A man on a wake board is being pulled by a helicopter in and out of the water.</t>
  </si>
  <si>
    <t>He drops from the rope and pulls a parachute and lands on the ground.</t>
  </si>
  <si>
    <t>v_aq41GgfAlDo</t>
  </si>
  <si>
    <t>A man is seated on a bench in a park.</t>
  </si>
  <si>
    <t>He is playing an old accordian.</t>
  </si>
  <si>
    <t>He pushes it closed and open as he plays on the keyboard.</t>
  </si>
  <si>
    <t>v_rF1AqlLjECk</t>
  </si>
  <si>
    <t>A black screen appears and it has a lot of white words on it that include the name, height, weight, years games, points phone number and email for player #23.</t>
  </si>
  <si>
    <t>Various clips of different hockey games play and occassionaly a yellow arrow will appear pointing out the #23 player in each different hockey game clip.</t>
  </si>
  <si>
    <t>A black screen appears again and it's the same as the screen that was the intro that includes the same information on player #23.</t>
  </si>
  <si>
    <t>v_KptXzRFIvTw</t>
  </si>
  <si>
    <t>A person named Chad wearing a black and gray jacket is standing next to a Christmas tree and giving a tutorial on how to decorate it.</t>
  </si>
  <si>
    <t>He is holding a crystal star in his hands which he places on top of the tree.</t>
  </si>
  <si>
    <t>Then he takes some Christmas lights lights and twirls it around the branches of the tree.</t>
  </si>
  <si>
    <t>He takes a red garland and demonstrates how to wrap it around the tree.</t>
  </si>
  <si>
    <t>He then takes some red and gold ornaments and shows how to place them on the tree.</t>
  </si>
  <si>
    <t>He also takes a red ribbon and red berries to add to the tree.</t>
  </si>
  <si>
    <t>He stands next to the fully decorated tree as he completes his tutorial.</t>
  </si>
  <si>
    <t>v_53dqgEMV5e4</t>
  </si>
  <si>
    <t>A woman pours ice into a glass.</t>
  </si>
  <si>
    <t>She puts shots of alcohol into the glass.</t>
  </si>
  <si>
    <t>She shakes it and pours it into another glass.</t>
  </si>
  <si>
    <t>She puts a straw in it and holds it up.</t>
  </si>
  <si>
    <t>v_-Kmx-BCAsQc</t>
  </si>
  <si>
    <t>A man in orange waves then mounts a pommel horse.</t>
  </si>
  <si>
    <t>The man spins around and around on the pommel horse.</t>
  </si>
  <si>
    <t>A man on the right takes a photo.</t>
  </si>
  <si>
    <t>The man swings one leg at a time.</t>
  </si>
  <si>
    <t>The man does a handstand then dismounts.</t>
  </si>
  <si>
    <t>The man walks away as another walks to the pommel horse.</t>
  </si>
  <si>
    <t>The end screens are shown and the video ends.</t>
  </si>
  <si>
    <t>v_LAD4qVnywmA</t>
  </si>
  <si>
    <t>A man in a red shirt is clapping his hands.</t>
  </si>
  <si>
    <t>He runs down a track and jumps in the sand.</t>
  </si>
  <si>
    <t>People rake the sand out afterwards.</t>
  </si>
  <si>
    <t>v_WlFBWlCklm8</t>
  </si>
  <si>
    <t>An intro black screen appears and the word Poweriser flashes.</t>
  </si>
  <si>
    <t>A man named PRVNI KROKY is on metal stilts outside and he begins, walking, jumping, running and moving and doing various movements while on his stilts and people around him are either sitting or walking doing their own thing.</t>
  </si>
  <si>
    <t>When the man is done demonstrating what he can do on the stilts he stops in his original spot to talk some more, waves and then runs off.</t>
  </si>
  <si>
    <t>The outro appears and it's exactly like the intro.</t>
  </si>
  <si>
    <t>v_Ksbk5rtqVd0</t>
  </si>
  <si>
    <t>A woman in a white shirt is sitting down.</t>
  </si>
  <si>
    <t>She pours some product into her palm.</t>
  </si>
  <si>
    <t>She starts wiping the product onto her face.</t>
  </si>
  <si>
    <t>v_0PbmXOVIwGc</t>
  </si>
  <si>
    <t>A woman grooms the right body of a horse, she brush the neck,body and legs.</t>
  </si>
  <si>
    <t>Then, the woman goes to the left side of horse and kneel to groom the legs, and then she brush the other parts of the body.</t>
  </si>
  <si>
    <t>v_LoA7h0bZmDI</t>
  </si>
  <si>
    <t>A chef is giving detailed instructions on how to make a dish to another man in the kitchen.</t>
  </si>
  <si>
    <t>The man walks around him casually and picks up a piece of one of the ingredients and eats it.</t>
  </si>
  <si>
    <t>Meanwhile, the chef is putting ingredients and explaining the process of what he is doing and why into the pan.</t>
  </si>
  <si>
    <t>Once the sauce he is creating starts to come together he mixes in spaghetti and blends it all together.</t>
  </si>
  <si>
    <t>v_llcbN-s26vs</t>
  </si>
  <si>
    <t>A man in a red shirt walks around a ladder.</t>
  </si>
  <si>
    <t>He places his arm on the ladder.</t>
  </si>
  <si>
    <t>A woman places red wallpaper up against a wall.</t>
  </si>
  <si>
    <t>She smooths the red wall paper out with her hands and with a tool.</t>
  </si>
  <si>
    <t>She measures the wallpaper to make sure it's straight.</t>
  </si>
  <si>
    <t>The woman places a tool on the top and bottom of the wallpaper and removes any extra wallpaper.</t>
  </si>
  <si>
    <t>The man in the red shirt is talking.</t>
  </si>
  <si>
    <t>v_sCzauf2u4dc</t>
  </si>
  <si>
    <t>We see the emblem on the opening screen.</t>
  </si>
  <si>
    <t>We switch to images of two ladies with horses.</t>
  </si>
  <si>
    <t>We see one lady in a sunny field with a hose.</t>
  </si>
  <si>
    <t>We see a small dog on the back of the horse.</t>
  </si>
  <si>
    <t>We see the small dog, then two ladies and the small dog.</t>
  </si>
  <si>
    <t>The lady is sitting playing with the dog.</t>
  </si>
  <si>
    <t>We see a bunch of people in a stable with a horse.</t>
  </si>
  <si>
    <t>We see the end credit emblem.</t>
  </si>
  <si>
    <t>v_fdYyIOWkycU</t>
  </si>
  <si>
    <t>A man is seen standing ready holding a dart and looking off into the distance.</t>
  </si>
  <si>
    <t>The man then throws the dart in slow motion while the camera continues to follow him.</t>
  </si>
  <si>
    <t>v_I-C_fOUaknA</t>
  </si>
  <si>
    <t>A man places a tile onto the floor and pushes it down.</t>
  </si>
  <si>
    <t>He smooths it out with his hands.</t>
  </si>
  <si>
    <t>He moves the vent that is on the floor next to the tile.</t>
  </si>
  <si>
    <t>v_BC1VpNRFtXo</t>
  </si>
  <si>
    <t>A small group of men are seen sitting at a table playing various hand games with one another.</t>
  </si>
  <si>
    <t>Then moves their hands which are shown in slow motion and leads into one speaking on the phone and leaving the room.</t>
  </si>
  <si>
    <t>The camera pans around the other people as they laugh.</t>
  </si>
  <si>
    <t>v_X095EDl0-eU</t>
  </si>
  <si>
    <t>We see two men fencing in a stadium.</t>
  </si>
  <si>
    <t>A man throws his arms in the air.</t>
  </si>
  <si>
    <t>The left man falls to the ground.</t>
  </si>
  <si>
    <t>The left man throws his hand in the air.</t>
  </si>
  <si>
    <t>v_eFZufRRvIz4</t>
  </si>
  <si>
    <t>A woman is dancing and mopping in the kitchen.</t>
  </si>
  <si>
    <t>Another woman is recording her and laughing.</t>
  </si>
  <si>
    <t>The woman notices the camera and laughs, but continues dancing.</t>
  </si>
  <si>
    <t>v_5P-Xs2v6lis</t>
  </si>
  <si>
    <t>A technician walks along a roof and sprays it using a wand attached to a hose.</t>
  </si>
  <si>
    <t>The man turns off his hose then walks along the peak of the roof.</t>
  </si>
  <si>
    <t>The man sprays around the gutters with the wand.</t>
  </si>
  <si>
    <t>The water comes out of the gutter onto the cement below.</t>
  </si>
  <si>
    <t>v_DcoHV4WiHQk</t>
  </si>
  <si>
    <t>A woman is seen sitting on sand next to a girl.</t>
  </si>
  <si>
    <t>The woman looks away from the camera and looks down at the sand.</t>
  </si>
  <si>
    <t>The girl and woman then begin digging in the sand.</t>
  </si>
  <si>
    <t>v_8DZj0ggPr74</t>
  </si>
  <si>
    <t>A large group of players are lined up and seen speaking to one another.</t>
  </si>
  <si>
    <t>They then move out onto the ice and begin skating around.</t>
  </si>
  <si>
    <t>One man fist bumps another and ends by walking away.</t>
  </si>
  <si>
    <t>v_9J72KkOrAq4</t>
  </si>
  <si>
    <t>A person is seen running down a deck pushing a puck with a stick.</t>
  </si>
  <si>
    <t>She looks back and laughs to the camera while other people watch on the side.</t>
  </si>
  <si>
    <t>v_NMBu3DIn1eg</t>
  </si>
  <si>
    <t>A black dog is shown looking into the camera.</t>
  </si>
  <si>
    <t>A balding man appears who is standing next to a chair that seems to be in need of restoring.</t>
  </si>
  <si>
    <t>The chair is shown to have scratches.</t>
  </si>
  <si>
    <t>The man begins to apply a substance to the chair as the man rubs the substance all over the surfaces of the chair.</t>
  </si>
  <si>
    <t>The man then points at a scratch on the a part of the chair and begins to wipe it clean with the substance.</t>
  </si>
  <si>
    <t>The man then shows a leg of the chair and wipes it down as well.</t>
  </si>
  <si>
    <t>The man then seems to pour a substance into a can and dips the brush into it and polishes part of the leg.</t>
  </si>
  <si>
    <t>The man continues to wipe the chair as it is getting cleaner and cleaner.</t>
  </si>
  <si>
    <t>The man returns later after the chair dries with a yellow bottle and is now wearing a hat and glasses.</t>
  </si>
  <si>
    <t>The man begins to wipe the chair again using whatever was in the yellow bottle.</t>
  </si>
  <si>
    <t>After this is complete the cushion is put back onto the chair as it is wiped down one more time.</t>
  </si>
  <si>
    <t>v_fPbVku8Ssyw</t>
  </si>
  <si>
    <t>People make a hole on the shore of the beach using shovels.</t>
  </si>
  <si>
    <t>Then, people make a wall around the hole.</t>
  </si>
  <si>
    <t>v_BJuL-yK-I8g</t>
  </si>
  <si>
    <t>A man is talking while standing in front of a large river.</t>
  </si>
  <si>
    <t>A group of wild pigs are swimming behind the boat, trying to keep up.</t>
  </si>
  <si>
    <t>The man gets to shore, and he and a boat mate are running on the beach, trying to escape the pigs.</t>
  </si>
  <si>
    <t>v_x_luDzL03vw</t>
  </si>
  <si>
    <t>We then see two men practicing martial arts.</t>
  </si>
  <si>
    <t>The old man pushed the young to the ground.</t>
  </si>
  <si>
    <t>The older man flips the young one over.</t>
  </si>
  <si>
    <t>The old man pushes him forward.</t>
  </si>
  <si>
    <t>The young grabs the older head, and older pushes him down.</t>
  </si>
  <si>
    <t>Man in green is pushed across mat.</t>
  </si>
  <si>
    <t>Old man flip man in green.</t>
  </si>
  <si>
    <t>The Man in white is flipped.</t>
  </si>
  <si>
    <t>Older man pushes green man to ground.</t>
  </si>
  <si>
    <t>Older man rolls man in green.</t>
  </si>
  <si>
    <t>v_VkdPyMG-Gvo</t>
  </si>
  <si>
    <t>A man plays alone pool hitting balls with a pole while going around the pool table.</t>
  </si>
  <si>
    <t>Then, the man hit a ball that enters the basket.</t>
  </si>
  <si>
    <t>After, the man shake hands with people from the audience.</t>
  </si>
  <si>
    <t>v_0T1FKHx3yOk</t>
  </si>
  <si>
    <t>Two boys sits talking as they hold their cell phones.</t>
  </si>
  <si>
    <t>The boys are wrestling in Sumo costumes as two other boys films them with camera.</t>
  </si>
  <si>
    <t>One boy get and hits the other with a ladder and they hit each other.</t>
  </si>
  <si>
    <t>The boy in red grabs and hits the green boy on the ladder with a guitar.</t>
  </si>
  <si>
    <t>The red boy brings an ironing board and jumps on the other boy from the ladder.</t>
  </si>
  <si>
    <t>The green boy runs into the other boy with a minibike.</t>
  </si>
  <si>
    <t>A girl in a sum suit in thrown from a wheel barrow and the referee counts the match as finished.</t>
  </si>
  <si>
    <t>v__-4ngMPCA9A</t>
  </si>
  <si>
    <t>A woman stands in a kitchen talking.</t>
  </si>
  <si>
    <t>She walks over to a sink, puts on gloves and washes dishes.</t>
  </si>
  <si>
    <t>v_pp_J6AzUu4s</t>
  </si>
  <si>
    <t>A woman is standing in a kitchen.</t>
  </si>
  <si>
    <t>She puts ingredients into a glass bowl and mixes it together.</t>
  </si>
  <si>
    <t>She starts chopping food on a block.</t>
  </si>
  <si>
    <t>She combines all the ingredients into the bowl and mixes it together.</t>
  </si>
  <si>
    <t>She grates cheese onto the top of the food.</t>
  </si>
  <si>
    <t>She then puts salad on top of that.</t>
  </si>
  <si>
    <t>v_rR1R-x_UlOM</t>
  </si>
  <si>
    <t>A woman demonstrates from behind a standing bar counter inside of a bar, how to mix drinks using a shot glass and several bottles of alcohol.</t>
  </si>
  <si>
    <t>A woman standing behind a bar talks to the camera and pours a bottle of alcohol into a shot glass along with another bottle of alcohol.</t>
  </si>
  <si>
    <t>The woman then pulls a larger bottle of alcohol off of the bar top and pours that into the shot glass as well, The woman then pushes the shot glass forward toward the camera before the scene fades to black.</t>
  </si>
  <si>
    <t>v_Y75Fvr71aRQ</t>
  </si>
  <si>
    <t>A man is seen speaking to the camera while text appears on the screen.</t>
  </si>
  <si>
    <t>The man continues speaking and leads into him playing an instrument.</t>
  </si>
  <si>
    <t>He pauses his playing to hold up his hand while playing again and then stopping.</t>
  </si>
  <si>
    <t>v_N0mNYZaCJoQ</t>
  </si>
  <si>
    <t>A person pulls the rope of a camel that a man sits on.</t>
  </si>
  <si>
    <t>A man pulls a camel with two people in the desert.</t>
  </si>
  <si>
    <t>Two women are close to the camels.</t>
  </si>
  <si>
    <t>A car pass behind the camels.</t>
  </si>
  <si>
    <t>v_Kd3YFwF-2UM</t>
  </si>
  <si>
    <t>Several clips are shown of people throwing bowling balls down a lane as well as close ups of balls and pins.</t>
  </si>
  <si>
    <t>People continue bowling and the machine shows how the pins spin around and the balls returning to the back.</t>
  </si>
  <si>
    <t>v_03KTIy44yTo</t>
  </si>
  <si>
    <t>A bunch of brown leaves on green grass are blowing away together.</t>
  </si>
  <si>
    <t>The end of the leaf blower is closer to the grass and is blowing an even bigger area of brown leaves.</t>
  </si>
  <si>
    <t>The end of the leaf blower appears and disappears from view the whole time.</t>
  </si>
  <si>
    <t>v_zb2YYXs4gtw</t>
  </si>
  <si>
    <t>People are riding on the backs of camels.</t>
  </si>
  <si>
    <t>They get led down a trail by a person.</t>
  </si>
  <si>
    <t>People are standing behind a fence watching them.</t>
  </si>
  <si>
    <t>The camels lay down on the ground and the people step off of them.</t>
  </si>
  <si>
    <t>v_mfK2jcMGe1Y</t>
  </si>
  <si>
    <t>A girl in a bra is standing in her bathroom and brushing her hair.</t>
  </si>
  <si>
    <t>She does this for a while and continues to fix it.</t>
  </si>
  <si>
    <t>She then brushes it some more as it is very long.</t>
  </si>
  <si>
    <t>She turns around to get the back of it.</t>
  </si>
  <si>
    <t>v_5BYayNkmlBo</t>
  </si>
  <si>
    <t>A man is inside of a barn and is let out on a horse to catch a cow attached to the horse.</t>
  </si>
  <si>
    <t>As he throws his lasso,he misses the cow and runs to get something before going back to the cow.</t>
  </si>
  <si>
    <t>The man finally approaches the calf and another man comes out to assist him and he returns back to the horse.</t>
  </si>
  <si>
    <t>v_6LrY7uMj8Kg</t>
  </si>
  <si>
    <t>Three men sitting by the counter are sitting watching TV and then ladies in cheerdancing outfit started dancing as the men stare at them.</t>
  </si>
  <si>
    <t>The ladies started dancing, raising their arms up swinging their bodies.</t>
  </si>
  <si>
    <t>The girls play billiards and table football with the guys and they dance.</t>
  </si>
  <si>
    <t>v_DACWnbWrd18</t>
  </si>
  <si>
    <t>A large patch of grass is shown.</t>
  </si>
  <si>
    <t>A man is mowing the yard next to the bushes.</t>
  </si>
  <si>
    <t>He stops and talks to the camera.</t>
  </si>
  <si>
    <t>v_D707ZMWH7jQ</t>
  </si>
  <si>
    <t>A man in a red shirt begins talking in front of a wall of tool consisting of wrench,screws,ax and drills.</t>
  </si>
  <si>
    <t>He then holds up a small silver piece and begins sticking it into the chain of the bike.</t>
  </si>
  <si>
    <t>Next,he takes a black utensil,moves the pedals around and takes the chain completely off.</t>
  </si>
  <si>
    <t>He then takes a box with a new chain in it and puts it back on the bike and begins tightening the chain.</t>
  </si>
  <si>
    <t>v_y9xNMLhgTjY</t>
  </si>
  <si>
    <t>Several people riding skateboard are seen riding down a long hill while the camera follows them from behind.</t>
  </si>
  <si>
    <t>The cameraman continuously rides down a winding road past a group of trees and stops at the bottom to meet up with another.</t>
  </si>
  <si>
    <t>More riding is shown down the hill and ends with the camerman turning around.</t>
  </si>
  <si>
    <t>v_pvpfRBndHh8</t>
  </si>
  <si>
    <t>A lady in a gym punches both of her arms across her chest.</t>
  </si>
  <si>
    <t>The lady then kicks her left leg in the air and then the right one behind her.</t>
  </si>
  <si>
    <t>The lady repeats that sequence over and over.</t>
  </si>
  <si>
    <t>v_h15m87WsCHQ</t>
  </si>
  <si>
    <t>Hockey players are playing a hockey game on the ice.</t>
  </si>
  <si>
    <t>A crowd is watching them play.</t>
  </si>
  <si>
    <t>A man in yellow falls on the ice.</t>
  </si>
  <si>
    <t>A man in a suit is talking to hockey players.</t>
  </si>
  <si>
    <t>v_dkP1In7K63Y</t>
  </si>
  <si>
    <t>A man is spraying a sink with a pressure washer.</t>
  </si>
  <si>
    <t>The man sprays a toilet and then sprays the sink again.</t>
  </si>
  <si>
    <t>We see a title screen the man shows the machine and turns a dial and washer the floor, sink and toilet and mirror.</t>
  </si>
  <si>
    <t>The man uses a squeegee on the mirror.</t>
  </si>
  <si>
    <t>The man adjusts the machine and hooks up a hose and uses air to blow dry the sink and mops the floor.</t>
  </si>
  <si>
    <t>v_ZIFxB0gZ5tY</t>
  </si>
  <si>
    <t>We see a man swinging in a park.</t>
  </si>
  <si>
    <t>The man stands while holding onto the swing.</t>
  </si>
  <si>
    <t>The man stands again and we see a little girl.</t>
  </si>
  <si>
    <t>A lady tries to put the girl in the swing, but she ends up swinging alone.</t>
  </si>
  <si>
    <t>v_djgnHazfi2Y</t>
  </si>
  <si>
    <t>man is standing in stage doing gymnastics in a competition.</t>
  </si>
  <si>
    <t>man is holding a video recorder.</t>
  </si>
  <si>
    <t>v_UlGX-5x0Mak</t>
  </si>
  <si>
    <t>A boy holds an ice cream cone to a baby sitting in a high chair seat.</t>
  </si>
  <si>
    <t>The baby enjoys the ice cream cone.</t>
  </si>
  <si>
    <t>v_9Pv2hUyODK4</t>
  </si>
  <si>
    <t>A man in a black shirt is talking outside near a track and field.</t>
  </si>
  <si>
    <t>He then walks over to a student athlete from Florida State University.</t>
  </si>
  <si>
    <t>The athlete then begins talking and showing various techniques that she uses.</t>
  </si>
  <si>
    <t>Once finishes,she begins doing a triple jump into the pit,she tries again, and then the man interviewing her begins doing the same jump.</t>
  </si>
  <si>
    <t>The two come back to the camera and finish talking,she flashes her thumbs up and then leaves.</t>
  </si>
  <si>
    <t>v_1wiGNX_S8ZU</t>
  </si>
  <si>
    <t>Two people are seen doing flips and kicks around one another in a large circle surrounded by people.</t>
  </si>
  <si>
    <t>More people join in to the kicks and flips as others watch them on the side and clap.</t>
  </si>
  <si>
    <t>v_hhoewBggtuw</t>
  </si>
  <si>
    <t>We see a title over an image of a car.</t>
  </si>
  <si>
    <t>We see a man sitting next and talking about the car.</t>
  </si>
  <si>
    <t>The man puts a brick behind his tire and grabs his supplies to change his tire.</t>
  </si>
  <si>
    <t>The man loosens the bolts and jacks the car up and removes the tire.</t>
  </si>
  <si>
    <t>The man puts on his spare and lowers the car to the ground.</t>
  </si>
  <si>
    <t>The man puts his supplies away and drives away.</t>
  </si>
  <si>
    <t>The man stops near the camera and speaks before driving off.</t>
  </si>
  <si>
    <t>v_mzxz0EQy1pY</t>
  </si>
  <si>
    <t>A camera pans all around a heated pool and leads into a person climbing in a kayak and moving around the pool.</t>
  </si>
  <si>
    <t>Several people seen riding kayaks around the pool as well as people swimming around and watching on the sidelines.</t>
  </si>
  <si>
    <t>The men continue moving around in various angles as well as being shown swimming underwater and playing with one another.</t>
  </si>
  <si>
    <t>v_lIbRuIm9MxI</t>
  </si>
  <si>
    <t>Howcast logo is on the screen.</t>
  </si>
  <si>
    <t>Two men are sitting in the middle of drums and explaining about the instruments.</t>
  </si>
  <si>
    <t>The men begin playing the drums.</t>
  </si>
  <si>
    <t>The go back to talking about the drums.</t>
  </si>
  <si>
    <t>v_awqVlr-YDM4</t>
  </si>
  <si>
    <t>People are skiing down a hill and keep falling down and sliding down the hill.</t>
  </si>
  <si>
    <t>A person crashes into a fence.</t>
  </si>
  <si>
    <t>v_8rypSctbfjU</t>
  </si>
  <si>
    <t>A brush and two kinds of paint are on a table.</t>
  </si>
  <si>
    <t>A knitter's hoop is shown lying on cloth, and a woman paints a design into the cloth.</t>
  </si>
  <si>
    <t>She forms many leaves and flowers in orange shades.</t>
  </si>
  <si>
    <t>When she is done, she shows off the flower design.</t>
  </si>
  <si>
    <t>v_bCdIcqRYJvo</t>
  </si>
  <si>
    <t>A man sits and plays a black grand piano in an empty auditorium.</t>
  </si>
  <si>
    <t>We see three people in the front row watching and listening to the man as he plays and one person one row behind them.</t>
  </si>
  <si>
    <t>We see the three people, two women and one men.</t>
  </si>
  <si>
    <t>The player stands and plays.</t>
  </si>
  <si>
    <t>The player finishes and stands up.</t>
  </si>
  <si>
    <t>v_nShRXseBM4Y</t>
  </si>
  <si>
    <t>A person is slicing bread with a knife.</t>
  </si>
  <si>
    <t>They mix ingredients in a bowl.</t>
  </si>
  <si>
    <t>They cook the bread on a grill.</t>
  </si>
  <si>
    <t>They add a scoop of chocolate ice cream next to the sandwich.</t>
  </si>
  <si>
    <t>v_IFgEjS97Pmw</t>
  </si>
  <si>
    <t>A rustic static bike of wood is in a room.</t>
  </si>
  <si>
    <t>Then, a man pedal the bike while showing the handle.</t>
  </si>
  <si>
    <t>Then the man sits on the bike to pedal and then stands.</t>
  </si>
  <si>
    <t>v_XLsuG0cNl4o</t>
  </si>
  <si>
    <t>A man uses a beard trimmer to trim his cheeks and neck.</t>
  </si>
  <si>
    <t>The man strokes his goatee and examines it.</t>
  </si>
  <si>
    <t>The man trims his chin area to make a mustache.</t>
  </si>
  <si>
    <t>v_1iP5k9jHBRU</t>
  </si>
  <si>
    <t>A male is standing by the white door, he is holding rectangular wood, and on the other hand is a board that holds big chunk of brown clay.</t>
  </si>
  <si>
    <t>He pointed the wall and started to spread the brown clay on the wall, she spread it by rubbing it smoothly and in half circle way.</t>
  </si>
  <si>
    <t>He went near the ceiling, knocked on the ceiling, pushed it, knocked on it again, smoothen it using his fingers.</t>
  </si>
  <si>
    <t>v_PpbBWqlsbxk</t>
  </si>
  <si>
    <t>We see we an opening title screen.</t>
  </si>
  <si>
    <t>People stand in the woods holding paddles while wearing rafting gear.</t>
  </si>
  <si>
    <t>People walk to the lake with their rafts and get in.</t>
  </si>
  <si>
    <t>We see people riding rafts down a river.</t>
  </si>
  <si>
    <t>The people go over a small waterfall and their raft is overturned.</t>
  </si>
  <si>
    <t>People are plunged into the water as they go over a waterfall and a man pumps his fist.</t>
  </si>
  <si>
    <t>The camera pans up to show nature and fades to white.</t>
  </si>
  <si>
    <t>v_jsofzMPb0i4</t>
  </si>
  <si>
    <t>There's a basketball player demonstrating various types of basketball hoop shooting techniques on behalf of World of Hoops.</t>
  </si>
  <si>
    <t>He begins by showing the basic technique of the regular lay-up throw, he shoots the ball directly into the hoop.</t>
  </si>
  <si>
    <t>Then he shows another technique where he comes running and shoots the ball from very close to the hoop by jumping up high.</t>
  </si>
  <si>
    <t>He continues to show various other ways to shoot the basket as he runs and dunks the ball straight into the basket.</t>
  </si>
  <si>
    <t>He demonstrates different techniques of shooting the ball right into the hoop without missing a single basket.</t>
  </si>
  <si>
    <t>v_sTev5fWX3T8</t>
  </si>
  <si>
    <t>A teen is balancing on the higher uneven bar.</t>
  </si>
  <si>
    <t>Then, the teen flips and a man helps her to pass to the lower uneven bar.</t>
  </si>
  <si>
    <t>Two A girl exercise on the uneven bars behind the teen.</t>
  </si>
  <si>
    <t>v_IlzwpnsIRZM</t>
  </si>
  <si>
    <t>People are playing a game of ping pong.</t>
  </si>
  <si>
    <t>A man in a red shirt is playing with only one shoe on.</t>
  </si>
  <si>
    <t>v_EO_BnsrWMnI</t>
  </si>
  <si>
    <t>A man is seen wearing a funny uniform and walking out onto a large stage while intervening to speak to the camera.</t>
  </si>
  <si>
    <t>The man performs gymnastics moves around a beam in a silly manner and ends with the audience clapping and the man waving.</t>
  </si>
  <si>
    <t>v_63lmoqLxB8c</t>
  </si>
  <si>
    <t>People are playing a game of volleyball on a court.</t>
  </si>
  <si>
    <t>People are sitting along the benches against a wall watching.</t>
  </si>
  <si>
    <t>A boy serves the volleyball.</t>
  </si>
  <si>
    <t>v_xtmxgih0yIk</t>
  </si>
  <si>
    <t>A horse stands alone, attached to a wooden trunk.</t>
  </si>
  <si>
    <t>A man approaches the horse holding two brushes in his hands and speaks for a bit.</t>
  </si>
  <si>
    <t>He goes up to the horse and brushes the hair of the horse, removing the hair of the horse that attaches onto the brush.</t>
  </si>
  <si>
    <t>He pauses for a bit to speak.</t>
  </si>
  <si>
    <t>He goes back to removing the excess hair off the horse.</t>
  </si>
  <si>
    <t>He pauses again and speaks for a while.</t>
  </si>
  <si>
    <t>He returns to brushing the horse.</t>
  </si>
  <si>
    <t>He stops brushing the hair and speaks.</t>
  </si>
  <si>
    <t>v_u9oARzRT3fI</t>
  </si>
  <si>
    <t>A female gymnast mounts a high beam in a gym.</t>
  </si>
  <si>
    <t>She does lots of forward jumps, springs, and splits in the air.</t>
  </si>
  <si>
    <t>A boy in the background climbs a rope as she dismounts.</t>
  </si>
  <si>
    <t>v_JviFZ5Cliug</t>
  </si>
  <si>
    <t>A woman in a white shirt is standing by an exercise machine.</t>
  </si>
  <si>
    <t>She begins working out on the exercise machine.</t>
  </si>
  <si>
    <t>Information about the machine is placed on the screen.</t>
  </si>
  <si>
    <t>v_ZCZoL2b6euQ</t>
  </si>
  <si>
    <t>A man is throwing darts inside a room.</t>
  </si>
  <si>
    <t>Another man ducks so he doesn't get hit.</t>
  </si>
  <si>
    <t>The darts hit the dart board in slow motion.</t>
  </si>
  <si>
    <t>v_t0YXK4W_L7o</t>
  </si>
  <si>
    <t>A close up of a horse is seen followed by several people riding on a horses on a beach.</t>
  </si>
  <si>
    <t>One person is seen standing on the horse and the camera continues to follow the people riding along on the horses.</t>
  </si>
  <si>
    <t>v_WOonpO98TdQ</t>
  </si>
  <si>
    <t>A man and a woman in a garage style weight room demonstrate how to lift a weight bar with the woman exhibiting the lifting of the weights.</t>
  </si>
  <si>
    <t>A man in a black t-shirt and sandals stands next to a woman in a garage style weight room.</t>
  </si>
  <si>
    <t>The woman picks up a weight bar using the knees to bend as the man talks and points to her muscle groups.</t>
  </si>
  <si>
    <t>The woman hoists the bar above her head in a weight lifting move several times before lowering the bar back to the floor.</t>
  </si>
  <si>
    <t>v_vpvhtd7CqUA</t>
  </si>
  <si>
    <t>Some texts pops up on the screen.</t>
  </si>
  <si>
    <t>A video of bulls being hurt by people starts playing.</t>
  </si>
  <si>
    <t>Text pops up on the screen again.</t>
  </si>
  <si>
    <t>Images of people stabbed with arrows and full of blood are shown.</t>
  </si>
  <si>
    <t>More text with an anti bullfighting messages appear.</t>
  </si>
  <si>
    <t>Images of hurts bulls are shown.</t>
  </si>
  <si>
    <t>Anti animal cruelty text appears.</t>
  </si>
  <si>
    <t>A bull fighter is shown fighting a bull.</t>
  </si>
  <si>
    <t>A video is played of bullfighters getting gored.</t>
  </si>
  <si>
    <t>A new video showing dead animals plays.</t>
  </si>
  <si>
    <t>Condescending text appears in the video that chastises people for eating meat ane being cruel to animals.</t>
  </si>
  <si>
    <t>v_FfVfjZOHsl4</t>
  </si>
  <si>
    <t>A lawn mower is being pushed through grass.</t>
  </si>
  <si>
    <t>It is pushed along a sidewalk.</t>
  </si>
  <si>
    <t>It is pushed along a flower bed.</t>
  </si>
  <si>
    <t>v_pIUpJihiju0</t>
  </si>
  <si>
    <t>A person shows the bottom of a large dust mop.</t>
  </si>
  <si>
    <t>Then, the person cleans a gym with the large dust mop.</t>
  </si>
  <si>
    <t>v_HCub1SN4X20</t>
  </si>
  <si>
    <t>The girl in the swing is swinging and then she jumped on the ground.</t>
  </si>
  <si>
    <t>The camera turned around, then turned back to the girl swinging, she is twisting the chains of the swing, and she is swirling around with the swing.</t>
  </si>
  <si>
    <t>The girl in black shirt and black skirt and tights keeps swing so fast and high and then she jumped on the sandy ground.</t>
  </si>
  <si>
    <t>The girl climbed the climber, she put her feet up while her arms and hands are holding the bar.</t>
  </si>
  <si>
    <t>The girl fell down on the ground, she stood up, then went to the other side of the climber, reached for the bar and moved to the other next bar.</t>
  </si>
  <si>
    <t>The girl is sitting on blue bouncing chair while she look on her side, she stood up, continue to pull her weight forward and backward.</t>
  </si>
  <si>
    <t>The girl sat on top of the slide then slide down, put on her slippers then went back to the top of the slide and slide down.</t>
  </si>
  <si>
    <t>v_Oe1tNvkhrI8</t>
  </si>
  <si>
    <t>A blue backdrop is pictured with white words saying titling,"Mowing the Lawn May 2009".</t>
  </si>
  <si>
    <t>A middle aged man is outside,wearing a white muscle short and red shorts pushing a lawn mower in his yard.</t>
  </si>
  <si>
    <t>As the man turns the lawn mower to go in a different direction he begins to struggle and gets confused because the water fountain is in his way.</t>
  </si>
  <si>
    <t>Once,the male has become frustrated enough,he just decided to not mow it and goes back to his original place of cutting.</t>
  </si>
  <si>
    <t>v_OW5Tyr8MICg</t>
  </si>
  <si>
    <t>A close up of hands is shown followed by a girl brushing her hair and smiling to the camera.</t>
  </si>
  <si>
    <t>The girl continues brushing her hair and looking off into the distance.</t>
  </si>
  <si>
    <t>v_G4O_Ar7EO4Y</t>
  </si>
  <si>
    <t>A competitive sporting event is taking place in an outdoor arena and the competitors are on the ground while the spectators are in the stands.</t>
  </si>
  <si>
    <t>A man is now standing in a circle on the field and he's holding a ball and the banner display on the screen indicates his name is Krisztian PARS and that he's about to do a Hammer Throw M as he swings the ball that is attached to the rope, swings his body and then lets the rope go as it flies very far on the field.</t>
  </si>
  <si>
    <t>The man is very proud of his throw as he cheers and other competitors as well as people in the stands clap and cheer for him as well as he walks away from the area he was standing in and continues to cheer himself on a little more while giving a thumbs up to a group of camera men taking his picture.</t>
  </si>
  <si>
    <t>A replay of his throw starts again and then it ends with a wide angled shot of the entire arena.</t>
  </si>
  <si>
    <t>v_4d3RtnuVCV4</t>
  </si>
  <si>
    <t>A video of the UConn women's field hockey team is shown.</t>
  </si>
  <si>
    <t>The coach talks to the players and they have a practice.</t>
  </si>
  <si>
    <t>v_5qublDzEgsw</t>
  </si>
  <si>
    <t>Two men are shown playing soccer in a gym followed by a pan out showing more players.</t>
  </si>
  <si>
    <t>The man is white leads the ball down the gym several times and performing various tricks and goals.</t>
  </si>
  <si>
    <t>The game continues on with the men doing back and fourth playing with the soccer ball.</t>
  </si>
  <si>
    <t>v_4P0zJEfqCoM</t>
  </si>
  <si>
    <t>A woman gets her eyebrow clamped.</t>
  </si>
  <si>
    <t>A person pushes a needle through her eyebrow.</t>
  </si>
  <si>
    <t>They twist an earring into the eyebrow.</t>
  </si>
  <si>
    <t>They clean around the earring with a qtip.</t>
  </si>
  <si>
    <t>v_uwGcEaW3z3Q</t>
  </si>
  <si>
    <t>A man is trying to lift weights in a gym.</t>
  </si>
  <si>
    <t>He lifts the barbell up to his chest.</t>
  </si>
  <si>
    <t>He then lifts it over his head before dropping it to the ground.</t>
  </si>
  <si>
    <t>v_60yOoxs9AFc</t>
  </si>
  <si>
    <t>A band is seen playing several instruments on a stage while people dance around them.</t>
  </si>
  <si>
    <t>The band continues playing while lights flash all around them and people continue dancing.</t>
  </si>
  <si>
    <t>v_ko9efCldvgs</t>
  </si>
  <si>
    <t>A wooden outdoors stair case is shown outside of a white and brown horse.</t>
  </si>
  <si>
    <t>All of a sudden,a black dog comes around the corner and trots up the stairs and multiple replays are shown.</t>
  </si>
  <si>
    <t>Once the dog actually makes it to the top,he begins licking the person'a behind the camera shoe.</t>
  </si>
  <si>
    <t>v_BY5mz30u5_8</t>
  </si>
  <si>
    <t>A person is seen standing on a wake board point out and moving himself around.</t>
  </si>
  <si>
    <t>The camera follows him gliding out into the water gradually going further and further.</t>
  </si>
  <si>
    <t>v_jHyWtrhNTTk</t>
  </si>
  <si>
    <t>We see a black opening screen.</t>
  </si>
  <si>
    <t>We see a blue track with people running on it.</t>
  </si>
  <si>
    <t>We then see a man do a high jump at 5'9".</t>
  </si>
  <si>
    <t>We then see the man jump at 6'.</t>
  </si>
  <si>
    <t>We then see the man jump at 6'2" and he knocks the pole over.</t>
  </si>
  <si>
    <t>We see him try 6'2" again and not hit the pole.</t>
  </si>
  <si>
    <t>The man walks to the camera and turns it off.</t>
  </si>
  <si>
    <t>v_K9qWnvl8A1Q</t>
  </si>
  <si>
    <t>A little boy is holding a paintbrush in the yard.</t>
  </si>
  <si>
    <t>He is swiping a brush covered with water on the fence.</t>
  </si>
  <si>
    <t>He dips it in the bucket, continuing to pretend to paint.</t>
  </si>
  <si>
    <t>v_Ocd1VWIIeVs</t>
  </si>
  <si>
    <t>A man washes a car with a brush, while three people rinse the car with hoses.</t>
  </si>
  <si>
    <t>A man sprays detergent on a car.</t>
  </si>
  <si>
    <t>A person that wears a red t-shirt sprays detergent on a car, then two men rinse the car with hoses, while other cars are covered with white detergent.</t>
  </si>
  <si>
    <t>v_OrF46J3HmSw</t>
  </si>
  <si>
    <t>A young child is seen standing before a mat looking down at the floor.</t>
  </si>
  <si>
    <t>She then begins walking along the mat all the way to the end.</t>
  </si>
  <si>
    <t>She walks back and fourth again while looking to the camera.</t>
  </si>
  <si>
    <t>v_QZyR7yfp8hA</t>
  </si>
  <si>
    <t>A man is seen speaking to the camera next to a horse and leads into clips of him riding around on the horse and close ups of other horses.</t>
  </si>
  <si>
    <t>The host speaks to another man while more shots of horses are shown as well as a man hitting a ball.</t>
  </si>
  <si>
    <t>The men then ride horses and learn to play a sport and ends with the host speaking in a uniform.</t>
  </si>
  <si>
    <t>v_4E-RWxR6Xr0</t>
  </si>
  <si>
    <t>A guy rides an exercise bike.</t>
  </si>
  <si>
    <t>The guy adjusts the exercise bike seat.</t>
  </si>
  <si>
    <t>v_2Dlfwnvz76Q</t>
  </si>
  <si>
    <t>A woman is sitting at a desk.</t>
  </si>
  <si>
    <t>A man sitting in front of her is playing a harmonica.</t>
  </si>
  <si>
    <t>The woman is playing with her hair.</t>
  </si>
  <si>
    <t>v_mnMmGnnbvSk</t>
  </si>
  <si>
    <t>An array of shoe shining tools are shown including different kinds and colors of shoe polish, a polishing rag and a black shiny shoe.</t>
  </si>
  <si>
    <t>A group of adult students sit in a classroom style room and look to the front of the class as if attending a class and listening intensely.</t>
  </si>
  <si>
    <t>A shoe shine demonstration takes place with a man kneeling in front of a group of students and using a sample shoe as an example.</t>
  </si>
  <si>
    <t>Several people in aprons, then kneel before people wearing shoes and shine the people's shoes on red buckets with polishing clothes and polish.</t>
  </si>
  <si>
    <t>The shoes shiners then stand in unison, with their aprons, and bow and shake hands.</t>
  </si>
  <si>
    <t>v_hRMSh7vUmGY</t>
  </si>
  <si>
    <t>A man is lifting very heavy weight above his head and dropping it .</t>
  </si>
  <si>
    <t>He does this multiple time for repetition, this is a workout routine.</t>
  </si>
  <si>
    <t>He then walks away taking a break for a little bit and walks by people sitting and chatting.</t>
  </si>
  <si>
    <t>Once he is done with his break he continues back to his routine.</t>
  </si>
  <si>
    <t>v_q9T1GR6s0vI</t>
  </si>
  <si>
    <t>Two Sumo wrestlers are indoor fighting one another as the referee moves around them.</t>
  </si>
  <si>
    <t>One person is then thrown off of the mat and another set of people are shown.</t>
  </si>
  <si>
    <t>The smaller of the two then flips the big guy from in the air and then the match is over.</t>
  </si>
  <si>
    <t>The sequence continues and several other men are shown battling one another and giving each other wedgies.</t>
  </si>
  <si>
    <t>When the match is complete,two men are shown sitting at a desk with a phone number on a white board.</t>
  </si>
  <si>
    <t>v_yRjaK8wT4Rc</t>
  </si>
  <si>
    <t>A man is washing his hands in the sink.</t>
  </si>
  <si>
    <t>He takes a yellow rag and cleans the sink and faucet.</t>
  </si>
  <si>
    <t>A white bottle of cleaner is shown.</t>
  </si>
  <si>
    <t>v_RVKYgN2S9KA</t>
  </si>
  <si>
    <t>A girl wearing a bikini on the beach is shown doing several sits up on a ball and fixing her hair.</t>
  </si>
  <si>
    <t>She continues performing the exercise while smiling at the camera.</t>
  </si>
  <si>
    <t>v_HCsfxpQ8C1M</t>
  </si>
  <si>
    <t>A man holds a weigh on his back, then he kneels on the floor.</t>
  </si>
  <si>
    <t>After, he jumps from the floor to stand while the weigh is on his back.</t>
  </si>
  <si>
    <t>v_86lJVqKyj3A</t>
  </si>
  <si>
    <t>A woman demonstrates how to properly wrap a gift from behind the counter of a gift shop.</t>
  </si>
  <si>
    <t>A woman stands behind a sales counter in front of several wrapped gifts and gift wrapping materials.</t>
  </si>
  <si>
    <t>Gift wrapping materials are shown sitting on the counter including gift wrap, scissors, and ribbon.</t>
  </si>
  <si>
    <t>The woman talks to the camera and begins to wrap the box in gift wrapping paper using a pair of scissors to cut the gift wrapping paper and clear tape to tape the edges of the wrapping paper.</t>
  </si>
  <si>
    <t>The woman then wraps the gift with final ribbon and the camera closes up on the finishes, wrapped, product.</t>
  </si>
  <si>
    <t>v_57cM1GcKktw</t>
  </si>
  <si>
    <t>A heavy man in a blue shirt is playing the bag pipes.</t>
  </si>
  <si>
    <t>He blows into the pipe while making the notes with his fingers.</t>
  </si>
  <si>
    <t>He slightly dances as he plays.</t>
  </si>
  <si>
    <t>He adjusts the bag pipe and continues to play.</t>
  </si>
  <si>
    <t>He finishes his song and reaches to turn off the camera.</t>
  </si>
  <si>
    <t>v_x2DTmwZa8yE</t>
  </si>
  <si>
    <t>A man is sitting with a surgical mask on.</t>
  </si>
  <si>
    <t>He is cutting lemons up.</t>
  </si>
  <si>
    <t>v_lPYV3qFuXOI</t>
  </si>
  <si>
    <t>The video's title and credits are shown.</t>
  </si>
  <si>
    <t>A man rides a bicycle down a path with cars in the background.</t>
  </si>
  <si>
    <t>The man disassembles and repairs the bicycle.</t>
  </si>
  <si>
    <t>The man rides the bicycle down a stone paved path.</t>
  </si>
  <si>
    <t>The man rides the bicycle down a road alongside parked cars.</t>
  </si>
  <si>
    <t>v_jFp6ld_IGuY</t>
  </si>
  <si>
    <t>A man speaks on a microphone.</t>
  </si>
  <si>
    <t>Suddenly, a man jumps on the neck of a person and throw him to the floor.</t>
  </si>
  <si>
    <t>Other men competes wrestling, and one man jumps and land on the border of a wrestling ring.</t>
  </si>
  <si>
    <t>A wrestler jumps on the back of a man to stay upside down while the judge watch.</t>
  </si>
  <si>
    <t>A big man kicks another wrestler, then grabs his head a throw to the floor.</t>
  </si>
  <si>
    <t>A kid and a person jumps to celebrate.</t>
  </si>
  <si>
    <t>v_VbhCWRXsEHQ</t>
  </si>
  <si>
    <t>Parchment paper is placed on the baking sheet.</t>
  </si>
  <si>
    <t>Softened butter is placed in a mixing bowl.</t>
  </si>
  <si>
    <t>The mixer then begins to cream the butter.</t>
  </si>
  <si>
    <t>Sugar is added to the mixing bowl to be beaten in.</t>
  </si>
  <si>
    <t>Flour is measured, and combined with cornstarch which is measured then mixed into the bowl.</t>
  </si>
  <si>
    <t>Dough is measured out by spoonful, rolled up and placed on baking sheet.</t>
  </si>
  <si>
    <t>The dough is flattened and baked into cookies.</t>
  </si>
  <si>
    <t>The cookies are then placed on a baking sheet, then rack to cool with a spatula.</t>
  </si>
  <si>
    <t>The cookies are cooled to be enjoyed.</t>
  </si>
  <si>
    <t>v_wipGHu-nmNY</t>
  </si>
  <si>
    <t>A bartender is talking from behind a bar.</t>
  </si>
  <si>
    <t>He shows himself making several different drinks.</t>
  </si>
  <si>
    <t>Then he is shown making a specific red drink, shaking it before pouring it into a glass.</t>
  </si>
  <si>
    <t>v_0Bd8Js6Pf6E</t>
  </si>
  <si>
    <t>Two tam tams are in a living room.</t>
  </si>
  <si>
    <t>Then, A man comes and talks on front the tam tams.</t>
  </si>
  <si>
    <t>After, the man plays the tam tam in a living room.</t>
  </si>
  <si>
    <t>v_G3xayqdY0TY</t>
  </si>
  <si>
    <t>A man on the dock hands a rope to a water skier.</t>
  </si>
  <si>
    <t>A person water skis and does jumps over ramps in the water of a lake.</t>
  </si>
  <si>
    <t>The water skier falls but recovers then lets go of the rope and drifts over to the shoreline.</t>
  </si>
  <si>
    <t>v_2-xMWBQA7iM</t>
  </si>
  <si>
    <t>We see a man walk over and sits on a rowing machine.</t>
  </si>
  <si>
    <t>The man drink from his water.</t>
  </si>
  <si>
    <t>The man rows fast on the machine.</t>
  </si>
  <si>
    <t>We see a title screen.</t>
  </si>
  <si>
    <t>We see the man stop rowing and walks and gets the camera.</t>
  </si>
  <si>
    <t>The man then shows the screen on the rowing machine.</t>
  </si>
  <si>
    <t>The man kisses his fingers and the camera falls to the ground.</t>
  </si>
  <si>
    <t>v_nXVNITiaaTQ</t>
  </si>
  <si>
    <t>A man stands in front of a business logo and discusses.</t>
  </si>
  <si>
    <t>A rider goes around a turn and plants his foot in the dirt to stabilize.</t>
  </si>
  <si>
    <t>The rider accelerates out of a turn on his motorcycle.</t>
  </si>
  <si>
    <t>The rider goes over a jump on his motorcycle.</t>
  </si>
  <si>
    <t>v_YU0DjX7wvRA</t>
  </si>
  <si>
    <t>A cat is sitting on the floor looking up as his owner tried to grab him.</t>
  </si>
  <si>
    <t>The owner picks him up and sits down with him and begins to clip his nails.</t>
  </si>
  <si>
    <t>The cat is moving his head around wagging its tail around but not giving a hard time.</t>
  </si>
  <si>
    <t>The owner then begins to rub its belly and play with it's feet, before putting the cat back on the ground.</t>
  </si>
  <si>
    <t>v_Pi79Fa4YwDk</t>
  </si>
  <si>
    <t>We see men playing a game of cricket.</t>
  </si>
  <si>
    <t>The pitcher throws and men all start running.</t>
  </si>
  <si>
    <t>We see a man laying on the ground, with medics around.</t>
  </si>
  <si>
    <t>We see men walking on the field and A medic puts a ice pack on the man's head.</t>
  </si>
  <si>
    <t>We see in slow motion the collision which hurt the man.</t>
  </si>
  <si>
    <t>v_-YPp9kc3XDs</t>
  </si>
  <si>
    <t>man is sitting in a living room talking to the camera.</t>
  </si>
  <si>
    <t>man starts playing the flute and keep talknig.</t>
  </si>
  <si>
    <t>v_P3oTMGfwOOs</t>
  </si>
  <si>
    <t>Men use ladders to get on the roof to work.</t>
  </si>
  <si>
    <t>The men put a tarp around the house.</t>
  </si>
  <si>
    <t>The men are removing the roof pieces and throwing down onto the tarp.</t>
  </si>
  <si>
    <t>v_YAbfhT3fhac</t>
  </si>
  <si>
    <t>A gymnastic teams practices routines that involve jumping and flipping.</t>
  </si>
  <si>
    <t>They then switch to cheerleading outside.</t>
  </si>
  <si>
    <t>v_swOYvotIM1Y</t>
  </si>
  <si>
    <t>A woman and a man battle each other in a game of arm wrestling.</t>
  </si>
  <si>
    <t>She beats him and showcases her muscles.</t>
  </si>
  <si>
    <t>They do it again, she wins again, and shows off her muscles.</t>
  </si>
  <si>
    <t>v_KV0L45xelkE</t>
  </si>
  <si>
    <t>A female basketball coach is seen instructing a group of girl basketball players who are standing in line on a basketball court.</t>
  </si>
  <si>
    <t>The first girl passes to another coach and then runs to the net and takes a layup.</t>
  </si>
  <si>
    <t>The girls continue to do the drill on the right side.</t>
  </si>
  <si>
    <t>The girls move to the left side and perform the same drill on the left side of the court.</t>
  </si>
  <si>
    <t>v_8miqQQJEsO0</t>
  </si>
  <si>
    <t>woman is standing in a roofed gym lifting weight.</t>
  </si>
  <si>
    <t>coach is standing next to the gril coaching her and helping her.</t>
  </si>
  <si>
    <t>after a few advices the woman lift the weight again.</t>
  </si>
  <si>
    <t>v_wlYxVUJSJVI</t>
  </si>
  <si>
    <t>A group of kids are playing indoor soccer.</t>
  </si>
  <si>
    <t>The boys run, chasing the ball and fighting to get it away from each other.</t>
  </si>
  <si>
    <t>One boy kicks into the opposing team's goal.</t>
  </si>
  <si>
    <t>It is replayed in slow motion.</t>
  </si>
  <si>
    <t>The boys continue playing for the remainder of the game.</t>
  </si>
  <si>
    <t>On the final screen, an older man is shown holding a little boy in his arms.</t>
  </si>
  <si>
    <t>v_9uHffl5yny4</t>
  </si>
  <si>
    <t>A woman talks on a cordless phone while sitting on a throne, and while another woman kneels at her feet and wipes them down with her clothes.</t>
  </si>
  <si>
    <t>A woman in a purple sari kneels at the foot of another woman who is sitting on a gold throne and wearing a gold crown with red feathers in her hair.</t>
  </si>
  <si>
    <t>The woman on the throne sticks her foot out in front of the kneeling woman and the kneeling woman begins to wipe the woman's feet with her sari.</t>
  </si>
  <si>
    <t>The woman on the throne takes a phone call on black cordless phone and begins to talk before the scene finally fades to a blurry image of another woman talking on a phone.</t>
  </si>
  <si>
    <t>v_UpnFBPGFgnw</t>
  </si>
  <si>
    <t>A man is speaking while standing in front of a smart car.</t>
  </si>
  <si>
    <t>He gets in, continuing to talk as he shows the different component of the car, including the trunk.</t>
  </si>
  <si>
    <t>The man returns to the front of the vehicle, finishing with his final words.</t>
  </si>
  <si>
    <t>v_xuEhV19bVRI</t>
  </si>
  <si>
    <t>A compilation of professional wrestler Kevin Owens performing power bombs on many wrestlers, in the beginning of the video he enters the building with a confident look, as he proceeds to get in he performs multiple power bombs.</t>
  </si>
  <si>
    <t>The ending of the video has a subscriber message.</t>
  </si>
  <si>
    <t>v_H-yBxySDyTw</t>
  </si>
  <si>
    <t>A man in a office chair is sitting with some type of pen up.</t>
  </si>
  <si>
    <t>He talks about it for a little while and then put it in his mouth, turns out its an e-pen.</t>
  </si>
  <si>
    <t>It's a new technology that you can smoke like a cigarette.</t>
  </si>
  <si>
    <t>He holds it in his hands like a cigarette and puts it in his mouth and exhales smoke.</t>
  </si>
  <si>
    <t>v_uBkJa679ffE</t>
  </si>
  <si>
    <t>A woman with dark hair and silver framed glasses looks around pensively until her gaze lands on the camera and she feigns surprise at the presence of the camera and begins to talk to the camera.</t>
  </si>
  <si>
    <t>The woman begins to hold a pair of contact lenses and lens solution up to the camera and then proceeds to take the lenses out and talks to the camera alone again.</t>
  </si>
  <si>
    <t>The woman pours solution into her hand and cleans the lens in her hand before plopping two of them in her eyes and exhibiting completely black eyes to the camera while talking.</t>
  </si>
  <si>
    <t>The woman then takes the contact out of her eyes, then puts them back in on the fade out.</t>
  </si>
  <si>
    <t>v_9PuaRdU6ViM</t>
  </si>
  <si>
    <t>Two girls are seen speaking to the camera followed by a person laying fruit out and mixing it into a blender.</t>
  </si>
  <si>
    <t>The girls continue to put the fruit into a blender while taking bites on the side and pushing down further into the blender.</t>
  </si>
  <si>
    <t>v_14X-i7vqXWU</t>
  </si>
  <si>
    <t>A group of cheerleaders are seen yelling together all at once and leads into them performing a routine in front of a large audience.</t>
  </si>
  <si>
    <t>The people continue performing their routine on the mat while performing various flips and tricks and ends with them running off stage while the audience cheers.</t>
  </si>
  <si>
    <t>v_k3yRK68SEDE</t>
  </si>
  <si>
    <t>Two men are sitting at a table.</t>
  </si>
  <si>
    <t>The men engage in a game of arm wrestling.</t>
  </si>
  <si>
    <t>One of them beats the other.</t>
  </si>
  <si>
    <t>v_Rvqu079gCh0</t>
  </si>
  <si>
    <t>We see kids with feet on skateboards.</t>
  </si>
  <si>
    <t>We see the kids riding down the street from a skater pov.</t>
  </si>
  <si>
    <t>A kid crashes and has a hard time recovering.</t>
  </si>
  <si>
    <t>A boy loses his board and has to run after it.</t>
  </si>
  <si>
    <t>We see the person with a selfie stick fall in the grass.</t>
  </si>
  <si>
    <t>v_aEUbl9oT_0s</t>
  </si>
  <si>
    <t>Various shots are shown of athletes holding a pole in their hands and leaning backwards.</t>
  </si>
  <si>
    <t>This leads into several clips of more athletes throwing javelins off into the distance.</t>
  </si>
  <si>
    <t>More and more people are shown throwing javelins.</t>
  </si>
  <si>
    <t>v_kcPbEkv5UXE</t>
  </si>
  <si>
    <t>A girl plays a drum set in a city plaza for passing people.</t>
  </si>
  <si>
    <t>A lady walks up to watch the drummer play.</t>
  </si>
  <si>
    <t>The drummer plays a solo on the cymbal.</t>
  </si>
  <si>
    <t>The drummer ends the song and bows to the audience.</t>
  </si>
  <si>
    <t>v_6GGQUpJR5qs</t>
  </si>
  <si>
    <t>A person is lathering up a dog's fur with an purple shower head attached to a green hose.</t>
  </si>
  <si>
    <t>The dog shakes his fur.</t>
  </si>
  <si>
    <t>The person continues wetting the dog.</t>
  </si>
  <si>
    <t>v_KFk4ZpyYeuE</t>
  </si>
  <si>
    <t>A small child is seen standing on the ground and begins boxing with another.</t>
  </si>
  <si>
    <t>The boy uses boxing gloves to hit a man in front of him also wearing gloves.</t>
  </si>
  <si>
    <t>The two continue to go at it and leave with the man standing up.</t>
  </si>
  <si>
    <t>v_jRj8deMhPrQ</t>
  </si>
  <si>
    <t>A man in a black jacket is standing outside talking.</t>
  </si>
  <si>
    <t>People are skating on an ice rink.</t>
  </si>
  <si>
    <t>A man in a red hat is playing hockey and makes several goals.</t>
  </si>
  <si>
    <t>v_D_xht_r3n54</t>
  </si>
  <si>
    <t>An older man is shown cleaning off a car in front of a home with a snow scraper.</t>
  </si>
  <si>
    <t>The camera pans around the car while the older man continues to push snow off of it.</t>
  </si>
  <si>
    <t>v_mL7Ipu-HJ5M</t>
  </si>
  <si>
    <t>A woman is in a kitchen making a tomato sauce in the kitchen.</t>
  </si>
  <si>
    <t>The woman is showing the camera her plated food.</t>
  </si>
  <si>
    <t>The woman then grabs a green and a box of pasta.</t>
  </si>
  <si>
    <t>The lady then begins to stir the tomato sauce and puts greens into it.</t>
  </si>
  <si>
    <t>Lastly, the lady pours the pasta into the sauce.</t>
  </si>
  <si>
    <t>v_rFXOInUQjKo</t>
  </si>
  <si>
    <t>A window cleaner in sneakers and a beanie is hanging up and cleaning a window with a towel, with other cleaners behind him hard at work.</t>
  </si>
  <si>
    <t>He lowers himself down to another section of the window and wipes it with a blade.</t>
  </si>
  <si>
    <t>The camera person pans around the environment.</t>
  </si>
  <si>
    <t>v_wibcfckhRyU</t>
  </si>
  <si>
    <t>We see small boys playing tug of war in a field.</t>
  </si>
  <si>
    <t>A man in black walks past the kids.</t>
  </si>
  <si>
    <t>The kid in the white shirt lets go of the rope and puts his hands in the air.</t>
  </si>
  <si>
    <t>A lady walks up and talks to the kids.</t>
  </si>
  <si>
    <t>v_VTtRk9vvZoY</t>
  </si>
  <si>
    <t>A stack of sticks are shown in a pile followed by a person speaking and holding up an object.</t>
  </si>
  <si>
    <t>A person's hands are then seen lighting a match into the pile and creating a fire when he shows his face once more in the end.</t>
  </si>
  <si>
    <t>v_htfrXrKUIzg</t>
  </si>
  <si>
    <t>A man is seen standing behind a large animal holding a razor and speaking to the camera.</t>
  </si>
  <si>
    <t>The man then shaves all around the dog while stopping to speak to the camera and pet the dog.</t>
  </si>
  <si>
    <t>v_9khzc3a4zz0</t>
  </si>
  <si>
    <t>A woman is doing tricks with her jump rope.</t>
  </si>
  <si>
    <t>She does a hand stand while jump roping.</t>
  </si>
  <si>
    <t>She does a front flip while jump roping.</t>
  </si>
  <si>
    <t>She stops and walks forward.</t>
  </si>
  <si>
    <t>v_vnlxIMiHKRQ</t>
  </si>
  <si>
    <t>People are loading inflated tires into the body of water.</t>
  </si>
  <si>
    <t>People are floating on inflated tires.</t>
  </si>
  <si>
    <t>People are spraying elongated water guns.</t>
  </si>
  <si>
    <t>People are paddling canoes down the body of water.</t>
  </si>
  <si>
    <t>A guy present his can of beer.</t>
  </si>
  <si>
    <t>The speed of the video is accelerated.</t>
  </si>
  <si>
    <t>v_YDwHdB6MBrE</t>
  </si>
  <si>
    <t>Kids are playing lacrosse on a field.</t>
  </si>
  <si>
    <t>A woman in a blue jacket is standing on the field watching them.</t>
  </si>
  <si>
    <t>The kids are chasing around a yellow ball.</t>
  </si>
  <si>
    <t>v_EpLRCz5dwb0</t>
  </si>
  <si>
    <t>A woman starts running down a track.</t>
  </si>
  <si>
    <t>She throws a javelin onto the field.</t>
  </si>
  <si>
    <t>She gives someone behind her a high five.</t>
  </si>
  <si>
    <t>v_Rx9SIyFMfcY</t>
  </si>
  <si>
    <t>These people are shown exercising on the exercise bikes.</t>
  </si>
  <si>
    <t>These people are pedaling using only one leg and they're standing in the middle of the bike with the other one holding their hands up.</t>
  </si>
  <si>
    <t>Next they do a different exercise where they put one foot on the pedal, while they have one foot out and they bounce up and down.</t>
  </si>
  <si>
    <t>v_V-kMGMX-l2g</t>
  </si>
  <si>
    <t>A woman stands on front a young lady and talks.</t>
  </si>
  <si>
    <t>Then, the woman and the young lady perform fitness exercise while the woman talks.</t>
  </si>
  <si>
    <t>After, the woman and the young lady stop exercising, and the woman talks while making gestures with her hands.</t>
  </si>
  <si>
    <t>v_LVG7DLzI-GM</t>
  </si>
  <si>
    <t>A lady that works at a casino shows you how to play black jack.</t>
  </si>
  <si>
    <t>the lady deals out two card each 5 times and deals her self one card.</t>
  </si>
  <si>
    <t>the lady then explains what you are allowed to do with the cards that you where dealt with,she also deals out two more cards one each deck.</t>
  </si>
  <si>
    <t>finally she deals out two more cards to her self and shows the outcome from adding chips to the areas she dealt the card from the start.</t>
  </si>
  <si>
    <t>the lady then scoops up all the cards on the table and the round is over.</t>
  </si>
  <si>
    <t>v_oq54_GlzK6A</t>
  </si>
  <si>
    <t>The first clip of the video shows the title sequence.</t>
  </si>
  <si>
    <t>A man is then shown in a bowling store speaking to the camera.</t>
  </si>
  <si>
    <t>Another title slide introduces the next clip.</t>
  </si>
  <si>
    <t>As the man speaks to the camera, several clips are shown of a man rolling a bowling ball down the lane.</t>
  </si>
  <si>
    <t>The video ends with a clip showing the title logo and website information.</t>
  </si>
  <si>
    <t>v_M-PQajs86Bo</t>
  </si>
  <si>
    <t>A man pushes a child on the swing set of a large park area.</t>
  </si>
  <si>
    <t>The man holds the swing and brings the child to a stop.</t>
  </si>
  <si>
    <t>The man pushes the swing to get the child started again.</t>
  </si>
  <si>
    <t>v_MZ4yIxM6snw</t>
  </si>
  <si>
    <t>A man in a yellow construction top is inside painting the wall beige.</t>
  </si>
  <si>
    <t>He goes from the bottom up and grabs more paint on his tool.</t>
  </si>
  <si>
    <t>He is making progress across the wall pretty quickly the way he is doing it.</t>
  </si>
  <si>
    <t>He makes it half way across the wall but the bottom of the wall is still white.</t>
  </si>
  <si>
    <t>v_QvBG_Da97h8</t>
  </si>
  <si>
    <t>A graphic introduces the hand car wash video.</t>
  </si>
  <si>
    <t>The car is washed first gently with soap.</t>
  </si>
  <si>
    <t>Next, the tires are soaped and washed thoroughly.</t>
  </si>
  <si>
    <t>After that, the car's engine is steam cleaned.</t>
  </si>
  <si>
    <t>A final spot free rinse is applied and the car is dried.</t>
  </si>
  <si>
    <t>v_46D3Yvu-BL8</t>
  </si>
  <si>
    <t>A man is seen standing inside a large room and begins hitting a ball against a wall with a tennis racket.</t>
  </si>
  <si>
    <t>More shots of him hitting the ball are shown in the room and the ball rolls back to him in the end.</t>
  </si>
  <si>
    <t>v_NVeTGvwk8y0</t>
  </si>
  <si>
    <t>A glass of tequila sunrise is shown.</t>
  </si>
  <si>
    <t>A man is talking in front of a display of alcoholic drinks.</t>
  </si>
  <si>
    <t>He places the ingredients of alcohol and juice on a table, added the ingredients, as well as grenadine to a tall glass with ice.</t>
  </si>
  <si>
    <t>He displays the beautiful drink on the table.</t>
  </si>
  <si>
    <t>v_2vOBrR0jKgY</t>
  </si>
  <si>
    <t>A boy is talking in front of a camera in his room.</t>
  </si>
  <si>
    <t>He smokes a cigarette, then blows the smoke from his mouth.</t>
  </si>
  <si>
    <t>He begins making rings as he blows the smoke.</t>
  </si>
  <si>
    <t>v_yjUMopRteDc</t>
  </si>
  <si>
    <t>A woman is seated as a person with gloved hands inserts a hole into her tongue.</t>
  </si>
  <si>
    <t>The person clamps her tongue, then inserts a piercing.</t>
  </si>
  <si>
    <t>She is then shown smiling and showing off her stud.</t>
  </si>
  <si>
    <t>v_NQ51aXtD6Q0</t>
  </si>
  <si>
    <t>Several wrestlers are shown lined up in a game with a person choosing his characters.</t>
  </si>
  <si>
    <t>The game loads into people wrestling with one another in a ring.</t>
  </si>
  <si>
    <t>The men continue wrestling in the game and end by looking down at a player.</t>
  </si>
  <si>
    <t>v_EZZMYzY6Pug</t>
  </si>
  <si>
    <t>There's a man demonstrating how to melt wax and coat surfaces with wax using an iron.</t>
  </si>
  <si>
    <t>He melts a piece of wax against the heated surface of the iron.</t>
  </si>
  <si>
    <t>Then he smears the wax and coats on a surface.</t>
  </si>
  <si>
    <t>After the wax cools and solidifies, he scrapes it off the surface.</t>
  </si>
  <si>
    <t>v_IJER0EpbxW4</t>
  </si>
  <si>
    <t>A group of men are running across a gym.</t>
  </si>
  <si>
    <t>They run out into a ring together.</t>
  </si>
  <si>
    <t>They then engage in a wrestling match.</t>
  </si>
  <si>
    <t>v_RQajzyqAcQM</t>
  </si>
  <si>
    <t>A boy talks to the camera at a beach.</t>
  </si>
  <si>
    <t>A man walks from right to left in the background.</t>
  </si>
  <si>
    <t>The boy interacts with a man in front of a sand castle.</t>
  </si>
  <si>
    <t>A woman walks from right to left in the background.</t>
  </si>
  <si>
    <t>Several still images of the boy and the man, sometimes with other people, are shown in front of he sand castle at various stages of completion.</t>
  </si>
  <si>
    <t>The boy, now with two smaller children, interact with the man who is still working on the sand castle.</t>
  </si>
  <si>
    <t>More still images of various groups of people beside the sand castle are shown.</t>
  </si>
  <si>
    <t>v_TUhitcbJ5C4</t>
  </si>
  <si>
    <t>We see kids washing their hands in a class room at kid height sinks.</t>
  </si>
  <si>
    <t>We watch the boy try and get soap.</t>
  </si>
  <si>
    <t>The boy uses the soap dispenser again.</t>
  </si>
  <si>
    <t>The boy looks at the camera and talks.</t>
  </si>
  <si>
    <t>An adult grabs his hand when he attempts to get more soap.</t>
  </si>
  <si>
    <t>v_ZPLbrQ391jg</t>
  </si>
  <si>
    <t>An intro leads into several shots of a bike track as well as people moving along the track to race.</t>
  </si>
  <si>
    <t>The camera continues to capture the people riding around the track in slow motion with one person falling and several watching on the sides.</t>
  </si>
  <si>
    <t>The people then ride through the finish line an throw their arms up into the air.</t>
  </si>
  <si>
    <t>v_sFMa1EP7d2M</t>
  </si>
  <si>
    <t>A bicycle flipped upside down is up against the wall as an orange change is shown.</t>
  </si>
  <si>
    <t>A person then comes and removes the chain from the bike and places it on the ground.</t>
  </si>
  <si>
    <t>The man then takes out a yardstick and begins to measure certain parts of the bike.</t>
  </si>
  <si>
    <t>Pieces are then removed and tightened with the wrench and rings are placed inside by where the chain goes.</t>
  </si>
  <si>
    <t>v_uO9qoK8zGQc</t>
  </si>
  <si>
    <t>A man is doing Tai Chi moves on a beach alone in front of the sun.</t>
  </si>
  <si>
    <t>A group of people all dressed in white joins the man on the beach and does the martial arts moves.</t>
  </si>
  <si>
    <t>The man is alone again doing the moves.</t>
  </si>
  <si>
    <t>The people are with the man doing Tai Chi back on the beach.</t>
  </si>
  <si>
    <t>The man is alone on a hill doing the moves.</t>
  </si>
  <si>
    <t>The man is back on the beach doing the moves as the sun begins to set.</t>
  </si>
  <si>
    <t>The people are doing the moves with him on the beach.</t>
  </si>
  <si>
    <t>Words come across the screen.</t>
  </si>
  <si>
    <t>v_iF9jetQ7OTE</t>
  </si>
  <si>
    <t>A boy in a hat is talking.</t>
  </si>
  <si>
    <t>He smokes something and blows the smoke into the air.</t>
  </si>
  <si>
    <t>He continues talking to the camera.</t>
  </si>
  <si>
    <t>He smokes from the pipe again and blows the smoke out a few more times.</t>
  </si>
  <si>
    <t>v_XPcBV3UatRI</t>
  </si>
  <si>
    <t>A toddler iron a garment on a toy board.</t>
  </si>
  <si>
    <t>The toddler sprays the garment and folds, then she continues ironing it.</t>
  </si>
  <si>
    <t>Then, the toddler fold again the garment and iron it.</t>
  </si>
  <si>
    <t>v_Igm1Mx4Ng1k</t>
  </si>
  <si>
    <t>A person is seen wearing gear and wandering around a grassy area.</t>
  </si>
  <si>
    <t>The man uses a tool to cut along the grass.</t>
  </si>
  <si>
    <t>He continues moving along the grass and showing off the tool in the end.</t>
  </si>
  <si>
    <t>v_s5oN3d77e50</t>
  </si>
  <si>
    <t>A person is riding a dirt bike over a hill.</t>
  </si>
  <si>
    <t>Someone stands on top of a dirt hill.</t>
  </si>
  <si>
    <t>People are standing on the side of the hill.</t>
  </si>
  <si>
    <t>v_ZbS9R9faBQk</t>
  </si>
  <si>
    <t>A man is stirring a pot on a stove.</t>
  </si>
  <si>
    <t>A plate is brought over to the stove.</t>
  </si>
  <si>
    <t>He dishes out what was in the pan onto the plate.</t>
  </si>
  <si>
    <t>v_njPRhj-YgE0</t>
  </si>
  <si>
    <t>Many different women wearing many different shoes are walking a dog on the sidewalk, one wearing wedges walks up some stairs.</t>
  </si>
  <si>
    <t>A man begins to talk about what seems like a dog stylist parlor.</t>
  </si>
  <si>
    <t>There are many dogs being groomed and getting cute fancy hair cuts.</t>
  </si>
  <si>
    <t>One of them is wagging it's tails very excited enjoying the situation.</t>
  </si>
  <si>
    <t>v_NhM6jEV08s4</t>
  </si>
  <si>
    <t>Outside a lumbar jack is standing with an axe, he is dressed up in a coat to stay warm.</t>
  </si>
  <si>
    <t>There are plenty of logs piled up to the side of him.</t>
  </si>
  <si>
    <t>All cut and collected most likely by him for fires to keep the house warm during winter nights.</t>
  </si>
  <si>
    <t>He takes his axe and hits the branch with it.</t>
  </si>
  <si>
    <t>v_KnHUAc20WEU</t>
  </si>
  <si>
    <t>A large arena is shown with a large screen showing the athletes in the field.</t>
  </si>
  <si>
    <t>A man is then shown in a cage spinning around throwing a shot put that people begin to measure.</t>
  </si>
  <si>
    <t>Another man approaches the circle,repeats the action and begins to jump up in glee.</t>
  </si>
  <si>
    <t>More men approach the stand and it continues on until they have completed each of their turns then they turn to the audience and wave.</t>
  </si>
  <si>
    <t>v_wCG7f6naJsQ</t>
  </si>
  <si>
    <t>There's a man working a bicycle wheel with various tools.</t>
  </si>
  <si>
    <t>He starts off by turning the axle of the wheel with a pair of tongs to position the axle in the center.</t>
  </si>
  <si>
    <t>Then he fixes the center nut and uses a wrench to loosen it.</t>
  </si>
  <si>
    <t>Then he uses his hands to remove the axle out.</t>
  </si>
  <si>
    <t>He uses another tool to unscrew a washer out of the axle.</t>
  </si>
  <si>
    <t>Then he uses a tool with a magnetic end to remove tiny metal particles out of the axle.</t>
  </si>
  <si>
    <t>After that he cleans the inside rim of the greasy axle with his finger.</t>
  </si>
  <si>
    <t>Then he takes the washer and cleans it further to fix it back into the axle.</t>
  </si>
  <si>
    <t>v__hzMRy2_q4g</t>
  </si>
  <si>
    <t>A close up of fruit is seen sitting on a plate when a person's hand places them into a container.</t>
  </si>
  <si>
    <t>The person then pushes the fruit around the bowl with a spoon over and over again.</t>
  </si>
  <si>
    <t>The person drops the spoon in the mixture and ends with text across the screen.</t>
  </si>
  <si>
    <t>v_sHxzQu_4edY</t>
  </si>
  <si>
    <t>A woman is shown in a yard, talking to the camera.</t>
  </si>
  <si>
    <t>She is then on horseback, and a woman is shown in several scenes talking about technique.</t>
  </si>
  <si>
    <t>The girl rides the horse alone, then with other people down trails.</t>
  </si>
  <si>
    <t>v_MOOeHWuuxlo</t>
  </si>
  <si>
    <t>There's a man in a gym using an elliptical machine.</t>
  </si>
  <si>
    <t>He is wearing a pair of black track pants, black shirt and a cap.</t>
  </si>
  <si>
    <t>He demonstrates how to use the elliptical correctly to maintain a consistent speed.</t>
  </si>
  <si>
    <t>v_xW1M8k9A-gk</t>
  </si>
  <si>
    <t>A spoon is seen spinning around various foods and liquids and leads into a hand cutting up vegetables on a cutting board.</t>
  </si>
  <si>
    <t>A baby is seen watching from behind and the camera zooms in on various websites and foods present.</t>
  </si>
  <si>
    <t>Pasta is seen sitting in a pot and the person uses a spoon to spin it around.</t>
  </si>
  <si>
    <t>They pour ingredients into a pot to bowl and add more vegetables, ending with all the ingredients put together on a plate to present.</t>
  </si>
  <si>
    <t>v_RgaFRpTYYR4</t>
  </si>
  <si>
    <t>A close up of a man is seen holding an accordion and sitting in front of a camera.</t>
  </si>
  <si>
    <t>The man begins playing the instrument while looking to the camera.</t>
  </si>
  <si>
    <t>He pauses to speak for a moment then continues on playing.</t>
  </si>
  <si>
    <t>v_oOu5vC3EB5E</t>
  </si>
  <si>
    <t>A man wearing a yellow shirt and a man wearing a black shirt play racket ball.</t>
  </si>
  <si>
    <t>The man in black serves the ball.</t>
  </si>
  <si>
    <t>The man in yellow serves the ball.</t>
  </si>
  <si>
    <t>The man in yellow serves the ball again.</t>
  </si>
  <si>
    <t>The man in yellow plays alone while the man in black stands by.</t>
  </si>
  <si>
    <t>A hand covers the camera lens.</t>
  </si>
  <si>
    <t>v_8J_bB1vI0uE</t>
  </si>
  <si>
    <t>A man stands atop a rock formation.</t>
  </si>
  <si>
    <t>Several scenes of individuals rock climbing are shown from various angles and settings, interspersed with brief closeup shots of the climbers.</t>
  </si>
  <si>
    <t>Several credits are shown on a black screen.</t>
  </si>
  <si>
    <t>v_j_e8c6tOQG8</t>
  </si>
  <si>
    <t>Water is rushing between rocks in a river.</t>
  </si>
  <si>
    <t>Rafters appear, paddling through the rushing currents.</t>
  </si>
  <si>
    <t>The rafter continues as he navigates the river.</t>
  </si>
  <si>
    <t>v_e1TfVkNgitY</t>
  </si>
  <si>
    <t>A blue logo appears across the screen with white words in it.</t>
  </si>
  <si>
    <t>A young male gymnast is then shown in a room in front of a balance beam.</t>
  </si>
  <si>
    <t>The gymnast then begins using his hands to describe the motions he is about to do.</t>
  </si>
  <si>
    <t>After,the male grabs the two bars and pulls himself up and holds his body up before going into a hand stand,he comes down,and does another one.</t>
  </si>
  <si>
    <t>The gymnast does several more tricks and then does a flip off of the bars.</t>
  </si>
  <si>
    <t>v_7Ql7Hw6c1-o</t>
  </si>
  <si>
    <t>A woman dressed in a blue shirt and black apron begins talking behind the table.</t>
  </si>
  <si>
    <t>On the table,she has five different kinds of paint, brushes and other supplies needed to complete the task.</t>
  </si>
  <si>
    <t>She then begins talking as she leans on a wooden table stand next to her.</t>
  </si>
  <si>
    <t>The lady begins by taking a screwdriver and removing the knob from the drawer and wiping it down with a wet cloth.</t>
  </si>
  <si>
    <t>Next comes the brown paint as she begins putting various strokes on it to finish it.</t>
  </si>
  <si>
    <t>The stand is done but then goes back and starts add a finish on it.</t>
  </si>
  <si>
    <t>v_ImXRDdhcCgs</t>
  </si>
  <si>
    <t>We see logs in a pile in the woods.</t>
  </si>
  <si>
    <t>A man in a cowboy hat walks up and grabs an ax.</t>
  </si>
  <si>
    <t>The man then goes around hitting the logs with the ax and splitting them in two hits.</t>
  </si>
  <si>
    <t>The man drops the ax and turns off the camera.</t>
  </si>
  <si>
    <t>v_2gc7pCOg-NE</t>
  </si>
  <si>
    <t>A person is walking around a tennis court.</t>
  </si>
  <si>
    <t>Another man appears swinging around a tennis racket.</t>
  </si>
  <si>
    <t>He bounces a tennis ball on the floor while the other man walks into frame.</t>
  </si>
  <si>
    <t>They talk for a bit while walking around and preparing to play.</t>
  </si>
  <si>
    <t>The man run back and fourth and hit the ball off the wall to each other.</t>
  </si>
  <si>
    <t>v_ILARi15rMWI</t>
  </si>
  <si>
    <t>There's a man on stilts jumping and doing stunts in an indoor gym.</t>
  </si>
  <si>
    <t>There are several spectators and judges watching him perform.</t>
  </si>
  <si>
    <t>After the man finishes his stunts, he gets off the stilts and the judges write down the scores.</t>
  </si>
  <si>
    <t>v_RgWvaKWa7YU</t>
  </si>
  <si>
    <t>A band plays drums in a circle around a lead drummer.</t>
  </si>
  <si>
    <t>The female drummers spinner their sticks while playing.</t>
  </si>
  <si>
    <t>The drummers hold up their sticks after completing the song.</t>
  </si>
  <si>
    <t>v_axoyB4pypWY</t>
  </si>
  <si>
    <t>A couple of cages are on the ground.</t>
  </si>
  <si>
    <t>There are dogs sleeping in each cage.</t>
  </si>
  <si>
    <t>A man is shown on a field performing tricks with a dog and a bunch of frisbees.</t>
  </si>
  <si>
    <t>The dog catches, flips, and chases the frisbees.</t>
  </si>
  <si>
    <t>v_N1-TZnH0jy4</t>
  </si>
  <si>
    <t>There's a little baby wearing a purple bib seated on a high chair holding and sucking on a Popsicle.</t>
  </si>
  <si>
    <t>The baby licks the Popsicle several times and then throws it down.</t>
  </si>
  <si>
    <t>v_xx5TLuZmjcE</t>
  </si>
  <si>
    <t>woman wearing black clothes is playing squash in a small wooden room.</t>
  </si>
  <si>
    <t>man with a stripped shirt is standing in a court room playing squash.</t>
  </si>
  <si>
    <t>a man and a woman are standing ni a wooden court playing squash.</t>
  </si>
  <si>
    <t>v_CwvtmoTWNgQ</t>
  </si>
  <si>
    <t>A windsurfer rides along choppy water across a canal with other riders in the background.</t>
  </si>
  <si>
    <t>The makes a turn of direction on his windsurfing board and pumps back and forth to maneuver it.</t>
  </si>
  <si>
    <t>A group of windsurfers ride together around a small dingy boat.</t>
  </si>
  <si>
    <t>v_gwbRqyRZguM</t>
  </si>
  <si>
    <t>A group of children are swinging together on a piece of equipment.</t>
  </si>
  <si>
    <t>They are shown in groups, swinging back and forth on the platform.</t>
  </si>
  <si>
    <t>They are located in an outdoor park.</t>
  </si>
  <si>
    <t>v_oOURAJ7nraU</t>
  </si>
  <si>
    <t>A male athlete is standing outside on a field stretching preparing himself to run.</t>
  </si>
  <si>
    <t>After he is ready,the man takes off running and does several long jumps into the pit.</t>
  </si>
  <si>
    <t>As he ends his last jump,two people come to the pit and start to measure the distance.</t>
  </si>
  <si>
    <t>v_Mv2L6HxB2dk</t>
  </si>
  <si>
    <t>There are several people skating on the main road in the downtown area of a city at night.</t>
  </si>
  <si>
    <t>The street is lit up with street lights and stores along the sidewalk.</t>
  </si>
  <si>
    <t>The people skate through the road where there are no cars driving.</t>
  </si>
  <si>
    <t>v_BJGACTBaU_Y</t>
  </si>
  <si>
    <t>A man is seen walking closer to a pinata while a large group of people stand around him.</t>
  </si>
  <si>
    <t>The man misses the pinata and hits a person behind him, shown again in slow motion.</t>
  </si>
  <si>
    <t>v_ZOczr9WCVig</t>
  </si>
  <si>
    <t>There are many different tiles being shown and there is wooden floors being shown.</t>
  </si>
  <si>
    <t>First the man removes the baseboard, then he gets a drill and puts screws in the floor.</t>
  </si>
  <si>
    <t>Then he draws lines to put tiles on the floor.</t>
  </si>
  <si>
    <t>I then see him with a machine that cuts tiles in half and he puts half of a tile on the floor.</t>
  </si>
  <si>
    <t>Then he smears cement onto the floor and lies the tiles on top of it.</t>
  </si>
  <si>
    <t>He hammers the tiles a little to make them lie flat.</t>
  </si>
  <si>
    <t>Then floor is now finished and he wipes the tiles off making them shiny.</t>
  </si>
  <si>
    <t>v_ZnoSOqba2HM</t>
  </si>
  <si>
    <t>A baby is standing on the carpet.</t>
  </si>
  <si>
    <t>A person brushes the child's teeth with a blue toothbrush.</t>
  </si>
  <si>
    <t>The child reaches for the camera.</t>
  </si>
  <si>
    <t>v_q4M7SsGjFro</t>
  </si>
  <si>
    <t>We see a girl performing with batons.</t>
  </si>
  <si>
    <t>The girl throws her leg in the air and spins.</t>
  </si>
  <si>
    <t>The girl does a cartwheel.</t>
  </si>
  <si>
    <t>The girl kneels down and picks up a baton.</t>
  </si>
  <si>
    <t>The girls finishes and throws her arms in the air.</t>
  </si>
  <si>
    <t>The girl walks over and hugs her dad.</t>
  </si>
  <si>
    <t>v_um2h6O3zjGM</t>
  </si>
  <si>
    <t>A man is watching a game eating an ice cream cone.</t>
  </si>
  <si>
    <t>People are sitting behind a desk laughing.</t>
  </si>
  <si>
    <t>v_lGPUCwHjiK0</t>
  </si>
  <si>
    <t>A man is preparing to run and jump.</t>
  </si>
  <si>
    <t>He runs very quickly down the track.</t>
  </si>
  <si>
    <t>He takes a flying jump over the high bar onto a mat.</t>
  </si>
  <si>
    <t>v_-qtdjw3MYcY</t>
  </si>
  <si>
    <t>A girl is sitting down in a chair.</t>
  </si>
  <si>
    <t>Another person is standing behind her.</t>
  </si>
  <si>
    <t>The woman behind her begins braiding her hair.</t>
  </si>
  <si>
    <t>v_Pd9qzQ2MOE8</t>
  </si>
  <si>
    <t>Two men are seen kneeling and sitting before a wall with one speaking to the camera and beginning to lay metal down on the side.</t>
  </si>
  <si>
    <t>The two line it up as well as drill the metal into place while continuing to drill down more while the man speaks to the camera and shows more shots of his crew working in the end.</t>
  </si>
  <si>
    <t>v_2jpnkf-xgf0</t>
  </si>
  <si>
    <t>A woman bakes cookies on a silicone mat.</t>
  </si>
  <si>
    <t>The ingredients are prepared and cookies are cut.</t>
  </si>
  <si>
    <t>v_KmJFUfqGKZA</t>
  </si>
  <si>
    <t>An underwater coral reef is shown.</t>
  </si>
  <si>
    <t>The scuba diver rides a horse and then looks at rays.</t>
  </si>
  <si>
    <t>v_dffUIntKlGI</t>
  </si>
  <si>
    <t>A young child is seen running up and down a bricked area while standing in front of a hop scotch game drawn out.</t>
  </si>
  <si>
    <t>The girl then hops along the chalk while looking at the camera and holding her hair out of her face.</t>
  </si>
  <si>
    <t>In the end she gives the person holding the camera a high give.</t>
  </si>
  <si>
    <t>v_c9A384zijnk</t>
  </si>
  <si>
    <t>Various clips are shown of food close up as well as people speaking to the camera.</t>
  </si>
  <si>
    <t>Shots are shown of the outside of a restaurant as well as chefs cooking the food and people eating the food.</t>
  </si>
  <si>
    <t>v_8Tyu4-JnfDc</t>
  </si>
  <si>
    <t>A white screen appears with a green logo and green and gray words appear and it says "howdini get yourself a guru".</t>
  </si>
  <si>
    <t>A brunette woman standing in a kitchen is talking and the words on the screen say "Howdini Guru Cricket Azima Chef and Author", then a green screen appears quickly and it say's "Cookie Exchange Recipes", and goes back to the woman talking.</t>
  </si>
  <si>
    <t>Cookies on a plate are shown and the words on the screen say they are "Peanut Butter Blossoms", and begins to show the woman pouring all the ingredients into a bowl to make them, rolling them in sugar, putting them on a tray for baking, and then showing the final product when they're done baking and the website to go to to see the full recipe.</t>
  </si>
  <si>
    <t>The woman is talking again and the next cookie she is shown making is called "cookie snowballs" and it shows all the ingredients needed, a list on how long to cook it for, and she's demonstrating step by step until it's all baked and on a plate next to the other cookies.</t>
  </si>
  <si>
    <t>The video ends with more pictures of other cookies she wasn't shown making, then to a green screen that has white words that include a message to go to their website if you want to see more videos of their cookie recipes.</t>
  </si>
  <si>
    <t>v_F_uouNToDWo</t>
  </si>
  <si>
    <t>A lady on a rowing machine in a gym sits still.</t>
  </si>
  <si>
    <t>The lady leans forward and works out slowly on the machine.</t>
  </si>
  <si>
    <t>The lady starts to row a little faster and the screen fades to black.</t>
  </si>
  <si>
    <t>v_D4zZErqkD6A</t>
  </si>
  <si>
    <t>Two dancers are seen holding a pose in the middle of a large gymnasium and begin performing a routine using batons.</t>
  </si>
  <si>
    <t>The girls continue dancing and spinning around with the sticks and end by holding a pose.</t>
  </si>
  <si>
    <t>v_Th0SMArnWiY</t>
  </si>
  <si>
    <t>We see BMX racers on the field and in various locations and riding their bikes.</t>
  </si>
  <si>
    <t>Two men fall off their bikes.</t>
  </si>
  <si>
    <t>We see the races start high on a platform.</t>
  </si>
  <si>
    <t>A man holds a surfboard and a man carries a bike up steps.</t>
  </si>
  <si>
    <t>We see a laughing man holding a surfboard.</t>
  </si>
  <si>
    <t>A lady throws a hand sign to the camera.</t>
  </si>
  <si>
    <t>We see aerial shots of the fields.</t>
  </si>
  <si>
    <t>A man takes a photo and a man holds a New Zeland flag.</t>
  </si>
  <si>
    <t>A man fall off his bike hard.</t>
  </si>
  <si>
    <t>The video fades to black.</t>
  </si>
  <si>
    <t>v_YCrSiqY-TVw</t>
  </si>
  <si>
    <t>Various clips are shown of the inside and outside of an arena as well as the camera panning out from the ice and two people speaking to one another.</t>
  </si>
  <si>
    <t>Several shots are then shown of people curling and close ups of the pucks.</t>
  </si>
  <si>
    <t>More clips are shown of people playing the game as well as team mates watching.</t>
  </si>
  <si>
    <t>v_MldEr60j33M</t>
  </si>
  <si>
    <t>A man in a white shirt bends over and picks up a large weight.</t>
  </si>
  <si>
    <t>He lifts the weight up to his shoulders.</t>
  </si>
  <si>
    <t>He bends down and lifts the weight over his head.</t>
  </si>
  <si>
    <t>v_LtQTtCplKz0</t>
  </si>
  <si>
    <t>A man by the name of ALEX AL-AMEEN is smiling and talking and the words below his name say that he has been "SELECTED FOR COMMONWEALTH GAMES 2014 110 METRE HURDLES".</t>
  </si>
  <si>
    <t>A man is then shown on the track sitting on the ground prepping his feet for his shoes as he wraps tape around his foot.</t>
  </si>
  <si>
    <t>Three men are now walking to a track where various people are running and taking turns doing hop, skip and jumps.</t>
  </si>
  <si>
    <t>A man briefly stops and talks to the camera while he appears a little out of breath.</t>
  </si>
  <si>
    <t>Another man is now kneeling and applying tape next to the sandy area of the jump while he talks.</t>
  </si>
  <si>
    <t>The man is now standing at a bar bell with very heavy weights and he slowly starts to lift it, then drops it.</t>
  </si>
  <si>
    <t>A woman is now holding dumbbells while she steps on some stairs, and the man is show again but this time he's pulling on an exercise equipment.</t>
  </si>
  <si>
    <t>The white outro screen appears with their logo and the words saying to subscribe to their youtube channel.</t>
  </si>
  <si>
    <t>v_eudqfH7Vz_c</t>
  </si>
  <si>
    <t>Three boys play a game of croquet on a large green lawn with croquet mallets and croquet balls.</t>
  </si>
  <si>
    <t>The boy sit on a bench outside with a bag of croquet mallets and balls and talk to each other.</t>
  </si>
  <si>
    <t>The boys then enter the field and hurt themselves trying to untangle the croquet tools.</t>
  </si>
  <si>
    <t>The boys then start to play, talking to each other through it and end up chasing each other through the field and tackling each other on the ground.</t>
  </si>
  <si>
    <t>The boys finally look at a cell phone together from the field and then layer their croquet mallets on top of one another in a seeming attempt to get the balls through the croquet goal by guiding them through the holes in the layered mallets.</t>
  </si>
  <si>
    <t>v_yOFIXQCbSqc</t>
  </si>
  <si>
    <t>A large group of people are seen swimming around a pool with a man talking on the side.</t>
  </si>
  <si>
    <t>The group begin throwing the ball around while swimming around each other.</t>
  </si>
  <si>
    <t>The group continues swimming and playing ball with each other.</t>
  </si>
  <si>
    <t>v_jqRJM8b4pgE</t>
  </si>
  <si>
    <t>A man is sitting at a booth surrounded by pipes, talking and gesturing.</t>
  </si>
  <si>
    <t>The man holds up one end of the pipe.</t>
  </si>
  <si>
    <t>The man demonstrates how to smoke using the pipe, as he blows ringed smoke out of his mouth.</t>
  </si>
  <si>
    <t>He continues to talk and gesture.</t>
  </si>
  <si>
    <t>v_hg-wVv7XSFo</t>
  </si>
  <si>
    <t>picture of supplies that are needed to do hairstyle .</t>
  </si>
  <si>
    <t>Separate hair into two parts down the middle.</t>
  </si>
  <si>
    <t>French braiding hair from left to right all the way to the end.</t>
  </si>
  <si>
    <t>French braiding hair from the back going right to left all the way to the end.</t>
  </si>
  <si>
    <t>Connect the braids together using a bobby pin.</t>
  </si>
  <si>
    <t>Separate the braids all over to make braids look fuller to form a crown.</t>
  </si>
  <si>
    <t>v_DF9CGVGiKXY</t>
  </si>
  <si>
    <t>Five people are jump roping on a blue mat.</t>
  </si>
  <si>
    <t>They do flips and tricks while jump roping.</t>
  </si>
  <si>
    <t>They finish and hug each other before walking off.</t>
  </si>
  <si>
    <t>v_1fmaEo3wzxg</t>
  </si>
  <si>
    <t>A lady sits in a tattoo chair talking.</t>
  </si>
  <si>
    <t>The lady has a tattoo added to her back.</t>
  </si>
  <si>
    <t>The other lady sits in the chair.</t>
  </si>
  <si>
    <t>The second lady is being tattooed.</t>
  </si>
  <si>
    <t>We see the finished tattoos.</t>
  </si>
  <si>
    <t>v_pQQb2FP1ewE</t>
  </si>
  <si>
    <t>Two men push a small private helicopter out of its shed.</t>
  </si>
  <si>
    <t>They land on a beach, then fly it over the clear ocean water.</t>
  </si>
  <si>
    <t>They skydive, opening their parachutes as they get closer to the water.</t>
  </si>
  <si>
    <t>They then scuba dive to the bottom and put on scuba gear to explore the ocean floor.</t>
  </si>
  <si>
    <t>v_lKCDcLEby-Y</t>
  </si>
  <si>
    <t>A large group of people are seen standing around an area and lead into people playing tug of war.</t>
  </si>
  <si>
    <t>People in costume cheer them on as they continue to play as well as showing people dancing in the city.</t>
  </si>
  <si>
    <t>More pictures are shown of the event as well as people speaking to one another.</t>
  </si>
  <si>
    <t>v_6VD_qwIgTzU</t>
  </si>
  <si>
    <t>A tattoo artist is seen tattooing a girls foot and leads into a man speaking to the camera.</t>
  </si>
  <si>
    <t>The man continues speaking to the camera as well as pointing and looking away.</t>
  </si>
  <si>
    <t>v_vB00ah6E5E4</t>
  </si>
  <si>
    <t>A young boy plays the violin.</t>
  </si>
  <si>
    <t>He stops playing the violin.</t>
  </si>
  <si>
    <t>v_ElXkXNbsZac</t>
  </si>
  <si>
    <t>A man in white apron and pants stands on a ladder holding a pencil and wallpaper.</t>
  </si>
  <si>
    <t>The man applies a strip of wallpaper to a wall and smooths with his hand.</t>
  </si>
  <si>
    <t>The man uses a rag and then a brush to smooth out thee wall paper to the wall surface.</t>
  </si>
  <si>
    <t>The painter uses a spatula and blade to trim a straight line on the wallpapers edge along the ceiling.</t>
  </si>
  <si>
    <t>The man gets down from the ladder and unrolls the wallpaper to the floor.</t>
  </si>
  <si>
    <t>The man continues to smooth out the lower section of the wallpaper with a brush down to the floorboard.</t>
  </si>
  <si>
    <t>The man trims the lower edge of the wall paper with a blade against the floor board.</t>
  </si>
  <si>
    <t>The man trims the corner of the wall paper from the ceiling down the the floor.</t>
  </si>
  <si>
    <t>v_AWAMhmc08Cw</t>
  </si>
  <si>
    <t>Two children are seen sitting in a tub rubbing their faces and another person's hands interacting.</t>
  </si>
  <si>
    <t>The boy continues to rub water all over his face as well as play with toys and smile at the cameraman.</t>
  </si>
  <si>
    <t>v_PpC4kPd5KfA</t>
  </si>
  <si>
    <t>A man walks up to a lane in a bowling alley.</t>
  </si>
  <si>
    <t>He throws the ball and watches it glide down the lane multiple times.</t>
  </si>
  <si>
    <t>It knocks down all but two pins, which he misses the second time.</t>
  </si>
  <si>
    <t>v_8jJdHFW-lys</t>
  </si>
  <si>
    <t>little girl is in stage in a competition and do a jump into a parallel to do gymnastics and somersaults.</t>
  </si>
  <si>
    <t>peolpe is standing behind the stage talking.</t>
  </si>
  <si>
    <t>v_dx5VK79QWlg</t>
  </si>
  <si>
    <t>A woman is knitting in bed.</t>
  </si>
  <si>
    <t>The woman puts her arms down to catch the yarn.</t>
  </si>
  <si>
    <t>The woman shows what she was making.</t>
  </si>
  <si>
    <t>v_AGDsfpZQBIs</t>
  </si>
  <si>
    <t>People are standing on a field of grass.</t>
  </si>
  <si>
    <t>A man holds a ball near his neck and spins around.</t>
  </si>
  <si>
    <t>He throws it onto the field.</t>
  </si>
  <si>
    <t>v_t1MXansbY5s</t>
  </si>
  <si>
    <t>A woman opens a white closet door.</t>
  </si>
  <si>
    <t>She removes some shoes from the closet.</t>
  </si>
  <si>
    <t>She puts on the shoes.</t>
  </si>
  <si>
    <t>She then laces them up.</t>
  </si>
  <si>
    <t>v_X4P9YA6Oabg</t>
  </si>
  <si>
    <t>A young blonde lady is talking to the camera inside her room.</t>
  </si>
  <si>
    <t>She separates her hair into sections.</t>
  </si>
  <si>
    <t>She then shows how to braid the sections and pin it in place.</t>
  </si>
  <si>
    <t>v_NB4IBjUmrcI</t>
  </si>
  <si>
    <t>A man is indoors, wearing boxing gloves.</t>
  </si>
  <si>
    <t>He is kickboxing with a large punching bag, kicking and punching it over and over.</t>
  </si>
  <si>
    <t>v_NzL_uQyQjIw</t>
  </si>
  <si>
    <t>People walk holding surfboards, then they board a boat.</t>
  </si>
  <si>
    <t>A man water ski behind the boat jumping high and spinning.</t>
  </si>
  <si>
    <t>Then, a woman and a man water ski doing acrobatic jumps.</t>
  </si>
  <si>
    <t>A boat sails empty in the river.</t>
  </si>
  <si>
    <t>After, men water ski jumping and turning around.</t>
  </si>
  <si>
    <t>Next, a person surf on the waves created by the boat, after the man water ski jumping and flipping high.</t>
  </si>
  <si>
    <t>v_TYRDXDR5l9U</t>
  </si>
  <si>
    <t>A person is seen standing before a sink with running water and pushing their hands under the water.</t>
  </si>
  <si>
    <t>They then put soap into their hands, scrub for a bit, and then run their hands under the water.</t>
  </si>
  <si>
    <t>Finally she runs her hands under the water and dries her hand off with a paper towel.</t>
  </si>
  <si>
    <t>v_nv22QK8brp4</t>
  </si>
  <si>
    <t>On a river, people gather to watch people on donuts and boats kayaking rough waters.</t>
  </si>
  <si>
    <t>A couple of people on a kayak are flipped over and fall into the river.</t>
  </si>
  <si>
    <t>v_uwxuvGci98g</t>
  </si>
  <si>
    <t>A female with a long blonde pony tale begins running across a large green field throwing a ball.</t>
  </si>
  <si>
    <t>She then continues running across the field and begins looking at the bleachers and anticipating a softball game.</t>
  </si>
  <si>
    <t>As the action continues,she progresses through the bleachers and a url appears on the last screen to watch live cricket games.</t>
  </si>
  <si>
    <t>v_VbzzcpsAPo8</t>
  </si>
  <si>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t>
  </si>
  <si>
    <t>Now there are two men at the end of the table who are both holding paddles and playing against Bruce Lee as they attempt to keep the ball on the table but ultimately fail.</t>
  </si>
  <si>
    <t>A black screen appears with white Asian lettering in the middle, then a website that say's "www lee35 come cn".</t>
  </si>
  <si>
    <t>v_8qIl-0XOguM</t>
  </si>
  <si>
    <t>The camera follows several people on a walkway from a first person perspective.</t>
  </si>
  <si>
    <t>The camera shows sliding down a snowy slope from a first person perspective alongside others.</t>
  </si>
  <si>
    <t>The camera shows sliding down a snowy slope from a first person perspective looking backwards.</t>
  </si>
  <si>
    <t>The camera shows another slide down the slope from a first person perspective alongside others.</t>
  </si>
  <si>
    <t>The camera watches as multiple other people slide down the slope.</t>
  </si>
  <si>
    <t>The camera catches another slide down the slope from a first person perspective while spinning.</t>
  </si>
  <si>
    <t>The camera catches more slides down the slope from a first person perspective while looking left and right.</t>
  </si>
  <si>
    <t>v_sg5z7jus30w</t>
  </si>
  <si>
    <t>A person is seen sitting in a chair with his arm out getting a tattoo from a male artist.</t>
  </si>
  <si>
    <t>The men speak back and fourth to one another and the camera zooms in on the arm being done.</t>
  </si>
  <si>
    <t>In the end pictures of the men standing together are shown as well as the tattoo.</t>
  </si>
  <si>
    <t>v_gBOWkZBlc8g</t>
  </si>
  <si>
    <t>A large group of people are seen swimming around an ocean while two men pass a soccer ball back and fourth to one another on the shore.</t>
  </si>
  <si>
    <t>More people walk in and out of frame as the men continue to kick the ball back and fourth to one another.</t>
  </si>
  <si>
    <t>v_kkjBLmM6KEg</t>
  </si>
  <si>
    <t>A woman speaks to the camera while holding a card.</t>
  </si>
  <si>
    <t>A couple appears on a professional stage under a spotlight and performs a dance routine.</t>
  </si>
  <si>
    <t>The pair finishes their routine, he kisses her hand and the audience applauds.</t>
  </si>
  <si>
    <t>v_lue8XE3MEe8</t>
  </si>
  <si>
    <t>A man dressed in black shorts, t-shirt, sneakers and red baseball cap walks into an orange walled room with hardwood floors and demonstrates an arm lift exercise with two metal black dumbbells.</t>
  </si>
  <si>
    <t>An orange walled room is empty except for two black dumbbells lying horizontal on the floor.</t>
  </si>
  <si>
    <t>The man walks into the room and stands in front of the dumbbells and then falls to his knees where he talks and shows his profile and then turns, on his knees, again, to face the camera head on.</t>
  </si>
  <si>
    <t>The man then picks up the dumbbells and begins lifting them directly over his head, facing the camera, and then again from a profile angle, before placing the dumbbells down, vertically, and leaving the room.</t>
  </si>
  <si>
    <t>v_Q-dFr9ZS29s</t>
  </si>
  <si>
    <t>A young girl talks to a video camera with a curler in her bangs, occasionally holding a cell phone up to her face and introducing a younger person in the room with her in the background.</t>
  </si>
  <si>
    <t>The girl with curler in her bang talks to camera in a closeup angle.</t>
  </si>
  <si>
    <t>The girl points to the curler in her bang and holds up a cell phone to throw light onto her face which she brings closer to the camera.</t>
  </si>
  <si>
    <t>The girl laughs when a younger girl in the room with a pink wig on is shown in the background, she laughs again when the younger girl puts her pink wig in the camera.</t>
  </si>
  <si>
    <t>v_s7HB851cCrg</t>
  </si>
  <si>
    <t>A bunch of men are inside a green colored gym.</t>
  </si>
  <si>
    <t>They are lobbing a tennis ball back and forth.</t>
  </si>
  <si>
    <t>They are engaged in a game of tennis.</t>
  </si>
  <si>
    <t>v_-JhWjGDPHMY</t>
  </si>
  <si>
    <t>A man is sitting on a roof.</t>
  </si>
  <si>
    <t>He starts pulling up roofing on a roof.</t>
  </si>
  <si>
    <t>A man walks up a ladder onto the roof.</t>
  </si>
  <si>
    <t>v_mo_PhyaQHh0</t>
  </si>
  <si>
    <t>A boy is seen kneeling down before a wall and begins using a tool on the carpet.</t>
  </si>
  <si>
    <t>The man rubs his hand along the carpet and continues cutting.</t>
  </si>
  <si>
    <t>The man continues to cut along the rug while rubbing his hand across.</t>
  </si>
  <si>
    <t>v_Mzt-E6pxuUI</t>
  </si>
  <si>
    <t>A young blonde boy is standing at a kitchen sink with a handheld sprayer in his hand and he's spraying all the dishes.</t>
  </si>
  <si>
    <t>The boy then puts the sprayer in a green pot on the counter and begins spraying the water in there.</t>
  </si>
  <si>
    <t>The boy drops the sprayer then takes a cup from the sink, fills it with water then pours the water into the pot, fills it again and pours it into a bowl on the counter.</t>
  </si>
  <si>
    <t>The boy then picks up a clear glass filled with red liquid, drinks some of it, puts it under the faucet and adds water to it, drinks it a few times then dumps it out into the sink.</t>
  </si>
  <si>
    <t>The boy then takes a dish from the sink that has the red juice and tries to pour it into the pot on the counter but instead it spills all over the counter instead and he gets a sponge and tries to clean it up.</t>
  </si>
  <si>
    <t>v_2qcdjyT7nDY</t>
  </si>
  <si>
    <t>We see cheerleaders standing on the stage.</t>
  </si>
  <si>
    <t>The cheerleaders perform a routine.</t>
  </si>
  <si>
    <t>Four girls are lifted and they hold one girl in between them laying down.</t>
  </si>
  <si>
    <t>Ladies hold ladies who hold and shake their pom poms.</t>
  </si>
  <si>
    <t>Four ladies are lifted and hold two other ladies then a seventh lady.</t>
  </si>
  <si>
    <t>the team finishes and hugs.</t>
  </si>
  <si>
    <t>We see ending credits and still shots.</t>
  </si>
  <si>
    <t>A quote and website appears on the screen.</t>
  </si>
  <si>
    <t>v_YTWXDIMEjpg</t>
  </si>
  <si>
    <t>Several shots of a lake are shown followed by a person climbing behind a boat on a wake board.</t>
  </si>
  <si>
    <t>The person rides the wake board along the water while several cameras capture his movements and jumps behind the boat.</t>
  </si>
  <si>
    <t>The camera captures the person driving the boat as well as following the wake boarder close behind the boat.</t>
  </si>
  <si>
    <t>In the end three boys are riding the boat and driving along.</t>
  </si>
  <si>
    <t>v_I0w8zmcO_Cw</t>
  </si>
  <si>
    <t>A man stops his bike on the sidewalk.</t>
  </si>
  <si>
    <t>He jumps down to look at the wheel, then uses a tool to press into the rubber.</t>
  </si>
  <si>
    <t>He continues talking about the tool before joining in a bike race, then going back to talking on the sidewalk.</t>
  </si>
  <si>
    <t>v_arhhcCWkAoM</t>
  </si>
  <si>
    <t>Men swing around with a hammer throw ball before releasing it.</t>
  </si>
  <si>
    <t>A man does pull ups on a bar.</t>
  </si>
  <si>
    <t>A man lifts a large weight on his shoulders and also shoulder presses it above his head.</t>
  </si>
  <si>
    <t>Two men run track together.</t>
  </si>
  <si>
    <t>v_4o1k3KUHz6E</t>
  </si>
  <si>
    <t>A flag waves on a pole in a field.</t>
  </si>
  <si>
    <t>We see a mascot roll a ball to home plate and fall when its kicked back and hits him.</t>
  </si>
  <si>
    <t>We then see the mascot kick the ball and run a home run.</t>
  </si>
  <si>
    <t>The mascot runs and catches a ball in the field.</t>
  </si>
  <si>
    <t>The mascot high fives a line of people and chest bumps the last man knocking him over.</t>
  </si>
  <si>
    <t>v_ahVeDMNS9ws</t>
  </si>
  <si>
    <t>A close up of sneakers is shown followed by a person holding up various objects and mixing them together in a bowl.</t>
  </si>
  <si>
    <t>The person then uses a tooth brush all around the shoe using the ingredients and showing off the shoe.</t>
  </si>
  <si>
    <t>v_M2ntxFBPaug</t>
  </si>
  <si>
    <t>A person explains holding a racket and making moves with a racket in a tennis court.</t>
  </si>
  <si>
    <t>Then a man wearing black clothes serves a tennis ball that is returned, and he sends it back.</t>
  </si>
  <si>
    <t>Then, the person talks holding two ball, after the man serves again and the person talks.</t>
  </si>
  <si>
    <t>After, the man continues talking.</t>
  </si>
  <si>
    <t>v_y0_lTTdKkro</t>
  </si>
  <si>
    <t>A goalie is seen in several clips running back and fourth and blocking balls from getting by.</t>
  </si>
  <si>
    <t>The player continues running back and fourth while another man sits in front of him.</t>
  </si>
  <si>
    <t>v_r2oMItb5EVM</t>
  </si>
  <si>
    <t>A young man puts in a pan oil, onions, tomatoes, green leaves and salt, then mix to cook the vegetables.</t>
  </si>
  <si>
    <t>After, the man puts aside the vegetables, and cooks an omelette in the pan.</t>
  </si>
  <si>
    <t>After, the man puts the vegetables over the omelette and folds it, then he serves the omelette.</t>
  </si>
  <si>
    <t>v_QLACTCzs0R0</t>
  </si>
  <si>
    <t>A large group of Navy soldiers are shown on a dock playing a game of tug of war.</t>
  </si>
  <si>
    <t>On one side of the rope is a team pulling as hard as they can while being cheered on.</t>
  </si>
  <si>
    <t>Another Navy soldier is shown taking pictures of the game.</t>
  </si>
  <si>
    <t>The other side of the rope is shown.</t>
  </si>
  <si>
    <t>One team is pulled over a red line on the ground, ending the game.</t>
  </si>
  <si>
    <t>The men stand up to relax.</t>
  </si>
  <si>
    <t>v_DQXJ8OU7Ox4</t>
  </si>
  <si>
    <t>An introduction comes onto the screen for a female weight lifting competition.</t>
  </si>
  <si>
    <t>One of the female weight lifters is shown on the screen as she goes through several increasing levels of lifts one by one.</t>
  </si>
  <si>
    <t>When she finally reaches a weight that is too heavy for her to lift, she leaves the challenge.</t>
  </si>
  <si>
    <t>v_4zFiORtQrlA</t>
  </si>
  <si>
    <t>A man in polo shirt stands with a bike on a rack and demonstrates it's different features in a bike shop.</t>
  </si>
  <si>
    <t>The man takes out a tool and makes an adjustment to the wheel sprocket then turns the wheel before adjusting more.</t>
  </si>
  <si>
    <t>The man adjusts a shifter on the handlebars.</t>
  </si>
  <si>
    <t>v_uZCov5TG-Y8</t>
  </si>
  <si>
    <t>A man is ironing a shirt on an ironing board.</t>
  </si>
  <si>
    <t>Bags are shown sitting on the bed.</t>
  </si>
  <si>
    <t>v_tQmsDeu1d6M</t>
  </si>
  <si>
    <t>A small group of people are seen swimming around the wall while the camera pans around and watches them.</t>
  </si>
  <si>
    <t>The kids continue to move around the water as adults walk by as well.</t>
  </si>
  <si>
    <t>More shots are shown of kids playing in the sand.</t>
  </si>
  <si>
    <t>v_GPWXB0wy5dY</t>
  </si>
  <si>
    <t>The video that is shot horizontally shows several people windsurfing in the ocean on a sunny day.</t>
  </si>
  <si>
    <t>One of the surfers is going at very high speed against the waves.</t>
  </si>
  <si>
    <t>One surfer on an orange surf comes at top speed and loses control and falls into the water.</t>
  </si>
  <si>
    <t>The surfer with blue sails manages to stay on board as he surfs in the ocean.</t>
  </si>
  <si>
    <t>v_NRhoHN8x_00</t>
  </si>
  <si>
    <t>An older woman is seen sitting before a drum set playing a set of drums.</t>
  </si>
  <si>
    <t>She spins the drums around through her finger tips and continues playing the instrument while the camera captures her.</t>
  </si>
  <si>
    <t>v_xR9VOguQeKM</t>
  </si>
  <si>
    <t>A man performs high jump with a pole, he jumps over three horizontal lines that touches two of them.</t>
  </si>
  <si>
    <t>The man attempts to jumps higher than while jumping with the pole.</t>
  </si>
  <si>
    <t>Again, the man attempt to jump higher but he makes fall the horizontal line.</t>
  </si>
  <si>
    <t>v_fJyxb59mA-A</t>
  </si>
  <si>
    <t>We see a man sitting on a couch.</t>
  </si>
  <si>
    <t>The man is playing the bagpipe.</t>
  </si>
  <si>
    <t>The man laughs and stops playing.</t>
  </si>
  <si>
    <t>The man starts playing the bagpipe again.</t>
  </si>
  <si>
    <t>The man laughs hard again.</t>
  </si>
  <si>
    <t>The man stops playing the bagpipe.</t>
  </si>
  <si>
    <t>The man waves his hand in front of the camera.</t>
  </si>
  <si>
    <t>v_q0L4clHNIbc</t>
  </si>
  <si>
    <t>A woman is outside shoveling with a robohandle.</t>
  </si>
  <si>
    <t>It is making the process much quicker because it is a decent size and picks up a lot of the snow at once.</t>
  </si>
  <si>
    <t>She is making a lot of progress in such a small window of time using this snow robohandle.</t>
  </si>
  <si>
    <t>The handle honestly just looks like two large shovels though.</t>
  </si>
  <si>
    <t>v_SLv4rEkiYaU</t>
  </si>
  <si>
    <t>Text appears on the screen briefly.</t>
  </si>
  <si>
    <t>An elephant rides past a cow.</t>
  </si>
  <si>
    <t>People are in a tube on a river.</t>
  </si>
  <si>
    <t>v_WRXSn7DyaoI</t>
  </si>
  <si>
    <t>People are dancing on a dance floor at a wedding.</t>
  </si>
  <si>
    <t>A woman in a wedding dress is dancing with a man in a tuxedo.</t>
  </si>
  <si>
    <t>A man in a purple shirt is dancing with a woman.</t>
  </si>
  <si>
    <t>v_6LX02yo9iGo</t>
  </si>
  <si>
    <t>People prepare for a BMX bike race.</t>
  </si>
  <si>
    <t>A person lines up and then goes.</t>
  </si>
  <si>
    <t>v_n33Uv--Lbl4</t>
  </si>
  <si>
    <t>A girl in a yellow shirt is brushing her teeth in a bathroom.</t>
  </si>
  <si>
    <t>A girl next to her in a blue shirt is also brushing her teeth.</t>
  </si>
  <si>
    <t>They are both looking in the mirror.</t>
  </si>
  <si>
    <t>v_ybFvomdhW2Y</t>
  </si>
  <si>
    <t>A woman is speedily riding a recumbent bike in the kitchen.</t>
  </si>
  <si>
    <t>She sits by the stove, cracking eggs into a pan and making an omelet while she rides.</t>
  </si>
  <si>
    <t>She stirs the egg, then plates it while still riding.</t>
  </si>
  <si>
    <t>She then eats while she continues to ride.</t>
  </si>
  <si>
    <t>v_1aCwFDS0j2A</t>
  </si>
  <si>
    <t>A woman is seen kneeling on a mat in a back yard and leads into her bending backwards using her hands.</t>
  </si>
  <si>
    <t>She then puts her hands all the way down on the ground while still continuing to look up.</t>
  </si>
  <si>
    <t>v_iPHZeElXYXU</t>
  </si>
  <si>
    <t>We see a white opening screen.</t>
  </si>
  <si>
    <t>We see a lady ironing a shirt on an ironing board and talking to the camera.</t>
  </si>
  <si>
    <t>The lady irons a sleeve.</t>
  </si>
  <si>
    <t>The lady irons the back of the shirt.</t>
  </si>
  <si>
    <t>The lady finishes and holds the shirt up.</t>
  </si>
  <si>
    <t>We see a bright title closing screen.</t>
  </si>
  <si>
    <t>v_3K62qZ2hGyw</t>
  </si>
  <si>
    <t>We see the title screen for Howcast.</t>
  </si>
  <si>
    <t>A lady is standing in a white room talking to the camera.</t>
  </si>
  <si>
    <t>The lady shows us how to belly dance by dancing.</t>
  </si>
  <si>
    <t>She shifts to her right then back and lifts her hips while belly dancing.</t>
  </si>
  <si>
    <t>The lady shows how to lift your hips one at a time.</t>
  </si>
  <si>
    <t>She pats her head and shakes her hips faster.</t>
  </si>
  <si>
    <t>The lady shakes her hips faster and waves her arms over her head.</t>
  </si>
  <si>
    <t>She stops dancing and stands still.</t>
  </si>
  <si>
    <t>The ending credits load on the screen.</t>
  </si>
  <si>
    <t>v_OEBSls79Ths</t>
  </si>
  <si>
    <t>A gymnast performs on the uneven bars while spectators watch the performance.</t>
  </si>
  <si>
    <t>The gymnast end the performance and great the audience, and then she join her friends to wait for the score.</t>
  </si>
  <si>
    <t>A woman watch the gymnast and applaud.</t>
  </si>
  <si>
    <t>v_u08gU4eQFHY</t>
  </si>
  <si>
    <t>A weight lifter is in a gym, and he lifts a barbell.</t>
  </si>
  <si>
    <t>He lifts it over his head, then drops it to the ground before walking away.</t>
  </si>
  <si>
    <t>v_7TOw39_59xo</t>
  </si>
  <si>
    <t>A close up of several cars are seen that leads into a person cleaning the cars.</t>
  </si>
  <si>
    <t>The person wipes down the front of the cars with a rag including along the tires.</t>
  </si>
  <si>
    <t>The cars are shown lined up afterwards and shown all cleaned off.</t>
  </si>
  <si>
    <t>v_u9JhQ0xSSJI</t>
  </si>
  <si>
    <t>A marching band parades down the street.</t>
  </si>
  <si>
    <t>People on both sides of the street watch the parade and applaud.</t>
  </si>
  <si>
    <t>v_yeUuZ9vk5gE</t>
  </si>
  <si>
    <t>A person is seen placing dough balls onto a pan and then placing them into an oven.</t>
  </si>
  <si>
    <t>She then takes them out of the oven and puts the cookies onto a plate.</t>
  </si>
  <si>
    <t>v_G_Nzm0WkGEI</t>
  </si>
  <si>
    <t>A young child is seen ironing a shirt on a table and looking into the camera.</t>
  </si>
  <si>
    <t>The boy continues pretending to iron the shirt and eventually puts a dress on the table to iron.</t>
  </si>
  <si>
    <t>He irons the dress and swings it around.</t>
  </si>
  <si>
    <t>v_AKQqaMyZtf8</t>
  </si>
  <si>
    <t>A man walks with a leaf blower.</t>
  </si>
  <si>
    <t>He blows leaves on the ground.</t>
  </si>
  <si>
    <t>The leaves move against the asphalt.</t>
  </si>
  <si>
    <t>The man blows another man with the blower.</t>
  </si>
  <si>
    <t>v_IAqNteMxXNk</t>
  </si>
  <si>
    <t>A man is seen standing behind a counter speaking to the camera and holding up cleaning products.</t>
  </si>
  <si>
    <t>He puts the products into a sink and begins scrubbing around the sides.</t>
  </si>
  <si>
    <t>He wipes down the counter and shows off the finished sink.</t>
  </si>
  <si>
    <t>v_SxIJ6MjcgnY</t>
  </si>
  <si>
    <t>A man throwing the frisbee to his dog and the dog catches.</t>
  </si>
  <si>
    <t>One owner does a hand stand a throws the frisbee to his dog, who is able to catch.</t>
  </si>
  <si>
    <t>Many owners and dogs throwing and catching frisbees and doing tricks while doing so.</t>
  </si>
  <si>
    <t>A woman opens her arms and her dogs jumps into them, she catches the dog.</t>
  </si>
  <si>
    <t>v_-YreL-4QCLg</t>
  </si>
  <si>
    <t>A guy holds a lacrosse stick and instructs.</t>
  </si>
  <si>
    <t>A guy moves a ball with the lacrosse stick.</t>
  </si>
  <si>
    <t>A guy tosses a ball into a goal.</t>
  </si>
  <si>
    <t>v_cA2ZLOZcCyc</t>
  </si>
  <si>
    <t>A person is riding the bike on the dirt road.</t>
  </si>
  <si>
    <t>The biker jumped into high ramps.</t>
  </si>
  <si>
    <t>The biker drove to the curve path then drive over the high ramp.</t>
  </si>
  <si>
    <t>v_lydctNDJZ5o</t>
  </si>
  <si>
    <t>There are two teams represented by the color green and color white playing lacrosse against each other in an outdoor field.</t>
  </si>
  <si>
    <t>The player from the green team begins running with his stick alongside his opponent to go towards the ball.</t>
  </si>
  <si>
    <t>The two team come head to head as they scramble to hit the ball in the goal.</t>
  </si>
  <si>
    <t>The green team players run fast to prevent the white team from getting the ball.</t>
  </si>
  <si>
    <t>The white team players try to keep up with their opponents and focus on hitting the ball in the goal.</t>
  </si>
  <si>
    <t>Two players from both team come running towards each other and fight for the ball, causing one of the green team players to fall down.</t>
  </si>
  <si>
    <t>They take a break to before they can restart the game as they walk towards the side of the field.</t>
  </si>
  <si>
    <t>v_DRHW4FvSKdw</t>
  </si>
  <si>
    <t>A dealer at a casino table deals out to several customers while there's a constant stream of activity in the background.</t>
  </si>
  <si>
    <t>One of the players starts laughing.</t>
  </si>
  <si>
    <t>v_NGvote9Y6gI</t>
  </si>
  <si>
    <t>We see cards sitting on table with chips.</t>
  </si>
  <si>
    <t>The dealer deals more cards.</t>
  </si>
  <si>
    <t>The dealer points at two cards.</t>
  </si>
  <si>
    <t>The dealer turns a card over and takes the man's chips.</t>
  </si>
  <si>
    <t>v__wHyOKf_fhc</t>
  </si>
  <si>
    <t>An advertisement display the presentation of two dancers.</t>
  </si>
  <si>
    <t>The couple is dancing holding hands turning both around.</t>
  </si>
  <si>
    <t>The woman turns around holding the hand of the man.</t>
  </si>
  <si>
    <t>v_lq-8Y-YLcNI</t>
  </si>
  <si>
    <t>women are walking on a lakeside and are putting their shoes and harness.</t>
  </si>
  <si>
    <t>women are climbing a rock wall attached to an harness.</t>
  </si>
  <si>
    <t>woman is going down and when is in the floor shake hands with he other woman.</t>
  </si>
  <si>
    <t>v_5rkAMBttgPc</t>
  </si>
  <si>
    <t>A woman is standing behind a counter holding a martini glass.</t>
  </si>
  <si>
    <t>She dumps some ice into the glass.</t>
  </si>
  <si>
    <t>She puts some ice into another glass and adds shots of alcohol.</t>
  </si>
  <si>
    <t>She shakes the drink in a black shaker.</t>
  </si>
  <si>
    <t>She pours the ice out of a martini glass.</t>
  </si>
  <si>
    <t>She pours the drink into the martini glass.</t>
  </si>
  <si>
    <t>She holds up the martini glass in her hand.</t>
  </si>
  <si>
    <t>v_UxhKb-zZoWE</t>
  </si>
  <si>
    <t>Two sumo wrestlers are seen fighting that leads into people walking in and others dancing together.</t>
  </si>
  <si>
    <t>More wrestlers bend down towards one another and begin wrestling while people drum on the side.</t>
  </si>
  <si>
    <t>More people are walked in and continue wrestling on the pit.</t>
  </si>
  <si>
    <t>v__OY-1VtINQQ</t>
  </si>
  <si>
    <t>A man is seen sitting on a piece of exercise equipment moving back and fourth.</t>
  </si>
  <si>
    <t>The man continues moving at different speeds and moving back.</t>
  </si>
  <si>
    <t>v_Cof9eHf7VCI</t>
  </si>
  <si>
    <t>A group of people are standing in the middle of a forest with a trail of pebbles separating them from a beautiful crystal clear body of water.</t>
  </si>
  <si>
    <t>The camera moves across the water and several people on boats and jet-skis are moving in the water near a large wave.</t>
  </si>
  <si>
    <t>More large waves begin to surface and a man begins surfing the waves.</t>
  </si>
  <si>
    <t>The forest is then shown and surf boards appear that are washed up against the banks of the water.</t>
  </si>
  <si>
    <t>v_iEqyqzKSEZ4</t>
  </si>
  <si>
    <t>A car is driving down the highway at a fast speed, he takes an exit to park.</t>
  </si>
  <si>
    <t>Then, they're at the gym and it's a class full of people jumping rope.</t>
  </si>
  <si>
    <t>A woman coach and a child jump rope one on one together, she goes around instructing some other students in the class.</t>
  </si>
  <si>
    <t>The class ends with pictures of the coach and her students.</t>
  </si>
  <si>
    <t>v_hvXMCjJcIqI</t>
  </si>
  <si>
    <t>A man drives a lawn mower over a lawn.</t>
  </si>
  <si>
    <t>The man turns to his left.</t>
  </si>
  <si>
    <t>A wagon behind the man is being pulled with children in tow.</t>
  </si>
  <si>
    <t>The man then circles the lawn.</t>
  </si>
  <si>
    <t>v_H7k8ATbTjzs</t>
  </si>
  <si>
    <t>A woman and a young girl are each walking a dog in a grassy area.</t>
  </si>
  <si>
    <t>They approach another woman sitting in a chair.</t>
  </si>
  <si>
    <t>She pets one of the dogs.</t>
  </si>
  <si>
    <t>Another woman is sitting behind the woman that pets the dog.</t>
  </si>
  <si>
    <t>The woman with the dog walks over and takes the leash of the second dog from the young girl and walks away with both dogs and the young girl still holding part of a leash.</t>
  </si>
  <si>
    <t>A man is standing off to the side watching.</t>
  </si>
  <si>
    <t>The woman and the young girl, each with a dog again, stop in the grassy area, talk and then continue walking.</t>
  </si>
  <si>
    <t>v_W5WfWmISKrk</t>
  </si>
  <si>
    <t>We see a dark title screen.</t>
  </si>
  <si>
    <t>We see titles in the screen and see the men.</t>
  </si>
  <si>
    <t>We see two men fighting MMA in a ring.</t>
  </si>
  <si>
    <t>The large man is losing his grip on the smaller man.</t>
  </si>
  <si>
    <t>The referee comes to the men and waves his arms.</t>
  </si>
  <si>
    <t>We see the outcome of the game on the screen.</t>
  </si>
  <si>
    <t>The smaller fighter hugs another man.</t>
  </si>
  <si>
    <t>We then see the closing ending credits.</t>
  </si>
  <si>
    <t>v_UZPSbNS1LU0</t>
  </si>
  <si>
    <t>A group of people are shown rollerblading in Paris.</t>
  </si>
  <si>
    <t>They are moving slowly and there are a lot of them as some of them look into the camera as they pass.</t>
  </si>
  <si>
    <t>The procession continues as spectators look onward.</t>
  </si>
  <si>
    <t>The video cuts to a side angle of the rollerbladers passing by.</t>
  </si>
  <si>
    <t>Another side shot is shown and a cop car and several escort vehicles come into view as the video fades to black.</t>
  </si>
  <si>
    <t>v_Vq0-j_C-kZc</t>
  </si>
  <si>
    <t>A person is video taping a bull fighting event from his television set.</t>
  </si>
  <si>
    <t>The bull fighting scene is in a large open arena which is filled with thousands of spectators who are cheering.</t>
  </si>
  <si>
    <t>The two raging bulls are butting heads constantly while the matadors are trying to contain the bulls within a specified zone.</t>
  </si>
  <si>
    <t>The crowd continues to cheer as the event goes on.</t>
  </si>
  <si>
    <t>v_i3uRumyN7mg</t>
  </si>
  <si>
    <t>An intro leads into a woman holding an accordion and a woman in a wedding dress beside her.</t>
  </si>
  <si>
    <t>The woman then begins to play the instrument while others stand around her and watch and others play along.</t>
  </si>
  <si>
    <t>v_b3e7PrPNb30</t>
  </si>
  <si>
    <t>A woman is smearing a white cream onto her forehead and cheeks.</t>
  </si>
  <si>
    <t>She spreads it around, smoothing it in.</t>
  </si>
  <si>
    <t>v_GHmxFOXP1Q0</t>
  </si>
  <si>
    <t>A man pierces a woman's cheek.</t>
  </si>
  <si>
    <t>She sticks her tongue out and then the process is completed.</t>
  </si>
  <si>
    <t>v_FtHP0PNqo2s</t>
  </si>
  <si>
    <t>A person is getting their legs waxed on a table.</t>
  </si>
  <si>
    <t>They rub some lotion onto their legs after.</t>
  </si>
  <si>
    <t>They show their clean waxed legs.</t>
  </si>
  <si>
    <t>v_55sP2yXNFxY</t>
  </si>
  <si>
    <t>A man is seen hosting a news segment that leads into him speaking with two other people.</t>
  </si>
  <si>
    <t>Shots are shown of a young man playing pool with his father watching on the side.</t>
  </si>
  <si>
    <t>The man continues to play while his father watches and speaks to the news host.</t>
  </si>
  <si>
    <t>v_ou45_7IdWCE</t>
  </si>
  <si>
    <t>A woman is seen walking to a swingset with a small boy and putting him on the swing.</t>
  </si>
  <si>
    <t>Several women with their children are seen swinging back and fourth with one another as well as dads playing with their kids.</t>
  </si>
  <si>
    <t>v_O-hUa9e9_DE</t>
  </si>
  <si>
    <t>A woman chef demonstrates, in a kitchen, in front of a kitchen counter top and ingredients, how to prepare a salad.</t>
  </si>
  <si>
    <t>A woman stands in front of a kitchen counter top with greens, cheese, vegetables and oils and talks to the camera.</t>
  </si>
  <si>
    <t>The woman begins to cut the greens and put them in a white bowl before turning to pull oven roasted brussel sprouts out of the oven.</t>
  </si>
  <si>
    <t>The woman then squeezes and orange and pours the orange juice on the salad with the brussell sprouts and oil before the scene fades out.</t>
  </si>
  <si>
    <t>v_vSAHWgFjQAY</t>
  </si>
  <si>
    <t>A man is seen dancing in a club and grabs onto a woman.</t>
  </si>
  <si>
    <t>The man and woman then begin dancing around each other in the middle of the club.</t>
  </si>
  <si>
    <t>They continue dancing around one another while other people dance beside them.</t>
  </si>
  <si>
    <t>v_sVk-Br0zfkA</t>
  </si>
  <si>
    <t>A close up of a woman is seen looking off into the distance and holding a dart.</t>
  </si>
  <si>
    <t>She throws the dart onto the board which is show up close.</t>
  </si>
  <si>
    <t>The woman then clenches her fists and her throw is shown again.</t>
  </si>
  <si>
    <t>v_4Rto4Aa6fxw</t>
  </si>
  <si>
    <t>Two teams play hurling in a stadium full of people.</t>
  </si>
  <si>
    <t>A player serves a ball with the stick, and the teams continue playing.</t>
  </si>
  <si>
    <t>Two players dispute the ball in the air, then they continue playing.</t>
  </si>
  <si>
    <t>v_cFJo7Nm2W3Y</t>
  </si>
  <si>
    <t>A large group of people are seen standing around a sand pit shaking hands and speaking with one another.</t>
  </si>
  <si>
    <t>The men then begin a soccer match with one another and cheering when they score a goal.</t>
  </si>
  <si>
    <t>The men continue to play against one another while the audience cheers and the ref stands on the side.</t>
  </si>
  <si>
    <t>v_vzxT-k8dsVs</t>
  </si>
  <si>
    <t>man is unning wearing stilts in a skaet park.</t>
  </si>
  <si>
    <t>another man is jumping along with the first man in the skate park.</t>
  </si>
  <si>
    <t>man in skate park is running while a car is passing in the street.</t>
  </si>
  <si>
    <t>v_VO49rhXzhk4</t>
  </si>
  <si>
    <t>A woman's hands are shown wrapping something.</t>
  </si>
  <si>
    <t>The woman talks to the camera.</t>
  </si>
  <si>
    <t>Closeups of the necessary equipment for this operation are shown.</t>
  </si>
  <si>
    <t>The woman wraps a book with tissue paper and tape.</t>
  </si>
  <si>
    <t>The woman cuts paper to shape for the book.</t>
  </si>
  <si>
    <t>The woman wraps the book with the paper and tape.</t>
  </si>
  <si>
    <t>The woman talks to the camera whole holding the wrapped and ribboned book.</t>
  </si>
  <si>
    <t>A closeup of the wrapped and ribboned book is shown.</t>
  </si>
  <si>
    <t>v_0DEF7Mp7ZP4</t>
  </si>
  <si>
    <t>A small group of people are seen sitting around a casino table speaking to one another and playing a game of poker.</t>
  </si>
  <si>
    <t>Many people watch on the sides while the dealer deals out cards and the people place their chips in the middle.</t>
  </si>
  <si>
    <t>More shots of the game are shown while the camera pans out to a person's face.</t>
  </si>
  <si>
    <t>v_B39pJK4FU1o</t>
  </si>
  <si>
    <t>A lady is talking in an office and holding a pink item.</t>
  </si>
  <si>
    <t>the lady throws the pink item on a game board on the floor.</t>
  </si>
  <si>
    <t>She then jumps hopscotch and picks up the pink item.</t>
  </si>
  <si>
    <t>She throws it again and jumps again and returns picking up the pink item.</t>
  </si>
  <si>
    <t>v_Z3noRsTXGt4</t>
  </si>
  <si>
    <t>A person is running on an excerise machine.</t>
  </si>
  <si>
    <t>The camera zooms in to the feet.</t>
  </si>
  <si>
    <t>The camera pans to the right slowly.</t>
  </si>
  <si>
    <t>v_CsCbJSnAhRs</t>
  </si>
  <si>
    <t>A man puts a chef hat on a girl while a chef teachers her how to cook.</t>
  </si>
  <si>
    <t>She mixes various ingredients together following the chef's orders and paying close attention to his instructions.</t>
  </si>
  <si>
    <t>The girl makes a lovely batch of cookies and finds herself enjoying them in the end, as well as the company of others.</t>
  </si>
  <si>
    <t>v_GKhuh6bha6U</t>
  </si>
  <si>
    <t>Several men stand together for the camera.</t>
  </si>
  <si>
    <t>Scenes of multiple people performing capoeira demonstrations are shown with audiences in the background and foreground.</t>
  </si>
  <si>
    <t>v_2vy0dMXhlWI</t>
  </si>
  <si>
    <t>An older man is shown chopping at a downed tree with an axe.</t>
  </si>
  <si>
    <t>he is trying very hard and not making much progress.</t>
  </si>
  <si>
    <t>He seems to be frustrated and is trying again and again to chop of the tree.</t>
  </si>
  <si>
    <t>He then looks at the camera and slightly smirks before continuing trying to cut the tree up.</t>
  </si>
  <si>
    <t>He stops again and stares at the camera.</t>
  </si>
  <si>
    <t>A closeup is shown of him trying again and again before zooming out.</t>
  </si>
  <si>
    <t>The camera then zooms back in to his face as he continues on.</t>
  </si>
  <si>
    <t>v_KPv8ZGrb78Y</t>
  </si>
  <si>
    <t>Three women show up on the screen doing a tribal dance in a workout studio.</t>
  </si>
  <si>
    <t>One of the women does a solo performance while the music plays in the background.</t>
  </si>
  <si>
    <t>The three women are shown again doing the dance on the stage while other people do the same dance in front of the stage.</t>
  </si>
  <si>
    <t>The trio of women come back onto the screen and continue the dance in the studio.</t>
  </si>
  <si>
    <t>They show up back on the stage doing the dance as the camera films them.</t>
  </si>
  <si>
    <t>The camera goes back and forth between them doing the dance on the stage and off the stage showing different angles.</t>
  </si>
  <si>
    <t>v_gg_F8EtNMW0</t>
  </si>
  <si>
    <t>Two men are inside an indoor gym.</t>
  </si>
  <si>
    <t>They are engaged in a martial art called kickboxing.</t>
  </si>
  <si>
    <t>They kick and punch at each other, trying to hit each other.</t>
  </si>
  <si>
    <t>v_lSX_yj2ohls</t>
  </si>
  <si>
    <t>Two dudes are talking silly into the camera with things wrapped around their heads.</t>
  </si>
  <si>
    <t>Then you see everyone playing beer pong having a great time outside joking and dancing.</t>
  </si>
  <si>
    <t>A group starts taking selfies and everyone is dressed really funny.</t>
  </si>
  <si>
    <t>One of the dudes flick off the camera and everyone continues to play bee pong and be wild enjoying their time.</t>
  </si>
  <si>
    <t>v_IGcalXmWUwA</t>
  </si>
  <si>
    <t>Several shots of people playing basketball are shown and leads into two men demonstrating a move.</t>
  </si>
  <si>
    <t>The same move is shown again from various angles and instructor the user how to do it.</t>
  </si>
  <si>
    <t>More tricks are shown as well as step by step instruction on how to properly do it.</t>
  </si>
  <si>
    <t>v_FwbnNQBzqHw</t>
  </si>
  <si>
    <t>A woman is standing behind an array of confections in a kitchen.</t>
  </si>
  <si>
    <t>Several different cake pops are being shown.</t>
  </si>
  <si>
    <t>Ingredients are displayed next to actions mixing ingredients.</t>
  </si>
  <si>
    <t>The woman crumbles the cake into a bowl, then adds frosting while she talks.</t>
  </si>
  <si>
    <t>She allows them to sit before melting candy coating, which she then dips the cake balls into.</t>
  </si>
  <si>
    <t>She decorates the cake ball in the final stages.</t>
  </si>
  <si>
    <t>A final array of cake pops are shown as she ends the segment.</t>
  </si>
  <si>
    <t>v_cFcrXdvfxoo</t>
  </si>
  <si>
    <t>A woman is lifting and squatting inside a gym with a barbell on her shoulders.</t>
  </si>
  <si>
    <t>She lifts then sits over and over again.</t>
  </si>
  <si>
    <t>v_nDbLtdY66dA</t>
  </si>
  <si>
    <t>A man in a black shirt is holding a saxophone.</t>
  </si>
  <si>
    <t>He begins playing the saxophone.</t>
  </si>
  <si>
    <t>He stops playing and continues talking.</t>
  </si>
  <si>
    <t>v_0-CYG7bH54A</t>
  </si>
  <si>
    <t>An intro leads into several shots of various ingredients laid out on a wooden board, followed by a set of hands cutting up certain ingredients.</t>
  </si>
  <si>
    <t>A person then grades some cheese into a bowl and breaks open the pasta.</t>
  </si>
  <si>
    <t>They put the pasta into a bowl as well as fry the shrimp and puts all the ingredients into one pan together.</t>
  </si>
  <si>
    <t>The person then serves the food onto a plate and text appears across the screen.</t>
  </si>
  <si>
    <t>v_NJQROeaBiVE</t>
  </si>
  <si>
    <t>The title appears and fades out.</t>
  </si>
  <si>
    <t>We see a man pulling weight close to his head.</t>
  </si>
  <si>
    <t>Three men pass by in the mirror.</t>
  </si>
  <si>
    <t>The camera zooms in on the main subject.</t>
  </si>
  <si>
    <t>A man in gray walks past in the mirror.</t>
  </si>
  <si>
    <t>The screen goes black and we see the end credits.</t>
  </si>
  <si>
    <t>v_EVfTWz5GRGw</t>
  </si>
  <si>
    <t>A bottle of deep cleansing gel is shown.</t>
  </si>
  <si>
    <t>A woman holds up the bottle, Then is shown using several different solutions that she lines up together on the counter.</t>
  </si>
  <si>
    <t>She uses each on her face, then rinses them off.</t>
  </si>
  <si>
    <t>v_l7QlSS_li6M</t>
  </si>
  <si>
    <t>We see a blue title screen with white letters.</t>
  </si>
  <si>
    <t>We see two girls standing in a room, then perform a flip.</t>
  </si>
  <si>
    <t>We see 2 different girls do different flips.</t>
  </si>
  <si>
    <t>One girl does a back flip.</t>
  </si>
  <si>
    <t>We then see four girls do a back flip together.</t>
  </si>
  <si>
    <t>v_vlIAZsrj6yk</t>
  </si>
  <si>
    <t>We see a black title screen.</t>
  </si>
  <si>
    <t>We see a man having his facial hair trimmed with an electric shaver.</t>
  </si>
  <si>
    <t>We see a man being shaved with a straight razor.</t>
  </si>
  <si>
    <t>We then see the closing screen.</t>
  </si>
  <si>
    <t>v_PUqHiigzb7A</t>
  </si>
  <si>
    <t>A man walks up to a barbell and bends over, lifting at the knees.</t>
  </si>
  <si>
    <t>He lifts the barbell up to his chest, rests for a moment, then lifts it over his head.</t>
  </si>
  <si>
    <t>He holds the pose for a few seconds before dropping it to the ground.</t>
  </si>
  <si>
    <t>v_qogdv5DWzkQ</t>
  </si>
  <si>
    <t>A shadow is seen in the smoky room.</t>
  </si>
  <si>
    <t>A woman is taking a shower and washing her hair.</t>
  </si>
  <si>
    <t>She pulls it apart in strands, putting conditioner on it.</t>
  </si>
  <si>
    <t>v_suWTtKXXkJU</t>
  </si>
  <si>
    <t>A woman is seen wearing a funny hat while speaking to the camera and sitting in a chair.</t>
  </si>
  <si>
    <t>the woman then knits in her chair while ending with another picture of her.</t>
  </si>
  <si>
    <t>v_tM0BAYylvLA</t>
  </si>
  <si>
    <t>A young boy sits in a chair with protective gown on and gets his hair cut with electric clippers by mom at home.</t>
  </si>
  <si>
    <t>The mother removes clipped hairs from the boys head with fingers.</t>
  </si>
  <si>
    <t>A girl is seen watching in the room.</t>
  </si>
  <si>
    <t>v_9lS5qpgrTmI</t>
  </si>
  <si>
    <t>A woman is seen speaking to the camera while holding up a bobby pin and then flips her hair down and begins braiding.</t>
  </si>
  <si>
    <t>The girl then puts her hair up into a pony tail and wraps her hair around to make a pun.</t>
  </si>
  <si>
    <t>She finally pins her hair down and then shows off her hair while pointing to the camera.</t>
  </si>
  <si>
    <t>v_P8M00PRbI3c</t>
  </si>
  <si>
    <t>A female news reporter is talking in a news room.</t>
  </si>
  <si>
    <t>We see several people riding on horses as a crowd watches.</t>
  </si>
  <si>
    <t>The people are hitting bags with sticks as they ride.</t>
  </si>
  <si>
    <t>The people are then interviewed about the game, and a man is shown shooting arrows.</t>
  </si>
  <si>
    <t>v_UtErhcCYBZk</t>
  </si>
  <si>
    <t>man is in roofed gym weightlifting.</t>
  </si>
  <si>
    <t>woman is walking behind the man watching the man.</t>
  </si>
  <si>
    <t>woman is lifting eights while he man sits to watch her.</t>
  </si>
  <si>
    <t>v_WDvsx_q2h-4</t>
  </si>
  <si>
    <t>A man is standing outside holding a violin.</t>
  </si>
  <si>
    <t>He begins to play the violin.</t>
  </si>
  <si>
    <t>He stops and sets the violin to his side.</t>
  </si>
  <si>
    <t>v_bXrdB5AASAM</t>
  </si>
  <si>
    <t>There are two men dressed in white shirts wearing hats doing freestyle wrestling in an indoor stadium.</t>
  </si>
  <si>
    <t>There are several spectators watching them, some sitting on chairs and some sitting on the ground.</t>
  </si>
  <si>
    <t>There are some people seated on chairs playing various hand instruments and singing to cheer the fighters.</t>
  </si>
  <si>
    <t>The two men continue wrestling in a non aggressive manner by taking turns to attack the opponent.</t>
  </si>
  <si>
    <t>They continue fighting as one man does a front flip.</t>
  </si>
  <si>
    <t>In the final round, they speed up the fight with faster kicks and motion.</t>
  </si>
  <si>
    <t>v_jYphKtLFIUk</t>
  </si>
  <si>
    <t>A group of boys chisel a name in sand on the beach with their hands.</t>
  </si>
  <si>
    <t>The boys leave the art piece leaving just one boy in a red t-shirt to work on it alone.</t>
  </si>
  <si>
    <t>Two boys returns with two balls of sand in circles and sit next to the art piece as they work on rounding out the balls of sand they have gathered while a group of children gather around to watch.</t>
  </si>
  <si>
    <t>v_-8FS4LbXAgE</t>
  </si>
  <si>
    <t>An intro leads into several shots of graffiti on a wall as well as people moving around and talking to one another.</t>
  </si>
  <si>
    <t>A rapper is then seen getting a tattoo from a man while the camera captures several angles and show art work.</t>
  </si>
  <si>
    <t>More people show off their tattoos and the rapper points to the camera and shows the finished tattoo and album cover.</t>
  </si>
  <si>
    <t>v_wz8d9DKMrTc</t>
  </si>
  <si>
    <t>A band is practicing in a gym.</t>
  </si>
  <si>
    <t>People are twirling flags while standing in a line.</t>
  </si>
  <si>
    <t>The drummers are marching around the gym.</t>
  </si>
  <si>
    <t>They get into a line and dance out of the gym.</t>
  </si>
  <si>
    <t>v_lCuMD23jOxo</t>
  </si>
  <si>
    <t>A person is seen speaking to the camera and smoking out of a hookah pipe.</t>
  </si>
  <si>
    <t>The camera pans around the area and continues to speak to the man and leads into a shot of a boat going by and a close fire.</t>
  </si>
  <si>
    <t>v_HoViId2LHl8</t>
  </si>
  <si>
    <t>A woman starts dancing next to a man in front of a gathered crowd.</t>
  </si>
  <si>
    <t>They spin in circles as they dance.</t>
  </si>
  <si>
    <t>She goes between his legs, sliding outward and injuring her neck.</t>
  </si>
  <si>
    <t>She gets up laughing and gives the man a hug.</t>
  </si>
  <si>
    <t>v_3ekMufBfUdw</t>
  </si>
  <si>
    <t>A woman is seen blow drying her hair while using a comb in various fashions and using different products.</t>
  </si>
  <si>
    <t>The woman continues to use the blow dryer on her hair and ends by showing off her finished hair.</t>
  </si>
  <si>
    <t>v_D7ZeRbotot0</t>
  </si>
  <si>
    <t>A man in yellow and black suit welds a steel.</t>
  </si>
  <si>
    <t>He stops the welding job.</t>
  </si>
  <si>
    <t>Then he moves away and inspect it.</t>
  </si>
  <si>
    <t>v_uTVjevTM6V0</t>
  </si>
  <si>
    <t>Three athletes of different countries compete weightlifting on front the jury, during the first round, all the athletes lift the weight successfully.</t>
  </si>
  <si>
    <t>In the second round, the athlete with blue uniform rise successfully and kiss the bar of the weight, also the other athletes are successful.</t>
  </si>
  <si>
    <t>On the third round, the Indian athlete let fall the weight.</t>
  </si>
  <si>
    <t>The athlete with red uniform is congratulated, then stand on the first place of the podium and talks.</t>
  </si>
  <si>
    <t>v_Y1Vop80R9b8</t>
  </si>
  <si>
    <t>A room is covered to avoid paint being splattered on objects in the room.</t>
  </si>
  <si>
    <t>A room is seen with blue tape on its borders and walls.</t>
  </si>
  <si>
    <t>The floors of the room also have bag over the carpet.</t>
  </si>
  <si>
    <t>The staircase of a house has bags over it to avoid paint damage.</t>
  </si>
  <si>
    <t>A sparkly ceiling is seen.</t>
  </si>
  <si>
    <t>v_mOrhfrmmxAQ</t>
  </si>
  <si>
    <t>A boat is seen riding along the water with a person riding on skis behind.</t>
  </si>
  <si>
    <t>The person does a flip and lands backwards into the water.</t>
  </si>
  <si>
    <t>v_2uMG44uNDJ8</t>
  </si>
  <si>
    <t>A woman and a man are inside a car talking, then the man turn his head.</t>
  </si>
  <si>
    <t>A young lady wash a car only wearing a bra and shorts, then she sprinkle water on her head a turn it.</t>
  </si>
  <si>
    <t>After, the man turns to see the angry woman and scream.</t>
  </si>
  <si>
    <t>v_jalqZE5ekho</t>
  </si>
  <si>
    <t>little kid is in the sand doing a castle using a small toy shovel kid leaves.</t>
  </si>
  <si>
    <t>little girl foes into the castle in the sand and start playing while the kid bring more water from the sea.</t>
  </si>
  <si>
    <t>v_E1-eVfnNfXI</t>
  </si>
  <si>
    <t>A woman is sitting with a baby in her arms.</t>
  </si>
  <si>
    <t>She takes licks of an ice cream cone, and the baby laughs hysterically each time.</t>
  </si>
  <si>
    <t>She offers him bites, pulling the cone away and making him laugh.</t>
  </si>
  <si>
    <t>v_sQtT9sUyUwE</t>
  </si>
  <si>
    <t>A man rows a canoe down a river.</t>
  </si>
  <si>
    <t>Several other people are rowing too.</t>
  </si>
  <si>
    <t>His canoe is colored red.</t>
  </si>
  <si>
    <t>He finally passes the point.</t>
  </si>
  <si>
    <t>v_Fia1JynWFBA</t>
  </si>
  <si>
    <t>A woman uses a rolling pin to roll out dough onto the counter.</t>
  </si>
  <si>
    <t>Another woman is taking something off of a baking sheet.</t>
  </si>
  <si>
    <t>v_sQZaEt-ssCs</t>
  </si>
  <si>
    <t>women are standing in a table doing arm wrestling in a competition.</t>
  </si>
  <si>
    <t>two referees on side of tables and watch each other.</t>
  </si>
  <si>
    <t>women are arm wrestling in the table again and at the end high each other.</t>
  </si>
  <si>
    <t>v_YAhMxt-3ciU</t>
  </si>
  <si>
    <t>People are playing croquet on a field of grass.</t>
  </si>
  <si>
    <t>A map of the world is shown.</t>
  </si>
  <si>
    <t>Trophies are shown on the screen.</t>
  </si>
  <si>
    <t>v_5Jo_AWt9fB0</t>
  </si>
  <si>
    <t>A man is wearing a hat and kneeling down on a blue mat.</t>
  </si>
  <si>
    <t>He starts pulling on a rope on a workout machine.</t>
  </si>
  <si>
    <t>v_hxluAHro9bQ</t>
  </si>
  <si>
    <t>A woman in pink top is holding a hoop and talking to the camera.</t>
  </si>
  <si>
    <t>The woman put the hoop to her waist and start to hoop.</t>
  </si>
  <si>
    <t>The woman paused and turned around and start shaking her hips, she changed her hoops into smaller one, but the small one keep falling, then changed the hoops to bigger one and she began shaking her hips with the hoops.</t>
  </si>
  <si>
    <t>v_-CS7U_XrkPI</t>
  </si>
  <si>
    <t>A group of men are inside a dark club.</t>
  </si>
  <si>
    <t>A man begins throwing darts at something off screen.</t>
  </si>
  <si>
    <t>He repeats this many times before giving up, shrugging, and turning the camera toward the dart board.</t>
  </si>
  <si>
    <t>We see that four of the darts have hit the exact same spot.</t>
  </si>
  <si>
    <t>v_WsqMDMOjuN4</t>
  </si>
  <si>
    <t>A small group of people are seen swimming around a pool and leads into several shots of a swimmer throwing a ball into a net.</t>
  </si>
  <si>
    <t>The goalie blocks a few shots and then switches with another team mate while the audience cheers.</t>
  </si>
  <si>
    <t>The people switch out continuously and leads to one team winning and celebrating all together in the water.</t>
  </si>
  <si>
    <t>v_4KqjBUpLQk8</t>
  </si>
  <si>
    <t>Several men are shown at different rodeos riding horses and capturing the calf attached to the string.</t>
  </si>
  <si>
    <t>As more locations are shown,more animals are captured and more people are shown watching the actions taking place.</t>
  </si>
  <si>
    <t>v_extd66Y1tJ8</t>
  </si>
  <si>
    <t>A young lady is making faces at the camera.</t>
  </si>
  <si>
    <t>She holds up a box that has barcodes and reads "Sterling Gray" on it.</t>
  </si>
  <si>
    <t>She shows a bottle of Renew and eye contact lens cases.</t>
  </si>
  <si>
    <t>She applies both of the contact lenses and cries.</t>
  </si>
  <si>
    <t>v_XKuD0F-p6YA</t>
  </si>
  <si>
    <t>man is opening a box with scissors and take out an unarmed bike.</t>
  </si>
  <si>
    <t>man is arming the bike inside a room with wooden floor.</t>
  </si>
  <si>
    <t>v_pHAIrx_cRFU</t>
  </si>
  <si>
    <t>The person holds a blade to sharpen it.</t>
  </si>
  <si>
    <t>The person takes the belt off the machine.</t>
  </si>
  <si>
    <t>The person puts a new belt on the machine.</t>
  </si>
  <si>
    <t>The person sharpents the blade on the second belt.</t>
  </si>
  <si>
    <t>The person takes the second belt off.</t>
  </si>
  <si>
    <t>The person puts on a third belt.</t>
  </si>
  <si>
    <t>The person sharpens the blade on the third belt.</t>
  </si>
  <si>
    <t>The person demonstrates the blade's edge.</t>
  </si>
  <si>
    <t>v_8rHY_Vt2FLA</t>
  </si>
  <si>
    <t>A car is seen driving around and leads into a man pumping air in the tire.</t>
  </si>
  <si>
    <t>The man puts a wire along the tire and continues to spin it around.</t>
  </si>
  <si>
    <t>He pumps more hair into the tire and takes off the jack driving it away.</t>
  </si>
  <si>
    <t>v_Zts8FynhoJs</t>
  </si>
  <si>
    <t>A woman is brushing her teeth in a bathroom.</t>
  </si>
  <si>
    <t>Someone is filming her behind her.</t>
  </si>
  <si>
    <t>She spits the toothpaste out into the sink in front of her.</t>
  </si>
  <si>
    <t>v_XOUyGnr6iTM</t>
  </si>
  <si>
    <t>A small group of men are seen standing around a room holding tennis rackets.</t>
  </si>
  <si>
    <t>The men then begin playing tennis with one another while hitting the ball around.</t>
  </si>
  <si>
    <t>The men continue to hit the ball around the room and ends with several walking out.</t>
  </si>
  <si>
    <t>v_TJ98vfFChfI</t>
  </si>
  <si>
    <t>A man in a white shirt is chopping a piece of wood with an ax.</t>
  </si>
  <si>
    <t>He swings at the wood and misses and hits the ground.</t>
  </si>
  <si>
    <t>Another man carrying a pot walks up behind him.</t>
  </si>
  <si>
    <t>v_KtUshVJ28us</t>
  </si>
  <si>
    <t>We see a young girl gymnast talking to the camera.</t>
  </si>
  <si>
    <t>We see the girl perform flips.</t>
  </si>
  <si>
    <t>The girl flips on a trampoline.</t>
  </si>
  <si>
    <t>She jumps and does a split in the air.</t>
  </si>
  <si>
    <t>We see the bloopers where she falls and a title screen.</t>
  </si>
  <si>
    <t>We then see the ending screens.</t>
  </si>
  <si>
    <t>v_pASyH2NPOOw</t>
  </si>
  <si>
    <t>We see a blue opening screen.</t>
  </si>
  <si>
    <t>We see a man flipping and performing Capoeira cut with blue title screens.</t>
  </si>
  <si>
    <t>The man does a spin kick.</t>
  </si>
  <si>
    <t>The man does a spin and duck.</t>
  </si>
  <si>
    <t>The man does a spin sweep on the floor.</t>
  </si>
  <si>
    <t>v_Cz2ut3p7nw0</t>
  </si>
  <si>
    <t>A small toddler is in the bathroom brushing his teeth.</t>
  </si>
  <si>
    <t>As he frantically brushes,a woman comes to assist him as he points to different things on the counter.</t>
  </si>
  <si>
    <t>The young boy keeps brushing and then they end up switching tooth brushes.</t>
  </si>
  <si>
    <t>Eventually,the woman puts toothpaste on the brush and the boy cleans his teeth.</t>
  </si>
  <si>
    <t>Once he is done,he is given a bar of soap and has to wash hands.</t>
  </si>
  <si>
    <t>Finally he is done and he grabs his toy and runs out of the bathroom.</t>
  </si>
  <si>
    <t>v_StvwTXdXG2U</t>
  </si>
  <si>
    <t>The video leads into several shots of people riding around on skateboards and performing tricks.</t>
  </si>
  <si>
    <t>Many more people riding are shown and leads into a young man speaking to the camera and a picture of a t-shirt.</t>
  </si>
  <si>
    <t>v_meAHw06Mh-Y</t>
  </si>
  <si>
    <t>A man is seen speaking to the camera and leads into him cutting tiles and measuring them along a wall.</t>
  </si>
  <si>
    <t>The man uses a saw to cut the wall as well as the tile while using various other tools to cut around the sides.</t>
  </si>
  <si>
    <t>More tiles are being shown cut out as the man continues to speak and lay them down on the floor.</t>
  </si>
  <si>
    <t>v_moxpALb09zU</t>
  </si>
  <si>
    <t>A girl is talking to the camera while using her hands.</t>
  </si>
  <si>
    <t>The camera does a blurred scene change.</t>
  </si>
  <si>
    <t>The girl points down and wipes her hair.</t>
  </si>
  <si>
    <t>The girl waves at the screen.</t>
  </si>
  <si>
    <t>The scene changes to the girl standing in a shower.</t>
  </si>
  <si>
    <t>The girl shaves her legs in the shower.</t>
  </si>
  <si>
    <t>She shows us her shave product in the can and on her hands.</t>
  </si>
  <si>
    <t>The girl shows us her razor then starts shaving.</t>
  </si>
  <si>
    <t>v_485DjSbjOV8</t>
  </si>
  <si>
    <t>Two people are seen standing up behind a set of drums looking at the camera.</t>
  </si>
  <si>
    <t>The two then begin playing the drums while a small girl walks in and out of frame.</t>
  </si>
  <si>
    <t>The two pause for a moment then continue playing with one stopping and letting the other finish.</t>
  </si>
  <si>
    <t>v_rnPfQuWS4Rk</t>
  </si>
  <si>
    <t>A man in a kilt prepares himself to toss a large hammer in a competition.</t>
  </si>
  <si>
    <t>After his preparations he swings the hammer around in a circle and tosses it as far as he can.</t>
  </si>
  <si>
    <t>v_snG89ed-64M</t>
  </si>
  <si>
    <t>A small group of people are seen playing lacrosse on a field running up and down the field and pushing one another.</t>
  </si>
  <si>
    <t>Several shots of players hitting one another is shown as well as players pushing other people.</t>
  </si>
  <si>
    <t>One team scores several goals and are immediately followed by teammates cheering.</t>
  </si>
  <si>
    <t>v_DWal5PJry6k</t>
  </si>
  <si>
    <t>A doctor went inside the room, then she wash her hands, wipe her hands with paper towel.</t>
  </si>
  <si>
    <t>A medical practitioner is washing her hand with soap and water, while the other medical practitioner in white coat is on her phone.</t>
  </si>
  <si>
    <t>A man in yellow coat is washing his hands, then the man in blue shirt is giving interview.</t>
  </si>
  <si>
    <t>v_EsOajUNpEzU</t>
  </si>
  <si>
    <t>A man talks while holding bagpipes.</t>
  </si>
  <si>
    <t>He then plays the bagpipes.</t>
  </si>
  <si>
    <t>The man moves his fingers to change the sound while he plays.</t>
  </si>
  <si>
    <t>v_YOLDcsX7EiA</t>
  </si>
  <si>
    <t>A person is skiing down a hill of snow.</t>
  </si>
  <si>
    <t>They go off of a jump and fly in the air.</t>
  </si>
  <si>
    <t>They land back on the snow and continue skiing down the hill.</t>
  </si>
  <si>
    <t>v_AtHnNOkaoUk</t>
  </si>
  <si>
    <t>A camera zooms in on a large truck that shows a person walking around from behind as well as another.</t>
  </si>
  <si>
    <t>The men begin pulling a rope and working from the back while the cameraman speaks to the camera.</t>
  </si>
  <si>
    <t>The man continues to pan around the snowy area and watch the men work from behind.</t>
  </si>
  <si>
    <t>v_teemFjum3oU</t>
  </si>
  <si>
    <t>A small child is seen sitting on top of a slide while looking over to another child playing.</t>
  </si>
  <si>
    <t>The boy rides down the slide several more times with the girl's assistance and a man standing holding a baby and watching.</t>
  </si>
  <si>
    <t>v_gU67yCVXHnQ</t>
  </si>
  <si>
    <t>A girl is looking at the camera.</t>
  </si>
  <si>
    <t>She turns around and is getting her hair brushed.</t>
  </si>
  <si>
    <t>She is looking at her phone.</t>
  </si>
  <si>
    <t>v_ifDsS6ZRsRM</t>
  </si>
  <si>
    <t>A woman's feet are shown as she warms up at ballet.</t>
  </si>
  <si>
    <t>A blonde woman is speaking to the camera, which pans out to her performing various dance moves while talking.</t>
  </si>
  <si>
    <t>She moves slowly at each step.</t>
  </si>
  <si>
    <t>She then stops and speaks her final words.</t>
  </si>
  <si>
    <t>v_-2VNLsk1s34</t>
  </si>
  <si>
    <t>A large man is seen stepping up into a circle and throws several shot puts off into the distance.</t>
  </si>
  <si>
    <t>Several more men are seen stepping up to the circle throwing a shot put off into the distance.</t>
  </si>
  <si>
    <t>People in the audience are seen cheering to one another as their scores are shown in the end.</t>
  </si>
  <si>
    <t>v_F_DHgp5hERs</t>
  </si>
  <si>
    <t>A man speaks to the camera while another man sits on a piece of exercise equipment behind him.</t>
  </si>
  <si>
    <t>The instructor continues moving around near the man and has him show how to machine works.</t>
  </si>
  <si>
    <t>He points to his body showing the muscles worked and walks around the man exercising.</t>
  </si>
  <si>
    <t>v_R8-iriCwcyE</t>
  </si>
  <si>
    <t>A gymnasts wipes chalk on his hands while getting ready.</t>
  </si>
  <si>
    <t>The gymnast stands on a platforms and swings himself onto a set of double bars.</t>
  </si>
  <si>
    <t>The gymnast does a double bar routine during a competition.</t>
  </si>
  <si>
    <t>The gymnast strikes his leg accidentally on the bars bringing him to a stop.</t>
  </si>
  <si>
    <t>The gymnast dismounts from the double bars and lands on the mat.</t>
  </si>
  <si>
    <t>A female gymnasts sits in a chair and waits for her turn.</t>
  </si>
  <si>
    <t>The female gymnasts stretches out her arms before the routine.</t>
  </si>
  <si>
    <t>A replay shows the highlights of the gymnasts routine on the double bars.</t>
  </si>
  <si>
    <t>v_mfENhAPlES8</t>
  </si>
  <si>
    <t>A man puts a black lens in his eye.</t>
  </si>
  <si>
    <t>Then, the man takes off the lens and after puts it again.</t>
  </si>
  <si>
    <t>v_92kGXXfm6ok</t>
  </si>
  <si>
    <t>A man is seen bending forward grabbing a large set of weights and lifting it on his shoulders.</t>
  </si>
  <si>
    <t>The man then lifts it up over his head and ends by throwing it back down.</t>
  </si>
  <si>
    <t>v_U_4goX5w_1c</t>
  </si>
  <si>
    <t>A black male athlete run in the field then hopped and jumped and landed on the sandy field.</t>
  </si>
  <si>
    <t>The athlete run around and cheered and kneel down and pray.</t>
  </si>
  <si>
    <t>The athlete run and ripped his shirt off, while he reach of the woman and give her a hug and cheered.</t>
  </si>
  <si>
    <t>v_sGTDKZuG1vE</t>
  </si>
  <si>
    <t>A man is kneeling down in front of a sink.</t>
  </si>
  <si>
    <t>He starts scrubbing the inside of the sink with a sponge.</t>
  </si>
  <si>
    <t>He takes a white towel and wipes off the counter and sink.</t>
  </si>
  <si>
    <t>He sprays the mirror with Windex and wipes the mirror off.</t>
  </si>
  <si>
    <t>v_tkmoslnsmwY</t>
  </si>
  <si>
    <t>A rapid river is running past a tree.</t>
  </si>
  <si>
    <t>A group of rafters don their gear, pushing their raft into the water.</t>
  </si>
  <si>
    <t>The paddle through the rapids, trying to stay upright and together.</t>
  </si>
  <si>
    <t>v_uatIP3FGQXk</t>
  </si>
  <si>
    <t>A large group of kids are seen standing around a field playing a game with one another.</t>
  </si>
  <si>
    <t>One boy throws a ball to another and the other kicks it off into the distance.</t>
  </si>
  <si>
    <t>The kids continue to play with one another as well as run along the field.</t>
  </si>
  <si>
    <t>v_CQweu0ZYNHU</t>
  </si>
  <si>
    <t>Three men stand together wearing heavily padded clothing with suspenders.</t>
  </si>
  <si>
    <t>The two men on the end strike the one in the middle below the belt and he falls to the ground in pain.</t>
  </si>
  <si>
    <t>One of the men is seen from behind walking in a hallway.</t>
  </si>
  <si>
    <t>The man sits on a bmx bike on the top of a ramp getting ready.</t>
  </si>
  <si>
    <t>the man drops into the ramp and falls hard slamming on the bottom.</t>
  </si>
  <si>
    <t>The man does tricks and jumps on the ramp riding a bike.</t>
  </si>
  <si>
    <t>One of the men in purple rides through a skate board park wearing the padded suit.</t>
  </si>
  <si>
    <t>Another man in grey shirt rides a skateboard on the half pipe ramp and does tricks.</t>
  </si>
  <si>
    <t>The three men ride together on the large ramp in formation.</t>
  </si>
  <si>
    <t>The man in purple falls and is struck in the face with his skateboard.</t>
  </si>
  <si>
    <t>v_w_OiqLfRJHI</t>
  </si>
  <si>
    <t>Two men are kneeling down holding paintball guns.</t>
  </si>
  <si>
    <t>They are walking down the street holding their paintball guns.</t>
  </si>
  <si>
    <t>They begin to play a game of paintballing.</t>
  </si>
  <si>
    <t>v_tVIY6uyH3aA</t>
  </si>
  <si>
    <t>A person is seen wearing a blue shirt and standing before a fence.</t>
  </si>
  <si>
    <t>The person bends down in front of the fence and begins spraying it down.</t>
  </si>
  <si>
    <t>The person continues spraying the fence while the camera captures from behind.</t>
  </si>
  <si>
    <t>v_caoMescJ1J4</t>
  </si>
  <si>
    <t>Three men are sitting on a couch with the man in the middle smiling, the man on the right playing a harmonica and the man on the far left holding his finger to his upper lip area and making a noise with his bottom lip by plucking it with his hand.</t>
  </si>
  <si>
    <t>The man on the right taps his foot as the two men play music.</t>
  </si>
  <si>
    <t>The camera pans to an onlooker standing on the side of the room watching and smiling.</t>
  </si>
  <si>
    <t>The two men stop playing and the man in the middle shrugs as the other two men smile.</t>
  </si>
  <si>
    <t>v_OKhVHhchsyI</t>
  </si>
  <si>
    <t>Three young children, 2 girls and a boy, are playing at a beach and piling sand onto a big pile as waves continue to go in and out.</t>
  </si>
  <si>
    <t>The camera person then pans around the beach to show the rest of the beach and various other people that are there.</t>
  </si>
  <si>
    <t>The camera person then focuses on two women talking and standing together.</t>
  </si>
  <si>
    <t>Then focuses back onto the children in the sand that are continuing to dig into the sand and pile sand into a big pile.</t>
  </si>
  <si>
    <t>One of the girls then runs out of the shot and the other girl and the only boy remain near their small pile of sand.</t>
  </si>
  <si>
    <t>v_j73Ks4r5tbg</t>
  </si>
  <si>
    <t>A girl with blonde hair and red nails sits in a chair in bedroom and talks to the camera while smoking and showing off a bottle of blue nailpolish.</t>
  </si>
  <si>
    <t>The girl rolls away from the camera in the chair to get a bottle of blue nail polish and hold it up to the screen.</t>
  </si>
  <si>
    <t>The girl then begins to smoke a cigarette in front of the camera while talking.</t>
  </si>
  <si>
    <t>The girl, finally, takes one long inhale and leans in to exhale into the camera before falling back.</t>
  </si>
  <si>
    <t>v_DgVo1IAVrDM</t>
  </si>
  <si>
    <t>A helmet camera is put on and then a man goes skateboarding.</t>
  </si>
  <si>
    <t>He zooms through the city and goes on a highway.</t>
  </si>
  <si>
    <t>He passes a truck and other people.</t>
  </si>
  <si>
    <t>v_OVRYoPA6h-Y</t>
  </si>
  <si>
    <t>A man stands in a field talking.</t>
  </si>
  <si>
    <t>He hits a bowling ball with a croquet mallet and then hold up a bowling ball with a big 8 on it.</t>
  </si>
  <si>
    <t>A woman with a large chalice is in the same field talking.</t>
  </si>
  <si>
    <t>Cars pass by and people walk around in the background.</t>
  </si>
  <si>
    <t>A bowling ball that is cut in half is on the ground.</t>
  </si>
  <si>
    <t>A couple of kids look at the half bowling ball.</t>
  </si>
  <si>
    <t>A man hits the "8" ball with a croquet mallet and does a little dance.</t>
  </si>
  <si>
    <t>A woman hits 1 bowling ball against another with a mallet.</t>
  </si>
  <si>
    <t>A different man hits a bowling ball with a mallet.</t>
  </si>
  <si>
    <t>A young girl hits the ball with the mallet.</t>
  </si>
  <si>
    <t>Another man hits a bowling ball and does a dance, The young girls play while a man dressed like a joker talks.</t>
  </si>
  <si>
    <t>The game ends and all of the materials for the game are gathered.</t>
  </si>
  <si>
    <t>The woman gives her chalice to the young girls who are very excited.</t>
  </si>
  <si>
    <t>v_RzlX3Ai9AH4</t>
  </si>
  <si>
    <t>Text states the video will show how to chalk paint.</t>
  </si>
  <si>
    <t>An armoire is shown, and a woman is holding one of the drawers.</t>
  </si>
  <si>
    <t>She sands down the wood before applying a coat of chalk paint with a brush.</t>
  </si>
  <si>
    <t>She holds the cans of paint as she talks about the finished product.</t>
  </si>
  <si>
    <t>The painted armoire is shown a final time.</t>
  </si>
  <si>
    <t>v_cV9xeDlKJok</t>
  </si>
  <si>
    <t>A show of a dumpster is shown as well as women in gear standing in front of it.</t>
  </si>
  <si>
    <t>The woman edges herself along the dumpster while other people walk into frame.</t>
  </si>
  <si>
    <t>The woman then moves herself around on roller blades while the camera follows her movements.</t>
  </si>
  <si>
    <t>v_UpmzSgLLj-s</t>
  </si>
  <si>
    <t>We see a quick title screen.</t>
  </si>
  <si>
    <t>We then see a man working on various things in a bike factory.</t>
  </si>
  <si>
    <t>The man puts a bike together quick, puts it in a box, then on a conveyor belt.</t>
  </si>
  <si>
    <t>We then see a person putting tools on the bike box.</t>
  </si>
  <si>
    <t>The man begins to take the pieces part and put the bike together.</t>
  </si>
  <si>
    <t>We see the factory briefly.</t>
  </si>
  <si>
    <t>We return to the man putting the bike together.</t>
  </si>
  <si>
    <t>He finishes and we see the customer service phone number.</t>
  </si>
  <si>
    <t>We then see the end title screen.</t>
  </si>
  <si>
    <t>v_ygHElEUxVwA</t>
  </si>
  <si>
    <t>A group of a man and three women are on a gym floor.</t>
  </si>
  <si>
    <t>They are dancing in unison, performing several moves.</t>
  </si>
  <si>
    <t>When they are done, one woman laughs and runs away.</t>
  </si>
  <si>
    <t>v_Jdtr90RIkHk</t>
  </si>
  <si>
    <t>A man is riding a skateboard indoors and rides it onto a short standing pole on the ground.</t>
  </si>
  <si>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t>
  </si>
  <si>
    <t>The man ends the video of just him talking, no text on the screen, and no other clips showing while he's talking.</t>
  </si>
  <si>
    <t>v_cc17BiSDn8w</t>
  </si>
  <si>
    <t>A man in a red kayak rolls into the water, and out of the water.</t>
  </si>
  <si>
    <t>He rolls into the water once more.</t>
  </si>
  <si>
    <t>He then is in a blue kayak and rolls into the water and out of the water.</t>
  </si>
  <si>
    <t>He does it once more.</t>
  </si>
  <si>
    <t>v_a7FNzxXWvgU</t>
  </si>
  <si>
    <t>A man wearing a black shirt opens a bag of bread and pulls out three slices of bread.</t>
  </si>
  <si>
    <t>The man raises an empty bottle of Miracle Whip and tosses it backhanded.</t>
  </si>
  <si>
    <t>The man then opens the refrigerator and pulls out a new bottle of Miracle Whip.</t>
  </si>
  <si>
    <t>He then uses a knife to scoop out the miracle whip on to the bread slices.</t>
  </si>
  <si>
    <t>The man then opens a bag of Swiss cheese and places a slice on each bread slice.</t>
  </si>
  <si>
    <t>The man then gets a container of Genoa Salami from the fridge and piles slices onto the bread slices.</t>
  </si>
  <si>
    <t>He then puts the bread slices on top of each other and completes the sandwich.</t>
  </si>
  <si>
    <t>v_RZurdKhOxk0</t>
  </si>
  <si>
    <t>We see a man and a woman standing foreheads together.</t>
  </si>
  <si>
    <t>The people then dance together.</t>
  </si>
  <si>
    <t>The lady holds her legs out at her side.</t>
  </si>
  <si>
    <t>The man swings the woman around.</t>
  </si>
  <si>
    <t>The lady shakes her hips.</t>
  </si>
  <si>
    <t>The lady bends down and the man wraps his arms around her.</t>
  </si>
  <si>
    <t>The people back up from each other.</t>
  </si>
  <si>
    <t>v_BoK5y7jdhzA</t>
  </si>
  <si>
    <t>A lacrosse player wearing a white jersey and holding a lacrosse stick is talking about the positions of lacrosse.</t>
  </si>
  <si>
    <t>He is standing in a field that is next to a busy road with many cars passing by.</t>
  </si>
  <si>
    <t>He is demonstrating the various positions and ways of using the lacrosse stick with another man.</t>
  </si>
  <si>
    <t>He explains how the goals are scored in lacrosse.</t>
  </si>
  <si>
    <t>v_uHmoFLB-PLc</t>
  </si>
  <si>
    <t>A boy holds a guitar in a room.</t>
  </si>
  <si>
    <t>He is sitting on a bed.</t>
  </si>
  <si>
    <t>He begins to play the guitar.</t>
  </si>
  <si>
    <t>Eventually he finishes the song.</t>
  </si>
  <si>
    <t>v_aKhD_bFB7MA</t>
  </si>
  <si>
    <t>There's a person walking on stilts on a sidewalk where several cars are parked.</t>
  </si>
  <si>
    <t>He is demonstrating how to walk on stilts.</t>
  </si>
  <si>
    <t>He is joined by two other men who also join him in the tutorial.</t>
  </si>
  <si>
    <t>The man on stilts shows how fast he can run while on the stilts as well as jump high up.</t>
  </si>
  <si>
    <t>While he's running on the stilts, his friend drives alongside him in a car.</t>
  </si>
  <si>
    <t>The man continues to do stunts on the stilts.</t>
  </si>
  <si>
    <t>v_eJvOgEahkys</t>
  </si>
  <si>
    <t>A young girl is seen standing at a ballet bar performing ballet moves.</t>
  </si>
  <si>
    <t>A girl is seen dancing on stage followed by a large group of girls warming up.</t>
  </si>
  <si>
    <t>The girls continue stretching and lead into the woman pointing her foot.</t>
  </si>
  <si>
    <t>v_gTh9bd9yV9E</t>
  </si>
  <si>
    <t>A teen puts make up to an man on his face.</t>
  </si>
  <si>
    <t>Then, the teen puts mascara, lip sticks and paint the eyelid with an eyeliner.</t>
  </si>
  <si>
    <t>Then, the teen puts color on the cheeks, then she eyeliners the eyelids.</t>
  </si>
  <si>
    <t>After, the teen paint the mouth and put lipstick on the cheeks and paint the eyelids.</t>
  </si>
  <si>
    <t>v_91Wdp_uaWrY</t>
  </si>
  <si>
    <t>Two people are fencing in a room.</t>
  </si>
  <si>
    <t>A person is standing next to a wall watching them.</t>
  </si>
  <si>
    <t>They stop fencing and walk away.</t>
  </si>
  <si>
    <t>v_hlFJj2dT3sU</t>
  </si>
  <si>
    <t>A boy is on a tennis court outside.</t>
  </si>
  <si>
    <t>He serves the ball with a racquet.</t>
  </si>
  <si>
    <t>He serves it a few more times, hitting it each time.</t>
  </si>
  <si>
    <t>v_LYOQ0gVySxE</t>
  </si>
  <si>
    <t>Coffee is ground up in an electric grinder.</t>
  </si>
  <si>
    <t>A cup of coffee and coffee press are set on a table.</t>
  </si>
  <si>
    <t>Milk is poured into the cup of coffee.</t>
  </si>
  <si>
    <t>The cup of coffee is picked up and set back down on the saucer.</t>
  </si>
  <si>
    <t>v_YvIfwsbuiKI</t>
  </si>
  <si>
    <t>A male figure is seen in a gym bending on mat and carrying out instructions to the camera on how to perform an exercise.</t>
  </si>
  <si>
    <t>He demonstrates on how to properly do exercises on an elastic band that is attached to a fixed pole.</t>
  </si>
  <si>
    <t>He grabs the elastic band and pulls it towards himself.</t>
  </si>
  <si>
    <t>Afterwards he pushes the band away from himself as he and demonstrates the proper use of the equipment .</t>
  </si>
  <si>
    <t>v_Vx6vP1oxiAg</t>
  </si>
  <si>
    <t>A woman is seen leading a camel around with two small children riding on the back.</t>
  </si>
  <si>
    <t>The kids waves to the camera while it pans around their ride and the camel spitting into the air.</t>
  </si>
  <si>
    <t>v_8Nv52hFr0tg</t>
  </si>
  <si>
    <t>A female gymnast stands idle while being watched by a crowd.</t>
  </si>
  <si>
    <t>A close up of a second woman saying something is shown.</t>
  </si>
  <si>
    <t>The gymnast performs a routine on a beam.</t>
  </si>
  <si>
    <t>The female gymnast finishes her routine and dismounts.</t>
  </si>
  <si>
    <t>People are shown applauding the gymnast.</t>
  </si>
  <si>
    <t>The gymnast walks away from the beam.</t>
  </si>
  <si>
    <t>v_kH8o0M69KGc</t>
  </si>
  <si>
    <t>A man is seen bending over a large set of weights with another walking behind him.</t>
  </si>
  <si>
    <t>The man lifts the bar up over his head and throws it back down.</t>
  </si>
  <si>
    <t>The man does this again while people watch on the sides.</t>
  </si>
  <si>
    <t>v_arbdFQpe0fk</t>
  </si>
  <si>
    <t>A pinata is seen swinging around the middle of people followed by a girl grabbing a stick.</t>
  </si>
  <si>
    <t>She moves all around the room swinging at the pinata as well as another girl swinging with her dad.</t>
  </si>
  <si>
    <t>A young boy walks up to try to hit it as well as another boy.</t>
  </si>
  <si>
    <t>v_k2gc3YcVjwM</t>
  </si>
  <si>
    <t>A guy waves and then speaks.</t>
  </si>
  <si>
    <t>A male approaches and grabs a plate.</t>
  </si>
  <si>
    <t>The male takes the plate to the sink.</t>
  </si>
  <si>
    <t>The male dips the plate into the water and uses a white rug to wash it.</t>
  </si>
  <si>
    <t>The male rinses the washed plate.</t>
  </si>
  <si>
    <t>The male soaks the white plate and then puts it on a dish drying rack.</t>
  </si>
  <si>
    <t>The male gives a thumbs up.</t>
  </si>
  <si>
    <t>v_6YmZNDXap64</t>
  </si>
  <si>
    <t>A man is seen spinning a rubix cube into his hands followed by more people attempting to solve the puzzle and speak to the camera.</t>
  </si>
  <si>
    <t>More people are shown attempting to solve the puzzle as well as speaking to the camera and smiling.</t>
  </si>
  <si>
    <t>v_YG_jr8Efdxk</t>
  </si>
  <si>
    <t>A large group of people are shown sitting on the sidelines as well as various shots of athletes preparing for an event.</t>
  </si>
  <si>
    <t>One woman is seen lifting a bar several times while her coach yells to encourage her.</t>
  </si>
  <si>
    <t>She finishes her set and walks away with several other people nearby.</t>
  </si>
  <si>
    <t>v_hx0WYKDa7PM</t>
  </si>
  <si>
    <t>A cameraman follows a man as he walks up a diving board.</t>
  </si>
  <si>
    <t>The diver gets to the edge of the board and stretches before falling forwards in the water.</t>
  </si>
  <si>
    <t>The diver dives into the water a second time.</t>
  </si>
  <si>
    <t>The diver gets out of the water and walks away as a cameraman follows him.</t>
  </si>
  <si>
    <t>v__yk7gjnHkjs</t>
  </si>
  <si>
    <t>A man swings and throws the hammer repeatedly.</t>
  </si>
  <si>
    <t>The man hops on one leg at the end and walks away.</t>
  </si>
  <si>
    <t>We switch to a man throwing shot put.</t>
  </si>
  <si>
    <t>Men on the sideline clap and jump.</t>
  </si>
  <si>
    <t>The man in red and blue raises a red flag.</t>
  </si>
  <si>
    <t>We see a man throw the hammer repeatedly.</t>
  </si>
  <si>
    <t>v_GZiG-aSzIJI</t>
  </si>
  <si>
    <t>There are two white cars that arrive in secluded area where there are warehouses.</t>
  </si>
  <si>
    <t>Four men get off the car and walk towards a man wearing a mask to cover his face.</t>
  </si>
  <si>
    <t>There are some people hiding behind trucks with guns in their hands.</t>
  </si>
  <si>
    <t>One of the men comes out and opens fire.</t>
  </si>
  <si>
    <t>He shoots his gun in the air.</t>
  </si>
  <si>
    <t>That provokes the other people and a huge gun fight breaks out.</t>
  </si>
  <si>
    <t>The men randomly begin shooting at each other.</t>
  </si>
  <si>
    <t>During that time, one of the men get shot in the head and he collapses and falls down.</t>
  </si>
  <si>
    <t>v_xgb-qIgWHw0</t>
  </si>
  <si>
    <t>A musician plays a set of drums on an elevated jumbo screen as a camera pans in and out on the performance.</t>
  </si>
  <si>
    <t>A musician with a headset attached to his ears and over his mouth, begins to play a set of drums.</t>
  </si>
  <si>
    <t>As the musician plays the drums the camera pans in for a closeup and then pans out.</t>
  </si>
  <si>
    <t>The musician ends the performance, stands, and waives both sticks at the audience.</t>
  </si>
  <si>
    <t>v_FrDKwP9XaOo</t>
  </si>
  <si>
    <t>Males pull a rope in a tag of war match.</t>
  </si>
  <si>
    <t>The males take steps to the right.</t>
  </si>
  <si>
    <t>The males are being pulled to the left.</t>
  </si>
  <si>
    <t>The males raise and let go of the rope now closer to the left.</t>
  </si>
  <si>
    <t>v_mouMMOraPyw</t>
  </si>
  <si>
    <t>A close up of a person is seen speaking to a person behind them and paddling along the water.</t>
  </si>
  <si>
    <t>The people continue riding along the water as the water splashes around them and the woman stops to wipe her face off.</t>
  </si>
  <si>
    <t>v_8dXbbJWFEJo</t>
  </si>
  <si>
    <t>A group of athletes row on canoes during a race in between buoys on a waterway.</t>
  </si>
  <si>
    <t>The men cross the final numbered buoys and glide while slowing down after the race.</t>
  </si>
  <si>
    <t>v_JJzBlV3p1Wc</t>
  </si>
  <si>
    <t>A woman in an outdoor environment teaches a young boy and girl how to wash clothes using a washboard and a metal bucket.</t>
  </si>
  <si>
    <t>A young boy pulls on a metal lever protruding from a metal bucket with a washboard in it.</t>
  </si>
  <si>
    <t>Two young girls watch as a woman in a white apron demonstrates to the boy and girl how to turn the lever and also hangs clothes on a clothes line.</t>
  </si>
  <si>
    <t>The young girl begins to pull the lever while the boy helps the woman hang clothes, and then all of the children take turns operating different parts of the washboard mechanism.</t>
  </si>
  <si>
    <t>v_eChLCFAGyx0</t>
  </si>
  <si>
    <t>The video takes place in a theater showing a symphony play a song.</t>
  </si>
  <si>
    <t>The video shows close ups of several of the symphony members as they play their instruments.</t>
  </si>
  <si>
    <t>The camera then pans out to show the audience.</t>
  </si>
  <si>
    <t>The symphony continues to play as the conductor leads.</t>
  </si>
  <si>
    <t>The video ends showing the entire symphony.</t>
  </si>
  <si>
    <t>v_XfF30DaqAGU</t>
  </si>
  <si>
    <t>A woman is seen standing before a bar and bends down in front of him.</t>
  </si>
  <si>
    <t>She grabs the weights and lifts it over her head and then back down.</t>
  </si>
  <si>
    <t>She continuously lifts the weight up over her head.</t>
  </si>
  <si>
    <t>v_B4LYBLihttQ</t>
  </si>
  <si>
    <t>The young female is standing in the kitchen talking to the camera.</t>
  </si>
  <si>
    <t>The female put the pasta in boiling water, chopped the garlic and pour olive oil in the pan, she shredded the orange peel and put in the pan and added tomatoes and seafood.</t>
  </si>
  <si>
    <t>The woman drain the pasta, and put it on the sauce and put them in the white bowls.</t>
  </si>
  <si>
    <t>v_txMaVvdALeM</t>
  </si>
  <si>
    <t>A large group of people are riding in a huge raft.</t>
  </si>
  <si>
    <t>They paddle down the rapids, trying to stay upright.</t>
  </si>
  <si>
    <t>They flip over, falling out of the raft.</t>
  </si>
  <si>
    <t>v_g6L-l5sgFEQ</t>
  </si>
  <si>
    <t>We see the title card and a pained dresser.</t>
  </si>
  <si>
    <t>A lady sits on the floor and discusses painting.</t>
  </si>
  <si>
    <t>The lady paints the dresser while talking about it.</t>
  </si>
  <si>
    <t>We see the painted end product.</t>
  </si>
  <si>
    <t>We see the end cards for the video.</t>
  </si>
  <si>
    <t>v_FKAlXR9NkKw</t>
  </si>
  <si>
    <t>A lady walks down a hall while carrying a bucket of cleaning supplies.</t>
  </si>
  <si>
    <t>A lady cleans a window with newspapers.</t>
  </si>
  <si>
    <t>The lady sprays the newspaper.</t>
  </si>
  <si>
    <t>The ingredients to make the spray is shown.</t>
  </si>
  <si>
    <t>The lady sprays the window.</t>
  </si>
  <si>
    <t>v_DTprdtsGCts</t>
  </si>
  <si>
    <t>Pipes are being shown on a rock.</t>
  </si>
  <si>
    <t>A man is walking on a trail.</t>
  </si>
  <si>
    <t>A large structure behind a fence is shown.</t>
  </si>
  <si>
    <t>A boat is in the water surrounding a rock.</t>
  </si>
  <si>
    <t>A man sits on top of a rock.</t>
  </si>
  <si>
    <t>A man starts playing an instrument.</t>
  </si>
  <si>
    <t>A large rock wall is shown.</t>
  </si>
  <si>
    <t>The man continues playing the instrument.</t>
  </si>
  <si>
    <t>v_fpIS8jWoK9w</t>
  </si>
  <si>
    <t>The camera watches a man in a hat talking with someone from a low angle.</t>
  </si>
  <si>
    <t>The setting changes and the man in the hat talks with another man while the two look at papers.</t>
  </si>
  <si>
    <t>The man in the hat sits down and talks to the camera.</t>
  </si>
  <si>
    <t>The man drinks from a bottle of water.</t>
  </si>
  <si>
    <t>A woman applies an ink pattern to the man's body.</t>
  </si>
  <si>
    <t>The man lays on his side as the woman tattoos over the ink pattern.</t>
  </si>
  <si>
    <t>Still images of the completed tattoo are shown.</t>
  </si>
  <si>
    <t>v_s6oXeM9OluM</t>
  </si>
  <si>
    <t>A woman is shown holding a cat while a dog stands by her feet.</t>
  </si>
  <si>
    <t>She talks to the camera and shows off her cat nails.</t>
  </si>
  <si>
    <t>She grabs a tool and begins cutting the cat's claws.</t>
  </si>
  <si>
    <t>She adjusts the cat a bit but finishes her nails and lets her go.</t>
  </si>
  <si>
    <t>v_TS-p15iwQPc</t>
  </si>
  <si>
    <t>A class of children dressed in white gi's are walking, kicking and punching in a classroom while their teacher walks around them.</t>
  </si>
  <si>
    <t>The class stops and the instructor talks and walks around them.</t>
  </si>
  <si>
    <t>The class then turns around and begins to walk, kick and punch in the direction they just came from.</t>
  </si>
  <si>
    <t>The class turns around when they get to the end, stops, and the instructor begins talking and demonstrating a kick and a punch to them, moves out of the way and the class resumes.</t>
  </si>
  <si>
    <t>When they reach the end they turn around again to walk, kick and punch back in the direction they came from and once again the instructor stops them to talk and demonstrate the moves and once again the class resumes their movements and when hey get to the end of the room they turn around and end their routine with their legs apart and arms in front of them.</t>
  </si>
  <si>
    <t>v_uMw7YplUbAM</t>
  </si>
  <si>
    <t>A man is seen holding an accordion while speaking to the camera and smiling.</t>
  </si>
  <si>
    <t>He then plays the instrument while looking at the camera and ends by speaking more to the camera.</t>
  </si>
  <si>
    <t>v_DjyO6zWUiDw</t>
  </si>
  <si>
    <t>A boy is standing on a stool in front of a kitchen sink.</t>
  </si>
  <si>
    <t>He is washing the dishes under the water.</t>
  </si>
  <si>
    <t>He puts the dishes into a black strainer.</t>
  </si>
  <si>
    <t>v_RINsqxGLQdQ</t>
  </si>
  <si>
    <t>Several shots of people riding around kite surfing are shown as well as people speaking to the camera.</t>
  </si>
  <si>
    <t>The kids attempt the wind surfing and are seen moving their arms and legs around and waving to the camera.</t>
  </si>
  <si>
    <t>Two girls are seen dancing as well as people speaking to the camera and kids looking at the camera.</t>
  </si>
  <si>
    <t>v_uE15Mhtj9nE</t>
  </si>
  <si>
    <t>A woman is explaining how to remove wallpaper.</t>
  </si>
  <si>
    <t>She turns around and bends over to pick up a steamer.</t>
  </si>
  <si>
    <t>She shows how to steam the wallpaper in sections.</t>
  </si>
  <si>
    <t>She steps off the ladder and continues to steam the wallpaper.</t>
  </si>
  <si>
    <t>She moves the ladder out of the way then she steams more wallpaper, all the way to the bottom, across and the middle.</t>
  </si>
  <si>
    <t>She moves the ladder, climbs up it and peels the wallpaper from the wall, picking the pieces that stick from the wall.</t>
  </si>
  <si>
    <t>She pulls the residue from the wall.</t>
  </si>
  <si>
    <t>She walks out of camera range and comes back with a scraper to remove the left pieces.</t>
  </si>
  <si>
    <t>She bends down again and walks out of camera range again.</t>
  </si>
  <si>
    <t>She has a sponge and is cleaning the wall.</t>
  </si>
  <si>
    <t>She does more scraping and scrubbing.</t>
  </si>
  <si>
    <t>She turns around and smiles.</t>
  </si>
  <si>
    <t>v_nGOEmEDesPI</t>
  </si>
  <si>
    <t>There are snowflakes falling over a forest.</t>
  </si>
  <si>
    <t>A man in an orange jacket snowmobiles across a snowy field.</t>
  </si>
  <si>
    <t>The man snowboards down the mountain.</t>
  </si>
  <si>
    <t>Two men snowmobile through the forest.</t>
  </si>
  <si>
    <t>A man in a dark jacket snowboards through a route filled with trees.</t>
  </si>
  <si>
    <t>The man in the orange jacket looks at the camera.</t>
  </si>
  <si>
    <t>The man in the orange jacket snowmobiles down a very steep mountain.</t>
  </si>
  <si>
    <t>The man in the orange jacket snowmobiles off a jump and does tricks.</t>
  </si>
  <si>
    <t>The man in the orange jacket starts a fire.</t>
  </si>
  <si>
    <t>The man in the dark jacket continues to ski through treacherous areas filled with trees.</t>
  </si>
  <si>
    <t>v_7wyt_-SoudU</t>
  </si>
  <si>
    <t>man is welding a machine in a dark room.</t>
  </si>
  <si>
    <t>man is welding a metal pot and smoke is spreading out of the pot.</t>
  </si>
  <si>
    <t>man is wearing welding mask in a dark room welding something.</t>
  </si>
  <si>
    <t>v_5aUWT0CmJlc</t>
  </si>
  <si>
    <t>A close up shots of a man riding around is shown and leads into him taking off part of his shows.</t>
  </si>
  <si>
    <t>He shows off several objects and pushes a puck along some ice while the camera sits on the object and the man follows behind.</t>
  </si>
  <si>
    <t>v_0cYB-WFrVxk</t>
  </si>
  <si>
    <t>A boat pulls a person out of the water.</t>
  </si>
  <si>
    <t>They stand up and start water skiing behind the boat.</t>
  </si>
  <si>
    <t>The person falls and lets go of the rope.</t>
  </si>
  <si>
    <t>v_AUwam1VhQm0</t>
  </si>
  <si>
    <t>A large slide is shown with dozens of children climbing up and going down.</t>
  </si>
  <si>
    <t>Children run up and down the side and continue to ride down the slide.</t>
  </si>
  <si>
    <t>The camera pans all around the slides and shows the kids going down.</t>
  </si>
  <si>
    <t>v_OJYajhN1RHs</t>
  </si>
  <si>
    <t>A woman does a hair dressing routine by brushing and blowdrying hair.</t>
  </si>
  <si>
    <t>The woman sits and has the hairdresser work her magic in under ten minutes.</t>
  </si>
  <si>
    <t>v_Jmip8PuILhM</t>
  </si>
  <si>
    <t>A woman paints a square frame with legs.</t>
  </si>
  <si>
    <t>She turns it and paints another side.</t>
  </si>
  <si>
    <t>The camera pans to flowers.</t>
  </si>
  <si>
    <t>v_Y6rHCVo28kM</t>
  </si>
  <si>
    <t>A person is seen sitting in a chair with a woman standing behind him cutting his hair.</t>
  </si>
  <si>
    <t>She continuously combs his hair and measures it along the side.</t>
  </si>
  <si>
    <t>She finally finishes the cut and fades away from his face.</t>
  </si>
  <si>
    <t>v_EBdkGs_jFDw</t>
  </si>
  <si>
    <t>A person cleans a window screen, and then puts detergent on the lower part of the window and brush.</t>
  </si>
  <si>
    <t>Then, the person cleans the borders of the window with a cloth, and shows the dirt in the cloth.</t>
  </si>
  <si>
    <t>After, the person takes a bottle from the sill and continues cleaning the borders of the window screen.</t>
  </si>
  <si>
    <t>v_L9gznB55hhE</t>
  </si>
  <si>
    <t>A young woman is sitting on a step and then a poster saying I can do it is shown.</t>
  </si>
  <si>
    <t>The girl comes back and continues talking about what she is about to do.</t>
  </si>
  <si>
    <t>She then brings up a knife and talks about it as the camera zooms in on it.</t>
  </si>
  <si>
    <t>She then starts cutting a stick and words are displayed at the bottom showing the steps needed to complete the fire.</t>
  </si>
  <si>
    <t>A pocket knife is pulled out and she begins cutting a small piece of tinder.</t>
  </si>
  <si>
    <t>v_xWIKFgygROg</t>
  </si>
  <si>
    <t>A man wearing an earring looks to the side.</t>
  </si>
  <si>
    <t>He is shown holding up a bow and arrow, aiming, then shooting at his target.</t>
  </si>
  <si>
    <t>The scene is repeated several times.</t>
  </si>
  <si>
    <t>v_uVcyJg_3Fj8</t>
  </si>
  <si>
    <t>A time lapse video is shown of people walking around a house.</t>
  </si>
  <si>
    <t>Later, they begin to put up a Christmas tree with two people involved in the process.</t>
  </si>
  <si>
    <t>They put lights on the tree and light them up.</t>
  </si>
  <si>
    <t>Next, they begin to put several different ornaments on the tree.</t>
  </si>
  <si>
    <t>Lastly, they put the skirt under the tree and end the video with a kiss.</t>
  </si>
  <si>
    <t>v_qz47x5-R-BU</t>
  </si>
  <si>
    <t>band is in stage and the front man is singing.</t>
  </si>
  <si>
    <t>woman is playing drums wearing a black cap.</t>
  </si>
  <si>
    <t>v_xRfSkg8j7Dg</t>
  </si>
  <si>
    <t>A garden is shown from the outside of a house.</t>
  </si>
  <si>
    <t>The camera turns to take in various plants and flowers.</t>
  </si>
  <si>
    <t>We then get a good look at the grass.</t>
  </si>
  <si>
    <t>v_wBiRGLLjFVU</t>
  </si>
  <si>
    <t>Boys balance on slack lines and do various tricks.</t>
  </si>
  <si>
    <t>People balances on a slack line in a park and slowly walks across the length of the rope between two trees.</t>
  </si>
  <si>
    <t>Boys balance across a slack line placed over a small pond at a park.</t>
  </si>
  <si>
    <t>v_Bnw54GNBKlU</t>
  </si>
  <si>
    <t>woman is sitting in a sidewalk talking to the camera next to a green bucket.</t>
  </si>
  <si>
    <t>woman is jumping on sidewalk playing trick.</t>
  </si>
  <si>
    <t>another woman is in the sidewalk jumping playing trick.</t>
  </si>
  <si>
    <t>v_xcworhtkwNY</t>
  </si>
  <si>
    <t>A band is seated outside on asphalt.</t>
  </si>
  <si>
    <t>They are playing a series of drums with sticks and their hands.</t>
  </si>
  <si>
    <t>Numerous people pass by on foot and bike.</t>
  </si>
  <si>
    <t>v_fxEcsM0EaA4</t>
  </si>
  <si>
    <t>People are jumping rope on a stage.</t>
  </si>
  <si>
    <t>They switch places and a different person starts jumping.</t>
  </si>
  <si>
    <t>A man stands and holds the jump rope.</t>
  </si>
  <si>
    <t>v_whcxrkF2hws</t>
  </si>
  <si>
    <t>The Province of Albay seal is shown.</t>
  </si>
  <si>
    <t>Several team members are on a court outdoors, playing volleyball.</t>
  </si>
  <si>
    <t>They lob the ball back and forth over the net in front of an audience.</t>
  </si>
  <si>
    <t>Afterward, they celebrate, laughing and smiling.</t>
  </si>
  <si>
    <t>v_LHe5cTzHB3o</t>
  </si>
  <si>
    <t>There are two men boxing in an indoor boxing room that has mirrors on one entire wall.</t>
  </si>
  <si>
    <t>There is another person standing in the same room who is video taping them fight.</t>
  </si>
  <si>
    <t>The boxer in the red shorts punches the boxer in the black shorts.</t>
  </si>
  <si>
    <t>The boxer in black falls down and lands on his back and groans.</t>
  </si>
  <si>
    <t>Then he stands right back up while the boxer in red walks around him.</t>
  </si>
  <si>
    <t>v__4CLYKFzmoY</t>
  </si>
  <si>
    <t>A young man is wearing headphones and standing in front of a microphone.</t>
  </si>
  <si>
    <t>He begins playing the violin.</t>
  </si>
  <si>
    <t>He closes his eyes, listening to himself as he plays.</t>
  </si>
  <si>
    <t>v_sYhUC2uQR7I</t>
  </si>
  <si>
    <t>A gym room with several large boxing bags aligned along the perimeter of the room is shown.</t>
  </si>
  <si>
    <t>A group of guys then come in the building and they start to run around the bags as a warm up.</t>
  </si>
  <si>
    <t>Once they are finished,the men pair up with one another and three groups are shown boxing one another.</t>
  </si>
  <si>
    <t>A bumper sticker then appears saying,"Keep your Eyes on the Prize" and then more pairs of men begin kick boxing.</t>
  </si>
  <si>
    <t>v_ejzgfj6QKB8</t>
  </si>
  <si>
    <t>A man is in a yard with a cricket bat.</t>
  </si>
  <si>
    <t>He flips the bat over and over again.</t>
  </si>
  <si>
    <t>He trips, then kicks the ball into the air, hitting it.</t>
  </si>
  <si>
    <t>v_AzNHZyeXHBM</t>
  </si>
  <si>
    <t>A woman is standing on a track talking.</t>
  </si>
  <si>
    <t>She jumps into a pile of sand.</t>
  </si>
  <si>
    <t>She is sprinting down the track.</t>
  </si>
  <si>
    <t>It shows her stretching and jumping into a pile of sand.</t>
  </si>
  <si>
    <t>v_2EfjOGiEeJs</t>
  </si>
  <si>
    <t>The camera pans around a large group of people wandering around and leads into people playing a soccer match.</t>
  </si>
  <si>
    <t>The players are shown watching on the side and show more shots of the people and the city.</t>
  </si>
  <si>
    <t>v_nHkVfEKklJA</t>
  </si>
  <si>
    <t>A young boy jokes around sitting at a drum set.</t>
  </si>
  <si>
    <t>A boy plays a drum set at home.</t>
  </si>
  <si>
    <t>The parents watch the boy play the drums.</t>
  </si>
  <si>
    <t>v_l4YcjFl6SDc</t>
  </si>
  <si>
    <t>A hand is rubbing a chalk to a blue tip.</t>
  </si>
  <si>
    <t>The man is concentrating on the pool table, slowly hit the ball with the billiard stick.</t>
  </si>
  <si>
    <t>An old man with beard is giving interview.</t>
  </si>
  <si>
    <t>The man is arranging the ball on the table and then hit them and they all went into the holes.</t>
  </si>
  <si>
    <t>v_GQzwzOM9db8</t>
  </si>
  <si>
    <t>The athlete who is wearing gray tights and black shirt with number 2 on it started go on the beam and started to swirl around.</t>
  </si>
  <si>
    <t>When he got of from the beam, he walked towards the yellow container that contains white powder, then went back to the beam and did his tricks by swirling around.</t>
  </si>
  <si>
    <t>v_jxAZc0VgG4w</t>
  </si>
  <si>
    <t>An athletic woman is shown running down a track and jumping into a large sand pit.</t>
  </si>
  <si>
    <t>Her jump is then shown again several times in slow motion and another runner takes a turn at the jump.</t>
  </si>
  <si>
    <t>Her jump is shown again in slow motion and she waves to the audience while smiling.</t>
  </si>
  <si>
    <t>v_ShT4biEuQDo</t>
  </si>
  <si>
    <t>A shirtless man is shoving snow outside at the curb.</t>
  </si>
  <si>
    <t>He waves his hands around and motions at the passing cars.</t>
  </si>
  <si>
    <t>He continues to wave and roll his hands in the air as more cars pass.</t>
  </si>
  <si>
    <t>He continues shoveling the snow.</t>
  </si>
  <si>
    <t>v_XU8FzYcRat4</t>
  </si>
  <si>
    <t>A small group of men are seen standing on a sandy field hitting a ball back and fourth.</t>
  </si>
  <si>
    <t>The men begin a game of volleyball and hit the ball all around the area.</t>
  </si>
  <si>
    <t>The men continue playing while the camera captures them moving around.</t>
  </si>
  <si>
    <t>v_c8LevTVQ5nk</t>
  </si>
  <si>
    <t>A young boy is seen opening up presents with another's help and various shots of him playing a drum he received.</t>
  </si>
  <si>
    <t>The mother is interviewed and shows more shots of the boy playing several different instruments.</t>
  </si>
  <si>
    <t>It finally shows the boy grown up and ends with information for a movie trailer.</t>
  </si>
  <si>
    <t>v_Z3NtsxP6w-g</t>
  </si>
  <si>
    <t>A man is seen speaking to the camera and leads into actors being interviewed about a film.</t>
  </si>
  <si>
    <t>Several shots of the film is shown as well as stills from other movies and appearances together.</t>
  </si>
  <si>
    <t>The couple is then shown performing a tango routine on a large stage and ends by posing on stage with the audience cheering.</t>
  </si>
  <si>
    <t>v_KHOTebb8UC8</t>
  </si>
  <si>
    <t>A woman is talking about an elliptical exercise machine specially designed for women.</t>
  </si>
  <si>
    <t>Alongside her is the pro fitness expert who is demonstrating how the machine works.</t>
  </si>
  <si>
    <t>He shows the buttons that need to be pressed in order to start the elliptical.</t>
  </si>
  <si>
    <t>After he gets the machine started, the lady hops onto the machine and begins using the elliptical.</t>
  </si>
  <si>
    <t>She continues to exercise on the machine as the fitness trainer gives her tips on how the machine will benefit her.</t>
  </si>
  <si>
    <t>v_r1x3hjFWGYM</t>
  </si>
  <si>
    <t>We see an intro screen with contact lenses.</t>
  </si>
  <si>
    <t>We see a man wash his hand and take a contact from a new package.</t>
  </si>
  <si>
    <t>The person holds their eye open and inserts the contact lens.</t>
  </si>
  <si>
    <t>The man smiles and we see his face .</t>
  </si>
  <si>
    <t>We are then shown how to remove the contact lens with instructions.</t>
  </si>
  <si>
    <t>v_Z-kXPcLsxBg</t>
  </si>
  <si>
    <t>A purple rope is attached to a blue one, which is then stretched between two trees.</t>
  </si>
  <si>
    <t>A man bounces and balances on the rope as three other men watch.</t>
  </si>
  <si>
    <t>The other men take turns, some falling and rebalancing.</t>
  </si>
  <si>
    <t>v_hQ4xkr6VpnA</t>
  </si>
  <si>
    <t>First the woman is shown tracing her finger down her neck.</t>
  </si>
  <si>
    <t>Then she moves a part of her hair out of her way and starts to braid a part of her hair.</t>
  </si>
  <si>
    <t>Then she braids another braid that is smaller than the first one, but she connects the hair, by using a couple of strands from the last braid.</t>
  </si>
  <si>
    <t>v_ehO8oXanK1Y</t>
  </si>
  <si>
    <t>A woman does a karate routine with a partner and throws a bunch which is blocked twice.</t>
  </si>
  <si>
    <t>The woman practices a karate chops to her partner who watches and lifts hands.</t>
  </si>
  <si>
    <t>The woman throws a blow to her partner who catches it and throws her to the ground.</t>
  </si>
  <si>
    <t>v_S7RWgSxlZ-M</t>
  </si>
  <si>
    <t>A couple of tools are sitting on the edge of a table.</t>
  </si>
  <si>
    <t>A man adjusts the position of the tools.</t>
  </si>
  <si>
    <t>He uses a knife in the crevices, sharpening the knife.</t>
  </si>
  <si>
    <t>v_r8ZIHLqFPfg</t>
  </si>
  <si>
    <t>Vassen cloud nine red colored contacts are in the container they belong in.</t>
  </si>
  <si>
    <t>A blondish haired woman with brown eyes places one of them in her eye.</t>
  </si>
  <si>
    <t>You can see the difference of the brown and the contact very clearly and it looks pretty great.</t>
  </si>
  <si>
    <t>She then put the other contact in so you are able to see how both lenses look at a distance.</t>
  </si>
  <si>
    <t>v_EzX0FZI6pCg</t>
  </si>
  <si>
    <t>A young man is standing in a netted green circular area.</t>
  </si>
  <si>
    <t>The man is holding a ball and begins to spin himself around and around multiple times and then throws the ball.</t>
  </si>
  <si>
    <t>After he throws the ball he falls hard and quickly onto the ground.</t>
  </si>
  <si>
    <t>v_4j7_nh61bvo</t>
  </si>
  <si>
    <t>The video by TMZ is showing several overweight men as part of the sumo destruction event.</t>
  </si>
  <si>
    <t>It shows a picture of singer George Michael too.</t>
  </si>
  <si>
    <t>There's a panel of people sitting in a studio talking about the event.</t>
  </si>
  <si>
    <t>They are reading a script and laughing.</t>
  </si>
  <si>
    <t>There are pictures of sumo wrestlers shown too.</t>
  </si>
  <si>
    <t>It also shows sumo wrestlers wrestling as spectators watch the event.</t>
  </si>
  <si>
    <t>v_mxZRW_Xy7ks</t>
  </si>
  <si>
    <t>three woman are walking next to a house in a parking lot.</t>
  </si>
  <si>
    <t>people are snowboarding between two fences in a small hall going down a small slope.</t>
  </si>
  <si>
    <t>people are standing in a snowy mountain in snowboards.</t>
  </si>
  <si>
    <t>people are eating sitting outside a tent.</t>
  </si>
  <si>
    <t>people are snwoboarding going down a snowy slope ad doing tricks in mountains.</t>
  </si>
  <si>
    <t>v_DMw9Cb_Xy2A</t>
  </si>
  <si>
    <t>A man shoots an arrow with his bow.</t>
  </si>
  <si>
    <t>He grabs another arrow and shoots again.</t>
  </si>
  <si>
    <t>Once more, he shoots an arrow.</t>
  </si>
  <si>
    <t>He finds another arrow and shoots.</t>
  </si>
  <si>
    <t>He takes another shot of an arrow.</t>
  </si>
  <si>
    <t>Another arrow is grabbed and he shoots.</t>
  </si>
  <si>
    <t>He takes another one and shoots it.</t>
  </si>
  <si>
    <t>He grabs another arrow from his waist and shoots again.</t>
  </si>
  <si>
    <t>He shoots an arrow once more.</t>
  </si>
  <si>
    <t>He grabs a final arrow and shoots.</t>
  </si>
  <si>
    <t>A person walks towards the hay where the arrows have been shot.</t>
  </si>
  <si>
    <t>v_tnXjdv_GM9g</t>
  </si>
  <si>
    <t>A man prepares to run down a track.</t>
  </si>
  <si>
    <t>He runs very fast down the path.</t>
  </si>
  <si>
    <t>He takes a giant leap, landing in the sand.</t>
  </si>
  <si>
    <t>v_7Nj1Y-fyq_c</t>
  </si>
  <si>
    <t>A man dressed in business attire enters a kitchen with some children behind him, he shakes a woman's hand, rubs her shoulder and then introduces the children to the woman, and the whole time black text on the top of the screen reads "'Lying' Ryan has a few minutes to kill before a flight".</t>
  </si>
  <si>
    <t>More clips continue to play of the man in the kitchen, talking, handling cleaning products, and washing dishes, but a lot of negative words about him are appearing on the screen.</t>
  </si>
  <si>
    <t>The man is out of the kitchen now and walking then stops to shake hands and talk to a man, but a negative message about him still appears on the screen.</t>
  </si>
  <si>
    <t>v_ofrkSTRhCE4</t>
  </si>
  <si>
    <t>A woman is seen running down a road while looking at her watch and pointing to things in front of her.</t>
  </si>
  <si>
    <t>She continues running down the street while other people applaud her and she keeps running.</t>
  </si>
  <si>
    <t>v_i-LI4TpJNQ8</t>
  </si>
  <si>
    <t>man is sitting in a kayak next to the sidewalk.</t>
  </si>
  <si>
    <t>man is taking out the kayak from the water.</t>
  </si>
  <si>
    <t>man is in the river holding the row and doing kayaking and other men are beside him.</t>
  </si>
  <si>
    <t>v_b8S0HFHh_p0</t>
  </si>
  <si>
    <t>A man is recording himself in a lever with another man.</t>
  </si>
  <si>
    <t>The ride goes up higher and the man with a hat is talking to the other.</t>
  </si>
  <si>
    <t>The ride reaches the top and the man holds out his arms.</t>
  </si>
  <si>
    <t>He counts down and drops the man down to bungee jump.</t>
  </si>
  <si>
    <t>The man makes it to the bottom safely and the ride comes back down.</t>
  </si>
  <si>
    <t>v_OrVgspx6Axs</t>
  </si>
  <si>
    <t>Outside in oak creek there is some bikers getting ready yo race down the dirt.</t>
  </si>
  <si>
    <t>When the gates go down they all go as fast as they can through the obstacle of dirt.</t>
  </si>
  <si>
    <t>There are a few people sitting by in the stands watching as the bikers go off.</t>
  </si>
  <si>
    <t>They even show some of the kids waiting and having a good time watching the race.</t>
  </si>
  <si>
    <t>v_4vdclFJFrdk</t>
  </si>
  <si>
    <t>A woman practices floor gymnastics while others engage in various activities in the background.</t>
  </si>
  <si>
    <t>A second woman practices floor gymnastics.</t>
  </si>
  <si>
    <t>The two women are shown performing the same action in turn.</t>
  </si>
  <si>
    <t>The first woman is shown practicing more floor gymnastics, with occasional slow motion replays of her action.</t>
  </si>
  <si>
    <t>The second woman is shown performing some sort of pose.</t>
  </si>
  <si>
    <t>The first woman is shown performing gymnastics once again.</t>
  </si>
  <si>
    <t>The second woman is shown stretching her leg in the air.</t>
  </si>
  <si>
    <t>The first woman is shown performing gymnastics once more.</t>
  </si>
  <si>
    <t>The second woman is shown in some sort of pose once again.</t>
  </si>
  <si>
    <t>The first woman is shown performing gymnastics yet again.</t>
  </si>
  <si>
    <t>v_fFWHlFZEm3M</t>
  </si>
  <si>
    <t>A humongous red, black and white ship is shown on the water, then a smaller ship is shown quickly approaching the boat that is filming and suddenly it crashes into the boat and it has black smoke coming from the top of it.</t>
  </si>
  <si>
    <t>A lot of people are shown on the boat with life vests moving quickly about the ship, and men are frantically pulling at rope.</t>
  </si>
  <si>
    <t>A man and a woman are now sweeping the area where the boat was hit and another man is helping to pick up broken pieces.</t>
  </si>
  <si>
    <t>v_VRS48f5tj_c</t>
  </si>
  <si>
    <t>A lady plays the harp and another plays the flute in an orchestra and we see the conductor and return to the flute lady.</t>
  </si>
  <si>
    <t>We see the whole orchestra playing and return to the flute lady and the orchestra cut back and forth.</t>
  </si>
  <si>
    <t>We watch the conductor as he works and see the orchestra.</t>
  </si>
  <si>
    <t>We see the harp again and the orchestra before returning to the harp.</t>
  </si>
  <si>
    <t>v_p2n_FtzA1gk</t>
  </si>
  <si>
    <t>A woman is sitting on the edge of a bath tub.</t>
  </si>
  <si>
    <t>She begins shaving her leg with a razor.</t>
  </si>
  <si>
    <t>She looks at the bottom of the razor.</t>
  </si>
  <si>
    <t>v_aT5S8PcnlXo</t>
  </si>
  <si>
    <t>There's an athlete doing the hammer throw in a large stadium with some spectators and few other players watching him.</t>
  </si>
  <si>
    <t>He begins by swinging the hammer string in his hands while rotating his body.</t>
  </si>
  <si>
    <t>Two people step forward to see where the athlete's ball has landed.</t>
  </si>
  <si>
    <t>The athlete does another hammer throw and the distance of his throw is measured annd his statistics are shown on screen.</t>
  </si>
  <si>
    <t>The spectators in the bleachers watch the sporting event.</t>
  </si>
  <si>
    <t>v_ejkGxGrEdO4</t>
  </si>
  <si>
    <t>A woman and dog are seen standing in a large field performing tricks with a frisbee.</t>
  </si>
  <si>
    <t>The woman and dog are shown in several more clips playing with the frisbee and performing tricks.</t>
  </si>
  <si>
    <t>The dog jumps up and down as well as chases after the frisbee while the woman watches on the side.</t>
  </si>
  <si>
    <t>v_j5WshG7CEYY</t>
  </si>
  <si>
    <t>Two pairs of females are in a room playing a game of Foosball.</t>
  </si>
  <si>
    <t>The girls on the left make two goals and they begin to cheer.</t>
  </si>
  <si>
    <t>v_bRXOj9Jm1_E</t>
  </si>
  <si>
    <t>A man runs and dives into the water on a beach.</t>
  </si>
  <si>
    <t>A man carrying a surf board walks on the beach.</t>
  </si>
  <si>
    <t>People are surfing in the water.</t>
  </si>
  <si>
    <t>A man is sitting in the sand.</t>
  </si>
  <si>
    <t>More people surf in the water.</t>
  </si>
  <si>
    <t>Two ladies in bikinis are on the beach.</t>
  </si>
  <si>
    <t>People are riding waves in the water surfing.</t>
  </si>
  <si>
    <t>v_1MQkI4UafqE</t>
  </si>
  <si>
    <t>The video leads into several clips of young children practicing gymnastic moves in a large gym.</t>
  </si>
  <si>
    <t>The video continues on with the kids flipping and jumping around on the mats.</t>
  </si>
  <si>
    <t>v_ByTL6_iHoIA</t>
  </si>
  <si>
    <t>man is scuba diving under water and saying hi to the camera.</t>
  </si>
  <si>
    <t>people are scuba diving watching the fishes are swimming between rocks.</t>
  </si>
  <si>
    <t>people are under the sea scuba diving recording everything.</t>
  </si>
  <si>
    <t>v_TlwJfzlZZsE</t>
  </si>
  <si>
    <t>A man spins and throws a ball onto the field.</t>
  </si>
  <si>
    <t>Another man spins and throws a ball on the field.</t>
  </si>
  <si>
    <t>People in the stands are huging the athlete.</t>
  </si>
  <si>
    <t>v_kzeKQBi6Rhg</t>
  </si>
  <si>
    <t>An introduction comes onto the screen for a video about how to play different songs on the violin.</t>
  </si>
  <si>
    <t>A man comes onto the screen with a violin and begins to explain different techniques for playing the violin.</t>
  </si>
  <si>
    <t>He moves closer to the camera so that you can see the detail of what he is doing with his hands.</t>
  </si>
  <si>
    <t>He begins to play different notes on the violin as he moves his fingers.</t>
  </si>
  <si>
    <t>The video ends with the closing credits shown across the screen.</t>
  </si>
  <si>
    <t>v_c9mrRiwmhZw</t>
  </si>
  <si>
    <t>A man is standing in front of the camera talking and then moves behind the table.</t>
  </si>
  <si>
    <t>On the table,he has wrapping paper,a yard stick,tape and a pencil and moves them to the other side of the box.</t>
  </si>
  <si>
    <t>The box is then picked up and placed on top of the wrapping paper and the man measures the wrapping paper.</t>
  </si>
  <si>
    <t>The wrapping paper is then taped and the rest is measured before it taped.</t>
  </si>
  <si>
    <t>v_orR865dd2l4</t>
  </si>
  <si>
    <t>A woman and man play shuffleboard outside.</t>
  </si>
  <si>
    <t>The woman goes first and then the man takes his turn.</t>
  </si>
  <si>
    <t>v_Cx6oTdEq40w</t>
  </si>
  <si>
    <t>A man is shown wearing a helmet and climbing up on a rock wall.</t>
  </si>
  <si>
    <t>He continues to work his way up the rock wall while the camera captures his movements and panning around the mountains and water around them.</t>
  </si>
  <si>
    <t>The climber checks his rope and shakes the clip off of his rope.</t>
  </si>
  <si>
    <t>v_pg-DMwEM3K4</t>
  </si>
  <si>
    <t>People load into orange canoes.</t>
  </si>
  <si>
    <t>People row canoes on a body of water.</t>
  </si>
  <si>
    <t>Two guys paddle their canoe.</t>
  </si>
  <si>
    <t>v_RDq85fMq41s</t>
  </si>
  <si>
    <t>A smiling girl wearing braces and glasses lifts a pink bag above her head as she's standing in front of the middle body of a horse, and the words "Grooming with Erin".</t>
  </si>
  <si>
    <t>Now the horse is fully visible and the girl reaches into her pink bag to grab a brush and begins brushing the horse all over its body from front to back and on each side.</t>
  </si>
  <si>
    <t>The girl goes back to the pink bag, grabs another brush and begins brushing the horse again from head to toe and all around its body on each side.</t>
  </si>
  <si>
    <t>The girl once again goes to the pink to return the brush she was using and grabs another brush where she once again begins to brush the horse from head to toe and on all sides.</t>
  </si>
  <si>
    <t>The girls to the bag to drop the brush and then grabs a green tool, walks over to the horses front left foot, picks it up and begins cleaning out the shoe, then walks around the horse and does the rest of its shoes.</t>
  </si>
  <si>
    <t>When the girl is done with cleaning out the shoes, she returns the tool back to the pink bag and grabs a brush from off camera, brushes the mane, kisses the horse, and then returns the brush back to the pink bag, walks towards the camera and smiles big into it.</t>
  </si>
  <si>
    <t>v_mxIsgAmJHsM</t>
  </si>
  <si>
    <t>A woman spins a rod on the air while spinning and dancing, then she throws the rod high and spins before to catch the rod.</t>
  </si>
  <si>
    <t>The woman continues spinning the rod around body, also throw the rod in the air.</t>
  </si>
  <si>
    <t>Then, the woman rolls the rod on her arms, then she throw the rod in the air and and does a cartwheel before catching the rod.</t>
  </si>
  <si>
    <t>Next, the woman rolls the rod on her neck graciously and end her performance.</t>
  </si>
  <si>
    <t>v_HWymkBdgm1M</t>
  </si>
  <si>
    <t>First the elderly woman goes to hug the young man and then a man in a blue shirt plays the piano beautifully of different melodies.</t>
  </si>
  <si>
    <t>Then two little boys run outside the door while the man who's standing by the door looks tired and pitiful.</t>
  </si>
  <si>
    <t>v_Zev1KxIua7o</t>
  </si>
  <si>
    <t>A large group of people are seen standing in a large field holding instruments.</t>
  </si>
  <si>
    <t>One man leads in front as the group walks away and begins playing as a band.</t>
  </si>
  <si>
    <t>The group continues playing together and ends by walking away.</t>
  </si>
  <si>
    <t>v_1OJa2iiFxfk</t>
  </si>
  <si>
    <t>A young man with a backpack is talking and walking through a station.</t>
  </si>
  <si>
    <t>There is a man sitting on the ground shining a shoe.</t>
  </si>
  <si>
    <t>He applies ointment to the shoe and resumes buffing the shoe.</t>
  </si>
  <si>
    <t>The customer moves his right foot down and places his left foot on the stand and the man starts polishing the shoe.</t>
  </si>
  <si>
    <t>Two men on either side of the shoe shiner is observing the crowd.</t>
  </si>
  <si>
    <t>The shiner continues to buff the left shoe.</t>
  </si>
  <si>
    <t>The train is moving along the station as a crowd walks by.</t>
  </si>
  <si>
    <t>The shiner returns to buffing the right shoe.</t>
  </si>
  <si>
    <t>The shiner wipes the shoe with a cloth.</t>
  </si>
  <si>
    <t>The man resumes buffing the left shoe.</t>
  </si>
  <si>
    <t>The man drops his block and resumes buffing.</t>
  </si>
  <si>
    <t>The man takes the cloth to shine the left shoe.</t>
  </si>
  <si>
    <t>The customer observes his shiny shoes.</t>
  </si>
  <si>
    <t>The customer steps away from the shoe shiner.</t>
  </si>
  <si>
    <t>v_dkG9YRNJllQ</t>
  </si>
  <si>
    <t>A man is seen wearing a reef blower and blowing all around a trampoline.</t>
  </si>
  <si>
    <t>Kids are seen jumping on the trampoline while the man blows around them.</t>
  </si>
  <si>
    <t>The man continues to blow as the kids jump around.</t>
  </si>
  <si>
    <t>v_XlR3u3bROWM</t>
  </si>
  <si>
    <t>A lacrosse team huddles and then practices.</t>
  </si>
  <si>
    <t>A baby is shown and then there are people interviewed.</t>
  </si>
  <si>
    <t>A helmet is shown and more interviews are conducted.</t>
  </si>
  <si>
    <t>v_8xm7fWZ0RmE</t>
  </si>
  <si>
    <t>An Asian man is standing by the keyboard, he is wearing a red shirt with black top inside.</t>
  </si>
  <si>
    <t>Two people, one girl and one boy are sitting, the girl is wearing a white top, while the boy is wearing a white stripe sweater.</t>
  </si>
  <si>
    <t>The man started playing on the keyboard, he has his hands shown, he is wearing a black bead bracelet, then he continue playing while the two people in white is listening.</t>
  </si>
  <si>
    <t>When the man finished playing his keyboard, people cheered for him.</t>
  </si>
  <si>
    <t>v__0IkiqDouX8</t>
  </si>
  <si>
    <t>A camera pans around a large body of water followed by people swimming in the water.</t>
  </si>
  <si>
    <t>Clips are shown of people surfing as well as swimming in the water and smiling to the camera.</t>
  </si>
  <si>
    <t>More clips are shown of people close up moving along the water.</t>
  </si>
  <si>
    <t>v_Fe-DUewB8ok</t>
  </si>
  <si>
    <t>A child boxes a gloved adult kneeing on the floor.</t>
  </si>
  <si>
    <t>The child also practices karate kicks.</t>
  </si>
  <si>
    <t>The adult and child high five with gloved hands.</t>
  </si>
  <si>
    <t>The adult starts to get off the floor.</t>
  </si>
  <si>
    <t>v_njsO-Nlwkmg</t>
  </si>
  <si>
    <t>A child plays with a vacuum attachment piece in a bedroom.</t>
  </si>
  <si>
    <t>The mother vacuums the floor of the bedroom.</t>
  </si>
  <si>
    <t>The child brings the vacuum attachment into the next bedroom.</t>
  </si>
  <si>
    <t>v_VFSSZXuMmgg</t>
  </si>
  <si>
    <t>People are rollerblading and doing tricks.</t>
  </si>
  <si>
    <t>A person is skateboarding at a skate park.</t>
  </si>
  <si>
    <t>A white car is in the street.</t>
  </si>
  <si>
    <t>v_DsUbSyRX-B4</t>
  </si>
  <si>
    <t>Outside at the playground a boy has climbed to the top of the swing set while other children are swinging.</t>
  </si>
  <si>
    <t>The boy at the top is just sitting casually while another child is being pushed by a friend on the swing.</t>
  </si>
  <si>
    <t>She is building up a lot of speed and is going really high.</t>
  </si>
  <si>
    <t>She jumps off but does not land very well at all, she crashed down into the grass.</t>
  </si>
  <si>
    <t>v_TQepyWudKYQ</t>
  </si>
  <si>
    <t>A man stands on a field.</t>
  </si>
  <si>
    <t>The crowd in the stadium cheers on.</t>
  </si>
  <si>
    <t>Players on the field prepare to start a game.</t>
  </si>
  <si>
    <t>The pitcher pitches the ball.</t>
  </si>
  <si>
    <t>The batter tries to hit the ball but misses.</t>
  </si>
  <si>
    <t>The pitchers team excitedly exits the field.</t>
  </si>
  <si>
    <t>v_5YsdlM3Stjo</t>
  </si>
  <si>
    <t>There's a brown horse tied in a stable.</t>
  </si>
  <si>
    <t>A woman in a green shirt and brown boots walks in and begins scrubbing the horse.</t>
  </si>
  <si>
    <t>She continues scrubbing and cleaning the horse on his stomach.</t>
  </si>
  <si>
    <t>She scrubs the horse's neck area and back area thoroughly.</t>
  </si>
  <si>
    <t>She then walks to the horse's other side and continues scrubbing.</t>
  </si>
  <si>
    <t>The horse begins moving his neck and head as she continues scrubbing.</t>
  </si>
  <si>
    <t>Then she goes in front of the horse and cleans his mouth.</t>
  </si>
  <si>
    <t>v_auxBRPzLiIo</t>
  </si>
  <si>
    <t>Three girls are riding stationary bikes.</t>
  </si>
  <si>
    <t>A man is standing in front of them holding a camera.</t>
  </si>
  <si>
    <t>Another man walks in front of them.</t>
  </si>
  <si>
    <t>v_cukeWRPJzf8</t>
  </si>
  <si>
    <t>An underwater view is being shown as a woman dressed like a mermaid is swimming.</t>
  </si>
  <si>
    <t>A large nurse whale swims alongside her.</t>
  </si>
  <si>
    <t>Multiple pictures of the swimming mermaid are shown.</t>
  </si>
  <si>
    <t>v_u-YaDbGZoPk</t>
  </si>
  <si>
    <t>A picture of a scrubber is shown followed by a man using the item on a set of windows.</t>
  </si>
  <si>
    <t>He then wipes down the glass with another rag and points to the window and closing it while credits roll.</t>
  </si>
  <si>
    <t>v_W5g1IIAOZqs</t>
  </si>
  <si>
    <t>People gather in an indoor exhibition.</t>
  </si>
  <si>
    <t>A man and a robot play ping pong in the exhibition.</t>
  </si>
  <si>
    <t>People wears lanyards and watch around the exhibits, while a man explains a person holding two discs.</t>
  </si>
  <si>
    <t>Other people sits in a eating area while reading and texting.</t>
  </si>
  <si>
    <t>v_7OcfzMIZsxA</t>
  </si>
  <si>
    <t>People are eating ice cream cones.</t>
  </si>
  <si>
    <t>A person puts ice cream into an ice cream cone.</t>
  </si>
  <si>
    <t>A woman in glasses talks to the camera.</t>
  </si>
  <si>
    <t>v_jbh_K0yyJFo</t>
  </si>
  <si>
    <t>Two very large men are in the middle of a ring wearing sumo wrestling outfits.</t>
  </si>
  <si>
    <t>They are getting in position and waiting for the referee to tell them to start the match.</t>
  </si>
  <si>
    <t>Once the ref says to start they begin the match both running towards one another immediately.</t>
  </si>
  <si>
    <t>The tan skinned man knocks the other man down tot the ground and he wins the match.</t>
  </si>
  <si>
    <t>v__Rcb5kuhn90</t>
  </si>
  <si>
    <t>A woman manipulates a Rubik's cube while a man watches on in a competitive setting.</t>
  </si>
  <si>
    <t>Two men walk through the camera frame in the background.</t>
  </si>
  <si>
    <t>The woman puts the solved Rubik's cube on the table before her.</t>
  </si>
  <si>
    <t>v_7IIi_92vRLo</t>
  </si>
  <si>
    <t>An intro leads into various pictures of girls with long hair as well as girls who have their hair braided together.</t>
  </si>
  <si>
    <t>A girl's hair length is measured followed by more pictures of her long hair and speaking to the camera.</t>
  </si>
  <si>
    <t>A set of hands is then seen cutting the girl's hair and showing her ponytail to the girl.</t>
  </si>
  <si>
    <t>More pictures of the girl's new hair is shown as well as old pictures of her.</t>
  </si>
  <si>
    <t>v_Zk4Ewz3v6aQ</t>
  </si>
  <si>
    <t>A man wearing a black shirt and black shorts is standing next to an exercise machine.</t>
  </si>
  <si>
    <t>He sits on the exercise machine and starts working out.</t>
  </si>
  <si>
    <t>He stops working out and releases the bar.</t>
  </si>
  <si>
    <t>v_jIb_BfiRsQ4</t>
  </si>
  <si>
    <t>A man fry vegetables in a pan and stir with a large spoon.</t>
  </si>
  <si>
    <t>Then the man brake eggs in a bowl and mix well, after the man add the eggs in the pan to do an omelette.</t>
  </si>
  <si>
    <t>He roll the omelette and flip it in the air, then the man serves the omelette on a dish.</t>
  </si>
  <si>
    <t>v_SbX8KDWMhio</t>
  </si>
  <si>
    <t>A woman is dancing along to some music while standing in front of a television.</t>
  </si>
  <si>
    <t>As she is dancing she begins to smoke a hookah pipe.</t>
  </si>
  <si>
    <t>The camera shows two other women in the room as they dance and smoke the hookah pipe with her.</t>
  </si>
  <si>
    <t>the camera turns to a man that is in the room with a camera taking pictures.</t>
  </si>
  <si>
    <t>v_IGcsVPa34Hc</t>
  </si>
  <si>
    <t>A small girl is making cookies with her mother in her kitchen.</t>
  </si>
  <si>
    <t>She wants her mom to pretend that she is Santa Claus.</t>
  </si>
  <si>
    <t>The laughs and rolls the cookie dough on the cutting board.</t>
  </si>
  <si>
    <t>The mother opens the oven and puts the tray full of cookie dough into the oven for baking.</t>
  </si>
  <si>
    <t>The mother then takes the cookie cutter and makes some more cookies for baking, Then both mother and daughter go through the cookie recipe as they place the cookie dough on the tray.</t>
  </si>
  <si>
    <t>After the cookies are baked, they decorate the cookies with sprinkles and frosting.</t>
  </si>
  <si>
    <t>The girl proudly shows the finished cookie after it's done.</t>
  </si>
  <si>
    <t>v_5ohc1_X2W80</t>
  </si>
  <si>
    <t>Two people are shown pushing around a lawn mower and cutting the lawn.</t>
  </si>
  <si>
    <t>The bump into each other when one turns around the other follows close behind.</t>
  </si>
  <si>
    <t>The male walks up to the house and continues coming back around towards the woman.</t>
  </si>
  <si>
    <t>v_n9teiB6FW84</t>
  </si>
  <si>
    <t>A person is seen riding along a bike trail while a person wearing a camera following from behind.</t>
  </si>
  <si>
    <t>More clips are shown of people riding bikes along the trail while the camera captures it from several angles.</t>
  </si>
  <si>
    <t>v_THOVGzbo8w8</t>
  </si>
  <si>
    <t>A close up of a lacrosse game is shown that leads into a man speaking to the camera.</t>
  </si>
  <si>
    <t>More shots are shown of the game with the players running up and down the field as well as many others speaking to the camera.</t>
  </si>
  <si>
    <t>v_Gp5Vos--_0k</t>
  </si>
  <si>
    <t>A man is seen wearing a helmet and kneeling down in a large room.</t>
  </si>
  <si>
    <t>Uses a torch on an object while another person walks into frame.</t>
  </si>
  <si>
    <t>In the end he zooms in on the object he torched.</t>
  </si>
  <si>
    <t>v_7j8cTyXi5a4</t>
  </si>
  <si>
    <t>A woman is standing behind a table.</t>
  </si>
  <si>
    <t>She picks up a rag and a bottle of oil.</t>
  </si>
  <si>
    <t>She puts oil onto the rag and starts to clean her boots with it.</t>
  </si>
  <si>
    <t>v_zdoGEZO5Ldc</t>
  </si>
  <si>
    <t>A boy sits at a table with a girl beside him.</t>
  </si>
  <si>
    <t>He is trying to solve a rubik's cube while she times him.</t>
  </si>
  <si>
    <t>A counter counts quickly as he tries his best to solve the puzzle.</t>
  </si>
  <si>
    <t>He finally solves the cube, and stands up from the table.</t>
  </si>
  <si>
    <t>v_ypf6WHYpeRU</t>
  </si>
  <si>
    <t>A man is helping a boy fly a kite.</t>
  </si>
  <si>
    <t>A woman is standing next to them.</t>
  </si>
  <si>
    <t>The kites are flying in the sky above water.</t>
  </si>
  <si>
    <t>The man walks up the hill.</t>
  </si>
  <si>
    <t>v_ok3Kpgv0PzE</t>
  </si>
  <si>
    <t>The female gymnast raised her arm as the judge raise the flag.</t>
  </si>
  <si>
    <t>The gymnast jump to the beam, balanced herself, did thumbling several times run and balanced herself and did thumbling.</t>
  </si>
  <si>
    <t>The girl jump of the beam landing to the blue mat.</t>
  </si>
  <si>
    <t>v_ZreBacTw5Hw</t>
  </si>
  <si>
    <t>A highway with signs overhead are shown before we see a beach scene and a set of trophies.</t>
  </si>
  <si>
    <t>A bunch of volleyball players gather to start a game.</t>
  </si>
  <si>
    <t>The game commences, the people trying their best to win.</t>
  </si>
  <si>
    <t>v_Tfqln6lL7q0</t>
  </si>
  <si>
    <t>A camera pans around person's faces on a snowy hill as well as them riding down a mountain.</t>
  </si>
  <si>
    <t>The people continue skiing down the snowy path moving back and fourth and ending by stopping at the bottom.</t>
  </si>
  <si>
    <t>v_WdX_4wwtkGg</t>
  </si>
  <si>
    <t>A man wearing a hat is seen holding up a harmonica and begins playing with his hands.</t>
  </si>
  <si>
    <t>He continues playing the instrument to the camera and ends with him putting the instrument down then holding it up again.</t>
  </si>
  <si>
    <t>v_9yktj7NCdFI</t>
  </si>
  <si>
    <t>Two small children are seen drawing with chalk on a side walk while they occasionally looking back to the camera.</t>
  </si>
  <si>
    <t>The girl is then seen play hop scotch jumping down the chalk while the boy watches from behind.</t>
  </si>
  <si>
    <t>A woman then helps the boy jump followed by the young girl helping.</t>
  </si>
  <si>
    <t>The boy jumps on his own and then leads into the two walking on a sidewalk beam.</t>
  </si>
  <si>
    <t>The girl swings her arms up and then the two jump down.</t>
  </si>
  <si>
    <t>v_vPZf3F3bNAA</t>
  </si>
  <si>
    <t>An athletic man steps up before a track while holding a javelin ad standing ready.</t>
  </si>
  <si>
    <t>The man runs down, throws the javelin, and walks back while his throw is shown again several times in slow motion.</t>
  </si>
  <si>
    <t>In the end he is seen celebrating and running around the field.</t>
  </si>
  <si>
    <t>v_yScYLIJ_txA</t>
  </si>
  <si>
    <t>Six people in helmets race on dirt bikes around a circular, paved track surrounded by grass, game tents and onlookers.</t>
  </si>
  <si>
    <t>The people start the race behind a closed and grated fence, which then opens and allows them to start racing from an elevated platform down onto the paved raceway.</t>
  </si>
  <si>
    <t>The racers pedal with one person in a white jacket in the lead.</t>
  </si>
  <si>
    <t>The race ends with the same person in the white jacket remaining in the lead until they approach the end of the track and an orange, white striped cone.</t>
  </si>
  <si>
    <t>v_GEHPJEgMm_I</t>
  </si>
  <si>
    <t>A young man is shown swinging a tennis racket over and over again while hitting a ball at the same time.</t>
  </si>
  <si>
    <t>He continues to perform this swing several times and hits the ball every time.</t>
  </si>
  <si>
    <t>v_s3OxuR2zsZM</t>
  </si>
  <si>
    <t>A grinder machine is shown on a patio.</t>
  </si>
  <si>
    <t>A man talks while he shows the parts of the machine.</t>
  </si>
  <si>
    <t>He then demonstrates how the machine is used.</t>
  </si>
  <si>
    <t>v_JWFJGkUKVfk</t>
  </si>
  <si>
    <t>A man is kneeling down in a garage looking at tools on the ground.</t>
  </si>
  <si>
    <t>He then grabs a metal mask and positions himself correctly on the floor.</t>
  </si>
  <si>
    <t>Once comfortable,the mask is held in position and he begins firing away at the object on the ground.</t>
  </si>
  <si>
    <t>Finally,he takes it off and begins to chisel the object and beating the rust off of it.</t>
  </si>
  <si>
    <t>v_ycYPyXN0CPg</t>
  </si>
  <si>
    <t>A person is seen wearing a mask over their face and holding a hose in their hand.</t>
  </si>
  <si>
    <t>The person then begins spraying down the fence with the hose.</t>
  </si>
  <si>
    <t>The person continuously sprays along the fence while the camera captures it's movements.</t>
  </si>
  <si>
    <t>v_NURIoQoKk1E</t>
  </si>
  <si>
    <t>An introduction comes onto the screen showing a girl who will demonstrate how she blow dries her hair.</t>
  </si>
  <si>
    <t>She puts some mousse into her hand and proceeds to work it through her hair.</t>
  </si>
  <si>
    <t>She takes out a brow dryer and begins to blow dry her hair from the back to the front.</t>
  </si>
  <si>
    <t>She sections her hair, takes out a brush, and begins to blow dry her hair with the brush.</t>
  </si>
  <si>
    <t>When she is finished, the closing credits for the video show on the screen.</t>
  </si>
  <si>
    <t>v_N1JcXEim40g</t>
  </si>
  <si>
    <t>a woman is standing outside a beam.</t>
  </si>
  <si>
    <t>She mounts the beam, then does several flips and hand springs over the bar.</t>
  </si>
  <si>
    <t>She dismounts, raising her arms in the air.</t>
  </si>
  <si>
    <t>v_tRatWgaZ-a0</t>
  </si>
  <si>
    <t>A person is shown swimming through a pool while others swim around her.</t>
  </si>
  <si>
    <t>The people pass a ball around in the water while another team of players play int eh background.</t>
  </si>
  <si>
    <t>v_7_xkhnbnI7M</t>
  </si>
  <si>
    <t>A lady holds a cat in her lap on the floor.</t>
  </si>
  <si>
    <t>The lady then clips the cats claws.</t>
  </si>
  <si>
    <t>The cat tries to escape and the person calms the cat with a hair holder.</t>
  </si>
  <si>
    <t>The cat tries hard to escape.</t>
  </si>
  <si>
    <t>The lady finishes an the cat runs off and we see another cat sitting on a bed surrounded by clutter.</t>
  </si>
  <si>
    <t>v_5yGj9JooT_Q</t>
  </si>
  <si>
    <t>Two men are fighting with bows and arrows in a room.</t>
  </si>
  <si>
    <t>A man jumps off a stack of mats.</t>
  </si>
  <si>
    <t>Another man does a flip off the wall.</t>
  </si>
  <si>
    <t>v_85HxidMLf5Y</t>
  </si>
  <si>
    <t>A man cleans a small board of wood with a cloth in a workshop.</t>
  </si>
  <si>
    <t>Then, the man uses flannel to polish the wood board thoroughly.</t>
  </si>
  <si>
    <t>v_o8n1YnT8ZZ8</t>
  </si>
  <si>
    <t>Lemons are juiced one at a time and then put in a pot with sugar.</t>
  </si>
  <si>
    <t>Sparkling water is added and then the mixture is added to this creating sparkling lemonade.</t>
  </si>
  <si>
    <t>v_2eep4G5Tgho</t>
  </si>
  <si>
    <t>A man is outside of a building.</t>
  </si>
  <si>
    <t>He is using commercial lawn mowing equipment.</t>
  </si>
  <si>
    <t>He walks back and forth as he mows the grass.</t>
  </si>
  <si>
    <t>v_8z8FprjMNbI</t>
  </si>
  <si>
    <t>An elderly woman wearing glasses is standing in front of a car.</t>
  </si>
  <si>
    <t>She walks over to the car, and cannot get the door open at first.</t>
  </si>
  <si>
    <t>She gets inside the car, then gets out and cleans the snow off the car before getting back in and driving away.</t>
  </si>
  <si>
    <t>v_QakbOSMJ0AA</t>
  </si>
  <si>
    <t>A close up of a man's face is seen followed by a razor on the side and the person combing it's hair.</t>
  </si>
  <si>
    <t>The person continues shaving and combing the mans hair as well as shaving his beard covering in shaving cream.</t>
  </si>
  <si>
    <t>The man wipes off the face when he's done and showing off the clean shave.</t>
  </si>
  <si>
    <t>v_1ezOsdHncXo</t>
  </si>
  <si>
    <t>Drawings of hand soap bottles and humans are shown.</t>
  </si>
  <si>
    <t>A little girl is standing next to a white sink, she opened the faucet, wash her hand, rub her hand with soap, rinse her hand thoroughly, turned off the water and smiled at the camera.</t>
  </si>
  <si>
    <t>v_ETZOazHvdZg</t>
  </si>
  <si>
    <t>We see a bowler in front of a crowd stand and hold the ball.</t>
  </si>
  <si>
    <t>the bowler throws a strike and the crowd claps, a lady holds her hands in front of her face and the bowler wipes his hands.</t>
  </si>
  <si>
    <t>The man throws another strike and falls.</t>
  </si>
  <si>
    <t>He rises from the ground as the crowd claps.</t>
  </si>
  <si>
    <t>the man throws a third strike and is seen laying on the ground.</t>
  </si>
  <si>
    <t>He gets up and shakes the hand of men around and we see a lady holding her hands in front of her face.</t>
  </si>
  <si>
    <t>We then see an older man talking alone in a room.</t>
  </si>
  <si>
    <t>v_N7ppHQNikv8</t>
  </si>
  <si>
    <t>There is a boy sitting on a beach building sand castles with a water bottle and a sand bucket.</t>
  </si>
  <si>
    <t>Another little boy wearing a pink float comes running and joins him.</t>
  </si>
  <si>
    <t>The boy pours some water on the sand castle.</t>
  </si>
  <si>
    <t>Then a girls wearing a pink floral bathing suit joins the boys and helps them build the sand castle.</t>
  </si>
  <si>
    <t>v_zTzF5R_VhGk</t>
  </si>
  <si>
    <t>A man in glasses and beret is talking.</t>
  </si>
  <si>
    <t>He is shown playing a harmonica while he also plays a keyboard.</t>
  </si>
  <si>
    <t>He talks about the mechanics of the hormonica in between playing.</t>
  </si>
  <si>
    <t>v_M6sXLVNtTSA</t>
  </si>
  <si>
    <t>A group of men, boys and camels are in a desert area.</t>
  </si>
  <si>
    <t>One man is sitting on a camel.</t>
  </si>
  <si>
    <t>The man explains the correct way to ride a camel.</t>
  </si>
  <si>
    <t>A man in the background holds a video camera.</t>
  </si>
  <si>
    <t>Another man hands the camels reigns to the man riding and the camel starts walking.</t>
  </si>
  <si>
    <t>The camel turns it's head around and yells at the man riding him.</t>
  </si>
  <si>
    <t>The man riding kicks the camel in the side and he starts walking again.</t>
  </si>
  <si>
    <t>v_1KKVWzCwRSA</t>
  </si>
  <si>
    <t>Several different men are seen trying to snow board but, falling down over and over.</t>
  </si>
  <si>
    <t>Many different people are in the background watching and doing different things in the snow.</t>
  </si>
  <si>
    <t>The man that were falling give up and stay in a sitting position.</t>
  </si>
  <si>
    <t>v_1Dpm9kvn3M8</t>
  </si>
  <si>
    <t>A man is seen speaking to the camera while holding up a cigarette.</t>
  </si>
  <si>
    <t>The man takes several puffs out of the cigarette while still looking back to the camera.</t>
  </si>
  <si>
    <t>He continues smoking and looking back up to the camera.</t>
  </si>
  <si>
    <t>v_3HHAEmr0Q34</t>
  </si>
  <si>
    <t>A man is seen standing on a court holding down a tennis racket.</t>
  </si>
  <si>
    <t>The man then bounces the racket down and hits the tennis ball balancing on top.</t>
  </si>
  <si>
    <t>His hit is shown again in slow motion.</t>
  </si>
  <si>
    <t>v_QGZN8aXpXHU</t>
  </si>
  <si>
    <t>We see a boy in a jacket standing outside and talking.</t>
  </si>
  <si>
    <t>The boy goes in a building .</t>
  </si>
  <si>
    <t>The boy sits in a chair and test a haircut.</t>
  </si>
  <si>
    <t>The lady then uses scissors.</t>
  </si>
  <si>
    <t>We see the kid with his new hair cut.</t>
  </si>
  <si>
    <t>The lady give the little boy a red balloon.</t>
  </si>
  <si>
    <t>We see the boy as he walks to the door.</t>
  </si>
  <si>
    <t>v_Xbk1XePzTIA</t>
  </si>
  <si>
    <t>A man introduces himself to the camera and says he will show how to build a fire.</t>
  </si>
  <si>
    <t>He begins to break his starting stick and put leaves at the bottom of his filled fire pit.</t>
  </si>
  <si>
    <t>He turns on the lighter and starts at the bottom with the leaves.</t>
  </si>
  <si>
    <t>We see the full fire at night.</t>
  </si>
  <si>
    <t>v_kgmcYBRYkAk</t>
  </si>
  <si>
    <t>A boy in red overalls is playing hopscotch.</t>
  </si>
  <si>
    <t>A woman walks behind him and sits down.</t>
  </si>
  <si>
    <t>The boy finishes and reaches for the person filming.</t>
  </si>
  <si>
    <t>v_8ao9LZLn0Hs</t>
  </si>
  <si>
    <t>Four little girls , dressed in white dresses with red sashes, stand in a line, on a stage and play the violin together.</t>
  </si>
  <si>
    <t>Four little girls begin to play violin on a stage on a stage with a pink backdrop.</t>
  </si>
  <si>
    <t>The girl play together using both hands to play the violin before ending the performance and taking a bow together.</t>
  </si>
  <si>
    <t>v_5x1diXJ8gME</t>
  </si>
  <si>
    <t>A small group of men are seen riding around on various horses holding sticks in their hand and preparing for a game.</t>
  </si>
  <si>
    <t>The men then throw the ball down and all ride around on horses attempting to hit the ball and one scores a goal.</t>
  </si>
  <si>
    <t>A person holds up a flag and shows other people watching on the sides.</t>
  </si>
  <si>
    <t>A person then scores two more goals and the goalies raise their flag each time.</t>
  </si>
  <si>
    <t>v_Rewtuc-f6wU</t>
  </si>
  <si>
    <t>a boy is holding a very long pole.</t>
  </si>
  <si>
    <t>The camera turns upright suddenly.</t>
  </si>
  <si>
    <t>the boy runs with the pole, vaulting over a bar and onto a mat.</t>
  </si>
  <si>
    <t>v_Rl6US0JizDs</t>
  </si>
  <si>
    <t>An introduction comes onto the screen for a video about mixing a drink called the "Yah Yah".</t>
  </si>
  <si>
    <t>She goes over all the ingredients needed for the drink.</t>
  </si>
  <si>
    <t>She begins by taking a glass and filling it with ice.</t>
  </si>
  <si>
    <t>She add all the ingredients to the glass over the ice.</t>
  </si>
  <si>
    <t>v_VRiUhsafjRM</t>
  </si>
  <si>
    <t>We see a person waving something.</t>
  </si>
  <si>
    <t>A white screen then two boys in the kitchen.</t>
  </si>
  <si>
    <t>We see a counter with ingredient.</t>
  </si>
  <si>
    <t>The boys then mix ingredients in a bowl.</t>
  </si>
  <si>
    <t>We see a person shift flour in a bowl.</t>
  </si>
  <si>
    <t>Someone stirs the cookie dough in a bowl.</t>
  </si>
  <si>
    <t>The dough is put on a sheet.</t>
  </si>
  <si>
    <t>A boy washes the dishes.</t>
  </si>
  <si>
    <t>The cookies are put in an oven.</t>
  </si>
  <si>
    <t>A boy plays a guitar the other boy sings.</t>
  </si>
  <si>
    <t>Each boy eats a cookie and we see them come out of the oven.</t>
  </si>
  <si>
    <t>A poked cookie breaks apart.</t>
  </si>
  <si>
    <t>A boy shakes his head yes and plays with a big black dog.</t>
  </si>
  <si>
    <t>v_61W153jXL3U</t>
  </si>
  <si>
    <t>A man is showing washing his face with water into a sink and putting lotion into his hand.</t>
  </si>
  <si>
    <t>He rubs the soap together in his hands and massages into his face thoroughly.</t>
  </si>
  <si>
    <t>He then wipes his face off with a towel and speaking to the camera and pouring more lotion.</t>
  </si>
  <si>
    <t>He once again presses the lotion into his face and a recap is shown of his face.</t>
  </si>
  <si>
    <t>v_LFiGhD1OEws</t>
  </si>
  <si>
    <t>A group of young people play field hockey on a field while a man watches from a fence bordering the playing field.</t>
  </si>
  <si>
    <t>A man in field hockey goal gear stands in the center of a semi circle formed by young people dressed in field hockey attire.</t>
  </si>
  <si>
    <t>The man interviews from the sidelines while the people play field hockey and at one point is presented with a burgundy jersey by the players.</t>
  </si>
  <si>
    <t>The man then plays a game of field hockey in which he ends standing in the semi circle again tossing a ball up and down and looking into the camera while surrounded by players.</t>
  </si>
  <si>
    <t>v_00Dk03Jr70M</t>
  </si>
  <si>
    <t>A man enters a room and piles plaster onto a base.</t>
  </si>
  <si>
    <t>The man adds swipes the plaster on the wall then gets more and adds it.</t>
  </si>
  <si>
    <t>The man gets more plaster and swipes it on the wall.</t>
  </si>
  <si>
    <t>The man then walks and turns off the camera.</t>
  </si>
  <si>
    <t>v_5xI8T41HejM</t>
  </si>
  <si>
    <t>man and woman are standing on top of a big rock jumping into a lake.</t>
  </si>
  <si>
    <t>wo guys are sitting on a side of the rock talking with a woman on the lake.</t>
  </si>
  <si>
    <t>v_d3crFny-e3E</t>
  </si>
  <si>
    <t>A large cliff is seen near the ocean.</t>
  </si>
  <si>
    <t>Several boats are nearby, and people are kayaking through the area.</t>
  </si>
  <si>
    <t>A man is rappeling up the side of the cliff.</t>
  </si>
  <si>
    <t>He stands triumphantly on the back of a small boat.</t>
  </si>
  <si>
    <t>v_ta4QlTBHTTw</t>
  </si>
  <si>
    <t>A man demonstrates Tai Chi combat with other person.</t>
  </si>
  <si>
    <t>The man performs Tai Chi while talking, then he shows the movements with the man.</t>
  </si>
  <si>
    <t>After, the man moves the body and the hands while explaining.</t>
  </si>
  <si>
    <t>v_pIv2jZdHP0k</t>
  </si>
  <si>
    <t>A pair of shoes is on the floor, and a man wearing socks stands behind them.</t>
  </si>
  <si>
    <t>He takes out a shoestring and begins lacing the shoes.</t>
  </si>
  <si>
    <t>He then puts the shoes on, and shows how they look.</t>
  </si>
  <si>
    <t>v_w1qa9NOiFbE</t>
  </si>
  <si>
    <t>Scenes of a small rural village under a heavy rainstorm are shown.</t>
  </si>
  <si>
    <t>A woman washes items by a container in the rain while other individuals stand around.</t>
  </si>
  <si>
    <t>A close up of a wash basin by the container is shown.</t>
  </si>
  <si>
    <t>v_jC1He93cebg</t>
  </si>
  <si>
    <t>A woman is seen standing on a piece of exercise equipment and moving herself around.</t>
  </si>
  <si>
    <t>The woman moves her feet on the machine as well as showing how the machine works.</t>
  </si>
  <si>
    <t>Another man is seen exercising and ends with text on the screen.</t>
  </si>
  <si>
    <t>v_kTSuw4T-_Nk</t>
  </si>
  <si>
    <t>A woman is seen sitting in a chair looking down with others beside her.</t>
  </si>
  <si>
    <t>The camera pans all around the people sitting and leads to one putting an objects on his leg.</t>
  </si>
  <si>
    <t>She rips off the object showing the hair as well as his leg and others laughing.</t>
  </si>
  <si>
    <t>v_2gV2apTrRHs</t>
  </si>
  <si>
    <t>A police officer spins around while dancing.</t>
  </si>
  <si>
    <t>The boy does a hand stand.</t>
  </si>
  <si>
    <t>The police officer does a disco John Travolta dance.</t>
  </si>
  <si>
    <t>The police officer does a break dancing routine.</t>
  </si>
  <si>
    <t>The group of children walk together on the grass.</t>
  </si>
  <si>
    <t>v_v-qFJJx0bTs</t>
  </si>
  <si>
    <t>A large group of people are seen standing on each side of a rope with many people watching on the sides.</t>
  </si>
  <si>
    <t>The men then begin a game of tug of war with one another with one man helping teams on the side and ends with one team falling down.</t>
  </si>
  <si>
    <t>v_dot-t-Nen_k</t>
  </si>
  <si>
    <t>A man is standing in front of a net.</t>
  </si>
  <si>
    <t>A man is standing in front of a wood fence.</t>
  </si>
  <si>
    <t>Men are playing lacrosse on a field.</t>
  </si>
  <si>
    <t>v_fzwNgtDwgKQ</t>
  </si>
  <si>
    <t>A man drives in circles a four wheels motorcycle in a field with high weeds while dust.</t>
  </si>
  <si>
    <t>Then, the man goes to another place to continue driving in circles.</t>
  </si>
  <si>
    <t>v_DPw74KWZzGY</t>
  </si>
  <si>
    <t>Two people are seen sitting in front of cameras playing instruments while the camera zooms in.</t>
  </si>
  <si>
    <t>The man then sings to the camera while playing his instrument and speaks to the camera, ending with the two playing again.</t>
  </si>
  <si>
    <t>v_4XavNhCs-Do</t>
  </si>
  <si>
    <t>There is man wearing a blue shirt and another man in black seated on a rock, talking about rock climbing.</t>
  </si>
  <si>
    <t>They are seated at a very high altitude in the mountains.</t>
  </si>
  <si>
    <t>The person in blue is demonstrating how the rope is fastened from the rocks.</t>
  </si>
  <si>
    <t>He is also showing tight rope walking from one end to another.</t>
  </si>
  <si>
    <t>Then the person in black also walks on a tight rope.</t>
  </si>
  <si>
    <t>v_Gi1N3FtCZGo</t>
  </si>
  <si>
    <t>a boy is inside a gym.</t>
  </si>
  <si>
    <t>He lifts a barbell up to his chest.</t>
  </si>
  <si>
    <t>He pauses, then lifts it over his head.</t>
  </si>
  <si>
    <t>v_P-YyUw0iuBQ</t>
  </si>
  <si>
    <t>A group of boys are seen sitting around talking to one another and playing various games.</t>
  </si>
  <si>
    <t>The men hit one another while they switch places and continue to play more games.</t>
  </si>
  <si>
    <t>v_xBO66pI09rE</t>
  </si>
  <si>
    <t>A family is shown doing mouthwash.</t>
  </si>
  <si>
    <t>One woman tries to laugh and is successful in not spitting it up.</t>
  </si>
  <si>
    <t>v_0hfKWxuVT5k</t>
  </si>
  <si>
    <t>Several bodies of water are shown and a man appears paddling a small boat.</t>
  </si>
  <si>
    <t>Several other people are then shown paddling throughout the city in a small boats,passing several trees and city buildings.</t>
  </si>
  <si>
    <t>As they continue there journey,they pass under bridges,restaurants and other landmarks and then there names appear across the screen.</t>
  </si>
  <si>
    <t>v_UEtVbSLGhfY</t>
  </si>
  <si>
    <t>A person leads a large dog on a leash back and fourth on a hard wood floor.</t>
  </si>
  <si>
    <t>The dog drags the woman person around behind him and looks out the door and smiles.</t>
  </si>
  <si>
    <t>v_wsmMniNThlI</t>
  </si>
  <si>
    <t>Two people are horseback riding on a snowy trail.</t>
  </si>
  <si>
    <t>As they are riding they pass a set of glass igloos planted on the estate.</t>
  </si>
  <si>
    <t>They reach a clearing where there is open land and several trees.</t>
  </si>
  <si>
    <t>v_2xmu01HHhKY</t>
  </si>
  <si>
    <t>We see a lady slowly playing a drum.</t>
  </si>
  <si>
    <t>We pan right and see a man on drums.</t>
  </si>
  <si>
    <t>We see a person in orange enter.</t>
  </si>
  <si>
    <t>The lady stops drumming and shows her hands.</t>
  </si>
  <si>
    <t>We then see the camera operator.</t>
  </si>
  <si>
    <t>The lady and the boy in orange struggle over an instrument.</t>
  </si>
  <si>
    <t>The lady pretends to bite the boy, then laughs.</t>
  </si>
  <si>
    <t>We see a man enter the room.</t>
  </si>
  <si>
    <t>v_ru7UAr2488M</t>
  </si>
  <si>
    <t>hockey players are getting out the dressers to a field.</t>
  </si>
  <si>
    <t>hockey players are skating in an ice court in a roofed gym.</t>
  </si>
  <si>
    <t>mani s welding something in a dark room and the players are in the court playing.</t>
  </si>
  <si>
    <t>men are sitting on bus looking at his phones and seeing though the window and in the dressers geting ready to play and in the field.</t>
  </si>
  <si>
    <t>v_qXQBHaML9Xg</t>
  </si>
  <si>
    <t>A person flips over another person and gets thrown into the bushes.</t>
  </si>
  <si>
    <t>A person in a red shirt starts running towards them.</t>
  </si>
  <si>
    <t>v_5LveCNjz_zg</t>
  </si>
  <si>
    <t>A woman is holding a black cat snuggled in a purple blanket.</t>
  </si>
  <si>
    <t>The cat is meowing as the woman holds her paws.</t>
  </si>
  <si>
    <t>there's another man with nail clippers, slipping the cat's nails.</t>
  </si>
  <si>
    <t>The cat meows loudly in pain and the woman kisses the cat to calm her down.</t>
  </si>
  <si>
    <t>The man continues to clip the cat's nails as the woman cajoles the cat and kisses the cat's ears.</t>
  </si>
  <si>
    <t>The man continues clipping the nails until he's done.</t>
  </si>
  <si>
    <t>v_BmZwZLKxHCY</t>
  </si>
  <si>
    <t>A little girl is sitting in a rocking chair.</t>
  </si>
  <si>
    <t>She puts on compact makeup from a case.</t>
  </si>
  <si>
    <t>She then applies eye shadow and lipstick.</t>
  </si>
  <si>
    <t>v_DHiFKO68gT8</t>
  </si>
  <si>
    <t>Several shots of riders standing around a sand pit are shown followed by many angles of people riding bikes over jumps.</t>
  </si>
  <si>
    <t>The camera captures several angles of the people riding along a bike track and interviewing them in between shots.</t>
  </si>
  <si>
    <t>In the end all the riders are shown on screen as well as being interviewed and jumping along one last time.</t>
  </si>
  <si>
    <t>v_0p34rFNYj_M</t>
  </si>
  <si>
    <t>An adult female and a young female is in the beach, the adult female is dumping the sand from the pail to the ground.</t>
  </si>
  <si>
    <t>The woman in polka dots is sitting on the ground and showing her pants.</t>
  </si>
  <si>
    <t>The young girl is pointing on to something and waving at the camera.</t>
  </si>
  <si>
    <t>v_zo8XBVxxkmo</t>
  </si>
  <si>
    <t>Three men are seen sitting on the ground speaking to one another and leading into them riding down a road.</t>
  </si>
  <si>
    <t>More shots are shown of people skateboarding down a road performing several tricks and walking away.</t>
  </si>
  <si>
    <t>v_AMU1mHpR6Os</t>
  </si>
  <si>
    <t>A close up of a razor is shown an leads into several clips of dogs getting their cut trimmed.</t>
  </si>
  <si>
    <t>Several tools are shown are then shown on cats and them laying down being pet.</t>
  </si>
  <si>
    <t>v_1FlnQzPzS2Q</t>
  </si>
  <si>
    <t>A man is running down a street.</t>
  </si>
  <si>
    <t>A white car is right behind him on the street.</t>
  </si>
  <si>
    <t>People are riding bicycles next to him.</t>
  </si>
  <si>
    <t>v_ZSLzzrc8pro</t>
  </si>
  <si>
    <t>A camera shows a closet that pans into two girls seen riding on an elliptical.</t>
  </si>
  <si>
    <t>One girl moves up and down on the machine while the other hangs on in front, leading to them jumping and speaking to the camera hiding in the closet.</t>
  </si>
  <si>
    <t>v_yxSBQXuOwuc</t>
  </si>
  <si>
    <t>A logo is shown with water drop sounds playing in the background.</t>
  </si>
  <si>
    <t>A man is then shown wearing scubba gear and giving various hand signals to the camera.</t>
  </si>
  <si>
    <t>The water sounds still play and the man shows you various moves and what they mean under water.</t>
  </si>
  <si>
    <t>The logo then reappears on the screen and the video ends.</t>
  </si>
  <si>
    <t>v_40Sf-iICgzw</t>
  </si>
  <si>
    <t>A small child is shown playing drums while a group of people behind him watch and smile.</t>
  </si>
  <si>
    <t>The boy continues to play the drums and a baby in the arms of a man behind him climbs off his lap.</t>
  </si>
  <si>
    <t>v_GuzLtwhxsxA</t>
  </si>
  <si>
    <t>A close up of a canoe is shown followed by a man pushing the canoe along in various areas.</t>
  </si>
  <si>
    <t>His paddling is slowed down to demonstrate how to properly paddle while more shots of the man paddling in fast motion are shown.</t>
  </si>
  <si>
    <t>The ending shows a beautiful picture of a sun set.</t>
  </si>
  <si>
    <t>v_e5rZPT7BJas</t>
  </si>
  <si>
    <t>A person is peeling a sticker off of a white shoe.</t>
  </si>
  <si>
    <t>They wipe the shoe with a towel.</t>
  </si>
  <si>
    <t>v_aVDVMN9hE8A</t>
  </si>
  <si>
    <t>A person takes out cheese from a box, then he takes a jar that puts on the counter with two napkins, then he opens the fridge.</t>
  </si>
  <si>
    <t>A man puts water on his face while holding a pail, then takes a sponge and throws over the table.</t>
  </si>
  <si>
    <t>The person puts two bottles and two slices of bread on the table, then he slices the cheese.</t>
  </si>
  <si>
    <t>After, the person puts the cheese and jam on the bread, then he eats the sandwich and drink soda from bottle.</t>
  </si>
  <si>
    <t>v_T84iinm8-V0</t>
  </si>
  <si>
    <t>A fencing match is taking place inside an auditorium.</t>
  </si>
  <si>
    <t>Two men in full fencing gear begin fighting.</t>
  </si>
  <si>
    <t>They stab and swing, fencing for the crowd.</t>
  </si>
  <si>
    <t>Several people are shown performing various sports in the closing images.</t>
  </si>
  <si>
    <t>v_HsfrvjsaIDU</t>
  </si>
  <si>
    <t>A man is shown holding a long trimmer.</t>
  </si>
  <si>
    <t>He uses the trimmer to weedeat the bushes.</t>
  </si>
  <si>
    <t>Leaves fall to the ground in droves as he trims.</t>
  </si>
  <si>
    <t>v_r10jGF9lQYM</t>
  </si>
  <si>
    <t>A man and boys standard sit on the snow and ice fish.</t>
  </si>
  <si>
    <t>We see a tittle screen and a plane flys overhead in the sky and we see the people on the ice and a truck in the distance.</t>
  </si>
  <si>
    <t>A kids walks over to the truck where a lady is cooking hot dogs in the truck bed full of food.</t>
  </si>
  <si>
    <t>We see a title screen and see frozen fish sitting in the snow.</t>
  </si>
  <si>
    <t>v_jkn6uvmqwh4</t>
  </si>
  <si>
    <t>A parade procession walks down the street in a parade.</t>
  </si>
  <si>
    <t>A group of members in green uniforms walks waving flags.</t>
  </si>
  <si>
    <t>Members of the procession walk down the street holding small horn brass instruments.</t>
  </si>
  <si>
    <t>A drum line passes by walking down the street playing their instruments.</t>
  </si>
  <si>
    <t>Members of the procession walk down the street holding large flared horn instruments.</t>
  </si>
  <si>
    <t>v_pSdlIsd_vZc</t>
  </si>
  <si>
    <t>The video is very poor quality and it shows a man holding the camera and he is at a park with other people that includes another adult and a small child that looks like a girl.</t>
  </si>
  <si>
    <t>The man climbs onto the park equipment with the little girl.</t>
  </si>
  <si>
    <t>The child and the man then appear on the slide and the little girl goes down the slide alone while smiling the whole time and the man remains at the top of the slide.</t>
  </si>
  <si>
    <t>v_dN9ZPc7NMVQ</t>
  </si>
  <si>
    <t>A woman and young boy are shown smiling and washing their hands in the sink when the woman begins washing his face.</t>
  </si>
  <si>
    <t>The boy smiles with the woman washing his face and the woman dries his face off with a paper towel.</t>
  </si>
  <si>
    <t>v_d0woFZ26Cx0</t>
  </si>
  <si>
    <t>A view is seen of a pool table, balls being triangled, and numerous people shooting the balls into the corner pockets during a competition.</t>
  </si>
  <si>
    <t>A woman walks around holding a scorecard as they play.</t>
  </si>
  <si>
    <t>v_yvzlX5St_Ok</t>
  </si>
  <si>
    <t>People are driving bumper cars on a brown floor.</t>
  </si>
  <si>
    <t>The bumper cars collide with each other.</t>
  </si>
  <si>
    <t>A girl laughs out loud.</t>
  </si>
  <si>
    <t>v_qJrJeICcevI</t>
  </si>
  <si>
    <t>A bunch of people ride camels.</t>
  </si>
  <si>
    <t>The camel gets down and kneels.</t>
  </si>
  <si>
    <t>v_1lu7Sbu3a6o</t>
  </si>
  <si>
    <t>We see a lady and a girl on a raft on a snowy hill.</t>
  </si>
  <si>
    <t>The lady and a man push people down the hill.</t>
  </si>
  <si>
    <t>The people slide in rafts down the hill.</t>
  </si>
  <si>
    <t>The little girl stands and looks behind her.</t>
  </si>
  <si>
    <t>v_j0Iv6dmSw0k</t>
  </si>
  <si>
    <t>A group of people are sitting and clapping while men standing up dressed in gi's along a mirrored wall go through different motions of karate.</t>
  </si>
  <si>
    <t>Elvis Presley is now dressed in his concert clothing, standing on stage doing his karate moves, and then it goes back to him standing in front of the mirrored wall and demonstrating his karate moves while he's wearing his gi.</t>
  </si>
  <si>
    <t>Once again Elvis Presley is back on stage in his concert clothing the video ends with him doing his karate moves on stage.</t>
  </si>
  <si>
    <t>v_ki2kGFwczMg</t>
  </si>
  <si>
    <t>An athlete wearing a white shirt and red shorts is running with a javelin in his hand in a stadium with several spectators.</t>
  </si>
  <si>
    <t>There is a person seated on a white bench wearing a blue uniform, tying his shoelaces.</t>
  </si>
  <si>
    <t>The javelin thrower runs and throws the javelin and falls to the ground.</t>
  </si>
  <si>
    <t>He gets up and raises his hands up high in victory.</t>
  </si>
  <si>
    <t>He comes running again and throws the javelin and falls to the ground.</t>
  </si>
  <si>
    <t>The third time, his action is repeated in slow motion.</t>
  </si>
  <si>
    <t>v_jE2jDJ9WHeE</t>
  </si>
  <si>
    <t>Player practice lacrosse in a field.</t>
  </si>
  <si>
    <t>Then, teams play lacrosse and a player score for his team.</t>
  </si>
  <si>
    <t>A coach takes notes, and then players train lacrosse.</t>
  </si>
  <si>
    <t>Then two teams play lacrosse in a field throwing the call with a stick.</t>
  </si>
  <si>
    <t>v_xT7eQmyr1-Y</t>
  </si>
  <si>
    <t>A man walks through his yard and retrieves a push leaf blower.</t>
  </si>
  <si>
    <t>The man walks the blower around the yard and blows leaves to the side.</t>
  </si>
  <si>
    <t>The man finishes and pushes the leaf blower beside the fence with the other machinery then walks away.</t>
  </si>
  <si>
    <t>v_gCf7wYa4AFA</t>
  </si>
  <si>
    <t>Woman in pink points to the goal.</t>
  </si>
  <si>
    <t>Girl in black shoots and score goal.</t>
  </si>
  <si>
    <t>Teammates congratulate the girl in black for the goal.</t>
  </si>
  <si>
    <t>Players get into their positions.</t>
  </si>
  <si>
    <t>Girl in black runs after the ball.</t>
  </si>
  <si>
    <t>Girl in black hits the ball to her teammate.</t>
  </si>
  <si>
    <t>Girls run after the ball.</t>
  </si>
  <si>
    <t>v_52tZGZGuWP4</t>
  </si>
  <si>
    <t>A man is sitting in a room with two congas in between his legs.</t>
  </si>
  <si>
    <t>One of them is slightly smaller than the other and he tends to play that one and only hitting the larger every couple of beats.</t>
  </si>
  <si>
    <t>His whole face appears in the frame and you can see him bobbing his head and focusing more on his sound.</t>
  </si>
  <si>
    <t>v_WdNtrGxSm1Y</t>
  </si>
  <si>
    <t>An intro leads into a woman holding a dog and frisbee and then throwing the fribee for the dog to catch.</t>
  </si>
  <si>
    <t>The dog brings it back and the girl throws the object several more times, with the dog chaseing and coming back each time.</t>
  </si>
  <si>
    <t>v_55FFh89yqVw</t>
  </si>
  <si>
    <t>The lady puts contents of a bottle in her palms, and the lady rubs it on her face.</t>
  </si>
  <si>
    <t>The lady makes funny faces.</t>
  </si>
  <si>
    <t>The lady washes her face.</t>
  </si>
  <si>
    <t>The lady towel dries her face.</t>
  </si>
  <si>
    <t>The lady puts spots of white lotion on her face and rubs it in.</t>
  </si>
  <si>
    <t>The lady presents a small tube product.</t>
  </si>
  <si>
    <t>v_gOUqdgxwNPw</t>
  </si>
  <si>
    <t>A young person is holding on to a rope as he is boogie boarding through the river.</t>
  </si>
  <si>
    <t>The young person then does a 360 flip in the water and keeps going and shortly after,he does another trick.</t>
  </si>
  <si>
    <t>Then another person is shown and begins doing more rigorous tricks in the water.</t>
  </si>
  <si>
    <t>Next,a series of pictures are shown of other people doing tricks.</t>
  </si>
  <si>
    <t>Next, a snowboarder is shown and then they young person comes back with a still image of him and his awards.</t>
  </si>
  <si>
    <t>v_19SHLOheCmo</t>
  </si>
  <si>
    <t>three women are standing in a park in a field doing yoga.</t>
  </si>
  <si>
    <t>man is running in the park behind the women.</t>
  </si>
  <si>
    <t>an old man is walking fast in the park.</t>
  </si>
  <si>
    <t>v_2l50doS2wB4</t>
  </si>
  <si>
    <t>A man is seen holding onto a pair of shoes while speaking to the camera and spraying them down.</t>
  </si>
  <si>
    <t>The man scrubs the shoes down with a rag while continuing to speak to the camera.</t>
  </si>
  <si>
    <t>In the end he holds up the shoes while still speaking and giving the camera a thumbs up.</t>
  </si>
  <si>
    <t>v_Y76yy0chbhU</t>
  </si>
  <si>
    <t>A couple of teams are on an open field.</t>
  </si>
  <si>
    <t>They are playing lacrosse together.</t>
  </si>
  <si>
    <t>They run around, trying to hit the ball.</t>
  </si>
  <si>
    <t>v_uvs1pb32xZM</t>
  </si>
  <si>
    <t>A small group of children are seen running around an indoor field kicking a soccer ball.</t>
  </si>
  <si>
    <t>The kids move up and down in between poles while still kicking the ball.</t>
  </si>
  <si>
    <t>The kids are then shown kicking balls into a goal one after the other.</t>
  </si>
  <si>
    <t>v_4DCxc6mO864</t>
  </si>
  <si>
    <t>A girl is standing in the back of a room that has paper air ballon, and she begins to dance moving her legs back and forth and slightly moving her arms.</t>
  </si>
  <si>
    <t>The girl then picks it up and begins to move more of her arms along with her legs and dances in a small area in the room while facing the camera.</t>
  </si>
  <si>
    <t>The girl then turns to her side and we see her dancing from the side, she turns to face the back and dances a bit that way, then turns again and again until we've seen her dance in all different directions.</t>
  </si>
  <si>
    <t>v_OgaurUPiWYI</t>
  </si>
  <si>
    <t>Four bikers at the start of the line are wearing different colors of uniforms and helmets, they are about to get start the race.</t>
  </si>
  <si>
    <t>The race started, the bikers bike and race in the race track where they jumped and hopped and went to the curb, the one player, when he reached the finish line, he fell on his side and stood up and walked towards the people.</t>
  </si>
  <si>
    <t>v_kbWQIXFOK54</t>
  </si>
  <si>
    <t>A camera pans around a dresser followed by several objects and ingredients being shown to the camera.</t>
  </si>
  <si>
    <t>A woman is then seen painting the dresser with several coats and sanding it down.</t>
  </si>
  <si>
    <t>She places the pieces together and ends by smiling to the camera.</t>
  </si>
  <si>
    <t>v_qAXE_vqt56g</t>
  </si>
  <si>
    <t>The cartoon of heroes fighting with an evil character.</t>
  </si>
  <si>
    <t>The heroes fight and then sit on front a log.</t>
  </si>
  <si>
    <t>v_qdMjXJTsX94</t>
  </si>
  <si>
    <t>A spinning logo with a purple background then text are seen on the screen.</t>
  </si>
  <si>
    <t>A woman in blue dress plays a drum set in a studio.</t>
  </si>
  <si>
    <t>v_eHxRr7Zhsek</t>
  </si>
  <si>
    <t>The video opens with the host using purple nail tape to create a pattern, slowly applying and making sure it is straight.</t>
  </si>
  <si>
    <t>Next a matte coat is applied over the nail and tape.</t>
  </si>
  <si>
    <t>The tape is gently peeled off the nail, and a top coat is applied to the intersection of lines.</t>
  </si>
  <si>
    <t>Next, a micro bead is placed where the lines meet.</t>
  </si>
  <si>
    <t>The next nail project features a white painted nail and host makes two black C's to mimic the Chanel logo.</t>
  </si>
  <si>
    <t>Gradually the logo is made bolder with more application.</t>
  </si>
  <si>
    <t>Finally a matte top coat is applied to finish it off.</t>
  </si>
  <si>
    <t>v_E6ePEI4UOtU</t>
  </si>
  <si>
    <t>A mop stands upright next to a bucket.</t>
  </si>
  <si>
    <t>A person absorbs all the water from a bowl using a mop.</t>
  </si>
  <si>
    <t>Water is poured into a large bucket.</t>
  </si>
  <si>
    <t>The mop in dunked in the bucket of water then spun dry in the tray.</t>
  </si>
  <si>
    <t>A soiled area of a hardwood floor is mopped clean.</t>
  </si>
  <si>
    <t>A mop is used around various furniture and appliances to get into corners of rooms.</t>
  </si>
  <si>
    <t>v_wrn5qM9aVeo</t>
  </si>
  <si>
    <t>A chef is seen speaking to the camera and leads into him holding a board followed by cutting up dough.</t>
  </si>
  <si>
    <t>The man peels the dough pieces with a machine and lays them flat to roll out dough.</t>
  </si>
  <si>
    <t>The man then rolls out the flattened dough and shows off his finished pasta.</t>
  </si>
  <si>
    <t>v_IvkpOoeCM3A</t>
  </si>
  <si>
    <t>This video shows people participating in the world artistic pool championship.</t>
  </si>
  <si>
    <t>Smooth, but suspenseful music is playing throughout the whole video as people shoot pool balls into the holes by themselves.</t>
  </si>
  <si>
    <t>Not everyone is participating, some people are just watching and others are walking around for some other reasons.</t>
  </si>
  <si>
    <t>v_RK8VF2pL72I</t>
  </si>
  <si>
    <t>A woman is sitting in a chair knitting.</t>
  </si>
  <si>
    <t>She looks up and talks to someone.</t>
  </si>
  <si>
    <t>She continues knitting in her hands.</t>
  </si>
  <si>
    <t>v_gk6NAPqfJoY</t>
  </si>
  <si>
    <t>A person skies and slides on a platform.</t>
  </si>
  <si>
    <t>A person falls on the ice.</t>
  </si>
  <si>
    <t>A person skies and does flips.</t>
  </si>
  <si>
    <t>A person puts their gloved hand on the camera.</t>
  </si>
  <si>
    <t>v_45ymM0irIIY</t>
  </si>
  <si>
    <t>A comedian is seen speaking to the camera and leads into a bull running into a pit and various clips of men fighting bulls.</t>
  </si>
  <si>
    <t>A close up of the bull fighting is shown and pans back to the comedian speaking to the camera.</t>
  </si>
  <si>
    <t>v_iJahVlx_yDE</t>
  </si>
  <si>
    <t>Two people are seen standing at the bottom of a snowy hill speaking to one another when a person comes riding down on a tube.</t>
  </si>
  <si>
    <t>More people are seen flying down the mountain with one crashing into another and the person getting out to drag the tubes.</t>
  </si>
  <si>
    <t>v_XNTy5ZTMqVU</t>
  </si>
  <si>
    <t>A woman is talking inside an office to the camera while displaying sign language.</t>
  </si>
  <si>
    <t>Two hands appear, demonstrating several signs indicating the rock, paper, scissors game.</t>
  </si>
  <si>
    <t>The woman continues talking about the game, then it shows several clips of various people using the game to win or make decisions.</t>
  </si>
  <si>
    <t>It cuts to an article regarding tricks for winning the game before concluding with the woman speaking on last time.</t>
  </si>
  <si>
    <t>v_gN_Kq57w72s</t>
  </si>
  <si>
    <t>An image shows a bag of m&amp;m's and a bag of Maltersers being suspended in midair, appearing to pour onto a cake.</t>
  </si>
  <si>
    <t>A woman bakes a round cake, frosting it and surrounding it by chocolate bars.</t>
  </si>
  <si>
    <t>She then pours maltesers and m&amp;ms into bowls.</t>
  </si>
  <si>
    <t>She prepares the bags, making them look neat before sprinkling the candies onto the top of the cake, completely covering it.</t>
  </si>
  <si>
    <t>She then places sticks into the cake, and runs frosting up the sides of the stucks before adhering the candlies to the sticks.</t>
  </si>
  <si>
    <t>She then balances the bags atop the sticks.</t>
  </si>
  <si>
    <t>v_rpDBtiySZ3o</t>
  </si>
  <si>
    <t>Several people are preparing to play volleyball on the beach.</t>
  </si>
  <si>
    <t>The camera zooms out and the people begin to play the game, tossing the ball back and forth to each other.</t>
  </si>
  <si>
    <t>v_aHKZIUD3wPI</t>
  </si>
  <si>
    <t>A man is seen standing before a hedge holding onto a tool.</t>
  </si>
  <si>
    <t>The man uses the tool all along the hedge while trimming the top.</t>
  </si>
  <si>
    <t>He continues pushing the tool over the hedge while walking away from the camera.</t>
  </si>
  <si>
    <t>v_MFx2omPfM2o</t>
  </si>
  <si>
    <t>A large group of people are seen riding in bumper cars and bumping into one another.</t>
  </si>
  <si>
    <t>The people continue crashing into one another while laughing and beginning to get out of the car.</t>
  </si>
  <si>
    <t>v_a1ltYmbbBYI</t>
  </si>
  <si>
    <t>Two men are sumo wrestling on a ring.</t>
  </si>
  <si>
    <t>A man in a robe is standing behind them.</t>
  </si>
  <si>
    <t>A man trips and falls into the audience.</t>
  </si>
  <si>
    <t>v_rgJ00nNS_r0</t>
  </si>
  <si>
    <t>A group of men play croquet on a large grass covered field at an outdoor social event.</t>
  </si>
  <si>
    <t>The men begin playing croquet with one man making a sexual reference with the croquet stick as people walk by on the grass.</t>
  </si>
  <si>
    <t>The group of men are accompanied by onlookers as they continue to maneuver the croquet ball with their mallets.</t>
  </si>
  <si>
    <t>One croquet goal is accomplished on the grass by one player in brown shoes and a blue pants in the final clip.</t>
  </si>
  <si>
    <t>v_S-4ftlylgig</t>
  </si>
  <si>
    <t>A measuring tape is shown up close.</t>
  </si>
  <si>
    <t>We see a track person preparing to run.</t>
  </si>
  <si>
    <t>He runs, taking a huge leap into the sand, landing on the number 18.</t>
  </si>
  <si>
    <t>v_hSq0yL5AB40</t>
  </si>
  <si>
    <t>Several clips of people are shown waving to the camera and watch people riding bikes.</t>
  </si>
  <si>
    <t>Many people are shown riding around on bikes around a long track and the camera panning around.</t>
  </si>
  <si>
    <t>v_Cb3IonOw0bs</t>
  </si>
  <si>
    <t>A lady sits in a tub and rubs her legs with water while wearing an exfoliater glove.</t>
  </si>
  <si>
    <t>The camera zooms out and we see it's a set with camera equipment around.</t>
  </si>
  <si>
    <t>The lady then shaves her legs with an electric shaver.</t>
  </si>
  <si>
    <t>We see the lady smile and continue to shave her legs.</t>
  </si>
  <si>
    <t>v_h-_dzZ3cCfc</t>
  </si>
  <si>
    <t>A man is shown talking to the camera while walking slowly onto the field with a group of players.</t>
  </si>
  <si>
    <t>Various players are shown one on one with several shots of stadium and cities are shown.</t>
  </si>
  <si>
    <t>The athletes prepare themselves for the match and are shown playing out on the field.</t>
  </si>
  <si>
    <t>The men cheer when they score a goal and sit on the bench after being tired.</t>
  </si>
  <si>
    <t>They run through stadiums and speak to the camera about being a professional athlete.</t>
  </si>
  <si>
    <t>v_n50dwUENM1E</t>
  </si>
  <si>
    <t>There's a woman in her kitchen demonstrating how to use Astra Clean composite sink cleaner She sprays the kitchen sink with the Astra Clean quirt bottle and then uses a brush to scrub the sink.</t>
  </si>
  <si>
    <t>After she's done, she looks impressed at the sparkly clean kitchen sink.</t>
  </si>
  <si>
    <t>She puts the bottle down on the sink and walks away.</t>
  </si>
  <si>
    <t>v_QX-uieRfKgg</t>
  </si>
  <si>
    <t>The man with black apron is brushing the counter.</t>
  </si>
  <si>
    <t>The man in apron smoothen the ski board, then brushed off the dust.</t>
  </si>
  <si>
    <t>The man put polish on the board and continue to scrape and brush the board.</t>
  </si>
  <si>
    <t>v_C8m_dPhMGbg</t>
  </si>
  <si>
    <t>An intro leads into several clips of a person riding down a snowy hill on a snowboard.</t>
  </si>
  <si>
    <t>The person continues riding down through the snow and falling at one point but cleaning off his goggles and speaking to others.</t>
  </si>
  <si>
    <t>v_r0685Fhcfjs</t>
  </si>
  <si>
    <t>A large yard is shown with leaves laid out front and a man speaking to the camera.</t>
  </si>
  <si>
    <t>The man pushes the leaves around the yard.</t>
  </si>
  <si>
    <t>The man holds up the leaves and speaks to the camera.</t>
  </si>
  <si>
    <t>v_46ac33Z6V4E</t>
  </si>
  <si>
    <t>person in a dog costome is walking in the outside of a snowy house.</t>
  </si>
  <si>
    <t>person in the costume and cross the street to a car.</t>
  </si>
  <si>
    <t>man sart cleaning he snow from the driver's window and the back window.</t>
  </si>
  <si>
    <t>v_6E4_XOsT89k</t>
  </si>
  <si>
    <t>A person is standing on top of a high diving board.</t>
  </si>
  <si>
    <t>They jump off and do flips into the water.</t>
  </si>
  <si>
    <t>The crowd watches the person dive.</t>
  </si>
  <si>
    <t>v_ROvaMfVEMSw</t>
  </si>
  <si>
    <t>A man is seen sitting on a horse and riding into a pit swinging a rope.</t>
  </si>
  <si>
    <t>The man throws the rope onto a calf and jumps off the horse.</t>
  </si>
  <si>
    <t>He ties up the calf and ends by running back to the horse.</t>
  </si>
  <si>
    <t>v_8qAdvUvNuts</t>
  </si>
  <si>
    <t>A view of the countryside is seen in multiple images, including buildings, trees, fields and flowers near the ocean.</t>
  </si>
  <si>
    <t>A man is shown mountain climbing up the side of a cliff.</t>
  </si>
  <si>
    <t>v_2n6MvpNewpI</t>
  </si>
  <si>
    <t>man is mopping the floor in a laundry room.</t>
  </si>
  <si>
    <t>man squeeze out the mop in a bucket.</t>
  </si>
  <si>
    <t>v_sFQ7AaId8zg</t>
  </si>
  <si>
    <t>A woman shows a little girl to turn a handle, then, the little girl peels an orange spinning the handle of the machine.</t>
  </si>
  <si>
    <t>The handle gets stuck and the woman tries to help the girl.</t>
  </si>
  <si>
    <t>After, the girl continues turning the handle to peel the orange.</t>
  </si>
  <si>
    <t>v_89S-sQUWIcg</t>
  </si>
  <si>
    <t>A large group of people are seen running around a field playing a game with one another while the camera pans around the area.</t>
  </si>
  <si>
    <t>The games continues on as people cheer on the sides and the men continue playing with one another.</t>
  </si>
  <si>
    <t>v_cqkcRy3k4v0</t>
  </si>
  <si>
    <t>people are riding camels in the sand, the camel kneel down and the man and the woman go down.</t>
  </si>
  <si>
    <t>camel in the back kneel down and people go down in the back are cars and people walking in the parking lot and taking pictures.</t>
  </si>
  <si>
    <t>men go on a camel and the camel stands up.</t>
  </si>
  <si>
    <t>v_bULG65Ec5fo</t>
  </si>
  <si>
    <t>A man is climbing up a mountain trying to find the right spots to pull himself up.</t>
  </si>
  <si>
    <t>He finds a good place to hang his rope on the mountain and starts to climb up again.</t>
  </si>
  <si>
    <t>He decides to move it up a little bit more to a better spot.</t>
  </si>
  <si>
    <t>Then, he starts climbing again struggling a bit before finally making it over the tough spot.</t>
  </si>
  <si>
    <t>v_3eQqgH3PJBo</t>
  </si>
  <si>
    <t>A man in a black shirt and white gloves places billiard balls on a pool table.</t>
  </si>
  <si>
    <t>A man with a light blue shirt inspects the position of the billiard balls up close.</t>
  </si>
  <si>
    <t>The man in the light blue shirt gets into position with the cue stick and breaks the billiards balls and the balls go in many directions.</t>
  </si>
  <si>
    <t>The man in the black shirt returns and inspects the table and then steps back.</t>
  </si>
  <si>
    <t>The man in the light blue shirt prepares for his next shot by walking from one side of the billiard table to the other looking for his next shot.</t>
  </si>
  <si>
    <t>He chalks the tip of the cue stick before taking his shot.</t>
  </si>
  <si>
    <t>He then prepares for his next shot walking around the billiard table.</t>
  </si>
  <si>
    <t>v_hOdSTik8_nw</t>
  </si>
  <si>
    <t>The coach is coaching his team.</t>
  </si>
  <si>
    <t>The guy in the black in the back walks off.</t>
  </si>
  <si>
    <t>The coach is then speaking to the parents.</t>
  </si>
  <si>
    <t>two new guys arrive in the back.</t>
  </si>
  <si>
    <t>The coach is on the field with the teams.</t>
  </si>
  <si>
    <t>the yellow bus drives past.</t>
  </si>
  <si>
    <t>the red team is listening to the coach.</t>
  </si>
  <si>
    <t>The kids are playing the game.</t>
  </si>
  <si>
    <t>The kids are listening to the coach.</t>
  </si>
  <si>
    <t>The game is on again.</t>
  </si>
  <si>
    <t>A white bus drives past.</t>
  </si>
  <si>
    <t>v_ekgfptN7tQk</t>
  </si>
  <si>
    <t>The word Surfer is on the screen.</t>
  </si>
  <si>
    <t>A surfer is taking to the camera.</t>
  </si>
  <si>
    <t>A surfer is walking on the beach.</t>
  </si>
  <si>
    <t>A man is surfing in the water while the man is taking again.</t>
  </si>
  <si>
    <t>There are a crowd of surfers on the island.</t>
  </si>
  <si>
    <t>Several surfers are in the water and the man is still being interviewed.</t>
  </si>
  <si>
    <t>v_03BMaaMEcNo</t>
  </si>
  <si>
    <t>Two people are seen sitting before a wave pool and one leads another out onto the water on a board.</t>
  </si>
  <si>
    <t>The person falls when another attempts to ride the board on the water.</t>
  </si>
  <si>
    <t>The person continues riding along the water and ends with the camera panning around the area and the boy falls.</t>
  </si>
  <si>
    <t>v_5gc896my38M</t>
  </si>
  <si>
    <t>Several couples are shown running outside and doing various activities outside in the sun.</t>
  </si>
  <si>
    <t>More and more people begin talking and each of them has a bottle of sun screen and starts to squirt it on their arms in effort to protect their skin.</t>
  </si>
  <si>
    <t>A small blue bottle of the sun screen is then shown and several more people begin talking about the product.</t>
  </si>
  <si>
    <t>The website to buy the product is shown and the whole video plays again as if its looped.</t>
  </si>
  <si>
    <t>v_EY4YIa-kNgs</t>
  </si>
  <si>
    <t>A young boy holds a dish scrub as he speaks.</t>
  </si>
  <si>
    <t>He turns to the sink behind him where there are dishes sitting in water.</t>
  </si>
  <si>
    <t>He drops the scrub into the sink and lays a glass down.</t>
  </si>
  <si>
    <t>He grabs a towel and cleans the glass and moves on to scrub the glass as well.</t>
  </si>
  <si>
    <t>He puts down the scrub and grabs the glass to place it in the right side of the sink where he wets the glass and puts it away in the dish rack.</t>
  </si>
  <si>
    <t>He moves to grab the towel and clean a dish.</t>
  </si>
  <si>
    <t>He soaks the dish in water and moves it to the dish rack.</t>
  </si>
  <si>
    <t>He returns to use the towel and clean a knife.</t>
  </si>
  <si>
    <t>He soaks the knife in the water and moves it to the dish rack, the boy goes back to clean a fork with the towel.</t>
  </si>
  <si>
    <t>He moves the fork to the water to rinse soap off it.</t>
  </si>
  <si>
    <t>The young boy stands in front of camera, speaking.</t>
  </si>
  <si>
    <t>v_WcQV3OzK_sc</t>
  </si>
  <si>
    <t>A man is seen recording a small child who is having her hair combed by a woman standing behind her.</t>
  </si>
  <si>
    <t>Several people and kids watch on the side and the woman puts the girls hair into ponytails.</t>
  </si>
  <si>
    <t>She speaks to the camera and cuts the girls hair when the dad puts the hair on his head and makes the kids laugh.</t>
  </si>
  <si>
    <t>The woman continues cutting her hair while others watch and speaks to the camera, followed by the woman straightening the hair and showing it off in slow motion.</t>
  </si>
  <si>
    <t>The girl holds her hair and screams in excitement at the camera.</t>
  </si>
  <si>
    <t>v_MNSDK-vCwTM</t>
  </si>
  <si>
    <t>Two girls are seen speaking to the camera while holding cups in their hands and laughing to one another.</t>
  </si>
  <si>
    <t>The camera zooms in on the cups and the girl continue laughing while finally drinking from the cup.</t>
  </si>
  <si>
    <t>They hold the liquid into their mouth and spit it out and laugh in the end.</t>
  </si>
  <si>
    <t>v_TNVdpnrtn5A</t>
  </si>
  <si>
    <t>A man is seen speaking to the camera as well as bowing to the camera.</t>
  </si>
  <si>
    <t>The man kneels down on his knees several times and bows again.</t>
  </si>
  <si>
    <t>He turns himself around still bowing and ends by standing up.</t>
  </si>
  <si>
    <t>v_Bg526A61c1w</t>
  </si>
  <si>
    <t>Before an Olympic weight lifting event, a Chinese competitor is shown preparing by working out in a gym.</t>
  </si>
  <si>
    <t>He then practices for the event by lifting the big Olympic sized weights.</t>
  </si>
  <si>
    <t>At the competition, he picks up the weights from a squatting position before rising up and then throwing the weights down on completion.</t>
  </si>
  <si>
    <t>Various successful lifts are shown and the competitor hugs his trainer.</t>
  </si>
  <si>
    <t>v_UgrOTFBD7tA</t>
  </si>
  <si>
    <t>Mountains are seen in the distance with clouds moving over top during the afternoon.</t>
  </si>
  <si>
    <t>Mountain climbers use ropes and hooks to metal clips up along cracks in a sheer rock face.</t>
  </si>
  <si>
    <t>The climber sets a metal round clips into the crack of the rock face.</t>
  </si>
  <si>
    <t>Clouds move over a mountain range at sunset.</t>
  </si>
  <si>
    <t>v_wJOHmxQZPR4</t>
  </si>
  <si>
    <t>A woman is seen hosting a news segment speaking to the camera and transitions into a group of men walking in a straight line.</t>
  </si>
  <si>
    <t>The people then perform in front of a large group of people and one performer is interviewed in between.</t>
  </si>
  <si>
    <t>The news segment then begins talking to other people in the studio who give their opinions and ends with the host laughing and smiling.</t>
  </si>
  <si>
    <t>v_HqxTRzf11tc</t>
  </si>
  <si>
    <t>A person is seen standing ready in front of a large track with people sitting and standing around watching him.</t>
  </si>
  <si>
    <t>The persons ticks their arms out and runs down the track into the sit pit and flips over.</t>
  </si>
  <si>
    <t>v_MKLoBzvca30</t>
  </si>
  <si>
    <t>A man in a white hat is holding a black ball and talking.</t>
  </si>
  <si>
    <t>People are playing a game of indoor soccer.</t>
  </si>
  <si>
    <t>A man in a white jacket is talking to the camera.</t>
  </si>
  <si>
    <t>v_GrqBqKMW4ps</t>
  </si>
  <si>
    <t>A man is doing a gymnastics routine on parallel bars.</t>
  </si>
  <si>
    <t>He dismounts and lands on a mat.</t>
  </si>
  <si>
    <t>He gives several people high fives as he walks off the mat.</t>
  </si>
  <si>
    <t>v_jl10JmELMqY</t>
  </si>
  <si>
    <t>An older woman is shown talking to the camera and begins knitting on a couch.</t>
  </si>
  <si>
    <t>She continues talking to the camera while the lens zoom in and out of her hands continuing to knit.</t>
  </si>
  <si>
    <t>She shows off her sweater and finally puts her knitting gear down.</t>
  </si>
  <si>
    <t>v_EQK_o1qHx7M</t>
  </si>
  <si>
    <t>There's a young boy standing in his kitchen with a jug of water, some lemons and some apples behind him on the counter.</t>
  </si>
  <si>
    <t>He is pointing to the lemons.</t>
  </si>
  <si>
    <t>His mother comes and helps him squeeze the juice out of the lemons.</t>
  </si>
  <si>
    <t>Both the mother and son use a lemon juicer to squeeze the juice and add it to the jug of water.</t>
  </si>
  <si>
    <t>The mother makes sure that all the juice is properly squeezed out of the lemons, so she uses her hands.</t>
  </si>
  <si>
    <t>Then she adds some food coloring to the lemonade and stirs it well.</t>
  </si>
  <si>
    <t>She then pours the lemonade in a glass with ice and gives it to her son.</t>
  </si>
  <si>
    <t>He takes a sip of the lemonade and smiles.</t>
  </si>
  <si>
    <t>v_L-A8RECKhtQ</t>
  </si>
  <si>
    <t>A picture of a man is seen and leads into a man bending down on a lawn and performing various dance moves.</t>
  </si>
  <si>
    <t>The man sings along while performing his routine and is then seen running across the yard with a lawn mower.</t>
  </si>
  <si>
    <t>More dancing and singing is seen, a picture of holding cards is shown, and ends with him cutting the grass and holding down with a friend.</t>
  </si>
  <si>
    <t>v_al_769KF6Qc</t>
  </si>
  <si>
    <t>A woman walks over to a flower bed and wheelbarrow as she talks.</t>
  </si>
  <si>
    <t>She demonstrates how to mulch, picking up the material and showing how to pack it around plants.</t>
  </si>
  <si>
    <t>v_ac1M42uRXS8</t>
  </si>
  <si>
    <t>Two girls are on an indoor basketball court.</t>
  </si>
  <si>
    <t>They are performing using batons and wearing purple dresses.</t>
  </si>
  <si>
    <t>They spin and toss, throwing the batons into the air as they perform.</t>
  </si>
  <si>
    <t>v_X3hQtXddMd4</t>
  </si>
  <si>
    <t>A camera and logo appear briefly.</t>
  </si>
  <si>
    <t>A person wake boards on a lake while being towed.</t>
  </si>
  <si>
    <t>They pass a person in the water.</t>
  </si>
  <si>
    <t>They come to a stop by a dock.</t>
  </si>
  <si>
    <t>v_sNQQ2Fpxbzw</t>
  </si>
  <si>
    <t>A black screen is shown with green words on it and then the screen moves to a white paper with black words.</t>
  </si>
  <si>
    <t>After, a green Lacrosse team appears and they begin to compete.</t>
  </si>
  <si>
    <t>Someone makes a goal and then the ball is placed back in the middle of the field.</t>
  </si>
  <si>
    <t>When they are finished still images from the game are shown.</t>
  </si>
  <si>
    <t>Finally,a black screen appears and the score is shown in blue and green writing.</t>
  </si>
  <si>
    <t>v_sYAGVE3luRo</t>
  </si>
  <si>
    <t>People are playing instruments marching down a street.</t>
  </si>
  <si>
    <t>They start marching in a circle in a room.</t>
  </si>
  <si>
    <t>A person holding a baton stands in front of the band.</t>
  </si>
  <si>
    <t>v_nfBBazBLQFk</t>
  </si>
  <si>
    <t>A man stands on the roof of a building, and two others appear.</t>
  </si>
  <si>
    <t>They are flying kites in the air over the brick building.</t>
  </si>
  <si>
    <t>The men make the kites dip and dive as they talk and interact.</t>
  </si>
  <si>
    <t>v_tJbScqVWPsU</t>
  </si>
  <si>
    <t>An outdoor scene by the beach shows a large crowd near a resort.</t>
  </si>
  <si>
    <t>They are cheering as several professional skateboarders perform stunts in a ramp pit.</t>
  </si>
  <si>
    <t>The flip and turn in the air, going up and down the ramp.</t>
  </si>
  <si>
    <t>The winners pose for photos with cakes when they are done.</t>
  </si>
  <si>
    <t>v_PUI2Qrn0qbE</t>
  </si>
  <si>
    <t>kids are driving on bumper cars spinning and bumping.</t>
  </si>
  <si>
    <t>kid is wearing blue shirt and clash with the fence holding the handles with both hands.</t>
  </si>
  <si>
    <t>girl is wearing a leather jacket spining in the bumper car in the amusement car.</t>
  </si>
  <si>
    <t>v_lhnhGI-rrzM</t>
  </si>
  <si>
    <t>There's a young man wearing a blue shirt and a black helmet skateboarding on a two way road.</t>
  </si>
  <si>
    <t>He is going at a steady and fast speed as he passes through a few cars and lots of trees.</t>
  </si>
  <si>
    <t>He also passes through some residential areas as he skateboards.</t>
  </si>
  <si>
    <t>He finally slows down as cameraman approaches a gray car.</t>
  </si>
  <si>
    <t>The cameraman gets into the car and takes the skateboard away.</t>
  </si>
  <si>
    <t>The skateboarder is kneeling on the side of the main road.</t>
  </si>
  <si>
    <t>He then gets up and walks away.</t>
  </si>
  <si>
    <t>v_PntiXZ692xM</t>
  </si>
  <si>
    <t>We see a magazine on a black background.</t>
  </si>
  <si>
    <t>People begin running on country roads in a marathon.</t>
  </si>
  <si>
    <t>We see them get drinks at a table.</t>
  </si>
  <si>
    <t>A man is running and holding a camera facing himself.</t>
  </si>
  <si>
    <t>The man who is running is seen again.</t>
  </si>
  <si>
    <t>We see a person point at a lake.</t>
  </si>
  <si>
    <t>We cross the finish line.</t>
  </si>
  <si>
    <t>A man is in a lake cooling off.</t>
  </si>
  <si>
    <t>v_2KYGAq5qQCI</t>
  </si>
  <si>
    <t>A close up is shown of a room with a window.</t>
  </si>
  <si>
    <t>a man is smoothing mud over the wall.</t>
  </si>
  <si>
    <t>He measures and cuts then spreads again.</t>
  </si>
  <si>
    <t>When he is done, the wall is completely smooth.</t>
  </si>
  <si>
    <t>v_W0EN9JeU66A</t>
  </si>
  <si>
    <t>A young child is moving back and fourth on a swing while laughing and smiling to the camera.</t>
  </si>
  <si>
    <t>The child continues pumping their legs and then is stiff while looking off into the distance.</t>
  </si>
  <si>
    <t>v_4w_46rTInXI</t>
  </si>
  <si>
    <t>A bunch of people are playing beer pong in different outfits.</t>
  </si>
  <si>
    <t>Then people bong a beer.</t>
  </si>
  <si>
    <t>A lot of dancing happens at the end.</t>
  </si>
  <si>
    <t>v_wVahCLOq4s0</t>
  </si>
  <si>
    <t>woman is sitting in front of a white table holding a halloween pumpkin.</t>
  </si>
  <si>
    <t>woman holds a knife and and cut the pumpkin head and remove all the seeds from the inside.</t>
  </si>
  <si>
    <t>woman daw the face with black markers and open the holes on the pumpkin.</t>
  </si>
  <si>
    <t>v_5zCY_vezHaU</t>
  </si>
  <si>
    <t>A man in black shirt is stalking in front of the camera, then the calendar and then drawing is shown.</t>
  </si>
  <si>
    <t>The blonde man is talking in front of the camera, while behind him is an empty ramp, then the man skateboard in a wooden ramp, then is is showing how to skateboard, then he skateboard and did tricks on a wooden ramp, then he continue to talk, and then skateboard again.</t>
  </si>
  <si>
    <t>v_PgfUSPHXluA</t>
  </si>
  <si>
    <t>woman wearing a red shirt is arm wretling again anothe woman laying on the floor.</t>
  </si>
  <si>
    <t>a blonde woman wearing grey shirt is arm wrestling with another woman on a room.</t>
  </si>
  <si>
    <t>the winner woman is making poses laying on the floor.</t>
  </si>
  <si>
    <t>v_grvzIljsqcI</t>
  </si>
  <si>
    <t>A young woman is seen looking at the camera while taking a drink and fixing her hair.</t>
  </si>
  <si>
    <t>The woman then holds up a pack of cigarettes and begins smoking a cigarette.</t>
  </si>
  <si>
    <t>The woman continuously smokes and drinks one after the other while continuing to look to the camera.</t>
  </si>
  <si>
    <t>v_LrputIUn4oY</t>
  </si>
  <si>
    <t>There are different athletes in the beginning of the video, but then 2 people are shown diving into the water while a huge crowd watches them.</t>
  </si>
  <si>
    <t>In the end, the men's 10m synchro platform is held.</t>
  </si>
  <si>
    <t>v_r40TuTkt9y4</t>
  </si>
  <si>
    <t>Various shots of landscapes are shown that interments with people riding in a large raft.</t>
  </si>
  <si>
    <t>At one point the raft flips over the men riding down the river.</t>
  </si>
  <si>
    <t>More shots of people riding down the river are shown as well as people speaking to the camera.</t>
  </si>
  <si>
    <t>v_mGsenLq9yEU</t>
  </si>
  <si>
    <t>A news woman is talking in a news room.</t>
  </si>
  <si>
    <t>Bullfighters are shown inside a ring.</t>
  </si>
  <si>
    <t>They are trying to entice the bull with capes.</t>
  </si>
  <si>
    <t>v_VVyE6rVJEuI</t>
  </si>
  <si>
    <t>Two people are dancing in a room.</t>
  </si>
  <si>
    <t>They turn to the side and continue dancing.</t>
  </si>
  <si>
    <t>They finish and pose at the end.</t>
  </si>
  <si>
    <t>v_kJrHvEECvEA</t>
  </si>
  <si>
    <t>A woman standing outside on the roof smoking a cigarette.</t>
  </si>
  <si>
    <t>She blows smoke and plays around with her hair.</t>
  </si>
  <si>
    <t>She keeps smoking and blowing smoking casually all by her lonesome.</t>
  </si>
  <si>
    <t>She exhales one last time and then put her cigarette out on a wall.</t>
  </si>
  <si>
    <t>v_PDaGlIxn6Pk</t>
  </si>
  <si>
    <t>A couple of teams are playing lacrosse on an open field.</t>
  </si>
  <si>
    <t>A crowd watches the game intently.</t>
  </si>
  <si>
    <t>The players run back and forth across the field, hitting the ball into goals.</t>
  </si>
  <si>
    <t>v_x-WGuz3_2Fc</t>
  </si>
  <si>
    <t>A man is seen speaking to the camera while peeling potatoes and looking to the camera.</t>
  </si>
  <si>
    <t>The camera pans around the man continuously as he continues to peel the potatoes and speak.</t>
  </si>
  <si>
    <t>v_IpFsz2xc3sY</t>
  </si>
  <si>
    <t>A woman is speaking to a webcam in her bedroom.</t>
  </si>
  <si>
    <t>She begins to play with her hair, separating part of it and braiding it.</t>
  </si>
  <si>
    <t>She places the first braid into her mouth while creating another one.</t>
  </si>
  <si>
    <t>She criss crosses the braids, and places a rubberband on it.</t>
  </si>
  <si>
    <t>She begins to do the same process with the other side of her hair.</t>
  </si>
  <si>
    <t>The video finishes by cutting a still image of the same girl and panning up and down.</t>
  </si>
  <si>
    <t>v_uHLEUps_ahs</t>
  </si>
  <si>
    <t>A man is standing in front of a white screen.</t>
  </si>
  <si>
    <t>He is talking about the saxophone in his hands and showing the proper hand positions.</t>
  </si>
  <si>
    <t>He demonstrates how to play the instrument.</t>
  </si>
  <si>
    <t>v_vb1CG5i1lEs</t>
  </si>
  <si>
    <t>A person wearing a large, white suit is shown spraying down a fence with water.</t>
  </si>
  <si>
    <t>The person is shown from various angles performing the task and makes the fence look brand new.</t>
  </si>
  <si>
    <t>v_qXUdnj4VN80</t>
  </si>
  <si>
    <t>A female seems to be doing tricks with a hula hooping while being very flexible with her body.</t>
  </si>
  <si>
    <t>the lady also rides a one wheel bike while hula hooping.</t>
  </si>
  <si>
    <t>the girl then hula hoops while standing on a mat then hula hoops with two hula hoops standing in the same spot.</t>
  </si>
  <si>
    <t>the girl then hula hoops hanging upside down,she also hula hoops around her hand while doing a split on a mat.</t>
  </si>
  <si>
    <t>the girl hula hoops a big tire hula hoop then hula hoops with three hula hoops using her two hands and one feet in the air.</t>
  </si>
  <si>
    <t>the girl then's try to hula hoop a lot of hula hoops at one time as other girls keep adding more to her.</t>
  </si>
  <si>
    <t>v_exzuzQLrv7g</t>
  </si>
  <si>
    <t>Three men dressed in fencing gear are standing in a gym.</t>
  </si>
  <si>
    <t>The man in the middle is talking and the other two remain still.</t>
  </si>
  <si>
    <t>The two men begin making movements as the man instructs them to, showing off the different fencing techniques.</t>
  </si>
  <si>
    <t>They fight slowly, showing each step before culminating into the man's final words onscreen.</t>
  </si>
  <si>
    <t>v_xcrGhwE7R5E</t>
  </si>
  <si>
    <t>A man is talking in his kitchen.</t>
  </si>
  <si>
    <t>He shows how to mix a sauce into pasta, and season it.</t>
  </si>
  <si>
    <t>He then shows how to plate and serve the food.</t>
  </si>
  <si>
    <t>v_81F42Yyw_iY</t>
  </si>
  <si>
    <t>A woman pole vaults over a tall bar.</t>
  </si>
  <si>
    <t>She lands on a yellow mat under her.</t>
  </si>
  <si>
    <t>v_D2IDRG8_6To</t>
  </si>
  <si>
    <t>A young man is talking the the camera.</t>
  </si>
  <si>
    <t>The man stands with a stick in his hand.</t>
  </si>
  <si>
    <t>The man points away from himself.</t>
  </si>
  <si>
    <t>The man takes the stick and pushes pucks around the ground.</t>
  </si>
  <si>
    <t>v_3cjtV-ldvto</t>
  </si>
  <si>
    <t>woman put an egg on a bowl and mix it with vanilla.</t>
  </si>
  <si>
    <t>quick oats and baking powder, cocoa powder and salt are mixed in a bowl.</t>
  </si>
  <si>
    <t>a chocolate bar are cut in pieces with nuts and put in a bowl.</t>
  </si>
  <si>
    <t>sugar and butter are mixed in a bowl till cream and put the vanilla and the powder ingredients with the chocolate and he nuts.</t>
  </si>
  <si>
    <t>themix is wrap and put in a refrigerator.</t>
  </si>
  <si>
    <t>batch is in a pan and ar ready to eat.</t>
  </si>
  <si>
    <t>v_gCxLG4hinNw</t>
  </si>
  <si>
    <t>A man is standing on a show playing bagpipes while other around him watch in amazement.</t>
  </si>
  <si>
    <t>The man continues to play and the audience claps when he finishes.</t>
  </si>
  <si>
    <t>He hands the instrument to a man walking in and gives the host a handshake.</t>
  </si>
  <si>
    <t>He talks to the host a bit and strikes a pose before the host finishes with the guest.</t>
  </si>
  <si>
    <t>v_yaWwad6WXVY</t>
  </si>
  <si>
    <t>A person practice dribbling and shooting the ball walking or running in the court, while a man watch the training.</t>
  </si>
  <si>
    <t>The man stands and leave the court.</t>
  </si>
  <si>
    <t>After, several men practice basketball in a court.</t>
  </si>
  <si>
    <t>v_-KjJxkFUhv4</t>
  </si>
  <si>
    <t>The word Happy is written in pebbles on the side of the sand.</t>
  </si>
  <si>
    <t>A large body of crystal blue water is shown and a large boat with people are in it.</t>
  </si>
  <si>
    <t>The individuals began dancing and jumping off the boat and enjoy themselves in the water.</t>
  </si>
  <si>
    <t>As the people continue,three or four people are in the water swimming with goggles on.</t>
  </si>
  <si>
    <t>v_XnctHnlJB4g</t>
  </si>
  <si>
    <t>A man in red stands on a stage.</t>
  </si>
  <si>
    <t>He lifts a barbell over his head.</t>
  </si>
  <si>
    <t>He drops the barbell on the ground.</t>
  </si>
  <si>
    <t>Several people cheer him on.</t>
  </si>
  <si>
    <t>v_x08PpU3uQ6Y</t>
  </si>
  <si>
    <t>The woman in white shirt is standing, then kneel down next to a big plastic bag on the ground.</t>
  </si>
  <si>
    <t>She opened the bag, put the content of the bag in the uneven hole on the ground, and flatten it using her gloved hand.</t>
  </si>
  <si>
    <t>She looked at the camera and talked while she's kneeling next to the plastic bags.</t>
  </si>
  <si>
    <t>She put another bag on the ground, flatten them using her hand until the area is covered.</t>
  </si>
  <si>
    <t>She walks forward, bend sideward to flatten some more dirt.</t>
  </si>
  <si>
    <t>v_xS-F-9E3xKk</t>
  </si>
  <si>
    <t>Two women are on a stand opposite one another at a table beginning to arm wrestle.</t>
  </si>
  <si>
    <t>There is a brief hold up before they begin,because their thumb positing is inaccurate.</t>
  </si>
  <si>
    <t>Once they finally begin,the girl on the left wins but she is quickly stopped and they have to restart and the same girl wins again.</t>
  </si>
  <si>
    <t>v_Kj2SF5bCxJ8</t>
  </si>
  <si>
    <t>A kid spreads peanut butter in two slices of bread.</t>
  </si>
  <si>
    <t>Then, the kid adds on top jelly.</t>
  </si>
  <si>
    <t>After, the kid gives a bite to the peanut butter and jelly sandwich.</t>
  </si>
  <si>
    <t>v_kBDTz-dwQ2k</t>
  </si>
  <si>
    <t>There is a woman in a white blouse along with a man in a white shirt in a studio practicing ballroom dancing.</t>
  </si>
  <si>
    <t>They are in a room with a wall full of mirrors.</t>
  </si>
  <si>
    <t>The lady is explaining the steps of the dance as they both demonstrate the moves and foot work involved in the dance.</t>
  </si>
  <si>
    <t>They go back and forth as they take their steps while holding each other's hands.</t>
  </si>
  <si>
    <t>v_ANB_IQfi9kA</t>
  </si>
  <si>
    <t>A man runs past an approaching storm.</t>
  </si>
  <si>
    <t>Surfers are seen in the water, and people are walking with their surfboards.</t>
  </si>
  <si>
    <t>A group of women gather, and a praying mantis is seen.</t>
  </si>
  <si>
    <t>Numerous surfers are then shown, going through and over various waves.</t>
  </si>
  <si>
    <t>v_qF3EbR8y8go</t>
  </si>
  <si>
    <t>woman is painting in a white paper green leaves in a chinese tree.</t>
  </si>
  <si>
    <t>a red paint is shown and woman put a stamp on the corner of the paper.</t>
  </si>
  <si>
    <t>woman is painting a blue ad purple chinese flower.</t>
  </si>
  <si>
    <t>a red and black flowers are painted on a white paper with very detail for the same woman in a dark room.</t>
  </si>
  <si>
    <t>woman used some black painting for make details, put the red stamp on the corner and finished the painting with yellow and reddetails on the flowers.</t>
  </si>
  <si>
    <t>v_gMV5Mso7758</t>
  </si>
  <si>
    <t>A close up of a man is shown followed by him asking a woman a question on the beach.</t>
  </si>
  <si>
    <t>He then is shown speaking to several different people holding a frisbee and playing a game.</t>
  </si>
  <si>
    <t>Many women laugh with the men and the man gives several of them a kiss.</t>
  </si>
  <si>
    <t>v_tzChPctqAP4</t>
  </si>
  <si>
    <t>Two men are seen jumping and kicking around one another performing various flips and tricks.</t>
  </si>
  <si>
    <t>The men continue spinning around one another as well as performing gymnastics moves in different locations.</t>
  </si>
  <si>
    <t>v_ivBgqENFmt0</t>
  </si>
  <si>
    <t>A planter of flowers is seen in front of a home.</t>
  </si>
  <si>
    <t>A roofer nails tiles into the roof beams of a home.</t>
  </si>
  <si>
    <t>The construction worker slides tiles into place on a roof.</t>
  </si>
  <si>
    <t>A crew of construction workers get tiles up onto a roof.</t>
  </si>
  <si>
    <t>A finished tile roof is seen when the job is done.</t>
  </si>
  <si>
    <t>A worker uses a spatula tool to apply grout in between tiles on the roof.</t>
  </si>
  <si>
    <t>v_YULJjXegG1w</t>
  </si>
  <si>
    <t>A basketball court is shown outdoors.</t>
  </si>
  <si>
    <t>A man runs up, and does several consecutive lay ups.</t>
  </si>
  <si>
    <t>He makes a few baskets, then tries again and again.</t>
  </si>
  <si>
    <t>Some kids run by, waving at the camera.</t>
  </si>
  <si>
    <t>v_Qf6gZtm9BIg</t>
  </si>
  <si>
    <t>A man is standing outside talking.</t>
  </si>
  <si>
    <t>He gets onto a slack line and starts to cross it.</t>
  </si>
  <si>
    <t>He falls off onto the grass.</t>
  </si>
  <si>
    <t>v_Lan3mtnCmlw</t>
  </si>
  <si>
    <t>We see a Santa clause underwater in the ocean.</t>
  </si>
  <si>
    <t>We see white and yellow fish swimming around the man.</t>
  </si>
  <si>
    <t>We sit above the man seeing his bubbles.</t>
  </si>
  <si>
    <t>The man swims under a rock arch.</t>
  </si>
  <si>
    <t>v__0CqozZun3U</t>
  </si>
  <si>
    <t>man is standing in the botom of a stairs and is cleaning the snow hil in the street a snowplow is passing and the man is cleaning the snow and doing a path.</t>
  </si>
  <si>
    <t>man is standing in front of a car and is cleaning the windshield and all the windows.</t>
  </si>
  <si>
    <t>v_FmRLElPPWV8</t>
  </si>
  <si>
    <t>People prepare to go canoeing and then launch their boats.</t>
  </si>
  <si>
    <t>People then go down the stream.</t>
  </si>
  <si>
    <t>v_Pp4U2Ql7bhY</t>
  </si>
  <si>
    <t>A man in a Batman shirt is sitting down talking.</t>
  </si>
  <si>
    <t>A person starts welding a piece of metal.</t>
  </si>
  <si>
    <t>He takes a brush and brushes off the piece of metal.</t>
  </si>
  <si>
    <t>He puts all the pieces in a black bag.</t>
  </si>
  <si>
    <t>v_BdAPzcdrk9g</t>
  </si>
  <si>
    <t>A small group of people are seen standing on two sides of a net.</t>
  </si>
  <si>
    <t>The people then begin playing a game of badminton with one another.</t>
  </si>
  <si>
    <t>They continue to hit the birdie around while serving it to the other side and hitting it back.</t>
  </si>
  <si>
    <t>v_fLCWIE8a4AU</t>
  </si>
  <si>
    <t>A crowd of about one thousand people are outside and in the stadium watching a bull fight.</t>
  </si>
  <si>
    <t>Three young men are in the center and begin to tamper with two black and white bulls.</t>
  </si>
  <si>
    <t>The two bulls are now fighting with one another and the crowd begins to close in on them to see the action.</t>
  </si>
  <si>
    <t>v_VOTBtV0CQ8c</t>
  </si>
  <si>
    <t>A camera pans around a lake and shows a boat moving along the water.</t>
  </si>
  <si>
    <t>A person is seen riding behind the boat on a pair of skis.</t>
  </si>
  <si>
    <t>More shots are shown of the boat riding around with a person skiing in the back.</t>
  </si>
  <si>
    <t>v_Lm7KLQgzQDk</t>
  </si>
  <si>
    <t>A large group of people are seen standing together dressed up with one man speaking into a mic and pointing.</t>
  </si>
  <si>
    <t>The man then busts out into song and dance with another man and pointing to the groom gradually.</t>
  </si>
  <si>
    <t>v_PLWeVDUH_Cw</t>
  </si>
  <si>
    <t>Business men walk through a busy crowd.</t>
  </si>
  <si>
    <t>A business man plays against a table tennis professional.</t>
  </si>
  <si>
    <t>Two businessmen play on a team against the table tennis pro.</t>
  </si>
  <si>
    <t>The match ends and the business men shake hands with the athlete.</t>
  </si>
  <si>
    <t>v_lMFp8FPeDHI</t>
  </si>
  <si>
    <t>A preteen boy is out in an open park filming challenges on monkey bars he points to the left.</t>
  </si>
  <si>
    <t>The camera pans over to the left to show the slide in another part of the jungle gym.</t>
  </si>
  <si>
    <t>The camera pans back to the monkey bars.</t>
  </si>
  <si>
    <t>The boy attempts to climb the monkey bars starting from the second from the top rung of the ladder on the inside and falls, he gets up and goes to the ladder.</t>
  </si>
  <si>
    <t>The boy attempts the climb again, this time from the top rung of the ladder on the inside and falls, he gets up and goes to the ladder again.</t>
  </si>
  <si>
    <t>The boy attempts to climb again, from the top bar on the inside and falls again, he gets up and goes to the ladder again.</t>
  </si>
  <si>
    <t>The boy attempts to climb again, this time he adjusts again standing on the second rung on the inside and falls again when he attempts to climb.</t>
  </si>
  <si>
    <t>The boy attempts to climb again using the same starting point and falls, he gets up and goes toward the ladder but decides he is done and says good-bye.</t>
  </si>
  <si>
    <t>v_zfi8f5NnYaY</t>
  </si>
  <si>
    <t>A man is seen riding around on a horse holding a stick and then pausing to sit.</t>
  </si>
  <si>
    <t>He is then seen again walking with a large group of people drinking water and then shakes hands of several people while walking back.</t>
  </si>
  <si>
    <t>v_kCD0iQFnHA4</t>
  </si>
  <si>
    <t>A close up of a dough is shown and leads into a person spreading frosting on a pastry.</t>
  </si>
  <si>
    <t>She puts the pastry onto the cake and continues putting frosting all around the cake.</t>
  </si>
  <si>
    <t>The camera zooms around the cake and shows the woman putting a face on the cake and showing off the finished result.</t>
  </si>
  <si>
    <t>v_4rv1uLmbyHA</t>
  </si>
  <si>
    <t>Two news anchors are talking in a room.</t>
  </si>
  <si>
    <t>A man is making food in a kitchen.</t>
  </si>
  <si>
    <t>He cooks mushrooms in a pan.</t>
  </si>
  <si>
    <t>He adds the food into a bowl.</t>
  </si>
  <si>
    <t>v_owLQzBg4olo</t>
  </si>
  <si>
    <t>A long colorful scarf is seen running over chairs.</t>
  </si>
  <si>
    <t>A woman is seen knitting the scarf in a purple dress.</t>
  </si>
  <si>
    <t>Three other woman sit together and knit a section of the scarf.</t>
  </si>
  <si>
    <t>v_C7so_y5I_9s</t>
  </si>
  <si>
    <t>We see images of a man opening blinds and carrying a boarding outside.</t>
  </si>
  <si>
    <t>We see a man riding jet skis and performing flips.</t>
  </si>
  <si>
    <t>We see a man sitting on the dock.</t>
  </si>
  <si>
    <t>We see the jet skier ride over a ramp.</t>
  </si>
  <si>
    <t>We see a shoe briefly.</t>
  </si>
  <si>
    <t>v_hf1JuvacaJc</t>
  </si>
  <si>
    <t>Individuals bowl at their lanes and knock down pins.</t>
  </si>
  <si>
    <t>A guy bowls a strike and open his mouth to express anguish.</t>
  </si>
  <si>
    <t>v_nyEcPLZQerc</t>
  </si>
  <si>
    <t>Students are interviewed and then run a race.</t>
  </si>
  <si>
    <t>Everyone seems happy to be involved with the College of Charleston.</t>
  </si>
  <si>
    <t>v_VyD5Z0S9tXU</t>
  </si>
  <si>
    <t>A chef demonstrates how to peel a potato using a potato peeler and a potato, in a kitchen in front of cutting board.</t>
  </si>
  <si>
    <t>The man talks to the camera and begins to peel the potato with the peeler peeling of slices of skin and gesturing at the table.</t>
  </si>
  <si>
    <t>The man peels the potato until it has no more skin on it.</t>
  </si>
  <si>
    <t>v_UmuWttAYfco</t>
  </si>
  <si>
    <t>Two men are standing together on a table with their fist up as the referee holds their wrist.</t>
  </si>
  <si>
    <t>The referee then lets go and almost instantly the arm wrestling match is over and a winner is declared,the winner moves on and several more matches begin to take place and they too are ended abruptly.</t>
  </si>
  <si>
    <t>Near the end however,the opponents finally match and it takes forever to declare a winner as they struggle to move their hands.</t>
  </si>
  <si>
    <t>v_XToVLTbQEm4</t>
  </si>
  <si>
    <t>men are playing basket in a roofed wooden court.</t>
  </si>
  <si>
    <t>man is alone doing lay ups to the basket.</t>
  </si>
  <si>
    <t>another man arrives to the court and start playing together.</t>
  </si>
  <si>
    <t>v_U9b8U-EymNw</t>
  </si>
  <si>
    <t>A company log is on the screen.</t>
  </si>
  <si>
    <t>A boat is floating on the water.</t>
  </si>
  <si>
    <t>A tube has water running through it and there are floats on the water.</t>
  </si>
  <si>
    <t>The camera is scanning the boat.</t>
  </si>
  <si>
    <t>Two women are sitting on the boat, one is poking the other.</t>
  </si>
  <si>
    <t>A plastic seat is inflated then a board is put into the water.</t>
  </si>
  <si>
    <t>A woman is on the board and holding on to a line attached to the boat.</t>
  </si>
  <si>
    <t>A woman is driving the boat while the other woman is boarding behind her.</t>
  </si>
  <si>
    <t>A woman is taking a selfie while on the boat.</t>
  </si>
  <si>
    <t>The woman is doing tricks with the board on the water.</t>
  </si>
  <si>
    <t>She let go of the line and floated freely.</t>
  </si>
  <si>
    <t>v_RA61jh8HwPI</t>
  </si>
  <si>
    <t>A woman is seen putting makeup on her face and leads into several pictures of makeup.</t>
  </si>
  <si>
    <t>Many more pictures of products are shown with text across the screen.</t>
  </si>
  <si>
    <t>More pictures of products are shown that end with more text and a woman pushing away makeup.</t>
  </si>
  <si>
    <t>v_-6prmNqkAN8</t>
  </si>
  <si>
    <t>A large snowy mountain is seen as people gather on the ice.</t>
  </si>
  <si>
    <t>They hit several pucks, sweeping them in a game.</t>
  </si>
  <si>
    <t>v_3sL7fLHM09c</t>
  </si>
  <si>
    <t>A female gymnast is demonstrating a gymnastics performance on bars.</t>
  </si>
  <si>
    <t>Other gymnasts and an instructor are watching the female gymnast perform.</t>
  </si>
  <si>
    <t>Another female gymnast is practicing in the background.</t>
  </si>
  <si>
    <t>v_Z9gstJONME4</t>
  </si>
  <si>
    <t>A man is lifting weights in the gym.</t>
  </si>
  <si>
    <t>The ball goes to the man's chest for the first time.</t>
  </si>
  <si>
    <t>The man takes a break.</t>
  </si>
  <si>
    <t>v_YAPkcWlWmYg</t>
  </si>
  <si>
    <t>A girl is seen listening to music and transitions into her performing a dance routine outside on a walk way.</t>
  </si>
  <si>
    <t>She continues dancing around while smiling to the camera and ends by walking away and giving two peace signs to the camera.</t>
  </si>
  <si>
    <t>v_gGYje5UGLdY</t>
  </si>
  <si>
    <t>A person is seen walking into frame in front of a pair of drums.</t>
  </si>
  <si>
    <t>He then begins playing the drums back and fourth.</t>
  </si>
  <si>
    <t>He continues to play on the drums and ends by turning the camera off.</t>
  </si>
  <si>
    <t>v_QBy64z68s0w</t>
  </si>
  <si>
    <t>A young girl performs her gymnastics routine on the balance beam.</t>
  </si>
  <si>
    <t>The young girl gets on the beam and continues her routine.</t>
  </si>
  <si>
    <t>The young girl falls off the beam.</t>
  </si>
  <si>
    <t>The young girl gets back on the beam and finishes her routine.</t>
  </si>
  <si>
    <t>v_KSu59HUet3E</t>
  </si>
  <si>
    <t>A man with white shirt is standing in front of a machine.</t>
  </si>
  <si>
    <t>He turned around and pointed the machine.</t>
  </si>
  <si>
    <t>The machine is being shown.</t>
  </si>
  <si>
    <t>A man who is wearing a white shirt keeps talking, while behind him a man in gray shirt walked and reach something in the machine.</t>
  </si>
  <si>
    <t>The man in gray shirt put a powdery stuff in the machine.</t>
  </si>
  <si>
    <t>He is shaking the bag.</t>
  </si>
  <si>
    <t>The man in white shirt is putting cement on the wall.</t>
  </si>
  <si>
    <t>The man is holding a blue long tube pointing on the wall.</t>
  </si>
  <si>
    <t>The man in gray uniform used the tube/pump and spray the cement on the wall.</t>
  </si>
  <si>
    <t>An old man is smoothing the cement on the wall.</t>
  </si>
  <si>
    <t>v_NiQaDgj8Z10</t>
  </si>
  <si>
    <t>A lady hula hoop with five hula hoops and one by one she takes on off of her and tosses it until she tossed away all five hula hoops she was hula hooping with.</t>
  </si>
  <si>
    <t>the lady then hula hoops with 300 hula hoops with will be a world record.</t>
  </si>
  <si>
    <t>the lady starts by putting the 300 hula hoops around her body as she bend over to get a good grip on them,she then stands straight up and starts to twirl all 300 hula hoops around her body.</t>
  </si>
  <si>
    <t>finally she manages to twirl all the hula hoop around her hole body and finishes with the hula hoops on the ground and she bows to the people who is watching her.</t>
  </si>
  <si>
    <t>v_NKQehrewXlM</t>
  </si>
  <si>
    <t>A man is seen jogging on the side of the road as well as speaking to the camera.</t>
  </si>
  <si>
    <t>Clips are shown of him warming up on the side and running up along mountainsides.</t>
  </si>
  <si>
    <t>He continues speaking to the camera while running around a neighborhood and people showing off his movements.</t>
  </si>
  <si>
    <t>v_06eyqLosXjU</t>
  </si>
  <si>
    <t>A man is standing behind two inverted drums.</t>
  </si>
  <si>
    <t>He begins to play them with small sticks.</t>
  </si>
  <si>
    <t>He finishes playing and walks away.</t>
  </si>
  <si>
    <t>v_8W-x068F4tE</t>
  </si>
  <si>
    <t>An athletic man is seen standing before a beam and begins performing a gymnastics routine.</t>
  </si>
  <si>
    <t>He swings himself around and around performing flips and tricks and ends by kissing the crowd and walking away.</t>
  </si>
  <si>
    <t>v_Zrv8_-Y-jSM</t>
  </si>
  <si>
    <t>A special effect intro screen appears which is mainly blue and white words in the middle of the screen appear and they read "ROPE SKIPPING".</t>
  </si>
  <si>
    <t>Behind the words there are 4 girls with their own jump ropes and they're all rope skipping separately and eventually they jump in unison.</t>
  </si>
  <si>
    <t>White words appear on the screen that read "Klasse 7c/Fr Leifels", the girls drop to the ground to end their routine and they smile and look around.</t>
  </si>
  <si>
    <t>v_VTFIAQVjHv8</t>
  </si>
  <si>
    <t>A man in a grey print hoodie is standing against a wall introducing himself and then explaining that he is going to give a tutorial for some tricks.</t>
  </si>
  <si>
    <t>A stop start animation with a desk calendar is shown with flip animation drawings blending into framed animation leading to the title of the group and the skateboard tutorial they are about to explain.</t>
  </si>
  <si>
    <t>Footage of a skateboarder doing a trick in front of a camera is followed by the man in the grey hoodie explaining that he is going to show how to do a frontside 180 on a skateboard and what it can be used for as well as the fundamentals befor learning the trick.</t>
  </si>
  <si>
    <t>He then goes into the explanation of how to do the trick in depth as well as footage being shown while he's talking about the trick.</t>
  </si>
  <si>
    <t>The camera pans up and a black screen appears with white letters and a website address followed by a film company and a site channel.</t>
  </si>
  <si>
    <t>v_rteN6_HkMkI</t>
  </si>
  <si>
    <t>A man is shown smoking a cigarette while walking several dogs attached to chains on his belt.</t>
  </si>
  <si>
    <t>A man is talking from behind a table.</t>
  </si>
  <si>
    <t>Several scenes are then shown of the actor while the news person talks about him.</t>
  </si>
  <si>
    <t>v_rojFvhZw_z8</t>
  </si>
  <si>
    <t>A woman is getting ready to bath her dog in her front yard.</t>
  </si>
  <si>
    <t>She takes a hose and wets the dog first.</t>
  </si>
  <si>
    <t>There is another little puppy running around the dog and a little kitten too.</t>
  </si>
  <si>
    <t>The woman takes some liquid soap and scrubs it on the dog.</t>
  </si>
  <si>
    <t>After she's done washing, she wipes him dry with a towel.</t>
  </si>
  <si>
    <t>then she bathes the little puppy the same way with soap and water.</t>
  </si>
  <si>
    <t>The dog is playing on a rug after the bath is over with wet fur on his body.</t>
  </si>
  <si>
    <t>The little puppy is running around the dog with wet fur too.</t>
  </si>
  <si>
    <t>v_aCSG6pfivy4</t>
  </si>
  <si>
    <t>A tray of cookies is shown, followed by butter being beaten in a bowl.</t>
  </si>
  <si>
    <t>Ingredients are added one at a time, mixing them all together.</t>
  </si>
  <si>
    <t>The dough is piped onto the tray, then baked.</t>
  </si>
  <si>
    <t>v_DuDF7hkrjYo</t>
  </si>
  <si>
    <t>A woman is standing in a room talking.</t>
  </si>
  <si>
    <t>She picks up a plastic bottle.</t>
  </si>
  <si>
    <t>She starts dusting a dresser.</t>
  </si>
  <si>
    <t>She wipes it off with a towel.</t>
  </si>
  <si>
    <t>She dumps olive oil onto a rag and rubs it onto the dresser.</t>
  </si>
  <si>
    <t>v_W34A9wUi-4g</t>
  </si>
  <si>
    <t>team is in a court playing futsal, running through the court, while people is siting on stands watchin the game.</t>
  </si>
  <si>
    <t>team are standing on sides charging a penalty.</t>
  </si>
  <si>
    <t>people are in a roofed gym playing and waching the game.</t>
  </si>
  <si>
    <t>v_ZoKZTceDTLA</t>
  </si>
  <si>
    <t>We see a man talking while walking through a house.</t>
  </si>
  <si>
    <t>We see another man working on the floor.</t>
  </si>
  <si>
    <t>We see a man laying tile in another room.</t>
  </si>
  <si>
    <t>Two men are in the same room working on different projects.</t>
  </si>
  <si>
    <t>We see the man talking to the camera again.</t>
  </si>
  <si>
    <t>v_eJnSC8C3OIw</t>
  </si>
  <si>
    <t>A website address is typed in.</t>
  </si>
  <si>
    <t>Skateboards skate and do tricks down stairs and on benches throughout a city.</t>
  </si>
  <si>
    <t>A skateboarder rides a concrete ramp in a skate park.</t>
  </si>
  <si>
    <t>Skateboarders ride the banks of a drainage ditch.</t>
  </si>
  <si>
    <t>Different skateboarders ride in a concrete ramp doing tricks.</t>
  </si>
  <si>
    <t>The city lights are seen at night with passing traffic in fast motion.</t>
  </si>
  <si>
    <t>v_vNyXwHA_k5A</t>
  </si>
  <si>
    <t>People are dancing on a stage.</t>
  </si>
  <si>
    <t>People in the audience are raising their hands.</t>
  </si>
  <si>
    <t>A man in a white shirt starts singing and dancing on the stage.</t>
  </si>
  <si>
    <t>v_KyDS9Zg76Jg</t>
  </si>
  <si>
    <t>A chef demonstrates how to cut and chop several vegetables as he prepares an asian inspired meal.</t>
  </si>
  <si>
    <t>A chef in a white chefs outfit in a kitchen, boils potatoes and onions in a pot.</t>
  </si>
  <si>
    <t>The chef talks to the camera and takes a series of vegetables and chops them up on a counter.</t>
  </si>
  <si>
    <t>The chef then puts the vegetables along with some oil into a bowl and sticks two large chopsticks in to showcase the finished product.</t>
  </si>
  <si>
    <t>v_x5MPJnwJrfE</t>
  </si>
  <si>
    <t>A woman is seen laying down on a table with a man tattooing her from behind.</t>
  </si>
  <si>
    <t>A woman watches on the side as the man continues tattooing and the woman having him stop.</t>
  </si>
  <si>
    <t>The woman continues trying to get the tattoo but stopping and speaking to the camera because it hurt so bad.</t>
  </si>
  <si>
    <t>v_N5J9Zb07uuQ</t>
  </si>
  <si>
    <t>A man is seen standing on a ladder and leads into several pictures of him on the ladder and then painting the wall with another.</t>
  </si>
  <si>
    <t>They're seen hanging up posters, climbing up and down ladders, and finally cutting carious foods on a large stick afterwards.</t>
  </si>
  <si>
    <t>v_qYpb_3oAM0k</t>
  </si>
  <si>
    <t>A man is sitting down on a chair.</t>
  </si>
  <si>
    <t>He starts playing an accordion in his lap.</t>
  </si>
  <si>
    <t>He stops playing and looks at the camera.</t>
  </si>
  <si>
    <t>v_QZCBVJHF81w</t>
  </si>
  <si>
    <t>A man is seen walking forward speaking to the camera and begins washing a car.</t>
  </si>
  <si>
    <t>The man scrubs all around the car while still speaking to the camera.</t>
  </si>
  <si>
    <t>He continues to wash the car and stops for a moment to speak to the camera.</t>
  </si>
  <si>
    <t>v_9_wuEvN2OnQ</t>
  </si>
  <si>
    <t>A woman is trying to play bad-mitten.</t>
  </si>
  <si>
    <t>She is hitting the shuttle cock.</t>
  </si>
  <si>
    <t>She is walking around the court, looking around.</t>
  </si>
  <si>
    <t>She is trying to play the game with not much effort.</t>
  </si>
  <si>
    <t>She hands another racket to a friend.</t>
  </si>
  <si>
    <t>She is not really playing.</t>
  </si>
  <si>
    <t>The other player is a more serious player as she serves.</t>
  </si>
  <si>
    <t>The game of bad-mitten continues as the first player missed again and again.</t>
  </si>
  <si>
    <t>People walk in front of the camera.</t>
  </si>
  <si>
    <t>The camera shows the other two players.</t>
  </si>
  <si>
    <t>The game goes on for a while longer before it ends.</t>
  </si>
  <si>
    <t>v_UoGoOznvKew</t>
  </si>
  <si>
    <t>A woman is seen looking at the camera and holding up a piece of makeup.</t>
  </si>
  <si>
    <t>She then takes out her contacts and holds up another container.</t>
  </si>
  <si>
    <t>She then puts another set of contacts in and smiles to the camera.</t>
  </si>
  <si>
    <t>v_FMUaey1tigI</t>
  </si>
  <si>
    <t>A man adjust his camera and captures a close up of his hand and face.</t>
  </si>
  <si>
    <t>A young child wearing a green shirt is playing some conga percussion instruments.</t>
  </si>
  <si>
    <t>An older boy wearing a burgundy shirt moves into the picture behind the child who is playing the Conga's and begins to dance.</t>
  </si>
  <si>
    <t>The boy in the burgundy shirt walks out of the picture as the young conga player also walks away as the camera follows him.</t>
  </si>
  <si>
    <t>The young child returns to continue playing the conga's as a child wearing a blue shirt walks behind the young conga player.</t>
  </si>
  <si>
    <t>v_4E40jmmc2N8</t>
  </si>
  <si>
    <t>A large man is seen sitting in the middle of a circle looking away from the camera.</t>
  </si>
  <si>
    <t>The man then spins himself around with a discuss in his hands.</t>
  </si>
  <si>
    <t>Finally he throws the object off into the distance.</t>
  </si>
  <si>
    <t>v_XCwPsQwzfiA</t>
  </si>
  <si>
    <t>A woman is pouring ingredients into a Kitchen aid.</t>
  </si>
  <si>
    <t>She turns it on and mixes the ingredients together.</t>
  </si>
  <si>
    <t>She pours the mixture into to cake pans.</t>
  </si>
  <si>
    <t>A piece of cake is shown on a plate.</t>
  </si>
  <si>
    <t>v_eECoZPqsTYI</t>
  </si>
  <si>
    <t>A man is seen playing drums on a set of buckets while several people walk past him and others record him.</t>
  </si>
  <si>
    <t>The man continues to play as the camera pans all around him and people continue to walk around him and show off the area.</t>
  </si>
  <si>
    <t>v_pcrNMrBmy1I</t>
  </si>
  <si>
    <t>Two teams are playing lacrosse outdoors.</t>
  </si>
  <si>
    <t>Players score and jump and run to celebrate the scores.</t>
  </si>
  <si>
    <t>A player take the ball on the stick and run to the goal to score, where a player scores.</t>
  </si>
  <si>
    <t>The board shows the winner.</t>
  </si>
  <si>
    <t>v_bKVrokdj7HM</t>
  </si>
  <si>
    <t>There's a man wearing s white shirt playing the drum set in a room.</t>
  </si>
  <si>
    <t>He begins by playing the snare drum and the bass drum.</t>
  </si>
  <si>
    <t>Then he continues playing by hitting the cymbals and the hi-hat.</t>
  </si>
  <si>
    <t>He stops for a bit and then resumes playing the drum set.</t>
  </si>
  <si>
    <t>He plays rhythmically as he picks up speed and plays the drum set.</t>
  </si>
  <si>
    <t>Then he stops and gets up to turn off the camera.</t>
  </si>
  <si>
    <t>v_8M_RipfsJI8</t>
  </si>
  <si>
    <t>A man is reaching into water and washing his face.</t>
  </si>
  <si>
    <t>A woman is working on the otherside of the water.</t>
  </si>
  <si>
    <t>The man splashes the worker with water.</t>
  </si>
  <si>
    <t>A woman looks on and laughs at the man.</t>
  </si>
  <si>
    <t>v_Da9uVKDLwVY</t>
  </si>
  <si>
    <t>A small collie is standing on top of a table.</t>
  </si>
  <si>
    <t>He is tied in place, and a man begins brushing him all over.</t>
  </si>
  <si>
    <t>He stands still as he is being groomed.</t>
  </si>
  <si>
    <t>v_ndGz8-hHSt4</t>
  </si>
  <si>
    <t>A person puts on a welding helmet.</t>
  </si>
  <si>
    <t>Then, the person weld a piece of metal.</t>
  </si>
  <si>
    <t>Then, the person finish to weld and rise his helmet but it folds down.</t>
  </si>
  <si>
    <t>v_BfSqo9ONd6g</t>
  </si>
  <si>
    <t>There's a dirt biking event going on which is sponsored by Monster energy drink.</t>
  </si>
  <si>
    <t>There are several contestants participating in the event.</t>
  </si>
  <si>
    <t>One of the contestants falls off his bike and seems like he's injured.</t>
  </si>
  <si>
    <t>He gets up right away and walks to the corner.</t>
  </si>
  <si>
    <t>v_dZMMhVx7yY4</t>
  </si>
  <si>
    <t>A man is seen speaking to the camera followed by him talking to random women on the beach.</t>
  </si>
  <si>
    <t>They play a game together and when he wins the girl gives him a kiss.</t>
  </si>
  <si>
    <t>When they lose the girl smacks him.</t>
  </si>
  <si>
    <t>Several girls laugh and play along while getting a kiss or slapping the man.</t>
  </si>
  <si>
    <t>v_Lg-mJS-BZZo</t>
  </si>
  <si>
    <t>A person is seen wearing a funny costume while holding onto a piece of machinery.</t>
  </si>
  <si>
    <t>The man pushes the machinery around the lawn while looking into the camera.</t>
  </si>
  <si>
    <t>The man continues using the machine while looking off into the camera.</t>
  </si>
  <si>
    <t>v_zUt53fHpqc8</t>
  </si>
  <si>
    <t>A group of men are shown cheering and jumping around in slow motion.</t>
  </si>
  <si>
    <t>Many people are present as trophies are displayed.</t>
  </si>
  <si>
    <t>A bunch of people gather to play beer pong and drink.</t>
  </si>
  <si>
    <t>Various shots of the action at different tables is shown and then the video cuts to an internet address to find out more information.</t>
  </si>
  <si>
    <t>v_KsKUIIHiMg0</t>
  </si>
  <si>
    <t>There are two women in a bathroom washing clothes in blue buckets filled with foamy soap water.</t>
  </si>
  <si>
    <t>The women soak the clothes in the soap water and rinse them out to clean them.</t>
  </si>
  <si>
    <t>Then she put the clothes in a large metal drum that spins rapidly to drain off excess water.</t>
  </si>
  <si>
    <t>They then go on top of their building in an open terrace where ropes are tied across the walls.</t>
  </si>
  <si>
    <t>They begin hanging the clothes on the clothesline for drying.</t>
  </si>
  <si>
    <t>v_UXc2y7lR5t0</t>
  </si>
  <si>
    <t>A boy hangs on monkey bars.</t>
  </si>
  <si>
    <t>He crosses the obstacle easily.</t>
  </si>
  <si>
    <t>He looks proud of himself.</t>
  </si>
  <si>
    <t>He smiles at the camera.</t>
  </si>
  <si>
    <t>v_hKE7vI--XGU</t>
  </si>
  <si>
    <t>A woman wearing a shawl stands in front of a tropical plant outdoors.</t>
  </si>
  <si>
    <t>A woman presents a band on stage for a performance.</t>
  </si>
  <si>
    <t>A flute player plays a part of a song during the performance.</t>
  </si>
  <si>
    <t>The band plays a song together during the performance.</t>
  </si>
  <si>
    <t>v_93jSVyXW5gc</t>
  </si>
  <si>
    <t>woman is standing in a shooting room holding a bow and throwing the arrow into a board.</t>
  </si>
  <si>
    <t>woman stands in a bg large field holding a bow and thowing arrow to baloons.</t>
  </si>
  <si>
    <t>woman is standing in a small court holding a bow and throwing an arow to an apple in a man's head.</t>
  </si>
  <si>
    <t>man is standing in a alrge green field showing a woman how to shoot an arrow and the woman pulls out a gun from the pockets and shot to the board.</t>
  </si>
  <si>
    <t>man is standing next to a tree holding a camera.</t>
  </si>
  <si>
    <t>woman is throwing arros to a watermelon.</t>
  </si>
  <si>
    <t>woman is throwing arrows to movie posters and talking to the camera.</t>
  </si>
  <si>
    <t>v_oLrkd6M2WRY</t>
  </si>
  <si>
    <t>man is talking to the camera standing next to a box.</t>
  </si>
  <si>
    <t>man is assembling a shuffleboard court in a sidewalk.</t>
  </si>
  <si>
    <t>man start playing the suffleboard hitting the pucks.</t>
  </si>
  <si>
    <t>v_CIJp-SG3sWE</t>
  </si>
  <si>
    <t>A girl walks to the edge of the diving board.</t>
  </si>
  <si>
    <t>The girl extends her hands.</t>
  </si>
  <si>
    <t>The girl dives into pool.</t>
  </si>
  <si>
    <t>The girl swims to the edge of the pool.</t>
  </si>
  <si>
    <t>v_5nvximBXhFI</t>
  </si>
  <si>
    <t>A tall garage building is shown in the dark and then several teen age boys appear skateboarding in the inside of it.</t>
  </si>
  <si>
    <t>As they come around the corner,they hold on to each others shirts and come down the slanted road in a single file line and a boy is shown holding a camera with a selfie stick recording the action.</t>
  </si>
  <si>
    <t>After,a black male appears talking in the car and the boys are then shown walking up a set of stairs.</t>
  </si>
  <si>
    <t>The action continues and all the boys join one another back in the garage and the male that was talking in the video is seen skating with the rest of the boys.</t>
  </si>
  <si>
    <t>v_WmQC309JCAI</t>
  </si>
  <si>
    <t>Men in a jerseys are standing around with their arms crossed just kind of staring into space.</t>
  </si>
  <si>
    <t>Then, you see them on the field playing a game and later talking a little bit about it.</t>
  </si>
  <si>
    <t>They each seem to recall their own memories of times they won medal and stare at their medals.</t>
  </si>
  <si>
    <t>they stand around in a small group talking and then you see an audience cheering and clapping.</t>
  </si>
  <si>
    <t>v_BaJwohtZMtA</t>
  </si>
  <si>
    <t>A person shows up on a stage dancing in the dark with an LED hula hoop.</t>
  </si>
  <si>
    <t>As the person dances the LED lights on the hula hoop begin to change colors.</t>
  </si>
  <si>
    <t>The closing credits show up on the screen as the video ends.</t>
  </si>
  <si>
    <t>v_NfjeG6AsoJA</t>
  </si>
  <si>
    <t>kids are playing on the playground in the school ground.</t>
  </si>
  <si>
    <t>kids are swingin in the swing on a side.</t>
  </si>
  <si>
    <t>little kid stands on the edge of the slide.</t>
  </si>
  <si>
    <t>v_rBsRSdPFOww</t>
  </si>
  <si>
    <t>A chef dressed in a white chef's outfit is demonstrating how to sharpen kitchen knives using a tool called Rada knife sharpener.</t>
  </si>
  <si>
    <t>He is standing in a kitchen in front of the counter that has a variety of raw vegetables displayed.</t>
  </si>
  <si>
    <t>He places a kitchen towel on the counter and then places the knife on top of it.</t>
  </si>
  <si>
    <t>He then demonstrates how to use the Rada sharpening tool to sharpen the kitchen knife by running iit back and forth in gentle and steady motion.</t>
  </si>
  <si>
    <t>v_HfpCQGe9eA0</t>
  </si>
  <si>
    <t>A guy rises to his feet.</t>
  </si>
  <si>
    <t>The guy walks on a tight rope.</t>
  </si>
  <si>
    <t>The guy turns to walk back.</t>
  </si>
  <si>
    <t>The guy walks backwards on the tight rope.</t>
  </si>
  <si>
    <t>The guy steps off the tight rope and smiles.</t>
  </si>
  <si>
    <t>v_hZRgO5Kd-rE</t>
  </si>
  <si>
    <t>A man is seen speaking to the camera and leads into various ingredients begin shown and a person slicing up cheese.</t>
  </si>
  <si>
    <t>The person mixes ingredients together and lays them on slices of bread to create a sandwich.</t>
  </si>
  <si>
    <t>The person presses the food into a presser and takes a large bite afterwards.</t>
  </si>
  <si>
    <t>v_EML3BvJxknA</t>
  </si>
  <si>
    <t>An older man is sitting in a tube while an older woman climbs on the back.</t>
  </si>
  <si>
    <t>The man in the tube is wearing skiis and eventually rides behind the boat with the woman on top.</t>
  </si>
  <si>
    <t>The couple continue riding on top of each other on the skis while the camera zooms in and out to capture the movement.</t>
  </si>
  <si>
    <t>v_3OGD7if0zs8</t>
  </si>
  <si>
    <t>A woman stands in a kitchen, staring at the camera.</t>
  </si>
  <si>
    <t>The person opens an oven and pulls out a tray of chocolate chip cookies.</t>
  </si>
  <si>
    <t>The woman stares at the cookies, and a second batch is checked.</t>
  </si>
  <si>
    <t>The woman scoops the cookies off the tray, loosening them.</t>
  </si>
  <si>
    <t>v_OVpvpvmV2pg</t>
  </si>
  <si>
    <t>A little boy is smiling close to the camera.</t>
  </si>
  <si>
    <t>He uses a wrench to remove the bolts from a kids' bike tires.</t>
  </si>
  <si>
    <t>When he is done, he laughs loudly.</t>
  </si>
  <si>
    <t>v_huI9TvxZxmM</t>
  </si>
  <si>
    <t>A man and woman dressed up on stage waiting to start their performance.</t>
  </si>
  <si>
    <t>The performance begins and the start dancing very beautifully.</t>
  </si>
  <si>
    <t>They work very well together, he picks her up on his shoulders.</t>
  </si>
  <si>
    <t>They use the chair as a prop and dance until it time to stop and then they hug.</t>
  </si>
  <si>
    <t>v_TADJh_DZOfE</t>
  </si>
  <si>
    <t>A female athlete claps her hands.</t>
  </si>
  <si>
    <t>The female athlete runs and elevates her body over a heighten hurdle.</t>
  </si>
  <si>
    <t>The female athlete rises and yells in joy.</t>
  </si>
  <si>
    <t>The female athlete dances and spins.</t>
  </si>
  <si>
    <t>The female athlete walks away.</t>
  </si>
  <si>
    <t>v_9o2iojC7gSw</t>
  </si>
  <si>
    <t>A indoor course is panned with camera in a warehouse setting.</t>
  </si>
  <si>
    <t>An athlete runs down a track and pole vaults over a high bar and onto a cushioned landing pad.</t>
  </si>
  <si>
    <t>The pole vaulter discusses events and sets down some wooden pools before use.</t>
  </si>
  <si>
    <t>The athlete discusses more and is seen on television screens doing previous pole vaults.</t>
  </si>
  <si>
    <t>The athlete sits with a coach and watches a tv screen.</t>
  </si>
  <si>
    <t>The athlete stands and talks on the track and does a warm up run jumping on the mats.</t>
  </si>
  <si>
    <t>The athlete lays on a mat next to a female athlete and stretches.</t>
  </si>
  <si>
    <t>The athlete does multiple pole vaults during practice onto the mat.</t>
  </si>
  <si>
    <t>The outside of the warehouse is seen in a city setting.</t>
  </si>
  <si>
    <t>v_x1Z_3-X49HY</t>
  </si>
  <si>
    <t>A close up of a cat is seen sitting in a person's lap.</t>
  </si>
  <si>
    <t>The person then grabs a pair of clippers and begins cutting the nails of the cat.</t>
  </si>
  <si>
    <t>He continues cutting the nails and shows off the cat paws in the end.</t>
  </si>
  <si>
    <t>v_MCnvxOLnbsg</t>
  </si>
  <si>
    <t>A silver car is parked in the street.</t>
  </si>
  <si>
    <t>A man power washes the car in the street.</t>
  </si>
  <si>
    <t>He then dries it off.</t>
  </si>
  <si>
    <t>The car is now completely clean.</t>
  </si>
  <si>
    <t>v_AyYpsQ4xOo8</t>
  </si>
  <si>
    <t>A woman talks to the camera in a street environment while pedestrians and cars pass by.</t>
  </si>
  <si>
    <t>The woman peeks out from behind a wall.</t>
  </si>
  <si>
    <t>The woman looks at a laptop screen with a man.</t>
  </si>
  <si>
    <t>The man applies a tattoo pattern to the woman's upper arm, with the video sometimes passing in accelerated time.</t>
  </si>
  <si>
    <t>The woman shows the completed tattoo while talking to the camera.</t>
  </si>
  <si>
    <t>v_O0uVjGlOW8M</t>
  </si>
  <si>
    <t>A vast ocean view is shown as a wave crashes in.</t>
  </si>
  <si>
    <t>This is repeated from several different angles.</t>
  </si>
  <si>
    <t>People are then shown surfing through the waves.</t>
  </si>
  <si>
    <t>v_ZeugCIqbsD4</t>
  </si>
  <si>
    <t>A man is standing in front of a table.</t>
  </si>
  <si>
    <t>He is holding a potato and peeler over a bowl.</t>
  </si>
  <si>
    <t>He peels the potato one strip at a time.</t>
  </si>
  <si>
    <t>v_YpA8T0ZjRIo</t>
  </si>
  <si>
    <t>Cars are getting washed at a car wash.</t>
  </si>
  <si>
    <t>A play room in the car wash is being shown.</t>
  </si>
  <si>
    <t>The outside of the car wash building is shown.</t>
  </si>
  <si>
    <t>v_vr0Wi359kWM</t>
  </si>
  <si>
    <t>An intro shows off the products of the video.</t>
  </si>
  <si>
    <t>The host shows off each product and how they help clean a shoe.</t>
  </si>
  <si>
    <t>First we see the sneaker get cleaned.</t>
  </si>
  <si>
    <t>A basketball shoe is cleaned next.</t>
  </si>
  <si>
    <t>Some ads play to close the video.</t>
  </si>
  <si>
    <t>v_j5cmc3cnLeU</t>
  </si>
  <si>
    <t>A couple dances in red outfits on a stage for a large audience on a stage lit with colorful lighting.</t>
  </si>
  <si>
    <t>A man and a woman passionately hold each other standing still in an embrace.</t>
  </si>
  <si>
    <t>The man dips his female partner down who does the splits at the end of the dance.</t>
  </si>
  <si>
    <t>v_08uNrWxxHGY</t>
  </si>
  <si>
    <t>A woman with long hair paints on a large panel in time lapse video.</t>
  </si>
  <si>
    <t>The woman is still painting the panel, but now with a change of clothing.</t>
  </si>
  <si>
    <t>The woman is still painting the panel, but with yet another change of clothing.</t>
  </si>
  <si>
    <t>The woman paints with a fourth different set of clothing.</t>
  </si>
  <si>
    <t>The woman continues to paint with a fifth different set of clothing.</t>
  </si>
  <si>
    <t>The woman continues to paint with a sixth different set of clothing.</t>
  </si>
  <si>
    <t>A closeup of the completed picture is shown.</t>
  </si>
  <si>
    <t>v_8Mdnvm8olC0</t>
  </si>
  <si>
    <t>An "IAAF" logo appears with the words "Long Jump Men".</t>
  </si>
  <si>
    <t>Several men run down a track and perform a long jump in a professional sports venue.</t>
  </si>
  <si>
    <t>A scoreboard graphic is shown for all the participating players.</t>
  </si>
  <si>
    <t>v_ScWdvpS6epQ</t>
  </si>
  <si>
    <t>People are standing on a blue mat.</t>
  </si>
  <si>
    <t>They begin doing a cheerleading routine on the mat.</t>
  </si>
  <si>
    <t>They hold up signs in front of the mat.</t>
  </si>
  <si>
    <t>v_xoXTlNWkC7w</t>
  </si>
  <si>
    <t>A black screen is shown and various white words are shown.</t>
  </si>
  <si>
    <t>After,a Caucasian man is shown playing the hand drums and stomping his foot.</t>
  </si>
  <si>
    <t>v_6YvF2YHee5I</t>
  </si>
  <si>
    <t>A shovel rakes along the snow covered ground of a yard.</t>
  </si>
  <si>
    <t>It pulls up the snow in large amounts.</t>
  </si>
  <si>
    <t>A man pulls up the shovel, and sets it aside.</t>
  </si>
  <si>
    <t>v_NurRl6_NLbg</t>
  </si>
  <si>
    <t>We see a blue intro screen.</t>
  </si>
  <si>
    <t>We see kids riding dirt bikes.</t>
  </si>
  <si>
    <t>We see another title screen and the intermediate riders are seen.</t>
  </si>
  <si>
    <t>We see the screen go blue again and we see the experts.</t>
  </si>
  <si>
    <t>Another title screen is shown and we see the credits.</t>
  </si>
  <si>
    <t>v_OixwThoO8z4</t>
  </si>
  <si>
    <t>A black screen appears and handwritten looking white text appears on the screen and it say's "Bart Rollin".</t>
  </si>
  <si>
    <t>A man is outdoors in a city skating with and without a shirt on in different locations, falling a few times and skating both at day and night while people look on at different locations, and sometimes he's alone.</t>
  </si>
  <si>
    <t>When the man is done skating the outro appears and it includes a screenshot of what looks like a bloody finger, a white screen with a male faintly drawn on it and black words scroll from bottom to top until just the white screen with the male drawing is only visible.</t>
  </si>
  <si>
    <t>v_3UOWHwwxczI</t>
  </si>
  <si>
    <t>A man is seen speaking to the camera and leads into clips of him climbing along a wall.</t>
  </si>
  <si>
    <t>The man continues climbing along the rock wall and ends by looking back to the camera.</t>
  </si>
  <si>
    <t>v_IJUokB_p3Yo</t>
  </si>
  <si>
    <t>Two boys are sitting in a booth inside a building.</t>
  </si>
  <si>
    <t>They are talking about doing clips.</t>
  </si>
  <si>
    <t>They then talk while eating bowls of vanilla ice cream.</t>
  </si>
  <si>
    <t>v_GsNyn-6DDJM</t>
  </si>
  <si>
    <t>A woman is sitting down in a chair.</t>
  </si>
  <si>
    <t>A boy is brushing her long hair.</t>
  </si>
  <si>
    <t>She laughs and covers her mouth with her hand.</t>
  </si>
  <si>
    <t>v_Z_F01eV0Iqw</t>
  </si>
  <si>
    <t>The video begins with a little boy in a motorcycle helmet, in a restaurant.</t>
  </si>
  <si>
    <t>The cameraman hands him skis.</t>
  </si>
  <si>
    <t>A woman and baby come sit near him and he attempts to walk, only to fall.</t>
  </si>
  <si>
    <t>Next are clips of the little boy skiing with his father down a snowy slope.</t>
  </si>
  <si>
    <t>At one point, he glides on a small ramp.</t>
  </si>
  <si>
    <t>He also faces a tumble.</t>
  </si>
  <si>
    <t>Soon the boy and his family load their vehicle to leave.</t>
  </si>
  <si>
    <t>The video ends with a picture of the little boy and his dad.</t>
  </si>
  <si>
    <t>v_3JNNjd9fv7U</t>
  </si>
  <si>
    <t>A woman is seen kneeling down next to a vacuum followed by several pictures of her vacuuming and moving around the carpet.</t>
  </si>
  <si>
    <t>More pictures are shown of the carpet as well as her kneeling down and she empties out a vacuum while still speaking to the camera.</t>
  </si>
  <si>
    <t>v_YnvefOl6a7k</t>
  </si>
  <si>
    <t>A man is shown standing next to a tree holding christmas decorations in his hands.</t>
  </si>
  <si>
    <t>He then hangs the decorations all around the tree while looking back and speaking to the camera.</t>
  </si>
  <si>
    <t>v_QvP8tPp8Wog</t>
  </si>
  <si>
    <t>There's a young man in a red shirt playing an acoustic guitar.</t>
  </si>
  <si>
    <t>He strums the guitar using his pick and moves his fingers along the chords.</t>
  </si>
  <si>
    <t>After he is done playing, he looks up and smiles.</t>
  </si>
  <si>
    <t>v_u3qNB8GDOzY</t>
  </si>
  <si>
    <t>A ladder is leaning against a house.</t>
  </si>
  <si>
    <t>A piece of wood goes up and down the ladder.</t>
  </si>
  <si>
    <t>v_dth916VxJUw</t>
  </si>
  <si>
    <t>A man stands in front of a set of pull up and double bars at a park.</t>
  </si>
  <si>
    <t>The man does shoulder dips on the set of parallel bars.</t>
  </si>
  <si>
    <t>The man does push ups with his feet up on the parallel bars.</t>
  </si>
  <si>
    <t>The man does pull ups on one of the bars.</t>
  </si>
  <si>
    <t>The man walks back up in front of the equipment after the routine.</t>
  </si>
  <si>
    <t>v_hOcP06xuKFg</t>
  </si>
  <si>
    <t>A person grabs a disk from a pile of disks.</t>
  </si>
  <si>
    <t>They throw it down a shuffle board.</t>
  </si>
  <si>
    <t>The continue to throw disks down the shuffleboard.</t>
  </si>
  <si>
    <t>v_gDexNGeZln0</t>
  </si>
  <si>
    <t>A person is seen speaking to the camera and leads into a close up of the ground and another person sitting on the side.</t>
  </si>
  <si>
    <t>More shots are shown of logs and sticks as well as a fire pit and a boy cutting a stick.</t>
  </si>
  <si>
    <t>v_YZacstLO0XA</t>
  </si>
  <si>
    <t>A man is demonstrating how to make a three egg omelette in his kitchen.</t>
  </si>
  <si>
    <t>He starts by cracking the eggs in a clear glass bowl.</t>
  </si>
  <si>
    <t>He then beats the eggs well and adds some butter into the saucepan.</t>
  </si>
  <si>
    <t>He pours the raw egg batter into the pan.</t>
  </si>
  <si>
    <t>He lifts the pan and moves it around to shuffle the eggs.</t>
  </si>
  <si>
    <t>He then tops is off with some grated cheese.</t>
  </si>
  <si>
    <t>He takes a fork and slides the omelette into a white plate.</t>
  </si>
  <si>
    <t>He then garnishes it with some greens on top for a healthy touch.</t>
  </si>
  <si>
    <t>v_z4qaGiWt-bo</t>
  </si>
  <si>
    <t>A team is on a field as a runner throws the ball, which the batter hits and is caught.</t>
  </si>
  <si>
    <t>The coach instructs the players as they continue the game.</t>
  </si>
  <si>
    <t>The players walk away, then a view of the ball coming at the bat is shown.</t>
  </si>
  <si>
    <t>v_mqa1ptnQWWo</t>
  </si>
  <si>
    <t>A wall is shown, covered in hanging tools.</t>
  </si>
  <si>
    <t>A man is in a workshop, talking about roofing shingles.</t>
  </si>
  <si>
    <t>He demonstrates how to apply glue, tile, and then hammer and nail the tiles into place.</t>
  </si>
  <si>
    <t>v_bQVMoeBK7XU</t>
  </si>
  <si>
    <t>A bottle of aging cream is shown and a woman begins to apply it on her face in her T-zone.</t>
  </si>
  <si>
    <t>Once it is evenly displayed,several paragraphs begin to show about the use of the product and what each week should be.</t>
  </si>
  <si>
    <t>After,a short sentence appears and tells you to go on their web page to get more details.</t>
  </si>
  <si>
    <t>v_ExMpLopi9ug</t>
  </si>
  <si>
    <t>Gymasts are standing in a competition room.</t>
  </si>
  <si>
    <t>A man mounts a beam.</t>
  </si>
  <si>
    <t>He begins to spin, flips, and do several tricks.</t>
  </si>
  <si>
    <t>He dismounts, raising his arms into the air and bowing.</t>
  </si>
  <si>
    <t>v_uzgIBU9arcU</t>
  </si>
  <si>
    <t>A baby is seen swinging back and fourth on a swing while laughing and smiling to the camera.</t>
  </si>
  <si>
    <t>The baby continues moving back and fourth while looking up to the camera and smiling.</t>
  </si>
  <si>
    <t>v_r9xmgB116dE</t>
  </si>
  <si>
    <t>An Asian woman is sitting, then she ride the skateboard and began skating on the empty road.</t>
  </si>
  <si>
    <t>The girl is skateboarding side to side, and while holding a selfie stick.</t>
  </si>
  <si>
    <t>The girl skateboard on the sidewalk, near the water, in a narrow path, and park.</t>
  </si>
  <si>
    <t>v_feYYvRmqCgI</t>
  </si>
  <si>
    <t>A group of people sitting on elevated bleachers, watch a man on a horse lasso a small black calf in a, dirt covered, indoor, rodeo ring.</t>
  </si>
  <si>
    <t>The man emerges into the ring from a floor level door, on a horse, chasing after a small black calf.</t>
  </si>
  <si>
    <t>The man simultaneously throws a rope around the calfs neck and dismounts the horse, while the horse is in motion.</t>
  </si>
  <si>
    <t>Upon landing on the ground after the dismount, the man runs to the calf and ties the calf up in the rope, and then walks back to the horse and mounts the horse again while two men enter the ring and grab for the tied up calf.</t>
  </si>
  <si>
    <t>v_iPXyExgGD5Q</t>
  </si>
  <si>
    <t>A man is shown in a bathroom choosing a toothbrush.</t>
  </si>
  <si>
    <t>He then brushes his teeth and sees blood.</t>
  </si>
  <si>
    <t>He uses listerine mouth wash for thirty seconds to kill the germs.</t>
  </si>
  <si>
    <t>v_NZ5iioSnCO8</t>
  </si>
  <si>
    <t>A close up of a table is shown as well as a man standing around the table and pointing to the side.</t>
  </si>
  <si>
    <t>Two men are watching on the side as the game continues and another man records on his phone.</t>
  </si>
  <si>
    <t>v_TlDkQ8SNG64</t>
  </si>
  <si>
    <t>A boy sits a top a camel.</t>
  </si>
  <si>
    <t>The camel begins to move with the help of a handler.</t>
  </si>
  <si>
    <t>People appear in the background.</t>
  </si>
  <si>
    <t>v_2WvbAEMG5DU</t>
  </si>
  <si>
    <t>A mother and child in swim suits build sand castles on the beach.</t>
  </si>
  <si>
    <t>The child destroys the sand castles.</t>
  </si>
  <si>
    <t>The mother throws the plastic mold frustrated.</t>
  </si>
  <si>
    <t>v_7KYj4FQUESo</t>
  </si>
  <si>
    <t>A person is shown vacuuming a large rug with a green vacuum cleaner.</t>
  </si>
  <si>
    <t>A caption comes up on the screen while the man continues to use the vacuum all over the rug.</t>
  </si>
  <si>
    <t>v_6Epn-R6sg5U</t>
  </si>
  <si>
    <t>A close up of a pool table is shown followed by a person walking around the sides.</t>
  </si>
  <si>
    <t>The person then hits a pool ball continuously around the table.</t>
  </si>
  <si>
    <t>The man then sinks the last ball and celebrates with a group of people.</t>
  </si>
  <si>
    <t>v_JUvqA51RX0Y</t>
  </si>
  <si>
    <t>A man throws a ball onto the sidewalk.</t>
  </si>
  <si>
    <t>He plays hopscotch to pick it up.</t>
  </si>
  <si>
    <t>A little kid runs around in front of him.</t>
  </si>
  <si>
    <t>v_7lNAmkaMyyg</t>
  </si>
  <si>
    <t>A man holding an ice scraper is pushing ice off of his car while the camera zoom in.</t>
  </si>
  <si>
    <t>The camera shows his hands mutiple times close up gradually pushing piece by piece of ice off.</t>
  </si>
  <si>
    <t>v_X7-1DRvX-LU</t>
  </si>
  <si>
    <t>A woman is in a living room in front of a fire.</t>
  </si>
  <si>
    <t>She cuts wrapping paper in strips, then wraps it neatly around a box.</t>
  </si>
  <si>
    <t>She tapes the box, then lays it down gently on the table.</t>
  </si>
  <si>
    <t>v_2Xfigl8xrXc</t>
  </si>
  <si>
    <t>A woman wearing a black shirt begins talking and then someone getting their legs waxed appears.</t>
  </si>
  <si>
    <t>As she talks,a layer of wax if placed on the leg and then a white piece of paper.</t>
  </si>
  <si>
    <t>v_8dhDEj0Dd5s</t>
  </si>
  <si>
    <t>A gymnast is standing at a pose waiting to begin her performance.</t>
  </si>
  <si>
    <t>She starts to twirl her baton and move her body a long with it doing flips and everything.</t>
  </si>
  <si>
    <t>She begins to do one handed cartwheels and swinging the baton around her neck.</t>
  </si>
  <si>
    <t>She does a stunning performance and once it is over she freezes in place.</t>
  </si>
  <si>
    <t>v_eoOzE3cpqVg</t>
  </si>
  <si>
    <t>A man in gear is shown pointing two guns.</t>
  </si>
  <si>
    <t>He is hiding behind rocks, sneaking up on other paintball players.</t>
  </si>
  <si>
    <t>They shoot at each other as he goes back behind the rocks to hide.</t>
  </si>
  <si>
    <t>v_FCFSLuCZKj4</t>
  </si>
  <si>
    <t>A person is using a large armed window washing mechanism to wash the exterior, front, glass window of a sandwich store.</t>
  </si>
  <si>
    <t>The person is a man with grey hair and glasses and he uses the tool to wash the very top of the window all the way to the base of the glass.</t>
  </si>
  <si>
    <t>The man continues to wash all four glass panes one by one using squiggly motions before leaving the window and walking away from the store.</t>
  </si>
  <si>
    <t>v_anO5Xhewrsw</t>
  </si>
  <si>
    <t>A little girl is sitting at a drum set with headphones on.</t>
  </si>
  <si>
    <t>She plays the drums and cymbals, keeping a fast beat.</t>
  </si>
  <si>
    <t>She bangs her head back and forth as she plays.</t>
  </si>
  <si>
    <t>v_MFfJ4V9Dqvg</t>
  </si>
  <si>
    <t>A little girl is playing in the sand.</t>
  </si>
  <si>
    <t>The girl grabs a shovel.</t>
  </si>
  <si>
    <t>A person walks in front of the camera.</t>
  </si>
  <si>
    <t>The camera pans to the water.</t>
  </si>
  <si>
    <t>The girl walks to the water.</t>
  </si>
  <si>
    <t>The girl walks into the water.</t>
  </si>
  <si>
    <t>v_RUv9YPd_0Zc</t>
  </si>
  <si>
    <t>An introduction comes onto the screen for a presentation about auto repair.</t>
  </si>
  <si>
    <t>The video displays several different parts of the car that is being worked on.</t>
  </si>
  <si>
    <t>The a dent fixing mechanism is attached to the cars to show how it works to repair one wheel.</t>
  </si>
  <si>
    <t>Then it shows another wheel being repaired by the same mechanism.</t>
  </si>
  <si>
    <t>Next, the closing credits for the video appear on the screen.</t>
  </si>
  <si>
    <t>v_Z4KErmUO3gw</t>
  </si>
  <si>
    <t>We see two ladies dancing in a field.</t>
  </si>
  <si>
    <t>We switch to ladies dancing around a bull in a rind.</t>
  </si>
  <si>
    <t>We see the ladies stand next to each other.</t>
  </si>
  <si>
    <t>We see the ladies on their knees in the field.</t>
  </si>
  <si>
    <t>We see three ladies on the field.</t>
  </si>
  <si>
    <t>We see two ladies dancing.</t>
  </si>
  <si>
    <t>We see the closing screens.</t>
  </si>
  <si>
    <t>v_r8MwPAJWPDk</t>
  </si>
  <si>
    <t>People are rock climbing up rocks.</t>
  </si>
  <si>
    <t>A person falls off of the rock into the water below.</t>
  </si>
  <si>
    <t>v_tg6HOGy0BBQ</t>
  </si>
  <si>
    <t>A man sits down with his leg on a chair.</t>
  </si>
  <si>
    <t>A person puts waxing strips on his leg and pulls off the hair.</t>
  </si>
  <si>
    <t>He puts his shirt over his face.</t>
  </si>
  <si>
    <t>v_SSldR9yOJq8</t>
  </si>
  <si>
    <t>A person wearing a costume is seen standing and posing inside a canoe and eventually pushes themselves down the river.</t>
  </si>
  <si>
    <t>The person moves in the canoe slowly and the camera follows him moving along the water in the canoe.</t>
  </si>
  <si>
    <t>v_ubR7XPBJQH8</t>
  </si>
  <si>
    <t>Two men are seen performing martial arts moves against one another and leads into a man speaking.</t>
  </si>
  <si>
    <t>The man then demonstrates several martial arts moves with another man while still speaking to the camera.</t>
  </si>
  <si>
    <t>The man continues these motions while stopping to demonstrate how it's properly done.</t>
  </si>
  <si>
    <t>v_KKEyKFmatq0</t>
  </si>
  <si>
    <t>People are playing a game of soccer in an indoor arena.</t>
  </si>
  <si>
    <t>A man picks up the ball and throws it someone else.</t>
  </si>
  <si>
    <t>People fall onto the arena floor.</t>
  </si>
  <si>
    <t>v_KujAY-AST9M</t>
  </si>
  <si>
    <t>Guys stand around in an indoor court.</t>
  </si>
  <si>
    <t>Two guys play relay soccer, an athlete touches the hands of his opponent and a goalie before he kicks a served ball.</t>
  </si>
  <si>
    <t>A player kicks the ball towards the goalie from center court.</t>
  </si>
  <si>
    <t>The guys pause for a short while.</t>
  </si>
  <si>
    <t>v_3X2CY79a0X8</t>
  </si>
  <si>
    <t>A man pushes a lawnmower cutting down a high patch of weeds in a yard.</t>
  </si>
  <si>
    <t>The man turns over the lawnmower on its side then clears out tangled grass.</t>
  </si>
  <si>
    <t>The man backs up and swings the lawnmower around in a circle and turns the lawnmower in the opposite direction.</t>
  </si>
  <si>
    <t>v_9g1omTdpoYs</t>
  </si>
  <si>
    <t>Various cupcakes are shown sitting on a plate and lettering comes up stating how to make them.</t>
  </si>
  <si>
    <t>Several ingredients are shown and the person mixing the ingredients together in a bowl.</t>
  </si>
  <si>
    <t>The person blends all the ingredients and puts them in a pan to cook.</t>
  </si>
  <si>
    <t>The cupcakes are finally cooked and set out on a plate to enjoy.</t>
  </si>
  <si>
    <t>v_s6pFNNnub80</t>
  </si>
  <si>
    <t>Several pictures are shown of nails close up and leads into a person painting text onto a nail.</t>
  </si>
  <si>
    <t>The person shows close ups of nail polish and continues painting on the nail.</t>
  </si>
  <si>
    <t>The woman finishes her design and shows off another picture of nails.</t>
  </si>
  <si>
    <t>v_2bEr09bbqAA</t>
  </si>
  <si>
    <t>A man sits in a kayak and holds his oar in a river showing how to use it properly.</t>
  </si>
  <si>
    <t>The man leans back in his kayak to show balance techniques.</t>
  </si>
  <si>
    <t>The kayak rider paddles into the white wash below a water fall and flips over then rights himself again.</t>
  </si>
  <si>
    <t>v_yyUmEgvq3B0</t>
  </si>
  <si>
    <t>A man is seen walking with a chair and puts it in the middle of a bowling lane.</t>
  </si>
  <si>
    <t>He high fives the audience and throws the ball over the chair and hits all the pins.</t>
  </si>
  <si>
    <t>He same shot is shown several times and he sits down in his chair laughing.</t>
  </si>
  <si>
    <t>v_5Z5DAI4Grb0</t>
  </si>
  <si>
    <t>A title page pans into hands holding a paint brush with a portrait in the background.</t>
  </si>
  <si>
    <t>She holds another picture beside her and pushes the brush into paint.</t>
  </si>
  <si>
    <t>She then begins painting the picture and adding more color to the portrait.</t>
  </si>
  <si>
    <t>v_6V6XB0KmYkk</t>
  </si>
  <si>
    <t>A large group of people are seen playing hockey around an arena performing various tricks with the puck.</t>
  </si>
  <si>
    <t>The men continue to hit the puck around one another as the camera captures them from several sides.</t>
  </si>
  <si>
    <t>The man push the puck around more over and under obstacles.</t>
  </si>
  <si>
    <t>v_2i_rotAjuoE</t>
  </si>
  <si>
    <t>First there is a screen shown for a small amount of time letting viewers know what this video is about.</t>
  </si>
  <si>
    <t>Then there is a man riding different horses in different settings where people watch them.</t>
  </si>
  <si>
    <t>In the first one, the horse runs with him on his back and he tries to jump over a wooden obstacle, but fails and there are many more fails.</t>
  </si>
  <si>
    <t>v_4wiLmu1yTZI</t>
  </si>
  <si>
    <t>A man with curly hair is seen speaking to the camera with a serious conviction.</t>
  </si>
  <si>
    <t>He then brushes through his hair with a dog in frame and shows off his poofy hair.</t>
  </si>
  <si>
    <t>He then is seen again with wet hair and closes his eyes to the camera.</t>
  </si>
  <si>
    <t>v_eyWerZITH1Y</t>
  </si>
  <si>
    <t>A man jumps onto a balance beam.</t>
  </si>
  <si>
    <t>They begin to do a gymnastics routine on the balance beam.</t>
  </si>
  <si>
    <t>They jump off onto a mat next to it.</t>
  </si>
  <si>
    <t>v_-4Q_zG9EChY</t>
  </si>
  <si>
    <t>A man is seen standing on a rope and begins walking across the rope.</t>
  </si>
  <si>
    <t>The man continues walking while the camera captures his movements.</t>
  </si>
  <si>
    <t>He walks all along the rope to the end and jumps off.</t>
  </si>
  <si>
    <t>v_hhHiBeL08-M</t>
  </si>
  <si>
    <t>A close up of a porch is shown with the camera panning all around.</t>
  </si>
  <si>
    <t>The camera walks to the end of the porch.</t>
  </si>
  <si>
    <t>The camera turns around while still looking at the porch.</t>
  </si>
  <si>
    <t>v_ZbFyGkfGFcE</t>
  </si>
  <si>
    <t>Children are playing on the beach.</t>
  </si>
  <si>
    <t>They are building a sand castle.</t>
  </si>
  <si>
    <t>A girl dumps a bucket full of sand in front of her.</t>
  </si>
  <si>
    <t>v_wIthr5w6RV4</t>
  </si>
  <si>
    <t>A man in a hat is talking to a camera.</t>
  </si>
  <si>
    <t>He is dressed up in a sumo wrestling outfit and playing curling.</t>
  </si>
  <si>
    <t>He is playing tennis on a tennis court.</t>
  </si>
  <si>
    <t>v_uaqcvxz_5fY</t>
  </si>
  <si>
    <t>A city view is seen from a skyscraper.</t>
  </si>
  <si>
    <t>Two men are shown cleaning windows on the side of the building.</t>
  </si>
  <si>
    <t>They squeegee and wipe down the glass professionally.</t>
  </si>
  <si>
    <t>They then check their work before finishing.</t>
  </si>
  <si>
    <t>v_ZGSi-QAkf5A</t>
  </si>
  <si>
    <t>There some geese flying in the sky above a park.</t>
  </si>
  <si>
    <t>A man is talking in his microphone as some men are playing cricket behind him in the park.</t>
  </si>
  <si>
    <t>It is a sunny day with geese walking around the park and people enjoying a casual game of cricket.</t>
  </si>
  <si>
    <t>There's a man hitting the ball with his cricket bat and another person trying to catch his ball.</t>
  </si>
  <si>
    <t>A squirrel is sitting on the park bench and enjoying the sunshine as well.</t>
  </si>
  <si>
    <t>v_CB0yYGVNcOk</t>
  </si>
  <si>
    <t>A man is seen playing a saxophone into the camera and leads into him speaking.</t>
  </si>
  <si>
    <t>More shots are shown of him playing the instrument while pausing to play more.</t>
  </si>
  <si>
    <t>He continues playing along and ends by smiling to the camera.</t>
  </si>
  <si>
    <t>v_fkUnZB6NTT8</t>
  </si>
  <si>
    <t>Several people are shown in photos, gathered together in winter gear in the snow.</t>
  </si>
  <si>
    <t>They ride in intertubes down a hill together, laughing and talking with each other.</t>
  </si>
  <si>
    <t>They are then shown in after even celebratory photos, posing together.</t>
  </si>
  <si>
    <t>v_s3HhNlysFDs</t>
  </si>
  <si>
    <t>A cross appears in the style of the tile under the water in a pool.</t>
  </si>
  <si>
    <t>A man in a swim cap swims through the water toward the camera.</t>
  </si>
  <si>
    <t>He is shown swimming from numerous angles.</t>
  </si>
  <si>
    <t>v_o4_Vi7asvxg</t>
  </si>
  <si>
    <t>Two people are dressed in all black riding their bicycles down the road.</t>
  </si>
  <si>
    <t>The two boys are then pictured on a split screen against each other putting on their helmets.</t>
  </si>
  <si>
    <t>The two then put on their green biking gloves and get back on the bikes.</t>
  </si>
  <si>
    <t>A skate park is then shown and one of the boys begin doing tricks over the bumps.</t>
  </si>
  <si>
    <t>Once completed,the bikes are walked over and the boys begin to shake each others hand.</t>
  </si>
  <si>
    <t>After the tricks continue and they keep jumping and doing tricks over the hills.</t>
  </si>
  <si>
    <t>v_Xr8zB1aIBzg</t>
  </si>
  <si>
    <t>People wait in an indoor gym as the instructor walks out.</t>
  </si>
  <si>
    <t>The class starts a stepercize class using black boxes.</t>
  </si>
  <si>
    <t>The class finishes by waving their arms and the instructor walks away.</t>
  </si>
  <si>
    <t>v_ZA_XYgP4fMA</t>
  </si>
  <si>
    <t>Two men are seen arm wrestling with one another while holding their arms down to the sides.</t>
  </si>
  <si>
    <t>They keep starting again until one of them eventually wins.</t>
  </si>
  <si>
    <t>v_y3Wfx-RvTpk</t>
  </si>
  <si>
    <t>A man is standing under a basketball goal.</t>
  </si>
  <si>
    <t>A group of boys is listening to the coach.</t>
  </si>
  <si>
    <t>They begin warming up by doing lay ups.</t>
  </si>
  <si>
    <t>The boys line up, prepared to play the game.</t>
  </si>
  <si>
    <t>v_OVpila9fAaQ</t>
  </si>
  <si>
    <t>people are in a lake wakeboarding being pulled by a boat.</t>
  </si>
  <si>
    <t>a lot of people are standing on a dock watching the wakeboarding competition.</t>
  </si>
  <si>
    <t>people are walking on the dock wearing winter clothes.</t>
  </si>
  <si>
    <t>v_ZXEc0cahpuw</t>
  </si>
  <si>
    <t>There is a woman whose wearing nothing but shorts and a tshirt.</t>
  </si>
  <si>
    <t>She is shown sitting on a rock while washing the little bit of clothes she has in the river.</t>
  </si>
  <si>
    <t>v_LOINRpWGrlw</t>
  </si>
  <si>
    <t>Someone is at the bowling alley on a lane with a red ball.</t>
  </si>
  <si>
    <t>He throws the ball, his foot goes up and the ball rolls to hit the pins.</t>
  </si>
  <si>
    <t>Multiple people take their turns doing the same stance and everything more or less.</t>
  </si>
  <si>
    <t>You never see the balls hit the pins just everyone throwing the ball.</t>
  </si>
  <si>
    <t>v_-1IlTIWPNs4</t>
  </si>
  <si>
    <t>A cameraman walks down a snowy driveway to capture a young child shoveling up snow.</t>
  </si>
  <si>
    <t>The boy speaks into the camera and continues pushing the snow around with a shovel.</t>
  </si>
  <si>
    <t>v_nYlAXMmPWw0</t>
  </si>
  <si>
    <t>Five women are in a room dancing.</t>
  </si>
  <si>
    <t>They dance around in a circle.</t>
  </si>
  <si>
    <t>They continue dancing together in the room.</t>
  </si>
  <si>
    <t>v_-ntEh6HpeX0</t>
  </si>
  <si>
    <t>A woman wearing gloves is in front of a sink.</t>
  </si>
  <si>
    <t>She sprays it down with a cleaning solution.</t>
  </si>
  <si>
    <t>She then scrubs the sink until it is clean.</t>
  </si>
  <si>
    <t>v_ct3uprBbPHw</t>
  </si>
  <si>
    <t>A man stands in front of the camera, then starts combing his hair forward.</t>
  </si>
  <si>
    <t>He then focuses on the sides and back of his hair, again combing down.</t>
  </si>
  <si>
    <t>He brings the brush all around his hair, adding his left hand to swipe along.</t>
  </si>
  <si>
    <t>v_NSegylr0MBg</t>
  </si>
  <si>
    <t>We see a man adjust the camera and shake his hair.</t>
  </si>
  <si>
    <t>We see commentary on the screen.</t>
  </si>
  <si>
    <t>The image is in color and the man blow drys his hair.</t>
  </si>
  <si>
    <t>The man uses a brush and instructions appear.</t>
  </si>
  <si>
    <t>We see more instructions on the screen.</t>
  </si>
  <si>
    <t>Instruction tell views to mold hair.</t>
  </si>
  <si>
    <t>More instructions appear on the screen.</t>
  </si>
  <si>
    <t>The man adds pomades to his hair.</t>
  </si>
  <si>
    <t>The man brushes his hair with a brush.</t>
  </si>
  <si>
    <t>We see the scene go dark and the writing appears on the screen.</t>
  </si>
  <si>
    <t>v_L-rPS8tlAy4</t>
  </si>
  <si>
    <t>A horse runs wild with a trainer chasing after it.</t>
  </si>
  <si>
    <t>A horse runs after and bucks a bull that charges it with its horns.</t>
  </si>
  <si>
    <t>The horse is let out of the coral by the cowboys.</t>
  </si>
  <si>
    <t>The horses intestines hang from its body from the injury.</t>
  </si>
  <si>
    <t>The horse lies on the ground having a seizure.</t>
  </si>
  <si>
    <t>A bull chases after a cowboy on a horse carrying a lasso.</t>
  </si>
  <si>
    <t>v_dm5WXFiQZUQ</t>
  </si>
  <si>
    <t>A motorcyclist is in the bed and is woken up by an alarm clock.</t>
  </si>
  <si>
    <t>The motorcyclist gets out of bed and prepares to leave by bathing using the bathroom and reading the newspaper.</t>
  </si>
  <si>
    <t>He rides the motorcycle down the hall and into the elevator.</t>
  </si>
  <si>
    <t>He exits the building and rides the motorcycle into a casino where he performs several tricks as people watch.</t>
  </si>
  <si>
    <t>He exits the casino and the closing credits show up on the screen.</t>
  </si>
  <si>
    <t>v_k7nuduqYOdQ</t>
  </si>
  <si>
    <t>A close up of a weight is shown.</t>
  </si>
  <si>
    <t>Several individuals are shown lifting barbells with weights in various ways in a gym while other individuals watch or exercise in the background.</t>
  </si>
  <si>
    <t>A screen with a logo and contact information is shown.</t>
  </si>
  <si>
    <t>v_HxenZkvSkPc</t>
  </si>
  <si>
    <t>We see a lady walking a dog.</t>
  </si>
  <si>
    <t>We see a man walking the dog.</t>
  </si>
  <si>
    <t>We return to the lady walking the dog.</t>
  </si>
  <si>
    <t>The dog pulls the lady down the street.</t>
  </si>
  <si>
    <t>We see the lady and the man talking.</t>
  </si>
  <si>
    <t>The man walks the dog up the stairs and in the driveway.</t>
  </si>
  <si>
    <t>We see the lady put a harness son the dog and walk him as the man watches.</t>
  </si>
  <si>
    <t>We then see the black closing screen.</t>
  </si>
  <si>
    <t>v_2b_hjshny54</t>
  </si>
  <si>
    <t>Female swimmer jump off into the water at a swim meet.</t>
  </si>
  <si>
    <t>They quickly race down the swim lanes.</t>
  </si>
  <si>
    <t>The swimmers repeatedly go back and forth down the swim lanes using various swimming techniques.</t>
  </si>
  <si>
    <t>v_RuBLAghI1vE</t>
  </si>
  <si>
    <t>There are some people curling in an indoor ice rink.</t>
  </si>
  <si>
    <t>There are some girls getting ready with the curling sticks and prepping the rink to play curling.</t>
  </si>
  <si>
    <t>Two girls dressed in black gear are playing the game as they go through the rink with their curling sticks pushing the rock.</t>
  </si>
  <si>
    <t>One of the players glides through the floor and pushes the rock to the end of the rink.</t>
  </si>
  <si>
    <t>The two players continue playing as they go through the rink and slide the rocks till the end of the line.</t>
  </si>
  <si>
    <t>Two other players wearing pink play the game as they slide the rocks through the rink.</t>
  </si>
  <si>
    <t>v_1FMjfLRpXwM</t>
  </si>
  <si>
    <t>The lady in black is doing a hairstyle tutorial and demonstrating on another woman who is seated next to her.</t>
  </si>
  <si>
    <t>She shows the hairspray that she has used on the model.</t>
  </si>
  <si>
    <t>She uses the hairspray on the model's hair and sprays it.</t>
  </si>
  <si>
    <t>She then takes a pair of scissors and cuts the rubber band off and spray her hair again.</t>
  </si>
  <si>
    <t>She pulls her braid apart and rubs her fingers over it.</t>
  </si>
  <si>
    <t>She then twists the braid and pins it up on the model's head.</t>
  </si>
  <si>
    <t>She twists it again and tightens it up and secures it with a pin again.</t>
  </si>
  <si>
    <t>She also makes a bun out of the braid to complete the hairstyle.</t>
  </si>
  <si>
    <t>She shows the hairspray bottle again that she has used on the model.</t>
  </si>
  <si>
    <t>v_jCw0kBph-v4</t>
  </si>
  <si>
    <t>A man and woman are standing in a starkly white room.</t>
  </si>
  <si>
    <t>They lay plastic on the ground and fill a tub with white paint.</t>
  </si>
  <si>
    <t>They then demonstrate how to hang a strip of wallpaper onto the wall.</t>
  </si>
  <si>
    <t>v_6azNzt8rXAs</t>
  </si>
  <si>
    <t>A man is seen practicing his ping pong abilities followed by him playing the game against another person.</t>
  </si>
  <si>
    <t>A man watches on the side as the men continue to play with more people stopping to watch.</t>
  </si>
  <si>
    <t>v_hKLDr9ZaDb8</t>
  </si>
  <si>
    <t>A woman in a bikini is standing in a room.</t>
  </si>
  <si>
    <t>She begins to hula hoop with a lit up hula hoop.</t>
  </si>
  <si>
    <t>The hula hoop is seen sitting next to a shirt.</t>
  </si>
  <si>
    <t>v_O67GDqPk_ug</t>
  </si>
  <si>
    <t>A person walks into frame holding a tool and cutting a tree up and down.</t>
  </si>
  <si>
    <t>The person continues using the tool on the tree and uses a small one to finish out the sides, presenting a small tree in the end.</t>
  </si>
  <si>
    <t>v_fKbrGn6c3us</t>
  </si>
  <si>
    <t>A woman is standing in front of an ironing board while talking.</t>
  </si>
  <si>
    <t>She shows off a white shirt, which she sprays with something in a can.</t>
  </si>
  <si>
    <t>She arranges the shirt on the ironing board, then begins to iron the shirt.</t>
  </si>
  <si>
    <t>After she irons the shirt, the screen goes to an advertisement for Expert Village.</t>
  </si>
  <si>
    <t>v_I8doQJXPqwo</t>
  </si>
  <si>
    <t>Two women are at the carwash.</t>
  </si>
  <si>
    <t>A car is covered in soap suds.</t>
  </si>
  <si>
    <t>The women begin to use a water hose to clean off the soap.</t>
  </si>
  <si>
    <t>They work the hose and brush all over the car.</t>
  </si>
  <si>
    <t>They finish hosing it off.</t>
  </si>
  <si>
    <t>v_dj_GBrR5N4E</t>
  </si>
  <si>
    <t>A young man prepares to complete a routine on the parallel bars.</t>
  </si>
  <si>
    <t>Many people are in bleachers in the background walking around, sitting and watching.</t>
  </si>
  <si>
    <t>The young man uses a spring board to mount the bars.</t>
  </si>
  <si>
    <t>A man standing nearby pulls the spring board out of the way.</t>
  </si>
  <si>
    <t>Several judges sit at a table in front of the bleachers watching.</t>
  </si>
  <si>
    <t>The young man completes his parallel bar routine.</t>
  </si>
  <si>
    <t>The young man then dismounts, lands and bows.</t>
  </si>
  <si>
    <t>He walks away as another man in the same uniform approaches.</t>
  </si>
  <si>
    <t>v_Lg6QZST92xo</t>
  </si>
  <si>
    <t>A close up of a log is seen and a person swinging an ax up and down.</t>
  </si>
  <si>
    <t>The person swings the ax against the dog and cuts it in half.</t>
  </si>
  <si>
    <t>The person performs this several more times.</t>
  </si>
  <si>
    <t>v_tydn-vo3DaY</t>
  </si>
  <si>
    <t>Various people are seen doing sit ups with other's help and transitions into several shots of people performing grueling tasks.</t>
  </si>
  <si>
    <t>One man climbs a wall and does push ups while another is interviewed by the camera and several people climb a wall.</t>
  </si>
  <si>
    <t>More shots of the people exercising are shown as well as climbing rock walls and several push ups.</t>
  </si>
  <si>
    <t>v_C6OmnTWhsEc</t>
  </si>
  <si>
    <t>A man wearing a white shirt and frog pattern headgear touches his nipples while holding a recorder.</t>
  </si>
  <si>
    <t>The man brings the recorder to his right nostril.</t>
  </si>
  <si>
    <t>The man begins to play the recorder.</t>
  </si>
  <si>
    <t>The scene cuts to the man, having finished playing, bowing while touching his nipples.</t>
  </si>
  <si>
    <t>v_bqA-WmqF19E</t>
  </si>
  <si>
    <t>People are playing pool in a room.</t>
  </si>
  <si>
    <t>A man shoots at the ball and makes it into the pocket.</t>
  </si>
  <si>
    <t>People are standing behind him playing pool on another table.</t>
  </si>
  <si>
    <t>v_OhpILjGpQTs</t>
  </si>
  <si>
    <t>We see the title card fade out.</t>
  </si>
  <si>
    <t>We see two kids on a camel at a carnival.</t>
  </si>
  <si>
    <t>The man leads the camel out of the pen as he smokes a cigarette.</t>
  </si>
  <si>
    <t>They pass the petting zoo.</t>
  </si>
  <si>
    <t>We see the mom taking pictures of the kids.</t>
  </si>
  <si>
    <t>The ending card is shown.</t>
  </si>
  <si>
    <t>v_5CtecK635eI</t>
  </si>
  <si>
    <t>There is one man who's in the room with two other men and he lifts up a weigh that weighs over 400 pounds.</t>
  </si>
  <si>
    <t>Next he lifts up a weight that is heavier than the last one.</t>
  </si>
  <si>
    <t>He gets, a handshake and a hug from an elderly man.</t>
  </si>
  <si>
    <t>Then someone gives him money and someone else who's sitting in a chair gives him a highfive.</t>
  </si>
  <si>
    <t>v_RO5WKh6dViA</t>
  </si>
  <si>
    <t>A group of children play on playground equipment watched by parents.</t>
  </si>
  <si>
    <t>A child swings across the monkey bars.</t>
  </si>
  <si>
    <t>The child gets to the other side bows and runs back to the monkey bars jumping and laughing.</t>
  </si>
  <si>
    <t>The child jumps around happily and falls down but get right back up.</t>
  </si>
  <si>
    <t>v_8874vqLm958</t>
  </si>
  <si>
    <t>A woman is seen on an elliptical trainer in an ad.</t>
  </si>
  <si>
    <t>Then we see the various components and options for using the machine.</t>
  </si>
  <si>
    <t>A woman scrolls through a digital screen, then is seen riding the elliptical.</t>
  </si>
  <si>
    <t>v_ZG4ApSk5iKw</t>
  </si>
  <si>
    <t>A man is doing various tasks while doing crunches.</t>
  </si>
  <si>
    <t>He raises the back on his work out machine and starts doing crunches again.</t>
  </si>
  <si>
    <t>He sits up and continues talking to the camera.</t>
  </si>
  <si>
    <t>v_FrVitupq7sQ</t>
  </si>
  <si>
    <t>Two men are seen standing on a tennis court holding rackets and speaking to the camera.</t>
  </si>
  <si>
    <t>Several slow motion scenes are shown performing a correct tennis serve with the men demonstrating right after.</t>
  </si>
  <si>
    <t>The men do this for several turns with one slow motion of a man performing the trick done afterwards.</t>
  </si>
  <si>
    <t>v_eUvvxpAK3_8</t>
  </si>
  <si>
    <t>A man is seen speaking to the camera and begins polishing a black shoe with a brush.</t>
  </si>
  <si>
    <t>He points around the shoe and flips the shoe around with his hands.</t>
  </si>
  <si>
    <t>v_HVmZOfkh8Pk</t>
  </si>
  <si>
    <t>A boy talks in a field, then he plays with a person using a stick to hit a ball.</t>
  </si>
  <si>
    <t>The boy throws the ball to the other boy and score.</t>
  </si>
  <si>
    <t>The boys talk in the field.</t>
  </si>
  <si>
    <t>v_AItKK-a8eEI</t>
  </si>
  <si>
    <t>We see people surfing in the ocean Two men are taking images.</t>
  </si>
  <si>
    <t>We see a title screen then two men stand on the beach with a camera.</t>
  </si>
  <si>
    <t>We see the surfers in the ocean.</t>
  </si>
  <si>
    <t>We see the third title screen and two men on the beach with a camera.</t>
  </si>
  <si>
    <t>We then see the surfers in the ocean.</t>
  </si>
  <si>
    <t>We see a man on a boat with a camera.</t>
  </si>
  <si>
    <t>We then see the closing title screen.</t>
  </si>
  <si>
    <t>v_7LhgGs4TrYA</t>
  </si>
  <si>
    <t>a man is seated, talking to the camera.</t>
  </si>
  <si>
    <t>He is wearing a suit and tie with a colorful background.</t>
  </si>
  <si>
    <t>He continues talking, using his hands as he goes.</t>
  </si>
  <si>
    <t>v_fruimvo90vA</t>
  </si>
  <si>
    <t>A woman is seen running down a long track and jumping into a pit.</t>
  </si>
  <si>
    <t>The camera watches her as she walks away and sticks her tongue out to another person.</t>
  </si>
  <si>
    <t>v__Yt94ffXcCE</t>
  </si>
  <si>
    <t>A boy welds a piece of metal in an indoor shop while wearing a protective coat, helmet, goggles and gloves.</t>
  </si>
  <si>
    <t>A boy in a shop talks to the camera while standing in front of a piece of metal and handling welding tools in preparation to weld.</t>
  </si>
  <si>
    <t>The boy begins to weld creating extreme sparks of fire like reactions in front of him over the material being welded.</t>
  </si>
  <si>
    <t>The boy shows a close up of the red hot tip of the tool, finishes welding, and pans the camera to another young boy dressed in the same protective welding gear behind him.</t>
  </si>
  <si>
    <t>v__AuJBnTClQ8</t>
  </si>
  <si>
    <t>Several close ups are shown of a razor that leads into a man shaving another's face.</t>
  </si>
  <si>
    <t>The man shows his face again with the shaver putting cream on and beginning to shave.</t>
  </si>
  <si>
    <t>The man uses various tools on the other to shave as well as speaks to the camera.</t>
  </si>
  <si>
    <t>v_iCveBOc8JzM</t>
  </si>
  <si>
    <t>A young lady shows a a beauty cream bottle.</t>
  </si>
  <si>
    <t>Then, the young girl puts cream on hrs finger and rubs her shoulder.</t>
  </si>
  <si>
    <t>v_v0NEZPgjcXI</t>
  </si>
  <si>
    <t>A video game for WWE professional wrestling starts, showing a three on one match.</t>
  </si>
  <si>
    <t>The player controlling Roman Reigns hits a big move on his opponent, and his team comes in for a big coordinated attack.</t>
  </si>
  <si>
    <t>v_S9KUHyvFuGc</t>
  </si>
  <si>
    <t>man is riding a horse inside a barn and with a rope catch a bull.</t>
  </si>
  <si>
    <t>man is standing on side of te barn.</t>
  </si>
  <si>
    <t>v_v7OW60YncY4</t>
  </si>
  <si>
    <t>A man is seen speaking to a camera and leads into he pouring liquid into a bowl and rubbing it into a wooden object.</t>
  </si>
  <si>
    <t>He then paints down the area with a brush and nails fabric to the back, creating a chair and having the camera pan down.</t>
  </si>
  <si>
    <t>v_z60D7p37Lws</t>
  </si>
  <si>
    <t>A woman spins a young boy in circles.</t>
  </si>
  <si>
    <t>The boy is holding a long stick and wearing a blindfold.</t>
  </si>
  <si>
    <t>The woman stops spinning the boy and aims him at a pinata hanging from the ceiling.</t>
  </si>
  <si>
    <t>The boy swings and hits the pinata once.</t>
  </si>
  <si>
    <t>He then swings and misses many times.</t>
  </si>
  <si>
    <t>The boy finally gives up and takes the blindfold off.</t>
  </si>
  <si>
    <t>A different woman walks in and stops near the pinata.</t>
  </si>
  <si>
    <t>v_eNq-jGrQuV0</t>
  </si>
  <si>
    <t>A small young boy is outside running across a green field,he then reappears wearing a green helmet and a stick in his hand that is shaped like a paddle.</t>
  </si>
  <si>
    <t>The boy then gathers with the rest of his team,they stand in a line, and begins scrimmaging against one another.</t>
  </si>
  <si>
    <t>As the game continues,the kids run back and forth across the field and the coaches trail behind them.</t>
  </si>
  <si>
    <t>v_l_36uVP3LnI</t>
  </si>
  <si>
    <t>A screen says triple jump on it.</t>
  </si>
  <si>
    <t>A man is standing in a field before running and jumping into a square of dirt.</t>
  </si>
  <si>
    <t>He walks away from the jump and talks to the camera.</t>
  </si>
  <si>
    <t>It is shown again in slow motion.</t>
  </si>
  <si>
    <t>v_-ux1hQSR1AM</t>
  </si>
  <si>
    <t>An athletic man dressed in blue approaches the gymnastic horse and stands there and stares at it for a few seconds.</t>
  </si>
  <si>
    <t>The man then approaches it and puts his two hands on it and begins doing various moves on it where he twists, turns and maneuvers his body very skillfully all around the gymnastic horse.</t>
  </si>
  <si>
    <t>The the man finishes the end of his routine and jumps off of the gymnastic horse landing on his two feet, holds his two arms up in the air, claps his hands once and then takes a bow.</t>
  </si>
  <si>
    <t>v_x7M1yRFtnxY</t>
  </si>
  <si>
    <t>People are running around obstacles playing a game of paintball.</t>
  </si>
  <si>
    <t>A boy looks around a corner and gets down on the ground.</t>
  </si>
  <si>
    <t>An American flag is shown on the screen.</t>
  </si>
  <si>
    <t>v_vF-XFROSmv4</t>
  </si>
  <si>
    <t>There's a man wearing a white colored vest and blue hard hat rowing in a yellow row boat with double sided oar.</t>
  </si>
  <si>
    <t>He is demonstrating the correct way to row the boat while staying afloat.</t>
  </si>
  <si>
    <t>He is in a water body that has some strong waves.</t>
  </si>
  <si>
    <t>He is showing how to do the strokes with the oars to go against the water current.</t>
  </si>
  <si>
    <t>He goes in circles as he demonstrates how to row against powerful waves.</t>
  </si>
  <si>
    <t>v_7ezC4N3ArmQ</t>
  </si>
  <si>
    <t>men are at sides of table playing beerpong.</t>
  </si>
  <si>
    <t>a man is sitting in a chair next to the table watching the men while are playing.</t>
  </si>
  <si>
    <t>the men are Accommodating the cups on the table.</t>
  </si>
  <si>
    <t>v_Marb8CMxPV0</t>
  </si>
  <si>
    <t>Various people are seen standing in an open area performing several tricks with their dogs.</t>
  </si>
  <si>
    <t>Many people watch on the sidelines and more people continue to show tricks with their dogs.</t>
  </si>
  <si>
    <t>Several people are interviewed by the camera and leads into even more tricks being shown.</t>
  </si>
  <si>
    <t>v_6ZUHLsyJ6yo</t>
  </si>
  <si>
    <t>A line of drummers play inside a superdome.</t>
  </si>
  <si>
    <t>Several bass drummers appear wearing jerseys.</t>
  </si>
  <si>
    <t>They all play a beat as people with cameras walk between them.</t>
  </si>
  <si>
    <t>v__gnMuU1UJnM</t>
  </si>
  <si>
    <t>A black screen appears with white words that read "SPORT BEZ BARIER CURLING NA WOZKACH".</t>
  </si>
  <si>
    <t>An ice cleaner is now riding on an ice rink, and then people on wheelchairs start wheeling onto the rink.</t>
  </si>
  <si>
    <t>A woman on a wheelchair begins speaking and the words on the screen say her name is "Agnieszka Kachel".</t>
  </si>
  <si>
    <t>The rink is shown again and it shows gray objects with colorful tops are being pushed on the ice with sticks that the people in wheelchairs are holding and it switches back and forth to the woman talking alone and to the people on the ice playing.</t>
  </si>
  <si>
    <t>A white outro screen appears with black letters that include a list of names, websites and logos.</t>
  </si>
  <si>
    <t>v_dXLhYjRSNcs</t>
  </si>
  <si>
    <t>A gymnast is seen climbing onto a set of uneven bars and performing a routine while many watch on the side.</t>
  </si>
  <si>
    <t>He performs various flips and tricks and ends by jumping down and putting his arms up.</t>
  </si>
  <si>
    <t>v_w_PJ9N8CMo8</t>
  </si>
  <si>
    <t>A man washes his face in front of a mirror.</t>
  </si>
  <si>
    <t>He laughs at the camera.</t>
  </si>
  <si>
    <t>He rubs his face some more.</t>
  </si>
  <si>
    <t>He bends into the sink to rinse it.</t>
  </si>
  <si>
    <t>v_iBpyYbLv1WU</t>
  </si>
  <si>
    <t>A man is strumming away on his guitar aggressively.</t>
  </si>
  <si>
    <t>Another man with a blue guitar is playing and knocking around all over his guitar.</t>
  </si>
  <si>
    <t>A man in a red shirt who has an electric guitar is tapping his foot keeping tempo and playing a tune.</t>
  </si>
  <si>
    <t>He plays up and down a scale or tune.</t>
  </si>
  <si>
    <t>v_azCsE98qwus</t>
  </si>
  <si>
    <t>A woman wearing a red outfit raises her hands and feet, alternating them in a slow and methodical fashion.</t>
  </si>
  <si>
    <t>She puts on a show on a stage, going back and forth fluidly.</t>
  </si>
  <si>
    <t>The woman turns in several different directions, providing different actions before standing straight and still as her finale.</t>
  </si>
  <si>
    <t>v_Z5lRHCRBA_E</t>
  </si>
  <si>
    <t>A black screen with white zooming text of a girls performance on the uneven bars.</t>
  </si>
  <si>
    <t>A gymnast strides to the uneven bars jumps off a board and grabs on to the bars and goes through her routine.</t>
  </si>
  <si>
    <t>There is text that appears on the screen describing what she has to do.</t>
  </si>
  <si>
    <t>She ends her routine and lands on the mat as the crowd cheers.</t>
  </si>
  <si>
    <t>A black screen with white text appears followed by the gymnasts score.</t>
  </si>
  <si>
    <t>v_IC-Rd7ouQmE</t>
  </si>
  <si>
    <t>A group of people are seen sitting on bikes and waiting before a track.</t>
  </si>
  <si>
    <t>A bar let's go and the men ride around a long track on the bikes behind one another.</t>
  </si>
  <si>
    <t>v_x3WVWHn3teI</t>
  </si>
  <si>
    <t>A man is seen standing in front of a bike speaking to the camera and leads into shots of him riding around.</t>
  </si>
  <si>
    <t>The man continues to speak to the camera as more shots are shown of him riding the dirt bike around a track.</t>
  </si>
  <si>
    <t>v__gO4UzCTqhk</t>
  </si>
  <si>
    <t>A woman is seen speaking to the camera in front of a large bush.</t>
  </si>
  <si>
    <t>The woman then uses a shovel along some dirt.</t>
  </si>
  <si>
    <t>The camera pans around the plant when she is finished.</t>
  </si>
  <si>
    <t>v_UIH5arBo3-Y</t>
  </si>
  <si>
    <t>An older man with glasses and gray hairs sits and sings as he plays the guitar.</t>
  </si>
  <si>
    <t>The man pauses for a second.</t>
  </si>
  <si>
    <t>The man finishes his song and stops.</t>
  </si>
  <si>
    <t>We see the ending title screen with a cat on it.</t>
  </si>
  <si>
    <t>v_cNCrFL2l83o</t>
  </si>
  <si>
    <t>A bald man is standing next to the counter with glass and stirrer in front of him.</t>
  </si>
  <si>
    <t>The man put ice in the glass, put clear liquid in the glass, added orange juice, he mix the contents as he pour the orange juice, then add red liquid that fell under the orange juice.</t>
  </si>
  <si>
    <t>v_FutaoYIC4Ok</t>
  </si>
  <si>
    <t>A young lady roller skate on the road in the forest.</t>
  </si>
  <si>
    <t>Then she arrives pass on front of an abandoned car.</t>
  </si>
  <si>
    <t>v_d1doBRc_hAM</t>
  </si>
  <si>
    <t>A man is seen riding on a treadmill followed by several images of the treadmill and a man taking pictures.</t>
  </si>
  <si>
    <t>A person undoes the machine and then rides on the machine and leads into more people taking pictures of the machine and people riding.</t>
  </si>
  <si>
    <t>v_LAU_pVRs9RQ</t>
  </si>
  <si>
    <t>Two men are sitting at the table with their arms on the table, they are positioned for arm wrestling.</t>
  </si>
  <si>
    <t>A in blue shirt is standing at the center holding both hands of the player.</t>
  </si>
  <si>
    <t>The man with the bear broke his arm after the other man push it down.</t>
  </si>
  <si>
    <t>v_iPPfX25MUQ0</t>
  </si>
  <si>
    <t>Tourists rides camels while people pull the camels with a rope.</t>
  </si>
  <si>
    <t>Men helps a couple to unload the camels and feed them.</t>
  </si>
  <si>
    <t>v_eD2SW7ibzmM</t>
  </si>
  <si>
    <t>Two men start dancing on a stage.</t>
  </si>
  <si>
    <t>They put their hands up next to their face.</t>
  </si>
  <si>
    <t>An album of a woman is shown on the screen.</t>
  </si>
  <si>
    <t>v_blCvgADz8LY</t>
  </si>
  <si>
    <t>A man bends down and picks up a large weight.</t>
  </si>
  <si>
    <t>He lifts it up over his head.</t>
  </si>
  <si>
    <t>He then drops it onto the ground.</t>
  </si>
  <si>
    <t>v_3792wPKkdXI</t>
  </si>
  <si>
    <t>a man and a woman are arm wrestling on top of a table in middle of stage and the woman wins.</t>
  </si>
  <si>
    <t>people are in stands around the stage watching the competition.</t>
  </si>
  <si>
    <t>v_tokwDYW6rS0</t>
  </si>
  <si>
    <t>A Howcast logo is the opening scene of the video.</t>
  </si>
  <si>
    <t>A woman is showing paintings of her work.</t>
  </si>
  <si>
    <t>An instructional slide is shown.</t>
  </si>
  <si>
    <t>The woman is explaining the materials used.</t>
  </si>
  <si>
    <t>She then describes the brushes she uses.</t>
  </si>
  <si>
    <t>She shows the paint pallet and various colors of paint.</t>
  </si>
  <si>
    <t>She explains the bottles of paint.</t>
  </si>
  <si>
    <t>She then instructs on how to clean the brushes with liquid and paper towels.</t>
  </si>
  <si>
    <t>The video ends with the same logo it started with.</t>
  </si>
  <si>
    <t>v_n04N7AuqZsY</t>
  </si>
  <si>
    <t>A group of girls in field hockey outfits walks onto a green field in a line.</t>
  </si>
  <si>
    <t>The girls are then seen in front of a male coach talking to them and pointing to spots on the field.</t>
  </si>
  <si>
    <t>Several girls are interviewed from the field and bleachers before and as video of the girls practicing field hockey are shown.</t>
  </si>
  <si>
    <t>The girls are then shown playing field hockey on a large green field interspersed with an interview from the coach.</t>
  </si>
  <si>
    <t>v_tww0AR8NanU</t>
  </si>
  <si>
    <t>man is standing talking to the camera showing a big metal piece.</t>
  </si>
  <si>
    <t>te man in the room is playing the harmonica.</t>
  </si>
  <si>
    <t>the man stops playing and keeps talking to the camera in a small white room.</t>
  </si>
  <si>
    <t>v_Scjxbdh6b54</t>
  </si>
  <si>
    <t>A white BMW 3 series is in a garage being cleaned by two men wearing safety jackets.</t>
  </si>
  <si>
    <t>Once the front is cleaned,the men move towards the back spraying the vehicle and come back to spray the rim and go back to the trunk to get all of the spots.</t>
  </si>
  <si>
    <t>v_1P_BTFhNZFo</t>
  </si>
  <si>
    <t>There are two girls wearing sparkly blue tank tops and black skirts doing a coordinated dance with sticks in their hands in a gym.</t>
  </si>
  <si>
    <t>They begin by facing their backs to the camera and break into a dance move by raising their sticks up in the air.</t>
  </si>
  <si>
    <t>Then they fling their sticks in the air and catch it and turn around to face the camera.</t>
  </si>
  <si>
    <t>They continue dancing in coordination by going in circles and twirling their bodies simultaneously.</t>
  </si>
  <si>
    <t>Then they do front flips together and continue twirling their bodies in circular motion.</t>
  </si>
  <si>
    <t>One of the dancers does a front flip while the other throws the stick in the air and catches it.</t>
  </si>
  <si>
    <t>They continue dancing as they fling their sticks and catch them in their hands as they coordinate themselves.</t>
  </si>
  <si>
    <t>After they're finished with the dancing, they stand together and wave to the camera.</t>
  </si>
  <si>
    <t>v_4WNso9fVJG8</t>
  </si>
  <si>
    <t>A woman with short hair is wearing an earphone and eyeglasses is showing two clips, then she clipped both sides of her hair, showed her blue and white contact lenses containers and removed her eyeglasses.</t>
  </si>
  <si>
    <t>She showed her hand, then showed a sclera lenses, and put it on her right eye pupil, went closer to the camera to show her eye, then removed the contact lens from her eye by pinching it.</t>
  </si>
  <si>
    <t>v_pT2fO9vlVn0</t>
  </si>
  <si>
    <t>A man is shown in a gym class leading at as the people step up and down on thier steppers.</t>
  </si>
  <si>
    <t>The man is very enthusiastically jumping up and down trying to keep the motivation going.</t>
  </si>
  <si>
    <t>He is very into it as is the class and they are dancing in sync with each other.</t>
  </si>
  <si>
    <t>They conclude the routine by clapping and celebrating their hard work.</t>
  </si>
  <si>
    <t>v_TZ9JbvClnZA</t>
  </si>
  <si>
    <t>A close up of a bowling lane is seen with a man standing in front.</t>
  </si>
  <si>
    <t>The man throws a ball down the lane and hits several pins.</t>
  </si>
  <si>
    <t>He finally walks back up the lane.</t>
  </si>
  <si>
    <t>v_TvlCdfubl9Y</t>
  </si>
  <si>
    <t>man wearing a green shirt is assembling a bicycle on the middle of a living room.</t>
  </si>
  <si>
    <t>another man wearing a blue sweater is helping the other man assembling the bicycles.</t>
  </si>
  <si>
    <t>men are assembling three bicycles on living room.</t>
  </si>
  <si>
    <t>v_8sTJGmY-SGQ</t>
  </si>
  <si>
    <t>A man is seen standing with his arms up and walks in between a set of uneven bars.</t>
  </si>
  <si>
    <t>The man then hopes up on the bars and begins spinning himself around.</t>
  </si>
  <si>
    <t>He continues spinning on the bars and ends by jumping down on the sides.</t>
  </si>
  <si>
    <t>v_5Chl3x_mx40</t>
  </si>
  <si>
    <t>The players are playing curling in an ice court.</t>
  </si>
  <si>
    <t>The players pushed the stone and two people are brushing the front of the stone until it reached the target.</t>
  </si>
  <si>
    <t>An Asian girl pushed the stone and the other girl is brushing the front of the stone until it hit other stones.</t>
  </si>
  <si>
    <t>v_gY-8BUnSgf4</t>
  </si>
  <si>
    <t>A Man is shown throwing a bowling ball down a lane.</t>
  </si>
  <si>
    <t>It then intercuts to a bunch of different throws of the ball towards the pins.</t>
  </si>
  <si>
    <t>A woman interview the professional bowler and put on an apparatus on his wrist.</t>
  </si>
  <si>
    <t>He then is shown gripping the ball and makes a throw in slow motion.</t>
  </si>
  <si>
    <t>This is shown several times from different angles.</t>
  </si>
  <si>
    <t>After a series of these action shots, the video then moves to a man speaking directly into the camera, with the logo of the show appearing as it ends.</t>
  </si>
  <si>
    <t>v_QNKjKB4k4D0</t>
  </si>
  <si>
    <t>A man on a horse goes through a rodeo fence.</t>
  </si>
  <si>
    <t>He dismounts, roping and tying a calf.</t>
  </si>
  <si>
    <t>When he is done, he walks back to his horse and gets back on.</t>
  </si>
  <si>
    <t>v_DlE6Rtuo__o</t>
  </si>
  <si>
    <t>A close up of a tattoo artist is seen drawing along a person's leg.</t>
  </si>
  <si>
    <t>The artist continues drawing all over the person's leg while looking up every once in a while to the camera.</t>
  </si>
  <si>
    <t>v_h1bdAd1cXSw</t>
  </si>
  <si>
    <t>A young child is seen walking to the end of a diving board and looking off into the camera.</t>
  </si>
  <si>
    <t>The boy then dives into the water and the camera captures him moving from underwater.</t>
  </si>
  <si>
    <t>v_wqThk38AdEA</t>
  </si>
  <si>
    <t>woman is standing in the middle of stage playing the flute.</t>
  </si>
  <si>
    <t>women are standing in sage behind the woman with the flute standing holding microphones.</t>
  </si>
  <si>
    <t>men are standing behind the women playing different instruments.</t>
  </si>
  <si>
    <t>v_nDggAkf1ulc</t>
  </si>
  <si>
    <t>There's a little girl in a pink shirt and black tights and pink shoes playing hop scotch in a playground.</t>
  </si>
  <si>
    <t>She jumps around on the colorful squares as she has fun.</t>
  </si>
  <si>
    <t>Then she goes around a small water fountain that is next to the hop scotch squares.</t>
  </si>
  <si>
    <t>She is enjoying herself running around in the playground.</t>
  </si>
  <si>
    <t>v_Tg1G0EtWw9s</t>
  </si>
  <si>
    <t>A man is seated at a black jack table.</t>
  </si>
  <si>
    <t>He is talking about the game and showing the cards and chips.</t>
  </si>
  <si>
    <t>He shows how to deal each hand, and how to dispense the chips to the winners.</t>
  </si>
  <si>
    <t>v_gtd2Ye-raxE</t>
  </si>
  <si>
    <t>A male gymnast hops up onto bars and begins performing a gymnastics routine.</t>
  </si>
  <si>
    <t>He swings around the bars over and over again while the judges watch and critique.</t>
  </si>
  <si>
    <t>The man eventually jumps off and the video fades away into an effect.</t>
  </si>
  <si>
    <t>v_fQDj7pnGdVY</t>
  </si>
  <si>
    <t>A man wearing boxing gloves is seen hitting a bag in an empty room.</t>
  </si>
  <si>
    <t>He continuously hits the bag over and over again while pausing in between punches to catch his breath.</t>
  </si>
  <si>
    <t>v_WlYhEPyLcBc</t>
  </si>
  <si>
    <t>Two couples play badminton in a court.</t>
  </si>
  <si>
    <t>A man enter in the court and goes to sit left the court with other person.</t>
  </si>
  <si>
    <t>v_h8cXVe6N6Oc</t>
  </si>
  <si>
    <t>There's a woman long black hair looking in a mirror and brushing her hair.</t>
  </si>
  <si>
    <t>There's another woman with blond hair that makes a face looking angry and disgusted.</t>
  </si>
  <si>
    <t>v_EsYsshh2CyA</t>
  </si>
  <si>
    <t>A bartender begins speaking to the camera and pours ice into a glass.</t>
  </si>
  <si>
    <t>She think instructs to mix rum and lemon juice into the glass and an ounce of different rum.</t>
  </si>
  <si>
    <t>Finally she mixes grenadine with some sweet and sour mix with soda water.</t>
  </si>
  <si>
    <t>Finally she mixes all the components together and creates a nice alcoholic beverage.</t>
  </si>
  <si>
    <t>v_Z3jo5hbPo1Q</t>
  </si>
  <si>
    <t>A young girl is standing on a stage in front of 4 judges that are sitting along a table and they are talking to her.</t>
  </si>
  <si>
    <t>The girl then begins her performance where she is dancing ballet and singing and when they pan to the judges and the audience they seem pleased with her performance.</t>
  </si>
  <si>
    <t>When the girl is done performing, she gets a standing ovation from the audience and some of the judges.</t>
  </si>
  <si>
    <t>The judges then take turns speaking with her expressing their approval, and the girl is very happy about it.</t>
  </si>
  <si>
    <t>The girl then runs off the stage and behind the curtains she gives a man who is possibly her dad, a kiss and a hug.</t>
  </si>
  <si>
    <t>v_FC5FsugGt8o</t>
  </si>
  <si>
    <t>A group of women are seen walking around a sandy area and begin playing a match of volleyball with one another.</t>
  </si>
  <si>
    <t>The girls continue playing the match while others watch on the sidelines and walk back slowly in the end.</t>
  </si>
  <si>
    <t>v_m210FwMsnTQ</t>
  </si>
  <si>
    <t>A girl does a balance beam routine and jumps around.</t>
  </si>
  <si>
    <t>After stretching, the woman does four flips.</t>
  </si>
  <si>
    <t>The woman dismounts and finishes the routine.</t>
  </si>
  <si>
    <t>v_oFtwNVuasmU</t>
  </si>
  <si>
    <t>On a river outside the boys are walking down the street as cars pass by.</t>
  </si>
  <si>
    <t>There are many people out doing many different activities on the water.</t>
  </si>
  <si>
    <t>Some of the boys do jumps off the bridge and other are riding behind a boat.</t>
  </si>
  <si>
    <t>it's a nice summer day to be out and enjoy fun in the sun by the water.</t>
  </si>
  <si>
    <t>v_fYQTAuBS7zw</t>
  </si>
  <si>
    <t>A guy shows you how to hold a small sharp ending stick in your hand and between your fingers to use as a weapon.</t>
  </si>
  <si>
    <t>The man shows you how to throw the sharp ended stick into the wall and make it stick from different distances.</t>
  </si>
  <si>
    <t>v_zKYqEsVfEnU</t>
  </si>
  <si>
    <t>Two men are seen standing together with one speaking to the camera and the other laying on the floor.</t>
  </si>
  <si>
    <t>The man kneels behind him and points to his body while the man laying door moves his arms and legs to demonstrate proper exercises.</t>
  </si>
  <si>
    <t>v_bj4nkWPdqIY</t>
  </si>
  <si>
    <t>A close up of a track is shown followed by a woman walking slowly away.</t>
  </si>
  <si>
    <t>Several shots are then shown of her performing long jumps in various places.</t>
  </si>
  <si>
    <t>She continues jumping in slow motion and ends with her landing in one last pit.</t>
  </si>
  <si>
    <t>v_Wm1CL_g91G4</t>
  </si>
  <si>
    <t>There's a lady in green sanding the counter giving out tickets to people who are purchasing them for snow tubing.</t>
  </si>
  <si>
    <t>Several people are out snow tubing down a snow caped slope.</t>
  </si>
  <si>
    <t>People are going downhill on their snow tubes wearing winter gear and goggles.</t>
  </si>
  <si>
    <t>Some of them are snow tubing in groups of threes.</t>
  </si>
  <si>
    <t>They are enjoying themselves coming down the slope rapidly.</t>
  </si>
  <si>
    <t>v_PXBcPu2_KOo</t>
  </si>
  <si>
    <t>An athlete climbs on the pommel horse to perform jumps and flips.</t>
  </si>
  <si>
    <t>The athlete flips backwards and then continues with her routine.</t>
  </si>
  <si>
    <t>The athlete stands on the border on the pommel horse and runs to jump, then flips and fall stand on the floor.</t>
  </si>
  <si>
    <t>v_dyLGepr7VR0</t>
  </si>
  <si>
    <t>Two men and a woman are seen walking up onto a stage while a group of people are seen behind them in mirrors.</t>
  </si>
  <si>
    <t>The three then perform a dance routine while the people in the audience follow from behind.</t>
  </si>
  <si>
    <t>The man pump up the crowd and continue dancing as the others follow along in the mirror.</t>
  </si>
  <si>
    <t>v_ShozMaLUS20</t>
  </si>
  <si>
    <t>Old man is raking leaves outside his home in the fall.</t>
  </si>
  <si>
    <t>Man is narrating the action.</t>
  </si>
  <si>
    <t>There is a bike parked next to the house.</t>
  </si>
  <si>
    <t>v_50MmJszF2XM</t>
  </si>
  <si>
    <t>A female coach and cheer director talks to the camera.</t>
  </si>
  <si>
    <t>She then spots a little girl through a backflip.</t>
  </si>
  <si>
    <t>She helps her do several different tasks, explaining the process as they go.</t>
  </si>
  <si>
    <t>v_7Ozl-ud1zTo</t>
  </si>
  <si>
    <t>A large group of people are seen standing on a beach looking off into the distance.</t>
  </si>
  <si>
    <t>Several shots are shown of people riding a surf board and others watching on the side.</t>
  </si>
  <si>
    <t>More people are seen riding the waves in various shots.</t>
  </si>
  <si>
    <t>v_7XGimCWcafc</t>
  </si>
  <si>
    <t>A large off-roading truck drives by along a dirt track next to a body of water and comes to a stop.</t>
  </si>
  <si>
    <t>Many spectators approach the vehicle, while the driver climbs out of the vehicle and attempts to remove a tire from the back of the truck.</t>
  </si>
  <si>
    <t>A worker and some assistants approaches the vehicle with a spare tire, and some men begin to jack up the rear of the truck to try to replace the rear passenger side tire.</t>
  </si>
  <si>
    <t>While the tire is being replaced, the driver climbs back into the truck, and a specator takes a picture of the vehicle.</t>
  </si>
  <si>
    <t>Other spectators come to the driver side to talk with the driver.</t>
  </si>
  <si>
    <t>The tire is replaced and the truck drives off.</t>
  </si>
  <si>
    <t>A detailed look at the tire that was replaced is shown.</t>
  </si>
  <si>
    <t>v_Uw_4gKpmAhI</t>
  </si>
  <si>
    <t>There are three contractors remodeling a house that is torn down for renovation.</t>
  </si>
  <si>
    <t>One of the contractors is cementing a brick wall.</t>
  </si>
  <si>
    <t>The other contractor is breaking an existing wall in the living room.</t>
  </si>
  <si>
    <t>The entire house is under renovation with furniture and boxes lying around the house with dust.</t>
  </si>
  <si>
    <t>v_5Q8ltS84BBg</t>
  </si>
  <si>
    <t>kid is sitting in a red room talkin to the camera.</t>
  </si>
  <si>
    <t>the kid grabs a guitar and start playing it and singing.</t>
  </si>
  <si>
    <t>kid is playing the guitar and talking to the camera in a small room.</t>
  </si>
  <si>
    <t>v_MOH9q_3Z9zg</t>
  </si>
  <si>
    <t>A little girl is shown in several images receiving a haircut.</t>
  </si>
  <si>
    <t>She is then shown in video form as her long hair is cut off in the style of a ponytail, meant to be donated to a group called Locks of Love.</t>
  </si>
  <si>
    <t>The girl is shown in various photos, holding the hair she is going to donate.</t>
  </si>
  <si>
    <t>v_J8Ziy8QR8WQ</t>
  </si>
  <si>
    <t>Guys throw balls on a field.</t>
  </si>
  <si>
    <t>A guy holds a few balls and talks.</t>
  </si>
  <si>
    <t>A man holding a flat bat walks across the field followed by a male holding one ball in each hand.</t>
  </si>
  <si>
    <t>Two men sit with one man holding a flat bat.</t>
  </si>
  <si>
    <t>Guys hit balls with the flat bat.</t>
  </si>
  <si>
    <t>v__9v34KLET0g</t>
  </si>
  <si>
    <t>A man is seen speaking to the camera behind a table with various ingredients and glasses laid out.</t>
  </si>
  <si>
    <t>The man mixes the ingredients into a glass together and juices a lime into the glass.</t>
  </si>
  <si>
    <t>He then pushes the ingredients around and pours liquids into the glass, creating an alcoholic drink.</t>
  </si>
  <si>
    <t>He presents the glass while the ingredients list is laid out and he walks away from the frame.</t>
  </si>
  <si>
    <t>v_n8gFxENOyR0</t>
  </si>
  <si>
    <t>A man is wearing a contraption which holds his small son on his back as he hikes in the woods.</t>
  </si>
  <si>
    <t>We see the boy playing in an indoor porch at the house.</t>
  </si>
  <si>
    <t>The boy runs into the yard and his dad puts a helmet on him and helps him skateboard.</t>
  </si>
  <si>
    <t>The dad skateboards and holds the boy.</t>
  </si>
  <si>
    <t>We then see the ending screen and switch to the boy sitting on a rock high five his dad and we return to the close screen.</t>
  </si>
  <si>
    <t>v_P4dx0xrr6fM</t>
  </si>
  <si>
    <t>An athlete walks onto a field.</t>
  </si>
  <si>
    <t>He spins in circles around a platform.</t>
  </si>
  <si>
    <t>He tosses a ball a great distance, and walks away.</t>
  </si>
  <si>
    <t>v_tuhEnqKmUKg</t>
  </si>
  <si>
    <t>There's a teenage boy wearing a black beanie hat skateboarding through the city streets.</t>
  </si>
  <si>
    <t>He skateboards wearing a white shirt while jumping over a small cement wall.</t>
  </si>
  <si>
    <t>Then he jumps over another wall while skateboarding.</t>
  </si>
  <si>
    <t>Then in a green shirt, he skateboards past a school, straight into a basketball court and then jumps over a metal railing.</t>
  </si>
  <si>
    <t>Then back in a white shirt, he tries stunts by jumping up to a metal hand rail on his skateboard.</t>
  </si>
  <si>
    <t>v_YAWoigyJ9sA</t>
  </si>
  <si>
    <t>A person is drinking from a coffee cup and looking away from the camera.</t>
  </si>
  <si>
    <t>His eyes pand up to the camera at the last second and he smiles.</t>
  </si>
  <si>
    <t>v_uWJUoJyvFF0</t>
  </si>
  <si>
    <t>A woman is sitting in a living room on a couch talking to the camera explaining what she is about to do.</t>
  </si>
  <si>
    <t>The camera pans down and the lady begins showing important aspects of the object she is knitting.</t>
  </si>
  <si>
    <t>When she is done,she grabs the needle,puts the thread in it and finishes knitting.</t>
  </si>
  <si>
    <t>v_0_GpcrCLdag</t>
  </si>
  <si>
    <t>First a boy is shown eating a thin waffle.</t>
  </si>
  <si>
    <t>then an elderly lady is shown drinking water from a small glass.</t>
  </si>
  <si>
    <t>Next there is a little boy shown dipping his hand into a parfait and then grabbing a spoon from another boy and then eating the parfait.</t>
  </si>
  <si>
    <t>Finally a boy is shown eating a spoonful of a milkshake from a glass that has waffles in it.</t>
  </si>
  <si>
    <t>v_Ygt3z-K-ZMQ</t>
  </si>
  <si>
    <t>Women mix a variety of alcoholic drinks for consumption.</t>
  </si>
  <si>
    <t>Steps are shown for a beautiful whiskey sour.</t>
  </si>
  <si>
    <t>v_tmBTO0cA_qw</t>
  </si>
  <si>
    <t>A man stands in front of a counter with his hands down in front of equipment.</t>
  </si>
  <si>
    <t>He uses the surface to rub a knife blade back and forth, sharpening it.</t>
  </si>
  <si>
    <t>When he is done, he checks the blade before lying the knife back down.</t>
  </si>
  <si>
    <t>v_o7z-u08tc-Y</t>
  </si>
  <si>
    <t>A small group of people are seen holding onto a rope and playing tug of war.</t>
  </si>
  <si>
    <t>The camera pans around the other team playing with the group while others watch on the side.</t>
  </si>
  <si>
    <t>The people continue playing back and fourth and end by smiling to the camera.</t>
  </si>
  <si>
    <t>v_W0dCIs9Y8yg</t>
  </si>
  <si>
    <t>The camera follows a small child on skis as he or she maneuvers past a crowd of people.</t>
  </si>
  <si>
    <t>The child skis down a slope with other people at various points along the trail.</t>
  </si>
  <si>
    <t>The child stops as the cameraperson approaches.</t>
  </si>
  <si>
    <t>v_R2qPyJVTUlI</t>
  </si>
  <si>
    <t>Women are dressed up in fancy clothing.</t>
  </si>
  <si>
    <t>A woman is putting something onto another woman's body.</t>
  </si>
  <si>
    <t>v_T8nteSe3U9Q</t>
  </si>
  <si>
    <t>A man and a woman stand outside while he sprays her with sunblock.</t>
  </si>
  <si>
    <t>They are both laughing and having a good time.</t>
  </si>
  <si>
    <t>She turns around so he can get her back thoroughly as they both playfully flirt with each other.</t>
  </si>
  <si>
    <t>He starts to spray her and she gives him directions as to where he missed applying it.</t>
  </si>
  <si>
    <t>She then turns around for him to get her arms, face and any of the other areas that he missed.</t>
  </si>
  <si>
    <t>v_OLRDf3vO8lw</t>
  </si>
  <si>
    <t>Family day at the beach, father and son are walking around and then they start to play in the sand.</t>
  </si>
  <si>
    <t>They have a sand in buckets trying to build sand castles.</t>
  </si>
  <si>
    <t>When they take the bucket up the sand isn't very stable at all.</t>
  </si>
  <si>
    <t>The little boy goes and kick down all the castle parts that they were creating.</t>
  </si>
  <si>
    <t>v_gvHQDDF7EGU</t>
  </si>
  <si>
    <t>A man is seen playing a saxophone and transitions from various locations of the person playing the instrument.</t>
  </si>
  <si>
    <t>The man is then seen side by side with himself and more shots of him playing in a room.</t>
  </si>
  <si>
    <t>v_30y8Uy0B_uk</t>
  </si>
  <si>
    <t>A man is hanging on a rock wall and talking to the camera.</t>
  </si>
  <si>
    <t>The man swings back and fourth and how to keep your balance when rock climbing.</t>
  </si>
  <si>
    <t>He begins climbing up the wall and talking about keeping straight arms.</t>
  </si>
  <si>
    <t>He continues climbing up the wall and where to position your feet and how to push.</t>
  </si>
  <si>
    <t>He finally makes it to the top of the rock wall and faces the camera.</t>
  </si>
  <si>
    <t>v_YED3l3gkrk4</t>
  </si>
  <si>
    <t>A tutorial is given on how to make a perfect french manicure.</t>
  </si>
  <si>
    <t>An advertisement is shown at the end.</t>
  </si>
  <si>
    <t>v_RGVDeXqN1ao</t>
  </si>
  <si>
    <t>A woman dressed in a black shirt representing the company Bents is standing in a garden and demonstrating how to use Cellophane to wrap a plant for gift purposes.</t>
  </si>
  <si>
    <t>She cuts a rectangular piece of the Cellophane and place the pot over it in the center.</t>
  </si>
  <si>
    <t>Then she brings to together the edges of the Cellophane towards the top of the plant.</t>
  </si>
  <si>
    <t>She takes a decorate piece of ribbon to tie the scrunched up cellophane together to make it look like a bow on top.</t>
  </si>
  <si>
    <t>v_vBdm15wRqig</t>
  </si>
  <si>
    <t>Boys get out a train and walk in the street holding surfboards.</t>
  </si>
  <si>
    <t>They, the boys surf in a choppy river in a city.</t>
  </si>
  <si>
    <t>A boy put his surfboard on the rives,jump on and surf, then fell, also other boys surf.</t>
  </si>
  <si>
    <t>After, the boys are inside a train.</t>
  </si>
  <si>
    <t>v_ysbUc6WS12k</t>
  </si>
  <si>
    <t>There's a bon fire lit in an open ground next to some tents and bikes.</t>
  </si>
  <si>
    <t>There's a person dressed in a biker's suit who comes up and sets fire to a pile of wood sticks.</t>
  </si>
  <si>
    <t>The fire begins to spread through the twigs and wood sticks and bursts into large flames.</t>
  </si>
  <si>
    <t>v_-YjGbsbDoxs</t>
  </si>
  <si>
    <t>A lady named Linda, creator of Paint Along is demonstrating how to do an acrylic painting.</t>
  </si>
  <si>
    <t>She starts with a one inch flat brush and yellow and white acrylic paint.</t>
  </si>
  <si>
    <t>She makes X patterns across the canvas with the yellow color.</t>
  </si>
  <si>
    <t>She continues the same pattern on the top part of the canvas.</t>
  </si>
  <si>
    <t>Then she draws straight lines across the canvas with an orange color.</t>
  </si>
  <si>
    <t>She then takes a liner brush to do some finer detailing on the painting such as branches of a tree.</t>
  </si>
  <si>
    <t>She takes a flatter brush to demonstrate a dabbing technique with excess paint to show flower petals.</t>
  </si>
  <si>
    <t>She ends the video with the abstract painting technique.</t>
  </si>
  <si>
    <t>v_jdAJ7cJBxnQ</t>
  </si>
  <si>
    <t>We see a man in a pool playing a game while a man in white stands on the sideline waving his arm.</t>
  </si>
  <si>
    <t>The ball is thrown and the goalie in front of the net jumps to stop the ball.</t>
  </si>
  <si>
    <t>The goalie then dips deep underwater.</t>
  </si>
  <si>
    <t>v_hHpcr5tYWso</t>
  </si>
  <si>
    <t>An Asian woman with black hair in beige jacket and printed blouse, is talking in front of the camera.</t>
  </si>
  <si>
    <t>Four black and white kites with blue and yellow diamond print on them are flying from the ground, a green octopus, dragons and other shapes of kites are flying in the sky, while men in red pull the kites.</t>
  </si>
  <si>
    <t>v_r5NqGSZsN0E</t>
  </si>
  <si>
    <t>A young woman is shown sitting down and speaking to the camera white holding a shirt.</t>
  </si>
  <si>
    <t>She ties the shirt around her arm and dips it into the water and scrubs it with her hands.</t>
  </si>
  <si>
    <t>v_bF55ewgaJLA</t>
  </si>
  <si>
    <t>A man is seated in a chair, holding a saxophone.</t>
  </si>
  <si>
    <t>He stands as he plays, his fingers moving up and down the instrument.</t>
  </si>
  <si>
    <t>The screen cuts to black and white text.</t>
  </si>
  <si>
    <t>v_hZD-CjWt0Rg</t>
  </si>
  <si>
    <t>A player's stats show on the screen.</t>
  </si>
  <si>
    <t>Montages of several indoor soccer games show.</t>
  </si>
  <si>
    <t>The stats of the player are shown again.</t>
  </si>
  <si>
    <t>v_8H3Wy96BwHM</t>
  </si>
  <si>
    <t>We see numbers slots on asphalt.</t>
  </si>
  <si>
    <t>We then see kids riding BMX bikes cut with scenes of other things.</t>
  </si>
  <si>
    <t>We see kids talking to the camera.</t>
  </si>
  <si>
    <t>We see a gate open and kids start riding.</t>
  </si>
  <si>
    <t>We see a coach standing with kids.</t>
  </si>
  <si>
    <t>We see another coach standing with kids.</t>
  </si>
  <si>
    <t>We see kids pass the finish line.</t>
  </si>
  <si>
    <t>We see the emblem on the screen with kids sitting on their bikes.</t>
  </si>
  <si>
    <t>We then see the close screen.</t>
  </si>
  <si>
    <t>v_OCQ9OyMKQKw</t>
  </si>
  <si>
    <t>A man wearing a hat is standing outside.</t>
  </si>
  <si>
    <t>He picks up a chainsaw off of the ground.</t>
  </si>
  <si>
    <t>He begins to chop down a bush next to him.</t>
  </si>
  <si>
    <t>v_YKzVHb16eUk</t>
  </si>
  <si>
    <t>There are a bunch of children standing around a table and the main focus is a boy who is cutting stuff on a blue tray.</t>
  </si>
  <si>
    <t>The boy walks away from the tray and an adult starts cutting.</t>
  </si>
  <si>
    <t>The adult stops cutting and another boy begins to cut the objects very slowly,the adult interrupts the child to demonstrate how to cut and the child walks away.</t>
  </si>
  <si>
    <t>v__f0S0vQZ9JM</t>
  </si>
  <si>
    <t>Two people are seen speaking to the camera followed by several drinks laid out.</t>
  </si>
  <si>
    <t>The people then begin mixing ingredients with one another and speaking to one another.</t>
  </si>
  <si>
    <t>The people continue mixing drinks with one another and presenting them to the camera.</t>
  </si>
  <si>
    <t>v_2gc5VDx2xY8</t>
  </si>
  <si>
    <t>There is a man on a horse waiting for the time to get going to start.</t>
  </si>
  <si>
    <t>Once the gates open a cow starts running and the man on the horse chases after it with a tassel.</t>
  </si>
  <si>
    <t>He swings the tassel in the air a few times and throws it catching the cow and then tying him down.</t>
  </si>
  <si>
    <t>There is an audience in the stands watching the man do this and there is another man on a different horse at the side waiting.</t>
  </si>
  <si>
    <t>v_lJeJ2LFna5o</t>
  </si>
  <si>
    <t>A crowd gathers watching a volleyball game.</t>
  </si>
  <si>
    <t>A volleyball player hits the ball.</t>
  </si>
  <si>
    <t>The player's teammate also hits the ball.</t>
  </si>
  <si>
    <t>The player hits the ball three more times.</t>
  </si>
  <si>
    <t>The players teammate hits the ball.</t>
  </si>
  <si>
    <t>The other player hits the ball over the net.</t>
  </si>
  <si>
    <t>The ball returns and one of the players hits the ball.</t>
  </si>
  <si>
    <t>The players teammate dives to hit the ball.</t>
  </si>
  <si>
    <t>The other player hits the ball to the other team.</t>
  </si>
  <si>
    <t>The ball returns and one of the players hits the ball out of bounds.</t>
  </si>
  <si>
    <t>v_aw89asgFHbs</t>
  </si>
  <si>
    <t>A girl does flips across a mat.</t>
  </si>
  <si>
    <t>The mat is black and red.</t>
  </si>
  <si>
    <t>Several girls watch her and clap.</t>
  </si>
  <si>
    <t>She then does some backflips.</t>
  </si>
  <si>
    <t>v_B2HIj_QWaG0</t>
  </si>
  <si>
    <t>A woman is playing a violin on the street while various people walk around here and behind her.</t>
  </si>
  <si>
    <t>She smiles into the camera while playing and continues playing the song while several people bend down to tip her and walk around her.</t>
  </si>
  <si>
    <t>v_Tv3v-UpBJ2Y</t>
  </si>
  <si>
    <t>A small group of people are seen standing on a field holding onto a rope.</t>
  </si>
  <si>
    <t>A man stands in front as the group begins pulling the rope to one side.</t>
  </si>
  <si>
    <t>The people continue pulling until one falls down afterwards.</t>
  </si>
  <si>
    <t>v_N_FbnDY_2j8</t>
  </si>
  <si>
    <t>A person ski on the pent of a hill covered with snow.</t>
  </si>
  <si>
    <t>Then, the person arrives to a flat area where there are four people.</t>
  </si>
  <si>
    <t>v_hXBeu7o9uUM</t>
  </si>
  <si>
    <t>A man is standing in a room holding a large instrument.</t>
  </si>
  <si>
    <t>He begins to play the instrument behind a microphone.</t>
  </si>
  <si>
    <t>A man in a green shirt is talking into a microphone.</t>
  </si>
  <si>
    <t>v_a9ItMklOTyE</t>
  </si>
  <si>
    <t>It looks like this is an arabic language that is being written or something.</t>
  </si>
  <si>
    <t>Then on a field there is men playing a game throwing the ball.</t>
  </si>
  <si>
    <t>Some coaches are walking around with hats to keep the sun out of their eyes.</t>
  </si>
  <si>
    <t>The game looks pretty intense, one man puts all of his might into one of the throws he make.</t>
  </si>
  <si>
    <t>v_Yp-NJgTAOCc</t>
  </si>
  <si>
    <t>The scene comes into focus showing the outside of a building, with some text at the bottom that says it is a school for breakdancing.</t>
  </si>
  <si>
    <t>A man is doing some paperwork while some other men are standing in the background next to a projector screen.</t>
  </si>
  <si>
    <t>A large number of kids inside a gym are practicing breakdancing.</t>
  </si>
  <si>
    <t>The kids are inside a classroom watching a presentation by the man seen earlier.</t>
  </si>
  <si>
    <t>The kids are seen once again inside the gym practicing their breakdancing moves.</t>
  </si>
  <si>
    <t>The screen goes black and a graphic appears on screen showing the company's logo and youtube channel information.</t>
  </si>
  <si>
    <t>v_qlbuekEsXL4</t>
  </si>
  <si>
    <t>A boy on a horse is released from a gate.</t>
  </si>
  <si>
    <t>He ropes a calf, dragging it to the ground.</t>
  </si>
  <si>
    <t>He dismounts, tying the calf with rope before getting back on his horse.</t>
  </si>
  <si>
    <t>v_UAgb3FEjBN8</t>
  </si>
  <si>
    <t>An intro leads into a small child riding a dirt bike on a dirt path.</t>
  </si>
  <si>
    <t>Several shots of the boy grown up are shown followed by more footage of the boy riding a dirt bike.</t>
  </si>
  <si>
    <t>v_iiyYRmc1YiA</t>
  </si>
  <si>
    <t>We see a crowd of people watching an event.</t>
  </si>
  <si>
    <t>The men fiddle with a metal handle.</t>
  </si>
  <si>
    <t>They hold hands in preparation for the match and the judge touches their hands.</t>
  </si>
  <si>
    <t>The men begin their arm wrestling match, and the guy on the right wins.</t>
  </si>
  <si>
    <t>The guys shake hands and hug.</t>
  </si>
  <si>
    <t>We see a shot of one of the contestants.</t>
  </si>
  <si>
    <t>v_517rgTzIobE</t>
  </si>
  <si>
    <t>Two men are playing racket ball in an indoor court.</t>
  </si>
  <si>
    <t>The two men, one in black and the other in a red shirt playing racket ball against each other.</t>
  </si>
  <si>
    <t>The man in black begins the first serve and the man in the red shirt returns his serve.</t>
  </si>
  <si>
    <t>They continue playing racket ball.</t>
  </si>
  <si>
    <t>Then the same players play racket ball on a different occasion wearing black and the other wearing a yellow shirt.</t>
  </si>
  <si>
    <t>They continue serving and hitting the ball against the wall.</t>
  </si>
  <si>
    <t>They play several rounds on the game.</t>
  </si>
  <si>
    <t>They are back again in the red and black shirts playing racket ball.</t>
  </si>
  <si>
    <t>They run to hit and the ball served by the opponent as they continue to play.</t>
  </si>
  <si>
    <t>v_mkF3Rlj3JSs</t>
  </si>
  <si>
    <t>A girl gives tips on how to brush your hair with a round brush.</t>
  </si>
  <si>
    <t>She strokes the hair in front of her, covering her face.</t>
  </si>
  <si>
    <t>She flips her hair up and then finishes what she needs to do.</t>
  </si>
  <si>
    <t>v_t04jE7d0Obw</t>
  </si>
  <si>
    <t>We see a man give a lady a rose.</t>
  </si>
  <si>
    <t>The man and the woman then perform a dance in front of a crowd.</t>
  </si>
  <si>
    <t>35 The man spins the lady making her dress flounce and looks at her chest.</t>
  </si>
  <si>
    <t>The dance repeats over and over again many times.</t>
  </si>
  <si>
    <t>The man bends the woman forward looking at her chest two times and almost puts his hand on her neck.</t>
  </si>
  <si>
    <t>v_bVMxBXeYMr0</t>
  </si>
  <si>
    <t>A black man caresses his beard and face in a loving way.</t>
  </si>
  <si>
    <t>The black man uses a clipper trimmer to trim his beard and face.</t>
  </si>
  <si>
    <t>The black man attaches an orange attachment to the clippers and continues trimming his beard.</t>
  </si>
  <si>
    <t>The black man washes his face and beard and displays an array of accessories and applies them to his face and beard.</t>
  </si>
  <si>
    <t>v_Gr5jGxLEp70</t>
  </si>
  <si>
    <t>A large group of people are seen wandering around a festival with shots of people speaking are shown as well as playing crochet.</t>
  </si>
  <si>
    <t>More people are seen playing the game as several others watch on the sidelines and critique.</t>
  </si>
  <si>
    <t>v_5Bo0gFXxDQk</t>
  </si>
  <si>
    <t>A person wearing a blue shirt is sitting on the floor welding.</t>
  </si>
  <si>
    <t>He is wearing protective gear to cover his face and eyes.</t>
  </si>
  <si>
    <t>He also has protective gloves on that are brown in color.</t>
  </si>
  <si>
    <t>He continues welding a long metal rod with welding tool directed towards the rod.</t>
  </si>
  <si>
    <t>v_s2PFIKG5PYI</t>
  </si>
  <si>
    <t>A large piece of machinery is seen sitting in a room.</t>
  </si>
  <si>
    <t>A robot arm then moves into frame attempting to push things around.</t>
  </si>
  <si>
    <t>The robot fails and pulls it's arm back in.</t>
  </si>
  <si>
    <t>v_iOpoR0UeJNg</t>
  </si>
  <si>
    <t>The scene transitions to various people training in gymnastics.</t>
  </si>
  <si>
    <t>Two women are interviewed on camera sequentially.</t>
  </si>
  <si>
    <t>The scene transitions to more gymnastic practice segments.</t>
  </si>
  <si>
    <t>v_2U_BUV8PLtk</t>
  </si>
  <si>
    <t>A pair of handlebars are detached from the bike and is laying down flat on a table.</t>
  </si>
  <si>
    <t>The man then picks up the handlebars and sticks them back into the bike tightening them with a key.</t>
  </si>
  <si>
    <t>v_toS-_4Ik5us</t>
  </si>
  <si>
    <t>A person is seen dealing cards as well as several shots of a casino table and poker chips being dealt.</t>
  </si>
  <si>
    <t>A band is playing, a person is seen smoking a cigarette, as well as people bartending and speaking to one another.</t>
  </si>
  <si>
    <t>In the end more people are seen enjoying the casino and moving around.</t>
  </si>
  <si>
    <t>v_tbOIyG1RCUI</t>
  </si>
  <si>
    <t>A blindfolded man wearing boxing gloves is seen hitting a punching bag while many watch him on the sides.</t>
  </si>
  <si>
    <t>He continues punching when a person on the roof pulls the bag up higher.</t>
  </si>
  <si>
    <t>v_UIZkQUo8VtA</t>
  </si>
  <si>
    <t>A truck is seen parked in front of a house with several shots of the house shown.</t>
  </si>
  <si>
    <t>A man is then seen standing on the roof hosing down the top and again standing in front of the house watering.</t>
  </si>
  <si>
    <t>The camera shows the truck parked out front again and the final product of the roof.</t>
  </si>
  <si>
    <t>v_8gKV8f3qSOg</t>
  </si>
  <si>
    <t>A woman in a purple dress is seated, speaking to the camera.</t>
  </si>
  <si>
    <t>She is shown massaging cream into her face, then rinsing it off with water and patting dry with a towel.</t>
  </si>
  <si>
    <t>She then speaks to the camera again.</t>
  </si>
  <si>
    <t>v_A-Oz6mBBBZQ</t>
  </si>
  <si>
    <t>Three girls are sitting on the beach, making a mound with sand and water.</t>
  </si>
  <si>
    <t>They use a bowl to form a mold.</t>
  </si>
  <si>
    <t>v_aHzNMe-VKfE</t>
  </si>
  <si>
    <t>A little boy is in the house playing in his shirt and diaper.</t>
  </si>
  <si>
    <t>He has a little hockey stick and he is using it to swing at a rolling back.</t>
  </si>
  <si>
    <t>The ball keeps coming toward him and he keeps swinging trying to hit it.</t>
  </si>
  <si>
    <t>He is having a lot of fun and staying entertained playing inside alone.</t>
  </si>
  <si>
    <t>v_xgIxKDm9M38</t>
  </si>
  <si>
    <t>The man walks out from his house and opens his car door on a snowy day.</t>
  </si>
  <si>
    <t>The man lifts up the windshield wipers of his car.</t>
  </si>
  <si>
    <t>The man uses a house broom to sweep snow off of his car.</t>
  </si>
  <si>
    <t>The dog plays with the owners.</t>
  </si>
  <si>
    <t>The man gets in his car and backs it towards the house into a parking spot.</t>
  </si>
  <si>
    <t>v_vFRSso8WQfY</t>
  </si>
  <si>
    <t>A woman is standing in a kitchen at the island in front of a blender and various ingredients.</t>
  </si>
  <si>
    <t>She places apples and sugar into the blender with ice, and blends them together.</t>
  </si>
  <si>
    <t>She then pours the mixture into two glasses while she continues talking.</t>
  </si>
  <si>
    <t>v_USCVBB97pOc</t>
  </si>
  <si>
    <t>A man has a tool he uses to trim cat claws, he messes around with it a little bit and then he gets up to find his cat.</t>
  </si>
  <si>
    <t>He pets the cat a little bit as to not make it so suspicious and scared.</t>
  </si>
  <si>
    <t>He gets the kitty in a good position and starts feeling for her claws and one by one starts to clip them.</t>
  </si>
  <si>
    <t>Then he moves her the other arms and pets her some more, showing the difference between her clawed and declawed nails.</t>
  </si>
  <si>
    <t>v_MhO48WnApoM</t>
  </si>
  <si>
    <t>There are people standing on a frozen body of water and are looking into a small hole that has a fishing wire in it and they watch it as it bobs up and down.</t>
  </si>
  <si>
    <t>The standing man pulls the pole and wire up higher and the man kneeling on the ice pulls the fish out of the ice water and puts it onto the ice.</t>
  </si>
  <si>
    <t>Another man takes a picture of the fish, the kneeling man unhooks it and the standing man picks it up, holds it by its gills and poses with it.</t>
  </si>
  <si>
    <t>v_LvbM6zv8XVc</t>
  </si>
  <si>
    <t>People are dancing on the beach.</t>
  </si>
  <si>
    <t>A woman is laying down on a red towel.</t>
  </si>
  <si>
    <t>A man is laying on a green towel.</t>
  </si>
  <si>
    <t>Two dogs are next to them on the beach.</t>
  </si>
  <si>
    <t>v_IV5llWEEfAw</t>
  </si>
  <si>
    <t>A sailboat sails through rough waters in the ocean.</t>
  </si>
  <si>
    <t>The skipper is seen manning the steering wheel at the back of the boat.</t>
  </si>
  <si>
    <t>The mast of the ship is seen in full view.</t>
  </si>
  <si>
    <t>v_o00AfbAIOlA</t>
  </si>
  <si>
    <t>The boy is opening the box.</t>
  </si>
  <si>
    <t>He then removes the bike.</t>
  </si>
  <si>
    <t>He is removing the packaging.</t>
  </si>
  <si>
    <t>He is assembling the bike.</t>
  </si>
  <si>
    <t>We see images of the bike.</t>
  </si>
  <si>
    <t>The Subscribe page shows up.</t>
  </si>
  <si>
    <t>v_g6tF83rCXh0</t>
  </si>
  <si>
    <t>A female weight lifter is preparing to lift a barbell.</t>
  </si>
  <si>
    <t>She lifts with her knees, raising the bar to her chest.</t>
  </si>
  <si>
    <t>She then stands, lifting it over her head before dropping the barbell back to the ground.</t>
  </si>
  <si>
    <t>v_okC18bPTils</t>
  </si>
  <si>
    <t>The man is standing above water before he goes scuba diving.</t>
  </si>
  <si>
    <t>He's underwater along with a few other people where there's shells and rocks in the sand.</t>
  </si>
  <si>
    <t>There is also wooden logs and small lobsters crawling around.</t>
  </si>
  <si>
    <t>v_JBnL0T2XzGs</t>
  </si>
  <si>
    <t>A group is playing ice hockey for fun in an indoor rink as a man speaks to the camera.</t>
  </si>
  <si>
    <t>Two women sweep, fighting over the puck, as a woman talks to the camera.</t>
  </si>
  <si>
    <t>v_FGKdmKX1z64</t>
  </si>
  <si>
    <t>A man is seen speaking to the camera wearing a microphone and begins wiping down a window.</t>
  </si>
  <si>
    <t>He uses several tools and objects to clean the glass and continues wiping down while looking at the camera.</t>
  </si>
  <si>
    <t>v_8EyYHnijfnI</t>
  </si>
  <si>
    <t>A woman sits in a chair.</t>
  </si>
  <si>
    <t>Another woman puts something up her nose.</t>
  </si>
  <si>
    <t>She then pierces it with a needle.</t>
  </si>
  <si>
    <t>She puts a piece of jewelry on it next.</t>
  </si>
  <si>
    <t>v_yjd9UOJdes8</t>
  </si>
  <si>
    <t>A girl is shown speaking to the camera as well as dancing and then is seen playing the violin.</t>
  </si>
  <si>
    <t>She plays the instrument while dancing at the same time and ends with her speaking to the camera.</t>
  </si>
  <si>
    <t>v_pULb9WvZwU4</t>
  </si>
  <si>
    <t>Multiple men are loaded onto a crane boom bucket.</t>
  </si>
  <si>
    <t>When three men are safely aboard, the crane begins to lift them up in the air slowly.</t>
  </si>
  <si>
    <t>Once they reach the top of the crane, the view switches and they can be seen looking over the landscape.</t>
  </si>
  <si>
    <t>The man that is preparing to bungee jump is at the edge of the boom looking around nervously.</t>
  </si>
  <si>
    <t>One at a time the men jump out of the boom and hang above a small body of water.</t>
  </si>
  <si>
    <t>There certificate of accomplishment ends the video.</t>
  </si>
  <si>
    <t>v_DPsa28MmdoI</t>
  </si>
  <si>
    <t>The words "The Shotover River In Flood" appear on screen.</t>
  </si>
  <si>
    <t>First person video shows a raft full of people heading down and extremely rough river in-between rocky cliffs.</t>
  </si>
  <si>
    <t>The words "Big thanks to River Guide J-Rod" appear on screen.</t>
  </si>
  <si>
    <t>v_JqFFXs0RAnI</t>
  </si>
  <si>
    <t>A person competes solving a cube puzzle behind a chronometer, while a woman takes notes and watch the person.</t>
  </si>
  <si>
    <t>The person solves the puzzle, then he stands, raise his arms and walk.</t>
  </si>
  <si>
    <t>The person shake hands with people in the room.</t>
  </si>
  <si>
    <t>Suddenly, the person runs making thumps up and pose for a picture.</t>
  </si>
  <si>
    <t>v_eypKc4FyZ2s</t>
  </si>
  <si>
    <t>A boy with a gardening pot is watering her bush outside in the yard.</t>
  </si>
  <si>
    <t>He and another boy get together and the other boy begins to start playing croquet while he talks.</t>
  </si>
  <si>
    <t>Another taller boy comes and joins them and talks about the game.</t>
  </si>
  <si>
    <t>Then, They start to hit balls rying to make it through the obstacles.</t>
  </si>
  <si>
    <t>v_ReOsTqcQBmY</t>
  </si>
  <si>
    <t>Three people are jumping rope and doing tricks.</t>
  </si>
  <si>
    <t>Other people sit and stand at tables in the background and watch or film the jump ropers.</t>
  </si>
  <si>
    <t>Four different people are now jumping rope and doing tricks.</t>
  </si>
  <si>
    <t>Another group of three people shows off their jump rope skills.</t>
  </si>
  <si>
    <t>Another group of three in red shorts jumps rope.</t>
  </si>
  <si>
    <t>People in the background walk around.</t>
  </si>
  <si>
    <t>A group of four girls jump rope.</t>
  </si>
  <si>
    <t>The first group of people jumps rope with a fourth person.</t>
  </si>
  <si>
    <t>A different group of four in red and black jump rope.</t>
  </si>
  <si>
    <t>A different team of jump ropers watches in the background.</t>
  </si>
  <si>
    <t>A team of four in black and yellow jump rope.</t>
  </si>
  <si>
    <t>v_IKeV3kdX-_I</t>
  </si>
  <si>
    <t>A cowboy in a horse ran towards the field and chase a cattle.</t>
  </si>
  <si>
    <t>The cowboy got off the horse and chase after the cattle, when he catched the cattle he tied the cattle.</t>
  </si>
  <si>
    <t>v_G7zChU3ma0M</t>
  </si>
  <si>
    <t>A man is standing in front of a lane with his legs spread apart, and then another man goes to roll a bowling ball between his legs and he does so, but he accidentally hits his fist into the man's private parts and they both begin to laugh.</t>
  </si>
  <si>
    <t>A blue screen appears and text on the screen appears and say's "Bowling Fails FailCorporation".</t>
  </si>
  <si>
    <t>Various clips of various different people falling while trying to roll the ball, laughing, and even accidentally throwing the ball into the ceiling plays.</t>
  </si>
  <si>
    <t>A blue screen appears with logos, and text that say "FailCorporation Subscribe Next video" appear.</t>
  </si>
  <si>
    <t>v_jCVi9xt3GUY</t>
  </si>
  <si>
    <t>A woman is washing dishes with soap and a scrub in her kitchen sink.</t>
  </si>
  <si>
    <t>She takes the scrub that is soaked in liquid soap and scrubs it on the bowl to thoroughly clean it.</t>
  </si>
  <si>
    <t>She places the plates and bowls on top of each other in the sink as she washes them.</t>
  </si>
  <si>
    <t>v_UCOn2HkJJt8</t>
  </si>
  <si>
    <t>A man rides a four wheeler in a field.</t>
  </si>
  <si>
    <t>The man stands up on the four wheeler and hits his break lights to inspect a target.</t>
  </si>
  <si>
    <t>A man holding a bow and arrow is talking and demonstrating features on the bow he's holding.</t>
  </si>
  <si>
    <t>A website scrolls across the screen while the man fires the bow at a target.</t>
  </si>
  <si>
    <t>The camera then zooms in on the target.</t>
  </si>
  <si>
    <t>The website scrolls across the screen again and the man fires three more arrows.</t>
  </si>
  <si>
    <t>The screen changes to gray and the man shows the brand of bow is a Bowtech.</t>
  </si>
  <si>
    <t>v_RztM-NVwV5o</t>
  </si>
  <si>
    <t>woman is in studio talking in the news holding a paintball gun and shot a wall.</t>
  </si>
  <si>
    <t>a man and a woman are in a field doing shots and playing with the small pain balls.</t>
  </si>
  <si>
    <t>they recharge the guns and are playing in a green backyard paintball practicing shots and wearing masks.</t>
  </si>
  <si>
    <t>v_bnItfkwBogY</t>
  </si>
  <si>
    <t>A woman performs a dance routine with a hoop on a stage.</t>
  </si>
  <si>
    <t>The woman performs the routine with two hoops.</t>
  </si>
  <si>
    <t>The woman returns to performing with one hoop.</t>
  </si>
  <si>
    <t>v__sgg_QEjcEE</t>
  </si>
  <si>
    <t>A black screen appears with red and white letters on it that say "DISCUS THROW Example of CORRECTION of a DELIVERY PROBLEM for a beginner".</t>
  </si>
  <si>
    <t>A young lady is now standing on a concrete circle and she begins swinging her red discus, then swings her body and then throws it.</t>
  </si>
  <si>
    <t>A black screen appears with white letters that say "Out of several faults we select ONE problem", and the video continues to show the problem and words appear on the screen to explain them.</t>
  </si>
  <si>
    <t>The same young lady is now standing in a different area holding a hand towel as she practices her swings and words on the screen give tips.</t>
  </si>
  <si>
    <t>The girl is back on the concrete circle swinging her disc and she then throws the disc.</t>
  </si>
  <si>
    <t>A black screen appears again with red and white words that say "OTHER SIMILAR EXERCISES ON THE SAME IDEA: FOCUS ON THE LOW POINT OF THE IMPLEMENT TRAJECTORY.</t>
  </si>
  <si>
    <t>A boy is now standing on the concrete circle and he's practicing his swings with a shirt.</t>
  </si>
  <si>
    <t>A man is now indoors and he's practicing his swings with a golf club.</t>
  </si>
  <si>
    <t>The outro screen is mainly white with a black design on it and the name of the company and a person.</t>
  </si>
  <si>
    <t>v_o8PA6XW32oI</t>
  </si>
  <si>
    <t>a person begins to solve a rubix cube.</t>
  </si>
  <si>
    <t>They start turning it in all directions.</t>
  </si>
  <si>
    <t>They have solved the rubix cube.</t>
  </si>
  <si>
    <t>v_M0ygYlmTHy4</t>
  </si>
  <si>
    <t>A group of people play water volleyball in an outdoor pool.</t>
  </si>
  <si>
    <t>The people begin to play competitively with volleyball in the water.</t>
  </si>
  <si>
    <t>the camera changes angle and catches the people playing from behind with the net between the people and the camera.</t>
  </si>
  <si>
    <t>v_U-mwyUsNOMU</t>
  </si>
  <si>
    <t>A person is seen kneeling down next to a hole of ice and reeling in a fish.</t>
  </si>
  <si>
    <t>The person continues reeling in on the rod while the camera zooms in on the hole.</t>
  </si>
  <si>
    <t>Finally the person grabs the fish and presents it to the camera.</t>
  </si>
  <si>
    <t>v_hW25ecQ1GUc</t>
  </si>
  <si>
    <t>A close up of a chair is seen followed by a woman walking into frame.</t>
  </si>
  <si>
    <t>The woman sits in the chair and begins putting a pair of shoes on.</t>
  </si>
  <si>
    <t>She puts both on and stands up to move her feet around.</t>
  </si>
  <si>
    <t>v_6WlnhNQOWFA</t>
  </si>
  <si>
    <t>A man is seen standing before a game of hopscotch drawn out and begins jumping down the path while others follow.</t>
  </si>
  <si>
    <t>The camera continues to follow the man as he jumps down the path and captures several others doing the same as well.</t>
  </si>
  <si>
    <t>v_TPqgLJpxyvY</t>
  </si>
  <si>
    <t>A person rolls over in bed and looks at their phone.</t>
  </si>
  <si>
    <t>They sit up on their bed and rub their face.</t>
  </si>
  <si>
    <t>They wash their hands and face.</t>
  </si>
  <si>
    <t>They start rollerblading and doing tricks.</t>
  </si>
  <si>
    <t>v_g1lqpONbOKY</t>
  </si>
  <si>
    <t>We see a girl gymnast on a balance beam performing.</t>
  </si>
  <si>
    <t>The girl prepares to do a flip and falls on the bar and hurts herself.</t>
  </si>
  <si>
    <t>The girl stands crying and a lady comes to help her.</t>
  </si>
  <si>
    <t>v_aSPPD0fDI3g</t>
  </si>
  <si>
    <t>Make up is shown on a table.</t>
  </si>
  <si>
    <t>A woman sits on her bed and applies makeup to her face.</t>
  </si>
  <si>
    <t>She uses a large brush to apply powder to her face.</t>
  </si>
  <si>
    <t>She puts a backpack on and walks out the door.</t>
  </si>
  <si>
    <t>v_UvIS1-hwgaQ</t>
  </si>
  <si>
    <t>A man approaches a large mountain, with friends, and climbs it while attached to a green rope until he reaches the top.</t>
  </si>
  <si>
    <t>A group of young people approach the base of a mountain and set down their things where they smile and prepare to climb the mountain.</t>
  </si>
  <si>
    <t>A long green rope is shown on a large rock after which a man in glasses begins to climb a mountain using metal hooks in the mountain and his feet to climb the mountain.</t>
  </si>
  <si>
    <t>The man smiles and gives the camera a thumbs up when he gets to the top of the mountain.</t>
  </si>
  <si>
    <t>v_Z_lah8-xYx8</t>
  </si>
  <si>
    <t>A man and woman walk out onto the pier of a boat.</t>
  </si>
  <si>
    <t>They are playing a sweeping game.</t>
  </si>
  <si>
    <t>The woman pushes the puck, which slides into the camera.</t>
  </si>
  <si>
    <t>The scene is repeated in slow motion.</t>
  </si>
  <si>
    <t>v_RmTDHszp1v0</t>
  </si>
  <si>
    <t>A man in a white shirt is standing next to parallel bars.</t>
  </si>
  <si>
    <t>A boy jumps onto the parallel bars and starts swinging back and forth.</t>
  </si>
  <si>
    <t>The boy starts doing a routine on the parallel bars.</t>
  </si>
  <si>
    <t>v_zNMLz9GIQLk</t>
  </si>
  <si>
    <t>A man is seen using a wet rag on a window and moving the cleaner all around the glass.</t>
  </si>
  <si>
    <t>He continuously dips the object in cleaner and cleans all around the glass while using a rag close behind.</t>
  </si>
  <si>
    <t>v_v8jzbjQqNhE</t>
  </si>
  <si>
    <t>A man holding his kayak talk to the camera.</t>
  </si>
  <si>
    <t>He is in his kayak paddling downstream.</t>
  </si>
  <si>
    <t>Another rower passes him and does a flip.</t>
  </si>
  <si>
    <t>He talks to the camera again.</t>
  </si>
  <si>
    <t>We see the parking lot off camera.</t>
  </si>
  <si>
    <t>Back in the water passing a waterfall.</t>
  </si>
  <si>
    <t>Talking head to camera again.</t>
  </si>
  <si>
    <t>Point of view shots from his kayak.</t>
  </si>
  <si>
    <t>Talking head as he very animatedly talks to the camera.</t>
  </si>
  <si>
    <t>Point of view from the boat following another rower.</t>
  </si>
  <si>
    <t>Talking head interspersed with shots from the water illustrating the technques he talks about in his talking head shots.</t>
  </si>
  <si>
    <t>v_Yh9eGll8fYQ</t>
  </si>
  <si>
    <t>Two people are seen speaking to one another and leads into a man standing on the edge and jumping.</t>
  </si>
  <si>
    <t>The man's jump is shown several times from different camera as he jumps off the side and back up again.</t>
  </si>
  <si>
    <t>v_l7nsRRyzD4k</t>
  </si>
  <si>
    <t>A group of people is building sand castles on the beach.</t>
  </si>
  <si>
    <t>A girl waves to the camera.</t>
  </si>
  <si>
    <t>A man is seen digging in the sand.</t>
  </si>
  <si>
    <t>A girl is seen looking through a beach bag.</t>
  </si>
  <si>
    <t>The girl finds what she is looking for.</t>
  </si>
  <si>
    <t>v_bTE3HEy_kVk</t>
  </si>
  <si>
    <t>We see two roof images side by side.</t>
  </si>
  <si>
    <t>We then see images of one roof.</t>
  </si>
  <si>
    <t>We see the roof up close and see moss growing on it.</t>
  </si>
  <si>
    <t>we see the insulation and the roof as it is being installed.</t>
  </si>
  <si>
    <t>A man is screwing the roof into place.</t>
  </si>
  <si>
    <t>We see the finished new roof.</t>
  </si>
  <si>
    <t>We see the ending screen credits.</t>
  </si>
  <si>
    <t>v_XSDIekFXkv0</t>
  </si>
  <si>
    <t>A person stands on his hands on a trampoline above a swimming pool, then the boy flips in the air and dives into the water.</t>
  </si>
  <si>
    <t>After, the boy stands on the trampoline with the back facing the pool, then jumps, flips and dive in the water.</t>
  </si>
  <si>
    <t>Now, the boy stands on the trampoline facing the pool, then jumps, flips and dive in the water, then do the same but this time with the back facing the pool.</t>
  </si>
  <si>
    <t>At the end, the boy enters the trampoline running and flip in the air, then he stands on the trampoline and flips and end diving in the water.</t>
  </si>
  <si>
    <t>v_7rd23-3wEyU</t>
  </si>
  <si>
    <t>A man is seen speaking to the camera while leading into various pictures of speaking as well as smoking.</t>
  </si>
  <si>
    <t>The man continues speaking while showing pictures intermittently of smoking and cigarettes close up.</t>
  </si>
  <si>
    <t>v_rzomS2gZGQ4</t>
  </si>
  <si>
    <t>A man stands by his ice ridden car.</t>
  </si>
  <si>
    <t>He rakes the entire sheet onto the ground, watching it shatter.</t>
  </si>
  <si>
    <t>v_YIb8sArOPww</t>
  </si>
  <si>
    <t>A gymnast performs a balance beam gymnastic routine in a professional sports event with an audience in the bleachers.</t>
  </si>
  <si>
    <t>A girl stands in front of a balance beam in a gymnast outfit and jumps on the beam where she begins to execute a gymnastic routine on the balance beam.</t>
  </si>
  <si>
    <t>The girl stands on the beam and performs back flips on the beam before landing one final back flip off of the beam where she lands on a mat and exits the area in front of an audience in bleachers.</t>
  </si>
  <si>
    <t>v_zyPisOj2Tdo</t>
  </si>
  <si>
    <t>A woman peforms before a court on a basketball gym.</t>
  </si>
  <si>
    <t>She is a majorette, flipping and throwing her baton into the air.</t>
  </si>
  <si>
    <t>The crowd watches as she flips, throws, and turns.</t>
  </si>
  <si>
    <t>v_jMQgOcM9vZA</t>
  </si>
  <si>
    <t>Multiple short clips play of different hockey moves and the names of the moves appear on the screen with it.</t>
  </si>
  <si>
    <t>When the clips are done in intro screen appears with a cloud and the hockey ground as backdrop, the NHL logo and the words "HOCKEY SKILLS".</t>
  </si>
  <si>
    <t>A group of people wearing all of their hockey gear are standing or kneeling on the ground while the look at a man who is standing and talking without a helmet on his head and the words on the screen say his name is "KEVIN WEEKES".</t>
  </si>
  <si>
    <t>The man begins to demonstrate multiple different moves near the goal and he continues to talk throughout all of the demonstrations as the rest of the people watch him.</t>
  </si>
  <si>
    <t>When the man is done talking and demonstrating other people in the group go up to the goal separately and they each do what they man was demonstrating.</t>
  </si>
  <si>
    <t>A screen appears with a backdrop of clouds on top and hockey rink at the bottom with the logo in the middle and the words "HOCKEY SKILLS".</t>
  </si>
  <si>
    <t>v_SaBcTNvRA6g</t>
  </si>
  <si>
    <t>A woman is seen showing off a glass of honey.</t>
  </si>
  <si>
    <t>She shows off the bottle of honey as well as a bowl of water and a towel.</t>
  </si>
  <si>
    <t>She shows her hair pulled back.</t>
  </si>
  <si>
    <t>She opens the bottle of honey and lathers it all over her face.</t>
  </si>
  <si>
    <t>She holds up a cat.</t>
  </si>
  <si>
    <t>She returns to lathering her face and waits in anticipation.</t>
  </si>
  <si>
    <t>While she waits, she plays some instruments and with her cat.</t>
  </si>
  <si>
    <t>Finally, she rinses her face with water and dries her face off with a towel.</t>
  </si>
  <si>
    <t>She proudly shows off her bottle of honey.</t>
  </si>
  <si>
    <t>v_V5MvrOzQWZo</t>
  </si>
  <si>
    <t>A gymnast is standing near a bar with her hands in the air.</t>
  </si>
  <si>
    <t>The girl gets on the bar and performs.</t>
  </si>
  <si>
    <t>The girl flips on the bar.</t>
  </si>
  <si>
    <t>The girl performs 2 flips and almost falls off the bar.</t>
  </si>
  <si>
    <t>The girl does 2 perfect flips.</t>
  </si>
  <si>
    <t>The girls flips, then runs, flips and dismounts.</t>
  </si>
  <si>
    <t>The cloud claps as she walks away.</t>
  </si>
  <si>
    <t>v_EwzkySgI6CQ</t>
  </si>
  <si>
    <t>A blonde woman is lying on a table as a tattoo artist is putting a design on her pelvis.</t>
  </si>
  <si>
    <t>She cringes in pain as he works.</t>
  </si>
  <si>
    <t>We see a temporary close up of her heaving abdomen as he continues.</t>
  </si>
  <si>
    <t>v_g_KbloQigw8</t>
  </si>
  <si>
    <t>Text is shown across the screen followed by a man kneeling down in dirt.</t>
  </si>
  <si>
    <t>The man using a torch to light a spark on the machine in front of him.</t>
  </si>
  <si>
    <t>He stops to look back at the camera.</t>
  </si>
  <si>
    <t>v_p6ea3QpXryw</t>
  </si>
  <si>
    <t>A dart board is shown against a wall.</t>
  </si>
  <si>
    <t>A man lifts his arm in slow motion, throwing darts one after another at the board.</t>
  </si>
  <si>
    <t>He walks up to the board and reaches for it.</t>
  </si>
  <si>
    <t>v_P-ENnGQ_FuU</t>
  </si>
  <si>
    <t>A red car is shown with the words Unique Car Wash.</t>
  </si>
  <si>
    <t>Men are shown inside a car garage, soaping down a car with a sponge.</t>
  </si>
  <si>
    <t>They are then seen using a sprayer to clean the tires and spray the residue off the vehicle.</t>
  </si>
  <si>
    <t>They use rags to wipe it clean and detail the inside of the car.</t>
  </si>
  <si>
    <t>v_jto8_gMKUjE</t>
  </si>
  <si>
    <t>The Pinta rowing team works together to make it down the whitewater.</t>
  </si>
  <si>
    <t>They have a refreshing dip under a waterfall to cool off.</t>
  </si>
  <si>
    <t>They pose together with other rafters.</t>
  </si>
  <si>
    <t>Falling underwater can be a scary undertaking.</t>
  </si>
  <si>
    <t>All in all it is a fun and relaxing time.</t>
  </si>
  <si>
    <t>v_MiTTWddOuaM</t>
  </si>
  <si>
    <t>Two men walk in the street holding a box, then they assemble a soccer table.</t>
  </si>
  <si>
    <t>People plays soccer table in the street.</t>
  </si>
  <si>
    <t>After, the men carry the table and enters a train where they continue playing.</t>
  </si>
  <si>
    <t>After the man carry the soccer table to a park and other places where people play and paint it.</t>
  </si>
  <si>
    <t>v_mW9iDH07j40</t>
  </si>
  <si>
    <t>A woman is seen putting on a jacket followed by her cutting parts of the vest off and holding up an iron.</t>
  </si>
  <si>
    <t>She then irons the shirts and finishes by putting the vest on.</t>
  </si>
  <si>
    <t>v_19fGZFUE7yE</t>
  </si>
  <si>
    <t>A man in a black tuxedo is speaking to the camera.</t>
  </si>
  <si>
    <t>A person walks by in the background.</t>
  </si>
  <si>
    <t>A group of people walk by in the background.</t>
  </si>
  <si>
    <t>We see a game of poker being played.</t>
  </si>
  <si>
    <t>An odd man appears in front of the camera.</t>
  </si>
  <si>
    <t>We see the first man, then cards being dealt and we fade to a black screen.</t>
  </si>
  <si>
    <t>v_KBfCXpgGhdw</t>
  </si>
  <si>
    <t>a lot of people are sitting on terraces in a big field and people is walking in the entrance of a big stadium.</t>
  </si>
  <si>
    <t>men are standing on a sandy area walking.</t>
  </si>
  <si>
    <t>man are talking to the camera standing on the sand.</t>
  </si>
  <si>
    <t>men are standing on motorbikes getting ready for a motocross competition.</t>
  </si>
  <si>
    <t>man is talking to the camera and standing on a podium.</t>
  </si>
  <si>
    <t>v_huo2ldsQHUI</t>
  </si>
  <si>
    <t>A bunch of people are inside a dimly lit gym.</t>
  </si>
  <si>
    <t>They are riding recumbent bikes while being led.</t>
  </si>
  <si>
    <t>They clap their hands and pedal quickly.</t>
  </si>
  <si>
    <t>v_ibDWgL2D2l4</t>
  </si>
  <si>
    <t>A young child is seen holding a stick and hitting the pinata with the stick.</t>
  </si>
  <si>
    <t>Older women the bring hr back and have her hand the stick to another child.</t>
  </si>
  <si>
    <t>v_JW5P5FdOrcw</t>
  </si>
  <si>
    <t>A woman is standing up talking and holding a blue mop.</t>
  </si>
  <si>
    <t>She is showing the bottom of the mop.</t>
  </si>
  <si>
    <t>A bottle of vinegar is shown on a table next to alcohol and soap.</t>
  </si>
  <si>
    <t>She begins mopping the hardwood floor.</t>
  </si>
  <si>
    <t>A dog is laying down on a bed.</t>
  </si>
  <si>
    <t>v_5AoshxUQv0U</t>
  </si>
  <si>
    <t>A man in a blue shirt picks up a child.</t>
  </si>
  <si>
    <t>He lifts him up to sit on his shoulder.</t>
  </si>
  <si>
    <t>He throws the kid on his back onto a bed.</t>
  </si>
  <si>
    <t>v_zLVNSgR4IoA</t>
  </si>
  <si>
    <t>The man is jumped to the two white poles and stand on his arms.</t>
  </si>
  <si>
    <t>The man in red shirt outside the court is watching the athlete as he swing on the pole.</t>
  </si>
  <si>
    <t>The athlete swing and then jumped of the pole and swing up and the air and landed on the mat.</t>
  </si>
  <si>
    <t>v_-h3NbdE8N9M</t>
  </si>
  <si>
    <t>A team is on a field, trying to get the ball from their opponents.</t>
  </si>
  <si>
    <t>They are playing a game of lacrosse.</t>
  </si>
  <si>
    <t>They fight over the ball, trying to get it into a goal.</t>
  </si>
  <si>
    <t>v_cudeag10U7Q</t>
  </si>
  <si>
    <t>A woman is riding a bike down the street, then others are shown as well.</t>
  </si>
  <si>
    <t>The people speak to the camera in between takes of riding their bikes on city roads.</t>
  </si>
  <si>
    <t>The bike is called an elliptico, enabling them to stand and pedal as they ride.</t>
  </si>
  <si>
    <t>v_R7vb6cuP6GE</t>
  </si>
  <si>
    <t>A person is seen speaking to the camera while holding a snowboard and leads into him riding down a snowy hill.</t>
  </si>
  <si>
    <t>The man continues riding the snowboard down the hill and ends with him stopping at the bottom.</t>
  </si>
  <si>
    <t>v_7VWp-Dfvqkg</t>
  </si>
  <si>
    <t>A man is seen speaking into a microphone with another man on stage.</t>
  </si>
  <si>
    <t>One man then leads into playing harmonica on the stage while others watch on the side.</t>
  </si>
  <si>
    <t>The man continues playing while others walk in and out of frame as well as play.</t>
  </si>
  <si>
    <t>v_dla6qDuAXTw</t>
  </si>
  <si>
    <t>An older man is shown standing behind a swing set while pushing a small girl back and fourth.</t>
  </si>
  <si>
    <t>He grabs and holds the girl and gives her several pushes while the girl sticks her head back and smiles.</t>
  </si>
  <si>
    <t>v_TgantuXBiJg</t>
  </si>
  <si>
    <t>A young girl is seen putting makeup on outside while other people on the side watch and also play with makeup.</t>
  </si>
  <si>
    <t>The girls continue to attempt to put makeup on as the camera pans back and fourth between the two.</t>
  </si>
  <si>
    <t>v_Ggw7rtn3J-8</t>
  </si>
  <si>
    <t>A commercial exhibits a varied array of welding equipment and demonstrates how to weld using the equipment.</t>
  </si>
  <si>
    <t>A welding helmet, clamps,welding kit and gloves are shown in line on a white background.</t>
  </si>
  <si>
    <t>A person begins to use the welding tools to weld inside of a car producing fire sparks as the welding takes place.</t>
  </si>
  <si>
    <t>a closeup of the welded area is shown before a marketing template presents across the screen.</t>
  </si>
  <si>
    <t>v_R6INcHHxlNs</t>
  </si>
  <si>
    <t>A person is seen shirtless standing in a kitchen and holding a mop.</t>
  </si>
  <si>
    <t>The man looks back and laughs to the camera while holding the mop.</t>
  </si>
  <si>
    <t>He continues to laugh and dance around while pushing the mop around.</t>
  </si>
  <si>
    <t>v_xTEXsZO-PVI</t>
  </si>
  <si>
    <t>A small sail boat with two men in it is pulling a water skier behind it.</t>
  </si>
  <si>
    <t>A wind surfer goes by.</t>
  </si>
  <si>
    <t>A man in the sail boat leans back to pull on the sail in the boat.</t>
  </si>
  <si>
    <t>Another wind surfer goes by.</t>
  </si>
  <si>
    <t>v_xAaHXwTz1Ug</t>
  </si>
  <si>
    <t>A kite is flying in the sky.</t>
  </si>
  <si>
    <t>A little girl is holding the string of the kite.</t>
  </si>
  <si>
    <t>She's walking backwards and talking to someone while watching the kite.</t>
  </si>
  <si>
    <t>v_P7lUYSLtErY</t>
  </si>
  <si>
    <t>A man is in a dance room that has mirrors along the walls, wooden floors, and he's dancing alone.</t>
  </si>
  <si>
    <t>There is a woman that is standing in the corner and recording him the whole time.</t>
  </si>
  <si>
    <t>When he moves more to the other side of the room as he's dancing, more people watching and recording him are revealed.</t>
  </si>
  <si>
    <t>The man does he last dance move, smiles, takes a few steps and then takes a bow.</t>
  </si>
  <si>
    <t>v_cNCkHqOnJV0</t>
  </si>
  <si>
    <t>The sky is shown that leads into a man speaking to the camera with his friend.</t>
  </si>
  <si>
    <t>Several people are then seen sitting in tubes riding down a river past one another.</t>
  </si>
  <si>
    <t>The people continuing riding down the river through tunnels and paths while the man still speaks to the camera.</t>
  </si>
  <si>
    <t>v_F4GwrEQUvDc</t>
  </si>
  <si>
    <t>An athlete runs with a stick, then he shoot the javelin and walks away in a stadium.</t>
  </si>
  <si>
    <t>Then, a man holds a javelin and runs to throw the javelin, then another athlete also shoot the javelin.</t>
  </si>
  <si>
    <t>v_lhdro5SnxU0</t>
  </si>
  <si>
    <t>A man is sitting on the stairs talking.</t>
  </si>
  <si>
    <t>He is standing over a sink.</t>
  </si>
  <si>
    <t>He sprays the sink with a cleaning agent.</t>
  </si>
  <si>
    <t>He takes a sponge and scrubs the inside of the sinks.</t>
  </si>
  <si>
    <t>He turns the water on and sprays the hose around the sink.</t>
  </si>
  <si>
    <t>He wipes the sink off with a towel.</t>
  </si>
  <si>
    <t>The man is sitting on the stairs again.</t>
  </si>
  <si>
    <t>v_SqfB4ohs2Ro</t>
  </si>
  <si>
    <t>We see an opening screen a map and still images.</t>
  </si>
  <si>
    <t>Men hammering roof tiles on a panel of roof inside.</t>
  </si>
  <si>
    <t>We see a man tap a hook into the wood.</t>
  </si>
  <si>
    <t>We see a title screen again.</t>
  </si>
  <si>
    <t>We see the men working on roofs.</t>
  </si>
  <si>
    <t>We see two screens with men working on roofs side by side.</t>
  </si>
  <si>
    <t>We see the ending title screens.</t>
  </si>
  <si>
    <t>v_IsVpeZoK5FI</t>
  </si>
  <si>
    <t>A large group of people are seen exercising in a class together with a man leading them in front.</t>
  </si>
  <si>
    <t>The group continues to move around together over a bar and ends with text across the screen.</t>
  </si>
  <si>
    <t>v_CbfgZlo0Ut4</t>
  </si>
  <si>
    <t>A man talks inside a car dealer.</t>
  </si>
  <si>
    <t>After, a car exits a car wash.</t>
  </si>
  <si>
    <t>A crew of people clean a car by hand.</t>
  </si>
  <si>
    <t>v_ggNmtMAdqe0</t>
  </si>
  <si>
    <t>A man welds a section of a steel beam in a workshop.</t>
  </si>
  <si>
    <t>The tip of the welding gun is adjusted using pliers.</t>
  </si>
  <si>
    <t>The man marks and measures pieces of plate metal in between making welds on it.</t>
  </si>
  <si>
    <t>The man demonstrates the angle to make a weld on the piece of plate metal.</t>
  </si>
  <si>
    <t>v_fVtiM88rOJI</t>
  </si>
  <si>
    <t>A telescopic view of multiple people dressed in biking gear is shown.</t>
  </si>
  <si>
    <t>The crowd spreads out, walking around with guns in hand.</t>
  </si>
  <si>
    <t>They aim at various objects.</t>
  </si>
  <si>
    <t>The men hide behind a wall, shooting at each other as they run by.</t>
  </si>
  <si>
    <t>v__1JGrGGCY9k</t>
  </si>
  <si>
    <t>A large group of people are seen wandering around a dance studio with a man in front.</t>
  </si>
  <si>
    <t>The man then begins to lead a dance class in front of the group of people.</t>
  </si>
  <si>
    <t>The people continue dancing around following the man and moving their arms and legs around.</t>
  </si>
  <si>
    <t>v_SID0y9y6Uk4</t>
  </si>
  <si>
    <t>Two men prepare for a fencing match.</t>
  </si>
  <si>
    <t>The video shows several highlights of people fencing each other in various matches.</t>
  </si>
  <si>
    <t>Some win the matches quite quickly.</t>
  </si>
  <si>
    <t>Two men constantly go back and fourth towards each other.</t>
  </si>
  <si>
    <t>The man wins over and over again.</t>
  </si>
  <si>
    <t>He is shown practicing for his upcoming matches against another.</t>
  </si>
  <si>
    <t>He seems to win over and over again.</t>
  </si>
  <si>
    <t>v_IaRYt0J7pHI</t>
  </si>
  <si>
    <t>people are standing in a hair salon sitting on chairs.</t>
  </si>
  <si>
    <t>woman is standing behind anoter drying her hair combing it and talking to the camera.</t>
  </si>
  <si>
    <t>woman is sitting on a chair while woman behind her is drying her hair.</t>
  </si>
  <si>
    <t>v_hWZ3B28_fAs</t>
  </si>
  <si>
    <t>The leads into a man playing a long guitar in front of a home while moving his fingers up and down.</t>
  </si>
  <si>
    <t>The man continues playing and the video leads out to text above his head.</t>
  </si>
  <si>
    <t>v_aR05GUXDiYg</t>
  </si>
  <si>
    <t>A male player in yellow and black shirt is carrying a small kid who is wearing the same shirt while they are being interviewed by the reporter who is wearing white shirt and holding a microphone.</t>
  </si>
  <si>
    <t>Different teams in different uniform colors are playing soccer in the table.</t>
  </si>
  <si>
    <t>v_MERZe5qdfWc</t>
  </si>
  <si>
    <t>Various shots of a snowy mountain are shown as well as a person riding up a hill.</t>
  </si>
  <si>
    <t>The person looks to others around him and is seen riding down mountain.</t>
  </si>
  <si>
    <t>The person rides down several times more with people attached on the sides.</t>
  </si>
  <si>
    <t>v_I58i4uJkHJ0</t>
  </si>
  <si>
    <t>A female Russian gymnast is on a mat in front of a large arena with several people watching her.</t>
  </si>
  <si>
    <t>The girl then starts doing a series of cartwheels and ends up jumping on the balance beam to do her routine.</t>
  </si>
  <si>
    <t>Once she is done,the girl ends doing several tricks and walks off to the side.</t>
  </si>
  <si>
    <t>People begin to cheer for her and her replay is shown,and her score of approximately 28 is shown across the bottom of the screen.</t>
  </si>
  <si>
    <t>v_EO9ZKeBSGSw</t>
  </si>
  <si>
    <t>A girl in a baseball uniform is standing at the end of a hopscotch game.</t>
  </si>
  <si>
    <t>A girl in a red shirt is playing hopscotch.</t>
  </si>
  <si>
    <t>A ball player is playing hopscotch.</t>
  </si>
  <si>
    <t>The girls laugh at each other.</t>
  </si>
  <si>
    <t>v_D-BRqQhL74Q</t>
  </si>
  <si>
    <t>Three girls are seen holding a rope with one walking away and two playing tug of war.</t>
  </si>
  <si>
    <t>Two girls switch places and the final two compete against one another playing tug of war back and fourth.</t>
  </si>
  <si>
    <t>v_Fhk2t6beztU</t>
  </si>
  <si>
    <t>A girl is seen rollerblading down a long road with several people walking around her.</t>
  </si>
  <si>
    <t>The camera zooms in on her face and shows all the people around the area followed by the cameraman's feet.</t>
  </si>
  <si>
    <t>v_8GJWokVCzUM</t>
  </si>
  <si>
    <t>This man is wearing a red tank top, black shorts, and shoes.</t>
  </si>
  <si>
    <t>He runs on the race track and the he does the triple jump in which he almost makes it to the end.</t>
  </si>
  <si>
    <t>v_JH-Q5JNTgwE</t>
  </si>
  <si>
    <t>A camera pans around a city and leads into several clips of people playing in a casino.</t>
  </si>
  <si>
    <t>A man is seen speaking to the camera as well as being interviewed by the news.</t>
  </si>
  <si>
    <t>More men are seen being interviewed while showing off clips of the casino.</t>
  </si>
  <si>
    <t>v_AHd87Cn-NkU</t>
  </si>
  <si>
    <t>A close up of a sink is seen with cleaner on top while the camera zooms in on the sink.</t>
  </si>
  <si>
    <t>A woman is then seen rubbing down the sink with a rag and shows off the sink in the end.</t>
  </si>
  <si>
    <t>v_MlkXsUDCoww</t>
  </si>
  <si>
    <t>A person is seen pushing a lawn mower all across the yard.</t>
  </si>
  <si>
    <t>The person pushes the mower along the edge of the grass and throughout the rest of the grass.</t>
  </si>
  <si>
    <t>The man then grabs a weed wacker and cuts the weeds along the edge.</t>
  </si>
  <si>
    <t>v_UGCn1zgYboQ</t>
  </si>
  <si>
    <t>One man is seen moving a fooseball table around quickly as possible while another man watches on the side.</t>
  </si>
  <si>
    <t>The men then play a game against one another while one continues to move the poles quickly.</t>
  </si>
  <si>
    <t>v_xsRNDo8Upys</t>
  </si>
  <si>
    <t>A large group of dancers are seen standing on a stage and beginning to perform a routine.</t>
  </si>
  <si>
    <t>The girls continue dancing with one another and ending by holding a pose.</t>
  </si>
  <si>
    <t>v_9qOfesI3bGE</t>
  </si>
  <si>
    <t>A man is seated with an accordian on his lap.</t>
  </si>
  <si>
    <t>He pulls it in and out as he plays the keyboard with his other hand.</t>
  </si>
  <si>
    <t>He is shown with two different accordians as he continues to play.</t>
  </si>
  <si>
    <t>v_w4QM4nztkkE</t>
  </si>
  <si>
    <t>A wrestler is in the middle of the ring waiting for his opponent.</t>
  </si>
  <si>
    <t>Once he comes in they grab a hold of a rope and begin to play tug of war with it, pulling each other.</t>
  </si>
  <si>
    <t>They struggle trying to beat the other when finally the red head wrestler makes the other fall.</t>
  </si>
  <si>
    <t>He gloats, jumping up and down and banging his hands against his chest.</t>
  </si>
  <si>
    <t>v_ctHNLEOtgPY</t>
  </si>
  <si>
    <t>A man crouches in a dance studio.</t>
  </si>
  <si>
    <t>He lifts himself onto his hands.</t>
  </si>
  <si>
    <t>He holds his feet up in the air.</t>
  </si>
  <si>
    <t>He then lays on his back on the ground.</t>
  </si>
  <si>
    <t>v_fmdG9uPnWHQ</t>
  </si>
  <si>
    <t>a blonde woman is playing with dogs, she is kissing them and giiving them a shower, the woman is holding a scissor and is cutting the dog's hair.</t>
  </si>
  <si>
    <t>blonde woman is with a beatiful white dog in a table a veterinarian's office.</t>
  </si>
  <si>
    <t>the woman is with the black dog and is styling the dog's hair.</t>
  </si>
  <si>
    <t>woman shows their diplomas and awards and is with a white puddle combing her hair.</t>
  </si>
  <si>
    <t>woman comb the black dog's hair and plays with it.</t>
  </si>
  <si>
    <t>woman holds the white dog paw and cut her nails.</t>
  </si>
  <si>
    <t>woman is with the black dog giving him a shower and styling his hair.</t>
  </si>
  <si>
    <t>woman is talking while in the bottom a blonde woman is combing a white puddle.</t>
  </si>
  <si>
    <t>blonde woman holds the white puddle and is talking to the camera giving the web adress to the dog salon white shows how comb and shower the dogs.</t>
  </si>
  <si>
    <t>v_8_RfK2rp2To</t>
  </si>
  <si>
    <t>An athlete is seen standing ready holding a pole and begins running down a large track over a beam.</t>
  </si>
  <si>
    <t>The woman then jumps over the beam and throws her arms in the air to celebrate and run around the field.</t>
  </si>
  <si>
    <t>The woman does flips on the mat while celebrating and ends with her jump shown again and her sitting in front of her score.</t>
  </si>
  <si>
    <t>v_FjZKKAEEHbY</t>
  </si>
  <si>
    <t>A young woman is seen standing next to a horse and speaking to a small group.</t>
  </si>
  <si>
    <t>She pushes the horse a bit and begins brushing it's tail while still speaking to the group.</t>
  </si>
  <si>
    <t>She stops brushing while speaking to the group and walking away.</t>
  </si>
  <si>
    <t>v_p1-APric9UM</t>
  </si>
  <si>
    <t>A slightly rotund man is shown standing in a kitchen while holding a can of drink.</t>
  </si>
  <si>
    <t>The man is laughing and speaking to the camera about the can in his hand.</t>
  </si>
  <si>
    <t>He pours the drink into a glass, and proceeds to drink it alongside a male friend.</t>
  </si>
  <si>
    <t>The two men drink the contents of their glasses while they talk.</t>
  </si>
  <si>
    <t>v_5MnHirHxqkA</t>
  </si>
  <si>
    <t>A woman is seen speaking to the camera and laying her hands across a pair of pants on an ironing table.</t>
  </si>
  <si>
    <t>She begins ironing the pants and ends by showing the crease she made in the middle.</t>
  </si>
  <si>
    <t>v_LSCQ1yqocHg</t>
  </si>
  <si>
    <t>There's a man standing in a kitchen and washing his hands in steel kitchen sink.</t>
  </si>
  <si>
    <t>He takes a pump from the liquid hand soap from the sink counter.</t>
  </si>
  <si>
    <t>He then turns on the water and and washes his hands.</t>
  </si>
  <si>
    <t>After he's done washing, he uses a white hand towel that is lying next to the sink on the counter.</t>
  </si>
  <si>
    <t>v_lgWH94ea3-U</t>
  </si>
  <si>
    <t>A man is using a hookah inside a room.</t>
  </si>
  <si>
    <t>He turns and blows a pillar of smoke.</t>
  </si>
  <si>
    <t>Another man takes the hookah and takes a hit as well.</t>
  </si>
  <si>
    <t>v_oN_5o1t_Lvk</t>
  </si>
  <si>
    <t>A girl demonstrates several advanced dance, and gymnastic moves in many different locations throughout a city.</t>
  </si>
  <si>
    <t>A girl stands on a grass covered field and paved sidewalk and performs several gymnastic flips and cheerleading moves.</t>
  </si>
  <si>
    <t>The girl then returns to the grass and does several more advanced backflips.</t>
  </si>
  <si>
    <t>The girl advances to a wooden walkway and performs dance moves and performs a walking handstand in another location.</t>
  </si>
  <si>
    <t>The video finally ends with the girl performing dance moves in a tunnel and sidewalk.</t>
  </si>
  <si>
    <t>v_nxs4o4S43oY</t>
  </si>
  <si>
    <t>A man is cutting his beard with scissors.</t>
  </si>
  <si>
    <t>He uses a shaver to shave off the beard.</t>
  </si>
  <si>
    <t>He collects the hair in the sink.</t>
  </si>
  <si>
    <t>He puts shaving cream on his face and uses a razor to finish shaving.</t>
  </si>
  <si>
    <t>He wipes his face with a towel.</t>
  </si>
  <si>
    <t>He smiles and gives a thumbs up.</t>
  </si>
  <si>
    <t>v_mYrTrVCYSY0</t>
  </si>
  <si>
    <t>A man runs down two streets in a marathon, in a city setting, as onlookers from the sideline cheer and clap.</t>
  </si>
  <si>
    <t>A man in black shorts with a number pinned to his chest is running down a city street in a marathon.</t>
  </si>
  <si>
    <t>People on the sidelines are clapping for the man and smiling as he continues to run.</t>
  </si>
  <si>
    <t>The man runs down another street where he runs for a short time behind a bicycler, and as a motorcyclist comes up from behind him near the sidewalk which has a metal barrier running the length of it.</t>
  </si>
  <si>
    <t>v_fwqDDFkOaCc</t>
  </si>
  <si>
    <t>A violinist, Lindsay Stirling is performing live with some other participants on a stage in front of an audience.</t>
  </si>
  <si>
    <t>She begins by playing the violin while the other performers dance in a choreographed fashion.</t>
  </si>
  <si>
    <t>The violinist dances as she plays the instrument along with five other dancers.</t>
  </si>
  <si>
    <t>They dance in a modern and hip hop style of dancing.</t>
  </si>
  <si>
    <t>Then only two of the dancers stay on the stage with the violinist and dance in a Salsa style.</t>
  </si>
  <si>
    <t>After they leave the stage, one of the male dancers does some modern style of dancing as he rotates on his knees.</t>
  </si>
  <si>
    <t>Then the entire dance team comes on stage and continues dancing in coordinated steps as the violinist plays and dances along with them.</t>
  </si>
  <si>
    <t>Then they leave the stage with only the violinist performing as she continues to dance and play the instrument.</t>
  </si>
  <si>
    <t>v_58he7Xcwfws</t>
  </si>
  <si>
    <t>A weightlifter prepares for his first lift.</t>
  </si>
  <si>
    <t>Friends are watching and one films.</t>
  </si>
  <si>
    <t>He squats and he lifts the bar.</t>
  </si>
  <si>
    <t>He holds it for a moment, then drops it.</t>
  </si>
  <si>
    <t>He starts all over again and completes a second lift.</t>
  </si>
  <si>
    <t>v_wUg9S2xx850</t>
  </si>
  <si>
    <t>A group of people are seen standing on a field when a man runs towards a woman with a soccer ball.</t>
  </si>
  <si>
    <t>one girls swing another around while a man grabs a ball and throws it to another.</t>
  </si>
  <si>
    <t>v_gEOVtyRAaFY</t>
  </si>
  <si>
    <t>A woman is holding a cat in her lap.</t>
  </si>
  <si>
    <t>The cat is slapping at the pair of trimmers in her hand.</t>
  </si>
  <si>
    <t>She uses the trimmers to cut the cat's nails, one at a time.</t>
  </si>
  <si>
    <t>v_LKeQMeUZFso</t>
  </si>
  <si>
    <t>A person walks up to a vacuum cleaner and picks up the wand.</t>
  </si>
  <si>
    <t>The person vacuums a carpet in the hallway of a home.</t>
  </si>
  <si>
    <t>The person turns off the vacuum then replaces the attachment with a larger one for carpets.</t>
  </si>
  <si>
    <t>The person adjusts a knob on the vacuum cleaner.</t>
  </si>
  <si>
    <t>v_ZWlh8sQE2Z4</t>
  </si>
  <si>
    <t>A man kneels on one knee in a room and talks to the camera.</t>
  </si>
  <si>
    <t>The man raises his right arm and reaches to the ground with his left hand.</t>
  </si>
  <si>
    <t>The man switches and does the other side.</t>
  </si>
  <si>
    <t>v_BCzsVKHrN5Y</t>
  </si>
  <si>
    <t>A large yard is seen covered in snow with a person walking into frame.</t>
  </si>
  <si>
    <t>The man is seen holding a shovel and begins pushing it around the area.</t>
  </si>
  <si>
    <t>The man clears out all the snow and shows off a path in the end.</t>
  </si>
  <si>
    <t>v_4BRCZaaITn0</t>
  </si>
  <si>
    <t>A man is mowing his lawn around a tree in front of his house.</t>
  </si>
  <si>
    <t>He walks back and forth, avoiding the rocks.</t>
  </si>
  <si>
    <t>He turns at the driveway and returns again.</t>
  </si>
  <si>
    <t>v_UFfi0gxL6_Y</t>
  </si>
  <si>
    <t>A woman in a dress holding a violin addresses an audience.</t>
  </si>
  <si>
    <t>The woman plays the violin as other musicians look on.</t>
  </si>
  <si>
    <t>The woman finishes her playing and everyone applauds.</t>
  </si>
  <si>
    <t>v_WmOTDAim7XM</t>
  </si>
  <si>
    <t>A man is holding a chain saw over his head.</t>
  </si>
  <si>
    <t>He starts clipping the top of the hedge.</t>
  </si>
  <si>
    <t>People are walking on the sidewalk behind him.</t>
  </si>
  <si>
    <t>v_7edBQl3VD1o</t>
  </si>
  <si>
    <t>A man in an orange jacket holding skis is walking on the snow to a hill.</t>
  </si>
  <si>
    <t>The person holding the camera puts their skis down and holds the poles.</t>
  </si>
  <si>
    <t>The man in the orange jacket skis down the hill.</t>
  </si>
  <si>
    <t>The man holding the camera follows.</t>
  </si>
  <si>
    <t>They ski down the snowy hill.</t>
  </si>
  <si>
    <t>The man in the orange jacket can be seen in front of him skiing.</t>
  </si>
  <si>
    <t>They both stop and talk to a lady at the bottom of the hill.</t>
  </si>
  <si>
    <t>He takes off his glove and pulls his cell phone out.</t>
  </si>
  <si>
    <t>A man in a blue coat walks up to them and talks to them.</t>
  </si>
  <si>
    <t>v_TmA7xnrULME</t>
  </si>
  <si>
    <t>A small group of kids are seen playing with two adults on a beach pushing sand into a pile.</t>
  </si>
  <si>
    <t>The kids continue grabbing water while the camera pans around the other people swimming in the area.</t>
  </si>
  <si>
    <t>v_GdrutQ4RrDs</t>
  </si>
  <si>
    <t>A woman is seated in front of a camera.</t>
  </si>
  <si>
    <t>Her hair is in spiral curlers.</t>
  </si>
  <si>
    <t>She demonstrates how to remove them, showing the final result.</t>
  </si>
  <si>
    <t>v_mQHY2uMOMP4</t>
  </si>
  <si>
    <t>The video instructor, Stephanie is talking about a hair tutorial.</t>
  </si>
  <si>
    <t>She is demonstrating how to cut long hair on men.</t>
  </si>
  <si>
    <t>Her model is seated in a chair next to her as she combs his wet hair.</t>
  </si>
  <si>
    <t>She shows how the hair is parted and sectioned before cutting the hair She uses scissors to point cut the tips of the model's hair.</t>
  </si>
  <si>
    <t>She continues the procedure on the model's hair.</t>
  </si>
  <si>
    <t>She then explains how to blow dry the hair to get the finished look on the model.</t>
  </si>
  <si>
    <t>She finally gives information about her website.</t>
  </si>
  <si>
    <t>v_2NAbdlHXcTI</t>
  </si>
  <si>
    <t>A man does a disk throw.</t>
  </si>
  <si>
    <t>He spins around and throws the disk.</t>
  </si>
  <si>
    <t>v_9YnYdsmjkIY</t>
  </si>
  <si>
    <t>A man sits in a chair and talks while holding a harmonica and occasionally playing it while sitting in a front of green cloth backdrop.</t>
  </si>
  <si>
    <t>A bald man sits in a wooden chair and talks to the camera while holding, pointing to and occasionally playing a harmonica in his hands.</t>
  </si>
  <si>
    <t>The camera zooms in for a tighter shot of the man as he talks and before the man pulls the harmonica directly up to his face and plays the harmonica briefly before pulling the harmonica away and looking into the camera.</t>
  </si>
  <si>
    <t>v_xICaX0kCCF4</t>
  </si>
  <si>
    <t>A man in Sesame Street costume is riding a recumbent bike.</t>
  </si>
  <si>
    <t>A man dressed as Ernie soon joins Bert.</t>
  </si>
  <si>
    <t>They bike together, as if in a race.</t>
  </si>
  <si>
    <t>They both get up and walk away.</t>
  </si>
  <si>
    <t>v_Aq2w52hpwig</t>
  </si>
  <si>
    <t>A person is seen sitting along the water with a close up of a paddle is shown.</t>
  </si>
  <si>
    <t>The camera pans around to another group of people sitting in a canoe across from them.</t>
  </si>
  <si>
    <t>More people are seen sitting in the water as well as boats along the water.</t>
  </si>
  <si>
    <t>v_ouv2veXexVw</t>
  </si>
  <si>
    <t>A group of soccer players await the return of a soccer ball to the field.</t>
  </si>
  <si>
    <t>One soccer player kicks the ball into the field.</t>
  </si>
  <si>
    <t>Another soccer player takes hold of the ball and passes it to another soccer player.</t>
  </si>
  <si>
    <t>The soccer players kicks it to the goalie.</t>
  </si>
  <si>
    <t>The goalie kicks it to a nearby soccer player.</t>
  </si>
  <si>
    <t>The soccer player kicks it to another soccer player.</t>
  </si>
  <si>
    <t>v_kr4RUFi1UGs</t>
  </si>
  <si>
    <t>Two men are rappeling up the side of a steep rock cliff.</t>
  </si>
  <si>
    <t>One of the men climbs about halfway up, before letting go and releasing himself back toward the ground.</t>
  </si>
  <si>
    <t>v_S-mMmPO6a9s</t>
  </si>
  <si>
    <t>A man pushes a lawnmower on a lawn.</t>
  </si>
  <si>
    <t>Two children help him push it.</t>
  </si>
  <si>
    <t>They make several passes on the lawn.</t>
  </si>
  <si>
    <t>Several cars drive by them.</t>
  </si>
  <si>
    <t>v_1RMNLqb8OWI</t>
  </si>
  <si>
    <t>man carrying a lawn blower is blowing the dust in the sidewalk walking in street.</t>
  </si>
  <si>
    <t>man is cleaning the sidewalk from the dry leaves pouring out the sidewalk.</t>
  </si>
  <si>
    <t>man is walking in sidewalk watching the man that is carrying the blower.</t>
  </si>
  <si>
    <t>v_G3cINUdHdGo</t>
  </si>
  <si>
    <t>A man in a red shirt speaks and demonstrates how to throw darts against a dart board while three other people in red shirts watch behind him.</t>
  </si>
  <si>
    <t>A man in a red shirt faces the camera and begins to talk while holding darts in his hand and while three men behind him watch.</t>
  </si>
  <si>
    <t>The man turns away from the camera, standing at a profile view and facing a dartboard attached to a wall, he starts aiming at the dartboard with the darts in his hand.</t>
  </si>
  <si>
    <t>The man then throws three darts against the dartboard, two of which stick to the board, the man goes to retrieve a dart from the board and gestures with his fist and a smile.</t>
  </si>
  <si>
    <t>v_WSGXoKV9vLs</t>
  </si>
  <si>
    <t>A hand is pouring liquid into a martini glass and white words on the left of the screen appear and they say "Girls Mixing Drinks dot com" and "Keylime Pie with Lee".</t>
  </si>
  <si>
    <t>A blonde woman appears at a bar and the website appears at random times while the woman is grabbing cups, alcohol and ice as she makes her drink in a martini glass.</t>
  </si>
  <si>
    <t>The woman fills the martini glass with ice and water.</t>
  </si>
  <si>
    <t>The woman then moves onto a large silver silver shaker and begins putting alcohol and other liquids in it, covers it with a small clear cup and begins shaking the contents.</t>
  </si>
  <si>
    <t>When she's done shaking the liquids, she empties the ice and water from the martini cup, then fills it with the liquid from the shaker, puts a lime on the edge, pushes the martini glass forward and smiles.</t>
  </si>
  <si>
    <t>The last screen appears with a red background and the website displayed in the middle.</t>
  </si>
  <si>
    <t>v_Sx3YbcKbuYk</t>
  </si>
  <si>
    <t>A pile of kindling flanked by rocks is shown.</t>
  </si>
  <si>
    <t>The kindling is lit with a torch.</t>
  </si>
  <si>
    <t>The fire is started, and we watch as it begins to burn.</t>
  </si>
  <si>
    <t>v_S24MDjduWIY</t>
  </si>
  <si>
    <t>A man is seen speaking to the camera while people practice basketball drills intermittently.</t>
  </si>
  <si>
    <t>The man ties a rope around a ball and continues having him perform layups on the court.</t>
  </si>
  <si>
    <t>More clips are shown of them practicing while the man speaks to the camera.</t>
  </si>
  <si>
    <t>v_10uSu442cOE</t>
  </si>
  <si>
    <t>A girl plays a brass flute standing on stage during a performance.</t>
  </si>
  <si>
    <t>The girl finishes the performance and lowers her instrument.</t>
  </si>
  <si>
    <t>v_mtC3trP8ahY</t>
  </si>
  <si>
    <t>Two teams of boys are in a grass field playing a game.</t>
  </si>
  <si>
    <t>They have little poles with nets that they use to catch the balls in and throw.</t>
  </si>
  <si>
    <t>One of the boys from the red team throws the ball over to the other side.</t>
  </si>
  <si>
    <t>Then one of the kids int he black uniform comes running back and throws the ball.</t>
  </si>
  <si>
    <t>v_2NITA0d4vqo</t>
  </si>
  <si>
    <t>Two men play pingpong using different tricks.</t>
  </si>
  <si>
    <t>A man shows off a camera box, and the ping pong player uses it.</t>
  </si>
  <si>
    <t>The box busts open so the player uses a camera part to play.</t>
  </si>
  <si>
    <t>He uses a battery to hit back, and then uses a different tool.</t>
  </si>
  <si>
    <t>Various strange objects are used to play the game.</t>
  </si>
  <si>
    <t>The man breaks an egg with the ball.</t>
  </si>
  <si>
    <t>More strange items including a bat, watch and candy bar are used.</t>
  </si>
  <si>
    <t>The man is filmed uploading the video to YouTube.</t>
  </si>
  <si>
    <t>v_674t-jyyKeg</t>
  </si>
  <si>
    <t>A woman tries to eat ice cream to a child, but the child refuses to eat the ice cream, then the woman eats the ice cream in the spoon.</t>
  </si>
  <si>
    <t>After, the woman gives ice cream to the child, and then the woman cleans the child's mouth.</t>
  </si>
  <si>
    <t>An old woman feeds a boy ice cream.</t>
  </si>
  <si>
    <t>v_PIGH5p2iMoI</t>
  </si>
  <si>
    <t>A marching band is playing on a field.</t>
  </si>
  <si>
    <t>A man in a trench coat is talking into a microphone.</t>
  </si>
  <si>
    <t>A team is playing lacrosse on a field of grass.</t>
  </si>
  <si>
    <t>v_zxm4KYn7r8c</t>
  </si>
  <si>
    <t>A man is seen speaking to the camera in various clips as well as shooting a bow and arrow.</t>
  </si>
  <si>
    <t>The man demonstrates several times how to properly shoot a bow in different locations while looking back to speak to the camera.</t>
  </si>
  <si>
    <t>v_-deoJLN27hE</t>
  </si>
  <si>
    <t>Two soccer teams play a game of soccer in front of a crowded audience in bleachers, in which the team with the blue and white uniforms makes a series of goals.</t>
  </si>
  <si>
    <t>The team with the yellow and blue uniforms wins a goal on the field against the black and white team and reacts by hugging and smiling each other.</t>
  </si>
  <si>
    <t>The yellow and blue team go on to make a series of goals, sometimes sliding after the final kick, with the audience standing for them each time a goal is made and wearing yellow shirts.</t>
  </si>
  <si>
    <t>A digital scoreboard is shown with the score as the yellow and blue team goes on to make more goals.</t>
  </si>
  <si>
    <t>v_BD4i-g3U5Kw</t>
  </si>
  <si>
    <t>An ice rink is shown with a hockey game in progress with the first long shot goal is made followed by a replay.</t>
  </si>
  <si>
    <t>A goal by the other team in red shows twice.</t>
  </si>
  <si>
    <t>A heated battle of two teams ends with an orange team player scoring.</t>
  </si>
  <si>
    <t>Two more teams make long scoring shots from left to right.</t>
  </si>
  <si>
    <t>A white teams scores after a player falls on the ice rink.</t>
  </si>
  <si>
    <t>Another few games and a second player falls before a goal.</t>
  </si>
  <si>
    <t>A higher aerial view is seen of the last game to show.</t>
  </si>
  <si>
    <t>v_7t666Y8cLGk</t>
  </si>
  <si>
    <t>A lady uses a Shisha pipe while sitting.</t>
  </si>
  <si>
    <t>The lady blows the smoke into a cut, soapy bottle half.</t>
  </si>
  <si>
    <t>The bubble pops releasing the smoke.</t>
  </si>
  <si>
    <t>The bubble float away with the smoke still enclosed and falls to the floor.</t>
  </si>
  <si>
    <t>v_QPKJDlQSO6c</t>
  </si>
  <si>
    <t>A camera pans all around a beer pong table as well as people talking and speaking into a microphone.</t>
  </si>
  <si>
    <t>More people step up to play the beer pong while a man raps into the mic and others react.</t>
  </si>
  <si>
    <t>Several shots are shown of people playing the game and cheering with one another.</t>
  </si>
  <si>
    <t>v_zJquKzopJuI</t>
  </si>
  <si>
    <t>A group of men standing beside each other are all bent forward chugging beer through very long straws.</t>
  </si>
  <si>
    <t>There are people in front of them watching them and pointing at them as they chug.</t>
  </si>
  <si>
    <t>They made it a game they are racing to see who can finish first.</t>
  </si>
  <si>
    <t>They all stop around the same time and the people watching continue to be very rowdy.</t>
  </si>
  <si>
    <t>v_-v-Zail6TNw</t>
  </si>
  <si>
    <t>An eight year old girl is playing a harmonica on a stage.</t>
  </si>
  <si>
    <t>The camera zooms in on the girl as the girl begins to play harder and harder, taking deeper and deeper breaths.</t>
  </si>
  <si>
    <t>The girl stops playing, takes a look to her left really quickly, then beings to smile while looking at the camera and clapping.</t>
  </si>
  <si>
    <t>v_ITVfOVR34Jo</t>
  </si>
  <si>
    <t>The army are lined up, they are divided into four groups, they started to do war practice by shooting by group with paint gun, they hide among the stone walls and vacant cars.</t>
  </si>
  <si>
    <t>The army grab their paint guns on the table and loaded them with paint balls.</t>
  </si>
  <si>
    <t>v_Ek2OvKMdvys</t>
  </si>
  <si>
    <t>A girl is dressed in a pink and black outfit talking in a room laying on a blue yoga mat.</t>
  </si>
  <si>
    <t>The lady then lays on her back and puts her hand across her chest.</t>
  </si>
  <si>
    <t>Before she begins,she talks about her stomach and how to put your hands behind your neck the correct way.</t>
  </si>
  <si>
    <t>Finally,she does about four crunches and shows that your head should be up and as well as your body before she finishes her crunches.</t>
  </si>
  <si>
    <t>v_TY4-gh8DV04</t>
  </si>
  <si>
    <t>A woman work out in a cardio machine pulling a handle in a gym.</t>
  </si>
  <si>
    <t>A person enters the gym.</t>
  </si>
  <si>
    <t>v_uZk7ciOa5aE</t>
  </si>
  <si>
    <t>A male and female dance duo are in the middle of a ballroom floor surrounded by people preparing to dance; however,the music doesn't start and they are delayed.</t>
  </si>
  <si>
    <t>They then begin to dance and shuffle their feet across the tile and spin each other around.</t>
  </si>
  <si>
    <t>The both then do a split,finish the routine and go out to mingle with the crowd.</t>
  </si>
  <si>
    <t>v_c4f6d1GRDEw</t>
  </si>
  <si>
    <t>A man is seen standing in front of a table holding up a bar of wax and other objects.</t>
  </si>
  <si>
    <t>He pushes the wax into a sander and begins using it on a ski board.</t>
  </si>
  <si>
    <t>He moves the sander all along the board and ends by showing it off to the camera.</t>
  </si>
  <si>
    <t>v_rua32XjJh54</t>
  </si>
  <si>
    <t>We see a man throwing a curling stone.</t>
  </si>
  <si>
    <t>We see a man, 2 girls, then an older man interviewed.</t>
  </si>
  <si>
    <t>We see a man throwing the stone.</t>
  </si>
  <si>
    <t>We see the older man interviewed.</t>
  </si>
  <si>
    <t>We see two boys talking in the rink.</t>
  </si>
  <si>
    <t>We see a young man with longer hair being interviewed followed by two girls.</t>
  </si>
  <si>
    <t>We see the boy curl, then be interviewed and a girl interviewed.</t>
  </si>
  <si>
    <t>We see the people curling, a girl speaks, and a group of girls talks before they walk away.</t>
  </si>
  <si>
    <t>v_99KPQLxH4cw</t>
  </si>
  <si>
    <t>Several shots are shown of various snow boarders grinding down rails into snow with one falling and hurting himself.</t>
  </si>
  <si>
    <t>More shots of people wiping out in the end are shown as well as people talking to one another in a circle.</t>
  </si>
  <si>
    <t>v_P00O62PPzNU</t>
  </si>
  <si>
    <t>A large group of people seen pulling a rope away from one another.</t>
  </si>
  <si>
    <t>More games are shown of people playing tug of war.</t>
  </si>
  <si>
    <t>People watch on the sides as the men continue to play with one another.</t>
  </si>
  <si>
    <t>v_CB41iJu4ZVY</t>
  </si>
  <si>
    <t>A gymnast is seen standing ready with her arms up in the air in front of a large crowd.</t>
  </si>
  <si>
    <t>The girl then jumps up onto a beam and begins performing gymnastic tricks.</t>
  </si>
  <si>
    <t>The girl continues flipping and spinning around and ends with her jumping off to the side.</t>
  </si>
  <si>
    <t>v_T5GVJRbvNb8</t>
  </si>
  <si>
    <t>A young man runs and jumps over a bar onto a mat multiple times.</t>
  </si>
  <si>
    <t>People run and walk around a track in the background.</t>
  </si>
  <si>
    <t>The same young man then jumps over the bar using a springboard landing on the mat several times.</t>
  </si>
  <si>
    <t>People walk around a field house near the track.</t>
  </si>
  <si>
    <t>v_SsW-IeF0bzE</t>
  </si>
  <si>
    <t>Several kids are driving bumper cars in a group at a fair.</t>
  </si>
  <si>
    <t>A younger girl gets stuck and a man walks over to help her.</t>
  </si>
  <si>
    <t>The groups time runs out and all of the kids stand up and exit the bumper car area.</t>
  </si>
  <si>
    <t>The kids all go down the stairs and back to the fair area.</t>
  </si>
  <si>
    <t>There are lots of people of all ages around doing different things at the fair.</t>
  </si>
  <si>
    <t>v_ggDfJLB8jTk</t>
  </si>
  <si>
    <t>Shooting targets are shown on the grass.</t>
  </si>
  <si>
    <t>A man uses a bow and arrow to hit the targets.</t>
  </si>
  <si>
    <t>A man shoots a bow behind a pile of sticks.</t>
  </si>
  <si>
    <t>v_B92SbWzu8yI</t>
  </si>
  <si>
    <t>A young child is seen standing behind a set of drums and then begins playing the drums.</t>
  </si>
  <si>
    <t>The boys continues playing on the drums and ends with him kissing his fingers and giving a peace sign.</t>
  </si>
  <si>
    <t>v_Jifw8dC5yTM</t>
  </si>
  <si>
    <t>A young man in blue t-shirt walks through small dance studio room.</t>
  </si>
  <si>
    <t>The young man sets his stereo down on a chair.</t>
  </si>
  <si>
    <t>The man young man warms up and does a one handed handstand.</t>
  </si>
  <si>
    <t>The man does a break dance routine doing hand stands and spins.</t>
  </si>
  <si>
    <t>End credits are shown with names written in cursive.</t>
  </si>
  <si>
    <t>v_Coctj-3Yzic</t>
  </si>
  <si>
    <t>There are people in a garage standing around a long wooden table that has a lot of red solo cups on it.</t>
  </si>
  <si>
    <t>They all start throwing ping pong balls in attempt to get them to land in a red solo cup.</t>
  </si>
  <si>
    <t>Suddenly, one of them falls backwards into the table and the table falls.</t>
  </si>
  <si>
    <t>All the men start laughing, pull the table off of the man, and only one of the men go to help the person up.</t>
  </si>
  <si>
    <t>v_tOiPx5Veyd8</t>
  </si>
  <si>
    <t>A man is seen interviewing another man on camera and leads into several groups of people playing shuffle board.</t>
  </si>
  <si>
    <t>The camera pans back to the man being interviewed and ends with the host having one final word to the camera.</t>
  </si>
  <si>
    <t>v_6iwKUJUUlaQ</t>
  </si>
  <si>
    <t>Two woman are outdoors outside of a building and are playing hopscotch on cemented ground.</t>
  </si>
  <si>
    <t>There is white text on the screen.</t>
  </si>
  <si>
    <t>The younger woman in shorts jumps on the squares and an older woman wearing a dress also jumps on the squares.</t>
  </si>
  <si>
    <t>The young girl falls over.</t>
  </si>
  <si>
    <t>The older woman walks and celebrates raising her arms.</t>
  </si>
  <si>
    <t>The two look at the camera and give a thumbs up.</t>
  </si>
  <si>
    <t>v_78UikTQkGgg</t>
  </si>
  <si>
    <t>A close up of subway is seen and leads into a woman speaking to the camera and cutting up a piece of bread.</t>
  </si>
  <si>
    <t>The woman then lays out various ingredients on the bread and rolls it up in a wrap.</t>
  </si>
  <si>
    <t>Several pictures are then shown in the end of the sandwich all ready and people enjoying the sandwich.</t>
  </si>
  <si>
    <t>v_1Xav7gMRCOQ</t>
  </si>
  <si>
    <t>A man is standing inside a gym.</t>
  </si>
  <si>
    <t>He jumps on and off an exercise stepper, front to back and side to side.</t>
  </si>
  <si>
    <t>He spins as he climbs on and off.</t>
  </si>
  <si>
    <t>v_G72bQBMZmzs</t>
  </si>
  <si>
    <t>Two sumo wrestlers are shown on a set with hundreds of people watching in the back taking pictures.</t>
  </si>
  <si>
    <t>The video continues to show several different athletes fighting in a ring and pulling the other down within a matter of seconds.</t>
  </si>
  <si>
    <t>v_xQcJ8gTPRSU</t>
  </si>
  <si>
    <t>Two people are seen speaking to the camera and leads into the man peel a pear and scoping out the sides.</t>
  </si>
  <si>
    <t>The man then cuts the fruit and presents it onto a plate while still speaking to the camera.</t>
  </si>
  <si>
    <t>v_UOF3w4T-bBE</t>
  </si>
  <si>
    <t>A group of guy friends are in the bathroom talking and having fun daring on of the boys to shave his leg.</t>
  </si>
  <si>
    <t>The camera pans over to the boy's leg showing one of his friends shaving the hair off his leg with an electric razor.</t>
  </si>
  <si>
    <t>v_-YVhOi8vt_Q</t>
  </si>
  <si>
    <t>A person places down a rubik's cube on a folder.</t>
  </si>
  <si>
    <t>The puzzle is then solved in 11 seconds.</t>
  </si>
  <si>
    <t>v_eGA5tbX8oH0</t>
  </si>
  <si>
    <t>A family is in the living room I'm trying to get out after being snowed in.</t>
  </si>
  <si>
    <t>A man opens the door and tries to jump over the snow that is in the way.</t>
  </si>
  <si>
    <t>He gets stuck in the snow and his family tries to help him get out.</t>
  </si>
  <si>
    <t>Once he gets out he throws them a shovel to shovel the snow on the floor.</t>
  </si>
  <si>
    <t>The video ends with the credits shown on the screen.</t>
  </si>
  <si>
    <t>v_Z1POv1Qeno0</t>
  </si>
  <si>
    <t>People are floating down a river in rafts.</t>
  </si>
  <si>
    <t>We then see people getting rafts at a building.</t>
  </si>
  <si>
    <t>A man is in a boat people floating in a raft.</t>
  </si>
  <si>
    <t>A bus sits in front of the rafting facility and men stack rafts as other men walk with their rafts.</t>
  </si>
  <si>
    <t>A man and a woman are floating down the river in separate rafts.</t>
  </si>
  <si>
    <t>v_TpB_zMG3XBA</t>
  </si>
  <si>
    <t>We see a lady and two men standing in a lake.</t>
  </si>
  <si>
    <t>The lady then jet skis.</t>
  </si>
  <si>
    <t>We see the head of the person on the boat on the left bob in and out of the shot.</t>
  </si>
  <si>
    <t>The boat turns and we no longer see land in the background.</t>
  </si>
  <si>
    <t>The lady falls off the ski.</t>
  </si>
  <si>
    <t>A man walks over to help the lady in the lake.</t>
  </si>
  <si>
    <t>v_SiqB6_9kNQU</t>
  </si>
  <si>
    <t>At the fair the bumper cars are being used.</t>
  </si>
  <si>
    <t>A bunch of different people are riding around bumping into each other.</t>
  </si>
  <si>
    <t>They are just driving around aimlessly in circles as they hit and get hot by other riders.</t>
  </si>
  <si>
    <t>This is innocent fun during summer nights when you're bored and the fair is in town.</t>
  </si>
  <si>
    <t>v_AnRYS02tvRA</t>
  </si>
  <si>
    <t>A man and woman play rock paper scissors.</t>
  </si>
  <si>
    <t>The woman wins and smiles.</t>
  </si>
  <si>
    <t>The woman puts a blind fold on.</t>
  </si>
  <si>
    <t>The woman gives the man a hug.</t>
  </si>
  <si>
    <t>v_k0w1lMRoqYk</t>
  </si>
  <si>
    <t>A young girl is seen talking to the camera and leads into her browsing the internet then raking up leads in a yard.</t>
  </si>
  <si>
    <t>The girl is then seen sitting in the leaves and transitions into speaking with her mother in the kitchen.</t>
  </si>
  <si>
    <t>She is shown speaking to the camera one more time and ends with various pictures of kids.</t>
  </si>
  <si>
    <t>v_XftM9eALPy0</t>
  </si>
  <si>
    <t>A large arena houses many people.</t>
  </si>
  <si>
    <t>Poles are set up in the arena.</t>
  </si>
  <si>
    <t>Gymnasts perform on the poles.</t>
  </si>
  <si>
    <t>They do many tricks on them.</t>
  </si>
  <si>
    <t>v_1Xt1gZfZ2Rw</t>
  </si>
  <si>
    <t>A man is brushing the bottom of a ski.</t>
  </si>
  <si>
    <t>He melts wax onto the bottom of the ski and irons it.</t>
  </si>
  <si>
    <t>He then scrapes the wax off with a tool.</t>
  </si>
  <si>
    <t>He uses a brush to brush the bottom of the ski.</t>
  </si>
  <si>
    <t>v_FRag7CCTP4k</t>
  </si>
  <si>
    <t>An athlete is shown warming up in front of a pole while several others in the background run around a track.</t>
  </si>
  <si>
    <t>The man eventually prepares for his jump and jumps over the pole.</t>
  </si>
  <si>
    <t>He swings his arms up to celebrate and others around him clap for him.</t>
  </si>
  <si>
    <t>v_3xEonDbWxTM</t>
  </si>
  <si>
    <t>A lady stands with a pot and shows an area of a wall.</t>
  </si>
  <si>
    <t>The wall is cleaned with a wet towel using the solution in the pot.</t>
  </si>
  <si>
    <t>The lady points to an area of the wall that is discolored.</t>
  </si>
  <si>
    <t>v__gJFrtUQDLw</t>
  </si>
  <si>
    <t>An image is shown of an album cover that leads into a young man playing a harmonica slowly.</t>
  </si>
  <si>
    <t>The man rocks back and fourth to the song and interments between pictures of a band and himself playing.</t>
  </si>
  <si>
    <t>v__wqhA-Ceqwc</t>
  </si>
  <si>
    <t>man is standing in front of a counter showing how to sharpening a knife.</t>
  </si>
  <si>
    <t>in the background man is cooking in the back counter.</t>
  </si>
  <si>
    <t>man is explaining and checking the areas of the knife.</t>
  </si>
  <si>
    <t>v_9Hw3xvJJTy0</t>
  </si>
  <si>
    <t>Three wrestlers were in the ring and crowd iswatching intently.</t>
  </si>
  <si>
    <t>One wrestler named, East of Angeles, back away and climb the ladder.</t>
  </si>
  <si>
    <t>Another wrestler, TandumisGreat, gets up and starts climbing the other side of the ladder.</t>
  </si>
  <si>
    <t>They started hitting each other on top of the ladder.</t>
  </si>
  <si>
    <t>TandumisGreat climb on the back of East of Angeles and they both fall off the ladder, knocking East of Angeles.</t>
  </si>
  <si>
    <t>TandumISGReat climbs once again on the top of the ladder and holds the hanging money bank.</t>
  </si>
  <si>
    <t>v_pZZVzBD8bZY</t>
  </si>
  <si>
    <t>Various shots are shown of large crowd celebrating in the distance and people riding motorcycles around.</t>
  </si>
  <si>
    <t>The people continue riding around in slow motion as the camera captures their movements.</t>
  </si>
  <si>
    <t>v_w83HV_L4AiU</t>
  </si>
  <si>
    <t>A cartoon animation is shown with various hands and lobsters and demonstrating how to play rock paper scissors.</t>
  </si>
  <si>
    <t>More text is shown as well as hands and animals and shows steps on how to play the game.</t>
  </si>
  <si>
    <t>v_OCT2h1kmZoA</t>
  </si>
  <si>
    <t>We see an animated opening sequence.</t>
  </si>
  <si>
    <t>We see men riding snowboards on a ski slope.</t>
  </si>
  <si>
    <t>We see a man riding on the back part of the snowboard.</t>
  </si>
  <si>
    <t>We see a person in a bright pink jacket .</t>
  </si>
  <si>
    <t>A man is snowboarding with bare arms.</t>
  </si>
  <si>
    <t>Another man with no coat on is snowboarding.</t>
  </si>
  <si>
    <t>We see the ending sequence.</t>
  </si>
  <si>
    <t>v_6koP53YFNjg</t>
  </si>
  <si>
    <t>People are throwing balls into plastic cups.</t>
  </si>
  <si>
    <t>A hand knocks over a red plastic cup and wastes the liquid inside.</t>
  </si>
  <si>
    <t>A male reaches for a ball that rolls under a table.</t>
  </si>
  <si>
    <t>A plastic cup has a white suspension inside.</t>
  </si>
  <si>
    <t>A man welds and machine carves a wooden board.</t>
  </si>
  <si>
    <t>A guy carries a lady as they gesture and cheer.</t>
  </si>
  <si>
    <t>v__Xydl5mYkQ8</t>
  </si>
  <si>
    <t>A counter is shown with beer cans on it.</t>
  </si>
  <si>
    <t>A man is in a bathroom, using a toilet.</t>
  </si>
  <si>
    <t>He flushes, then smiles and talks to the camera.</t>
  </si>
  <si>
    <t>v_w69pipCSlM4</t>
  </si>
  <si>
    <t>The skier adjusts the rope with his red and black skis extending in front of him over the water as he prepares to ski.</t>
  </si>
  <si>
    <t>The boat pulls him off the dock and into the water as he rests upright, his skis out in front of him.</t>
  </si>
  <si>
    <t>As the boat picks up speed, the skier rises, and holds onto the rope, steering left and right.</t>
  </si>
  <si>
    <t>He just seems to miss a buoy as he cuts through water and the boat's wake.</t>
  </si>
  <si>
    <t>The boat turns towards the land with large buildings coming into view, and slowly he is taken back to the dock.</t>
  </si>
  <si>
    <t>v_Wi9bm9omdoM</t>
  </si>
  <si>
    <t>A small group of children are seen playing hand games with one another and finally hitting the loser on the head with a bottle.</t>
  </si>
  <si>
    <t>The kids continue to play the hand game with one another that leads into the beating another with a bottle.</t>
  </si>
  <si>
    <t>v_RatbnDSuY7w</t>
  </si>
  <si>
    <t>A man claps after performing a high jump on the field.</t>
  </si>
  <si>
    <t>We are shown the instant replay in slow motion a couple of times.</t>
  </si>
  <si>
    <t>He walks onto the field, shaking hands with his competitors.</t>
  </si>
  <si>
    <t>v_uFtP9Z_K87U</t>
  </si>
  <si>
    <t>Several shots of people are shown in water as well as landscapes around an island and people riding and moving around a boat.</t>
  </si>
  <si>
    <t>More shots of people scuba diving are shown as well as fish swimming around and people in the ocean.</t>
  </si>
  <si>
    <t>In the end the camera shows several shots of the boat and people moving away on a smaller boat.</t>
  </si>
  <si>
    <t>v_B3YfGd4Wt24</t>
  </si>
  <si>
    <t>A group of kids are seen practicing various cheer leading moves in a gym as well as woman speaking to the camera.</t>
  </si>
  <si>
    <t>Several shots are shown of the girl's outfits as well as them demonstrating moves.</t>
  </si>
  <si>
    <t>v_-Q03gEypilg</t>
  </si>
  <si>
    <t>This woman is walking, jumping, and flipping on the balance beam.</t>
  </si>
  <si>
    <t>When she's done she walks off the stage and goes to her dad.</t>
  </si>
  <si>
    <t>v_MYWnPFGvxwQ</t>
  </si>
  <si>
    <t>A backyard is shown as a man sitting on an electric lawn mower begins to cut the grass.</t>
  </si>
  <si>
    <t>He makes it to the other side but then starts to run into the tree.</t>
  </si>
  <si>
    <t>After,he back up,runs into the tree again and cuts around it.</t>
  </si>
  <si>
    <t>v_VEXswbPrwxE</t>
  </si>
  <si>
    <t>A bull comes out of the gate at a rodeo and man in the ring jumps on then off his back.</t>
  </si>
  <si>
    <t>The man picks up his fallen hat in the ring.</t>
  </si>
  <si>
    <t>The man runs around dodging the charging bull.</t>
  </si>
  <si>
    <t>The man drops his hat in the ring.</t>
  </si>
  <si>
    <t>The man jumps on the wall to avoid the bull.</t>
  </si>
  <si>
    <t>Another man opens the gate and calls to the bull to enter the pin.</t>
  </si>
  <si>
    <t>v_m2DOej6tPNs</t>
  </si>
  <si>
    <t>We see people doing a dance routine in a basketball court.</t>
  </si>
  <si>
    <t>The people wave their hands in the air.</t>
  </si>
  <si>
    <t>The camera pans left to show others.</t>
  </si>
  <si>
    <t>The camera pans right and we see others.</t>
  </si>
  <si>
    <t>The lades stand still and wave their arms in the air.</t>
  </si>
  <si>
    <t>The camera pans down to the ground.</t>
  </si>
  <si>
    <t>v_8nj8tlvLyUo</t>
  </si>
  <si>
    <t>Someone is running on the beach towards so sand castle competitions.</t>
  </si>
  <si>
    <t>A dog jumps in some sand dirt and is so happy about it.</t>
  </si>
  <si>
    <t>There are so many awesome and different things being made out of sand, it looks like it takes a lot of time and energy.</t>
  </si>
  <si>
    <t>There are people walking around and looking at all of them.</t>
  </si>
  <si>
    <t>v_wBODR3P39Nw</t>
  </si>
  <si>
    <t>A few pictures of a high school field hockey team are shown.</t>
  </si>
  <si>
    <t>Two teams of young girls are playing field hockey.</t>
  </si>
  <si>
    <t>The goalie is shown falling to the ground while making a save.</t>
  </si>
  <si>
    <t>The goalie makes another sliding save.</t>
  </si>
  <si>
    <t>The goalie kicks the ball away from the net.</t>
  </si>
  <si>
    <t>The game ends and the girls give high fives.</t>
  </si>
  <si>
    <t>v_TLQFjTXZ58E</t>
  </si>
  <si>
    <t>A man is standing outside in his front lawn with his mower.</t>
  </si>
  <si>
    <t>He talks about different lengths of grass for a while and then bends down to his mower.</t>
  </si>
  <si>
    <t>He uses a ruler to show more detailed and then moves the mower to the sidewalk to talk some more.</t>
  </si>
  <si>
    <t>He starts mowing his lawn finally going up and down the lawn.</t>
  </si>
  <si>
    <t>v_ae-aDWHvAGc</t>
  </si>
  <si>
    <t>Two women are shown standing behind a shuffle board table when one pushes a puck across the board.</t>
  </si>
  <si>
    <t>The other woman prepares her push and send it to a man standing on the other side.</t>
  </si>
  <si>
    <t>They push the puck several more times while the camera follows their movements.</t>
  </si>
  <si>
    <t>v_xmAcpNTJUxo</t>
  </si>
  <si>
    <t>A person with a white mask and a sheet over his head walks back from the camera and grabs a pumpkin.</t>
  </si>
  <si>
    <t>The min then starts to carve the pumpkin and takes out the pumpkin sees.</t>
  </si>
  <si>
    <t>When they are all cleaned and taken out and placed in the oven as the man takes a sip of alcohol.</t>
  </si>
  <si>
    <t>v_onW5hJXnI5s</t>
  </si>
  <si>
    <t>This is a documentary on horseback riding.</t>
  </si>
  <si>
    <t>They explain the power, thrill, fun, grace, flying, friends, freedom, and love of horseback riding.</t>
  </si>
  <si>
    <t>They then show the difficulties of training horses, the dangers of riding them, and the downside of competition.</t>
  </si>
  <si>
    <t>Then they show the highlights of competitive riding.</t>
  </si>
  <si>
    <t>v_MLU2wreEGIg</t>
  </si>
  <si>
    <t>A small child is seen standing before a set of monkey bars.</t>
  </si>
  <si>
    <t>The boy then pushes himself along across the monkey bars.</t>
  </si>
  <si>
    <t>He jumps down in the end and begins walking across a bridge.</t>
  </si>
  <si>
    <t>v_sV6NoTdFaPE</t>
  </si>
  <si>
    <t>A young woman is seen speaking to the camera while holding onto a field hockey stick.</t>
  </si>
  <si>
    <t>The girl then hits the ball all around the yard while the camera follows.</t>
  </si>
  <si>
    <t>She continues to hit the ball around and stops to look at the camera.</t>
  </si>
  <si>
    <t>v_ibHRKaD5MbM</t>
  </si>
  <si>
    <t>A pinata is hanging from a tree, and a woman brings a girl with a stick over to it.</t>
  </si>
  <si>
    <t>She helps her whack the pinata several times.</t>
  </si>
  <si>
    <t>v_L61yQxW8HVE</t>
  </si>
  <si>
    <t>An intro screen appears that include a logo and the words "Expert Village Presents".</t>
  </si>
  <si>
    <t>A woman is now sitting and talking while holding a clarinet.</t>
  </si>
  <si>
    <t>The woman then puts the clarinet to her mouth and begins playing for a few seconds.</t>
  </si>
  <si>
    <t>The woman stops playing and resumes talking and using a lot of hand motioning, then resumes playing.</t>
  </si>
  <si>
    <t>The woman once again stops playing and begins talking while using her hands a lot and holding it in front of her face and etc.</t>
  </si>
  <si>
    <t>The woman begins playing once more until the outro of a white screen appears and it include a logo, and information for:copyright, rights and website.</t>
  </si>
  <si>
    <t>v_M_OPqcaCDYI</t>
  </si>
  <si>
    <t>A group of six are on a little boat sitting waiting for the whistle to blow.</t>
  </si>
  <si>
    <t>Once it is blown they begin to paddle as quickly as they possibly can, working very well together.</t>
  </si>
  <si>
    <t>They almost hit a wall of rocks but are able to turn in time not to and are able to continue in route.</t>
  </si>
  <si>
    <t>Waves, pick up and then they do hit a different wall of rock, where they turn around at to go back.</t>
  </si>
  <si>
    <t>v_fp0dd844oUU</t>
  </si>
  <si>
    <t>A man in gray long sleeves talks in a stage of Ultimate Guinness World Records.</t>
  </si>
  <si>
    <t>A young table tennis player is standing in front of table with spectators behind her.</t>
  </si>
  <si>
    <t>Two players play table tennis and continue playing for a minute and record 173 hits.</t>
  </si>
  <si>
    <t>The play is reviewed and the young player was introduced as Ai Fukuhara, with a record of most table tennis counter hits .</t>
  </si>
  <si>
    <t>The man in stage talks again while walking around the stage.</t>
  </si>
  <si>
    <t>v_s7ajQRC7w9w</t>
  </si>
  <si>
    <t>A woman is holding onto a wind surfboard in the water.</t>
  </si>
  <si>
    <t>She steps onto the board and starts wind surfing.</t>
  </si>
  <si>
    <t>She holds onto the kite of the wind surf.</t>
  </si>
  <si>
    <t>v_jmWtHelsblo</t>
  </si>
  <si>
    <t>A large group of people are shown performing a dance routine together with one woman leading in front.</t>
  </si>
  <si>
    <t>The people continue moving their arms and legs around together to move their bodies and obtain exercise.</t>
  </si>
  <si>
    <t>v_oNN6NE8fq0U</t>
  </si>
  <si>
    <t>A man talks to the audience while seated on stage before a performance.</t>
  </si>
  <si>
    <t>A man plays the keys of an accordion while opening and closing the air box.</t>
  </si>
  <si>
    <t>The man sings a few verses loudly with excitement.</t>
  </si>
  <si>
    <t>The man finishes the song and gathers up his notes from the podium.</t>
  </si>
  <si>
    <t>v_7AtINKDyH2Q</t>
  </si>
  <si>
    <t>There is a team of players playing hurling in an outdoor field.</t>
  </si>
  <si>
    <t>A person named Donal Cusack explains what hurling is and what is comprises of.</t>
  </si>
  <si>
    <t>The team players are playing a game of hurling with their bats as they try to hit the ball into the goal.</t>
  </si>
  <si>
    <t>v___c8enCfzqw</t>
  </si>
  <si>
    <t>A lady in black jacket is posing for the camera, then a man with medium length hair is shown, the man touched her hair to check on it, then the girl blow dry her hair.</t>
  </si>
  <si>
    <t>The lady sat at the center of the studio with her wet hair, she put a white cream on her hand then rub it on her hair.</t>
  </si>
  <si>
    <t>The girl blow dry her hair with white blower, sectioned her hair, brushed her hair with roller brush while blow drying it at the same time, she roll the brush downwards and upwards.</t>
  </si>
  <si>
    <t>She styled her hair by brushing and combing it to give more volume.</t>
  </si>
  <si>
    <t>v_tIaNvRDp0eE</t>
  </si>
  <si>
    <t>Several people are seen sitting in tubes at the top of a hill.</t>
  </si>
  <si>
    <t>The men speak to one another while one climbs in.</t>
  </si>
  <si>
    <t>The men all finally ride down the hill together while getting out in the end and laughing with one another.</t>
  </si>
  <si>
    <t>v_u0WgmhffTyI</t>
  </si>
  <si>
    <t>A male toddler is sitting on the floor near a female toddler and they are playing miniature floor foosball.</t>
  </si>
  <si>
    <t>The young male takes his hand and reaches inside to grab the soccer ball.</t>
  </si>
  <si>
    <t>As they keep playing, a set of feet appear and hold down the end of the board.</t>
  </si>
  <si>
    <t>Once they are removed,the two kids continue playing the game and moving the handles on the bars.</t>
  </si>
  <si>
    <t>The camera then zooms in on the boy and then the girl expressing their emotions.</t>
  </si>
  <si>
    <t>Each of them continues to play and adjust their body position as they become more focused.</t>
  </si>
  <si>
    <t>A goal is finally made and the girl goes into the goal and picks the ball out.</t>
  </si>
  <si>
    <t>v_Cul7VFkLTMc</t>
  </si>
  <si>
    <t>A group of surfers are on their boards surfing waves.</t>
  </si>
  <si>
    <t>One of the surfers is swallowed by one of the waves.</t>
  </si>
  <si>
    <t>Two surfers surf close to each other and are knocked down by a wave.</t>
  </si>
  <si>
    <t>A surfer is casually swimming when a wave crashes straight into him.</t>
  </si>
  <si>
    <t>A surfer attempts to surf but is quickly thrown off his board by a wave.</t>
  </si>
  <si>
    <t>v__LKFGLH8XxI</t>
  </si>
  <si>
    <t>A little girl is playing with a toy hair dryer.</t>
  </si>
  <si>
    <t>She continues playing with the toy hair dryer and talking.</t>
  </si>
  <si>
    <t>She picks up a toy curler and sets it down on the desk in front of her.</t>
  </si>
  <si>
    <t>v_TCFDMNSYTVw</t>
  </si>
  <si>
    <t>Two people are skiing, holding a rope.</t>
  </si>
  <si>
    <t>Waves are opened in their crest.</t>
  </si>
  <si>
    <t>They move under a small bridge.</t>
  </si>
  <si>
    <t>The boy in green bends over.</t>
  </si>
  <si>
    <t>The boy in green zooms out to the side.</t>
  </si>
  <si>
    <t>The boy moves to the side of the boat and then flips over the second skier.</t>
  </si>
  <si>
    <t>The boy leans back on his board and flips back over the other skier.</t>
  </si>
  <si>
    <t>The boy in green swings out again and flips over the skier giving him a high five.</t>
  </si>
  <si>
    <t>The two skiers have a conversation while riding.</t>
  </si>
  <si>
    <t>Both skiers swing out and swing to the other side of the boat.</t>
  </si>
  <si>
    <t>The boys continue to wave and talk.</t>
  </si>
  <si>
    <t>v_tEnhhhWqnWQ</t>
  </si>
  <si>
    <t>A woman does a dance with a hulahoop.</t>
  </si>
  <si>
    <t>She throws it up, catches it, and dances around the room.</t>
  </si>
  <si>
    <t>v_gPofktt3hUw</t>
  </si>
  <si>
    <t>A young man puts cement to the ceiling and even with a flat tool.</t>
  </si>
  <si>
    <t>the man wears stilts on his feet.</t>
  </si>
  <si>
    <t>The man puts cement on the empty spaces and strokes with the tool to even the ceiling.</t>
  </si>
  <si>
    <t>v_dxgeEdlt7do</t>
  </si>
  <si>
    <t>Dirt bikes race across a bumpy track.</t>
  </si>
  <si>
    <t>A rider falls off his bike and a trailing bike hits him and knocks him back to the ground.</t>
  </si>
  <si>
    <t>The words "2014 FIM MOTOCROSS WORLD CHAMPIONSHIP MXGP" appear on screen followed by social links.</t>
  </si>
  <si>
    <t>v_kBUDMFgWO9I</t>
  </si>
  <si>
    <t>A view of a very large diving platform with different heights is shown and people around the pool are walking.</t>
  </si>
  <si>
    <t>A person on one of the platforms dive into the pool.</t>
  </si>
  <si>
    <t>The diver hitting the pool causes a small splash.</t>
  </si>
  <si>
    <t>Video then freezes and there are no movements.</t>
  </si>
  <si>
    <t>v_YxUNzzrgJnI</t>
  </si>
  <si>
    <t>A car is driving down a road with passengers.</t>
  </si>
  <si>
    <t>The men gather on a bridge, adorning equipment.</t>
  </si>
  <si>
    <t>A man in a gorilla costume walks along the bridge.</t>
  </si>
  <si>
    <t>The men take turns bungee jumping from the bridge.</t>
  </si>
  <si>
    <t>The people wave as they drive away, then are shown posing for a picture.</t>
  </si>
  <si>
    <t>v_v05j8FVewPc</t>
  </si>
  <si>
    <t>A woman is talking and is excited.</t>
  </si>
  <si>
    <t>She pulls out a pink sweater to iron.</t>
  </si>
  <si>
    <t>She irons the pink sweater.</t>
  </si>
  <si>
    <t>v_9qNM5tNMxK4</t>
  </si>
  <si>
    <t>There are two players wearing a red and white shirt and the other wearing black and white shirt, playing racket ball in an indoor court with a few spectators.</t>
  </si>
  <si>
    <t>The player in red hits the ball with a front hand swing and his opponent leaps forward to return the ball.</t>
  </si>
  <si>
    <t>The player in red continues to swing his racket in a front hand as he never fails to miss a single shot.</t>
  </si>
  <si>
    <t>The player in black misses one shot, but he immediately grabs the ball and they continue to play again.</t>
  </si>
  <si>
    <t>Both the players continue on a great rally without missing a shot.</t>
  </si>
  <si>
    <t>The player in red runs swiftly across the court to hit the ball back.</t>
  </si>
  <si>
    <t>Then they play five rounds continuously using back hand swings until the player in black misses a shot.</t>
  </si>
  <si>
    <t>Then they begin their final round where the player in black and white ends the final shot.</t>
  </si>
  <si>
    <t>They end the game by shaking hands and walk out of the court.</t>
  </si>
  <si>
    <t>v_mwGs9TeYpM0</t>
  </si>
  <si>
    <t>A man is seen speaking to the camera in a large field while holding a lacrosse stick.</t>
  </si>
  <si>
    <t>He points to himself while holding up the stick and continues to speak to the camera and how to properly hold the stick.</t>
  </si>
  <si>
    <t>v_XuwqWdp-u2M</t>
  </si>
  <si>
    <t>A girl swings her stick away at a pinata.</t>
  </si>
  <si>
    <t>A group of people watch her from behind and cheer her on.</t>
  </si>
  <si>
    <t>She continues to swing away at the pinata and the object moves back and fourth in the wind.</t>
  </si>
  <si>
    <t>v_K8Fq9kjfK_U</t>
  </si>
  <si>
    <t>A camera pans around a large gymnasium and leads into two performers walking to the middle of the stage.</t>
  </si>
  <si>
    <t>The girls perform a dance routine use batons and end by holding a pose.</t>
  </si>
  <si>
    <t>v_MF3VcmCCgzY</t>
  </si>
  <si>
    <t>One woman and two men, wearing white pants, white shirt and black and white belts demonstrate martial arts moves, barefoot, on a large patch of grass in front of a body of water and a city scape of buildings.</t>
  </si>
  <si>
    <t>A woman with blonde hair in a ponytail and a black belt, demonstrates martial arts moves first exhibiting shoulder and arm moves and footwork.</t>
  </si>
  <si>
    <t>A man in a white belt demonstrates martial arts moves using knee bends.</t>
  </si>
  <si>
    <t>A third man in a black belt demonstrates martial arts moves exhibiting floor work, leg swipes and high kicks.</t>
  </si>
  <si>
    <t>v_LMxfRVcBrD8</t>
  </si>
  <si>
    <t>A woman chef is demonstrating how to make restaurant style pasta.</t>
  </si>
  <si>
    <t>She begins with adding spaghetti in a large pot of boiling water.</t>
  </si>
  <si>
    <t>She sautes chopped onions and some Italian dressing along with garlic on a saucepan.</t>
  </si>
  <si>
    <t>She then adds a cup of grape tomatoes.</t>
  </si>
  <si>
    <t>She checks the pasta for it's softness.</t>
  </si>
  <si>
    <t>She removes the cooked pasta off of the gas and pours it into a plate.</t>
  </si>
  <si>
    <t>Then she adds the cooked sauce right over the pasta.</t>
  </si>
  <si>
    <t>She chops fresh basil with a pair of scissors and garnishes it over the pasta along with some cheese Then she shows an Alfredo sauce recipe.</t>
  </si>
  <si>
    <t>She sprinkles grated Parmesan cheese over the Alfredo pasta to finish off.</t>
  </si>
  <si>
    <t>v_8HY9CPl9CqE</t>
  </si>
  <si>
    <t>A group of swimmers are getting ready to perform.</t>
  </si>
  <si>
    <t>The crowd watches the girls get ready.</t>
  </si>
  <si>
    <t>A girl dives off the diving board and people cheer.</t>
  </si>
  <si>
    <t>She climbs out of the pool while another swimmer gets ready to jump.</t>
  </si>
  <si>
    <t>v_2PCZkpF1_wU</t>
  </si>
  <si>
    <t>A large multilayer red velvet cake is shown, along with the multitude of ingredients.</t>
  </si>
  <si>
    <t>A hand turns on an oven, before mixing the ingredients together in a bowl.</t>
  </si>
  <si>
    <t>Throughout, some random tidbits and facts are shared.</t>
  </si>
  <si>
    <t>v_Z47Ig2AqKfg</t>
  </si>
  <si>
    <t>A man is on a stage amongst bright flashing lights and music.</t>
  </si>
  <si>
    <t>He is quickly playing a violin for the audience.</t>
  </si>
  <si>
    <t>He pauses to dance, then goes back to playing as they clap and cheer.</t>
  </si>
  <si>
    <t>v_wbrnTczxvVw</t>
  </si>
  <si>
    <t>There are two women dressed in black and blue tank tops demonstrating how to use the hula hoop.</t>
  </si>
  <si>
    <t>They both begin spinning with blue and silver hula hoops.</t>
  </si>
  <si>
    <t>They are in a spacious room with little furniture and hardwood floors.</t>
  </si>
  <si>
    <t>The woman in the blue tank top shows how to hula hoop in fast motion.</t>
  </si>
  <si>
    <t>Then both the women show how to twirl the hoop by raising it high up above their heads.</t>
  </si>
  <si>
    <t>They bend their backs to lower themselves down as the continue to hula hoop.</t>
  </si>
  <si>
    <t>They talk to each other as they share tips about ways to hula hoop.</t>
  </si>
  <si>
    <t>v_CF6Q5ojrAJo</t>
  </si>
  <si>
    <t>The men are taking turns chopping a log in two.</t>
  </si>
  <si>
    <t>The chop over and over again.</t>
  </si>
  <si>
    <t>The log breaks in two.</t>
  </si>
  <si>
    <t>v_D_zM6YmlUnw</t>
  </si>
  <si>
    <t>A woman wearing a tan apron is holding a knife and talking.</t>
  </si>
  <si>
    <t>She then shows an appliance on the table and tilts it upwards.</t>
  </si>
  <si>
    <t>She turns a dial on the appliance and sets it back down.</t>
  </si>
  <si>
    <t>She picks the knife back up and places it on the appliance.</t>
  </si>
  <si>
    <t>She turns the dial again on the appliance.</t>
  </si>
  <si>
    <t>She picks the knife back up and places it in the appliance and slowly draws it back several times.</t>
  </si>
  <si>
    <t>She slices a tomato on a wood block with the knife.</t>
  </si>
  <si>
    <t>She grabs a second knife and puts it in the appliance.</t>
  </si>
  <si>
    <t>v_pbTzltaBByk</t>
  </si>
  <si>
    <t>A close up of a hedge is shown followed by a man walking into frames with tools and beginning to cut the hedge.</t>
  </si>
  <si>
    <t>The man continues cutting all along the hedge while moving in and out of frame.</t>
  </si>
  <si>
    <t>v_woLR9wHe0Vs</t>
  </si>
  <si>
    <t>We see a man in a yard raking with a title on the screen.</t>
  </si>
  <si>
    <t>We see a tree trunk and leaves falling.</t>
  </si>
  <si>
    <t>We see the man talking and see the yard as he rakes.</t>
  </si>
  <si>
    <t>We then see the man as he blows it with a leaf blower and a vacuum.</t>
  </si>
  <si>
    <t>v_9-hrNWXnuY8</t>
  </si>
  <si>
    <t>Several images of dogs are shown outside in the field.</t>
  </si>
  <si>
    <t>A young woman then appears in a grassy field and play with her dog and throwing a red Frisbee to him.</t>
  </si>
  <si>
    <t>The girl then kneels down in the grass and holds the Frisbee over her head and congratulates her dog as the trick is completed and they continue to do it over and over again.</t>
  </si>
  <si>
    <t>v_lpZytCK-g1M</t>
  </si>
  <si>
    <t>A young boy kneels outside and washes his face and hands from small dishes, in front of him, filled with water and soap.</t>
  </si>
  <si>
    <t>A boy kneels in a corner of an outdoor patio in front of a row of bowls.</t>
  </si>
  <si>
    <t>The boy splashes water on his face and lathers his hands with soapy water from the dishes.</t>
  </si>
  <si>
    <t>The boy continues washing his face as a woman in a light colored dress garment walks past him.</t>
  </si>
  <si>
    <t>v_nT1-fINd4nA</t>
  </si>
  <si>
    <t>A person uses a leaf blows and blows leafs.</t>
  </si>
  <si>
    <t>The dog runs to the right and out of the path.</t>
  </si>
  <si>
    <t>The dog runs back and fort in front of the leaf blower.</t>
  </si>
  <si>
    <t>v_y7tActqdm9A</t>
  </si>
  <si>
    <t>Two wildebeests lock horns in a fight for dominance.</t>
  </si>
  <si>
    <t>The fight continues with the rest of the wildebeest herd looking on.</t>
  </si>
  <si>
    <t>The fight continues on as one wildabeast pushes the other away from the herd near a river.</t>
  </si>
  <si>
    <t>One wildebeest gives up and runs off as the other wildebeest chases.</t>
  </si>
  <si>
    <t>v_K7rfN2W0ts4</t>
  </si>
  <si>
    <t>A person's hands are seen at a poker table grabbing cards while another deals.</t>
  </si>
  <si>
    <t>The dealer continuously throws out cards while also putting chips in.</t>
  </si>
  <si>
    <t>The person playing does the same several times.</t>
  </si>
  <si>
    <t>v_cufmgoo7E_k</t>
  </si>
  <si>
    <t>An intro leads into a horse tied up to a calf with a man roping a rope around the animal.</t>
  </si>
  <si>
    <t>A man is then shown being interviewed on camera as well as an other woman beside him.</t>
  </si>
  <si>
    <t>v_oofh5aSJUSc</t>
  </si>
  <si>
    <t>A man wearing a ghost shirt is playing a game of beer pong.</t>
  </si>
  <si>
    <t>He lines up four cups, throwing the balls into the cups.</t>
  </si>
  <si>
    <t>He continues until all the balls have gone into the cups perfectly.</t>
  </si>
  <si>
    <t>v_r-rNYo8ju4k</t>
  </si>
  <si>
    <t>A group of men are all seen standing around one another on a beach while speaking and laughing to one another.</t>
  </si>
  <si>
    <t>Then men the begin putting sunscreen on one another down a line.</t>
  </si>
  <si>
    <t>v_p1pkFRHG7UY</t>
  </si>
  <si>
    <t>A tall building is shown with a tower.</t>
  </si>
  <si>
    <t>People are applauding for people that are jumping off of the top of the building.</t>
  </si>
  <si>
    <t>v_n5xfkpQ8PWM</t>
  </si>
  <si>
    <t>A woman wraps several Christmas gifts.</t>
  </si>
  <si>
    <t>A woman smiles and cuts a wrapping paper with a scissor.</t>
  </si>
  <si>
    <t>The woman places a teddy bear in a bowl.</t>
  </si>
  <si>
    <t>A woman puts two crystal presents in a white and pink box.</t>
  </si>
  <si>
    <t>A woman holds up a covered gift wrapped in silver wrapping paper.</t>
  </si>
  <si>
    <t>A woman places a jewelry box in a box.</t>
  </si>
  <si>
    <t>The woman presents a gold bowl.</t>
  </si>
  <si>
    <t>The woman holds out stacked, wrapped gifts with her hands.</t>
  </si>
  <si>
    <t>The woman blows glitter papers from the palm of her hand.</t>
  </si>
  <si>
    <t>The sponsor of the clips is introduced and displayed on the screen.</t>
  </si>
  <si>
    <t>v_bfZZdTPYmos</t>
  </si>
  <si>
    <t>There's a man wearing a white graphic shirt, sitting with bongo drums drumming a beat on the drums.</t>
  </si>
  <si>
    <t>He is wearing headphones as he drums a beat on the drums.</t>
  </si>
  <si>
    <t>He continues playing the drums.</t>
  </si>
  <si>
    <t>After a while he changes the beat after pausing for a little time.</t>
  </si>
  <si>
    <t>Then continues playing another beat on the drums.</t>
  </si>
  <si>
    <t>Then he stops for a little bit and rearranges the drums to play again.</t>
  </si>
  <si>
    <t>Another person is drumming beats on an electrical drum set that has several drums.</t>
  </si>
  <si>
    <t>v_kHyEIbBnzYM</t>
  </si>
  <si>
    <t>A man is seen walking over to a young girl who stands on a stage and begins performing martial arts.</t>
  </si>
  <si>
    <t>She performs several flips and tricks and bows to a man in the end while everyone claps for her.</t>
  </si>
  <si>
    <t>v_rBQO0Nf05vg</t>
  </si>
  <si>
    <t>The man in black shirt and blue jeans is rolling an old red carpet and vacuum the floor.</t>
  </si>
  <si>
    <t>He then unroll the new gray carpet, install it by cutting it and nailing the carpet on the floor, he removed the excess carpet on the wall, flattened it with a tool, then vacuum once the installation is complete.</t>
  </si>
  <si>
    <t>v_jXARa4T2G8o</t>
  </si>
  <si>
    <t>An intro leads into a camera panning around various snow locations with people moving and plows moving.</t>
  </si>
  <si>
    <t>The camera shows several different people stretching and warming up followed by two people falling over and standing up.</t>
  </si>
  <si>
    <t>Several clips are shown of snow boarders doing tricks on a mountain as well as jumps and grinds.</t>
  </si>
  <si>
    <t>v_8Yfm6gbKRho</t>
  </si>
  <si>
    <t>A man runs onto the field of a sporting game.</t>
  </si>
  <si>
    <t>Cricket players are pitched balls during a game in a large stadium.</t>
  </si>
  <si>
    <t>The cricket player hits a high pop fly that is caught.</t>
  </si>
  <si>
    <t>The cricket players pose for photos.</t>
  </si>
  <si>
    <t>The players all line up for a race on the adjacent track.</t>
  </si>
  <si>
    <t>v_xmGucghu2FI</t>
  </si>
  <si>
    <t>An intro of text leads into several clips of athletes throwing javelins off into the distance.</t>
  </si>
  <si>
    <t>The video continues with several more athletes being shown performing impressive throws with the Javelin.</t>
  </si>
  <si>
    <t>v_zh2Thxc6NVI</t>
  </si>
  <si>
    <t>A man in a red jacket is talking on a hockey rink.</t>
  </si>
  <si>
    <t>Several people start playing hockey on the ice.</t>
  </si>
  <si>
    <t>He gives another player a hug.</t>
  </si>
  <si>
    <t>v_3nLA8R3ULSE</t>
  </si>
  <si>
    <t>man is riding a motorbike in a dusty path inside a dome.</t>
  </si>
  <si>
    <t>motorbikes are riding bikes doing motocross in a field inside a dome.</t>
  </si>
  <si>
    <t>people are in bikes in a competition.</t>
  </si>
  <si>
    <t>v_5sYPXv0RkiM</t>
  </si>
  <si>
    <t>A man stands next to a pile of wood holding tools on his shoulders.</t>
  </si>
  <si>
    <t>The man uses a large ax to chop logs standing upright in a grassy forested area area.</t>
  </si>
  <si>
    <t>v_3dR4MEUDHa0</t>
  </si>
  <si>
    <t>Two men are playing ping pong together, one guy is wearing a black suit, the guy in the black suit has a unique style.</t>
  </si>
  <si>
    <t>The man in the black suit spikes the ping pong ball and celebrates.</t>
  </si>
  <si>
    <t>The camera scene switches to show the players from another perspective, the player in the black suit makes another spike on the ball.</t>
  </si>
  <si>
    <t>Now two players proceed to play the player in the black suit at once, he spiked the ball on both players.</t>
  </si>
  <si>
    <t>The man in the black suit is using nunchucks to play ping pong, they now have 4 players playing against him, the man in the black suit taunts them by reading a book while playing, he also pauses the ping pong balls, takes a sip of water and resumes The man starts laughing at them, and the men are frustrated.</t>
  </si>
  <si>
    <t>A final challenger arrives and walks towards him.</t>
  </si>
  <si>
    <t>The challenger spikes the ball so hard it kills him.</t>
  </si>
  <si>
    <t>v_MEwGjGcV_Ik</t>
  </si>
  <si>
    <t>Two people front to front push discs on the floor with a stick in a gym.</t>
  </si>
  <si>
    <t>A man pass on front a clock.</t>
  </si>
  <si>
    <t>v_FkQ1V0V_XCs</t>
  </si>
  <si>
    <t>A lady sits and discusses, indoors.</t>
  </si>
  <si>
    <t>The lady shows off her painted nails.</t>
  </si>
  <si>
    <t>The lady presents her nail polishes.</t>
  </si>
  <si>
    <t>The lady paints her fingernail.</t>
  </si>
  <si>
    <t>The puts nail polish on a folder and uses them to embellish her fingernail.</t>
  </si>
  <si>
    <t>The lady raises her foot and shows off her sock.</t>
  </si>
  <si>
    <t>v_OUY4TkdjnyA</t>
  </si>
  <si>
    <t>The topic of the video shows how to play foosball.</t>
  </si>
  <si>
    <t>It begins with a title screen.</t>
  </si>
  <si>
    <t>Then a clip is shown of a little boy who puts a ball shaped like an eyeball on a foosball table.</t>
  </si>
  <si>
    <t>A screen with words shows up.</t>
  </si>
  <si>
    <t>Then, a clip is shown of two boys playing with the foosball table, one of whom is reading a magazine while playing.</t>
  </si>
  <si>
    <t>Several additional clips appear showing the boys playing foosball in different ways.</t>
  </si>
  <si>
    <t>The video ends with one of the boys falling asleep while playing.</t>
  </si>
  <si>
    <t>v_tuhHQ-lHIs4</t>
  </si>
  <si>
    <t>A group of kids poses with the arms in the air.</t>
  </si>
  <si>
    <t>Another group of kids poses holding up peace signs.</t>
  </si>
  <si>
    <t>A third group of kids poses with their arms around each other.</t>
  </si>
  <si>
    <t>A fourth group of kids poses with their mouths open.</t>
  </si>
  <si>
    <t>A fifth group of kids poses smiling.</t>
  </si>
  <si>
    <t>A group of kids stands on a line in a gym.</t>
  </si>
  <si>
    <t>A girl flips across the gym.</t>
  </si>
  <si>
    <t>A young boy bounces a dodge ball.</t>
  </si>
  <si>
    <t>A group of kids in blue all run toward the center of the gym.</t>
  </si>
  <si>
    <t>A young boy aims a dodge ball at a group of kids on the opposite side of the gym and throws the ball hitting one of them.</t>
  </si>
  <si>
    <t>A young boy in blue celebrates.</t>
  </si>
  <si>
    <t>Another older boy in blue throws a dodge ball.</t>
  </si>
  <si>
    <t>A little boy runs to the line holding two balls and throws one of them.</t>
  </si>
  <si>
    <t>A boy in blue throws a ball while a boy behind him runs.</t>
  </si>
  <si>
    <t>A boy in pink throws a ball.</t>
  </si>
  <si>
    <t>A young boy in white dips down and a ball flies over his head.</t>
  </si>
  <si>
    <t>A boy in pink and then a girl in pink throw a ball.</t>
  </si>
  <si>
    <t>several kids in white celebrate.</t>
  </si>
  <si>
    <t>A group of kids runs toward the center of the gym.</t>
  </si>
  <si>
    <t>The white team plays and a very young player throws the ball.</t>
  </si>
  <si>
    <t>A boy in green throws the ball and the blue team runs to throw several balls back.</t>
  </si>
  <si>
    <t>Another boy and girl run and throw a ball at the same time.</t>
  </si>
  <si>
    <t>A boy in white throws a ball.</t>
  </si>
  <si>
    <t>A group of adults stands on the line on the gym floor.</t>
  </si>
  <si>
    <t>The adults play do0dge ball.</t>
  </si>
  <si>
    <t>A group of kids and adults hold up trophy's and wave.</t>
  </si>
  <si>
    <t>v_6Pj1Ocz8MUo</t>
  </si>
  <si>
    <t>A teen skateboard down a road while turning around and spinning.</t>
  </si>
  <si>
    <t>Another youth skateboard on the road while making turns.</t>
  </si>
  <si>
    <t>A boy holds a skateboard on his hand.</t>
  </si>
  <si>
    <t>A young man skateboard until a busy street, then the teen continue skateboarding.</t>
  </si>
  <si>
    <t>v_hzU9--vcDMY</t>
  </si>
  <si>
    <t>A man puts on paintball gear in a mirror grabs his gun and runs through the snow.</t>
  </si>
  <si>
    <t>Men duck behind trees, plywood walls and fences on a paintball field.</t>
  </si>
  <si>
    <t>Men shoot back and forth at each other.</t>
  </si>
  <si>
    <t>Men run and duck looking for a place to hide.</t>
  </si>
  <si>
    <t>The men sit on either side of the wall looking for each other then stand up and face each other.</t>
  </si>
  <si>
    <t>A man talks in front of a paintball park sign.</t>
  </si>
  <si>
    <t>v_QBlveXzAZsY</t>
  </si>
  <si>
    <t>Several bikes are in a shop lined up.</t>
  </si>
  <si>
    <t>We see people looking at the bikes, and a large box containing one.</t>
  </si>
  <si>
    <t>A man opens the box and removes the bike, He shows the pieces to the camera.</t>
  </si>
  <si>
    <t>v_OYMGPkucZYI</t>
  </si>
  <si>
    <t>Ehow and Style are on the screen.</t>
  </si>
  <si>
    <t>A woman is standing at a table with a shoe and a can of hairspray.</t>
  </si>
  <si>
    <t>The woman sprays hairspray on a scuff mark on the shoe and takes a cotton tip and rubs the scuff mark out.</t>
  </si>
  <si>
    <t>The scuff mark is gone and she talks to the camera.</t>
  </si>
  <si>
    <t>The video ends with a ehow promo.</t>
  </si>
  <si>
    <t>v_cTbkhIaj_Xc</t>
  </si>
  <si>
    <t>A group of men are standing a field and a man rolls a red ball to the other team and it is kicked out.</t>
  </si>
  <si>
    <t>After,the team switches and continue to play games of kickball.</t>
  </si>
  <si>
    <t>Now two more teams approach and the captains play Rock,Paper,Scissor to determine who will start the game.</t>
  </si>
  <si>
    <t>The woman loses and the men begin to play kicking the ball and running to the bases.</t>
  </si>
  <si>
    <t>v_xF7etZzLFbY</t>
  </si>
  <si>
    <t>A man walks alongside a boy who is mowing the lawn.</t>
  </si>
  <si>
    <t>He instructs the boy on how to turn the mower and go around a small tree.</t>
  </si>
  <si>
    <t>He continues walking and guiding the boy.</t>
  </si>
  <si>
    <t>v_RQwgREUcreI</t>
  </si>
  <si>
    <t>A woman holding a doll undoes curlers from the dolls hair.</t>
  </si>
  <si>
    <t>The woman shoes off the dolls hair.</t>
  </si>
  <si>
    <t>The woman turns the doll around to show off the back of the dolls head.</t>
  </si>
  <si>
    <t>The woman continues to show off the dolls hair.</t>
  </si>
  <si>
    <t>v_D1x5KVBdiuI</t>
  </si>
  <si>
    <t>A person is seen putting a weight on followed by a woman lifting a bar up over her head.</t>
  </si>
  <si>
    <t>Another person is seen after her lifting up a large set of weights over their heads.</t>
  </si>
  <si>
    <t>Several more people are seen lifting heavy weights over their heads while others watch on the side.</t>
  </si>
  <si>
    <t>v_J5xPmg3tmtg</t>
  </si>
  <si>
    <t>A man is seen speaking to the camera while holding sponge and a sander in each hand.</t>
  </si>
  <si>
    <t>The man then wets the sander and uses it along a set of skis.</t>
  </si>
  <si>
    <t>He guides it along the ski and stops to speak to the camera and smile.</t>
  </si>
  <si>
    <t>v_Yfg0bZbxjVg</t>
  </si>
  <si>
    <t>A lady sits on a bathtub and talks while playing with a dog.</t>
  </si>
  <si>
    <t>The lady puts the dog in the water and washes him.</t>
  </si>
  <si>
    <t>The lady adds more soap.</t>
  </si>
  <si>
    <t>The lady rinses the dog and wraps in him in a mustard orange towel.</t>
  </si>
  <si>
    <t>the lady sits and talks as the dog sits in her lap.</t>
  </si>
  <si>
    <t>The ending credits roll up the screen.</t>
  </si>
  <si>
    <t>v_P62B_iDlQXM</t>
  </si>
  <si>
    <t>A circle of green grass is shown with a trail of rocks surrounding it,a brick wall,and some trees.</t>
  </si>
  <si>
    <t>A man then comes and starts to cut the grass going around its perimeter.</t>
  </si>
  <si>
    <t>After,he takes the lawn mower and starts going vertically across the grass until the whole thing has been completed.</t>
  </si>
  <si>
    <t>v_-ucwgrxTBEg</t>
  </si>
  <si>
    <t>Two people are demonstrating Tai Chi.</t>
  </si>
  <si>
    <t>There is a garden with colorful flowers shown outside the Tai Chi school building.</t>
  </si>
  <si>
    <t>The instructors wearing blue robes are showing the basic moves used in Tai Chi.</t>
  </si>
  <si>
    <t>They are swaying their hands above their heads from left to right.</t>
  </si>
  <si>
    <t>Then the instructor demonstrates arm strength by tapping his right arm over his extended left arm.</t>
  </si>
  <si>
    <t>Both the instructors stand facing each other as they demonstrate slow and gradual hand movements.</t>
  </si>
  <si>
    <t>v_FbvTQ1-FCag</t>
  </si>
  <si>
    <t>A man is shooting a bow and arrow.</t>
  </si>
  <si>
    <t>The dart board that they are shooting at is shown.</t>
  </si>
  <si>
    <t>People are celebrating and clapping hands.</t>
  </si>
  <si>
    <t>v_j7rvKBvvvRg</t>
  </si>
  <si>
    <t>A man is on front a sink talking and wash a dish, then he puts it on the counter.</t>
  </si>
  <si>
    <t>The man put dish soap on a dish and scrub it while rinsing with water.</t>
  </si>
  <si>
    <t>Then the man shows his tattooed arms, then continues washing dishes.</t>
  </si>
  <si>
    <t>v_SNuH7bpgHuY</t>
  </si>
  <si>
    <t>The two bulls run into each other and they bump heads fighting until they knock each other down.</t>
  </si>
  <si>
    <t>Then the people run over to them and some are holding rope, while one checks on it's bloody head.</t>
  </si>
  <si>
    <t>v_16T82DHJClA</t>
  </si>
  <si>
    <t>The door opens and another man comes in and arm wrestles.</t>
  </si>
  <si>
    <t>They start fighting in the room.</t>
  </si>
  <si>
    <t>They arm wrestle again at the table.</t>
  </si>
  <si>
    <t>v_g0ns-bQ4PjE</t>
  </si>
  <si>
    <t>The lady in pink is belly dancing on the stage.</t>
  </si>
  <si>
    <t>The man is playing a keyboard, while the other man is playing the drum.</t>
  </si>
  <si>
    <t>The lady turned around, swirling around the stage and shake her hips.</t>
  </si>
  <si>
    <t>v_8GeLWWLIar4</t>
  </si>
  <si>
    <t>We see a dancing man on the cover of a book then on a street.</t>
  </si>
  <si>
    <t>We see the man sitting on the floor talking to a camera.</t>
  </si>
  <si>
    <t>We see the man illustrating break dance moves.</t>
  </si>
  <si>
    <t>The man is talking and sitting still.</t>
  </si>
  <si>
    <t>We see the man dance fast.</t>
  </si>
  <si>
    <t>We see the man perform a leg sweep move.</t>
  </si>
  <si>
    <t>We see an animated close scene and a subscribe page.</t>
  </si>
  <si>
    <t>v_kUxz_SPi72U</t>
  </si>
  <si>
    <t>A man is seen kneeling down beside a tire while holding up various tools.</t>
  </si>
  <si>
    <t>The man then takes off a hubcap and places it back on the tire.</t>
  </si>
  <si>
    <t>He turns to speak to the camera.</t>
  </si>
  <si>
    <t>v_xSMmdsV65Bc</t>
  </si>
  <si>
    <t>A White plastering tool is shown with a brown wooden handle on it.</t>
  </si>
  <si>
    <t>A person then picks it up and begins to bend it showing how the object works.</t>
  </si>
  <si>
    <t>After,the object is demonstrated on the corner of the walls and then the plaster is washed off in the grass.</t>
  </si>
  <si>
    <t>v_xr64cSwpNOM</t>
  </si>
  <si>
    <t>A man competes in a strong man competition and stands on a log chopping it with an ax in hand.</t>
  </si>
  <si>
    <t>The man finally splits the log below his feet.</t>
  </si>
  <si>
    <t>A second man in the competition in vest picks up and drops a large spherical weight on a tire repeatedly.</t>
  </si>
  <si>
    <t>A A man in red steps onto a log and receives an ax by a referee.</t>
  </si>
  <si>
    <t>v_wAt_OsQe-qM</t>
  </si>
  <si>
    <t>A man is talking inside a room in a house.</t>
  </si>
  <si>
    <t>He is holding a stick and violin.</t>
  </si>
  <si>
    <t>He then demonstrates how to play the violin.</t>
  </si>
  <si>
    <t>v_1G3rv9ssDY4</t>
  </si>
  <si>
    <t>Two professional bikers are biking at the Peckham BMX Club.</t>
  </si>
  <si>
    <t>The bikers are going over a curbed surface at full speed.</t>
  </si>
  <si>
    <t>There are several other bikers doing the same activity on another curved surface.</t>
  </si>
  <si>
    <t>There are five bikers wearing helmets standing ready to start a race.</t>
  </si>
  <si>
    <t>They begin racing at high speed over a curved road.</t>
  </si>
  <si>
    <t>Two more batches of racers start the same race.</t>
  </si>
  <si>
    <t>A single biker is going through the curved road at very high speed.</t>
  </si>
  <si>
    <t>v_hHxEBnhLsXs</t>
  </si>
  <si>
    <t>A person perform wake board holding a ski water rope.</t>
  </si>
  <si>
    <t>The man jumps an obstacle several times and lands in the water.</t>
  </si>
  <si>
    <t>Then, the man jumps the obstacle and spin around.</t>
  </si>
  <si>
    <t>Then, the man slides on ramps while flipping in the air.</t>
  </si>
  <si>
    <t>v_w8gNl6HWctA</t>
  </si>
  <si>
    <t>A man exercises by doing animated stretches in a doorway while holding a tennis racket.</t>
  </si>
  <si>
    <t>A woman approaches him and the two begin to talk.</t>
  </si>
  <si>
    <t>The man and woman begin to play tennis in a closed gym room by hitting the tennis ball against a wall with their tennis racket.</t>
  </si>
  <si>
    <t>The man becomes irate as he plays and begins stomping, yelling, wildly gesturing and pushing the woman down on the floor when she falls as they play the game.</t>
  </si>
  <si>
    <t>When the game ends the woman leaves, looking upset and the man looks satisfied as he begins doing wild stretches in front of the doorway and talking to another person.</t>
  </si>
  <si>
    <t>v__aEA1UuTai8</t>
  </si>
  <si>
    <t>A girl is standing on top of a balance beam.</t>
  </si>
  <si>
    <t>She does forward flips on the beam.</t>
  </si>
  <si>
    <t>She watches as other girls do the same.</t>
  </si>
  <si>
    <t>v_bAD_-DEgubk</t>
  </si>
  <si>
    <t>There's a young boy playing lacrosse in his front yard.</t>
  </si>
  <si>
    <t>he is holding a yellow lacrosse stick.</t>
  </si>
  <si>
    <t>He is excited as he plays the game while his mother cheers him up to play.</t>
  </si>
  <si>
    <t>He picks up the yellow ball and throws it across to his father.</t>
  </si>
  <si>
    <t>When his father throws the ball to him, he catches it with the lacrosse stick.</t>
  </si>
  <si>
    <t>His mother gets excited and shouts out for him.</t>
  </si>
  <si>
    <t>v_XFlWVBU4z9E</t>
  </si>
  <si>
    <t>A woman attempts to remove her coffee from a glove compartment, but it won't budge.</t>
  </si>
  <si>
    <t>She leans forward, waving away the camera man as she tries to take a drink.</t>
  </si>
  <si>
    <t>She finally is able to remove the cup.</t>
  </si>
  <si>
    <t>v_yE5euaQmcXw</t>
  </si>
  <si>
    <t>A man is seen grabbing a puck and curling along the ice in front of others.</t>
  </si>
  <si>
    <t>The people push the puck down the ice and celebrate with one another.</t>
  </si>
  <si>
    <t>People on the sidelines cheer and the men walk away.</t>
  </si>
  <si>
    <t>v_c7fu7RcM2iE</t>
  </si>
  <si>
    <t>A group of men do freestyle running jumps throughout the city.</t>
  </si>
  <si>
    <t>The men run together in a group.</t>
  </si>
  <si>
    <t>Each man does a set of multiple jumps in a continuous line.</t>
  </si>
  <si>
    <t>The filming is interrupted by building staff.</t>
  </si>
  <si>
    <t>v_wiflxvRl04M</t>
  </si>
  <si>
    <t>A woman is seen walking into frame and nodding at the camera that leads into her pouring mouthwash out and into her mouth.</t>
  </si>
  <si>
    <t>She rinses the mouthwash around, gurgles the liquid into her mouth, then spits it out and smiles.</t>
  </si>
  <si>
    <t>v_po_mfZ5LUVo</t>
  </si>
  <si>
    <t>A young man stands on the start line of a swimming pool.</t>
  </si>
  <si>
    <t>Then, the young man gets in the water and swims to the other side of the pull.</t>
  </si>
  <si>
    <t>After, the young man gets off the pool.</t>
  </si>
  <si>
    <t>v_wfUKi83iJCU</t>
  </si>
  <si>
    <t>Two men are showering in an outside shower.</t>
  </si>
  <si>
    <t>People are playing water polo in the water.</t>
  </si>
  <si>
    <t>They get out of the water and are walking next to the pool.</t>
  </si>
  <si>
    <t>v_fUivipdikFU</t>
  </si>
  <si>
    <t>A group of women are gathered in an indoor gym.</t>
  </si>
  <si>
    <t>They are being led by an instructor.</t>
  </si>
  <si>
    <t>They are doing zumba dances using steppers.</t>
  </si>
  <si>
    <t>v_g_qHPA0RkAY</t>
  </si>
  <si>
    <t>A line of knives and cutting utensils are on a table.</t>
  </si>
  <si>
    <t>A woman is cutting the top off of a pumpkin and raking the seeds into a bowl.</t>
  </si>
  <si>
    <t>Then she begins gutting the seeds from the pumpkin.</t>
  </si>
  <si>
    <t>She draws a face on the outside before using a knife to begin carving out the face of her pumpkin.</t>
  </si>
  <si>
    <t>Finally she places the top back in place, and puts a candle inside.</t>
  </si>
  <si>
    <t>v_fqOp0uhdEyM</t>
  </si>
  <si>
    <t>Michele Obama and another woman are hula hooping outside on a sunny day.</t>
  </si>
  <si>
    <t>As the camera zooms out a young boy and another woman to the side are also seen hula hooping while people behind run past.</t>
  </si>
  <si>
    <t>A closeup back to Michele Obama's face where she looks like she is getting quite the workout, making a smirk on her face.</t>
  </si>
  <si>
    <t>The camera angles down to just the two women's hips with the hula hoops as in the beginning and back up to mostly just seeing Michele's face.</t>
  </si>
  <si>
    <t>Michele now runs and jumps into a jumprope where she fails to successfully jump in the jump rope twice, both times looking embarrassed.</t>
  </si>
  <si>
    <t>The third time she prepares herself and runs towards the jump rope successfully jumping a couple times before being unable to do anymore.</t>
  </si>
  <si>
    <t>Now Michele is running through a foot course on the ground, while a young man trails behind.</t>
  </si>
  <si>
    <t>She is now going back and forth through another obstacle of sticks and runs towards the woods where she stops and points.</t>
  </si>
  <si>
    <t>She runs all the way back down the field, giving high fives to random people on the field at her arrival.</t>
  </si>
  <si>
    <t>v_YFIkhFEtD8w</t>
  </si>
  <si>
    <t>A person's hands are seen close up solving a rubix cube followed by a man speaking to the camera.</t>
  </si>
  <si>
    <t>The man then solves a rubix cube blind folded while a timer captures his score.</t>
  </si>
  <si>
    <t>He finishes the cube and takes off the headpiece in the end.</t>
  </si>
  <si>
    <t>v_i7L1KNGeEqU</t>
  </si>
  <si>
    <t>snowboarder is in big field in white snow.</t>
  </si>
  <si>
    <t>a cubicle in the mountain and slip down the mountain in snowboard.</t>
  </si>
  <si>
    <t>people is in cubicle and moving down the mountain in snowboard and pass by a parking lot.</t>
  </si>
  <si>
    <t>v_Is0_Qv6NLm0</t>
  </si>
  <si>
    <t>Two young guys stand together and hold up money.</t>
  </si>
  <si>
    <t>The young guys talk to a homeless man and shake his hand.</t>
  </si>
  <si>
    <t>The men talk with a homeless youth sitting outside a store.</t>
  </si>
  <si>
    <t>The group all walks together down a street.</t>
  </si>
  <si>
    <t>The men hold an arm wrestling contest standing on an outside patio.</t>
  </si>
  <si>
    <t>The man wins and both contestants are given prize money.</t>
  </si>
  <si>
    <t>v_99dCcB5Unmo</t>
  </si>
  <si>
    <t>A dancer's feet are shown in a classroom as well as a ballet class occurring in the background.</t>
  </si>
  <si>
    <t>The teacher instructs the girls how to perform proper ballet moves, as the students follow.</t>
  </si>
  <si>
    <t>The girls move their arms in the correct position and eventually turn to one side.</t>
  </si>
  <si>
    <t>Finally the instructor teaches the girls to extend their legs and perform a proper move.</t>
  </si>
  <si>
    <t>v_V1CX5B7ih6c</t>
  </si>
  <si>
    <t>Two men are on a padded surface, fighting.</t>
  </si>
  <si>
    <t>They jump and kick at each other.</t>
  </si>
  <si>
    <t>They roll around on the mat until one of them pins the other.</t>
  </si>
  <si>
    <t>v_-kAlrG4jS9M</t>
  </si>
  <si>
    <t>A man is shown bullfighting in front of a crowd.</t>
  </si>
  <si>
    <t>The man falls and is run over by the bull.</t>
  </si>
  <si>
    <t>The man is escorted out of the arena.</t>
  </si>
  <si>
    <t>The man falling over and being run over is replayed.</t>
  </si>
  <si>
    <t>Two people are shown reacting to the incident.</t>
  </si>
  <si>
    <t>Slow motion video and still images of the man's injury are shown.</t>
  </si>
  <si>
    <t>The video content repeats starting from the two people reacting.</t>
  </si>
  <si>
    <t>v_b82y7f7TFbw</t>
  </si>
  <si>
    <t>A woman talks about playing pool.</t>
  </si>
  <si>
    <t>She explains the right way to stand and how to shoot a ball when playing pool.</t>
  </si>
  <si>
    <t>v_y5wu5pysE14</t>
  </si>
  <si>
    <t>A guy runs and jumps over a pole without touching it and lands on mats,as some people in the back ground watch and others do there practices.</t>
  </si>
  <si>
    <t>the guy seems to be practicing how high he can jump by jumping over the pole many times,each time a person raises the pole higher and higher to see if the guy can jump over it.</t>
  </si>
  <si>
    <t>one jump the guy knocked the pole down when he tried to hump over it.</t>
  </si>
  <si>
    <t>the guy knock the pole down six time out of all his jumps.</t>
  </si>
  <si>
    <t>v_dpU5CcFqAPU</t>
  </si>
  <si>
    <t>Players are pulling the rope in a tug of war match.</t>
  </si>
  <si>
    <t>A man squats on the floor and rises.</t>
  </si>
  <si>
    <t>Guys pulling the left side of the rope falls to the ground.</t>
  </si>
  <si>
    <t>The guys let go of the rope, get off the lawn, and hug in celebration.</t>
  </si>
  <si>
    <t>v_tvzl11XL01k</t>
  </si>
  <si>
    <t>There's a woman dressed in a beige sweater demonstrating how to wrap Christmas gifts.</t>
  </si>
  <si>
    <t>she begins with cutting the gift wrapping paper neatly to fit the size of the box.</t>
  </si>
  <si>
    <t>She folds the paper evenly to cover the entire box.</t>
  </si>
  <si>
    <t>Then she uses scotch tape to seal the ends securely.</t>
  </si>
  <si>
    <t>She takes some decorative ribbon and other decorative items to top the box to add a special touch to the presents.</t>
  </si>
  <si>
    <t>v_MO8Dfz2Lp3w</t>
  </si>
  <si>
    <t>A group of young men play volleyball on a sandy beach in front of the ocean.</t>
  </si>
  <si>
    <t>A group of men in swim trunks and bikini briefs play volleyball in the sand at the beach in front of a tall green volley ball net.</t>
  </si>
  <si>
    <t>The men are competitive as they play using feet and head and chest to move the ball around.</t>
  </si>
  <si>
    <t>One man is lying on the sand and then gets up to play more volleyball.</t>
  </si>
  <si>
    <t>v_lO2Y1vkpyNc</t>
  </si>
  <si>
    <t>A man is seen hosting a news segment that leads into a player standing on a field.</t>
  </si>
  <si>
    <t>A person hits a ball and teammates cheer followed by more people playing the game.</t>
  </si>
  <si>
    <t>The sport continues on with people throwing balls an hitting them as well as teammates cheering and the host finishes speaking.</t>
  </si>
  <si>
    <t>v_iVGGeRlJekQ</t>
  </si>
  <si>
    <t>a stands woman by a ball and sets it in place.</t>
  </si>
  <si>
    <t>Another woman appears and they wrap the ball in wrapping paper.</t>
  </si>
  <si>
    <t>They finish wrapping and taping the ball.</t>
  </si>
  <si>
    <t>they take the camera and start to talk into it.</t>
  </si>
  <si>
    <t>v_ClE77VhGQsk</t>
  </si>
  <si>
    <t>A woman is seen speaking to the camera while people use exercise equipment around her.</t>
  </si>
  <si>
    <t>More shots are shown of people using the machine as well as people speaking to the camera and close ups of the machine.</t>
  </si>
  <si>
    <t>v_AJtJcV2_l1Q</t>
  </si>
  <si>
    <t>A construction man introduces the video and talks about placing shingles on a roof.</t>
  </si>
  <si>
    <t>He places some shingles down and nails them in.</t>
  </si>
  <si>
    <t>He nails in a metal piece that runs along the corner of the roof and building to help keep things in place.</t>
  </si>
  <si>
    <t>He repeats this process before closing the video.</t>
  </si>
  <si>
    <t>v_JAO5R6VA8r4</t>
  </si>
  <si>
    <t>A shot of a room is shown when a man walks into frame.</t>
  </si>
  <si>
    <t>The man then begins jump roping over and over again.</t>
  </si>
  <si>
    <t>He continues to jump rope and ends by walking out of frame.</t>
  </si>
  <si>
    <t>v_J8VMY1SPJaY</t>
  </si>
  <si>
    <t>A woman is seen speaking to the camera that leads into clips of people riding in kayaks and camels wandering around.</t>
  </si>
  <si>
    <t>More clips are shown of people riding around the water in a kayak.</t>
  </si>
  <si>
    <t>The person paddles themselves along the water with other people riding near him.</t>
  </si>
  <si>
    <t>v_35Xzs3Bz1hQ</t>
  </si>
  <si>
    <t>A working man carried a tray of coffee to a table with guest.</t>
  </si>
  <si>
    <t>Another man is talking to some reporters with the microphone.</t>
  </si>
  <si>
    <t>Another entrepreneur talks with the the reporters about the coffee business.</t>
  </si>
  <si>
    <t>Then they are in the coffee shop them making coffee and working around.</t>
  </si>
  <si>
    <t>v_ojQdrhHT_gE</t>
  </si>
  <si>
    <t>People are driving in bumper cars and bump into one another and are forced to stop.</t>
  </si>
  <si>
    <t>The three bumper cars break away and begin to drive in different directions as they continue to bump into one another.</t>
  </si>
  <si>
    <t>Two girls in a bumper car bump into a wall and briefliy have a hard time getting back to moving.</t>
  </si>
  <si>
    <t>People are constantly driving their bumper cars and bumping into things until the ride is over.</t>
  </si>
  <si>
    <t>v_kC8DS6b76yI</t>
  </si>
  <si>
    <t>There's a man wearing a black shirt and a green bandana demonstrating how to spray paint a microfiber sofa.</t>
  </si>
  <si>
    <t>He is using a red can of spray paint to demonstrate how to paints a cream colored sofa with red paint.</t>
  </si>
  <si>
    <t>He continues to spray paint the back and the arm rests of the sofa.</t>
  </si>
  <si>
    <t>He then places one unpainted of the seat cushions back on the sofa.</t>
  </si>
  <si>
    <t>v_coK0QVLhuj0</t>
  </si>
  <si>
    <t>Several shots of people grooming dogs are shown as well as a woman speaking to the camera in several settings.</t>
  </si>
  <si>
    <t>Dogs are seen being scrubbed, nails clipped, and brushed down with combs by several people and another woman showing off the collars they have in store.</t>
  </si>
  <si>
    <t>More shots of the store are shown as well as many dogs being groomed.</t>
  </si>
  <si>
    <t>v_5VHqMj5iikc</t>
  </si>
  <si>
    <t>A bike is pulled up to a stop in a park.</t>
  </si>
  <si>
    <t>A rider takes off from a gate on the dirt bike.</t>
  </si>
  <si>
    <t>He takes the turns and curves sharply, going over hills.</t>
  </si>
  <si>
    <t>v_eu3CLlQ9c2s</t>
  </si>
  <si>
    <t>A man replaces a tire on his bike rim using tools.</t>
  </si>
  <si>
    <t>The man reattaches the bicycle wheel to the frame of the bike.</t>
  </si>
  <si>
    <t>The sun goes down as the day gets later.</t>
  </si>
  <si>
    <t>The man stands up his bike and gets ready to depart.</t>
  </si>
  <si>
    <t>v_uZpVDAd7da8</t>
  </si>
  <si>
    <t>person with scissors kneels in the grass.</t>
  </si>
  <si>
    <t>We see the shadow of the cameraman over the person.</t>
  </si>
  <si>
    <t>The person is cutting grass with child proof scissors.</t>
  </si>
  <si>
    <t>v_hyv8OkQcgEA</t>
  </si>
  <si>
    <t>Men blows dead leaves pushing a leaf blower machine on the ground or holding a machine on the back.</t>
  </si>
  <si>
    <t>Then, a man explains how to operate a leaf blow machine while men continue blowing the leaves.</t>
  </si>
  <si>
    <t>Another man explains while other men vacuum and blows leaves.</t>
  </si>
  <si>
    <t>v_U2u9JboK97A</t>
  </si>
  <si>
    <t>We see an image and a title card.</t>
  </si>
  <si>
    <t>We see a man playing basketball.</t>
  </si>
  <si>
    <t>The shot he made is seen in reverse.</t>
  </si>
  <si>
    <t>We see a gym with teenagers shooting basketball.</t>
  </si>
  <si>
    <t>We see a title card on black.</t>
  </si>
  <si>
    <t>A man is shooting basketball in a gym.</t>
  </si>
  <si>
    <t>We see a man dunk the ball twice.</t>
  </si>
  <si>
    <t>We see the ending title card on black.</t>
  </si>
  <si>
    <t>v_9YxgMsdO9GE</t>
  </si>
  <si>
    <t>Two people are seen riding down a road with a dog.</t>
  </si>
  <si>
    <t>One person is riding a bike and the other a skateboard while the camera follows close behind.</t>
  </si>
  <si>
    <t>Several other dogs run by and the people continue riding down the road path.</t>
  </si>
  <si>
    <t>v_tTIsHfF0UgA</t>
  </si>
  <si>
    <t>man is holding a pole with an ice cream and giving it to a little child.</t>
  </si>
  <si>
    <t>people are standing and walking behind the boy in a amusement park.</t>
  </si>
  <si>
    <t>v_O9crPOB_9tE</t>
  </si>
  <si>
    <t>A man is surfing in rough ocean water, riding on and against, massive high waves while onlookers on motorboats watch and commentate.</t>
  </si>
  <si>
    <t>The man, in a wetsuit, is standing and riding on a yellow surfboard and a red surfboard first on a calm wave and then on a series of large and high waves.</t>
  </si>
  <si>
    <t>The man rides the rough waves on the surfboard with the waves at time covering his entire body and surfboard.</t>
  </si>
  <si>
    <t>The man hugs and shakes hands with people upon completing the rough surf episode and rides one last lone, high wave before fading to black.</t>
  </si>
  <si>
    <t>v_GZsplhHXQy0</t>
  </si>
  <si>
    <t>A man performs a kettle throw in front of an outdoor stadium filled with spectators in the audience.</t>
  </si>
  <si>
    <t>A man on a round dirt area on a field swings a ball around and around while standing in place.</t>
  </si>
  <si>
    <t>The man lets the ball go, where it flies in the air ahead of him.</t>
  </si>
  <si>
    <t>The man stops and bends with his knees as he watches the ball fly in the air.</t>
  </si>
  <si>
    <t>v_PG3f3Wkkptk</t>
  </si>
  <si>
    <t>A man guides a camel with kids riding on the back along a beach shoreline.</t>
  </si>
  <si>
    <t>Beach goers stand and walk along the shoreline in bathing suits.</t>
  </si>
  <si>
    <t>v_lAa8tS962Qg</t>
  </si>
  <si>
    <t>A teen explains how to flip and turn a surfboard with the feet.</t>
  </si>
  <si>
    <t>Then, the teen shows how to rise the tips of the surfboard.</t>
  </si>
  <si>
    <t>Then, the teen stands on the surfboard and demonstrates how to turn it to the side.</t>
  </si>
  <si>
    <t>After, the teen puts his hand in shoes on the surfboard and demonstrates a turn.</t>
  </si>
  <si>
    <t>Next, the teen make the turn with his feet.</t>
  </si>
  <si>
    <t>v_Quj1J31xQFM</t>
  </si>
  <si>
    <t>People are rowing down a body of water.</t>
  </si>
  <si>
    <t>A guy rinses his face with water from the body of water.</t>
  </si>
  <si>
    <t>The guy runs his water fingers through this hair.</t>
  </si>
  <si>
    <t>A man with a mustache leans over, wets his hand, and whips his face.</t>
  </si>
  <si>
    <t>v_EJr0qHpy77g</t>
  </si>
  <si>
    <t>A guy stands in a court holding a colorful stick and touches a pinata.</t>
  </si>
  <si>
    <t>A guy swings a stick at a pinata.</t>
  </si>
  <si>
    <t>The guy stops and puts the stick besides him.</t>
  </si>
  <si>
    <t>v_gXVjjjvjVf4</t>
  </si>
  <si>
    <t>A man is seated in front of a small canvas.</t>
  </si>
  <si>
    <t>He uses a long pointed brush to create an image.</t>
  </si>
  <si>
    <t>He then fills the image with paints.</t>
  </si>
  <si>
    <t>v_8v4NoUJMssI</t>
  </si>
  <si>
    <t>A man pours coffee into a mug.</t>
  </si>
  <si>
    <t>The man grabs open a beer bottle with the use of a jug.</t>
  </si>
  <si>
    <t>The man pours the beer into the mug.</t>
  </si>
  <si>
    <t>The man drinks the drink.</t>
  </si>
  <si>
    <t>v_rWoSJ9YBy5E</t>
  </si>
  <si>
    <t>We see a man talking to a camera then hold a curling stone then people laughing at the man.</t>
  </si>
  <si>
    <t>The man throws the curling stone as people sweep brooms in front of the stone.</t>
  </si>
  <si>
    <t>Three ladies throw the stone and slides down the track.</t>
  </si>
  <si>
    <t>We see people partying an lights flashing.</t>
  </si>
  <si>
    <t>Images flash of people curing again, and a group of people jump in the air.</t>
  </si>
  <si>
    <t>We see a title screen for curling.</t>
  </si>
  <si>
    <t>v_DuLweixeP8I</t>
  </si>
  <si>
    <t>Two people are sword fighting on a stage for an audience.</t>
  </si>
  <si>
    <t>A guy gestures the the result of each match.</t>
  </si>
  <si>
    <t>The audience members look on.</t>
  </si>
  <si>
    <t>v_HtuDZLsOK6M</t>
  </si>
  <si>
    <t>Various shots of scenery are shown and leads to a person scratching a dog and pulling a rope.</t>
  </si>
  <si>
    <t>More shots of people riding a boat are shown, seagulls flying, and people playing music.</t>
  </si>
  <si>
    <t>Next a person is seen drawing on a map and ends with an anchor and pictures of people.</t>
  </si>
  <si>
    <t>v_Kz6I9Zx5E_0</t>
  </si>
  <si>
    <t>A team of young cheerleaders are in a gym doing toss ups and flips.</t>
  </si>
  <si>
    <t>The owner then comes along and begins to talk as the video goes over the materials each person will need.</t>
  </si>
  <si>
    <t>After,three girls are shown standing in a straddle position and begins to clap and lunge with their right hand to the side and go down.</t>
  </si>
  <si>
    <t>The girls continue to do the cheer and when they are done, the owner joins in.</t>
  </si>
  <si>
    <t>Once the coach disappears,the girls continue the cheer and the video ends.</t>
  </si>
  <si>
    <t>v_SzLlB2SgtQo</t>
  </si>
  <si>
    <t>The video leads into several shots of different people riding around windsurfing while passing one another.</t>
  </si>
  <si>
    <t>A man is seen talking to the camera and leads into a shot of a person wind surfing and waving to the camera.</t>
  </si>
  <si>
    <t>More people are shown surfing and waving to the camera while moving around the ocean continuously.</t>
  </si>
  <si>
    <t>v_LHiui4s2X1s</t>
  </si>
  <si>
    <t>Two people are seen standing in front of a large crowd with one cheering and shoving his arms back and fourth.</t>
  </si>
  <si>
    <t>The men throw the ball back and fourth and switch places with another, ending with the same man cheering and hugging another.</t>
  </si>
  <si>
    <t>v_AjSFqqfzml0</t>
  </si>
  <si>
    <t>We see a play button on a screen.</t>
  </si>
  <si>
    <t>We sees a lady shave her legs with a pink razor.</t>
  </si>
  <si>
    <t>We then see the ending screen play button.</t>
  </si>
  <si>
    <t>v_N7z9_g196z0</t>
  </si>
  <si>
    <t>Titles in bold lettering are seen on the page against still images and a dark background.</t>
  </si>
  <si>
    <t>Men play a game of croquet in a grassy yard.</t>
  </si>
  <si>
    <t>Men kneels down and hits the croquet ball like a billiard shot.</t>
  </si>
  <si>
    <t>The man runs holding up his stick celebrating.</t>
  </si>
  <si>
    <t>A man skips on the grass holding his stick smiling.</t>
  </si>
  <si>
    <t>v_YLT7YEwUCwI</t>
  </si>
  <si>
    <t>A man is seen speaking to the camera and leads into him sitting still in a pool.</t>
  </si>
  <si>
    <t>The man then begins swimming around the pool back and fourth with others.</t>
  </si>
  <si>
    <t>Several shots are shown of him swimming around people as well as moving in the water.</t>
  </si>
  <si>
    <t>v_UyThFVEvNsI</t>
  </si>
  <si>
    <t>Two women are playing badminton on a stage.</t>
  </si>
  <si>
    <t>People are playing the game of the price is right.</t>
  </si>
  <si>
    <t>A woman wins and walks on the stage to give the host a hug.</t>
  </si>
  <si>
    <t>v_jDlF26-Uu2I</t>
  </si>
  <si>
    <t>Two girls are standing on a grass field.</t>
  </si>
  <si>
    <t>One of the girls starts doing cheerleading moves.</t>
  </si>
  <si>
    <t>The other girl stands next to her talking.</t>
  </si>
  <si>
    <t>v__I1DKeGg_w8</t>
  </si>
  <si>
    <t>A man is practicing throwing darts at his dart board.</t>
  </si>
  <si>
    <t>He throws them all and then he has to get over to get them all off.</t>
  </si>
  <si>
    <t>Once he has them all off he starts to throw them again.</t>
  </si>
  <si>
    <t>He repeats this cycle a few times over and over again.</t>
  </si>
  <si>
    <t>v_H5TETCI731k</t>
  </si>
  <si>
    <t>A man talks indoors, then a lady talks in a field while girls runs on her side.</t>
  </si>
  <si>
    <t>The lady talks with girls who plays a game hitting a ball with a stick.</t>
  </si>
  <si>
    <t>Girls take turns to talk, while other players practice shooting balls to the goal and display the city of Baltimore, the players of the Ravens and the roads of the city.</t>
  </si>
  <si>
    <t>v_r1ZhBGLfRWY</t>
  </si>
  <si>
    <t>A boy is twirled around and prepared to break a pinata.</t>
  </si>
  <si>
    <t>Instead he hits a girl in the face.</t>
  </si>
  <si>
    <t>v_kAmDOTsp5cs</t>
  </si>
  <si>
    <t>A man skip rope in a drive way, then the man jumps and skip rope.</t>
  </si>
  <si>
    <t>After, the man holds the rope on his left hand and skip while turning the rope.</t>
  </si>
  <si>
    <t>Next, the man alternate skipping rope and flip the rope side to side on front.</t>
  </si>
  <si>
    <t>Also, the man jump rope criss cross and jumps rope double.</t>
  </si>
  <si>
    <t>Then the man jumps rope doing squatting jumps and jump lunges.</t>
  </si>
  <si>
    <t>v_Tu1oKxyfHTs</t>
  </si>
  <si>
    <t>A male is wearing black and white swimming shorts, standing at the edge of a diving board, bounces a few times and then jumps out of view and into the water.</t>
  </si>
  <si>
    <t>An older shirtless man wearing black shorts begins to walk on the same board of the male who previously jumped but then stops.</t>
  </si>
  <si>
    <t>On a shorter board a male wearing blue swim underwear walks to the edge of the board jumps a few times, stops, turns around and walks back.</t>
  </si>
  <si>
    <t>The male walks to the edge of the board again, jumps a few times, then once again turns around and walks back.</t>
  </si>
  <si>
    <t>The male tries one more time and walks to the edge of the diving board and finally jumps and does a few flips before landing in the water and then swims to the edge of the pool.</t>
  </si>
  <si>
    <t>v_K-t4tUTq_Ik</t>
  </si>
  <si>
    <t>People are standing on a tennis court.</t>
  </si>
  <si>
    <t>They are playing a game of tennis.</t>
  </si>
  <si>
    <t>A man in a white shirt hits the tennis ball.</t>
  </si>
  <si>
    <t>v_vpu4Bwq-xHI</t>
  </si>
  <si>
    <t>There are lots of adults in the room (elderly or young) and they're all watching this girl play the clarinet.</t>
  </si>
  <si>
    <t>First the girl walks to the front of the classroom as she holds her clarinet and the man who plays the piano gets up from his seat to play the piano.</t>
  </si>
  <si>
    <t>Then he starts playing the piano and she plays the clarinet along with the piano, when she's done everyone claps for her.</t>
  </si>
  <si>
    <t>v_uqzy1FAUpPM</t>
  </si>
  <si>
    <t>A man gets ready to to preform an event.</t>
  </si>
  <si>
    <t>He begins to start running fast.</t>
  </si>
  <si>
    <t>He is running down the lane and the he jumps 3 times into the sand.</t>
  </si>
  <si>
    <t>He runs out of the pit happily.</t>
  </si>
  <si>
    <t>He continues to walk around cheering as it cuts to the crowd and announcers.</t>
  </si>
  <si>
    <t>He blows a kiss to the crowd.</t>
  </si>
  <si>
    <t>He goes and starts hugging fans.</t>
  </si>
  <si>
    <t>v_Nc71GzZhAHE</t>
  </si>
  <si>
    <t>cars are driving in a snowy highway.</t>
  </si>
  <si>
    <t>a sign to a sugar mountain is shown and peolpe practicing snowboard.</t>
  </si>
  <si>
    <t>people is snowboarding down a snowy hill.</t>
  </si>
  <si>
    <t>snowy cars are riding in snowy hill.</t>
  </si>
  <si>
    <t>men are snowboarding in a hill.</t>
  </si>
  <si>
    <t>v_FEGf7ejk8Fc</t>
  </si>
  <si>
    <t>A young child is seen sitting in a chair in front of a table with a large body.</t>
  </si>
  <si>
    <t>The hands are then seen writing a note and rubbing against the face while the child laughs and the hands continue moving.</t>
  </si>
  <si>
    <t>v_qbUQVhjQJ48</t>
  </si>
  <si>
    <t>A man pushes a disc in front of a hopscotch game.</t>
  </si>
  <si>
    <t>Another person pushes a disc towards the hopscotch.</t>
  </si>
  <si>
    <t>The first man makes a funny face.</t>
  </si>
  <si>
    <t>v_XzNMQl0EdEo</t>
  </si>
  <si>
    <t>A lone man in a room with a green screen backdrop performs a break dancing move on a patch of hardwood floors, using his back to spin.</t>
  </si>
  <si>
    <t>The man stops dancing and stands in front of the camera talking to it before demonstrating basic break dance moves including using the hands and knees to perform spins from the floor.</t>
  </si>
  <si>
    <t>The man continues to demonstrate break dance moves and talk to the camera until he gives a peace sign to the camera and the screen fades to a marketing graphic.</t>
  </si>
  <si>
    <t>v_M6i-5nzy5Bk</t>
  </si>
  <si>
    <t>Clips of women and men are pole vaulting indoors while a lot of people are moving about around them or just watching, and a banner at the bottom reads that it's at "Texas Elite Pole Vaulting Competition Bell County Expo Center on 12 28 13".</t>
  </si>
  <si>
    <t>As various clips of different people are pole vaulting, a man and woman are standing indoors next to one another and talking to the camera with the words at the bottom of the screen say their names are Kaitlin Petrillose &amp; Jack Chapman Competitor &amp; Chairman".</t>
  </si>
  <si>
    <t>The view blurs and white words on the screen appear in the middle and say "Killeen Daily Herald By Marianne Gish".</t>
  </si>
  <si>
    <t>v_Yd0q08-cpJU</t>
  </si>
  <si>
    <t>A curtain is seen, and a belly dancer walks onto the stage.</t>
  </si>
  <si>
    <t>She performs for the audience, shaking her hips and sucking her belly in and out.</t>
  </si>
  <si>
    <t>When she finishes, she throws her arms into the air and the screen goes black.</t>
  </si>
  <si>
    <t>v_lUrHCNqVl-A</t>
  </si>
  <si>
    <t>An athletic man is seen standing in a circle followed by spinning around and throwing an object off into the distance.</t>
  </si>
  <si>
    <t>More people are seen stepping up throwing the object while the camera watches.</t>
  </si>
  <si>
    <t>Several people watch on the sidelines.</t>
  </si>
  <si>
    <t>v_9peoWGfb9jc</t>
  </si>
  <si>
    <t>A man is seen putting tape on a set of skis on each end and begins rubbing wax on the ski.</t>
  </si>
  <si>
    <t>The man then takes a sander and runs it all along the length of the ski.</t>
  </si>
  <si>
    <t>The man then takes a board and rubs it along the ski and ends by taking it off.</t>
  </si>
  <si>
    <t>v_a7DEFV0_nCE</t>
  </si>
  <si>
    <t>A large beach is shown as well as people standing around on the beach and looking at the sky.</t>
  </si>
  <si>
    <t>People are seen flying kites up in the air while people look around and watch.</t>
  </si>
  <si>
    <t>More people are seen flying kites up in the air with some grabbing them off the ground.</t>
  </si>
  <si>
    <t>v_QHF28_yGOV8</t>
  </si>
  <si>
    <t>A man in a black wet suit and carrying a surfboard is talking to the camera man, about to get in the water.</t>
  </si>
  <si>
    <t>Dramatic music plays while showing various clips of surfers in the water, riding waves.</t>
  </si>
  <si>
    <t>The video ends as the man in the black wet suit comes on shore after riding a wave and smiling.</t>
  </si>
  <si>
    <t>v_-YMpwZkNc2A</t>
  </si>
  <si>
    <t>A man walks into frame and speaks to the camera while holding a razor and razor heads in his hands.</t>
  </si>
  <si>
    <t>A scene appears over the man's video and he is seen rubbing cream on his face and shaving off the hair.</t>
  </si>
  <si>
    <t>He leaves a bit of hair on his chin and is seen again speaking to the camera and walks away.</t>
  </si>
  <si>
    <t>v_x7lP6GKepco</t>
  </si>
  <si>
    <t>Various people are shown in a workshop working while pushing objects, driving machinery, working machinery and etcetera.</t>
  </si>
  <si>
    <t>A woman is shown putting a long metal piece into a large machinery and the words "TODAY'S TOPIC: WELDING" appears on the screen followed by a person wearing a mask and welding with a torch.</t>
  </si>
  <si>
    <t>A woman is now standing at a machine and she is grabbing various metal objects and putting them into a machine that welds them together.</t>
  </si>
  <si>
    <t>The outro appears and it's a white screen with a red and blue logo, website and hashtag information.</t>
  </si>
  <si>
    <t>v_bwcgMTHFRV8</t>
  </si>
  <si>
    <t>A large band is walking down a parade and there a lot of people walking alongside, and standing on the sidelines watching or taking photos and videos.</t>
  </si>
  <si>
    <t>The view changes to women carrying and swinging flags on a pole and then switches back to the large band that comes to a stop and continues to play for the crowd.</t>
  </si>
  <si>
    <t>The band resumes walking and so does the crowd around and behind them.</t>
  </si>
  <si>
    <t>v_G-xh30e4s8E</t>
  </si>
  <si>
    <t>A man sits in a room in front of a flag.</t>
  </si>
  <si>
    <t>He is playing a black wind instrument.</t>
  </si>
  <si>
    <t>His fingers position over the holes.</t>
  </si>
  <si>
    <t>He is wearing sunglasses as he plays.</t>
  </si>
  <si>
    <t>v_Jy9kiITFsjI</t>
  </si>
  <si>
    <t>People are in the stands of an arena.</t>
  </si>
  <si>
    <t>A bull gets drug out of the arena by horses.</t>
  </si>
  <si>
    <t>A woman is talking to the camera.</t>
  </si>
  <si>
    <t>v_CDWHstJThJA</t>
  </si>
  <si>
    <t>A group of young Asian men are indoors with a lot of spectators in the stands holding signs and cheering them on.</t>
  </si>
  <si>
    <t>Two young Asian men stand up with their bow and arrows and they each take turns at shooting at their bulls eye target while the crowd cheers them on after each shot is made, and occasionally 3 suited people are shown making commentaries.</t>
  </si>
  <si>
    <t>When the men are done shooting at the target,one of them raise their arm in victory, they shake each others hands,hug, take a bow and wave to the cheering crowd.</t>
  </si>
  <si>
    <t>v_zm8gZpwZkRE</t>
  </si>
  <si>
    <t>A woman is in a room with chairs.</t>
  </si>
  <si>
    <t>She is playing the violin.</t>
  </si>
  <si>
    <t>Two men are playing drums with her.</t>
  </si>
  <si>
    <t>The camera pans between them.</t>
  </si>
  <si>
    <t>v_dVLIfsEMD8Y</t>
  </si>
  <si>
    <t>A man is throwing darts on to a dart board.</t>
  </si>
  <si>
    <t>He throws one and makes it to the center of the board.</t>
  </si>
  <si>
    <t>He throws again and also makes it to the center.</t>
  </si>
  <si>
    <t>Every single shot makes it right in the center of the board.</t>
  </si>
  <si>
    <t>v_-cwPzzcNpGs</t>
  </si>
  <si>
    <t>Two men sit together at a booth and compete in an arm wrestling match.</t>
  </si>
  <si>
    <t>The friends gathered around watching make challenges with the arm wrestlers after the match.</t>
  </si>
  <si>
    <t>The men shake hands and talk after the match.</t>
  </si>
  <si>
    <t>v_I5N4rwhRa0o</t>
  </si>
  <si>
    <t>The title and logo appear on the screen.</t>
  </si>
  <si>
    <t>A man holding a saxophone plays and talks to the camera in between.</t>
  </si>
  <si>
    <t>A man holds the saxophone up to show the bottom.</t>
  </si>
  <si>
    <t>The man takes the mouthpiece off his saxophone, and replaces it.</t>
  </si>
  <si>
    <t>We see a closeup of the man playing the saxophone, it zooms out and in on him again.</t>
  </si>
  <si>
    <t>We see a closeup of the opening of the horn.</t>
  </si>
  <si>
    <t>The screen goes black and we see the end screen.</t>
  </si>
  <si>
    <t>v_uYLYJABDubw</t>
  </si>
  <si>
    <t>We see two ladies arm wrestling.</t>
  </si>
  <si>
    <t>The right lady looks at the camera.</t>
  </si>
  <si>
    <t>The right lady wins the match.</t>
  </si>
  <si>
    <t>The left lady drops her head to the table.</t>
  </si>
  <si>
    <t>The right lady throws her arms in the air and talks to the camera.</t>
  </si>
  <si>
    <t>v_wqM6TdjBCfs</t>
  </si>
  <si>
    <t>A man chops wood with an ax on the snow.</t>
  </si>
  <si>
    <t>A person stands behind the man.</t>
  </si>
  <si>
    <t>A person handles the spliced firewood to a man.</t>
  </si>
  <si>
    <t>The man continues chopping firewood with the ax.</t>
  </si>
  <si>
    <t>The ax gets stack in a piece of wood, but the man get it off and continues cutting the firewood.</t>
  </si>
  <si>
    <t>v_ZksAXEVmFrg</t>
  </si>
  <si>
    <t>An elderly white woman with short blonde hair and glasses begins talking in the corner of the gymnasium.</t>
  </si>
  <si>
    <t>The small girls then enter the gym and a male coach begins assisting them as they walk across the balance beam.</t>
  </si>
  <si>
    <t>v_fm4ZaId1sL0</t>
  </si>
  <si>
    <t>An Asian woman wearing a blue shirt and begins talking and throwing her hands up at the camera.</t>
  </si>
  <si>
    <t>She then grabs an iron and continues to iron a yellow piece of cloth on the ironing board.</t>
  </si>
  <si>
    <t>Once the front is finished,she grabs it and flips it over so she can complete the ironing.</t>
  </si>
  <si>
    <t>v_qPZwXF1Xcpw</t>
  </si>
  <si>
    <t>The camera pans over a grass field surrounded by a track, with people doing indistinct things in the background.</t>
  </si>
  <si>
    <t>A man is shown engaging in shot put.</t>
  </si>
  <si>
    <t>Judges measure the man's throw.</t>
  </si>
  <si>
    <t>The audience is shown clapping as the man receives congratulations from people nearby.</t>
  </si>
  <si>
    <t>A replay of the throw is shown.</t>
  </si>
  <si>
    <t>v_4aiE_-yQWZE</t>
  </si>
  <si>
    <t>Several people are dressed in sweatsuits rolling out mats in a large gym.</t>
  </si>
  <si>
    <t>After the mats are rolled out,other individuals begin walking across the floor dressed in fencing uniforms.</t>
  </si>
  <si>
    <t>The athletes then begin walking around and talking to each other as a small mascot walks across the mat.</t>
  </si>
  <si>
    <t>Finally,a match begins and once it is over about five of the individuals pose for a picture.</t>
  </si>
  <si>
    <t>The camera then speeds up and shows several teams and people entering and leaving the gym.</t>
  </si>
  <si>
    <t>Next,fencing matches are shown between about 12 pairs of people and they line up and give each other a high five before huddling up and having a talk with their coach.</t>
  </si>
  <si>
    <t>v_W8eqlIPRWCk</t>
  </si>
  <si>
    <t>A black screen appears with blue letters that say "Jayne Clarke Field Hockey Clips 2009".</t>
  </si>
  <si>
    <t>The clips begin to play and there are a series of small clips put together of the girl playing with a team, practicing alone, and practicing on a course.</t>
  </si>
  <si>
    <t>The video ends with the girl practicing alone on a empty and large blue indoor court.</t>
  </si>
  <si>
    <t>v_6tdIiKzMVcg</t>
  </si>
  <si>
    <t>We see strong men arm wrestling.</t>
  </si>
  <si>
    <t>We see two men hug after the match.</t>
  </si>
  <si>
    <t>A host in a white suit narrates.</t>
  </si>
  <si>
    <t>We see a camera man right behind the table.</t>
  </si>
  <si>
    <t>The final match starts and ends very quickly and the men hug.</t>
  </si>
  <si>
    <t>We see a mirage of images.</t>
  </si>
  <si>
    <t>v_R8RrOgz9hj8</t>
  </si>
  <si>
    <t>A large group of people are seen riding down multiple rafts down a rigorous river while paddling continuously.</t>
  </si>
  <si>
    <t>Several shots are shown of the people riding down while holding their sticks up into the air and ends with people stopping to eat.</t>
  </si>
  <si>
    <t>v_iODCh_DsGak</t>
  </si>
  <si>
    <t>A man in a suit and a woman in a dress are standing in front of an audience.</t>
  </si>
  <si>
    <t>They begin to dance on the floor.</t>
  </si>
  <si>
    <t>They finish dancing and the audience claps.</t>
  </si>
  <si>
    <t>v_WreRcthWXv8</t>
  </si>
  <si>
    <t>A person is holding onto a motorcycle wearing roller blades and being dug along a street.</t>
  </si>
  <si>
    <t>A man is standing by a fountain of water.</t>
  </si>
  <si>
    <t>People are doing roller skating tricks.</t>
  </si>
  <si>
    <t>v_7FtSO6hPcxU</t>
  </si>
  <si>
    <t>A man talks to the camera in a close up view.</t>
  </si>
  <si>
    <t>Scenes of the man's daily activities are shown.</t>
  </si>
  <si>
    <t>Scenes of the man getting serviced at a hair salon is shown, usually with other individuals in the background.</t>
  </si>
  <si>
    <t>Scenes of the man talking to the camera with various others are shown.</t>
  </si>
  <si>
    <t>More scenes from the hair salon are shown.</t>
  </si>
  <si>
    <t>v_47SHPAe0s0k</t>
  </si>
  <si>
    <t>Three men are seen riding on top of horses around one another and leads into a bull running in and chasing a man on a horse.</t>
  </si>
  <si>
    <t>The man rides around the bull and shows several more shots of the riders riding around the bull.</t>
  </si>
  <si>
    <t>At one point more men run into the pit and the bull lays down on it's side while the audience cheers and the man holds his arms up.</t>
  </si>
  <si>
    <t>v_CAa74sedG9A</t>
  </si>
  <si>
    <t>Kids are on a field, kicking a ball back and forth.</t>
  </si>
  <si>
    <t>A girl runs up and kicks at the boy.</t>
  </si>
  <si>
    <t>She runs down the sideline and tries to take the ball while other girls watch from the sidelines.</t>
  </si>
  <si>
    <t>The kids continue playing until the clip ends.</t>
  </si>
  <si>
    <t>v_WlsVDIIo2dk</t>
  </si>
  <si>
    <t>Several couples of men and women are shown performing a tango routine in front of a group of people.</t>
  </si>
  <si>
    <t>Many people watch on the sides and one couple laughs and walk away in the end.</t>
  </si>
  <si>
    <t>v_Ib1xMq2aUl0</t>
  </si>
  <si>
    <t>These 3 men are shown rollerblading outdoors in the middle of the street.</t>
  </si>
  <si>
    <t>They are dancing, going in circles, and spinning around.</t>
  </si>
  <si>
    <t>v__7JooVc_sCQ</t>
  </si>
  <si>
    <t>A group of bike riders are awaiting to start a race, eventually all falling down when the gate open.</t>
  </si>
  <si>
    <t>A close up shot of a bike is done while a man puts his gear on to ride.</t>
  </si>
  <si>
    <t>One rider is shown riding around while another does various tricks.</t>
  </si>
  <si>
    <t>Several different bikers are shown riding up and down tracks and flying through at record speeds.</t>
  </si>
  <si>
    <t>v__vVKdZM5Cy8</t>
  </si>
  <si>
    <t>A man is shown holding a volleyball talking to the camera and leads into showing various jumps.</t>
  </si>
  <si>
    <t>He continues talking to the camera and moving around the gym hitting the ball.</t>
  </si>
  <si>
    <t>v_gsfIHiBB6xE</t>
  </si>
  <si>
    <t>The men on the field grab their tools.</t>
  </si>
  <si>
    <t>We see men in a field cutting tall grass as other watch.</t>
  </si>
  <si>
    <t>The left man uses a sickle and takes the lead over the man with the weed wacker.</t>
  </si>
  <si>
    <t>The man with the sickle finishes.</t>
  </si>
  <si>
    <t>The crowd claps for the man.</t>
  </si>
  <si>
    <t>The shirtless man walks away.</t>
  </si>
  <si>
    <t>The camera pans right to show the other man working on the grass.</t>
  </si>
  <si>
    <t>v_xrbKvttgcMA</t>
  </si>
  <si>
    <t>A boy is standing on a court holding a racquet in his right hand, a ball comes his way and he hits it very hard.</t>
  </si>
  <si>
    <t>The boy walks towards the left and a man is there hitting the ball and he and the boy go back and forth taking turns hitting the ball very hard against the wall in front of them.</t>
  </si>
  <si>
    <t>The ball rolls on the ground, the boy picks it up and hits it to the wall and once more the man hits the ball and the camera points to the ground.</t>
  </si>
  <si>
    <t>v_WC3GCmEqCBc</t>
  </si>
  <si>
    <t>A chef is seen standing behind a counter speaking to the camera.</t>
  </si>
  <si>
    <t>The man is then seen holding up several tools and presenting them to the camera.</t>
  </si>
  <si>
    <t>The man then uses the tool in a bowl of salad and presents it to the camera.</t>
  </si>
  <si>
    <t>v_84g4J1rxkQc</t>
  </si>
  <si>
    <t>A man is in the woods, balancing on a tight rope.</t>
  </si>
  <si>
    <t>He walks back and forth on the rope, then jumps.</t>
  </si>
  <si>
    <t>v_rs7er4e67ec</t>
  </si>
  <si>
    <t>The video begins with details of a field hockey team's victory in the final championship game.</t>
  </si>
  <si>
    <t>The stadium shows the two teams competing in the game hockey.</t>
  </si>
  <si>
    <t>The crowd is loudly cheering as one team becomes victorious.</t>
  </si>
  <si>
    <t>The players jump on each other with joy as they celebrate.</t>
  </si>
  <si>
    <t>There is a stage of singers performing live music as they celebrate the victory of the winning team.</t>
  </si>
  <si>
    <t>v_0FTaJwbFdZI</t>
  </si>
  <si>
    <t>A woman is doing a dance routine on a stage.</t>
  </si>
  <si>
    <t>She twirls and kicks her legs around.</t>
  </si>
  <si>
    <t>She moves all around the stages and bends her body in numerous ways.</t>
  </si>
  <si>
    <t>She continues shaking her body for the audience to see.</t>
  </si>
  <si>
    <t>She shakes her hips back and fourth while moving her arms in various ways.</t>
  </si>
  <si>
    <t>v_mnS-nMZne3I</t>
  </si>
  <si>
    <t>A man walks onto a diving board.</t>
  </si>
  <si>
    <t>He jumps on the diving board several times and jumps into a pool.</t>
  </si>
  <si>
    <t>The man surfaces and stands up in the pool.</t>
  </si>
  <si>
    <t>v_rq-Xyoo5Rs0</t>
  </si>
  <si>
    <t>People are doing flips by running and jumping to the wall.</t>
  </si>
  <si>
    <t>boys do back flips on a blue mat.</t>
  </si>
  <si>
    <t>A kid jumps over several other kids laying on the mat.</t>
  </si>
  <si>
    <t>Two guys body roll with each other on the mat.</t>
  </si>
  <si>
    <t>v_BTtMoBOHrlQ</t>
  </si>
  <si>
    <t>Two men are posing in a photo for martial arts.</t>
  </si>
  <si>
    <t>A group is gathered inside a room, shown in various martial arts poses.</t>
  </si>
  <si>
    <t>They change movements, text on the screen showing what they are doing.</t>
  </si>
  <si>
    <t>It ends with an ad for the school.</t>
  </si>
  <si>
    <t>v_mwndGBRpOPg</t>
  </si>
  <si>
    <t>A person is seen riding a surfboard with a kite on top along the water.</t>
  </si>
  <si>
    <t>The person pushes themselves up into the air and flips back down.</t>
  </si>
  <si>
    <t>He continues riding along the water.</t>
  </si>
  <si>
    <t>v_CrCtYGvG9Uw</t>
  </si>
  <si>
    <t>A man is talking to a camera about his hair.</t>
  </si>
  <si>
    <t>Another man comes in and begins cutting the first boy's fair.</t>
  </si>
  <si>
    <t>He brushes his hair and cuts through it with a fine comb.</t>
  </si>
  <si>
    <t>The stylist performs various styles and techniques on the hair.</t>
  </si>
  <si>
    <t>The stylist puts gel in the hair and the boy is finished with his cut.</t>
  </si>
  <si>
    <t>v_fYuJdh9gqr0</t>
  </si>
  <si>
    <t>A man in a hard hat is looking at a building.</t>
  </si>
  <si>
    <t>A second man walks up and shakes the first mans hand.</t>
  </si>
  <si>
    <t>Both men acknowledge the building and discuss.</t>
  </si>
  <si>
    <t>Three men are spackling the wall as two comparisons are shown.</t>
  </si>
  <si>
    <t>The two men inspect the wall.</t>
  </si>
  <si>
    <t>Another man walks up and is introduced to the other man.</t>
  </si>
  <si>
    <t>The man walks away as the first two continue talking.</t>
  </si>
  <si>
    <t>v_vMdSEzQkRTg</t>
  </si>
  <si>
    <t>A person stands on front a wood fire in the woods.</t>
  </si>
  <si>
    <t>Then, the person light a match and throw it in the wood fire, then a fire lit.</t>
  </si>
  <si>
    <t>v_WsHzMciP5X8</t>
  </si>
  <si>
    <t>A large audience is seen watching a sports game and leads into a coin toss.</t>
  </si>
  <si>
    <t>The audience cheers more and leads into people throwing a ball and others hitting it.</t>
  </si>
  <si>
    <t>More shots of the game being played are shown as well as others watching on the sides.</t>
  </si>
  <si>
    <t>v_QBJelFFVJu0</t>
  </si>
  <si>
    <t>The harmonica is held up and shown.</t>
  </si>
  <si>
    <t>A person holds a harmonica between his hands a plays a song.</t>
  </si>
  <si>
    <t>The person finishes the song and holds up the harmonica.</t>
  </si>
  <si>
    <t>v_XgaEYidtX6E</t>
  </si>
  <si>
    <t>Walking down the street holding onto a skate board the boy puts his board down and begins to skate.</t>
  </si>
  <si>
    <t>Then three friends join him and they skate down the road.</t>
  </si>
  <si>
    <t>While on the board they bend down with their hands behind their backs to build up some more momentum.</t>
  </si>
  <si>
    <t>They ride around all over from one area to another enjoying their free time boarding.</t>
  </si>
  <si>
    <t>v_wqZzLAPmr9k</t>
  </si>
  <si>
    <t>An image is shown of a plate of sardine pasta, along with a list of ingredients.</t>
  </si>
  <si>
    <t>Water is salted and boiled for the pasta, and vegetables are sauteed in olive oil.</t>
  </si>
  <si>
    <t>Sardines are added, then mixed with the spaghetti noodles, creating a finished dish.</t>
  </si>
  <si>
    <t>v_YcxPoVlukf4</t>
  </si>
  <si>
    <t>A hockey player talks in an interview on tv.</t>
  </si>
  <si>
    <t>Several stills of him playing ice hockey are shown as he talks.</t>
  </si>
  <si>
    <t>He continues talking as the pictures flash across the screen.</t>
  </si>
  <si>
    <t>v_Y-1QkIGm81w</t>
  </si>
  <si>
    <t>The man wearing gray sweater is playing guitar.</t>
  </si>
  <si>
    <t>The man looked on the guitar.</t>
  </si>
  <si>
    <t>The man in blue shirt play his guitar, then poke the threads.</t>
  </si>
  <si>
    <t>v_zVMDHCnT-d4</t>
  </si>
  <si>
    <t>Two men are seated in a room in front of a robotic arm.</t>
  </si>
  <si>
    <t>One of the men is using a controller to make the arm pick up a bottle.</t>
  </si>
  <si>
    <t>The arm brings the bottle to the man's face, so he can take a drink.</t>
  </si>
  <si>
    <t>Then the robot returns the bottle to the table.</t>
  </si>
  <si>
    <t>v_cRBnLFujD3g</t>
  </si>
  <si>
    <t>Performers sings and dancers on a concert stage.</t>
  </si>
  <si>
    <t>A performer climbs down the stairs.</t>
  </si>
  <si>
    <t>Several performers pose, gesture, and point towards the audience.</t>
  </si>
  <si>
    <t>A performer break dances on stage.</t>
  </si>
  <si>
    <t>The break dancer lays on the stage floor.</t>
  </si>
  <si>
    <t>A performer raises the standing break dancer's hand in the air.</t>
  </si>
  <si>
    <t>The break dancer gives a performer five.</t>
  </si>
  <si>
    <t>A performer squats and gestures.</t>
  </si>
  <si>
    <t>v_M8aDrPK7D94</t>
  </si>
  <si>
    <t>A man jumps off of a bridge and bungee jumps.</t>
  </si>
  <si>
    <t>It shows him climbing back up onto the ledge.</t>
  </si>
  <si>
    <t>He jumps again off the bridge.</t>
  </si>
  <si>
    <t>v_b-p57jzkrQI</t>
  </si>
  <si>
    <t>A man in a chefs outfit is standing in a kitchen.</t>
  </si>
  <si>
    <t>He flips something that is in a pan.</t>
  </si>
  <si>
    <t>He uses a spoon to stir what is in the pan.</t>
  </si>
  <si>
    <t>v_gCxLSh-cgng</t>
  </si>
  <si>
    <t>An introduction comes onto the screen for a video about playing tennis.</t>
  </si>
  <si>
    <t>And man comes on to talk about the lessons that he will be teaching in the video.</t>
  </si>
  <si>
    <t>He swings the racket several times to demonstrate a good form for swinging the tennis racket.</t>
  </si>
  <si>
    <t>Another man comes onto the screen and performs the several tennis wings while the other man narrates.</t>
  </si>
  <si>
    <t>As the video ends the closing credits are displayed on the screen.</t>
  </si>
  <si>
    <t>v_nuqxJvTbG9w</t>
  </si>
  <si>
    <t>A woman is seen kicking a ball out into a field of people and then running back to the home plate.</t>
  </si>
  <si>
    <t>She then kicks the ball again while others around her run and grab the ball from the field.</t>
  </si>
  <si>
    <t>v_2j-DRUk2yCs</t>
  </si>
  <si>
    <t>A close up is shown of an image on a cell phone.</t>
  </si>
  <si>
    <t>A male gymnast runs, flipping back and forth across a mat.</t>
  </si>
  <si>
    <t>He is then shown flipping far into the air before standing before the cheering crowd.</t>
  </si>
  <si>
    <t>v_tV_1whw_S4g</t>
  </si>
  <si>
    <t>Two people are wrestling in a ring.</t>
  </si>
  <si>
    <t>A referee is standing on the side of the ring watching them.</t>
  </si>
  <si>
    <t>The crowd behind them is cheering.</t>
  </si>
  <si>
    <t>v_BMzspHz04Q8</t>
  </si>
  <si>
    <t>A gymnast in a pink outfit stretches before starting routine.</t>
  </si>
  <si>
    <t>She jumps on the balance beam and balances herself.</t>
  </si>
  <si>
    <t>She begins her balance beam routine.</t>
  </si>
  <si>
    <t>She does several flips and somersaults.</t>
  </si>
  <si>
    <t>She is getting ready to dismount.</t>
  </si>
  <si>
    <t>She flips several times in the air during her dismount and lands perfectly.</t>
  </si>
  <si>
    <t>v_Y1kCMRoDjWk</t>
  </si>
  <si>
    <t>A man stands by a row of hedges.</t>
  </si>
  <si>
    <t>He then begins to trim them with sheers.</t>
  </si>
  <si>
    <t>He trims the top of a bush.</t>
  </si>
  <si>
    <t>Several different groomed bushes are shown.</t>
  </si>
  <si>
    <t>v_8XB_0x_erho</t>
  </si>
  <si>
    <t>A little chinese boy sits in a room on the floor with books and toys around him while he looks into the camera.</t>
  </si>
  <si>
    <t>the little chinese boy then goes outside and start playing in a park,having fun by his self while the camera man record him.</t>
  </si>
  <si>
    <t>the boy little slides down the slide,climb steps while smiling and having fun.</t>
  </si>
  <si>
    <t>v_Ib3XqmBqy10</t>
  </si>
  <si>
    <t>Various shots of people are shown followed by several shots of kids jumping rope.</t>
  </si>
  <si>
    <t>A man then speakers to various kids on a court and shows more shots of the kids jumping rope together.</t>
  </si>
  <si>
    <t>The man then jumps rope while more kids perform tricks with their jump ropes and ends with the man speaking to one more jumper.</t>
  </si>
  <si>
    <t>v_PZjWkB_q2lE</t>
  </si>
  <si>
    <t>Cars are being washed at a car wash.</t>
  </si>
  <si>
    <t>A man in a red shirt talks to a man in a black shirt.</t>
  </si>
  <si>
    <t>The car is going through an automatic car wash.</t>
  </si>
  <si>
    <t>Someone is now scrubbing a car to wash it.</t>
  </si>
  <si>
    <t>They walk into a garage and inspect the cars.</t>
  </si>
  <si>
    <t>v_yNwdhK5UKec</t>
  </si>
  <si>
    <t>Four men in the studio are playing different instrument.</t>
  </si>
  <si>
    <t>The man with big guitar is singing while playing his guitar.</t>
  </si>
  <si>
    <t>The man playing harmonica stopped playing and looked at the man singing, then he continue to play his harmonica.</t>
  </si>
  <si>
    <t>Two men behind the four men are playing instruments.</t>
  </si>
  <si>
    <t>The man with guitar pull out a white cloth and wave it.</t>
  </si>
  <si>
    <t>v_WUTHTWQb-5g</t>
  </si>
  <si>
    <t>A young girl is standing in a room with a grey sweater,black tights,and pink shoes.</t>
  </si>
  <si>
    <t>In her hand she has a croquet stick and is fiddling with the small ball.</t>
  </si>
  <si>
    <t>She does it for quite some times keeping it still until eventually walking with the ball and ending the video.</t>
  </si>
  <si>
    <t>v_nFfMY4CQq50</t>
  </si>
  <si>
    <t>A guy standing in a bathroom speaks and gestures.</t>
  </si>
  <si>
    <t>A person shaving his chin is shown.</t>
  </si>
  <si>
    <t>A guy puts cream from a blue tube in his palm and applies it to his chin.</t>
  </si>
  <si>
    <t>A guy puts gel from a blue tube in his palm and applies it to his chin.</t>
  </si>
  <si>
    <t>A guy washes his face.</t>
  </si>
  <si>
    <t>v_Eh0OoXQDLVc</t>
  </si>
  <si>
    <t>A woman talks to the camera while young girls stand behind her.</t>
  </si>
  <si>
    <t>The woman continues to talk to the camera while demonstrating individual dance movements, as the young girls follow along.</t>
  </si>
  <si>
    <t>The woman leads the girls in practicing the entire sequence.</t>
  </si>
  <si>
    <t>The girls perform the sequence on their own.</t>
  </si>
  <si>
    <t>v_jsu65VwKf74</t>
  </si>
  <si>
    <t>A player of a read team performs a free shot on front a soccer goal, and the players scores.</t>
  </si>
  <si>
    <t>Again a player wearing red t-shirt scores, and the players jumps and hug to celebrate.</t>
  </si>
  <si>
    <t>Then, a player with white t-shirt scores, and the teams continue playing.</t>
  </si>
  <si>
    <t>The red team scores again, and people celebrate.</t>
  </si>
  <si>
    <t>v_7LmSZAoD6-c</t>
  </si>
  <si>
    <t>woman is running to make a high jump and start walking and the woman makes the same high jump 3 times.</t>
  </si>
  <si>
    <t>woman loose the hair sits on the floor and untie the shoes.</t>
  </si>
  <si>
    <t>v_n913aoCh1IQ</t>
  </si>
  <si>
    <t>People stand on a slack rope and cross it on a beach.</t>
  </si>
  <si>
    <t>A man falls off into the dirt.</t>
  </si>
  <si>
    <t>A man takes his shirt off and throws it on the sand.</t>
  </si>
  <si>
    <t>A man continues doing tricks on the slack rope.</t>
  </si>
  <si>
    <t>v_xhyCKLKaG0c</t>
  </si>
  <si>
    <t>Dragon ball z characters are yelling at one another standing in front of each other.</t>
  </si>
  <si>
    <t>They start to play paper scissors rock to see who will win.</t>
  </si>
  <si>
    <t>They have watchers standing by very stressed about how it will end up.</t>
  </si>
  <si>
    <t>They just keep playing and one of the other characters starts to get really angry.</t>
  </si>
  <si>
    <t>v_xbWAmySRE88</t>
  </si>
  <si>
    <t>Two women are standing behind a young woman who is sitting in a chair getting her hair done.</t>
  </si>
  <si>
    <t>The video begins with a title page showing that a video of a versatile sew-in is about to be done.</t>
  </si>
  <si>
    <t>First image,the braid pattern is shown on the individuals head as some of her hair is left out around the perimeter of her head.</t>
  </si>
  <si>
    <t>A lady then grabs weave, a needle and begins to sew in the hair.</t>
  </si>
  <si>
    <t>Once she shows how the sew-in is secured,the finished product is shown and the girl now has long curly hair.</t>
  </si>
  <si>
    <t>v_CEQqdt0vV0o</t>
  </si>
  <si>
    <t>A man is standing and talking inside a gym to the camera.</t>
  </si>
  <si>
    <t>He stands on the open surface, dancing back and forth.</t>
  </si>
  <si>
    <t>He demonstrates several moves as he goes.</t>
  </si>
  <si>
    <t>v_bay60VGnTls</t>
  </si>
  <si>
    <t>A woman in a tan suit is talking.</t>
  </si>
  <si>
    <t>A man in a green shirt is playing tennis while sitting on the ground.</t>
  </si>
  <si>
    <t>People walk along a sidewalk.</t>
  </si>
  <si>
    <t>The man in the green shirt is talking into a microphone.</t>
  </si>
  <si>
    <t>A man in a purple shirt then talks into the microphone.</t>
  </si>
  <si>
    <t>The man in green shirt continues to play tennis.</t>
  </si>
  <si>
    <t>v_6ciZ58xAV9I</t>
  </si>
  <si>
    <t>A gymnast wearing a red and white uniform prepares to mount a pommel horse for his exercise.</t>
  </si>
  <si>
    <t>The gymnast jumps onto the pommel horse and starts with scissor moves.</t>
  </si>
  <si>
    <t>The gymnast moves into a spinning exercise while on the pommel horse.</t>
  </si>
  <si>
    <t>The gymnast moves into a hand stand while walking with his hands.</t>
  </si>
  <si>
    <t>The gymnast goes from the hand stand to his dismount.</t>
  </si>
  <si>
    <t>v_ErEr4Sxdprw</t>
  </si>
  <si>
    <t>A man is in the gym in tight he bends over picks up a weight over his head and drops it back down.</t>
  </si>
  <si>
    <t>He walks back and loosens up before walking back up and doing it again adding more weight.</t>
  </si>
  <si>
    <t>He does this multiple times adding more and more weight to the rack.</t>
  </si>
  <si>
    <t>He finally lifts 374 pounds and calls it quits.</t>
  </si>
  <si>
    <t>v_8oI4xGqkzSE</t>
  </si>
  <si>
    <t>A man kicks a Frisbee to a dog.</t>
  </si>
  <si>
    <t>The dog does various tricks while catching the Frisbee.</t>
  </si>
  <si>
    <t>The dog jumps off the man to catch the toy.</t>
  </si>
  <si>
    <t>Several other dogs also do a tricks to catch the toy.</t>
  </si>
  <si>
    <t>A man swings a dog around on a toy.</t>
  </si>
  <si>
    <t>v_rYrO0KnZ7F0</t>
  </si>
  <si>
    <t>We see steps to carve a pumpkin.</t>
  </si>
  <si>
    <t>A person cleans a pumpkin.</t>
  </si>
  <si>
    <t>We see step and a person carves the pumpkin.</t>
  </si>
  <si>
    <t>We see another step and person uses carved bits to make cat ears.</t>
  </si>
  <si>
    <t>v_Tu9QF2ALd2s</t>
  </si>
  <si>
    <t>A close up of a blender is seen with various ingredients on the inside.</t>
  </si>
  <si>
    <t>A person's hand then blends the mixture together and moves their hand away from the camera.</t>
  </si>
  <si>
    <t>v_MEU83dUao4g</t>
  </si>
  <si>
    <t>A woman is seen with markings on her tongue and a person placing paper towels on her tongue.</t>
  </si>
  <si>
    <t>The man then pierces the girls tongue and she looks at the camera smiling.</t>
  </si>
  <si>
    <t>v_5TV-V6Cxero</t>
  </si>
  <si>
    <t>A shirtless man is standing on porch while instructing how to build a redneck fire.</t>
  </si>
  <si>
    <t>He shows a beer bottle and some other alcohol cans.</t>
  </si>
  <si>
    <t>He demonstrates a campfire that he has set up in a pit.</t>
  </si>
  <si>
    <t>There are three men standing near the campfire pit to demonstrate step three.</t>
  </si>
  <si>
    <t>One of the men picks up a gasoline can and ours some of it into the campfire pit.</t>
  </si>
  <si>
    <t>Another man lights the bonfire up to start the fire.</t>
  </si>
  <si>
    <t>The bonfire continues burning as the fireworks crackle in the pit.</t>
  </si>
  <si>
    <t>One of the instructors comes back and point to the redneck campfire.</t>
  </si>
  <si>
    <t>v_q2JRY6-riYA</t>
  </si>
  <si>
    <t>People are sitting in blue bumper cars.</t>
  </si>
  <si>
    <t>They drive around and bump into each other.</t>
  </si>
  <si>
    <t>A little boy in a hat waves at the camera.</t>
  </si>
  <si>
    <t>v_WE9Md637nbc</t>
  </si>
  <si>
    <t>A pair of dirty nike sneakers are seen on a counter.</t>
  </si>
  <si>
    <t>A man fills a bowl with water, then adds a cleaning solution.</t>
  </si>
  <si>
    <t>He uses a brush to scrub the shoes clean.</t>
  </si>
  <si>
    <t>v_6180cMhkWJA</t>
  </si>
  <si>
    <t>A man is seated in front of some video monitors and related equipment.</t>
  </si>
  <si>
    <t>He reminds us that when we were young we weren't afraid to try because we liked it.</t>
  </si>
  <si>
    <t>We then see some kids playing soccer along with some older players, obviously enjoying themselves.</t>
  </si>
  <si>
    <t>We see the man once again, who advises us not to ever grow up.</t>
  </si>
  <si>
    <t>v_t1s7ST4FRJc</t>
  </si>
  <si>
    <t>There are four women dancing to a choreographed dance to some Hip Hop music in a studio.</t>
  </si>
  <si>
    <t>They follow a synchronized and rhythmic beat to follow the same steps as the rest of the dancers.</t>
  </si>
  <si>
    <t>They continue following the steps one after the other in a structured manner where everybody is shaking their hands and legs rhythmically.</t>
  </si>
  <si>
    <t>Their dance moves change as the music changes and they slow down or move faster according to the beat of the song.</t>
  </si>
  <si>
    <t>v_Qs0hIRhHPVM</t>
  </si>
  <si>
    <t>A still picture of a man caught in mid-air about to attack a punching bag, a black and white picture of woman kicking the punching bag, two bare chested men in a boxing position, a silhouette of a man kicking a blurry person, two men in a boxing ring, two men holding a championship belt with their hand covered with boxing gloves.</t>
  </si>
  <si>
    <t>One man in blue shorts is kicking the kicking pad worn by the other man in black shorts.</t>
  </si>
  <si>
    <t>Two men that are barechested are boxing each other outside the boxing ring.</t>
  </si>
  <si>
    <t>v_D-y_N4u0uRQ</t>
  </si>
  <si>
    <t>A man enters a car holding a briefcase.</t>
  </si>
  <si>
    <t>Then, the man smokes a cigarette in office, and a nurse gives him papers.</t>
  </si>
  <si>
    <t>After, an elegant woman smokes and then smile.</t>
  </si>
  <si>
    <t>v_UbVTGLlR0L8</t>
  </si>
  <si>
    <t>People raft down a stony river on inflatable boats.</t>
  </si>
  <si>
    <t>Two men are in the water and other men help get in the boat.</t>
  </si>
  <si>
    <t>The men pass between high mountains.</t>
  </si>
  <si>
    <t>v_yslzj3NGuLU</t>
  </si>
  <si>
    <t>A woman removes the snow on the top of a car using a brush, also removes snow on the side windows and back window.</t>
  </si>
  <si>
    <t>After, the woman continues taking snow from the hood of the car and the front window that has a lot of snow.</t>
  </si>
  <si>
    <t>v_Eaq95CTpfZI</t>
  </si>
  <si>
    <t>A person is mixing drinks behind a bar.</t>
  </si>
  <si>
    <t>A person is playing a game of shuffleboard.</t>
  </si>
  <si>
    <t>v_7x5oY2Myd7I</t>
  </si>
  <si>
    <t>A team is playing ice hockey in front of a crowded stadium.</t>
  </si>
  <si>
    <t>The players are shown crashing into each other.</t>
  </si>
  <si>
    <t>A countdown of ten is being shown as we see bloopers from different sporting events, from hockey, to baseball, to football and basketball as people fall down and make mistakes.</t>
  </si>
  <si>
    <t>v_l5HNvNpRTpk</t>
  </si>
  <si>
    <t>Words are being displayed across the screen that read how to make the perfect sandwich.</t>
  </si>
  <si>
    <t>The ingredients you will need are bread, cheese, ham, turkey sub kit deli meat, kraft real mayo, spicy brown mustard, seasoning and a knife.</t>
  </si>
  <si>
    <t>Spread mayo on both slices of bread then put on mustard and cheese on both slices of bread put ham then turkey meat and add other seasoning to your taste.</t>
  </si>
  <si>
    <t>v_T98RJsOiQWc</t>
  </si>
  <si>
    <t>A small child is seen holding a stick and swinging at a pinata.</t>
  </si>
  <si>
    <t>A girl is seen blindfolding another while a man plays with the camera on the side.</t>
  </si>
  <si>
    <t>The man holds the stick and gestures to the girl on the side.</t>
  </si>
  <si>
    <t>v_uY0ngQlbIZc</t>
  </si>
  <si>
    <t>Two men that are matching each other are playing a game of racket ball.</t>
  </si>
  <si>
    <t>They are in an indoor enclosed court area playing the game.</t>
  </si>
  <si>
    <t>They are moving around all over the court trying to hit the ball.</t>
  </si>
  <si>
    <t>The bald man begins to walk out of the court smiling.</t>
  </si>
  <si>
    <t>v_mIi5fkvHDAo</t>
  </si>
  <si>
    <t>A female news anchor is talking about a clip that will be shown.</t>
  </si>
  <si>
    <t>Monkeys are skiing behind a boat in the water.</t>
  </si>
  <si>
    <t>Another monkey is seen driving a speed boat pulling a skiing monkey.</t>
  </si>
  <si>
    <t>Several people watch and take photos and video from the shore.</t>
  </si>
  <si>
    <t>The monkey driving the speed boat is shown again.</t>
  </si>
  <si>
    <t>The monkey circles the steering wheel with the boat moving.</t>
  </si>
  <si>
    <t>The monkey then drives the boat to a set of buoys where three people are waiting for him.</t>
  </si>
  <si>
    <t>Three news anchors discuss the monkeys.</t>
  </si>
  <si>
    <t>v_XRb38sJzuY4</t>
  </si>
  <si>
    <t>A young boy is seen grabbing a ball and walking forward speaking to the camera.</t>
  </si>
  <si>
    <t>He is then seen in a shot holding on a stick and hitting a ball.</t>
  </si>
  <si>
    <t>He continues hitting the ball into a goal wile looking back to the camera.</t>
  </si>
  <si>
    <t>v_RI-l0tK8Ok0</t>
  </si>
  <si>
    <t>A man and a woman are standing by a piano.</t>
  </si>
  <si>
    <t>The man and the woman play the piano together.</t>
  </si>
  <si>
    <t>They switch places and continue playing the piano.</t>
  </si>
  <si>
    <t>They switch places again, rapidly.</t>
  </si>
  <si>
    <t>They do it again, laughing away together.</t>
  </si>
  <si>
    <t>Finally they finish and walk away together happily.</t>
  </si>
  <si>
    <t>v_Xpb1Lup1GAU</t>
  </si>
  <si>
    <t>A woman sits by a window knitting a white piece.</t>
  </si>
  <si>
    <t>The woman holds up a pattern book with an image of the piece she is working on.</t>
  </si>
  <si>
    <t>The woman continues her knitting.</t>
  </si>
  <si>
    <t>The woman shows off her work so far and continues knitting.</t>
  </si>
  <si>
    <t>v_aK0238Rz6UA</t>
  </si>
  <si>
    <t>A large bow is laying on a table.</t>
  </si>
  <si>
    <t>The close up details of the archery set are being shown.</t>
  </si>
  <si>
    <t>A man is shown pulling back and arrow and letting it go.</t>
  </si>
  <si>
    <t>v_Q6XjxUlbP2M</t>
  </si>
  <si>
    <t>A group of people ride in bumper cars in a huge bumper car ride at an amusement park.</t>
  </si>
  <si>
    <t>Two yellow bumper cars are stuck in the middle of the track until they get bumped by another car.</t>
  </si>
  <si>
    <t>The rest of the bumper car drivers continue to follow the course.</t>
  </si>
  <si>
    <t>v_X6IoTFqaegc</t>
  </si>
  <si>
    <t>A woman's hand is shown wiping a glass screen followed by various objects sitting on a table.</t>
  </si>
  <si>
    <t>The woman sprays the glass and follows the object down the glass.</t>
  </si>
  <si>
    <t>She does this several times and shows where to plug in and how to use the tool.</t>
  </si>
  <si>
    <t>v_xcSWHI3K0KA</t>
  </si>
  <si>
    <t>A man is running on a track with a javelin.</t>
  </si>
  <si>
    <t>We see him throw again in slow motion.</t>
  </si>
  <si>
    <t>v_ZGnnFIDJjaY</t>
  </si>
  <si>
    <t>A man is sitting in a chair on the beach and is approached by another man, the first man gets up and applies lotion to the second man.</t>
  </si>
  <si>
    <t>A woman and a man are sitting on a towel at the beach and a man approaches.</t>
  </si>
  <si>
    <t>The sitting man gets up and puts lotion on the man who approached.</t>
  </si>
  <si>
    <t>Five guys are laying on the beach when a woman approaches them.</t>
  </si>
  <si>
    <t>One man gets up and applies lotion to the womans back.</t>
  </si>
  <si>
    <t>Five guys are laying on towels at the beach and a man approaches them.</t>
  </si>
  <si>
    <t>v_YkqO2oi9SIk</t>
  </si>
  <si>
    <t>A group of swimmers cliff dive into a body of water surrounded by onlookers, large rocks, buildings and boats, in a judged competition.</t>
  </si>
  <si>
    <t>The swimmers jump off a man made metal cliff wrapped in sponsored advertisement art and graphics.</t>
  </si>
  <si>
    <t>A group of judges hold up scorecards with numbers on them as car drive by on a nearby street and onlookers sit side by side on a raised wall watching.</t>
  </si>
  <si>
    <t>Two swimmers hug while one swimmer jumps up and down and three more hold up trophies.</t>
  </si>
  <si>
    <t>v_XB139ATiXuk</t>
  </si>
  <si>
    <t>A well attended classical concert is shown.</t>
  </si>
  <si>
    <t>The composer speaks to the audience about music.</t>
  </si>
  <si>
    <t>The crowd applauds and smiles.</t>
  </si>
  <si>
    <t>The composer talks about music and the orchestra behind him.</t>
  </si>
  <si>
    <t>One member comes out to play the saxophone for a solo as the crowd claps along.</t>
  </si>
  <si>
    <t>The orchestra gradually joins in for a full performance.</t>
  </si>
  <si>
    <t>The song slows and builds as the crowd joins back in with claps.</t>
  </si>
  <si>
    <t>The song ends and the crowd applauds thunderously.</t>
  </si>
  <si>
    <t>The saxophonist bows and returns to her seat.</t>
  </si>
  <si>
    <t>v_Vg5Vfb16Kb8</t>
  </si>
  <si>
    <t>A little girl wearing a pink blouse sits on a bed squinting her eyes.</t>
  </si>
  <si>
    <t>The little girl then puts on purple lipstick on her lips.</t>
  </si>
  <si>
    <t>The little girl continues putting on lipstick while speaking to the camera man about putting on makeup.</t>
  </si>
  <si>
    <t>v_KZ-6u3MUp44</t>
  </si>
  <si>
    <t>A game is in progress in front of a crowd.</t>
  </si>
  <si>
    <t>A man spins, throwing a disc through the air.</t>
  </si>
  <si>
    <t>He walks around the field afterward.</t>
  </si>
  <si>
    <t>v_J5wZTdD4XeU</t>
  </si>
  <si>
    <t>Two men are on a platform, fencing.</t>
  </si>
  <si>
    <t>They jab at each other with their swords.</t>
  </si>
  <si>
    <t>A woman watches as they parlay back and forth.</t>
  </si>
  <si>
    <t>v_uyp6t45rOD8</t>
  </si>
  <si>
    <t>An athlete performs high jump and lands on the mat while person takes notes.</t>
  </si>
  <si>
    <t>Then, the athlete performs high jump successfully.</t>
  </si>
  <si>
    <t>After, the man perform high jump but drops the horizontal pole.</t>
  </si>
  <si>
    <t>The athlete perform high jumps successfully.</t>
  </si>
  <si>
    <t>The athlete perform a high jump, but the pole falls.</t>
  </si>
  <si>
    <t>v_7A7XJLhRVVE</t>
  </si>
  <si>
    <t>A large pontoon boat is sailing across an ocean and runs into a large wave that covers the people as well as the boat in water.</t>
  </si>
  <si>
    <t>The people on the boat continue walking around but the water knocks them over and they start to hold onto the wheels to steer the boat back in the right direction.</t>
  </si>
  <si>
    <t>v_Dutm5TiFBqQ</t>
  </si>
  <si>
    <t>A very muscular shirtless man is about to arm wrestle with a man in an orange hoodie.</t>
  </si>
  <si>
    <t>Another man in a yellow hoodie comes over.</t>
  </si>
  <si>
    <t>They begin the match, the man in the orange hoodie looks to be struggling.</t>
  </si>
  <si>
    <t>The shirtless man wins and then wrestles the man in the yellow, he wins and they all stand around talking.</t>
  </si>
  <si>
    <t>v_p4cQt5On74M</t>
  </si>
  <si>
    <t>Several people are outside in a large field on segways playing a game.</t>
  </si>
  <si>
    <t>They continue to move around and hitting the ball with a long racket.</t>
  </si>
  <si>
    <t>As they game goes on,the referee walks on the field and watches them.</t>
  </si>
  <si>
    <t>v_JYh2Oejg_lQ</t>
  </si>
  <si>
    <t>A person with long hair shows a rubik's cube.</t>
  </si>
  <si>
    <t>The person begins to solve it .</t>
  </si>
  <si>
    <t>They toss it up and it is magically solved.</t>
  </si>
  <si>
    <t>v_fFu37ig0pkY</t>
  </si>
  <si>
    <t>A woman is dancing outside on the sidewalk.</t>
  </si>
  <si>
    <t>She grabs a baton and starts twirling it around.</t>
  </si>
  <si>
    <t>She starts juggling the batons in the air.</t>
  </si>
  <si>
    <t>She does a back flip and goes into the splits.</t>
  </si>
  <si>
    <t>v_OG7-gtjRaEg</t>
  </si>
  <si>
    <t>Several children stand in front of a cage.</t>
  </si>
  <si>
    <t>A women is inside with a tiger.</t>
  </si>
  <si>
    <t>The children pull on a rope that against the tiger.</t>
  </si>
  <si>
    <t>They let go of the rope at the end.</t>
  </si>
  <si>
    <t>v_SGdhHAZHwmI</t>
  </si>
  <si>
    <t>A woman in a suit is talking to a camera.</t>
  </si>
  <si>
    <t>A woman is putting contact lenses into her eyes.</t>
  </si>
  <si>
    <t>Contact lenses are shown on a hand.</t>
  </si>
  <si>
    <t>The woman in the suit continues talking to the camera.</t>
  </si>
  <si>
    <t>v_te1znGPS_Vw</t>
  </si>
  <si>
    <t>guys are having a paint ball fight with each other.</t>
  </si>
  <si>
    <t>A guy explain how to hide and protect yourself when in the filed,How to crawl ,where to place your foot and hands when crawling.</t>
  </si>
  <si>
    <t>v_wSGrM1nrWq4</t>
  </si>
  <si>
    <t>A hair dryer and advertisement are shown with some info about the dryer.</t>
  </si>
  <si>
    <t>A woman shows how to use the dryer with different brushes.</t>
  </si>
  <si>
    <t>The same woman then shows how to use the dryer with different attachments for different kinds of hair.</t>
  </si>
  <si>
    <t>The dryer and advertising info are shown again.</t>
  </si>
  <si>
    <t>v_lHVn-5OwXMw</t>
  </si>
  <si>
    <t>man is in a big stadium waking in the field.</t>
  </si>
  <si>
    <t>men are playing criquet in a field rnning on side to side with a lot of audience sitting on stands.</t>
  </si>
  <si>
    <t>v_hjtGItcwkQA</t>
  </si>
  <si>
    <t>A group of sail boats sail together through choppy water on a windy day.</t>
  </si>
  <si>
    <t>Two men pull on the rigging seated on the small sailboat.</t>
  </si>
  <si>
    <t>The sail boat makes a turn in front of the bow of another boat only partly seen.</t>
  </si>
  <si>
    <t>v_kzm9ckZ5gU0</t>
  </si>
  <si>
    <t>Two men on a ladder fight in a professional wrestling match.</t>
  </si>
  <si>
    <t>The men flip off the ladder on to the mat.</t>
  </si>
  <si>
    <t>The referee kneels near by.</t>
  </si>
  <si>
    <t>The man in red crawls to the man in blue and pins him winning the match.</t>
  </si>
  <si>
    <t>We see a replay of the match.</t>
  </si>
  <si>
    <t>v_d3VVwwVkJBs</t>
  </si>
  <si>
    <t>This elderly man is blowing the leaves out of the way using a leaf blower.</t>
  </si>
  <si>
    <t>First the camera is giving viewers a close up view only showing the man's face.</t>
  </si>
  <si>
    <t>Then the camera zooms out and shows the man blowing the leaves using a machine and when he's done half doing his job, he turns the leaf blower off.</t>
  </si>
  <si>
    <t>v_bV_vdBbOubE</t>
  </si>
  <si>
    <t>little kid is holding a red tennis racket close to her face but then put it on the floor and jump on top.</t>
  </si>
  <si>
    <t>little kid is standing in a small room playing in a Hopscotch.</t>
  </si>
  <si>
    <t>the girl is grabing toys from the floor.</t>
  </si>
  <si>
    <t>v_Xm23RMCpDd8</t>
  </si>
  <si>
    <t>A man stands on a field in an outdoor game surrounded by bleachers with people in them and performs a hammer throw.</t>
  </si>
  <si>
    <t>The man spins the hammer around many times and then lets the hammer go to fly into the hair and land in the field.</t>
  </si>
  <si>
    <t>A slow motion video of the hammer landing appears as the man looks happy with the score and dries off with a towel.</t>
  </si>
  <si>
    <t>v_IkXuooaGnCc</t>
  </si>
  <si>
    <t>Letters are shown on a screen.</t>
  </si>
  <si>
    <t>A blue bucket is put into a sink.</t>
  </si>
  <si>
    <t>A man starts mopping the hardwood floors.</t>
  </si>
  <si>
    <t>He mops the tile in the bathroom.</t>
  </si>
  <si>
    <t>v_d83YCo6xLkk</t>
  </si>
  <si>
    <t>A person is seen standing on a beach looking down at sand.</t>
  </si>
  <si>
    <t>The person then begins building a large sand castle in front of them.</t>
  </si>
  <si>
    <t>The person continues working around the sand and ends by walking out of frame.</t>
  </si>
  <si>
    <t>v_gNFrILoB8LY</t>
  </si>
  <si>
    <t>A man dances and pulls his pants, which are falling down, back up, as he sweeps a cafe floor.</t>
  </si>
  <si>
    <t>A man, with his back to an elevated camera, begins to dance while sweeping a coffee shop floor.</t>
  </si>
  <si>
    <t>The man begins to pulls his pants up as his blue underwear shows from the twisting of the dance, which has pulled down his pants.</t>
  </si>
  <si>
    <t>The man then turns to face the camera and smiles while pulling his pants up.</t>
  </si>
  <si>
    <t>v_SlT6OBmQqpc</t>
  </si>
  <si>
    <t>A young man is seen standing in front of the camera and begins spinning in circles.</t>
  </si>
  <si>
    <t>He continues spinning and then does several kicks and punches while also throwing darts.</t>
  </si>
  <si>
    <t>v_3DDo37BcChI</t>
  </si>
  <si>
    <t>An ax rests in a fallen tree.</t>
  </si>
  <si>
    <t>A man picks up the ax, and chops the trunk of the tree.</t>
  </si>
  <si>
    <t>He continues chopping until the log is in half, then walks away.</t>
  </si>
  <si>
    <t>v_QdTUPBtxAV0</t>
  </si>
  <si>
    <t>A smiling young boy slides down a red slide that has netting on each side and a brand name, website, email and telephone appear on the screen when he reaches the bottom.</t>
  </si>
  <si>
    <t>Then two other children behind him that are little girls slide down.</t>
  </si>
  <si>
    <t>Just as the girls are reaching the bottom of the slide boy gets up and leaves the slide and the girls follow right behind him.</t>
  </si>
  <si>
    <t>v_6BKkSQ7uGco</t>
  </si>
  <si>
    <t>We see the title card on black.</t>
  </si>
  <si>
    <t>We see a lady riding slowly on an elliptical machine and pulling the handles.</t>
  </si>
  <si>
    <t>We switch to the lady riding without holding the handles.</t>
  </si>
  <si>
    <t>We then see the bike in stair stepper mode and using the handles.</t>
  </si>
  <si>
    <t>We then see her using the bike in stair stepper mode without the handles.</t>
  </si>
  <si>
    <t>v_p-lwebxSYyo</t>
  </si>
  <si>
    <t>People are painting a wooden fence in a yard.</t>
  </si>
  <si>
    <t>A dog walks behind them.</t>
  </si>
  <si>
    <t>They continue painting the fence.</t>
  </si>
  <si>
    <t>v_cau489T9DLE</t>
  </si>
  <si>
    <t>woman is standing in a small room doing tricks with a baton.</t>
  </si>
  <si>
    <t>men are running on a side of the woman.</t>
  </si>
  <si>
    <t>women enter to a room.</t>
  </si>
  <si>
    <t>v_xbEI98IA-XU</t>
  </si>
  <si>
    <t>Title credits are shown on the screen.</t>
  </si>
  <si>
    <t>A woman talks to the camera in a gym.</t>
  </si>
  <si>
    <t>The woman demonstrates a lifting exercise.</t>
  </si>
  <si>
    <t>The woman turns back to the camera and talks again.</t>
  </si>
  <si>
    <t>End credits roll on the screen.</t>
  </si>
  <si>
    <t>v_uFMlVrTUoR8</t>
  </si>
  <si>
    <t>A man dumps a wheelbarrow of mulch on the lawn.</t>
  </si>
  <si>
    <t>He rakes it out over the ground.</t>
  </si>
  <si>
    <t>He brings another wheelbarrow full of mulch and rakes it out over the lawn.</t>
  </si>
  <si>
    <t>v_LE05u6TR9MI</t>
  </si>
  <si>
    <t>A large group of people are seen standing in a crowd yelling and playing a game of volleyball.</t>
  </si>
  <si>
    <t>The group of girls continue to play while people cheer on the sides as well as cheerleaders.</t>
  </si>
  <si>
    <t>v_1Y3BV0Awjuo</t>
  </si>
  <si>
    <t>We see an Asian script on the title screen.</t>
  </si>
  <si>
    <t>We see food on a table and a lady picking at a potato.</t>
  </si>
  <si>
    <t>The potato is cut, then dropped in a pot.</t>
  </si>
  <si>
    <t>It's transferred to cold water and the skin just slides off when pulled.</t>
  </si>
  <si>
    <t>We see a red illustration on a potato and a potato is mashed.</t>
  </si>
  <si>
    <t>Two more potatoes are peeled easily, Another potato is boiled and dropped in cold water.</t>
  </si>
  <si>
    <t>v_-ap649M020k</t>
  </si>
  <si>
    <t>Several clips are shown of people wandering around areas, looking to the camera, and skateboarding down a hill.</t>
  </si>
  <si>
    <t>Several more people are shown skateboarding own various areas as well as swimming, rolling joints, and and surfing on the water.</t>
  </si>
  <si>
    <t>The men perform tricks, get naked, swim underwater, cut open a watermelon, as well as various other activities that lead back into skateboarding.</t>
  </si>
  <si>
    <t>v_PfNtxlM1QHw</t>
  </si>
  <si>
    <t>A crowd of people are at a stadium watching a bull fight.</t>
  </si>
  <si>
    <t>A petite man is standing in front of the bull with a red cloth and taunting the bull.</t>
  </si>
  <si>
    <t>Once the bull moves,three more men come out with pink cloths and begin taunting the bulls and he hits them with his horns.</t>
  </si>
  <si>
    <t>The men finally leave the bull alone and he lays down on his side and they begin giving him something in the mouth.</t>
  </si>
  <si>
    <t>Once laid to rest, another man comes and wraps something around his mouth to secure him as another set of men walk out guiding horses.</t>
  </si>
  <si>
    <t>v_DpoIgaZ1m_U</t>
  </si>
  <si>
    <t>Two men spar in a karate practice match inside a gym studio.</t>
  </si>
  <si>
    <t>The instructor trips the student after catching the punches.</t>
  </si>
  <si>
    <t>The instructor does a sliding kick on the student.</t>
  </si>
  <si>
    <t>The instructor catches the kicks of the student.</t>
  </si>
  <si>
    <t>v_LpTVTiu8oro</t>
  </si>
  <si>
    <t>A shirtless man with a machete walks out into the front yard.</t>
  </si>
  <si>
    <t>He starts hitting the grass repeatedly over and over cutting the grass.</t>
  </si>
  <si>
    <t>Instead of using a lawnmower he is cutting the grass with a machete.</t>
  </si>
  <si>
    <t>He stands right up and walks up to a patch and then starts to use the machete towards it also.</t>
  </si>
  <si>
    <t>v_zlXvqnBqVvI</t>
  </si>
  <si>
    <t>The two people take shots with their pucks down the board.</t>
  </si>
  <si>
    <t>The person changes the score on the board posted on a pole.</t>
  </si>
  <si>
    <t>A player walks down the board to retrieve the pucks.</t>
  </si>
  <si>
    <t>Two people play a leisurely game of shuffle board on an outdoor court.</t>
  </si>
  <si>
    <t>v_F6BJoTLozoc</t>
  </si>
  <si>
    <t>An empty stage with four lights are shown as a crowd of people stand waiting for something to happen.</t>
  </si>
  <si>
    <t>A lady with a orange and yellow cape and skirt then comes out from the side and starts to belly dance.</t>
  </si>
  <si>
    <t>The woman then drops the cape and begins walking towards the crowd moving her chest and smiling at the people.</t>
  </si>
  <si>
    <t>v_B4zPg1ftxf4</t>
  </si>
  <si>
    <t>We see people playing paintball on a football field.</t>
  </si>
  <si>
    <t>The people take off and head out into the field.</t>
  </si>
  <si>
    <t>The man is crawling on the ground.</t>
  </si>
  <si>
    <t>He fills his gun with orange balls.</t>
  </si>
  <si>
    <t>A person walks up to the bag near the man.</t>
  </si>
  <si>
    <t>The man reloads his gun with blue balls.</t>
  </si>
  <si>
    <t>We see a man behind a fence and the man is walking.</t>
  </si>
  <si>
    <t>v_4FGdbFzq-8I</t>
  </si>
  <si>
    <t>A man is seen sitting in the back of a car waxing down a surf board and another man speaking to the camera.</t>
  </si>
  <si>
    <t>Slow motion shots of a man surfing are shown and the man continues speaking.</t>
  </si>
  <si>
    <t>v_GKpeX_lWMgg</t>
  </si>
  <si>
    <t>People are riding in sailboats from the view of a large ocean liner.</t>
  </si>
  <si>
    <t>A woman leans against the edge, watching the boats.</t>
  </si>
  <si>
    <t>v_krUhklOpyQU</t>
  </si>
  <si>
    <t>A man is filming inside of am apartment looking around at several different things.</t>
  </si>
  <si>
    <t>A little boy comes into the scene and quickly exits out of the view of the camera.</t>
  </si>
  <si>
    <t>The boy comes onto the camera again doing karate moves with a stick.</t>
  </si>
  <si>
    <t>The man gets a close up of the boy while he talks to the boy in another language.</t>
  </si>
  <si>
    <t>the boy does a bow and the video ends.</t>
  </si>
  <si>
    <t>v_iFTYM1Ez5ZM</t>
  </si>
  <si>
    <t>An athlete in a white and blue uniform prepares to compete in a Triple Jump competition in a track and field tournament.</t>
  </si>
  <si>
    <t>The competitor gradually begins by running slowly then picking up speed to a sprint and landing one foot on the white marker line and two more hops on each foot and then jumps over the sand course.</t>
  </si>
  <si>
    <t>The competitor skips and runs off of the track and goes to the spectator stands and celebrates his jump.</t>
  </si>
  <si>
    <t>A close up of the competitors foot position landing on the white marker line is shown on a close up and the jump is shown in slow motion and at regular speed multiple times.</t>
  </si>
  <si>
    <t>v_xGpaEqbVgBI</t>
  </si>
  <si>
    <t>The camera pans around a large group of people playing a soccer match on a field with many people watching on the sides.</t>
  </si>
  <si>
    <t>The players walk around the field a bit and lead into them playing the game.</t>
  </si>
  <si>
    <t>A person's hand then covers the camera and moves all around the area.</t>
  </si>
  <si>
    <t>v_SvM0twHYsus</t>
  </si>
  <si>
    <t>A woman looks through a large pile of clothing and begins throwing at the camera man.</t>
  </si>
  <si>
    <t>She miles his direction while talking and irons some clothes on the table.</t>
  </si>
  <si>
    <t>v_8leZKBY0B6I</t>
  </si>
  <si>
    <t>A person is seen turning her neck to the side and a person wearing gloves holding a needle.</t>
  </si>
  <si>
    <t>The person then pierces the ear of the girl sitting down.</t>
  </si>
  <si>
    <t>He puts an earring through the piercing and makes sure it's in place.</t>
  </si>
  <si>
    <t>v_1ILXipBgbTs</t>
  </si>
  <si>
    <t>There are several people dressed in safety vests and helmets sailing in a speed boat to go tubing in water.</t>
  </si>
  <si>
    <t>They travel through the lake and arrive at a spot where they get off the boat and jump into the water with their tubes.</t>
  </si>
  <si>
    <t>They get onto the yellow tubes and float along the water.</t>
  </si>
  <si>
    <t>v_tgnyGoKM2tM</t>
  </si>
  <si>
    <t>We see a man talking in a bike shop.</t>
  </si>
  <si>
    <t>The man touches the handle bars of a bike then grabs a wire off a table.</t>
  </si>
  <si>
    <t>The man strings the wire through the bikes brake system.</t>
  </si>
  <si>
    <t>The man adds a black plastic sheath over the wire and attaches it to the wheel brace.</t>
  </si>
  <si>
    <t>v_diZvvLb46O8</t>
  </si>
  <si>
    <t>The team in white and red uniform danced in the court.</t>
  </si>
  <si>
    <t>The team individually do jumping rope, danced on the ground.</t>
  </si>
  <si>
    <t>The team do jumping ropes where two females hold the end of the jumping rope, rotating them as the other team member jumped inside the rope and dance.</t>
  </si>
  <si>
    <t>v_6ITE3hona-4</t>
  </si>
  <si>
    <t>a person is assembling a vacuum on the carpet.</t>
  </si>
  <si>
    <t>They plug the vacuum in.</t>
  </si>
  <si>
    <t>They turn the vacuum on and begin vacuuming the floor.</t>
  </si>
  <si>
    <t>They take the attachment hose off and vacuum the base boards and stairs.</t>
  </si>
  <si>
    <t>They take the filter out and empty it.</t>
  </si>
  <si>
    <t>They unplug the vacuum and put it in the closet.</t>
  </si>
  <si>
    <t>v_nTsXn3oHf_8</t>
  </si>
  <si>
    <t>A small boy plays on a stair stepper in a store.</t>
  </si>
  <si>
    <t>We back up and see the boys legs.</t>
  </si>
  <si>
    <t>The camera zooms in on the boy again.</t>
  </si>
  <si>
    <t>v_E4AoMNfsuaw</t>
  </si>
  <si>
    <t>A little girl in a diaper uses a small vacuum.</t>
  </si>
  <si>
    <t>She is vacuuming dirt out from under a chair in a living room.</t>
  </si>
  <si>
    <t>She uses the brush to suck up dirt on the floor.</t>
  </si>
  <si>
    <t>v_xfyoEDb6kVg</t>
  </si>
  <si>
    <t>A boy spins around a gym with a tennis racket and pushes a ball around to another boy.</t>
  </si>
  <si>
    <t>The boys run back and fourth bouncing balls against a wall with their hands and a tennis racket.</t>
  </si>
  <si>
    <t>They slide around the floor pushing the ball and continue hitting the ball back and fourth across the gym.</t>
  </si>
  <si>
    <t>v_bMRx3vSVZUQ</t>
  </si>
  <si>
    <t>A man is seen in several shots looking off into the distance followed by others riding around on boards.</t>
  </si>
  <si>
    <t>The men gear up on the sides while speaking to the camera and ride around on the water.</t>
  </si>
  <si>
    <t>The people continue to ride around while others watch on the side.</t>
  </si>
  <si>
    <t>v_xs4MvE_uAtU</t>
  </si>
  <si>
    <t>A person uses a brush to scrub a shoe over a sink.</t>
  </si>
  <si>
    <t>They wipe the shoe off with a white towel.</t>
  </si>
  <si>
    <t>He lifts up the shoe to show the camera.</t>
  </si>
  <si>
    <t>v_q_eRxmeGJBY</t>
  </si>
  <si>
    <t>We see an image of a male gymnast in mid swing.</t>
  </si>
  <si>
    <t>We see a title card with a family on it.</t>
  </si>
  <si>
    <t>A man swings around on a pommel horse.</t>
  </si>
  <si>
    <t>A man in blue plan swing his legs back and forth.</t>
  </si>
  <si>
    <t>The man in red shorts is spinning wildly.</t>
  </si>
  <si>
    <t>He then spins on a round device.</t>
  </si>
  <si>
    <t>v_C2KzNljiTIU</t>
  </si>
  <si>
    <t>A woman is seated, brushing her hair with her back to the camera.</t>
  </si>
  <si>
    <t>She continues brushing with long strokes.</t>
  </si>
  <si>
    <t>She leans her head to one side, continuing to brush.</t>
  </si>
  <si>
    <t>v_vXOT_VXWOqo</t>
  </si>
  <si>
    <t>Several shots are shown of large groups of people running around a field.</t>
  </si>
  <si>
    <t>Audience members are seen cheering while people play soccer on the side.</t>
  </si>
  <si>
    <t>People continue playing up and down the field while others watch them play.</t>
  </si>
  <si>
    <t>v_UlddctIswqo</t>
  </si>
  <si>
    <t>A girl wearing an orange hoodie and a girl wearing a black blouse enter a home and go into the kitchen.</t>
  </si>
  <si>
    <t>The girls are preparing to bake cookies.</t>
  </si>
  <si>
    <t>The cell phone rings and both girls get excited.</t>
  </si>
  <si>
    <t>Some one is at the front door and the girl in the orange hoodie runs through the house to go answer the door.</t>
  </si>
  <si>
    <t>The girl in the black blouse is at the door disguised as a man.</t>
  </si>
  <si>
    <t>The girl in the orange hoodie squeezes a bar of butter and it falls to the floor and slams the door shut.</t>
  </si>
  <si>
    <t>The girl in the black blouse turns and walks away dejected.</t>
  </si>
  <si>
    <t>v_zCND0HJq6Iw</t>
  </si>
  <si>
    <t>A white man is on the stage with long dreads throwing up the piece sign to the audience.</t>
  </si>
  <si>
    <t>After their interaction,the man begins to play the wind pipes on his back as he walks back and forth across the stage.</t>
  </si>
  <si>
    <t>The crowd is shown and the camera goes back to the stage and several lights come on as the guitarist begins to play.</t>
  </si>
  <si>
    <t>v_3boxQwSpv-8</t>
  </si>
  <si>
    <t>A little girl smiles and talks to the camera.</t>
  </si>
  <si>
    <t>She and other children are then shown washing their hands at sinks.</t>
  </si>
  <si>
    <t>They talk about singing the birthday song or counting to know how long they should wash their hands.</t>
  </si>
  <si>
    <t>v_xM5OQYON59w</t>
  </si>
  <si>
    <t>We see a man with a ball he is preparing to throw shotput.</t>
  </si>
  <si>
    <t>The man lifts his arm.</t>
  </si>
  <si>
    <t>The man spins and throws the ball.</t>
  </si>
  <si>
    <t>We see men in the distance measure.</t>
  </si>
  <si>
    <t>We see the thrower grab his jacket and walk away.</t>
  </si>
  <si>
    <t>v_G-giwt-TN8A</t>
  </si>
  <si>
    <t>We see a tractor and a title screen.</t>
  </si>
  <si>
    <t>We see a tractor blowing leaves.</t>
  </si>
  <si>
    <t>We see the tractor up close.</t>
  </si>
  <si>
    <t>We then see flowers on trees.</t>
  </si>
  <si>
    <t>v_7tdlcmbuLOA</t>
  </si>
  <si>
    <t>A man is seen speaking to the camera that leads into several clips of people wake boarding.</t>
  </si>
  <si>
    <t>The man then speaks to a woman and helps demonstrate how to properly ride the wake board.</t>
  </si>
  <si>
    <t>The boat then takes off and helps the girl ride along while she falls the first time then successfully rides.</t>
  </si>
  <si>
    <t>v_nxNJNn8blDw</t>
  </si>
  <si>
    <t>An old man with eyeglasses is standing in front of model tiles talking to the camera.</t>
  </si>
  <si>
    <t>A group of men in black started to removed the first half of the carpet in the living room, then replaced it with lighter, newer carpet.</t>
  </si>
  <si>
    <t>The group of men in black shirts moved the couch from the wall to other side and removed the other half of the carpet, exposing the green floor.</t>
  </si>
  <si>
    <t>The group of men put the carpet on the floor, they measure it, cut it and taped it.</t>
  </si>
  <si>
    <t>When the new carpet is properly installed, the men vacuum the carpet while the lady walked in the living room.</t>
  </si>
  <si>
    <t>The men and the old man and the woman removed the TV from the wall and installed a wooden TV set furniture, while the other men and the lady arranged the couch and put the pillows on it.</t>
  </si>
  <si>
    <t>v_XBbSLB3Ov0w</t>
  </si>
  <si>
    <t>A group of eight people are white rafting in somewhat calm water as the two people in the back paddle them down the water.</t>
  </si>
  <si>
    <t>The two people in the back continue paddling and the camera zooms in on them but the water is too calm for them to get the full experience and nothing is happening.</t>
  </si>
  <si>
    <t>Lastly, a blue screen flashes and white words appear.</t>
  </si>
  <si>
    <t>v_2VYQ4q24D-4</t>
  </si>
  <si>
    <t>Two cars are parked on the side of the road as train passes by.</t>
  </si>
  <si>
    <t>All of a sudden,the angle shifts and a boy begins skateboarding down the hill and throughout the city.</t>
  </si>
  <si>
    <t>v_vOI3hJ45lag</t>
  </si>
  <si>
    <t>A man sits on a table with accordions.</t>
  </si>
  <si>
    <t>Then the man holds an accordion while touching the buttons and talking.</t>
  </si>
  <si>
    <t>v_iOgmO3MMeH4</t>
  </si>
  <si>
    <t>A woman plays piano in a room decorated with candles.</t>
  </si>
  <si>
    <t>Katty Perry walks with a man in street, they she plays the piano, then she talks with the man.</t>
  </si>
  <si>
    <t>v_-5KAycAQlC4</t>
  </si>
  <si>
    <t>A man is being pulled on a water ski as he floats in the water casually.</t>
  </si>
  <si>
    <t>He mounts the water ski and tears through the water at fast speeds.</t>
  </si>
  <si>
    <t>Two men are shown sitting in the boat, before cutting back to the turbulent water skiing.</t>
  </si>
  <si>
    <t>v_uR-o9wILN6U</t>
  </si>
  <si>
    <t>The man in blue shirt with cap is hitting the thick rope.</t>
  </si>
  <si>
    <t>The man get on the rope and the crowd applauded.</t>
  </si>
  <si>
    <t>The man in blue shirt started to bounced on the rope doing some tricks like sitting on the rope, bouncing on his chest, cartwheel and walking on the rope.</t>
  </si>
  <si>
    <t>v_Jk3oA2mhPD8</t>
  </si>
  <si>
    <t>A young girl is doing gymnastics on a blue mat.</t>
  </si>
  <si>
    <t>She does several back flips on a trampoline.</t>
  </si>
  <si>
    <t>She does a flip into a pile of foam pieces.</t>
  </si>
  <si>
    <t>v_MduMjuxuIac</t>
  </si>
  <si>
    <t>Men walk out on a stage clap and high five.</t>
  </si>
  <si>
    <t>The men perform a cheerleader routine.</t>
  </si>
  <si>
    <t>They hold five men in the air and flip them and flip four men in groups.</t>
  </si>
  <si>
    <t>One man is lifted high and swings two men on his arms to the other side then five men make a star like shape.</t>
  </si>
  <si>
    <t>the men kneel and dance and pose for the finish.</t>
  </si>
  <si>
    <t>The men jump and cheer as they leave the stage.</t>
  </si>
  <si>
    <t>A person in the front row stands in front of the camera.</t>
  </si>
  <si>
    <t>v_Ga-204sSRoc</t>
  </si>
  <si>
    <t>A man is seen kneeling of a roof while holding a piece of wood.</t>
  </si>
  <si>
    <t>He begins hammering down the piece of wood while the camera pans around.</t>
  </si>
  <si>
    <t>He continues hammering around and looks back at the camera.</t>
  </si>
  <si>
    <t>v_KeTYxQkYfQw</t>
  </si>
  <si>
    <t>A man is seen looking to the camera and snapping his fingers.</t>
  </si>
  <si>
    <t>This leads into a man playing an instrument while the camera watches.</t>
  </si>
  <si>
    <t>The man continues to play moving his hands up and down and looking back to the camera.</t>
  </si>
  <si>
    <t>v_rtJTJ10ppRc</t>
  </si>
  <si>
    <t>A group of people are outside at the beach playing sand volley ball.</t>
  </si>
  <si>
    <t>The ball falls and a fat boy with yellow shirts takes the ball and tries to serve it.</t>
  </si>
  <si>
    <t>However,the ball doesn't make it over the net,rolls back and he goes to get it.</t>
  </si>
  <si>
    <t>v_Cx1614E1Mgk</t>
  </si>
  <si>
    <t>A man is talking and playing drums in a split screen.</t>
  </si>
  <si>
    <t>As he explains the process, he uses his hands to beat out a tune.</t>
  </si>
  <si>
    <t>He continues talking and playing until it switches exclusively to him playing the drums.</t>
  </si>
  <si>
    <t>v_LlhgIOYsxsE</t>
  </si>
  <si>
    <t>People are sitting work out machines.</t>
  </si>
  <si>
    <t>They begin pulling a rope to work out.</t>
  </si>
  <si>
    <t>A woman is standing next to a work out machine.</t>
  </si>
  <si>
    <t>v_yRD0WDE5IG0</t>
  </si>
  <si>
    <t>Several people exercise in a room.</t>
  </si>
  <si>
    <t>The step on and off of a platform in rhythm.</t>
  </si>
  <si>
    <t>They are very dancing intensely.</t>
  </si>
  <si>
    <t>Some of them spin in circles.</t>
  </si>
  <si>
    <t>v__tPDUYSu1IQ</t>
  </si>
  <si>
    <t>There are two men elbow wrestling on a table.</t>
  </si>
  <si>
    <t>There are several people are watching them wrestle.</t>
  </si>
  <si>
    <t>In another scene, there are two more men elbow wrestling.</t>
  </si>
  <si>
    <t>There are a series of elbow wrestling events shown in the video where one man is more forceful than the other and ends up winning the wrestling game.</t>
  </si>
  <si>
    <t>There are some over dramatized scenes where people are elbow wrestling and over reacting to the game.</t>
  </si>
  <si>
    <t>There are also some referees seen acting as moderators in the elbow wrestling match.</t>
  </si>
  <si>
    <t>v_MO37MVz4uuA</t>
  </si>
  <si>
    <t>A brunette woman is sitting in a room and has her left arm raised and is looking at her armpit.</t>
  </si>
  <si>
    <t>The woman puts her arm down and talks into the camera and a black cat climbs on furniture behind her while she's still talking.</t>
  </si>
  <si>
    <t>The woman is now standing in her shower fully clothed and she's applying a lot of shaving cream to her right leg that's propped on a wall.</t>
  </si>
  <si>
    <t>The woman is now standing upright and has a lot of shaving cream on her left armpit and falls, then she's standing with shaving cream all over her and then claps her hands.</t>
  </si>
  <si>
    <t>The woman is back in the room talking, then appears back in the shower with a razor and shaving her legs.</t>
  </si>
  <si>
    <t>The woman is talking in the room again and her black cat goes up to her and the woman continues to talk and ends with a clip of her carefully getting out of the bathtub.</t>
  </si>
  <si>
    <t>v_MFvdMVCzfB0</t>
  </si>
  <si>
    <t>A girl wearing a red shirt and white shorts is standing in her bathroom at the sink with a toothbrush in her hand.</t>
  </si>
  <si>
    <t>She takes some toothpaste and puts it on her brush and begins brushing.</t>
  </si>
  <si>
    <t>She starts to dance as she brushes her teeth and wiggles her body too.</t>
  </si>
  <si>
    <t>She continues brushing and dances faster and laughs.</t>
  </si>
  <si>
    <t>Then she realizes that her mouth is full of toothpaste foam and that it is coming out, she spits it out in the sink.</t>
  </si>
  <si>
    <t>v_DZVJtWJrWTU</t>
  </si>
  <si>
    <t>A young woman with red and black hair is shown using a hair dryer.</t>
  </si>
  <si>
    <t>She uses a large round brush to brush her hair straight as it dries.</t>
  </si>
  <si>
    <t>When she is done, she rakes her hand through her hair and brushes it into place.</t>
  </si>
  <si>
    <t>v_sfeUXTuKMs8</t>
  </si>
  <si>
    <t>Photos of horses are shown followed by the "Equestrian Life" logo.</t>
  </si>
  <si>
    <t>A woman stands outside with a brown horse and puts on a helmet.</t>
  </si>
  <si>
    <t>The woman talks to the camera and mounts the horse.</t>
  </si>
  <si>
    <t>She continues to speak to the camera and then walks the horse in a circle.</t>
  </si>
  <si>
    <t>v_e9R62cyqW4A</t>
  </si>
  <si>
    <t>A person is seen riding a bike down a long road followed by a large camel off in the distance.</t>
  </si>
  <si>
    <t>The animal moves closer while the camera zooms in the three people riding on the top the camel and passing by more riding camels.</t>
  </si>
  <si>
    <t>v_tqanHyXTFFw</t>
  </si>
  <si>
    <t>A woman is seen speaking to the camera that leads into a man speaking to a group.</t>
  </si>
  <si>
    <t>Another man speaks to the camera while the demonstrator points to a bike and takes off a wheel.</t>
  </si>
  <si>
    <t>More people speak to the camera while the man demonstrates how to put air in a tire and well as taking it apart.</t>
  </si>
  <si>
    <t>v_XCejO7RyWdA</t>
  </si>
  <si>
    <t>A woman in a pink shirt is standing outside.</t>
  </si>
  <si>
    <t>A brown dog is playing with a frisbee.</t>
  </si>
  <si>
    <t>The dog is standing on the woman's back.</t>
  </si>
  <si>
    <t>v_l12QfUhRLLc</t>
  </si>
  <si>
    <t>stadium is shown with a lot of people in the audience sitting on stands watching a criquet game.</t>
  </si>
  <si>
    <t>men are being interviewed in the field.</t>
  </si>
  <si>
    <t>v_aQAAzVQ_gSA</t>
  </si>
  <si>
    <t>A man is standing at a toy machine before he looks up and runs, jumping over a counter.</t>
  </si>
  <si>
    <t>He grabs a bowling ball and begins bowling.</t>
  </si>
  <si>
    <t>The men do backflips and slide as they bowl, sometimes rolling the balls under each other.</t>
  </si>
  <si>
    <t>One is blindfolded before making a strike, then the other does hand stands on the equipment.</t>
  </si>
  <si>
    <t>v_5yqHTGQm2B0</t>
  </si>
  <si>
    <t>Men on these robotic looking pogo sticks are playing basketball inside of a court.</t>
  </si>
  <si>
    <t>They are walking on the pogo sticks and jumping a bit too.</t>
  </si>
  <si>
    <t>They try to get the ball in the hoop and continue bouncing around the court.</t>
  </si>
  <si>
    <t>A man in green does a flip in the air and shoots the ball into the hoop.</t>
  </si>
  <si>
    <t>v_kTJDylL6pCU</t>
  </si>
  <si>
    <t>A dog is seen standing in a bath tub chained to a tub and a woman walks into frame and grabs the dog.</t>
  </si>
  <si>
    <t>She hold up a bottle and sprays it around the dog, rubbing it into it's fur while speaking to the camera.</t>
  </si>
  <si>
    <t>She then takes a hose and sprays the dog with water and ends by looking back to the camera.</t>
  </si>
  <si>
    <t>v_yr_ZOq9ZB9E</t>
  </si>
  <si>
    <t>Three teenage boys carry their skateboards up a paved park trail.</t>
  </si>
  <si>
    <t>A camera mounted on the skateboard captures scenes of the young skaters cruising in different directions and performing different tricks.</t>
  </si>
  <si>
    <t>A skateboarder in a green hoodie skates on a narrow dirt trail lined with trees.</t>
  </si>
  <si>
    <t>v_U0mKdo2-Gfc</t>
  </si>
  <si>
    <t>A weather map is shown for a second, then two news women sitting at a desk.</t>
  </si>
  <si>
    <t>Several people are shown warming up for a race.</t>
  </si>
  <si>
    <t>A gun is fired, and the race begins.</t>
  </si>
  <si>
    <t>We go back to the women in the news room, talking.</t>
  </si>
  <si>
    <t>v_fBbjlXgtd50</t>
  </si>
  <si>
    <t>A woman wearing classes dances in front of the camera.</t>
  </si>
  <si>
    <t>The woman turns around while raising an arm.</t>
  </si>
  <si>
    <t>The woman turns around again.</t>
  </si>
  <si>
    <t>v_VLg5XqBRorY</t>
  </si>
  <si>
    <t>We see a chef at an omelette bar making multiple omelets at the same time.</t>
  </si>
  <si>
    <t>We see the man pour more egg into the pans.</t>
  </si>
  <si>
    <t>The man sprinkles seasonings on the omelets.</t>
  </si>
  <si>
    <t>The man pours the omelettes on plates.</t>
  </si>
  <si>
    <t>We see photos of the chef.</t>
  </si>
  <si>
    <t>v_zaPxNw11llc</t>
  </si>
  <si>
    <t>An individual stands behind a netted area.</t>
  </si>
  <si>
    <t>The individual begins to swing for a hammer throw.</t>
  </si>
  <si>
    <t>The individual releases the weight.</t>
  </si>
  <si>
    <t>v_QjKmQO_9TaA</t>
  </si>
  <si>
    <t>A man is dancing in a room.</t>
  </si>
  <si>
    <t>He steps up and down on a small black stepping stool.</t>
  </si>
  <si>
    <t>He then dances with a woman in the room.</t>
  </si>
  <si>
    <t>v_54VcTlhF2H8</t>
  </si>
  <si>
    <t>man is standing on a race track ready to make gymnastics in parallels in the midle of a stadium.</t>
  </si>
  <si>
    <t>a lot of people are sitting or walking on stands.</t>
  </si>
  <si>
    <t>the man lands in the floor, greets and people applauds.</t>
  </si>
  <si>
    <t>v_0vCynjlkM5A</t>
  </si>
  <si>
    <t>A green race car comes into a pit stop.</t>
  </si>
  <si>
    <t>The man with the jack lifts the car up.</t>
  </si>
  <si>
    <t>The pit crew begins to work on the car by changing the front and rear tires of the car.</t>
  </si>
  <si>
    <t>The jack man then takes the jack out as a man in a pink shirt comes in front of the camera.</t>
  </si>
  <si>
    <t>v_wOwWidUOaxc</t>
  </si>
  <si>
    <t>A man is seen kneeling down in a picture followed by two men bending down towards one another.</t>
  </si>
  <si>
    <t>They begin wrestling and one man pushes the other down and their clip is shown again.</t>
  </si>
  <si>
    <t>v_ZX8sFpq471A</t>
  </si>
  <si>
    <t>A man and a woman are in a room with several targets behind them talking.</t>
  </si>
  <si>
    <t>The lady is then shown in another room demonstrating the proper technique to be efficient in archery.</t>
  </si>
  <si>
    <t>Two pattern continues and then the girl comes back and is shown with bows behind her back before shooting at a target on the wall.</t>
  </si>
  <si>
    <t>v_W5jswt09V3s</t>
  </si>
  <si>
    <t>A group of men are playing instruments outside a building.</t>
  </si>
  <si>
    <t>Two men crouch in front of each other as they play.</t>
  </si>
  <si>
    <t>The men jump up, and begin doing martial arts moves around each other, simulating kicks and flips.</t>
  </si>
  <si>
    <t>v__n0cR3Oshxg</t>
  </si>
  <si>
    <t>A man sits on front a bowl, then a woman shows cookie dough in bowls, then review a cookbook.</t>
  </si>
  <si>
    <t>Then, the woman make dough balls and putsion a baking pan, also a teen makes dough balls and puts in baking pan.</t>
  </si>
  <si>
    <t>After, the man put the cookies in the oven.</t>
  </si>
  <si>
    <t>v_R2cL7miVEwA</t>
  </si>
  <si>
    <t>A large group of people are seen running along a field and leads into them playing a field hockey game.</t>
  </si>
  <si>
    <t>The game continues on with arrows pointing to various players as well as shots of people falling down.</t>
  </si>
  <si>
    <t>v_lx83HHNNrlc</t>
  </si>
  <si>
    <t>A man holds the handle of a cleaning tool.</t>
  </si>
  <si>
    <t>The man cleans the kitchen floor.</t>
  </si>
  <si>
    <t>A lady discusses with the man.</t>
  </si>
  <si>
    <t>The man takes the mop out of the red bucket and moves the bucket aside.</t>
  </si>
  <si>
    <t>The lady stands next to a male.</t>
  </si>
  <si>
    <t>The lady gestures with her hands.</t>
  </si>
  <si>
    <t>The man hands the mop to the lady and empties the red bucket in the sink.</t>
  </si>
  <si>
    <t>The male grabs alcohol, while the lady mops.</t>
  </si>
  <si>
    <t>The man hands the bucket and mop to the male.</t>
  </si>
  <si>
    <t>The man waves and salutes.</t>
  </si>
  <si>
    <t>The lady laughs out loud.</t>
  </si>
  <si>
    <t>The man washes his hand.</t>
  </si>
  <si>
    <t>v_uOmCwWVJnLQ</t>
  </si>
  <si>
    <t>A bar of exercise equipment is shown in a living room.</t>
  </si>
  <si>
    <t>The different details of the equipment are being shown.</t>
  </si>
  <si>
    <t>The man holds on to the bar of the machine as he talks about it.</t>
  </si>
  <si>
    <t>v_U6KrVIJSeDo</t>
  </si>
  <si>
    <t>A close up of an exercise equipment is shown followed by a man walking into frame and begins using the machine.</t>
  </si>
  <si>
    <t>The man moves back and fourth on the machine while the camera continues to capture his movements.</t>
  </si>
  <si>
    <t>v_UmU8dx36O9w</t>
  </si>
  <si>
    <t>A woman is seen sitting in front of the camera and begins putting a contact lens in her eyes.</t>
  </si>
  <si>
    <t>The woman keeps attempting to put the lens in her eye while looking around trying again.</t>
  </si>
  <si>
    <t>She succeeds the last time and is seen cheering to the camera.</t>
  </si>
  <si>
    <t>v_BsSZDCHPjtY</t>
  </si>
  <si>
    <t>A large lake is seen with a man sitting in a tube as well as others looking around the area.</t>
  </si>
  <si>
    <t>The men crash with one hitting up against a log and leads into the tube being moved around and the person sitting back on.</t>
  </si>
  <si>
    <t>v_5Ra6milBrOM</t>
  </si>
  <si>
    <t>An introduction animation is shown with the title of video.</t>
  </si>
  <si>
    <t>A female coach in sweats gives instructions to a group of students in a gym for a physical activity by acting out the routine.</t>
  </si>
  <si>
    <t>The students mimic the instructors motions.</t>
  </si>
  <si>
    <t>The coach points to different areas of the gym and individual groups of students.</t>
  </si>
  <si>
    <t>A student in black shorts runs across the gym.</t>
  </si>
  <si>
    <t>A group of students plays rock paper sissor.</t>
  </si>
  <si>
    <t>Students run around the perimeter of the gym to different stations.</t>
  </si>
  <si>
    <t>A student wearing a hat sits on the bench and looks sick.</t>
  </si>
  <si>
    <t>A animated page shows credits for the video.</t>
  </si>
  <si>
    <t>v_Bvry1S-bYXU</t>
  </si>
  <si>
    <t>A girl competes vault gymnastic in front the judges while spectators observe from the bleachers.</t>
  </si>
  <si>
    <t>The gymnast approach to her coaches to talk and then they leave.</t>
  </si>
  <si>
    <t>After, the a flashback of the performance of the gymnast is show.</t>
  </si>
  <si>
    <t>v_uThAYmmxBFk</t>
  </si>
  <si>
    <t>A large group of people are seen moving around a room performing an exercise routine.</t>
  </si>
  <si>
    <t>The people move up and down on beams while moving their arms around and a woman leading in front.</t>
  </si>
  <si>
    <t>The group continue dancing with one another and end by holding a pose.</t>
  </si>
  <si>
    <t>v_OyV4eki18GE</t>
  </si>
  <si>
    <t>A baby in a hat is sitting on a chair.</t>
  </si>
  <si>
    <t>A man is holding the baby playing with a ball.</t>
  </si>
  <si>
    <t>A baby is sleeping on a couch.</t>
  </si>
  <si>
    <t>v_D-XCWhvStd4</t>
  </si>
  <si>
    <t>We see the title screens for the video.</t>
  </si>
  <si>
    <t>We see a person skiing.</t>
  </si>
  <si>
    <t>We switch to a workshop and a list of tools.</t>
  </si>
  <si>
    <t>We see a man adds a band on a ski and the ski sits on a contraption.</t>
  </si>
  <si>
    <t>A man brushes and rubs the ski.</t>
  </si>
  <si>
    <t>We see colorful wax and a man turning a dial.</t>
  </si>
  <si>
    <t>The man pours wax and we get instructions before he irons the wax on the ski.</t>
  </si>
  <si>
    <t>The man scrapes the wax and brushes the ski.</t>
  </si>
  <si>
    <t>We get a ski fact and the video end card shows.</t>
  </si>
  <si>
    <t>v_SXwCedd4MKg</t>
  </si>
  <si>
    <t>A person is seen throwing a frisbee off into the distance and a dog chasing after it.</t>
  </si>
  <si>
    <t>Several shots are shown of dogs running after frisbees after their owner throws them.</t>
  </si>
  <si>
    <t>More dogs are seen chasing after the frisbees while the owner watches from behind.</t>
  </si>
  <si>
    <t>v_tQT-iQIv-KY</t>
  </si>
  <si>
    <t>A group of coaches, gymnasts and parents stand and sit around a gym while a few of the gymnasts perform or practice.</t>
  </si>
  <si>
    <t>A young girl in purple does a balance beam routine.</t>
  </si>
  <si>
    <t>A girl in the back ground does a floor routine.</t>
  </si>
  <si>
    <t>When the floor routine ends the crowd all claps and several young gymnasts get up and walk around.</t>
  </si>
  <si>
    <t>A woman hold up a sign that says 965.</t>
  </si>
  <si>
    <t>The girl on the balance beam ends her routine and walks over and hugs a woman in purple.</t>
  </si>
  <si>
    <t>v__zR5wVbz3xU</t>
  </si>
  <si>
    <t>A man jumps onto bars and starts swinging on them.</t>
  </si>
  <si>
    <t>He does a flip off them and lands on a mat.</t>
  </si>
  <si>
    <t>v_uXX2lSVAXq8</t>
  </si>
  <si>
    <t>A medical processional puts a device and needle in someones face.</t>
  </si>
  <si>
    <t>It is actually a piercing.</t>
  </si>
  <si>
    <t>He cleans it and then she gets up.</t>
  </si>
  <si>
    <t>v_YK5n3YTf8pI</t>
  </si>
  <si>
    <t>A group of photographers take pictures as a weight lifter shows up on stage and prepares his hands.</t>
  </si>
  <si>
    <t>He lifts a barbell at the knees, then pauses at his chest.</t>
  </si>
  <si>
    <t>He lifts the barbell over his head before dropping it back to the ground.</t>
  </si>
  <si>
    <t>v_COx5Bf0PsQs</t>
  </si>
  <si>
    <t>A platter with lemonade drinks sits on a counter top.</t>
  </si>
  <si>
    <t>A woman squeezes a lemon.</t>
  </si>
  <si>
    <t>She adds sugar to a large pitcher.</t>
  </si>
  <si>
    <t>She stirs the sugar with a large wooden spoon.</t>
  </si>
  <si>
    <t>She proceeds to add water to the pitcher in order to dilute.</t>
  </si>
  <si>
    <t>Afterwards, she adds more sugar to the pitcher.</t>
  </si>
  <si>
    <t>She pours the finished lemonade into a cup.</t>
  </si>
  <si>
    <t>The steps of making lemonade are presented once more.</t>
  </si>
  <si>
    <t>v_VFUk9WX8y5w</t>
  </si>
  <si>
    <t>A group of people holding skateboards stand on the start line, then people skateboard down the road.</t>
  </si>
  <si>
    <t>They get in a school bus, then, they skateboard on the road.</t>
  </si>
  <si>
    <t>A boy falls on the ground, and other people continue skateboarding.</t>
  </si>
  <si>
    <t>Two, people fall on the road.</t>
  </si>
  <si>
    <t>After, a man gives the start to people who skateboard on the road until reach the finish line to receive their trophies.</t>
  </si>
  <si>
    <t>A person skateboard jumping on a ramp.</t>
  </si>
  <si>
    <t>v_Rh2UGc42X0M</t>
  </si>
  <si>
    <t>A woman smiles before sledding down a hill on an intertube.</t>
  </si>
  <si>
    <t>She laughs and waves at the camera on the way down the hill.</t>
  </si>
  <si>
    <t>Several people are then shown sledding together before coming to a stop on a snowy slope.</t>
  </si>
  <si>
    <t>v_M0UsJ31h64U</t>
  </si>
  <si>
    <t>A large group of people are shown swimming around in a pool playing water polo.</t>
  </si>
  <si>
    <t>The match continues on with people passing the ball around the pool while many sit along the sidelines and watch.</t>
  </si>
  <si>
    <t>v_PUzd4mfmzqo</t>
  </si>
  <si>
    <t>A man in an outdoor basketball court explains how to do layup drills with both arms, over hand, underhand, right and left hand layup with two steps.</t>
  </si>
  <si>
    <t>He then goes to the hash marks on the court and shows various variations of a layup from various distances and how to do the drills for practice.</t>
  </si>
  <si>
    <t>He then comes back to the camera and explains what he did.</t>
  </si>
  <si>
    <t>v_W07hi9Y37Jg</t>
  </si>
  <si>
    <t>A man plays the accordion on a stage in front of a music stand while wearing a red suit jacket.</t>
  </si>
  <si>
    <t>A man sits on a chair on a stage and plays the accordion in front of a music stands.</t>
  </si>
  <si>
    <t>The man runs his fingers up and down the keys and pulls the accordion open and closed with a free hands before ending the performance and rubbing his hair with his hand.</t>
  </si>
  <si>
    <t>v_tJSF2GAp9TU</t>
  </si>
  <si>
    <t>A man jumps on parallel bars and does a gymnastics routine.</t>
  </si>
  <si>
    <t>The audience is watching him in the stands.</t>
  </si>
  <si>
    <t>He jumps off and lands on the mat with his hands raised.</t>
  </si>
  <si>
    <t>v_QePg4GKh3rw</t>
  </si>
  <si>
    <t>A gymnast is seen standing ready and waves one arm into the air.</t>
  </si>
  <si>
    <t>She jumps onto a set of uneven bars and performs a gymnastics routine consisting on flips and tricks.</t>
  </si>
  <si>
    <t>She jumps off the bars in the end and waves her arms in the air while her coach claps for her.</t>
  </si>
  <si>
    <t>v_CEEJ1gzdmAk</t>
  </si>
  <si>
    <t>Guys are playing hockey on an ice arena.</t>
  </si>
  <si>
    <t>Some players are laid out.</t>
  </si>
  <si>
    <t>A pile of players lay on a fallen athlete.</t>
  </si>
  <si>
    <t>A player gets knocked to the ice and his helmet too.</t>
  </si>
  <si>
    <t>A guy has a head injury and is blooding on the ice after he falls.</t>
  </si>
  <si>
    <t>v_6yD5jZn6SEs</t>
  </si>
  <si>
    <t>A gymnast is seen leaning over a long bar with a person standing next to her on the ground.</t>
  </si>
  <si>
    <t>The girl then hops herself up on the beam.</t>
  </si>
  <si>
    <t>Finally the girl begins to swing down around.</t>
  </si>
  <si>
    <t>v_UaiKJ_7mKIA</t>
  </si>
  <si>
    <t>A group stands at a train station.</t>
  </si>
  <si>
    <t>A man shovels snow from the sidewalk.</t>
  </si>
  <si>
    <t>A man in a wheelchair goes down a sidewalk on a cold winter day.</t>
  </si>
  <si>
    <t>A woman in snow jacket shovels snow from a sidewalk.</t>
  </si>
  <si>
    <t>A man breaks up ice with a spade.</t>
  </si>
  <si>
    <t>A man shovels snow from a sidewalk into a tree lined planter.</t>
  </si>
  <si>
    <t>v_mhqfGS59FG0</t>
  </si>
  <si>
    <t>Two people are seen holding tennis rackets and hitting a ball around in a small room.</t>
  </si>
  <si>
    <t>The men continue to hit the ball back and fourth to one another and run around the hit the ball.</t>
  </si>
  <si>
    <t>v_rIqITS6qMB0</t>
  </si>
  <si>
    <t>A guy stands in the fields and lights a piece of paper.</t>
  </si>
  <si>
    <t>A guy tosses the piece of paper towards stack wood and then runs.</t>
  </si>
  <si>
    <t>The wood catches on fire.</t>
  </si>
  <si>
    <t>The guy walks towards a man.</t>
  </si>
  <si>
    <t>v_HPv-d6qybdE</t>
  </si>
  <si>
    <t>A camera pans all around an indoor gym and leads into clips of people pole volting over a bar.</t>
  </si>
  <si>
    <t>Several people are shown running with a pole over a beam and onto a mat one after the other.</t>
  </si>
  <si>
    <t>More people take their turns while others walk around the gym and watch them on the sides.</t>
  </si>
  <si>
    <t>v_lRRBeGRTpdc</t>
  </si>
  <si>
    <t>the word BRENMAR is in the center of the screen going around, then change to the word UNiiQU3 and Hoola Hoop.</t>
  </si>
  <si>
    <t>three women wearing all black are standing holding a white hoola hoope on her hands.</t>
  </si>
  <si>
    <t>a man is bending on the floor srronded by hoola hoops.</t>
  </si>
  <si>
    <t>woman wearing black pants and white shirt starts dancing with a hoola hoop arond his neck.</t>
  </si>
  <si>
    <t>second woman with yellow hair starts dancing two people appears and a set of dancing women appears doing tricks with a hoola hoop while the man is watching them, woman with green jacket is singing the song.</t>
  </si>
  <si>
    <t>women appears in a dark room with brilliant hoola hoops dancing and doing tricks, woman with yellow hair keeps dancing alone.</t>
  </si>
  <si>
    <t>v_m6w3Skrc89s</t>
  </si>
  <si>
    <t>The man in black shirt is kneeling and reached for his back leg.</t>
  </si>
  <si>
    <t>The man slightly moved forward.</t>
  </si>
  <si>
    <t>The man paused forward while he is holding his ankle.</t>
  </si>
  <si>
    <t>v_NSi8DorB6L0</t>
  </si>
  <si>
    <t>This man is water skiing and he does it sitting down and standing up, except he's holding onto the handle bars backwards.</t>
  </si>
  <si>
    <t>While he's skiing he tries to around to stand forward like normal, but he goes flying when he tries to turn around.</t>
  </si>
  <si>
    <t>v_voaGOm-rl9Y</t>
  </si>
  <si>
    <t>A person is shoveling snow off their sidewalk.</t>
  </si>
  <si>
    <t>A dog is jumping in the snow he is throwing.</t>
  </si>
  <si>
    <t>Words come onto the screen.</t>
  </si>
  <si>
    <t>v_nQjxgOz1WYo</t>
  </si>
  <si>
    <t>A man is seen acting crazy towards a camera while sitting at a poker table with another man.</t>
  </si>
  <si>
    <t>The men stick their tongues out at the camera and the camera moves in on another table with people playing.</t>
  </si>
  <si>
    <t>In the end he faces the camera towards himself.</t>
  </si>
  <si>
    <t>v_4EQYvkfMUWw</t>
  </si>
  <si>
    <t>A teen holds a violin and then plays on front of other teens that talk and laugh.</t>
  </si>
  <si>
    <t>Teens talk and make comments and a woman laugh.</t>
  </si>
  <si>
    <t>Then people in the room applauds.</t>
  </si>
  <si>
    <t>v_rDlPcW_2nG0</t>
  </si>
  <si>
    <t>Two women standing in the kitchen, one girl is wearing a black top and the other one is wearing a beige top.</t>
  </si>
  <si>
    <t>The woman in beige showed a sandwich on the kitchen counter, then started peeing the green cucumber using a peeler, then start slicing the cucumber.</t>
  </si>
  <si>
    <t>She then spread butter on the bread, placed the sliced cucumber on the bread, sprinkle some salt, cut the edges of the bread then sliced it into triangle, then placed in on the white plate, then both of the women ate the sandwich.</t>
  </si>
  <si>
    <t>v_6w4OWjY6k_k</t>
  </si>
  <si>
    <t>A young child is seen walking forward with a stick in his hand and pushing a puck down a track.</t>
  </si>
  <si>
    <t>He walks back while another boy hits the puck and several people watch on the sidelines.</t>
  </si>
  <si>
    <t>The young boy continues to walk back and fourth.</t>
  </si>
  <si>
    <t>v_qJYp25ni6tg</t>
  </si>
  <si>
    <t>A man is seen speaking to the camera followed by various ingredients laid out and him chopping up vegetables.</t>
  </si>
  <si>
    <t>The man continues cutting and mixes the ingredients into a bowl.</t>
  </si>
  <si>
    <t>He pours liquid into the bowl and ends by presenting it on a plate.</t>
  </si>
  <si>
    <t>v_DR2sW3Wd8fo</t>
  </si>
  <si>
    <t>A video of the swan lake ballet is shown.</t>
  </si>
  <si>
    <t>They perform the act and interview some of the cast.</t>
  </si>
  <si>
    <t>v_-rJVr9sQ1h8</t>
  </si>
  <si>
    <t>The video leads into several shots of dogs walking around and leads into a woman petting a dogs fur.</t>
  </si>
  <si>
    <t>The woman continues brushing and shows clips of the dog running along a park.</t>
  </si>
  <si>
    <t>v_Q8Y9pmhvJqE</t>
  </si>
  <si>
    <t>Two adult men in helmets are teaching little boys how to play ice hockey.</t>
  </si>
  <si>
    <t>The boys gather in a circle, hitting their sticks on the ground.</t>
  </si>
  <si>
    <t>They then cheer and skate away.</t>
  </si>
  <si>
    <t>v_F1-PnXa9SwQ</t>
  </si>
  <si>
    <t>A woman in a white dress starts a lawn mower.</t>
  </si>
  <si>
    <t>She starts mowing the lawn.</t>
  </si>
  <si>
    <t>She turns around and goes back the other way.</t>
  </si>
  <si>
    <t>v_QQfH0FDsYPc</t>
  </si>
  <si>
    <t>A man is seen standing on a field and begins swinging an object around and around.</t>
  </si>
  <si>
    <t>He continues swinging and finishes by standing on the field.</t>
  </si>
  <si>
    <t>v_o1DCCTev0CQ</t>
  </si>
  <si>
    <t>A sign says superfresco easy on the screen.</t>
  </si>
  <si>
    <t>A man is shown painting a wall with grey paint.</t>
  </si>
  <si>
    <t>He uses broad sweeps to completely cover the wall.</t>
  </si>
  <si>
    <t>v_96krk6Ka9Vc</t>
  </si>
  <si>
    <t>Several views are seen from the inside of a stadium.</t>
  </si>
  <si>
    <t>A group of teams walk onto the field, cheering.</t>
  </si>
  <si>
    <t>The crowd cheers as the teams make goals during the game.</t>
  </si>
  <si>
    <t>v_pi4p4zdoqmw</t>
  </si>
  <si>
    <t>A man in surfing attire is featured with his name and size of his board.</t>
  </si>
  <si>
    <t>The video cuts to the beach and the man begins to surf.</t>
  </si>
  <si>
    <t>He catches waves but wipes out early on most of them.</t>
  </si>
  <si>
    <t>A bird appears to divebomb into the ocean.</t>
  </si>
  <si>
    <t>Other surfers further out appear.</t>
  </si>
  <si>
    <t>v_jwyLw2n_YVw</t>
  </si>
  <si>
    <t>A woman walks into the kitchen and turns the knobs on the oven.</t>
  </si>
  <si>
    <t>A blender is then put on the counter and the lever is pulled down followed by a tea bag being placed in a cup.</t>
  </si>
  <si>
    <t>The lady then moves to a counter and adds a piece of baking paper over two large racks.</t>
  </si>
  <si>
    <t>She then grabs the boiling hot water and pours it into the mug.</t>
  </si>
  <si>
    <t>She returns back to the counter and begins placing rolls of cookie dough on the racks.</t>
  </si>
  <si>
    <t>Its finally time for the cookies to be in put in the oven and she sets the timer on her phone so she won't burn them.</t>
  </si>
  <si>
    <t>After the time is up,she takes them out of the oven adds one on a plate and takes it to a girl down the hall.</t>
  </si>
  <si>
    <t>v_bNR0MmJ9d8I</t>
  </si>
  <si>
    <t>A man speaks to the camera.</t>
  </si>
  <si>
    <t>He rolls a big box into the room and proceeds to open a box where a bicycle sits inside.</t>
  </si>
  <si>
    <t>From the inside of the box, he takes out a small box full of tools for the use of assembling the bicycle.</t>
  </si>
  <si>
    <t>He's seen speaking to the camera again.</t>
  </si>
  <si>
    <t>He removes all of the boxes sitting around the bicycle and assembles the bike.</t>
  </si>
  <si>
    <t>Again, he speaks to the camera.</t>
  </si>
  <si>
    <t>He removes two pedals from bags and attaches both pedals onto the bicycle.</t>
  </si>
  <si>
    <t>He takes the bicycle for a ride.</t>
  </si>
  <si>
    <t>Briefly, he speaks to the camera.</t>
  </si>
  <si>
    <t>v_28GYivx4lyk</t>
  </si>
  <si>
    <t>We see two people playing foosball.</t>
  </si>
  <si>
    <t>A man in a black shirt leave the room and turns before leaving.</t>
  </si>
  <si>
    <t>A man puts his face in front of the camera.</t>
  </si>
  <si>
    <t>v_bkRQgwbP0WM</t>
  </si>
  <si>
    <t>A man is showing a boy trying to solve a rubix cube.</t>
  </si>
  <si>
    <t>A timer is going to time the boy and other people around him are trying as well.</t>
  </si>
  <si>
    <t>On lookers are going from table to table to watch.</t>
  </si>
  <si>
    <t>A boy grabs a pen and the man solves the puzzle.</t>
  </si>
  <si>
    <t>v_fU2mbWwVSXU</t>
  </si>
  <si>
    <t>A man in white uniform is standing at the kitchen counter.</t>
  </si>
  <si>
    <t>The man pull out a knife and sharpener, he touched the edge of the knife.</t>
  </si>
  <si>
    <t>The man hold the metal knife sharpener and slowly sharpen the knife from side to side.</t>
  </si>
  <si>
    <t>The man use different types of tools to sharpen the knife such as machine and water stone.</t>
  </si>
  <si>
    <t>v_wlO7PcigY-s</t>
  </si>
  <si>
    <t>A man drops a tennis racquet with ball then hits the ball.</t>
  </si>
  <si>
    <t>Another person does the same trick and then shows that he is from Serbia.</t>
  </si>
  <si>
    <t>v_TKGjHAmCaRo</t>
  </si>
  <si>
    <t>A man is playing with a dog on the grass.</t>
  </si>
  <si>
    <t>he then flips and throws a Frisbee.</t>
  </si>
  <si>
    <t>The dog runs side to side and chases it.</t>
  </si>
  <si>
    <t>He grabs two other Frisbees and tosses them around while the dog jumps.</t>
  </si>
  <si>
    <t>He throws the Frisbee some more while the dog runs.</t>
  </si>
  <si>
    <t>The dog continues jumping side to side and running in all directions as they get thrown.</t>
  </si>
  <si>
    <t>v_q23IYtwNOkE</t>
  </si>
  <si>
    <t>A man and an woman sip a blue liquid and rinse his mouth.</t>
  </si>
  <si>
    <t>Then, the woman bend and throw the liquid while the man continues rinsing his mouth.</t>
  </si>
  <si>
    <t>v__nBOWe_VhXg</t>
  </si>
  <si>
    <t>A woman is shown talking to the camera and leads into her beginning to paint a picture.</t>
  </si>
  <si>
    <t>She moves her brush back and fourth on the canvas and putting various colors and swirls around the sides.</t>
  </si>
  <si>
    <t>v_0wwx4wnHv-U</t>
  </si>
  <si>
    <t>A person is seen standing on a tennis court bouncing a ball.</t>
  </si>
  <si>
    <t>Another man is seen standing ready on the other side in front of a large audience.</t>
  </si>
  <si>
    <t>The man then hits the ball over the net and bounces back on the other side.</t>
  </si>
  <si>
    <t>v__kG3DxvGnnQ</t>
  </si>
  <si>
    <t>A girl is seen sitting in a chair with another person wiping her face and handing her a mirror to look in.</t>
  </si>
  <si>
    <t>He then pierces the girl's cheeks and the camera zooms in on the girl's face when he's done.</t>
  </si>
  <si>
    <t>v_9LraB2HBC0g</t>
  </si>
  <si>
    <t>A woman is seen speaking to the camera while standing in a shower and holding various objects.</t>
  </si>
  <si>
    <t>The woman then rubs lotions all over her legs and begins shaving her legs and ending by speaking to the camera.</t>
  </si>
  <si>
    <t>v__g2D5oXLCZI</t>
  </si>
  <si>
    <t>A man is seen speaking to the camera holding a basketball.</t>
  </si>
  <si>
    <t>The man then begins throwing the ball in the hoop several times.</t>
  </si>
  <si>
    <t>He walks back to the camera and continues speaking while moving his hands.</t>
  </si>
  <si>
    <t>v_2OPk79DNQdM</t>
  </si>
  <si>
    <t>A young woman is seen speaking to the camera and transitions into her with her hair in front of her face.</t>
  </si>
  <si>
    <t>She slowly brushes and parts her hair and flips her hair back in the end.</t>
  </si>
  <si>
    <t>v_3gc3nddr8TE</t>
  </si>
  <si>
    <t>A small group of girls are seen huddled up and begin moving around the field.</t>
  </si>
  <si>
    <t>More women are seen running around the large field playing field hockey.</t>
  </si>
  <si>
    <t>The girls continue to play against one another and end by waling away.</t>
  </si>
  <si>
    <t>v_6iTymXuGFhg</t>
  </si>
  <si>
    <t>A close up is shown of a young child moving around on a swing and people standing around him to push.</t>
  </si>
  <si>
    <t>The camera continues to follow the boy around the yard while the mom lays in the grass and then the daughter swinging around.</t>
  </si>
  <si>
    <t>The parents play with the kids more, give them a kiss, and the dad walks away with the daughter.</t>
  </si>
  <si>
    <t>v_jG1kgKJkf8c</t>
  </si>
  <si>
    <t>A street performer is sitting down on a crate and drumming on buckets and pans with drum sticks.</t>
  </si>
  <si>
    <t>He busts on of the buckets and in frustration, stabs it with the stick.</t>
  </si>
  <si>
    <t>He replaces the bucket and starts over in his beat as a crowd gathers.</t>
  </si>
  <si>
    <t>He rearranges the buckets once again and continues drumming.</t>
  </si>
  <si>
    <t>v_l0Sz7dqLzqs</t>
  </si>
  <si>
    <t>A large crowd is seen sitting in front of a pool followed by several shots of two people diving into a pool.</t>
  </si>
  <si>
    <t>More shots are shown of divers performing impressive stunts into the pool and ends with them walking away and their score being shown.</t>
  </si>
  <si>
    <t>A man speaks off into the distance and the divers stand together to get their medals.</t>
  </si>
  <si>
    <t>v_22n4w0uferc</t>
  </si>
  <si>
    <t>A screen appears with a snowy mountain with pine trees and an overlay on the screen of a logo and words that say "Efficient Hot Waxing Tips Reduces time material waste, cost and mess".</t>
  </si>
  <si>
    <t>A pair of skis are in a workshop and a man is doing some work on them that included rounds rubbing wax on the skis, ironing the skis, scraping skis while words on the bottom appear throughout the entire process as it explains what is being done.</t>
  </si>
  <si>
    <t>The man is now sharpening the edges of a file then begins to scrape the skis, then finishes up by ironing it with different clothes between the iron and skis.</t>
  </si>
  <si>
    <t>The outro screen appears and it's the exact picture like the intro but the words now say "Checkout our video Scraping &amp; Brushing" and it also includes the company logo.</t>
  </si>
  <si>
    <t>v_9K97gmkVbyQ</t>
  </si>
  <si>
    <t>A woman is seen speaking to the camera while grabbing various bags and laying them out.</t>
  </si>
  <si>
    <t>She puts and object into a bag while pointing to a box next to her.</t>
  </si>
  <si>
    <t>She stuffs paper into the bag and ends by tying a bow on top.</t>
  </si>
  <si>
    <t>v_r3H_75-lRjE</t>
  </si>
  <si>
    <t>A man plays the harmonica on front a microphone, then he ends and say goodbye.</t>
  </si>
  <si>
    <t>Then, a girl steps on the stage and speaks with the microphone.</t>
  </si>
  <si>
    <t>v_nJMS8jN3uU4</t>
  </si>
  <si>
    <t>There are four kids of varying ages playing kick ball in their backyard.</t>
  </si>
  <si>
    <t>The girl in pink kicks the ball to her brother in the orange shirt while the little kids run around and play.</t>
  </si>
  <si>
    <t>There's a little baby sitting on the ground in a baby bouncer watching them play.</t>
  </si>
  <si>
    <t>v_V2PhVadSbpQ</t>
  </si>
  <si>
    <t>A man talks to the camera while intermittently raking leaves.</t>
  </si>
  <si>
    <t>A closeup of a pile of leaves is shown.</t>
  </si>
  <si>
    <t>v_yDCZNNI3tDo</t>
  </si>
  <si>
    <t>A lady is talking to the camera then she laughs and looks down and the camera focuses elsewhere.</t>
  </si>
  <si>
    <t>The camera is back to the lady and a man is now cutting her hair as her mouth is open in disbelief and the man is laughing as he cuts her hair in one quick motion around her head.</t>
  </si>
  <si>
    <t>The lady is so in shock and drops hair from her lap and looks down at the ground at all the hair, touches her hair, stands up to look in the mirror, screams, cries, starts freaking out, sits back down and stands back up to look in the mirror.</t>
  </si>
  <si>
    <t>The lady looks in the mirror and is smiling but you can tell she's not happy.</t>
  </si>
  <si>
    <t>v_omuYi2Vhgjo</t>
  </si>
  <si>
    <t>A young boy is seen smiling and laughing into the camera and beginning to play piano.</t>
  </si>
  <si>
    <t>The boy plays furiously on the piano at a fast pace and leads into him wearing a different shirt and still playing.</t>
  </si>
  <si>
    <t>He finishes by putting his body onto the piano and then smiling into the camera.</t>
  </si>
  <si>
    <t>v_8UJ5PGzu1PE</t>
  </si>
  <si>
    <t>A man lays a Coca Cola bottle on a bundle of hay.</t>
  </si>
  <si>
    <t>The man shots an arrow from a bow.</t>
  </si>
  <si>
    <t>The arrow uncaps the bottle.</t>
  </si>
  <si>
    <t>v_mCdKLZGnKxk</t>
  </si>
  <si>
    <t>Someone is placing a vent on the roof of a house.</t>
  </si>
  <si>
    <t>They seal the vent with glue.</t>
  </si>
  <si>
    <t>v_jKPgBtesr74</t>
  </si>
  <si>
    <t>Two boys are standing behind a table.</t>
  </si>
  <si>
    <t>They have a glass and a lemon on the table.</t>
  </si>
  <si>
    <t>They pour it into a pitcher of water and make a drink.</t>
  </si>
  <si>
    <t>They pour the drink into two glasses.</t>
  </si>
  <si>
    <t>They both take a drink out of the straw.</t>
  </si>
  <si>
    <t>v_74MEdLMrXAQ</t>
  </si>
  <si>
    <t>Boys play indoor soccer while kicking the ball and passing it to playmates, then the referee enter to the center and gives instructions.</t>
  </si>
  <si>
    <t>Then, the referee puts the ball on the goal area and a boy kick the ball, but the goalkeeper stop the ball.</t>
  </si>
  <si>
    <t>The boys play shooting the ball to the goalkeeper stops the ball.</t>
  </si>
  <si>
    <t>After, a player scores and the teams continue playing.</t>
  </si>
  <si>
    <t>v_bpfak_VIJ8o</t>
  </si>
  <si>
    <t>Several shots of landscapes are shown that leads into a man and woman speaking to the camera.</t>
  </si>
  <si>
    <t>The couple walk onto a sandy pit and pan around a group of players.</t>
  </si>
  <si>
    <t>More people are seen speaking to the camera that shows shots of them playing volleyball and ending with the couple.</t>
  </si>
  <si>
    <t>v_NVnjzpoY1O8</t>
  </si>
  <si>
    <t>An elderly priest is sitting down in his chair indoors in a large building and 3 different men break dance on the ground in front of him as the people around him start clapping and lights go off from all the flashes.</t>
  </si>
  <si>
    <t>When the men are done dancing they stand up together in front of the people and the priest, and they take their bow to the priest and to the people.</t>
  </si>
  <si>
    <t>The men then walk over to the priest and each kiss his hand and white words appear on the screen and say "Bilder: Reuters Redigering: Malin Lagerlof".</t>
  </si>
  <si>
    <t>v_AU3_oU1_rfA</t>
  </si>
  <si>
    <t>An eHow intro comes onto the screen with music in the background.</t>
  </si>
  <si>
    <t>I man appears on the screen narrating the video about how to shave.</t>
  </si>
  <si>
    <t>A man is shown getting his skin moisturized and having shaving cream buffed onto his face.</t>
  </si>
  <si>
    <t>The video ends with the eHow closing credits.</t>
  </si>
  <si>
    <t>v_-0NfmccuL9Q</t>
  </si>
  <si>
    <t>A man has a few tools and is pumping his car up some so he can take off the tire.</t>
  </si>
  <si>
    <t>He uses the tool to take off all of the nuts one by one.</t>
  </si>
  <si>
    <t>Then he grabs the tire off and moves it over and he puts on another tire.</t>
  </si>
  <si>
    <t>He does everything he did before but the opposite, putting the nuts back on in place to tighten the tire on, he then brings the car back down.</t>
  </si>
  <si>
    <t>v_sFKOnFMJF2Q</t>
  </si>
  <si>
    <t>A teen skateboards in a road, then he walks with a friend holding his skateboard, then they skateboard.</t>
  </si>
  <si>
    <t>A car enters the street where the teen skateboard.</t>
  </si>
  <si>
    <t>A youth wearing a pink t-shirt skateboard on the street.</t>
  </si>
  <si>
    <t>The teen walks holding his skateboard.</t>
  </si>
  <si>
    <t>Teens skateboard in the street making tricks and turn.</t>
  </si>
  <si>
    <t>After, two teens walk in the street, and then they skateboard.</t>
  </si>
  <si>
    <t>v_l6a56j87obQ</t>
  </si>
  <si>
    <t>A man is standing on a stage at night time with a lot of stage lights, a band behind him, and a crowd in front of him and he's playing a bag pipe.</t>
  </si>
  <si>
    <t>Another man comes onto the stage playing the guitar and the lights go flashing.</t>
  </si>
  <si>
    <t>When the man is done playing the bagpipe another man runs on the stage to grab it from him, and the man who was playing the bagpipe gets something to drink, then grabs a mic and starts singing and waving his right arm in the air.</t>
  </si>
  <si>
    <t>v_EMgWolnolDg</t>
  </si>
  <si>
    <t>Two men outside in the woods while one man wearing a knit cap balances on a rope tied across two trees while one man with a black beard supports the man with the knit cap.</t>
  </si>
  <si>
    <t>The man with the beard releases the man on the rope and moves away.</t>
  </si>
  <si>
    <t>A man in a green hoodie balances on the rope while the man in the beard supports the man on the rope.</t>
  </si>
  <si>
    <t>A Man in a grey shirt pushes off of a man wearing a black shirt and performs a back somersault and lands firmly on the leaf covered ground.</t>
  </si>
  <si>
    <t>v_wlx5YuEHsO8</t>
  </si>
  <si>
    <t>A white intro screen appears with special effects and a lot of coloring that include words, numbers, and logos.</t>
  </si>
  <si>
    <t>Men are then shown in a dark room filled with people as they put on shirts, shakes hands with others, pose and then they begin a game of Foosball while images of their flag briefly show up on the screen and a lot of people around them watch as different men team up against one another.</t>
  </si>
  <si>
    <t>When they are done playing a man and a woman are standing and talking at a mic while one man hands over a box to another man and they walk off the stage.</t>
  </si>
  <si>
    <t>The same white screen from the beginning appears with special effects and lot of colored words then it fades to black.</t>
  </si>
  <si>
    <t>v_v79nh_3vpVk</t>
  </si>
  <si>
    <t>A man in a white shirt is talking to the camera.</t>
  </si>
  <si>
    <t>A girl then talks to the camera.</t>
  </si>
  <si>
    <t>Pink water bottles are in a box.</t>
  </si>
  <si>
    <t>They walk onto the field and start playing.</t>
  </si>
  <si>
    <t>v_mFSdzT5gXQs</t>
  </si>
  <si>
    <t>A computer generated game of a man, he starts spinning.</t>
  </si>
  <si>
    <t>He turns around quickly and lets go of the frisbee and the refs run up to mark where it lands.</t>
  </si>
  <si>
    <t>The man starts to do it again, he spins and throws again.</t>
  </si>
  <si>
    <t>The score shows up on the screen before he spins and throws again and then he cheers in excitment.</t>
  </si>
  <si>
    <t>v_Vp63nbOfxgs</t>
  </si>
  <si>
    <t>Some is carrying an instrument case walking around outside, they put the case down on the ground and take out a violin.</t>
  </si>
  <si>
    <t>The woman plays the violin everywhere she goes and she dances while she plays too.</t>
  </si>
  <si>
    <t>She does some movements of her body making her back bend down almost touching the ground while still jamming out on the violin.</t>
  </si>
  <si>
    <t>She is very intense about it, she plays and plays and when she is done she walks away casually.</t>
  </si>
  <si>
    <t>v_8729_qnILMM</t>
  </si>
  <si>
    <t>A woman plays flute sit on a piano while moving her feet.</t>
  </si>
  <si>
    <t>The woman finish playing bow and smiles.</t>
  </si>
  <si>
    <t>v_Ie7DREiXp08</t>
  </si>
  <si>
    <t>A woman is seen speaking to the camera and pouring out liquids into a case.</t>
  </si>
  <si>
    <t>She then pulls contacts into the case and then places one in each eye.</t>
  </si>
  <si>
    <t>She holds up the case in the end followed by her putting the contacts back into the case.</t>
  </si>
  <si>
    <t>v_AXA-G5DdNrU</t>
  </si>
  <si>
    <t>People raft down a rocky river.</t>
  </si>
  <si>
    <t>Suddenly, the boat turn over and all men fall in the water.</t>
  </si>
  <si>
    <t>Then, people reach the shore, while a man climbs a rock.</t>
  </si>
  <si>
    <t>After, persons in a boat rescue a man in the water and recover the boat.</t>
  </si>
  <si>
    <t>two men stand in the shore next to a ladder.</t>
  </si>
  <si>
    <t>Rafters are still in the water waiting.</t>
  </si>
  <si>
    <t>v_K-rEA43wOS0</t>
  </si>
  <si>
    <t>People play beer pong while other persons watch.</t>
  </si>
  <si>
    <t>People get happy when the ball get inside a cup.</t>
  </si>
  <si>
    <t>Then, a man throw a ball inside a cup, and a person drink the liquid in the cup.</t>
  </si>
  <si>
    <t>A man throw a ball inside a cup and people congratulates and hug the man.</t>
  </si>
  <si>
    <t>v_6VNFwlzQiuc</t>
  </si>
  <si>
    <t>A person is seen speaking to the camera and walking into a tattoo shop, followed by a person getting tattooed by an artist.</t>
  </si>
  <si>
    <t>The man continues speaking to the camera while another is being tattooed in the background and continues speaking to the camera.</t>
  </si>
  <si>
    <t>v_JKCwcCMAnxg</t>
  </si>
  <si>
    <t>We see a blue title card.</t>
  </si>
  <si>
    <t>A man and a woman begin dancing in a ballroom.</t>
  </si>
  <si>
    <t>They pause and the lady sweeps her leg.</t>
  </si>
  <si>
    <t>The man dips the lady.</t>
  </si>
  <si>
    <t>The lady slides to the ground.</t>
  </si>
  <si>
    <t>The lady does the splits.</t>
  </si>
  <si>
    <t>The man lifts the lady in the air.</t>
  </si>
  <si>
    <t>We switch and see people dancing in different locations.</t>
  </si>
  <si>
    <t>We see the blue ending screen.</t>
  </si>
  <si>
    <t>v_fhXVqPPDjN8</t>
  </si>
  <si>
    <t>A man is seen dancing in a nightclub with two women around him.</t>
  </si>
  <si>
    <t>The three continue dancing with one another while others dance on the side.</t>
  </si>
  <si>
    <t>The people dance around one another while the camera captures their movements.</t>
  </si>
  <si>
    <t>v_5RKzXZ-0xQ8</t>
  </si>
  <si>
    <t>A person paint nails to a woman using purple nail polish.</t>
  </si>
  <si>
    <t>A woman is looking down.</t>
  </si>
  <si>
    <t>v_PQgydNnSggw</t>
  </si>
  <si>
    <t>A woman is seen sitting in a chair speaking and waving to the camera and looks into a mirror showing her and the camera man.</t>
  </si>
  <si>
    <t>A tattoo artist then steps into frame and begins tattooing a symbol on the girl's neck.</t>
  </si>
  <si>
    <t>In the end pictures of the girl's tattoo are shown.</t>
  </si>
  <si>
    <t>v_ulJxGEx2r7o</t>
  </si>
  <si>
    <t>An intro leads to a small group of small children standing on a stage holding instruments.</t>
  </si>
  <si>
    <t>They begin playing the instruments while the camera zooms in out of each of them playing.</t>
  </si>
  <si>
    <t>v_BZK8b0xCkB0</t>
  </si>
  <si>
    <t>A woman wearing a santa hat is talking.</t>
  </si>
  <si>
    <t>She puts Christmas lights onto the tree.</t>
  </si>
  <si>
    <t>She puts ribbon around the tree.</t>
  </si>
  <si>
    <t>She strings decorations around the tree.</t>
  </si>
  <si>
    <t>She puts bulbs on the Christmas tree.</t>
  </si>
  <si>
    <t>She puts small stuffed animals on the tree.</t>
  </si>
  <si>
    <t>She puts candy canes on the tree.</t>
  </si>
  <si>
    <t>She puts a star on the tree.</t>
  </si>
  <si>
    <t>The star falls off the tree.</t>
  </si>
  <si>
    <t>She puts cotton underneath the tree.</t>
  </si>
  <si>
    <t>v_rkgeHZjFskY</t>
  </si>
  <si>
    <t>A young girl in a room talks to a camera and shows off her hair style.</t>
  </si>
  <si>
    <t>She then goes back to before it was braided and combs it out, sectioning it off.</t>
  </si>
  <si>
    <t>She then takes two sections and intertwines them, and grabs more lengths of hair as she goes down the braid.</t>
  </si>
  <si>
    <t>She then tucks the braid to the side and grabs lengths of hair to secure it to the side and incorporates lengths from the back of her hair.</t>
  </si>
  <si>
    <t>Her hair is succesfully braided and she shows off the finished look.</t>
  </si>
  <si>
    <t>v_pbeQcGC3nXY</t>
  </si>
  <si>
    <t>A man in fencing gear begins to talk about fencing gear getting ready to talk about his fencing experiences.</t>
  </si>
  <si>
    <t>He gets dressed in his gear and goes to the studio for practice.</t>
  </si>
  <si>
    <t>He and another man practice with one another while a timer is running.</t>
  </si>
  <si>
    <t>There is a certain stance and way you move your feet when you fence that helps with moving towards and from the opponet .</t>
  </si>
  <si>
    <t>v_uCLUexLKpnU</t>
  </si>
  <si>
    <t>A camera pans all around a sky showing kites in the air.</t>
  </si>
  <si>
    <t>A person is then seen riding a kite board on the water.</t>
  </si>
  <si>
    <t>The person continues to ride around while the camera watches.</t>
  </si>
  <si>
    <t>v_eeD2_hKG7zE</t>
  </si>
  <si>
    <t>A young girl is seen standing before a set of monkey bars and smiling while speaking to the camera.</t>
  </si>
  <si>
    <t>She then carries herself along the set of monkey bars and moves back and fourth on the play set.</t>
  </si>
  <si>
    <t>She makes her way back to the start and climbs down the ladder finally looking at the camera.</t>
  </si>
  <si>
    <t>v_TXq9MO-dYhI</t>
  </si>
  <si>
    <t>A woman talks on front the blinds.</t>
  </si>
  <si>
    <t>Then, the woman plays four tam-tams, she mainly plays the tam-tam on front her.</t>
  </si>
  <si>
    <t>Then, the woman stops playing and smile.</t>
  </si>
  <si>
    <t>v_28QW8P1x_LE</t>
  </si>
  <si>
    <t>A man and two women are doing an aerobic dance inside a building.</t>
  </si>
  <si>
    <t>They perform several moves, speeding up with time.</t>
  </si>
  <si>
    <t>They stop, clapping and wiping the hair out of their faces when they are done.</t>
  </si>
  <si>
    <t>v_tSR4Pj_muN0</t>
  </si>
  <si>
    <t>A man is walking in a field.</t>
  </si>
  <si>
    <t>We see his back and see blood and a harness in his skin and another two men one who has the skin harness.</t>
  </si>
  <si>
    <t>We see the men climbing and standing on a crane high in the sky.</t>
  </si>
  <si>
    <t>The men with the skin harness jump off a crane high above a forest.</t>
  </si>
  <si>
    <t>We see the ground below.</t>
  </si>
  <si>
    <t>v_Relgb880pRI</t>
  </si>
  <si>
    <t>A cartoon of an archway is shown and leads into a man placing tomatoes onto a plate.</t>
  </si>
  <si>
    <t>He puts onions and other ingredients onto a plate and cuts up several more ingredients.</t>
  </si>
  <si>
    <t>He places the final ingredients into the bowl while talking to the camera and pans out on the meal he made.</t>
  </si>
  <si>
    <t>v_cKFTf1vZQOw</t>
  </si>
  <si>
    <t>Two male kids are outside on a driveway talking to one another.</t>
  </si>
  <si>
    <t>Once they have finished their conversation,they begin skateboarding down the road into an open park.</t>
  </si>
  <si>
    <t>The two boys arrive at their destination stop and talk then one takes off and the other boy follows him and they keep rollerblading.</t>
  </si>
  <si>
    <t>v_WXMb7XF6k8o</t>
  </si>
  <si>
    <t>A series of women are shown in close up of their faces.</t>
  </si>
  <si>
    <t>A stylist is standing beside a girl seated in his chair.</t>
  </si>
  <si>
    <t>He gives instructions on how to style her hair.</t>
  </si>
  <si>
    <t>He uses a dryer to blow her hair, then clips it.</t>
  </si>
  <si>
    <t>v_v13d7g_uUXM</t>
  </si>
  <si>
    <t>A man is seen walking into frame bending down to grab a set of weights and begins to lift himself upward.</t>
  </si>
  <si>
    <t>He then lifts the weight up over his shoulder several times while jumping to give himself momentum.</t>
  </si>
  <si>
    <t>v_FBqtQ3HCk48</t>
  </si>
  <si>
    <t>A man carves a pumpkin and a piece of ice, then the man holds a carved pumpkin and put it on a bench.</t>
  </si>
  <si>
    <t>A young man takes pictures of artistic ice sculptures, while a person carves a piece of ice in the street.</t>
  </si>
  <si>
    <t>The man shows how to carve a pumpkin using carving tools to make faces.</t>
  </si>
  <si>
    <t>The carved pumpkins with scary faces and an ice sculptures are displayed in a room.</t>
  </si>
  <si>
    <t>v_EDEFxLnf_Wk</t>
  </si>
  <si>
    <t>People are spinning on exercise bikes.</t>
  </si>
  <si>
    <t>v_OOKHi7EBNKk</t>
  </si>
  <si>
    <t>An individual wearing face covering drags an inner tube type device along the snow, surrounded by other people doing the same thing.</t>
  </si>
  <si>
    <t>The individual walks towards another individual wearing a red jacket.</t>
  </si>
  <si>
    <t>The individual hands the rein for the device to the person in the red jacket and sits on the device.</t>
  </si>
  <si>
    <t>The person in the red jacket pulls the device downhill and the first individual rides down the slope.</t>
  </si>
  <si>
    <t>The first individual dismounts and resumes pulling the device.</t>
  </si>
  <si>
    <t>The individual pulls the device along some sort of covered walkway with a moving floor.</t>
  </si>
  <si>
    <t>v_ryZuSiZNN2o</t>
  </si>
  <si>
    <t>A field of two teams are shown fighting over a lacrosse ball in the middle of a large green field.</t>
  </si>
  <si>
    <t>They then get up and continue playing across the large field.</t>
  </si>
  <si>
    <t>Shortly after,a small brawl begins in the middle of the pool and a man in a black uniform nose begins to bleed and the game is at a halt and replays are shown.</t>
  </si>
  <si>
    <t>v__IlyE43ZUH8</t>
  </si>
  <si>
    <t>An ad for Beckon Call services appears.</t>
  </si>
  <si>
    <t>A man is standing in a backyard speaking.</t>
  </si>
  <si>
    <t>He picks up several window screens while he talks about them.</t>
  </si>
  <si>
    <t>He adds them to the stack and walks away.</t>
  </si>
  <si>
    <t>v_ll4HKY9ZBOA</t>
  </si>
  <si>
    <t>A marching band stands ready on a street while an audience watches.</t>
  </si>
  <si>
    <t>The conductor conducts the band.</t>
  </si>
  <si>
    <t>The band plays on the street while the audience watches.</t>
  </si>
  <si>
    <t>v_Tb875ldI6AY</t>
  </si>
  <si>
    <t>A young man is seen speaking to the camera and begins holding a cigarette.</t>
  </si>
  <si>
    <t>The man takes a puff from the cigarette while still speaking to the camera.</t>
  </si>
  <si>
    <t>The man continues smoking while looking off and speaking to the camera.</t>
  </si>
  <si>
    <t>v_AHXcJCpvkAQ</t>
  </si>
  <si>
    <t>A title screen leads into two women stepping up and down on a block.</t>
  </si>
  <si>
    <t>They perform several different exercises on the beam and move together in a synchronized motion.</t>
  </si>
  <si>
    <t>The girls spin round and round then hope back up and then down on the beam.</t>
  </si>
  <si>
    <t>v_VmD2k_dtddc</t>
  </si>
  <si>
    <t>Two teams are on a field with referees.</t>
  </si>
  <si>
    <t>They are involved in a game of lacrosse.</t>
  </si>
  <si>
    <t>They run across the field, trying to keep the ball out of the opponent's goal.</t>
  </si>
  <si>
    <t>v_p-JFdMUWVvU</t>
  </si>
  <si>
    <t>An older man is seen standing before two pucks while another person pushes them along the ice.</t>
  </si>
  <si>
    <t>The man bends down several times and then glides along the ice with the pucks.</t>
  </si>
  <si>
    <t>v_53tCYiyAyf0</t>
  </si>
  <si>
    <t>An intro leads into a man throwing darts onto a board.</t>
  </si>
  <si>
    <t>He looks closely off into the distance and continues throwing darts.</t>
  </si>
  <si>
    <t>The camera shows the board in the end and the man throwing it.</t>
  </si>
  <si>
    <t>v_38qpTblXDTw</t>
  </si>
  <si>
    <t>A woman sits on a riding lawnmower in the distance.</t>
  </si>
  <si>
    <t>The woman drives the lawnmower towards the camera.</t>
  </si>
  <si>
    <t>The woman begins to turn the mower at a fence corner.</t>
  </si>
  <si>
    <t>v_cMndipw7_As</t>
  </si>
  <si>
    <t>A person mends steel with a welding equipment.</t>
  </si>
  <si>
    <t>A person uses a hammer and a flat equipment to remove debris.</t>
  </si>
  <si>
    <t>A person uses a flat equipment to remove melted steel debris.</t>
  </si>
  <si>
    <t>The person places two dumbbell shaped steel in opening that he is welding.</t>
  </si>
  <si>
    <t>A person uses a flat equipment to clean the welded opening.</t>
  </si>
  <si>
    <t>A person uses a flat equipment to move the dumbbell shaped steels and then removes them with his hand.</t>
  </si>
  <si>
    <t>The credits of the video is shown.</t>
  </si>
  <si>
    <t>v_gmPoDbH-odg</t>
  </si>
  <si>
    <t>A woman hands from a red bar and does several arm pull ups.</t>
  </si>
  <si>
    <t>She then uncrosses her legs and jumps down with her hands at her side.</t>
  </si>
  <si>
    <t>A Life Fitness logo then flashes on the screen.</t>
  </si>
  <si>
    <t>v_LxwKUIJdt_4</t>
  </si>
  <si>
    <t>A person is seen blow leaves around a yard using a leaf blower sitting on his back.</t>
  </si>
  <si>
    <t>The camera follows him as the man moves up and down the yard blowing leaves all around the area.</t>
  </si>
  <si>
    <t>v_gOKkjA2yvGo</t>
  </si>
  <si>
    <t>A man is sitting on a cycle bike working out.</t>
  </si>
  <si>
    <t>A man is standing up next to him talking.</t>
  </si>
  <si>
    <t>A black and white logo comes onto the screen.</t>
  </si>
  <si>
    <t>v_KvscV2XxyTE</t>
  </si>
  <si>
    <t>Gymnast Micah Ross mounts the balance beam before a celebrated audience as the crowd cheers and shouts her name.</t>
  </si>
  <si>
    <t>Her routine begins with a flip, split, and summersault.</t>
  </si>
  <si>
    <t>She then performs two backwards flips and a pirouette.</t>
  </si>
  <si>
    <t>A forward flip and jump follows along with a sideways flip.</t>
  </si>
  <si>
    <t>After briefly wobbling on the bar, Micah regains her composure and performs a forward summersault.</t>
  </si>
  <si>
    <t>Ross successfully dismounts with a double flip to the applause of the audience.</t>
  </si>
  <si>
    <t>v_KX-vl2o8U1w</t>
  </si>
  <si>
    <t>A drummer is drumming, then the stick broke.</t>
  </si>
  <si>
    <t>A boy in blue shirt hit the drum, but the big drum keeps moving, then it fell.</t>
  </si>
  <si>
    <t>A boy with earphones is drumming and the stick got stuck in the instrument.</t>
  </si>
  <si>
    <t>The band is playing, while the man is singing, the drummer fell off the his chair.</t>
  </si>
  <si>
    <t>The marching band play their drums, then one of the drummers fell on the ground, a person came to help him.</t>
  </si>
  <si>
    <t>A drummer on stage fell of the stage.</t>
  </si>
  <si>
    <t>v_3am00ii0n-o</t>
  </si>
  <si>
    <t>A guy and a lady interact.</t>
  </si>
  <si>
    <t>The lady holds up papers and books.</t>
  </si>
  <si>
    <t>The guy claps and cheers.</t>
  </si>
  <si>
    <t>The lady plays a flute while looking down a the notes on the papers.</t>
  </si>
  <si>
    <t>The lady stops playing the flute and presents it.</t>
  </si>
  <si>
    <t>The guy plays a harmonica.</t>
  </si>
  <si>
    <t>The guy looks angry, and the lady look apologetic.</t>
  </si>
  <si>
    <t>The guy puts his head down.</t>
  </si>
  <si>
    <t>The guy and lady wave bye.</t>
  </si>
  <si>
    <t>The guy takes the flute from the lady and pretends to hit her on her chin.</t>
  </si>
  <si>
    <t>v_u7dfBgc_SqU</t>
  </si>
  <si>
    <t>A woman is standing in the sunlight, posing and modeling for the camera.</t>
  </si>
  <si>
    <t>She shows off her natural hair, then demonstrates how to style it using a blow out.</t>
  </si>
  <si>
    <t>v_xcDAjcRX93A</t>
  </si>
  <si>
    <t>A man is seen standing with his arms up and then begins a gymnasts routine.</t>
  </si>
  <si>
    <t>The man continues swinging around on the uneven bars and jumping off to finish.</t>
  </si>
  <si>
    <t>The man walks away while his score is shown and his routine is shown again in slow motion.</t>
  </si>
  <si>
    <t>v_a_EkYuPdaJ0</t>
  </si>
  <si>
    <t>A man talks stand on front a fence of a backyard.</t>
  </si>
  <si>
    <t>Then, the man talks a person in a paint shop, and the person shows him tools in a showcase.</t>
  </si>
  <si>
    <t>After, the man shows the buttons of the painting machine in the backyard.</t>
  </si>
  <si>
    <t>After, the man puts blue tape on the side of the fence and covers a rail.</t>
  </si>
  <si>
    <t>Then, the man paint the fence with the hose of the machine while wearing a mask.</t>
  </si>
  <si>
    <t>The man continues explaining on front the machine and buckets of paint.</t>
  </si>
  <si>
    <t>v_DjY-7jEpxZ0</t>
  </si>
  <si>
    <t>A group of kids are in a classroom like setting standing in a circle.</t>
  </si>
  <si>
    <t>In the middle of the circle,a woman is hitting a pinata wrapped in blue wall paper.</t>
  </si>
  <si>
    <t>v_q8mReXud6fE</t>
  </si>
  <si>
    <t>little kid is jumping on dry leaves.</t>
  </si>
  <si>
    <t>woman is raking dry leaves on a yard.</t>
  </si>
  <si>
    <t>kid kneels and grabs a dry leaf to put it in the trash bin.</t>
  </si>
  <si>
    <t>v_pKV8lrvbX6Q</t>
  </si>
  <si>
    <t>A little girl swings across the monkey bars on a play ground.</t>
  </si>
  <si>
    <t>She goes across each bar before jumping to the ground.</t>
  </si>
  <si>
    <t>She goes back to the beginning, and swings across the bars again.</t>
  </si>
  <si>
    <t>v_x99PS_O6JW8</t>
  </si>
  <si>
    <t>A young man is talking to the camera outside while taking puffs off of a hookah.</t>
  </si>
  <si>
    <t>He puts the pipe away and takes a swing out of an energy drink.</t>
  </si>
  <si>
    <t>He moves the camera to show another man and continues smoking the hookah next to the other man.</t>
  </si>
  <si>
    <t>Both look into the camera while smoking and the boy still continues drinking the energy drink.</t>
  </si>
  <si>
    <t>v_X-xQLFHZIOU</t>
  </si>
  <si>
    <t>a lot of people are sitting on stands on a bullring.</t>
  </si>
  <si>
    <t>bullfighters are holding red cloth nad running to a bull.</t>
  </si>
  <si>
    <t>v_Ly21QMQ4kGA</t>
  </si>
  <si>
    <t>Several awards are pictured over a fire place and then moves to the wall on the left.</t>
  </si>
  <si>
    <t>A table of food is shown and the person recording grabs a cookie and leaves the room.</t>
  </si>
  <si>
    <t>The next room he enters,there are several people standing around playing beer pong and he proceeds to walk through the house.</t>
  </si>
  <si>
    <t>v_yyvc2OSPx1Y</t>
  </si>
  <si>
    <t>A woman is shown in wal-mart, laughing and choosing earrings from a rack.</t>
  </si>
  <si>
    <t>She sits in a chair, and an employee shoots an earring into her lobe with a piercing gun.</t>
  </si>
  <si>
    <t>She cringes in pain as it enters her ear.</t>
  </si>
  <si>
    <t>v_6TxGVSw6Ayw</t>
  </si>
  <si>
    <t>We see three separate intro screens.</t>
  </si>
  <si>
    <t>We see a man making shots in hockey with title screens in between.</t>
  </si>
  <si>
    <t>A man shoots a shot at hockey and makes it and we see a slow motion recap.</t>
  </si>
  <si>
    <t>The man takes another shot and makes it and we see a recap of that as well.</t>
  </si>
  <si>
    <t>We see the shot from above, and a recap.</t>
  </si>
  <si>
    <t>v_FqlXey9KFZA</t>
  </si>
  <si>
    <t>A guy is operating a electric presser.</t>
  </si>
  <si>
    <t>A man is whipping with a dark rug.</t>
  </si>
  <si>
    <t>The guy is gesturing at the machine's work.</t>
  </si>
  <si>
    <t>v_xeFS0RuvVGA</t>
  </si>
  <si>
    <t>A group of boys play water catch with a yellow ball in an outdoor pool surrounded by a fence and tall trees and foliage.</t>
  </si>
  <si>
    <t>A group of boys play catch in an outdoor pool with a yellow ball , throwing the ball to each other and and then throwing the ball out of the pool to an unseen party.</t>
  </si>
  <si>
    <t>The ball is thrown back into the pool and the boys proceed to throw it back out again.</t>
  </si>
  <si>
    <t>v_mi6wetIKq2w</t>
  </si>
  <si>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t>
  </si>
  <si>
    <t>A batch of cinnamon roll cookies on a tray appear and a quick list of the ingredients appear along with the actual ingredients in different bowls.</t>
  </si>
  <si>
    <t>The ingredients are now shown being poured into a large clear bowl getting mixed up with a hand mixer, and instructions occasionally pop up on the screen.</t>
  </si>
  <si>
    <t>When the ingredients are thoroughly mixed the person flattens it between plastic, cools it, then puts it on a cutting board to roll it out, then adds sugar and cinnamon to the flat surface.</t>
  </si>
  <si>
    <t>The person then rolls it and puts it on a piece of saran wrap that's next to the cutting board then wraps the saran wrap around it, rolls it a little where the instructions say to cool it for 30 minutes.</t>
  </si>
  <si>
    <t>Once it's done being cooled it's removed,sliced on the cutting board, placed on a cooking sheet, and then cooked.</t>
  </si>
  <si>
    <t>The cooked products are then shown on white plates with a cup of coffee and the person picks it up and bites it.</t>
  </si>
  <si>
    <t>The last screen is a youtube promotion of the person's channel that has 2 small videos you can click on, and wording encouraging you to subscribe.</t>
  </si>
  <si>
    <t>v_CzXF0CQn2Fk</t>
  </si>
  <si>
    <t>people are in a small room dancing doing a choreography.</t>
  </si>
  <si>
    <t>the man stops dancing and keep doing the choreography.</t>
  </si>
  <si>
    <t>man wearing red shorts and grey shirt leading the choreography in front of the people in the room.</t>
  </si>
  <si>
    <t>v_Z-gDuGMpClo</t>
  </si>
  <si>
    <t>A window on a car is tolled down and a shirtless man walks to the are.</t>
  </si>
  <si>
    <t>We see shirtless men in small tight underwear washing cars.</t>
  </si>
  <si>
    <t>The men walk in the parking lot in a line with only underwear on.</t>
  </si>
  <si>
    <t>A man shakes his wet hair.</t>
  </si>
  <si>
    <t>A man washes another man's butt.</t>
  </si>
  <si>
    <t>A man wipes the water back and looks at the camera.</t>
  </si>
  <si>
    <t>Men do dances in a line and scenes of washing the car.</t>
  </si>
  <si>
    <t>v_Rc_pWU_3WLk</t>
  </si>
  <si>
    <t>Two sumo wrestlers stand in an arena.</t>
  </si>
  <si>
    <t>One knocks the other one out.</t>
  </si>
  <si>
    <t>The winner stands tall on the arena.</t>
  </si>
  <si>
    <t>The crowd looks at the winner.</t>
  </si>
  <si>
    <t>v_WwDGutCfElc</t>
  </si>
  <si>
    <t>The video shows a man in glasses and headphones, wearing a brown hat and shirt doing a tutorial on how to play a PVC flute.</t>
  </si>
  <si>
    <t>He takes the flute in his hands and begins playing by moving his fingers along the holes as he blows into the flute.</t>
  </si>
  <si>
    <t>He continues playing the flute till he finishes the tune.</t>
  </si>
  <si>
    <t>v_BlfFKVGQbi8</t>
  </si>
  <si>
    <t>A man plays many games of shuffleboard in a room occupied by other people and many other shuffle boards.</t>
  </si>
  <si>
    <t>A man in a collared shirt and glasses plays shuffleboard with metal pucks and a long wooden shuffleboard in front of a lit scoreboard in a room.</t>
  </si>
  <si>
    <t>The man puts paper towels over his eyes and under his glasses to absorb sweat from the intensity of the shuffleboard game.</t>
  </si>
  <si>
    <t>The man continues to play shuffleboard with a few onlookers in a room with a final visual shot of all but one of the pucks off of the shuffleboard.</t>
  </si>
  <si>
    <t>v_OzjjQ4SZ8PY</t>
  </si>
  <si>
    <t>A woman wearing scuba diving gear is under the water.</t>
  </si>
  <si>
    <t>She explores the ocean floor, looking at the fish and wildlife as a man swims behind her.</t>
  </si>
  <si>
    <t>They give ok signals to the person with the camera.</t>
  </si>
  <si>
    <t>v_Yr6Oyltj6Eo</t>
  </si>
  <si>
    <t>An athletic woman is shown jumping in slow motion over a pole, followed by several more women attempting the same jump.</t>
  </si>
  <si>
    <t>Several more women follow behind performing the jump while the camera captures them in slow motion.</t>
  </si>
  <si>
    <t>v_0tJ7eW6TKKM</t>
  </si>
  <si>
    <t>The people are shown slowly jogging in this marathon.</t>
  </si>
  <si>
    <t>There is only one man who juggles white balls in his hands while jogging backwards throughout the whole thing.</t>
  </si>
  <si>
    <t>In the end, the number of people lessens and there is just one person running and the man who juggles balls.</t>
  </si>
  <si>
    <t>v_SLfZUqfyfjs</t>
  </si>
  <si>
    <t>A man is outside trying to shovel off snow off of their windshield.</t>
  </si>
  <si>
    <t>The man then goes inside and starts talking.</t>
  </si>
  <si>
    <t>Once finished,he walks outside from his garage and test the product of the IceScreen.</t>
  </si>
  <si>
    <t>v_uy7WAwrrNiA</t>
  </si>
  <si>
    <t>People are standing on a field looking up at kites in the sky.</t>
  </si>
  <si>
    <t>A kite is shown in the sky by a tree.</t>
  </si>
  <si>
    <t>A boy chases after the kite and catches is.</t>
  </si>
  <si>
    <t>v_KxWvKN_kGMY</t>
  </si>
  <si>
    <t>Various pictures show people bring canoes off a truck and loading them into the water.</t>
  </si>
  <si>
    <t>The people are then seen fishing as well as riding down the river shown in several pictures.</t>
  </si>
  <si>
    <t>v_WTOTYZOu3MQ</t>
  </si>
  <si>
    <t>The barefoot man serve the ball but missed it.</t>
  </si>
  <si>
    <t>The man served the ball and hit the wall but it just bounced so low that the man can't hit it.</t>
  </si>
  <si>
    <t>The man chase after the ball picke it up and hit, then a shirtless man came up to him and teach him how to serve the ball.</t>
  </si>
  <si>
    <t>v_eS445rQ9SBo</t>
  </si>
  <si>
    <t>A woman is smiling at the camera.</t>
  </si>
  <si>
    <t>The woman takes an iron and starts ironing a white shirt in small circular patterns.</t>
  </si>
  <si>
    <t>The woman uses both hands to push the iron.</t>
  </si>
  <si>
    <t>She resumes ironing with one hand in the same spot.</t>
  </si>
  <si>
    <t>The woman inspects the star on the shirt.</t>
  </si>
  <si>
    <t>The woman then resumes ironing the pattern.</t>
  </si>
  <si>
    <t>The woman peels the paper away from the pattern and then resumes ironing.</t>
  </si>
  <si>
    <t>The woman holds up the the shirt after she is done.</t>
  </si>
  <si>
    <t>v_Gl8HTsP7Jfk</t>
  </si>
  <si>
    <t>A boy speaks to a camera while holding a lacrosse stick and hitting balls into a net.</t>
  </si>
  <si>
    <t>The boy throws several balls into the net over and over again hitting directly into the net.</t>
  </si>
  <si>
    <t>v_I9HV59QQkNw</t>
  </si>
  <si>
    <t>A man is sitting on a couch, drinking a beer from a bottle.</t>
  </si>
  <si>
    <t>He drops the bottle from his mouth, smiling.</t>
  </si>
  <si>
    <t>v_pG0uYjcjBR8</t>
  </si>
  <si>
    <t>People are standing around in a circle.</t>
  </si>
  <si>
    <t>Two people begin fighting in the circle.</t>
  </si>
  <si>
    <t>A man is doing flips outside on the grass.</t>
  </si>
  <si>
    <t>They continue to flight inside the circle.</t>
  </si>
  <si>
    <t>A man is standing outside talking in front of a street.</t>
  </si>
  <si>
    <t>A man does several back flips on the grass.</t>
  </si>
  <si>
    <t>v_u4nL6NXfsak</t>
  </si>
  <si>
    <t>A woman stands talking to the camera, with a dog in front of her.</t>
  </si>
  <si>
    <t>The woman holds the dog's front leg as she talks.</t>
  </si>
  <si>
    <t>The woman brushes the dog with a blue brush.</t>
  </si>
  <si>
    <t>v_B_NQ_U2JEp4</t>
  </si>
  <si>
    <t>A ad for premier packaging appears.</t>
  </si>
  <si>
    <t>A woman is standing in an office in front of a basket filled with small gifts.</t>
  </si>
  <si>
    <t>She shows how she used cellophane and a hair dryer to shrink wrap the gifts in the basket and keep the safe and presentable.</t>
  </si>
  <si>
    <t>v_r1v5fEOypSM</t>
  </si>
  <si>
    <t>A person rides a wake board behind a boat through the choppy water.</t>
  </si>
  <si>
    <t>The wake boarder jumps over the wake of the boat and does flips.</t>
  </si>
  <si>
    <t>The wake boarder does a final jump and falls into the water.</t>
  </si>
  <si>
    <t>v_9N1525JmqZQ</t>
  </si>
  <si>
    <t>A close up of a fireplace is seen with the camera moving around the front.</t>
  </si>
  <si>
    <t>The camera zooms in on the pit and shows a man kneeling own in front.</t>
  </si>
  <si>
    <t>The man lays plaster out on the front and begins putting tiling down over the plaster.</t>
  </si>
  <si>
    <t>v_q7Pp1TAgv3I</t>
  </si>
  <si>
    <t>The video pans into several shots of people performing arm wrestling matches and screaming afterwards.</t>
  </si>
  <si>
    <t>Many people are seen playing with one another and screaming to the crowd after their performance.</t>
  </si>
  <si>
    <t>v_TwQQPCjT_A4</t>
  </si>
  <si>
    <t>A man and a woman are sitting behind a table.</t>
  </si>
  <si>
    <t>Players are playing soccer on dirt, outside.</t>
  </si>
  <si>
    <t>Fans and players cheer or celebrate.</t>
  </si>
  <si>
    <t>v_Uru0CastJqU</t>
  </si>
  <si>
    <t>A person is seen walking forward and jumping up and down and diving in a pool.</t>
  </si>
  <si>
    <t>The same person is shown several more times performing various dives off a high board while the camera captures him from several angles.</t>
  </si>
  <si>
    <t>v_1GXQLnTalcg</t>
  </si>
  <si>
    <t>A video tutorial plays with a woman talking in the background about how to brush your teeth.</t>
  </si>
  <si>
    <t>She lists out the tools you need and steps to brush.</t>
  </si>
  <si>
    <t>A man opens a bottle and puts toothpaste on it.</t>
  </si>
  <si>
    <t>He begins brushing his teeth following the woman's instructions.</t>
  </si>
  <si>
    <t>The man rinses his mouth out with water and smiles with the woman's voice.</t>
  </si>
  <si>
    <t>v_d1JA5V3hO3Q</t>
  </si>
  <si>
    <t>A man talks in a blue room then sprays a toy car and pretends to wash it.</t>
  </si>
  <si>
    <t>We see a title screen and people in suits wash cars as a joke.</t>
  </si>
  <si>
    <t>A man and a small boy with high powered hoses wash cars followed by cheerleaders.</t>
  </si>
  <si>
    <t>We see a black van with people getting out and a man in a top hat touch the car.</t>
  </si>
  <si>
    <t>The people get in the black van and drive away adn teh car owners stand on the street.</t>
  </si>
  <si>
    <t>We then see the ending scene.</t>
  </si>
  <si>
    <t>v_FsQWaEejutU</t>
  </si>
  <si>
    <t>A man is smoking a pipe and blowing smoke rings.</t>
  </si>
  <si>
    <t>The man uses profanity and flips the camera off.</t>
  </si>
  <si>
    <t>Another man is standing by watching him.</t>
  </si>
  <si>
    <t>v_ZwDfAhQVKLQ</t>
  </si>
  <si>
    <t>A person is seen walking into frame in a dark room and walks down a long set of stairs.</t>
  </si>
  <si>
    <t>A man is seen in the corner moving back and fourth on exercise equipment.</t>
  </si>
  <si>
    <t>A woman then speaks to the man as he continues rowing and showing a close up of the machine.</t>
  </si>
  <si>
    <t>v_aEyTdUOp-qs</t>
  </si>
  <si>
    <t>A man walks up with a mop and bucket.</t>
  </si>
  <si>
    <t>He takes them up out of the bucket and begins to mop the floor.</t>
  </si>
  <si>
    <t>After a moment she begins to pretend that he is dancing with the mop.</t>
  </si>
  <si>
    <t>v_jfnFrt9nfSo</t>
  </si>
  <si>
    <t>A man in a blue shirt is playing basketball on a court.</t>
  </si>
  <si>
    <t>He shoots at the hoop and misses it.</t>
  </si>
  <si>
    <t>A person in a white shirt is standing behind them on a tennis court.</t>
  </si>
  <si>
    <t>v_CCL8kqQMCRw</t>
  </si>
  <si>
    <t>A young boy attempts to break open a pinata at his birthday party inside a garage.</t>
  </si>
  <si>
    <t>Another boy nearly walks into the range of the boy's stick but is saved by an adult.</t>
  </si>
  <si>
    <t>The boy continues bashing the pinata before taking a break and handing the stick to another boy.</t>
  </si>
  <si>
    <t>v_M-IRMq2DmY0</t>
  </si>
  <si>
    <t>A brunette woman is sitting in a bubble bath with one leg out shaving it with a pink razor.</t>
  </si>
  <si>
    <t>The woman goes up one stroke of the razor and begins again.</t>
  </si>
  <si>
    <t>She repeats this process shaving up the leg and beginning again a few times around her leg.</t>
  </si>
  <si>
    <t>v__4wEUsTft44</t>
  </si>
  <si>
    <t>In a blue room two men are using tools and fixing up the carpet.</t>
  </si>
  <si>
    <t>It seems like they just put in new carpet and now they are making sure it is held down correctly.</t>
  </si>
  <si>
    <t>They use a nail gun of some type to nail the ends of the corner.</t>
  </si>
  <si>
    <t>One of the men walks around checking to see if anything is missed.</t>
  </si>
  <si>
    <t>v_ZLXhlWhrkno</t>
  </si>
  <si>
    <t>We see a clearing in the woods.</t>
  </si>
  <si>
    <t>We zoom in on a buck walking in the woods.</t>
  </si>
  <si>
    <t>The buck stops and looks left, then right.</t>
  </si>
  <si>
    <t>The buck is drinking from a puddle the runs off startled.</t>
  </si>
  <si>
    <t>The buck stands in the clearing.</t>
  </si>
  <si>
    <t>A man is working with a bow while another films the animal.</t>
  </si>
  <si>
    <t>The hunter shoots the animal with a bow and it dies slowly.</t>
  </si>
  <si>
    <t>The hunter is photographed with the dead animal.</t>
  </si>
  <si>
    <t>v_eCd8x8KqxKQ</t>
  </si>
  <si>
    <t>Several shots of a casino are shown as well as people getting passes and walking around the inside.</t>
  </si>
  <si>
    <t>The camera pans around several tables of games being played as well as slot machines and people playing with one another.</t>
  </si>
  <si>
    <t>v_ISJodiRZ_uo</t>
  </si>
  <si>
    <t>A girl with braided hair asks a worker at an equestrian center some questions.</t>
  </si>
  <si>
    <t>The woman responds and talks about horse care.</t>
  </si>
  <si>
    <t>The girl brushes the horse's mane.</t>
  </si>
  <si>
    <t>The two continue going over horse care.</t>
  </si>
  <si>
    <t>The girl and woman both work on brushing techniques.</t>
  </si>
  <si>
    <t>The woman brushes the horses tail is lots of care as the girl watches.</t>
  </si>
  <si>
    <t>v_xZdCmghMcvU</t>
  </si>
  <si>
    <t>A woman stands by watching a chef removing leaves from a piece of lettuce.</t>
  </si>
  <si>
    <t>The chef shows the woman how to cut some parts of the lettuce.</t>
  </si>
  <si>
    <t>The chef and the woman have a long conversation regarding the lettuce.</t>
  </si>
  <si>
    <t>v_AjohJX4RedM</t>
  </si>
  <si>
    <t>A woman is sitting on a rowing machine.</t>
  </si>
  <si>
    <t>The woman places her feet into the straps of the rowing machine.</t>
  </si>
  <si>
    <t>The woman holds onto the rowing cables and rows.</t>
  </si>
  <si>
    <t>The woman stops and demonstrates the motor area of the machine.</t>
  </si>
  <si>
    <t>Back sitting on the rowing machine, she rows one more time and places the cables down.</t>
  </si>
  <si>
    <t>The woman removes her feet from the straps.</t>
  </si>
  <si>
    <t>v_C4QrTmNDADY</t>
  </si>
  <si>
    <t>A man is seen laying on the floor and begins demonstrating how to properly perform dance moves as well as the wrong way to perform them.</t>
  </si>
  <si>
    <t>The man continues moving all around the floor and leads into several clips of people performing the move.</t>
  </si>
  <si>
    <t>v_dXTfrVz9A9o</t>
  </si>
  <si>
    <t>A man cleans the snow with a self lifted shovel that has a rod to impulse up the shovel.</t>
  </si>
  <si>
    <t>The man puts the shovel in the snow and it lifts and throws snow.</t>
  </si>
  <si>
    <t>The man shovel heavy hardened snow from the ground effortlessly.</t>
  </si>
  <si>
    <t>The person shows the shovel that has behind a weight lifter.</t>
  </si>
  <si>
    <t>v_TSVdiNxLu50</t>
  </si>
  <si>
    <t>Several shots are shown of people walking on a beach and leads into many people surfing on the water.</t>
  </si>
  <si>
    <t>Dozens of people are shown in various clips riding along waves in the water as well as people sitting in the water from behind.</t>
  </si>
  <si>
    <t>v_MMnTMB6AmuU</t>
  </si>
  <si>
    <t>A woman stands up and starts jump roping.</t>
  </si>
  <si>
    <t>The rest of the women stand up and join her jump roping.</t>
  </si>
  <si>
    <t>They do a hand stand on the ground in front of them.</t>
  </si>
  <si>
    <t>v_Lv6ypQZWIEg</t>
  </si>
  <si>
    <t>A young child walks across some sand carrying equipment around her waist.</t>
  </si>
  <si>
    <t>While on a school field, she throws a stick.</t>
  </si>
  <si>
    <t>Back on the sand, she continues walking with the equipment attached to her waist.</t>
  </si>
  <si>
    <t>She throws a pebble into the beach.</t>
  </si>
  <si>
    <t>On a school track, she throws a stick.</t>
  </si>
  <si>
    <t>She throws another stick in a grassy field, where her coaches watch on.</t>
  </si>
  <si>
    <t>A man gives her a medal.</t>
  </si>
  <si>
    <t>In a grassy field, she throws a stick.</t>
  </si>
  <si>
    <t>v_MXbwIfqSq_Q</t>
  </si>
  <si>
    <t>A picture of a man is shown and then drawings of human vertebrae.</t>
  </si>
  <si>
    <t>The man in gray out is standing in a room and started to rotate his hands forward and backward.</t>
  </si>
  <si>
    <t>The man is swaying side to side and move his arms in front of him.</t>
  </si>
  <si>
    <t>v_V9ktV85lA9E</t>
  </si>
  <si>
    <t>A man is standing in front of a cat who keeps walking on his wrapping paper.</t>
  </si>
  <si>
    <t>The man pushes the cat down on the paper and folds it around the cat.</t>
  </si>
  <si>
    <t>He then tapes the paper onto the cat, leaving only the head sticking out.</t>
  </si>
  <si>
    <t>He then places a bow on the cat's head.</t>
  </si>
  <si>
    <t>v_S1bEYnNyLZE</t>
  </si>
  <si>
    <t>A mother tries to brush a baby's teeth.</t>
  </si>
  <si>
    <t>The baby takes the toothbrush and tries herself.</t>
  </si>
  <si>
    <t>The baby spits out some of this toothpaste but keeps trying.</t>
  </si>
  <si>
    <t>v_E2sbaDQabkA</t>
  </si>
  <si>
    <t>A black and yellow jump rope lies on the floor while three people are in the background.</t>
  </si>
  <si>
    <t>The title, "Jump Rope Steffisburg", appears on the screen while several people in green shirts run behind.</t>
  </si>
  <si>
    <t>Two young women perform a somersault.</t>
  </si>
  <si>
    <t>A large group of people in green shirts perform various jump rope stunts in a large gymnasium.</t>
  </si>
  <si>
    <t>Someone picks up a yellow and black jump rope from the floor and walks off with it.</t>
  </si>
  <si>
    <t>v_kq7KVmvkYPc</t>
  </si>
  <si>
    <t>A black screen advertises the video.</t>
  </si>
  <si>
    <t>A man is shown lying down while someone shaves his beard.</t>
  </si>
  <si>
    <t>The blade is shown very close to the skin as the man shaves him carefully, rinsing between scrapings.</t>
  </si>
  <si>
    <t>The screen fades to black as the man finishes the shaving.</t>
  </si>
  <si>
    <t>v_sI7qq85QaA0</t>
  </si>
  <si>
    <t>Two males play table tennis in a small room.</t>
  </si>
  <si>
    <t>Another man walks in the background.</t>
  </si>
  <si>
    <t>v_kbK-9Me0BnA</t>
  </si>
  <si>
    <t>A group of women are standing around as one of them is on a camel .</t>
  </si>
  <si>
    <t>The camel lifts up an the trainers and other friends stare on.</t>
  </si>
  <si>
    <t>They seem to be having a great time as the camera pulls back to show them all.</t>
  </si>
  <si>
    <t>They move ahead with the camel very slowly an the lady riding it waves.</t>
  </si>
  <si>
    <t>The video then cuts, showing the camel come to a stop before dropping down to the ground to let the woman off.</t>
  </si>
  <si>
    <t>She pets it and the video ends.</t>
  </si>
  <si>
    <t>v_U-ApHGUtLMA</t>
  </si>
  <si>
    <t>Guys are standing around near a stall.</t>
  </si>
  <si>
    <t>A guy horseback riding chases a cattle.</t>
  </si>
  <si>
    <t>The guy lassoes the cattle and gets off his horse to tie up the cattle's legs.</t>
  </si>
  <si>
    <t>Two men remove the rope around the cattle's neck and legs.</t>
  </si>
  <si>
    <t>The cattle rises and runs away.</t>
  </si>
  <si>
    <t>v_8xYzQMbI5fM</t>
  </si>
  <si>
    <t>A person is seen making marks on a paper using a tool as well as a pencil.</t>
  </si>
  <si>
    <t>He then screws the tools in place of the holes and the camera pans down the finished area.</t>
  </si>
  <si>
    <t>He then wipes down the area, measures out more area, and then rolling the paper down over a tool.</t>
  </si>
  <si>
    <t>Finally he takes a sharp object and runs it all along the paper.</t>
  </si>
  <si>
    <t>v_kRMskyrrRcA</t>
  </si>
  <si>
    <t>A person in a holding a Rubik's Cube.</t>
  </si>
  <si>
    <t>The person starts to solve the Rubik's Cube.</t>
  </si>
  <si>
    <t>The person places the solved Rubik's Cube on the desk and hurriedly click something.</t>
  </si>
  <si>
    <t>The person shows his computer screen.</t>
  </si>
  <si>
    <t>The person picks up the Rubik's Cube and shows each face of the solved Rubik's Cube.</t>
  </si>
  <si>
    <t>v_rC24UspQv14</t>
  </si>
  <si>
    <t>The boy is standing under the tree with blindfold thing to hit the pinata but missed it.</t>
  </si>
  <si>
    <t>A man came up to him and assist him, the boy hit the pinata once.</t>
  </si>
  <si>
    <t>The man rotate the little girl and then let walk a little and the girl hit the pinata.</t>
  </si>
  <si>
    <t>A young man hit the pinata ad the kids are lined up to take their turns to hit the pinata.</t>
  </si>
  <si>
    <t>v_qcaaF0SqVss</t>
  </si>
  <si>
    <t>A wrestler in maroon brief is provoking the black man.</t>
  </si>
  <si>
    <t>The black man attacked the other wrestler but he was knocked down.</t>
  </si>
  <si>
    <t>The wrestler with maroon brief carried the black man and slam him on the floor.</t>
  </si>
  <si>
    <t>v_KNpeiKm3xyM</t>
  </si>
  <si>
    <t>There's a man sitting with the Olympics logo behind him, talking about sports.</t>
  </si>
  <si>
    <t>A group photograph of a many people of different age groups is shown.</t>
  </si>
  <si>
    <t>There are some people playing beach volley ball in the sand on a sunny day with several people watching them.</t>
  </si>
  <si>
    <t>One of the players hits the ball to his opponent by punching it with his fist.</t>
  </si>
  <si>
    <t>Another player returns the ball by kicking it across the net.</t>
  </si>
  <si>
    <t>The players continue playing the game by punching the ball across the net.</t>
  </si>
  <si>
    <t>v_8KxL1itwI3Q</t>
  </si>
  <si>
    <t>An open field is covered in snow and then suddenly a large bear appears on a table and is then put in a box.</t>
  </si>
  <si>
    <t>Martha Stewart then begins taping the box.</t>
  </si>
  <si>
    <t>The box is then placed on top of the counter and wrapping paper is put on both ends to about six inches up the box.</t>
  </si>
  <si>
    <t>More wrapping paper is then pulled out and wrapped around the now covered box in the center.</t>
  </si>
  <si>
    <t>After being taped,several red glitter bows are placed on top of the wrapping paper.</t>
  </si>
  <si>
    <t>On the counter,appears several more rows of rapping paper and tubes.</t>
  </si>
  <si>
    <t>The socks are then placed in a tube and covered in the silver wrapping paper.</t>
  </si>
  <si>
    <t>The woman then takes a circular shaped object and traces it with a pencil and makes squiggles in the middle of it.</t>
  </si>
  <si>
    <t>After they are cut out,they are placed on the end of the tubes and stacked together to give the illusion of fire wood.</t>
  </si>
  <si>
    <t>v_bKEvJveN6k4</t>
  </si>
  <si>
    <t>A group of kids are throwing balls at one another in a bouncy room where the floors are inflatable bounce platforms.</t>
  </si>
  <si>
    <t>The children on the right side of the room throw balls at the children on the left side of the room as balls come flying onto their side of the mat in an effort to hit them.</t>
  </si>
  <si>
    <t>The children hurl and dodge with one child in a blue t-shirt retreating into the far right corner of the bounce room to try to avoid a ball which comes hurling at him from the other side.</t>
  </si>
  <si>
    <t>v_zW_8T8w7304</t>
  </si>
  <si>
    <t>A young child is seen mopping a floor with a mop and moving around all areas of the room.</t>
  </si>
  <si>
    <t>He stops to play with the mop a bit and pushes a box back under a stand.</t>
  </si>
  <si>
    <t>v_a68k87VXX1c</t>
  </si>
  <si>
    <t>A woman in a black shirt is dancing in a room.</t>
  </si>
  <si>
    <t>A small dog on the floor next to her watches.</t>
  </si>
  <si>
    <t>She claps her hands together at the end.</t>
  </si>
  <si>
    <t>v_45Bscg4Qe-I</t>
  </si>
  <si>
    <t>A group of people go to a bowling alley and fail hilariously.</t>
  </si>
  <si>
    <t>A woman talks to the pins and figures out how the pins are set up and replaced.</t>
  </si>
  <si>
    <t>v_XptFota2__4</t>
  </si>
  <si>
    <t>A small group of people are seen sitting around a table speaking to one another while using a hookah and vapor pen at the same time.</t>
  </si>
  <si>
    <t>The men continue smoking and looking into the camera when one starts showing off his body and panning around the room.</t>
  </si>
  <si>
    <t>v_M1hPI8WvySo</t>
  </si>
  <si>
    <t>A tutorial on how to wrap a gift, first you put doe enough wrapping paper and place the gift on top of it to make sure it is a decent size.</t>
  </si>
  <si>
    <t>Then, You fold one of the corners of the wrapping paper into triangles and press it out repeatedly.</t>
  </si>
  <si>
    <t>You would then cut the edges and tape doen the outside of the wrapping so it sticks down.</t>
  </si>
  <si>
    <t>Finally, You put the gift inside of the paper and fold the paper around it nicely and tape it down and you have a pretty wrapped present.</t>
  </si>
  <si>
    <t>v__cZD6JN-SYg</t>
  </si>
  <si>
    <t>Various pictures of men are shown in the beginning of the video followed by several lines of text shown.</t>
  </si>
  <si>
    <t>The men are then seen kicking soccer balls into a goal while they save some and the goalie blocks.</t>
  </si>
  <si>
    <t>v_W4XaqnwD6gU</t>
  </si>
  <si>
    <t>A man is seen playing a violin while the camera pans all around him moving his arms up and down.</t>
  </si>
  <si>
    <t>The man continues to play while others play behind him and the violinist playing and looking at the audience.</t>
  </si>
  <si>
    <t>v_kl_JsmJ84PI</t>
  </si>
  <si>
    <t>A group of people are seen playing a game of soccer in an indoor field while a group of people watch on the sides.</t>
  </si>
  <si>
    <t>People shown fighting in the stands and players walk around watching the fight and the paramedics take a man away.</t>
  </si>
  <si>
    <t>v_L2MfC4jcRo0</t>
  </si>
  <si>
    <t>A screen with text gives details of an event.</t>
  </si>
  <si>
    <t>Boys faces are seen up close in an intense facial expression.</t>
  </si>
  <si>
    <t>Two boys play an intense game of table soccer.</t>
  </si>
  <si>
    <t>The boy wins the game and the other strikes him with a handle of the table tennis game.</t>
  </si>
  <si>
    <t>v_avBlEff5U5U</t>
  </si>
  <si>
    <t>A man is in his front yard going back and forth mowing his lawn.</t>
  </si>
  <si>
    <t>The video then shows him mowing the lawn in a different location than the first location.</t>
  </si>
  <si>
    <t>v_DfpUMDpSbS4</t>
  </si>
  <si>
    <t>A man is seen speaking to the camera while standing behind a set of weights and pointing to his body.</t>
  </si>
  <si>
    <t>The man then bends down and grabs the bar while still speaking to the camera.</t>
  </si>
  <si>
    <t>The man lifts the bar up then back down again while still speaking to the camera.</t>
  </si>
  <si>
    <t>v_yCPeF59MOEk</t>
  </si>
  <si>
    <t>A man in a white tuxedo is led to a pinata by a woman in a wedding dress.</t>
  </si>
  <si>
    <t>He hits at the pinata that keeps moving up and down.</t>
  </si>
  <si>
    <t>v_1RQOgX36Z2E</t>
  </si>
  <si>
    <t>A man is working inside a shop.</t>
  </si>
  <si>
    <t>He rolls a tire over to a piece of equipment.</t>
  </si>
  <si>
    <t>He shows how to mount the tire onto the equipment.</t>
  </si>
  <si>
    <t>v_xlPpP0eVL9A</t>
  </si>
  <si>
    <t>A woman is talking inside an office.</t>
  </si>
  <si>
    <t>She is shown giving a facial treatment to an older woman.</t>
  </si>
  <si>
    <t>She wipes her face down with substances and lotions.</t>
  </si>
  <si>
    <t>v_q53Ajkll_kw</t>
  </si>
  <si>
    <t>A woman in a black dress is playing a bag pipe on stage.</t>
  </si>
  <si>
    <t>The word "Ilbo" is in a red font and scrolls down on the left hand side of the screen.</t>
  </si>
  <si>
    <t>The camera zooms into the woman's fingers.</t>
  </si>
  <si>
    <t>The camera shifts to somebody playing a piano.</t>
  </si>
  <si>
    <t>A band is also playing musical instruments in the background.</t>
  </si>
  <si>
    <t>The camera zooms into the face of the woman playing the bag pipe.</t>
  </si>
  <si>
    <t>The woman finishes playing and the audience applause.</t>
  </si>
  <si>
    <t>v_hYBctolxeqQ</t>
  </si>
  <si>
    <t>a boy sits in his room behind a large drum set.</t>
  </si>
  <si>
    <t>He plays the drums and cymbals gently.</t>
  </si>
  <si>
    <t>He speeds up his tempo and strength as he builds confidence.</t>
  </si>
  <si>
    <t>v_ABMVo0NDhKo</t>
  </si>
  <si>
    <t>A guy is standing on a beach flying a kite.</t>
  </si>
  <si>
    <t>The guy continuously looks away from the kite's position.</t>
  </si>
  <si>
    <t>A man approaches the guy.</t>
  </si>
  <si>
    <t>v_T3XGYHEFVIQ</t>
  </si>
  <si>
    <t>A man is wearing protective gear.</t>
  </si>
  <si>
    <t>He is using a welder and creating a bright light as he works on metal.</t>
  </si>
  <si>
    <t>When he is done, he stops and looks at the camera, showing off the completed welding.</t>
  </si>
  <si>
    <t>v_It2fslENHXs</t>
  </si>
  <si>
    <t>An large outdoor sports field is shown.</t>
  </si>
  <si>
    <t>A man runs and does a successful pole vault.</t>
  </si>
  <si>
    <t>He stands up from the pad and picks up the pole.</t>
  </si>
  <si>
    <t>v_FT_34R0dZnA</t>
  </si>
  <si>
    <t>A camera pans around a park as well as a lake and a man speaking to the camera.</t>
  </si>
  <si>
    <t>The camera pans around a canoe filled with objects and leads into the man padding down and speaking to the camera.</t>
  </si>
  <si>
    <t>More shots are shown of animals nearby as well as a man and woman speaking to the camera.</t>
  </si>
  <si>
    <t>v_b02GzZM5iGI</t>
  </si>
  <si>
    <t>People are playing volleyball on a beach.</t>
  </si>
  <si>
    <t>A girl falls down onto the sand.</t>
  </si>
  <si>
    <t>A girl raises her hands in the air.</t>
  </si>
  <si>
    <t>v_IjKWgD0y4rc</t>
  </si>
  <si>
    <t>A white screen appears with black text that comes in twice on the screen and then scrolls off screen while fading out.</t>
  </si>
  <si>
    <t>Three children in life vests and two supervising adults are on a raft waiting to go rafting.</t>
  </si>
  <si>
    <t>The group rafting down a river with all it's bumps and water splashing.</t>
  </si>
  <si>
    <t>There is a yellow text that comes on screen showing the locations they are at.</t>
  </si>
  <si>
    <t>The children are at the destination as one young girl comes close to the cam and waves at it.</t>
  </si>
  <si>
    <t>A white screen appears and two words appear one in yellow at the top of the sceeen and one in blue at the bottom on the screen and both then move off screen.</t>
  </si>
  <si>
    <t>v_dQs2-z3TIes</t>
  </si>
  <si>
    <t>A woman is on stage speaking to a little girl while holding a microphone.</t>
  </si>
  <si>
    <t>The girl speaks into the microphone, then performs a ballet piece.</t>
  </si>
  <si>
    <t>She dances around the stage for the audience.</t>
  </si>
  <si>
    <t>She falls onto one knee as she completes her performance.</t>
  </si>
  <si>
    <t>v_uug0bhnLgHs</t>
  </si>
  <si>
    <t>A person stirs a large bowl of lemonade.</t>
  </si>
  <si>
    <t>A woman is chopping up a potato.</t>
  </si>
  <si>
    <t>She adds the potato to a large pot of water.</t>
  </si>
  <si>
    <t>She adds lemons and lettuce and cucumbers to the bowl.</t>
  </si>
  <si>
    <t>She mixes it all together in a bowl.</t>
  </si>
  <si>
    <t>v_bM7Tgb1mJfc</t>
  </si>
  <si>
    <t>We see a man instructing another man on shooting arrow.</t>
  </si>
  <si>
    <t>The mans first arrow misses.</t>
  </si>
  <si>
    <t>The man loads another arrow.</t>
  </si>
  <si>
    <t>We see the targets in front of a backdrop.</t>
  </si>
  <si>
    <t>The man hits the backdrop and it collapses.</t>
  </si>
  <si>
    <t>The people all stand around laughing.</t>
  </si>
  <si>
    <t>The instructor walks over to the targets.</t>
  </si>
  <si>
    <t>v_rJKrXQ4v-9s</t>
  </si>
  <si>
    <t>A plume of smoke is shown going across a pair of skis.</t>
  </si>
  <si>
    <t>A man is carving designs, burning them into the wood.</t>
  </si>
  <si>
    <t>He then rakes an iron across the boards, setting the image.</t>
  </si>
  <si>
    <t>v_yATxB9giT34</t>
  </si>
  <si>
    <t>A man is seen speaking into a mike that transitions into a close up of a beer pong table as well as people playing.</t>
  </si>
  <si>
    <t>Shots of beer are poured, people playing rock, paper, scissors, dealing money, and computer screens for music.</t>
  </si>
  <si>
    <t>More people are shown playing beer pong while being interviewed on camera and walking around a room.</t>
  </si>
  <si>
    <t>Several more shots are shown of people dancing, playing pong, fighting, and speaking to one another.</t>
  </si>
  <si>
    <t>v_veaxOUe_8HE</t>
  </si>
  <si>
    <t>Two people are seen speaking to the camera and leads into several clips of people playing volleyball with one another.</t>
  </si>
  <si>
    <t>The people continue to play the sport while others speak to the camera as well as watch on the sides and high five each other.</t>
  </si>
  <si>
    <t>v_WaWkDf6b_j4</t>
  </si>
  <si>
    <t>A man walks along a bare field while a woman walks around beside him.</t>
  </si>
  <si>
    <t>He walks back and fourth preparing to jump and eventually jumps over a pole.</t>
  </si>
  <si>
    <t>A girl claps for him and the same move is shown again in slow motion.</t>
  </si>
  <si>
    <t>v_DVZCBD8-y2I</t>
  </si>
  <si>
    <t>A video shows how to clean snow off a car.</t>
  </si>
  <si>
    <t>A person folds a blue cloth, wrapping it around a snow brush neatly.</t>
  </si>
  <si>
    <t>He then uses the brush to gently wipe snow off a vehicle.</t>
  </si>
  <si>
    <t>The video ends with an advertisement for an auto shop.</t>
  </si>
  <si>
    <t>v_q1e275n6R3c</t>
  </si>
  <si>
    <t>A pregnant lady prepares a pumpkin for decoration and carving.</t>
  </si>
  <si>
    <t>The lady places wax paper over the pumpkin and pokes holes over the wax paper drawing.</t>
  </si>
  <si>
    <t>The lady removes the wax paper and proceeds to cut out the the hole tracings of the mouth and eyes that was traced with the punched out holes from the wax paper.</t>
  </si>
  <si>
    <t>The completed carved pumpkins are displayed.</t>
  </si>
  <si>
    <t>v_IFmtu3Sd7iI</t>
  </si>
  <si>
    <t>Several scuba divers are seen swimming around the ocean while sharks move around them underneath.</t>
  </si>
  <si>
    <t>The camera continuously follows the sharks around the water and the scuba divers interact with one another while they move.</t>
  </si>
  <si>
    <t>v_aINlF3UDJ7s</t>
  </si>
  <si>
    <t>A blue screen appears and on the left side a clear bottle is pouring liquid into a clear martini glass and white words appear on the left side of the screen that say "Girls Mixing Drinks dot com Notre Dame Pick-Me-Up with Stacey".</t>
  </si>
  <si>
    <t>A brunette woman wearing all black is standing in a bar talking, she picks up a clear drinking glass, puts ice in it and touches all the ingredients she's going to use while talking about them.</t>
  </si>
  <si>
    <t>The woman 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</si>
  <si>
    <t>Throughout the whole time she's making the drink the website pops up from time to time at the bottom of the screen, then the outro screen appears with a two tone red diagonal background of thick stripes and the website in the middle reads www dot GirlsMakingDrinks dot com.</t>
  </si>
  <si>
    <t>v_1SQAnbh_lcM</t>
  </si>
  <si>
    <t>A woman is standing behind a counter sharpening a knife.</t>
  </si>
  <si>
    <t>She pours water on the knife sharpener and continues sharpening the knife.</t>
  </si>
  <si>
    <t>She picks up a knife sharpener and sharpens the knife.</t>
  </si>
  <si>
    <t>v_sCTmSj_tsDQ</t>
  </si>
  <si>
    <t>Men appear in a field with bulls and the words "Bullfight Laos" appear on screen.</t>
  </si>
  <si>
    <t>The men gather around the field where two bulls are.</t>
  </si>
  <si>
    <t>The bulls are encouraged to fight with their horns while the people watch.</t>
  </si>
  <si>
    <t>v_NK0WynwKc34</t>
  </si>
  <si>
    <t>A small baby hits a bongo in a room.</t>
  </si>
  <si>
    <t>The baby stops and takes something off his hand.</t>
  </si>
  <si>
    <t>The baby goes back to playing the drum.</t>
  </si>
  <si>
    <t>v_jGoW5WVAtX4</t>
  </si>
  <si>
    <t>We see the outside of a restaurant with a snow like graphic on the bottom.</t>
  </si>
  <si>
    <t>We see men inside the bar and one man speaking into a microphone.</t>
  </si>
  <si>
    <t>We then see ladies playing beer pong against a team of men.</t>
  </si>
  <si>
    <t>Two teams of men play beer pong together as a man stands behind them holding a camera in the air.</t>
  </si>
  <si>
    <t>We switch and see other teams in the room playing and see two ladies talking.</t>
  </si>
  <si>
    <t>We then see a lady toss a ball across a table.</t>
  </si>
  <si>
    <t>v_uavao6fYoMM</t>
  </si>
  <si>
    <t>A drawing of a court is shown on the screen.</t>
  </si>
  <si>
    <t>We see a game of soccer in progress on an outdoor field.</t>
  </si>
  <si>
    <t>The men are kicking the ball away from each other.</t>
  </si>
  <si>
    <t>They try to get the ball into the opposing goals.</t>
  </si>
  <si>
    <t>v_8C6iIFY47Kc</t>
  </si>
  <si>
    <t>Two wrestlers meet at a table inside a wrestling ring.</t>
  </si>
  <si>
    <t>They sit at the table and hold each other's hands, prepared to arm wrestle.</t>
  </si>
  <si>
    <t>The men try hard to beat each other, pushing hard on each side.</t>
  </si>
  <si>
    <t>One wins, then they get up and start fighting inside the ring.</t>
  </si>
  <si>
    <t>One is kicked out of the ring, leaving the giant as the victor.</t>
  </si>
  <si>
    <t>v_4bw6ocN0jGU</t>
  </si>
  <si>
    <t>A dog is running by a lake.</t>
  </si>
  <si>
    <t>A man is wake boarding behind a boat.</t>
  </si>
  <si>
    <t>A person is sitting in the water.</t>
  </si>
  <si>
    <t>v_k2vkwy2vdP4</t>
  </si>
  <si>
    <t>A man is riding a water motorboat in the ocean.</t>
  </si>
  <si>
    <t>Beside him appears a man on a surfboard.</t>
  </si>
  <si>
    <t>The man on the surfboard speeds past, leaving him in his wake.</t>
  </si>
  <si>
    <t>v_aS6Qv9N5mG0</t>
  </si>
  <si>
    <t>A small group of people are seen playing games with one another in a large gymnasium.</t>
  </si>
  <si>
    <t>Many people watch on the sidelines an the people pass a bad mitten back and fourth to one another.</t>
  </si>
  <si>
    <t>v_gCx-ucvPhDY</t>
  </si>
  <si>
    <t>A man in a black Speedo is standing on a diving board with his hand down on his sides.</t>
  </si>
  <si>
    <t>He then begins running and does two hops to get to the end of the board.</t>
  </si>
  <si>
    <t>Finally,he is at the end of the diving board and does a flip into the water as the crowd on the side watches.</t>
  </si>
  <si>
    <t>v_6dJrQV3Jzbw</t>
  </si>
  <si>
    <t>A large group of people are seen running down a field playing a game of lacrosse.</t>
  </si>
  <si>
    <t>The people hit the ball all along the field while a ref watches them on the side.</t>
  </si>
  <si>
    <t>The group continue to play together while the camera moves back and fourth.</t>
  </si>
  <si>
    <t>v_BNa85xIhNqA</t>
  </si>
  <si>
    <t>A large kite is seen flying over a beach with people wandering around on the sides.</t>
  </si>
  <si>
    <t>A man is seen flying the large kite while others watch him on the side.</t>
  </si>
  <si>
    <t>Another kite is shown flying beside his and leads into a show of the ocean.</t>
  </si>
  <si>
    <t>v_ZN9kbYULUtw</t>
  </si>
  <si>
    <t>A young boy is seen stretching in a circle while taking his shirt off and looking off into the distance.</t>
  </si>
  <si>
    <t>The boy then begins performing various martial arts in front of a large crowd.</t>
  </si>
  <si>
    <t>The boy continues kicking and spinning around while ending to bow to the camera.</t>
  </si>
  <si>
    <t>v_Gi9aPJOgn6M</t>
  </si>
  <si>
    <t>A car commercial begins with numerous people washing a vehicle as it goes through a professional car wash.</t>
  </si>
  <si>
    <t>The people stand in a group, waving their rags in the air at the camera, as if to say goodbye.</t>
  </si>
  <si>
    <t>Then it cuts to a final screen advertising the name of the service.</t>
  </si>
  <si>
    <t>v_N1c3C_Npr-E</t>
  </si>
  <si>
    <t>A police officer is riding a horse down the street very slowly.</t>
  </si>
  <si>
    <t>Many bystanders are walking by, cars are passing and casually moving along.</t>
  </si>
  <si>
    <t>its just a normal day riding down the street protecting serving, making sure no crimes are being committed.</t>
  </si>
  <si>
    <t>He rides with one of his hands on his gun and the other steering the horse.</t>
  </si>
  <si>
    <t>v_vjVtKL3xd8w</t>
  </si>
  <si>
    <t>We see a green opening screen.</t>
  </si>
  <si>
    <t>We see a ladies hair in a close up.</t>
  </si>
  <si>
    <t>A lady speaks while sitting on a couch.</t>
  </si>
  <si>
    <t>We see a lady putting a roller in her hair.</t>
  </si>
  <si>
    <t>We then see the finished product.</t>
  </si>
  <si>
    <t>v_yeQDfh6K6Sc</t>
  </si>
  <si>
    <t>A man turns on a camera.</t>
  </si>
  <si>
    <t>A man in a black shirt is squatting on a couch and smoking hookah.</t>
  </si>
  <si>
    <t>The man attempts to blow smoke rings.</t>
  </si>
  <si>
    <t>The man blows smoke directly at the camera.</t>
  </si>
  <si>
    <t>The man again proceeds to blow smoke directly at the camera.</t>
  </si>
  <si>
    <t>The man reaches to turn the camera off.</t>
  </si>
  <si>
    <t>v_QJmoA3byOzo</t>
  </si>
  <si>
    <t>The camera zooms in to show the car's front right wheel.</t>
  </si>
  <si>
    <t>The camera zooms out to show the man spraying the car with soap.</t>
  </si>
  <si>
    <t>The camera zooms in again to show the soap running down the back of the car, then the camera moves to show the left side of the car.</t>
  </si>
  <si>
    <t>Then two men spray water on the car to wash the soap off.</t>
  </si>
  <si>
    <t>v_J_SD_hhGET8</t>
  </si>
  <si>
    <t>A woman walks to the middle of the room.</t>
  </si>
  <si>
    <t>She performs belly dancing moves.</t>
  </si>
  <si>
    <t>She extends her fingers out and finishes her dancing.</t>
  </si>
  <si>
    <t>v_Us795clHJmw</t>
  </si>
  <si>
    <t>A woman spins a blindfold person holding a stick on front a piñata.</t>
  </si>
  <si>
    <t>Then, the person hits the strong, while the piñata is moving.</t>
  </si>
  <si>
    <t>The person laugh and the woman approach her.</t>
  </si>
  <si>
    <t>v_w8rTULZCkzk</t>
  </si>
  <si>
    <t>An introduction is shown for a video about how to clean running spikes.</t>
  </si>
  <si>
    <t>A guy explains that he will clean the spikes while showing the dirt on the spikes.</t>
  </si>
  <si>
    <t>He begins by brushing mud off the spikes into a sink.</t>
  </si>
  <si>
    <t>He puts a small amount of water into the sink and continues scrubbing.</t>
  </si>
  <si>
    <t>He takes them out of the sink and puts some newspaper inside the shows to help them dry.</t>
  </si>
  <si>
    <t>v_k5vE0ehf5TA</t>
  </si>
  <si>
    <t>An individual uses a vacuum cleaner hose to play with a dog.</t>
  </si>
  <si>
    <t>The camera switches to a more side view of the dog.</t>
  </si>
  <si>
    <t>The camera switches to a more top down view of the dog.</t>
  </si>
  <si>
    <t>v_cvuSpqwxRYE</t>
  </si>
  <si>
    <t>A man dips a sponge into a bucket.</t>
  </si>
  <si>
    <t>He uses the sponge to wipe black mud all over a boy.</t>
  </si>
  <si>
    <t>Other people are covering people in paint.</t>
  </si>
  <si>
    <t>They are preparing for the running of the bulls in spain.</t>
  </si>
  <si>
    <t>v_8ycO15nH8YM</t>
  </si>
  <si>
    <t>We see a title screen on white.</t>
  </si>
  <si>
    <t>A lady has a cake turned upside down she puts back in the tray.</t>
  </si>
  <si>
    <t>The lady slices parts of the cake and flips it again.</t>
  </si>
  <si>
    <t>The lady cuts the edges off the cake.</t>
  </si>
  <si>
    <t>The lady moves everything and brings it back.</t>
  </si>
  <si>
    <t>v_4EoFt8F3_nw</t>
  </si>
  <si>
    <t>A man is seen walking beside a hedge in a public area with a dog beside him.</t>
  </si>
  <si>
    <t>The dog is seen walking on it's two legs and hops down in the end.</t>
  </si>
  <si>
    <t>v_cjFHlsWZY4c</t>
  </si>
  <si>
    <t>Someone is drawing on tape and cutting it out.</t>
  </si>
  <si>
    <t>They dip a paint brush in paint and paint it put it on a sponge.</t>
  </si>
  <si>
    <t>They put that on their nail and put a top coat on.</t>
  </si>
  <si>
    <t>They put glitter over the heart on the nail.</t>
  </si>
  <si>
    <t>v_r8RJSDKy9iA</t>
  </si>
  <si>
    <t>A young girl has several people holding her eye open while another tries to put in a contact lens.</t>
  </si>
  <si>
    <t>They cannot get the lens in at the eye at first and try over and over again.</t>
  </si>
  <si>
    <t>They eventually succeed in getting the lens in but the girl stands up as thers laugh.</t>
  </si>
  <si>
    <t>v_4mRdgV8t4KY</t>
  </si>
  <si>
    <t>People are riding horses in an indoor arena.</t>
  </si>
  <si>
    <t>People are sitting outside the arena watching them.</t>
  </si>
  <si>
    <t>They stop the horses and the girl turns around.</t>
  </si>
  <si>
    <t>v_H8aW-6HhMBA</t>
  </si>
  <si>
    <t>A man and a woman are sitting in Hooters the restaurant,the female is an employee and the guy is a regular customer.</t>
  </si>
  <si>
    <t>He grabs a beer and then kisses the girls.</t>
  </si>
  <si>
    <t>He tries three more times and he is successful but the third girl was by accident and she hits the guy and becomes extremely upset by it.</t>
  </si>
  <si>
    <t>The male does it again and more girls in the restaurant begins to kiss him.</t>
  </si>
  <si>
    <t>v_hANXaoStVR0</t>
  </si>
  <si>
    <t>There's a man in the swimming pool playing water polo.</t>
  </si>
  <si>
    <t>He is in the pool playing water polo with a yellow ball and two other people.</t>
  </si>
  <si>
    <t>He throws the ball across and the people sitting by the pool and watching him play cheer loudly.</t>
  </si>
  <si>
    <t>v_6mrjcnKVJyY</t>
  </si>
  <si>
    <t>Two men are seen wearing boxing gloves and punching and kicking one another.</t>
  </si>
  <si>
    <t>The men continue going back and fourth with each other and a text appears at the end of the video.</t>
  </si>
  <si>
    <t>v_VshQp9mHeh4</t>
  </si>
  <si>
    <t>A boy runs into the shot and kicks a soccer ball.</t>
  </si>
  <si>
    <t>The ball lobs toward a crowd in a park.</t>
  </si>
  <si>
    <t>Few other boys try to catch the moving ball.</t>
  </si>
  <si>
    <t>One boy eventually kicks the ball back toward the camera.</t>
  </si>
  <si>
    <t>A girl comes in from the sidelines and kicks the ball back toward the crowd of boys and the kids continue this cycle of kicking.</t>
  </si>
  <si>
    <t>v_SOkS5d8GjZ4</t>
  </si>
  <si>
    <t>A man and a woman are shown sitting at a table with a cigarette in her mouth and their arms crossed at one another.</t>
  </si>
  <si>
    <t>They begin arm wrestles and the girl with the cigarette beats the man.</t>
  </si>
  <si>
    <t>v_ZVKUKjVYwF8</t>
  </si>
  <si>
    <t>A person is seen moving down a set of stairs and holding out various measuring items.</t>
  </si>
  <si>
    <t>The man kneels down and begins putting carpeting down on the floor as well as on the stairs.</t>
  </si>
  <si>
    <t>The man finishes putting the carpet down and the camera zooming in on his work.</t>
  </si>
  <si>
    <t>v_jNGa0jPAMjI</t>
  </si>
  <si>
    <t>A seated man looks at a clipboard.</t>
  </si>
  <si>
    <t>The man begins smoking from a large pipe.</t>
  </si>
  <si>
    <t>The camera pans down to show the various items on the table before him.</t>
  </si>
  <si>
    <t>The camera pans back up to the man.</t>
  </si>
  <si>
    <t>v_aEWVDbV76_Q</t>
  </si>
  <si>
    <t>People sail in a boat in a river, and a man pulls a string of a person that sets up to perform water ski.</t>
  </si>
  <si>
    <t>Then, the person water ski behind the boat while people watch.</t>
  </si>
  <si>
    <t>The person falls in the water, but stands again and continues doing water ski.</t>
  </si>
  <si>
    <t>A boat appears in the river behind the person, while the person water ski.</t>
  </si>
  <si>
    <t>The person falls again in the water, the people in the boat laugh and a man does thumbs up.</t>
  </si>
  <si>
    <t>v_1TWdrO8cCxA</t>
  </si>
  <si>
    <t>A girl with a jump rope is in athletic shorts and a t-shirt, holding a jump-rope.</t>
  </si>
  <si>
    <t>She begins to preform complicated stunts, such as hand-stands, flips, and the splits while jumping rope.</t>
  </si>
  <si>
    <t>She has a brief mishap as she drops the jump rope and then picks it up to resume her performance.</t>
  </si>
  <si>
    <t>Many people are sitting on the sidelines, some watching as an audience, some are judges, some are filming the event.</t>
  </si>
  <si>
    <t>v_p3LvCbxC_ZE</t>
  </si>
  <si>
    <t>A camera pans around a large yard to show two people moving a wooden bar.</t>
  </si>
  <si>
    <t>One man then steps on the bar and begins using a tool to cut down hedges.</t>
  </si>
  <si>
    <t>The man looks back to the speak to the camera and the men move the bar.</t>
  </si>
  <si>
    <t>v_cWU5059m_1Q</t>
  </si>
  <si>
    <t>We see a guy in a gym holding a jump rope.</t>
  </si>
  <si>
    <t>The guy does a jump rope routine.</t>
  </si>
  <si>
    <t>The guy does a flip with the rope.</t>
  </si>
  <si>
    <t>The guy does two push ups.</t>
  </si>
  <si>
    <t>The guys leg gets caught on the rope.</t>
  </si>
  <si>
    <t>The guy jumps high and the rope gets tangled again.</t>
  </si>
  <si>
    <t>The guy finishes and lays on the ground.</t>
  </si>
  <si>
    <t>The guy gets up and walks away.</t>
  </si>
  <si>
    <t>v_Qz_PtO18pXE</t>
  </si>
  <si>
    <t>A woman is posing on a diving board.</t>
  </si>
  <si>
    <t>She springs backward into the water in front of a watching group.</t>
  </si>
  <si>
    <t>v_IIAg_MFuCoY</t>
  </si>
  <si>
    <t>We see a couple dance on a dance floor in a club.</t>
  </si>
  <si>
    <t>We see a man looks in the camera and opens his mouth as a group of people walk past.</t>
  </si>
  <si>
    <t>A man in a black shirt walks past the camera and stands their for a moment.</t>
  </si>
  <si>
    <t>The lady shimmy's and bends down to the ground and back up.</t>
  </si>
  <si>
    <t>The man dips the woman and the smile at the camera.</t>
  </si>
  <si>
    <t>v_wEgt41AJaU4</t>
  </si>
  <si>
    <t>A small group of people are seen running around an outdoor arena and playing paintball with one another.</t>
  </si>
  <si>
    <t>One man runs forward and a large cloud of smoke spins around and a man waves his arms in the air while another helps.</t>
  </si>
  <si>
    <t>v_UaCSf-kW2Ho</t>
  </si>
  <si>
    <t>People are sitting down in chairs playing drums.</t>
  </si>
  <si>
    <t>People are walking past on the sidewalk.</t>
  </si>
  <si>
    <t>A person pushing a stroller walks behind them.</t>
  </si>
  <si>
    <t>v_Ac_8KQGAe0c</t>
  </si>
  <si>
    <t>A cat is standing on a table getting petted.</t>
  </si>
  <si>
    <t>A person takes the cats paw and starts clipping its nails.</t>
  </si>
  <si>
    <t>The person picks the cat up to clip their back paws.</t>
  </si>
  <si>
    <t>The person pets the cat after clipping its nails.</t>
  </si>
  <si>
    <t>v_cM67XJS7yM8</t>
  </si>
  <si>
    <t>A woman is seen looking at the camera then crying and hugging a group of people.</t>
  </si>
  <si>
    <t>Shots of people playing shuffle board are shown followed by people celebrating and the woman speaking to the camera.</t>
  </si>
  <si>
    <t>More shots of celebrating are shown and the team mates all hug one another.</t>
  </si>
  <si>
    <t>v_s4pnHlWlt5k</t>
  </si>
  <si>
    <t>A young boy is standing in the grass swinging a bat at a pinata.</t>
  </si>
  <si>
    <t>People are watching the boy.</t>
  </si>
  <si>
    <t>A girl in a blue swimsuit takes the bat and starts swinging at the pinata.</t>
  </si>
  <si>
    <t>v_fEsTL9tYOVc</t>
  </si>
  <si>
    <t>We see a GoPro and the title card.</t>
  </si>
  <si>
    <t>We see the water and a boat full of people riding on the water and put on wet suits and enter the water.</t>
  </si>
  <si>
    <t>We see the people underwater swimming around.</t>
  </si>
  <si>
    <t>A person is swimming in a crevasse.</t>
  </si>
  <si>
    <t>We see an animal on a rock.</t>
  </si>
  <si>
    <t>We see part of a ship.</t>
  </si>
  <si>
    <t>We are shown various sea life.</t>
  </si>
  <si>
    <t>We see the people near the ship.</t>
  </si>
  <si>
    <t>People are holding a large sea-slug.</t>
  </si>
  <si>
    <t>We see a large underwater turtle on the ground.</t>
  </si>
  <si>
    <t>Bubble float to the surface and the video ends.</t>
  </si>
  <si>
    <t>v_zX9DZ_x9rJ4</t>
  </si>
  <si>
    <t>A black intro screen with white words appear and it notes the location, the people, and the cake they are going to make.</t>
  </si>
  <si>
    <t>A man and woman wearing red aprons appear in a kitchen with a white kitchen aid mixer in front of them and a banner on the screen displaying all the ingredients.</t>
  </si>
  <si>
    <t>The view then changes to a shot from above to show what the man is doing, and the banner on the screen is still showing the ingredients that are being used.</t>
  </si>
  <si>
    <t>The view changes from front to a top angle as the man is mixing the ingredients.</t>
  </si>
  <si>
    <t>The view then changes back to a front view and the man moves the kitchen aid to the side and grabs from the counter behind them, a baked cake and a plate with a slice of cake on it.</t>
  </si>
  <si>
    <t>The outro includes a picture of the man and woman standing together, their names, the name of the cake they made, their address and the news station that aired it.</t>
  </si>
  <si>
    <t>The credits then begin to scroll from bottom to top on a black screen with white letters.</t>
  </si>
  <si>
    <t>v_2NAs35b7fck</t>
  </si>
  <si>
    <t>A group of men are playing soccer.</t>
  </si>
  <si>
    <t>One player kicks the ball into the goal before going for the opposing goal.</t>
  </si>
  <si>
    <t>They continue fighting over the ball for an extended period.</t>
  </si>
  <si>
    <t>v_DzCk5xjSF9o</t>
  </si>
  <si>
    <t>A lady in white stripes shirt is standing next to a young boy, they are standing at the counter, they cut the side of the bread, put spread on it, roll the bread in a plastic, cut the side of the bread, put meat on the bread, shredded the cheese, roll the bread in the plastic.</t>
  </si>
  <si>
    <t>The woman sliced the plastic with bread in it then put it in a rectangle plate.</t>
  </si>
  <si>
    <t>v_VOnP9N7FAT8</t>
  </si>
  <si>
    <t>A woman is sitting down in a chair playing an accordion.</t>
  </si>
  <si>
    <t>She stops playing and puts her arm down.</t>
  </si>
  <si>
    <t>Words flash onto the screen.</t>
  </si>
  <si>
    <t>v_ORVjNqVSLe0</t>
  </si>
  <si>
    <t>A person shaves the back legs of a man using a shaver while he is lying face down.</t>
  </si>
  <si>
    <t>Then the man turns face up, and the person starts to shave the legs.</t>
  </si>
  <si>
    <t>After, the person uses a machine on the legs, and then a picture shows the legs before and after shave.</t>
  </si>
  <si>
    <t>v_Tp4g0ErB2oQ</t>
  </si>
  <si>
    <t>A woman behind a fence watch a group of players in a field.</t>
  </si>
  <si>
    <t>An old lady pass behind the woman.</t>
  </si>
  <si>
    <t>People play hurling in a field.</t>
  </si>
  <si>
    <t>v_nxFbmoV3Idk</t>
  </si>
  <si>
    <t>A man puts a tire over a machine and rotates the rime.</t>
  </si>
  <si>
    <t>Then,the man uses a tool to loose the rime, then the machine removes the rubber tire.</t>
  </si>
  <si>
    <t>After, the man takes glue and brush the tire, and then using the machine he puts the rubber tire in the rim.</t>
  </si>
  <si>
    <t>v_YDz0pyc26Ss</t>
  </si>
  <si>
    <t>Several people are outdoors, one of which is riding and performing tricks on a skateboard.</t>
  </si>
  <si>
    <t>The man goes into a group of people before another man, then another are shown going downhill on the street riding their skateboards.</t>
  </si>
  <si>
    <t>They perform several tricks and flips as they go.</t>
  </si>
  <si>
    <t>The people clap as the winner is announced.</t>
  </si>
  <si>
    <t>v_7NMds32-lMc</t>
  </si>
  <si>
    <t>Men are lifting heavy weights over their head several times.</t>
  </si>
  <si>
    <t>A man in a blue shirt is watching one of the men.</t>
  </si>
  <si>
    <t>A man in a gray shirt is mimicking the person lifting the weight.</t>
  </si>
  <si>
    <t>v_lGRZ3F7tW2c</t>
  </si>
  <si>
    <t>A large group of kids are seen practicing basketball drills on a court and passing the ball quickly to one another.</t>
  </si>
  <si>
    <t>Several boys make baskets while still speaking to one another an the coach moves in and speaks to the boys.</t>
  </si>
  <si>
    <t>He walks away and more drills are shown with the boys.</t>
  </si>
  <si>
    <t>v_Tz3OXEWBSVA</t>
  </si>
  <si>
    <t>Several close ups of plants are shown with a man walking into frame and speaking to the camera.</t>
  </si>
  <si>
    <t>The man continues to speak while pointing to the camera and begins laying out mulch to put all over the plants.</t>
  </si>
  <si>
    <t>The man continues pushing dirt around and ends by watering all the plants.</t>
  </si>
  <si>
    <t>v_YoXZfvf5Teg</t>
  </si>
  <si>
    <t>The intro is a white screen, the website on the top left,the words "Howcast original" appear and afterwards another set of words describing the lesson appear and it reads "Vibrato Beginner Violin Lessons".</t>
  </si>
  <si>
    <t>A woman named Julie Artzt Becker is holding her violin is sitting and talking in front of a blue screen.</t>
  </si>
  <si>
    <t>The woman puts the violin up to her chin and continues to talk.</t>
  </si>
  <si>
    <t>The woman then puts her fingers onto the strings and with her other hand she touches and points on her fingers on the strings as well as taking the bow to her strings every now and then.</t>
  </si>
  <si>
    <t>The woman talks throughout the entire video as she's demonstrating her movements or pointing towards her finger motions.</t>
  </si>
  <si>
    <t>Eventually the woman stops talking and ends with a smile and the words "Howcast original" appear on the white screen.</t>
  </si>
  <si>
    <t>v_nUghBtcrTPA</t>
  </si>
  <si>
    <t>Two men are fighting in an asian art form outside.</t>
  </si>
  <si>
    <t>They are taking swings and hits as well as kicks at each other throughout.</t>
  </si>
  <si>
    <t>v_9IIcG8AiUnA</t>
  </si>
  <si>
    <t>A man is standing inside a kitchen in front of a small table.</t>
  </si>
  <si>
    <t>He shows and talks about olive oil and lemon juice.</t>
  </si>
  <si>
    <t>He uses the items to clean and polish the table of scratches.</t>
  </si>
  <si>
    <t>v_7Iy7Cjv2SAE</t>
  </si>
  <si>
    <t>An intro leads into a woman using a brush to push hair off a large dog.</t>
  </si>
  <si>
    <t>She continues brushing on several other dogs and giving them pets before sitting down and petting them.</t>
  </si>
  <si>
    <t>v_GAEavSUmQRk</t>
  </si>
  <si>
    <t>A man in glasses speaks to the camera.</t>
  </si>
  <si>
    <t>He demonstrates a key around his neck and points to his trumpet.</t>
  </si>
  <si>
    <t>He attaches the key to the trumpet and continues to speak and demonstrate important features of the trumpet.</t>
  </si>
  <si>
    <t>v_PQkambF3iEk</t>
  </si>
  <si>
    <t>Two people are seen fixing up a car and changing the tires on a vehicle.</t>
  </si>
  <si>
    <t>Another man walks into frame as well as several others recording the incident.</t>
  </si>
  <si>
    <t>A person climbs into the car and drives away with everyone watching.</t>
  </si>
  <si>
    <t>v_tPZYyaX63yE</t>
  </si>
  <si>
    <t>A person is holding a red leaf blower.</t>
  </si>
  <si>
    <t>They begin to blow the leaves in the yard.</t>
  </si>
  <si>
    <t>They show the leaf blower again.</t>
  </si>
  <si>
    <t>v_6lyXvR5VtTQ</t>
  </si>
  <si>
    <t>An older man and young woman are seen spinning around a stick while the girl is blindfolded and people sitting around her watch.</t>
  </si>
  <si>
    <t>The girl then swings the stick around the air aiming for the pinata and hitting the object several times.</t>
  </si>
  <si>
    <t>She continues to swing around the air until the end when she finally hits it.</t>
  </si>
  <si>
    <t>v_qZvP5BvVbcg</t>
  </si>
  <si>
    <t>Some people are skiing down a mountain and following each other.</t>
  </si>
  <si>
    <t>They finish by going faster and faster until they finish.</t>
  </si>
  <si>
    <t>v_RWir3muDHg0</t>
  </si>
  <si>
    <t>A lot of men are standing outdoors on a dirt field and there are two teams standing along a rope while a lot of people are standing around watching them.</t>
  </si>
  <si>
    <t>The men wearing yellow and blue shirts pick up the rope and are getting in position to play tug o war.</t>
  </si>
  <si>
    <t>Suddenly the men start pulling on the rope as other men are instructing them and the spectators are cheering.</t>
  </si>
  <si>
    <t>The men in the yellow and blue shirts are easily pulling the rope and they have won while the people around them cheer.</t>
  </si>
  <si>
    <t>v_S-VSs8o98Ho</t>
  </si>
  <si>
    <t>Cigarettes are placed down on a table.</t>
  </si>
  <si>
    <t>Someone shuffles cards onto the table.</t>
  </si>
  <si>
    <t>A man pushes a broom behind them.</t>
  </si>
  <si>
    <t>They continue playing cards at the table.</t>
  </si>
  <si>
    <t>v_tCkHrK6mRME</t>
  </si>
  <si>
    <t>A video leads into several clips of a man performing tricks with a dog.</t>
  </si>
  <si>
    <t>The man continues performing tricks with the dog as the camera captures him from several angles as well as others doing tricks with their dogs.</t>
  </si>
  <si>
    <t>v_Jy8JurvYlH4</t>
  </si>
  <si>
    <t>A little girl walks into a bathroom and starts talking to the camera.</t>
  </si>
  <si>
    <t>The bathroom transforms into a factory.</t>
  </si>
  <si>
    <t>The girl picks up a toothbrush and continues to talk.</t>
  </si>
  <si>
    <t>Toothpaste is applied to a tooth brush.</t>
  </si>
  <si>
    <t>The girl brushes her teeth and the factory changes back to a bathroom.</t>
  </si>
  <si>
    <t>v_HadTAlDM5YM</t>
  </si>
  <si>
    <t>A man is speaking into a microphone.</t>
  </si>
  <si>
    <t>A man wearing a black cape is getting his beard shaved.</t>
  </si>
  <si>
    <t>A person puts a white towel over the man's face.</t>
  </si>
  <si>
    <t>He puts shaving cream on the man's face.</t>
  </si>
  <si>
    <t>He then puts a towel over the mans face again.</t>
  </si>
  <si>
    <t>He then shaves the mans beard with a razor.</t>
  </si>
  <si>
    <t>The man puts a towel on the other man's face again.</t>
  </si>
  <si>
    <t>He takes the cape off and stands up.</t>
  </si>
  <si>
    <t>v_4L0mci9CTPg</t>
  </si>
  <si>
    <t>A couple dances on a ballroom floor with people seated at tables nearby.</t>
  </si>
  <si>
    <t>People nearby take photos of the couple.</t>
  </si>
  <si>
    <t>The couple finishes and leaves the dance floor.</t>
  </si>
  <si>
    <t>v_CbQPrRwG2BM</t>
  </si>
  <si>
    <t>A young girl shows his long hair until the waist.</t>
  </si>
  <si>
    <t>Then, a hairdresser cuts short the hair of the the young girl.</t>
  </si>
  <si>
    <t>After, the girl shows her short and long hair and two braids.</t>
  </si>
  <si>
    <t>v_IjBMVPd2Rcs</t>
  </si>
  <si>
    <t>There's a person dressed in a blue track suit demonstrating how to use a rowing machine.</t>
  </si>
  <si>
    <t>He sits on the bar of the machine and secures his feet into the foot rest.</t>
  </si>
  <si>
    <t>Then he begins by pulling the rope towards his chest while straightening his legs.</t>
  </si>
  <si>
    <t>Then he continues to use the machine in back and forth motion.</t>
  </si>
  <si>
    <t>Then comes to a rest by releasing the rope and leaning backwards.</t>
  </si>
  <si>
    <t>v_uqlErIm56Jg</t>
  </si>
  <si>
    <t>A close up of a sneaker is shown followed by a person turning on a faucet and letting the water run over the shoe.</t>
  </si>
  <si>
    <t>The person then takes show polish and begins scrubbing the shoe with a toothbrush while still running it under the water.</t>
  </si>
  <si>
    <t>The person turns off the water and presents the shoe in the sink.</t>
  </si>
  <si>
    <t>v_spAlIMm8jSg</t>
  </si>
  <si>
    <t>A woman jumps onto two bars and does a gymnastics routine.</t>
  </si>
  <si>
    <t>The audience is watching her perform.</t>
  </si>
  <si>
    <t>She jumps off the bars and lands on the mat with her hands in the air.</t>
  </si>
  <si>
    <t>A replay of her performance is shown.</t>
  </si>
  <si>
    <t>Words are then shown on the screen.</t>
  </si>
  <si>
    <t>v_8ohisLftwZ4</t>
  </si>
  <si>
    <t>Two men play squash in a room.</t>
  </si>
  <si>
    <t>A player goes to find the ball and throw it to his partner.</t>
  </si>
  <si>
    <t>Then, the two men continues playing squash.</t>
  </si>
  <si>
    <t>A man pick up a ball from the floor and continues squash.</t>
  </si>
  <si>
    <t>v__ucD-3rUWWE</t>
  </si>
  <si>
    <t>Two sets of people are in the middle of the woods kayaking,in vibrant white water surrounded by large rocks.</t>
  </si>
  <si>
    <t>They begin to move to their left and fall over the first hill of large rocks and meet in the corner and begin talking.</t>
  </si>
  <si>
    <t>The second person begins to kayak and goes ferociously down the next steep hill of rocks and waits.</t>
  </si>
  <si>
    <t>Shortly after,the man in the blue jacket follows suit and comes behind them.</t>
  </si>
  <si>
    <t>Lastly,they take two pictures with the forest as back drop near a brown sign with white words reading Great Falls Overlook.</t>
  </si>
  <si>
    <t>v_W8ILh7ickB4</t>
  </si>
  <si>
    <t>The person is squeezing the lemons in the squeezer.</t>
  </si>
  <si>
    <t>The person pour the lemon into the white spray bottle and added water.</t>
  </si>
  <si>
    <t>The person spray the lemon juice in a bow and rub the bowl with sponge.</t>
  </si>
  <si>
    <t>v_0xxl3iG3VKY</t>
  </si>
  <si>
    <t>An sportsman launch a javelin in a stadium.</t>
  </si>
  <si>
    <t>The javelin flies in the air and lands in the green track, then a man runs toward it.</t>
  </si>
  <si>
    <t>The sportsman walk raising his hands and clap his hands.</t>
  </si>
  <si>
    <t>A cameraman film the athlete.</t>
  </si>
  <si>
    <t>The gymnast launch a javelin in the stadium.</t>
  </si>
  <si>
    <t>v_ir759AX1EYY</t>
  </si>
  <si>
    <t>Several pictures are shown of people shining shoes for others in various locations using rags and brushes on their shoes.</t>
  </si>
  <si>
    <t>The video continues with many more pictures being shown of people shining shoes and a man standing with an apron in the end.</t>
  </si>
  <si>
    <t>v_keFBEoBy0zY</t>
  </si>
  <si>
    <t>A door with red signs are covering it.</t>
  </si>
  <si>
    <t>A fireman runs outside carrying a board.</t>
  </si>
  <si>
    <t>He sleds down the road behind a car, going around turns and falling down a few times.</t>
  </si>
  <si>
    <t>v_JGxSaJ7XoPQ</t>
  </si>
  <si>
    <t>A girl in a purple blouse sits on a fence post as she is brushing a horse who is tied to the fence.</t>
  </si>
  <si>
    <t>The girl stands on the fence post while reaching to brush the horses mane.</t>
  </si>
  <si>
    <t>The girl continues standing on the fence post leans onto the horses back and brushes the back of the horse as she smile at the camera.</t>
  </si>
  <si>
    <t>The girl mounts onto the horses back as she continues to brush the horses neck and mane.</t>
  </si>
  <si>
    <t>The girl in the purple blouse dismounts the horse and stands on the fence post brushes the horses hind quarter.</t>
  </si>
  <si>
    <t>v_bf3ac4bkIIo</t>
  </si>
  <si>
    <t>Various pictures of ingredients are shown with text across the screen and leads into a woman washing and peeling lemons.</t>
  </si>
  <si>
    <t>She rolls the lemons on a table and cut them into halves.</t>
  </si>
  <si>
    <t>Then she juices the lemon and pours the mixture into a large pot with sugar.</t>
  </si>
  <si>
    <t>She boils the pot and pours the final result into several glasses, enjoying a sip in the end.</t>
  </si>
  <si>
    <t>v_uvnrLngXHh8</t>
  </si>
  <si>
    <t>A boar bristle brush is shown, then a video dvd of how to shave.</t>
  </si>
  <si>
    <t>A man is lying down, lather on his face while a barber shaves his beard.</t>
  </si>
  <si>
    <t>The man then lathers his head and shaves it with a straight razor as well.</t>
  </si>
  <si>
    <t>An image of the dvd is shown again.</t>
  </si>
  <si>
    <t>v_xv6h1JNMX8g</t>
  </si>
  <si>
    <t>A man and a dog are standing in a field surrounded by a group of people.</t>
  </si>
  <si>
    <t>The dog goes on and then the man is seen walking off of the field.</t>
  </si>
  <si>
    <t>However,a lady remains and her and her dog begin doing Frisbee and tricks at the Purina Dog challenge.</t>
  </si>
  <si>
    <t>v_bFm6E4cz5tM</t>
  </si>
  <si>
    <t>A man water ski on front a glacier.</t>
  </si>
  <si>
    <t>The man watch a seal and a whale in the cold water.</t>
  </si>
  <si>
    <t>The man water ski in the water holding a rope pulled by a boat.</t>
  </si>
  <si>
    <t>The man bends to pass a glacier, then he pass over an iceberg.</t>
  </si>
  <si>
    <t>A whale swim in the ocean.</t>
  </si>
  <si>
    <t>After, the man passes over an iceberg and spins, then snowboard over a big iceberg.</t>
  </si>
  <si>
    <t>The man slide from an iceberg and falls in the water, and people stand to watch an iceberg falls.</t>
  </si>
  <si>
    <t>v_8rimo9x4qqw</t>
  </si>
  <si>
    <t>A snowboarder gives a tutorial for how to hit a jump.</t>
  </si>
  <si>
    <t>A few techniques are shown in four parts.</t>
  </si>
  <si>
    <t>v_jVM8v6uJx8c</t>
  </si>
  <si>
    <t>The intro comes onto the screen introducing a video about ho to climb rocks.</t>
  </si>
  <si>
    <t>A man appears on the screen hanging from a harness to give some instructions.</t>
  </si>
  <si>
    <t>The video cuts to him climbing the wall while he continues his narration.</t>
  </si>
  <si>
    <t>The video cuts to another person in a green shirt getting help to try to climb the wall.</t>
  </si>
  <si>
    <t>The video shows a split screen with two views of a man climbing the wall.</t>
  </si>
  <si>
    <t>Then, a woman is shown trying to climb the wall.</t>
  </si>
  <si>
    <t>A warning is displayed on the screen at the end of the video.</t>
  </si>
  <si>
    <t>v_8hrRE3_sWXo</t>
  </si>
  <si>
    <t>We see the opening credits on a black screen.</t>
  </si>
  <si>
    <t>We then see a man coaching a man in a garage and talking to the camera.</t>
  </si>
  <si>
    <t>The man in gray gets on his knee on the blue mat.</t>
  </si>
  <si>
    <t>The man stands and gets on both of his knees.</t>
  </si>
  <si>
    <t>The kneeling man stands up again.</t>
  </si>
  <si>
    <t>We see a title screen and see the kneeling man holding a machine which he pulls down and out.</t>
  </si>
  <si>
    <t>He releases the cord, The credits on the video run.</t>
  </si>
  <si>
    <t>v_rBCf1qjOwCc</t>
  </si>
  <si>
    <t>litle kids are standing in front of a ouse talking to the camera and making lemonade.</t>
  </si>
  <si>
    <t>the kid opens a pot and grab sugar and poured into a cup of water, lemon juice and mix it with a spoon.</t>
  </si>
  <si>
    <t>v_XgbTh1BCciA</t>
  </si>
  <si>
    <t>A man is seen standing ready with a set of bagpipes and begins playing them for the camera.</t>
  </si>
  <si>
    <t>The man continues playing and then stops to look at the camera.</t>
  </si>
  <si>
    <t>v_XqxJsWQqKRk</t>
  </si>
  <si>
    <t>A white screen with blue and white shapes and black words flash across the screen.</t>
  </si>
  <si>
    <t>A smiling black man is in a residential kitchen and he's wearing a santa hat and pouring ingredients into a large bowl.</t>
  </si>
  <si>
    <t>A hand pushes a clear bowl filled with dark figs and a cutting board appears immediately afterwards and the instructions on the screen say to cut the stems off of 1lb of figs and quarter them.</t>
  </si>
  <si>
    <t>While the list of ingredients are shown that include: 1lb Figs, 1lb Raisins, 1lb Cherries, 1lb Currants, 1lb Prunes, Port Wine and Angostura Bitters; they are all poured into a white bucket.</t>
  </si>
  <si>
    <t>Stirring begins immediately and the instructions on the screen say to let it soak for at least two weeks to up to 30 days.</t>
  </si>
  <si>
    <t>30 days later the contents are stirred and put into a food processor and turned into a paste.</t>
  </si>
  <si>
    <t>The man greases a 10x3 round cake pan and covers it with parchment paper.</t>
  </si>
  <si>
    <t>A list and bowls of more ingredients are prepared and poured into a large metal pot and stirred vigorously.</t>
  </si>
  <si>
    <t>A large rectangular metal pan appears with instructions that say to fill it with a pan of hot water.</t>
  </si>
  <si>
    <t>The circular cake pan that was previous greased appears, and the stirred contents are poured into it and placed into the pan of hot water where they're all placed into the oven.</t>
  </si>
  <si>
    <t>When it's done baking and cooled the cake is put on a plate where it's glazed, cut and a slice is put on another plate.</t>
  </si>
  <si>
    <t>v_e_X0K2t8API</t>
  </si>
  <si>
    <t>A blindfolded man swings at a pinata with a bat while others look on from nearby seats.</t>
  </si>
  <si>
    <t>The man succeeds in breaking the pinata.</t>
  </si>
  <si>
    <t>The man removes his blindfold as some of the others approach him.</t>
  </si>
  <si>
    <t>v_WUSEdPfHPoY</t>
  </si>
  <si>
    <t>two men enter a squash court to compete in a game of squash.</t>
  </si>
  <si>
    <t>One man is wearing a white shirt and the other man is wearing a dark shirt.</t>
  </si>
  <si>
    <t>The men begin playing while the game progresses each man serves from the serving box.</t>
  </si>
  <si>
    <t>The game finishes with a hand shake and a wave to the crowd.</t>
  </si>
  <si>
    <t>A girl in a pink blouse enters the squash court as another man enters the court.</t>
  </si>
  <si>
    <t>v_AAQp3iEJxJc</t>
  </si>
  <si>
    <t>Several pictures lead into clips of people riding down a river on canoes and kayaks.</t>
  </si>
  <si>
    <t>Several people are shown riding along the rough rivers while paddling themselves along.</t>
  </si>
  <si>
    <t>The people continue to push themselves along the water while the camera follows their movements.</t>
  </si>
  <si>
    <t>v_X1pGJqP89Nk</t>
  </si>
  <si>
    <t>Women sit outside in small chairs and hand wash clothes in plastic tubs.</t>
  </si>
  <si>
    <t>The lady scrubs a garment on a wooden board.</t>
  </si>
  <si>
    <t>The lady rings out the water from a garment then tosses it aside when done washing it.</t>
  </si>
  <si>
    <t>v_18k_K9cFFJg</t>
  </si>
  <si>
    <t>A boy is skating in a parking lot.</t>
  </si>
  <si>
    <t>He does several moves, dancing and talking.</t>
  </si>
  <si>
    <t>The boy skates around the parking lot on inline skates.</t>
  </si>
  <si>
    <t>v_Z3bPr9odxpw</t>
  </si>
  <si>
    <t>A large group of people are seen walking on a stage with a man speaking to the crowd and leads into the group dancing with one another.</t>
  </si>
  <si>
    <t>The people continue dancing together as the camera captures them from several angles.</t>
  </si>
  <si>
    <t>v_l7EktV5FYGk</t>
  </si>
  <si>
    <t>The camera focuses on a man piloting a sailboat in a harbor environment.</t>
  </si>
  <si>
    <t>The boat's sail dips into the water.</t>
  </si>
  <si>
    <t>The man rights the sailboat and continues.</t>
  </si>
  <si>
    <t>v_AdnLY0a6yn0</t>
  </si>
  <si>
    <t>A man is practicing indoors, he is doing intervals of jumping while running.</t>
  </si>
  <si>
    <t>Once he lands in the sand he goes back to start again.</t>
  </si>
  <si>
    <t>He does this over and over each time starting farther back.</t>
  </si>
  <si>
    <t>Then the practice is over and it's done.</t>
  </si>
  <si>
    <t>v_qRmaZNDyDhA</t>
  </si>
  <si>
    <t>A van drives down a country road and pulls to the side of the road with a flat tire.</t>
  </si>
  <si>
    <t>The driver fumbles with a hand jack and is frustrated.</t>
  </si>
  <si>
    <t>The driver then uses an electric car jack to lift the car wheel up instead.</t>
  </si>
  <si>
    <t>The woman plugs in a an electric hand drill that and uses it to remove the lug nuts.</t>
  </si>
  <si>
    <t>The woman puts a new tire on the car and bolts it in place.</t>
  </si>
  <si>
    <t>The woman lowers the car wheel off of the jack.</t>
  </si>
  <si>
    <t>A man points to the different tools in a tool box.</t>
  </si>
  <si>
    <t>The man hooks a charger up to the car battery.</t>
  </si>
  <si>
    <t>v_iKH8FgONbVw</t>
  </si>
  <si>
    <t>A man kneel on a ball and holds a rod.</t>
  </si>
  <si>
    <t>The man push her body forward pushing the rod.</t>
  </si>
  <si>
    <t>Then, the man bring his body to a straight position, then again bring his body forward.</t>
  </si>
  <si>
    <t>v_5sdUW55eS4M</t>
  </si>
  <si>
    <t>A woman is mopping the white tiled floor with a mop.</t>
  </si>
  <si>
    <t>The woman put the mop in a green bucket, and put it in a strainer to squeeze out the excess water, then she pushed the floor map handle as she squeeze out the water and began mopping the floor, and under the chairs, side of the couch, the liquid on the floor.</t>
  </si>
  <si>
    <t>v_56sQMnSUWaI</t>
  </si>
  <si>
    <t>A black woman does a routine on the balance beam.</t>
  </si>
  <si>
    <t>She spins, jumps, twirls, and flips.</t>
  </si>
  <si>
    <t>She falls off, finishes her routine, and them dismounts to a clapping audience.</t>
  </si>
  <si>
    <t>v_CSk99DHanfg</t>
  </si>
  <si>
    <t>People on a boat suit up in scuba gear then jump into the water.</t>
  </si>
  <si>
    <t>Scuba divers swim through a cave area.</t>
  </si>
  <si>
    <t>A tropical beach is seen.</t>
  </si>
  <si>
    <t>Sea turtles graze and swim in the ocean.</t>
  </si>
  <si>
    <t>Various fish are seen swimming through the reef.</t>
  </si>
  <si>
    <t>A manta ray swims in the ocean over a reef.</t>
  </si>
  <si>
    <t>v_X1E7i3ocxKY</t>
  </si>
  <si>
    <t>A tattoo parlor is shown from the outside then inside.</t>
  </si>
  <si>
    <t>An array of tattoo choices are shown on a wall.</t>
  </si>
  <si>
    <t>An artist is shown drawing and coloring in tattoos on a piece of paper.</t>
  </si>
  <si>
    <t>v_nYxjWwJrHwk</t>
  </si>
  <si>
    <t>A group of people are gathered on a snowy hill.</t>
  </si>
  <si>
    <t>They are walking around with intertubes.</t>
  </si>
  <si>
    <t>They ride the intertubes down the snowy mountainside.</t>
  </si>
  <si>
    <t>v_zqqiiZCmPLw</t>
  </si>
  <si>
    <t>A young ballerina wearing a tutu is seen standing at a ballet barr performing various ballet moves and moving to the floor.</t>
  </si>
  <si>
    <t>She continues moving around the floor dancing and leads to her holding a razor and putting lotion on her legs.</t>
  </si>
  <si>
    <t>She shaves her legs while moving her legs around and continues dancing with the razor in sight.</t>
  </si>
  <si>
    <t>v_vZVnMzH4pkc</t>
  </si>
  <si>
    <t>A man throws a ball into a cup.</t>
  </si>
  <si>
    <t>Another man throws a ball into a cup.</t>
  </si>
  <si>
    <t>The two men pick up a cup and drink it.</t>
  </si>
  <si>
    <t>v_yacDrjVTUak</t>
  </si>
  <si>
    <t>A man is standing in front of wires and puts on a welding helmet.</t>
  </si>
  <si>
    <t>He starts to weld the corner of the room.</t>
  </si>
  <si>
    <t>The man sands the corner where he was welding.</t>
  </si>
  <si>
    <t>He continues to weld in the same corner.</t>
  </si>
  <si>
    <t>The man pushes his helmet up and replaces the wires and sands the same area again.</t>
  </si>
  <si>
    <t>He places his gloves down and shows the weld he finished.</t>
  </si>
  <si>
    <t>v_4YGuIycW_IA</t>
  </si>
  <si>
    <t>A man stands outside holding a bottle of sun screen and talking.</t>
  </si>
  <si>
    <t>He sprays the sun screen on his arm and rubs it in.</t>
  </si>
  <si>
    <t>v_pZsHrSHAOqs</t>
  </si>
  <si>
    <t>A man wearing a blue shirt throws a bowling ball down a bowling alley.</t>
  </si>
  <si>
    <t>The ball strikes both pins and bounces into the adjoining alley striking the pin down there too.</t>
  </si>
  <si>
    <t>A seated man in a red shirt shakes his head.</t>
  </si>
  <si>
    <t>The man in the blue shirt walks back.</t>
  </si>
  <si>
    <t>v_sOL5ksIFX50</t>
  </si>
  <si>
    <t>An introduction comes onto the screen for a video about the winter sport curling.</t>
  </si>
  <si>
    <t>Curlers ar shown as they take different shot and sweep down the ice.</t>
  </si>
  <si>
    <t>The video ends with the closing credits and graphics.</t>
  </si>
  <si>
    <t>v_UO9bRJmfMzI</t>
  </si>
  <si>
    <t>A man scrapes snow off of the side of a car.</t>
  </si>
  <si>
    <t>He then scrapes snow off the hood.</t>
  </si>
  <si>
    <t>He then moves to the other side to remove more snow.</t>
  </si>
  <si>
    <t>Finally he finishes clearing the car.</t>
  </si>
  <si>
    <t>v_qlP8qKtGE7U</t>
  </si>
  <si>
    <t>A little baby boy is sitting in his high chair dipping a fork into a glass of chocolate milk being held by an adult.</t>
  </si>
  <si>
    <t>The adult takes several turn dipping the fork in the cup and licking it.</t>
  </si>
  <si>
    <t>Then he pauses for a minute and starts to play with the fork.</t>
  </si>
  <si>
    <t>v_aVHmi3Kjr_Q</t>
  </si>
  <si>
    <t>A christmas tree is shown followed by several people moving in fast motion hanging up a set of lights.</t>
  </si>
  <si>
    <t>The people move all around the house up and down the ladder and end by turning off the lights to see.</t>
  </si>
  <si>
    <t>v_kI6maggAugg</t>
  </si>
  <si>
    <t>A very slow playing video of a very strong man is shown as he picks up a barbell that has a lot of heavy weights on it, and he squats for a little bit with it at his chest.</t>
  </si>
  <si>
    <t>The man then stands up and holds the barbell to his chest.</t>
  </si>
  <si>
    <t>The man then tries to hold the barbell above his head while he squats but he ends up dropping the barbell and then looks at his hands as if they failed him.</t>
  </si>
  <si>
    <t>v_e1bHYT-G__8</t>
  </si>
  <si>
    <t>A special effect bowling theme intro appears and the text in the middle read "CHRIS HARDWICK'S ALL STAR Celebrity Bowling".</t>
  </si>
  <si>
    <t>There are four men posing in a bowling alley, all are wearing yellow shirts and their team name text say's "nerdist".</t>
  </si>
  <si>
    <t>A group of 4 people appear next and there are 3 men and 1 woman and the team name text say's "WWE Superstars".</t>
  </si>
  <si>
    <t>Clips begin to play and it includes various people bowling, talking, demonstrating bowling, giving interviews, hanging out, laughing, playing around, shaving facial hair, doing pushups, eating, feeding one another and etcetera.</t>
  </si>
  <si>
    <t>Large yellow words on the screen appear and it say's "Team Nerdist Wins!" and the entire team gets up and celebrates.</t>
  </si>
  <si>
    <t>A nerdist team member happily speaks into the camera, and then unhappy member from another team unhappily speaks to the camera.</t>
  </si>
  <si>
    <t>v_q-mpNUe0JNo</t>
  </si>
  <si>
    <t>We see a title card on a black screen.</t>
  </si>
  <si>
    <t>It changes to skateboarding performing tricks.</t>
  </si>
  <si>
    <t>We see a photographer taking pictures.</t>
  </si>
  <si>
    <t>A man jumps a fire hydrant.</t>
  </si>
  <si>
    <t>We see a man jump over stairs up close.</t>
  </si>
  <si>
    <t>A man rides with lots of cameras flashing.</t>
  </si>
  <si>
    <t>The camera slows down and the scene ends.</t>
  </si>
  <si>
    <t>We see a black screen and credits.</t>
  </si>
  <si>
    <t>v_U6Xnw2RGjsI</t>
  </si>
  <si>
    <t>A young man pumps up and down kneeling on both legs.</t>
  </si>
  <si>
    <t>The student jumps up from the kneeling position and lands on top of a stack of mat then lands on the ground.</t>
  </si>
  <si>
    <t>v_HIIUd1osd_I</t>
  </si>
  <si>
    <t>People and dogs are walking down a trail.</t>
  </si>
  <si>
    <t>Pink flowers on a bush are shown.</t>
  </si>
  <si>
    <t>People are walking dogs on leashes down a street.</t>
  </si>
  <si>
    <t>v_ojVY8I3GPa4</t>
  </si>
  <si>
    <t>A bull is in a ring, looking at the bullfighters on the outside.</t>
  </si>
  <si>
    <t>A bunch of fighters walk up behind it.</t>
  </si>
  <si>
    <t>They begin to fight with the bull, sometimes pulling his tail and waving the cape in front of him to make him charge.</t>
  </si>
  <si>
    <t>v_EsGpVb1-W0E</t>
  </si>
  <si>
    <t>A man is seen speaking to the camera while holding a tennis racket and begins hitting the ball against the wall.</t>
  </si>
  <si>
    <t>He continues speaking to the camera and transitions to him hitting the ball.</t>
  </si>
  <si>
    <t>v_eQ9cmxPKvT8</t>
  </si>
  <si>
    <t>A man in a gray sweat shirt is standing at a bus stop.</t>
  </si>
  <si>
    <t>He starts roller blading down a street and doing tricks.</t>
  </si>
  <si>
    <t>The man is skating backwards.</t>
  </si>
  <si>
    <t>v_r7E7cVoJ0JE</t>
  </si>
  <si>
    <t>A man in black pants is standing on a roof and nailing a long shingle onto the roof.</t>
  </si>
  <si>
    <t>A man in blue shorts appears on the right and is also nailing long shingles on the roof.</t>
  </si>
  <si>
    <t>The zoom goes in on the an wearing long black pants and he's nailing shingles onto the outside perimeter of the roof.</t>
  </si>
  <si>
    <t>v_AYhduTuI_zM</t>
  </si>
  <si>
    <t>A woman is seen playing a flute while a man speaks into a microphone and two people play the piano behind her.</t>
  </si>
  <si>
    <t>The woman pauses to speak to the man and the man takes the flute from her and plays.</t>
  </si>
  <si>
    <t>The man hands her back the flute to play and ends by still speaking to her.</t>
  </si>
  <si>
    <t>v_UCZGbQFg6io</t>
  </si>
  <si>
    <t>An athletic man is seen running down a track into a pit.</t>
  </si>
  <si>
    <t>Several more people are seen running down the track into a pit.</t>
  </si>
  <si>
    <t>One after another more people jump.</t>
  </si>
  <si>
    <t>v_9bFevj6bomQ</t>
  </si>
  <si>
    <t>A news anchor in white coat is talking in front of the camera.</t>
  </si>
  <si>
    <t>The player kicked the ball and hit the goal.</t>
  </si>
  <si>
    <t>Two players in the court started to argue and pushed each other and fight, one of the player threw the ball to the other person, the players started to chase and pushed each other, then team in blue uniforms walked away.</t>
  </si>
  <si>
    <t>Team in white uniforms stayed at the court and cheered.</t>
  </si>
  <si>
    <t>v_sN1MPx9hb1I</t>
  </si>
  <si>
    <t>An intro is shown of a woman knitting with her hands while various pictures of cats are shown in the background.</t>
  </si>
  <si>
    <t>Text on how to knit appears while her hands continue moving to demonstrate how to properly knit.</t>
  </si>
  <si>
    <t>v_SH0t2-GgwiQ</t>
  </si>
  <si>
    <t>A woman talks and lie down on the floor, then she bend her legs and lift both.</t>
  </si>
  <si>
    <t>Then, the woman lifts the two legs straight.</t>
  </si>
  <si>
    <t>After, the woman lifts only one leg and the other leg rest bend on the floor.</t>
  </si>
  <si>
    <t>v_JY-H1u1hJZw</t>
  </si>
  <si>
    <t>The little boy sits in the blue kayak holding paddles.</t>
  </si>
  <si>
    <t>Then someone else is shown paddling in the water and there are people standing on shore.</t>
  </si>
  <si>
    <t>The camera turns around a few times to show the trees and the sky.</t>
  </si>
  <si>
    <t>v_0z_dyY_89ys</t>
  </si>
  <si>
    <t>A female news woman is talking to the camera in a news room.</t>
  </si>
  <si>
    <t>Another woman shows off a series of cleaning supplies.</t>
  </si>
  <si>
    <t>She instructs on how to use them, but not to mix certain elements.</t>
  </si>
  <si>
    <t>She pours the liquids into cups and changes into a sprayer bottle for cleaning a kitchen.</t>
  </si>
  <si>
    <t>v_lmYmYYXs1mo</t>
  </si>
  <si>
    <t>A man is standing at a counter with a Smith knife.</t>
  </si>
  <si>
    <t>He demonstrates how to sharpen the knife.</t>
  </si>
  <si>
    <t>He pours oil on the sharpening tool and runs the knife over it.</t>
  </si>
  <si>
    <t>He cleans the tool and puts it away.</t>
  </si>
  <si>
    <t>v_YnFDzvuDJSQ</t>
  </si>
  <si>
    <t>A woman in red is standing beside a table explaining some things.</t>
  </si>
  <si>
    <t>she puts her hand on the christmas tree and talks some more about it.</t>
  </si>
  <si>
    <t>She grabs some red ribbon and begins to tie into a bow.</t>
  </si>
  <si>
    <t>She then goes to place it on to the christmas tree and continues to speak about it.</t>
  </si>
  <si>
    <t>v_MIAhrxkYadk</t>
  </si>
  <si>
    <t>Hair styling tools are shown in closeup.</t>
  </si>
  <si>
    <t>A woman walks down a street an into a salon.</t>
  </si>
  <si>
    <t>The woman interacts with a man in the salon.</t>
  </si>
  <si>
    <t>The man and woman look at pictures of hairstyles together.</t>
  </si>
  <si>
    <t>Scenes of the woman with her hair being cut and styled are shown.</t>
  </si>
  <si>
    <t>The man and woman interact as they examine her new style.</t>
  </si>
  <si>
    <t>A closeup of hair on the floor is shown.</t>
  </si>
  <si>
    <t>v_e5e16U5hnzY</t>
  </si>
  <si>
    <t>A man and women are talking to a camera and the girl demonstrates on how to properly hold a discuss.</t>
  </si>
  <si>
    <t>Secondly she shows the proper stance of throwing the item and throws the discuss how into the air.</t>
  </si>
  <si>
    <t>She demonstrates bending down and spinning with the disk and does one throw full out.</t>
  </si>
  <si>
    <t>The man then tries to throw how the woman did and attempts to throw more and get better.</t>
  </si>
  <si>
    <t>v_Epl3pExUuNs</t>
  </si>
  <si>
    <t>People are sitting in bumper cars crashing into each other.</t>
  </si>
  <si>
    <t>They stop and get out of the cars.</t>
  </si>
  <si>
    <t>A boy in a white shirt walks out with a boy in a blue shirt.</t>
  </si>
  <si>
    <t>v_sUrqd6Qn8Qw</t>
  </si>
  <si>
    <t>A woman is seen sitting on a piece of exercise equipment with her arms and legs strapped in.</t>
  </si>
  <si>
    <t>The woman is seen moving back and fourth on the machine while looking forward.</t>
  </si>
  <si>
    <t>The woman continues to move on the machine while the camera watches her movements.</t>
  </si>
  <si>
    <t>v_u0PEB9bXWpY</t>
  </si>
  <si>
    <t>A lady shows off her fingernails.</t>
  </si>
  <si>
    <t>The lady puts drops of white paint on her finger nails.</t>
  </si>
  <si>
    <t>The lady uses a toothpick and drags it through the white paint.</t>
  </si>
  <si>
    <t>She doe another fingernail with the same process.</t>
  </si>
  <si>
    <t>The lady shows us the flower designs on her nails.</t>
  </si>
  <si>
    <t>v_Mgy7IRETxSk</t>
  </si>
  <si>
    <t>The marching bands are in positioned in the field.</t>
  </si>
  <si>
    <t>Then The band started to play their instruments.</t>
  </si>
  <si>
    <t>The ladies with flags moved their flags up and down and rotate them as the band plays.</t>
  </si>
  <si>
    <t>v_uYqNIBbz4_Q</t>
  </si>
  <si>
    <t>A man is seen standing outside holding a rope and tying it around a tree bark.</t>
  </si>
  <si>
    <t>He then axes the log on the ground and breaks it into two.</t>
  </si>
  <si>
    <t>v_sWEbq5Ry63Q</t>
  </si>
  <si>
    <t>A man is shown point to a bicycle tire and cutting a piece of wire using pliers.</t>
  </si>
  <si>
    <t>He then moves to bars around and spinning the wheel followed by a stick pressing against the tire.</t>
  </si>
  <si>
    <t>He pushes a tube into the tire and adjusts the wires using a device.</t>
  </si>
  <si>
    <t>He tests the wheel out thoroughly and assures the bike is ready to go.</t>
  </si>
  <si>
    <t>v_HKkzII7ap7E</t>
  </si>
  <si>
    <t>A woman is talking to a camera.</t>
  </si>
  <si>
    <t>She picks up a flute and starts playing.</t>
  </si>
  <si>
    <t>She puts the flue down on her lap and continues talking.</t>
  </si>
  <si>
    <t>She puts the flute back up to her mouth and continues to play.</t>
  </si>
  <si>
    <t>She puts the flute back down and nods her head.</t>
  </si>
  <si>
    <t>She puts the flute back up to her lips and plays.</t>
  </si>
  <si>
    <t>v_8UvKQnfXnCk</t>
  </si>
  <si>
    <t>A person is water skiing behind a boat.</t>
  </si>
  <si>
    <t>Another boat is seen in the water behind them.</t>
  </si>
  <si>
    <t>They are going around yellow cones in the water.</t>
  </si>
  <si>
    <t>v_etWdTMJ9_To</t>
  </si>
  <si>
    <t>A man is seen walking down a field followed by several people running back and fourth.</t>
  </si>
  <si>
    <t>The men throw the ball around the yard and continue to run up and down on the grass.</t>
  </si>
  <si>
    <t>v_M0cKfbLMlSA</t>
  </si>
  <si>
    <t>Two pairs of men are getting ready to box.</t>
  </si>
  <si>
    <t>Both pairs of men are seen boxing.</t>
  </si>
  <si>
    <t>Another pair of men are seen talking and gesturing about boxing in the distance.</t>
  </si>
  <si>
    <t>The main pair of boxers take a short break.</t>
  </si>
  <si>
    <t>All groups stop boxing and begin to talk.</t>
  </si>
  <si>
    <t>One of the men begins hanging on a rope and swinging forwards and backwards.</t>
  </si>
  <si>
    <t>v_bCtiTOEf9KI</t>
  </si>
  <si>
    <t>A woman dressed in a black tank top and black tights is doing stomach crunches on a mat.</t>
  </si>
  <si>
    <t>She is exercising on a hardwood floor in the gym.</t>
  </si>
  <si>
    <t>She continues doing her stomach crunches.</t>
  </si>
  <si>
    <t>v_bW4AfWvteIo</t>
  </si>
  <si>
    <t>An intro leads into a close up of a fooseball table and panning around several specs of the table.</t>
  </si>
  <si>
    <t>Two people are seen playing with one another while the camera shows the table in several spots and the boys high fiving one another.</t>
  </si>
  <si>
    <t>v_NNuIaUFYGCE</t>
  </si>
  <si>
    <t>Various pictures of people painting are shown using several tools on hard walls.</t>
  </si>
  <si>
    <t>More pictures are shown of people plastering with various text images shown inside.</t>
  </si>
  <si>
    <t>v_YCHmXwLhs3A</t>
  </si>
  <si>
    <t>A man is assembling a bike on a table.</t>
  </si>
  <si>
    <t>He is putting training wheels on the back wheel of the bike.</t>
  </si>
  <si>
    <t>He puts the front tire on the bike.</t>
  </si>
  <si>
    <t>He puts the handlebars on the bike.</t>
  </si>
  <si>
    <t>He puts the pedals onto the bike.</t>
  </si>
  <si>
    <t>He puts the seat onto the bike.</t>
  </si>
  <si>
    <t>v_kYrztBFfaZ8</t>
  </si>
  <si>
    <t>A man swings a baseball bat.</t>
  </si>
  <si>
    <t>He hits a ball and it goes onto a roof.</t>
  </si>
  <si>
    <t>A man is running and throwing a ball.</t>
  </si>
  <si>
    <t>v_XZ1IuZjsk8A</t>
  </si>
  <si>
    <t>A woman is pouring shots of alcohol into a glass of ice.</t>
  </si>
  <si>
    <t>She shakes the glass and sets it down.</t>
  </si>
  <si>
    <t>She then pours it into another glass and sticks a straw in it.</t>
  </si>
  <si>
    <t>She holds up the drink while talking.</t>
  </si>
  <si>
    <t>v_p8uTRV3u3JM</t>
  </si>
  <si>
    <t>Two groups of men wearing uniforms, one with dark shirts and one with white shirts, are playing on an indoor volleyball court.</t>
  </si>
  <si>
    <t>The man in the darker jersey wearing number 17 dives to the ground to save the ball.</t>
  </si>
  <si>
    <t>A team member wearing a dark shirt spikes the ball but it goes out of bounds and the team with the lighter shirts cheer on while the guy who spiked the ball out of bounds bends over in disappointment.</t>
  </si>
  <si>
    <t>v_QuU6I9w1btI</t>
  </si>
  <si>
    <t>Two vacuums one taller and one is shorter is show.</t>
  </si>
  <si>
    <t>The vacuum is being use on the carpet, wooden floor, on the corner, under the table and on the side of the trash can and then the carpet.</t>
  </si>
  <si>
    <t>A hand is pulling out a tube, used the tube to vacuum the stairs and the corner of the ceiling, then a hand took out the tube and threw away the dust from the transparent tube.</t>
  </si>
  <si>
    <t>A woman is carrying the vacuum and put it in the storage.</t>
  </si>
  <si>
    <t>A woman is walking at the factory, then a person is drawing the vacuum in a white sheet.</t>
  </si>
  <si>
    <t>v_Cdiv-IzHcjQ</t>
  </si>
  <si>
    <t>A person irons a brown paper.</t>
  </si>
  <si>
    <t>The person flips the iron around and continues ironing.</t>
  </si>
  <si>
    <t>The peels the ironed paper off and lays it down.</t>
  </si>
  <si>
    <t>The person leaves the iron on a new brown paper.</t>
  </si>
  <si>
    <t>v_SbY68ygmuEA</t>
  </si>
  <si>
    <t>A crowd watches as several runners in a race jog past.</t>
  </si>
  <si>
    <t>They all keep jogging, coming in at the end of the race.</t>
  </si>
  <si>
    <t>v_m7cHlmcFk9Y</t>
  </si>
  <si>
    <t>A cat is in a woman's lap in the bathroom.</t>
  </si>
  <si>
    <t>She pulls a towel over the cat's head.</t>
  </si>
  <si>
    <t>She then gently tries to clip his claws one at a time.</t>
  </si>
  <si>
    <t>v_D9EQ6jCH0_M</t>
  </si>
  <si>
    <t>A woman is scrubbing a white chair with a yellow sponge.</t>
  </si>
  <si>
    <t>She is now pouring something onto a rag and washing a white table.</t>
  </si>
  <si>
    <t>She is spray painting the chair and table she just washed.</t>
  </si>
  <si>
    <t>The finished furniture is shown.</t>
  </si>
  <si>
    <t>v_Exu0qsz42fQ</t>
  </si>
  <si>
    <t>A young child is sitting playing on a drum set.</t>
  </si>
  <si>
    <t>Using his foot for the base and drumming on the snare like a natural.</t>
  </si>
  <si>
    <t>A woman is on a piano playing along with the child.</t>
  </si>
  <si>
    <t>They have a small audience sitting and watching them perform.</t>
  </si>
  <si>
    <t>v_Fdjw9ld-hbA</t>
  </si>
  <si>
    <t>A man dressed in a blue uniform is fighting against a male dressed in an all red uniform.</t>
  </si>
  <si>
    <t>The man in the red,picks him up and drops him down on the wrestling match.</t>
  </si>
  <si>
    <t>After,the referee drops down and pounds the mat counting down the end of the match.</t>
  </si>
  <si>
    <t>v_FLbTQGyoEMk</t>
  </si>
  <si>
    <t>A young woman speaks as she smiles.</t>
  </si>
  <si>
    <t>She squeezes the side of her right eye and pokes out a contact lens.</t>
  </si>
  <si>
    <t>She moves on to her left eye and pokes out a contact lens.</t>
  </si>
  <si>
    <t>v_rDADR0Lg4U8</t>
  </si>
  <si>
    <t>A group of female players walk onto a court behind their coach.</t>
  </si>
  <si>
    <t>They engage in a lacrosse game, fighting over the ball with their bats.</t>
  </si>
  <si>
    <t>The girls celebrate their win with flowers and hugs.</t>
  </si>
  <si>
    <t>v_YwUW6Qh_5TA</t>
  </si>
  <si>
    <t>A gymnast is seen standing with his arms out and hops on a board.</t>
  </si>
  <si>
    <t>He then begins spinning himself around while judges watch on the sides.</t>
  </si>
  <si>
    <t>He continues his routine and jumps down with his arms up.</t>
  </si>
  <si>
    <t>v_ZREM_AcXHX8</t>
  </si>
  <si>
    <t>A new segment leads into clips of a woman speaking to the camera and holding up a bow and arrow.</t>
  </si>
  <si>
    <t>The girl shoots the bow while still speaking to the camera and bending the bow.</t>
  </si>
  <si>
    <t>She continues speaking while using her hands and showing off pictures to the camera.</t>
  </si>
  <si>
    <t>v_XGj9lakgSic</t>
  </si>
  <si>
    <t>A girl dances as she sits in a booth.</t>
  </si>
  <si>
    <t>The girl mixes ingredients together in a pot.</t>
  </si>
  <si>
    <t>The girl adds dried ingredients to the pot.</t>
  </si>
  <si>
    <t>The girl adds tomato and eggs from a plate to the pot.</t>
  </si>
  <si>
    <t>The girls waves goodbye and leans back on the booth.</t>
  </si>
  <si>
    <t>v_iXLXRHHFp60</t>
  </si>
  <si>
    <t>There's a brown horse tied outside a polo club.</t>
  </si>
  <si>
    <t>There are several jockeys playing polo on the field in an event.</t>
  </si>
  <si>
    <t>There are also several spectators standing and watching the event.</t>
  </si>
  <si>
    <t>One of the polo players is trotting on the horse across the field.</t>
  </si>
  <si>
    <t>Another game of polo takes place where several spectators are watching.</t>
  </si>
  <si>
    <t>After the event is over, the judge hands awards to the winners.</t>
  </si>
  <si>
    <t>There's a British flag flying high in the field.</t>
  </si>
  <si>
    <t>v_OsiES8BiRac</t>
  </si>
  <si>
    <t>A belly dancer walks onto the stage from behind the curtains.</t>
  </si>
  <si>
    <t>The belly dancer dances on stage shaking her hips and body.</t>
  </si>
  <si>
    <t>The belly dancer spins in circles during the performance.</t>
  </si>
  <si>
    <t>The dancers turns with her back to the audience and dances.</t>
  </si>
  <si>
    <t>The dancer bows at the end of the performance.</t>
  </si>
  <si>
    <t>v_aXXes0e-eM0</t>
  </si>
  <si>
    <t>two kids are in a litle car watching a little kid holding a pole hitting a lightning mcqueen piñata.</t>
  </si>
  <si>
    <t>people are gathered around the little kid.</t>
  </si>
  <si>
    <t>v_tDG8VoRQTuM</t>
  </si>
  <si>
    <t>There are two people talking about stilts used by stunt men.</t>
  </si>
  <si>
    <t>They are standing on a street near several clubs and restaurants.</t>
  </si>
  <si>
    <t>One of the men is demonstrating how the stilts are used in stunts.</t>
  </si>
  <si>
    <t>Henry, the guy dressed in the white shirt is showing how high he can jump with the stilts and perform stunts.</t>
  </si>
  <si>
    <t>He shows numerous tricks on how he jumps up high and over benches and tables.</t>
  </si>
  <si>
    <t>He shows how he uses the Power Riser jumping skills on the streets and in the park.</t>
  </si>
  <si>
    <t>v_l7rzaG3aDyw</t>
  </si>
  <si>
    <t>A woman is seen performing a belly dancing routine on a stage with flowers hanging in the background.</t>
  </si>
  <si>
    <t>She continues performing her routine and ends by spinning around and posing.</t>
  </si>
  <si>
    <t>v_MNduaJtXy1A</t>
  </si>
  <si>
    <t>A large group of people are seen standing around and smiling to one another.</t>
  </si>
  <si>
    <t>They begin playing a set of drums while another man is seen playing the piano.</t>
  </si>
  <si>
    <t>More people are seen on the sides dancing to the music.</t>
  </si>
  <si>
    <t>v_drjYCuezfA8</t>
  </si>
  <si>
    <t>A woman in white shirt is standing next to a metal sink, she take out two white plates, silver container, strainer, spoons, and placed it on the metal container next to the sink.</t>
  </si>
  <si>
    <t>She then take a pan in the sink, put water, put liquid soap in a sponge, rub it on the plates, lid, container, spoons.</t>
  </si>
  <si>
    <t>She wiped the counter with her hand, then placed a green basket, rinse the plates, lid, container, pan, and put them in the basket.</t>
  </si>
  <si>
    <t>v_Aqx7rM9gZgg</t>
  </si>
  <si>
    <t>A woman in a blue shirt stands next to a brown horse.</t>
  </si>
  <si>
    <t>She holds onto the horses red lead.</t>
  </si>
  <si>
    <t>She is brushing the side of the horse.</t>
  </si>
  <si>
    <t>She steps away from the horse and bends down.</t>
  </si>
  <si>
    <t>She picks up a larger brush and begins brushing the horse again.</t>
  </si>
  <si>
    <t>She is brushing the horses face and neck.</t>
  </si>
  <si>
    <t>She is brushing the horses front leg in a downward motion.</t>
  </si>
  <si>
    <t>v_SXRSA62VbZg</t>
  </si>
  <si>
    <t>A tattoo salon has displayed a metallic blue motor cycle.</t>
  </si>
  <si>
    <t>there's a person sitting on the counter of the salon.</t>
  </si>
  <si>
    <t>A customer walks in and gives a child's picture to the tattoo artist.</t>
  </si>
  <si>
    <t>The tattoo artist traces the child's picture on a paper.</t>
  </si>
  <si>
    <t>Then he cleans the client's arms with alcohol.</t>
  </si>
  <si>
    <t>The artist wears a pair of latex gloves and begins tattooing the client's arm.</t>
  </si>
  <si>
    <t>He replicates the image traced from the picture on the client's arm along with some additional designs.</t>
  </si>
  <si>
    <t>He then takes a picture of the client's tattooed arm on a cellphone.</t>
  </si>
  <si>
    <t>v_kLflIBGCNrc</t>
  </si>
  <si>
    <t>A large group of people are seen swimming around a pool playing a game while the video pauses to show off players.</t>
  </si>
  <si>
    <t>The camera continues to pan around the players swimming all around the pool throwing a ball and others reacting on the sidelines.</t>
  </si>
  <si>
    <t>v_qAMf2UUH1xI</t>
  </si>
  <si>
    <t>A person jumps in the ocean and we see them being pulled on a line.</t>
  </si>
  <si>
    <t>We see divers underwater and see sealife and people on boats.</t>
  </si>
  <si>
    <t>A person with a camera on their head jumps from the boat into the water.</t>
  </si>
  <si>
    <t>Two men wave and we see sealife including a dolphin swimming next to the boat.</t>
  </si>
  <si>
    <t>A lady pretends to beat a man up by hitting him in the head while underwater.</t>
  </si>
  <si>
    <t>v_d7gTlJhEwrM</t>
  </si>
  <si>
    <t>A woman in a pink shirt sprints down a track and jumps into sand.</t>
  </si>
  <si>
    <t>A replay of her jump is shown several times.</t>
  </si>
  <si>
    <t>She walks away onto the grass.</t>
  </si>
  <si>
    <t>v_Fde_qSwXRzY</t>
  </si>
  <si>
    <t>Two boy scouts are seen standing and speaking to a large group of people and attempting to light a match.</t>
  </si>
  <si>
    <t>One cups his hands and creates a flame using oxygen and puts the flame into a pit.</t>
  </si>
  <si>
    <t>v_oZgyW8Yca_M</t>
  </si>
  <si>
    <t>A woman at a beach talks to the camera.</t>
  </si>
  <si>
    <t>The camera pans back and forth to show activity other beachgoers' activity around the woman.</t>
  </si>
  <si>
    <t>The woman dumps a bucket of sand on the beach.</t>
  </si>
  <si>
    <t>The woman combines sand and water in a bucket.</t>
  </si>
  <si>
    <t>The woman dumps the mixture out on the beach.</t>
  </si>
  <si>
    <t>v_-wcSkAAeOK8</t>
  </si>
  <si>
    <t>A woman is seen speaking to the camera while standing in front of an exercise bike.</t>
  </si>
  <si>
    <t>The woman continues speaking and begins climbing onto the bike.</t>
  </si>
  <si>
    <t>She spins herself around on the bike while sitting and standing and the camera panning around the girl.</t>
  </si>
  <si>
    <t>v_tLxv2E7gj5c</t>
  </si>
  <si>
    <t>Two people are seen running inside an indoor closed room and hitting a tennis ball around with rackets.</t>
  </si>
  <si>
    <t>The men continue running around hitting the ball off the wall.</t>
  </si>
  <si>
    <t>v_rmMCA60HqZ0</t>
  </si>
  <si>
    <t>A fat women and a thin woman talk face to face in a beauty salon.</t>
  </si>
  <si>
    <t>The fat woman talks and the thin woman wash and puts cream to her face.</t>
  </si>
  <si>
    <t>Then, the fat woman pass a device over the face of the thin woman.</t>
  </si>
  <si>
    <t>v_72PUOTjZpQU</t>
  </si>
  <si>
    <t>A large group of people are seen standing in a gymnasium with two people in front.</t>
  </si>
  <si>
    <t>The group then begins dancing with one another and leads into another large group of people.</t>
  </si>
  <si>
    <t>People are seen speaking to the camera and leads into them jumping up in the end.</t>
  </si>
  <si>
    <t>v_fqWjjWqsJPU</t>
  </si>
  <si>
    <t>A man speaks to the camera which follows an intro screen to him skating.</t>
  </si>
  <si>
    <t>He continues talking to the camera and performing various tricks on his board throughout the area.</t>
  </si>
  <si>
    <t>v_jEGTpBJrD4s</t>
  </si>
  <si>
    <t>This man is shown playing one drum in the beginning of the video and he says a few words.</t>
  </si>
  <si>
    <t>Then a man sits next to him and starts to play his guitar and the other man slowly joins to start playing the drums.</t>
  </si>
  <si>
    <t>The man who is sitting next to the man playing the drums is not only playing the guitar, but he's singing too.</t>
  </si>
  <si>
    <t>v_8eMjzrhxv2U</t>
  </si>
  <si>
    <t>We see a man walking on the ice.</t>
  </si>
  <si>
    <t>He moves a stick and pulls a fishing line out of a hole.</t>
  </si>
  <si>
    <t>The man pulls a fish out of the hole.</t>
  </si>
  <si>
    <t>He picks the fish up and shows us the fish.</t>
  </si>
  <si>
    <t>The man then throws the fish back into the hole.</t>
  </si>
  <si>
    <t>v_tzsgg_o6xHo</t>
  </si>
  <si>
    <t>A woman in man in black clothing stand in together and discuss a routine.</t>
  </si>
  <si>
    <t>The woman begins dancing and goes in a circle a few times while the man watches.</t>
  </si>
  <si>
    <t>The woman continues discussing the routine then holds hands with her partner and they begin dancing together.</t>
  </si>
  <si>
    <t>v_8ATFQNEWHL0</t>
  </si>
  <si>
    <t>A woman is talking about how to make a salad.</t>
  </si>
  <si>
    <t>She breaks up the lettuce into smaller parts.</t>
  </si>
  <si>
    <t>v_XxM72xEvsjE</t>
  </si>
  <si>
    <t>A man and young child are seen pushing a lawn mower across the yard while the boy smiles to the camera.</t>
  </si>
  <si>
    <t>The man and boy continue to push the lawn mower along the yard while stopping to look at the camera.</t>
  </si>
  <si>
    <t>v_XThYcZoFMMs</t>
  </si>
  <si>
    <t>All the ingredients you need to make butter cake are on the counter, someone is pointing at each ingredient and starts grabbing them.</t>
  </si>
  <si>
    <t>They use a mixer to mix some of the ingredients together.</t>
  </si>
  <si>
    <t>They add the eggs in one by one while the mixer is still mixing and then they turn it off and add some more in.</t>
  </si>
  <si>
    <t>They use a pan and and put a bottom in it and scoop out the mixture into it before finally getting ready to put it into the oven to bake.</t>
  </si>
  <si>
    <t>v_Y_dtU10XIsg</t>
  </si>
  <si>
    <t>A close up of a crack is seen.</t>
  </si>
  <si>
    <t>A woman is outside, shoveling snow.</t>
  </si>
  <si>
    <t>A dog wags his tail as he tries to help.</t>
  </si>
  <si>
    <t>v_ZUZ7EVzHS5E</t>
  </si>
  <si>
    <t>A group of men are outside in a large field on horses playing a game of polo.</t>
  </si>
  <si>
    <t>Player number three takes the ball all the way to the end of the field and he is then trailed by four other people.</t>
  </si>
  <si>
    <t>Once they leave the end of the field,they all begin trotting back to the middle by the referee on a horse.</t>
  </si>
  <si>
    <t>v_RAmQyeaBu-k</t>
  </si>
  <si>
    <t>Several shots are shown of signs and landscapes and leads into a person tying a rope.</t>
  </si>
  <si>
    <t>Several people are seen wandering around and smiling to the camera as well as climbing up a rock.</t>
  </si>
  <si>
    <t>More people are seen climbing up the rock as well as a man climbing down.</t>
  </si>
  <si>
    <t>v_QLbWA54l1Sg</t>
  </si>
  <si>
    <t>The two people hold out hands to begin an arm wrestling match.</t>
  </si>
  <si>
    <t>The women compete in an arm wrestling match seated at a table.</t>
  </si>
  <si>
    <t>The women switch hands and and arm wrestle with their left hands.</t>
  </si>
  <si>
    <t>The women have a rematch with their dominate hands.</t>
  </si>
  <si>
    <t>The two athletes flex their arms.</t>
  </si>
  <si>
    <t>v_j1oB2NAlYsQ</t>
  </si>
  <si>
    <t>There is a diver wearing yellow swim trunks is diving from a diving board in an indoor swimming pool.</t>
  </si>
  <si>
    <t>He jumps off of the diving board several times as some other people are leisurely swimming in the pool.</t>
  </si>
  <si>
    <t>He does the backward and forward diving moves as another young man watches him dive right into the pool.</t>
  </si>
  <si>
    <t>Then another young man dives from the same diving board.</t>
  </si>
  <si>
    <t>They both do the forward diving move.</t>
  </si>
  <si>
    <t>Another diver goes up much higher and dives right into to pool.</t>
  </si>
  <si>
    <t>v_HPyLSmDjsHY</t>
  </si>
  <si>
    <t>A young girl is seen sitting in front of a camera and presents various nail objects to the camera.</t>
  </si>
  <si>
    <t>She then begins painting all her nails thoroughly and ends the video with various pictures of her and her nails.</t>
  </si>
  <si>
    <t>v_2Vf8yqNHaGM</t>
  </si>
  <si>
    <t>A little boy in a yellow shirt is holding a yellow ruffled stick.</t>
  </si>
  <si>
    <t>He tries to hit the Batman pinata hanging, he missed then he hit him, he go around the pinata to hit it.</t>
  </si>
  <si>
    <t>v_q-FOdt9a7Js</t>
  </si>
  <si>
    <t>A person is pushing a snow plow through snow.</t>
  </si>
  <si>
    <t>They are clearing a path down a sidewalk.</t>
  </si>
  <si>
    <t>A white car dives by on the street.</t>
  </si>
  <si>
    <t>v_0fNBm46reNg</t>
  </si>
  <si>
    <t>A small group of people are seen pulling mulch into a bin when another is seen raking around the tree.</t>
  </si>
  <si>
    <t>They continue to scrape out of the mulch while measuring out the area and leads into one cutting the grass around the tree.</t>
  </si>
  <si>
    <t>They lay out more dirt evenly while some are grabbing bags behind them.</t>
  </si>
  <si>
    <t>v_Flh-37A4HWY</t>
  </si>
  <si>
    <t>A person holds a coffee mug in a pool of koi.</t>
  </si>
  <si>
    <t>The koi swim towards the coffee mug.</t>
  </si>
  <si>
    <t>v_IZCzbslH8jo</t>
  </si>
  <si>
    <t>A woman is on a court playing with a stick.</t>
  </si>
  <si>
    <t>She hits a ball on the court.</t>
  </si>
  <si>
    <t>She demonstrates how to swing and hit the ball.</t>
  </si>
  <si>
    <t>v_hUzsmIWojH0</t>
  </si>
  <si>
    <t>A man runs up to a beam and jumps over it several times.</t>
  </si>
  <si>
    <t>He makes at least six attempts.</t>
  </si>
  <si>
    <t>v_TPu-vPWJtIA</t>
  </si>
  <si>
    <t>Women in leotards dance together in a line.</t>
  </si>
  <si>
    <t>Women jump into the pool.</t>
  </si>
  <si>
    <t>Women synchronize dance in the pool.</t>
  </si>
  <si>
    <t>Announcers talk to the camera.</t>
  </si>
  <si>
    <t>Men in the side of pool talk.</t>
  </si>
  <si>
    <t>Man in yellow talks to the camera.</t>
  </si>
  <si>
    <t>Man in pink leotard jumps out of the pool.</t>
  </si>
  <si>
    <t>v_cRTsarldNlc</t>
  </si>
  <si>
    <t>a boy stands on a field with a shot put in hand.</t>
  </si>
  <si>
    <t>The boy begins to spin around.</t>
  </si>
  <si>
    <t>The boy throws the shot put.</t>
  </si>
  <si>
    <t>The spins and throws another shot put.</t>
  </si>
  <si>
    <t>v_Ou24uqaFRPg</t>
  </si>
  <si>
    <t>A furniture renovation company advertises their services by showing several homes and tools they have worked on and use and what type of work they do.</t>
  </si>
  <si>
    <t>A man in an apron carefully puts a colored substance on a plate.</t>
  </si>
  <si>
    <t>The man mixes two of the different colored substances with a paint brush.</t>
  </si>
  <si>
    <t>The man carefully touches the paint brush to an old table coloring portions of the table that have been damaged.</t>
  </si>
  <si>
    <t>A different man in an apron and face mask sands an old table.</t>
  </si>
  <si>
    <t>The man then puts polish on a rag and polishes the table.</t>
  </si>
  <si>
    <t>The man polishes a different old table.</t>
  </si>
  <si>
    <t>Information on how to reach the restoration company is displayed.</t>
  </si>
  <si>
    <t>v_p74gAY-kWaY</t>
  </si>
  <si>
    <t>A woman is seen standing beside a girl sitting down brushing her hair.</t>
  </si>
  <si>
    <t>A boy watches on the side as the woman continues to brush the hair.</t>
  </si>
  <si>
    <t>The woman speaks to the girl while running the brush all over her hair.</t>
  </si>
  <si>
    <t>v_LG7p5JrgMfE</t>
  </si>
  <si>
    <t>A man dressed in a black suit and woman dressed in a black dress are dancing together to Latino music.</t>
  </si>
  <si>
    <t>They are doing a combination of ball room dancing and waltz.</t>
  </si>
  <si>
    <t>They are dancing on the sidewalk of a city where there are several bystanders observing and watching them dance.</t>
  </si>
  <si>
    <t>They continue dancing hand in hand to the music.</t>
  </si>
  <si>
    <t>A group of people standing on the right begin to applaud them.</t>
  </si>
  <si>
    <t>The couple continues to swirl and twirl as the music plays and more people in the crowd applaud.</t>
  </si>
  <si>
    <t>The lady finally jumps into the man's arms as the music comes to an end.</t>
  </si>
  <si>
    <t>The crowd cheers and applaud's loudly at the couple.</t>
  </si>
  <si>
    <t>v_TtrDWeSW3mg</t>
  </si>
  <si>
    <t>How To Expo is demonstrating how to make a three bean salad with black beans, garbanzo beans and kidney beans.</t>
  </si>
  <si>
    <t>The presenter shows minced garlic, chopped onions and chopped red bell pepper, along with chopped parsley and one teaspoon of cumin.</t>
  </si>
  <si>
    <t>She also shows the dressing ingredients like olive oil, red wine vinegar and salt.</t>
  </si>
  <si>
    <t>Then she takes a large bowl and begins mixing all the ingredients together.</t>
  </si>
  <si>
    <t>She mixes everything with the three types of beans.</t>
  </si>
  <si>
    <t>She takes large spatula and mixes everything well.</t>
  </si>
  <si>
    <t>then she takes some olive oil and vinegar and mixes it together for the dressing.</t>
  </si>
  <si>
    <t>She pours the salad into a plate and tops is with the salad dressing.</t>
  </si>
  <si>
    <t>v_Vx4ZW7Xseyg</t>
  </si>
  <si>
    <t>A guy is diving off a diving board doing flips in the air and lands in a pool of water,the guy dives and do different flips many different times.</t>
  </si>
  <si>
    <t>the man seems to be practicing his dives and flips of the diving board.</t>
  </si>
  <si>
    <t>the guy is trying to jump his highest to get a better diving flip.</t>
  </si>
  <si>
    <t>v_KJQi_5e72lM</t>
  </si>
  <si>
    <t>A man is seen talking to the camera as he sets up a ski on a work bench inside of a Ski shop.</t>
  </si>
  <si>
    <t>After lining up the ski and securing it on the bench he uses a plastic card and goes over the bottom of the ski three times.</t>
  </si>
  <si>
    <t>Afterwards he uses a bristled brush and scrubs the bottom of the ski.</t>
  </si>
  <si>
    <t>Finally he uses a soft brush and runs it over the ski once more .</t>
  </si>
  <si>
    <t>v_H5kerJ_FoBU</t>
  </si>
  <si>
    <t>The video starts with a title screen shot.</t>
  </si>
  <si>
    <t>A man in a white shirt is showing applying plaster to a room.</t>
  </si>
  <si>
    <t>As he applies the plaster, a voice is describing the techniques used by the company.</t>
  </si>
  <si>
    <t>The video ends as the man reaches the end of the room.</t>
  </si>
  <si>
    <t>v_aIvWwX--xKw</t>
  </si>
  <si>
    <t>A woman is standing behind a counter in a kitchen.</t>
  </si>
  <si>
    <t>She takes the lid off of a pot of salad.</t>
  </si>
  <si>
    <t>She moves the salad into a new bowl.</t>
  </si>
  <si>
    <t>She takes the towel and puts it over the lettuce.</t>
  </si>
  <si>
    <t>She takes the lettuce and puts it in a wooden bowl.</t>
  </si>
  <si>
    <t>She tosses the salad with two spoons.</t>
  </si>
  <si>
    <t>v_zHzKPtrgv1k</t>
  </si>
  <si>
    <t>A set of kids are in bumper cars and begin driving and hitting each other.</t>
  </si>
  <si>
    <t>One of the young kids runs into wall and the males who are operating the ride assist the child.</t>
  </si>
  <si>
    <t>v_InA8Xbg-hvo</t>
  </si>
  <si>
    <t>The words how to apply mascara appear.</t>
  </si>
  <si>
    <t>A woman with long black hair is talking to the camera.</t>
  </si>
  <si>
    <t>She holds up a wand of mascara.</t>
  </si>
  <si>
    <t>She then shows how to apply it, one eye at a time.</t>
  </si>
  <si>
    <t>v_o8EOFXW5GJo</t>
  </si>
  <si>
    <t>Several shots of plates are shown with food leading into a man preparing food.</t>
  </si>
  <si>
    <t>The man then puts more food into a plate and spinning around ingredients.</t>
  </si>
  <si>
    <t>He continues to put food onto a plate and ends by presenting it to the camera.</t>
  </si>
  <si>
    <t>v_saMBbZcDAjM</t>
  </si>
  <si>
    <t>Two people are seen hitting a ping pong table back and fourth in the middle of an outdoor park.</t>
  </si>
  <si>
    <t>They drop the ball and pick it up and then continue playing again.</t>
  </si>
  <si>
    <t>v_u2hzK9YyIXY</t>
  </si>
  <si>
    <t>A person's shoe is seen sitting in a sink and the person scrubs the outside of the shoe with water running.</t>
  </si>
  <si>
    <t>The person turns the water off and let's the dirt from the shoe run down the sink.</t>
  </si>
  <si>
    <t>v_GdEKSyad_rk</t>
  </si>
  <si>
    <t>A man is water skiing on a river.</t>
  </si>
  <si>
    <t>He leans backward, still holding on.</t>
  </si>
  <si>
    <t>He also turns and lifts one foot in the air.</t>
  </si>
  <si>
    <t>v_j30ZbXEi8sc</t>
  </si>
  <si>
    <t>A large marching band are seen standing in the middle of a lawn.</t>
  </si>
  <si>
    <t>The middle of the group begin to play followed by the rest around them.</t>
  </si>
  <si>
    <t>The group take turns playing back and fourth and end by standing still.</t>
  </si>
  <si>
    <t>v_Lfj9JC7uWmE</t>
  </si>
  <si>
    <t>man are playing war of a tug in an open field in font of a lake.</t>
  </si>
  <si>
    <t>men are standing in sidewalk watching the men playing and taking pictures.</t>
  </si>
  <si>
    <t>men reunite and pose to a picture and a lot of camcorders are taking pictures.</t>
  </si>
  <si>
    <t>v_AuS32BoK0Bg</t>
  </si>
  <si>
    <t>A man is putting on a pair of shoes.</t>
  </si>
  <si>
    <t>He grabs his skies and boards a lift.</t>
  </si>
  <si>
    <t>He is then shown skiing down various hills and mountains.</t>
  </si>
  <si>
    <t>v_-pLiSHAz4fo</t>
  </si>
  <si>
    <t>A man talking about how to work out in a certain position.</t>
  </si>
  <si>
    <t>He explains it and shows in detail how it should be done.</t>
  </si>
  <si>
    <t>Then he grabs the bar and demonstrates like that also.</t>
  </si>
  <si>
    <t>He begins to do it in repetition a few times before finishing up.</t>
  </si>
  <si>
    <t>v_k4WHaby5jd8</t>
  </si>
  <si>
    <t>A man is in the garbage and he brings out a suitcase and takes a bike out of it.</t>
  </si>
  <si>
    <t>He begins to unravel the bike and start putting it all together.</t>
  </si>
  <si>
    <t>He screws in some pieces and put the hand bars on using a a pocket knife.</t>
  </si>
  <si>
    <t>He inflates the tires with air and finishes putting the rest together, and then he rides off.</t>
  </si>
  <si>
    <t>v_8ZyBER6U9Wc</t>
  </si>
  <si>
    <t>Three girls that are matching clothes are jumping rope at a competition.</t>
  </si>
  <si>
    <t>They start to switch places between jumpers, doing tricks while jumping.</t>
  </si>
  <si>
    <t>They move up and down the floor while never stopping.</t>
  </si>
  <si>
    <t>Then they drop their rope and bow.</t>
  </si>
  <si>
    <t>v_RrgUFU70PNQ</t>
  </si>
  <si>
    <t>A group of men are in a ring around a mat.</t>
  </si>
  <si>
    <t>Two crouch in front of each other before springing onto the mat, fighting and kicking.</t>
  </si>
  <si>
    <t>They are performing a type of martial arts, fighting their oponent as cameras flash.</t>
  </si>
  <si>
    <t>v_Q6SooTA1os4</t>
  </si>
  <si>
    <t>A dog runs around a house from room to room.</t>
  </si>
  <si>
    <t>Two men take the dog into the bathroom and get him in the bath tub.</t>
  </si>
  <si>
    <t>One of the men washes the dog.</t>
  </si>
  <si>
    <t>The other man records what is happening.</t>
  </si>
  <si>
    <t>The dog hops out of the tub and one of the men dries him off.</t>
  </si>
  <si>
    <t>One man holds the dogs mouth open while the other man brushes the dogs teeth.</t>
  </si>
  <si>
    <t>v_Jvxk68D3F2w</t>
  </si>
  <si>
    <t>A camera pans all around a paintball course and shows a closeup of a person speaking.</t>
  </si>
  <si>
    <t>Several clips are seen of people running around the course and shooting paintball at one another.</t>
  </si>
  <si>
    <t>More close ups are shown of a gun as well as a man speaking to the camera and others socializing with one another.</t>
  </si>
  <si>
    <t>v_WMxQ5hc4s78</t>
  </si>
  <si>
    <t>A small table sits atop another table.</t>
  </si>
  <si>
    <t>A man enters wearing a black hoodie.</t>
  </si>
  <si>
    <t>He opens a jar and pulls out something.</t>
  </si>
  <si>
    <t>He then varnishes the table.</t>
  </si>
  <si>
    <t>v_PT18KK_6jmU</t>
  </si>
  <si>
    <t>An intro of a black screen with a logo and the words CAMERON HANSEN GALLERY appear along with the website at the bottom right.</t>
  </si>
  <si>
    <t>A school of fish swimming in the ocean appears and the location and the description of the video is displayed.</t>
  </si>
  <si>
    <t>A series of many different videos begin and it includes footage from underwater with a snorkeler, many different sea life swimming and even an elephant swimming.</t>
  </si>
  <si>
    <t>The next set of clips include various different footage of people who are above water and the scenery around them.</t>
  </si>
  <si>
    <t>It then switches to caves and it shows the outside, inside, and then the snorkeler back under water holding a flashlight to see as it's very dark.</t>
  </si>
  <si>
    <t>The focus goes back to other clips where the elephant is swimming again, a still shot picture of the beach is displayed, and more clips from the water above.</t>
  </si>
  <si>
    <t>It ends with a picture of a large tree branch near the water and the words The Andaman Islands appear at the top and fades to an all black screen.</t>
  </si>
  <si>
    <t>v_-Pa52Pf_Raw</t>
  </si>
  <si>
    <t>A young woman is sitting in the doorway of a building.</t>
  </si>
  <si>
    <t>She is staring at the camera.</t>
  </si>
  <si>
    <t>She keeps taking puffs from a cigarette as she sits.</t>
  </si>
  <si>
    <t>v_hMUoeOFmquI</t>
  </si>
  <si>
    <t>A news segment begins and black and white picture of a smiling girl appears on the screen and the banner on the screen says "HENRICO TEEN DIES AFTER RACE FATHER RECOUNTS DAUGHTER'S FINAL MOMENTS".</t>
  </si>
  <si>
    <t>The newscaster appears with her parents talking about the girl while clips of the race play, and still shot pictures of the girl appear on the camera.</t>
  </si>
  <si>
    <t>When the pictures and video clips of the interview and race are over, the newscaster is speaking alone back at the news station.</t>
  </si>
  <si>
    <t>v_fkmYC91-biI</t>
  </si>
  <si>
    <t>Two little kids are sitting indian style on the carpet inside the house,they have a hookah and are smoking it.</t>
  </si>
  <si>
    <t>They take turns inhaling and exhaling the smoke.</t>
  </si>
  <si>
    <t>They exhale from their nose like they do it often and have been trained like little pros.</t>
  </si>
  <si>
    <t>It is very sad these children are allowed to do this like its normal, they seem to enjoy it too.</t>
  </si>
  <si>
    <t>v_TFkI_wKMypE</t>
  </si>
  <si>
    <t>Two girls are seen speaking to the camera with one giving a thumbs up.</t>
  </si>
  <si>
    <t>The girls then play a game of hop scotch with each other and high giving one another in the end.</t>
  </si>
  <si>
    <t>v_K757XUwinrc</t>
  </si>
  <si>
    <t>A woman is seen holding onto a brush and grabbing a brush.</t>
  </si>
  <si>
    <t>Another girl brushes through her hair while the camera pans her movements.</t>
  </si>
  <si>
    <t>She continues brushing the other's hair while looking to the camera.</t>
  </si>
  <si>
    <t>v_luDywPbDOEQ</t>
  </si>
  <si>
    <t>We see a white title screen.</t>
  </si>
  <si>
    <t>We then see a lady moping and wringing the mop by hand.</t>
  </si>
  <si>
    <t>We see a bucket which rings a round mop without touching it.</t>
  </si>
  <si>
    <t>A lady changes the mop head with her foot.</t>
  </si>
  <si>
    <t>Three ladies give endorsements and we see them using the mop.</t>
  </si>
  <si>
    <t>We then see more of the mop in action.</t>
  </si>
  <si>
    <t>v_oeSyeZqlC1g</t>
  </si>
  <si>
    <t>People sits on steps, after people are on boats in a river.</t>
  </si>
  <si>
    <t>An adult and several teen in canoes holds paddles.</t>
  </si>
  <si>
    <t>The man shows the teens how to move the oars.</t>
  </si>
  <si>
    <t>The teens follow the instructions of the man and row the oars.</t>
  </si>
  <si>
    <t>v_sax2PjbeLdk</t>
  </si>
  <si>
    <t>There are shoes placed on the floor just lying there.</t>
  </si>
  <si>
    <t>Someone puts their feet into one of their shoes very slowly.</t>
  </si>
  <si>
    <t>They begin to buckle the straps on the left shoe.</t>
  </si>
  <si>
    <t>Then they put their foot more securely into the right shoe, finally bucking the straps on that shoe too.</t>
  </si>
  <si>
    <t>v_f-r9g_-5huM</t>
  </si>
  <si>
    <t>A man and woman are talking.</t>
  </si>
  <si>
    <t>A man starts playing a harmonica.</t>
  </si>
  <si>
    <t>The crowd watches him play.</t>
  </si>
  <si>
    <t>v_RTIzzeNaH2Q</t>
  </si>
  <si>
    <t>A bike is being shown in the narrow walkway.</t>
  </si>
  <si>
    <t>An old man wearing gray shirt is putting on and screwing the black handle bars in the front of the bike, then put the front wheel of the bike, tighten the screw, and lastly he put the seat on.</t>
  </si>
  <si>
    <t>v_DOfpOkDHe_8</t>
  </si>
  <si>
    <t>A girl is standing in her home with her hands behind her back and her legs shoulder width apart.</t>
  </si>
  <si>
    <t>The girl then firmly drops her hands to her side, brings her feet together and does a bow and continues to do a routine of various karate moves.</t>
  </si>
  <si>
    <t>The girl ends her routing a little further from the point she started and firmly drops her hands to her side and does a little bow, then opens her legs shoulder length apart and goes back into the same position as she was in when she started.</t>
  </si>
  <si>
    <t>After she is done holding the position for a while the girl relaxes and then walks away.</t>
  </si>
  <si>
    <t>v_DxtISmKol2I</t>
  </si>
  <si>
    <t>Two people are seen kneeling down before a board and pushing down objects.</t>
  </si>
  <si>
    <t>Other people watch on the side as the two robots begin to attack one another.</t>
  </si>
  <si>
    <t>One pushes the other off the side and the men put the robots back to battle several more.</t>
  </si>
  <si>
    <t>v_ig8RaXkocJ0</t>
  </si>
  <si>
    <t>A man has his hands in the air.</t>
  </si>
  <si>
    <t>Two wrestlers are shown jumping into the ring.</t>
  </si>
  <si>
    <t>They collapse as different people do the same jump.</t>
  </si>
  <si>
    <t>v_-BVpaPkee2I</t>
  </si>
  <si>
    <t>An athletic woman is seen talking to the camera and leads into her teaching a cycling class with others.</t>
  </si>
  <si>
    <t>More shots of her leading are shown in different areas.</t>
  </si>
  <si>
    <t>v_VsFHNZHhNwI</t>
  </si>
  <si>
    <t>A lady sits in the shower washing a fluffy dog.</t>
  </si>
  <si>
    <t>The lady leans over the dog and washes his front paw on the left.</t>
  </si>
  <si>
    <t>v_SI0GumzxYt4</t>
  </si>
  <si>
    <t>A camera follows around a small boat that is moving along the water as well as landscapes.</t>
  </si>
  <si>
    <t>The camera zooms in on the boat and shows people riding inside.</t>
  </si>
  <si>
    <t>v_QHd9bJOuvIU</t>
  </si>
  <si>
    <t>A man is walking up a ladder to a roof.</t>
  </si>
  <si>
    <t>He is standing in front of a house talking.</t>
  </si>
  <si>
    <t>Men are putting new shingles onto a roof.</t>
  </si>
  <si>
    <t>v_4chhQzVxWkA</t>
  </si>
  <si>
    <t>A baby is swimming in a pool on its back.</t>
  </si>
  <si>
    <t>The baby is kicking its feet in the water.</t>
  </si>
  <si>
    <t>Someone's hand is holding that baby in the water.</t>
  </si>
  <si>
    <t>v_pjF6uBZHVRE</t>
  </si>
  <si>
    <t>The starting list for the men's pole vault event is displayed over the background of the competition area.</t>
  </si>
  <si>
    <t>Multiple vaulters attempt to vault, one after another, some successfully and some not.</t>
  </si>
  <si>
    <t>The camera cuts to a man wiping his face with a towel, then a quick shot of the last vault attempt, then a quick shot of another man walking away from the camera.</t>
  </si>
  <si>
    <t>Another man in white and blue vaults and is successful.</t>
  </si>
  <si>
    <t>The camera cuts to four other competitors watching.</t>
  </si>
  <si>
    <t>The camera cuts to a man in white and blue celebrating while holding a flag against his black.</t>
  </si>
  <si>
    <t>The man who celebrated is being interviewed.</t>
  </si>
  <si>
    <t>A different competitor, wearing red, is being interviewed.</t>
  </si>
  <si>
    <t>v_UMS4-qifK9A</t>
  </si>
  <si>
    <t>A man sits down in front of a bed.</t>
  </si>
  <si>
    <t>He starts to play an electric guitar.</t>
  </si>
  <si>
    <t>He finishes playing and stands up.</t>
  </si>
  <si>
    <t>v_xNiYjTyCTtg</t>
  </si>
  <si>
    <t>Two girls are standing in a shop and hug each other.</t>
  </si>
  <si>
    <t>The two girls acknowledge the girl holding the camera.</t>
  </si>
  <si>
    <t>They each show their ears that they are wanting to be pierced.</t>
  </si>
  <si>
    <t>The woman working in the shop straightens the girls head and marks her ear and pierces her right ear, as the girl makes faces.</t>
  </si>
  <si>
    <t>The woman looks shocked as the worker talks to her and holds the mirror for h er to see the ear.</t>
  </si>
  <si>
    <t>To be continued is shown on the screen.</t>
  </si>
  <si>
    <t>The girl shows her ear as she sits in the chair and tries not to cry as the camera zooms in on her ear.</t>
  </si>
  <si>
    <t>v_HrWr7FmBYn4</t>
  </si>
  <si>
    <t>A woman is seen speaking to a camera and leads into herself with wet hair and brushing it through.</t>
  </si>
  <si>
    <t>Her hair is snow dry and she puts clips into her hair and begins curling.</t>
  </si>
  <si>
    <t>She continues curling the ends of her hair and runs her fingers through in the end and smiles at the camera while giving a thumbs up.</t>
  </si>
  <si>
    <t>v_4S5ethZhgqs</t>
  </si>
  <si>
    <t>A big green garbage can is pushed up against a brick wall and a reindeer jumps out drinking from a coffee cup.</t>
  </si>
  <si>
    <t>The reindeer continues to drink out of the coffee cup and eventually falls out of over the garbage can.</t>
  </si>
  <si>
    <t>v_uPqh5uA1mhA</t>
  </si>
  <si>
    <t>The screen shows the words Shot Put Men.</t>
  </si>
  <si>
    <t>Kurt Roberts, in a yellow top, throws the ball and a man rushes to measure the throw.</t>
  </si>
  <si>
    <t>Kurt drinks from a Gatorade bottle.</t>
  </si>
  <si>
    <t>Reese Hoffa steps up and throws the ball and a man rushes to measure the throw.</t>
  </si>
  <si>
    <t>Reese adjusts his shirt and waits for his score.</t>
  </si>
  <si>
    <t>Davis Storl sits and is featured on the screen.</t>
  </si>
  <si>
    <t>He then throws the ball and the man rushes to measure the distance.</t>
  </si>
  <si>
    <t>He is shown standing with his team and an instant replay of the throw is shown.</t>
  </si>
  <si>
    <t>The score is shown on the screen.</t>
  </si>
  <si>
    <t>Fans are shown doing the wave.</t>
  </si>
  <si>
    <t>v_DJ5tenTs0A0</t>
  </si>
  <si>
    <t>A child ski on the snow holding two poles and wearing skies.</t>
  </si>
  <si>
    <t>Adults ski behind the child.</t>
  </si>
  <si>
    <t>Then the child stops, then start to walk until start sliding on the hill.</t>
  </si>
  <si>
    <t>v_2Mw-3jScc0M</t>
  </si>
  <si>
    <t>An aerial view of a field and animals is shown.</t>
  </si>
  <si>
    <t>People mill around a dartboard and then start doing lumberjack things with logs.</t>
  </si>
  <si>
    <t>A boat is prepared and the group starts water skiing, wakeboarding, and the like.</t>
  </si>
  <si>
    <t>At the end, people relax on the boat.</t>
  </si>
  <si>
    <t>v_yJ5zO0T9jgk</t>
  </si>
  <si>
    <t>People are playing badminton on a court.</t>
  </si>
  <si>
    <t>An audience is watching them play.</t>
  </si>
  <si>
    <t>A cartoon of people playing the game is shown.</t>
  </si>
  <si>
    <t>A man in a blue sweater is talking to the camera.</t>
  </si>
  <si>
    <t>v_m0_F34CgAco</t>
  </si>
  <si>
    <t>The baker is putting a safe ring on a silicone molder.</t>
  </si>
  <si>
    <t>The baker pour the batter in the purple molder, then he place a silicone tray in the oven and put the cake in the oven.</t>
  </si>
  <si>
    <t>The baker turn over the cake in the plate and put icing and fruits on top.</t>
  </si>
  <si>
    <t>The baker put safety ling on the molder, put jelly in it, then he put the jelly off the molder.</t>
  </si>
  <si>
    <t>The baker made popsicles and cake decorations and chocolates using the molder.</t>
  </si>
  <si>
    <t>v_Lh-cI4M0dNw</t>
  </si>
  <si>
    <t>A man is seen riding along on a horse and then ropes a calf while others watch.</t>
  </si>
  <si>
    <t>The man then ties up the calf and climbs up on the horse and others step into the ring.</t>
  </si>
  <si>
    <t>v_2_tzemKY72E</t>
  </si>
  <si>
    <t>A female gymnast is shown in a photograph.</t>
  </si>
  <si>
    <t>She is then shown preparing and then mounting a high beam.</t>
  </si>
  <si>
    <t>She flips and turns on the beam, changing between two beams.</t>
  </si>
  <si>
    <t>She dismounts, throwing her arms into the air triumphantly.</t>
  </si>
  <si>
    <t>v_Hg1tl2hFWGc</t>
  </si>
  <si>
    <t>a child is sitting on a counter with a container of water colors.</t>
  </si>
  <si>
    <t>She is using a paint brush to apply the paints to her face.</t>
  </si>
  <si>
    <t>She then starts putting the paint all over her chest.</t>
  </si>
  <si>
    <t>v_l8boztVhl7w</t>
  </si>
  <si>
    <t>A countdown is shown that leads into a person scoring a basket in a game.</t>
  </si>
  <si>
    <t>More text are shown counting down a list and showing another person scoring a point.</t>
  </si>
  <si>
    <t>Several more shots are shown of people performing impressive sport tactics while the list counts down.</t>
  </si>
  <si>
    <t>v_U2-GFZxIufw</t>
  </si>
  <si>
    <t>A boat goes on to a lake with a rope behind it.</t>
  </si>
  <si>
    <t>A boy grabs the rope and goes in the water after the boat.</t>
  </si>
  <si>
    <t>The boat begins to speed up.</t>
  </si>
  <si>
    <t>The boy is brought to his feet and begins to water ski.</t>
  </si>
  <si>
    <t>v_3MqnXsnEAkM</t>
  </si>
  <si>
    <t>A man walks onto a mat and lifts a large weight over his head.</t>
  </si>
  <si>
    <t>A man in a red shirt is sitting down.</t>
  </si>
  <si>
    <t>A man walks up and lifts a large weight over his head and drops it on the ground.</t>
  </si>
  <si>
    <t>Another man comes onto the mat and lifts a weight over their head.</t>
  </si>
  <si>
    <t>v_7VvcQNSAd24</t>
  </si>
  <si>
    <t>A man is seen standing in front of a mirror holding a razor.</t>
  </si>
  <si>
    <t>He then begins shaving his face while still looking in the mirror.</t>
  </si>
  <si>
    <t>He finishes shaving his face and looks back smiling at the camera.</t>
  </si>
  <si>
    <t>v_7ftCKS5SCCk</t>
  </si>
  <si>
    <t>little girl with long hair is dancing in a living room with a lot of boots and shoes on the floor, she put them on and take it off.</t>
  </si>
  <si>
    <t>girl is on skateboard in the living room and to the room again.</t>
  </si>
  <si>
    <t>little girl is in library and grab something and then starts dancing in the room.</t>
  </si>
  <si>
    <t>v_LGku-onF4VI</t>
  </si>
  <si>
    <t>People are sitting behind large drums.</t>
  </si>
  <si>
    <t>They start playing the drums with their hands.</t>
  </si>
  <si>
    <t>People stand on the street watching them.</t>
  </si>
  <si>
    <t>A man picks up his chair and turns it upside down on the drums.</t>
  </si>
  <si>
    <t>v_p8_hwwgyoZE</t>
  </si>
  <si>
    <t>A man and woman are on a stage together.</t>
  </si>
  <si>
    <t>They quickly play drums before a crowd.</t>
  </si>
  <si>
    <t>An older man is then seen also playing drums.</t>
  </si>
  <si>
    <t>v_vgO3mzJGbSI</t>
  </si>
  <si>
    <t>A camera pans around a shop and pans back to a girl talking.</t>
  </si>
  <si>
    <t>She points to her face multiple times and gives a little tour of her room.</t>
  </si>
  <si>
    <t>She continues talking to the camera and eventually shows footage of her getting her nose pierced.</t>
  </si>
  <si>
    <t>She apears back in the room with the pierced nose and shows off a drink and sushi.</t>
  </si>
  <si>
    <t>Finally she shows a book as well as a bag with white powder and herself in a pony tail.</t>
  </si>
  <si>
    <t>v__jT57LdAHUs</t>
  </si>
  <si>
    <t>A man talks on front the drummer and holding two sticks.</t>
  </si>
  <si>
    <t>The man pretends to play the drums, and then continues talking.</t>
  </si>
  <si>
    <t>v_modITAJlP_0</t>
  </si>
  <si>
    <t>A woman wearing light blue tank top and black shorts is exercising on an elliptical.</t>
  </si>
  <si>
    <t>She continues walking on the elliptical as she moves her hands forward and backwards.</t>
  </si>
  <si>
    <t>She then finishes her exercise routine, gets off the equipment and takes a drink of water from a blue water bottle.</t>
  </si>
  <si>
    <t>She walks away holding the bottle in her hand.</t>
  </si>
  <si>
    <t>v_Bdpqtvdx2T8</t>
  </si>
  <si>
    <t>We see a little girl painting a fence red.</t>
  </si>
  <si>
    <t>The girl puts more paint on her brush.</t>
  </si>
  <si>
    <t>The girl fills her brush again.</t>
  </si>
  <si>
    <t>We see the fence and an adult shows her how to paint.</t>
  </si>
  <si>
    <t>The adult points at a missed spot.</t>
  </si>
  <si>
    <t>v_qfCqVXhNPE8</t>
  </si>
  <si>
    <t>A woman with black hair is explaining something.</t>
  </si>
  <si>
    <t>The woman pulls out a container with hair rolls.</t>
  </si>
  <si>
    <t>The woman pulls out a bottle of shampoo.</t>
  </si>
  <si>
    <t>The woman rolls her hair and pins it in place and leaves it for ten minutes.</t>
  </si>
  <si>
    <t>The women removes the rolls from her hair.</t>
  </si>
  <si>
    <t>The woman takes out hair spray and sprays it on her hair.</t>
  </si>
  <si>
    <t>v_0IxId05Eo6k</t>
  </si>
  <si>
    <t>There are a lot of people indoors in a large building walking, or hanging out, and the banner below say's "WHAT IN THE WORLD? China's National Tug-of-War Championships" and he logo on the right say's "east SPORTS WEST".</t>
  </si>
  <si>
    <t>There are two sets of people along a rope and they are separated in the middle by referees.</t>
  </si>
  <si>
    <t>They take a bow, pick up the rope, and each team begins to tug on the rope until a winner is called.</t>
  </si>
  <si>
    <t>A woman referee is now standing with her two arms up and she lets them down to indicate that the two teams can start tugging on the rope, and they do until she blows a whistle to indicate the winner.</t>
  </si>
  <si>
    <t>Two short clips play and it shows a womens tug-of-war match, then a mens but it doesn't show much and then it goes straight to outdoor shots of the city and text on the screen appear with the network logo, website, and rights of the video.</t>
  </si>
  <si>
    <t>v_98MoyGZKHXc</t>
  </si>
  <si>
    <t>A man drives a car, the car stops with a flat tire.</t>
  </si>
  <si>
    <t>The man turn off the emergency lights, and then uses a repair kit to inflate the tire.</t>
  </si>
  <si>
    <t>Then, the man advance the car a little and the tire inflates.</t>
  </si>
  <si>
    <t>After, the man drives his car.</t>
  </si>
  <si>
    <t>v_6I1aP4O04R8</t>
  </si>
  <si>
    <t>A large pile of leaves are seen blowing around a yard as a person uses a tool to push them along.</t>
  </si>
  <si>
    <t>The camera continues to capture the man blowing the leaves and uses several camera effects on the frames.</t>
  </si>
  <si>
    <t>v_6qghJRLpHpo</t>
  </si>
  <si>
    <t>A small group of people are seen riding kayaks down a rough river with one person performing a flip in the water.</t>
  </si>
  <si>
    <t>The person performs several more flips with the camera captures him from far away.</t>
  </si>
  <si>
    <t>v_lZ2X-e33E0A</t>
  </si>
  <si>
    <t>We see the opening title screens.</t>
  </si>
  <si>
    <t>A man walks into a room and grabs a bucket and returns with it.</t>
  </si>
  <si>
    <t>We see a man in a bright shirt mix plaster in a bucket and spread it on a wall.</t>
  </si>
  <si>
    <t>The man adds more plaster to his base and spreads it on the wall.</t>
  </si>
  <si>
    <t>v_teZ99ahe1zY</t>
  </si>
  <si>
    <t>Various people are shown riding around on horses holding sticks in the air and riding around one another.</t>
  </si>
  <si>
    <t>People walk in and out of frame and the people continue moving around on horses.</t>
  </si>
  <si>
    <t>v_iTc3UCWgUF0</t>
  </si>
  <si>
    <t>A man sits down in a chair putting his sneakers on and points to a fox running in.</t>
  </si>
  <si>
    <t>The fox stands by the man and jumps up and down on his lap while he continues to put his shoes on.</t>
  </si>
  <si>
    <t>v__rs8dhCdI1w</t>
  </si>
  <si>
    <t>A person puts tape on a leather sofa to form a square.</t>
  </si>
  <si>
    <t>Then, the person apply foam to a sponge and cleans inside the square.</t>
  </si>
  <si>
    <t>After, the person clean with a cloth and peels the tape.</t>
  </si>
  <si>
    <t>Next, the person cleans all the sofa putting foam on a cloth and rubbing the sofa.</t>
  </si>
  <si>
    <t>v_9xtYwXpaiZ0</t>
  </si>
  <si>
    <t>A shoe polishing machine sits in a living room.</t>
  </si>
  <si>
    <t>A man walks up to the shoe polishing machine a turns it on.</t>
  </si>
  <si>
    <t>The man wearing blue jeans begins bushing his black shoes.</t>
  </si>
  <si>
    <t>The man then begins brushing and polishing his brown shoes.</t>
  </si>
  <si>
    <t>The man approaches the shoe polishing machine and brushes his grey sneakers.</t>
  </si>
  <si>
    <t>The man crouches down and pulls out a dust bin from under the polishing machine.</t>
  </si>
  <si>
    <t>v_fJMVz_TBWU0</t>
  </si>
  <si>
    <t>A large group of people are seen standing in a crowd when a man holding a set of bag pipes walks up and gives everyone the devil horns.</t>
  </si>
  <si>
    <t>They give the horns back and the man plays while walking up and down the stage.</t>
  </si>
  <si>
    <t>v_NVWk38z7f4U</t>
  </si>
  <si>
    <t>Several signs for tattoo shops are shown, along with a girl speaking to the camera.</t>
  </si>
  <si>
    <t>She shows off the tattoo she wants to get.</t>
  </si>
  <si>
    <t>The woman sits in a chair as a tattoo artist makes a snowflake on her arm.</t>
  </si>
  <si>
    <t>She talks to the camera the entire time as he inks her.</t>
  </si>
  <si>
    <t>Afterward, she shows off her completed tattoo and speaks about it.</t>
  </si>
  <si>
    <t>v_c-TD6-GESQk</t>
  </si>
  <si>
    <t>A man is standing in a gym.</t>
  </si>
  <si>
    <t>He bends down and picks up a large weight.</t>
  </si>
  <si>
    <t>He sets it down and talks to the camera.</t>
  </si>
  <si>
    <t>v_z93quI8Gxx4</t>
  </si>
  <si>
    <t>The woman is riding a camel as she talks to the camera.</t>
  </si>
  <si>
    <t>A man is guiding the camel and giving the camel food.</t>
  </si>
  <si>
    <t>The woman is reporting while she is on the back of the camel.</t>
  </si>
  <si>
    <t>v_rrNJt73BG_8</t>
  </si>
  <si>
    <t>A person opens a faucet and wet the hands.</t>
  </si>
  <si>
    <t>The person uses soap to rub vigorously the hands.</t>
  </si>
  <si>
    <t>After, the person rinse the hand thoroughly with plenty water.</t>
  </si>
  <si>
    <t>After the person dry the hands with a clean towel, and turns the the sink using the towel.</t>
  </si>
  <si>
    <t>v_q2-2jIQGfvg</t>
  </si>
  <si>
    <t>The words "speed cubing 53 sec" appear on a black screen.</t>
  </si>
  <si>
    <t>A young man sits at a table and starts playing with a Rubik's Cube.</t>
  </si>
  <si>
    <t>The man solves the puzzle completing all sides of the cube and the screen goes black.</t>
  </si>
  <si>
    <t>v_SFDvkbDZTjA</t>
  </si>
  <si>
    <t>A cat is scratching its paws on the carpet.</t>
  </si>
  <si>
    <t>A man holds the cats paw and starts clipping its nails.</t>
  </si>
  <si>
    <t>He holds the cat outside.</t>
  </si>
  <si>
    <t>v_TFdv2VQ8-Hg</t>
  </si>
  <si>
    <t>A group of people gather on a tarmac.</t>
  </si>
  <si>
    <t>They board the plane before taking off, showing the runway and clouds in the sky.</t>
  </si>
  <si>
    <t>They are in an airport, then driving down the road.</t>
  </si>
  <si>
    <t>Finally they are riding a boat in the coean, looking at a map and chartering the waters.</t>
  </si>
  <si>
    <t>They go surfing in the large waves.</t>
  </si>
  <si>
    <t>v_on2DKKcvWhE</t>
  </si>
  <si>
    <t>An introduction comes onto the screen for a video that will show a demo of some janitorial products.</t>
  </si>
  <si>
    <t>A man on the screen begins to describe a mop and bucket set that are used for cleaning floors.</t>
  </si>
  <si>
    <t>He then begins to demonstrate how to use the mop and bucket set.</t>
  </si>
  <si>
    <t>Next he shows the buckets close up and begins to describe how to use the buckets.</t>
  </si>
  <si>
    <t>At the end of the video the closing credits are shown.</t>
  </si>
  <si>
    <t>v_FBtrv1Vg8hU</t>
  </si>
  <si>
    <t>A young woman on a white horse is shown riding through the field.</t>
  </si>
  <si>
    <t>The lady is then shown exercising on a blue mat doing several yoga stretches.</t>
  </si>
  <si>
    <t>After,she is pictured in her home talking while sitting on the couch.</t>
  </si>
  <si>
    <t>Finally,the screen returns and she is shown in horseback riding in the field going through the stable.</t>
  </si>
  <si>
    <t>v_clUgEizjVkM</t>
  </si>
  <si>
    <t>A small group of people are seen skating around the ice playing a game of hockey against one another.</t>
  </si>
  <si>
    <t>One member scores as the camera pans around them and a man watching.</t>
  </si>
  <si>
    <t>v_PZ4miMXdjHE</t>
  </si>
  <si>
    <t>A man is seen standing in a large pit with a group of children and teaching them how to stand.</t>
  </si>
  <si>
    <t>The kids then get powder on their hands and the man chases them around and has fun.</t>
  </si>
  <si>
    <t>v_8NcRuVMSQLs</t>
  </si>
  <si>
    <t>The camera pans around an athletic woman standing ready and others watching her on the side.</t>
  </si>
  <si>
    <t>She jumps high over a pole and walks away as her jump is shown again in slow motion and another runner steps up.</t>
  </si>
  <si>
    <t>Several more women are shown jumping over the beam while their scores are shown immediately afterwards.</t>
  </si>
  <si>
    <t>v_nEv28s46Kvo</t>
  </si>
  <si>
    <t>We see an opening screen as a black and white film.</t>
  </si>
  <si>
    <t>We then see people putting on fencing gear.</t>
  </si>
  <si>
    <t>The two men fence in between title screens.</t>
  </si>
  <si>
    <t>The men switch from outdoors to indoors.</t>
  </si>
  <si>
    <t>We see a man's helmet.</t>
  </si>
  <si>
    <t>We see a men fighting in slow motion.</t>
  </si>
  <si>
    <t>The men finish and walk away from each other.</t>
  </si>
  <si>
    <t>v_HRjSOacCdWI</t>
  </si>
  <si>
    <t>A man picks up a heavy weight.</t>
  </si>
  <si>
    <t>He drops it to the ground.</t>
  </si>
  <si>
    <t>v_rX2tRvv2ZfU</t>
  </si>
  <si>
    <t>There's a woman dressed in a brown dress standing next to another lady in blue who is demonstrating a recipe.</t>
  </si>
  <si>
    <t>They are standing next to the kitchen counter that has several bowls filled with various ingredient in it.</t>
  </si>
  <si>
    <t>The chef is talking about the recipes that the ingredients are used for.</t>
  </si>
  <si>
    <t>There's a white plate with shredded meat on the kitchen counter.</t>
  </si>
  <si>
    <t>The chef then picks up the meat plate and gives it to the lady in brown.</t>
  </si>
  <si>
    <t>The presenter then empties the meat into a blue bowl.</t>
  </si>
  <si>
    <t>The chef continues to explain the recipe.</t>
  </si>
  <si>
    <t>Then they add some chopped cucumber to the blue bowl and mix it with a spoon.</t>
  </si>
  <si>
    <t>The chef shows the cucumbers she has used in the salad.</t>
  </si>
  <si>
    <t>Then they add chopped cherry tomatoes, followed by sliced white onions and some leafy greens.</t>
  </si>
  <si>
    <t>Then they add some more garnishing on top of the salad.</t>
  </si>
  <si>
    <t>v_ilE77hVgjjo</t>
  </si>
  <si>
    <t>A girl moves around an indoor playground.</t>
  </si>
  <si>
    <t>The girl slides down and climbs up a slide with boy.</t>
  </si>
  <si>
    <t>A finger touches the girls hair and head.</t>
  </si>
  <si>
    <t>v_VLQQVNIZQqo</t>
  </si>
  <si>
    <t>A man holds a hummer sits on the ground.</t>
  </si>
  <si>
    <t>Then, the man spins the hammer several times and throw it far.</t>
  </si>
  <si>
    <t>Other man perform the hammer throw while people watch.</t>
  </si>
  <si>
    <t>v_uWnlmM2uOs4</t>
  </si>
  <si>
    <t>There are many people in bathing suits standing in a lake with motor boats behind them.</t>
  </si>
  <si>
    <t>One girl wearing a bikini and holding a Coke can in her hand is rubbing sunscreen on another woman's chest.</t>
  </si>
  <si>
    <t>There are some men standing in swim trunks behind them, talking to each other.</t>
  </si>
  <si>
    <t>v_ZuHwSBCjfds</t>
  </si>
  <si>
    <t>News clippings of a water polo player are shown, as well as images and stills.</t>
  </si>
  <si>
    <t>We then see the water polo games in video, as the players try to lob the ball into a net.</t>
  </si>
  <si>
    <t>The people fight over the ball, and a small crowd claps and cheers.</t>
  </si>
  <si>
    <t>v_eXK0iVPl1j8</t>
  </si>
  <si>
    <t>A crowd is gathered around a black tiled area.</t>
  </si>
  <si>
    <t>A man in black does some breakdance moves.</t>
  </si>
  <si>
    <t>He then trades off with a man in white, Several breakdancers trade off displaying moves as the crowd looks on.</t>
  </si>
  <si>
    <t>Finally, the last breakdancer finishes his routine.</t>
  </si>
  <si>
    <t>v_MewROhYmQP0</t>
  </si>
  <si>
    <t>A polo match is being held outdoors in a field.</t>
  </si>
  <si>
    <t>A player on a horse hits the ball.</t>
  </si>
  <si>
    <t>A wide shot of the polo field action is shown.</t>
  </si>
  <si>
    <t>v_Mu8-AwcMqaw</t>
  </si>
  <si>
    <t>A young woman is seen speaking to the camera and leads into her showing off her hair then tying it into a ponytail.</t>
  </si>
  <si>
    <t>She sprays down her hair and then braids her bangs followed by pushing the braid back into a ponytail.</t>
  </si>
  <si>
    <t>She puts a bow in her hair in the end and smiles off to the camera.</t>
  </si>
  <si>
    <t>v_uzXbaoWOm5o</t>
  </si>
  <si>
    <t>A white screen appears and happy faces are displayed and black text words read "happyface Entertainment".</t>
  </si>
  <si>
    <t>There are two Asian women standing face to face very close to one another and talking about a can while subtitles show up at the bottom.</t>
  </si>
  <si>
    <t>The woman holding the bottle on the right tries to unscrew the bottle open and has a hard time so someone reaches in and opens it for her and hands it back.</t>
  </si>
  <si>
    <t>The women laugh, smell the contents in the bottle and the brunette tastes a little bit of it and they both laugh.</t>
  </si>
  <si>
    <t>v_li16LYa7us8</t>
  </si>
  <si>
    <t>A black screen appears with the white letters and numbers that say EXAM 2012.</t>
  </si>
  <si>
    <t>An outdoor of a two story older building is shown and the white letters on the screen say Bolshoi Ballet Academy.</t>
  </si>
  <si>
    <t>A blonde woman is shown sitting at a piano and as she begins to play a bunch of young women are shown dressed in their ballet gear and are dancing ballet on a stage while people watch them.</t>
  </si>
  <si>
    <t>Some of the girls are shown putting on tutus that stick straight out, they walk onto the stage and begin dancing as their tutus that stick straight out bounce with them.</t>
  </si>
  <si>
    <t>The women end their ballet routine, and they all walk to the side of the stage to grab the hand of the woman, they all routine to the stage, take a bow, and all the ballet dances celebrate their performance and give on another hugs.</t>
  </si>
  <si>
    <t>v_u024Wa07GNs</t>
  </si>
  <si>
    <t>A sandwich is sitting on a counter.</t>
  </si>
  <si>
    <t>There are many vegetables around the sandwich.</t>
  </si>
  <si>
    <t>A person puts cucumbers on top of the sandwich.</t>
  </si>
  <si>
    <t>v_en6lOb4wRUU</t>
  </si>
  <si>
    <t>A man is shown smoking a cigarette continuously blowing smoke out of his mouth and looking into the camera.</t>
  </si>
  <si>
    <t>He puts sunglasses on and continues taking puffs off the cigarette.</t>
  </si>
  <si>
    <t>He pans the camera to a crack in the floor and back to his face smoking outside.</t>
  </si>
  <si>
    <t>v_KCxa27MM7Cg</t>
  </si>
  <si>
    <t>Two small children as seen sitting at a table laughing with one another.</t>
  </si>
  <si>
    <t>One girl is seen painting another's nails while she looks off into the distance.</t>
  </si>
  <si>
    <t>The girl continues painting the others' nails while she laughs into the camera.</t>
  </si>
  <si>
    <t>v_fCE3Eo7_Nmw</t>
  </si>
  <si>
    <t>A person takes a knife and cut the ends of a potato, then the person peels the potato.</t>
  </si>
  <si>
    <t>After, the person cut the potato in squares.</t>
  </si>
  <si>
    <t>v_LnqAgjTpi0k</t>
  </si>
  <si>
    <t>We see a pink opening scene.</t>
  </si>
  <si>
    <t>A lady walks up stairs and people are gathered in a plaza outdoors.</t>
  </si>
  <si>
    <t>We see a race banner and people moving under the banner.</t>
  </si>
  <si>
    <t>Runners are running down a city street in a marathon.</t>
  </si>
  <si>
    <t>We see a stadium like structure a km 8.</t>
  </si>
  <si>
    <t>We see a fountain spraying water.</t>
  </si>
  <si>
    <t>A mariachi band sits on the sidewalk playing music followed by drummers.</t>
  </si>
  <si>
    <t>We see the end and a cup of coffee and a medal.</t>
  </si>
  <si>
    <t>A lady photo shops her picture in with the mariachi band.</t>
  </si>
  <si>
    <t>v_exPOJAoyG7Q</t>
  </si>
  <si>
    <t>There's a girl talking about cheer leading, gymnastics and tumbling.</t>
  </si>
  <si>
    <t>She is demonstrating how to do somersaults, cartwheels, round off and back and front walkover.</t>
  </si>
  <si>
    <t>She also shows various other moves like aerial, tic- toc and back handspring.</t>
  </si>
  <si>
    <t>She continues to demonstrate several other gymnastic moves by swiftly moving her body through front flips.</t>
  </si>
  <si>
    <t>v_4Xvn1xXvYdU</t>
  </si>
  <si>
    <t>A man in brown jacket is pulling out an arrow from the target board, then he was talking to the camera, then he pull out his bow and started to use it with his bow to hit the target board, he fired his bows several times.</t>
  </si>
  <si>
    <t>The man went to the target board and talked to the camera.</t>
  </si>
  <si>
    <t>v_5j6j4NJkUXA</t>
  </si>
  <si>
    <t>A boy is shown swinging on a piece of gymnastic equipment with others training in the background.</t>
  </si>
  <si>
    <t>The camera shows several shots of different boys swinging on the equipment around and around with the camera panning to different angles.</t>
  </si>
  <si>
    <t>v_Se7eQXlW-BA</t>
  </si>
  <si>
    <t>A man and woman are seen standing on a bowling lane with another reading in the distance.</t>
  </si>
  <si>
    <t>A woman walks in and speaks to the blonde woman and hands her some bowling shoes.</t>
  </si>
  <si>
    <t>The man speaks over and the girl throws the bowling ball with her heels on.</t>
  </si>
  <si>
    <t>v_5c1jHhHUwPI</t>
  </si>
  <si>
    <t>pitcher throw the ball to the batter playing criquet.</t>
  </si>
  <si>
    <t>the batter is fighing with the man and other people trye to calm him down.</t>
  </si>
  <si>
    <t>a lo of people wearing black unifroms are running in the field fighting.</t>
  </si>
  <si>
    <t>v_oEZToisRw4w</t>
  </si>
  <si>
    <t>Various women are seen walking around with shot puts in their hands followed by more shots of athletes walking around, throwing the ball, and waving to the crowd.</t>
  </si>
  <si>
    <t>The video continues on with several different shots of female athletes throwing shot puts as well as cheering to the crowd and moving around.</t>
  </si>
  <si>
    <t>v_KnI7IWbLWmE</t>
  </si>
  <si>
    <t>Two men play bagpipes, while being photographed at an outdoor military and police ceremony with a speaker at a podium surrounded by men in uniform and in front of a formally seated audience.</t>
  </si>
  <si>
    <t>Two men play bagpipes in front of a row of police officers and a man in a military uniform, all as a photographer takes their photo from below.</t>
  </si>
  <si>
    <t>The camera pans to a man in a suit standing at a podium in front of a group of people who are standing along with the rows of people in uniform behind the speaker.</t>
  </si>
  <si>
    <t>The camera then pans to three military planes flying overhead as part of the ceremony before returning to the people, who are standing, in front of the man at the podium.</t>
  </si>
  <si>
    <t>v_LnEed8TnWwk</t>
  </si>
  <si>
    <t>Shots of people standing on the sides are shown as well as a group of girls playing tug of war with one another.</t>
  </si>
  <si>
    <t>Several more shots are shown of girls playing tug of war against one another while people celebrate on the sides as well as with their team mates.</t>
  </si>
  <si>
    <t>v_SMhW9V-cJsQ</t>
  </si>
  <si>
    <t>A man wearing gloves is on his hands and knees using a power tool that is creating sparks.</t>
  </si>
  <si>
    <t>He continues using the object as the camera man watches and finishes burning the object.</t>
  </si>
  <si>
    <t>v_p31a9wkiSHA</t>
  </si>
  <si>
    <t>boy is standing in front of a door talking with other boys in front of a kitchen.</t>
  </si>
  <si>
    <t>man walks to the living room in front of a ping pong table.</t>
  </si>
  <si>
    <t>man are putting the shoes, grabs a skateboard and is skateboarding by a sidewalk with her friends.</t>
  </si>
  <si>
    <t>man is hanging from lianas on a tree on a park.</t>
  </si>
  <si>
    <t>v_lIb8_YksZyg</t>
  </si>
  <si>
    <t>A kid is standing with some men at a chair lift, dressed in ski gear.</t>
  </si>
  <si>
    <t>The boy skis down a hill, but falls down.</t>
  </si>
  <si>
    <t>He then is shown doing a flip in the air, followed by several ramp and flipping tricks.</t>
  </si>
  <si>
    <t>When they are done, they go inside a building.</t>
  </si>
  <si>
    <t>v_zIvC3Yytcv0</t>
  </si>
  <si>
    <t>Various groups of men are shown that leads into a man wearing a uniform and speaking to the camera.</t>
  </si>
  <si>
    <t>He then leads a group of people to play an instrument all together while the camera pans around.</t>
  </si>
  <si>
    <t>v_bESksIhdEvo</t>
  </si>
  <si>
    <t>A man is seen standing in front of a sink scrubbing it down with a sponge.</t>
  </si>
  <si>
    <t>The man continues wiping down the counter while occasionally looking at the camera.</t>
  </si>
  <si>
    <t>v_ynda_PQe_CM</t>
  </si>
  <si>
    <t>Several men are playing indoor soccer.</t>
  </si>
  <si>
    <t>A large crowd watches from the stands.</t>
  </si>
  <si>
    <t>A man wearing yellow kicks the ball into the goal and celebrates with his team before a replay of his goal is shown.</t>
  </si>
  <si>
    <t>The game continues and two men knock each other down before the red team scores a goal and a replay is shown.</t>
  </si>
  <si>
    <t>The yellow team tries to score and is blocked multiple times before finally scoring and a replay of this goal is shown twice.</t>
  </si>
  <si>
    <t>The game continues until the red team scores.</t>
  </si>
  <si>
    <t>A man from each team kicks the ball at the goal, each man gets the ball in the net and it flies back out.</t>
  </si>
  <si>
    <t>The same thing happens for one more man from each team.</t>
  </si>
  <si>
    <t>When the next red team member kicks, the goalie blocks the ball.</t>
  </si>
  <si>
    <t>Another man from each team scores before the goalie blocks a ball kicked by a man in yellow.</t>
  </si>
  <si>
    <t>Another ball from thew red team is blocked and two men from the sidelines in suits jump up and run on to the court and shake hands with a few players.</t>
  </si>
  <si>
    <t>The players celebrate some being followed by a camera.</t>
  </si>
  <si>
    <t>Men in suits hand a trophy to a man in yellow and he holds it over his head with everyone in the background celebrating.</t>
  </si>
  <si>
    <t>v_YW3mCNKVaa4</t>
  </si>
  <si>
    <t>A view is shown of steep mountain snow.</t>
  </si>
  <si>
    <t>Skiers are traveling on a lift.</t>
  </si>
  <si>
    <t>They are sledding on the snow down a steep hill.</t>
  </si>
  <si>
    <t>v_8NfYYT8d3EQ</t>
  </si>
  <si>
    <t>A text that reads "Deeba's Recipe" appears on the screen.</t>
  </si>
  <si>
    <t>The video then cuts to a woman standing behind a table filled with cooking ingredients.</t>
  </si>
  <si>
    <t>She speaks to the camera while showing some of what she has prepped for the dish.</t>
  </si>
  <si>
    <t>She places the various ingredients into a bowl and garnishes it very precisely.</t>
  </si>
  <si>
    <t>She then pours a sauce all over it.</t>
  </si>
  <si>
    <t>She then speaks to the camera some more to offer tips on how to make the dish.</t>
  </si>
  <si>
    <t>Another set of text showing "Deeba's" recipe is shown again.</t>
  </si>
  <si>
    <t>v_Me3ykrZobJE</t>
  </si>
  <si>
    <t>A person is seen holding a wrapped gift and begins wrapping paper around a box.</t>
  </si>
  <si>
    <t>The girl pushes it down on the sides and begins tapping the box.</t>
  </si>
  <si>
    <t>She finishes tapping all around the box and ends by presenting it to the camera.</t>
  </si>
  <si>
    <t>v_IQp6JF5v1qc</t>
  </si>
  <si>
    <t>The screen opens up with an ACDC promo.</t>
  </si>
  <si>
    <t>A little boy is speaking to the camera.</t>
  </si>
  <si>
    <t>The little boy begins to break dance and does many flips.</t>
  </si>
  <si>
    <t>He stands up and begins to rap.</t>
  </si>
  <si>
    <t>v_dHzX9NqyBZw</t>
  </si>
  <si>
    <t>man is standing behind a counte behind the pool.</t>
  </si>
  <si>
    <t>two men are standing on top of trampolines and make a Synchronized jump into the pool.</t>
  </si>
  <si>
    <t>man is going up the stairs to the trampoline.</t>
  </si>
  <si>
    <t>v_So4BX0I1VRI</t>
  </si>
  <si>
    <t>The person is shown knocking down 9 of the bowling pins, which means he has a spare.</t>
  </si>
  <si>
    <t>Next he knocks all of the pins down and gets a strike.</t>
  </si>
  <si>
    <t>v_a_sm5Hv7HNw</t>
  </si>
  <si>
    <t>Three kids are climbing up a mountain with out any rope.</t>
  </si>
  <si>
    <t>Then, they are hanging out in their room laughing and having fun.</t>
  </si>
  <si>
    <t>They're just three best friend doing everything together, walking, shopping, relaxing and climbing mountains.</t>
  </si>
  <si>
    <t>When they get to the top of the mountain they hug each other.</t>
  </si>
  <si>
    <t>v__-M4xNBhSEI</t>
  </si>
  <si>
    <t>A group is playing football on a large field.</t>
  </si>
  <si>
    <t>A green ball suddenly bounces across the fifty yard line.</t>
  </si>
  <si>
    <t>It comes to a stop, and the people back away.</t>
  </si>
  <si>
    <t>v_mc5XVTo5PVk</t>
  </si>
  <si>
    <t>A female gymnast mounts a high beam in front of her coach.</t>
  </si>
  <si>
    <t>She does several flips forward and backward.</t>
  </si>
  <si>
    <t>She dismounts, and he claps as she walks away.</t>
  </si>
  <si>
    <t>v_reit7blyxIo</t>
  </si>
  <si>
    <t>A man is lying in bed under the covers.</t>
  </si>
  <si>
    <t>He sits up on the edge of the bed, scratching his beard.</t>
  </si>
  <si>
    <t>He then stares at the shaver on his table, picking it up.</t>
  </si>
  <si>
    <t>The man shaves his bear, making it much shorter before lying down in bed, cuddling with the bag filled with his beard hair.</t>
  </si>
  <si>
    <t>v_5cTnHXcD7DE</t>
  </si>
  <si>
    <t>A large group of people are seen running down the street while many watch on the sides.</t>
  </si>
  <si>
    <t>Several people are seen speaking to the camera as more shots are shown of people running.</t>
  </si>
  <si>
    <t>People cheer others on on the sides as well as marching bands playing and people still running.</t>
  </si>
  <si>
    <t>v_Ayix_aDOrzs</t>
  </si>
  <si>
    <t>A girl is shown looking at several pictures of hairstyle and leads into another cutting one's hair.</t>
  </si>
  <si>
    <t>The kids sits patiently with a towel on her head and speaking to the camera.</t>
  </si>
  <si>
    <t>A goldfish is shown followed by a man cutting and styling her hair.</t>
  </si>
  <si>
    <t>The man cuts the girl's hair and styles it into an adorable look.</t>
  </si>
  <si>
    <t>The girl smiles and leaves the hair salon looking happy.</t>
  </si>
  <si>
    <t>v_4q7LmVSgIPk</t>
  </si>
  <si>
    <t>A person is talking on camera while showing various tools on the ground.</t>
  </si>
  <si>
    <t>A person is putting objects in front of a tire to move the car.</t>
  </si>
  <si>
    <t>A person drives the car over the object to move it.</t>
  </si>
  <si>
    <t>The tire is now sitting on top of an object and they take it off.</t>
  </si>
  <si>
    <t>A person brings out an old bike and talk about what needs to be done.</t>
  </si>
  <si>
    <t>v_W0RYvQUUNe0</t>
  </si>
  <si>
    <t>The person is parasailing the water.</t>
  </si>
  <si>
    <t>As the person sail, he started to bounce on the water.</t>
  </si>
  <si>
    <t>The person maneuver the sail to turn around.</t>
  </si>
  <si>
    <t>v_SvMIG1JlcMk</t>
  </si>
  <si>
    <t>Women are dancing on a stage.</t>
  </si>
  <si>
    <t>Women are waving flags around behind them.</t>
  </si>
  <si>
    <t>A woman is doing a belly dance in the middle of the stage.</t>
  </si>
  <si>
    <t>v_IeqBzYDyHGQ</t>
  </si>
  <si>
    <t>The video begins with shots of people cheering as well as several shots of players standing on a sand pit.</t>
  </si>
  <si>
    <t>The crowd is seen doing the wave and continues to cheer as the camera shows various clips of a soccer match going on.</t>
  </si>
  <si>
    <t>v_soDdkeamoMM</t>
  </si>
  <si>
    <t>A boy is swinging back and forth.</t>
  </si>
  <si>
    <t>The boy then falls on his face and cries.</t>
  </si>
  <si>
    <t>v_H2-rEH9TXR4</t>
  </si>
  <si>
    <t>A woman in blue shorts hands a man a dart.</t>
  </si>
  <si>
    <t>A man in a white hat throws a dart at a board.</t>
  </si>
  <si>
    <t>The woman walks up to the board.</t>
  </si>
  <si>
    <t>v_ztogHoQpE4A</t>
  </si>
  <si>
    <t>A man is working over the back of a trailer.</t>
  </si>
  <si>
    <t>He is welding the metal between two pieces of wood.</t>
  </si>
  <si>
    <t>Sparks fly as he works, crouching down on the sidewalk.</t>
  </si>
  <si>
    <t>v_rHWOESWciSc</t>
  </si>
  <si>
    <t>A man in a chef's outfit is talking in a kitchen while holding a potato.</t>
  </si>
  <si>
    <t>A man is working behind him as he peels the potato with a tool.</t>
  </si>
  <si>
    <t>He peels extremely fast, finishing in seconds.</t>
  </si>
  <si>
    <t>v_ZjbBmS8Q8kM</t>
  </si>
  <si>
    <t>First different kinds pool balls are shown lined up.</t>
  </si>
  <si>
    <t>Then the boy starts to play pool all by himself with the balls.</t>
  </si>
  <si>
    <t>v_kdQfR6oqJ_M</t>
  </si>
  <si>
    <t>There are several jockey riding brown horses in a stadium during a derby event.</t>
  </si>
  <si>
    <t>There crowd is cheering loudly as they stand with straw hats and umbrellas.</t>
  </si>
  <si>
    <t>The jockeys are getting ready to play polo as they move around with their sticks.</t>
  </si>
  <si>
    <t>A woman cheers loudly in the camera.</t>
  </si>
  <si>
    <t>The jockeys ride slowly around the field.</t>
  </si>
  <si>
    <t>v_fX3tcnTdAN4</t>
  </si>
  <si>
    <t>The boys lacrosse team is shown working out.</t>
  </si>
  <si>
    <t>They are then running drills on the gravel.</t>
  </si>
  <si>
    <t>Next, the team is in a scrimmage on the field.</t>
  </si>
  <si>
    <t>After that they were shown playing an actual game, running back and forth.</t>
  </si>
  <si>
    <t>Lastly a few members are at a professional game.</t>
  </si>
  <si>
    <t>v_1gradpCDbPU</t>
  </si>
  <si>
    <t>A woman is seen bending over a sink with a small child next to her.</t>
  </si>
  <si>
    <t>The woman and child stick their hands under a sink to wash them off.</t>
  </si>
  <si>
    <t>The woman dries the girls hands in the end and shows her putting lotion on.</t>
  </si>
  <si>
    <t>v_zgdT41KjjrE</t>
  </si>
  <si>
    <t>A guy stands next to horses with a clipboard.</t>
  </si>
  <si>
    <t>A guy walks under a horse fence.</t>
  </si>
  <si>
    <t>A person leads a horse.</t>
  </si>
  <si>
    <t>The guy gets on top of the horse.</t>
  </si>
  <si>
    <t>The guy pats the horse and goes horseback riding.</t>
  </si>
  <si>
    <t>People go horseback riding down a trail.</t>
  </si>
  <si>
    <t>v_aRurjtzwmS8</t>
  </si>
  <si>
    <t>A shot of a building leads into a 3d game of men sumo wrestling.</t>
  </si>
  <si>
    <t>The game continues on with the characters fighting and a ref watching on the side.</t>
  </si>
  <si>
    <t>The game ends and shows more pictures of men sumo wrestling and pointing.</t>
  </si>
  <si>
    <t>v_JMIvoKPtxRA</t>
  </si>
  <si>
    <t>A red, white and black intro has a logo and the words and letter W2K15.</t>
  </si>
  <si>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</si>
  <si>
    <t>A new round begins with different characters wrestling and the referee tries to stop them but one of the characters picks the referee up and then slams him to the ground where he lays there for a few seconds.</t>
  </si>
  <si>
    <t>The referee gets up and then kicks one of the characters out of the rink then he drops on the ground to bang his hand on the rink to end the wresting round.</t>
  </si>
  <si>
    <t>The outro video begins and it's the same as the intro video.</t>
  </si>
  <si>
    <t>v_Zest0gXEWEc</t>
  </si>
  <si>
    <t>A logo for "The Galley" with the tagline "Reinventing the Kitchen" briefly appears.</t>
  </si>
  <si>
    <t>The scene is narrated by a female speaker.</t>
  </si>
  <si>
    <t>A woman with blond hair prepares a sink dishwashing station with a hanging sink and drying bars above a metal channel.</t>
  </si>
  <si>
    <t>The woman washes glasses, plates and knives and then places each on the racks to dry.</t>
  </si>
  <si>
    <t>The woman finishes by pulling the plug on the hanging sink allowing the water to flow away in the channel underneath.</t>
  </si>
  <si>
    <t>"The Galley" logo appears again.</t>
  </si>
  <si>
    <t>v_tETVZtWqdDs</t>
  </si>
  <si>
    <t>woman is in the news talking to the camera about a hand sunscreen.</t>
  </si>
  <si>
    <t>woman is holding a sunscreen tube and put it in her arms, hands and face and the woman in studio keeps talkin about the natural sunscreen.</t>
  </si>
  <si>
    <t>v_LmEUkoYh0nQ</t>
  </si>
  <si>
    <t>A text intro leads into several shots of a pumpkin as well as tools followed by a man carving the pumpkin.</t>
  </si>
  <si>
    <t>The man draws and cuts away all around the front of the pumpkin while moving in fast motion.</t>
  </si>
  <si>
    <t>The man finishes his pumpkin and the camera pans all around the side.</t>
  </si>
  <si>
    <t>v_KqOLTkf5ujs</t>
  </si>
  <si>
    <t>a man is standing outside with a paint pan.</t>
  </si>
  <si>
    <t>He talks as he demonstrates how to paint outdoor wood.</t>
  </si>
  <si>
    <t>He shows off a paint roller.</t>
  </si>
  <si>
    <t>He continues talking about the process as he stands there.</t>
  </si>
  <si>
    <t>v_1DvNkSGk-JA</t>
  </si>
  <si>
    <t>A man is holding onto a bar as he is standing on a water ski.</t>
  </si>
  <si>
    <t>He is being pulled through the water by a motor boat.</t>
  </si>
  <si>
    <t>He is water skiing over a long lake, trying to remain upright.</t>
  </si>
  <si>
    <t>v_WUYSGCwm6OM</t>
  </si>
  <si>
    <t>A woman in a bathrobe facing a mirror cleans her hands.</t>
  </si>
  <si>
    <t>The camera cuts to closeup scenes of her fingers picking up a contact lens and holding it up.</t>
  </si>
  <si>
    <t>The camera briefly cuts to the woman's face before returning.</t>
  </si>
  <si>
    <t>The woman puts the contact lens on her eye.</t>
  </si>
  <si>
    <t>The woman applies contact lens solution into her lens carrying case.</t>
  </si>
  <si>
    <t>The woman washes her hands.</t>
  </si>
  <si>
    <t>The woman removes the contact lens from her eye.</t>
  </si>
  <si>
    <t>The woman places the lens on her palm and, using solution, cleans it.</t>
  </si>
  <si>
    <t>The woman places the lens into the case and adds solution.</t>
  </si>
  <si>
    <t>The woman begins to leave the camera frame.</t>
  </si>
  <si>
    <t>v_XPN_PSadJ_A</t>
  </si>
  <si>
    <t>A person is seen sitting on a bike before a track looking down.</t>
  </si>
  <si>
    <t>The man then begins riding down the track with several others riding in front.</t>
  </si>
  <si>
    <t>The person rides all around the area and ends with a go pro logo.</t>
  </si>
  <si>
    <t>v_8TNzCiy8iaY</t>
  </si>
  <si>
    <t>A man wearing a suit in the city walks down the streets of new york and meets up with another man who likes just like him.</t>
  </si>
  <si>
    <t>The men compare items and then perform a dance routine in the center.</t>
  </si>
  <si>
    <t>The men grabs hands to end the routine then walk away from one another.</t>
  </si>
  <si>
    <t>v_MmYNcmba_Ps</t>
  </si>
  <si>
    <t>An athlete is seen walking forward while shaking her arms and legs around and adjusting her swim suit.</t>
  </si>
  <si>
    <t>The girl bends forward and performs a dive into the pool while the camera pans back to a scoreboard.</t>
  </si>
  <si>
    <t>v__5UtmlGMIUc</t>
  </si>
  <si>
    <t>A man has his foot up on the toilet.</t>
  </si>
  <si>
    <t>He starts shaving his leg with a shaver.</t>
  </si>
  <si>
    <t>He pulls up his pants and starts shaving his other leg.</t>
  </si>
  <si>
    <t>v_FhWxgGQtCJY</t>
  </si>
  <si>
    <t>A man is shoveling up some mulch into a wheel barrel.</t>
  </si>
  <si>
    <t>He brings the wheel barrel over and dumps it in a pile where a woman is using a rake to spread it evenly out.</t>
  </si>
  <si>
    <t>They continue to bring over loads of the mulch and a man dumps over a little tractor of dirt.</t>
  </si>
  <si>
    <t>He rides off on the little deer john tractor while the others continue raking.</t>
  </si>
  <si>
    <t>v_pKOwZrmQan4</t>
  </si>
  <si>
    <t>A person is seen walking around a field followed by several shots off the field and people watching on the sides.</t>
  </si>
  <si>
    <t>The video transitions into several shots of trainers doing tricks with their dogs using frisbees.</t>
  </si>
  <si>
    <t>The people continuously throw the frisbee around the field while the dog chases afterwards and runs around the field.</t>
  </si>
  <si>
    <t>v_n7AaZhEOJSY</t>
  </si>
  <si>
    <t>The video begins with a man performing various ballet moves while the camera follows and repeats in slow motion.</t>
  </si>
  <si>
    <t>The man interviews the camera and leads into another dancer performing steps.</t>
  </si>
  <si>
    <t>Several more people are seen performing dance moves and speaking to the camera.</t>
  </si>
  <si>
    <t>v_qi_6u0mMJQM</t>
  </si>
  <si>
    <t>A person shows a piece of furniture.</t>
  </si>
  <si>
    <t>Then, the person covers a wood box with carpet and cuts the leftovers.</t>
  </si>
  <si>
    <t>Then, the person fold the carpet on the borders and cut the parts not needed.</t>
  </si>
  <si>
    <t>v_MOBJ_kpzHc0</t>
  </si>
  <si>
    <t>A caucasion woman is standing in the kitchen talking to a toddler and they begin banging their fist on the island.</t>
  </si>
  <si>
    <t>A red screen appears with a picture of lemonade and the two reappear.</t>
  </si>
  <si>
    <t>The lady begins talking extremely energetic to the camera.</t>
  </si>
  <si>
    <t>The two then begin dumping ingredients into a blender,beginning with strawberries and ending with syrup.</t>
  </si>
  <si>
    <t>Lastly,the toddler dumps a cup of ice in the blender and the lady blends the ingredients.</t>
  </si>
  <si>
    <t>Once done,the lady grabs two cups and fills them up and the two of them enjoy a drink together.</t>
  </si>
  <si>
    <t>v_F54PZypvzCc</t>
  </si>
  <si>
    <t>A little boy is standing in a living room.</t>
  </si>
  <si>
    <t>He is throwing darts at a target.</t>
  </si>
  <si>
    <t>He walks over and removes the darts before trying again.</t>
  </si>
  <si>
    <t>v_GvRPOGpObyU</t>
  </si>
  <si>
    <t>Alcohol is shown being poured into a glass and leads into a woman holding up a glass and pouring ice into it.</t>
  </si>
  <si>
    <t>The woman then pours various alcohol mixes into the glass and ends by presenting the glass to the camera.</t>
  </si>
  <si>
    <t>v_p4KNKI2UZLc</t>
  </si>
  <si>
    <t>An American gymnast climbs the balance beam, the she performs four flips backwards and one flip forward.</t>
  </si>
  <si>
    <t>Then, the gymnast spins backward one time on her side, then she jumps and flips two times backwards.</t>
  </si>
  <si>
    <t>After the gymnast jumps, spins and turns.</t>
  </si>
  <si>
    <t>The gymnast stands on the end of the beam, then she runs and flips to times and end stand on the mat.</t>
  </si>
  <si>
    <t>After, the gymnast raise her arms and she is congratulated by people.</t>
  </si>
  <si>
    <t>The routine of the gymnast is repeated again.</t>
  </si>
  <si>
    <t>v_cqxrPBGP4nU</t>
  </si>
  <si>
    <t>A before and after picture of a sink is shown.</t>
  </si>
  <si>
    <t>A person is then shown putting cleaner on a sponge and scrubbing a sink.</t>
  </si>
  <si>
    <t>The cleaning products and the clean sink are then shown.</t>
  </si>
  <si>
    <t>v_9ntzCNcFTKM</t>
  </si>
  <si>
    <t>Six children wearing white clothing and orange belts are in a room with others watching.</t>
  </si>
  <si>
    <t>A man yells an order and the children demonstrate their Taekwondo.</t>
  </si>
  <si>
    <t>The man yells again and the children line up and bow.</t>
  </si>
  <si>
    <t>The children demonstrate poses as the man orders them.</t>
  </si>
  <si>
    <t>They then perform more martial arts moves.</t>
  </si>
  <si>
    <t>They return to the line they were standing in previously.</t>
  </si>
  <si>
    <t>They demonstrate additional moves including kicks and punches.</t>
  </si>
  <si>
    <t>They line up again and bow for a second time.</t>
  </si>
  <si>
    <t>v_K5X_ytiMuqc</t>
  </si>
  <si>
    <t>A girl talks to a camera shes holding on followed by shots of a store and her dog in a car.</t>
  </si>
  <si>
    <t>She records several items shown around the store and then herself in a bikini.</t>
  </si>
  <si>
    <t>She puts the lotion on herself standing in front of a lake and smiling into the camera.</t>
  </si>
  <si>
    <t>v_Mg8y0rgD16M</t>
  </si>
  <si>
    <t>Several pictures of various foods are shown and leads into a person cutting foods on a cutting board.</t>
  </si>
  <si>
    <t>More pictures are shown while the man cuts up vegetables and mixes them into a bowl.</t>
  </si>
  <si>
    <t>He stirs around the ingredients and more pictures of the foods are shown.</t>
  </si>
  <si>
    <t>v_yjQ-0AGqFS4</t>
  </si>
  <si>
    <t>We see a boy playing drums in an instrument store.</t>
  </si>
  <si>
    <t>We see a man across the room playing drums.</t>
  </si>
  <si>
    <t>We see a girl, another boy, and the dad.</t>
  </si>
  <si>
    <t>We see the man across the room, then the boy.</t>
  </si>
  <si>
    <t>The boy in stripes touches something on the drums.</t>
  </si>
  <si>
    <t>We see the boy and the man at the same time.</t>
  </si>
  <si>
    <t>The boy in the stripes shirt rocks back and forth.</t>
  </si>
  <si>
    <t>The boy finishes and looks at the camera.</t>
  </si>
  <si>
    <t>v_V3dTp7_NyiE</t>
  </si>
  <si>
    <t>a man is working outside in a garden.</t>
  </si>
  <si>
    <t>He uses trimmers to cut pieces of a plant.</t>
  </si>
  <si>
    <t>When he is done, the plant is fully trimmed.</t>
  </si>
  <si>
    <t>v_qBEdCDpoeTc</t>
  </si>
  <si>
    <t>A blue screen flashes with yellow writing with a title page and several paragraphs.</t>
  </si>
  <si>
    <t>A man then appears in a cage with a circle in it spinning in circles before he throws a shot put.</t>
  </si>
  <si>
    <t>The video replays and it stops as he makes the correct steps to throw the ball beginning with the shoulder and following through with the rest of the body.</t>
  </si>
  <si>
    <t>v_kQoGS3YjBXk</t>
  </si>
  <si>
    <t>A man is shown speaking to the camera and leads into him standing in front of a bike frame.</t>
  </si>
  <si>
    <t>He points to the frame while speaking to the camera and leads into him screwing objects into place.</t>
  </si>
  <si>
    <t>The person continues to screw the frame as well as the chain while turning and speaking to the camera.</t>
  </si>
  <si>
    <t>v_rFx-j3NhSgI</t>
  </si>
  <si>
    <t>An empty gymnasium is shown when a girl hits a button the computer and begins starting a routine.</t>
  </si>
  <si>
    <t>She twirls around the gym floor with a baton and moves her arms around.</t>
  </si>
  <si>
    <t>She kicks her legs continuously with her arms.</t>
  </si>
  <si>
    <t>v_gIzsM5cv7XM</t>
  </si>
  <si>
    <t>A young girl is standing in the room in a black cami and black and white legs preparing talking.</t>
  </si>
  <si>
    <t>She is then shown talking to a young girl with a pink sweater and black skirt and multiple games of rock paper scissors are being played between her and two other girls.</t>
  </si>
  <si>
    <t>The girl with the pink sweater wins and she sits on the girls face.</t>
  </si>
  <si>
    <t>Afterwards,the three girls stand together and start talking to the camera.</t>
  </si>
  <si>
    <t>v_L2J_QI2_qms</t>
  </si>
  <si>
    <t>women are making some gymnasic jumps in a hallway.</t>
  </si>
  <si>
    <t>men and women are in department stores doing gymnastics jumps.</t>
  </si>
  <si>
    <t>woman is making a hand stand ni a parking lot and on stores.</t>
  </si>
  <si>
    <t>man is sanding in a fence in a mall looking o the first floor.</t>
  </si>
  <si>
    <t>v_flfLCoLHm2k</t>
  </si>
  <si>
    <t>A girl waves to the camera and begins speaking followed by various ingredients laid out.</t>
  </si>
  <si>
    <t>The girl then puts the ingredients on a plate and puts saran wrap over the food.</t>
  </si>
  <si>
    <t>She mixes up the food with other ingredients followed by bread on top and cut into pieces.</t>
  </si>
  <si>
    <t>She takes a bite of the food and eventually leads to pictures of her food next to a cup of tea.</t>
  </si>
  <si>
    <t>v_LeSq1XE93mE</t>
  </si>
  <si>
    <t>A band is shown on a stage.</t>
  </si>
  <si>
    <t>A man is playing guitar, and the man to his right is playing the drums.</t>
  </si>
  <si>
    <t>The person in front of them is dancing and singing.</t>
  </si>
  <si>
    <t>v_l5xW6UZWwBs</t>
  </si>
  <si>
    <t>There two old men wearing straw hats, dressed in t-shirts and shorts getting ready to play shuffleboard.</t>
  </si>
  <si>
    <t>There two other men standing a few yards away with their cue sticks.</t>
  </si>
  <si>
    <t>A woman with gray hair and a yellow shirt is seen playing shuffleboard.</t>
  </si>
  <si>
    <t>There are two discs on the ground that get hit by another disc.</t>
  </si>
  <si>
    <t>Several spectators are watching a shuffleboard event where various people are competing and playing.</t>
  </si>
  <si>
    <t>One of the players adjusts his discs before hitting it with the cue stick.</t>
  </si>
  <si>
    <t>v_vJyJG6Lvy9Q</t>
  </si>
  <si>
    <t>White text appears on a blue background.</t>
  </si>
  <si>
    <t>A girl in makeup and cheerleading outfit is shown at a game.</t>
  </si>
  <si>
    <t>Then we see a gymnast doing flips across a mat before doing a back handspring in several different styles.</t>
  </si>
  <si>
    <t>v_j8bfR_d_TlM</t>
  </si>
  <si>
    <t>A person makes a jack o lantern.</t>
  </si>
  <si>
    <t>First they cut the top off of a green pumpkin and scoop the seeds and other stuff out.</t>
  </si>
  <si>
    <t>The remaining insides are cut and scraped off with an ice cream scoop.</t>
  </si>
  <si>
    <t>A design is drawn on the pumpkin and then cut out.</t>
  </si>
  <si>
    <t>The inside of the pumpkin gets sprayed with mold remover and patted dry.</t>
  </si>
  <si>
    <t>A candle is placed inside and lit and the lid is put back on.</t>
  </si>
  <si>
    <t>With the lights turned down the jack o lantern can be viewed.</t>
  </si>
  <si>
    <t>v_I8m878YGmU8</t>
  </si>
  <si>
    <t>The video leads into several shots of olympic runners completing long jumps into pits of sand.</t>
  </si>
  <si>
    <t>The video continues on showing several different runners completing their jumps and them cheering to the crowd afterwards.</t>
  </si>
  <si>
    <t>v_ZDlw4L7oNfs</t>
  </si>
  <si>
    <t>Two people are chilling out on their skateboards.</t>
  </si>
  <si>
    <t>They fix some of the parts and then go skating around.</t>
  </si>
  <si>
    <t>v_8B3qhnSB7U8</t>
  </si>
  <si>
    <t>A woman is seen sitting in a chair laughing while a man points in front of her.</t>
  </si>
  <si>
    <t>The man then holds a gun up to her nose and pierces her nose.</t>
  </si>
  <si>
    <t>A woman plays with the girls hair while speaking to the girl and showing off her nose piercing.</t>
  </si>
  <si>
    <t>v_1ZuUq5rVwPs</t>
  </si>
  <si>
    <t>A carpenter sprays a ceiling with paint.</t>
  </si>
  <si>
    <t>A second carpenter smooths out the paint on the ceiling.</t>
  </si>
  <si>
    <t>The first carpenter sprays paint all over the ceiling.</t>
  </si>
  <si>
    <t>A couple of carpenters smooth out the paint on the ceiling.</t>
  </si>
  <si>
    <t>One of the carpenters is seen spraying the ceiling and stops for a second to move a light.</t>
  </si>
  <si>
    <t>The painting continues as well as the smoothing out of the paint.</t>
  </si>
  <si>
    <t>v_kWh_zSLpZuQ</t>
  </si>
  <si>
    <t>Kids are shown playing basketball on a court.</t>
  </si>
  <si>
    <t>The coach is talking to them and trying to tell them how to play.</t>
  </si>
  <si>
    <t>The kids perform lay ups.</t>
  </si>
  <si>
    <t>v_Tm1ebIrDyz0</t>
  </si>
  <si>
    <t>We see a girl run and perform a high jump and make it over the bar.</t>
  </si>
  <si>
    <t>We then see a replay and and slow motion replay.</t>
  </si>
  <si>
    <t>v_agX22QLvOcU</t>
  </si>
  <si>
    <t>A man is dribbling a basketball.</t>
  </si>
  <si>
    <t>He jumps and shoots the basketball into the hoop.</t>
  </si>
  <si>
    <t>Words are shown on the screen at the end.</t>
  </si>
  <si>
    <t>v_G4mX4StOvQE</t>
  </si>
  <si>
    <t>A woman is kneeling down on a blue mat.</t>
  </si>
  <si>
    <t>A man stands behind her talking.</t>
  </si>
  <si>
    <t>The woman starts moving her legs and arms.</t>
  </si>
  <si>
    <t>v_u_RzyIJi8qc</t>
  </si>
  <si>
    <t>Two men are standing outside with a crowd of people lifting weights and exercising.</t>
  </si>
  <si>
    <t>Many people begin to film the guys on their phone,the weight lifting continues and several people come back to do interviews.</t>
  </si>
  <si>
    <t>More people are shown and then a logo comes that is sponsored by Reebok.</t>
  </si>
  <si>
    <t>v_osLHgm_yuMc</t>
  </si>
  <si>
    <t>People are running around playing paintball.</t>
  </si>
  <si>
    <t>A man falls into a large puddle of mud.</t>
  </si>
  <si>
    <t>A man falls down and another man runs up to check on him.</t>
  </si>
  <si>
    <t>v_EgPk-mmJyS8</t>
  </si>
  <si>
    <t>A woman is seen speaking to the camera and leads into her laying out a paid of shorts.</t>
  </si>
  <si>
    <t>She then demonstrates how to properly iron the clothing items.</t>
  </si>
  <si>
    <t>v_0dgmG3h9RLA</t>
  </si>
  <si>
    <t>A person is playing bagpipes out in a park.</t>
  </si>
  <si>
    <t>A man and two boys watching from a far.</t>
  </si>
  <si>
    <t>The camera shoots areas all around the park while the bagpipes play.</t>
  </si>
  <si>
    <t>v_8im-T1bsyHs</t>
  </si>
  <si>
    <t>An athlete is seen running down a large track and throwing a javelin into the air.</t>
  </si>
  <si>
    <t>Her throw is shown again in slow motion followed by several more athletes who take their turns.</t>
  </si>
  <si>
    <t>v_81w6SClSFMU</t>
  </si>
  <si>
    <t>We see an opening title screens.</t>
  </si>
  <si>
    <t>People are working on cameras in a workshop.</t>
  </si>
  <si>
    <t>We see them mount it to a tube.</t>
  </si>
  <si>
    <t>the lady then dances the hula hoop with the tube.</t>
  </si>
  <si>
    <t>We see a blonde man making adjustments to the tube.</t>
  </si>
  <si>
    <t>We see the closing end screen.</t>
  </si>
  <si>
    <t>v_NxnEKnqWLCI</t>
  </si>
  <si>
    <t>A camera pans around a group of people sitting at a table followed by a man holding a surf board.</t>
  </si>
  <si>
    <t>The man carries the board out onto the water and begins riding the water.</t>
  </si>
  <si>
    <t>The person continues to ride around following behind another person on the water.</t>
  </si>
  <si>
    <t>v_Sh8JODtAMhc</t>
  </si>
  <si>
    <t>Various shots of a theme park are shown including rides moving, people playing games, and other people interacting with one another.</t>
  </si>
  <si>
    <t>Two men are then shown driving around an area on bumper cars while laughing to the camera and others speaking to the camera.</t>
  </si>
  <si>
    <t>The men continue riding around and ends with a woman pulling down a cover for the game.</t>
  </si>
  <si>
    <t>v_9ZnJyY_-Hzw</t>
  </si>
  <si>
    <t>A man walks across a tightrope, as seen from the view of the underside of the rope.</t>
  </si>
  <si>
    <t>A pan out of the river and a ferry is seen in Hong Kong.</t>
  </si>
  <si>
    <t>A man puts on a show as he balances in several different positions on a tightrope for a small crowd.</t>
  </si>
  <si>
    <t>Another man joins him,and they balance,walk, and do push ups.</t>
  </si>
  <si>
    <t>v_lHnSteuHdZ4</t>
  </si>
  <si>
    <t>A person is walking slow on ice,trying to to crack it.</t>
  </si>
  <si>
    <t>the person made many mid size hole in the ice and have fishing line hanging deep in the water underneath.</t>
  </si>
  <si>
    <t>the person walking to one of the hole and checks the fishing line to see if he caught nay fish.</t>
  </si>
  <si>
    <t>the guy then pulls hard on the fishing line and drags it in.</t>
  </si>
  <si>
    <t>finally he uses a long metal hook to hook the fish he caught and brings it out the hole.</t>
  </si>
  <si>
    <t>he then unhooks the long hook and use his tools to unhook the small fishing hook the the fish mouth leaving the fish bloody.</t>
  </si>
  <si>
    <t>v__nvQDglPcmc</t>
  </si>
  <si>
    <t>water polo team is standing by the pool talking to the camera.</t>
  </si>
  <si>
    <t>man jumps in the water and is holding a ball and sart playing in the pool.</t>
  </si>
  <si>
    <t>v_I637SOXSbHY</t>
  </si>
  <si>
    <t>A man bends down and picks up two kettle bells.</t>
  </si>
  <si>
    <t>He raises and lowers the kettle bells.</t>
  </si>
  <si>
    <t>He puts them down on the grass in front of him.</t>
  </si>
  <si>
    <t>v__s20ZN8WZbo</t>
  </si>
  <si>
    <t>A man stands behind a bar with several mixed drinks.</t>
  </si>
  <si>
    <t>He pours ice into a glass and tops it with different liquors.</t>
  </si>
  <si>
    <t>He then adds a small straw.</t>
  </si>
  <si>
    <t>v_RlC3n0VSGOU</t>
  </si>
  <si>
    <t>An intro leads into clips of people riding surfboards on the water as well as jet skis.</t>
  </si>
  <si>
    <t>The camera pans around the area and continues to show more clips of people surfing.</t>
  </si>
  <si>
    <t>A close up of a surf board is shown followed by many more people surfing on the water.</t>
  </si>
  <si>
    <t>v_HfjvlIAEsJY</t>
  </si>
  <si>
    <t>A screen appears with bike spokes as the background and red words that read "Overhauling &amp; Adjusting Cup &amp; Cone Hubs" and a website in gray right under the red words.</t>
  </si>
  <si>
    <t>A man then enters and from behind he uses tools on the hub to take it apart, clean it thoroughly, grease it, then he puts it all back together and makes sure everything is secured tight.</t>
  </si>
  <si>
    <t>The outro is a spinning wheel with fast scrolling words going from the bottom to the top then it quickly fades to a black screen.</t>
  </si>
  <si>
    <t>v_ObU5as8-u-s</t>
  </si>
  <si>
    <t>To teams play hurling in a field while holding stick.</t>
  </si>
  <si>
    <t>A woman stand and a lady walk on front a bench.</t>
  </si>
  <si>
    <t>The referee extend his left arm.</t>
  </si>
  <si>
    <t>v_gK71Ut9XQ-Y</t>
  </si>
  <si>
    <t>Various shots of tools are shown that lead into a man sitting down holding a guitar.</t>
  </si>
  <si>
    <t>The man then strums the guitar for a bit and pauses.</t>
  </si>
  <si>
    <t>He is then shown playing again as well as more tools being shown.</t>
  </si>
  <si>
    <t>v_wfy5UXaAVnQ</t>
  </si>
  <si>
    <t>Multiple groups of people in boats are out exploring a river.</t>
  </si>
  <si>
    <t>Wind blows the trees in the Grand Canyon.</t>
  </si>
  <si>
    <t>A group of people on a white boat paddle away at the waters in the river.</t>
  </si>
  <si>
    <t>Multiple groups battle high violent waters.</t>
  </si>
  <si>
    <t>At one point, the violent waters seem to almost topple one of the groups.</t>
  </si>
  <si>
    <t>A brave, single kayaker paddles away at the waters.</t>
  </si>
  <si>
    <t>v_pExl_cwmT8M</t>
  </si>
  <si>
    <t>A middle aged man is standing in the street wearing rollerblades.</t>
  </si>
  <si>
    <t>The man precisely skates in-between a tight row of small cones.</t>
  </si>
  <si>
    <t>The man does a handstand after completing the course and goes back to the beginning.</t>
  </si>
  <si>
    <t>v_iH8eHkIHrg4</t>
  </si>
  <si>
    <t>Two men walk along the beach with their surfboards.</t>
  </si>
  <si>
    <t>They enter the water and the surfer with the white board catches a wave.</t>
  </si>
  <si>
    <t>White board catches another wave as the blue board opts out, more waves taken by white board are shown.</t>
  </si>
  <si>
    <t>The surfer on the blue board catches a few waves.</t>
  </si>
  <si>
    <t>The white board surfer is shown gliding across more waves, clearly like an expert.</t>
  </si>
  <si>
    <t>v_Bl2Hqx3h9Fw</t>
  </si>
  <si>
    <t>A series of screens appear with white and purple words in paragraph form.</t>
  </si>
  <si>
    <t>A person is then shown walking out to the car with a utensil taking the snow off of the glass.</t>
  </si>
  <si>
    <t>Then another screen appears with white words and displays a sentence and the location.</t>
  </si>
  <si>
    <t>v_iUOCQ9sE2_A</t>
  </si>
  <si>
    <t>Two people are seen standing on a mat and begin fighting one another.</t>
  </si>
  <si>
    <t>The men pause for a moment and continue fighting on while people watch on the side.</t>
  </si>
  <si>
    <t>The boys continue fighting and stop in the end.</t>
  </si>
  <si>
    <t>v_brrf2inGs7E</t>
  </si>
  <si>
    <t>A person is seen turning on a faucet and rubbing their hands under the water.</t>
  </si>
  <si>
    <t>The person pushes soap into their hands, watching the soap drip down, and then scrubs their hands.</t>
  </si>
  <si>
    <t>v_-ApIBtH_pVc</t>
  </si>
  <si>
    <t>There's a woman with a hand tattoo and red painted nails attaching and screwing a parts in the trunk of a car to attach the spare tire.</t>
  </si>
  <si>
    <t>Then she places the spare tire into the metal case.</t>
  </si>
  <si>
    <t>She takes the plastic dial and screws it in securely to fit the spare tire in the trunk.</t>
  </si>
  <si>
    <t>She places the cover over the tire inside the trunk.</t>
  </si>
  <si>
    <t>v_pON-g7IJKEY</t>
  </si>
  <si>
    <t>There are many kids ranging from toddlers to teenagers enjoying themselves at a backyard birthday party.</t>
  </si>
  <si>
    <t>There is a Disney princess piñata hanging from a tree.</t>
  </si>
  <si>
    <t>The kids are enjoying hitting the piñata with a blue stick.</t>
  </si>
  <si>
    <t>they kids take turns to hit the piñata.</t>
  </si>
  <si>
    <t>A little girl dressed in a purple skirt tries to tear the piñata by hitting it hard with the stick.</t>
  </si>
  <si>
    <t>v_Mil3AyFfjX4</t>
  </si>
  <si>
    <t>A young child is seen standing before a shuffleboard table holding a stick.</t>
  </si>
  <si>
    <t>The boy then pushes the puck across the game.</t>
  </si>
  <si>
    <t>The camera follows the pucks movements and leads back to the boy.</t>
  </si>
  <si>
    <t>v_4xmQoAK3QNc</t>
  </si>
  <si>
    <t>A man hits a ball with a bat.</t>
  </si>
  <si>
    <t>Three men stand on a field.</t>
  </si>
  <si>
    <t>One man throws a ball on the field.</t>
  </si>
  <si>
    <t>Three men flip a coin.</t>
  </si>
  <si>
    <t>v_0PnAEoMx-v0</t>
  </si>
  <si>
    <t>A person is playing an acoustic guitar.</t>
  </si>
  <si>
    <t>There is a Christmas tree behind him.</t>
  </si>
  <si>
    <t>A logo with words comes onto the screen.</t>
  </si>
  <si>
    <t>v_uINj6L2EEUs</t>
  </si>
  <si>
    <t>Different views around a city are seen.</t>
  </si>
  <si>
    <t>A large crowd is seen cheering inside a large auditorium.</t>
  </si>
  <si>
    <t>Athletes walk together through a hallway then stand on logs and chop through them in a competition.</t>
  </si>
  <si>
    <t>Two athletes walk through wearing green and orange jerseys then saw through large logs in a competition.</t>
  </si>
  <si>
    <t>The judge inspects the log and declares a winner to the crowds delight.</t>
  </si>
  <si>
    <t>Two athletes walk through a hallway then chop an upright log in a competition.</t>
  </si>
  <si>
    <t>Cheerleaders enter through a hallway then dance on stage.</t>
  </si>
  <si>
    <t>Two athletes enter through a hallway then use a hand saw to cut through a log.</t>
  </si>
  <si>
    <t>Two athletes enter through a hallway then place boards into a log to stand on while chopping it down.</t>
  </si>
  <si>
    <t>Athletes compete in a chainsaw competition and saw through large logs before congratulating each other.</t>
  </si>
  <si>
    <t>The winner is seen holding a trophy along with runners up and the crowd cheers.</t>
  </si>
  <si>
    <t>v_Xv2-EY_zKNM</t>
  </si>
  <si>
    <t>These 2 different teams are running on the field because they're playing shinty.</t>
  </si>
  <si>
    <t>Only half of the crowd is filled with people, while the other side is empty with no one there to watch anything.</t>
  </si>
  <si>
    <t>In the end, someone wins and people in the crowd clap and cheer.</t>
  </si>
  <si>
    <t>v_T3CHT7rQQVc</t>
  </si>
  <si>
    <t>A man is seated with an electric guitar.</t>
  </si>
  <si>
    <t>He is speaking to the camera, then he starts playing.</t>
  </si>
  <si>
    <t>Another man plays the chords on a table.</t>
  </si>
  <si>
    <t>v_P_b6_k2ocYw</t>
  </si>
  <si>
    <t>A woman in a hat and a vest stands buy a cart.</t>
  </si>
  <si>
    <t>She is crocheting something black and white.</t>
  </si>
  <si>
    <t>A car drives by the cart.</t>
  </si>
  <si>
    <t>Another person reaches into the car.</t>
  </si>
  <si>
    <t>v_OSw73cXwjR4</t>
  </si>
  <si>
    <t>A person wearing a hat is sitting no a couch.</t>
  </si>
  <si>
    <t>They begin playing an accordion.</t>
  </si>
  <si>
    <t>They are pointing at buttons on the accordion with a screwdriver.</t>
  </si>
  <si>
    <t>v_P5lLZ_jsA2o</t>
  </si>
  <si>
    <t>A gymnast is seen swinging around on a bar doing various flips and tricks across two sets of beams.</t>
  </si>
  <si>
    <t>She continues spinning around and ends with her hands up and her coach clapping.</t>
  </si>
  <si>
    <t>People watch on the sides and her scores are shown in the end.</t>
  </si>
  <si>
    <t>v_Zk4EvGw7cAw</t>
  </si>
  <si>
    <t>There are two high school students in the high school cafeteria standing next to a table where some students are sitting.</t>
  </si>
  <si>
    <t>One of the students is undressing and changing his shorts while the other student in a red shirt is watching him.</t>
  </si>
  <si>
    <t>After the student finishes changing, the boy in the red shirt makes fun of him.</t>
  </si>
  <si>
    <t>The student gets provoked and punches the boy in the red shirt on his face, causing him to fall on the ground on his head.</t>
  </si>
  <si>
    <t>v_ueKSGag6w4Q</t>
  </si>
  <si>
    <t>A woman walks around a stage holding a saxophone.</t>
  </si>
  <si>
    <t>She starts to play the saxophone as she dances.</t>
  </si>
  <si>
    <t>She stops and talks to the crowd again.</t>
  </si>
  <si>
    <t>She starts to play and dance again.</t>
  </si>
  <si>
    <t>v_XZCmkuDKltY</t>
  </si>
  <si>
    <t>A man is seen sitting before a table with a rubix cube on it and his hands on a platform.</t>
  </si>
  <si>
    <t>He then solves the rubix cube in a matter of seconds and shows off his time to the camera.</t>
  </si>
  <si>
    <t>v_96HJ_LqNdkg</t>
  </si>
  <si>
    <t>This girl is doing a video of how to make your white shoes become sparkly clean.</t>
  </si>
  <si>
    <t>You will need a toothbrush, baby powder, a glass cup or bowl, bleach, and q-tips, blowdryer, and water.</t>
  </si>
  <si>
    <t>First she adds water pours a little bit of baby powder into the small bowl and she mixes it up using the toothbrush.</t>
  </si>
  <si>
    <t>She puts the baby powder soaked toothbrush onto the shoe and starts to rub it there.</t>
  </si>
  <si>
    <t>Then she grabs the blowdryer and blowdrys the shoe and scrubs them again.</t>
  </si>
  <si>
    <t>Then she pours bleach into the small bowl that has baby powder in it and she puts the toothbrush in the bowl and rubs it on the shoe again.</t>
  </si>
  <si>
    <t>Finally she wets a cloth with water and wipes the shoe off.</t>
  </si>
  <si>
    <t>v_0ZzKrBk1ac8</t>
  </si>
  <si>
    <t>A man and a woman are arm wrestling on a table.</t>
  </si>
  <si>
    <t>A woman in a white shirt walks past them.</t>
  </si>
  <si>
    <t>The woman wins and walks away.</t>
  </si>
  <si>
    <t>v_AFnEr0_wStU</t>
  </si>
  <si>
    <t>A piercing artist removes a tissue from a woman's nose and wipes part of the nose.</t>
  </si>
  <si>
    <t>The woman holds piercing pliers up against a woman's nose.</t>
  </si>
  <si>
    <t>She pierces a needle through the nose and holds the pliers in place.</t>
  </si>
  <si>
    <t>She removes the pliers from the woman's nose.</t>
  </si>
  <si>
    <t>The woman sitting down speaks.</t>
  </si>
  <si>
    <t>The piercing artist touches the needle and the nose as she screws a nose ring on.</t>
  </si>
  <si>
    <t>The piercing artists arranges the piercing inside the nose with some pliers.</t>
  </si>
  <si>
    <t>The piercing artist touches the piercing.</t>
  </si>
  <si>
    <t>The piercing artists uses a tissue to collect blood around the piercing.</t>
  </si>
  <si>
    <t>A collection of artwork is seen on the wall.</t>
  </si>
  <si>
    <t>The piercing artist continually uses a tissue to wipe blood from the woman's nose.</t>
  </si>
  <si>
    <t>The woman stands up and waves.</t>
  </si>
  <si>
    <t>v_SX075xQ0j6c</t>
  </si>
  <si>
    <t>We see a book on a table.</t>
  </si>
  <si>
    <t>We see image in the book with videos of people knitting.</t>
  </si>
  <si>
    <t>We see a lady teaching two girls.</t>
  </si>
  <si>
    <t>We see a teacher teaching a boy to knit.</t>
  </si>
  <si>
    <t>We see a lady teaching a group of children to knit.</t>
  </si>
  <si>
    <t>v_RPKcM8q74FE</t>
  </si>
  <si>
    <t>A group of kids are in bumper cars.</t>
  </si>
  <si>
    <t>They ride around, trying to hit each other.</t>
  </si>
  <si>
    <t>They bump into the other cars as they go.</t>
  </si>
  <si>
    <t>v_WmPkqkqAxyc</t>
  </si>
  <si>
    <t>A man is seen standing in a large field holding onto a tool.</t>
  </si>
  <si>
    <t>The man then uses the tool on the grass in font of him quickly.</t>
  </si>
  <si>
    <t>The man continues to cut the grass while the camera captures his movement.</t>
  </si>
  <si>
    <t>v_b2uAgV5n3FU</t>
  </si>
  <si>
    <t>A man splits hardwood for use in wood stoves.</t>
  </si>
  <si>
    <t>There are two techniques used, one with an ax and one with a hammer and ax.</t>
  </si>
  <si>
    <t>v_0EDEA8dZeGo</t>
  </si>
  <si>
    <t>First the man sets his timer that's attached to his chest and he sits down and puts his leg onto the ski.</t>
  </si>
  <si>
    <t>Next he stands up while holding onto something and he starts water skiing as he gets pulled by the boat.</t>
  </si>
  <si>
    <t>But, he eventually falls off and is seen standing in the water.</t>
  </si>
  <si>
    <t>v_G6LjkB0xv2k</t>
  </si>
  <si>
    <t>A woman exercises at a machine.</t>
  </si>
  <si>
    <t>The camera focuses on and features specific parts of the machine.</t>
  </si>
  <si>
    <t>The woman demonstrates folding the machine for storage.</t>
  </si>
  <si>
    <t>The woman continues to exercise on the machine.</t>
  </si>
  <si>
    <t>v_0Zg9UgCp4a4</t>
  </si>
  <si>
    <t>A group of men are outside sitting around a fountain playing a game of oddly drawn hopscotch.</t>
  </si>
  <si>
    <t>One boy takes his turn and then they all begin talking again.</t>
  </si>
  <si>
    <t>Next,a boy tries to jump over the bricks but ends up falling.</t>
  </si>
  <si>
    <t>Another boy jumps after him and he is successful.</t>
  </si>
  <si>
    <t>However,the next boy jumps and has to stand on one foot and collect all of the pieces thrown behind him.</t>
  </si>
  <si>
    <t>v_MzqovHjEKE4</t>
  </si>
  <si>
    <t>A man is seen speaking to the camera and leads into him holding up a tool and pointing to several bushes.</t>
  </si>
  <si>
    <t>The man then trims along the bush while stopping to speak to the camera and holding up the tool.</t>
  </si>
  <si>
    <t>v_xMImWgn3owc</t>
  </si>
  <si>
    <t>A gymnast is seen standing on a beam and begins performing gymnastic moves on the beam.</t>
  </si>
  <si>
    <t>The girl spins and flips all along the beam while the camera captures her movements.</t>
  </si>
  <si>
    <t>She ends her routine but jumping down off the side with her arms up and walking away.</t>
  </si>
  <si>
    <t>v_kH50-giCeDM</t>
  </si>
  <si>
    <t>Two men walk to the barrel in a yard at a barbecue and the men both reach for the last beer in the barrel.</t>
  </si>
  <si>
    <t>The men do rock paper scissors and the right man hits the left with a rock, takes the beer and walks off.</t>
  </si>
  <si>
    <t>We see a beer poured in a glass.</t>
  </si>
  <si>
    <t>We see the injured man with his hand up and a man walks past and gives him a high five.</t>
  </si>
  <si>
    <t>v_1LrEiYVd3qg</t>
  </si>
  <si>
    <t>A man is seen speaking to the camera in front of a large trailer in he moods.</t>
  </si>
  <si>
    <t>The man is then seen kneeling over a fire and begins lighting a flame into a pit.</t>
  </si>
  <si>
    <t>A boy is seen walking around with a tennis racket and points to the ground while the man is still sitting in front of the fire.</t>
  </si>
  <si>
    <t>v_hniQpwn3Ob4</t>
  </si>
  <si>
    <t>An intro leads into several clips of different athletes performing shotput throws in a circle.</t>
  </si>
  <si>
    <t>More men continue to step up and throw the object while many watch on the sidelines.</t>
  </si>
  <si>
    <t>v_soHEsBIljbI</t>
  </si>
  <si>
    <t>A teen girl sits on the floor holding a shoe.</t>
  </si>
  <si>
    <t>She is then shown wiping the shoe down with a cleaning solution.</t>
  </si>
  <si>
    <t>She shows the shoe close up after she is done.</t>
  </si>
  <si>
    <t>v_gSOUhz7yQ-s</t>
  </si>
  <si>
    <t>A man is standing outside of a large window and begins to clean it with a long stick.</t>
  </si>
  <si>
    <t>One the window is wet,he takes the razor like stick and drags it up and down getting the water off.</t>
  </si>
  <si>
    <t>After the two top windows are complete,he leaves the other two untouched and walks away.</t>
  </si>
  <si>
    <t>v_0T7yANM5I5Y</t>
  </si>
  <si>
    <t>A man bends at the knees in front of a barbell.</t>
  </si>
  <si>
    <t>He lifts it slowly, bringing it to his chest.</t>
  </si>
  <si>
    <t>He pauses, then lifts it over his head before dropping it back to the ground.</t>
  </si>
  <si>
    <t>v_lAZIxuxjogI</t>
  </si>
  <si>
    <t>A man is standing on a ledge of a tower.</t>
  </si>
  <si>
    <t>He jumps off and bungee jumps.</t>
  </si>
  <si>
    <t>It is shown in slow motion.</t>
  </si>
  <si>
    <t>v_Wd8Kz1XRpdg</t>
  </si>
  <si>
    <t>The camera pans around several men drinking a large container of alcohol and the camera panning back to the beginning.</t>
  </si>
  <si>
    <t>The camera continues capturing the men drinking as well as talking to one another and one rubbing his eyes in the end.</t>
  </si>
  <si>
    <t>v_-aWU5Yj_OPw</t>
  </si>
  <si>
    <t>A young man is seated in a living room.</t>
  </si>
  <si>
    <t>He is playing an electronic keyboard.</t>
  </si>
  <si>
    <t>The keyboard is printing a document as he goes.</t>
  </si>
  <si>
    <t>v_sZf6ijFwPDs</t>
  </si>
  <si>
    <t>A lady explains drinks and the mixing of them,she grabs a cup with ice and add some liquor to it by using a shot glass to get the right measurement.</t>
  </si>
  <si>
    <t>the lady then mix another type of liquor to the first type she poured in the glass.</t>
  </si>
  <si>
    <t>finally she adds a type of juice to the drink with a sliced orange and straw.</t>
  </si>
  <si>
    <t>v_1Cdqwg7Giv4</t>
  </si>
  <si>
    <t>A man is spinning in circles and throwing a discuss for a competition.</t>
  </si>
  <si>
    <t>The video slows down and shows the same throw but in slow motion.</t>
  </si>
  <si>
    <t>Another man comes up to the plate and throws the discuss.</t>
  </si>
  <si>
    <t>Again the video slows down and shows the same throw in slow motion.</t>
  </si>
  <si>
    <t>A third player steps up and throws the discuss in slow motion.</t>
  </si>
  <si>
    <t>Several other players step up and take their turn throwing the disk.</t>
  </si>
  <si>
    <t>v_rKTpKq7bh_U</t>
  </si>
  <si>
    <t>We see an image of a lady and a child.</t>
  </si>
  <si>
    <t>The lady fades, the child plays a flute and we see a man.</t>
  </si>
  <si>
    <t>The man is crying as the child plays, We see the people in the sky.</t>
  </si>
  <si>
    <t>We see a man and woman embracing in the sky.</t>
  </si>
  <si>
    <t>We see images of nature.</t>
  </si>
  <si>
    <t>The people in the sky bow and dance.</t>
  </si>
  <si>
    <t>The man lays down in a prayer position.</t>
  </si>
  <si>
    <t>The child finishes playing the flute.</t>
  </si>
  <si>
    <t>v_5YVN5d8DkSk</t>
  </si>
  <si>
    <t>The camera pans around several pitting sitting at a bar as well as bartenders attending to people's needs.</t>
  </si>
  <si>
    <t>More shots are shown of people interacting in the restaurant and finally people speaking to the camera.</t>
  </si>
  <si>
    <t>v_eS1USHkyb2U</t>
  </si>
  <si>
    <t>A young woman is seen brushing her hair that leads into her speaking to the camera.</t>
  </si>
  <si>
    <t>She holds up several brushes while speaking to the camera as well as various objects.</t>
  </si>
  <si>
    <t>She uses scissors to get hair out of a brush as well as a toothbrush and bowl to clean out her brushes.</t>
  </si>
  <si>
    <t>v_Oi-atN4-Oqk</t>
  </si>
  <si>
    <t>A young man dance in a room moving his hands and putting behind his back.</t>
  </si>
  <si>
    <t>Then, the man put his hand behind his head.</t>
  </si>
  <si>
    <t>The reflection of the man is in the mirror.</t>
  </si>
  <si>
    <t>v_C1vhQIJtLsw</t>
  </si>
  <si>
    <t>A man is seen standing on stilts in a city square while other people around him roller blade.</t>
  </si>
  <si>
    <t>The man takes off running down the block and then runs back to where he started.</t>
  </si>
  <si>
    <t>v_f0JySdrM_l8</t>
  </si>
  <si>
    <t>A woman in a blue shirt spins around and throws a ball onto the field.</t>
  </si>
  <si>
    <t>Another person comes and throws a disk onto the field.</t>
  </si>
  <si>
    <t>People are standing at the side of the field is watching.</t>
  </si>
  <si>
    <t>v_x7yOoVf5-Do</t>
  </si>
  <si>
    <t>A business and the area around it is shown and the name on the business say's "LUMBERJACK NATIONALS" carved in a wooden sign, and the white text below say's "Columbia Basin BMX RICHLAND, WA".</t>
  </si>
  <si>
    <t>A boy dressed in biking gear is putting on a helmet while standing and text on the right side of the screen appear and say "@BryceBetts13Z CHASE STAYSTRONG" as the boy gets on his bike and pushes it out of screen.</t>
  </si>
  <si>
    <t>The boy is now on the curvy and twisty dirt bike track riding around very fast and occasionally other people are shown riding on the track, too.</t>
  </si>
  <si>
    <t>A special effect outro appears with the boy still riding around the track and other text and logos appear on the screen until it fades to a white screen that end with a clip art on the left and large words that read MENDO MEDIA on the right.</t>
  </si>
  <si>
    <t>v_hBT_SN8IGsQ</t>
  </si>
  <si>
    <t>Players on a field are running around playing a game.</t>
  </si>
  <si>
    <t>They get into a big fight on the field.</t>
  </si>
  <si>
    <t>The ref comes and breaks the fight up.</t>
  </si>
  <si>
    <t>A man in a yellow striped shirt is talking to the referee.</t>
  </si>
  <si>
    <t>v_wG0OD99mjdY</t>
  </si>
  <si>
    <t>Several clips are shown of people climbing up and down rock walls while many others speak to the camera.</t>
  </si>
  <si>
    <t>Several more people are shown climbing on the rocks while speaking to the camera and making their way up and down.</t>
  </si>
  <si>
    <t>v_VAKQMtYrl4I</t>
  </si>
  <si>
    <t>Several dogs walk down a street.</t>
  </si>
  <si>
    <t>They are on leashes held by their owners.</t>
  </si>
  <si>
    <t>The stream of them is endless.</t>
  </si>
  <si>
    <t>A woman holds her dog.</t>
  </si>
  <si>
    <t>v_4qONyTNaPOI</t>
  </si>
  <si>
    <t>A still shot picture of a body of water appears and yellow words appear on the screen and read "AMERICAN DISK" and include the website.</t>
  </si>
  <si>
    <t>A brunette woman is now speaking next to the water and she's smiling the whole time.</t>
  </si>
  <si>
    <t>Various clips of people play and they are all standing next to or in the water as well and they all appear happy.</t>
  </si>
  <si>
    <t>People are now on the water and doing various different things, with a large circular board that they're either standing, sitting, squatting, kneeling, riding or doing tricks on while they sometimes are getting pulled by a fast moving boat.</t>
  </si>
  <si>
    <t>A black screen appears and the yellow words are displayed on the screen and read "The Disk", and once again the brunette woman is speaking while standing by the water.</t>
  </si>
  <si>
    <t>The screen then goes to black and displays their website in yellow letters.</t>
  </si>
  <si>
    <t>v_iKJB-RU_PKY</t>
  </si>
  <si>
    <t>A close up of a table is shown that leads into several clip of a puck moving along the table from various angles.</t>
  </si>
  <si>
    <t>People push and look down towards the pucks as they move along and continue to play the game with one another back and fourth.</t>
  </si>
  <si>
    <t>v_4U13LEMIdi4</t>
  </si>
  <si>
    <t>A cat is sitting in a cat bed.</t>
  </si>
  <si>
    <t>It is licking its paw.</t>
  </si>
  <si>
    <t>It then wipes its paw on its ear.</t>
  </si>
  <si>
    <t>v_gXUm7nobsfU</t>
  </si>
  <si>
    <t>A woman in a sparkling green dress talks on a stage.</t>
  </si>
  <si>
    <t>A couple is shown dancing, kicking and swirling creatively.</t>
  </si>
  <si>
    <t>When they are done, they hold hands as the crowd cheers.</t>
  </si>
  <si>
    <t>They walk over to the woman in a green dress, hugging her before leaving the stage.</t>
  </si>
  <si>
    <t>v_mAfp5ABlKyM</t>
  </si>
  <si>
    <t>Two men are playing table tennis while two judges sit at either end.</t>
  </si>
  <si>
    <t>The men hit the ball back and forth.</t>
  </si>
  <si>
    <t>The winner raises his hands as the crowd cheers.</t>
  </si>
  <si>
    <t>The scene is replayed of his successful hit.</t>
  </si>
  <si>
    <t>v_cQ3pZhIBPHI</t>
  </si>
  <si>
    <t>A man is in a gym kneeling down holding a medium sized medicine ball.</t>
  </si>
  <si>
    <t>He then sits up and starts to throw the ball back and forth against the wall.</t>
  </si>
  <si>
    <t>After,a list of cues appear before showing off the venue and their youtube page.</t>
  </si>
  <si>
    <t>v_uLhOFVNmRu8</t>
  </si>
  <si>
    <t>A man in green sitting at the end of the sand square taking video, on the sides of the square are three men.</t>
  </si>
  <si>
    <t>The young athlete in blue uniform run in a narrow lane, hopped and jump on the sandy ground.</t>
  </si>
  <si>
    <t>v_7KT-z20qxI4</t>
  </si>
  <si>
    <t>Three people are in a news room, talking to the camera.</t>
  </si>
  <si>
    <t>A team is playing ice hockey, and celebrating as they win a game.</t>
  </si>
  <si>
    <t>The happy teammates smile for interviews in the locker room after.</t>
  </si>
  <si>
    <t>The news casters are shown holding number sticks and laughing.</t>
  </si>
  <si>
    <t>v_MWn4qozlaMs</t>
  </si>
  <si>
    <t>A woman is seen pulling food out of a fridge and speaking to a girl who walks downstairs.</t>
  </si>
  <si>
    <t>They women continue speaking when a man also walks down the stairs.</t>
  </si>
  <si>
    <t>The woman and man then speak and the other woman walks upstairs.</t>
  </si>
  <si>
    <t>v_D9A_9FH7e-A</t>
  </si>
  <si>
    <t>We see a ladies hands with nail polish on them.</t>
  </si>
  <si>
    <t>The lady puts tape on her finger around her nail and puts clear and white polish on them.</t>
  </si>
  <si>
    <t>The lady adds drops of nail polish to a glass of fluid and pulls it through.</t>
  </si>
  <si>
    <t>The lady puts her nail in the cup and uses a stick to remove the polish.</t>
  </si>
  <si>
    <t>The lady pulls the tape of then puts a clear coat over her fingernails.</t>
  </si>
  <si>
    <t>v_EqhnCfb5vEc</t>
  </si>
  <si>
    <t>A woman is on stage doing a belly dance routine, she is very passionate about it.</t>
  </si>
  <si>
    <t>She starts to spin in circles, her dress twirling along with her.</t>
  </si>
  <si>
    <t>Her dress comes up over head and then down to her shoulders, she continues to spin in circles and takes the dress off and holds it like a baby.</t>
  </si>
  <si>
    <t>She goes back to spinning around until her dance is over and then she drops to the floor.</t>
  </si>
  <si>
    <t>v_4rmo35vpG00</t>
  </si>
  <si>
    <t>A woman and girl are trying to get a dog into a shower.</t>
  </si>
  <si>
    <t>The dog keeps jumping back out.</t>
  </si>
  <si>
    <t>They finally give the dog a bath outdoors with a hose.</t>
  </si>
  <si>
    <t>v_2glmVDTPY44</t>
  </si>
  <si>
    <t>A man snowboards over snow covered slopes and hills and several other objects like railings, roofs, garages and tree stumps.</t>
  </si>
  <si>
    <t>A man snowboards over snow covered hill.</t>
  </si>
  <si>
    <t>The man then continues to snowboard off of a garage roof, a stair railing and several other places.</t>
  </si>
  <si>
    <t>The man does a complete spin in the snow in the final shot.</t>
  </si>
  <si>
    <t>v_0bbL30qENMg</t>
  </si>
  <si>
    <t>A boy rinses his face with water in a bathroom sink.</t>
  </si>
  <si>
    <t>The boys laugh and joke together in the bathroom.</t>
  </si>
  <si>
    <t>A boy rubs soap on his hands and then onto his face.</t>
  </si>
  <si>
    <t>The boy rinses the soap off from his face in the sink.</t>
  </si>
  <si>
    <t>The boy rolls up the towel and throws it in the corner of the room.</t>
  </si>
  <si>
    <t>v_VbWomrZXIus</t>
  </si>
  <si>
    <t>An old man flips an skateboard with his feet, then take it and throw to the floor and skate.</t>
  </si>
  <si>
    <t>After, the man hit the skateboard with his foot and it raise high, the man tries to catch the skateboard but he miss it.</t>
  </si>
  <si>
    <t>A boy almost get hit with a skateboard.</t>
  </si>
  <si>
    <t>Then the man skate on the park and then goes to a skateboard track.</t>
  </si>
  <si>
    <t>v_UJiQEkByWcM</t>
  </si>
  <si>
    <t>A young boy in a blue sweater jumps out from the side and stands in front of a dart board.</t>
  </si>
  <si>
    <t>Once he calms down,he turns around and begins throwing darts on the board.</t>
  </si>
  <si>
    <t>After all of the darts are thrown,the camera zooms in on the darts to show what he had done.</t>
  </si>
  <si>
    <t>v_4E8rMLHIpag</t>
  </si>
  <si>
    <t>A man in a black hat is talking to the camera.</t>
  </si>
  <si>
    <t>He starts playing a violin on his shoulder.</t>
  </si>
  <si>
    <t>He stops playing and puts the violin down to his side.</t>
  </si>
  <si>
    <t>v_Yd98o-oEGvI</t>
  </si>
  <si>
    <t>A man and a dog is out in a field and the dog holds the frisbee between his legs and the dog jumps over the person's back and fetches the frisbee.</t>
  </si>
  <si>
    <t>The game continues and the two continues to play with the frisbee while the owner puts his legs up for the dog to get.</t>
  </si>
  <si>
    <t>Now,the human has four or five frisbees and starts to throw them rapidly for the dog to get.</t>
  </si>
  <si>
    <t>v_2YE_8XDuDBI</t>
  </si>
  <si>
    <t>A view of a home is briefly shown.</t>
  </si>
  <si>
    <t>It pans to another room and it shows a small child sitting at a drum set, sucking on a pacifier and holding two drumsticks and hitting the drums.</t>
  </si>
  <si>
    <t>The child hits the cymbals a few times with his left hand then he grabs the drumsticks and starts hitting all of the drums.</t>
  </si>
  <si>
    <t>v_4ELWxQw0PPE</t>
  </si>
  <si>
    <t>Two men are seen holding hands with a ref holding them together and leads into an arm wrestling match.</t>
  </si>
  <si>
    <t>One man wins and then goes on to arm wrestle several more people.</t>
  </si>
  <si>
    <t>v_90cHokbZy6A</t>
  </si>
  <si>
    <t>a man is talking outside in a garden.</t>
  </si>
  <si>
    <t>He is holding a pocket knife in his hand.</t>
  </si>
  <si>
    <t>He uses a stone to sharpen the knife for the camera.</t>
  </si>
  <si>
    <t>v_xOGOd2UJaMY</t>
  </si>
  <si>
    <t>People are standing in a circle clapping.</t>
  </si>
  <si>
    <t>Two people start fighting in the circle.</t>
  </si>
  <si>
    <t>Women are dancing and holding sticks.</t>
  </si>
  <si>
    <t>v_v9vc_d-qFnk</t>
  </si>
  <si>
    <t>An athletic man is seen steeping up to a set of uneven bars and puts his arms up to present he's ready.</t>
  </si>
  <si>
    <t>The man continues to spin himself around performing flips and tricks on the uneven bars.</t>
  </si>
  <si>
    <t>The man continues to flip around and ends by wobbling but putts his hands up to finish.</t>
  </si>
  <si>
    <t>v_jJ5t3ZUxP7Y</t>
  </si>
  <si>
    <t>A man walks over to the end of a table that has a bunch of red cups arranged in a triangle.</t>
  </si>
  <si>
    <t>He begins to toss a ball into the cups.</t>
  </si>
  <si>
    <t>The video goes to black and a graphic appears to close the clip.</t>
  </si>
  <si>
    <t>v_GK_DCUGw5lM</t>
  </si>
  <si>
    <t>A woman in a black shirt is dancing.</t>
  </si>
  <si>
    <t>She is twirling a baton.</t>
  </si>
  <si>
    <t>She catches the baton and twirls.</t>
  </si>
  <si>
    <t>v_r3lN8kgtgw4</t>
  </si>
  <si>
    <t>A group travels to a river, getting into inflatable rafts.</t>
  </si>
  <si>
    <t>They paddle quickly down the river through the raging white rapids and over small waterfalls.</t>
  </si>
  <si>
    <t>They float slowly back as water sprays down on them from a fall.</t>
  </si>
  <si>
    <t>v_zuqNxHmtBD8</t>
  </si>
  <si>
    <t>We see a man's face up close with his name imposed over it as the man prepares to run on a track.</t>
  </si>
  <si>
    <t>The man runs down the track and performs a long jump and throws his arms in the air.</t>
  </si>
  <si>
    <t>We see another man stretching his arms.</t>
  </si>
  <si>
    <t>The jumper waits for the scores to appear on the screen and the man who jumped throws his hands in the air and runs away.</t>
  </si>
  <si>
    <t>A reply of the jump is played.</t>
  </si>
  <si>
    <t>v_mX3gbTBdbKY</t>
  </si>
  <si>
    <t>A group of men are on camera, singing in a video and talking.</t>
  </si>
  <si>
    <t>They are wearing sunglasses as they change from a lot to a paint covered warehouse.</t>
  </si>
  <si>
    <t>A man is covered in paint and wearing boxing gloves as he gloats to the camera.</t>
  </si>
  <si>
    <t>v_TiiSh9R89vM</t>
  </si>
  <si>
    <t>There are two people out on a snow tubing slope where one of them is video taping his experience of snow tubing with his friend.</t>
  </si>
  <si>
    <t>There's a woman who picks up some ice that's fallen o the ground.</t>
  </si>
  <si>
    <t>There are several people waiting in line to go snow tubing.</t>
  </si>
  <si>
    <t>After they reach the top of the slope, they get into their tubes and begin sliding downhill.</t>
  </si>
  <si>
    <t>They go down the snow covered slopes till they reach the bottom.</t>
  </si>
  <si>
    <t>v_3fAVDJyrSQs</t>
  </si>
  <si>
    <t>People are standing around a camp site chopping wood.</t>
  </si>
  <si>
    <t>A boy stands holding a stick.</t>
  </si>
  <si>
    <t>A man throws pieces of wood into a pile.</t>
  </si>
  <si>
    <t>Chairs at the camp site are shown.</t>
  </si>
  <si>
    <t>A man walks towards the camera talking.</t>
  </si>
  <si>
    <t>They continue chopping wood at the camp site.</t>
  </si>
  <si>
    <t>v_Jxhz1ln7UXk</t>
  </si>
  <si>
    <t>A person is seen walking around a yard as well as many people standing.</t>
  </si>
  <si>
    <t>The people then beginning playing a game with one another and running around the yard.</t>
  </si>
  <si>
    <t>The people huddle up together while leading into more shots of people playing the game and speaking to the camera.</t>
  </si>
  <si>
    <t>v_-gZjpAPEhR4</t>
  </si>
  <si>
    <t>A close up of a person's roller blades are shown with a man standing in frame.</t>
  </si>
  <si>
    <t>The person then lights up his blades and jumps in place.</t>
  </si>
  <si>
    <t>The person continues riding around and kicking his feet up while the sparks fly.</t>
  </si>
  <si>
    <t>v_9vzbohxkIKA</t>
  </si>
  <si>
    <t>A person's hand are seen dealing cards onto a table as well as several clips of a casino being shown.</t>
  </si>
  <si>
    <t>More shots are shown of people dealing cards to others as well as people cheering and continuing to deal cards.</t>
  </si>
  <si>
    <t>v_DXIHbnyfNGA</t>
  </si>
  <si>
    <t>A computer monitor sits on a desk.</t>
  </si>
  <si>
    <t>A boy puts on gloves.</t>
  </si>
  <si>
    <t>He then puts on a helmet.</t>
  </si>
  <si>
    <t>He then rides a longboard.</t>
  </si>
  <si>
    <t>v_nK7XMj4gYJs</t>
  </si>
  <si>
    <t>A man is demonstrating a gymnastics performance on two bars.</t>
  </si>
  <si>
    <t>There are spectators watching the performance.</t>
  </si>
  <si>
    <t>A person is photographing the performance.</t>
  </si>
  <si>
    <t>The gymnast jumps off the bars and another gymnast is running towards them.</t>
  </si>
  <si>
    <t>v_yNmV_c3rlLA</t>
  </si>
  <si>
    <t>A man is playing the hand drums in a living room.</t>
  </si>
  <si>
    <t>The man throws his head back.</t>
  </si>
  <si>
    <t>We zoom in on the man's hands.</t>
  </si>
  <si>
    <t>We zoom out and see the whole man.</t>
  </si>
  <si>
    <t>He finishes playing and takes a bow.</t>
  </si>
  <si>
    <t>v__nTjmHQ0-gQ</t>
  </si>
  <si>
    <t>A man springs on a track and jumps onto a dirt area.</t>
  </si>
  <si>
    <t>A second man does the same.</t>
  </si>
  <si>
    <t>A third man follows him.</t>
  </si>
  <si>
    <t>A fourth man goes after him.</t>
  </si>
  <si>
    <t>A fifth man starts to sprint as he holds a long bar.</t>
  </si>
  <si>
    <t>v_WLpjci5dN8s</t>
  </si>
  <si>
    <t>Words are written on the screen.</t>
  </si>
  <si>
    <t>A knife is put into a sharpener and moved back and forth and used on a circular sharpener.</t>
  </si>
  <si>
    <t>A pair of scissors is sharpened on the sharpener.</t>
  </si>
  <si>
    <t>The scissors cut a purple towel and a piece of paper.</t>
  </si>
  <si>
    <t>Words are shown on the screen again.</t>
  </si>
  <si>
    <t>v_lS_bztQjpGM</t>
  </si>
  <si>
    <t>A girl with long blond hair, wearing a blue robe is doing a tutorial on how to use hot rollers in her hair.</t>
  </si>
  <si>
    <t>There is another woman wearing white who is demonstrating how to section out her hair and start putting the rollers in the her one by one.</t>
  </si>
  <si>
    <t>After she's done putting the rollers all over the head, she uses a blow dryer to add some heat to the hair.</t>
  </si>
  <si>
    <t>Then she removes the rollers from the model's hair and starts to run her fingers through the hair.</t>
  </si>
  <si>
    <t>She then parts her hair gently with a brush.</t>
  </si>
  <si>
    <t>She shows how to finish off the look by running her fingers through her hair without using a brush.</t>
  </si>
  <si>
    <t>v_goXkohySkU8</t>
  </si>
  <si>
    <t>A man wearing a black vest holds white disc's in his hand while a border collie stands in front of him.</t>
  </si>
  <si>
    <t>The man steps froward and slaps the white discs on his thigh.</t>
  </si>
  <si>
    <t>The man steps forward switching each foot as the boarder collie runs between the mans legs.</t>
  </si>
  <si>
    <t>The man taps his head with the white disc he crouches and the boarder collie jumps on his back and balances their.</t>
  </si>
  <si>
    <t>The man tosses the the disc over his head and the boarder collie catches it and runs off.</t>
  </si>
  <si>
    <t>v_inw7wXFL9dw</t>
  </si>
  <si>
    <t>Various clips are shown of young people dancing and partying with one another as well as drinking and playing beer pong.</t>
  </si>
  <si>
    <t>More shots are shown of people looking and speaking to the camera while playing pong and drinking beer with one another.</t>
  </si>
  <si>
    <t>v_RpItv2ztook</t>
  </si>
  <si>
    <t>A video of skier on a snowy hill shoots video of themselves as skiing as other skiers go past.</t>
  </si>
  <si>
    <t>The skier goes past the ski lifts as they go around a corner and go past the lifts again.</t>
  </si>
  <si>
    <t>They then turn back around and go under the lift and travel further down hill on a path passing blue fences, a trail marker sign and ending at a lodge.</t>
  </si>
  <si>
    <t>v_zrXTMcKFa5E</t>
  </si>
  <si>
    <t>A child goes and plays in a playplace.</t>
  </si>
  <si>
    <t>She climbs, goes down slides, rocks back and forth, and has general merriment.</t>
  </si>
  <si>
    <t>v_A1k7CSI7aRs</t>
  </si>
  <si>
    <t>Outside as a group looks on, a man lifts a guy onto his shoulder and throws him on a table which breaks.</t>
  </si>
  <si>
    <t>Outside, a male back flips on a trampoline and lands on his face.</t>
  </si>
  <si>
    <t>Two men lay the male down and look at his face, and another person moves a laying individual to look at the male's face.</t>
  </si>
  <si>
    <t>v_cS19K2310Lc</t>
  </si>
  <si>
    <t>A picture is shown of a baby juxtaposed beside a little girl.</t>
  </si>
  <si>
    <t>A woman is seen with a young girl as she speaks.</t>
  </si>
  <si>
    <t>She then has the girl sit down as she proceeds to braid her hair in long, thick pieces.</t>
  </si>
  <si>
    <t>She pins the hair in place, then waves goodbye to the camera.</t>
  </si>
  <si>
    <t>v_Po6tK3rYE8E</t>
  </si>
  <si>
    <t>A man rolls out a sheet of wallpaper from a tube, then a large photo.</t>
  </si>
  <si>
    <t>He applies the sheet and photos to the wall, creating a real life photography mural.</t>
  </si>
  <si>
    <t>He wipes the images onto the wall cleanly.</t>
  </si>
  <si>
    <t>v_eil9mWGJB8E</t>
  </si>
  <si>
    <t>A crowd is gathered around two women who are arm wrestling.</t>
  </si>
  <si>
    <t>The women grab each others hands and push as hard as they can until one of them loses.</t>
  </si>
  <si>
    <t>They redo the arm wrestling.</t>
  </si>
  <si>
    <t>One of the girls lets her hand loose and the other girl opens her mouth in shock.</t>
  </si>
  <si>
    <t>v_XM3SktXBbHU</t>
  </si>
  <si>
    <t>A person is seen in the middle of a large gymnasium jumping around with another man in the middle raising his arms up.</t>
  </si>
  <si>
    <t>The person on silts then jumps over the person with their arms up as well as another.</t>
  </si>
  <si>
    <t>v_1nXLVjfupto</t>
  </si>
  <si>
    <t>Two men are seen standing behind a table speaking to the camera and then hold up various objects to the camera.</t>
  </si>
  <si>
    <t>They use tools on a tin can and then are seen sitting outside holding up more tools.</t>
  </si>
  <si>
    <t>v_YSO5CGeeTmE</t>
  </si>
  <si>
    <t>A band is marching down a street playing drums.</t>
  </si>
  <si>
    <t>A woman in a black hat is standing on the street watching them.</t>
  </si>
  <si>
    <t>People are standing up watching the band.</t>
  </si>
  <si>
    <t>v_JMJp9kFudNA</t>
  </si>
  <si>
    <t>A man is shown running around a field with a dog holding a frisbee into the hair.</t>
  </si>
  <si>
    <t>The man moves around the frisbee with the dog and performs several tricks in slow motion with the dog.</t>
  </si>
  <si>
    <t>He's shown in several more locations from various camera angles performing more and more tricks with the dog.</t>
  </si>
  <si>
    <t>v_Vm07Uu4_iCE</t>
  </si>
  <si>
    <t>A man is seen kneeling down to a tire an then places it on a machine.</t>
  </si>
  <si>
    <t>He continues to use the machine to take the rubber off of the tire and ends by placing it back down.</t>
  </si>
  <si>
    <t>v_zxzBoK5t0XY</t>
  </si>
  <si>
    <t>A horse is seen off in the distance followed by a man speaking to the camera in front of a large group of horses.</t>
  </si>
  <si>
    <t>Various people are then seen riding around on horses through different landscapes and being led by people.</t>
  </si>
  <si>
    <t>The men continue to lead people around on the horses through a large body of water.</t>
  </si>
  <si>
    <t>v_pyeTqpj2EPo</t>
  </si>
  <si>
    <t>A chef is working in a kitchen.</t>
  </si>
  <si>
    <t>He presses buttons on a digital screen.</t>
  </si>
  <si>
    <t>He prepares a large dish of pasta, which he cooks in the machine.</t>
  </si>
  <si>
    <t>v_BIL1t2eQrDU</t>
  </si>
  <si>
    <t>A man is shown talking to a camera followed by him and another woman standing near a volleyball net.</t>
  </si>
  <si>
    <t>The man throws the ball to the girl who bounces it back to him.</t>
  </si>
  <si>
    <t>He continues to speak and demonstrate various volleyball moves to do appropriately.</t>
  </si>
  <si>
    <t>v_1sp7zRy1Rxo</t>
  </si>
  <si>
    <t>A large group of people are sitting around a table and transitions into people sitting on a ski lift.</t>
  </si>
  <si>
    <t>They begin taking turns riding down the snowy mountain and several shots are shown of them riding the lift and down the mountain.</t>
  </si>
  <si>
    <t>v_UcnzlGqUEyA</t>
  </si>
  <si>
    <t>A person picks up a piece of fruit.</t>
  </si>
  <si>
    <t>A brush is shown on the screen.</t>
  </si>
  <si>
    <t>A man is shaving his beard.</t>
  </si>
  <si>
    <t>v_c2ejr7Lci8s</t>
  </si>
  <si>
    <t>A person is seen riding a unicycle in the middle of a forest while holding an instrument.</t>
  </si>
  <si>
    <t>The man continues riding down the path as the camera follows his movements.</t>
  </si>
  <si>
    <t>v_bXT72HACH4I</t>
  </si>
  <si>
    <t>A black screen appears with a red and white logo on the upper left, black and white words going diagonal on the upper middle that read "SOKOL DOBRIS" and the bottom have purple and white words that read "ROPE SKIPPING".</t>
  </si>
  <si>
    <t>Next shown is a still shot of black shirt with the logo on the upper left of the chest and the word "DOBRIS" under it and a red and white jump rope is on top of it.</t>
  </si>
  <si>
    <t>There are 4 different people standing on an indoor court, and 3 are holding ends of 2 different jump ropes and 1 person is rope jumping.</t>
  </si>
  <si>
    <t>Various clips of people rope jumping play and sometimes there's just 1 person jumping alone, but most times there are between 2 and 4 and a lot of times they are alternating between jumping and holding the rope.</t>
  </si>
  <si>
    <t>The clips of videos ends and various still shot pictures involving rope jumping are shown on the screen and a black screen appears when the pictures are done and the purple and white letters appear on the screen that say "ROPE SKIPPING".</t>
  </si>
  <si>
    <t>v_9MGnF59gZfM</t>
  </si>
  <si>
    <t>A man with a bow and arrow is practicing his aim and form.</t>
  </si>
  <si>
    <t>He shoots an arrow and grabs another one from behind hm and gets ready to shoot again.</t>
  </si>
  <si>
    <t>He pulls back the string on the bow and releases it along with the arrow.</t>
  </si>
  <si>
    <t>He continues this routine over and over, practicing for perfection.</t>
  </si>
  <si>
    <t>v_fGDVlbI90pw</t>
  </si>
  <si>
    <t>A young girl wearing a gray sweater with long red colored hair is brushing her hair.</t>
  </si>
  <si>
    <t>She is using a silver paddle brush to remove the knots from her hair and de-tangle it as she brushes it through.</t>
  </si>
  <si>
    <t>She suddenly begins to scream as she brushes her hair.</t>
  </si>
  <si>
    <t>v_OkMH4AlF8hQ</t>
  </si>
  <si>
    <t>A young child is seen holding an ice cream cone and speaking to the camera while smiling.</t>
  </si>
  <si>
    <t>She speaks to the camera man holding a doll in the other hand, then sits down on the ground.</t>
  </si>
  <si>
    <t>v_BUhpWV98EjM</t>
  </si>
  <si>
    <t>A woman and a man are standing outside doing some interesting techniques with one another.</t>
  </si>
  <si>
    <t>They seem to work well with one another moving in sync of or less never hitting the other.</t>
  </si>
  <si>
    <t>They are doing some type of karate or something.</t>
  </si>
  <si>
    <t>The one grabs the man intensely and hugs him it looked they wanted to kiss but they didn't.</t>
  </si>
  <si>
    <t>v_EE2nFMHRacg</t>
  </si>
  <si>
    <t>A group of elderly people are seated on chairs outside.</t>
  </si>
  <si>
    <t>A man is playing a tune using a stick and a saw.</t>
  </si>
  <si>
    <t>The men next to him are holding instruments, waiting their turn.</t>
  </si>
  <si>
    <t>v_xeOHoiH-dmo</t>
  </si>
  <si>
    <t>A playground is shown and a back yard as the camera pans over to a window on a roof.</t>
  </si>
  <si>
    <t>The video shows various pictures on how to fix a roof and the man pans over the window again with material.</t>
  </si>
  <si>
    <t>He places various objects around the window and shows more pictures of the roof with the finished product.</t>
  </si>
  <si>
    <t>v_NnW_1eQV9GU</t>
  </si>
  <si>
    <t>A rodeo rider comes out of the gate on a bull and gets thrown off.</t>
  </si>
  <si>
    <t>The rodeo clowns distract the bull as the rider gets to safety.</t>
  </si>
  <si>
    <t>A clown gets hurt and goes for treatment from a pretty lady.</t>
  </si>
  <si>
    <t>A group of men on horses talk and as they ride away, the clown restarts his job in the ring.</t>
  </si>
  <si>
    <t>The clown gets injured again as he jumps over a bulls head and the other clowns help him up.</t>
  </si>
  <si>
    <t>v_WWhL75t7p8A</t>
  </si>
  <si>
    <t>A large group of people are seen holding a rope while two more walk into frame and the camera closes in on the people.</t>
  </si>
  <si>
    <t>The camera continues to pan around the people and leads into a match of tug of war and the women celebrating.</t>
  </si>
  <si>
    <t>v_cYMweZa5J1I</t>
  </si>
  <si>
    <t>Guys stand or sit around their dirt bikes.</t>
  </si>
  <si>
    <t>Guys are riding their dirt bikes.</t>
  </si>
  <si>
    <t>A guy takes off his upper body armor while sitting on his dirt bike.</t>
  </si>
  <si>
    <t>v_sn1OtmEJxng</t>
  </si>
  <si>
    <t>A long line of bikers are shown in the dark at an event.</t>
  </si>
  <si>
    <t>A man is speaking onstage to the people as they prepare for the main event.</t>
  </si>
  <si>
    <t>The people run and jog past the cheering crowd, until the reach the finish line, where they stop to talk and hold up the rope they tore down.</t>
  </si>
  <si>
    <t>v_lzb6HHN59K4</t>
  </si>
  <si>
    <t>A dog owner takes three dogs to a dog cleaning service and company where the dogs are washed and dried.</t>
  </si>
  <si>
    <t>Three dogs are shown getting dirty by waking in mud puddles and through dirt and grass.</t>
  </si>
  <si>
    <t>The dogs are then loaded in a vehicle and taken to a dog washing company where they are placed in wash sinks.</t>
  </si>
  <si>
    <t>All three dogs are washed and dried by people after which the people are shown cleaning the area where the dogs were washed.</t>
  </si>
  <si>
    <t>v_UomiLRs--C8</t>
  </si>
  <si>
    <t>A man is begining to weld.</t>
  </si>
  <si>
    <t>He starts to weld a piece of metal onto a frame.</t>
  </si>
  <si>
    <t>He finishes his weld and backs away.</t>
  </si>
  <si>
    <t>v_Sfdj_kMDUh8</t>
  </si>
  <si>
    <t>A man is unrolling carpet onto the floor.</t>
  </si>
  <si>
    <t>He is on his knees cutting the carpet.</t>
  </si>
  <si>
    <t>He is putting glue onto the floor.</t>
  </si>
  <si>
    <t>He then lays the carpet down on top of it and smooths it out.</t>
  </si>
  <si>
    <t>He then vacuums the carpet when he is finished.</t>
  </si>
  <si>
    <t>v_gC4B1Az2Mk0</t>
  </si>
  <si>
    <t>A little boy is seated on the floor with a cup and a spoon.</t>
  </si>
  <si>
    <t>He is eating a white substance as his mother comes to check on him.</t>
  </si>
  <si>
    <t>He continues eating slowly as she walks past.</t>
  </si>
  <si>
    <t>v_iBEUNOMTr8M</t>
  </si>
  <si>
    <t>A couple of women are talking as they stand in a backyard.</t>
  </si>
  <si>
    <t>They are holding moss killer attached to hoses.</t>
  </si>
  <si>
    <t>The women spray the moss killer onto the roof of a shed, killing the growth with the liquid.</t>
  </si>
  <si>
    <t>They then hold up the moss killer strips in a box.</t>
  </si>
  <si>
    <t>v_a0hFDXB1RgY</t>
  </si>
  <si>
    <t>A man is sitting in a kayak in the river while speaking to the camera about his trip.</t>
  </si>
  <si>
    <t>He moves slowly in the water while giving instructions on how to properly move the kayak.</t>
  </si>
  <si>
    <t>He begins paddling up the stream and showing what to do if you get stuck.</t>
  </si>
  <si>
    <t>v_YDIRaWzfyYY</t>
  </si>
  <si>
    <t>man is talking to a camera and holding a knife and some magazines.</t>
  </si>
  <si>
    <t>man holds the knife and shavea small piece of his arm.</t>
  </si>
  <si>
    <t>man grabs some rocks from a cup of water and sharp the knife.</t>
  </si>
  <si>
    <t>man use the knife to cut the magazine.</t>
  </si>
  <si>
    <t>v_b7fs8OAJzQk</t>
  </si>
  <si>
    <t>A man is seen in the ocean waters.</t>
  </si>
  <si>
    <t>He is riding a pair of water skis.</t>
  </si>
  <si>
    <t>He is being drug by a boat as he skis through the waves.</t>
  </si>
  <si>
    <t>v_RMrL2txm79c</t>
  </si>
  <si>
    <t>A person washes and cuts open a pumpkin.</t>
  </si>
  <si>
    <t>The person cleans to the insides and draws a face on the pumpkin.</t>
  </si>
  <si>
    <t>They carve the face to make a jackolantern.</t>
  </si>
  <si>
    <t>We then see the carved pumpkin with a candle inside and the closing screen.</t>
  </si>
  <si>
    <t>v_TxLBvNWVk-4</t>
  </si>
  <si>
    <t>We see a series of bowling bloopers.</t>
  </si>
  <si>
    <t>We see a baby throw a ball and an adult fall.</t>
  </si>
  <si>
    <t>We see a lady fall while sitting on a bench.</t>
  </si>
  <si>
    <t>We see a man put a bowling ball in a cannon and shoot it across a field.</t>
  </si>
  <si>
    <t>v_0gm_g4rYCic</t>
  </si>
  <si>
    <t>A large group is inside a raft on a river.</t>
  </si>
  <si>
    <t>A man in a kayak is next to them.</t>
  </si>
  <si>
    <t>They float into the rapids, trying to go through them.</t>
  </si>
  <si>
    <t>v_tL90IPP3hbA</t>
  </si>
  <si>
    <t>A logo is seen and captions are shown on the screen.</t>
  </si>
  <si>
    <t>Trees and mulch are shown with a slight breeze.</t>
  </si>
  <si>
    <t>Several people are shown planting a tree.</t>
  </si>
  <si>
    <t>The people are spreading mulch around the tree.</t>
  </si>
  <si>
    <t>Several logos are shown on the screen.</t>
  </si>
  <si>
    <t>v_bghOBRA0z-Y</t>
  </si>
  <si>
    <t>A man gives a harmonica lesson with closeups and basically a way to tell about how to play the harmonica.</t>
  </si>
  <si>
    <t>The man introduces other types of harmonicas as well.</t>
  </si>
  <si>
    <t>v_yUHN5TIprwk</t>
  </si>
  <si>
    <t>A text intro leads into a person seen sitting on an exercise bike.</t>
  </si>
  <si>
    <t>The person speaks to a class she is speaking while peddling her feet.</t>
  </si>
  <si>
    <t>The woman continues moving her feet as well as others in the class.</t>
  </si>
  <si>
    <t>v_Lh50gF5l0dw</t>
  </si>
  <si>
    <t>A man wearing a blue shirt is throwing the shot put.</t>
  </si>
  <si>
    <t>He is going in a circular motion on a red circle painted on the ground.</t>
  </si>
  <si>
    <t>He throws the shot put into the air.</t>
  </si>
  <si>
    <t>Another man is swinging in circular motion, ready to throw the shot put.</t>
  </si>
  <si>
    <t>v_I9wra8bj2sg</t>
  </si>
  <si>
    <t>A horseman throws a rope to catch a calf while people watch.</t>
  </si>
  <si>
    <t>Intermediately, the man get down the horse and tie the calf.</t>
  </si>
  <si>
    <t>Men walks behind the horse.</t>
  </si>
  <si>
    <t>After, the man get in the horse.</t>
  </si>
  <si>
    <t>v_0-kEI13BtcY</t>
  </si>
  <si>
    <t>Ducks are swimming in the water.</t>
  </si>
  <si>
    <t>People are moving dirt around in a park.</t>
  </si>
  <si>
    <t>A woman in a black shirt and glasses talks to the camera.</t>
  </si>
  <si>
    <t>People are raking the dirt around.</t>
  </si>
  <si>
    <t>Different people are talking to the camera.</t>
  </si>
  <si>
    <t>The people continue to landscape at the park.</t>
  </si>
  <si>
    <t>v_C1kmoJttp4M</t>
  </si>
  <si>
    <t>A still shot picture of an omelette being poured out of a pan and onto a white plate appears and the white text on it say's "How to make an omelette".</t>
  </si>
  <si>
    <t>A white screen with a clipart of red lion wearing a crown appears and the blue words "British Lion Quality are around he lion.</t>
  </si>
  <si>
    <t>A woman is now in the kitchen standing in front of a pan on a stove, she turns the oven on, grabs a large measuring cup and begins cracking eggs into it then adds various other ingredients to the eggs, and then whisks it all up.</t>
  </si>
  <si>
    <t>The woman then puts butter in the pan, melts it all around, then pours her egg mix into the pan.</t>
  </si>
  <si>
    <t>The woman grabs her wooden spatula and starts manipulating the eggs in the pan making sure it doesn't stick and that it cooks thoroughly.</t>
  </si>
  <si>
    <t>The woman then takes the egg to the white plate and folds it onto it then adds a handful of greens next to it.</t>
  </si>
  <si>
    <t>A white screen appears with the red clipart lion in the middle and the blue words "British Lion Quality" going around it.</t>
  </si>
  <si>
    <t>v_ez9uLqGV7AA</t>
  </si>
  <si>
    <t>A man is skateboarding down a sidewalk.</t>
  </si>
  <si>
    <t>He does a flip on the skateboard.</t>
  </si>
  <si>
    <t>He falls off the skateboard onto the ground.</t>
  </si>
  <si>
    <t>v_tD30qafrkhM</t>
  </si>
  <si>
    <t>A man and woman are having sex and kissing inside a shower.</t>
  </si>
  <si>
    <t>She pushes him away and starts crying.</t>
  </si>
  <si>
    <t>A couple is having sex on a bed.</t>
  </si>
  <si>
    <t>The woman pulls out a feather and licks it.</t>
  </si>
  <si>
    <t>She rubs it on the mans face.</t>
  </si>
  <si>
    <t>She has a knife and rubs it down his chest.</t>
  </si>
  <si>
    <t>She looks up at him and lights a cigarette.</t>
  </si>
  <si>
    <t>She lays on her back and laughs.</t>
  </si>
  <si>
    <t>The woman is talking and laughing while holding a snake.</t>
  </si>
  <si>
    <t>The woman is talking to someone.</t>
  </si>
  <si>
    <t>A table with food on it is shown.</t>
  </si>
  <si>
    <t>A wine glass is given to a man by the woman.</t>
  </si>
  <si>
    <t>He denies the drink and she takes a sip.</t>
  </si>
  <si>
    <t>They begin to kiss each other.</t>
  </si>
  <si>
    <t>v_ZeUNeRiU6YY</t>
  </si>
  <si>
    <t>The camera follows a person in red pants snowboarding down a slope.</t>
  </si>
  <si>
    <t>The camera briefly pans away from the woman to focus on the slope.</t>
  </si>
  <si>
    <t>The camera pans away from the woman to focus on the slope.</t>
  </si>
  <si>
    <t>v_-K_cgWfJxiU</t>
  </si>
  <si>
    <t>A man is seen speaking to the camera holding a paddle and sitting in a kayak.</t>
  </si>
  <si>
    <t>The man then paddles himself around the area on the kayak flipping around and looking to the camera.</t>
  </si>
  <si>
    <t>v_injaml6fr7s</t>
  </si>
  <si>
    <t>A woman rides a horse in an indoor barn while playing a game of solo polo.</t>
  </si>
  <si>
    <t>A woman rides a horse in an indoor barn and plays polo while holding a polo stick and chasing a red ball in the indoor setting.</t>
  </si>
  <si>
    <t>The woman hits at the ball while riding the horse in circles.</t>
  </si>
  <si>
    <t>the woman rides the horse until the sun begins to set and the scene gets darker and darker.</t>
  </si>
  <si>
    <t>v_CUJJViubZ9c</t>
  </si>
  <si>
    <t>Wrestlers are fighting in a ring.</t>
  </si>
  <si>
    <t>A man is picked up and thrown down by other men.</t>
  </si>
  <si>
    <t>A man falls on a table and breaks it.</t>
  </si>
  <si>
    <t>v_8fLHaW3YvJY</t>
  </si>
  <si>
    <t>A man wearing glasses is standing outside in the snow with some gadgets talking.</t>
  </si>
  <si>
    <t>He brings forward the blue large shovel looking gadget, still talking and then grabs another shovel.</t>
  </si>
  <si>
    <t>He throws the shovel and then walks to demonstrate how to shovel up the snow.</t>
  </si>
  <si>
    <t>He continues to talk and then starts using the shovel gadget again.</t>
  </si>
  <si>
    <t>He shovels piles out some piles of snow.</t>
  </si>
  <si>
    <t>v_WkWCbz54JSU</t>
  </si>
  <si>
    <t>People are standing in a bull ring.</t>
  </si>
  <si>
    <t>A bull starts chasing a man holding a colorful blanket.</t>
  </si>
  <si>
    <t>Two horses are dragging a bull off the arena.</t>
  </si>
  <si>
    <t>v_Nd209mI-wq0</t>
  </si>
  <si>
    <t>man is sitting in a music store playing an acoustic guitar and talking to the camera showing the ibanez guitar.</t>
  </si>
  <si>
    <t>man starts playing the guitar showing how the guitar sounds connected to an amplifier.</t>
  </si>
  <si>
    <t>v_vmFfa1yv72k</t>
  </si>
  <si>
    <t>Several peoples outfits are being panned from the bottom up.</t>
  </si>
  <si>
    <t>Then a group of cups are on the table and they begin playing beer pong with a group of people.</t>
  </si>
  <si>
    <t>Several rooms and couples are shown and the ball is thrown in a cup.</t>
  </si>
  <si>
    <t>Once done,the camera pans out and you can see the couples are competing against each other in a room together.</t>
  </si>
  <si>
    <t>Couples come back and more beer pong games come back.</t>
  </si>
  <si>
    <t>v_e__FVkfXB-U</t>
  </si>
  <si>
    <t>A man is throwing a blue frisbee and a dog is chasing after it.</t>
  </si>
  <si>
    <t>The dog is jumping over the man kneeling down on the grass.</t>
  </si>
  <si>
    <t>They continue to play frisbee with the dog.</t>
  </si>
  <si>
    <t>v_hJI5PEg2UuA</t>
  </si>
  <si>
    <t>This elderly man is standing up cutting the red tomato into slices.</t>
  </si>
  <si>
    <t>He is in the kitchen cutting the tomato using a cheap knife.</t>
  </si>
  <si>
    <t>It looks hard for him trying to use a knife that barely does anything to try and cut the tomato, but the difference shows in good products.</t>
  </si>
  <si>
    <t>v_DLlooZTLPdI</t>
  </si>
  <si>
    <t>Several bikers are riding back and for the at a festival in the dessert.</t>
  </si>
  <si>
    <t>A man dressed in women's clothing comes onto the screen and begins to hula hoop while a camera is attached to the hula hoop.</t>
  </si>
  <si>
    <t>Several other people perform inside the hula hoop camera while the music plays.</t>
  </si>
  <si>
    <t>Then several people are shown waling up to the hula hoop camera getting ready to hula hoop.</t>
  </si>
  <si>
    <t>The man that is dressed as a woman gives some one a hug.</t>
  </si>
  <si>
    <t>The video ends with people riding on a bicycle while the camera is attached to the bike.</t>
  </si>
  <si>
    <t>v_lIqAkmaXnXg</t>
  </si>
  <si>
    <t>A woman is sitting on a chair while she pulls thin art foil pieces from a small table in front of her, and applies it to a small dresser that is also in front of her.</t>
  </si>
  <si>
    <t>The woman then takes her brush and begins brushing all of the pieces of foils on the top drawer while holding a hand under it to catch all the pieces that fall.</t>
  </si>
  <si>
    <t>The woman then closes the drawer and brushes it some more.</t>
  </si>
  <si>
    <t>v_N8nv95D4-pw</t>
  </si>
  <si>
    <t>A woman is in a gym talking.</t>
  </si>
  <si>
    <t>the woman demonstrates how to do an exercise with a step.</t>
  </si>
  <si>
    <t>v_j5Fq7Y8EJk8</t>
  </si>
  <si>
    <t>A man rides a jetski on a river with the camera at a distance.</t>
  </si>
  <si>
    <t>The man jetskis while holding the camera at arm's length.</t>
  </si>
  <si>
    <t>The man is shown waterskiing while pulled by the jetski.</t>
  </si>
  <si>
    <t>The man falls and is briefly submerged.</t>
  </si>
  <si>
    <t>v_9qgO4EQiQzI</t>
  </si>
  <si>
    <t>A person is seen placing a mat down on a floor with various tools laid out around him.</t>
  </si>
  <si>
    <t>He measures the floor with a ruler followed by him putting plaster down on the floor and putting the mat back down.</t>
  </si>
  <si>
    <t>v_RJ5U2y6ccvA</t>
  </si>
  <si>
    <t>A young baby is outside in murky water holding on to a white bar.</t>
  </si>
  <si>
    <t>Two men push him and he is shown riding a water vehicle being pulled by some type of thing.</t>
  </si>
  <si>
    <t>As he moves,a woman is on the side of him following him and stopping him along the way making sure he is okay.</t>
  </si>
  <si>
    <t>v_sbvk9FNaAH0</t>
  </si>
  <si>
    <t>A hand is seen playing with a machine followed by shots of a beach and a young boy carrying a wind sail.</t>
  </si>
  <si>
    <t>Many people stand on the beach walking around and leading into a man pulling up a sail on a boat and people preparing to wind surf.</t>
  </si>
  <si>
    <t>Several shots are shown of people riding along the water with a kite as well as people on a boat and various landscapes.</t>
  </si>
  <si>
    <t>In the end a shot of a sunset is shown.</t>
  </si>
  <si>
    <t>v_3xUAyMuqBrQ</t>
  </si>
  <si>
    <t>A man is putting ingredients into a pan.</t>
  </si>
  <si>
    <t>He stirs it together over a stove.</t>
  </si>
  <si>
    <t>He puts it on a plate and shows the camera.</t>
  </si>
  <si>
    <t>v_a6lCnOqNaMY</t>
  </si>
  <si>
    <t>A man is running down the track.</t>
  </si>
  <si>
    <t>He throws a javelin onto the field.</t>
  </si>
  <si>
    <t>The audience is behind him in the stands watching.</t>
  </si>
  <si>
    <t>v_eZ_IOp638kQ</t>
  </si>
  <si>
    <t>An athletic man is seen running to throw a ball and another person hits it into the audience.</t>
  </si>
  <si>
    <t>More clips are shown of people playing the game on the field with the audience cheers and players move around the field.</t>
  </si>
  <si>
    <t>v_FXb8rBMvol4</t>
  </si>
  <si>
    <t>People are coming off of a van holding snowboards.</t>
  </si>
  <si>
    <t>A man straps his snowboard on.</t>
  </si>
  <si>
    <t>Several people are snowboarding down a hill.</t>
  </si>
  <si>
    <t>A man in goggles talks.</t>
  </si>
  <si>
    <t>A woman holds a child up to kiss a man.</t>
  </si>
  <si>
    <t>People are snowboarding down a hill.</t>
  </si>
  <si>
    <t>A man talks to the camera.</t>
  </si>
  <si>
    <t>Several people do tricks on their snowboards.</t>
  </si>
  <si>
    <t>A man talks to the camera again.</t>
  </si>
  <si>
    <t>Several more people are snowboarding and talking.</t>
  </si>
  <si>
    <t>A man with a beard talks to the camera.</t>
  </si>
  <si>
    <t>A man takes off his snowboard.</t>
  </si>
  <si>
    <t>v_e2fXKrG2BkY</t>
  </si>
  <si>
    <t>Two boys in blue karate suits and red belts are standing on a stage in a school cafeteria and they are doing a karate routine in unison.</t>
  </si>
  <si>
    <t>When they are done, they turn to one another, bow, and do some karate matches that involve gently throwing one another to ground and when done with the matches they each take a bow facing the crowd.</t>
  </si>
  <si>
    <t>The boys then start another karate routine and they are doing various moves with their arms and legs while doing them in unison as much as possible.</t>
  </si>
  <si>
    <t>When done they both take a bow facing the crowd and they both run off the school stage.</t>
  </si>
  <si>
    <t>v_L_fvvmvV-Tc</t>
  </si>
  <si>
    <t>A man and a little boy are mowing a lawn.</t>
  </si>
  <si>
    <t>The man pushes the real mower back and forth.</t>
  </si>
  <si>
    <t>The little boy follows him with a toy mower.</t>
  </si>
  <si>
    <t>v_Z6xXj6tbMCo</t>
  </si>
  <si>
    <t>A man is seen doing various flips and tricks on a gym floor while others practice behind him.</t>
  </si>
  <si>
    <t>The man continues slipping around the room while people walking him stop and watch.</t>
  </si>
  <si>
    <t>v_nmUJ2GfVkKY</t>
  </si>
  <si>
    <t>An athlete performs a long jump at a professional sports event as onlookers watch and clap.</t>
  </si>
  <si>
    <t>A man in an athletic outfit and a paper number pinned to his chest paces on a sports field.</t>
  </si>
  <si>
    <t>The man runs a distance and performs a long jump.</t>
  </si>
  <si>
    <t>The man smiles and paces after the long jump as a British flag waves in the background and a template of his score goes across the screen along with slow motion re-inactments.</t>
  </si>
  <si>
    <t>The man takes his shoes off while sitting on a bench.</t>
  </si>
  <si>
    <t>v_Fp8e9dbWeSg</t>
  </si>
  <si>
    <t>A group of people are seen riding in bumper cars and running into one another.</t>
  </si>
  <si>
    <t>The people keep bumping into each other and driving around and then stop to climb out of the cars.</t>
  </si>
  <si>
    <t>v_qGf6earGAOc</t>
  </si>
  <si>
    <t>People are driving in a car down the street.</t>
  </si>
  <si>
    <t>A man is wake boarding in water full of berries.</t>
  </si>
  <si>
    <t>A van is driving on a road by the water.</t>
  </si>
  <si>
    <t>v_8j75QYV-iCg</t>
  </si>
  <si>
    <t>a young girl in a yellow outfit poses with a baton.</t>
  </si>
  <si>
    <t>She begins to dance, twirling the baton as she goes.</t>
  </si>
  <si>
    <t>The girl spins, sits, slides, and twirls as she performs.</t>
  </si>
  <si>
    <t>She falls to the ground in a pose and smiles as she finishes.</t>
  </si>
  <si>
    <t>v_Q_v6MdHJ7Go</t>
  </si>
  <si>
    <t>A man is seen kneeling on a floor and puts his hands behind his head.</t>
  </si>
  <si>
    <t>He then bends his body forward and performs several jumps onto his feet.</t>
  </si>
  <si>
    <t>v_OIA7lPraPSM</t>
  </si>
  <si>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t>
  </si>
  <si>
    <t>Two of the guys are stopped on a road and then all of a sudden one of them picks up a skateboard and throws it very hard against the wall.</t>
  </si>
  <si>
    <t>The guys are shown skateboarding again and this time they are wearing helmets as they skateboard down the roads in this city going very fast and doing multiple various tricks.</t>
  </si>
  <si>
    <t>v_9cD-Z6Aw7bE</t>
  </si>
  <si>
    <t>We see young ladies hug each other on a track.</t>
  </si>
  <si>
    <t>We then see replay from their run.</t>
  </si>
  <si>
    <t>A lady swings her arms as she finishes.</t>
  </si>
  <si>
    <t>We see a 4 ladies throwing the hammer.</t>
  </si>
  <si>
    <t>A lady hugs someone after her thrown.</t>
  </si>
  <si>
    <t>A lady hugs a woman and a man.</t>
  </si>
  <si>
    <t>v__dp7ZH3Upuw</t>
  </si>
  <si>
    <t>A small boy swings out off a large piece of playground equipment.</t>
  </si>
  <si>
    <t>He swings across the bars, trying to hold on.</t>
  </si>
  <si>
    <t>He makes it all the way to the end before jumping off.</t>
  </si>
  <si>
    <t>v_rSTXxDLYxTQ</t>
  </si>
  <si>
    <t>A close up of shoes are shown followed by a person holding the shoes and rubbing polish around the shoes.</t>
  </si>
  <si>
    <t>The man then rubs polish into the other shoe on the table as well as back to the one he started on.</t>
  </si>
  <si>
    <t>He takes a brush and uses it on the shoe, ending with him grabbing the camera.</t>
  </si>
  <si>
    <t>v_tYV23sjRgt8</t>
  </si>
  <si>
    <t>This woman is showing viewers how to make a whiskey sour.</t>
  </si>
  <si>
    <t>First she pours one ounce of whiskey over ice into the ross glass.</t>
  </si>
  <si>
    <t>Then she pours citrus into the glass and puts a straw into it.</t>
  </si>
  <si>
    <t>v_y47RXYfefvQ</t>
  </si>
  <si>
    <t>A man is in a snowy parking lot.</t>
  </si>
  <si>
    <t>He is using a brush to wipe snow off the back windshielf of his car.</t>
  </si>
  <si>
    <t>He glances at the camera, then keeps wiping.</t>
  </si>
  <si>
    <t>v_74qSBsksI-E</t>
  </si>
  <si>
    <t>A man is seen speaking to the camera and begins holding a razor up to his face.</t>
  </si>
  <si>
    <t>The man then shaves his face around the sides and ends by still speaking to the camera.</t>
  </si>
  <si>
    <t>v_JhiX65Okpt0</t>
  </si>
  <si>
    <t>A woman is performing partial arts moves with a man on a stage.</t>
  </si>
  <si>
    <t>A band plays instruments in the background.</t>
  </si>
  <si>
    <t>The two spin, flip, and kick, taking turns.</t>
  </si>
  <si>
    <t>v_rxwmIyvVVUU</t>
  </si>
  <si>
    <t>A lady plays pool alone indoors.</t>
  </si>
  <si>
    <t>The white ball falls off the pool table.</t>
  </si>
  <si>
    <t>The lady picks up the white ball from the floor.</t>
  </si>
  <si>
    <t>v_ilX9ntIzaoQ</t>
  </si>
  <si>
    <t>We see a man run and jump on a raft as it slides down a long snowy hill.</t>
  </si>
  <si>
    <t>The raft stops and the cameraman gets up and walks around while filming the ground.</t>
  </si>
  <si>
    <t>A hand then covers the camera.</t>
  </si>
  <si>
    <t>v_Q_Rufuciohg</t>
  </si>
  <si>
    <t>An older woman peels a potato over a table.</t>
  </si>
  <si>
    <t>She sets the knife down on the table.</t>
  </si>
  <si>
    <t>v_3VoIt9XkPEM</t>
  </si>
  <si>
    <t>People are floating down a river in tubes.</t>
  </si>
  <si>
    <t>A person's feet are shown on a tube.</t>
  </si>
  <si>
    <t>People are standing on the short next to their tubes.</t>
  </si>
  <si>
    <t>v_bdKB3QYNFbc</t>
  </si>
  <si>
    <t>men are in a dust racetrack riding bikes doing tricks.</t>
  </si>
  <si>
    <t>little kids are going down a slide in a dust pathway.</t>
  </si>
  <si>
    <t>v_wV2c3sdctbs</t>
  </si>
  <si>
    <t>A boy is explaining how to put on toes shoes on his left foot.</t>
  </si>
  <si>
    <t>Then, the boy raise the right foot and take out the toe shoe and continue explaining.</t>
  </si>
  <si>
    <t>v_9xOUoTQLea4</t>
  </si>
  <si>
    <t>A person makes a pot of coffee.</t>
  </si>
  <si>
    <t>The person then adds a bunch of sugary products to it.</t>
  </si>
  <si>
    <t>The man drinks it and then calls people from a smart phone.</t>
  </si>
  <si>
    <t>v_5iQsKA84vWo</t>
  </si>
  <si>
    <t>There two women boxers competing in kickboxing against each other in a boxing event.</t>
  </si>
  <si>
    <t>The referee is standing next to them.</t>
  </si>
  <si>
    <t>There are several spectators watching the boxers compete.</t>
  </si>
  <si>
    <t>After the referee gives a go, the contestants begin the match.</t>
  </si>
  <si>
    <t>The crowd cheers for them as they compete.</t>
  </si>
  <si>
    <t>The boxer in the black uniform punches the boxer in red and makes her fall down.</t>
  </si>
  <si>
    <t>The boxer in red kicks her opponent.</t>
  </si>
  <si>
    <t>The boxer in black strikes back at her opponent and the boxer in red punches her face.</t>
  </si>
  <si>
    <t>The referee declares the boxer in black as the winner and crowd applauds her victory.</t>
  </si>
  <si>
    <t>v_8B4M8AsGZmQ</t>
  </si>
  <si>
    <t>A camera pans around a person standing and leads into him looking off into the distance and carrying gear.</t>
  </si>
  <si>
    <t>The man suits up as the camera shows close ups of his board.</t>
  </si>
  <si>
    <t>The man is then seen doing numerous tricks over the water while following behind a boat.</t>
  </si>
  <si>
    <t>v_0ufZs4e24Xs</t>
  </si>
  <si>
    <t>Two men are boxing inside a gym.</t>
  </si>
  <si>
    <t>The two men kick and alternate blows with punches.</t>
  </si>
  <si>
    <t>v_dXdhOe0DPC4</t>
  </si>
  <si>
    <t>A woman is sanding a book shelf with a sander.</t>
  </si>
  <si>
    <t>She touches the sanded portion with her hand.</t>
  </si>
  <si>
    <t>She stands next to the shelf talking.</t>
  </si>
  <si>
    <t>v_LZ1142kuCnI</t>
  </si>
  <si>
    <t>A person is seen walking around a room carrying a broom.</t>
  </si>
  <si>
    <t>She pushes it along the wall beside her.</t>
  </si>
  <si>
    <t>In the end she turns around and pushes it back.</t>
  </si>
  <si>
    <t>v_SLPD1U5iDjY</t>
  </si>
  <si>
    <t>A woman is seen outside playing a game of beach volley ball serving it over the net in slow motion.</t>
  </si>
  <si>
    <t>It makes it over the net and the other team of two balls is able to hit it back over the net.</t>
  </si>
  <si>
    <t>Both pairs of people continue to play the game and eventually the side with the man and woman on the team end up winning.</t>
  </si>
  <si>
    <t>v_kMHMdqkGRB4</t>
  </si>
  <si>
    <t>A gymnast is seen standing before a large beam and putting his hands up in the air.</t>
  </si>
  <si>
    <t>He then performs a gymnasts routine while swinging himself all around the bar and ends by jumping down.</t>
  </si>
  <si>
    <t>v_cJyl4yqFuK0</t>
  </si>
  <si>
    <t>A young child is seen sitting next to a tub and bending over the side.</t>
  </si>
  <si>
    <t>A person speaks to her on the side while she looks back to the camera.</t>
  </si>
  <si>
    <t>She bends further into the sink then moves back to the camera to look.</t>
  </si>
  <si>
    <t>v_66BGqvwHbUw</t>
  </si>
  <si>
    <t>A camera zooms in on a person playing guitar and leads into a man speaking.</t>
  </si>
  <si>
    <t>Several more shots of people playing guitar and guitars on walls are shown as well as the same man speaking to the camera.</t>
  </si>
  <si>
    <t>v_erxnWYOO1ew</t>
  </si>
  <si>
    <t>We see a man jumping on jump stilts.</t>
  </si>
  <si>
    <t>We see a person sitting in the yard.</t>
  </si>
  <si>
    <t>The man on the stilts stops and turns around towards the camera.</t>
  </si>
  <si>
    <t>v_wO9DGYTAX70</t>
  </si>
  <si>
    <t>Slow motion shows of people riding horses over jumps are shown that lead into a woman speaking to the camera with a horse behind her.</t>
  </si>
  <si>
    <t>The woman then wears a glove and brushes the horse all over while the capture captures her movements and the horse.</t>
  </si>
  <si>
    <t>She brushes the back of it's tail and finishes around it's belly.</t>
  </si>
  <si>
    <t>v_Q2PC60uwjdY</t>
  </si>
  <si>
    <t>Beets are being chopped up on a chopping block.</t>
  </si>
  <si>
    <t>They are put in a pan and covered with water.</t>
  </si>
  <si>
    <t>Kale is being chopped up on a cutting board.</t>
  </si>
  <si>
    <t>It is tossed in salt for a few minutes.</t>
  </si>
  <si>
    <t>Carrots are grated over the kale.</t>
  </si>
  <si>
    <t>A tomato is diced and mixed with dressing.</t>
  </si>
  <si>
    <t>This is then poured over the kale.</t>
  </si>
  <si>
    <t>A man takes a bite of the salad.</t>
  </si>
  <si>
    <t>v_mgEX5A1o2jg</t>
  </si>
  <si>
    <t>A person is seen moving in fast motion unpacking a bag and piecing together parts of a tire.</t>
  </si>
  <si>
    <t>Many people stop to watch on the sidelines while the man continues to build the bike and finishes by packing everything up and holding his arms out while smiling.</t>
  </si>
  <si>
    <t>v_7pYrfYFoxdc</t>
  </si>
  <si>
    <t>A woman climbs into the back of a van with other people.</t>
  </si>
  <si>
    <t>Several men are standing together in a line before we see a person in a gorilla suit.</t>
  </si>
  <si>
    <t>Many people are dancing, falling off skateboards, and performing various tricks like tightrope walking and flips.</t>
  </si>
  <si>
    <t>The group walks out of the building together, making signs and faces at the camera.</t>
  </si>
  <si>
    <t>v_vWsPUB8dQMU</t>
  </si>
  <si>
    <t>A train goes by on a track, and several cars are seen driving on a wet road.</t>
  </si>
  <si>
    <t>A woman gets out, and crouches by a flat tire.</t>
  </si>
  <si>
    <t>She uses equipment to lift the car from the ground, then removes the tire.</t>
  </si>
  <si>
    <t>She replaces the bad tire with a spare.</t>
  </si>
  <si>
    <t>she then puts away her equipment and gives a thumbs up before driving safely away.</t>
  </si>
  <si>
    <t>v_ekzUyQo2R9Y</t>
  </si>
  <si>
    <t>There's a person wakeboarding in a lake.</t>
  </si>
  <si>
    <t>He is being pulled by a red rope that is fastened to a steamboat.</t>
  </si>
  <si>
    <t>He is going at a steady speed behind the steamboat.</t>
  </si>
  <si>
    <t>v_-jl_v7zi17A</t>
  </si>
  <si>
    <t>A woman is seen riding on a piece of exercise equipment followed by several shots of her adjusting the equipment and moving it around.</t>
  </si>
  <si>
    <t>More shots are shown of her riding the equipment and changing the settings on the front.</t>
  </si>
  <si>
    <t>v_JuC7EY32Spg</t>
  </si>
  <si>
    <t>An older women is shown sitting on a front step putting socks on with a small dog standing near her.</t>
  </si>
  <si>
    <t>She then puts her shoe on the foot and the dog looks off into the distance.</t>
  </si>
  <si>
    <t>v_GvDu_0ktsJ0</t>
  </si>
  <si>
    <t>A cooker shows ingredients to make salad pasta while talking.</t>
  </si>
  <si>
    <t>The cooker puts pasta on a square container and adds vegetables.</t>
  </si>
  <si>
    <t>Then, the cooker adds cheese, broth, white cream, salt and then he mix it.</t>
  </si>
  <si>
    <t>The man serves the pasta with a piece of tomato and he taste the salad.</t>
  </si>
  <si>
    <t>v_CZRkT9Lno3k</t>
  </si>
  <si>
    <t>An athletic woman is seen standing ready holding a pole in her hands and looking down and back.</t>
  </si>
  <si>
    <t>She then holds the stick up and pole volts herself onto a mat.</t>
  </si>
  <si>
    <t>She waves to the crowd and then walks away with others getting ready around her.</t>
  </si>
  <si>
    <t>v_rDYeRbucGt4</t>
  </si>
  <si>
    <t>A man is seated cross legged watching a show.</t>
  </si>
  <si>
    <t>A man is kneeling in front of the crowd, talking.</t>
  </si>
  <si>
    <t>He continues talking as the crowd is enraptured, listening to his every word.</t>
  </si>
  <si>
    <t>v_UjG_uHlFf3s</t>
  </si>
  <si>
    <t>A clip of the show top Gear is shown with one man sitting in a car speaking to the camera, and another speaking to the camera in a different car.</t>
  </si>
  <si>
    <t>Two men speak on walkie talkies on the side and the men drive the cars into one another.</t>
  </si>
  <si>
    <t>One pushes the car back and the men all get out and speak to one another.</t>
  </si>
  <si>
    <t>Another car is test with the men speaking to the camera and pushes the car back while others look in disbelief.</t>
  </si>
  <si>
    <t>v_QTfz_zprGcQ</t>
  </si>
  <si>
    <t>A BTRtv reporter visits a soul cycle studio and store, interviews a soul cycle instructor and takes a sample soul cycle class.</t>
  </si>
  <si>
    <t>A reporter holding a microphone, stands outside of a soul cycle store speaking to the camera, and then enters the store and interviews a soul cycle instructor.</t>
  </si>
  <si>
    <t>The reporter then changes clothes and takes a soul cycle class interspersed with video of instructor led soul cycle classes.</t>
  </si>
  <si>
    <t>The reporter returns to interviewing the soul cycle instructor with a final shot of rows of clothing hanging in the soul cycle store.</t>
  </si>
  <si>
    <t>v_Zk3JXtS2fOY</t>
  </si>
  <si>
    <t>An olympic fencing match is shown.</t>
  </si>
  <si>
    <t>Each side scores points and then a new match is shown.</t>
  </si>
  <si>
    <t>v_9sbiZgFefA4</t>
  </si>
  <si>
    <t>We see a title screen on black.</t>
  </si>
  <si>
    <t>We then see a woman skating down a street in a city.</t>
  </si>
  <si>
    <t>Cars begin to pass the lady.</t>
  </si>
  <si>
    <t>The lady passes parked cars.</t>
  </si>
  <si>
    <t>The lady talks as she stands in front of a building door.</t>
  </si>
  <si>
    <t>She talks near a highway.</t>
  </si>
  <si>
    <t>We see the ending screen on black.</t>
  </si>
  <si>
    <t>v_QQQ7jSVSG3A</t>
  </si>
  <si>
    <t>A group of belly dancers are posing onstage.</t>
  </si>
  <si>
    <t>They begin to dance, swirling their scarves around their bodies as they dance.</t>
  </si>
  <si>
    <t>They drop the scarves, focusing solely on the dance before dropping to the ground, then rising and dancing off stage.</t>
  </si>
  <si>
    <t>v_itlF0DEBetk</t>
  </si>
  <si>
    <t>A man is raking leaves in his yard.</t>
  </si>
  <si>
    <t>He has bagged several leaves as he rakes them out of a bird bath.</t>
  </si>
  <si>
    <t>He continues raking, then opens a bag to pour rocks around the bird bath.</t>
  </si>
  <si>
    <t>v_5pPQc85IXtU</t>
  </si>
  <si>
    <t>People competes bike cross in a field.</t>
  </si>
  <si>
    <t>People bike on a bumpy track where a crowd gather to watch the bike cross competition.</t>
  </si>
  <si>
    <t>A biker falls on the ground.</t>
  </si>
  <si>
    <t>The bikers arrive to the finish line.</t>
  </si>
  <si>
    <t>v_ZmoSxXei954</t>
  </si>
  <si>
    <t>A man is seen standing in a gym holding a racket while the camera pans out to show two men.</t>
  </si>
  <si>
    <t>The men move around one another in the gym hitting a ball off the wall.</t>
  </si>
  <si>
    <t>The two continue hitting the ball around and walking around to hit it.</t>
  </si>
  <si>
    <t>v_zB8kwWJqQ8Q</t>
  </si>
  <si>
    <t>men and women are in team playing foosball in a table in a basket court.</t>
  </si>
  <si>
    <t>referee is standing in front of table watching the game.</t>
  </si>
  <si>
    <t>people is sitting in terraces behind the court watching the game.</t>
  </si>
  <si>
    <t>v_GBdj6erXjDM</t>
  </si>
  <si>
    <t>A girl sits in the drivers seat of a car and enjoys a ice cream cone.</t>
  </si>
  <si>
    <t>The girl laughs while trying to eat the ice cream.</t>
  </si>
  <si>
    <t>The girl licks the ice cream cone with the tip of her tongue.</t>
  </si>
  <si>
    <t>v_crfrKqFp0Zg</t>
  </si>
  <si>
    <t>A man is seen standing in a black room and proceeds to play a flute while the camera captures him.</t>
  </si>
  <si>
    <t>The man continues to lay the instrument while moving his hands up and down and moving his head to the beat.</t>
  </si>
  <si>
    <t>v_3Vj0GcB_qh4</t>
  </si>
  <si>
    <t>Two young girls stand in front of a fireplace holding violins.</t>
  </si>
  <si>
    <t>The girls begin playing a piece of music on the violins and then bow at the end.</t>
  </si>
  <si>
    <t>Two younger children appear outdoors with a website address overlaid.</t>
  </si>
  <si>
    <t>v_o7O6XJYVDRE</t>
  </si>
  <si>
    <t>Supplies to wrap a gift is laying on a wooden table.</t>
  </si>
  <si>
    <t>A gift wrapped present is wrapped with a clear plastic and taped in place.</t>
  </si>
  <si>
    <t>Red ribbons are tied at each end.</t>
  </si>
  <si>
    <t>A scissor is used to cut off the excess clear plastic at each end.</t>
  </si>
  <si>
    <t>The final wrapped product is laying on the table.</t>
  </si>
  <si>
    <t>v_tnWmUCOEdFY</t>
  </si>
  <si>
    <t>A woman with long hair is seen looking deep into the camera and stroking her face.</t>
  </si>
  <si>
    <t>She then brushes her hair and ends the video by smiling.</t>
  </si>
  <si>
    <t>v_e9p0xmsU3h0</t>
  </si>
  <si>
    <t>A girl plays in a indoor plastic ball pool with a slide.</t>
  </si>
  <si>
    <t>The girl climbs up the stair case then slides down the slide.</t>
  </si>
  <si>
    <t>The girl climbs up a staircase then crawls through a tunnel.</t>
  </si>
  <si>
    <t>The girl slides down into a ball pool then climbs back up the slide.</t>
  </si>
  <si>
    <t>The girl plays with the tick-tack-toe board before sliding back down.</t>
  </si>
  <si>
    <t>The child swings on a swing set.</t>
  </si>
  <si>
    <t>The child walks into a trampoline room then jumps up and down.</t>
  </si>
  <si>
    <t>The child walks over a suspension bridge then then over a bridge with nets.</t>
  </si>
  <si>
    <t>The girl slides into the ball pool then climbs up onto the wall and jumps back in.</t>
  </si>
  <si>
    <t>the girl climbs up the slide railing.</t>
  </si>
  <si>
    <t>The girl slides down a steep orange slide.</t>
  </si>
  <si>
    <t>Balls are thrown at the girl and she throws them back laughing.</t>
  </si>
  <si>
    <t>v_0bXzFAKRoBU</t>
  </si>
  <si>
    <t>A man is seen playing the drums with another man beside him with several lights flash around his face.</t>
  </si>
  <si>
    <t>Another man is seen holding a guitar and several shots of a stage are shown.</t>
  </si>
  <si>
    <t>The musician grabs a microphone and the guitarist jumps on stage with a cigarette in his mouth.</t>
  </si>
  <si>
    <t>v_9lX18LyTuAQ</t>
  </si>
  <si>
    <t>A man holding a violin is speaking to the camera with a young boy who is also holding a violin.</t>
  </si>
  <si>
    <t>The boys talk back and fourth for a while and the man shows the boy how to properly play the violin.</t>
  </si>
  <si>
    <t>The boy then does exactly what the instructor taught him while the instructor corrects his playing.</t>
  </si>
  <si>
    <t>v_C7rGK81C7SU</t>
  </si>
  <si>
    <t>A persons hands are seen laying clay out onto a cake and begins painting objects on the side.</t>
  </si>
  <si>
    <t>The woman puts the decorations around the cake and continues decorating more objects on the side.</t>
  </si>
  <si>
    <t>She finishes the cake by adding the final decorations and presenting it to the camera.</t>
  </si>
  <si>
    <t>v_9dqz5ojw-ys</t>
  </si>
  <si>
    <t>People are in stands watching two teams in a pool play pool soccer.</t>
  </si>
  <si>
    <t>The players are yelling and then the ball is hit towards the goal and deflected as the crowd cheers them on.</t>
  </si>
  <si>
    <t>The ball is then thrown back into the pool.</t>
  </si>
  <si>
    <t>v_9wukG78Z0u8</t>
  </si>
  <si>
    <t>A man is kneeling inside a gym.</t>
  </si>
  <si>
    <t>He has a barbell resting on his shoulders as he hops up.</t>
  </si>
  <si>
    <t>He stands fully, then drops the weights.</t>
  </si>
  <si>
    <t>v_GWJw2jR2mTY</t>
  </si>
  <si>
    <t>A man wearing a white shirt stands in a kitchen with a mop.</t>
  </si>
  <si>
    <t>The man begins mopping the floor while standing in front of washing machines.</t>
  </si>
  <si>
    <t>The man mopping takes a few steps and slips as his left leg slides on the floor and he falls to the floor.</t>
  </si>
  <si>
    <t>v_9mL3eC5iizc</t>
  </si>
  <si>
    <t>Two trains drive along an elevated rail in a city.</t>
  </si>
  <si>
    <t>The camera pans to show a man playing a harmonica while sitting on a log beside a river.</t>
  </si>
  <si>
    <t>A woman walks near the train tracks while a train drives by.</t>
  </si>
  <si>
    <t>The woman sees the harmonica playing man in the distance.</t>
  </si>
  <si>
    <t>She watches him and listens to him playing.</t>
  </si>
  <si>
    <t>She walks away leaving the man.</t>
  </si>
  <si>
    <t>The man finishes playing and remains seated.</t>
  </si>
  <si>
    <t>v_o2mqzjWJJNw</t>
  </si>
  <si>
    <t>A man wearing a heavy apron, heavy gloves and large plastic mask over his face walks over to a tool sitting on a wooden table.</t>
  </si>
  <si>
    <t>The man picks up the tool and touches it to something on the table making sparks fly.</t>
  </si>
  <si>
    <t>A continuous spray of sparks shoots off of the tool.</t>
  </si>
  <si>
    <t>The man stops and and takes a step back while pulling his face mask up and looking at the item on the table.</t>
  </si>
  <si>
    <t>The man pulls his face mask back down and begins to use the tool again sending sparks flying again.</t>
  </si>
  <si>
    <t>The man pauses and backs away looking at the item on the table.</t>
  </si>
  <si>
    <t>He touches the tool to the item one more time.</t>
  </si>
  <si>
    <t>The man then looks at the tool he is using and shakes it a little before sitting it down on the table.</t>
  </si>
  <si>
    <t>The man then removes one of his gloves and walks away.</t>
  </si>
  <si>
    <t>v_PqrexMJ5ohk</t>
  </si>
  <si>
    <t>A close up of balls moving around a pool table are shown followed by a person walking around the table.</t>
  </si>
  <si>
    <t>Two men then hit the balls around the table back and fourth while many watch and react around them.</t>
  </si>
  <si>
    <t>v_qZIJRg7hJ0o</t>
  </si>
  <si>
    <t>A small group of people are seen sitting in bumper cars playing a game with one another.</t>
  </si>
  <si>
    <t>The people driving around in the cars while others watch on the sides.</t>
  </si>
  <si>
    <t>Another shot is shown of people playing bumper cars and crashing into one another.</t>
  </si>
  <si>
    <t>v_uIl5Tj74sLw</t>
  </si>
  <si>
    <t>a girl stands in front of a bathroom mirror and vigorously rubs her face.</t>
  </si>
  <si>
    <t>The girl turns on the faucet.</t>
  </si>
  <si>
    <t>The girl then splashes water on her face several times.</t>
  </si>
  <si>
    <t>The girl wipes her face with a towel.</t>
  </si>
  <si>
    <t>v_e5VrEH2X8LI</t>
  </si>
  <si>
    <t>An intro leads into a bearded man talking to the camera and presenting an object to the screen.</t>
  </si>
  <si>
    <t>He uses the tool to push a carpet area over and continues talking to the camera.</t>
  </si>
  <si>
    <t>v_GRGBMJG1Koc</t>
  </si>
  <si>
    <t>Several multi colored and shaped kites fly high in the air above a beach setting interspersed with images of people preparing to fly kites and onlookers.</t>
  </si>
  <si>
    <t>Several kites fly in the air, in a bright blue sky, over a sandy area.</t>
  </si>
  <si>
    <t>A man is seen kneeling over some equipment in the sand.</t>
  </si>
  <si>
    <t>More kites fly as people watch the varied styles of kite, including one kite shaped like a dog.</t>
  </si>
  <si>
    <t>v_otrk9uW9UjU</t>
  </si>
  <si>
    <t>A lady lays on a yoga mat in a carpeted room and does sit ups while talking.</t>
  </si>
  <si>
    <t>A finger enters the screen.</t>
  </si>
  <si>
    <t>The lady finishes and stops.</t>
  </si>
  <si>
    <t>v_BLmAF2wbTz8</t>
  </si>
  <si>
    <t>A bartender is shown speaking to the camera while pouring ice into a glass and various liquids into a blender.</t>
  </si>
  <si>
    <t>He pours more ice into the blender and mixes up the liquids all together.</t>
  </si>
  <si>
    <t>He pours out the liquid and places a straw into the glass while the camera pans around.</t>
  </si>
  <si>
    <t>v_ERVK6vQbor4</t>
  </si>
  <si>
    <t>A man in a gym is donning a pair of boxing gloves.</t>
  </si>
  <si>
    <t>He begins punching the bag, going around in circles as he does so.</t>
  </si>
  <si>
    <t>He continues punching, then we see a slight view of a man jumping rope.</t>
  </si>
  <si>
    <t>v_puwMWETdvL0</t>
  </si>
  <si>
    <t>We see a black opening logo.</t>
  </si>
  <si>
    <t>A man etches a pumpkin with a knife like tool.</t>
  </si>
  <si>
    <t>The man then carves a logo into the pumpkin.</t>
  </si>
  <si>
    <t>We see the pumpkin with a light inside of it.</t>
  </si>
  <si>
    <t>We then see the same logo as the open.</t>
  </si>
  <si>
    <t>v_waTjpd7yDkc</t>
  </si>
  <si>
    <t>A man and a woman wearing roller blades kneel facing each other on a basketball court.</t>
  </si>
  <si>
    <t>A dog runs by the man and woman.</t>
  </si>
  <si>
    <t>the man and woman rise together.</t>
  </si>
  <si>
    <t>The man and woman perform a paired roller blade routine.</t>
  </si>
  <si>
    <t>The man and woman finish the routine and move towards the camera.</t>
  </si>
  <si>
    <t>v_AElVyfjSHIo</t>
  </si>
  <si>
    <t>A man is seen speaking to the camera and leads into him playing on a set of drums.</t>
  </si>
  <si>
    <t>The man continues speaking to the camera with his hands and moving the sticks while looking around.</t>
  </si>
  <si>
    <t>v_drfE5oASHaU</t>
  </si>
  <si>
    <t>The host enters a gun store and dances around.</t>
  </si>
  <si>
    <t>Afterward the into plays for the show.</t>
  </si>
  <si>
    <t>He then goes on to talk for a while in the store and plays around with a gun on a few cuts.</t>
  </si>
  <si>
    <t>Afterward a outro for the segment plays with credits.</t>
  </si>
  <si>
    <t>v_NW42KGlKi_c</t>
  </si>
  <si>
    <t>A camera pans out away from a beach followed by hundreds of people rowing canoes.</t>
  </si>
  <si>
    <t>The people are seen running along the beach as well as rowing the canoes and a man sitting at a table.</t>
  </si>
  <si>
    <t>The man checks his phone and looks off into the distance and another shot of people canoeing are shown.</t>
  </si>
  <si>
    <t>v_nN1u9BVysQs</t>
  </si>
  <si>
    <t>We see the title on the black screen.</t>
  </si>
  <si>
    <t>We see instruments and the wall with the school name.</t>
  </si>
  <si>
    <t>People are shown warming up.</t>
  </si>
  <si>
    <t>We are then shown Capoeira technique.</t>
  </si>
  <si>
    <t>People are practicing Capoeira moves.</t>
  </si>
  <si>
    <t>The ladies are explaining why they chose Capoeira.</t>
  </si>
  <si>
    <t>We are shown the end card for the website.</t>
  </si>
  <si>
    <t>v_78WY5lXk42A</t>
  </si>
  <si>
    <t>A man spreads a white sheet onto a wall.</t>
  </si>
  <si>
    <t>He then presses a sheet with a photo printed onto it onto the white background.</t>
  </si>
  <si>
    <t>When he is finished, there is a photo of a yellow motorbike parked against a brick wall on a living room wall.</t>
  </si>
  <si>
    <t>v_SQiIQDKhnh0</t>
  </si>
  <si>
    <t>A man is standing in front of an armoire as he talks.</t>
  </si>
  <si>
    <t>There is a close up of the armoire, spanning up its length.</t>
  </si>
  <si>
    <t>The man touches several cracks and chips in the wood, talking about them.</t>
  </si>
  <si>
    <t>Several household items are individually shown on the screen.</t>
  </si>
  <si>
    <t>The man uses the items to scrape, clean, and cover the cracks and scratches.</t>
  </si>
  <si>
    <t>The finished product, free of cracks and scratches, is shown as the man says his final words to the camera.</t>
  </si>
  <si>
    <t>v_Q6tYENILn40</t>
  </si>
  <si>
    <t>a man is seated at a piano.</t>
  </si>
  <si>
    <t>He starts playing a tune, looking back and forth at the keys as he plays.</t>
  </si>
  <si>
    <t>He stops, turning his head and speaking.</t>
  </si>
  <si>
    <t>v_5o9iv0wC59g</t>
  </si>
  <si>
    <t>A man wearing a dark blue shirt and sporting a braid begins playing the bongos.</t>
  </si>
  <si>
    <t>He begins drumming on the bongos to a beat as he shakes his head rhythmically.</t>
  </si>
  <si>
    <t>He continues drumming on the bongos alternating between the two drums.</t>
  </si>
  <si>
    <t>He plays for some time and then stops drumming on the bongos.</t>
  </si>
  <si>
    <t>v_RG0wtfLnNrE</t>
  </si>
  <si>
    <t>A large group of people are seen sitting inside a raft and paddling themselves along a rough river.</t>
  </si>
  <si>
    <t>The camera pans all around to people sitting in the raft and continuing to move along and move under a bridge.</t>
  </si>
  <si>
    <t>v_rKnQNI9PNFI</t>
  </si>
  <si>
    <t>We see a newscaster speak.</t>
  </si>
  <si>
    <t>We see a man in a room then a fight and men in an office before more fighting in an action movie.</t>
  </si>
  <si>
    <t>We return to the newscaster as she discusses a superhero movie.</t>
  </si>
  <si>
    <t>Her screen changes to the title screen.</t>
  </si>
  <si>
    <t>v_5HEunlL4nF0</t>
  </si>
  <si>
    <t>A young woman is seen walking into frame hitting a ball around a room.</t>
  </si>
  <si>
    <t>The girl walks around the room back and fourth while holding a tennis racket and hitting a ball.</t>
  </si>
  <si>
    <t>The girl continues to hit the ball around while the camera watches.</t>
  </si>
  <si>
    <t>v_9voJIuym_f8</t>
  </si>
  <si>
    <t>There are two brown hot dog dogs standing at a gate that's at the end of a staircase.</t>
  </si>
  <si>
    <t>One of the dogs closest to the gate gets the gate open and both of the dogs go running up the stairs at a very fast pace while the camera person runs after them.</t>
  </si>
  <si>
    <t>The dogs are so fast that the camera person can't keep up with them and when they find them, the dogs are trying very hard to get into a bath tub that has water in it.</t>
  </si>
  <si>
    <t>The first dog succeeds in jumping in and starts swimming in the water, and the other dog can't get in and continues to jump and struggle until the camera person puts the dog in the tub and now both dogs are playing and swimming happily in the water.</t>
  </si>
  <si>
    <t>v_T8mTuW85NNo</t>
  </si>
  <si>
    <t>A tv news anchor reports on a story.</t>
  </si>
  <si>
    <t>A variety of people are shown watching their hands, as the report speaks on germs.</t>
  </si>
  <si>
    <t>A tv news anchor appears.</t>
  </si>
  <si>
    <t>v_V2QIntSKqhA</t>
  </si>
  <si>
    <t>People ride camels through the desert.</t>
  </si>
  <si>
    <t>A person carrying a camera or luggage walks with one of the groups.</t>
  </si>
  <si>
    <t>The first camel group begins walking back to the camera.</t>
  </si>
  <si>
    <t>v_r-GVVgxtoMk</t>
  </si>
  <si>
    <t>A group of little girls and boys are dressed like princesses and princes.</t>
  </si>
  <si>
    <t>One of the girls begins tapping a pinata with a baseball bat.</t>
  </si>
  <si>
    <t>She taps it over and over again, but doesn't break the pinata.</t>
  </si>
  <si>
    <t>v_TnYCazY5WEM</t>
  </si>
  <si>
    <t>A group is playing volleyball on a beach.</t>
  </si>
  <si>
    <t>The men volley ball back and forth over the net.</t>
  </si>
  <si>
    <t>One of the players falls on the sand.</t>
  </si>
  <si>
    <t>v_C4td7rprQGM</t>
  </si>
  <si>
    <t>A woman talks on front a hopscotch.</t>
  </si>
  <si>
    <t>Then, the woman hops n the hopscotch while talking.</t>
  </si>
  <si>
    <t>The woman turns when arrives to the end of the hopscotch and continues hopping.</t>
  </si>
  <si>
    <t>v_hXjxOvlNxQM</t>
  </si>
  <si>
    <t>A wrestler picks up another wrestler from the ground.</t>
  </si>
  <si>
    <t>The wrestler lifts him up into the air.</t>
  </si>
  <si>
    <t>Lastly, the wrestler drops him hard onto the floor.</t>
  </si>
  <si>
    <t>v_a25vC5zsf6A</t>
  </si>
  <si>
    <t>A large wheel is spinning nonstop on a stand.</t>
  </si>
  <si>
    <t>We get a close up of the truing stand, and the spokes.</t>
  </si>
  <si>
    <t>The bike wheel is then adjusted and fixed.</t>
  </si>
  <si>
    <t>v_nypZiLC1_Z8</t>
  </si>
  <si>
    <t>A close up of bicycle handlebars are shown as well as a person adjusting the handlebars.</t>
  </si>
  <si>
    <t>The camera zooms in on the bars and the person pours liquid into the side.</t>
  </si>
  <si>
    <t>The man continues working and ends by putting the handlebars back and riding away.</t>
  </si>
  <si>
    <t>v_JGRpVcxltKE</t>
  </si>
  <si>
    <t>A woman on screen talks about lemonade.</t>
  </si>
  <si>
    <t>She juices her lemons on a cutting board, with a knife and bowl.</t>
  </si>
  <si>
    <t>She strains her juice into a bigger cup.</t>
  </si>
  <si>
    <t>At an oven, she prepares simple sugar with water and sugar.</t>
  </si>
  <si>
    <t>She mixes all of her ingredients in a pitcher to make lemonade.</t>
  </si>
  <si>
    <t>She shows other lemonade recipes.</t>
  </si>
  <si>
    <t>v_cJiwi-wB1FY</t>
  </si>
  <si>
    <t>A man in a blue shirt lifts a kid onto a counter.</t>
  </si>
  <si>
    <t>The kid starts throwing darts at balloons on the wall.</t>
  </si>
  <si>
    <t>The woman behind the counter hands the boy a toy.</t>
  </si>
  <si>
    <t>v_S7ktlGGweeA</t>
  </si>
  <si>
    <t>Two women are seen speaking to one another and lead into a game of volleyball played by a large group of people.</t>
  </si>
  <si>
    <t>The people continue playing back and fourth while the audience cheers and stops to speak to one another.</t>
  </si>
  <si>
    <t>v_ZmVy3gSaKv0</t>
  </si>
  <si>
    <t>A man dives into a large pool repeatedly.</t>
  </si>
  <si>
    <t>A man sitting on the side middle takes photos while sitting.</t>
  </si>
  <si>
    <t>The sitting man stands and takes photos of the diver.</t>
  </si>
  <si>
    <t>The diver swims to the edge of the pool.</t>
  </si>
  <si>
    <t>v_fqoEZaCd7hU</t>
  </si>
  <si>
    <t>A person with no arms is seen sitting in a chair and playing the guitar with his feet.</t>
  </si>
  <si>
    <t>He continues playing while singing along and moving his feet up and down the guitar.</t>
  </si>
  <si>
    <t>v_yrvV4Ncqyf0</t>
  </si>
  <si>
    <t>A woman in a white dress walks into her house all happy only to be very disappointed when she see's the dishes in the sink.</t>
  </si>
  <si>
    <t>She changes out of her dress in to some comfortable clothing and gets in the kitchen ready to do the dishes.</t>
  </si>
  <si>
    <t>She is very childishly blowing bubbles with the soap and dancing around.</t>
  </si>
  <si>
    <t>She dries some of the dishes with a rag and put the rest in the dishwasher, once the dishes are done in the dish washer she takes them out and puts them all away.</t>
  </si>
  <si>
    <t>v_PHIZza_xVog</t>
  </si>
  <si>
    <t>A woman puts some lotion on her hand.</t>
  </si>
  <si>
    <t>She rubs the lotion onto her face.</t>
  </si>
  <si>
    <t>A cartoon demonstration is shown on the screen.</t>
  </si>
  <si>
    <t>v_WnLYDJ8Jwv8</t>
  </si>
  <si>
    <t>A girl is shown washing and scrubbing her face several times while speaking into the camera.</t>
  </si>
  <si>
    <t>She finishes by turning on the faucet and rinsing water through her face.</t>
  </si>
  <si>
    <t>v_LAkaYds-8X0</t>
  </si>
  <si>
    <t>A young man plays bowling with other man while throwing balls and pins.</t>
  </si>
  <si>
    <t>A ball exit form a container.</t>
  </si>
  <si>
    <t>A man holds a bowling ball on his hands.</t>
  </si>
  <si>
    <t>The young man goes to a room of the bowling facility, they he continues playing.</t>
  </si>
  <si>
    <t>v_w6Avae5on_0</t>
  </si>
  <si>
    <t>A child is hitting a ball over a net in a gym.</t>
  </si>
  <si>
    <t>A man stands on the other side, lobbing the ball back to him.</t>
  </si>
  <si>
    <t>They continue hitting the ball back and forth.</t>
  </si>
  <si>
    <t>v_z0vMpInrDqM</t>
  </si>
  <si>
    <t>A person is seen sitting before a camera and leads into him looking and holding up a contact lens.</t>
  </si>
  <si>
    <t>The person then holds their eye open and putting the lens in followed by looking back to the camera.</t>
  </si>
  <si>
    <t>v_-rx6D1uBsUU</t>
  </si>
  <si>
    <t>There are several workers packing many rafts in a truck to be hauled away.</t>
  </si>
  <si>
    <t>There's a fast flowing turbulent river flowing under a bridge.</t>
  </si>
  <si>
    <t>The scenic mountain view shows clouds blowing in the wind.</t>
  </si>
  <si>
    <t>There are many rafters outside a log cabin packing and getting ready for their rafting trip.</t>
  </si>
  <si>
    <t>The rafters begin their adventure in the wild and turbulent river water as they try to stay afloat.</t>
  </si>
  <si>
    <t>The river waves are so turbulent that it causes the raft to overturn and drown the rafters in the strong waves.</t>
  </si>
  <si>
    <t>The rafters try hard to stay in the raft as they fight the fierce waves of the river to stay afloat.</t>
  </si>
  <si>
    <t>The waves are so strong that it becomes hard for the rafters to in the raft.</t>
  </si>
  <si>
    <t>They are forcefully thrown out in the river as the raft overturns on them.</t>
  </si>
  <si>
    <t>One of the rafters smiles and talks about his experience as he walks back with his fellow rafters.</t>
  </si>
  <si>
    <t>v_XzbvKQ-o5Ow</t>
  </si>
  <si>
    <t>A large group of people are seen sitting around a gym when a girl runs in and performs a routine on the uneven bars.</t>
  </si>
  <si>
    <t>The girl continues swinging around and ends with her jumping off the side and waving to the audience.</t>
  </si>
  <si>
    <t>v_oYhVH1vIXFM</t>
  </si>
  <si>
    <t>This video shows you how to make spaghetti with sausage with a simple tomato sauce.</t>
  </si>
  <si>
    <t>First she puts the sausage on a baking sheet that has aluminum foil on it and she puts it in the oven.</t>
  </si>
  <si>
    <t>Next she pours tomatoes into a small blender and she blends them up.</t>
  </si>
  <si>
    <t>Then she pours crushed red peppers and garlic into the skillet and she pours the tomato sauce into it.</t>
  </si>
  <si>
    <t>Then she stirs it up and takes the sausage out to cut them into tiny pieces and she lets them cook some more.</t>
  </si>
  <si>
    <t>Finally she puts them into the skillet with the pasta and cooks everything together creating a nice meal.</t>
  </si>
  <si>
    <t>v_kGLMybXl5Kk</t>
  </si>
  <si>
    <t>A man is seen walking into frame and begins bending down in front of a set of weights.</t>
  </si>
  <si>
    <t>The man then lifts the weights up and down over his shoulders while the camera watches form behind.</t>
  </si>
  <si>
    <t>The man walks in and out of frame walking back towards the weights and another man coming into frame to lift.</t>
  </si>
  <si>
    <t>v_nEcOF04KK0g</t>
  </si>
  <si>
    <t>A man stirs shoe shine crafting materials into a jar.</t>
  </si>
  <si>
    <t>He prepares the shoe for shining.</t>
  </si>
  <si>
    <t>He explains his method of shoe shining.</t>
  </si>
  <si>
    <t>The man shines the top of a shoe and finishes by fixing the laces of the shoe.</t>
  </si>
  <si>
    <t>v_yXH7GcOduNo</t>
  </si>
  <si>
    <t>A woman is seen standing in the middle of a sand pit and begins swinging an object around.</t>
  </si>
  <si>
    <t>She spins this around herself several times then begins swinging herself around.</t>
  </si>
  <si>
    <t>She continues swinging and finishes by throwing it off into the distance.</t>
  </si>
  <si>
    <t>v_zdaD55zVNdQ</t>
  </si>
  <si>
    <t>A man throws a hammer throw in a judged sports performance, outside, on a grass covered field with a group of onlookers on the side lines.</t>
  </si>
  <si>
    <t>A man approaches a square, paved,white surface surrounded by black netting .</t>
  </si>
  <si>
    <t>The man spins in place to gain momentum and releases/throws the hammer ball.</t>
  </si>
  <si>
    <t>Two people emerge with a long tape measure to measure the distance the hammer ball was thrown.</t>
  </si>
  <si>
    <t>The athlete runs off jumping and smiling and chest bumps another player.</t>
  </si>
  <si>
    <t>v_u1ZFiwJJXSQ</t>
  </si>
  <si>
    <t>A woman stands talking on a yoga mat in a driveway area.</t>
  </si>
  <si>
    <t>The woman does an aerobic workout stepping back and forth and lifting arms on the mat.</t>
  </si>
  <si>
    <t>The woman jumps back and forth in a doing a more vigorous workout.</t>
  </si>
  <si>
    <t>v_yvTmIulkl7c</t>
  </si>
  <si>
    <t>A little girl is inside a covered porch.</t>
  </si>
  <si>
    <t>She swings a baton at a small pinata.</t>
  </si>
  <si>
    <t>She is blindfolded as she continues to swing again and again.</t>
  </si>
  <si>
    <t>v_EfQtRtIFGVo</t>
  </si>
  <si>
    <t>A woman shows off her nails followed by several clips of nails being painted by a brush.</t>
  </si>
  <si>
    <t>The brush makes several lines on the nails and shows celebrities with fashionable nails.</t>
  </si>
  <si>
    <t>The video speeds up and shows off several different designs for nail polish and examples.</t>
  </si>
  <si>
    <t>v_mt3G8TrI-uY</t>
  </si>
  <si>
    <t>A close up of a person's nails are shown followed by a person filing the nails of another.</t>
  </si>
  <si>
    <t>Several products are shown close up as well as a person's nails being painted and put under heat.</t>
  </si>
  <si>
    <t>The person continues painting the nails and puts on a gem in the end.</t>
  </si>
  <si>
    <t>v_r4oAhRg4H14</t>
  </si>
  <si>
    <t>We see shots of people playing soccer in an indoor arena.</t>
  </si>
  <si>
    <t>We see a man hop and deflect a ball from the net in slow motion.</t>
  </si>
  <si>
    <t>We see two men collide in slow motion.</t>
  </si>
  <si>
    <t>v_KoCjfxd302Q</t>
  </si>
  <si>
    <t>The little boy is at the sink brushing the pot.</t>
  </si>
  <si>
    <t>The boy lift the brush from the pot and brush the sink instead, then he put it in the pot.</t>
  </si>
  <si>
    <t>The boy brushes the lid of the pot, and an adult put plates in the pot and the boy took it out and dip the fork.</t>
  </si>
  <si>
    <t>v_xh8qQfCYDBY</t>
  </si>
  <si>
    <t>A person wearing safety gear holds a metal rod with a clamp.</t>
  </si>
  <si>
    <t>Then, the person weld on a surface.</t>
  </si>
  <si>
    <t>Smoke comes form the clamp.</t>
  </si>
  <si>
    <t>v_gc04Okw4DTs</t>
  </si>
  <si>
    <t>A painting of a cloudy sky over mountains is displayed on a canvas.</t>
  </si>
  <si>
    <t>A brush begins painting blue onto the canvas.</t>
  </si>
  <si>
    <t>A complete image is shown in brilliant colors of a beach before going back to the brush strokes in progress.</t>
  </si>
  <si>
    <t>The ocean is completed in the final scene.</t>
  </si>
  <si>
    <t>v_pleP5-tuJ_Q</t>
  </si>
  <si>
    <t>An old woman is knitting on a bed.</t>
  </si>
  <si>
    <t>A little girl is sitting on the floor knitting as well.</t>
  </si>
  <si>
    <t>She talks to the camera as she learns to knit.</t>
  </si>
  <si>
    <t>v_RnZ-icC6xbQ</t>
  </si>
  <si>
    <t>A young man is standing in an open doorway with his hands over his head palms facing towards him on a bar secured at the top of the doorway.</t>
  </si>
  <si>
    <t>The young man lifts himself up and places his feet in the gap between the bar and the top of the door frame.</t>
  </si>
  <si>
    <t>The young man lowers his body, extending himself the full length of the doorway, hands behind his head, elbows out.</t>
  </si>
  <si>
    <t>The young man does two sit ups.</t>
  </si>
  <si>
    <t>The camera shows the top of the doorway focusing on the bar and the young man's feet secured at the top of the doorway.</t>
  </si>
  <si>
    <t>The camera returns to the full view of the young man doing sit ups in the doorway.</t>
  </si>
  <si>
    <t>The young man does three more sit ups.</t>
  </si>
  <si>
    <t>v_dm5ZnhOeBBQ</t>
  </si>
  <si>
    <t>A woman is standing next to a vacuum.</t>
  </si>
  <si>
    <t>She dumps something onto the floor.</t>
  </si>
  <si>
    <t>She takes the vacuum and vacuums up the mess.</t>
  </si>
  <si>
    <t>She takes the hose off the vacuum and starts using that on the floor.</t>
  </si>
  <si>
    <t>v_CE93IieQkAg</t>
  </si>
  <si>
    <t>A man is driving a riding lawn mower.</t>
  </si>
  <si>
    <t>He starts mowing the lawn on the lawn mower.</t>
  </si>
  <si>
    <t>He raises his hand and continues mowing the lawn.</t>
  </si>
  <si>
    <t>v_0A-p1Q0rseE</t>
  </si>
  <si>
    <t>A mixologist is talking about how to make alcoholic drinks.</t>
  </si>
  <si>
    <t>She talks about the drinks she makes a lot of favorites.</t>
  </si>
  <si>
    <t>She starts with a voda soda and how to make one.</t>
  </si>
  <si>
    <t>The next drink she makes is vodka seven.</t>
  </si>
  <si>
    <t>Then she makes a screwdriver, a greyhound, and then mixed with cranberry juice.</t>
  </si>
  <si>
    <t>v_ZwIu2pPxB3Y</t>
  </si>
  <si>
    <t>A camera pans away from a set of exercise equipment and leads into a woman's feet moving along.</t>
  </si>
  <si>
    <t>The woman is then seen using the machine as well as adjusting the settings and continuing to run.</t>
  </si>
  <si>
    <t>v_JAEMwQqh51c</t>
  </si>
  <si>
    <t>A man dressed for cold weather is outside in the snow fumbling with a chain in his hands.</t>
  </si>
  <si>
    <t>The chain is then placed around a tree stump and the man picks up an ax.</t>
  </si>
  <si>
    <t>The man hits the stumps continuously until the stump is broken up into pieces and then he unchains it in the back of his truck.</t>
  </si>
  <si>
    <t>v_n0Az4cLruf4</t>
  </si>
  <si>
    <t>A man is inside a gym while speaking to the camera.</t>
  </si>
  <si>
    <t>Other men are working out behind him.</t>
  </si>
  <si>
    <t>He demonstrates via volunteer how to use a rowing machine.</t>
  </si>
  <si>
    <t>v_flneQOXwGxw</t>
  </si>
  <si>
    <t>Men are standing on a field talking.</t>
  </si>
  <si>
    <t>A man kicks another man.</t>
  </si>
  <si>
    <t>That man swings a bat at him.</t>
  </si>
  <si>
    <t>v_I5setZ8js9I</t>
  </si>
  <si>
    <t>A man is riding a surfboard in the ocean.</t>
  </si>
  <si>
    <t>He stands up on the board during a wave.</t>
  </si>
  <si>
    <t>He surfs through the wave, weaving in and out.</t>
  </si>
  <si>
    <t>v_hjaUbrqPe-w</t>
  </si>
  <si>
    <t>People are sitting in rafts going down a river.</t>
  </si>
  <si>
    <t>A man is standing on the side of a river taking a picture.</t>
  </si>
  <si>
    <t>People are getting out of the raft onto land.</t>
  </si>
  <si>
    <t>v_fjGqWAxenL0</t>
  </si>
  <si>
    <t>A person is welding a metal outside.</t>
  </si>
  <si>
    <t>The person stops welding the metal on the floor.</t>
  </si>
  <si>
    <t>The person moves the welding tool behind.</t>
  </si>
  <si>
    <t>v_vZmDiMGYCo0</t>
  </si>
  <si>
    <t>Two small kids sit in a box at the top of slide in an indoor play area.</t>
  </si>
  <si>
    <t>A little girl joins and plays on the slide.</t>
  </si>
  <si>
    <t>The girls leaves and the boys take turns going down the slide.</t>
  </si>
  <si>
    <t>The boys connect a slide to the first one and try out the new slide.</t>
  </si>
  <si>
    <t>Two kids run over and away.</t>
  </si>
  <si>
    <t>The last boy runs off and we see the slide ladder.</t>
  </si>
  <si>
    <t>v_9d8ttpHu3cc</t>
  </si>
  <si>
    <t>Two people are kayaking down a rough river.</t>
  </si>
  <si>
    <t>Now only one person can be seen going by the rocks.</t>
  </si>
  <si>
    <t>There is an edge of a porch with a pair of shoes and a pair of legs up on the edge of the porch.</t>
  </si>
  <si>
    <t>v_UciHec7xncc</t>
  </si>
  <si>
    <t>A young child is seen speaking to the camera and begins climbing across a set of monkey bars.</t>
  </si>
  <si>
    <t>She makes it to the other side smiling to the camera and then climbs down afterwards.</t>
  </si>
  <si>
    <t>v_nQM5LT1-ZRU</t>
  </si>
  <si>
    <t>We see a man in a room talking about a bike.</t>
  </si>
  <si>
    <t>We then see the man adjusting the handle bar of the bike.</t>
  </si>
  <si>
    <t>The man demonstrates how the levers sit and adjusts the brake levers.</t>
  </si>
  <si>
    <t>The man demonstrates the sitting positions and braking and screws them tight.</t>
  </si>
  <si>
    <t>The man then, and adjusts the shifter lever.</t>
  </si>
  <si>
    <t>We see a recap and the closing scene of the video.</t>
  </si>
  <si>
    <t>v_nwttSIR1qvs</t>
  </si>
  <si>
    <t>An introduction comes onto the screen for a video about how to fix a stinky sink.</t>
  </si>
  <si>
    <t>A man comes onto the screen and explain several days ago about getting the smell out of your sink.</t>
  </si>
  <si>
    <t>He first explain how you can use different chemicals and core them down the drain to get the smell out.</t>
  </si>
  <si>
    <t>Then he shows you how to remove bottom of the sink to clean it out which may help with the smell.</t>
  </si>
  <si>
    <t>The video it's with the closing credits shown on the screen.</t>
  </si>
  <si>
    <t>v_hCFCYe_Jp-k</t>
  </si>
  <si>
    <t>There's a woman in a gray shirt and black tights and very short hair performing tricks with a small stick in her backyard by the swing.</t>
  </si>
  <si>
    <t>She is juggling between two sticks in her hand and trying to catch one stick while throwing the other in the air.</t>
  </si>
  <si>
    <t>v_9AzESzqOtb0</t>
  </si>
  <si>
    <t>A man runs down a track outside.</t>
  </si>
  <si>
    <t>He is holding a long javelin.</t>
  </si>
  <si>
    <t>He pole vaults over a bar.</t>
  </si>
  <si>
    <t>He does the same thing again indoors.</t>
  </si>
  <si>
    <t>v_hY73M6hJqgU</t>
  </si>
  <si>
    <t>A person is seen beating eggs and mixing them into a bowl while separating the shells from the eggs.</t>
  </si>
  <si>
    <t>They mix the eggs around a bowl and place butter and milk into another bowl and mix them all together.</t>
  </si>
  <si>
    <t>They add several more ingredients to the mixture and show the end result of cookies sitting on a plate.</t>
  </si>
  <si>
    <t>v_4efxBizoKyQ</t>
  </si>
  <si>
    <t>A man is close up to the camera introducing the video.</t>
  </si>
  <si>
    <t>His wife is cleaning off a piece of white bedframe quickly.</t>
  </si>
  <si>
    <t>The man again shows his face and goes back to his wife.</t>
  </si>
  <si>
    <t>v_x_lN_QxbEjQ</t>
  </si>
  <si>
    <t>A black intro screen appears and it includes a lot of text in white, blue and green that include numbers and letters, and then a logo to the right side that's for QUICKSILVER and the clips will be from a surfing competition in PIHA, AUCKLAND NEW ZEALAND.</t>
  </si>
  <si>
    <t>The beach is shown and there are multiple people and tents and the people are watching and cheering on various different surfers who are surfing big and long waves.</t>
  </si>
  <si>
    <t>The outro appears and it's the same black screen with the logo and text as it was for the intro.</t>
  </si>
  <si>
    <t>v_VvbWwNDHJf4</t>
  </si>
  <si>
    <t>A woman is seen wearing roller blades and looking back to the camera.</t>
  </si>
  <si>
    <t>She attempts to ride around while another person beside her tries to help.</t>
  </si>
  <si>
    <t>Another person is seen holding sticks in the distance and walking towards the camera.</t>
  </si>
  <si>
    <t>v_tI87cD7sv-Y</t>
  </si>
  <si>
    <t>A teen talks, then he takes off a contact lens from the right eye.</t>
  </si>
  <si>
    <t>Then, teen puts the contact lens on the index finger and then puts again it in his right aye.</t>
  </si>
  <si>
    <t>After, the teen continues talking.</t>
  </si>
  <si>
    <t>v_sxZTPWMnyFY</t>
  </si>
  <si>
    <t>A person putting weights on is shown followed by a woman lifting weights on her back.</t>
  </si>
  <si>
    <t>She puts the weights down and another woman is shown lifting a heavy set of weights.</t>
  </si>
  <si>
    <t>Several more people are shown performing their lifting talents and ends with a logo of the gym shown.</t>
  </si>
  <si>
    <t>v_Ai6RYjJ97Zg</t>
  </si>
  <si>
    <t>A woman talks, then she puts slices of bread on a hot baking pan on the stove.</t>
  </si>
  <si>
    <t>Then, the woman puts cream cheese on the bread and cooks meat.</t>
  </si>
  <si>
    <t>When the meat is done, the woman puts sauerkraut and cheese on top, then cover it and make sandwiches.</t>
  </si>
  <si>
    <t>v_kVzojOj5_Zg</t>
  </si>
  <si>
    <t>A volleyball instructor is giving information about his volleyball skills in salt lake city.</t>
  </si>
  <si>
    <t>He plays with another instructor on the court.</t>
  </si>
  <si>
    <t>He just talks and talks for a while about all about it.</t>
  </si>
  <si>
    <t>You see the the volley ball net and then the coach continues to talk.</t>
  </si>
  <si>
    <t>v_OSjsVUg_wXA</t>
  </si>
  <si>
    <t>A marching band plays in a stadium while the cheerleaders perform on side.</t>
  </si>
  <si>
    <t>A team of football players gather behind the marching band.</t>
  </si>
  <si>
    <t>A cheerleader pass behind the marching band.</t>
  </si>
  <si>
    <t>The cheerleaders in the bleachers perform with pom poms.</t>
  </si>
  <si>
    <t>Then, the cheerleaders next to the band performs jumping and moving around.</t>
  </si>
  <si>
    <t>v_zGT6EplIOHY</t>
  </si>
  <si>
    <t>People kick a ball indoor between yellow cones on fake grass.</t>
  </si>
  <si>
    <t>A player kicks a ball over a guy's head.</t>
  </si>
  <si>
    <t>Players kick a ball that knocks down a yellow cone which they pick up.</t>
  </si>
  <si>
    <t>v_Tssba1kYoo4</t>
  </si>
  <si>
    <t>A person sits holding a laptop while a woman curls her hair.</t>
  </si>
  <si>
    <t>The woman takes a lock of hair and puts above the head, then she curls the hair with a curling iron.</t>
  </si>
  <si>
    <t>v_B0enQXEBfKk</t>
  </si>
  <si>
    <t>A man and a woman set up to dance before an audience.</t>
  </si>
  <si>
    <t>The man and woman dance before the audience.</t>
  </si>
  <si>
    <t>The camera shows three judges of the event standing and clapping or pointing.</t>
  </si>
  <si>
    <t>v_nhky9RGjzwc</t>
  </si>
  <si>
    <t>Two women are arm wrestling on a table.</t>
  </si>
  <si>
    <t>A woman in a referee uniform is standing behind them.</t>
  </si>
  <si>
    <t>One of the girls walks away.</t>
  </si>
  <si>
    <t>v_O36pn7cHNVc</t>
  </si>
  <si>
    <t>A group of elderly people are meeting in a park.</t>
  </si>
  <si>
    <t>They talk and do yoga together.</t>
  </si>
  <si>
    <t>They perform several yoga moves with the help of an instructor.</t>
  </si>
  <si>
    <t>They then say goodbye and go on their way.</t>
  </si>
  <si>
    <t>v_ZKo1lM6TJTY</t>
  </si>
  <si>
    <t>A gymnast holds a ball attached with a string and then spins holding the ball.</t>
  </si>
  <si>
    <t>Then, the gymnast throw the ball while spinning in the field.</t>
  </si>
  <si>
    <t>v_fsoAdigH0X4</t>
  </si>
  <si>
    <t>A man is mowing the lawn.</t>
  </si>
  <si>
    <t>He looks up and speaks to someone.</t>
  </si>
  <si>
    <t>The man continues to mow the lawn.</t>
  </si>
  <si>
    <t>v_-2dxp-mv2zo</t>
  </si>
  <si>
    <t>A female chef in white uniform shows a stack of baking pans in a large kitchen presenting them.</t>
  </si>
  <si>
    <t>The pans are filled with pastries and loaded into the oven.</t>
  </si>
  <si>
    <t>A knife is used to cut cylinder shaped dough into rounds.</t>
  </si>
  <si>
    <t>A tray of potatoes is loaded into the oven and removed.</t>
  </si>
  <si>
    <t>A large tray of cake is flipped over and placed on counter.</t>
  </si>
  <si>
    <t>A large tray of meat is prepared then it is removed from the oven by a helper when done.</t>
  </si>
  <si>
    <t>The woman chef stands behind the stack of tins and picks one up.</t>
  </si>
  <si>
    <t>v_HF_a81qOmVQ</t>
  </si>
  <si>
    <t>The man in yellow shirt is bouncing the ball on the paddle.</t>
  </si>
  <si>
    <t>The player almost hit the ball with the paddle.</t>
  </si>
  <si>
    <t>Two player as pushing each other.</t>
  </si>
  <si>
    <t>v_ZXm8ed-ZHRs</t>
  </si>
  <si>
    <t>A woman is seen speaking in the middle of a large gymnasium and leads into several different gymnasts performing one after the another on uneven bars.</t>
  </si>
  <si>
    <t>The gymnasts continue to move all around the bars and ends with one girl going over and over and everyone waving in the end.</t>
  </si>
  <si>
    <t>v_ktfxYSZjJyM</t>
  </si>
  <si>
    <t>woman is in a lake windsurfing with a red windsurf.</t>
  </si>
  <si>
    <t>other people are in the back windsurfing in the lake.</t>
  </si>
  <si>
    <t>sailboat is standing in the back of people windsurfing.</t>
  </si>
  <si>
    <t>v_pn1XDTlNMso</t>
  </si>
  <si>
    <t>Two women are seen speaking to the camera and lead into rubbing down furniture as well as showing off polish.</t>
  </si>
  <si>
    <t>The women continue speaking as they show off how the polish works as well as the scenery in the area and another woman speaking to the camera.</t>
  </si>
  <si>
    <t>v_h3uTJ7HknzA</t>
  </si>
  <si>
    <t>A person dance and flips Capoeira while a band play music.</t>
  </si>
  <si>
    <t>Then, a woman talks with the man, after the man dance in group with other people.</t>
  </si>
  <si>
    <t>After, the man dance in group and with a partner, then all say bye.</t>
  </si>
  <si>
    <t>v_hwP4uLVR-uc</t>
  </si>
  <si>
    <t>A band is on stage and a girl with a trumpet and boy beating the drums are playing.</t>
  </si>
  <si>
    <t>They have a little duet while the saxophones int he bank are paused.</t>
  </si>
  <si>
    <t>The trumpet player walks over and picks up a bell.</t>
  </si>
  <si>
    <t>Then it's just the drummer banging on the drums.</t>
  </si>
  <si>
    <t>v_QMFtjdg6d2A</t>
  </si>
  <si>
    <t>A man in a green shirt is waving a red towel.</t>
  </si>
  <si>
    <t>A brown bull knocks a person to the ground.</t>
  </si>
  <si>
    <t>People are standing on the sides watching.</t>
  </si>
  <si>
    <t>v_0MyaFtXcTKI</t>
  </si>
  <si>
    <t>A small child is seen wandering around a playground while the camera follows closely behind.</t>
  </si>
  <si>
    <t>The boy plays with several other kids on the playground and is seen climbing around the sides and going down the slide.</t>
  </si>
  <si>
    <t>More clips are shown of the kids playing with one another and laughing to the camera.</t>
  </si>
  <si>
    <t>v_sFQ343Qq4TE</t>
  </si>
  <si>
    <t>A man is seen walking away from the camera and begins an exercise routine while speaking to the camera.</t>
  </si>
  <si>
    <t>The man moves up and down a bar while swinging his arms around and walks to the camera in the end.</t>
  </si>
  <si>
    <t>v_HtZ0bvriAvQ</t>
  </si>
  <si>
    <t>A gymnast wearing a red and black uniform jumps on the horse bar.</t>
  </si>
  <si>
    <t>She comes running again and jumps on the horse bar and does a front flip.</t>
  </si>
  <si>
    <t>The the third time she jumps again on the horse bar and raises her left foot, does a front flip and gets off the bar.</t>
  </si>
  <si>
    <t>She repeats the same steps again and jumps off the horse bar.</t>
  </si>
  <si>
    <t>v_EVcn8N-YxtI</t>
  </si>
  <si>
    <t>Two people are seen performing tango moves slowly while text appears on the screen.</t>
  </si>
  <si>
    <t>The woman then does the same moves by herself while the man and woman's silhouette is shown beside them.</t>
  </si>
  <si>
    <t>Then the man performs his moves alone and leads into the couple performing again.</t>
  </si>
  <si>
    <t>v_fppEk17hs8M</t>
  </si>
  <si>
    <t>A team is on the ice, playing a game of hockey.</t>
  </si>
  <si>
    <t>They slide around, hitting the puck and trying to keep it away from their opponents.</t>
  </si>
  <si>
    <t>The goalie attemps to keep the puck from going into the goal.</t>
  </si>
  <si>
    <t>v_bqBJ1tcHCHk</t>
  </si>
  <si>
    <t>An intro leads into various pictures of horse tools and a woman speaking to the camera holding a brush.</t>
  </si>
  <si>
    <t>She then brushes the horse's mane thoroughly while still looking to the camera and speaking.</t>
  </si>
  <si>
    <t>v_mrqSaH_FIcs</t>
  </si>
  <si>
    <t>A man talks with a saleswoman who trims a plant in a pot, then the man put away the plant.</t>
  </si>
  <si>
    <t>After, the man puts a bush on front the saleswoman who trim it while the man points the plant and talks with the woman.</t>
  </si>
  <si>
    <t>v_-PbWrGLuHT8</t>
  </si>
  <si>
    <t>A person is seen riding a board along the water with a kite on top.</t>
  </si>
  <si>
    <t>More clips are shown of the person riding back and fourth on the board.</t>
  </si>
  <si>
    <t>The person continues to ride the board along the water.</t>
  </si>
  <si>
    <t>v_c8GFfLcwFrE</t>
  </si>
  <si>
    <t>A man is surfing on a large wave in the water.</t>
  </si>
  <si>
    <t>The water and the sky is red.</t>
  </si>
  <si>
    <t>Several people are surfing on the water.</t>
  </si>
  <si>
    <t>v_Bg_CMSihJl0</t>
  </si>
  <si>
    <t>A woman with glasses on is knitting.</t>
  </si>
  <si>
    <t>A girl in a black shirt is sitting down talking.</t>
  </si>
  <si>
    <t>The woman knitting talks back to the girl.</t>
  </si>
  <si>
    <t>v_2cYfV33Qw4Y</t>
  </si>
  <si>
    <t>A man talks to the camera as people begin going down a man made white water river on kayaks.</t>
  </si>
  <si>
    <t>The people get slightly stuck, then unstuck as they go down small waterfalls.</t>
  </si>
  <si>
    <t>A woman falls out, and is pulled back in by another person.</t>
  </si>
  <si>
    <t>We then see several images of people in kayaks on the rapids.</t>
  </si>
  <si>
    <t>v_6dc-fQCzOiw</t>
  </si>
  <si>
    <t>A person talks in the street, then the person skateboard on the road.</t>
  </si>
  <si>
    <t>Then, the person kicks the skateboard back.</t>
  </si>
  <si>
    <t>After the person jumps off it and the skateboard slides on the road.</t>
  </si>
  <si>
    <t>Next , the person practice skateboard dragging a foot, after the person use the grass to do tricks.</t>
  </si>
  <si>
    <t>v_K7oJNZsI1Cc</t>
  </si>
  <si>
    <t>woman is standing in a big room holding an épée and aman walks in and holds other épée and start fighting with the woman.</t>
  </si>
  <si>
    <t>kids enters in a room and run to the man and woman.</t>
  </si>
  <si>
    <t>man gives a black mask to the woman and wear it.</t>
  </si>
  <si>
    <t>v_Ocvdvqvu7I8</t>
  </si>
  <si>
    <t>A child in a stable brushing a horse hair.</t>
  </si>
  <si>
    <t>the child walks away from the horse while speaking to get a bottle of liquid then returns to brushing the horse hair.</t>
  </si>
  <si>
    <t>v_NuSM8LfLR90</t>
  </si>
  <si>
    <t>A camera zooms in on a person performing a routine on a large stage spinning a baton into the air.</t>
  </si>
  <si>
    <t>The person continues the routine and ends with a split and the audience applauding.</t>
  </si>
  <si>
    <t>v__akwfjIbsUA</t>
  </si>
  <si>
    <t>A young boy is seen standing on top of a slide and edging his way down.</t>
  </si>
  <si>
    <t>The boy rides all down the slide and the camera follows him walking around afterwards.</t>
  </si>
  <si>
    <t>v_kIjYdddY3Xk</t>
  </si>
  <si>
    <t>A boy stands at a sink in a kitchen.</t>
  </si>
  <si>
    <t>He is wiping his shoe down.</t>
  </si>
  <si>
    <t>He turns around and smiles at the camera.</t>
  </si>
  <si>
    <t>v_PV6OCwbp6nQ</t>
  </si>
  <si>
    <t>A woman is speaking to her class about jump roping.</t>
  </si>
  <si>
    <t>She puts the rope under her feet and starts demonstrating a little bit.</t>
  </si>
  <si>
    <t>She begins to jump rope going very quickly.</t>
  </si>
  <si>
    <t>She stops and continue to talk more before starting to jump again.</t>
  </si>
  <si>
    <t>v_OoyoTLkSOuY</t>
  </si>
  <si>
    <t>A woman is wearing a towel and standing next to a bath tub.</t>
  </si>
  <si>
    <t>She puts shaving cream on her leg and shaves her leg.</t>
  </si>
  <si>
    <t>v_xxvBR4zdV48</t>
  </si>
  <si>
    <t>A man in the tuxedo starts explaining black jack.</t>
  </si>
  <si>
    <t>A dealer deals cards to four players.</t>
  </si>
  <si>
    <t>Several close ups of cards are shown.</t>
  </si>
  <si>
    <t>The man in the tuxedo continues to explain the rules of blackjack.</t>
  </si>
  <si>
    <t>v_BHQasKzBDQU</t>
  </si>
  <si>
    <t>two women are standing no a table arm wrestling in the middle of stage.</t>
  </si>
  <si>
    <t>referee wearing black and white shirt is standing behind the girls.</t>
  </si>
  <si>
    <t>two hot women are arm wrestling on a table and referees are standing in front or sitting in the back.</t>
  </si>
  <si>
    <t>women are in a bar arm wrestling and a lot of people are around them watching them.</t>
  </si>
  <si>
    <t>v_EwoxOKwqUPI</t>
  </si>
  <si>
    <t>A woman plays a game of beer pong with a short man dressed as a leprechaun.</t>
  </si>
  <si>
    <t>A DJ plays spins a pair of turntables on stage for the crowd.</t>
  </si>
  <si>
    <t>The woman scores a shot and celebrates.</t>
  </si>
  <si>
    <t>The two players hug each other and raise the woman's arm in victory.</t>
  </si>
  <si>
    <t>v_fTQYGNJpSUk</t>
  </si>
  <si>
    <t>An animated new paper clipping is shown and the video consists of a bunch of letters in black block letters giving the title.</t>
  </si>
  <si>
    <t>Shortly after, a young female begins talking while and throws down a curling object.</t>
  </si>
  <si>
    <t>The young woman then walks over to a male dressed in all black and begins asking him questions about the game.</t>
  </si>
  <si>
    <t>While they are talking, a game is being played and the two watches them.</t>
  </si>
  <si>
    <t>After,the man begins teaching her various techniques used in the game and they begin to glide across the floor.</t>
  </si>
  <si>
    <t>Once they are finished,the woman comes back to the camera and begins talking about the sport.</t>
  </si>
  <si>
    <t>v_tkQK_2celDY</t>
  </si>
  <si>
    <t>A gray dog is walking outdoors, and the owner is young white male who is walking along with the dog outdoors and talking to the camera.</t>
  </si>
  <si>
    <t>A screen appears that displays two logos in the middel and the text above the logos read "BEHIND THE SCENES" and under the logo words read "PRESENTED BY:GEICO".</t>
  </si>
  <si>
    <t>A man is now dressed in protective gear and he is joined by many others who are dressed the same and clips of them playing paintball guns in an open area and on a course.</t>
  </si>
  <si>
    <t>A man is now standing on a very high platform looking down at a large group of people, and the words "COMIC-CON SAN DIEGO CA" are at the bottom right, and the man jumps onto a very large air mattress, he gets up and begins running along a very long obstacle course requiring him to do various different things and the view is from a camera that his is wearing around his neck.</t>
  </si>
  <si>
    <t>He completes the obstacle course and an outro screen appears with 3 small different video screens playing over the main screen and the top words on the screen say "PRESENTED BY GEICO".</t>
  </si>
  <si>
    <t>v_S2MHi_oC3Lg</t>
  </si>
  <si>
    <t>A girl is shown talking to the camera and showing various paints.</t>
  </si>
  <si>
    <t>She zooms in on products she owns and puts paint on a pallet.</t>
  </si>
  <si>
    <t>She dabs a brush in the paint and begins painting her nails.</t>
  </si>
  <si>
    <t>She performs several different styles on the nails and several pictures of finished nails.</t>
  </si>
  <si>
    <t>v_ik8uSCSBv1U</t>
  </si>
  <si>
    <t>A man stands on a tennis court preparing to serve the ball.</t>
  </si>
  <si>
    <t>The man hits the tennis ball across the court.</t>
  </si>
  <si>
    <t>The man turns and walks back to his basket and grabs a ball from his pocket.</t>
  </si>
  <si>
    <t>The man bounces the ball on the ground.</t>
  </si>
  <si>
    <t>v_vX0fg06e9co</t>
  </si>
  <si>
    <t>A woman is seen bending down to take a sip of water and leads into her spinning a hula hoop around herself.</t>
  </si>
  <si>
    <t>The woman continues spinning the hula hoop around while grabbing several more and performing tricks in the city center.</t>
  </si>
  <si>
    <t>v_n2sTs3k9G-U</t>
  </si>
  <si>
    <t>A man is seen hanging up a bicycle wheel and speaking to the camera.</t>
  </si>
  <si>
    <t>He begins adjusting the bike and unscrewing the settings on the back.</t>
  </si>
  <si>
    <t>He then puts on a pair of training wheels and showing how it moves.</t>
  </si>
  <si>
    <t>v_qp9OcGPufEc</t>
  </si>
  <si>
    <t>A dog is seen running around a man in the middle of an open field.</t>
  </si>
  <si>
    <t>The man performs tricks with the dog while the dog jumps on his back.</t>
  </si>
  <si>
    <t>He continues to roam around with the dog performing tricks with the dog and frisbee.</t>
  </si>
  <si>
    <t>v_4_3m_-SGzXw</t>
  </si>
  <si>
    <t>graphic about how to do digital wallpaper is shown.</t>
  </si>
  <si>
    <t>man is in a room with a digital paper machine and the machine is printing a sign.</t>
  </si>
  <si>
    <t>men are sticking the wallpaper to a white wall.</t>
  </si>
  <si>
    <t>v_gYvYh9aMohY</t>
  </si>
  <si>
    <t>A boy is jumping rope and doing tricks around in circles.</t>
  </si>
  <si>
    <t>Then, Another boy is jumping rope as well and swirling it around and he eventually throws his rope.</t>
  </si>
  <si>
    <t>There is a larger group of 5 that jump rope in sync and do a lot of cool tricks.</t>
  </si>
  <si>
    <t>Followed by a lot of videos of many different people jumping and in groups together doing it in competitions and for fun or practice.</t>
  </si>
  <si>
    <t>v_pPn5f_ked3s</t>
  </si>
  <si>
    <t>A woman clapping in the sidelines, cheering someone on.</t>
  </si>
  <si>
    <t>Coaches standing on the other side of the fence watching to rate.</t>
  </si>
  <si>
    <t>The runner runs down the turf super fast.</t>
  </si>
  <si>
    <t>He jumps at the end and lands smoothly into the sand, while one of the coaches pulls a string over.</t>
  </si>
  <si>
    <t>v_vZzl0RbIQPM</t>
  </si>
  <si>
    <t>The host greets the video and introduces her recipe.</t>
  </si>
  <si>
    <t>The ingredients list appears and the host talks about them.</t>
  </si>
  <si>
    <t>The host begins to make the drink by starting a syrup.</t>
  </si>
  <si>
    <t>Next lemons are sliced on a cutting board.</t>
  </si>
  <si>
    <t>The many lemons are juiced one by one.</t>
  </si>
  <si>
    <t>The host fills the container with ice and pours in the liquid ingredients, followed by basil and lemon slices.</t>
  </si>
  <si>
    <t>The host decorates some straws and finishes her drink.</t>
  </si>
  <si>
    <t>v_7EEpIeXhO54</t>
  </si>
  <si>
    <t>A large pool is seen followed by a person walking in and falling off a board.</t>
  </si>
  <si>
    <t>Another person is seen walking off a diving board and jumping into the water.</t>
  </si>
  <si>
    <t>Several more clips are shown of people attempting to dive in the water but failing.</t>
  </si>
  <si>
    <t>v__BWSmg81iMM</t>
  </si>
  <si>
    <t>A band wearing Scottish kilts plays bagpipes and other instruments in the front University auditorium.</t>
  </si>
  <si>
    <t>The crowd looks around and anticipates the event.</t>
  </si>
  <si>
    <t>The school sign is seen hanging above the podium.</t>
  </si>
  <si>
    <t>v_LvkqCFRC5Vk</t>
  </si>
  <si>
    <t>A man in a brown suit is talking.</t>
  </si>
  <si>
    <t>People are running around on a field playing lacrosse.</t>
  </si>
  <si>
    <t>v_KfX3APC8lp4</t>
  </si>
  <si>
    <t>A woman comes onto the screen kneeling down holding a stick.</t>
  </si>
  <si>
    <t>She begins to stretch deeper into the position while holding the stick for balance.</t>
  </si>
  <si>
    <t>She stops right before the video ends.</t>
  </si>
  <si>
    <t>v_bFPfj889BhU</t>
  </si>
  <si>
    <t>People are riding in sail boats on the water.</t>
  </si>
  <si>
    <t>People are standing on a bar on a boat.</t>
  </si>
  <si>
    <t>People take the sail down off the boat.</t>
  </si>
  <si>
    <t>v_SHzmpIt0Euw</t>
  </si>
  <si>
    <t>Man begins to rip up carpet underlay.</t>
  </si>
  <si>
    <t>He measures the slat to put between the door opening.</t>
  </si>
  <si>
    <t>Then he places materials underneath the carpet underlay.</t>
  </si>
  <si>
    <t>He puts a wooden slat in the door entrance.</t>
  </si>
  <si>
    <t>He picks the slat up.</t>
  </si>
  <si>
    <t>He cuts the slat.</t>
  </si>
  <si>
    <t>He lays the slat down again.</t>
  </si>
  <si>
    <t>He drills it into place.</t>
  </si>
  <si>
    <t>He then lays his hands on the top of the slat.</t>
  </si>
  <si>
    <t>v_9tks__Y0mqI</t>
  </si>
  <si>
    <t>A lady is feeding a baby ice cream in a car.</t>
  </si>
  <si>
    <t>The lady hands the ice cream to the lady next to her and feed the baby something else.</t>
  </si>
  <si>
    <t>The baby reaches for the food.</t>
  </si>
  <si>
    <t>The baby reaches for the food again.</t>
  </si>
  <si>
    <t>The lady wipes the babies face and stands her up.</t>
  </si>
  <si>
    <t>We see the ladies talking.</t>
  </si>
  <si>
    <t>v_YS3Q47uz3HI</t>
  </si>
  <si>
    <t>There's a lady doing a tutorial on how to make a cotton soft Ogura cake.</t>
  </si>
  <si>
    <t>She begins by mixing the ingredients in a large bowl placed on her kitchen counter.</t>
  </si>
  <si>
    <t>She adds some eggs to the flour along with vanilla essence.</t>
  </si>
  <si>
    <t>Then she uses a hand mixer to blend the ingredients together.</t>
  </si>
  <si>
    <t>She then whips up some cream and sugar to make frosting.</t>
  </si>
  <si>
    <t>She adds the frosting to the cake batter and mixes it well.</t>
  </si>
  <si>
    <t>Then she pours the mixture in a baking bowl.</t>
  </si>
  <si>
    <t>She places the bowl in a cookie sheet and places it on the oven rack.</t>
  </si>
  <si>
    <t>She bakes the cake and pulls it out when it's done.</t>
  </si>
  <si>
    <t>She also shows some other baked goodies that she has prepared.</t>
  </si>
  <si>
    <t>v_beejEQ04nkY</t>
  </si>
  <si>
    <t>A woman is seen hosting a news segment that leads into a clip of a dog jumping.</t>
  </si>
  <si>
    <t>People are shown doing tricks with their dogs and running all across a field.</t>
  </si>
  <si>
    <t>More clips are shown of people throwing frisbees and dogs following after.</t>
  </si>
  <si>
    <t>v_k-071peyck4</t>
  </si>
  <si>
    <t>Several people are outdoors, washing laundry in open basins.</t>
  </si>
  <si>
    <t>The women use a pump to bring in water into the basins.</t>
  </si>
  <si>
    <t>v_dxvKVBrNMDw</t>
  </si>
  <si>
    <t>A woman is seen speaking to the camera while holding a hula hoop and then proceeds to spin the object around her.</t>
  </si>
  <si>
    <t>She continues hula hooping over and over again and leads into pictures of people hula hooping in the end.</t>
  </si>
  <si>
    <t>v_WVJEFQpO5jg</t>
  </si>
  <si>
    <t>A man lifts a ball in the air and holds it against his neck and throws the ball far.</t>
  </si>
  <si>
    <t>The man holds the ball against his neck and twists his back and throws it.</t>
  </si>
  <si>
    <t>The man grabs the ball and takes a big step behind him and throws the ball.</t>
  </si>
  <si>
    <t>The man twists his body a few times as he holds the ball against his neck.</t>
  </si>
  <si>
    <t>The man does a 90 degree move around as he holds the ball against his neck.</t>
  </si>
  <si>
    <t>The man holds the ball against his neck as he does a full 180 degree rotation with his body.</t>
  </si>
  <si>
    <t>He pretends to hold the ball as he rotates his body into a 270 degree movement.</t>
  </si>
  <si>
    <t>v_SpwOzrXw9JU</t>
  </si>
  <si>
    <t>A man is seen speaking to the camera and leads into him holding several objects out on a table.</t>
  </si>
  <si>
    <t>The man then sharpens an object on a board and finishes by brushing off the board.</t>
  </si>
  <si>
    <t>v_YqB7UEdhKug</t>
  </si>
  <si>
    <t>A man is standing up playing a saxophone.</t>
  </si>
  <si>
    <t>A band is playing behind him.</t>
  </si>
  <si>
    <t>Blue and white words come onto the screen.</t>
  </si>
  <si>
    <t>v_CteuM2BUmHo</t>
  </si>
  <si>
    <t>We see the opening screen on gray.</t>
  </si>
  <si>
    <t>We then see a man on discs smoothing a concrete floor.</t>
  </si>
  <si>
    <t>The man removes concrete from his trowel.</t>
  </si>
  <si>
    <t>The man uses his hand to remove concrete.</t>
  </si>
  <si>
    <t>v_DDwBAbeGejE</t>
  </si>
  <si>
    <t>woman is sitting in studio giving the news.</t>
  </si>
  <si>
    <t>a person is in a yard sweeping dry leaves.</t>
  </si>
  <si>
    <t>old woman is being interviewed and is talking to the camera in a living room.</t>
  </si>
  <si>
    <t>a woman and a man are being interviewed and are talking to the camera while they are sweeping the leaves.</t>
  </si>
  <si>
    <t>old woman is agani alking and back in studio talking to the camera.</t>
  </si>
  <si>
    <t>v_pMXz0BKQOLQ</t>
  </si>
  <si>
    <t>A food attendant prepares an ice cream cone from a frozen yogurt dispenser.</t>
  </si>
  <si>
    <t>The man happily watches his ice cream being prepared.</t>
  </si>
  <si>
    <t>The man enjoys is ice cream eating it as fast as he can.</t>
  </si>
  <si>
    <t>The man rubs his head and is relieved.</t>
  </si>
  <si>
    <t>v_5iIlhXLDsf8</t>
  </si>
  <si>
    <t>A man is speaking inside a gym.</t>
  </si>
  <si>
    <t>He lies on the ground to do sit ups, talking about the mechanics of the act.</t>
  </si>
  <si>
    <t>The man demonstrates how to do sit ups over and over again.</t>
  </si>
  <si>
    <t>v_nSsll1A6Gxw</t>
  </si>
  <si>
    <t>A woman with long hair is seen sitting behind a piano and speaking to the camera.</t>
  </si>
  <si>
    <t>She places her hands around the piano and begins playing a song.</t>
  </si>
  <si>
    <t>She continues playing the instrument and pauses to speak to the camera a bit.</t>
  </si>
  <si>
    <t>She plays some more and ends with her still speaking to the camera.</t>
  </si>
  <si>
    <t>v_c8ntlBKuVmc</t>
  </si>
  <si>
    <t>A bench is shown in a backyard in front of bushes.</t>
  </si>
  <si>
    <t>A man is using a ladder to trim the hedges.</t>
  </si>
  <si>
    <t>He moves the bench, and walks around with the ladder, continuing to trim hedges.</t>
  </si>
  <si>
    <t>v_0Qed9-9yp9Q</t>
  </si>
  <si>
    <t>A man is seen hopping over bars as well as throwing an object in different locations.</t>
  </si>
  <si>
    <t>The men is then seen lifting weights as well as throwing the object around more and walking away from the camera.</t>
  </si>
  <si>
    <t>He continues practicing by throwing the object around and the camera following his movements.</t>
  </si>
  <si>
    <t>v_aZQWCEejbk8</t>
  </si>
  <si>
    <t>A girl walks up to a slide, sits down, then goes down the slide.</t>
  </si>
  <si>
    <t>She walks back to do it again.</t>
  </si>
  <si>
    <t>v_K1EW6wZDnOs</t>
  </si>
  <si>
    <t>A small horse is outside in a field being held by a rope that is attached to a belt wrapped around the horse's neck.</t>
  </si>
  <si>
    <t>The person with the rope in his hand has a torch like item in his right hand but it appears to only have air in it and begins moving it back and forth across the horses face and mouth.</t>
  </si>
  <si>
    <t>However,the horse doesn't seem to please and begins moving his lip trying to avoid the treatment.</t>
  </si>
  <si>
    <t>v_l9jSJaV0DA0</t>
  </si>
  <si>
    <t>A boy demonstrates how to ride a skateboard in the street through example.</t>
  </si>
  <si>
    <t>A boy stands, outdoors, holding a skateboard in his arms and then puts the board down and begins to step on it.</t>
  </si>
  <si>
    <t>The boy then stands on the board rocking back and forth on it.</t>
  </si>
  <si>
    <t>The boy then exhibits upper body twists while standing on the skateboard and eventually pushes off and rides into the street on the skateboard.</t>
  </si>
  <si>
    <t>The boy then returns to the curbside and puts one foot on the board and the other on the ground as he stands still.</t>
  </si>
  <si>
    <t>v_BIy2GQjWUsA</t>
  </si>
  <si>
    <t>We see a rubber glove on the floor.</t>
  </si>
  <si>
    <t>A person cuts the glove in half and puts a hole in the end.</t>
  </si>
  <si>
    <t>The person puts the glove on a dog with it's claw sticking through the hole.</t>
  </si>
  <si>
    <t>A person shows a clipping tool.</t>
  </si>
  <si>
    <t>The person then sands the dogs claw with an electric sander.</t>
  </si>
  <si>
    <t>v_yUSo_xjyGhM</t>
  </si>
  <si>
    <t>Two young boys are at a sink.</t>
  </si>
  <si>
    <t>One of the boys has no hands.</t>
  </si>
  <si>
    <t>He is washing the dishes.</t>
  </si>
  <si>
    <t>The other boy helps him clean.</t>
  </si>
  <si>
    <t>v_4qstg-tiRvQ</t>
  </si>
  <si>
    <t>Cheerleaders stand in a gym in the group.</t>
  </si>
  <si>
    <t>the girls then perform a routine.</t>
  </si>
  <si>
    <t>The girls break into three groups and the two on the sides kneel while the middle group squats.</t>
  </si>
  <si>
    <t>They kneel and throw their hands in the air at the finish.</t>
  </si>
  <si>
    <t>v_FsXl6whrCWk</t>
  </si>
  <si>
    <t>A woman in a black shirt is sitting on a bench.</t>
  </si>
  <si>
    <t>A man sits behind a desk.</t>
  </si>
  <si>
    <t>Two people are sitting on a bean bag chair.</t>
  </si>
  <si>
    <t>A man is drinking from a mug.</t>
  </si>
  <si>
    <t>v_DfiPwDSjjHE</t>
  </si>
  <si>
    <t>A woman in a pink shirt is talking.</t>
  </si>
  <si>
    <t>She picks up a clear box and opens it.</t>
  </si>
  <si>
    <t>She closes the box and puts it away.</t>
  </si>
  <si>
    <t>She picks up a large stuffed animal.</t>
  </si>
  <si>
    <t>She then picks up a small red bag.</t>
  </si>
  <si>
    <t>She picks up some different fabrics and ribbons.</t>
  </si>
  <si>
    <t>v_j4YrzUjxAp8</t>
  </si>
  <si>
    <t>Vacuum parts are displayed on the floor.</t>
  </si>
  <si>
    <t>A person vacuums the carpet.</t>
  </si>
  <si>
    <t>A person wets and vacuums the carpet.</t>
  </si>
  <si>
    <t>A person vacuums or soaks up coffee from the carpet.</t>
  </si>
  <si>
    <t>A person scrubs and dries a tiled floor with a vacuum.</t>
  </si>
  <si>
    <t>A person empties the contents of the vacuum in a white sink.</t>
  </si>
  <si>
    <t>Ways a vacuum can be used are showed in split screens.</t>
  </si>
  <si>
    <t>v_5MJmwr1cmnU</t>
  </si>
  <si>
    <t>A large wave is seen moving on the water followed by several people carrying surf boards and surfing along the water.</t>
  </si>
  <si>
    <t>The people continue riding along the water on surf boards and walking around on the beach.</t>
  </si>
  <si>
    <t>v_hXrNCak63u0</t>
  </si>
  <si>
    <t>A robot is sitting behind a piano in a room.</t>
  </si>
  <si>
    <t>Its hands are lighting up no the piano keys.</t>
  </si>
  <si>
    <t>v_2DvMNOas7jY</t>
  </si>
  <si>
    <t>A person is seen riding down a long street on a skateboard while the camera follows from behind.</t>
  </si>
  <si>
    <t>The person continues riding down the hill with the camera capturing scenery and cars as well as placing his hand on the boarder in front of him.</t>
  </si>
  <si>
    <t>In the end he passes by the boarder and makes a stop by the car.</t>
  </si>
  <si>
    <t>v_J959vSGFedM</t>
  </si>
  <si>
    <t>A man is lying on his back on a tile floor.</t>
  </si>
  <si>
    <t>He is trying to do sit ups, slowing down and grimacing as the effort becomes more difficult with each one.</t>
  </si>
  <si>
    <t>He stops, lying back and laughing.</t>
  </si>
  <si>
    <t>v_g-l5CI29DPQ</t>
  </si>
  <si>
    <t>A girl is playing hopscotch on a back porch.</t>
  </si>
  <si>
    <t>A person is sitting down on a picnic table watching them.</t>
  </si>
  <si>
    <t>The other person gets up and starts playing.</t>
  </si>
  <si>
    <t>v_bQa8S4Z-1cE</t>
  </si>
  <si>
    <t>A person is seen pulling items out of a box and present them to the camera.</t>
  </si>
  <si>
    <t>The man then rubs down a shoe with a rag and presents more items to the camera as it pans around.</t>
  </si>
  <si>
    <t>v_Wgr9YpWni30</t>
  </si>
  <si>
    <t>A person is seen tying their shoes and leads into several shots of people jumping and moving around on rope.</t>
  </si>
  <si>
    <t>Several shots of landscapes are shown as well as more people attempting jumps and tricks on a long rope tied to trees.</t>
  </si>
  <si>
    <t>v_nsdB1r31-70</t>
  </si>
  <si>
    <t>A woman and a little a boy are swinging on a tire swing.</t>
  </si>
  <si>
    <t>A person pushing a stroller is behind them.</t>
  </si>
  <si>
    <t>The boy turns away from the camera.</t>
  </si>
  <si>
    <t>v_xYW64moSLKg</t>
  </si>
  <si>
    <t>A woman is under water and she gracefully come up from underneath.</t>
  </si>
  <si>
    <t>She later is swimming with tom and jerry very pretty and oddly.</t>
  </si>
  <si>
    <t>Then a she is hanging from a hoop up above and jumps down into the water.</t>
  </si>
  <si>
    <t>She does a lot of different shows involving her dancing and swimming around in the water.</t>
  </si>
  <si>
    <t>v_Xueo66Jb8T4</t>
  </si>
  <si>
    <t>A white screen appears with a black brand name that say's "THE SHINGLE HOG" and it has a picture of a hog in the o of the word HOG.</t>
  </si>
  <si>
    <t>A quick picture of a red and black tool is shown, then a man is talking and clips of people removing shingles play in between moments shown when the man talks.</t>
  </si>
  <si>
    <t>The tool is now shown on its own and the brand and logo is displayed on the screen to the upper right.</t>
  </si>
  <si>
    <t>Now there are clips of people on the roof using the tool to remove shingles and once again the man appears talking in between clips.</t>
  </si>
  <si>
    <t>A black screen appears and it has a list with a lot of white words on it and the title is "Shingle Hog Savings".</t>
  </si>
  <si>
    <t>The man talking and the clips of the man using the shingle machine play until a white outro screen appears that include the brand name, logo, product info and website.</t>
  </si>
  <si>
    <t>v_WVM8itzRVjs</t>
  </si>
  <si>
    <t>Four men in sports uniforms are shown along with information about AIB.</t>
  </si>
  <si>
    <t>The first man introduces himself.</t>
  </si>
  <si>
    <t>The second man introduces himself.</t>
  </si>
  <si>
    <t>the third man introduces himself.</t>
  </si>
  <si>
    <t>Finally, the fourth man introduces himself.</t>
  </si>
  <si>
    <t>The first man is then shown practicing by trying to hit targets on the wall.</t>
  </si>
  <si>
    <t>The second man to introduce himself takes a turn trying to hit the targets on the wall.</t>
  </si>
  <si>
    <t>The man wearing white shorts then tries the practice wall out.</t>
  </si>
  <si>
    <t>And finally the man with red hair gives it a try.</t>
  </si>
  <si>
    <t>The first man to practice gives a comment on his performance.</t>
  </si>
  <si>
    <t>The last man to practice with red hair talks.</t>
  </si>
  <si>
    <t>Info about the AIB and the upcoming game are shown.</t>
  </si>
  <si>
    <t>v_MjHlAvy2qVY</t>
  </si>
  <si>
    <t>A large group of people are seen sitting on a beach with several putting sunscreen all over their bodies.</t>
  </si>
  <si>
    <t>Shots of scientists are shown making the sun screen while interacting with one another and speaking to the camera.</t>
  </si>
  <si>
    <t>Finally a man is seen packing up a fish in a shop.</t>
  </si>
  <si>
    <t>v_1fyxOUEihAQ</t>
  </si>
  <si>
    <t>kid is holding a blower and is blowing leaves from the street.</t>
  </si>
  <si>
    <t>the kid walks in a sidewalk and cleans the dry leaves with the blower and a man help him.</t>
  </si>
  <si>
    <t>old man is holding a rake raking the dry leaves.</t>
  </si>
  <si>
    <t>v_pc_QYeZG9GA</t>
  </si>
  <si>
    <t>a little boy is in a messy living room.</t>
  </si>
  <si>
    <t>He is using an electric toothbrush.</t>
  </si>
  <si>
    <t>He scrubs his teeth with the toothbrush while he smiles.</t>
  </si>
  <si>
    <t>v_pcFn1KBwn6Y</t>
  </si>
  <si>
    <t>A man in a light blue shirt breaks the pool balls to start the game.</t>
  </si>
  <si>
    <t>He walks around the table looking for a good spot to hit.</t>
  </si>
  <si>
    <t>Then he moves around the table again and makes it in again.</t>
  </si>
  <si>
    <t>He finally hits the black ball in and ends the game.</t>
  </si>
  <si>
    <t>v_9uitA8tmSfE</t>
  </si>
  <si>
    <t>A woman jumps into a pool.</t>
  </si>
  <si>
    <t>A woman is holding a large camera laughing.</t>
  </si>
  <si>
    <t>Several more women dive off diving boards into the water.</t>
  </si>
  <si>
    <t>v_Sw4QZTF7sOI</t>
  </si>
  <si>
    <t>A chef speaks to the camera.</t>
  </si>
  <si>
    <t>She moves on to cut a lot of mushrooms.</t>
  </si>
  <si>
    <t>She moves around the mushrooms she just cut up.</t>
  </si>
  <si>
    <t>v_rNQbSptv1cM</t>
  </si>
  <si>
    <t>We see the starting title card.</t>
  </si>
  <si>
    <t>A cheerleader jumps and a boy walks up and talks.</t>
  </si>
  <si>
    <t>We see the girl perform cheerleader jumps and arm maneuvers.</t>
  </si>
  <si>
    <t>We see her feet up close.</t>
  </si>
  <si>
    <t>The girl stretches by bending to the ground, and sits on the ground stretching.</t>
  </si>
  <si>
    <t>v_ICzctKJ6nqc</t>
  </si>
  <si>
    <t>The young woman with long blonde hair is showing her wrist that has a few scars from a surgery.</t>
  </si>
  <si>
    <t>Then she takes a neon green colored hula hoop and spins it around her body.</t>
  </si>
  <si>
    <t>She demonstrates how to effectively use the hula hoop by holding the hoop up towards her chest.</t>
  </si>
  <si>
    <t>Then she begins spinning with the hoop on her chest.</t>
  </si>
  <si>
    <t>She shows how to spin the hoop and rotate the hoop around her body without dropping it down.</t>
  </si>
  <si>
    <t>She continues showing how to properly rotate and spin the the hoop with her hands lowered next to her body.</t>
  </si>
  <si>
    <t>Then she stops and twirls the hoop in her hand.</t>
  </si>
  <si>
    <t>v_-vPshfXc1fc</t>
  </si>
  <si>
    <t>A man is welding a circular metal piece.</t>
  </si>
  <si>
    <t>A green light appears out of no where.</t>
  </si>
  <si>
    <t>The man continues welding the circular metal piece.</t>
  </si>
  <si>
    <t>v_a2Xwx37YbhE</t>
  </si>
  <si>
    <t>A black and white dog is at a dog park and the owner is bending down and moving in front of the dog as it watches him.</t>
  </si>
  <si>
    <t>The owner then walks more into the grass holding onto frisbees and is not only joined by the black and white dog but another dog that is brown and white.</t>
  </si>
  <si>
    <t>The man begins to throw the frisbees in the air and the dogs take turn catching them and doing tricks to get them that even include jumping on the man's back.</t>
  </si>
  <si>
    <t>v_Paj9y9YMSg0</t>
  </si>
  <si>
    <t>People are riding horses in a field.</t>
  </si>
  <si>
    <t>They are playing polo on horses.</t>
  </si>
  <si>
    <t>A person standing on the sidelines waves a white flag.</t>
  </si>
  <si>
    <t>v_j59UZGZtuNg</t>
  </si>
  <si>
    <t>Two girls walk up to a pool, ready to dive.</t>
  </si>
  <si>
    <t>One of them raises her arms into the air, then dives into the water before surfacing.</t>
  </si>
  <si>
    <t>v_SWbUJh4XuMQ</t>
  </si>
  <si>
    <t>A welding tool is applied to a surface.</t>
  </si>
  <si>
    <t>A guy that is holding a welding tool is wearing a helmet.</t>
  </si>
  <si>
    <t>Two gloved hands are using a welding gun and stick on an object.</t>
  </si>
  <si>
    <t>v_8d8juWOKb0c</t>
  </si>
  <si>
    <t>A man is dressed in dark medieval armor.</t>
  </si>
  <si>
    <t>Several instances of men dressed in different kinds of armor and holding various shields are showing jousting against one another.</t>
  </si>
  <si>
    <t>Ultimately, the man with the round shield is defeated when he tumbles to the ground and stabbed in the back.</t>
  </si>
  <si>
    <t>The winner now jousts against a man carrying a blue diamond shaped shield.</t>
  </si>
  <si>
    <t>They joust several times but the man with the blue shield is defeated when he is hit in the head and chest and falls on his back onto the other warrior's knees.</t>
  </si>
  <si>
    <t>A close up of the surviving warrior is shown, clearly satisfied with his victories.</t>
  </si>
  <si>
    <t>v_7DY1vm9RiIk</t>
  </si>
  <si>
    <t>The video begins with a title sequence and logo.</t>
  </si>
  <si>
    <t>Several clips begin playing of volleyball fields with spectators.</t>
  </si>
  <si>
    <t>The first clip shows the players celebrating.</t>
  </si>
  <si>
    <t>The video moves on to members of a band.</t>
  </si>
  <si>
    <t>It then continues to show clips of men playing volleyball.</t>
  </si>
  <si>
    <t>The video ends with a closeup of the audience and a title sequence.</t>
  </si>
  <si>
    <t>v_gRqvh21b8Hw</t>
  </si>
  <si>
    <t>People begin to dive into an empty pool and you see them underneath the water.</t>
  </si>
  <si>
    <t>Then, above from the dive board two swimmers are standing by and one of them dives in.</t>
  </si>
  <si>
    <t>A group of kids holding the camera film themselves diving in and doing cool tricks and flips into the pool.</t>
  </si>
  <si>
    <t>From very high above they record their view from the top to the water and the swim once they're in.</t>
  </si>
  <si>
    <t>v_ZbAfEWdGBzQ</t>
  </si>
  <si>
    <t>Two wrestling women are fighting in a ring.</t>
  </si>
  <si>
    <t>They do a suplex, and the referee counts to three as the dark haired woman wins.</t>
  </si>
  <si>
    <t>v_UOswYEzeJ-M</t>
  </si>
  <si>
    <t>A group of boys are playing ball on a court.</t>
  </si>
  <si>
    <t>They are being guided by their coach.</t>
  </si>
  <si>
    <t>They run with the balls, trying to make baskets.</t>
  </si>
  <si>
    <t>v_Pf8eE_zup_k</t>
  </si>
  <si>
    <t>A hand fills a cup with water.</t>
  </si>
  <si>
    <t>A woman puts two glasses on the counter.</t>
  </si>
  <si>
    <t>The woman puts beer and orange juice in a big glass, then she pours liquor in the small glass.</t>
  </si>
  <si>
    <t>After, the woman puts the small glass inside the big glass.</t>
  </si>
  <si>
    <t>v_M4DcibAnW_E</t>
  </si>
  <si>
    <t>A large wave is shown followed by a person standing up on a surf board.</t>
  </si>
  <si>
    <t>The person is shown surfing all along the water while the camera films from behind.</t>
  </si>
  <si>
    <t>The man continues surfing and paddles himself towards a boat.</t>
  </si>
  <si>
    <t>v_32-Bxdbf3mQ</t>
  </si>
  <si>
    <t>A man in a red shirt drives an orange tractor around the lawn.</t>
  </si>
  <si>
    <t>A dog runs around the yard.</t>
  </si>
  <si>
    <t>A woman drives the orange tractor.</t>
  </si>
  <si>
    <t>v_UiK3kYsvvQ8</t>
  </si>
  <si>
    <t>Two women are seen walking on stage and lead into them performing a belly dancing routine.</t>
  </si>
  <si>
    <t>The women dance all around the stage while lights flash around them.</t>
  </si>
  <si>
    <t>The women continue to dance around one another and end by laughing with one another.</t>
  </si>
  <si>
    <t>v_DJNmAoSQu6k</t>
  </si>
  <si>
    <t>A news woman is talking to a camera.</t>
  </si>
  <si>
    <t>She has a conversation with a man who is also a newscaster.</t>
  </si>
  <si>
    <t>Images of hand molds are shown in the background.</t>
  </si>
  <si>
    <t>v_cp4n_xpbBDs</t>
  </si>
  <si>
    <t>A black screen appears and the white words on it read "Rob Lane is the MillionaireMaintenance Man".</t>
  </si>
  <si>
    <t>A man wearing glasses appears outdoors in front of a fence and he's holding an air brush machine and talking.</t>
  </si>
  <si>
    <t>The man then turns around and walks to the fence and begins airbrushing onto it.</t>
  </si>
  <si>
    <t>The man stops airbrushing and starts talking again while hand motioning to the fence and to this airbrush machine.</t>
  </si>
  <si>
    <t>v_6YtaXJJKUKM</t>
  </si>
  <si>
    <t>A woman is seen speaking to the camera while a small fooseball table sits before her.</t>
  </si>
  <si>
    <t>The woman continues speaking as she spins around the game occasionally and leads into her playing with another girl.</t>
  </si>
  <si>
    <t>v_ARkMGkD2RDs</t>
  </si>
  <si>
    <t>A dumbell appears on screen with the words "Catalyst Athletics" overlaid.</t>
  </si>
  <si>
    <t>A man lifts weights over his head in a gym.</t>
  </si>
  <si>
    <t>A woman then lifts weights over her head.</t>
  </si>
  <si>
    <t>A "Catalyst Athletics" logo appears with social media links.</t>
  </si>
  <si>
    <t>v_jsfPXYQuikQ</t>
  </si>
  <si>
    <t>A boy is balanced on the end of a diving board.</t>
  </si>
  <si>
    <t>He dives, flipping backwards as he goes.</t>
  </si>
  <si>
    <t>He lands gracefully in the water.</t>
  </si>
  <si>
    <t>v_Z7BPvGPizYE</t>
  </si>
  <si>
    <t>A man uses a course brush and hand towel to prepare the ski to be worked on while it sits on a rack.</t>
  </si>
  <si>
    <t>The man melts a wax bar across the ski surface with an iron then uses it to blend in the wax.</t>
  </si>
  <si>
    <t>A man sharpens a flat edge then scrapes the outer layer of wax from the skis surface.</t>
  </si>
  <si>
    <t>The man uses a course brush then a towel to finish preparing the skis surface.</t>
  </si>
  <si>
    <t>v_74HRnmwIhfM</t>
  </si>
  <si>
    <t>A plate of creamy cabonara is shown and the ingredients appear in small clear dishes.</t>
  </si>
  <si>
    <t>Salt is then added to a pan and the spaghetti begins to boil.</t>
  </si>
  <si>
    <t>A bit of oil is then placed in a skillet and Canadian bacon and onions are being fried.</t>
  </si>
  <si>
    <t>Next,more ingredients are added with pasta and egg yolks.</t>
  </si>
  <si>
    <t>Finally,the sauce is done and all of the ingredients are compiled and cheese is added to the dish as it is positioned on the plate.</t>
  </si>
  <si>
    <t>After,more entrees are shown and the screen ends on the url of Ulampinoy's website.</t>
  </si>
  <si>
    <t>v_3PiN6rDgg_E</t>
  </si>
  <si>
    <t>A woman demonstrates how to use one container of powdered pigment to make many different hair, nail, and face makeup products.</t>
  </si>
  <si>
    <t>A woman talks to the camera in front of a counter filled with makeup.</t>
  </si>
  <si>
    <t>The camera shows different makeup pieces with accompanying descriptions cards in between cutting back to the woman talking.</t>
  </si>
  <si>
    <t>The woman begins to apply some of the makeup to her face, including lips and to her nails via nail polish.</t>
  </si>
  <si>
    <t>The woman uses some of the makeup to make hair streaks in another persons hair.</t>
  </si>
  <si>
    <t>The woman then uses the containers of powdered makeup to make foundation and eye shadow before smiling and displaying the entire line of colors and displaying a marketing graphic.</t>
  </si>
  <si>
    <t>v_Bs3OMhhUlY4</t>
  </si>
  <si>
    <t>A small group of boys are seen standing on the edge of a pool and grab one another by the sides.</t>
  </si>
  <si>
    <t>The boys then all jump into the pool together at once with some looking at the camera.</t>
  </si>
  <si>
    <t>v_GLsIq3P-J3A</t>
  </si>
  <si>
    <t>A man is seen speaking to the camera while the camera pans out to a card table and the man dealing cards.</t>
  </si>
  <si>
    <t>The man lays out several cards while flipping over more and pointing to objects laid out on the table.</t>
  </si>
  <si>
    <t>v_1ATBCBUgflA</t>
  </si>
  <si>
    <t>Various ingredients are laid out on a table and leads into a person pouring the ingredients into a bowl.</t>
  </si>
  <si>
    <t>The person stirs thoroughly and then wipes down a table with a cloth.</t>
  </si>
  <si>
    <t>v_PG-AK5fawJI</t>
  </si>
  <si>
    <t>A TV presenter and an actress are putting googles to play rock, paper and scissors pie on front a pie with white cream.</t>
  </si>
  <si>
    <t>After playing a while, the woman turn a handle that raise the pie that lands on the face of the actress.</t>
  </si>
  <si>
    <t>Then, the pie lands for the second time on the face of the actress, as well on the face of the TV presenter.</t>
  </si>
  <si>
    <t>The TV presenter stands holding ducks on both hands, then he pretends eats the duck on the right hand.</t>
  </si>
  <si>
    <t>v_LqBp5qgcwLY</t>
  </si>
  <si>
    <t>Several shots of a city are shown as well as people walking around and speaking to one another.</t>
  </si>
  <si>
    <t>People are then seen paving along walls as well as handing out pamphlets and speaking to one another.</t>
  </si>
  <si>
    <t>The people touch the materials on the walls and ends by speaking to the camera.</t>
  </si>
  <si>
    <t>v_r34VM4v0ShI</t>
  </si>
  <si>
    <t>Some supplies needed to shine shoes are shown.</t>
  </si>
  <si>
    <t>An older man shines a shoe and talks about how he shines shoes and how he learned to shine shoes as a child.</t>
  </si>
  <si>
    <t>The same man is shown shining another mans shoes.</t>
  </si>
  <si>
    <t>The same man shines shoes in a shop while other people sit or walk around.</t>
  </si>
  <si>
    <t>An old black and white photo is shown of a barber shop.</t>
  </si>
  <si>
    <t>The older man shines another shoe and talks about shining shoes.</t>
  </si>
  <si>
    <t>A different man is seen in the background walking away.</t>
  </si>
  <si>
    <t>v_nTNkGOtp7aQ</t>
  </si>
  <si>
    <t>man is standing in a trampoline and make a vig somersault into the pool.</t>
  </si>
  <si>
    <t>two men are sitting in the first floor of the trampoline watching the jump.</t>
  </si>
  <si>
    <t>man get outs the pool, grab a towel and dry his face.</t>
  </si>
  <si>
    <t>people are walking around the pool carrying bags.</t>
  </si>
  <si>
    <t>v_zc-RT9tpoBA</t>
  </si>
  <si>
    <t>A man is sitting inside a room.</t>
  </si>
  <si>
    <t>He is talking to the camera animatedly.</t>
  </si>
  <si>
    <t>He is talking about and demonstrating how to play a harmonica.</t>
  </si>
  <si>
    <t>v_WXQol1TisqE</t>
  </si>
  <si>
    <t>Several walking or horseriding individuals walk by the foreground while the camera focuses on a group of people in the background.</t>
  </si>
  <si>
    <t>A gate opens and a horseriding man chases a cow.</t>
  </si>
  <si>
    <t>The man lassos and secures the cow.</t>
  </si>
  <si>
    <t>Others run up to help with the cow.</t>
  </si>
  <si>
    <t>v_Zq9jr2S5wGM</t>
  </si>
  <si>
    <t>A woman in white and gray shirt is talking, then a glass and pitcher of lemonade with straw is shown.</t>
  </si>
  <si>
    <t>Two lemons is in small bowl, then the blonde woman talks in the camera, a hand cut the lemon, squeeze the lemon in the bowl, pour the lemon in the pitcher using a strainer.</t>
  </si>
  <si>
    <t>The woman talks then the pot is placed in the stove, added water, then added the sugar, added the zest of lemon and mixed the pot, the woman added yellow liquid in the pitcher, added the ice and sliced lemons and pour the juice in the glass.</t>
  </si>
  <si>
    <t>v_dXSlCw8AXv0</t>
  </si>
  <si>
    <t>A person is seen riding along the water on a surfboard as well as others speaking to one another.</t>
  </si>
  <si>
    <t>A man is seen speaking to the camera as well as more clips of people riding on the water.</t>
  </si>
  <si>
    <t>More people speak to one another as well as into the camera and end by riding away on the boards.</t>
  </si>
  <si>
    <t>v_-DaX_1bBNAo</t>
  </si>
  <si>
    <t>A woman wearing a bra is standing in a room.</t>
  </si>
  <si>
    <t>She throws a dart across the room.</t>
  </si>
  <si>
    <t>A man with a hat stands next to her.</t>
  </si>
  <si>
    <t>v_cgfJnog1WLE</t>
  </si>
  <si>
    <t>A young lady with broad shoulders and pig tails approaches a stage in prepares her mind.</t>
  </si>
  <si>
    <t>The lady cracks her knuckles and then bends down and tries to lift the weights.</t>
  </si>
  <si>
    <t>Too much weight is on the bar and the girls ends up twisting her arm in a circle,drops the bar and cries out in agony.</t>
  </si>
  <si>
    <t>Another girl then walks up and lifts the bar half way,realizes shes incapable and drops it.</t>
  </si>
  <si>
    <t>After she walks off she brushes her self off and attempts again and raises it over her head,drops it, and walks away congratulating herself.</t>
  </si>
  <si>
    <t>A screen of scores are then shown and a different girl attempts the weight.</t>
  </si>
  <si>
    <t>The second young lady comes back and does the same thing as well as the female who came after her.</t>
  </si>
  <si>
    <t>The girl comes back but realizes the weight is too heavy and gives up lifting it.</t>
  </si>
  <si>
    <t>However,the original girl comes back and continues to lift more and more weight with ease until the last time,she then bows and they walk up to an Olympic stage and receive their metal.</t>
  </si>
  <si>
    <t>v_LZ-Cy0GqCiU</t>
  </si>
  <si>
    <t>A photo is zoomed in on of a man being gored by a bull.</t>
  </si>
  <si>
    <t>A bull charges a man and knocks him around until people come out and distract him.</t>
  </si>
  <si>
    <t>It cuts to the man again being charged by the bull.</t>
  </si>
  <si>
    <t>He gets knocked around again until people come out to distract the bull.</t>
  </si>
  <si>
    <t>He is carried off out of the ring.</t>
  </si>
  <si>
    <t>Once again the bull charges the man and knocks him down.</t>
  </si>
  <si>
    <t>People come out and distract the bull.</t>
  </si>
  <si>
    <t>He is carried out for a last time.</t>
  </si>
  <si>
    <t>v_l_cjSGt5j40</t>
  </si>
  <si>
    <t>An older man is seen sitting on a log in a public space in front of a piano.</t>
  </si>
  <si>
    <t>The man then plays the piano while the camera captures him playing.</t>
  </si>
  <si>
    <t>The man sings to the camera while continuing to play and the camera moving around his movements.</t>
  </si>
  <si>
    <t>v_Mh-qSztuLtE</t>
  </si>
  <si>
    <t>A huge crowd is gathered outside.</t>
  </si>
  <si>
    <t>They are all performing an exercise dance known as zumba.</t>
  </si>
  <si>
    <t>v_LZ4dINjqX5U</t>
  </si>
  <si>
    <t>An athletic man is seen standing with his arms a up and begins performing a gymnastics routine.</t>
  </si>
  <si>
    <t>He spins himself round and round on the bar performing several flips and tricks and ends with him sticking his arms up into the air.</t>
  </si>
  <si>
    <t>v_Xd_xJnlUHm0</t>
  </si>
  <si>
    <t>A young boy is talking to the camera in his bedroom.</t>
  </si>
  <si>
    <t>He removes things from drawers, like lip gloss and puts it on for the camera.</t>
  </si>
  <si>
    <t>He applies messy makeup and poses for the camera.</t>
  </si>
  <si>
    <t>v_I5YCAQXHoFw</t>
  </si>
  <si>
    <t>A camera pans all around a beach showing water crashing on the waves.</t>
  </si>
  <si>
    <t>A person is then seen wearing gloves and painting down an arm chair.</t>
  </si>
  <si>
    <t>The person continues painting down the chair and showing it off in the end.</t>
  </si>
  <si>
    <t>v_jcX2QAiqP9U</t>
  </si>
  <si>
    <t>Kids are shown in side of a gym playing indoor soccer.</t>
  </si>
  <si>
    <t>One of the kids makes a great move to get around a defender and almost scores.</t>
  </si>
  <si>
    <t>He is then shown scoring on a different occasion before the video ends.</t>
  </si>
  <si>
    <t>v_v5O_Yfeqza4</t>
  </si>
  <si>
    <t>A young man is seen speaking to the camera and leads into him throwing darts onto a board.</t>
  </si>
  <si>
    <t>He holds his hands up in excitement as the camera zooms in on the darts.</t>
  </si>
  <si>
    <t>v_7AkyOhKkT6g</t>
  </si>
  <si>
    <t>Mj's mommy is playing around with her hair smoothing it out.</t>
  </si>
  <si>
    <t>She goes to the bathroom with clips in her hair and gets out treatments and shampoos.</t>
  </si>
  <si>
    <t>She begins to apply the hair things to her hair and combing it out, she starts to part her hair and put in curlers.</t>
  </si>
  <si>
    <t>She begins to talk about what she is doing with her hair while she waits to take out the curlers, when she takes them out her hair is perfectly curled.</t>
  </si>
  <si>
    <t>v_-tvhSol-wTs</t>
  </si>
  <si>
    <t>A man is seen talking to the camera while holding a tennis racket and begins demonstrating how to hit the ball.</t>
  </si>
  <si>
    <t>The man continues to speak and hit the ball while moving around the gym and gesturing to the camera.</t>
  </si>
  <si>
    <t>v_gQLH5G88ClE</t>
  </si>
  <si>
    <t>A close up of a christmas tree is shown followed by close ups of ornaments.</t>
  </si>
  <si>
    <t>Two people are then seen moving around the tree decorating as well as turning the lights off.</t>
  </si>
  <si>
    <t>They finish decorating the tree and playing with one another and laughing.</t>
  </si>
  <si>
    <t>In the end close ups of the trees are shown as well as a bear.</t>
  </si>
  <si>
    <t>v_1YGz5CQBflM</t>
  </si>
  <si>
    <t>A man is seen blowing a kiss as well as taking off his jacket and interacting with another man.</t>
  </si>
  <si>
    <t>The man prepares his arm as the other grabs his hand and he pretends to kick his head.</t>
  </si>
  <si>
    <t>More people step up to arm wrestle this man while food is being shown and the loser gets food all over him.</t>
  </si>
  <si>
    <t>v_fI12XNNqldA</t>
  </si>
  <si>
    <t>Two people are seen kneeling before a plant sitting on the ground and speaking to one another.</t>
  </si>
  <si>
    <t>The men continue to move dirt around the plant and end by standing next to the tree and pulling roots away and dumping more soil around it.</t>
  </si>
  <si>
    <t>v_xFqGY-y4OUg</t>
  </si>
  <si>
    <t>A close up is shown of a pool room.</t>
  </si>
  <si>
    <t>A man and woman enter the room, grabbing cues.</t>
  </si>
  <si>
    <t>They engage in a game of pool together, hitting the balls into the pockets.</t>
  </si>
  <si>
    <t>v_9i7ABIB99Ow</t>
  </si>
  <si>
    <t>Step by step instructions to make creamy pasta, first putting the pasta into boiling water and stirring it.</t>
  </si>
  <si>
    <t>Then in another pan adding sausage and onions and stirring it all together.</t>
  </si>
  <si>
    <t>Adding tomatoes and heavy cream to make it pasty.</t>
  </si>
  <si>
    <t>Finally adding the pasta to it, along with some cheese and parsley flakes and mixing it all together.</t>
  </si>
  <si>
    <t>v_7hDCO9fJb90</t>
  </si>
  <si>
    <t>A man stands next to a young girl dressed in a gymnastic outfit in a gym and talks to the camera.</t>
  </si>
  <si>
    <t>The man then coaches the girl on the gym bars in a gymnastic practice session as the girl swings on the bars in a gym filled with other children practicing gymnastics.</t>
  </si>
  <si>
    <t>The man then closes standing next to the girl again and talking into the camera.</t>
  </si>
  <si>
    <t>v_srR0M_HL3Ao</t>
  </si>
  <si>
    <t>A person surfboard in the choppy water of the ocean.</t>
  </si>
  <si>
    <t>A woman stands on front a swimming pool talking, then a slide show of pictures and a man talking in an event is shown.</t>
  </si>
  <si>
    <t>Then, the prince Harry of England sits in an event while people dance and perform.</t>
  </si>
  <si>
    <t>After, people play polo in a field riding horse an throwing a ball with a pole, also the woman and the man talks.</t>
  </si>
  <si>
    <t>v_n_CMnVD7kCg</t>
  </si>
  <si>
    <t>Several shots are shown of people performing impressive gymnastics flips in a large gymnasium.</t>
  </si>
  <si>
    <t>The people continuously perform flips and tricks onto the mats with some being shown in slow motion and in pictures.</t>
  </si>
  <si>
    <t>v_6d9z33GFEGo</t>
  </si>
  <si>
    <t>A man is holding a wine glass and talking.</t>
  </si>
  <si>
    <t>He takes a drink of the wine and sets the glass down.</t>
  </si>
  <si>
    <t>He shows bottles that are sitting on a counter.</t>
  </si>
  <si>
    <t>He pours oil into a pan on a stove.</t>
  </si>
  <si>
    <t>He adds seasonings to the pan.</t>
  </si>
  <si>
    <t>He stirs a pot that is on the stove.</t>
  </si>
  <si>
    <t>He takes a scoop of what's in the pot and adds it to the pan.</t>
  </si>
  <si>
    <t>He begins to stir the pasta that is in the pan.</t>
  </si>
  <si>
    <t>He scoops the pasta out of the pan onto a plate.</t>
  </si>
  <si>
    <t>He picks up his wine glass again.</t>
  </si>
  <si>
    <t>v_f4983HmCNiM</t>
  </si>
  <si>
    <t>A group of dirt bikers are waiting on a ramp.</t>
  </si>
  <si>
    <t>They take off when it opens, going around in circles on the track, racing each other.</t>
  </si>
  <si>
    <t>Some fall off their bikes.</t>
  </si>
  <si>
    <t>They make it through the finish line, ending the race.</t>
  </si>
  <si>
    <t>v_N4wKdmmX0lk</t>
  </si>
  <si>
    <t>A woman takes a few steps with a pair of jumping apparatus.</t>
  </si>
  <si>
    <t>The woman begins jumping around rapidly.</t>
  </si>
  <si>
    <t>The woman is joined by a man who is also jumping around in a pair of jumping apparatus.</t>
  </si>
  <si>
    <t>v_HjVQNiy4uuw</t>
  </si>
  <si>
    <t>A man is seen riding on a long river with another person riding behind.</t>
  </si>
  <si>
    <t>The camera transitions into several people riding in tubes and pushing themselves down a river.</t>
  </si>
  <si>
    <t>v_DzCVpvVJCo8</t>
  </si>
  <si>
    <t>A girl is seen laying down on a table while a man wearing gloves holds scissors to her belly button.</t>
  </si>
  <si>
    <t>He then pierces the girl's stomach and she sits up and walks away in the end smiling.</t>
  </si>
  <si>
    <t>v_XP5Oqr1giQ4</t>
  </si>
  <si>
    <t>A man is bull fighting =, he has a pink sheet and is running away backwards from the bull that is coming toward him.</t>
  </si>
  <si>
    <t>There are three men now and one of them gets completely trampled by the bull.</t>
  </si>
  <si>
    <t>Then about six more men stand in a line messing with the bull.</t>
  </si>
  <si>
    <t>It's very dangerous messing with a bull and teasing him, these people can seriously get hurt.</t>
  </si>
  <si>
    <t>v_oijpI0s_R04</t>
  </si>
  <si>
    <t>The colorful title screen is seen.</t>
  </si>
  <si>
    <t>Two people in a room dance slowly to the back.</t>
  </si>
  <si>
    <t>A title screen loads and we see the man dance alone.</t>
  </si>
  <si>
    <t>We see a title and the lady in the green room dancing alone.</t>
  </si>
  <si>
    <t>A title loads and we see the man's feet as he dances.</t>
  </si>
  <si>
    <t>A title loads and we see the ladies feet as she dances.</t>
  </si>
  <si>
    <t>v_aXm3sPITCKM</t>
  </si>
  <si>
    <t>A man is seen speaking to the camera while brushing his hair and looking around a bathroom.</t>
  </si>
  <si>
    <t>The man continues brushing his hair and begins playing with his facial hair.</t>
  </si>
  <si>
    <t>The man points the camera around his head showing off his hair and smiling to the camera.</t>
  </si>
  <si>
    <t>v_X5gh32tHdsc</t>
  </si>
  <si>
    <t>Men are playing indoor tennis inside a building while soccer is on the tv in the background.</t>
  </si>
  <si>
    <t>They hit the ball back and forth for a while.</t>
  </si>
  <si>
    <t>Other men in the room occasionally look up.</t>
  </si>
  <si>
    <t>v_Mo9-1cuMVtQ</t>
  </si>
  <si>
    <t>We see a newscaster in a studio talking.</t>
  </si>
  <si>
    <t>We then see a soccer game indoors.</t>
  </si>
  <si>
    <t>A man talks in front of the camera and we see the crowd.</t>
  </si>
  <si>
    <t>We see the game in progress.</t>
  </si>
  <si>
    <t>The man talks again and we see the game again.</t>
  </si>
  <si>
    <t>The man talks one more time and we return to the game.</t>
  </si>
  <si>
    <t>We see the newscaster in the studio again.</t>
  </si>
  <si>
    <t>v_nOvrsb0XyGk</t>
  </si>
  <si>
    <t>We see a number of men throwing darts and a woman keeping score.</t>
  </si>
  <si>
    <t>The man grabs the darts off the board and walks away.</t>
  </si>
  <si>
    <t>Another man shoots, grabs his darts and goes.</t>
  </si>
  <si>
    <t>A third guy shoots darts and goes.</t>
  </si>
  <si>
    <t>The fourth guy shoots and goes.</t>
  </si>
  <si>
    <t>the first guy returns for another chance.</t>
  </si>
  <si>
    <t>the second guy goes again.</t>
  </si>
  <si>
    <t>the third guy plays again.</t>
  </si>
  <si>
    <t>The fourth guy takes his turn.</t>
  </si>
  <si>
    <t>And we see them repeat.</t>
  </si>
  <si>
    <t>v_ERcMdKNF_pc</t>
  </si>
  <si>
    <t>A gymnast prepares to mount a beam.</t>
  </si>
  <si>
    <t>He mounts, then spins and flips several times.</t>
  </si>
  <si>
    <t>He dismounts, raising his arms into the air.</t>
  </si>
  <si>
    <t>v_mpj1rR1wXKU</t>
  </si>
  <si>
    <t>We see a couple of opening screens.</t>
  </si>
  <si>
    <t>We see a man in a blue shirt bowling talking in a bowling alley.</t>
  </si>
  <si>
    <t>The man picks purple ball from the dispenser and talks to the camera.</t>
  </si>
  <si>
    <t>The man holds the ball out then we see him putting his fingers in the ball and talks to the camera.</t>
  </si>
  <si>
    <t>The man puts the ball down and grabs another, then another and talks.</t>
  </si>
  <si>
    <t>We then see the man roll the ball down the aisle.</t>
  </si>
  <si>
    <t>v_PN99KIY7jRY</t>
  </si>
  <si>
    <t>A man serves a tennis ball with his racket.</t>
  </si>
  <si>
    <t>He brings the racket down to his side.</t>
  </si>
  <si>
    <t>v_3tfGg2rVv6o</t>
  </si>
  <si>
    <t>little girl is doing gymnastics in the middle of the court holding batons.</t>
  </si>
  <si>
    <t>pictures of woman are shown.</t>
  </si>
  <si>
    <t>v_0pGXfomqurw</t>
  </si>
  <si>
    <t>woman wearing sport clothing is climbing stairs and talking to the camera.</t>
  </si>
  <si>
    <t>woman is in gym talking on the camera and with other man while a woman is making exercise in an orbitrek.</t>
  </si>
  <si>
    <t>v_Jtlvh2w1aUM</t>
  </si>
  <si>
    <t>A person blows leaf off of a lawn and walkway using a leaf blower.</t>
  </si>
  <si>
    <t>The person begins by pointing the leaf blower towards leaves around a bush and near grass.</t>
  </si>
  <si>
    <t>The person blows leaves out of a tight corner and then progresses to a walkway.</t>
  </si>
  <si>
    <t>The person blows leaves from a walkway and across a lawn.</t>
  </si>
  <si>
    <t>v_XxbuqeqOGaM</t>
  </si>
  <si>
    <t>A chef in the kitchen wearing a chef hat is giving instructions on how to sharpen a knife.</t>
  </si>
  <si>
    <t>He brings the knife to a sharpener and begins slowly to demonstrate.</t>
  </si>
  <si>
    <t>He picks up the sharpening tool and talks about what he will do next and begins to sharpen again.</t>
  </si>
  <si>
    <t>Then he shows all of the pieces that come with the kit and talks about it all.</t>
  </si>
  <si>
    <t>v_wfFnIYdSjCI</t>
  </si>
  <si>
    <t>A small group of children are seen running around a lacrosse field playing a game with one another.</t>
  </si>
  <si>
    <t>The camera continues to follow the people around as they chase the ball and run up and down the field.</t>
  </si>
  <si>
    <t>v_WUcjqCvYfQ0</t>
  </si>
  <si>
    <t>A couple is sitting outside talking.</t>
  </si>
  <si>
    <t>They go in the house and gather supplies for shaving, which are listed on the screen.</t>
  </si>
  <si>
    <t>The woman lathers the man up, Then shaves his beard and mustache using a beaver boar brush and razor.</t>
  </si>
  <si>
    <t>She then rinses him clean, and applies aftershave.</t>
  </si>
  <si>
    <t>He is then shown giving her a shoulder rub.</t>
  </si>
  <si>
    <t>v_4MKbQ816r9A</t>
  </si>
  <si>
    <t>A tall thin male is standing in a bar surrounded by liquor.</t>
  </si>
  <si>
    <t>The male has a cup of ice in front of him that he pours into a regular glass that he then adds liquor into.</t>
  </si>
  <si>
    <t>Followed by two more shots of different clear liquors.</t>
  </si>
  <si>
    <t>He then takes two syrup like liquor and pour them in the cup.</t>
  </si>
  <si>
    <t>Once everything is in the glass,he puts the mixer on top of it and shakes it up.</t>
  </si>
  <si>
    <t>Finally,the drink is complete and he pours it into another glass and adds a straw for it to be served.</t>
  </si>
  <si>
    <t>v_Qtj7QFDjH1A</t>
  </si>
  <si>
    <t>A young man is seen standing in front of the camera playing a set of bagpipes.</t>
  </si>
  <si>
    <t>He continues playing the instrument and ends by holding it in his hands and a picture of him playing guitar.</t>
  </si>
  <si>
    <t>v_2ptdloHcTcs</t>
  </si>
  <si>
    <t>A person is seen riding a surf board through a wave and leads into several more people riding waves and sitting along the water.</t>
  </si>
  <si>
    <t>More shots of people surfing incredible waves are shown with some wiping out but overall riding along.</t>
  </si>
  <si>
    <t>v_f2fyhNjY3EA</t>
  </si>
  <si>
    <t>Boats are seen sailing through dark ocean water.</t>
  </si>
  <si>
    <t>We see a first person view of sailing on a boat.</t>
  </si>
  <si>
    <t>The boats are seen floating through the water.</t>
  </si>
  <si>
    <t>v_fgP3D3Gqn6U</t>
  </si>
  <si>
    <t>People sit on a bench at a rodeo.</t>
  </si>
  <si>
    <t>We see people standing around a fence.</t>
  </si>
  <si>
    <t>The gate open and calf and a man come out we see four men hogtie calf's.</t>
  </si>
  <si>
    <t>We see a calf running in the ring and another calf being hogtied.</t>
  </si>
  <si>
    <t>A man and a little boy are walking and holding the reins of a horse.</t>
  </si>
  <si>
    <t>We see an older man holding the reins of a horse.</t>
  </si>
  <si>
    <t>The camera points to the ground and the video ends.</t>
  </si>
  <si>
    <t>v_-cApkmTI3F8</t>
  </si>
  <si>
    <t>A man is seen drinking out of a cup held by a woman who is also drinking from a bottle.</t>
  </si>
  <si>
    <t>The two continue drinking as others record them and then stop immediately.</t>
  </si>
  <si>
    <t>v_YIYZHQUOtnA</t>
  </si>
  <si>
    <t>A groups of students exercise and cheers on a competition, then boys wearing red t-shirt throw bowling balls and throw all the pins and celebrates.</t>
  </si>
  <si>
    <t>Then, young people wearing green t-shirts are successful playing bowling.</t>
  </si>
  <si>
    <t>After, girls play bowling who throw all the pins with the bowling bowl.</t>
  </si>
  <si>
    <t>The winners of the competition receive closed envelopes and trophies.</t>
  </si>
  <si>
    <t>v_EbqurNRxneE</t>
  </si>
  <si>
    <t>A woman is kneeling on the sandy beach.</t>
  </si>
  <si>
    <t>She is helping a baby with suntan lotion.</t>
  </si>
  <si>
    <t>She rubs the lotion on the baby's skin.</t>
  </si>
  <si>
    <t>v_d4B9z_WJAKs</t>
  </si>
  <si>
    <t>Four men are playing bad mitten.</t>
  </si>
  <si>
    <t>There are clips of great shots from teams.</t>
  </si>
  <si>
    <t>The yellow team makes several points in a row.</t>
  </si>
  <si>
    <t>Denmark's team made several points.</t>
  </si>
  <si>
    <t>The clip ends with the yellow team holding trophies.</t>
  </si>
  <si>
    <t>v_ArT40PO05h8</t>
  </si>
  <si>
    <t>A man is playing a ukulele for a woman while a man watches from behind a curtain.</t>
  </si>
  <si>
    <t>Suddenly, the video cuts to several different people doing window washing tricks.</t>
  </si>
  <si>
    <t>The video ends with a man on the phone doing a comedy skit about windows.</t>
  </si>
  <si>
    <t>v_PRkEpM8ffak</t>
  </si>
  <si>
    <t>A person is seen using a piece of exercise equipment moving up and down on the machine.</t>
  </si>
  <si>
    <t>The camera pans all around the man using the machine and zooms all around the man moving around.</t>
  </si>
  <si>
    <t>v_H9ejAfleKUg</t>
  </si>
  <si>
    <t>A camera is seen zooming in on a building and leads into a man climbing up a large rock.</t>
  </si>
  <si>
    <t>The man continuously climbs up the rock while looking around and finally makes it to the top while the camera pans around.</t>
  </si>
  <si>
    <t>v_mB0MeZjjCmU</t>
  </si>
  <si>
    <t>A vanilla sponge cake is shown on the title screen.</t>
  </si>
  <si>
    <t>A white plate is then placed on a brown table alongside four brown eggs.</t>
  </si>
  <si>
    <t>They are then put in a silver bowl and they are whisked at a rapid pace as sugar is gradually added it and the whipping continues.</t>
  </si>
  <si>
    <t>After,milk,butter,flour,banana pudding,salt and vanilla extract are shown on a table.</t>
  </si>
  <si>
    <t>The milk and butter are heated up then added in a large bowl with the cake batter to be whisked.</t>
  </si>
  <si>
    <t>The vanilla is then added and poured into another bowl before the final product is shown.</t>
  </si>
  <si>
    <t>v_srARxP_ocyg</t>
  </si>
  <si>
    <t>A woman is seen kicking a man wearing gloves in his hands.</t>
  </si>
  <si>
    <t>The man then walks around the circle while people take turns hitting the man.</t>
  </si>
  <si>
    <t>The man continues walking around while they hit him.</t>
  </si>
  <si>
    <t>v_8NRv-75RlPI</t>
  </si>
  <si>
    <t>An elliptical trainer is shown, as well as its components.</t>
  </si>
  <si>
    <t>A woman is shown working out on the elliptical.</t>
  </si>
  <si>
    <t>She pedals and demonstrates the mechanics of the programming screen.</t>
  </si>
  <si>
    <t>v_w6P9JrTGRlE</t>
  </si>
  <si>
    <t>A dog is dressed in clothes and a human is behind him only showing his hands.</t>
  </si>
  <si>
    <t>As to look like the dog is part human and doing human like stuff.</t>
  </si>
  <si>
    <t>He is feeding himself breakfast and then wipes his face.</t>
  </si>
  <si>
    <t>After that he grabs a cup of coffee to drink.</t>
  </si>
  <si>
    <t>He struggles to grab another napkin to wipe his face again.</t>
  </si>
  <si>
    <t>v_lO1r4df9uUc</t>
  </si>
  <si>
    <t>A man is seen skiing behind a boat.</t>
  </si>
  <si>
    <t>He holds on tight as he is pulled through the water.</t>
  </si>
  <si>
    <t>The man is water skiing until the end of the clip.</t>
  </si>
  <si>
    <t>v_xE9anOqq2XQ</t>
  </si>
  <si>
    <t>An athletic man is seen standing ready while holding a javelin and then runs down the track and throws the pole into a field.</t>
  </si>
  <si>
    <t>He walks away with his hands on his hips and his same throw is shown again.</t>
  </si>
  <si>
    <t>Several more athletes step up to throw the javelin into the field followed by their same throw shown again and them laughing to the camera.</t>
  </si>
  <si>
    <t>v_x--RoqrwiLI</t>
  </si>
  <si>
    <t>A man in a large green field practices over seven hammer throws in the field with a measuring tape in front of him stretched along the ground.</t>
  </si>
  <si>
    <t>A bare chested man in black track pants spins a hammer throw around and around until he releases into a field in front of him.</t>
  </si>
  <si>
    <t>The man then goes on to perform at least six more hammer throws in the same way in the same location.</t>
  </si>
  <si>
    <t>v_-NndIs9BaS4</t>
  </si>
  <si>
    <t>man is standing in a gren field and start jumping the rope.</t>
  </si>
  <si>
    <t>man drops the rope and explain how to jump and holds the rope again.</t>
  </si>
  <si>
    <t>v_dUBkspFNj-E</t>
  </si>
  <si>
    <t>Guys are playing pool in front of an audience.</t>
  </si>
  <si>
    <t>A guy changes his pool stick.</t>
  </si>
  <si>
    <t>The two men stand close together and give an interview.</t>
  </si>
  <si>
    <t>A man puts his arm around his partner's shoulders, and his partner dances.</t>
  </si>
  <si>
    <t>A man sits on his pool game partner's lap after he makes his shot, .</t>
  </si>
  <si>
    <t>v_xpmXZBpYrM0</t>
  </si>
  <si>
    <t>A person applies leg lube to their leg and then proceeds to shave the leg and then wipe their leg down with a wet rag.</t>
  </si>
  <si>
    <t>A person in a bathroom, with one foot on top of a toilet cover rubs leg lube on their leg.</t>
  </si>
  <si>
    <t>The person then begins to shave the length of their leg with a blue razor.</t>
  </si>
  <si>
    <t>The person wipes their leg down with wet rag after holding the rag under the bathroom sink tap before holding a bottle of leg lube in their hand in a closeup view.</t>
  </si>
  <si>
    <t>v_bOp6pObPeZ4</t>
  </si>
  <si>
    <t>A woman and a man are dancing on a stage.</t>
  </si>
  <si>
    <t>There is a band playing behind them.</t>
  </si>
  <si>
    <t>There is an audience sitting in chairs clapping for them.</t>
  </si>
  <si>
    <t>v_C1djGYqkhYI</t>
  </si>
  <si>
    <t>A young girl in a green leotard begins twirling a baton and doing tricks.</t>
  </si>
  <si>
    <t>The girl begins to incorporate her arms and does a flip and continues to flip the baton over her hands and arms.</t>
  </si>
  <si>
    <t>As the young lady continues her performance, she twirls the baton between her legs and over her head,catches it and does a gallop.</t>
  </si>
  <si>
    <t>The rest of the young girl's performance is a set of twirls and twist and then she runs off the floor to finish her performance.</t>
  </si>
  <si>
    <t>v_lkCpF06uEmE</t>
  </si>
  <si>
    <t>A person lifts a 90 kg weight until the shoulder and then above the head, then the man drops the weight to the floor.</t>
  </si>
  <si>
    <t>Then, the man lifts 95 kg weight above his head.</t>
  </si>
  <si>
    <t>After, the man lifts a weight of 101 kg successfully.</t>
  </si>
  <si>
    <t>v_rjzQD0vwnP0</t>
  </si>
  <si>
    <t>A close up of a car is seen followed by a person holding a scraper.</t>
  </si>
  <si>
    <t>The person pushes ice all along the car while looking to the camera.</t>
  </si>
  <si>
    <t>The person continues clearing off ice with the scraper while the camera captures her movements.</t>
  </si>
  <si>
    <t>v_Tp6MFA0SbFU</t>
  </si>
  <si>
    <t>A female wrestler is holding another wrestler upside down.</t>
  </si>
  <si>
    <t>She slams her down onto the mat, on her back.</t>
  </si>
  <si>
    <t>v_JgfVp6Estgw</t>
  </si>
  <si>
    <t>Various shots of landscapes are shown including deer heads and tree houses and leads into a man shooting a bow and arrow.</t>
  </si>
  <si>
    <t>He hits the stuffed animal and leads into more shots of him and another using the bow and arrow.</t>
  </si>
  <si>
    <t>The camera pans around areas that they hit and shows one man walking away.</t>
  </si>
  <si>
    <t>v_aorWXCqqyJs</t>
  </si>
  <si>
    <t>Some people are surfing in rough ocean waves.</t>
  </si>
  <si>
    <t>They lay down on their boards, disappearing into the water.</t>
  </si>
  <si>
    <t>The girl just rides the surf with her father helping.</t>
  </si>
  <si>
    <t>v_y1CzJvvItrM</t>
  </si>
  <si>
    <t>A man is standing on a ladder wiping down a wall.</t>
  </si>
  <si>
    <t>A black bucket is sitting next to him.</t>
  </si>
  <si>
    <t>A man is standing up throwing mud at the wall.</t>
  </si>
  <si>
    <t>v_qD52CX0CSBs</t>
  </si>
  <si>
    <t>A woman is seen speaking to the camera while standing next to a horse and petting the horse on the side.</t>
  </si>
  <si>
    <t>The horse sniffs all around the woman while she pets him down and turns his head in the end.</t>
  </si>
  <si>
    <t>v_0xtS7g7vZLU</t>
  </si>
  <si>
    <t>A camera pans out a wooden table with a boy with glasses showing it off.</t>
  </si>
  <si>
    <t>The boy pushes various pucks across the wooden board to see where it ends up.</t>
  </si>
  <si>
    <t>The boy pushes several more pucks and the boy holding the camera walks to the end to show the results.</t>
  </si>
  <si>
    <t>v_BOqca4eckEs</t>
  </si>
  <si>
    <t>A girl is standing with a group of people on a long platform made of wood.</t>
  </si>
  <si>
    <t>She is attached to a rope and with several people behind her then she is pushed off of the stand participating in a free fall.</t>
  </si>
  <si>
    <t>The female falls then hangs down over the water for a long period of time.</t>
  </si>
  <si>
    <t>v_hFzMCWZ3Jps</t>
  </si>
  <si>
    <t>A woman is seen looking into the camera while brushing her hair and leads into her putting her hair into a ponytail.</t>
  </si>
  <si>
    <t>The girl then braids more hair into her and ends by waving to the camera.</t>
  </si>
  <si>
    <t>v_ULBhK8jXNws</t>
  </si>
  <si>
    <t>There is a truck being driven on the road in the beginning of the video.</t>
  </si>
  <si>
    <t>Then a man is shown sitting by the poolside, surfing in the water with other people.</t>
  </si>
  <si>
    <t>v_jAlYwQevBxA</t>
  </si>
  <si>
    <t>People are seen walking around a snowy area carrying boards in their hands and riding along the trail.</t>
  </si>
  <si>
    <t>The people ride down the snowy mountain continuously while looking back to the camera.</t>
  </si>
  <si>
    <t>The people continue to ride around while zooming in on their feet.</t>
  </si>
  <si>
    <t>v_EdJgTx0iFeE</t>
  </si>
  <si>
    <t>A woman is seen speaking to the camera holding a hula hoop and leads into her spinning around the hula hoop.</t>
  </si>
  <si>
    <t>The woman continues to push the object around her waist while spinning herself around as well as dancing in place.</t>
  </si>
  <si>
    <t>v_9u-wH-UBuRc</t>
  </si>
  <si>
    <t>A thin man and a fat man perform arm wrestling while a cameraman film them.</t>
  </si>
  <si>
    <t>The thin man win the arm wrestling competition.</t>
  </si>
  <si>
    <t>v_b_DY76Y6ekg</t>
  </si>
  <si>
    <t>People in harnesses walk on a platform with trees far below in the background.</t>
  </si>
  <si>
    <t>The man sits on a bench and is hooked to a large white rope.</t>
  </si>
  <si>
    <t>The man shakes a lady's hand.</t>
  </si>
  <si>
    <t>The man stands and walks to the edge of the platform assisted by two people.</t>
  </si>
  <si>
    <t>The lady then pushes the man off the edge and the camera pans down to watch the mans' bungee jump.</t>
  </si>
  <si>
    <t>A man with stick holds it out and the man catches it and they release the man from the rope.</t>
  </si>
  <si>
    <t>v_I-1UKECfQko</t>
  </si>
  <si>
    <t>Several people lay in tubes in the snow.</t>
  </si>
  <si>
    <t>More people are standing around them.</t>
  </si>
  <si>
    <t>Eventually some of them go down the hill.</t>
  </si>
  <si>
    <t>They reach the bottom of the hill.</t>
  </si>
  <si>
    <t>v_kxUkqmzS2wc</t>
  </si>
  <si>
    <t>A man puts shaving cream on his face.</t>
  </si>
  <si>
    <t>He starts shaving his face with a razor.</t>
  </si>
  <si>
    <t>He dries his face off with a towel.</t>
  </si>
  <si>
    <t>v_KjXvBqmh5C4</t>
  </si>
  <si>
    <t>A shot of a gym is shown followed by several clips of a person attempting to pole volt and others socializing.</t>
  </si>
  <si>
    <t>Several people speak to the camera and lead into them pole volting.</t>
  </si>
  <si>
    <t>More people are seen speaking to one another as well as the camera and using a pole to get over a bar.</t>
  </si>
  <si>
    <t>v_-b2lkhdJXf4</t>
  </si>
  <si>
    <t>A small white ball dashed out into the court and hits a player smack dab in the head.</t>
  </si>
  <si>
    <t>Another player then steals the ball and starts kicking it until its more into his control, and kicks it straight into the goal.</t>
  </si>
  <si>
    <t>A small replay shows how he managed to kick it in there.</t>
  </si>
  <si>
    <t>A short montage of similar moves, the player kicking a ball straight into the goal.</t>
  </si>
  <si>
    <t>A short amount of footage shows how the player reacts to his own shot.</t>
  </si>
  <si>
    <t>v_1oyWMusaDTI</t>
  </si>
  <si>
    <t>A man is kite surfing on the edge of the board.</t>
  </si>
  <si>
    <t>The camera zoom in and shows the board then zooms back out.</t>
  </si>
  <si>
    <t>We see the road in the distance and see cars driving.</t>
  </si>
  <si>
    <t>We see a second person kitesurfing.</t>
  </si>
  <si>
    <t>v_W06Ojnv-Wxg</t>
  </si>
  <si>
    <t>A gymnast is seen jumping onto a set of uneven bars and performing a gymnastics routine in front of others.</t>
  </si>
  <si>
    <t>The man continues flipping around the bars and ends with him jumping down and bowing to the crowd.</t>
  </si>
  <si>
    <t>v_IuntoXkEWPI</t>
  </si>
  <si>
    <t>A small child is seen climbing up a slide at a playground very slowly.</t>
  </si>
  <si>
    <t>She edges her way up to the top and then slides down the slide.</t>
  </si>
  <si>
    <t>v_wsrSku74OpM</t>
  </si>
  <si>
    <t>A close up of solo cups are shown followed by a man throwing balls.</t>
  </si>
  <si>
    <t>A person moves the cups alongside the table while the person continues throwing and the men switch place.</t>
  </si>
  <si>
    <t>The two continue taking turns while the camera captures their movements.</t>
  </si>
  <si>
    <t>v_cdb7VSVuUl8</t>
  </si>
  <si>
    <t>Two men in inflatable sumo wrestler costumes entertain the public by street performing in a public square.</t>
  </si>
  <si>
    <t>Two men in inflatable sumo wrestler outfits talk to the camera and begin to entertain the people passing by as they stand in a paved public square.</t>
  </si>
  <si>
    <t>The two men show a little boy how to use an automated scooter, perform mock sumo wrestling matches, and take pictures with the audience as well as dancing with the audience before ending the performance and speaking again to the camera.</t>
  </si>
  <si>
    <t>v_NmmFlMtvE68</t>
  </si>
  <si>
    <t>We see a person bring a dog into a shelter.</t>
  </si>
  <si>
    <t>We see a black screen with writing.</t>
  </si>
  <si>
    <t>We then see a lady use an electric shaver then scissors to groom a dog.</t>
  </si>
  <si>
    <t>The groomer kisses the puppy.</t>
  </si>
  <si>
    <t>We see shot of the dog after the grooming.</t>
  </si>
  <si>
    <t>We then see a black title screen.</t>
  </si>
  <si>
    <t>v_JZDTcGPKw2w</t>
  </si>
  <si>
    <t>woman is riding a horse in a barn and another woman is leading the horse with a rope.</t>
  </si>
  <si>
    <t>photos of various people riding horses are shown.</t>
  </si>
  <si>
    <t>woma is riding a horse in a barn and pictures of people riding horses.</t>
  </si>
  <si>
    <t>woman is riding a horse in a riding track.</t>
  </si>
  <si>
    <t>and a girl is jumping in the tracks too.</t>
  </si>
  <si>
    <t>childs are in a living room playing in front of a tv and pictues of theirs on the mood are shown.</t>
  </si>
  <si>
    <t>childs are in a bridge dancing and jumping into the pool.</t>
  </si>
  <si>
    <t>v_uowNtTu74nA</t>
  </si>
  <si>
    <t>The video leads into several shots of surfers moving along the water and riding waves past other people.</t>
  </si>
  <si>
    <t>Several shots are shown on how to properly surf and is followed by more shots shown in slow motion.</t>
  </si>
  <si>
    <t>v_t6iq95QPZIg</t>
  </si>
  <si>
    <t>The back of a speed boat is shown followed by feet jumping into water and looking around underwater.</t>
  </si>
  <si>
    <t>A person holds a stick out and grabs a fish and pokes at sharks.</t>
  </si>
  <si>
    <t>v_7YOV0kZQIAo</t>
  </si>
  <si>
    <t>A man plays a saxophone while facing the camera.</t>
  </si>
  <si>
    <t>The man finishes playing and smiles at his instrument.</t>
  </si>
  <si>
    <t>v_cCYLiE1fiEo</t>
  </si>
  <si>
    <t>A person steps on a tan mat several times.</t>
  </si>
  <si>
    <t>They take their shoes off and put a different pair of shoes on.</t>
  </si>
  <si>
    <t>They continue stepping on the mat in the new shoes.</t>
  </si>
  <si>
    <t>They take those shoes off and walk away.</t>
  </si>
  <si>
    <t>v_Bs3TR80BRco</t>
  </si>
  <si>
    <t>A man is in a forest, and his feet are shown with and without shoes.</t>
  </si>
  <si>
    <t>He mounts a tightrope and balances on it.</t>
  </si>
  <si>
    <t>He uses the tightrope to walk, showing the proper positions to maintain balance.</t>
  </si>
  <si>
    <t>v_MvKhjWRNTvI</t>
  </si>
  <si>
    <t>A woman pics up a bottle filled with red bullets.</t>
  </si>
  <si>
    <t>The cotton pad is removed, then a gun is loaded.</t>
  </si>
  <si>
    <t>She shoots the paint bullets at a target, spattering it red.</t>
  </si>
  <si>
    <t>Several targets are shown getting spattered.</t>
  </si>
  <si>
    <t>v_U8SmnfsEzOc</t>
  </si>
  <si>
    <t>A man is taking a bike apart on a subway.</t>
  </si>
  <si>
    <t>He is putting a tire back on the bike.</t>
  </si>
  <si>
    <t>v_jWzLhOqcGtE</t>
  </si>
  <si>
    <t>They run on the court and continue to dribble the ball.</t>
  </si>
  <si>
    <t>They jump up and make a basket.</t>
  </si>
  <si>
    <t>v_nqmw4BCi6io</t>
  </si>
  <si>
    <t>A mop's attributes are demonstrated through computer graphics close-ups of various parts.</t>
  </si>
  <si>
    <t>The mop is demonstrated in actual use.</t>
  </si>
  <si>
    <t>The preparation of the mop head is shown.</t>
  </si>
  <si>
    <t>More component closeups are shown.</t>
  </si>
  <si>
    <t>The mop head is demonstrated again.</t>
  </si>
  <si>
    <t>v_hs81dVKvvdw</t>
  </si>
  <si>
    <t>A person is sitting down getting their arm tattooed.</t>
  </si>
  <si>
    <t>They stand up and show the tattoo.</t>
  </si>
  <si>
    <t>v_5bZ2FdbAKiQ</t>
  </si>
  <si>
    <t>A gymnast is seen standing ready with her arms up and turns to face the beam.</t>
  </si>
  <si>
    <t>Just jumps up on the beam and begins perform a gymnastic routine until she falls off.</t>
  </si>
  <si>
    <t>She climbs back up on the beam and ends by flipping off the beam.</t>
  </si>
  <si>
    <t>v_ymEh5T11kSQ</t>
  </si>
  <si>
    <t>Two people are seen standing on a sandy beach with one kicking the ball and passing it to another.</t>
  </si>
  <si>
    <t>The boys continue passing the ball back and fourth while many people are seen walking around and playing in the water.</t>
  </si>
  <si>
    <t>v_FSfxYKauc9w</t>
  </si>
  <si>
    <t>Two teams of hockey players are inside of the rink playing a game.</t>
  </si>
  <si>
    <t>The puck is hit behind the goal and the team hits it back out and the game continues.</t>
  </si>
  <si>
    <t>After fighting for it,the players hit the puck down on the other end and it is blocked by the goalie.</t>
  </si>
  <si>
    <t>Each team rallies back and forth with the puck but neither of them are successful and they are blocked on both ends of the rink.</t>
  </si>
  <si>
    <t>v_7gRbYNWSUjk</t>
  </si>
  <si>
    <t>A man practice martial arts in a gym turning and spinning around.</t>
  </si>
  <si>
    <t>Then, the man leans on her hands to spin his body and make turns.</t>
  </si>
  <si>
    <t>After, the man stands on his hands and tilt his body to the sides and front.</t>
  </si>
  <si>
    <t>Next, the stands on his hands and rotates his body.</t>
  </si>
  <si>
    <t>v_Q43BuVI2r-s</t>
  </si>
  <si>
    <t>Two men are walking down planks with one rolling out paper and putting tape across.</t>
  </si>
  <si>
    <t>Other men lay down a green sheet of paper and continue taping down the paper.</t>
  </si>
  <si>
    <t>One last set of paper is laid across with tape and the men continue working.</t>
  </si>
  <si>
    <t>v_ACnOpQNrhqs</t>
  </si>
  <si>
    <t>We see a college volleyball game being played by women.</t>
  </si>
  <si>
    <t>A group of ladies passes.</t>
  </si>
  <si>
    <t>A lady falls and slides across the ground.</t>
  </si>
  <si>
    <t>Two ladies high five each other.</t>
  </si>
  <si>
    <t>Three ladies fall into the crowd on the left.</t>
  </si>
  <si>
    <t>A lady misses and falls.</t>
  </si>
  <si>
    <t>A person dangles a set of keys.</t>
  </si>
  <si>
    <t>v_vcl8rFSCH4w</t>
  </si>
  <si>
    <t>A close up of people are shown sitting on a snowy hill and looking to the camera.</t>
  </si>
  <si>
    <t>The people then all ride in tubes down the snowy trail with one moving around at the bottom.</t>
  </si>
  <si>
    <t>v_P3q6n0ZjumU</t>
  </si>
  <si>
    <t>A teen boy has a bunch of darts in his hands.</t>
  </si>
  <si>
    <t>He throws each dart, trying to hit his target on the wall.</t>
  </si>
  <si>
    <t>A cell phone camera above the dart board records as he throws, then gets hit by a dart before falling onto the carpet.</t>
  </si>
  <si>
    <t>v_6G1wS1p1ig0</t>
  </si>
  <si>
    <t>A large group of kids are seen dancing in a room followed by men moving around and laughing.</t>
  </si>
  <si>
    <t>More clips are shown of people jump roping in different rooms and laughing with one another.</t>
  </si>
  <si>
    <t>v_p377oL-EM_E</t>
  </si>
  <si>
    <t>A black screen appears with yellow writing on it.</t>
  </si>
  <si>
    <t>Once gone,a field is shown and a buff females throws a shot put into the field and a replay is shown.</t>
  </si>
  <si>
    <t>v_lGAK_3Jp2I8</t>
  </si>
  <si>
    <t>A man body slams another man on a ring.</t>
  </si>
  <si>
    <t>A referee taps on the ground several times.</t>
  </si>
  <si>
    <t>The crowd cheers for the people.</t>
  </si>
  <si>
    <t>v_QNsonWAaFk4</t>
  </si>
  <si>
    <t>Men snarl and we see the crowd and shots of volleyball play.</t>
  </si>
  <si>
    <t>We see ladies on the sidelines.</t>
  </si>
  <si>
    <t>A tall man is shown from the legs up as he jumps.</t>
  </si>
  <si>
    <t>A man misses a shot and looks behind him and two men look behind them.</t>
  </si>
  <si>
    <t>We see men cheer and jump.</t>
  </si>
  <si>
    <t>A shot is made and team hugs.</t>
  </si>
  <si>
    <t>v_Vc4NSwtI5jM</t>
  </si>
  <si>
    <t>A man cleans the rim of a wheel with a brush, then the man rinse the car with a hose.</t>
  </si>
  <si>
    <t>After, the man applies detergent with a washing scrub brush.</t>
  </si>
  <si>
    <t>Next, the car enters inside an automatic car wash machine.</t>
  </si>
  <si>
    <t>v_f98FHTGx64Q</t>
  </si>
  <si>
    <t>Two people arm wrestle and take off clothes.</t>
  </si>
  <si>
    <t>They get dressed up and go extreme kite flying in a hurricane.</t>
  </si>
  <si>
    <t>The kites crash into the people once.</t>
  </si>
  <si>
    <t>v_OUPEzXXawCs</t>
  </si>
  <si>
    <t>People are riding horses on a field.</t>
  </si>
  <si>
    <t>A dog and a person cross in front of the camera.</t>
  </si>
  <si>
    <t>The horses are running around on the field.</t>
  </si>
  <si>
    <t>v_J6T9pokWX1E</t>
  </si>
  <si>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t>
  </si>
  <si>
    <t>A woman is talking and in between there are clips playing of groomers grooming dogs, customers, dogs walking in the store, products and dogs walking in the store.</t>
  </si>
  <si>
    <t>The same clip of the exterior of the building that was shown in the beginning, is the same exterior view that is shown at the end.</t>
  </si>
  <si>
    <t>v_roTIeCtx94Q</t>
  </si>
  <si>
    <t>woman puts butter in a bowl with sugar, and flour and mix it in a kitchen aid, adding eggs, vanilla and flour, when the mix is homogenous add chocolate chips.</t>
  </si>
  <si>
    <t>the dough is molded in balls and in a tray to the oven.</t>
  </si>
  <si>
    <t>v_NS8qkB39x9U</t>
  </si>
  <si>
    <t>A camera pans around a dark kitchen and leads to the person walking down a set of stairs.</t>
  </si>
  <si>
    <t>Clothes are seen on the floor followed by a woman in curlers smoking a cigarette and playing on the computer.</t>
  </si>
  <si>
    <t>She speaks to the camera and gets a shot of her and the camera man together.</t>
  </si>
  <si>
    <t>v_nHafujMomWg</t>
  </si>
  <si>
    <t>A man is in front of a cutting board covered in potatoes.</t>
  </si>
  <si>
    <t>He uses a peeler to peel the skin from a potato.</t>
  </si>
  <si>
    <t>He moves quickly, peeling until all the potatoes are bare.</t>
  </si>
  <si>
    <t>v_YPFk9ftkzl4</t>
  </si>
  <si>
    <t>A boy is sitting at a wooden table in a cafe.</t>
  </si>
  <si>
    <t>He lights a hookah, then pulls a drag on the smoke.</t>
  </si>
  <si>
    <t>He sits back, blowing smoke out of his mouth.</t>
  </si>
  <si>
    <t>v_ePqfnkzAQjQ</t>
  </si>
  <si>
    <t>A girl sits and endures pain as she gets a traditional Polynesian tattoo.</t>
  </si>
  <si>
    <t>The artists stop for a moment and clean off the area.</t>
  </si>
  <si>
    <t>They begin to continue tattooing her hand as she endures visibly the pain.</t>
  </si>
  <si>
    <t>v_6dNh6AxVLx8</t>
  </si>
  <si>
    <t>The video starts with several shots of bmx riders riding along a track with one taking a hard fall.</t>
  </si>
  <si>
    <t>Several more shots of people riding on a track are shown with many standing on the sidelines to watch.</t>
  </si>
  <si>
    <t>More falls are shown with a slow motion affect and more people continue to ride around.</t>
  </si>
  <si>
    <t>v_1bcm3LHTI_w</t>
  </si>
  <si>
    <t>A black screen appears with white,red,green and blue words that say "membrillo films" on one screen, "Mateo Bervelillo" ,and "Trillizos".</t>
  </si>
  <si>
    <t>A man is now outdoors, sits on a wooden box, and begins tapping his fingers onto the box and bouncing his feet on the ground.</t>
  </si>
  <si>
    <t>Another man who looks like the first man comes out of a door and sits on the chair outdoor near the first man and he begins hitting a bongo.</t>
  </si>
  <si>
    <t>A third man who looks like the two previous men before him, come out of a door and sit on the last chair and he plays on his bongo.</t>
  </si>
  <si>
    <t>v_UnZtNrtvSPA</t>
  </si>
  <si>
    <t>woman is standing in front of the camera in a white room playing with her hair.</t>
  </si>
  <si>
    <t>woman is sitting in a shair and a woman behind her start grabbing a small section of he hair doing a braid and anchoring it with a bobby pin and decorating it with hair pins.</t>
  </si>
  <si>
    <t>v_Qn61vl2khuo</t>
  </si>
  <si>
    <t>We see the black title screen.</t>
  </si>
  <si>
    <t>We see a lady and a man working on a machine.</t>
  </si>
  <si>
    <t>We see the people standing and talking about the product with shots of the machine.</t>
  </si>
  <si>
    <t>We see the display on the machine.</t>
  </si>
  <si>
    <t>The lady gets on, sets the time, and runs on the machine.</t>
  </si>
  <si>
    <t>We see just the man talking then using the machine.</t>
  </si>
  <si>
    <t>We return to the people talking together.</t>
  </si>
  <si>
    <t>We see the closing title screens.</t>
  </si>
  <si>
    <t>v_FMmrxy3OanA</t>
  </si>
  <si>
    <t>The video begins with a title sequence showing a girl throwing clothing at a man, and a title screen.</t>
  </si>
  <si>
    <t>The man and his family are in a backyard speaking to the camera.</t>
  </si>
  <si>
    <t>After he speaks, they cheer.</t>
  </si>
  <si>
    <t>The man and woman put on a tutu and blindfolds.</t>
  </si>
  <si>
    <t>They then begin to hula hoop until the woman loses.</t>
  </si>
  <si>
    <t>Afterward, they speak to the camera and wave goodbye.</t>
  </si>
  <si>
    <t>v_z-94IUxC4Xc</t>
  </si>
  <si>
    <t>Several shots of scenery are shown followed by a person performing a trick on a skateboard and others riding down a hill.</t>
  </si>
  <si>
    <t>Several shots are shown of people riding down the street on skateboards and doing several tricks while the camera zooms in.</t>
  </si>
  <si>
    <t>One man falls in the end and his board crashes along the side.</t>
  </si>
  <si>
    <t>v_2Ua6E2a6kT4</t>
  </si>
  <si>
    <t>A man is seen speaking to the camera while standing out in a back yard.</t>
  </si>
  <si>
    <t>He pans to a man spraying down a fence with a hose and another man watching on the side.</t>
  </si>
  <si>
    <t>The man continues to spray down the hose while another watches on the side and pans back to the camera man.</t>
  </si>
  <si>
    <t>v_ZsqjU0X3mxY</t>
  </si>
  <si>
    <t>A pale young woman in a white dress is standing in the forest with long curly brownish-reddish hair and begins skipping.</t>
  </si>
  <si>
    <t>Then she is shown with a black shirt and long hair and begins talking in a dark staircase.</t>
  </si>
  <si>
    <t>She stands up,flips her pony tail and the camera pans her outfit and she has on a black shirt and blue shorts and begins walking up the stairs.</t>
  </si>
  <si>
    <t>Next,she goes into a room and begins talking to a woman with a black shirt and blonde hair.</t>
  </si>
  <si>
    <t>The lady holds up a white index card with sketches of two heads.</t>
  </si>
  <si>
    <t>The lady washes her hairs and begins cutting it with a pair of shears to a very short length.</t>
  </si>
  <si>
    <t>The girl sits in the chair and begins shaking her ear length hair and holding up the cut off hair in her hands.</t>
  </si>
  <si>
    <t>The hairdresser begins blow drying her hair,cutting it and styling it.</t>
  </si>
  <si>
    <t>She continues to get her hair down while her hair is panned over on the counter and the floor.</t>
  </si>
  <si>
    <t>Then she sits on a bench and smiles at the thought of her short hair cut.</t>
  </si>
  <si>
    <t>v_1XicledQXng</t>
  </si>
  <si>
    <t>A person is seen walking into frame in front of a large closet.</t>
  </si>
  <si>
    <t>The woman then lets her hair down along her back.</t>
  </si>
  <si>
    <t>She brushes her hair continuously and ends by walking out of frame.</t>
  </si>
  <si>
    <t>v_2Tm_2wgv2Zs</t>
  </si>
  <si>
    <t>A small group of people are seen standing before a fooseball table grabbing onto poles.</t>
  </si>
  <si>
    <t>The men play against one another while taking breaks to get a drink and speak with team mates.</t>
  </si>
  <si>
    <t>The people shake hands with one another and hug friends and family.</t>
  </si>
  <si>
    <t>v_r4QPhlrqqP4</t>
  </si>
  <si>
    <t>A woman stands and talks in a garden next to a bed of herbs and plants and a wheelbarrow filled with mulch.</t>
  </si>
  <si>
    <t>A herb garden appears with a woman standing next to it in a large garden next to a wheelbarrow filled with mulch.</t>
  </si>
  <si>
    <t>The woman begins to talk to the camera while gesturing to the flowerbed and the mulch, before eventually picking up a handful of the mulch.</t>
  </si>
  <si>
    <t>The woman continues talking before the scene morphs into video of a small red potatoes on the ground pulled up by the root.</t>
  </si>
  <si>
    <t>v_dbLtukGqkhI</t>
  </si>
  <si>
    <t>People are standing on a roof top looking up.</t>
  </si>
  <si>
    <t>A woman in a green shirt eats chips.</t>
  </si>
  <si>
    <t>A man in a blue shirt is pointing to the sky and moving his hand in circles.</t>
  </si>
  <si>
    <t>There are many kites in the sky around them.</t>
  </si>
  <si>
    <t>v_ATBbNtNlBnY</t>
  </si>
  <si>
    <t>We see a man using an electric sander to sharpen a variety of things.</t>
  </si>
  <si>
    <t>He uses a caliper and ruler on a item.</t>
  </si>
  <si>
    <t>We see him sharpening more things and beveling a tool.</t>
  </si>
  <si>
    <t>The man adjust some screws and moves an arm.</t>
  </si>
  <si>
    <t>We see the item comes with a 7 year warranty.</t>
  </si>
  <si>
    <t>The man adds an oil to the item, and we see the packaging.</t>
  </si>
  <si>
    <t>We see the ending credits for the video.</t>
  </si>
  <si>
    <t>v_smJtFktW640</t>
  </si>
  <si>
    <t>A small group of women are seen dancing together doing choreography with one leading the group in the front.</t>
  </si>
  <si>
    <t>the woman continue dancing with one another and ends with a zumba logo shown in the background.</t>
  </si>
  <si>
    <t>v_epZjMuRRXLo</t>
  </si>
  <si>
    <t>A woman is seen standing in front of a mirror and begins jumping rope while smiling at the camera.</t>
  </si>
  <si>
    <t>She continues jumping over and over again swinging her arms and ends by stopping to smile at the camera.</t>
  </si>
  <si>
    <t>v_jaRSbVCkxlU</t>
  </si>
  <si>
    <t>woman is standing in a kitchen in front of a camera holding a door.</t>
  </si>
  <si>
    <t>woman cuts the door and spread chocolate cream on he top and put another layer of cake.</t>
  </si>
  <si>
    <t>the woman spread the chocolate cream again in the top and put another layer of cake and spread the cream on top and at sides.</t>
  </si>
  <si>
    <t>woman flatten the cream and varnish it.</t>
  </si>
  <si>
    <t>thw woman grabs white fondant and kneads it and then cover the cake with it with her hands and cuts the remaining, adds ornamens on top.</t>
  </si>
  <si>
    <t>v_iXaW8uyzBNs</t>
  </si>
  <si>
    <t>A man is riding a bike.</t>
  </si>
  <si>
    <t>He is talking on a cell phone in a kitchen.</t>
  </si>
  <si>
    <t>He is then talking on a phone near a garage.</t>
  </si>
  <si>
    <t>He starts painting a wooden fence.</t>
  </si>
  <si>
    <t>He sits down and eats food.</t>
  </si>
  <si>
    <t>He then finished painting the fence.</t>
  </si>
  <si>
    <t>He jumps in the air to celebrate.</t>
  </si>
  <si>
    <t>v_kW_2ihjROgw</t>
  </si>
  <si>
    <t>A baby is sitting at a tiny table outside.</t>
  </si>
  <si>
    <t>He is smoking a cigarette and waving at adults.</t>
  </si>
  <si>
    <t>He high fives a woman, then continues to smoke.</t>
  </si>
  <si>
    <t>v_x2uByejBIiY</t>
  </si>
  <si>
    <t>A woman is seen holding ingredients in their hands while speaking to the camera and boiling water.</t>
  </si>
  <si>
    <t>She fries nuts on a pan and pours them on a plate while mixing more ingredients into a pan and pouring it over the nuts.</t>
  </si>
  <si>
    <t>She mixes them all together and shows off several plates in the end.</t>
  </si>
  <si>
    <t>v_UcQ63-sQ9bI</t>
  </si>
  <si>
    <t>A close up of a guitar is seen followed by a person strumming the back.</t>
  </si>
  <si>
    <t>The person moves their hands up and down the neck of the guitar while moving it to play.</t>
  </si>
  <si>
    <t>The man continues to play the instrument and stops in the end.</t>
  </si>
  <si>
    <t>v_Vshvpb9eecg</t>
  </si>
  <si>
    <t>A woman is seen walking into frame while speaking to the camera and putting her face in cream.</t>
  </si>
  <si>
    <t>The woman then rubs the cream on her face while still speaking to the camera.</t>
  </si>
  <si>
    <t>The camera pans around the kitchen while the woman continues to rub her hands in the lotion.</t>
  </si>
  <si>
    <t>v_VVLeWYKoNUE</t>
  </si>
  <si>
    <t>We see a person jet-skiing behind a boat.</t>
  </si>
  <si>
    <t>The boat runs aground into some brush.</t>
  </si>
  <si>
    <t>The skier is laying in the lake.</t>
  </si>
  <si>
    <t>v_SA2GomtZkvE</t>
  </si>
  <si>
    <t>A man plays an accordion in the street.</t>
  </si>
  <si>
    <t>He is wearing a hoodie.</t>
  </si>
  <si>
    <t>He is sitting next to his bike.</t>
  </si>
  <si>
    <t>A man walks in the background.</t>
  </si>
  <si>
    <t>v_Y5qDKbTkCaY</t>
  </si>
  <si>
    <t>The words "The Shot Put" appear on screen over an athlete.</t>
  </si>
  <si>
    <t>"The Shot Put Introduction" appears on screen followed by several athletes performing the sport.</t>
  </si>
  <si>
    <t>The words "Thank you for Watching" appears on the screen.</t>
  </si>
  <si>
    <t>v_FjMeS0FCvas</t>
  </si>
  <si>
    <t>A man lifts up a large pitcher of beer and starts drinking it.</t>
  </si>
  <si>
    <t>People sitting around a table cheer him on.</t>
  </si>
  <si>
    <t>The man puts his hands in the air and laughs.</t>
  </si>
  <si>
    <t>The people around the table start pumping their hands in the air.</t>
  </si>
  <si>
    <t>The man claps his hands.</t>
  </si>
  <si>
    <t>v_rsJUOsr1u3o</t>
  </si>
  <si>
    <t>A man is standing over an oven cooking something in a pan.</t>
  </si>
  <si>
    <t>He bends down to check the flame.</t>
  </si>
  <si>
    <t>He tosses the pan a few times.</t>
  </si>
  <si>
    <t>He is adding seasonings to the pan.</t>
  </si>
  <si>
    <t>He pours a liquid into the pan.</t>
  </si>
  <si>
    <t>He shakes the pan again.</t>
  </si>
  <si>
    <t>v_Cq7Myyfbtn0</t>
  </si>
  <si>
    <t>A person helps another person walk on stilts on the sidewalk.</t>
  </si>
  <si>
    <t>The person walks by themselves.</t>
  </si>
  <si>
    <t>The man sits down in a chair.</t>
  </si>
  <si>
    <t>v_CXb3Ce7s6G0</t>
  </si>
  <si>
    <t>Several screens are shown of bright orange lettering on a black background.</t>
  </si>
  <si>
    <t>A man and a woman are standing upright in a pool, and the man is showing the woman swimming techniques.</t>
  </si>
  <si>
    <t>The woman begins to emulate the man's actions, moving her arms and dipping her head under the water.</t>
  </si>
  <si>
    <t>The man shows her how to swim outward by doing so himself.</t>
  </si>
  <si>
    <t>The woman watches as he swims away.</t>
  </si>
  <si>
    <t>v_RRIGf87R6jc</t>
  </si>
  <si>
    <t>A girl is pouring ingredients into a bowl and mixing them together.</t>
  </si>
  <si>
    <t>She uses a cookie cutter to cut shapes out of the dough.</t>
  </si>
  <si>
    <t>She is dipping the dough into a white glaze.</t>
  </si>
  <si>
    <t>v_12sz7NMvyfI</t>
  </si>
  <si>
    <t>A person is blowing leaves in the back of their yard.</t>
  </si>
  <si>
    <t>The kid is having some trouble but is generally doing an ok job.</t>
  </si>
  <si>
    <t>v_XSNenkxgryQ</t>
  </si>
  <si>
    <t>A news anchor presents a story behind a desk in a large newsroom.</t>
  </si>
  <si>
    <t>People are seen smoking regular cigarettes and electric cigarettes.</t>
  </si>
  <si>
    <t>The news anchor talks with a guest in the newsroom.</t>
  </si>
  <si>
    <t>Professionals are seen in there offices discussing the subject.</t>
  </si>
  <si>
    <t>Text is seen against a red background with a website and information.</t>
  </si>
  <si>
    <t>v_DthkauVLag0</t>
  </si>
  <si>
    <t>A man is shown smiling and talking into the camera and holding a young boy up on a sink.</t>
  </si>
  <si>
    <t>The man holds the boys eyes open while he laughs and brushes his teeth.</t>
  </si>
  <si>
    <t>v_GA8XzZTETPE</t>
  </si>
  <si>
    <t>A ballerina starts dancing on a stage.</t>
  </si>
  <si>
    <t>She does several spins on the stage.</t>
  </si>
  <si>
    <t>She does a leap on the stage.</t>
  </si>
  <si>
    <t>She lays down on the stage.</t>
  </si>
  <si>
    <t>v_TVeIcQOvMZI</t>
  </si>
  <si>
    <t>A man is seen speaking to the camera that leads into a person playing crochet.</t>
  </si>
  <si>
    <t>Several shots are shown of children hitting the balls as well as speaking to the camera.</t>
  </si>
  <si>
    <t>More kids and adults speak to the camera while showing how they hit the ball.</t>
  </si>
  <si>
    <t>v_g5-CU3qfSWY</t>
  </si>
  <si>
    <t>A person is seen running down a long track with a pole and attempting to push herself forward.</t>
  </si>
  <si>
    <t>Her run is shown again in slow motion as another person attempts to push over the pole and fails.</t>
  </si>
  <si>
    <t>More clips are shown of people attempting to jump over the wall and not making it high enough.</t>
  </si>
  <si>
    <t>v_dLLvpM-gB8Q</t>
  </si>
  <si>
    <t>Two kids are playing in the back of a truck.</t>
  </si>
  <si>
    <t>People are standing around a yellow ice cream truck.</t>
  </si>
  <si>
    <t>Two kids are sitting down on a sidewalk eating ice cream.</t>
  </si>
  <si>
    <t>v_2NyOIsFJ3Tw</t>
  </si>
  <si>
    <t>We then see a girl run and fall on a slip and slide.</t>
  </si>
  <si>
    <t>We see another title screen and watch the kids slide down slide and across their slip and slide.</t>
  </si>
  <si>
    <t>A kid slides down the slide on a raft.</t>
  </si>
  <si>
    <t>v_aQHGZzqZLxs</t>
  </si>
  <si>
    <t>A man is demonstrating how to kindle a small pit of fire.</t>
  </si>
  <si>
    <t>First, the man shows off the flint he has for the fire.</t>
  </si>
  <si>
    <t>He then puts the flint into a pile of wood.</t>
  </si>
  <si>
    <t>The man then lights the fire, which slowly spreads throughout the wood.</t>
  </si>
  <si>
    <t>The man then pokes the fire with pieces of flat wood to spread the fire.</t>
  </si>
  <si>
    <t>The man then shakes the twigs on the wood to further spread the fire.</t>
  </si>
  <si>
    <t>v_mOVPZhGyUrs</t>
  </si>
  <si>
    <t>There are two men playing ping pong in a basement.</t>
  </si>
  <si>
    <t>One of the players is wearing a black shirt and the other is a blue shirt.</t>
  </si>
  <si>
    <t>There is a mattress leaning against the basement wall.</t>
  </si>
  <si>
    <t>The players continue playing a smooth rally.</t>
  </si>
  <si>
    <t>Then the person in black misses the shot.</t>
  </si>
  <si>
    <t>They continue playing ping pong for a few more rounds.</t>
  </si>
  <si>
    <t>The person in blue hits the ball in the net.</t>
  </si>
  <si>
    <t>They continue playing more till the person in blue drops the ball on the ground.</t>
  </si>
  <si>
    <t>v_m22vOf2fw1M</t>
  </si>
  <si>
    <t>A person trims the top of a pink hedge using a hedge trimmer.</t>
  </si>
  <si>
    <t>Then, the man trim the sides of the pink hedge on front a house.</t>
  </si>
  <si>
    <t>v_-KbDXeEoQ1E</t>
  </si>
  <si>
    <t>Various pictures of shown of a girl and a horse and leads into a person riding a horse over jumps.</t>
  </si>
  <si>
    <t>More pictures are shown off the horse and person together followed by more clips of the girl riding the horse.</t>
  </si>
  <si>
    <t>In the end the horse is seen tied up to the stables and the girl wanders around him.</t>
  </si>
  <si>
    <t>v_p0_buoe9M7I</t>
  </si>
  <si>
    <t>A young woman is sitting on a red lounge chair as a tattoo artist begins doing his job.</t>
  </si>
  <si>
    <t>As he applies the needle,the girl fringes in her face but stays as still as possible.</t>
  </si>
  <si>
    <t>The tattoo is finally finished and the man dabs the rest of the tattoo on her foot.</t>
  </si>
  <si>
    <t>v_LNK_yYs6UOA</t>
  </si>
  <si>
    <t>A man walks into a circle on a field.</t>
  </si>
  <si>
    <t>He spins while holding a disc.</t>
  </si>
  <si>
    <t>He lets go of the disc, letting it fly through the air.</t>
  </si>
  <si>
    <t>v_r9X01daYa5o</t>
  </si>
  <si>
    <t>A man is sitting down in a chair.</t>
  </si>
  <si>
    <t>He is wearing a mask on his face.</t>
  </si>
  <si>
    <t>He is welding something in front of him.</t>
  </si>
  <si>
    <t>v_FuaxI8PkeHQ</t>
  </si>
  <si>
    <t>A young boy is seen sitting in a chair looking away with others walking by.</t>
  </si>
  <si>
    <t>The man then takes a sip of a drink and makes a funny face.</t>
  </si>
  <si>
    <t>v_F6cNWYlfUs8</t>
  </si>
  <si>
    <t>A large group of people are seen walking in the snow with several being interviewed on the camera.</t>
  </si>
  <si>
    <t>They're seen inside a shop sharpening skiis and laughing with one another.</t>
  </si>
  <si>
    <t>v_Zm32ORZly10</t>
  </si>
  <si>
    <t>A small group of people are seen standing around with one woman holding signs and leads into people playing tug of war.</t>
  </si>
  <si>
    <t>Several shots of the games are shown as well as a girl dancing and kids warming up.</t>
  </si>
  <si>
    <t>the kids play more tug of a war and a close up of a person's face is seen in slow motion.</t>
  </si>
  <si>
    <t>v_Tko7eefi1BI</t>
  </si>
  <si>
    <t>A woman is sitting outside on a white chair playing at accordion.</t>
  </si>
  <si>
    <t>There is a music stand sitting in front of her.</t>
  </si>
  <si>
    <t>v_S-8ogZOLiWU</t>
  </si>
  <si>
    <t>We see a man putting on gear and then hockey player walking to the rink.</t>
  </si>
  <si>
    <t>We see the crowd clapping.</t>
  </si>
  <si>
    <t>We see a game of hockey being played.</t>
  </si>
  <si>
    <t>We see people clapping in the crowd.</t>
  </si>
  <si>
    <t>A man's hand is shaken and see the whole team on the ice.</t>
  </si>
  <si>
    <t>v_5wchVLM0f5Y</t>
  </si>
  <si>
    <t>A man is seen solving a rubix cube was another sits beside him and watches.</t>
  </si>
  <si>
    <t>He solves the puzzle and puts it down on the table then smiles at the camera.</t>
  </si>
  <si>
    <t>v_vr7iD3pjmSU</t>
  </si>
  <si>
    <t>An archery competition montage video shows pitched battles taking place in fields, convention halls of hotels, indoor arenas, and warehouses.</t>
  </si>
  <si>
    <t>A logo for Archery Tag appears and an ad plays for another video and subscription.</t>
  </si>
  <si>
    <t>v_W4aPcuQSxFI</t>
  </si>
  <si>
    <t>A close up of a sink is shown followed by a person turning on a faucet and grabbing the camera.</t>
  </si>
  <si>
    <t>She faces a table and sprays down a rag followed by pushing the rag along the floor.</t>
  </si>
  <si>
    <t>The woman continues cleaning the floor and walks back to the camera.</t>
  </si>
  <si>
    <t>v_ZpuZEui-Bu0</t>
  </si>
  <si>
    <t>There are two little girls standing in an indoor court learning to play squash.</t>
  </si>
  <si>
    <t>They are standing with their racquets and trying to hit the ball against the wall.</t>
  </si>
  <si>
    <t>They attempt to hit the ball but end up brushing it on the floor.</t>
  </si>
  <si>
    <t>They run around the court trying to catch the ball with their racquets.</t>
  </si>
  <si>
    <t>they run around smiling with their oversized racquets and run to follow the ball around the court.</t>
  </si>
  <si>
    <t>v_55ziFpzx5oc</t>
  </si>
  <si>
    <t>Four young women and a man are on the stage, while one girl is playing the guitar.</t>
  </si>
  <si>
    <t>The lady in yellow began singing, then the lady in pink shirt.</t>
  </si>
  <si>
    <t>When the girls are finished singing the crowd cheered.</t>
  </si>
  <si>
    <t>v_PzNpPDd-VWE</t>
  </si>
  <si>
    <t>We see a man fall in the water in reverse.</t>
  </si>
  <si>
    <t>We watch people walk on a slackline over a body of water.</t>
  </si>
  <si>
    <t>We see a series of falls.</t>
  </si>
  <si>
    <t>A man makes it across.</t>
  </si>
  <si>
    <t>We see a man climb a tree and get a coconut.</t>
  </si>
  <si>
    <t>The pan puts a tap in the coconut and pours it in his mouth as he lays on the ground.</t>
  </si>
  <si>
    <t>The man sits up and smiles.</t>
  </si>
  <si>
    <t>v_AS1nLh3xfxI</t>
  </si>
  <si>
    <t>A close up of boots are seen as well as person digging a hole.</t>
  </si>
  <si>
    <t>The person lays out dirt and cut a hole into it while also putting a plant inside.</t>
  </si>
  <si>
    <t>The person waters the plant and ends by laying out more dirt.</t>
  </si>
  <si>
    <t>v_ZNsX4KYJlVQ</t>
  </si>
  <si>
    <t>A boy is standing at the counter facing backwards from the dart board.</t>
  </si>
  <si>
    <t>His mom is standing beside him and he is getting ready to throw his dart.</t>
  </si>
  <si>
    <t>He throws it and completely misses the dart board all together.</t>
  </si>
  <si>
    <t>He hits the top of the wall and he goes over to reach for it and take it out.</t>
  </si>
  <si>
    <t>v_8wNsOZHTsj0</t>
  </si>
  <si>
    <t>A man splits logs into using an ax in a grassy yard while his wife retrieves the pieces.</t>
  </si>
  <si>
    <t>A man splits logs in the yard by himself.</t>
  </si>
  <si>
    <t>The man sets his ax blade into the log and takes a brake.</t>
  </si>
  <si>
    <t>v_wv2baWJtSoc</t>
  </si>
  <si>
    <t>A man in a blue shirt is sitting down holding a bar on an exercise machine.</t>
  </si>
  <si>
    <t>He pushes off and uses the exercise machine.</t>
  </si>
  <si>
    <t>v_4Mo-IYfNKBo</t>
  </si>
  <si>
    <t>We see a man mopping a floor under women's feet.</t>
  </si>
  <si>
    <t>The middle lady uses her foot to move the mop.</t>
  </si>
  <si>
    <t>The left lady then moves the mop with her foot.</t>
  </si>
  <si>
    <t>The middle lady does it again then the man finishes mopping the floor.</t>
  </si>
  <si>
    <t>v_L6BxxvCbwpQ</t>
  </si>
  <si>
    <t>A guy is crawling on the ground.</t>
  </si>
  <si>
    <t>The guy is using a box knife to cut the carpet.</t>
  </si>
  <si>
    <t>The guy looks behind him.</t>
  </si>
  <si>
    <t>There are a lot of papers on the wall.</t>
  </si>
  <si>
    <t>v_4gQpW3zR-Aw</t>
  </si>
  <si>
    <t>A group of men are seen leading a camel around while a person rides on top of the camel.</t>
  </si>
  <si>
    <t>One man leads the camera around with the person on top and people recording them from the sides.</t>
  </si>
  <si>
    <t>The man lays the camel down for the person to climb off and the rider smiles and waves to the camera.</t>
  </si>
  <si>
    <t>v_xlOc6r6E08w</t>
  </si>
  <si>
    <t>A man is running down a pathway in the field in slow motion preparing to throw a javelin.</t>
  </si>
  <si>
    <t>As he comes closer,he begins to turn and run sideways and throws the javelin.</t>
  </si>
  <si>
    <t>Once it is released,he stumbles and has difficulty trying to catch his balance as the rest of the people surrounding him look to see his distance.</t>
  </si>
  <si>
    <t>v_eCzDH6PdtlE</t>
  </si>
  <si>
    <t>A gymnast performs on a pommel horse on front a crowd in the bleachers.</t>
  </si>
  <si>
    <t>Then, she flips backwards and lands stand on the foam mat.</t>
  </si>
  <si>
    <t>v_rQc7UhpiDU8</t>
  </si>
  <si>
    <t>A man is seen shooting a bow and arrow followed by another man taking a bow and aiming.</t>
  </si>
  <si>
    <t>Another man is seen kneeling down before bows and speaking to the camera.</t>
  </si>
  <si>
    <t>He points to various boxes and continues looking into the camera and speaking.</t>
  </si>
  <si>
    <t>v_wDlbcTFI90o</t>
  </si>
  <si>
    <t>The video is a tutorial about installing deck tiles.</t>
  </si>
  <si>
    <t>There's a contractor working on a deck.</t>
  </si>
  <si>
    <t>He begins installing the interlocking wooden tiles on a concrete deck surface.</t>
  </si>
  <si>
    <t>He covers the entire deck with the wooden tiles to evenly cover the surface area.</t>
  </si>
  <si>
    <t>v_HbXNXmCRFh4</t>
  </si>
  <si>
    <t>An older man is in a pool and he's holding a yellow ball in front of his face.</t>
  </si>
  <si>
    <t>The man throws it to a dog who is balancing on a blue floating device and the dog hits it back to the man using his nose.</t>
  </si>
  <si>
    <t>The man throws it back to the dog and the dog hits it back and then he slips off the floating device and splashes into the water.</t>
  </si>
  <si>
    <t>v_QbhMOqg9Tmg</t>
  </si>
  <si>
    <t>women are insisde a bathtub shving her legs with ceam and water.</t>
  </si>
  <si>
    <t>women are laughing in front of a mirror.</t>
  </si>
  <si>
    <t>v_T3rh5gQVFKA</t>
  </si>
  <si>
    <t>We see a wolf fall in the title screen.</t>
  </si>
  <si>
    <t>We see the landscape of a small town.</t>
  </si>
  <si>
    <t>A boy rides down a street on a skateboard.</t>
  </si>
  <si>
    <t>Four boys on skateboards ride past.</t>
  </si>
  <si>
    <t>We see a boy almost fall two times.</t>
  </si>
  <si>
    <t>We See the board on the curb.</t>
  </si>
  <si>
    <t>A group of boys walking up a hill.</t>
  </si>
  <si>
    <t>The end credits play and we see a boy on a bus.</t>
  </si>
  <si>
    <t>v_n9MONPwq7x0</t>
  </si>
  <si>
    <t>A man dressed in a black sweatshirt and black shorts, along with another person dressed in white athletic wear are standing in a tennis court near the net.</t>
  </si>
  <si>
    <t>They are both holding tennis rackets.</t>
  </si>
  <si>
    <t>The person in black is giving a tutorial on how to return a serve in tennis.</t>
  </si>
  <si>
    <t>There is a player demonstrating the serve as the coach explains.</t>
  </si>
  <si>
    <t>Then the person in white begins taking about more about the tennis serve and how to play effectively.</t>
  </si>
  <si>
    <t>The player continues to demonstrate the serves.</t>
  </si>
  <si>
    <t>v_SsAmEJvdpyU</t>
  </si>
  <si>
    <t>People are doing tricks on roller blades.</t>
  </si>
  <si>
    <t>A man jumps down a flight of stairs on roller blades.</t>
  </si>
  <si>
    <t>A man in a white shirt jumps down a flight of stairs.</t>
  </si>
  <si>
    <t>v_smGijLg8Cho</t>
  </si>
  <si>
    <t>Three men are set up to play darts.</t>
  </si>
  <si>
    <t>The man in the peach shirts throws a dart at the dart board.</t>
  </si>
  <si>
    <t>A man in blue hits a cue ball.</t>
  </si>
  <si>
    <t>The man in peach lines back up and shoots three darts at the dart board and removes them.</t>
  </si>
  <si>
    <t>He lines back up in front of the board and throws one more dart.</t>
  </si>
  <si>
    <t>More people gather around as two men remove the darts from the dartboards and walk back a distance.</t>
  </si>
  <si>
    <t>Both men throw a dart at the dartboard.</t>
  </si>
  <si>
    <t>The man in peach walks to remove the darts.</t>
  </si>
  <si>
    <t>A woman stands by the dart board and smiles.</t>
  </si>
  <si>
    <t>The man in peach throws three darts at the board again and smiles as he removes them.</t>
  </si>
  <si>
    <t>v_eqWQOAjF4-k</t>
  </si>
  <si>
    <t>We see a little boy standing on a platform on a jungle gym.</t>
  </si>
  <si>
    <t>The boy climbs across on the monkey bars.</t>
  </si>
  <si>
    <t>The boy reaches the other platform and turns and smiles for the camera.</t>
  </si>
  <si>
    <t>v_xlCOq0ryx-Y</t>
  </si>
  <si>
    <t>Two men sit in a room smoking cigarettes one playing guitar the other on keyboard.</t>
  </si>
  <si>
    <t>The man on guitar on the right takes his cigarette out of his mouth and puts it down.</t>
  </si>
  <si>
    <t>The man on the left takes his cigarette out and wipes mouth on his arm.</t>
  </si>
  <si>
    <t>They finish and the man on the left wipes his mouth and the right takes his cigarette out and blows smoke.</t>
  </si>
  <si>
    <t>v_XbSQ_7vh7yc</t>
  </si>
  <si>
    <t>An older woman and young child are seen washing dishes in a sink and speaking to one another.</t>
  </si>
  <si>
    <t>The people play in the water and the girl blows bubbles while the woman washes dishes.</t>
  </si>
  <si>
    <t>v_548xC74c6MQ</t>
  </si>
  <si>
    <t>A colorful hexagonal shaped kite is flying high in the air.</t>
  </si>
  <si>
    <t>The clear blue skies and the bright sun shinning make the kite look very colorful and radiant.</t>
  </si>
  <si>
    <t>v_0WVkoTBmhA0</t>
  </si>
  <si>
    <t>A cartoon animation video is shown with people wandering around and rockets being shot.</t>
  </si>
  <si>
    <t>Two men fight robots of evil and ends with a to be continued.</t>
  </si>
  <si>
    <t>v_xmb7j1e0wts</t>
  </si>
  <si>
    <t>A woman is seen speaking to the camera and leads into her laying out various food items and mixing ingredients into a blender.</t>
  </si>
  <si>
    <t>She pours more out more flours into the mixer and shows several shots of cookies being made.</t>
  </si>
  <si>
    <t>She lays out more ingredients, pours of spoonfuls of dough onto a pan, and then breaks apart a cooked cookie.</t>
  </si>
  <si>
    <t>v_ouEWLFNLLos</t>
  </si>
  <si>
    <t>An elderly man is walking and a large white bird is biting at his right foot.</t>
  </si>
  <si>
    <t>The man turns around and points and scolds the bird and continues to walk.</t>
  </si>
  <si>
    <t>The man then bends down near some stairs, wipes the outside of the building and the bird continues to attack the man.</t>
  </si>
  <si>
    <t>The man scolds the bird again and motions to the small dog that's also there that the dog and bird should interact but the bird keeps messing with the man and the dog stays out of it.</t>
  </si>
  <si>
    <t>v_FRX4LTw9650</t>
  </si>
  <si>
    <t>Various women are seen looking at the camera followed by a man speaking to the camera.</t>
  </si>
  <si>
    <t>Several tools are shown that lea into one woman brushing out her hair.</t>
  </si>
  <si>
    <t>Another woman brushes her hair and leads into more clips of women smiling and looking to the camera.</t>
  </si>
  <si>
    <t>v_4llkVfMzsN4</t>
  </si>
  <si>
    <t>Two people are playing wall ball in a room.</t>
  </si>
  <si>
    <t>A boy falls down diving for the ball.</t>
  </si>
  <si>
    <t>A person walks in front of the room.</t>
  </si>
  <si>
    <t>v_lMbDEY-CVwE</t>
  </si>
  <si>
    <t>A man is indoors, as he picks a frisbee off the ground.</t>
  </si>
  <si>
    <t>He then uses several frisbees to train and display the stunts of a medium sized collie dog.</t>
  </si>
  <si>
    <t>The dog runs off screen and brings back the frisbees.</t>
  </si>
  <si>
    <t>The scene ends with the dog trying desperately to remove a frisbee from the seated man's hand.</t>
  </si>
  <si>
    <t>v_6iBXtHrJ4gc</t>
  </si>
  <si>
    <t>An older man is seen walking towards the camera and points to various plants around him.</t>
  </si>
  <si>
    <t>The camera pans around the area with all the plants growing and shows the man holding a tool.</t>
  </si>
  <si>
    <t>The man then uses the tool along a hedge of bushes while looking back and smiling to the camera.</t>
  </si>
  <si>
    <t>v_ajYA9O6R-AY</t>
  </si>
  <si>
    <t>A young girl is seen speaking to the camera standing before a game of hop scotch drawn out.</t>
  </si>
  <si>
    <t>The girl then throws a rock and hops to end while grabbing it and hopping back.</t>
  </si>
  <si>
    <t>v_qVy_WDpLHRM</t>
  </si>
  <si>
    <t>A woman is standing behind a vacuum.</t>
  </si>
  <si>
    <t>She begins vacuuming the carpet.</t>
  </si>
  <si>
    <t>She takes off the hose attachment and cleans a lamp and the stairs.</t>
  </si>
  <si>
    <t>She empties the filter of the vacuum into the trash can.</t>
  </si>
  <si>
    <t>v_WKLLTGbDI7w</t>
  </si>
  <si>
    <t>The recipe for making limeade is shown.</t>
  </si>
  <si>
    <t>Limes are juiced and then combined with water and sugar.</t>
  </si>
  <si>
    <t>The whole thing is stirred.</t>
  </si>
  <si>
    <t>v_IkjulgI7gzg</t>
  </si>
  <si>
    <t>There are two body builders dressed in a black shirts demonstrating weightlifting in a gym.</t>
  </si>
  <si>
    <t>One of the bodybuilders is lifting the weights while the other is explaining the correct method of doing it.</t>
  </si>
  <si>
    <t>He bodybuilder lifts the weight gradually at first and then swiftly picks himself up to raise the weights.</t>
  </si>
  <si>
    <t>The other bodybuilder continues to explain the weightlifting strategies that is used professionally.</t>
  </si>
  <si>
    <t>v_5Eb_NVjFah0</t>
  </si>
  <si>
    <t>We see a title screen slide down the screen .</t>
  </si>
  <si>
    <t>We then watch an older boy and a boy bowl in a bowling alley.</t>
  </si>
  <si>
    <t>A small boy in an orange shirt rolls the ball down the aisle.</t>
  </si>
  <si>
    <t>We watch an older boy in a green shirt roll the ball 5 times and get 4 strikes.</t>
  </si>
  <si>
    <t>We see a title screen and a slow motion of one of the shots of the older boy.</t>
  </si>
  <si>
    <t>v_WttP_X-aCEA</t>
  </si>
  <si>
    <t>A man is shown outside in a kid park with grey shorts on a a pair of black and white Puma sneakers.</t>
  </si>
  <si>
    <t>He then pulls him self up on top of the monkey bars and stands on top of them and goes into a hand stand.</t>
  </si>
  <si>
    <t>Once he has got his balance,he travels across is and jumps off one he has gotten to the end.</t>
  </si>
  <si>
    <t>v_RJpWgi0EaUE</t>
  </si>
  <si>
    <t>Three individuals sit on stage and have a conversation.</t>
  </si>
  <si>
    <t>Two boys dance in the same fashion.</t>
  </si>
  <si>
    <t>An image of a man is incorporated into the screen with the dancers.</t>
  </si>
  <si>
    <t>The man cover his face with his hand.</t>
  </si>
  <si>
    <t>The man and woman gesture the dancers hand movements.</t>
  </si>
  <si>
    <t>This man gets off his seat and knees.</t>
  </si>
  <si>
    <t>The man gets of his knees and sits back down.</t>
  </si>
  <si>
    <t>The man and female touch hands while sitting.</t>
  </si>
  <si>
    <t>The man claps his hands together.</t>
  </si>
  <si>
    <t>The man waves at a man backstage to join them.</t>
  </si>
  <si>
    <t>A standing man who is backstage claps.</t>
  </si>
  <si>
    <t>The two boy dancers are shown extending one hand.</t>
  </si>
  <si>
    <t>A man walks from backstage.</t>
  </si>
  <si>
    <t>The man shake hands and hugs one of the man on stage.</t>
  </si>
  <si>
    <t>The female stands and also hugs the man.</t>
  </si>
  <si>
    <t>A man stand and then sits.</t>
  </si>
  <si>
    <t>The man in a black suit dances and then sits.</t>
  </si>
  <si>
    <t>The man in a brown suit returns to the backstage area.</t>
  </si>
  <si>
    <t>The man is shown while backstage.</t>
  </si>
  <si>
    <t>The show's name is shown.</t>
  </si>
  <si>
    <t>v_knY08LrNyHg</t>
  </si>
  <si>
    <t>Several shots are shown of people pushing sail boats into the water as well as riding them around one another.</t>
  </si>
  <si>
    <t>People are seen riding around on jet skis following the boat as well as close ups of the boats being shown as well as underwater.</t>
  </si>
  <si>
    <t>More people are seen riding on smaller boats and end by dragging a boat back to shore.</t>
  </si>
  <si>
    <t>v_5QZpCDyXNx4</t>
  </si>
  <si>
    <t>Kids are riding bicycles around a dirt track.</t>
  </si>
  <si>
    <t>One of them tips over and falls.</t>
  </si>
  <si>
    <t>They continue to go around the track.</t>
  </si>
  <si>
    <t>Another person crashes and falls.</t>
  </si>
  <si>
    <t>v_RcDEaYPwI6I</t>
  </si>
  <si>
    <t>A group of dancers in red outfits dance on stage.</t>
  </si>
  <si>
    <t>A group of cheerleaders in pink stand on a field while a group in white walk up to great the coach.</t>
  </si>
  <si>
    <t>A solo woman in a red blouse discusses the events in a room with lit up letters in the background.</t>
  </si>
  <si>
    <t>Both teams of women line up on the field together.</t>
  </si>
  <si>
    <t>Both groups of women dance together in unison with the coach leading in front.</t>
  </si>
  <si>
    <t>The women in pink uniforms dance on the field.</t>
  </si>
  <si>
    <t>The women in white uniforms dance on the field.</t>
  </si>
  <si>
    <t>v_Uot4XZns2b4</t>
  </si>
  <si>
    <t>We see a man prying shingles up around a pipe.</t>
  </si>
  <si>
    <t>The man then pushes the pipe down and nails it.</t>
  </si>
  <si>
    <t>The man add tar to the pipe base and nails shingles down around it.</t>
  </si>
  <si>
    <t>The man then puts tar under the top shingle.</t>
  </si>
  <si>
    <t>We see the house and a truck parked in the driveway.</t>
  </si>
  <si>
    <t>v_5aTek77vxBA</t>
  </si>
  <si>
    <t>A woman kneels outdoors on a concrete ground and rinses clothes out and washes them using a metal bucket for the rinsing and the ground as a washboard for the clothes.</t>
  </si>
  <si>
    <t>A little girl walks up to the woman and pours more water in the woman’s metal bucket then walks away to stand next to a well where another woman is kneeling and washing clothes in the same way.</t>
  </si>
  <si>
    <t>The first woman is shown again this time washing a large white sheet against the ground using the metal bucket again for the water supply.</t>
  </si>
  <si>
    <t>v_v7o9uSu9AVI</t>
  </si>
  <si>
    <t>A strong man is lifting his legs up and down across parallel bars.</t>
  </si>
  <si>
    <t>He begins to do shrugs on the bars.</t>
  </si>
  <si>
    <t>He starts to walk his body across with his hands.</t>
  </si>
  <si>
    <t>He circles around on the edge of the bars with his arms.</t>
  </si>
  <si>
    <t>He swings his legs and leaps with his arms across the parallel bars.</t>
  </si>
  <si>
    <t>A man does dips on the parallel bars.</t>
  </si>
  <si>
    <t>Another man does dips down to his elbows on the parallel bars.</t>
  </si>
  <si>
    <t>He then starts to do dips down to his armpits on the parallel bars called Russian Dips, while keeping his legs in the air.</t>
  </si>
  <si>
    <t>A man does dips with his body in front of the bar and legs swoops underneath the bar.</t>
  </si>
  <si>
    <t>He then does pushups on the parallel bars, by going down, pushing forward, then up.</t>
  </si>
  <si>
    <t>He begins to do pushups, with his knees tucked, with the parallel bars.</t>
  </si>
  <si>
    <t>A different man does leg dips, swings his legs up and around each parallel bar and pushes forward across the parallel bars.</t>
  </si>
  <si>
    <t>When he reaches the end, he tucks in his knees and lifts his body up and perpendicular to the bars.</t>
  </si>
  <si>
    <t>He then does knee and leg raises.</t>
  </si>
  <si>
    <t>A different man keeps his legs straight out and moves them across each bar.</t>
  </si>
  <si>
    <t>A different man brings his legs straight up into a V-shape on the bars.</t>
  </si>
  <si>
    <t>He then rests his elbows on the bars and swings his body perpendicular to the bars then parallel to the bars.</t>
  </si>
  <si>
    <t>He begins to do shoulder stands on the bars.</t>
  </si>
  <si>
    <t>He switches to doing a head stand and holds.</t>
  </si>
  <si>
    <t>A different man starts to swing his body from under the bars and presses himself up and over the bars.</t>
  </si>
  <si>
    <t>v_DzdNjXensv0</t>
  </si>
  <si>
    <t>A group of people are gathered outdoors at a market.</t>
  </si>
  <si>
    <t>People walk by looking at all the wares.</t>
  </si>
  <si>
    <t>A dog appears, as people continue to bustle.</t>
  </si>
  <si>
    <t>v_3j52keiQuiw</t>
  </si>
  <si>
    <t>A gymnast mounts a low beam in front of a crowd.</t>
  </si>
  <si>
    <t>She does bends, handsprings, and forward and back flips on the beam.</t>
  </si>
  <si>
    <t>She dismounts proudly, lifting her arms into the air.</t>
  </si>
  <si>
    <t>v_2OEa00knM9E</t>
  </si>
  <si>
    <t>A man is seen sitting on a horse with a rope in his hands.</t>
  </si>
  <si>
    <t>He then rides in on a horse and ropes up a calf with the rope.</t>
  </si>
  <si>
    <t>Several people are shown riding in and roping up cattle while others watch on the side.</t>
  </si>
  <si>
    <t>v_6h-WE-0eBlA</t>
  </si>
  <si>
    <t>A man is leaning over a pool table, hitting the ball with his cue.</t>
  </si>
  <si>
    <t>A woman in a pink bikini spins her cue as she waits her turn.</t>
  </si>
  <si>
    <t>Then she takes a shot at the ball, knocking them into the holes.</t>
  </si>
  <si>
    <t>v_1RJgvoFfbkI</t>
  </si>
  <si>
    <t>Two men are in the middle of the court fighting one another.</t>
  </si>
  <si>
    <t>They are practicing their moves while others stand by and watch.</t>
  </si>
  <si>
    <t>It's like a culture practiced by many who actually enjoy it and think it is a fun sport.</t>
  </si>
  <si>
    <t>They take it very seriously, some fight and some enjoy watching.</t>
  </si>
  <si>
    <t>v_O2Vd29Slt7g</t>
  </si>
  <si>
    <t>A young man on the roof of a tall building, with the backdrop of a city skyline, performs a series of dance moves, gymnastics moves, tumbling moves and high kicks.</t>
  </si>
  <si>
    <t>The man begins with his back to the camera and stands facing the city skyline from the roof top.</t>
  </si>
  <si>
    <t>The man then begins a series of high kicks, handless back flips, and breakdance moves.</t>
  </si>
  <si>
    <t>The dance moves end with more high kicks, head stands and semi martial art moves, as the camera circles the man, as the man finishes, and walks, with back to camera, to the edge of the roof again.</t>
  </si>
  <si>
    <t>v_rb-PUa4uGLQ</t>
  </si>
  <si>
    <t>A person wearing a costume is seen sitting in the middle of the street playing an accordion.</t>
  </si>
  <si>
    <t>The person continues playing while the camera zooms in and several cars and people move behind him.</t>
  </si>
  <si>
    <t>v_hRIXXCe0Hi0</t>
  </si>
  <si>
    <t>We see a man talking to a camera.</t>
  </si>
  <si>
    <t>We see shots of men and a crowd of people.</t>
  </si>
  <si>
    <t>The men play rock paper scissors.</t>
  </si>
  <si>
    <t>A lady in the crowd jumps up and down.</t>
  </si>
  <si>
    <t>We see the man high five each other.</t>
  </si>
  <si>
    <t>We see a lady in front a person in costume.</t>
  </si>
  <si>
    <t>The man in red raises his hands in triumph.</t>
  </si>
  <si>
    <t>Ladies bring a big check to the man in red.</t>
  </si>
  <si>
    <t>v_poERMbR_nY4</t>
  </si>
  <si>
    <t>People slides on inflatable sleds down the hill.</t>
  </si>
  <si>
    <t>People take turns to sled down the hills.</t>
  </si>
  <si>
    <t>Then people get together to sled on group.</t>
  </si>
  <si>
    <t>Also, people sled on on a line down the hill.</t>
  </si>
  <si>
    <t>v_q0P0EvJOfRQ</t>
  </si>
  <si>
    <t>A woman is seen dancing in the street placing an instrument while others watch on the side.</t>
  </si>
  <si>
    <t>The woman continues to play the instrument while moving her leg up and down and the people clap for her on the side.</t>
  </si>
  <si>
    <t>v_iNMxIXAcHYU</t>
  </si>
  <si>
    <t>First the man puts pink lipstick on his lips and he says he's a joker.</t>
  </si>
  <si>
    <t>Then he puts it on the side of his lips and the people laugh.</t>
  </si>
  <si>
    <t>Next he puts 2 thick lines of it under his eyes and he says something, he also attempts to put it on his chin, but the video ends.</t>
  </si>
  <si>
    <t>v_zacXKdNZHrI</t>
  </si>
  <si>
    <t>A text intro leads into a boy sitting on a stool holding an accordion.</t>
  </si>
  <si>
    <t>The boy then begins playing the instrument while looking away from the camera.</t>
  </si>
  <si>
    <t>The boy continues to play while looking around the room and pulling the accordion around.</t>
  </si>
  <si>
    <t>v_Zg7J_rLXbuk</t>
  </si>
  <si>
    <t>A girl lifts her arm and prepares to mount the balance beam in an arena.</t>
  </si>
  <si>
    <t>The girl get on and performs a routine on the balance beam.</t>
  </si>
  <si>
    <t>The girl is laying on the beam and does a flip to the standing position.</t>
  </si>
  <si>
    <t>The girl flips across the beam.</t>
  </si>
  <si>
    <t>The girl runs flips and dismounts the beam.</t>
  </si>
  <si>
    <t>The crowd cheers and claps for the girl as she lifts her hands.</t>
  </si>
  <si>
    <t>v_4taBobzpYNU</t>
  </si>
  <si>
    <t>A woman is seen speaking to the camera holding a sharpening tool in her hands.</t>
  </si>
  <si>
    <t>She then demonstrates how to properly cut the knife and placing the object down while speaking.</t>
  </si>
  <si>
    <t>v_e0-lO2jb8vo</t>
  </si>
  <si>
    <t>A baton twirler is standing on the gym floor.</t>
  </si>
  <si>
    <t>She begins her routine.</t>
  </si>
  <si>
    <t>She tosses the baton in the air.</t>
  </si>
  <si>
    <t>She does flips and twists.</t>
  </si>
  <si>
    <t>She continues to twirl the baton and dance.</t>
  </si>
  <si>
    <t>She drops her baton and goes after it.</t>
  </si>
  <si>
    <t>She is twirling, dancing and flipping again.</t>
  </si>
  <si>
    <t>She drops the baton again.</t>
  </si>
  <si>
    <t>She now has two batons and is twirling and dancing and throwing them in the air.</t>
  </si>
  <si>
    <t>She dropped it a third time.</t>
  </si>
  <si>
    <t>She picked it up and added a third baton and finished her routine.</t>
  </si>
  <si>
    <t>v_z9MMLl1isUk</t>
  </si>
  <si>
    <t>old man is holding a green pole hitting a piñata in the middle of a room.</t>
  </si>
  <si>
    <t>little kids are dancin and jumpin behind the man.</t>
  </si>
  <si>
    <t>man givs the pole to a kid and other kids stands behind him.</t>
  </si>
  <si>
    <t>v_ynpvos7UFZo</t>
  </si>
  <si>
    <t>There are some people knitting with yarn and knitting needles at a cultural center.</t>
  </si>
  <si>
    <t>A rack of knitted hats and sweaters is stacked up against the wall.</t>
  </si>
  <si>
    <t>A finished gray sweater with black embroidery is shown.</t>
  </si>
  <si>
    <t>A women representing The Daily news channel is talking about the sweater and then she wears it.</t>
  </si>
  <si>
    <t>There are people sitting and knitting with yarn and needles.</t>
  </si>
  <si>
    <t>There's a man named John George talking about his knitting experience in the class.</t>
  </si>
  <si>
    <t>He along with his other fellow knitters demonstrates how they knit.</t>
  </si>
  <si>
    <t>Another person named Charles Henry is talking about his knitting experience at the cultural center.</t>
  </si>
  <si>
    <t>Several people are seen at the cultural center sitting together and knitting as one of the organizers talks.</t>
  </si>
  <si>
    <t>The news reporter wears the gray sweater and looks very happy in it.</t>
  </si>
  <si>
    <t>v_J4WbF-bJ1T8</t>
  </si>
  <si>
    <t>Two people are fencing in a polka dot walled room, while dressed in fencing gear and fencing masks including a fencing weapon.</t>
  </si>
  <si>
    <t>An animated graphic populates displaying the physique of the two fencers in a grid pattern with the two animated figures exhibiting some fence/weapon movement.</t>
  </si>
  <si>
    <t>A cut away appears of several people interviewing and talking to the camera in front of an extreme fencing sign along with still images of people preparing to fence.</t>
  </si>
  <si>
    <t>The two people dressed in fencing outfits begin to fence in a demonstration.</t>
  </si>
  <si>
    <t>v_sx4zAnVDV9Y</t>
  </si>
  <si>
    <t>A CBS NEWS anchor reports on a story.</t>
  </si>
  <si>
    <t>A marching band appears on a large field performing.</t>
  </si>
  <si>
    <t>A student of the marching band gives an interview along with the marching band instructor.</t>
  </si>
  <si>
    <t>The marching band practices their performance.</t>
  </si>
  <si>
    <t>v_XnrQRuchl7E</t>
  </si>
  <si>
    <t>This young woman is in the studio playing the piano.</t>
  </si>
  <si>
    <t>No one else is in there with her and she looks very serious about what she's doing.</t>
  </si>
  <si>
    <t>She is wearing a pink t-shirt and flower colored leggings, then at some point she stops.</t>
  </si>
  <si>
    <t>v_i0jy3fjw8xQ</t>
  </si>
  <si>
    <t>A group of people are standing on an outdoor bridge.</t>
  </si>
  <si>
    <t>They are putting equipment around each other's bodies to protect them.</t>
  </si>
  <si>
    <t>The person jumps off the side of the bridge on a bungee cord, swinging over the water below.</t>
  </si>
  <si>
    <t>v_VIQG4W0vYxw</t>
  </si>
  <si>
    <t>a lot of people are gathered in a square.</t>
  </si>
  <si>
    <t>people start to run in the street and by the bay.</t>
  </si>
  <si>
    <t>v_Scv939uhNCc</t>
  </si>
  <si>
    <t>A group of young men are sitting at a table with Rubik cubes in front of them.</t>
  </si>
  <si>
    <t>The two boys to the right have already started and the two boys on the left are at a delay.</t>
  </si>
  <si>
    <t>In eight seconds,the boy solves his cube and the boys behind them jump up and begins to congratulate him as the others continue to solve their.</t>
  </si>
  <si>
    <t>v_smfBAiFujmE</t>
  </si>
  <si>
    <t>A person is seen sitting in the water with a pair of skis attached to his feet.</t>
  </si>
  <si>
    <t>The man then gets up on the skis and rides along the water behind a boat.</t>
  </si>
  <si>
    <t>v_5eM2Hcvj6R8</t>
  </si>
  <si>
    <t>A view of a wide berth of trees in a forest is shown.</t>
  </si>
  <si>
    <t>A woman walks out holding a hula hoop.</t>
  </si>
  <si>
    <t>She begins using the hoop seductively while dancing.</t>
  </si>
  <si>
    <t>She spins, flips, and does cartwheels while using the hoop.</t>
  </si>
  <si>
    <t>She finishes her performance with a frozen, upward staring pose.</t>
  </si>
  <si>
    <t>v_pRGlbeqRfM0</t>
  </si>
  <si>
    <t>man weaing a green shirt is standing next to a little girl.</t>
  </si>
  <si>
    <t>girl wearing glasses is talking to the camera.</t>
  </si>
  <si>
    <t>the man and the girl are drinking from a white cup.</t>
  </si>
  <si>
    <t>the girl holds the drink in her mouth and spit it on the grass and the man do the same.</t>
  </si>
  <si>
    <t>v_tSk1GWyofaU</t>
  </si>
  <si>
    <t>A girl walks to the end of a diving board and lifts her hands.</t>
  </si>
  <si>
    <t>The girl jumps on the diving board to prepare herself.</t>
  </si>
  <si>
    <t>The girl then does a backwards flipping dive into the pool.</t>
  </si>
  <si>
    <t>v_j6Kf_y7k-yU</t>
  </si>
  <si>
    <t>People watch competitors get ready near a red stage.</t>
  </si>
  <si>
    <t>The competitors put their robots down in the circle as the judge instructs them.</t>
  </si>
  <si>
    <t>The judge signals the beginning of the competition.</t>
  </si>
  <si>
    <t>The robots begin to move, and one of the robots is pushed out of the circle.</t>
  </si>
  <si>
    <t>The competitors walk back up to the stage and replace their robots.</t>
  </si>
  <si>
    <t>The judge signals for the competition to begin again and everyone applauds when one of them wins.</t>
  </si>
  <si>
    <t>v_X2GUUIGudxs</t>
  </si>
  <si>
    <t>A man stands in a room wearing blue.</t>
  </si>
  <si>
    <t>He is applying a picture to the wall.</t>
  </si>
  <si>
    <t>He uses a tool to smooth it out.</t>
  </si>
  <si>
    <t>He cuts the paper at the bottom.</t>
  </si>
  <si>
    <t>v_ThWgMXhkS2E</t>
  </si>
  <si>
    <t>A man standing outside of a building window cleaning with a large squeegee.</t>
  </si>
  <si>
    <t>He goes over the door window and then uses another gadget after to wipe down the soap.</t>
  </si>
  <si>
    <t>He starts all the way at the top making sure to get in the corners of the window.</t>
  </si>
  <si>
    <t>The window looks very clean and nice once he is down doing all of that.</t>
  </si>
  <si>
    <t>v_IhuwmiSPx0w</t>
  </si>
  <si>
    <t>A group of cheerleaders perform on stage while people watch.</t>
  </si>
  <si>
    <t>Then, the cheerleaders make a tower and then jump, then they do cartwheels.</t>
  </si>
  <si>
    <t>Two cheerleaders get up in a tower and then flips and fall on the arms of people.</t>
  </si>
  <si>
    <t>The girls do again a tower and then spin and jump.</t>
  </si>
  <si>
    <t>The cheerleaders raise the girls up and then flip down, then they continue performing.</t>
  </si>
  <si>
    <t>v__dFzOHyZSNk</t>
  </si>
  <si>
    <t>Two men are long boarding down a hill.</t>
  </si>
  <si>
    <t>He stops and puts his foot down on the ground.</t>
  </si>
  <si>
    <t>He is standing on his board upside down.</t>
  </si>
  <si>
    <t>A man in a green shirt is sitting on the ground with his long board in front of him.</t>
  </si>
  <si>
    <t>v_uqd8A4iJ6Bo</t>
  </si>
  <si>
    <t>The person is shown mixing the ingredients.</t>
  </si>
  <si>
    <t>The person rolls the dough and cuts it into little pieces and flattens the tiny balls out using their hands.</t>
  </si>
  <si>
    <t>The person uses a fork to put lines in the dough.</t>
  </si>
  <si>
    <t>Then the person puts the cookies on a baking sheet in a pan and bakes them for 15 minutes.</t>
  </si>
  <si>
    <t>Then takes the cookies out when they're done.</t>
  </si>
  <si>
    <t>v_rLlm6h0Nfvo</t>
  </si>
  <si>
    <t>A person flips and throw to the air a hula ring, then the woman pass the hula ring through her body.</t>
  </si>
  <si>
    <t>After, the woman pass the hula ring around her waist fast.</t>
  </si>
  <si>
    <t>Then, the woman does an exercise with her feet and body.</t>
  </si>
  <si>
    <t>v_drMXYzlmJQU</t>
  </si>
  <si>
    <t>grandma is talking with a little blond child sitting in a coach while is knitting in a red thread in a liing room.</t>
  </si>
  <si>
    <t>child holds the thread and run in the room pulling it and the woman is talking to him, the child grabs the thread from the floor and run in the living room.</t>
  </si>
  <si>
    <t>v_MwkRK7A46P4</t>
  </si>
  <si>
    <t>Several news logos are shown and then a male reporter shows up talking behind his desk.</t>
  </si>
  <si>
    <t>The camera then flips to a woman and she begins doing interviews with men who were playing a game of soccer.</t>
  </si>
  <si>
    <t>Many quarters are being played and after the goals are made,the players start to jump on each other's back and jump for joy and show their happiness.</t>
  </si>
  <si>
    <t>v_VzR7cskYnng</t>
  </si>
  <si>
    <t>Two men perform kick box in a room while a man supervise the moves.</t>
  </si>
  <si>
    <t>A person leans on the wall behind the men.</t>
  </si>
  <si>
    <t>A little child pass on front the men.</t>
  </si>
  <si>
    <t>A woman walks and stand on front the men.</t>
  </si>
  <si>
    <t>v_1hTqfvjis9E</t>
  </si>
  <si>
    <t>A large man is standing on a circular dome in a field.</t>
  </si>
  <si>
    <t>He holds a steel ball on a rope as he talks.</t>
  </si>
  <si>
    <t>He then shows how to stand before swinging the ball around his head in circles.</t>
  </si>
  <si>
    <t>He lets go, and the ball flies far across the field as he walks away.</t>
  </si>
  <si>
    <t>v_Nn4sVR3__DQ</t>
  </si>
  <si>
    <t>A mom is sitting at the top of a slide with her little baby.</t>
  </si>
  <si>
    <t>She is contemplating going down for a while.</t>
  </si>
  <si>
    <t>She finally slides down it with baby.</t>
  </si>
  <si>
    <t>When they reach the bottom she lets him go and he starts to walk around.</t>
  </si>
  <si>
    <t>v_YXl4cEB7E3Y</t>
  </si>
  <si>
    <t>A boy is standing in the middle of a parking lot.</t>
  </si>
  <si>
    <t>He is wearing a hat with a feather in it and sunglasses.</t>
  </si>
  <si>
    <t>He is playing a bagpipe.</t>
  </si>
  <si>
    <t>v_E3KLk-55yC0</t>
  </si>
  <si>
    <t>A man is seen kicking a soccer ball on his feet and gradually passing it to a wall.</t>
  </si>
  <si>
    <t>The man continues kicking the ball off of his foot and against the wall while the camera captures him.</t>
  </si>
  <si>
    <t>v_g0jF_Gh8c8g</t>
  </si>
  <si>
    <t>men are standing on ice fishing in a large ice region.</t>
  </si>
  <si>
    <t>man grabbed a fish from the ice and lay on the floor.</t>
  </si>
  <si>
    <t>v_n0Th8ZqMeGk</t>
  </si>
  <si>
    <t>A man is on a snowboard on a snowy hill.</t>
  </si>
  <si>
    <t>He glides over the thickly packed snow.</t>
  </si>
  <si>
    <t>He goes through a marker, and jumps over obstacles.</t>
  </si>
  <si>
    <t>v_Wg0xG-eRTho</t>
  </si>
  <si>
    <t>A standing pair of legs appear and the words "Summer Leg Routine" are displayed on the screen.</t>
  </si>
  <si>
    <t>The legs are now bent with the knee up from the ground and the girl rubs the mango scrub all over her legs, then wipes the excess off with a towel.</t>
  </si>
  <si>
    <t>On the upper right hand of the screen a small video plays and shows a VEET product while the girl takes two VEET wax strips and puts them on her leg, then removes them in the order they were put on.</t>
  </si>
  <si>
    <t>The girl then takes another VEET product which turns out to be wiping strips and wipes her legs down, then takes a towel to her legs.</t>
  </si>
  <si>
    <t>After she's done wiping her legs she takes Nivea lotion and rubs them all over her legs, stands up and then shows her legs to the camera at various angles.</t>
  </si>
  <si>
    <t>v_pJEOK1DbTfU</t>
  </si>
  <si>
    <t>A gymnast is doing flips and handsprings on a high bar.</t>
  </si>
  <si>
    <t>She goes forward and backward several times.</t>
  </si>
  <si>
    <t>The screen stops as she goes to the top of the beam.</t>
  </si>
  <si>
    <t>v_ipYVfTYZze8</t>
  </si>
  <si>
    <t>A camera pans around a large snowy hill as well as people sitting on a ski lift and riding around a mountain.</t>
  </si>
  <si>
    <t>The people do flips and tricks as well as follow one another down a hill and catch each other skiing from several angles.</t>
  </si>
  <si>
    <t>v_BMa9v2uZBp8</t>
  </si>
  <si>
    <t>A man in a coat is pulling a board up a hill of snow.</t>
  </si>
  <si>
    <t>He starts snowboarding down the hill.</t>
  </si>
  <si>
    <t>The man lifts the goggles off of his face and smiles.</t>
  </si>
  <si>
    <t>People are snowboarding down a hill together.</t>
  </si>
  <si>
    <t>v_Ar3eaYtLlKI</t>
  </si>
  <si>
    <t>A man puts dog treats into another man's hand.</t>
  </si>
  <si>
    <t>The man is walking a dog down the sidewalk.</t>
  </si>
  <si>
    <t>Someone else is walking behind them.</t>
  </si>
  <si>
    <t>v_INmaUkmVK24</t>
  </si>
  <si>
    <t>A man is seen kneeling down with a razor and looking up towards the camera.</t>
  </si>
  <si>
    <t>The man shaves off part of his leg and holds up an object while walking away.</t>
  </si>
  <si>
    <t>v_E0DbrJVJUho</t>
  </si>
  <si>
    <t>A black screen with a white banner at the bottom has various information that include a website, state, phone number and logo.</t>
  </si>
  <si>
    <t>A white screen follows and it includes a logo, name of the products and indicates that this is an "INSTRUCTIONAL VIDEO".</t>
  </si>
  <si>
    <t>Another white screen appears and a content list appears and there 1-5.</t>
  </si>
  <si>
    <t>On the next white screen a cardboard box is shown and then it begins to show the many different contents that come in the box, along with the names of them next to it.</t>
  </si>
  <si>
    <t>A woman is now standing in a hallway as she puts together her cleaning tool by screwing the top portion onto her pole and applying a cloth to the end, then she straps her spray bottle onto her hip.</t>
  </si>
  <si>
    <t>The woman then begins to spray the cloth on the cleaning tool and starts cleaning various different areas in the office including windows, elevator doors, TVs and changing out the clothes in between to suit the surface she is working on.</t>
  </si>
  <si>
    <t>The woman is now seen at a double glass door as she's now holding a cloth in her hand to clean the doors and other surfaces.</t>
  </si>
  <si>
    <t>The woman is then shown putting the different clothes into the washer and then hanging her cleaning tool up on the wall.</t>
  </si>
  <si>
    <t>A black screen appears and it includes the same white banner as it did in the very beginning.</t>
  </si>
  <si>
    <t>v_bTC_MdhURLg</t>
  </si>
  <si>
    <t>A man is rubbing his hands in a frantic manner as he stands next to a female.</t>
  </si>
  <si>
    <t>The camera shifts and you can see he is in a casino playing a game of Black Jack.</t>
  </si>
  <si>
    <t>Once the dealer has flipped over all of the cards,the two are shown again talking and smiling.</t>
  </si>
  <si>
    <t>v_HoQQlRzybmA</t>
  </si>
  <si>
    <t>A large choppy waterfall is shown.</t>
  </si>
  <si>
    <t>A man is laying on a slack line over the water.</t>
  </si>
  <si>
    <t>A person is playing the guitar sitting on a rock.</t>
  </si>
  <si>
    <t>v_m4ef0fCA2WU</t>
  </si>
  <si>
    <t>Children of different ages are playing on a playground.</t>
  </si>
  <si>
    <t>A couple of women are in the playground area talking.</t>
  </si>
  <si>
    <t>A young woman holding a baby walks to a swing and puts the baby in the swing.</t>
  </si>
  <si>
    <t>She then walks in front of the baby and sits in the adult seat attached to the baby swing.</t>
  </si>
  <si>
    <t>Another woman walks past with a few kids.</t>
  </si>
  <si>
    <t>The woman on the swing swings the baby while talking to him and making faces at him.</t>
  </si>
  <si>
    <t>v_C_bwHYiX-Vw</t>
  </si>
  <si>
    <t>A man shows how to change a tube in a tire.</t>
  </si>
  <si>
    <t>He takes the old tube out, puts the new one in, then pumps it up.</t>
  </si>
  <si>
    <t>v_mrT7FqQ0lCs</t>
  </si>
  <si>
    <t>Several shots of text are shown followed by a person walking into frame.</t>
  </si>
  <si>
    <t>The person then walks in and out of frame performing various dance moves on the ground.</t>
  </si>
  <si>
    <t>The person continues moving around on the ground and demonstrating how to perform moves.</t>
  </si>
  <si>
    <t>v_Vbkq1ldn3A8</t>
  </si>
  <si>
    <t>People are seen sitting at a table while a man stands beside them and taking a puff from a hookah.</t>
  </si>
  <si>
    <t>He hands the hose to a girl sitting who takes a few rips and the man is shown speaking to the camera.</t>
  </si>
  <si>
    <t>the girls hands the hose to other one sitting while she takes a few hits and passes it back to the other person.</t>
  </si>
  <si>
    <t>v_UAAk2SxqSvs</t>
  </si>
  <si>
    <t>Two boys skateboard through the streets at different times wearing helmets.</t>
  </si>
  <si>
    <t>A skateboarder in a blue t-shirt and black helmet skateboards through streets bordering countrysides and residential neighborhoods.</t>
  </si>
  <si>
    <t>A skateboarder wearing all black falls off of the skateboard onto the paved street, gets up and walks off.</t>
  </si>
  <si>
    <t>v_XbvlEwmvLko</t>
  </si>
  <si>
    <t>A man is seen with a rope in his mouth and rides in on a horse immediately roping a calf.</t>
  </si>
  <si>
    <t>He throws the calf down and ties him up, followed by several other men performing the same trick at different speeds.</t>
  </si>
  <si>
    <t>v_kzBTJEMgoj0</t>
  </si>
  <si>
    <t>A woman cleans a cafeteria floor with a mop while occasionally talking to the camera.</t>
  </si>
  <si>
    <t>The woman walks to and cleans a different part of the cafeteria floor.</t>
  </si>
  <si>
    <t>The woman plunges the mop head into a bucket.</t>
  </si>
  <si>
    <t>A number of people walk by in the background.</t>
  </si>
  <si>
    <t>v_vrWcBuRPDBw</t>
  </si>
  <si>
    <t>A man is standing next a brown horse.</t>
  </si>
  <si>
    <t>The horses are getting a drink of water.</t>
  </si>
  <si>
    <t>They continue walking along the trail on the horses.</t>
  </si>
  <si>
    <t>A picture of a brown house is shown.</t>
  </si>
  <si>
    <t>v__ENXbB6aaa4</t>
  </si>
  <si>
    <t>An intro begins for DX sports and shows two men skating down a road.</t>
  </si>
  <si>
    <t>The continue riding down the road while the camera follows them close behind down the winding road.</t>
  </si>
  <si>
    <t>The men eventually get to a car and their ride down the long road.</t>
  </si>
  <si>
    <t>v_3mymOHc5-Gs</t>
  </si>
  <si>
    <t>A man shows a boot and shining tools.</t>
  </si>
  <si>
    <t>Then, the man cleans the shoe with a cloth.</t>
  </si>
  <si>
    <t>After, the man points the tip of the shoe and applies black paint and shows insoles .</t>
  </si>
  <si>
    <t>Then, the man polish the shoes using a cream, after spray the shoes.</t>
  </si>
  <si>
    <t>v_fGA7nlbGmHU</t>
  </si>
  <si>
    <t>A kid is sitting behind a drum set.</t>
  </si>
  <si>
    <t>He starts playing the drums in front of him.</t>
  </si>
  <si>
    <t>He stands up and waves at the crowd.</t>
  </si>
  <si>
    <t>v_jfIcmcE320Q</t>
  </si>
  <si>
    <t>man is playing with a ball making balance with a lacrosse pole.</t>
  </si>
  <si>
    <t>little kid grab the ball from the floor with the pole.</t>
  </si>
  <si>
    <t>kid is playing with a ball in a green grassy field.</t>
  </si>
  <si>
    <t>v__Mz7KEe_mz0</t>
  </si>
  <si>
    <t>A forested area is seen and young men walk up the street.</t>
  </si>
  <si>
    <t>Groups of skateboarders race each other down a forested road and are pulled by trolley cars back to the top.</t>
  </si>
  <si>
    <t>Skateboarders ride down a forested street one after the other doing skids and hard turns as friends watch along the side.</t>
  </si>
  <si>
    <t>v_GQ1eaxmDlzQ</t>
  </si>
  <si>
    <t>A large group of people are seen sitting around a stage and leads into a man and woman hosting.</t>
  </si>
  <si>
    <t>The hosts lead into a large group of people on the stage performing a dance routine with one another.</t>
  </si>
  <si>
    <t>The people continue dancing around one another and end with the judges clapping and the host leading them off.</t>
  </si>
  <si>
    <t>v_zWA4Fb4fVmE</t>
  </si>
  <si>
    <t>little kid is playing saxophone in front of a wall.</t>
  </si>
  <si>
    <t>people are passing in front of the kid.</t>
  </si>
  <si>
    <t>old man kneels and put some coins in he hat of the kid.</t>
  </si>
  <si>
    <t>v_U9Ofeof4rlA</t>
  </si>
  <si>
    <t>An athletic man is seen standing in a circle with his arms out to the side.</t>
  </si>
  <si>
    <t>The man then begins swinging around an object around and around.</t>
  </si>
  <si>
    <t>The man continues to spin and ends by throwing it off into the distance.</t>
  </si>
  <si>
    <t>v_IJV7CwRhFvw</t>
  </si>
  <si>
    <t>There are three people playing racquetball on the enclosed court and the view is from the person wearing the camera.</t>
  </si>
  <si>
    <t>The camera person picks the ball up with racquet balances it on the racquet, rolls it off and then hits to the wall.</t>
  </si>
  <si>
    <t>The view changes to the door and there are two men standing at the door waiting to hit the ball.</t>
  </si>
  <si>
    <t>v_TVbPV7X49tw</t>
  </si>
  <si>
    <t>We see flashing images of motorcycle riding.</t>
  </si>
  <si>
    <t>We see a man talk standing high above a city.</t>
  </si>
  <si>
    <t>We then see motorcycle stunts.</t>
  </si>
  <si>
    <t>A bike jumps a group of people in a plaza.</t>
  </si>
  <si>
    <t>We see four bikes jump a ramp one after another.</t>
  </si>
  <si>
    <t>We see a man in red talking.</t>
  </si>
  <si>
    <t>A man jumps off his bike.</t>
  </si>
  <si>
    <t>A man kisses a woman on his bike.</t>
  </si>
  <si>
    <t>We see boy is talking.</t>
  </si>
  <si>
    <t>A bike is kicking up smoke.</t>
  </si>
  <si>
    <t>A man puts his arm in the air.</t>
  </si>
  <si>
    <t>We see a bike smash a bottle stop.</t>
  </si>
  <si>
    <t>v_1VAugQRO05g</t>
  </si>
  <si>
    <t>A black and white video is shown of a young marching band walking down the street in a parade.</t>
  </si>
  <si>
    <t>Several people in the band walk by then a close up of a boy playing the trumpet is shown and he is highlighted.</t>
  </si>
  <si>
    <t>The video continues and the majorette girls begin dancing.</t>
  </si>
  <si>
    <t>Now they are at a stand still and playing without marching as the little kids begin to watch them.</t>
  </si>
  <si>
    <t>v_x0tjkH_zfXA</t>
  </si>
  <si>
    <t>Two boys are raking leaves in a yard using large green and red rakes.</t>
  </si>
  <si>
    <t>A dog continuously runs through the leaves, messing them up.</t>
  </si>
  <si>
    <t>The boys laugh and keep trying to rake the leaves.</t>
  </si>
  <si>
    <t>v_KlxUgvLHP7M</t>
  </si>
  <si>
    <t>A large stage is seen that transitions to various angles of people performing jump roping tricks on a stage in slow motion.</t>
  </si>
  <si>
    <t>More shots are shown of various people performing incredible jump roping skills and ends with one group holding their arms up.</t>
  </si>
  <si>
    <t>v_AA1wvSZ4Mno</t>
  </si>
  <si>
    <t>A camera pans all around a yard and shows two dogs on leashes.</t>
  </si>
  <si>
    <t>The dogs move with the person as cars move in and out of frame.</t>
  </si>
  <si>
    <t>The camera pans around the sky in the end.</t>
  </si>
  <si>
    <t>v_P-6ITEpg0mw</t>
  </si>
  <si>
    <t>1 The opening of the video.</t>
  </si>
  <si>
    <t>2 a girl does a lot of flips on the bars.</t>
  </si>
  <si>
    <t>v_WMx0-3GZGUI</t>
  </si>
  <si>
    <t>A little girl is in a kitchen talking.</t>
  </si>
  <si>
    <t>The girl mixes several things from small bowls in a bigger bowl.</t>
  </si>
  <si>
    <t>An adult helps the girl spray her baking pans.</t>
  </si>
  <si>
    <t>The girl puts her mixture into the pans and puts them in an easy bake oven.</t>
  </si>
  <si>
    <t>The girl then removes what she made from the oven.</t>
  </si>
  <si>
    <t>A younger boy watches while eating a cupcake.</t>
  </si>
  <si>
    <t>The young girls cuts the desert she made and eats it.</t>
  </si>
  <si>
    <t>v_cfKMu6aeMwU</t>
  </si>
  <si>
    <t>A man is seen speaking to the camera while a woman works out on a machine in front of him and adjusts the settings.</t>
  </si>
  <si>
    <t>The man continues moving on the machine showing off it's different settings while the man continues to speak to the camera.</t>
  </si>
  <si>
    <t>v_x1Mb7cN8WgU</t>
  </si>
  <si>
    <t>A person is hammering nails into a roof.</t>
  </si>
  <si>
    <t>She slide tiles onto the roof and nail them into place.</t>
  </si>
  <si>
    <t>v_LTmYxVYBa90</t>
  </si>
  <si>
    <t>A group of people are sitting on camels in the sand beside a hill.</t>
  </si>
  <si>
    <t>A man reaches for the chain on the camels mouth as the camel sits.</t>
  </si>
  <si>
    <t>The man in light blue assists the man in dark blue to untie.</t>
  </si>
  <si>
    <t>The second camel holding the next couple starts to sit on the ground.</t>
  </si>
  <si>
    <t>v_vB2qMaP_JaI</t>
  </si>
  <si>
    <t>A woman braids her hair slowly.</t>
  </si>
  <si>
    <t>She then ties the braids together and ties the end together.</t>
  </si>
  <si>
    <t>v_K68iNoSnZMg</t>
  </si>
  <si>
    <t>A woman and a boy peel potatoes on front a trash can.</t>
  </si>
  <si>
    <t>Then, the boy puts the potato and the peeler over the counter, but again he takes it.</t>
  </si>
  <si>
    <t>The woman finishes to cut the potato.</t>
  </si>
  <si>
    <t>v_sJFgo9H6zNo</t>
  </si>
  <si>
    <t>A little boy playing on a jungle gym.</t>
  </si>
  <si>
    <t>He is climbing up a set of stairs.</t>
  </si>
  <si>
    <t>Now is sliding fast down a slide.</t>
  </si>
  <si>
    <t>Another boy is shown playing in the grass.</t>
  </si>
  <si>
    <t>Now the first boy is being picked up by a woman.</t>
  </si>
  <si>
    <t>Now he is going to go down the slide once again.</t>
  </si>
  <si>
    <t>The boy likes playing with a large wheel on the playground.</t>
  </si>
  <si>
    <t>Once again he goes down the slide, but with dad right behind him.</t>
  </si>
  <si>
    <t>He goes down the slide a 4th time but with another little boy.</t>
  </si>
  <si>
    <t>He goes down the slide several more times.</t>
  </si>
  <si>
    <t>v_ciIaZrpHqgs</t>
  </si>
  <si>
    <t>A group of teams are shown doing various sports events involving snow.</t>
  </si>
  <si>
    <t>The camera then shows handicap individuals playing a game where they are sitting in a wheelchair pushing puck like objects with handles.</t>
  </si>
  <si>
    <t>A man is then shown and begins talking describing the game that is taking place.</t>
  </si>
  <si>
    <t>v_HwYZEZYgeBI</t>
  </si>
  <si>
    <t>An intro leads into several tools laid out on a table and a women walking in an removing a plant.</t>
  </si>
  <si>
    <t>The woman then pulls out a rag and wipes off the table.</t>
  </si>
  <si>
    <t>She tend holds the rag again, sprays down the table, and wipes down the table in a proper motion.</t>
  </si>
  <si>
    <t>She is then shown again dusting over various areas and places the plant back on the table and pushing the chairs in.</t>
  </si>
  <si>
    <t>v_ekn9AFX2XX8</t>
  </si>
  <si>
    <t>A woman sits by the beach applying sunscreen to the top of her back.</t>
  </si>
  <si>
    <t>An air balloon flies through the air.</t>
  </si>
  <si>
    <t>A dj is seen spinning a disc.</t>
  </si>
  <si>
    <t>A woman walks her suitcase.</t>
  </si>
  <si>
    <t>Some graphic cars crash into each other.</t>
  </si>
  <si>
    <t>High orange flames are seen.</t>
  </si>
  <si>
    <t>v_U7OZcgwLRcc</t>
  </si>
  <si>
    <t>Three different women are shown in succession.</t>
  </si>
  <si>
    <t>Each woman is seated, playing drums and cymbals.</t>
  </si>
  <si>
    <t>They are billed as the top three female drummers in the world as they play continuously.</t>
  </si>
  <si>
    <t>v_C3BBG_9Vo48</t>
  </si>
  <si>
    <t>This video shows how to make a microwaved cake using Ganache frosting.</t>
  </si>
  <si>
    <t>First the woman adds 1 cup of sugar to 1/4 cup of vegetable oil and she puts it in a mixing bowl.</t>
  </si>
  <si>
    <t>then she mixes the sugar until it dissolves and he adds 1 whole cup of milk along with two teaspoons of lemon juice.</t>
  </si>
  <si>
    <t>Next she adds 1 teaspoon of vanilla extract and she mixes everything up, then she adds 1 1/4 cups of all purpose flour along with 1/4 cup of unsweetened cocoa powder and salt.</t>
  </si>
  <si>
    <t>Then she adds baking powder and baking soda and she whisks it until smooth.</t>
  </si>
  <si>
    <t>Finally, she pours the mix into a microwavable safe dish and it's done.</t>
  </si>
  <si>
    <t>She then let's the cake stand for 15 minutes.</t>
  </si>
  <si>
    <t>v_xZEl3yh0Cos</t>
  </si>
  <si>
    <t>A man wearing sunglasses is talking to the camera.</t>
  </si>
  <si>
    <t>He displays how to cut the strings on the front of a bike, and remove part of the tire.</t>
  </si>
  <si>
    <t>He replaces the part, explaining how the process is done as he goes.</t>
  </si>
  <si>
    <t>He then speaks to the camera further.</t>
  </si>
  <si>
    <t>v_WzAGE-xKDpw</t>
  </si>
  <si>
    <t>A man sitting on an exercise equipment.</t>
  </si>
  <si>
    <t>He put his feet on a holder, and put the strap on.</t>
  </si>
  <si>
    <t>He pull the bar, at the same time pushed his legs.</t>
  </si>
  <si>
    <t>He repeat the process several times.</t>
  </si>
  <si>
    <t>v_6KXVjADefBY</t>
  </si>
  <si>
    <t>A person vacuum dirt from a couch with a hand vacuum with a brush nozzle.</t>
  </si>
  <si>
    <t>Then, the person vacuum the crevasses of the couch using a crevasse noodle Then, the person uses a handle held vacuum to clean the top of the couch and the floor.</t>
  </si>
  <si>
    <t>After, the woman shows the battery of the vacuum and then she keeps it.</t>
  </si>
  <si>
    <t>v_ILeNuidJc00</t>
  </si>
  <si>
    <t>There's an outdoor swimming pool with a very high diving board.</t>
  </si>
  <si>
    <t>There's a woman in a green swim suit who dives down into the pool.</t>
  </si>
  <si>
    <t>She is doing various diving moves such as backward, forward and pike.</t>
  </si>
  <si>
    <t>She also does the hand stand before diving swiftly into the pool.</t>
  </si>
  <si>
    <t>She repeats her steps and dives several times into the pool.</t>
  </si>
  <si>
    <t>v_wVCDyGGog4I</t>
  </si>
  <si>
    <t>A small group of people are seen standing ready in a park with their arms and legs by their sides.</t>
  </si>
  <si>
    <t>The group then begins moving around with fans in their hands moving their arms and legs.</t>
  </si>
  <si>
    <t>The group continues moving around together and ends with them standing together and looking off into the distance.</t>
  </si>
  <si>
    <t>v_eT9oCTQUMhA</t>
  </si>
  <si>
    <t>A diver stretches out on a high dive platform bending at the waist.</t>
  </si>
  <si>
    <t>The diver towels off then tosses down her towel and approaches the end of the diving board for a first attempt.</t>
  </si>
  <si>
    <t>The diver makes multiple dives doing flips in the air before landing in the water.</t>
  </si>
  <si>
    <t>v_T4g31MwZ2ds</t>
  </si>
  <si>
    <t>Broken glass sits on the ground.</t>
  </si>
  <si>
    <t>A young man stretches in front of it.</t>
  </si>
  <si>
    <t>He then does break dancing moves.</t>
  </si>
  <si>
    <t>He puts his legs behind his head.</t>
  </si>
  <si>
    <t>v_zMrUSfQ_mzo</t>
  </si>
  <si>
    <t>A boy is seated at a table in a crowded room.</t>
  </si>
  <si>
    <t>He has a rubik's cube, and tries to solve the puzzle.</t>
  </si>
  <si>
    <t>He times himself as he finishes the cube, tossing it down on the table.</t>
  </si>
  <si>
    <t>v_KA6YYIl2z4E</t>
  </si>
  <si>
    <t>The video begins with various words and instructions on how to insert &amp; remove Halloween contact lenses.</t>
  </si>
  <si>
    <t>A contact lens container is then filled with contact solution and the contacts into both sides of the container.</t>
  </si>
  <si>
    <t>The woman then puts her thumb and finger into the left side and pulls out a white contact lens and inserts it into her right eye and blinks a few times as the words "featuring White Out contact lens" on the bottom of the screen.</t>
  </si>
  <si>
    <t>The woman reaches into the right side of the contact lens container and pulls out the other contact lens and inserts it into her left eye and then blinks multiple times.</t>
  </si>
  <si>
    <t>The woman then reaches back into her left eye first, then into her right to remove the contact lenses and a shot of them sitting in the contact lens container appears.</t>
  </si>
  <si>
    <t>Video ends with a screen telling you to subscribe to their YouTube channel for more helpful videos.</t>
  </si>
  <si>
    <t>v__8-4M5XVuwI</t>
  </si>
  <si>
    <t>A woman and man are raking leaves outside their home.</t>
  </si>
  <si>
    <t>They move the leaves into a firepit, burning them.</t>
  </si>
  <si>
    <t>v_jRnJRqvmZvk</t>
  </si>
  <si>
    <t>Boys arm wrestle in a match for a large crowd.</t>
  </si>
  <si>
    <t>The crowd congratulates the winner.</t>
  </si>
  <si>
    <t>The two boys shake hands after the match.</t>
  </si>
  <si>
    <t>v_Lme4KL45gwk</t>
  </si>
  <si>
    <t>A young boy is seen wearing a helmet, speaking to the camera, and holding up pads.</t>
  </si>
  <si>
    <t>The boy is then shown in various clips riding around on the board while also speaking to the camera.</t>
  </si>
  <si>
    <t>The boy demonstrates how to perform proper skating moves while bending down and grabbing his board.</t>
  </si>
  <si>
    <t>v_3zPoB-_JxEc</t>
  </si>
  <si>
    <t>A man talks on a telephone.</t>
  </si>
  <si>
    <t>The man puts a cigarette in his mouth.</t>
  </si>
  <si>
    <t>The man lights the cigarette.</t>
  </si>
  <si>
    <t>The man removes the cigarette from his mouth and holds it in his hand.</t>
  </si>
  <si>
    <t>v_K8W0PtyPlD4</t>
  </si>
  <si>
    <t>A group of adults plays a game of beach volleyball.</t>
  </si>
  <si>
    <t>Groups of children of kids play a game of beach volleyball.</t>
  </si>
  <si>
    <t>Rules are shown for the game.</t>
  </si>
  <si>
    <t>A group of girls play a volley ball game.</t>
  </si>
  <si>
    <t>A group of adults play a volleyball game on an overcast day.</t>
  </si>
  <si>
    <t>v_Le6fNx5IWRI</t>
  </si>
  <si>
    <t>A stadium is seen from above with a large audience.</t>
  </si>
  <si>
    <t>Gymnasts compete in an event and do stationary platform routine with hand grips.</t>
  </si>
  <si>
    <t>The medalists of the competition receive their awards and stand together waving.</t>
  </si>
  <si>
    <t>Athletes give interviews after the competition.</t>
  </si>
  <si>
    <t>v_I4B52tt3mNM</t>
  </si>
  <si>
    <t>woman is in front of a mirror make a yawn and drinks mouthwash and spit it in the handwash and smils at the camera.</t>
  </si>
  <si>
    <t>man stands in front of the mirror try to open the mouthwash bottle and drinks from it and is disgusted by it.</t>
  </si>
  <si>
    <t>v_ksyr3tHc0Vs</t>
  </si>
  <si>
    <t>Various text intro leads into a man holding a shot put and spinning himself around.</t>
  </si>
  <si>
    <t>The man throws the object off into the distance as the camera follows it's throw.</t>
  </si>
  <si>
    <t>v_SB08N4L6Ujw</t>
  </si>
  <si>
    <t>Several women are seen moving around a gym performing various exercises on a beam.</t>
  </si>
  <si>
    <t>The woman continue jumping up and down and leads into one moving a tire around as well as jumping up and down a punching a bag.</t>
  </si>
  <si>
    <t>The coach then speaks to the camera.</t>
  </si>
  <si>
    <t>v_D9eo9NfFhkg</t>
  </si>
  <si>
    <t>A bald man and a woman wearing handkerchief in her hair stand and wave next to a customized bus.</t>
  </si>
  <si>
    <t>The lady ads a scoop of ice cream to a sugar cone.</t>
  </si>
  <si>
    <t>The bald headed man places a menu on the side of the bus.</t>
  </si>
  <si>
    <t>The lady from the ice cream parlour bus hands an ice cream cone to a client.</t>
  </si>
  <si>
    <t>Multiple images and clips of many different people eating and showing their ice cream.</t>
  </si>
  <si>
    <t>The bald man and the lady inside of the ice cream parlour bus are shown working and picking up supplies as more images of patrons eat and show their ice cream treats.</t>
  </si>
  <si>
    <t>v_ttsZ4M-AKgY</t>
  </si>
  <si>
    <t>A group of bikers are going down a busy street filled with cars.</t>
  </si>
  <si>
    <t>They are seen with cameras mounted on skateboards before they start boarding in traffic.</t>
  </si>
  <si>
    <t>The man dismounts his board and takes off his helmet before running.</t>
  </si>
  <si>
    <t>v_JNr0oI927ng</t>
  </si>
  <si>
    <t>A woman is seen standing at the end of a diving board with her arms down and facing forward.</t>
  </si>
  <si>
    <t>The woman then begins jumping up and down on the board and diving back into the water.</t>
  </si>
  <si>
    <t>v_XeC4nqBB5BM</t>
  </si>
  <si>
    <t>A close up on the inside of a space ship is shown followed by a woman with crazy hair speaking into the microphone.</t>
  </si>
  <si>
    <t>She then plays a song on a flute with shots of another man in a different location playing a flute.</t>
  </si>
  <si>
    <t>The camera pans back and fourth between the two and ends with the man speaking to the camera, the woman waving back, and the man soluting.</t>
  </si>
  <si>
    <t>v_No2adeap68I</t>
  </si>
  <si>
    <t>A man is seen wiping down a door and then puts a large poster over the door.</t>
  </si>
  <si>
    <t>He puts the paper down and trims around the edges, ending with several pictures of posters shown and how to buy.</t>
  </si>
  <si>
    <t>v_KzK4sf7RmRM</t>
  </si>
  <si>
    <t>Bags of icing are sitting on a counter.</t>
  </si>
  <si>
    <t>Someone puts the icing in cake and muffin pans.</t>
  </si>
  <si>
    <t>They bake them in the oven.</t>
  </si>
  <si>
    <t>They put them on a plate and start to ice them.</t>
  </si>
  <si>
    <t>v_HDHS_7pOiDk</t>
  </si>
  <si>
    <t>A woman is shown outside high five two kids that are playing near her.</t>
  </si>
  <si>
    <t>The woman helps the girl down and jumps along the ground until she falls.</t>
  </si>
  <si>
    <t>v_UdBFm97tOJs</t>
  </si>
  <si>
    <t>A woman stares blankly at the camera.</t>
  </si>
  <si>
    <t>She takes a drink of tea.</t>
  </si>
  <si>
    <t>She repeats the same action exactly.</t>
  </si>
  <si>
    <t>She then takes another drink and makes a menacing face.</t>
  </si>
  <si>
    <t>v_F3tKnLz9YyE</t>
  </si>
  <si>
    <t>A boy and his dog are seen swimming under water in a large bowl.</t>
  </si>
  <si>
    <t>The two come above the surface and the dog runs around while the boy rubs his eyes.</t>
  </si>
  <si>
    <t>v_xijxN7XB4d8</t>
  </si>
  <si>
    <t>A man is standing in a bedroom practicing his violin.</t>
  </si>
  <si>
    <t>Another day passes by and it is now sunlight outside as the boy practices playing his instrument once more.</t>
  </si>
  <si>
    <t>The practicing continues on for several more days in the same room and finishes on until day 7.</t>
  </si>
  <si>
    <t>Finally,the man takes a set in the room and begins talking and demonstrating effective ways to hold the violin and play it efficiently.</t>
  </si>
  <si>
    <t>v_SOyOank50IY</t>
  </si>
  <si>
    <t>We see an opening screen on black.</t>
  </si>
  <si>
    <t>We see a man and woman washing dishes and talking.</t>
  </si>
  <si>
    <t>An image of a lady pops up on the screen.</t>
  </si>
  <si>
    <t>We see the ladies image again.</t>
  </si>
  <si>
    <t>The lady pops up in the subtitles.</t>
  </si>
  <si>
    <t>We see them from a darker, higher camera.</t>
  </si>
  <si>
    <t>We see them from the higher camera again.</t>
  </si>
  <si>
    <t>v_xH8l5rCWrMU</t>
  </si>
  <si>
    <t>woman is posing to the camera in a white game in a presentation.</t>
  </si>
  <si>
    <t>woman is standing in a kitchen talking to the camera and showing a plate of pasta and the ingedients.</t>
  </si>
  <si>
    <t>woman is chopping vegetables and saute vegetables in a pan.</t>
  </si>
  <si>
    <t>hen mix the vegetables with pasta.</t>
  </si>
  <si>
    <t>v_wz_kM0oBW5g</t>
  </si>
  <si>
    <t>We see a shuffle curling court.</t>
  </si>
  <si>
    <t>Arrows point to stones on the court.</t>
  </si>
  <si>
    <t>A lady walks off and returns.</t>
  </si>
  <si>
    <t>Arrows appear to point to the stones.</t>
  </si>
  <si>
    <t>We see two ladies, a different lady, then others.</t>
  </si>
  <si>
    <t>We see a team of player throw the stones.</t>
  </si>
  <si>
    <t>We see the crowd clap.</t>
  </si>
  <si>
    <t>We see the score appear on the screen.</t>
  </si>
  <si>
    <t>v_IRj0d3cLi6g</t>
  </si>
  <si>
    <t>A young child plays a bagpipe next to an adult bagpiper.</t>
  </si>
  <si>
    <t>The young bagpiper marches in place while playing his bagpipe while onlookers watch from behind.</t>
  </si>
  <si>
    <t>The adult bagpiper and the child stand next to each other while performing.</t>
  </si>
  <si>
    <t>The child finishes playing and walks forward to the camera.</t>
  </si>
  <si>
    <t>v_y80Jbcb5GWA</t>
  </si>
  <si>
    <t>A little boy is shown swinging on a swing on the public playground.</t>
  </si>
  <si>
    <t>He swings high into the air as someone pushes him.</t>
  </si>
  <si>
    <t>The boy smiles and talks to the person with the camera.</t>
  </si>
  <si>
    <t>v_7IW2BELXDHA</t>
  </si>
  <si>
    <t>Men are playing a sport n the sand.</t>
  </si>
  <si>
    <t>A man sits on the sand injured.</t>
  </si>
  <si>
    <t>v_nd5l829R8mw</t>
  </si>
  <si>
    <t>A marching band plays in the street.</t>
  </si>
  <si>
    <t>People walks behind the marching band.</t>
  </si>
  <si>
    <t>People pass on front a large window of a store.</t>
  </si>
  <si>
    <t>v_klqHoK_8ar8</t>
  </si>
  <si>
    <t>A man is painting the something on the floor green.</t>
  </si>
  <si>
    <t>She stroke up and down repeatedly trying to make sure he doesn't miss any spots in the area.</t>
  </si>
  <si>
    <t>He stands up a bit and looks at the piece for a little before dunking his brush back in the paint and starting again.</t>
  </si>
  <si>
    <t>He moves along to parts he hasn't yet gone over to paint.</t>
  </si>
  <si>
    <t>v_ewTlNriXY3c</t>
  </si>
  <si>
    <t>There is a competitive game of tug of war going on in an open field.</t>
  </si>
  <si>
    <t>Where a team wearing blue is competing against another team.</t>
  </si>
  <si>
    <t>The coach is giving directions to the team on how to pull the rope.</t>
  </si>
  <si>
    <t>He is encouraging them to not give and continue their efforts.</t>
  </si>
  <si>
    <t>There are spectators watching the event and cheering for the participants.</t>
  </si>
  <si>
    <t>There are few more rounds of tug of war played s the spectators watch and cheer for the players.</t>
  </si>
  <si>
    <t>The coach continues to encourage the players.</t>
  </si>
  <si>
    <t>After they win the tug of war, all the spectators run out and hug the players.</t>
  </si>
  <si>
    <t>A cameraman takes their pictures.</t>
  </si>
  <si>
    <t>The entire team poses for a team picture after their win.</t>
  </si>
  <si>
    <t>v__p0eoCHZ8BA</t>
  </si>
  <si>
    <t>A woman starts brushing a horse.</t>
  </si>
  <si>
    <t>She gets a pink brush and starts brushing the horse again.</t>
  </si>
  <si>
    <t>She gets a black brush and continues brushing the horse.</t>
  </si>
  <si>
    <t>She starts brushing the legs on the horse.</t>
  </si>
  <si>
    <t>She lifts up the horses foot and cleans the bottom of the foot.</t>
  </si>
  <si>
    <t>v_otGlbzsPIi0</t>
  </si>
  <si>
    <t>A man is seen speaking to the camera and leads into him holding a cooking pan out a hot stove.</t>
  </si>
  <si>
    <t>The man mixes ingredients together into a bowl and pours it into a pan while continuously stirring.</t>
  </si>
  <si>
    <t>He pours the food onto a plate and still holds the pan in his hand.</t>
  </si>
  <si>
    <t>v_HSEnmPWF5GY</t>
  </si>
  <si>
    <t>A montage of a priest is giving communion to people.</t>
  </si>
  <si>
    <t>Jesus and Mother Teresa are shown as a montage continues.</t>
  </si>
  <si>
    <t>v_DHfiz3MNbcc</t>
  </si>
  <si>
    <t>A young lady with burnette hair is standing behind a black counter in a bar with several alcohol on it.</t>
  </si>
  <si>
    <t>She then grabs a clear glass and puts ice in it.</t>
  </si>
  <si>
    <t>Next comes the liquor and she pours,orange juice and syrup in it and the drink is complete.</t>
  </si>
  <si>
    <t>v_FBL7iWMmTHU</t>
  </si>
  <si>
    <t>four men are standing on racquetball court.</t>
  </si>
  <si>
    <t>one man serves the ball.</t>
  </si>
  <si>
    <t>The men then begin to volley.</t>
  </si>
  <si>
    <t>One team scores a point.</t>
  </si>
  <si>
    <t>They all repeat the process.</t>
  </si>
  <si>
    <t>v_no9vPN7D-1s</t>
  </si>
  <si>
    <t>A person in an orange protective suit and a metal black mask solders something in an industrial setting.</t>
  </si>
  <si>
    <t>A person stands next to a black box in a metal helmet as fire sparks erupt from a wired box on the right.</t>
  </si>
  <si>
    <t>A large grey wheel spins behind the worker in the midst of the fire sparks and another worker walking by in a blue protective suit.</t>
  </si>
  <si>
    <t>v_Ch_qHjUtOpE</t>
  </si>
  <si>
    <t>Two women are standing on others' shoulders.</t>
  </si>
  <si>
    <t>They lift another woman into the air, balancing her between them before dropping her to be caught.</t>
  </si>
  <si>
    <t>However, the girls below are knocked to the ground.</t>
  </si>
  <si>
    <t>v_jIKAVLlyXIQ</t>
  </si>
  <si>
    <t>A man cuts into a piece of wood with an ax.</t>
  </si>
  <si>
    <t>Then, his action is replayed in slow motion.</t>
  </si>
  <si>
    <t>Next he takes a piece of the wood he cut an throws it into a pile.</t>
  </si>
  <si>
    <t>v_sDdgFSFaAdY</t>
  </si>
  <si>
    <t>An introduction comes onto the screen for a video about furniture repair.</t>
  </si>
  <si>
    <t>A woman is shown on the screen with gloves on and a cloth in her hand rubbing cream on a leather ottoman to repair the wear and tear.</t>
  </si>
  <si>
    <t>The video ends with the graphics for the closing credits at the end.</t>
  </si>
  <si>
    <t>v_jXORdfzz4oE</t>
  </si>
  <si>
    <t>man is standing in the court with a net behind he.</t>
  </si>
  <si>
    <t>men are playing volyball in a oofed court gym.</t>
  </si>
  <si>
    <t>v_lkSkFmHYdtI</t>
  </si>
  <si>
    <t>A young male athlete is standing in a field and turns backwards in a small circle.</t>
  </si>
  <si>
    <t>He then extends his arms and begins moving them back and forth.</t>
  </si>
  <si>
    <t>Once ready,he spins around and throws the discus out in the field,walks away and looks back at the distance.</t>
  </si>
  <si>
    <t>v_cvFFwMKFg7Q</t>
  </si>
  <si>
    <t>Two people are raking leaves in a park.</t>
  </si>
  <si>
    <t>The man in the rear turns his back to the camera.</t>
  </si>
  <si>
    <t>The lady on the left turns to the right.</t>
  </si>
  <si>
    <t>v_R6MnhM2omiE</t>
  </si>
  <si>
    <t>The man uses his match to set fire to the wooden logs.</t>
  </si>
  <si>
    <t>The fire is really small at first, but then it grows and gets bigger.</t>
  </si>
  <si>
    <t>After a while the video ends still showing the fire created by matches and tree branches.</t>
  </si>
  <si>
    <t>v_Y6UKk3t8Hj8</t>
  </si>
  <si>
    <t>The Livestrong website is showing a video on boxing.</t>
  </si>
  <si>
    <t>A woman boxer, Jolie Glassman is demonstrating how to properly punch and box the punching bag.</t>
  </si>
  <si>
    <t>She is in a gym demonstrating kicking and punching techniques.</t>
  </si>
  <si>
    <t>v_zrR9hGDeQhg</t>
  </si>
  <si>
    <t>A person is seen riding down a snowy hill close up as well as another person and child riding down the mountain.</t>
  </si>
  <si>
    <t>Several more clips are shown of people riding down the mountain from various angles with people yelling and cheering.</t>
  </si>
  <si>
    <t>v_QkqsI11OtC8</t>
  </si>
  <si>
    <t>We see a child playing hopscotch in a yard.</t>
  </si>
  <si>
    <t>An older girl the jumps.</t>
  </si>
  <si>
    <t>The first girl jumps back to the start location.</t>
  </si>
  <si>
    <t>The older girl then goes again.</t>
  </si>
  <si>
    <t>v_WnoJmKZC_qg</t>
  </si>
  <si>
    <t>A man demonstrates, through example how to play the recorder.</t>
  </si>
  <si>
    <t>A man stands in front of two windows covered in closed beige blinds, holding a wooden recorder instrument with both hands in front of him, while talking to the camera.</t>
  </si>
  <si>
    <t>The camera closes up on the body of the wooden recorder as the man begins to play lifting his fingers off of the various hole to make noise.</t>
  </si>
  <si>
    <t>The camera stays in a close up shot of just the man’s hands and the bottom of the recorder for the rest of the clip.</t>
  </si>
  <si>
    <t>v_qgQVbGtIn0M</t>
  </si>
  <si>
    <t>A group of rocks are shown washed up against the banks of a large blue river.</t>
  </si>
  <si>
    <t>The camera continues to span the river and a mountain range is shown.</t>
  </si>
  <si>
    <t>Another angle is shown and a small circle appears on the screen.</t>
  </si>
  <si>
    <t>Two hikers wearing backpacks are visible and show a rope.</t>
  </si>
  <si>
    <t>One man then gets in the water and tightens the ropes around a tree from one side of the water to another and sits on the rope.</t>
  </si>
  <si>
    <t>The man then stands up and attempts to tight rope across the water but falls into the water.</t>
  </si>
  <si>
    <t>v_U7SRRMoCGks</t>
  </si>
  <si>
    <t>A man is seen standing before an exercise beam and begins moving himself on the bars while others practice around him.</t>
  </si>
  <si>
    <t>The man continues to workout on the beam and pauses to speak to the camera while using his hands.</t>
  </si>
  <si>
    <t>v_brZ1m2qNUzc</t>
  </si>
  <si>
    <t>A person is seen wiping down a rag followed by several ingredients attached to her hip.</t>
  </si>
  <si>
    <t>She sprays down the rag and is then seen again washing various windows around an office.</t>
  </si>
  <si>
    <t>She wipes down door handles as well and then puts the rags into a washing machine, hanging up the pole in the end.</t>
  </si>
  <si>
    <t>v_z4B1JZQnHl4</t>
  </si>
  <si>
    <t>A group of skaters are going quickly around an outdoor track.</t>
  </si>
  <si>
    <t>A man who curls in a wheelchair speaks to the camera.</t>
  </si>
  <si>
    <t>A man is shown with a puck, performing.</t>
  </si>
  <si>
    <t>Several people alternate playing with talking to the camera.</t>
  </si>
  <si>
    <t>v_uc1RbyLfuSs</t>
  </si>
  <si>
    <t>A person is wind sailing through a body of water.</t>
  </si>
  <si>
    <t>The person passes someone swimming.</t>
  </si>
  <si>
    <t>The person turns on their board.</t>
  </si>
  <si>
    <t>v_xqYII12ta4E</t>
  </si>
  <si>
    <t>A group of cheerleaders are wearing dark red, white and black uniforms standing in formation getting ready to do their routine, and the words below on the screen say "Mill Creek HS Class AAAAA".</t>
  </si>
  <si>
    <t>The cheerleaders begin their routine and it includes a lot of jumping, cheering, flipping, either in sync or separetly, throwing and catching other cheerleaders, and many other moves.</t>
  </si>
  <si>
    <t>They end their routine, cheer themselves on and 2 women from the audience run up and hug some of the cheerleaders.</t>
  </si>
  <si>
    <t>v_HGK_K2XqhTA</t>
  </si>
  <si>
    <t>A teen shakes his hand on front a glass of water while a youth watch him.</t>
  </si>
  <si>
    <t>Then, the teen takes the glass shaking his hand and drinks the water while the laugh.</t>
  </si>
  <si>
    <t>After, the youth takes the glass, then holds a cup while the teen fold his right hand.</t>
  </si>
  <si>
    <t>Next, the teen takes a cup and pretend to drink while making gestures of pain.</t>
  </si>
  <si>
    <t>v_q7Ap96aMkZ8</t>
  </si>
  <si>
    <t>We see people jogging on a city street.</t>
  </si>
  <si>
    <t>We zoom in on a shirtless man juggling.</t>
  </si>
  <si>
    <t>We pan backwards towards the other runners.</t>
  </si>
  <si>
    <t>v_FwV1XbjLJHY</t>
  </si>
  <si>
    <t>A woman talks in a bar, then she puts ice in a stainless steel glass.</t>
  </si>
  <si>
    <t>Then the woman adds to the cup two measures of liquor, juice and sugar.</t>
  </si>
  <si>
    <t>After, the woman puts a cup on top and shake it, and serves in a cup with a slice of lemon.</t>
  </si>
  <si>
    <t>v_4CRacVTadPQ</t>
  </si>
  <si>
    <t>A woman in a yellow shirt is holding a bottle in her hand.</t>
  </si>
  <si>
    <t>She opens the bottle and pours it into a bucket on the ground.</t>
  </si>
  <si>
    <t>She puts a mop rag into the bucket and puts it on her mop.</t>
  </si>
  <si>
    <t>She then lifts the bucket out of the room.</t>
  </si>
  <si>
    <t>She starts mopping the tile on the floor.</t>
  </si>
  <si>
    <t>v_DU36SNYN-rw</t>
  </si>
  <si>
    <t>The tile screen plays with a picture of a long field.</t>
  </si>
  <si>
    <t>A man walks up with a disk and a dog hold onto it as he passes a few people.</t>
  </si>
  <si>
    <t>The man starts playing with the dog by throwing the think and having him bring it back.</t>
  </si>
  <si>
    <t>He then claps for the dog.</t>
  </si>
  <si>
    <t>The credits roll at the end.</t>
  </si>
  <si>
    <t>v_68m6uCPwwNo</t>
  </si>
  <si>
    <t>A red ball sits between two poles.</t>
  </si>
  <si>
    <t>A cricket bat begins swinging.</t>
  </si>
  <si>
    <t>Two shoes sit on either side.</t>
  </si>
  <si>
    <t>The bat strikes the ball.</t>
  </si>
  <si>
    <t>v_aWKZSqbOi2Q</t>
  </si>
  <si>
    <t>A large group of girls dressed in cheerleading outfits are standing in formation and at the same exact moment the girls do a flip in sync and they begin their very detailed routine that includes, jumps, flips, hand claps and etcetera.</t>
  </si>
  <si>
    <t>They break off into 5 different groups where all the girls huddle in each group and throw one girl in the air and hold her up, but suddenly the front group is unstable and the girl they are holding up drops, and the girls below all catch her and they just wait until the girls are done to resume their routine in sync.</t>
  </si>
  <si>
    <t>They are all standing still in formation when suddenly one of the girls pulls off her left shoe and throws it to the side and they all remain still for a few seconds.</t>
  </si>
  <si>
    <t>The girls resume their cheer and break up in 5 sections once again to hold a girl up in the air, but once again, the middle group loses the balance of the girl on top and they fail and she falls in their catch and they resume their routine that now include multiple flips from each girl until the finish.</t>
  </si>
  <si>
    <t>v_sz0GhFkkXYI</t>
  </si>
  <si>
    <t>A man leans forward as a baby in a swing tries to grab and chew on his hair.</t>
  </si>
  <si>
    <t>The baby laughs, swinging back and forth, then tries to grab the camera.</t>
  </si>
  <si>
    <t>v_xyZ87TEcDSI</t>
  </si>
  <si>
    <t>A few people go surfing on waves.</t>
  </si>
  <si>
    <t>They fall sometimes but are ok.</t>
  </si>
  <si>
    <t>v_KkBMOQOGTdk</t>
  </si>
  <si>
    <t>Band members in full dress stand in a yard.</t>
  </si>
  <si>
    <t>They are using a rake to rake leaves.</t>
  </si>
  <si>
    <t>A man walks by as they rake.</t>
  </si>
  <si>
    <t>v_VnBZR-yBLXA</t>
  </si>
  <si>
    <t>A woman is seen standing behind a counter speaking to the camera and then beginning to peel a potato.</t>
  </si>
  <si>
    <t>She continues to peel potatoes while pausing to speak to the camera and smile.</t>
  </si>
  <si>
    <t>v_EHVkkRI7mBQ</t>
  </si>
  <si>
    <t>Young men an a car talk and play around before arriving at the ski slope.</t>
  </si>
  <si>
    <t>We see men snowboarding over obstacles and ramps on the ski slope.</t>
  </si>
  <si>
    <t>A man jumps a ramp and falls to the ground.</t>
  </si>
  <si>
    <t>We see the boys standing in the parking lot and are shown their names.</t>
  </si>
  <si>
    <t>The last boy removes his helmet, shakes his hair and smiles at the camera.</t>
  </si>
  <si>
    <t>v_QjFioni0uCM</t>
  </si>
  <si>
    <t>A man is standing behind a woman sitting in a chair.</t>
  </si>
  <si>
    <t>He is putting a product into her hair.</t>
  </si>
  <si>
    <t>He begins to blow dry her hair.</t>
  </si>
  <si>
    <t>She starts to blow dry her hair herself.</t>
  </si>
  <si>
    <t>v_gJydcG-d1cs</t>
  </si>
  <si>
    <t>A woman holds a flute and practices the keys while lying down.</t>
  </si>
  <si>
    <t>A woman in a formal dress holds up a flute and gestures while talking.</t>
  </si>
  <si>
    <t>A woman plays the flute with exaggerated blowing.</t>
  </si>
  <si>
    <t>A woman plays a flute in a room with other instruments hanging in the background.</t>
  </si>
  <si>
    <t>The two women play flutes together.</t>
  </si>
  <si>
    <t>The woman shake their hands with a cramp.</t>
  </si>
  <si>
    <t>v_HK9tOFFF5II</t>
  </si>
  <si>
    <t>a scene from th big bang theory is shown and the man is lying down in a table in a tattoo room and a tattoo artist is standing by him.</t>
  </si>
  <si>
    <t>man in the bed stands and talk to a woman and remove the fake tattoo sleeves.</t>
  </si>
  <si>
    <t>v_rfxXEgc9RTQ</t>
  </si>
  <si>
    <t>A close up of a person's feet are shown followed by two men seen in an open room holding tennis rackets and hitting a ball.</t>
  </si>
  <si>
    <t>Then men hit the ball all around the room while running to each side to hit the ball.</t>
  </si>
  <si>
    <t>v_Cl0lsFUR5HE</t>
  </si>
  <si>
    <t>A vacant beach is visible and people began to pull their cars up against the coast.</t>
  </si>
  <si>
    <t>The sidewalk then appears and a boy begins to skateboard down the road near the beach.</t>
  </si>
  <si>
    <t>He continues doing tricks and skateboarding through the city passing people and cars.</t>
  </si>
  <si>
    <t>After a while,he sits down a takes a break and begins talking to another guy before he eventually gets back up to continue skateboarding.</t>
  </si>
  <si>
    <t>v_ptlSMte8xz0</t>
  </si>
  <si>
    <t>A guy is skiing with a camera on his helmet to show us what he is seeing as he ski.</t>
  </si>
  <si>
    <t>the guy ski down the hill and passes a guy that was in front of him.</t>
  </si>
  <si>
    <t>As the guy skis he start to come cross other skiers also skiing,finally the skier makes it to the end of down hill slop and comes to a stop.</t>
  </si>
  <si>
    <t>v_-0i3BpAQAgE</t>
  </si>
  <si>
    <t>A man and a woman are playing rock paper scissors.</t>
  </si>
  <si>
    <t>The man gets on his knee and pulls out a ring.</t>
  </si>
  <si>
    <t>They hug next to the swimming pool.</t>
  </si>
  <si>
    <t>They give each other a kiss.</t>
  </si>
  <si>
    <t>v_jwv7eQpeGW4</t>
  </si>
  <si>
    <t>A man is running down a track he jumps into a pile of sand.</t>
  </si>
  <si>
    <t>He runs down the track again and jumps into the sand several times.</t>
  </si>
  <si>
    <t>Scores are shown on the screen.</t>
  </si>
  <si>
    <t>v_-vKXPND_mD8</t>
  </si>
  <si>
    <t>A man wearing a green outfit is leading a camel.</t>
  </si>
  <si>
    <t>Two people are sitting on top of the camel.</t>
  </si>
  <si>
    <t>A man is walking next to the camel.</t>
  </si>
  <si>
    <t>v_lHsPZ49cpG8</t>
  </si>
  <si>
    <t>People are playing a game on a field using horses.</t>
  </si>
  <si>
    <t>The camera person rides near the parking lot on the right.</t>
  </si>
  <si>
    <t>The camera person rides near the parking lot again.</t>
  </si>
  <si>
    <t>The person slows down near the goal.</t>
  </si>
  <si>
    <t>v_4kriQ6h6ymI</t>
  </si>
  <si>
    <t>A graphic shows and then photos follow of a girl growing up with horseback riding.</t>
  </si>
  <si>
    <t>Three years after those photos the girl moves and she is shown riding horses.</t>
  </si>
  <si>
    <t>The girl is shown with other girls posing with some awards for horseback riding.</t>
  </si>
  <si>
    <t>Another video is shown of the girl riding the horse indoors.</t>
  </si>
  <si>
    <t>Photos of the girl taking care of her horses close out the video.</t>
  </si>
  <si>
    <t>v_RfsugL4sLso</t>
  </si>
  <si>
    <t>A woman is seen brushing her teeth and leads into toothpaste being spread on a toothbrush.</t>
  </si>
  <si>
    <t>Another girl brushes her teeth and shows several stills on how to properly brush teeth.</t>
  </si>
  <si>
    <t>More clips are shown of people brushing their teeth.</t>
  </si>
  <si>
    <t>v_sQo4gMcgfT4</t>
  </si>
  <si>
    <t>Several people are in bumper scooters moving around in a small entrapment.</t>
  </si>
  <si>
    <t>Finally,they get out of the big clump and start to move around the gym easier.</t>
  </si>
  <si>
    <t>The ride finally ends,and all of the people get out and a girl and boy walk up to the camera giving a thumbs up.</t>
  </si>
  <si>
    <t>v_09MaNbzc2TA</t>
  </si>
  <si>
    <t>A large group of people are seen wandering around a beached area followed by people dancing and enjoying the beach.</t>
  </si>
  <si>
    <t>Several clips are shown of a soccer match going on as well as fans celebrating to the camera.</t>
  </si>
  <si>
    <t>In the end the team all celebrates together while confetti falls from the sky.</t>
  </si>
  <si>
    <t>v_amCD-2TIKw0</t>
  </si>
  <si>
    <t>A woman is playing music on a stereo in a busy city.</t>
  </si>
  <si>
    <t>Another woman is standing on the sidewalk with headphones.</t>
  </si>
  <si>
    <t>They both smile at each other as they groove to the music.</t>
  </si>
  <si>
    <t>The woman picks up the stereo and starts walking.</t>
  </si>
  <si>
    <t>The other woman follows her on the same sidewalk.</t>
  </si>
  <si>
    <t>They walk together holding the stereo.</t>
  </si>
  <si>
    <t>A man in a red shirt starts dancing next to a car with another woman.</t>
  </si>
  <si>
    <t>They join the woman walking with the stereo in her hand.</t>
  </si>
  <si>
    <t>Several other people join them as they walk and dance to the music.</t>
  </si>
  <si>
    <t>All the people break into a synchronized dance right on the street.</t>
  </si>
  <si>
    <t>v_vH9gqDUaBQ0</t>
  </si>
  <si>
    <t>An old man talks next a sailboat in the shore, then the man carry the sailboat to the ocean.</t>
  </si>
  <si>
    <t>The old man sails the boat sitting on the border of the boat and pulling a handle.</t>
  </si>
  <si>
    <t>Then, the old man sits for awhile, and then continues sailing and stops when he talks.</t>
  </si>
  <si>
    <t>After, the old man stops and the boat turn over, then he pulls the boat to the shore.</t>
  </si>
  <si>
    <t>After, the old man continues sailing in the ocean.</t>
  </si>
  <si>
    <t>v_QKIkAfzncFc</t>
  </si>
  <si>
    <t>A person's hands are seen playing a set of bongo drums and pausing to talk to the camera.</t>
  </si>
  <si>
    <t>He presses a button on his phone and plays the drums again and ending with one final smack on the drum.</t>
  </si>
  <si>
    <t>v_dnJJWt0SBTc</t>
  </si>
  <si>
    <t>People are standing in a line holding swords.</t>
  </si>
  <si>
    <t>A man in a white jacket is talking into a microphone.</t>
  </si>
  <si>
    <t>Another older gentlemen is talking into a microphone.</t>
  </si>
  <si>
    <t>v_dGHCQVdC27c</t>
  </si>
  <si>
    <t>A man covers a wall with cement using a hose.</t>
  </si>
  <si>
    <t>A person works behind the wall.</t>
  </si>
  <si>
    <t>The person is covering the last section of the wall.</t>
  </si>
  <si>
    <t>v_UzmnkYD5YTA</t>
  </si>
  <si>
    <t>A person is seen walking into frame holding an instrument in front of a piano.</t>
  </si>
  <si>
    <t>He plays the instrument in front of the piano and walks back to the camera.</t>
  </si>
  <si>
    <t>v_CX5QUmM97DI</t>
  </si>
  <si>
    <t>The logo "FAB" appears with two crossed swords.</t>
  </si>
  <si>
    <t>The words "Meyerco Machete Cut Test" follow on screen.</t>
  </si>
  <si>
    <t>A man is trimming a damaged bush using a machette.</t>
  </si>
  <si>
    <t>The man continues chopping the cut branch on a deck.</t>
  </si>
  <si>
    <t>v_cpeevuvJKjE</t>
  </si>
  <si>
    <t>A group of ballet of dancers compete with a group of hip hop dancers.</t>
  </si>
  <si>
    <t>A boy dance hip hop, spins and make a flip.</t>
  </si>
  <si>
    <t>After, the boy climbs on a column to make a flip backward and stand on his hands, then a ballet dancer is raised by her friends.</t>
  </si>
  <si>
    <t>Then, a boy runs and break a door to enter to the other side where a girl is surprised.</t>
  </si>
  <si>
    <t>v_5OhIRnEFMyw</t>
  </si>
  <si>
    <t>A girl smiles at a camera holding a violin and pulls her hair behind her head.</t>
  </si>
  <si>
    <t>She continues talking to the camera followed by her playing the violin.</t>
  </si>
  <si>
    <t>She takes her hair down and continues talking to the camera and showing various violin moves while singing.</t>
  </si>
  <si>
    <t>She once again puts her hair up and continues with her playing.</t>
  </si>
  <si>
    <t>v_0kfJ7Lu4tvo</t>
  </si>
  <si>
    <t>A person turns on the emergency lights of a car and takes out the emergency tire.</t>
  </si>
  <si>
    <t>Then, the man loose the lug nuts of the tire, and then reads the manual.</t>
  </si>
  <si>
    <t>After, the man puts a jack below the car to raise it.</t>
  </si>
  <si>
    <t>Next, the man puts the emergency tire and tight the lug nuts.</t>
  </si>
  <si>
    <t>At the end, the man keeps the jack and the flat tire.</t>
  </si>
  <si>
    <t>v_Lou-YFz3kb0</t>
  </si>
  <si>
    <t>A woman is seen speaking to the camera while holding a violin.</t>
  </si>
  <si>
    <t>The woman continues speaking and them begins demonstrating how to play a song.</t>
  </si>
  <si>
    <t>She finishes playing the song and smiles to the camera.</t>
  </si>
  <si>
    <t>v_CV3pIbE8BnE</t>
  </si>
  <si>
    <t>A person is seen bending over his legs with a person putting shaving cream all over his leg.</t>
  </si>
  <si>
    <t>The person then grabs a razor and begins shaving the man's leg while dipping it into a sink.</t>
  </si>
  <si>
    <t>The woman continues shaving his leg while panning back to the sink and him having a drink.</t>
  </si>
  <si>
    <t>v_D32TzYSHM08</t>
  </si>
  <si>
    <t>A man ball rolls across a baseball field and a small boy in a green shirt kicks the ball and runs around the bases.</t>
  </si>
  <si>
    <t>The boy stops and looks at the camera then starts running again.</t>
  </si>
  <si>
    <t>A person runs in front of the camera.</t>
  </si>
  <si>
    <t>The boy makes it to home as a lady chases a ball to the fence.</t>
  </si>
  <si>
    <t>v_YmhbwAv0Xbc</t>
  </si>
  <si>
    <t>The boy in the red hat and the blue coat is being pulled in a red tube by a rope over some icy roads.</t>
  </si>
  <si>
    <t>A man in a black hat has his turn with the tube.</t>
  </si>
  <si>
    <t>A man in a grey hat hits a snow embankment with the tube.</t>
  </si>
  <si>
    <t>A man goes up a snow hill in the tube.</t>
  </si>
  <si>
    <t>More people begin sliding but this time it is with a small sled, not a tube.</t>
  </si>
  <si>
    <t>A man lets go of the rope and hits an embankment of snow.</t>
  </si>
  <si>
    <t>A group of friends sit on a couch together.</t>
  </si>
  <si>
    <t>v_OZpxc1X8Bsc</t>
  </si>
  <si>
    <t>A man wearing only black shorts, sandals and a gear belt, climbs a rock using a rope in a natural environment filled with trees and foliage.</t>
  </si>
  <si>
    <t>The man in the black shorts stands at the bottom of the rock and begins to climb the rock.</t>
  </si>
  <si>
    <t>The man climbs from the bottom using knees to gain balance and a rope to steady when losing grip with the rocks.</t>
  </si>
  <si>
    <t>The man reaches the top of the rock as the tan rope, behind, dangles.</t>
  </si>
  <si>
    <t>v_6gzU9P-5tqE</t>
  </si>
  <si>
    <t>A man falls down while trying bowl down a lane.</t>
  </si>
  <si>
    <t>A woman falls down trying to bowl.</t>
  </si>
  <si>
    <t>A man throws a bowling ball and it hits the ceiling.</t>
  </si>
  <si>
    <t>A man slips and falls as he's trying to bowl.</t>
  </si>
  <si>
    <t>v_v1ukgczEA5A</t>
  </si>
  <si>
    <t>A person flips a ski upside down.</t>
  </si>
  <si>
    <t>They melt onto onto the bottom of the ski.</t>
  </si>
  <si>
    <t>They run the iron over the top of the was on the ski.</t>
  </si>
  <si>
    <t>v_PSAfQ1qjtOA</t>
  </si>
  <si>
    <t>A gymnast stands and waves her arms before a performance.</t>
  </si>
  <si>
    <t>The gymnast hops up and mounts the balance beam.</t>
  </si>
  <si>
    <t>The gymnast does a routine on the balance beam doing flips and hand springs.</t>
  </si>
  <si>
    <t>The gymnast jump and does the splits in the air.</t>
  </si>
  <si>
    <t>The gymnast dismounts the balance beam onto the mat.</t>
  </si>
  <si>
    <t>v_wQHMoyzJx_w</t>
  </si>
  <si>
    <t>We see a white opening scene.</t>
  </si>
  <si>
    <t>We see a lady in a kitchen talking and cooking.</t>
  </si>
  <si>
    <t>The lady cuts a potato and puts it in the water.</t>
  </si>
  <si>
    <t>The lady puts the potato in cold water.</t>
  </si>
  <si>
    <t>The lady peels the skin off the potato easily.</t>
  </si>
  <si>
    <t>v_sx_npA4wRrw</t>
  </si>
  <si>
    <t>A chef is mixing water and vinegar in a glass bowl and adding dried chilies to it.</t>
  </si>
  <si>
    <t>Then in a blender, the chef mixes capers, garlic, anchovies and black olives along with some olive oil.</t>
  </si>
  <si>
    <t>The chef mashes the ingredients into a paste.</t>
  </si>
  <si>
    <t>The chef adds some garlic to oil in a saute pan and sautes it with some sun dried tomatoes.</t>
  </si>
  <si>
    <t>Then adds in the olive tapenade to the pan.</t>
  </si>
  <si>
    <t>The chef then chops some parsley and garlic together.</t>
  </si>
  <si>
    <t>Then he adds some spaghetti to boiling salt water and cooks it.</t>
  </si>
  <si>
    <t>He adds the chopped parsley to the spaghetti and mixes it well along with the olive tapenade.</t>
  </si>
  <si>
    <t>v_7yndv2xOmn0</t>
  </si>
  <si>
    <t>A person is putting black icing on a cake.</t>
  </si>
  <si>
    <t>They pour icing on the top out of a pot.</t>
  </si>
  <si>
    <t>They put strawberries, blueberries, raspberries and black berries on top of the cake.</t>
  </si>
  <si>
    <t>v_8Kj5Whf2JyA</t>
  </si>
  <si>
    <t>A large group of people are see bouncing around on trampolines throwing dodgeballs to one another.</t>
  </si>
  <si>
    <t>The camera pans around to the people on the outside and back onto the kids playing.</t>
  </si>
  <si>
    <t>v_ezugU3qibVQ</t>
  </si>
  <si>
    <t>A pink screen appears that have black numbers and words that read "handbagbuyer 82", then hearts appear to fade out the intro screen and a smiling blonde woman wearing green appears talking straight to the camera.</t>
  </si>
  <si>
    <t>The woman then picks up a tray with a cover that includes colorful curlers of different sizes and she continues talking while pointing at them.</t>
  </si>
  <si>
    <t>The woman then picks up a black bag and grabs a silver clip from it, puts it back in the bag and puts the bag on the side and continues to talk.</t>
  </si>
  <si>
    <t>The woman is now standing in a bathroom wearing a red sweater with hello kitty on the front and she's brushing her hair, rolling it in curlers and clipping each one individually with the silver clip and curlers she showed earlier.</t>
  </si>
  <si>
    <t>When she completes putting all the curlers that can fit on her entire head, she smiles to the camera and turns her head from side to side.</t>
  </si>
  <si>
    <t>The woman is now standing in the bathroom wearing green again and she has her hair down and she's talking and using her hands to move her hair around to show the curls.</t>
  </si>
  <si>
    <t>The outro screan is pink and ends with black words and then a black screen that has a clip art red pair of lips on it.</t>
  </si>
  <si>
    <t>v_xfOs5nRsSuQ</t>
  </si>
  <si>
    <t>woman is standing in a green field practicing balance a ball in a golf club.</t>
  </si>
  <si>
    <t>another woman is in the court and its practicing with the girl passing the ball from a golf club to another.</t>
  </si>
  <si>
    <t>in the background cars are parked in a parking lot.</t>
  </si>
  <si>
    <t>v_CrnNXizH0IQ</t>
  </si>
  <si>
    <t>A man is seen speaking to the camera while pointing to various tools and wooden objects in front of him.</t>
  </si>
  <si>
    <t>The man unhooks the side followed by sanding it down on the side.</t>
  </si>
  <si>
    <t>The man then takes a screwdriver and drills in holes while stopping to sand it and show it to the camera.</t>
  </si>
  <si>
    <t>v_CaDoaqs_5jE</t>
  </si>
  <si>
    <t>A camera pans all around a frozen lake with trees and leads into a group of people fishing around a hole.</t>
  </si>
  <si>
    <t>The men continue to sit around the holes with a pole speaking to one another and wandering around the ice.</t>
  </si>
  <si>
    <t>v_vUuC72xikqw</t>
  </si>
  <si>
    <t>A close up of a pumpkin is seen followed by a child scouping out the middle.</t>
  </si>
  <si>
    <t>Another child next to her is seen cutting out the pumpkin when an adults walks into frame.</t>
  </si>
  <si>
    <t>The adults helps the children with one smiling to the camera and holding up seeds while the camera pans around the room.</t>
  </si>
  <si>
    <t>v_28P5f3p_32g</t>
  </si>
  <si>
    <t>A man is shown holding a knife while taking to the camera and smiling.</t>
  </si>
  <si>
    <t>He begins cutting the tomato laid out on the table in various sections.</t>
  </si>
  <si>
    <t>He then sharpens the knife on the machine next to the vegetable and shows how much better it works.</t>
  </si>
  <si>
    <t>v_7MWDmMh3zyA</t>
  </si>
  <si>
    <t>A group of people are in tubes floating on top of murky water with huge rocks in it.</t>
  </si>
  <si>
    <t>The camera scans the crowd and people continuously paddle their way across the water.</t>
  </si>
  <si>
    <t>v_L3X8OmIbj2c</t>
  </si>
  <si>
    <t>Guys arm wrestle indoors in the presence of two referees.</t>
  </si>
  <si>
    <t>The referees point in the direction of the winner.</t>
  </si>
  <si>
    <t>The players give a dab handshake.</t>
  </si>
  <si>
    <t>v_83WXP5z80Y0</t>
  </si>
  <si>
    <t>Title screens are shown on the video.</t>
  </si>
  <si>
    <t>The woman demonstrates using a hula hoop in a large room while another person talks.</t>
  </si>
  <si>
    <t>Another person looks in through the window of the door.</t>
  </si>
  <si>
    <t>The woman stops hula hooping and takes a bow.</t>
  </si>
  <si>
    <t>The ending credits roll.</t>
  </si>
  <si>
    <t>v_X_9NiZmR2tQ</t>
  </si>
  <si>
    <t>Two people are playing tennis on a court.</t>
  </si>
  <si>
    <t>One person falls back on their back.</t>
  </si>
  <si>
    <t>v_cBCi-pOE5NQ</t>
  </si>
  <si>
    <t>A man has his sax around his neck and he is explaining about reeds and mouth pieces and how you should put your mouth on it or what nor.</t>
  </si>
  <si>
    <t>He talks for a while about this, demonstrates how you would move your tongue to make sound.</t>
  </si>
  <si>
    <t>He blows into the sax to demonstrate a little more.</t>
  </si>
  <si>
    <t>He even briefly puts his finger in mouth to try to explain a little better as well.</t>
  </si>
  <si>
    <t>v_rjgu0ucCW7U</t>
  </si>
  <si>
    <t>A man pushes a lawn mower around a grass lawn area with tents cutting the grass.</t>
  </si>
  <si>
    <t>The man cuts the tall grass around a tree.</t>
  </si>
  <si>
    <t>The man shuts down the lawnmower and takes a break.</t>
  </si>
  <si>
    <t>v_0Z_mhRoqG2E</t>
  </si>
  <si>
    <t>A close up of a landscape is shown followed by a woman climbing up a rock on it's side.</t>
  </si>
  <si>
    <t>The woman continues climbing and ends with her reaching the top and throwing her arms up.</t>
  </si>
  <si>
    <t>v_KDPa4AvVt0s</t>
  </si>
  <si>
    <t>A group of people is playing dodge ball in a court.</t>
  </si>
  <si>
    <t>People joke to the camera.</t>
  </si>
  <si>
    <t>v_fY2IeYSxY4U</t>
  </si>
  <si>
    <t>A white wall is shown with pegs poking out and strips of tape hanging down and a girl begins cliff climbing the wall as a man in a blue shirt begins to talk.</t>
  </si>
  <si>
    <t>The young lady continues progressing up the wall as the man continues to talk in a split screen.</t>
  </si>
  <si>
    <t>The man lifts his foot up to talk about a certain position and the girl demonstrates it as she begins getting off the plate.</t>
  </si>
  <si>
    <t>v_lC12SCZ_-1o</t>
  </si>
  <si>
    <t>A small car is covered in a thick layer of snow.</t>
  </si>
  <si>
    <t>A man appears with a sweeper.</t>
  </si>
  <si>
    <t>He uses it to rake all the snow off the vehicle.</t>
  </si>
  <si>
    <t>v_ZIBWRRBft8g</t>
  </si>
  <si>
    <t>man is kneeling on the floor talking to the camera and showing the tiles above the wooden floor.</t>
  </si>
  <si>
    <t>man is showing a place without the wooden floor and its putting the wooden pole in the floor measuring the space.</t>
  </si>
  <si>
    <t>the man puts a wood sheet in space and put floor tiles.</t>
  </si>
  <si>
    <t>v_pAAGm-KEFW0</t>
  </si>
  <si>
    <t>There is a boy sitting on the bed showing off his sunburn and putting cream on it.</t>
  </si>
  <si>
    <t>A friend is shaking his head because of the other guy's sunburn.</t>
  </si>
  <si>
    <t>The friend lifts his shirt to show his sunburn as well.</t>
  </si>
  <si>
    <t>The camera pans around room and back to the first guy.</t>
  </si>
  <si>
    <t>A girl walks by carrying a plate, puts it on the table and does a dance.</t>
  </si>
  <si>
    <t>The camera pans to a mirror with two men standing in it with a phone and waving.</t>
  </si>
  <si>
    <t>The camera looks over the balcony of the room.</t>
  </si>
  <si>
    <t>A woman puts a plate of food on a table and a man walks back inside.</t>
  </si>
  <si>
    <t>The sunburned man is taking his shirt off and laying it on the bed.</t>
  </si>
  <si>
    <t>His friends help him with cream on his sunburn.</t>
  </si>
  <si>
    <t>The woman is sitting at the table eating.</t>
  </si>
  <si>
    <t>v_QvM8SFUUvsw</t>
  </si>
  <si>
    <t>A man is shown solving a rubix rube at record speed while a timer is going and a man records him.</t>
  </si>
  <si>
    <t>Another player at a younger age is shown solving the rubix cube as well as a third patron shortly after.</t>
  </si>
  <si>
    <t>v_BJM1rUjXvkQ</t>
  </si>
  <si>
    <t>The candied fruits are in the bowl, then the woman pour liqueur in it and mixed them.</t>
  </si>
  <si>
    <t>The woman added brown sugar on the butter, then added eggs one by one and mixed and then cream, then flour, baking soda, cinnamon powder and mixed them well.</t>
  </si>
  <si>
    <t>The dried fruit mixture is added in the batter, and then shredded nuts and they were mixed well together.</t>
  </si>
  <si>
    <t>The batter is pour into the pan, smooth the batter and making sure that its evenly distributed.</t>
  </si>
  <si>
    <t>v_Y39LnzOipck</t>
  </si>
  <si>
    <t>A man is seen standing and looking around and then cleans off a bowling ball and stands before a lane.</t>
  </si>
  <si>
    <t>The man throws the ball down and hits several pins.</t>
  </si>
  <si>
    <t>v_I3WRp3QB8eg</t>
  </si>
  <si>
    <t>A girl is seen speaking to the camera and walks into a hair salon and shakes hands with an stylist.</t>
  </si>
  <si>
    <t>Several shots of an artist are shown and the man then begins cutting the girl's hair.</t>
  </si>
  <si>
    <t>He hands her the hair and washes her hair followed by more cuts and looking into a mirror.</t>
  </si>
  <si>
    <t>In the end her hair looks just like the artist and she is seen smiling and hugs a person, ending with a side by side picture of the artist and her.</t>
  </si>
  <si>
    <t>v__DiTdY1Mtj4</t>
  </si>
  <si>
    <t>A person is seen bending over near a crowd and begins playing a game of shuffleboard.</t>
  </si>
  <si>
    <t>The people continue playing back and fourth on the mat while other people playing around them and walk into frame.</t>
  </si>
  <si>
    <t>A man and woman are seen speaking to one another and is again shown pushing the pucks.</t>
  </si>
  <si>
    <t>v_RLdlDewtKbE</t>
  </si>
  <si>
    <t>An intro is shown for a cricket game.</t>
  </si>
  <si>
    <t>Several players begin to play a cricket game on a field.</t>
  </si>
  <si>
    <t>A man stumbles over one of the cricket posts.</t>
  </si>
  <si>
    <t>The players shake hands as the game ends.</t>
  </si>
  <si>
    <t>The results of the game a then shown on the screen.</t>
  </si>
  <si>
    <t>v_0EbXjHsMBmM</t>
  </si>
  <si>
    <t>At a store by the name of skinny ski's there is a table set up with things needed to saw down skis.</t>
  </si>
  <si>
    <t>A man uses some equipment to melt some wax over a ski, going over it a few times.</t>
  </si>
  <si>
    <t>He then directly uses the iron right on the ski too smoothen out the wax he just melted over it, going over it a few times.</t>
  </si>
  <si>
    <t>He then shows a package of dibloc low fluoro hot wax and information on how to contact for services.</t>
  </si>
  <si>
    <t>v_HVU5EmblAP8</t>
  </si>
  <si>
    <t>A man is playing the drums with is hands.</t>
  </si>
  <si>
    <t>The man pauses then plays again.</t>
  </si>
  <si>
    <t>The man pauses then plays slower.</t>
  </si>
  <si>
    <t>v_qb_5_9xDYqc</t>
  </si>
  <si>
    <t>An African American male is standing outside next to a tall rock wall.</t>
  </si>
  <si>
    <t>The man continues touching the rock and begins stretching.</t>
  </si>
  <si>
    <t>After, he begins to actively and ferociously climb the wall and come down on the other side but he does it without any ropes attached to him.</t>
  </si>
  <si>
    <t>v_MleQSQt6Utw</t>
  </si>
  <si>
    <t>A boy in a blue shirt is playing in the sand on the beach.</t>
  </si>
  <si>
    <t>A man in a white shirt is standing behind him helping him.</t>
  </si>
  <si>
    <t>A man in blue shorts is also helping the boy make the sand castle.</t>
  </si>
  <si>
    <t>v_GFQuGc1yY8o</t>
  </si>
  <si>
    <t>A man is shown with a woman dancing in front of a large crowd on a tv show.</t>
  </si>
  <si>
    <t>The woman spins around as the man leads her through the routine.</t>
  </si>
  <si>
    <t>She then is lifted up and spun around again.</t>
  </si>
  <si>
    <t>They dance very romantically and she is spun around various times before being tipped backwards by the man as they continue to dance.</t>
  </si>
  <si>
    <t>The two dancers reach out to one another and the routine ends.</t>
  </si>
  <si>
    <t>v_rML1aj5XW0M</t>
  </si>
  <si>
    <t>A wrestler is hoisted on a man's shoulders.</t>
  </si>
  <si>
    <t>The man throws the wrestler on a table.</t>
  </si>
  <si>
    <t>The other man hollers out loud.</t>
  </si>
  <si>
    <t>One of the other men stands over the injured man.</t>
  </si>
  <si>
    <t>v_1C0Ur7fen8s</t>
  </si>
  <si>
    <t>A group of boys are playing a game of foosball with girls.</t>
  </si>
  <si>
    <t>The two groups stand on either side of the machine.</t>
  </si>
  <si>
    <t>They use the little men to hit the ball back and forth.</t>
  </si>
  <si>
    <t>v_LlgGMRw16UY</t>
  </si>
  <si>
    <t>Teen compete skateboard down the road very fast.</t>
  </si>
  <si>
    <t>A teen falls face down from his skateboard on the ground.</t>
  </si>
  <si>
    <t>Another teen falls on the road.</t>
  </si>
  <si>
    <t>Other teens continue skating and some on them falls while skating.</t>
  </si>
  <si>
    <t>v_QXZkejzunpk</t>
  </si>
  <si>
    <t>People ride bikes on a bumpy track circuit.</t>
  </si>
  <si>
    <t>Then, they arrive to the finish line where people is washing the competition.</t>
  </si>
  <si>
    <t>v_XxMzH75Bhr8</t>
  </si>
  <si>
    <t>A large group of men are seen running around an indoor field when one scores a goal and the audience cheers.</t>
  </si>
  <si>
    <t>Several more shots of goals are shown followed by slowed down shots of each goal.</t>
  </si>
  <si>
    <t>Close up of players are shown and ends with a group of players all hugging and cheering with one another.</t>
  </si>
  <si>
    <t>v_aFlumCYsZgM</t>
  </si>
  <si>
    <t>A boy enjoys an ice cream cone.</t>
  </si>
  <si>
    <t>A girl eats licks and eats an ice cream cone.</t>
  </si>
  <si>
    <t>The boy finishes the ice cream cone.</t>
  </si>
  <si>
    <t>The girl lightly licks the ice cream cone.</t>
  </si>
  <si>
    <t>v_CkC1wxAaDjM</t>
  </si>
  <si>
    <t>An archery tournament begins and the montage shows the players hiding behind shields and firing back and forth.</t>
  </si>
  <si>
    <t>The parents of the children are shown watching the battle.</t>
  </si>
  <si>
    <t>v_gaNiULmtQg8</t>
  </si>
  <si>
    <t>A girl jumps onto a balance beam.</t>
  </si>
  <si>
    <t>She begins to do a routine on the balance beam.</t>
  </si>
  <si>
    <t>She dismounts and lands on the mat with her hands in the air.</t>
  </si>
  <si>
    <t>v_9XanCE5nX2Q</t>
  </si>
  <si>
    <t>There is a woman dancing on stage in front of a man in the beginning.</t>
  </si>
  <si>
    <t>There are many different women doing hip hop moves.</t>
  </si>
  <si>
    <t>v_Qg3Lih9PTBM</t>
  </si>
  <si>
    <t>Two sumos wrestle fiercely while a judge watch them.</t>
  </si>
  <si>
    <t>Then, the sumo wearing black slip pushed out of the ring the other sumo.</t>
  </si>
  <si>
    <t>Then, two sumo wrestle and trip with the judge, one of them falls.</t>
  </si>
  <si>
    <t>After, the sumosn continue wrestling and the sumo with black slip falls out the ring.</t>
  </si>
  <si>
    <t>v_QEfXMtnI6rw</t>
  </si>
  <si>
    <t>A man is seen speaking to the camera while holding up a piece of paper.</t>
  </si>
  <si>
    <t>The man also holds up a razor and begins writing on the paper.</t>
  </si>
  <si>
    <t>The man is then seen shaving his face and ending with credits.</t>
  </si>
  <si>
    <t>v_zyh16NahocQ</t>
  </si>
  <si>
    <t>We see a lady talking in the bathroom.</t>
  </si>
  <si>
    <t>She shows us her blow dryer box.</t>
  </si>
  <si>
    <t>She brings the blow dryer box back into view.</t>
  </si>
  <si>
    <t>The lady grabs and lifts her hair.</t>
  </si>
  <si>
    <t>The lady shows us dryer attachments and the dryer.</t>
  </si>
  <si>
    <t>The lady brushes hear hair and adds blow drys her hair.</t>
  </si>
  <si>
    <t>v_x9BN93AXNTQ</t>
  </si>
  <si>
    <t>A close up of a computer is shown followed by a man stepping into frame and singing into the microphone.</t>
  </si>
  <si>
    <t>The man continues singing while the camera captures him and fades to black in the end.</t>
  </si>
  <si>
    <t>v_5vlGKyxl22M</t>
  </si>
  <si>
    <t>An old woman talks before run in a marathon where there is a lot of people participate.</t>
  </si>
  <si>
    <t>Then, the woman cross the finish line and people help her.</t>
  </si>
  <si>
    <t>A cameraman films on front the finish line while people is arriving.</t>
  </si>
  <si>
    <t>A woman raise her arms when cross the finish line.</t>
  </si>
  <si>
    <t>v_3Z4b34lBnyU</t>
  </si>
  <si>
    <t>A very large man wearing a black speedo is standing in a wrestling rink huffing and puffing.</t>
  </si>
  <si>
    <t>A referee walks past the man, a man from the ground stands up and the very large man kicks him, picks him up, then slams him onto the rink.</t>
  </si>
  <si>
    <t>The man just lays there writhing in pain.</t>
  </si>
  <si>
    <t>v_memk6ryZCjE</t>
  </si>
  <si>
    <t>Two women are seen speaking to one another and leads into them performing martial arts against one another.</t>
  </si>
  <si>
    <t>The girls continue to fight and leads into one sitting down while the other continues to perform moves.</t>
  </si>
  <si>
    <t>v_qPZBSTNEl78</t>
  </si>
  <si>
    <t>A girl in red outfit serves the ball to her friend on an outdoor tennis match.</t>
  </si>
  <si>
    <t>The friend returns the ball and the two play a round of tennis.</t>
  </si>
  <si>
    <t>The ball is deflected by the net and the partner loses the round.</t>
  </si>
  <si>
    <t>v_IdEcXDZ4Cos</t>
  </si>
  <si>
    <t>Several men stand on a pier.</t>
  </si>
  <si>
    <t>One of the men is shirtless.</t>
  </si>
  <si>
    <t>They bring out some raw meat.</t>
  </si>
  <si>
    <t>One of the men gets on a board and does tricks.</t>
  </si>
  <si>
    <t>v_2zwUExKXw9s</t>
  </si>
  <si>
    <t>A group sits on horses as the stand and take a rest.</t>
  </si>
  <si>
    <t>The group rides on the horses along a trail.</t>
  </si>
  <si>
    <t>v_Ni7Lqloy5Qc</t>
  </si>
  <si>
    <t>A woman is seen speaking to the camera as well as other people in a car wit her.</t>
  </si>
  <si>
    <t>Shots of her and her friend are shown through a frame and leads into them looking at tattoos.</t>
  </si>
  <si>
    <t>They're shown singing in the car and waiting to get a tattoo down while still speaking to the camera.</t>
  </si>
  <si>
    <t>The girls are then each shown getting tattoos done and ends with pictures of their tattoos being shown off.</t>
  </si>
  <si>
    <t>v_Mk9n7isIyBs</t>
  </si>
  <si>
    <t>A woman wearing a pink and white shirt and black tights is standing in her front yard.</t>
  </si>
  <si>
    <t>She is holding two batons in her and twirling them.</t>
  </si>
  <si>
    <t>She twirls her body and turns around several times as she twirls the batons in both her hands.</t>
  </si>
  <si>
    <t>She also moves her foot back and forth and walks and lifts her foot as she twirls.</t>
  </si>
  <si>
    <t>She then throws the baton from underneath her leg and catches it with her other hand.</t>
  </si>
  <si>
    <t>she continues twirling the baton near a shady tree.</t>
  </si>
  <si>
    <t>she turns her entire body around as she twirls the batons.</t>
  </si>
  <si>
    <t>She finally bows down and holds the baton straight in her hand.</t>
  </si>
  <si>
    <t>v_zChDaAcfc2o</t>
  </si>
  <si>
    <t>We see water flowing over a river.</t>
  </si>
  <si>
    <t>A title appears on the screen.</t>
  </si>
  <si>
    <t>A person in a canoe goes over the waterfall.</t>
  </si>
  <si>
    <t>The person rides the rapids of the river.</t>
  </si>
  <si>
    <t>We see people on a rock on the riverbank watching the canoer.</t>
  </si>
  <si>
    <t>The person in the canoe smiles and talks to the camera.</t>
  </si>
  <si>
    <t>v_dL--vW-AJJo</t>
  </si>
  <si>
    <t>A close up of tires are shown followed by a man working on a tire as well as being interviewed on camera.</t>
  </si>
  <si>
    <t>The camera captures the tool on the tires from several angles as well as lifting up the car to work underneath.</t>
  </si>
  <si>
    <t>More shots of the men working as shown as one speaks to the camera and ends by fading to white.</t>
  </si>
  <si>
    <t>v_Qfi8dqC4E4s</t>
  </si>
  <si>
    <t>A man and woman wearing red jackets, the man was cheering, while the woman is taking video using her iPad, she has very serious look on her face, the woman handed the iPad to the man.</t>
  </si>
  <si>
    <t>A woman is picking up a pole, putting it inside the bigger pole, a man in blue jacket looked up from the ground.</t>
  </si>
  <si>
    <t>A male athlete wearing red and blue top, blue shorts ran, hopped and jumped, he fell on the #18 sand then got up walked around the grass and field towards the group of people.</t>
  </si>
  <si>
    <t>A male athlete wearing blue top ran to the lane, started hopping after passing the white line and jumped to the sand, hit the sandy ground then stood up, then walked to the track field.</t>
  </si>
  <si>
    <t>A male athlete in red and blue uniform started to run to the field, hopped when passed the white line then jumped towards bed of sandy ground, he hit the ground, fell on his side and stood up and walked towards the field.</t>
  </si>
  <si>
    <t>A woman in red top is shown.</t>
  </si>
  <si>
    <t>v_BnAG37ecNbA</t>
  </si>
  <si>
    <t>A woman is sitting on a hospital bed with a razor handle in her mouth and people around her are moving her hair out of her face.</t>
  </si>
  <si>
    <t>The woman then starts to pull the razor up and down the part of her left leg that she can reach with her bend.</t>
  </si>
  <si>
    <t>The woman then grabs the razor from her mouth with her right hand and starts shaving her left leg.</t>
  </si>
  <si>
    <t>The woman puts the razor handle back in her mouth and tries to shave again but it falls out of her mouth and she drops her head in frustration then leans back on the bed, laughs, and then crosses her arms.</t>
  </si>
  <si>
    <t>v_Et8xkGzQOTA</t>
  </si>
  <si>
    <t>A man in a black hat is standing on the street.</t>
  </si>
  <si>
    <t>A person starts dancing on the street.</t>
  </si>
  <si>
    <t>A man starts break dancing in front of a car.</t>
  </si>
  <si>
    <t>v_ghFOHoBiyD8</t>
  </si>
  <si>
    <t>A man wearing glasses is holding a book and talking.</t>
  </si>
  <si>
    <t>He is shown entering a bowling alley.</t>
  </si>
  <si>
    <t>The man interviews players and joins them in a game of bowling.</t>
  </si>
  <si>
    <t>A player explains the techniques he uses.</t>
  </si>
  <si>
    <t>v_rhfoyYzp93Q</t>
  </si>
  <si>
    <t>A person is paddling down a river in a canoe.</t>
  </si>
  <si>
    <t>The person turns and looks back.</t>
  </si>
  <si>
    <t>v_dUvZ6-IVo34</t>
  </si>
  <si>
    <t>A man is seen speaking to the camera while holding up an instrument.</t>
  </si>
  <si>
    <t>The man then begins playing the instrument in front of the camera.</t>
  </si>
  <si>
    <t>The man continues to play the instrument and stops to look at the camera.</t>
  </si>
  <si>
    <t>v_Cu8kOOnAjaw</t>
  </si>
  <si>
    <t>A dog is close to the camera, play fighting with another dog.</t>
  </si>
  <si>
    <t>They jump off a man's lap, then back on again as they continue to play.</t>
  </si>
  <si>
    <t>The man puts his glasses back on as the dogs calm down and lie down on his lap.</t>
  </si>
  <si>
    <t>v_eRh6V0bcBpU</t>
  </si>
  <si>
    <t>Inside a man and a woman are playing a game of raquet ball.</t>
  </si>
  <si>
    <t>She begins to talk about it for a little bit very causally.</t>
  </si>
  <si>
    <t>Then, she goes to practice hitting it by herself for a little bit.</t>
  </si>
  <si>
    <t>This is a game she really enjoys to play, its a hobby.</t>
  </si>
  <si>
    <t>v_X1bmeq4u6YE</t>
  </si>
  <si>
    <t>A video shows how to make curry toast.</t>
  </si>
  <si>
    <t>The curry is in a pan and the bread and butter are on a tray.</t>
  </si>
  <si>
    <t>The man applies the butter, then the curry to the bread before toasting it.</t>
  </si>
  <si>
    <t>A cartoon charicature of a stick person dances at the end.</t>
  </si>
  <si>
    <t>v_nuEK3POl9jA</t>
  </si>
  <si>
    <t>At the 2008 Olympics, a man prepares to lift a loaded barbell.</t>
  </si>
  <si>
    <t>He bends down and works his way up with great effort, finally lifting the barbell over his head.</t>
  </si>
  <si>
    <t>He drops the weights and they crash to the ground.</t>
  </si>
  <si>
    <t>He celebrates and we see that the Olympian has set a record.</t>
  </si>
  <si>
    <t>v_tp0L6sR1qts</t>
  </si>
  <si>
    <t>A man is seen rolling out a bike and begins checking the tires with another man.</t>
  </si>
  <si>
    <t>One man cuts a wire and checks more tires and another man spins the tires once more.</t>
  </si>
  <si>
    <t>v_JU_o9ZtH-VM</t>
  </si>
  <si>
    <t>A balded man is seen speaking to the camera with a head sitting behind him with a head full of hair.</t>
  </si>
  <si>
    <t>He then cuts the hair on the dummy in a certain fashion and the camera zooms in on the finished result in the end.</t>
  </si>
  <si>
    <t>v_5k0KMrksf8c</t>
  </si>
  <si>
    <t>Two teams are standing at the scrimmage line together waiting to play the game.</t>
  </si>
  <si>
    <t>The game begins and the two teams fight each ferociously in a game of Lacrosse.</t>
  </si>
  <si>
    <t>One person gets hit so bad,he is out and remains laying down on the field as the rest of the players take off down the field.</t>
  </si>
  <si>
    <t>v_z6IsPWucZnU</t>
  </si>
  <si>
    <t>A baby is shown floating upside down in a pool.</t>
  </si>
  <si>
    <t>Trainers are teaching the child how to stay afloat.</t>
  </si>
  <si>
    <t>He is learning how to swim, keeping himself above water.</t>
  </si>
  <si>
    <t>v__O6ONcIPR_s</t>
  </si>
  <si>
    <t>A wind kite is shown in the air.</t>
  </si>
  <si>
    <t>A man in a black shirt is controlling the wind kite and falls on the ground.</t>
  </si>
  <si>
    <t>Dogs are running around on the grass.</t>
  </si>
  <si>
    <t>v_qYN_YrwUCBs</t>
  </si>
  <si>
    <t>An introduction graphic comes onto the screen presenting a volleyball championship.</t>
  </si>
  <si>
    <t>A man comes onto the screen announcing the competition before it begins.</t>
  </si>
  <si>
    <t>Different girls are shown playing beach volley ball as the narrator tells the story of their road to the championship.</t>
  </si>
  <si>
    <t>Many of the team members are shown talking on the court and strategizing for the win.</t>
  </si>
  <si>
    <t>The video cuts to a conference room where there is a discussion about the volleyball players.</t>
  </si>
  <si>
    <t>The video ends with the graphics for the c losing credits.</t>
  </si>
  <si>
    <t>v_NKZzGiS5hv0</t>
  </si>
  <si>
    <t>men are siting in a dark room talking to the camera.</t>
  </si>
  <si>
    <t>sumo wrestlers are standing in stage ready to fight and people are gathered around them and sitting in he terraces.</t>
  </si>
  <si>
    <t>men are talking in the dark room and explaining their point of view.</t>
  </si>
  <si>
    <t>v_RQO61KXeBos</t>
  </si>
  <si>
    <t>A man starts running down with a stick he places it down and jumps over a really high obstacle, he lands and gloats.</t>
  </si>
  <si>
    <t>The next man takes his turn and he does the same using the stick to get over the obstacle and jumping up with excitement after landing.</t>
  </si>
  <si>
    <t>Then another man takes his turn and when he lands he throws off his helmet and yells and jumps for joy like the previous men.</t>
  </si>
  <si>
    <t>The audience is very thrilled too, they all take more turns trying to get the best score.</t>
  </si>
  <si>
    <t>v__nup1BwPnXc</t>
  </si>
  <si>
    <t>We see kids in purple pose for a photo.</t>
  </si>
  <si>
    <t>The kids then play tug of war as two girls stand nearby cheering.</t>
  </si>
  <si>
    <t>We switch to a girl and a boy cheering.</t>
  </si>
  <si>
    <t>We see two different kids cheering.</t>
  </si>
  <si>
    <t>We switch the cheering kids again.</t>
  </si>
  <si>
    <t>The kids win and an jump and cheer as one girl talks to a teacher.</t>
  </si>
  <si>
    <t>v_sA8fmJulHMs</t>
  </si>
  <si>
    <t>Several shirtless men are gathered in a room, one smokes a cigarette as the rest cheer him on.</t>
  </si>
  <si>
    <t>He sucks down the cigarette all the way down to the bud.</t>
  </si>
  <si>
    <t>He coughs a bit and then inhales it in his nose, pointing to the camera afterwards.</t>
  </si>
  <si>
    <t>v_eM-l2d8e-CA</t>
  </si>
  <si>
    <t>Pucks are seen sitting along the ice as well as a man speaking to the camera and people walking around.</t>
  </si>
  <si>
    <t>More clips are shown of people curling on the ice while also speaking to the camera.</t>
  </si>
  <si>
    <t>The people continue to push the puck along the ice while looking back to the camera as well as speaking to the camera.</t>
  </si>
  <si>
    <t>v_PgoRelvwBUI</t>
  </si>
  <si>
    <t>We see a tire well on a table in a clamp.</t>
  </si>
  <si>
    <t>A man puts a vice grip on the well.</t>
  </si>
  <si>
    <t>The man pushes and spins a tire over the wheel well.</t>
  </si>
  <si>
    <t>v_V3ZDyR7mVpc</t>
  </si>
  <si>
    <t>We see waterski and the side of a boat.</t>
  </si>
  <si>
    <t>We see a boy standing on a dock, people gas their boat then board.</t>
  </si>
  <si>
    <t>We see two boys playing.</t>
  </si>
  <si>
    <t>We see a person water skiing on a lake.</t>
  </si>
  <si>
    <t>We see the cars in the parking lot near the lake and a dog sniffs the camera.</t>
  </si>
  <si>
    <t>We see a shop then a person paddling on a kayak.</t>
  </si>
  <si>
    <t>A person jumps into the water and we see the water skier again.</t>
  </si>
  <si>
    <t>A boy on a trampoline in a shop, people on a raft and a boy jumps in the water.</t>
  </si>
  <si>
    <t>We see a boy on a toy bike, the water skier falls.</t>
  </si>
  <si>
    <t>A person on skis jumps a ramp.</t>
  </si>
  <si>
    <t>v_otWcr0Rxy5g</t>
  </si>
  <si>
    <t>a group of performers are standing on a stage.</t>
  </si>
  <si>
    <t>They turn, and begin playing the drums.</t>
  </si>
  <si>
    <t>They put on sunglasses while they play for the audience.</t>
  </si>
  <si>
    <t>v_uqAFtPVzEEs</t>
  </si>
  <si>
    <t>A news man is standing in front of a screen talking as it displays a volleyball game on the beach.</t>
  </si>
  <si>
    <t>Then we see the players, fighting over and kicking the ball, alternating with speaking to the camera individually before going back to scenes from the game.</t>
  </si>
  <si>
    <t>v_qpdREcmjhUw</t>
  </si>
  <si>
    <t>A young boy has a long stick in had and is pushing a puck across a white triangle with numbers in it.</t>
  </si>
  <si>
    <t>The puck goes to far down the board and the toddler chases after it.</t>
  </si>
  <si>
    <t>Once the puck is back on the board,he takes off running back down the board.</t>
  </si>
  <si>
    <t>v_9x7FyIJdVsI</t>
  </si>
  <si>
    <t>A male is shown deep underwater in a pool doing a breast stroke.</t>
  </si>
  <si>
    <t>As he is swimming,a man in an orange polo is standing on the outside describing his technique.</t>
  </si>
  <si>
    <t>v_DsnVkCHbEVM</t>
  </si>
  <si>
    <t>A series of screen flashes and it shows statistics about driving drunk and when to take breaks driving.</t>
  </si>
  <si>
    <t>After, a group of about forty individuals are in a large pool playing water polo.</t>
  </si>
  <si>
    <t>The people take turns going back and forth throwing the ball and a person finally makes a goal.</t>
  </si>
  <si>
    <t>v_wj0D-wiqEb0</t>
  </si>
  <si>
    <t>A man is playing a wooden instrument inext to another man, sitting inside a small room.</t>
  </si>
  <si>
    <t>When he is done, he lowers his instrument and smiles broadly.</t>
  </si>
  <si>
    <t>They appear to be riding inside a train.</t>
  </si>
  <si>
    <t>v_sbvdGKpHy2M</t>
  </si>
  <si>
    <t>The interior and supplies of an old fashioned barber shop are shown.</t>
  </si>
  <si>
    <t>A man sharpens a razor strap.</t>
  </si>
  <si>
    <t>He shows off the cream as he puts it on his client.</t>
  </si>
  <si>
    <t>He then gently and professionally gives the man a beard shave.</t>
  </si>
  <si>
    <t>The man lies still as he applies a cloth, then aftershave.</t>
  </si>
  <si>
    <t>A close up is shown of the clean shaven face.</t>
  </si>
  <si>
    <t>v_Ti3z17QofU8</t>
  </si>
  <si>
    <t>We see an opening scene on a black background.</t>
  </si>
  <si>
    <t>We see a man hammer a nail.</t>
  </si>
  <si>
    <t>The man shows us some bolts.</t>
  </si>
  <si>
    <t>We see the man screw a screw in.</t>
  </si>
  <si>
    <t>v_WYjtYDyHUxY</t>
  </si>
  <si>
    <t>Several shots are shown of paintball are shown followed by many pictures of guns.</t>
  </si>
  <si>
    <t>More pictures of guns are shown and ends with text across the screen.</t>
  </si>
  <si>
    <t>v_vLJz4a4NvRI</t>
  </si>
  <si>
    <t>We see an opening title screen and a man and lady look happy and the lady throws her hands in the air.</t>
  </si>
  <si>
    <t>We see a man dealing blackjack in front of a screen.</t>
  </si>
  <si>
    <t>We see a C emblem screen.</t>
  </si>
  <si>
    <t>We see the man continue to deal cards.</t>
  </si>
  <si>
    <t>v_v-mNvC8zVhE</t>
  </si>
  <si>
    <t>A young lady is in a room rolling down a piece of grey and white wallpaper on a wall.</t>
  </si>
  <si>
    <t>She is now on another wall and is using a utensil to smooth out the paper.</t>
  </si>
  <si>
    <t>Then,she is shown cutting the grey wallpaper and brushing it.</t>
  </si>
  <si>
    <t>Finally,she moves to another flower piece and begins to cut off the excess paper ensuring it is measured correctly.</t>
  </si>
  <si>
    <t>v_PzERiygIpkg</t>
  </si>
  <si>
    <t>A person is seen sticking their hands under a dink and rubbing soap on their hands.</t>
  </si>
  <si>
    <t>The person scrubs their hands thoroughly and then runs them under a faucet.</t>
  </si>
  <si>
    <t>She then grabs a paper towel to dry her hands and show them off.</t>
  </si>
  <si>
    <t>v_4WrU5OdkvY0</t>
  </si>
  <si>
    <t>A man is seen stretching on the floor followed by people fencing with one another.</t>
  </si>
  <si>
    <t>People move back and fourth around an arena fencing with one another and the camera capturing their movements.</t>
  </si>
  <si>
    <t>They continue fighting back and fourth and end by walking away.</t>
  </si>
  <si>
    <t>v_h2HRRkwHoKw</t>
  </si>
  <si>
    <t>There is a busy restaurant by the lakeside where nearly all the tables are occupied by guests dining there.</t>
  </si>
  <si>
    <t>The server fills in ice in the glasses and barista makes coffee.</t>
  </si>
  <si>
    <t>The customers are busy eating their food that is served.</t>
  </si>
  <si>
    <t>The bartender is mixing drinks to make various cocktails.</t>
  </si>
  <si>
    <t>The barista is making latte and cappuccino.</t>
  </si>
  <si>
    <t>A lady customer is seen enjoying her drinks.</t>
  </si>
  <si>
    <t>v_3_Gha8keu-A</t>
  </si>
  <si>
    <t>A group of women stand facing the camera.</t>
  </si>
  <si>
    <t>An older woman walks to the head of the group.</t>
  </si>
  <si>
    <t>The group dance together facing the camera.</t>
  </si>
  <si>
    <t>v_gHYcZYkrxxQ</t>
  </si>
  <si>
    <t>A man in a snow covered parking lot lined with tall street lamps scrapes hardened snow and ice off of his maroon sports car at night.</t>
  </si>
  <si>
    <t>The man begins by scraping ice and snow off of the bottom of his windshield and the hood of his car and front grill.</t>
  </si>
  <si>
    <t>The man then scrapes and kicks at ice chunks surrounding the area around the front passenger tire.</t>
  </si>
  <si>
    <t>Lastly, the man scrapes ice off of the trunk of the car and the rear passenger tire area before waiving and walking toward the camera.</t>
  </si>
  <si>
    <t>v_-s1MQAiOMeY</t>
  </si>
  <si>
    <t>A black template with scrolling print with white lettering goes across the screen in an upward motion.</t>
  </si>
  <si>
    <t>A motor boat with two canoe like hulls on either side of the sail, sails across an ocean, in daylight, with two people hanging on to the side.</t>
  </si>
  <si>
    <t>The image of the boat on the water changes to night vision with only green and white colors reflecting before the credits roll.</t>
  </si>
  <si>
    <t>v_MuOkEmd4Gp0</t>
  </si>
  <si>
    <t>There are four people participating the BMX dirt biking competition.</t>
  </si>
  <si>
    <t>They are doing incredible stunts on their bikes by jumping up high over ditches and steep terrain.</t>
  </si>
  <si>
    <t>One of the bikers takes a fall after he leaps over a hilly road.</t>
  </si>
  <si>
    <t>Several other bikers go in full speed over hilly terrain and steep hills.</t>
  </si>
  <si>
    <t>People are gathered to watch and participate in the BMX event.</t>
  </si>
  <si>
    <t>The bikers continue doing their stunts as they go over hilly terrain and hilltops.</t>
  </si>
  <si>
    <t>The winners of the race are awarded trophies and certificates.</t>
  </si>
  <si>
    <t>They proudly raise their trophies high up to show their accomplishment.</t>
  </si>
  <si>
    <t>v_xUHXFXela-0</t>
  </si>
  <si>
    <t>man is climbong a rock wall atached to harness.</t>
  </si>
  <si>
    <t>a group of friends are standing on the field and above them the man is climbing the rock wall.</t>
  </si>
  <si>
    <t>man is climbong the rock wall holding it and the other people on the floor is attached to harness ready to climb the wall too.</t>
  </si>
  <si>
    <t>v_wEwp63lUsrE</t>
  </si>
  <si>
    <t>A man wearing gloves is seen speaking to the camera while holding up various objects to the camera.</t>
  </si>
  <si>
    <t>He then puts the objects together to create a large flame and hammers down a tool in the end and shows the results.</t>
  </si>
  <si>
    <t>v_oYmE833AO2w</t>
  </si>
  <si>
    <t>A man in grey shirt applies plaster with a handheld spatula to the interior wall of a building.</t>
  </si>
  <si>
    <t>The main points to the corners of the room to show the line he is working.</t>
  </si>
  <si>
    <t>The man in applies more plaster the the wall and covers more area.</t>
  </si>
  <si>
    <t>The man in grey stops to discuss with his partner.</t>
  </si>
  <si>
    <t>The man in grey along with his partner begin to apply a coating on the wall together.</t>
  </si>
  <si>
    <t>The man in grey watches and gives tips to his friend.</t>
  </si>
  <si>
    <t>The man in grey and the friend both apply plaster together higher up on the wall and ceiling.</t>
  </si>
  <si>
    <t>v_R_HDifqMHSY</t>
  </si>
  <si>
    <t>A singer is shown standing on a piano on a large stage and talking into the mic while a drummer plays in the background.</t>
  </si>
  <si>
    <t>He continues singing to the audience followed by jumping off the piano and dancing around the stage.</t>
  </si>
  <si>
    <t>The drums continue to play and the lights flicker behind him while people shuffle other drums around the set.</t>
  </si>
  <si>
    <t>The two men then begin playing the drums back to back with each other while switching between drum kits and movements.</t>
  </si>
  <si>
    <t>v_l_R7AbA-d04</t>
  </si>
  <si>
    <t>A camera pans in on a television set that leads into a man holding a stick in front of a large crowd.</t>
  </si>
  <si>
    <t>He speaks to a woman and a shot of people playing shuffle board is shown in slow motion.</t>
  </si>
  <si>
    <t>v_ni6VySdH0XY</t>
  </si>
  <si>
    <t>A person is sharpening a knife behind a table.</t>
  </si>
  <si>
    <t>People are standing in front of the table watching.</t>
  </si>
  <si>
    <t>He picks up the knife sharpener and uses it to sharpen the knife.</t>
  </si>
  <si>
    <t>v_bXCOtMuaJf4</t>
  </si>
  <si>
    <t>A woman is seen washing dishes in a sink while a man speaks to the camera and zooms in on the dishes.</t>
  </si>
  <si>
    <t>The man continues to speak to the camera and demonstrate how to properly wash dishes.</t>
  </si>
  <si>
    <t>v_sbT8DfccM7I</t>
  </si>
  <si>
    <t>A person is seen standing in front of a picnic table speaking to the camera while holding a bike wheel.</t>
  </si>
  <si>
    <t>He then puts the tire on the ground, moving his hands around the make sure the tire is properly inflated.</t>
  </si>
  <si>
    <t>He paces the tire back onto the table then pulls out a rope to tie it with.</t>
  </si>
  <si>
    <t>v_Oheg1qwrESg</t>
  </si>
  <si>
    <t>Two people are seen moving back and fourth on a large mat while fencing with one another.</t>
  </si>
  <si>
    <t>The audience cheers as they finish and ends by showing the match again in slow motion.</t>
  </si>
  <si>
    <t>v_afL6f_pwgMs</t>
  </si>
  <si>
    <t>A person is seen sitting in a tube drinking a beer while other people are seen siting off in the distance.</t>
  </si>
  <si>
    <t>More shots are shown of the people riding along in tubes while drinking beers and speaking to one another.</t>
  </si>
  <si>
    <t>v_gLsHOCeeVUM</t>
  </si>
  <si>
    <t>A girl is seen speaking to the camera and leads into her holding bottles and washing her face.</t>
  </si>
  <si>
    <t>She wipes her face down with a towel and then puts lotion all over her face.</t>
  </si>
  <si>
    <t>v_4r0qYLCucEI</t>
  </si>
  <si>
    <t>A man dressed inn a black shirt and camouflage print shorts is demonstrating how to fix the rubber tires on a car wheel rim.</t>
  </si>
  <si>
    <t>He shows all the tools that are required to do the process.</t>
  </si>
  <si>
    <t>He takes the rubber tire and sprays it with a liquid.</t>
  </si>
  <si>
    <t>Then he fits the inner rim of the wheel into the tire.</t>
  </si>
  <si>
    <t>He uses a mallet to secure it in tightly.</t>
  </si>
  <si>
    <t>He then uses a tool to tighten the various screws that run across the entire diameter of the inner circle of the tire.</t>
  </si>
  <si>
    <t>Then he uses a torque wrench to tighten the screws further.</t>
  </si>
  <si>
    <t>He fills in air and checks the tire pressure.</t>
  </si>
  <si>
    <t>v_yEn-5y95DI0</t>
  </si>
  <si>
    <t>A group of girls are posing for a picture.</t>
  </si>
  <si>
    <t>They are then shown playing volleyall on a field in front of several tents.</t>
  </si>
  <si>
    <t>They lob the ball back and forth.</t>
  </si>
  <si>
    <t>A boy makes a hand gesture in front of the camera as he smiles.</t>
  </si>
  <si>
    <t>Again we are shown the group of girls posing in the photograph.</t>
  </si>
  <si>
    <t>v_lrM8LSnXmSw</t>
  </si>
  <si>
    <t>A woman is seen speaking to the camera while standing in front of a board.</t>
  </si>
  <si>
    <t>She begins moving up and down the board while spinning herself around and moving her body.</t>
  </si>
  <si>
    <t>She continues to move and stops to face the camera in the end.</t>
  </si>
  <si>
    <t>v_7lUaR1veDJU</t>
  </si>
  <si>
    <t>We see people playing water polo in a pool.</t>
  </si>
  <si>
    <t>A man in the rear on the right throws the ball to a player closer to the goal.</t>
  </si>
  <si>
    <t>That player then throws the ball across to a man on the left.</t>
  </si>
  <si>
    <t>A man grabs the ball and throws it in the goal.</t>
  </si>
  <si>
    <t>v_j_IJQAywTuU</t>
  </si>
  <si>
    <t>A young boy is seen riding along a skateboard followed by several more shots of people riding on boards.</t>
  </si>
  <si>
    <t>The boys perform several tricks while the camera pans into the sky and move up and down the track.</t>
  </si>
  <si>
    <t>v_rzZutQSmyJo</t>
  </si>
  <si>
    <t>A woman is playing a set of bagpipes in a room.</t>
  </si>
  <si>
    <t>She laughs as a man helps her adjust the pipes, and continues to play.</t>
  </si>
  <si>
    <t>v_hQIwXufRVGY</t>
  </si>
  <si>
    <t>A large black dog is walking down the street.</t>
  </si>
  <si>
    <t>He is holding the leash of another dog in his mouth.</t>
  </si>
  <si>
    <t>The second dog allows the first to lead him wherever he goes.</t>
  </si>
  <si>
    <t>v_afORRx0QZgI</t>
  </si>
  <si>
    <t>A woman lays on the floor in a room.</t>
  </si>
  <si>
    <t>Music starts to play and she gets up and begins belly dancing.</t>
  </si>
  <si>
    <t>As she dances, others watch.</t>
  </si>
  <si>
    <t>In the background, a child gives a woman a hug as they watch on.</t>
  </si>
  <si>
    <t>The music stops and the dancer walks off stage.</t>
  </si>
  <si>
    <t>v_izSjI7hH1-Y</t>
  </si>
  <si>
    <t>A young woman is sitting a chair extremely still as a pair of scissors are being put up her nose.</t>
  </si>
  <si>
    <t>The person who is piercing her septum continues to hold it and grabs the needle with the other hand.</t>
  </si>
  <si>
    <t>Once he pierces it,a drop of snot flies from her nose and the girl begins talking until the balls are on the end of the ring.</t>
  </si>
  <si>
    <t>v_iwHZqcYwZYU</t>
  </si>
  <si>
    <t>A man steps on a diving board and jumps.</t>
  </si>
  <si>
    <t>Then, the man flips three times and and dive in the pool.</t>
  </si>
  <si>
    <t>v_hR1HPLOmR1I</t>
  </si>
  <si>
    <t>A pinata is hanging from the ceiling.</t>
  </si>
  <si>
    <t>A boy is hitting the pinata with a stick.</t>
  </si>
  <si>
    <t>People are standing behind him watching.</t>
  </si>
  <si>
    <t>v_ThYidZUtnuo</t>
  </si>
  <si>
    <t>A worker removes moss from the top of a roof.</t>
  </si>
  <si>
    <t>Another worker sprays water all over the roof.</t>
  </si>
  <si>
    <t>The roof is then really clean.</t>
  </si>
  <si>
    <t>v_eC90hOqQ0yk</t>
  </si>
  <si>
    <t>Two men are seen kneeling before one another and begin wrestling one another.</t>
  </si>
  <si>
    <t>A large group of people are seen watching on the side while the men fight.</t>
  </si>
  <si>
    <t>The men continue fighting with one pushing the other out into the ring.</t>
  </si>
  <si>
    <t>v_--mFXNrRZ5E</t>
  </si>
  <si>
    <t>Two men are dressed in fencing gear.</t>
  </si>
  <si>
    <t>They are battling on a court with their swords.</t>
  </si>
  <si>
    <t>Green lines occasionally indicate the moves they are making.</t>
  </si>
  <si>
    <t>They stab at each other with the swords and jump about the stage.</t>
  </si>
  <si>
    <t>v_3IdaN49b9xg</t>
  </si>
  <si>
    <t>A person put objects in a pumpkin on a desk while looking inside it.</t>
  </si>
  <si>
    <t>When the man walks away, the pumpkin blast and turn on an light to see the a mouth and two eyes.</t>
  </si>
  <si>
    <t>v_894d9_pty3o</t>
  </si>
  <si>
    <t>A group of people are skiing down the side of a mountain.</t>
  </si>
  <si>
    <t>A group of moose are baying between scenes of lifts and helicopters overhead.</t>
  </si>
  <si>
    <t>People give each other high fives as they ski.</t>
  </si>
  <si>
    <t>v_6QImnhUemH0</t>
  </si>
  <si>
    <t>The man puts the mop into the blue mop bucket first and then he starts mopping.</t>
  </si>
  <si>
    <t>First he mops near the stove and the counter.</t>
  </si>
  <si>
    <t>Then he mops on the floor that between the refrigerator and another counter.</t>
  </si>
  <si>
    <t>Then he mops the center of the kitchen floor.</t>
  </si>
  <si>
    <t>v_7LvEI5zhENk</t>
  </si>
  <si>
    <t>We see a shot of a track and field arena.</t>
  </si>
  <si>
    <t>A lady in a blue shirt from Uzbekistan runs and performs a high jump and we see her score.</t>
  </si>
  <si>
    <t>We see a lady from china run and perform a high jump and see her score and we see her manager and a slow motion.</t>
  </si>
  <si>
    <t>An different lady from Uzbekistan performs a high jump and we see her score.</t>
  </si>
  <si>
    <t>The first lady performs again and knocks the bar over and looks disappointed.</t>
  </si>
  <si>
    <t>The lady from China has a second turn and also knocks over the bar and looks mad.</t>
  </si>
  <si>
    <t>The second lady from Uzbekistan performs and clears the bar and almost cries.</t>
  </si>
  <si>
    <t>We see the arena and scoreboard on the screen.</t>
  </si>
  <si>
    <t>v_UZNw4utsywI</t>
  </si>
  <si>
    <t>Several clips are shown of people riding around on skateboards in a park while looking back and smiling to the camera.</t>
  </si>
  <si>
    <t>The video continues with many more shots of people performing grinds and tricks on their skateboards and speaking to the camera.</t>
  </si>
  <si>
    <t>In the end they are seen driving around together in a car and laughing with one another.</t>
  </si>
  <si>
    <t>v_nxDAt9SkPoA</t>
  </si>
  <si>
    <t>A group of men and women are doing jump rope for aerobic exercise.</t>
  </si>
  <si>
    <t>They run in a circle, jumping as they run.</t>
  </si>
  <si>
    <t>They then lay out mats, and do several yoga cool down moves.</t>
  </si>
  <si>
    <t>v_WQXoBfyUpaY</t>
  </si>
  <si>
    <t>We see a man and a woman enter a bar room in costumes.</t>
  </si>
  <si>
    <t>The man and woman perform a dance.</t>
  </si>
  <si>
    <t>The man flips the woman and swings her around.</t>
  </si>
  <si>
    <t>The man picks up the woman and puts her on his shoulders.</t>
  </si>
  <si>
    <t>He then flips her off and onto the ground.</t>
  </si>
  <si>
    <t>The man puts the lady on his shoulder and flips her two times.</t>
  </si>
  <si>
    <t>The man spins the lady around and around and dips the lady.</t>
  </si>
  <si>
    <t>The crowd claps for the people.</t>
  </si>
  <si>
    <t>The man spins the lady around.</t>
  </si>
  <si>
    <t>The dances finish and take their bows and shake hands.</t>
  </si>
  <si>
    <t>v_S5Aj9b5T284</t>
  </si>
  <si>
    <t>Several men play table football while an audience watches on.</t>
  </si>
  <si>
    <t>A bald individual retrieves the ball and reinserts it into play.</t>
  </si>
  <si>
    <t>The bald individual reaches for the table for some reason.</t>
  </si>
  <si>
    <t>The bald individual retrieves the ball and reinserts it into play again.</t>
  </si>
  <si>
    <t>The players shake hands as the match ends.</t>
  </si>
  <si>
    <t>v_ursegSrjG1M</t>
  </si>
  <si>
    <t>A man is seen speaking to the camera and leads into clips of him moving dirt.</t>
  </si>
  <si>
    <t>Other men help plant the areas while moving around wheel barrows and planting plants while still speaking to the camera.</t>
  </si>
  <si>
    <t>v_IBte7CKOLSs</t>
  </si>
  <si>
    <t>A man throws a bowling balls and throws all the pins every time.</t>
  </si>
  <si>
    <t>Then, the man continues playing bowling successfully.</t>
  </si>
  <si>
    <t>The man miss one pin in the last play.</t>
  </si>
  <si>
    <t>v_LkA7hS3FBkQ</t>
  </si>
  <si>
    <t>A rests underneath a car in place but not lifting it off the ground.</t>
  </si>
  <si>
    <t>A man uses an electric drill to wind up the floor jack and lift the car tire off the ground.</t>
  </si>
  <si>
    <t>The man uses the electric drill again to mind down the floor jack and lower the car.</t>
  </si>
  <si>
    <t>v_PUHGXI6N0DA</t>
  </si>
  <si>
    <t>A male gymnast walks up to a beam, powdering his hands.</t>
  </si>
  <si>
    <t>He mounts the beam, then spins around it several times, changing between bars.</t>
  </si>
  <si>
    <t>He dismounts, then raises his arms into the air.</t>
  </si>
  <si>
    <t>v_a-6lVnhqU4w</t>
  </si>
  <si>
    <t>A young woman is holding a tablet to record a video of people running in a race and she is standing in the stands at a track filled with people.</t>
  </si>
  <si>
    <t>A man is running across the grass field with an orange shirt and a flag on the grass in the middle of the track.</t>
  </si>
  <si>
    <t>Another man in a black shirt runs towards the man in the orange shirt.</t>
  </si>
  <si>
    <t>The young woman continues to video the track with her tablet.</t>
  </si>
  <si>
    <t>The man in the orange shirt is running across the grass again.</t>
  </si>
  <si>
    <t>The young woman puts her tablet down after trying to video the game and looks off into the distance at the people on the track.</t>
  </si>
  <si>
    <t>Everyone starts clapping together in the stands.</t>
  </si>
  <si>
    <t>There is a photo with a guy wearing a track uniform.</t>
  </si>
  <si>
    <t>v_dzpsJQN4o-Y</t>
  </si>
  <si>
    <t>The door opens and two people wearing slippers enter the room.</t>
  </si>
  <si>
    <t>A logo briefly appears on the screen.</t>
  </si>
  <si>
    <t>Two men standing in front of a pair of bathroom sinks and mirrors remove the robes they're wearing to reveal spandex clothing, then turn to face the camera to speak.</t>
  </si>
  <si>
    <t>A large group of people ride bicycles down the road.</t>
  </si>
  <si>
    <t>A barefoot man stands in a bathroom.</t>
  </si>
  <si>
    <t>The title "How to Shave Your Legs" appears over a man performing that action.</t>
  </si>
  <si>
    <t>The men discuss and demonstrate using an electric razor to shave your legs.</t>
  </si>
  <si>
    <t>One then discusses how high your legs should be shaved.</t>
  </si>
  <si>
    <t>The man demonstrates how to lather up your legs.</t>
  </si>
  <si>
    <t>The two men demonstrate how to use a razor to shave your legs.</t>
  </si>
  <si>
    <t>They then demonstrate how to rinse your legs off.</t>
  </si>
  <si>
    <t>A man rides a bike down the road.</t>
  </si>
  <si>
    <t>The two men shave their other leg.</t>
  </si>
  <si>
    <t>v_Ye6_xb7h7jc</t>
  </si>
  <si>
    <t>two kids are standing in front of a christmas tree showing purple boots that are on the christmas tree hanging.</t>
  </si>
  <si>
    <t>the kids are pointing out the balls and the ornamens.</t>
  </si>
  <si>
    <t>the kids stands next to the three and say goodbye to the camera.</t>
  </si>
  <si>
    <t>v_bQ0L24YbGGI</t>
  </si>
  <si>
    <t>A person lifts them up in the air over them.</t>
  </si>
  <si>
    <t>Ballerinas are dancing on a stage.</t>
  </si>
  <si>
    <t>v_U7x4eGLBITE</t>
  </si>
  <si>
    <t>People are pulled up a hill on a tug rope sitting on inter tubes.</t>
  </si>
  <si>
    <t>A family pulls their inter tubes along by hand and the top of the hill.</t>
  </si>
  <si>
    <t>A person sits in an inter tube at the top of a hill then rides down the slope laughing.</t>
  </si>
  <si>
    <t>The family straps together the inter tubes in a circular grouping with the kids sitting in them.</t>
  </si>
  <si>
    <t>The family rides in a large grouping of inter tubes down a snowy slope.</t>
  </si>
  <si>
    <t>v_3kcGcDv0NOw</t>
  </si>
  <si>
    <t>An athletic man is seen spinning in circles and throwing a discuss long across a field.</t>
  </si>
  <si>
    <t>He steps up and throws several more balls in a circle while in the end wiping sweat off his face with his shirt.</t>
  </si>
  <si>
    <t>v_UNPQdg_tWh4</t>
  </si>
  <si>
    <t>A man is seen walking across a yard while holding a stick in his hand.</t>
  </si>
  <si>
    <t>The man is then seen playing a game of crochet while others watch on the side.</t>
  </si>
  <si>
    <t>The man continues to hit the ball around as well as bend down and measure out his shots.</t>
  </si>
  <si>
    <t>v_yHXZZEucV1I</t>
  </si>
  <si>
    <t>The credits of clip are shown.</t>
  </si>
  <si>
    <t>Limes are cut into pieces on a white cutting board.</t>
  </si>
  <si>
    <t>The cut limes are placed in a blender with a liquid and blended.</t>
  </si>
  <si>
    <t>The liquid is added to a pitcher with a strainer.</t>
  </si>
  <si>
    <t>The credits of video are shown.</t>
  </si>
  <si>
    <t>v_GLHsjvmOXRs</t>
  </si>
  <si>
    <t>A news woman sits at a desk, talking.</t>
  </si>
  <si>
    <t>We see numerous people running into water with kayaks, racing down a river of rapids.</t>
  </si>
  <si>
    <t>When they are done, several of the competitors are interviewed on camera, and others walk in the water on fake kayaks.</t>
  </si>
  <si>
    <t>v_eXUcFgDxslw</t>
  </si>
  <si>
    <t>We see a pregnant lady doing ballet in a studio.</t>
  </si>
  <si>
    <t>The lady spins and does a pliea.</t>
  </si>
  <si>
    <t>The people in the background clap for the lady.</t>
  </si>
  <si>
    <t>The lady then walks off camera while laughing.</t>
  </si>
  <si>
    <t>v_cht49ZCSDmY</t>
  </si>
  <si>
    <t>Two water faucets are running and show a persons hands under the sink.</t>
  </si>
  <si>
    <t>The man moves his hands around and then ends with him wiping his hands through his hair.</t>
  </si>
  <si>
    <t>v_PWriIL3pTWY</t>
  </si>
  <si>
    <t>A man in a pink suit talks to a man in a red suit and man not wearing a shirt.</t>
  </si>
  <si>
    <t>They play rock paper scissors.</t>
  </si>
  <si>
    <t>The man in the pink suit celebrates.</t>
  </si>
  <si>
    <t>The man not wearing a shirt chases the man in the pink suit.</t>
  </si>
  <si>
    <t>The man in the pink suit falls down.</t>
  </si>
  <si>
    <t>The man not wearing a shirt throws a white barrel at the man on the ground.</t>
  </si>
  <si>
    <t>A man in a black suit comes out from the bushes.</t>
  </si>
  <si>
    <t>He fights the man in the red suit.</t>
  </si>
  <si>
    <t>The man with out a shirt throws a barrel on the man in the black suit.</t>
  </si>
  <si>
    <t>v_uaIu2yDmhNU</t>
  </si>
  <si>
    <t>A jump runner warms up before going in for a long jump.</t>
  </si>
  <si>
    <t>He does the long jump, then immediately hops up and runs back, cheering and celebrating with the crowd.</t>
  </si>
  <si>
    <t>He beats his chest and hugs people.</t>
  </si>
  <si>
    <t>He then poses in front of a scoreboard while people take photographs.</t>
  </si>
  <si>
    <t>v_ODblEia5mcI</t>
  </si>
  <si>
    <t>A man makes repairs to a bicycle on the hardwood floors of a bedroom while two cats look on.</t>
  </si>
  <si>
    <t>A man enters a bedroom and takes a part a bicycle on his bedroom floor.</t>
  </si>
  <si>
    <t>The man then makes repairs using tools while two cats walk around the periphery watching and moving around.</t>
  </si>
  <si>
    <t>The man produces a lot of black dust while making the repairs to the bicycle, and he eventually leaves the room, comes back and then leaves again as one cat approaches the area the man was working from.</t>
  </si>
  <si>
    <t>v_Jt-DIHv8YK8</t>
  </si>
  <si>
    <t>A kid in a blue shirt is long boarding.</t>
  </si>
  <si>
    <t>He falls off and onto the street.</t>
  </si>
  <si>
    <t>He keeps going down the street on his long board.</t>
  </si>
  <si>
    <t>v_HoybOj2Ro7o</t>
  </si>
  <si>
    <t>A camera zooms in on various foods and ingredients as well as a pan on a stove.</t>
  </si>
  <si>
    <t>A person wearing gloves is seen spreading food onto a plate followed by a large pastry and spreading butter on it.</t>
  </si>
  <si>
    <t>The person continues making layers and then undoes the cake and shows off the solid cake.</t>
  </si>
  <si>
    <t>She takes tape out and then rolls out more dough and spreads it along the cake, showing off the finished result.</t>
  </si>
  <si>
    <t>v_L73C-2b0yEw</t>
  </si>
  <si>
    <t>A man stand on front a table full of objects while people listen to the man.</t>
  </si>
  <si>
    <t>A woman exhibit granola bars and explains to people around the table.</t>
  </si>
  <si>
    <t>Then, a person put wax on skis with an electric small machine in a room full of skis.</t>
  </si>
  <si>
    <t>v_nvsZFU73npI</t>
  </si>
  <si>
    <t>man is interviewing some people who is watching two women in bikini wrestling, the woman wins and start jumping.</t>
  </si>
  <si>
    <t>two women in bikini are standing with a dwarf and he is winning the fight while the interviewer is talking to people in the audience.</t>
  </si>
  <si>
    <t>women in bikini are preparing to wrest in the ring.</t>
  </si>
  <si>
    <t>some clips of youtube videos are shown.</t>
  </si>
  <si>
    <t>v_c21Y_pi3-Gg</t>
  </si>
  <si>
    <t>Several close ups of sandwiches are seen as well as a person cutting up meat and vegetables.</t>
  </si>
  <si>
    <t>The person cuts up bread following by laying various ingredients on the bread.</t>
  </si>
  <si>
    <t>The person closes the bread to make sandwiches followed by putting them in a french press and presenting them to the camera.</t>
  </si>
  <si>
    <t>v_xBtOxEIETtk</t>
  </si>
  <si>
    <t>A man is seen performing break dancing moves in the middle of a city square while people walk in and out of frame.</t>
  </si>
  <si>
    <t>The man continues to dance around and hold poses while looking back to the camera.</t>
  </si>
  <si>
    <t>v_12qgT1JASV4</t>
  </si>
  <si>
    <t>Two people does kick box in a boxing ring on front a crowd, while the referee turns around the boxers.</t>
  </si>
  <si>
    <t>The referee fix the helmet of the boxer.</t>
  </si>
  <si>
    <t>A stick fly and lands on the boxing ring.</t>
  </si>
  <si>
    <t>v_DyVqsDJYXdM</t>
  </si>
  <si>
    <t>A play the is part of a cricket game is shown on the screen.</t>
  </si>
  <si>
    <t>They players in the cricket game are shown celebrating and interacting with one another.</t>
  </si>
  <si>
    <t>A replay is shown and stats are then shown on the screen.</t>
  </si>
  <si>
    <t>The game continues with another play and a replay is shown of that play.</t>
  </si>
  <si>
    <t>Another play is shown and a replay of that play is shown as well.</t>
  </si>
  <si>
    <t>The next play is shown an the team begins to celebrate before a replay of that play is shown.</t>
  </si>
  <si>
    <t>The next play is shown and then the video ends.</t>
  </si>
  <si>
    <t>v_AdXXy6WTVi0</t>
  </si>
  <si>
    <t>A camera pans around a beach area followed by people walking with a surf board and proceeding to do tricks on the water.</t>
  </si>
  <si>
    <t>The camera captures the men performing different tricks as well as swimming in the ocean and moving in slow motion.</t>
  </si>
  <si>
    <t>v_M2pxaQiBbXA</t>
  </si>
  <si>
    <t>A water polo game is shown, with one player highlighted.</t>
  </si>
  <si>
    <t>A man dressed in white walks back and forth by the poolside in the background.</t>
  </si>
  <si>
    <t>A man dressed in white is shown standing in the foreground and gesturing.</t>
  </si>
  <si>
    <t>v_9yiXv7Hu5Lw</t>
  </si>
  <si>
    <t>A man dressed in yellow and black winter clothes ice fishes on a a frozen lake.</t>
  </si>
  <si>
    <t>The man is reeling in a fish for a long time.</t>
  </si>
  <si>
    <t>The mans catch finally reaches the surface.</t>
  </si>
  <si>
    <t>v_2cc7BoZHEJI</t>
  </si>
  <si>
    <t>People are playing a game of water polo in a swimming pool.</t>
  </si>
  <si>
    <t>A woman standing on the side of the pool is talking to the camera.</t>
  </si>
  <si>
    <t>A man blows a whistle on the side of the swimming pool.</t>
  </si>
  <si>
    <t>v_Y_QRRCIujIc</t>
  </si>
  <si>
    <t>A young man is shown in a room playing ping pong.</t>
  </si>
  <si>
    <t>At one point he shrugs his shoulders while waiting for his opponent to start.</t>
  </si>
  <si>
    <t>The video continues to show the man playing ping pong, and at times stopping due to the ball leaving the table.</t>
  </si>
  <si>
    <t>The video ends as the man comes up to the camera to turn it off.</t>
  </si>
  <si>
    <t>v_cYLIJC6QjQA</t>
  </si>
  <si>
    <t>There are several people in a park participating in outdoor activities.</t>
  </si>
  <si>
    <t>There is a person biking on a tight rope, trying to balance as he falls off towards the end of the rope.</t>
  </si>
  <si>
    <t>There are children running around on the ground.</t>
  </si>
  <si>
    <t>There's another man walking on the tight rope.</t>
  </si>
  <si>
    <t>There are also many people sitting on the ground as they watch the activities.</t>
  </si>
  <si>
    <t>One man continues to walk and jump and bounce on the tight rope, doing stunts as the people watch him.</t>
  </si>
  <si>
    <t>There is a bicycle fallen on the ground with its wheels turning fast.</t>
  </si>
  <si>
    <t>v_yqOW5LBA81w</t>
  </si>
  <si>
    <t>A man cuts the hedge of a house using a trimmer.</t>
  </si>
  <si>
    <t>The man stops cutting and pulls the wire of the trimmer and continues cutting.</t>
  </si>
  <si>
    <t>v_agIcVWDyeH0</t>
  </si>
  <si>
    <t>A young boy is seen sitting on a chair talking to the camera.</t>
  </si>
  <si>
    <t>He shows that his arm is in a cast and putting on his socks and shoes.</t>
  </si>
  <si>
    <t>He finally ties his shoes and looks back at the camera.</t>
  </si>
  <si>
    <t>v_9_7Z6Nhkzx8</t>
  </si>
  <si>
    <t>A few children are dressed up to go out on dirtbikes.</t>
  </si>
  <si>
    <t>The children do jumps and make fast turns.</t>
  </si>
  <si>
    <t>An onboard camera captures all of the fun.</t>
  </si>
  <si>
    <t>v_jCyrQzXK4eI</t>
  </si>
  <si>
    <t>A young man is painting the fence.</t>
  </si>
  <si>
    <t>A man in white shirt came up to the man in stripes and talk to him.</t>
  </si>
  <si>
    <t>The man in stripes painted the bread, then he is talking in his cellphone.</t>
  </si>
  <si>
    <t>v_MeGHSbUpM-U</t>
  </si>
  <si>
    <t>There are two people sailing on a speed boat through the ocean on a sunny day.</t>
  </si>
  <si>
    <t>They go through the ocean water steadily and at high speed.</t>
  </si>
  <si>
    <t>One of the sailors pulls a red rope as he wake boards on the steam boat.</t>
  </si>
  <si>
    <t>They speed through the water to catch up with another boat that is ahead of them.</t>
  </si>
  <si>
    <t>Several other steam boats pass by them as they sail through the ocean.</t>
  </si>
  <si>
    <t>v_a073aSPGTIw</t>
  </si>
  <si>
    <t>A woman is in a home gym, talking to the camera.</t>
  </si>
  <si>
    <t>She demonstrates how to use exercise equipment, pedalling and pulling ropes, even while sitting at a computer.</t>
  </si>
  <si>
    <t>She talks to the camera for an extended period, peppered with training on the equipment.</t>
  </si>
  <si>
    <t>v_rmGvgGOkqyk</t>
  </si>
  <si>
    <t>The audience look on at the games.</t>
  </si>
  <si>
    <t>A guy run with a thin, elongated stick and throws the stick.</t>
  </si>
  <si>
    <t>The guy sticks out his tongue.</t>
  </si>
  <si>
    <t>The guy holds his lips together and raises his hand.</t>
  </si>
  <si>
    <t>The guy smiles and puts a cloth down.</t>
  </si>
  <si>
    <t>v_k5lyc7zsox8</t>
  </si>
  <si>
    <t>The Scottish Archery Association has gathered in their range with several people ready to participate in an event.</t>
  </si>
  <si>
    <t>the participants take turns to use their bow and arrow to aim art the target board placed several feet away from them.</t>
  </si>
  <si>
    <t>The archers aim their arrows and shoot at the target to aim for the bulls eye.</t>
  </si>
  <si>
    <t>v_uJbM9KQBXak</t>
  </si>
  <si>
    <t>A person is walking along a slack line.</t>
  </si>
  <si>
    <t>They are moving back and forth on the slack line.</t>
  </si>
  <si>
    <t>He turns around and starts walking in the other direction.</t>
  </si>
  <si>
    <t>v_eAFFf5cSX5c</t>
  </si>
  <si>
    <t>A man and a woman perform various dance moves back and fourth in an empty room.</t>
  </si>
  <si>
    <t>The couple continue to spin and perform the tango routine while the man spins her around behind him.</t>
  </si>
  <si>
    <t>v_i3u27-oJzBY</t>
  </si>
  <si>
    <t>A man is seen speaking to the camera while holding a wire in his hands.</t>
  </si>
  <si>
    <t>He continues to speak while using his hands and stepping around a carpeted area.</t>
  </si>
  <si>
    <t>He then uses a vacuum on the floors while still speaking to the camera.</t>
  </si>
  <si>
    <t>v_bNGldPjMYHc</t>
  </si>
  <si>
    <t>A clip is shown of a bunch of people white water rafting down some pretty tough river streams.</t>
  </si>
  <si>
    <t>They work in unison and it is very rough.</t>
  </si>
  <si>
    <t>They almost hit a rock as they all paddle very hard.</t>
  </si>
  <si>
    <t>A still show of them after making it through is shown with them cheering.</t>
  </si>
  <si>
    <t>A shot of them in slow motion of the most difficult parts is then shown.</t>
  </si>
  <si>
    <t>The video shows some more slow motion and fast motion before coming to an end and showing ending credits and a youtube channel name.</t>
  </si>
  <si>
    <t>v_fpVaXCwccNk</t>
  </si>
  <si>
    <t>A lady is standing and holding a hammer.</t>
  </si>
  <si>
    <t>The lady spins with the hammer and throws the hammer.</t>
  </si>
  <si>
    <t>The lady leaves after releasing the hammer.</t>
  </si>
  <si>
    <t>v_ap2XL5wma4c</t>
  </si>
  <si>
    <t>children are playing in an olimpic pool and a woman is talking to camera.</t>
  </si>
  <si>
    <t>kid is using sunscreen and a woman is talking about coppertone sunscreen recommended for kids.</t>
  </si>
  <si>
    <t>v_ecVUPpBNpdA</t>
  </si>
  <si>
    <t>A man speaks holding a microphone, then the man performs arm wrestling with a person.</t>
  </si>
  <si>
    <t>The man grabs a weigh and practice weight lifting with his left hand.</t>
  </si>
  <si>
    <t>After, the man takes his watch off and performs arm wrestling with the person and wins, then he jumps happily.</t>
  </si>
  <si>
    <t>v_nlHN3bO_MOQ</t>
  </si>
  <si>
    <t>A drum line is happening on a city street.</t>
  </si>
  <si>
    <t>They get in formation then start marching down the street.</t>
  </si>
  <si>
    <t>v_oL1gGyMz79s</t>
  </si>
  <si>
    <t>A man is bowling and misses one pin with his first ball.</t>
  </si>
  <si>
    <t>He gets all strikes for the next six rounds.</t>
  </si>
  <si>
    <t>The man switches balls and bowls several more rounds getting mostly strikes.</t>
  </si>
  <si>
    <t>He changes his ball again and bowls two more strikes.</t>
  </si>
  <si>
    <t>A replay of the man bowling with each ball is shown.</t>
  </si>
  <si>
    <t>v_w2fsq9BOoZo</t>
  </si>
  <si>
    <t>People are in a city walking, talking and doing activities.</t>
  </si>
  <si>
    <t>Two men play in the street paper, scissors and stone on front other people.</t>
  </si>
  <si>
    <t>A man talks with people watching him.</t>
  </si>
  <si>
    <t>v_qnDHR-jYWf0</t>
  </si>
  <si>
    <t>a man is shown inside a swimming pool.</t>
  </si>
  <si>
    <t>He tosses a ball over and over to his dog.</t>
  </si>
  <si>
    <t>The dog continuously bounces the ball back with his nose.</t>
  </si>
  <si>
    <t>v_HbF6UM4jUDk</t>
  </si>
  <si>
    <t>A woman in a green shirt is standing outside holding a hula hoop.</t>
  </si>
  <si>
    <t>She starts hula hooping with the hula hoop.</t>
  </si>
  <si>
    <t>Words come up onto the screen at the end.</t>
  </si>
  <si>
    <t>v_l9mvKfKACio</t>
  </si>
  <si>
    <t>A group of people are outside a ski resort entitled Boulder ridge and they begin to wait in line with their tubes.</t>
  </si>
  <si>
    <t>As they are waiting,they can see several people going down the hill and tubing before it is finally their turn.</t>
  </si>
  <si>
    <t>Once they reach the bottom,they grab their tube and begin to walk off the slope.</t>
  </si>
  <si>
    <t>v_2vixXUJiNhk</t>
  </si>
  <si>
    <t>An intro video with a blue screen that has a picture of a drawn ship is in the background while yellow words scroll from the bottom to the top.</t>
  </si>
  <si>
    <t>A view from the water begins and a few houses and a lot of trees are shown on land.</t>
  </si>
  <si>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t>
  </si>
  <si>
    <t>A school of fishes appear and they're swimming and hanging around the boat.</t>
  </si>
  <si>
    <t>The focus goes back to the snorkelers as they continue to explore the area with their flashlights.</t>
  </si>
  <si>
    <t>The outro video appears and it's the same blue picture as the intro and includes some contact information on the video and the credits begin to roll with the text scrolling from bottom to top.</t>
  </si>
  <si>
    <t>v_CTmXCO7ha-Y</t>
  </si>
  <si>
    <t>A man is seated, playing a guitar.</t>
  </si>
  <si>
    <t>Close ups are occasionally shown of the instrument, then back to the man playing.</t>
  </si>
  <si>
    <t>v_PU6f-DcDngM</t>
  </si>
  <si>
    <t>People are playing a polo match in a field.</t>
  </si>
  <si>
    <t>The focus is on one man and horse who chase the ball.</t>
  </si>
  <si>
    <t>The camera stays on number 2 the whole time.</t>
  </si>
  <si>
    <t>v_XkTWEDKtP1A</t>
  </si>
  <si>
    <t>A man named bob is running and does a long jump.</t>
  </si>
  <si>
    <t>He does it again landing into some sand.</t>
  </si>
  <si>
    <t>He continues to do this run and jump again landing like a pro.</t>
  </si>
  <si>
    <t>Then another man named ralph is going to take his own turn next.</t>
  </si>
  <si>
    <t>v_q4jeW0iSA9Y</t>
  </si>
  <si>
    <t>Various text intros lead into several people running down a long track.</t>
  </si>
  <si>
    <t>The camera captures the runners from several angles and leads into them performing jumps.</t>
  </si>
  <si>
    <t>The runners continuously jump into the pit and end with text across the screen.</t>
  </si>
  <si>
    <t>v_eyfUkLbsixg</t>
  </si>
  <si>
    <t>A woman in a red suit is talking behind a desk.</t>
  </si>
  <si>
    <t>A man is standing up holding his foot behind is back.</t>
  </si>
  <si>
    <t>People are running down the sidewalk.</t>
  </si>
  <si>
    <t>A man in a blue shirt is talking to the camera.</t>
  </si>
  <si>
    <t>A woman in a black shirt is talking to the camera.</t>
  </si>
  <si>
    <t>People are running down a trail.</t>
  </si>
  <si>
    <t>v_oxcUr-Nlldo</t>
  </si>
  <si>
    <t>We see men walking down the street and a skateboarder fall.</t>
  </si>
  <si>
    <t>We see club kids and skateboarders with title screens.</t>
  </si>
  <si>
    <t>We see men skateboard down a street and stand around in groups.</t>
  </si>
  <si>
    <t>A man jumps over stairs and runs into the camera.</t>
  </si>
  <si>
    <t>A man falls and another runs into the camera.</t>
  </si>
  <si>
    <t>We see a man wave and another on a bull horn.</t>
  </si>
  <si>
    <t>The club lights flash and a band plays music as people dance.</t>
  </si>
  <si>
    <t>We see the credits and more skating.</t>
  </si>
  <si>
    <t>v_JRg3W4xKvJI</t>
  </si>
  <si>
    <t>An intro clip appears and it's an animation of a gray rocking chair rocking on a very light gray screen that have orange words that say "THE Strippers!" and the white letters M&amp;R in a dark blue oval.</t>
  </si>
  <si>
    <t>Clips of the shop exterior and interior are shown and it includes a person in an office, people in the shop working on the wood pieces, people being interviewed, wood supplies, and the finished wood pieces themselves.</t>
  </si>
  <si>
    <t>The outro appears and it's the video clip of the workers working on the wood pieces, and text appear on the screen that include the shops address, email, website and phone number, the exterior shop is shown again.</t>
  </si>
  <si>
    <t>The last screen is the light gray screen first shown and include the company name, number and the website.</t>
  </si>
  <si>
    <t>v_SOpFjnAT_SE</t>
  </si>
  <si>
    <t>A girl sits in front of a lap top.</t>
  </si>
  <si>
    <t>She is smoking a hookah with a red tip, and blowing the smoke out of her mouth.</t>
  </si>
  <si>
    <t>She laughs, then shares the hookah with another woman, who changes the tip and smokes as well.</t>
  </si>
  <si>
    <t>The women talk and smoke at the table for a long time.</t>
  </si>
  <si>
    <t>v_76RoR_LbIzQ</t>
  </si>
  <si>
    <t>Pictures of an office is shown.</t>
  </si>
  <si>
    <t>A woman is doing another woman's hair.</t>
  </si>
  <si>
    <t>People are doing hair in a hair salon.</t>
  </si>
  <si>
    <t>v_R7QwxoVTtE0</t>
  </si>
  <si>
    <t>A woman is seen speaking to the camera while holding various objects in her hands and begins spraying down a window in front of her.</t>
  </si>
  <si>
    <t>The woman wipes down the window with a rag as well as a scraper and continues to look back and speak to the camera.</t>
  </si>
  <si>
    <t>v_-06dWmCzbxY</t>
  </si>
  <si>
    <t>A person rides down a rapid on an inter tube in a group of friends on a rocky river.</t>
  </si>
  <si>
    <t>The people in the intertubes are helped along by a river guides in polo shirt.</t>
  </si>
  <si>
    <t>v_BetFWvm92nM</t>
  </si>
  <si>
    <t>A girl pours liquid from a bottle to a cup that holds a young lady, then they rinse their mouths while making gestures and laughing.</t>
  </si>
  <si>
    <t>After, the young lady spits the liquid and then she pock the cheek of the girl who spits.</t>
  </si>
  <si>
    <t>Next, the girl turns on the faucet of the bathtub and bend, after the girl turns off the faucet and clean her hands while speaking.</t>
  </si>
  <si>
    <t>v_YgrWck47C-g</t>
  </si>
  <si>
    <t>We see a man talking.</t>
  </si>
  <si>
    <t>The man wets his hands and adds soap.</t>
  </si>
  <si>
    <t>We see the man wash his hands.</t>
  </si>
  <si>
    <t>The man rinses his hands.</t>
  </si>
  <si>
    <t>The man drys his hands and turns the water off with the paper towel.</t>
  </si>
  <si>
    <t>v_xIAq1OdWQM0</t>
  </si>
  <si>
    <t>Several young men practice long jumps, and backward jumps inside of a gym with an American Flag hanging on the wall.</t>
  </si>
  <si>
    <t>A man practices a long jump inside of an indoor gym using a interior sandbox for landing and a drawn race track isle.</t>
  </si>
  <si>
    <t>Another man practices hurling himself backward over a pole onto a gym mat inside of the gym.</t>
  </si>
  <si>
    <t>Several more men practice long jumps and backward jumps inside of the gym using the sandbox and gym mats as landing tools.</t>
  </si>
  <si>
    <t>v_PziLzNjG2bI</t>
  </si>
  <si>
    <t>There are two contestants participating in the athletic jump competition.</t>
  </si>
  <si>
    <t>There are several spectators and judges watching them as they jump over the bar in a large indoor stadium.</t>
  </si>
  <si>
    <t>Both the contestants successfully jump over the bar.</t>
  </si>
  <si>
    <t>There is a slow motion video of the contestant jumping over the bar.</t>
  </si>
  <si>
    <t>v_3vs3ofTw1vY</t>
  </si>
  <si>
    <t>There are several people getting ready to ski.</t>
  </si>
  <si>
    <t>There's a person skiing downhill with full speed whose shadow can be seen.</t>
  </si>
  <si>
    <t>There are people sitting and waiting on top of a mountain waiting to start skiing.</t>
  </si>
  <si>
    <t>The skier going fast downhill is demonstrating how to turn and manage speed while going downhill.</t>
  </si>
  <si>
    <t>There are some people walking toward the ski mountain on a escalator.</t>
  </si>
  <si>
    <t>The skier continues to ski downhill steadily on steep and winding slopes.</t>
  </si>
  <si>
    <t>v_QrsOyEw4_7k</t>
  </si>
  <si>
    <t>There's a girl with light eyes and dark brown hair talking about a colored eye lenses.</t>
  </si>
  <si>
    <t>She is doing a tutorial on how to wear colored lenses in your eyes.</t>
  </si>
  <si>
    <t>She opens a small glass bottle that contains the colored lenses.</t>
  </si>
  <si>
    <t>She removes the lens out and places it on her finger.</t>
  </si>
  <si>
    <t>Then she gently wears the lens in her right eye first and then in her left eye.</t>
  </si>
  <si>
    <t>She shows the yellow colored lens that she has worn.</t>
  </si>
  <si>
    <t>v_L7Gt1NO1nx8</t>
  </si>
  <si>
    <t>We see the title over the scene.</t>
  </si>
  <si>
    <t>We see the reverse of a man is mowing his lawn with an electric mower.</t>
  </si>
  <si>
    <t>The man goes halfway up the yard and turns around.</t>
  </si>
  <si>
    <t>The ending title returns to the screen.</t>
  </si>
  <si>
    <t>v_nARkYpOZWyg</t>
  </si>
  <si>
    <t>A man rides on a small rail cart blowing leaves with a leaf blower.</t>
  </si>
  <si>
    <t>The man goes right on a fork in the tracks on a cart and around a bend.</t>
  </si>
  <si>
    <t>v_0zXTrkgUj0U</t>
  </si>
  <si>
    <t>A young child uses a toy vacuum cleaner on a wood floor.</t>
  </si>
  <si>
    <t>The mom comes and helps the child.</t>
  </si>
  <si>
    <t>v_EZZzVXqxG6U</t>
  </si>
  <si>
    <t>Multiple men begin to start turning their bodies as quickly as they possibly can.</t>
  </si>
  <si>
    <t>They each in different situations but all playing the same sport.</t>
  </si>
  <si>
    <t>They build up as much speed as possible so they can throw as far as possible.</t>
  </si>
  <si>
    <t>There are even audience for this sport that actually come to watch it.</t>
  </si>
  <si>
    <t>v_8klHUzPHtQw</t>
  </si>
  <si>
    <t>We see a BMX biker as he prepares to to ride.</t>
  </si>
  <si>
    <t>We see the gate open and see the field.</t>
  </si>
  <si>
    <t>The rider takes off down the course.</t>
  </si>
  <si>
    <t>We see riders perform jumps and people riding bikes.</t>
  </si>
  <si>
    <t>We see another start and a group of people take off in an indoor track.</t>
  </si>
  <si>
    <t>We see shots of men riding outdoors and another gate opens.</t>
  </si>
  <si>
    <t>We see a bike laying on it's side.</t>
  </si>
  <si>
    <t>v_7xLL5okHSIU</t>
  </si>
  <si>
    <t>A intro begins and shows a man holding a shovel and talking to the camera.</t>
  </si>
  <si>
    <t>He gradually rakes leaves and talks to the camera and shows several people also helping picking up leaves.</t>
  </si>
  <si>
    <t>Different people are interviewed on camera while several others are shown raking up the leaves.</t>
  </si>
  <si>
    <t>A man is seen sitting in his car and another puts his gloves on.</t>
  </si>
  <si>
    <t>The camera pans over the raked up leaves while several others discuss their hard work.</t>
  </si>
  <si>
    <t>v_kTStFRAp99E</t>
  </si>
  <si>
    <t>We see two girls one sitting the other bending over.</t>
  </si>
  <si>
    <t>The bending girl stands up.</t>
  </si>
  <si>
    <t>We see a person painting the sitting girls toe nails.</t>
  </si>
  <si>
    <t>v_QTD0vCdofTE</t>
  </si>
  <si>
    <t>little kid is in a parking playing hopscotch next to cars.</t>
  </si>
  <si>
    <t>man wearing shorts is standing next to the hopscotch game.</t>
  </si>
  <si>
    <t>litle blond kid is standing in street playing in font of a man.</t>
  </si>
  <si>
    <t>v_RX8YG2zlyUo</t>
  </si>
  <si>
    <t>There are horses, and they are getting off a trailer.</t>
  </si>
  <si>
    <t>They go to ride through the desert, through different portions of the desert.</t>
  </si>
  <si>
    <t>v_vfJnUQ9Tax0</t>
  </si>
  <si>
    <t>A woman is seen washing her hands under a sink with a light appearing in the water for temperature.</t>
  </si>
  <si>
    <t>The person continues scrubbing their hands and shakes them off in the end.</t>
  </si>
  <si>
    <t>v_4wIqgWw53XE</t>
  </si>
  <si>
    <t>People sail on sailboards in the ocean.</t>
  </si>
  <si>
    <t>A man sails on a sailboard passing on front other sailors.</t>
  </si>
  <si>
    <t>A plane fly above the beach where people sail.</t>
  </si>
  <si>
    <t>A woman takes picture of the city from a hill.</t>
  </si>
  <si>
    <t>v_BxyOAXTWkzk</t>
  </si>
  <si>
    <t>Several people are seen in different scenes, walking in public.</t>
  </si>
  <si>
    <t>A man helps a woman mount a horse in the woods.</t>
  </si>
  <si>
    <t>She feeds the horse apples as they ride through the wooded paths.</t>
  </si>
  <si>
    <t>v_BVzW_OoUmnU</t>
  </si>
  <si>
    <t>A boy is standing out in the woods holding a piece of bark and talking to the camera.</t>
  </si>
  <si>
    <t>A woman is seen making a stack of logs while the boy walks into frame.</t>
  </si>
  <si>
    <t>She continues lighting the stick until a flame begins and puts it into the fire.</t>
  </si>
  <si>
    <t>The fire gradually gets bigger and the woman puts more and more bark into it.</t>
  </si>
  <si>
    <t>v_aj2cioE_yG0</t>
  </si>
  <si>
    <t>A man is seen wearing a red shirt and standing next to a fooseball table.</t>
  </si>
  <si>
    <t>The man plays a bit followed by holding up a beer can and presenting it to the camera.</t>
  </si>
  <si>
    <t>The man then continues to play while the camera zooms in on the table.</t>
  </si>
  <si>
    <t>v_Zhfm2dWtnpc</t>
  </si>
  <si>
    <t>A man runs all around doing jump rope while the crowd cheers.</t>
  </si>
  <si>
    <t>Some people are crawling around in the background on the floor.</t>
  </si>
  <si>
    <t>The man finishes the routine and then runs over to hug a woman.</t>
  </si>
  <si>
    <t>v_t2wawfMaTzM</t>
  </si>
  <si>
    <t>Two kids are seen standing around in indoor room holding tennis rackets.</t>
  </si>
  <si>
    <t>The camera pans around to children hitting the ball holding tennis rackets.</t>
  </si>
  <si>
    <t>The kids continue to hit the ball around one another.</t>
  </si>
  <si>
    <t>v_Chj1_JbBc4A</t>
  </si>
  <si>
    <t>A small group of people are seen standing with one another and leads into them running and playing a game of paintball.</t>
  </si>
  <si>
    <t>The cameraman aims all around him from capturing others and shooting several times off into the distance.</t>
  </si>
  <si>
    <t>The game continues on with the man running around and stopping in the end.</t>
  </si>
  <si>
    <t>v_88Mt7VfUQBU</t>
  </si>
  <si>
    <t>A man is kneeling down on a blue mat.</t>
  </si>
  <si>
    <t>Another man kneels down on the ground next to him.</t>
  </si>
  <si>
    <t>The man lifts up one end of a weight and lifts it over his head.</t>
  </si>
  <si>
    <t>v_2DTwoKZsLMo</t>
  </si>
  <si>
    <t>A man wearing black socks is shown putting his black leather shoes on and tying his laces.</t>
  </si>
  <si>
    <t>There's another person wearing brown leather shoes on black socks.</t>
  </si>
  <si>
    <t>He ties the laces tightly to secure them.</t>
  </si>
  <si>
    <t>Then another scene shows a person wearing leather slip on shoes over black socks.</t>
  </si>
  <si>
    <t>Followed by several scenes showing the person wearing brown leather shoes with laces.</t>
  </si>
  <si>
    <t>He wears the shoes over black socks and ties the shoe laces securely.</t>
  </si>
  <si>
    <t>He then stands up after he's done wearing the brown leather shoes.</t>
  </si>
  <si>
    <t>v_3HUvtWSu4mA</t>
  </si>
  <si>
    <t>A person's hands are seen clipping the nails of a cat while the cat struggles a bit.</t>
  </si>
  <si>
    <t>More shots of her clipping the cat are shown and at one point he moves and she grabs him by the neck.</t>
  </si>
  <si>
    <t>v_i9t0zZzzbhE</t>
  </si>
  <si>
    <t>men are in a stadium cleaning te snow from the stands.</t>
  </si>
  <si>
    <t>men are riding horses in snowy field.</t>
  </si>
  <si>
    <t>men are puting boots and polo uniforms.</t>
  </si>
  <si>
    <t>women are standing in a field walking and sitting on stands.</t>
  </si>
  <si>
    <t>men are playing polo in snowy field while people is around watching them.</t>
  </si>
  <si>
    <t>v_GejFc4J2mfc</t>
  </si>
  <si>
    <t>A young man wearing a tie die shirt is seen speaking to the camera and then shows him picking out some clothes.</t>
  </si>
  <si>
    <t>He shows off his legs and then runs an electric razor down his legs shaving off the hair.</t>
  </si>
  <si>
    <t>He then puts shaving cream on his legs and shaves them, finally showing off his bare legs in the end and speaking to the camera.</t>
  </si>
  <si>
    <t>v_A9uBPwP7DQc</t>
  </si>
  <si>
    <t>We see astronauts floating in a ship.</t>
  </si>
  <si>
    <t>The man hands the lady the microphone.</t>
  </si>
  <si>
    <t>The middle man crosses his hands and has the microphone.</t>
  </si>
  <si>
    <t>The lady gets the microphone back and talks.</t>
  </si>
  <si>
    <t>The lady grabs flute and plays.</t>
  </si>
  <si>
    <t>v_bXp_reTHyHY</t>
  </si>
  <si>
    <t>A woman is seen walking with a horse and pans around to another girl walking away.</t>
  </si>
  <si>
    <t>More girls are seen holding a product and speaking to the camera and leads into the girls showing how to clean the horse and brushing the horse.</t>
  </si>
  <si>
    <t>v_PhioVMXx0yY</t>
  </si>
  <si>
    <t>A man is using an elliptical trainer while standing.</t>
  </si>
  <si>
    <t>Then a woman sits on it as she uses it in another fashion.</t>
  </si>
  <si>
    <t>It switches between the two as they exercise.</t>
  </si>
  <si>
    <t>A close up is shown as to how the machine works, and folds up for easy storage.</t>
  </si>
  <si>
    <t>v_AUSqTMtjD0Y</t>
  </si>
  <si>
    <t>A man and boy are outside on a driveway.</t>
  </si>
  <si>
    <t>They are competing to see how fast they can shovel snow off the driveway.</t>
  </si>
  <si>
    <t>They run back and forth as fast as they can.</t>
  </si>
  <si>
    <t>v_kgPvfYhmn54</t>
  </si>
  <si>
    <t>A group of people are floating on rafts on a river.</t>
  </si>
  <si>
    <t>They are paddling the rafts through harsh white water rapids.</t>
  </si>
  <si>
    <t>The people fall out, and are pulled back in by other rafters before continuing on their way.</t>
  </si>
  <si>
    <t>v_o9LZZeQZ-Zc</t>
  </si>
  <si>
    <t>A man is seen speaking to the camera while sitting in a kayak and holding a toy person on a kayak around in his lap.</t>
  </si>
  <si>
    <t>The man continues to speak to the camera while holding the object and leads into him riding around in the kayak.</t>
  </si>
  <si>
    <t>v_mXM5FOi_OoM</t>
  </si>
  <si>
    <t>A man is seen outside in front of a porch pushing a mower back and fourth.</t>
  </si>
  <si>
    <t>He runs the mower along the grass and moves up and down the lawn.</t>
  </si>
  <si>
    <t>v_iDofsMwceTo</t>
  </si>
  <si>
    <t>A man is wearing a suit and speaking and the words on the screen say that his name is Rich Noonan and that he's the host of Best of The Best Television.</t>
  </si>
  <si>
    <t>A series still shot pictures of homes, people, stucco work being done on a home, a list of stucco information begin to play and the opening words before the pictures start say "BEST OF THE BEST TELEVISION".</t>
  </si>
  <si>
    <t>When the pictures are done a dark gray screen appears that include the name of the stucco company, their phone number and their website.</t>
  </si>
  <si>
    <t>The host appears talking once again and it ends with the words a screen saying BEST OF THE BEST TELEVISION and then a screen naming the producer and his website.</t>
  </si>
  <si>
    <t>v_0z7qHOca3D4</t>
  </si>
  <si>
    <t>An introduction graphic is seen with title.</t>
  </si>
  <si>
    <t>A large empty beach is seen seen from the shore.</t>
  </si>
  <si>
    <t>A bird is seen walking along the shoreline.</t>
  </si>
  <si>
    <t>A group rides horses along the coast line together.</t>
  </si>
  <si>
    <t>Different species of flowers are seen.</t>
  </si>
  <si>
    <t>The group rides up along the bluffs.</t>
  </si>
  <si>
    <t>A female rider rides near the waters edge.</t>
  </si>
  <si>
    <t>The group rides through loose sand and the horses kick it up into the air.</t>
  </si>
  <si>
    <t>The group rides along a dune section and through some low vegetation.</t>
  </si>
  <si>
    <t>The group rides at a gallup through the water and along the beach.</t>
  </si>
  <si>
    <t>The riders ride slowly and then it becomes later in the day and the sun is getting low.</t>
  </si>
  <si>
    <t>The beach is seen from a distance as the sun has set.</t>
  </si>
  <si>
    <t>v_Yojuicji624</t>
  </si>
  <si>
    <t>Some white text on a black background explains that no humans were injured during this video.</t>
  </si>
  <si>
    <t>A young man is making some faces to the camera while standing in front of a rock.</t>
  </si>
  <si>
    <t>Some footage plays of other people tight rope walking and doing other tricks on the tight rope.</t>
  </si>
  <si>
    <t>An older man is riding a tiny bicycle inside a store.</t>
  </si>
  <si>
    <t>More footage is shown of tight rope walkers tripping and falling.</t>
  </si>
  <si>
    <t>Some graphics from the organizations who made the video are shown.</t>
  </si>
  <si>
    <t>v_1pOmOTz-bzk</t>
  </si>
  <si>
    <t>A person is seen riding along the water in a kayak.</t>
  </si>
  <si>
    <t>The person uses a paddle to push themselves around the water while looking off into the distance.</t>
  </si>
  <si>
    <t>The person continues riding around flipping in the water and moving away from the camera.</t>
  </si>
  <si>
    <t>v_QN2wHsiBEC0</t>
  </si>
  <si>
    <t>A man, with a saxophone around his neck, demonstrates how to play the saxophone in front of a green chalkboard and next to a brown piano.</t>
  </si>
  <si>
    <t>The man points to different sections of the saxophone as he talks to the camera.</t>
  </si>
  <si>
    <t>The man begins to play the saxophone briefly and then turns to the chalkboard and begins to write notes on it as he talks to the camera.</t>
  </si>
  <si>
    <t>The man points to notes written on the chalkboard before beginning to play as he reads the notes from the board, before returning to talking and playing in front of the camera.</t>
  </si>
  <si>
    <t>v_A_SU2jjfMJk</t>
  </si>
  <si>
    <t>A person walks into the view of the camera where there is an orange toy laying on the floor.</t>
  </si>
  <si>
    <t>The person begins to wipe their feet vigorously on the toy.</t>
  </si>
  <si>
    <t>The person kicks the toy away as the they finish wiping their feet on the toy.</t>
  </si>
  <si>
    <t>v_iKuBIzUHxYc</t>
  </si>
  <si>
    <t>A seated man is talking to a room full of soccer players.</t>
  </si>
  <si>
    <t>They kick the ball around in their locker room.</t>
  </si>
  <si>
    <t>The man talks to the camera about the game.</t>
  </si>
  <si>
    <t>He walks out, and a game is shown in progress as he discusses it longer.</t>
  </si>
  <si>
    <t>Men are shown talking, playing the game, and posing for a team photograph at the end.</t>
  </si>
  <si>
    <t>v_akMN3uX51Ws</t>
  </si>
  <si>
    <t>Teens skateboard on the road and a parking lot during the day.</t>
  </si>
  <si>
    <t>The teens skateboard in the street day and night.</t>
  </si>
  <si>
    <t>Teens skateboard in a busy street, then they skateboard on the rails of a building.</t>
  </si>
  <si>
    <t>After, the teens skateboard day and night in the street.</t>
  </si>
  <si>
    <t>v_NM4nBojCSwQ</t>
  </si>
  <si>
    <t>A man is seen holding up a shirt to the camera while the cameraman speaks and pans back to the man with the shirt.</t>
  </si>
  <si>
    <t>The man holding speaking and points to an iron near him.</t>
  </si>
  <si>
    <t>He picks up the iron waiting for it to get hot, then proceeds to iron his shirt while looking at the camera.</t>
  </si>
  <si>
    <t>v_2PAVJbmj2lQ</t>
  </si>
  <si>
    <t>A small group of people are seen standing around a gymnasium with one running down and shooting a basket.</t>
  </si>
  <si>
    <t>Several more people are seen running down the lane and shooting a basket above them.</t>
  </si>
  <si>
    <t>More girls run down to shoot a basket and end by walking back together.</t>
  </si>
  <si>
    <t>v_vdYFwqfqgJA</t>
  </si>
  <si>
    <t>A still image of a hockey team is shown and a number seven is shown across the screen.</t>
  </si>
  <si>
    <t>A circle then highlights the player and the game begins.</t>
  </si>
  <si>
    <t>As the game keeps going,the athlete is pictured several times when he does something spectacular.</t>
  </si>
  <si>
    <t>v_NwfosNrFnwk</t>
  </si>
  <si>
    <t>A man holding a pole runs quickly towards the finish line and throws it quite far.</t>
  </si>
  <si>
    <t>The athlete seems proud of his throw and his moment is shown again in slow motion.</t>
  </si>
  <si>
    <t>The commentator continues to discuss his technique while replaying the throw several times.</t>
  </si>
  <si>
    <t>v_C5KcdwGSvbw</t>
  </si>
  <si>
    <t>A person is pressing buttons on an oven.</t>
  </si>
  <si>
    <t>A girl pours ingredients into a bowl together.</t>
  </si>
  <si>
    <t>She mixes the ingredients using a mixer then puts more ingredients in the bowl.</t>
  </si>
  <si>
    <t>The mixes again and finally puts another small amount of ingredients in the bowl.</t>
  </si>
  <si>
    <t>She mixes a third time and adds chocolate chips, finally mixing one more time.</t>
  </si>
  <si>
    <t>The oven peeps and she prepares a pan with cookie dough.</t>
  </si>
  <si>
    <t>She puts the dough into the oven and presses bake options.</t>
  </si>
  <si>
    <t>After several minutes she takes out the pan and spread the cookies out.</t>
  </si>
  <si>
    <t>v_e1tC-0BSwV4</t>
  </si>
  <si>
    <t>Lemonade is seen being poured into a glass and a woman pouring out water.</t>
  </si>
  <si>
    <t>She mixes ingredients into a container and pours out more water.</t>
  </si>
  <si>
    <t>In the she she shows off her lemonade.</t>
  </si>
  <si>
    <t>v_G7kqlq8WhRo</t>
  </si>
  <si>
    <t>A large group of people is seen standing around several men holding a rope preparing to play tug of war.</t>
  </si>
  <si>
    <t>Another group of men is seen with pulling the rope while a crowd standing around cheers them on.</t>
  </si>
  <si>
    <t>A third group of men are seen playing tug of war with a crowd around them.</t>
  </si>
  <si>
    <t>A forth group of men is shown also playing tug of war in a crowd.</t>
  </si>
  <si>
    <t>A fifth group of men is shown playing tug of war in a crowd of people and dogs.</t>
  </si>
  <si>
    <t>A different group of men plays tug of war with a crowd watching.</t>
  </si>
  <si>
    <t>A seventh group of men is playing tug of war in a crowd.</t>
  </si>
  <si>
    <t>A different group of men is playing tug if war and appear to be winning while being cheered on by the crowd.</t>
  </si>
  <si>
    <t>Yet, another group of men is playing tug of war while a crowd watches on.</t>
  </si>
  <si>
    <t>Another group of men is shown playing tug if war up close while a crowd watches.</t>
  </si>
  <si>
    <t>Another group of men plays while people sit and stand in the background.</t>
  </si>
  <si>
    <t>A different group of men is seen playing while people sit and stand around them.</t>
  </si>
  <si>
    <t>A different group of men is shown up close while people sit and stand in the background.</t>
  </si>
  <si>
    <t>A group of men is shown up close playing tug of war with people around them.</t>
  </si>
  <si>
    <t>Another group of men is seen playing while people stand on the sidewalk watching.</t>
  </si>
  <si>
    <t>A group of men in all black plays tug of war while people stand around them.</t>
  </si>
  <si>
    <t>A different group of men plays tug of war among a large crowd cheering for them.</t>
  </si>
  <si>
    <t>Some of the men fall down as they win the game.</t>
  </si>
  <si>
    <t>Another group is seen up close with a crowd of people and a young girl screaming.</t>
  </si>
  <si>
    <t>v_sLtQvJXnrOE</t>
  </si>
  <si>
    <t>There's a guy wearing yellow rubber gloves demonstrating how to fix a tire on a car wheel.</t>
  </si>
  <si>
    <t>He is unscrewing the screws that hold the plates of the wheel.</t>
  </si>
  <si>
    <t>He loosens the screws to remove the tire.</t>
  </si>
  <si>
    <t>v_gY-TqRhcWY8</t>
  </si>
  <si>
    <t>A group of young men are inside a room.</t>
  </si>
  <si>
    <t>They are engaged in a game of foosball together.</t>
  </si>
  <si>
    <t>They laugh and kick the people back and forth.</t>
  </si>
  <si>
    <t>v_QRn9v8F8Nn0</t>
  </si>
  <si>
    <t>a sreet woth houses and cars covered by snow are shown.</t>
  </si>
  <si>
    <t>man is removing a thick layer of snow from a car.</t>
  </si>
  <si>
    <t>v_DfYDYCWkB-o</t>
  </si>
  <si>
    <t>A woman is seen speaking to the camera while sitting in a chair and leads to hear sitting in a shower holding a dog.</t>
  </si>
  <si>
    <t>She scrubs the dog down with soap and then rinses the dog off while speaking to the camera.</t>
  </si>
  <si>
    <t>She is then seen playing with the dog outside and intermittently speaking to the camera.</t>
  </si>
  <si>
    <t>v_rBEQh8V2TI8</t>
  </si>
  <si>
    <t>The words "Conga The Entertainers Dance Company Flemington New Jersey" appears on screen.</t>
  </si>
  <si>
    <t>Four young girls perform on stage at the "American Dance Championships.</t>
  </si>
  <si>
    <t>" The girls fall to the floor as part of the routine and continue to dance.</t>
  </si>
  <si>
    <t>v_rE2IiY5E8LQ</t>
  </si>
  <si>
    <t>A man stands around a giant ball.</t>
  </si>
  <si>
    <t>The man kneels down and takes hold of a ball.</t>
  </si>
  <si>
    <t>The man slides out with the ball, sliding the ball in front of him.</t>
  </si>
  <si>
    <t>A man is hit by the ball and falls down to the floor.</t>
  </si>
  <si>
    <t>The man stands up and starts walking.</t>
  </si>
  <si>
    <t>v_dNUZyM1gF1E</t>
  </si>
  <si>
    <t>Two teen boys are standing at a school playing rock, paper &amp; scissors and are surrounded by a large group of teens who are watching.</t>
  </si>
  <si>
    <t>A woman walks towards them to look at what they're doing then walks back out of the circle.</t>
  </si>
  <si>
    <t>A man then walks to the boys and stops them by putting his hands on each boy and walking them off.</t>
  </si>
  <si>
    <t>v_xI_XIVYtERk</t>
  </si>
  <si>
    <t>A moving cloudy sky with lightning appears before we see white text.</t>
  </si>
  <si>
    <t>Several people are shown close up, smoking cigarettes.</t>
  </si>
  <si>
    <t>Some talk to the camera.</t>
  </si>
  <si>
    <t>The video ends with the words South Beach Smoke.</t>
  </si>
  <si>
    <t>v_BFXSk5F0E_w</t>
  </si>
  <si>
    <t>A woman speaks to the camera, then it cuts to a little boy using a hula hoop.</t>
  </si>
  <si>
    <t>The woman shows colored tape used to wrap a hose around and create the tube herself.</t>
  </si>
  <si>
    <t>She shows off the final product, then the boy using the hula hoop again.</t>
  </si>
  <si>
    <t>v_9xC9rVAJHm8</t>
  </si>
  <si>
    <t>A woman is adjusting a camera in a bedroom.</t>
  </si>
  <si>
    <t>She is smoking a cigarette and ashing it into a tray.</t>
  </si>
  <si>
    <t>She grinds the cigarette into the tray when she is finished.</t>
  </si>
  <si>
    <t>v_UeH0TCDAbSU</t>
  </si>
  <si>
    <t>A woman doing a presentation on how to iron a shirt.</t>
  </si>
  <si>
    <t>She is discussing the shirt and brings out a startch spray.</t>
  </si>
  <si>
    <t>She begins to to use the spray on the shirt.</t>
  </si>
  <si>
    <t>She then rearranges the shirt.</t>
  </si>
  <si>
    <t>Next she demonstrates how to iron the shirt.</t>
  </si>
  <si>
    <t>She then shows how to get the harder creases out.</t>
  </si>
  <si>
    <t>Next she flips over the shirt and places the sleeve down.</t>
  </si>
  <si>
    <t>She then shows how to iron the sleeve.</t>
  </si>
  <si>
    <t>She then flips the shirt over.</t>
  </si>
  <si>
    <t>v_JLdp1Kz0naI</t>
  </si>
  <si>
    <t>A person is riding on a dirt bike.</t>
  </si>
  <si>
    <t>He sets up for a race.</t>
  </si>
  <si>
    <t>He starts racing on his dirt bike.</t>
  </si>
  <si>
    <t>Text appears on the screen as it fades.</t>
  </si>
  <si>
    <t>v_Iib8Qt_9HQc</t>
  </si>
  <si>
    <t>A man in a white shirt is standing in a gym.</t>
  </si>
  <si>
    <t>He sits on an exercise machine and starts working out.</t>
  </si>
  <si>
    <t>He finishes and puts the bar down.</t>
  </si>
  <si>
    <t>v__uTNqQhQA9w</t>
  </si>
  <si>
    <t>A lady dances and speaks indoors.</t>
  </si>
  <si>
    <t>The lady mixes all the ingredients and bakes colorful layers for a cake.</t>
  </si>
  <si>
    <t>The lady added a lot of colorful embellishment to the layered cake.</t>
  </si>
  <si>
    <t>The lady goes outside to a rabbit cage.</t>
  </si>
  <si>
    <t>v_B_-jPPr2RLA</t>
  </si>
  <si>
    <t>Two young boys stand on a residential driveway.</t>
  </si>
  <si>
    <t>The little boy plays hopscotch twice on the driveway.</t>
  </si>
  <si>
    <t>A little girl plays the game too and then follows the other children away from the driveway.</t>
  </si>
  <si>
    <t>v__BJqPK0NNZU</t>
  </si>
  <si>
    <t>The woman in the field is standing behind the net.</t>
  </si>
  <si>
    <t>The woman swirl around and threw a heavy metal towards the field.</t>
  </si>
  <si>
    <t>The field has people in the, a man is running.</t>
  </si>
  <si>
    <t>The athlete in pink top is walking forward.</t>
  </si>
  <si>
    <t>An athlete with Barrios tag on her shirt is standing behind the net.</t>
  </si>
  <si>
    <t>The woman raised the circular metal and she started to swirl around and threw the metal.</t>
  </si>
  <si>
    <t>The metal hit the field.</t>
  </si>
  <si>
    <t>A man is running towards the white circle on the ground.</t>
  </si>
  <si>
    <t>A woman is stretching behind the net.</t>
  </si>
  <si>
    <t>She swirl around and threw something towards the field.</t>
  </si>
  <si>
    <t>Two men running towards each other.</t>
  </si>
  <si>
    <t>The woman gave a hug to other woman.</t>
  </si>
  <si>
    <t>The green field has audiences on the sides of the field.</t>
  </si>
  <si>
    <t>v_lgXtDr9pNAk</t>
  </si>
  <si>
    <t>A man up on the roof putting up some metal pieces through the shingles.</t>
  </si>
  <si>
    <t>He's putting little metal pieces on the metal to keep them held.</t>
  </si>
  <si>
    <t>He talks about it a little bit jokingly.</t>
  </si>
  <si>
    <t>Then he tried to adjust it a little more.</t>
  </si>
  <si>
    <t>v_s-kFpQRPcyE</t>
  </si>
  <si>
    <t>Hair products and hair tools are displayed.</t>
  </si>
  <si>
    <t>The male stylist is does a client's hair with products, a clipper, and hair dryer.</t>
  </si>
  <si>
    <t>v_e6Ti5g_zQ_4</t>
  </si>
  <si>
    <t>At a pool place people are all gathered around some pool tables waiting for players to take their turns.</t>
  </si>
  <si>
    <t>A male takes hie turn and then another in red takes his hitting but bot making it in.</t>
  </si>
  <si>
    <t>No one makes it on their turn so they continue on to the next player.</t>
  </si>
  <si>
    <t>The game continues waiting for someone to make some shots.</t>
  </si>
  <si>
    <t>v_mvomkmq32vU</t>
  </si>
  <si>
    <t>A track athlete prepares and stretches out on a starting line.</t>
  </si>
  <si>
    <t>A track athlete runs down a track and high jumps over bar onto a mat.</t>
  </si>
  <si>
    <t>The athlete makes attempts at jumping over the bar but is unsuccessful knocking it down on the mat.</t>
  </si>
  <si>
    <t>v_ouqYXdtEuCI</t>
  </si>
  <si>
    <t>A girl is doing flips on a trampoline in a gymnasium.</t>
  </si>
  <si>
    <t>We then see a child dive backward into pool.</t>
  </si>
  <si>
    <t>We see the kid on the trampoline.</t>
  </si>
  <si>
    <t>We then see the kids diving again.</t>
  </si>
  <si>
    <t>We return to the kids practicing on the trampoline and back to them diving again.</t>
  </si>
  <si>
    <t>v_YynqCEoHKCk</t>
  </si>
  <si>
    <t>A woman is seen performing a dance routine on a stage in front of a large audience.</t>
  </si>
  <si>
    <t>The woman continues dancing all around the stage and ends with a bow and walking off stage.</t>
  </si>
  <si>
    <t>v_KYjWkaXVnbw</t>
  </si>
  <si>
    <t>A man is standing at a bar.</t>
  </si>
  <si>
    <t>We see the title screen on how to make a drink.</t>
  </si>
  <si>
    <t>The man pours three liquors and some lime soda in a glass.</t>
  </si>
  <si>
    <t>He stirs the glass with a metal tool.</t>
  </si>
  <si>
    <t>The man then drinks from the glass.</t>
  </si>
  <si>
    <t>The man points at the camera, we see the end sequence.</t>
  </si>
  <si>
    <t>v_WEohpavjsIY</t>
  </si>
  <si>
    <t>A pair of dancer begins preforming at the latin dance cup.</t>
  </si>
  <si>
    <t>The woman shows off cleavage.</t>
  </si>
  <si>
    <t>The dancers begin spinning around each other.</t>
  </si>
  <si>
    <t>The dancers begin to preform seperately.</t>
  </si>
  <si>
    <t>The dancers begins moving again together for a big finish.</t>
  </si>
  <si>
    <t>v_JK1Wn9sORbs</t>
  </si>
  <si>
    <t>A man is seen speaking to the camera outside while various objects and tools sit around him.</t>
  </si>
  <si>
    <t>The man continues speaking and leads into clips of him pushing around a low mower.</t>
  </si>
  <si>
    <t>He continues cutting the grass and leads into more clips of him speaking.</t>
  </si>
  <si>
    <t>v_Ke5MPiv-wrY</t>
  </si>
  <si>
    <t>The Awesomeness TV Network Logo Animation plays.</t>
  </si>
  <si>
    <t>A man is flipping and tumbling across a mat.</t>
  </si>
  <si>
    <t>The same man flips across the mat again, this time not wearing a shirt.</t>
  </si>
  <si>
    <t>The man is talking to the camera.</t>
  </si>
  <si>
    <t>A woman with a blue bow in hair walks across the screen behind the man and begins talking to another woman who exits the screen.</t>
  </si>
  <si>
    <t>The shirtless man is shown flipping and tumbling across the screen again, this time he does not land his final flip and he falls onto his side.</t>
  </si>
  <si>
    <t>He then starts walking towards a man on the side of the mat.</t>
  </si>
  <si>
    <t>The bystander points to his head and the gymnast also does the same to his own head.</t>
  </si>
  <si>
    <t>The gymnast is talking to the camera again explaining what happened during that routine.</t>
  </si>
  <si>
    <t>A small video pops up in the lower right replaying the moment he falls.</t>
  </si>
  <si>
    <t>He starts flipping across the mat again.</t>
  </si>
  <si>
    <t>The man is standing next to a couple of other guys, he jumps up in the air and does some kicks.</t>
  </si>
  <si>
    <t>Now he is doing back flips across the mat.</t>
  </si>
  <si>
    <t>He goes from a forward flip to back-flipping.</t>
  </si>
  <si>
    <t>Now he is standing on the side line getting ready to do flips.</t>
  </si>
  <si>
    <t>He is doing some more flips and landing on the red mat.</t>
  </si>
  <si>
    <t>Now he is flipping again and reverses and starts flipping the other way.</t>
  </si>
  <si>
    <t>This time he is wearing a yellow shirt and starts by doing a kick, then starts flipping backwards.</t>
  </si>
  <si>
    <t>Now he is walking across the mat slowly.</t>
  </si>
  <si>
    <t>v_UfrztSg9gf0</t>
  </si>
  <si>
    <t>A man is seen standing in on a large field performing various dog tricks with a dog.</t>
  </si>
  <si>
    <t>Another person watches in the distance as the man and dog continue to perform tricks and the dog running all around.</t>
  </si>
  <si>
    <t>v_3mlxwa9Ve5I</t>
  </si>
  <si>
    <t>A man looks around and grabs his face.</t>
  </si>
  <si>
    <t>He places a towel over his face.</t>
  </si>
  <si>
    <t>The man showcases a shaving unit and a balm.</t>
  </si>
  <si>
    <t>He shows a bowl and swivels the shaving brush around it.</t>
  </si>
  <si>
    <t>The man places shaving cream all over his face with the use of his shaving brush.</t>
  </si>
  <si>
    <t>He takes a razor and shaves.</t>
  </si>
  <si>
    <t>He grabs the bowl again and swivels the shaving brush around the inside.</t>
  </si>
  <si>
    <t>He smothers shaving cream over his face face.</t>
  </si>
  <si>
    <t>He shaves his face once more.</t>
  </si>
  <si>
    <t>He splashes his face and dries it with a purple towel.</t>
  </si>
  <si>
    <t>He rubs an oil over his face and excitedly shows off his muscles.</t>
  </si>
  <si>
    <t>v_AwoZxz8M8Jg</t>
  </si>
  <si>
    <t>A man in red turban stands in a kitchen.</t>
  </si>
  <si>
    <t>He pours some ingredients into a glass.</t>
  </si>
  <si>
    <t>He explains his methods holding a spoon.</t>
  </si>
  <si>
    <t>He then finishes the drink with a garnish.</t>
  </si>
  <si>
    <t>v_e0E2EVuhYu0</t>
  </si>
  <si>
    <t>A close up of an ocean floor is shown as well as a scuba diver and fish swimming around.</t>
  </si>
  <si>
    <t>The camera continues to capture the bottom of the floor as well as several fish and bottom feeders on the ground.</t>
  </si>
  <si>
    <t>The scuba diver moves a flashlight around to capture the bottom and watches the wildlife move around.</t>
  </si>
  <si>
    <t>v_NLTd7qCLT7o</t>
  </si>
  <si>
    <t>A man is walking on the grass wearing stilts.</t>
  </si>
  <si>
    <t>People are watching him next to a pond.</t>
  </si>
  <si>
    <t>He continues walking on the grass toward the people.</t>
  </si>
  <si>
    <t>v_xAPz4YOcIX0</t>
  </si>
  <si>
    <t>A close up of a painting is shown followed by a brush dipping into paint and moving all along the picture.</t>
  </si>
  <si>
    <t>The person continues painting bushes in the picture and ends with credits rolling above the screen.</t>
  </si>
  <si>
    <t>v_IAZV246DKis</t>
  </si>
  <si>
    <t>A close up of potatoes are shown followed by a woman speaking to the camera.</t>
  </si>
  <si>
    <t>The woman points to a pot and then begins peeling the potatoes and putting them into a pot.</t>
  </si>
  <si>
    <t>She mixes it with salt and dips the potatoes into ice water, watching them finish peeling.</t>
  </si>
  <si>
    <t>v_44htu_ovvLs</t>
  </si>
  <si>
    <t>A woman is seen looking off into the distance followed by shots of her riding a horse and looking off into the distance.</t>
  </si>
  <si>
    <t>The woman continues riding around on the horse and ends with her walking away and waving to the camera.</t>
  </si>
  <si>
    <t>v_bLpeUxij7YY</t>
  </si>
  <si>
    <t>A female weightlifter is attempting to lift a set of weights.</t>
  </si>
  <si>
    <t>She lifts at the knees slowly.</t>
  </si>
  <si>
    <t>She raises the bar to her chest, pausing.</t>
  </si>
  <si>
    <t>She then lifts it over her head before crouching beneath it.</t>
  </si>
  <si>
    <t>v_lsvZBtYMXZM</t>
  </si>
  <si>
    <t>Two people are standing face to face under a spotlight.</t>
  </si>
  <si>
    <t>The man wearing a black and white suit simulates a slap to the woman wearing a dress on the right.</t>
  </si>
  <si>
    <t>A man wearing a black tank top immediately runs into the spotlight to stand between the two and they all begin to dance as the room is lit up to show a large dancing area with people in the audience watching them.</t>
  </si>
  <si>
    <t>The three continue to dance until the man in the black tank top picks the woman up and throws her to the ground and leaves the dance floor.</t>
  </si>
  <si>
    <t>The man in the suit and the woman continue to dance alone.</t>
  </si>
  <si>
    <t>The man in the tank top returns to the dance floor and tries to punch the man in the suit, but the man in the suit dodges the punch and pushes the man in the tank top out of the dance floor.</t>
  </si>
  <si>
    <t>The man in the suit and the woman in the dress continue to dance alone and they end dramatically in a pose with her back on the ground and the man hovering above her.</t>
  </si>
  <si>
    <t>v_ShiBZnuxlmc</t>
  </si>
  <si>
    <t>A blond athletic girl with a serious face has her hands all chalked up and is standing next to a wooden balance beam, dressed in a black and white decorated bodysuit, and the banner on the bottom of the screen say's her name is SHAWN JOHNSON 1ST PLACE AFTER 2ND ROTATION.</t>
  </si>
  <si>
    <t>The girl rubs her hands together a few times, the audience claps, she smiles and raises her two arms in the air, smiles, turns to the horse and runs and jumps until she lands on the balance beam.</t>
  </si>
  <si>
    <t>The girl immediately begins her routine and it includes a lot of flips, walking, twirls, hand movements, spins and etcetera.</t>
  </si>
  <si>
    <t>The girl goes to the furthest end of the balance beam, stares at the other end, quickly flips on the balance beam, and then flips off of the balance beam a few times, lands on her feet, raises her two arms in the air and the crowd cheers.</t>
  </si>
  <si>
    <t>v_bMWWSk_YFY8</t>
  </si>
  <si>
    <t>An ox is held by a trainer in a city plaza.</t>
  </si>
  <si>
    <t>Two ox duel with horns in a corral while trainers guide them.</t>
  </si>
  <si>
    <t>The ox charge at the trainers lined up against the wall.</t>
  </si>
  <si>
    <t>Spectators watch and walk in the stands during the event.</t>
  </si>
  <si>
    <t>v_5vm6bjMeEN8</t>
  </si>
  <si>
    <t>People are working out in a room stepping on a step stools.</t>
  </si>
  <si>
    <t>A man in a white shirt is leading the group.</t>
  </si>
  <si>
    <t>He then walks off behind the camera.</t>
  </si>
  <si>
    <t>v_cgWhl3ZDuTQ</t>
  </si>
  <si>
    <t>A series of athletes are shown participating in a discus throw competition before a crowd.</t>
  </si>
  <si>
    <t>The crowd applauds the athletes as a man hands out prizes to the athletes.</t>
  </si>
  <si>
    <t>Journalists surround the athletes with cameras.</t>
  </si>
  <si>
    <t>More discus throw performances are shown.</t>
  </si>
  <si>
    <t>A camera crew focuses on a sweaty seated athlete.</t>
  </si>
  <si>
    <t>Yet another performance of discus throw is shown.</t>
  </si>
  <si>
    <t>Three people sit talking in front of an audience.</t>
  </si>
  <si>
    <t>v_C0F-xroK_Eg</t>
  </si>
  <si>
    <t>A man is talking about making a spicy pasta dish.</t>
  </si>
  <si>
    <t>The man takes sausage and cooks it in a pan.</t>
  </si>
  <si>
    <t>Parsley is added to the sausage.</t>
  </si>
  <si>
    <t>White wine is added to the mixture.</t>
  </si>
  <si>
    <t>Heavy cream is added to the meat along with a jar of marinara sauce.</t>
  </si>
  <si>
    <t>Water is shown boiling in the pot.</t>
  </si>
  <si>
    <t>Pasta and sauce are mixed together in the pot.</t>
  </si>
  <si>
    <t>The final pasta is added to a bowl and Parmesan cheese is added.</t>
  </si>
  <si>
    <t>v_F-jZv4hqYds</t>
  </si>
  <si>
    <t>A large group of people are sitting on horses near gated areas.</t>
  </si>
  <si>
    <t>The people are looking around in amazement as one horse riding catches a calf almost instantly.</t>
  </si>
  <si>
    <t>The man ropes of the calf and the crowd cheers him on as the announcer gives him his time.</t>
  </si>
  <si>
    <t>v_GqCS5MNl6a4</t>
  </si>
  <si>
    <t>Pictures of a town covered n snow is shown.</t>
  </si>
  <si>
    <t>A person is chipping the ice off of their car.</t>
  </si>
  <si>
    <t>v_tN8mcdcwCwc</t>
  </si>
  <si>
    <t>A cat is laying on its back in someone's lap.</t>
  </si>
  <si>
    <t>The person starts clipping the cats nails with a nail clipper.</t>
  </si>
  <si>
    <t>They finish and pet the cat's foot.</t>
  </si>
  <si>
    <t>v_hS7VEMlJ4N0</t>
  </si>
  <si>
    <t>A female is outside in a sports bra and bikini bottoms walking around prepping.</t>
  </si>
  <si>
    <t>She take her hair down and puts it back up in a ponytail.</t>
  </si>
  <si>
    <t>She spanks her butt and stands there getting ready to start her run.</t>
  </si>
  <si>
    <t>She starts her run and she jumps over the course and lands.</t>
  </si>
  <si>
    <t>v_U2aNQHCnVfI</t>
  </si>
  <si>
    <t>There are two young girls holding violins in their hands, standing with a music stand and a book with music notes behind them.</t>
  </si>
  <si>
    <t>The older girl is helping and teaching her younger sister to properly hold the violin by changing her head position.</t>
  </si>
  <si>
    <t>Then the older sister grabs her violin and tunes the strings of the violin.</t>
  </si>
  <si>
    <t>Then older sister begins playing the violin while the younger sister watches her.</t>
  </si>
  <si>
    <t>The older girl shows her sister how to play the violin.</t>
  </si>
  <si>
    <t>Then they both begin to play the violin together.</t>
  </si>
  <si>
    <t>v_aXnllTmgeqg</t>
  </si>
  <si>
    <t>A man is shown on a stage, playing drums.</t>
  </si>
  <si>
    <t>He beats the cymbals and drums very fast.</t>
  </si>
  <si>
    <t>He continues, making faces as he goes.</t>
  </si>
  <si>
    <t>v_E-bv464MTsQ</t>
  </si>
  <si>
    <t>A large group of people riding horses are walking around each other on a large field.</t>
  </si>
  <si>
    <t>One of them throws a ball onto the field and the people begin playing a game on their horses.</t>
  </si>
  <si>
    <t>v_hgTgOjkcvpc</t>
  </si>
  <si>
    <t>There's a man dressed in all white playing croquet in an open field.</t>
  </si>
  <si>
    <t>there are several chairs arranged in the field.</t>
  </si>
  <si>
    <t>He takes the mallet in his hand and hits the croquet ball to the hoop.</t>
  </si>
  <si>
    <t>He hits the ball and it lands straight into the hoop.</t>
  </si>
  <si>
    <t>v_NXFnVeZen1U</t>
  </si>
  <si>
    <t>A man picks up a ball with his racquet and swings it to his opponent over the net.</t>
  </si>
  <si>
    <t>The opponent serves the ball.</t>
  </si>
  <si>
    <t>The teams engage in rapid back and forth hitting of the ball.</t>
  </si>
  <si>
    <t>The game stops for a second and resumes with one of the teams serving the ball.</t>
  </si>
  <si>
    <t>They battle each other on the court, sending the ball back and forth over the net.</t>
  </si>
  <si>
    <t>The ball goes out of bounds.</t>
  </si>
  <si>
    <t>A man serves the ball and they engage in a brief back and forth of the ball before the ball falls to the ground.</t>
  </si>
  <si>
    <t>v_YVSD611Zpvo</t>
  </si>
  <si>
    <t>A man walks to a brick wall with a squeegee and shows us a bottle of windex.</t>
  </si>
  <si>
    <t>The man washes the window.</t>
  </si>
  <si>
    <t>The man sprays windex and washes off with squeegee.</t>
  </si>
  <si>
    <t>The man uses leaf blower to dry the window.</t>
  </si>
  <si>
    <t>The man finishes and talks about the window before walking off.</t>
  </si>
  <si>
    <t>v_88wc2an-eC4</t>
  </si>
  <si>
    <t>TWo children are doing mixed martial arts in front of a television.</t>
  </si>
  <si>
    <t>They are punching and kicking each other for sport.</t>
  </si>
  <si>
    <t>v_5HW6mjZZvtY</t>
  </si>
  <si>
    <t>A man is seen in several shots on a skateboard in a dark warehouse.</t>
  </si>
  <si>
    <t>The man then begins jumping on his board to demonstrate moves.</t>
  </si>
  <si>
    <t>He continues jumping around the room while the camera captures his movements.</t>
  </si>
  <si>
    <t>v_pbZVsdQNWNU</t>
  </si>
  <si>
    <t>We see a hockey goalie skating on the ice.</t>
  </si>
  <si>
    <t>The goalie blocks shots repeatedly.</t>
  </si>
  <si>
    <t>We see the goalie laying on the ice.</t>
  </si>
  <si>
    <t>A shot makes it past and the goalie has a tantrum.</t>
  </si>
  <si>
    <t>The goalie sits on the ground as a person makes their shot.</t>
  </si>
  <si>
    <t>v_j15g2ZTig1k</t>
  </si>
  <si>
    <t>A man wearing a black shirt and blue jeans is playing an acoustic guitar.</t>
  </si>
  <si>
    <t>He plays a riff as he moves his legs rhythmically.</t>
  </si>
  <si>
    <t>He continues playing the guitar as the camera focuses on his hands and the guitar only.</t>
  </si>
  <si>
    <t>He plays several different tunes one after the other as he strums the guitar with his pick.</t>
  </si>
  <si>
    <t>v_yslrb52Di5w</t>
  </si>
  <si>
    <t>A man is seen laughing and smiling to himself and leads into him playing a piano before him.</t>
  </si>
  <si>
    <t>The man pauses and looks off into the distance to see another man speaking to him as well as into a microphone.</t>
  </si>
  <si>
    <t>v_AKoregkLJgc</t>
  </si>
  <si>
    <t>A line of players are on a court together.</t>
  </si>
  <si>
    <t>They begin jumping rope in unison.</t>
  </si>
  <si>
    <t>They move alike, dancing and flipping through the ropes.</t>
  </si>
  <si>
    <t>v_czCM6ZNwHK8</t>
  </si>
  <si>
    <t>A guy prepares to play an instrument.</t>
  </si>
  <si>
    <t>The guy plays a saxophone and uses a microphone.</t>
  </si>
  <si>
    <t>The guy takes the saxophone out of his mouth and bents over.</t>
  </si>
  <si>
    <t>v_9-xf_gylOR0</t>
  </si>
  <si>
    <t>A person is painting a wooden fence.</t>
  </si>
  <si>
    <t>A cat's paws can be seen coming out from under the fence.</t>
  </si>
  <si>
    <t>A dog is looking at the cat's paws.</t>
  </si>
  <si>
    <t>v_IKrnz_OzqT8</t>
  </si>
  <si>
    <t>A man watches a performance on tv while playing a set of hand drums at home.</t>
  </si>
  <si>
    <t>The man looks forward and focuses while playing the drums.</t>
  </si>
  <si>
    <t>The man leans back and plays vigorously on the drums.</t>
  </si>
  <si>
    <t>v_oghT33khlYQ</t>
  </si>
  <si>
    <t>Many trees and deep water from a river is shown.</t>
  </si>
  <si>
    <t>A man is standing on the back of a speedboat.</t>
  </si>
  <si>
    <t>He places his board in the water and begins to water ski.</t>
  </si>
  <si>
    <t>He performs several tricks as he skis.</t>
  </si>
  <si>
    <t>v_ac1DjqY4xHs</t>
  </si>
  <si>
    <t>A young boy swings at a pinata without getting a good hit on it.</t>
  </si>
  <si>
    <t>The boy dodges the pinata that is swinging at him.</t>
  </si>
  <si>
    <t>The boy gives up and walks away.</t>
  </si>
  <si>
    <t>v_z8lxaUC1Shk</t>
  </si>
  <si>
    <t>A man walks into a room playing his bagpipes.</t>
  </si>
  <si>
    <t>He stops playing his bagpipes.</t>
  </si>
  <si>
    <t>v_FCKkV9mYuI4</t>
  </si>
  <si>
    <t>A group of men are talking in a room.</t>
  </si>
  <si>
    <t>Several fighting scenes are shown from a martial arts movie.</t>
  </si>
  <si>
    <t>They move quickly, pretending to fight for the camera.</t>
  </si>
  <si>
    <t>v_N84ci0Imc30</t>
  </si>
  <si>
    <t>A man is seen speaking to the camera and leads into shots of him walking down a hallway and getting a coffee.</t>
  </si>
  <si>
    <t>He grabs sugar, puts a lid over his coffee and then smiles off in the distance while walking away.</t>
  </si>
  <si>
    <t>v_Z8yKTJeRMOE</t>
  </si>
  <si>
    <t>A man professionally paints several pieces of furniture using a spray painter in a paint shop while wearing overalls, a denim shirt and a paint mask.</t>
  </si>
  <si>
    <t>The man begins by painting a wooden armchair metallic gray with a gold spray paint can.</t>
  </si>
  <si>
    <t>The man then paints a side table black with lights shining off of the black painted wood.</t>
  </si>
  <si>
    <t>The man ends with painting a dresser drawer pink before the scene fades to a black marketing graphic.</t>
  </si>
  <si>
    <t>v_SSLcbqaBiRM</t>
  </si>
  <si>
    <t>A man starts out riding a dirt bike and immediately crashes into the ground behind him.</t>
  </si>
  <si>
    <t>The video follows several more people attempting to race a dirt bike and instantly crashing on the path in front of them.</t>
  </si>
  <si>
    <t>v_5-ydqbn30kA</t>
  </si>
  <si>
    <t>A boy and a girl are sitting in their living room with colorful yarn and demonstrating how to knit.</t>
  </si>
  <si>
    <t>The boy is wearing a blue hoodie and the girl is wearing a white sweater with blue horizontal stripes.</t>
  </si>
  <si>
    <t>The mother who is not pictured in the video is taping them demonstrate.</t>
  </si>
  <si>
    <t>The boy holds the needles up and shows how he uses the yarn to knit.</t>
  </si>
  <si>
    <t>v_x164DXmWtRM</t>
  </si>
  <si>
    <t>A group of masked people, wearing all black, play an animated graphic game of paintball in a war field.</t>
  </si>
  <si>
    <t>An animated person runs through a field of black masked soldiers with a paint gun and begins shooting people, several people are wounded among a war field littered with empty stone shacks and abandoned cars.</t>
  </si>
  <si>
    <t>The fighting soldiers pass an animated dog on a leash with a person dressed in a black and white referee uniform holding the leash.</t>
  </si>
  <si>
    <t>The shooting continues among the masked soldiers until a "red team wins" letter box appears and the soldiers head to the right and thin out in numbers.</t>
  </si>
  <si>
    <t>v_4_MR2Tpc7SM</t>
  </si>
  <si>
    <t>A man is seen bending down while holding a crochet bat and hitting a ball through a hole.</t>
  </si>
  <si>
    <t>The man then holds his hands up and looks back to the camera and smiles.</t>
  </si>
  <si>
    <t>v_j_tKuqWYV-A</t>
  </si>
  <si>
    <t>Divers take turns diving from high dive platforms into a swimming pool.</t>
  </si>
  <si>
    <t>The crowd claps and watches the divers performance.</t>
  </si>
  <si>
    <t>A diver does a handstand dive from the highest platform into the swimming pool.</t>
  </si>
  <si>
    <t>v_yp1zqqLB57M</t>
  </si>
  <si>
    <t>A woman is belly dancing on a stage.</t>
  </si>
  <si>
    <t>There is a close up of her belly.</t>
  </si>
  <si>
    <t>She slows her dance down and turns circles.</t>
  </si>
  <si>
    <t>v_Wu3wa5Rc_Qw</t>
  </si>
  <si>
    <t>A large waterfall is shown outside near a rocky trail of water.</t>
  </si>
  <si>
    <t>All of a sudden,a person on a long raft comes paddling down the water and goes over the fall with ease.</t>
  </si>
  <si>
    <t>Once over,they continue paddling and sailing through the water as the people on the side watches.</t>
  </si>
  <si>
    <t>v_J7Q3b1uFHyc</t>
  </si>
  <si>
    <t>First the camera shows the three people who are snow tubing down the slippery snowy slide.</t>
  </si>
  <si>
    <t>Then one person is shown wearing glasses and other snow gear in the snow tubes.</t>
  </si>
  <si>
    <t>Then a great amount of other people are shown snow tubing next to each other.</t>
  </si>
  <si>
    <t>v_8K4cX9GfaII</t>
  </si>
  <si>
    <t>A person is seen painting a wall while the camera captures him moving quickly and others walking in and out of frame.</t>
  </si>
  <si>
    <t>The person continues painting along the wall with other people standing around and helping.</t>
  </si>
  <si>
    <t>v_2-h36nfbFK8</t>
  </si>
  <si>
    <t>A man is snowboarding down a very steep hill at a fast pace.</t>
  </si>
  <si>
    <t>The video intercuts with various angles showing this trip down the mountain in a very exciting way.</t>
  </si>
  <si>
    <t>The kid jumps off of a log intended for this purpose and continues down the hill.</t>
  </si>
  <si>
    <t>Another man in yellow does back-flips off of a small snow ramp while going down the mountain.</t>
  </si>
  <si>
    <t>Another man in blue does the same and there are various cuts going back and forth between the three of them.</t>
  </si>
  <si>
    <t>They are highly skilled and going down every obstacle they can find.</t>
  </si>
  <si>
    <t>The video then shows multiple people hiking up a very rocky mountain as they speak to the camera.</t>
  </si>
  <si>
    <t>The people who climbed is then snowboard down it in a daredevil like stunt.</t>
  </si>
  <si>
    <t>v_liK3LME0gNY</t>
  </si>
  <si>
    <t>A young girls is using a trowel on a wall and siting on the floor.</t>
  </si>
  <si>
    <t>She stands and wipes her trowel clean with a brush.</t>
  </si>
  <si>
    <t>She returns to the wall work.</t>
  </si>
  <si>
    <t>She stands and points and the wall.</t>
  </si>
  <si>
    <t>She she wipes the brush on the trowel again.</t>
  </si>
  <si>
    <t>She smooths the wall again.</t>
  </si>
  <si>
    <t>The girls uses a the brush to clean her tool.</t>
  </si>
  <si>
    <t>She wipes the wall again, then cleans her brush again twice.</t>
  </si>
  <si>
    <t>We are show the top of the wall and the girl as she works.</t>
  </si>
  <si>
    <t>v_mSPUMHD4F-E</t>
  </si>
  <si>
    <t>An intro screen appears with logos, company names and website.</t>
  </si>
  <si>
    <t>A woman bends down in front of 3 boxes and begins to pull out tiled carpet pieces from the top box.</t>
  </si>
  <si>
    <t>A bunch of tools appear on a tiled floor and they include: Carpet Tape,Knife, Sticky Tabs and a T-Square.</t>
  </si>
  <si>
    <t>The woman is on a tiled floor with a pile of tiled carpets in front of her and she begins to dust off the excess carpet pieces off of the front and back of the pieces.</t>
  </si>
  <si>
    <t>A screen appears with the words "Methods of Installation" and includes 3 different diagrams of layouts, and then shows different tiled carpets in each layout.</t>
  </si>
  <si>
    <t>A woman is now kneeling on a tiled piece of carpet and she's pulling double sided sticky tapes off of a sheet and places them onto the tiled carpets and sticks them onto the floor.</t>
  </si>
  <si>
    <t>A different woman appears near a wall and she's demonstrating how to cut tiles once a wall is reached and uses a long ruler to measure, cut, and break apart the carpet tile and places it back onto the floor.</t>
  </si>
  <si>
    <t>The outro is a white screen with the logos, company names, and website.</t>
  </si>
  <si>
    <t>v_Zzcj8Eea3Mc</t>
  </si>
  <si>
    <t>A man is seen walking forward and speaking to the camera while two people pull an object behind him.</t>
  </si>
  <si>
    <t>The man is then speaking while a woman exercises next to him.</t>
  </si>
  <si>
    <t>The man continues speaking and text is shown across the screen.</t>
  </si>
  <si>
    <t>v_b4KrsFjcj-o</t>
  </si>
  <si>
    <t>People stand around in a room.</t>
  </si>
  <si>
    <t>People do karate while some play the drums.</t>
  </si>
  <si>
    <t>The karate opponents shake hands and hug.</t>
  </si>
  <si>
    <t>v_N6y3yXiVo24</t>
  </si>
  <si>
    <t>A little girl/toddler stands outside, on a grass covered field, and hits, repeatedly, a pink pinata hanging from a tree.</t>
  </si>
  <si>
    <t>A little girl/toddler in a lime green hair bow and tutu stands outside under a tree and hits a pinata with a stick.</t>
  </si>
  <si>
    <t>The pinata flings around, and the girl hits the pinata again.</t>
  </si>
  <si>
    <t>The little girl turns to look at the camera in between hitting the pinata.</t>
  </si>
  <si>
    <t>v_5rtrGkZNfLo</t>
  </si>
  <si>
    <t>A standing man talks to the camera with two women seated beside him.</t>
  </si>
  <si>
    <t>The camera pans to focus on the two women.</t>
  </si>
  <si>
    <t>v_2syOa4jpZDU</t>
  </si>
  <si>
    <t>A person cuts the nails of the front legs of a cat.</t>
  </si>
  <si>
    <t>Then, the person cuts the nails of the back legs of a car.</t>
  </si>
  <si>
    <t>v_idACyRv-Sqk</t>
  </si>
  <si>
    <t>A man attempts to walk across a rope spread between two homemade pieces of wood.</t>
  </si>
  <si>
    <t>He balances on the rope, swinging back and forth.</t>
  </si>
  <si>
    <t>He loses his balance and jumps off the rope.</t>
  </si>
  <si>
    <t>v_FFUh8Fx4FsA</t>
  </si>
  <si>
    <t>There are two cars in the car wash and one parked in a spot.</t>
  </si>
  <si>
    <t>The owners of the cars are soaping them down and cleaning the tires very well.</t>
  </si>
  <si>
    <t>Inside of the car wash it it completely empty, no one is inside of it.</t>
  </si>
  <si>
    <t>One of the other car owners is rinsing his car off.</t>
  </si>
  <si>
    <t>v_OnfvTk_DECY</t>
  </si>
  <si>
    <t>A man is seen speaking to the camera followed by several shots of a celebrity and a dummy.</t>
  </si>
  <si>
    <t>The man then begins coming the dummy's hair and using scissors along the side.</t>
  </si>
  <si>
    <t>He continues cutting the dummy's hair and using hair gel in the end to spike it up.</t>
  </si>
  <si>
    <t>v_AH-3mF6wWhU</t>
  </si>
  <si>
    <t>A video on how to make a kite is shown.</t>
  </si>
  <si>
    <t>Materials are gathered and then the kite is assembled.</t>
  </si>
  <si>
    <t>v__7a80bvsbk8</t>
  </si>
  <si>
    <t>A few people are seen standing in a large pit with a bull inside and many watching on the sides.</t>
  </si>
  <si>
    <t>The man walks closer to the bull and the bull attacks several people while they also try to pull him down by his head and tail.</t>
  </si>
  <si>
    <t>They finally all break away at once.</t>
  </si>
  <si>
    <t>v_wqlEUeJzNVc</t>
  </si>
  <si>
    <t>A man is sitting in a gym with friends who make stupid signs at the camera.</t>
  </si>
  <si>
    <t>Then some dodgeball is played.</t>
  </si>
  <si>
    <t>v_F_EHrfbYsRE</t>
  </si>
  <si>
    <t>A graphic with some keywords forming the number '2' is shown.</t>
  </si>
  <si>
    <t>The scene switches to a black screen with some text about an upcoming marathon.</t>
  </si>
  <si>
    <t>A man is shown jogging through a city on some sidewalks, a bridge, some paths in a park, etc, with a counter on the side showing his progress in kilometers as he goes.</t>
  </si>
  <si>
    <t>v_Ym_hy49DaS4</t>
  </si>
  <si>
    <t>A person is covering her legs with soap while she is standing on the bathtub.</t>
  </si>
  <si>
    <t>Then, the person takes a blade to shave her legs while washing the blade under the faucet.</t>
  </si>
  <si>
    <t>After, the person, takes off the underwear and put it on the bathtub.</t>
  </si>
  <si>
    <t>v_8wKBvYGGldQ</t>
  </si>
  <si>
    <t>There is a fast motion video showing a family carving four pumpkins to make jack o lanterns in their kitchen.</t>
  </si>
  <si>
    <t>There is a little baby sitting on the dinning table watching the others carve the pumpkins.</t>
  </si>
  <si>
    <t>The two other girls are helping their parents carve the pumpkins and remove the seeds and pulp out of the pumpkin.</t>
  </si>
  <si>
    <t>v_UPZm0tx77Vw</t>
  </si>
  <si>
    <t>A man seated in front of a tennis net turns around and faces his opponent, with a coach and camera man looking on.</t>
  </si>
  <si>
    <t>As they both rise we see that they are actually heading to a table tennis game, the table on an actual tennis court.</t>
  </si>
  <si>
    <t>They being their match, one in a white tank top and green shorts, the other in an orange shirt and white shorts.</t>
  </si>
  <si>
    <t>They hit back and forth for some time, the enjoyment of the game seeming more important the winning, and they slap hands at the conclusion.</t>
  </si>
  <si>
    <t>v_h-A3CAx_eyU</t>
  </si>
  <si>
    <t>Two men are seen speaking to one another in front of the camera while moving their hands around to their voices.</t>
  </si>
  <si>
    <t>The men continue speaking with one another while acting crazy on the couch and pointing to one another.</t>
  </si>
  <si>
    <t>v_jw8yJ6tJXrA</t>
  </si>
  <si>
    <t>A man is seen kneeling down before a track while others watch on the sides.</t>
  </si>
  <si>
    <t>A person runs in on the side and jumps into a pit.</t>
  </si>
  <si>
    <t>The man sitting tracks his score and several more people are seen running in.</t>
  </si>
  <si>
    <t>v_Q5qIsUsM_-A</t>
  </si>
  <si>
    <t>A young man solves a rubix cube quickly in a digitally timed session.</t>
  </si>
  <si>
    <t>A man in a yellow shirt with a graphic of a man's face on it talks to the camera and holds up an unsolved rubix cube.</t>
  </si>
  <si>
    <t>A black digital timer appears on the screen in the lower right hand corner and begins to run time.</t>
  </si>
  <si>
    <t>The man begins to solve the rubix cube when the timer starts, and then solves the rubix cube with 00:34:08 time, at which point he holds the solved rubix cube in the air as demonstration.</t>
  </si>
  <si>
    <t>v_8uP35-qttBo</t>
  </si>
  <si>
    <t>Two men are seen speaking to the camera while each hold a bow and arrow.</t>
  </si>
  <si>
    <t>One man shows off his while clips are shown of people shooting the bow and shown in between.</t>
  </si>
  <si>
    <t>The other man shows off his bow while still showing off his specs.</t>
  </si>
  <si>
    <t>v_H8MY7XGrN6Q</t>
  </si>
  <si>
    <t>A person is seen roller balding around a street while many people are seen walking around him.</t>
  </si>
  <si>
    <t>A man is then being interviewed by reporters and ends with the camera panning away.</t>
  </si>
  <si>
    <t>v_PaPR1XQU0_A</t>
  </si>
  <si>
    <t>A person sets a piece of wall paper in place and lines it op with the other pieces.</t>
  </si>
  <si>
    <t>The wall paper is cut with sheers to the proper size.</t>
  </si>
  <si>
    <t>The man checks the wall paper then peels off an adhesive strip on the back.</t>
  </si>
  <si>
    <t>The wall paper is attached to the wall and smoothed down by hand.</t>
  </si>
  <si>
    <t>The person uses a towel to flatten out the wall paper.</t>
  </si>
  <si>
    <t>The wallpaper is cut at the bottom and creased against the floorboard.</t>
  </si>
  <si>
    <t>The wall paper is cut and creased along the ceiling.</t>
  </si>
  <si>
    <t>v_ul9kg5QdvJo</t>
  </si>
  <si>
    <t>A group of people are shown at a festival serving food and interacting with their crowd.</t>
  </si>
  <si>
    <t>The male continues,to play with the crowd and makes them work for their ice cream cone.</t>
  </si>
  <si>
    <t>Finally,the video ends,the man smiles,and the credits begin to roll.</t>
  </si>
  <si>
    <t>v_eMQ5sazq-q0</t>
  </si>
  <si>
    <t>People picks up piles of grass on a front yard.</t>
  </si>
  <si>
    <t>A dog walks in the yard where people pile grass.</t>
  </si>
  <si>
    <t>A man cut the grass using a hand cutter.</t>
  </si>
  <si>
    <t>The dogs smells on the ground.</t>
  </si>
  <si>
    <t>v_Vtnn6yJqHqM</t>
  </si>
  <si>
    <t>A pair of hands are shown playing piano.</t>
  </si>
  <si>
    <t>The piano player is shown playing with another person seated beside him.</t>
  </si>
  <si>
    <t>The playing is seen from a hand close up view again.</t>
  </si>
  <si>
    <t>The second man imitates the first man.</t>
  </si>
  <si>
    <t>The first man claps at the second man's imitation.</t>
  </si>
  <si>
    <t>v_8iQ_ZjJGQkE</t>
  </si>
  <si>
    <t>A man stands in front of the camera and then takes a puff of his cigarette.</t>
  </si>
  <si>
    <t>After,he appears with roller blades on and starts to jump on different blocks and boulders in the city.</t>
  </si>
  <si>
    <t>The man continues making his way through the city,passing cars,and jumping over rocks.</t>
  </si>
  <si>
    <t>v_nmMs1pWkiAU</t>
  </si>
  <si>
    <t>A woman and a man salute, and then they demonstrate karate moves in a gym.</t>
  </si>
  <si>
    <t>After, the woman and the man stand and salute.</t>
  </si>
  <si>
    <t>v_gee7iCW34_E</t>
  </si>
  <si>
    <t>A graphic is seen with drawings of mushrooms and plants.</t>
  </si>
  <si>
    <t>A tall pine tree is seen.</t>
  </si>
  <si>
    <t>A match is lit and a young man holds up another lit match along with sticks then blows it out.</t>
  </si>
  <si>
    <t>The young man builds a ring of rocks near a tent.</t>
  </si>
  <si>
    <t>The camper then shows various sized sticks in his hands and others that he breaks in two.</t>
  </si>
  <si>
    <t>The young man breaks sticks with his foot and carries them to the campsite.</t>
  </si>
  <si>
    <t>The young man builds a fire with the various sized sticks in the fire ring and lights it.</t>
  </si>
  <si>
    <t>The fire burns into the night.</t>
  </si>
  <si>
    <t>v_3N1tbv5Z6Kk</t>
  </si>
  <si>
    <t>A man in tuxedo and woman in party dress dance the tango in a ballroom surrounded by crowd in chairs during performance.</t>
  </si>
  <si>
    <t>The crowd cheers at the end and claps hands.</t>
  </si>
  <si>
    <t>v_rcqXzX-7ULg</t>
  </si>
  <si>
    <t>A woman is standing in front of a washer and dryer in a laundry room.</t>
  </si>
  <si>
    <t>Step by step instructions are given for ironing clothes.</t>
  </si>
  <si>
    <t>She shows how to prepare and iron clothing using a rag and steam.</t>
  </si>
  <si>
    <t>v_8GxWehFZVRE</t>
  </si>
  <si>
    <t>A woman is sitting next to a baby in a high chair.</t>
  </si>
  <si>
    <t>She is playing an accordian for the baby.</t>
  </si>
  <si>
    <t>The baby rocks back and forth, dancing to the music.</t>
  </si>
  <si>
    <t>v_iUIfmMljiOg</t>
  </si>
  <si>
    <t>A woman is giving instructions on how to make her lemonade.</t>
  </si>
  <si>
    <t>She shows all of the ingredients that she uses and starts to boil them and mix them on a pot on the stove.</t>
  </si>
  <si>
    <t>In a blender she blends some strawberries and lemon juice.</t>
  </si>
  <si>
    <t>She then starts to do more or less all of those steps again for all different types of other lemonades that she makes.</t>
  </si>
  <si>
    <t>v_FA4BDINxLmE</t>
  </si>
  <si>
    <t>A close up of a person walking on a rope is shown followed by and old man speaking to the camera and more shots of the person walking.</t>
  </si>
  <si>
    <t>More people are being interviewed while people walk behind them and show several more shots of people walking across a rope.</t>
  </si>
  <si>
    <t>v_Nn9qwOB-g34</t>
  </si>
  <si>
    <t>A small group of people are seen standing along an indoor with one player kicking the ball and scoring a goal.</t>
  </si>
  <si>
    <t>The audience cheers and the same shot is shown again several times and the player walking away.</t>
  </si>
  <si>
    <t>Many more shots of goals are shown during the game followed by the same shot shown again in slow motion.</t>
  </si>
  <si>
    <t>v_fHXgxSFDmJc</t>
  </si>
  <si>
    <t>We see man teasing a bull with a flag.</t>
  </si>
  <si>
    <t>The bull charges at the flag.</t>
  </si>
  <si>
    <t>The bull charges and goes after the flag.</t>
  </si>
  <si>
    <t>The bullfighter moves left and the bull follows him.</t>
  </si>
  <si>
    <t>v_uE3YXkZoV5c</t>
  </si>
  <si>
    <t>Two men walk holding sticks out in front of them.</t>
  </si>
  <si>
    <t>They arrange discs onto some numbers.</t>
  </si>
  <si>
    <t>One of the men throws a disc with his stick.</t>
  </si>
  <si>
    <t>The man in red throws his disc.</t>
  </si>
  <si>
    <t>The first man throws another disc.</t>
  </si>
  <si>
    <t>The man in the red shirt follows.</t>
  </si>
  <si>
    <t>The first man throws another disc and the man in the red shirt follows.</t>
  </si>
  <si>
    <t>They high five each other.</t>
  </si>
  <si>
    <t>v_vLEz1mHahdM</t>
  </si>
  <si>
    <t>A man in military uniform is standing in front of a group of soldiers.</t>
  </si>
  <si>
    <t>He is playing the bagpipes while the other soldiers stand and watch him.</t>
  </si>
  <si>
    <t>It may be a parade they are practicing for because they are standing and watching him on top of trailer.</t>
  </si>
  <si>
    <t>Once the soldier is done with his song on the bagpipe all the soldiers clap and cheer for him.</t>
  </si>
  <si>
    <t>v_yrf93aLQXBE</t>
  </si>
  <si>
    <t>An old video of people surfing is shown.</t>
  </si>
  <si>
    <t>People catch waves and the fat guy does a pretty good job.</t>
  </si>
  <si>
    <t>v_Jj7Xcisw62E</t>
  </si>
  <si>
    <t>A large black male and John Cena are in a wrestling ring arm wrestling.</t>
  </si>
  <si>
    <t>The black male is beginning to win but John Cena uses all of his might to not give in and gains enough strength to push the hand back the other way.</t>
  </si>
  <si>
    <t>After a certain amount of time,John Cena wins and someone jumps on his back and begins wrestling him and picks the black man up and drops him.</t>
  </si>
  <si>
    <t>As John Cena continues to celebrate the other guy begins talking trash and John Cena looks at him then talks back to the crowd.</t>
  </si>
  <si>
    <t>v_VqTyewe2R1A</t>
  </si>
  <si>
    <t>A marching band plays in a gym and people watch.</t>
  </si>
  <si>
    <t>Then, the marching band stops playing for a little bit, then it resumes.</t>
  </si>
  <si>
    <t>A woman pass on side the marching band.</t>
  </si>
  <si>
    <t>A young man drinks from a can.</t>
  </si>
  <si>
    <t>After, a child pass on front the Marching band.</t>
  </si>
  <si>
    <t>v_cxxiokwoVgg</t>
  </si>
  <si>
    <t>People in a home get ready to go sled on the street covered with snow.</t>
  </si>
  <si>
    <t>Two young men sled on the road pulled by a car.</t>
  </si>
  <si>
    <t>Splashes of snow falls on the young men who are covered with snow.</t>
  </si>
  <si>
    <t>A young man stands from the sled and enters the car and other person takes his place on the sled.</t>
  </si>
  <si>
    <t>A young men goes down the road sledding while snow splay on them.</t>
  </si>
  <si>
    <t>A young person snowboards holding a rope attached to a car, at the end he falls.</t>
  </si>
  <si>
    <t>v_UYzgXZIRUR8</t>
  </si>
  <si>
    <t>A boy skateboard on a road jumping and flipping the skateboard in the street.</t>
  </si>
  <si>
    <t>A skateboard leans on a tree.</t>
  </si>
  <si>
    <t>Then, the boy skateboard on small ramps and then continues skateboarding in the street.</t>
  </si>
  <si>
    <t>v_YJTz7mpI-mY</t>
  </si>
  <si>
    <t>A man places shaving cream on his face.</t>
  </si>
  <si>
    <t>A man spits some liquid out of his mouth.</t>
  </si>
  <si>
    <t>A man sharpens his razor blade.</t>
  </si>
  <si>
    <t>The man shaves his face with the razor.</t>
  </si>
  <si>
    <t>The man puts more shaving cream on his face.</t>
  </si>
  <si>
    <t>v_n6k21NjvqXE</t>
  </si>
  <si>
    <t>An intro appears and it has a logo and the words "outdoor interlaken +", and then yellow words and roman numerals appear.</t>
  </si>
  <si>
    <t>The outdoor shop appears and it quickly changes to the inside of the shop where people are all gathered to get instructions, get dressed in helmets and safety gear, and prepare for white water rafting.</t>
  </si>
  <si>
    <t>The people are then going outdoors where they practice on land on how to sit in the raft, paddle and etc.</t>
  </si>
  <si>
    <t>When they are done practicing the all walk to the water with their rafts and they are all seen in the very rough waters going down and paddling and in their rafts where they end up in calm waters and jump out of their rafts to celebrate their success.</t>
  </si>
  <si>
    <t>When they're done celebrating the people walk out of the water holding their raft and they end up in a vehicle where they are smiling and happy.</t>
  </si>
  <si>
    <t>The outro appears with contact information, website,logos and credits.</t>
  </si>
  <si>
    <t>v_0LebHO3TvzE</t>
  </si>
  <si>
    <t>Two people are seen sitting on shore while sitting in kayaks.</t>
  </si>
  <si>
    <t>One person inches himself closer to the water and begins riding along down the river.</t>
  </si>
  <si>
    <t>v_8J_erRJya-k</t>
  </si>
  <si>
    <t>Young men ride skateboards and do skidding turns in a city plaza.</t>
  </si>
  <si>
    <t>The skateboarder does a wheelie.</t>
  </si>
  <si>
    <t>The skateboarders ride along a sidewalk going somewhere.</t>
  </si>
  <si>
    <t>The boys walk around and go into a transportation station.</t>
  </si>
  <si>
    <t>v_JksdZ0YMkoQ</t>
  </si>
  <si>
    <t>A man in red in outside screwing in his rotors and putting his tire back on his truck.</t>
  </si>
  <si>
    <t>He grabs pieces to tighten it and begins to make sure they are on super tight.</t>
  </si>
  <si>
    <t>He does it repeatedly to make sure they all stay on well.</t>
  </si>
  <si>
    <t>Otherwise it would be dangerous to drive on if they are loose.</t>
  </si>
  <si>
    <t>v_KUorCsuIe2A</t>
  </si>
  <si>
    <t>We see a boy in a cap in a room laughing and sitting.</t>
  </si>
  <si>
    <t>We see the boy backstage talking to two men.</t>
  </si>
  <si>
    <t>The boy walks on the stage and talks to the judges.</t>
  </si>
  <si>
    <t>The boy performs a break dance.</t>
  </si>
  <si>
    <t>A judges mouth hangs open.</t>
  </si>
  <si>
    <t>The boy finises dancing and the judges give their feedback.</t>
  </si>
  <si>
    <t>The crowd lifts their arms in the air.</t>
  </si>
  <si>
    <t>The boy walks off stage and is interviewed.</t>
  </si>
  <si>
    <t>The boy walks away from the men.</t>
  </si>
  <si>
    <t>v_svZ7DPi7rLI</t>
  </si>
  <si>
    <t>A man is running throws a javelin.</t>
  </si>
  <si>
    <t>He puts his hands in the air and waves at the crowd.</t>
  </si>
  <si>
    <t>He grabs a towel and puts his hands in the air.</t>
  </si>
  <si>
    <t>v_xUDwlT5fw_o</t>
  </si>
  <si>
    <t>A man is standing at a bar and he begins pouring ice into a tall cup along with blue liquid, dark liquid, and a red liquid.</t>
  </si>
  <si>
    <t>The man then pours it into a shaker and shakes it until thoroughly mixed.</t>
  </si>
  <si>
    <t>When the man is finished shaking the drink he removes the cup from the shaker, pours the liquids into a smaller cup, and sticks a white straw in it.</t>
  </si>
  <si>
    <t>All while talking the man then picks up the cup, smells it, smiles and holds the drink up.</t>
  </si>
  <si>
    <t>v_2DCeEAz8iO8</t>
  </si>
  <si>
    <t>A camera pans around a person riding around on a horse.</t>
  </si>
  <si>
    <t>The person continues riding around the area and pauses to speak to the woman while she laughs and speaks to the camera.</t>
  </si>
  <si>
    <t>v_4-Xe_9Ywvd8</t>
  </si>
  <si>
    <t>A group of cheerleaders gather on a football field.</t>
  </si>
  <si>
    <t>They cheer and flip as they jog across the field.</t>
  </si>
  <si>
    <t>They then put on a performance, flipping and jumping.</t>
  </si>
  <si>
    <t>v_FGtoyNOi6gg</t>
  </si>
  <si>
    <t>An intro leads into several shots of a wooded area and several people bungee jumping off a bridge.</t>
  </si>
  <si>
    <t>Several shots of people jumping off the side and shown and many standing on the side and close ups of the jumpers.</t>
  </si>
  <si>
    <t>v_qhsK94t7x7w</t>
  </si>
  <si>
    <t>People in stands watch as two bulls walk around in a bullfighting ring, other people walk around in the ring taking pictures.</t>
  </si>
  <si>
    <t>The bulls lock horns, and are aggressive toward one another.</t>
  </si>
  <si>
    <t>One bull walks away from the other one, and then quickly turns to reengage in the fight.</t>
  </si>
  <si>
    <t>The bulls circle one another.</t>
  </si>
  <si>
    <t>The bulls begin to fight.</t>
  </si>
  <si>
    <t>v_w8PqH7bltJQ</t>
  </si>
  <si>
    <t>man is standing in a workshop standing in front of a bicycle talking to the camera.</t>
  </si>
  <si>
    <t>list of materials is shown in the screen.</t>
  </si>
  <si>
    <t>man is putting red tape on bicycle bars.</t>
  </si>
  <si>
    <t>the man is wrapping all the bar in the red tape.</t>
  </si>
  <si>
    <t>v_kM6v-XN8Ixo</t>
  </si>
  <si>
    <t>A man throws a frisbee on a field.</t>
  </si>
  <si>
    <t>A dog jumps and grabs the frisbee in the air.</t>
  </si>
  <si>
    <t>The man lays on his back and the dog stands on his feet.</t>
  </si>
  <si>
    <t>The man bends down and the dog jumps on his back.</t>
  </si>
  <si>
    <t>The dog runs and jumps into the mans arms and the man carries him.</t>
  </si>
  <si>
    <t>v_539ByIcbUPs</t>
  </si>
  <si>
    <t>A woman speaks to the camera.</t>
  </si>
  <si>
    <t>Many lemons fall onto a counter.</t>
  </si>
  <si>
    <t>The woman grabs a wooden bowl and pours brown sugar into it.</t>
  </si>
  <si>
    <t>She grabs a lemon and rubs brown sugar all over the lemon.</t>
  </si>
  <si>
    <t>She proceeds to rub two lemons onto the counter.</t>
  </si>
  <si>
    <t>With a knife, she cuts a lemon in half.</t>
  </si>
  <si>
    <t>She squeezes lemon juice into a bowl.</t>
  </si>
  <si>
    <t>She pours the squeezed lemon juice into a pitcher.</t>
  </si>
  <si>
    <t>She pours boiling water into the bowl with brown sugar in it.</t>
  </si>
  <si>
    <t>Shes pours the watered brown sugar into the pitcher and stirs.</t>
  </si>
  <si>
    <t>She breaks ice cubes by hitting them with a spoon.</t>
  </si>
  <si>
    <t>She places the ice into a glass and adds the lemonade.</t>
  </si>
  <si>
    <t>Lastly, she takes a sip of the lemonade she just made.</t>
  </si>
  <si>
    <t>v_047dUA_39x8</t>
  </si>
  <si>
    <t>A cowboy rides a horse out of a corral and enters into a fenced off area.</t>
  </si>
  <si>
    <t>The man rides his horse out of the fenced are and throws a rope around a cattle.</t>
  </si>
  <si>
    <t>The man is helped by other cowboys while tying up the cattle.</t>
  </si>
  <si>
    <t>v_cdHBwzbNI5Y</t>
  </si>
  <si>
    <t>A girl in a sparkling outfit marches onto the court followed by other girls.</t>
  </si>
  <si>
    <t>They are holding batons as they march.</t>
  </si>
  <si>
    <t>They then walk away, off the court.</t>
  </si>
  <si>
    <t>v_8eGaK2mVEhY</t>
  </si>
  <si>
    <t>An indoor track is shown as a male begins running with a pole vault but he isn't successful in his jump.</t>
  </si>
  <si>
    <t>Another person then comes behind the camera and begins talking.</t>
  </si>
  <si>
    <t>The athlete then does his jump several more times but he isn't successful.</t>
  </si>
  <si>
    <t>v_ZIbrxshdMu0</t>
  </si>
  <si>
    <t>Older people play croquet near the ocean.</t>
  </si>
  <si>
    <t>A group of people come and walk by in the background.</t>
  </si>
  <si>
    <t>The two groups play and interact with each other.</t>
  </si>
  <si>
    <t>v_Pw0ANcAM-zc</t>
  </si>
  <si>
    <t>A man l dead lifts a weight bar from the ground over his head in a gym.</t>
  </si>
  <si>
    <t>The man does repetitions lifting a weight bar up off the ground to waist level.</t>
  </si>
  <si>
    <t>v_r9vcB6tc1mM</t>
  </si>
  <si>
    <t>There are two men using defense techniques as a way of dance moves.</t>
  </si>
  <si>
    <t>They are in the middle of a circle of people, who are clapping.</t>
  </si>
  <si>
    <t>Two other men come in from the crowd to try and dance, but the video ends.</t>
  </si>
  <si>
    <t>v_REOP3JWB0yc</t>
  </si>
  <si>
    <t>A man is seen wearing sunglasses and speaking to the camera while holding a lacrosse stick.</t>
  </si>
  <si>
    <t>The man continues to speak to the camera while moving the stick all around.</t>
  </si>
  <si>
    <t>In the end is seen still speaking while moving his legs as well as showing how to properly throw the ball.</t>
  </si>
  <si>
    <t>v_xXRKrdnuZBQ</t>
  </si>
  <si>
    <t>A man is seen speaking to the camera and leads into clips of him hitting a ball around with a stick.</t>
  </si>
  <si>
    <t>The man continues speaking to the camera in several spots and as well as hitting the ball around an indoor area.</t>
  </si>
  <si>
    <t>v_jSxu2GOiBO0</t>
  </si>
  <si>
    <t>An introduction comes onto the screen for a video about how to ski.</t>
  </si>
  <si>
    <t>A man begins to talk about some key components of skiing and how to go about learning how to ski.</t>
  </si>
  <si>
    <t>The video then goes to video of people skiing down a slope while twisting and turning from side to side.</t>
  </si>
  <si>
    <t>A scene is shown of three men talking while riding up the ski lift.</t>
  </si>
  <si>
    <t>The closing credits and graphics are shown at the end.</t>
  </si>
  <si>
    <t>v_tSUzEX6ps0s</t>
  </si>
  <si>
    <t>A Subway employee is standing in the kitchen preparing sub.</t>
  </si>
  <si>
    <t>On a white piece is of paper is a foot long piece of bread and a row of ham,pepperoni,salami then cheese are added on the sub.</t>
  </si>
  <si>
    <t>Next,the man puts the sub in the oven to be toasted and moves a tray of cookies to the other side of the counter.</t>
  </si>
  <si>
    <t>As he waits,he begins talking to his friend and checking the cookies.</t>
  </si>
  <si>
    <t>Now,the sub is toasted a lettuce and tomatoes are added along with cucumbers,anchovies,oil,vinegar and mayo.</t>
  </si>
  <si>
    <t>The sub is finally finished cut in half,rolled in paper, and then totaled out on the register.</t>
  </si>
  <si>
    <t>v_MysxDDxgHNo</t>
  </si>
  <si>
    <t>Several boys are interacting in an ice rink.</t>
  </si>
  <si>
    <t>Two boys that are sliding on their knees towards each other collide and fall back.</t>
  </si>
  <si>
    <t>A boy releases a curling stone.</t>
  </si>
  <si>
    <t>Three boys walk together across on the ice.</t>
  </si>
  <si>
    <t>v_RhsCYNiAaV8</t>
  </si>
  <si>
    <t>Title cards flash across the screen.</t>
  </si>
  <si>
    <t>Images of rafts are shown.</t>
  </si>
  <si>
    <t>We see people sitting in their raft then start rowing.</t>
  </si>
  <si>
    <t>A waterfall spills into the raft.</t>
  </si>
  <si>
    <t>Two boats of rafters raft down a river.</t>
  </si>
  <si>
    <t>The first boat splashes the rear boat.</t>
  </si>
  <si>
    <t>The rafters splash each other.</t>
  </si>
  <si>
    <t>A raft turns over in the water and rafters float to the river bank.</t>
  </si>
  <si>
    <t>A van is then driving down the road.</t>
  </si>
  <si>
    <t>The end title card appears on the screen.</t>
  </si>
  <si>
    <t>v_aTl4KzTuJoU</t>
  </si>
  <si>
    <t>A man is in the ocean water, holding a rope.</t>
  </si>
  <si>
    <t>He is attached to a boat while he is on water skis.</t>
  </si>
  <si>
    <t>He lifts himself up, skiing in the waves.</t>
  </si>
  <si>
    <t>v_36lphp9tnMk</t>
  </si>
  <si>
    <t>A man is standing outside drinking beer.</t>
  </si>
  <si>
    <t>People are standing around watching him.</t>
  </si>
  <si>
    <t>He sets the beer glass down on a table.</t>
  </si>
  <si>
    <t>v_1y9s_l_DIEk</t>
  </si>
  <si>
    <t>A woman holds two big gloves where two little girls tap with both hands.</t>
  </si>
  <si>
    <t>Then, the woman puts the globes on front her chest.</t>
  </si>
  <si>
    <t>People practice karate in a room.</t>
  </si>
  <si>
    <t>v_PVAV7PdHhgE</t>
  </si>
  <si>
    <t>A person holds a boy that is on a swing rod, and then push the rod.</t>
  </si>
  <si>
    <t>Then, the boy swings on the rod to impulse his body to swing in circles until the rod loss force.</t>
  </si>
  <si>
    <t>After, a man helps stop the swing rod, while other people are fixing something.</t>
  </si>
  <si>
    <t>A young man wearing yellow t-shirt move his arms.</t>
  </si>
  <si>
    <t>v_npzRJiGHc9c</t>
  </si>
  <si>
    <t>A field hockey game is being played.</t>
  </si>
  <si>
    <t>As a team is trying to score,a player in a white shirt ducks as the puck flies over her head.</t>
  </si>
  <si>
    <t>After the puck goes through the goalie,the young lady smiles as she goes over to the sideline and is given a high five from her coach.</t>
  </si>
  <si>
    <t>v_R7uL6BvULN8</t>
  </si>
  <si>
    <t>Two people are carrying kite surf boards to the water and we see people riding them in the water.</t>
  </si>
  <si>
    <t>We see the board up close.</t>
  </si>
  <si>
    <t>We see a man riding and come to a stop.</t>
  </si>
  <si>
    <t>We see the board up close again.</t>
  </si>
  <si>
    <t>We see the man riding the board in the water again.</t>
  </si>
  <si>
    <t>v_h5fX5z-unJc</t>
  </si>
  <si>
    <t>A man wearing a white shirt is playing pool in a recreation room.</t>
  </si>
  <si>
    <t>There are some other players standing besides the pool table.</t>
  </si>
  <si>
    <t>The man playing pool hits the balls as he continues playing the game.</t>
  </si>
  <si>
    <t>v_bFHpaULTwsE</t>
  </si>
  <si>
    <t>A tree and mulching materials are show, then a man prepares the area around the tree.</t>
  </si>
  <si>
    <t>Then the man put mulch around the tree and gives form with a rack.</t>
  </si>
  <si>
    <t>v_K-E0UXNscjU</t>
  </si>
  <si>
    <t>A woman is seen throwing a dart to the board and looking back laughing while another watches from far away.</t>
  </si>
  <si>
    <t>She throws more darts onto the board while stopping to grab them and a man bending down beside her.</t>
  </si>
  <si>
    <t>v_9Tip00S7cFY</t>
  </si>
  <si>
    <t>A man is in an indoor racquetball court, talking as he holds a ball and racquet.</t>
  </si>
  <si>
    <t>He lobs the ball back and forth against the wall, interspersed with talking about the game.</t>
  </si>
  <si>
    <t>He speaks for a while longer before the video ends.</t>
  </si>
  <si>
    <t>v_tdHQb9Uwc4A</t>
  </si>
  <si>
    <t>Two men are standing on an indoor gym and in sync they both start jumping on their metal bouncy stits and they both do a backflip.</t>
  </si>
  <si>
    <t>Various clips of various different people also wearing the bouncy stilts play and they're all running, flipping and doing various tricks while landing onto blue mats in an indoor gym.</t>
  </si>
  <si>
    <t>Now there are a lot of people outdoors, both men and women, and they are all running, hopping, jumping, and doing flips outdoors.</t>
  </si>
  <si>
    <t>A large group of them all line up and a view from above show that they have formed the number 7.</t>
  </si>
  <si>
    <t>Various still shot pictures show and clips of more people outdoors in a different area play and they're all also jumping over poles, doing flips, jumps, running and etcetera.</t>
  </si>
  <si>
    <t>Now there are people jumping into the water with their bouncy stilts, then back in a large grassy area until a black screen appears and a lot of white words and websites scroll quickly from bottom to top.</t>
  </si>
  <si>
    <t>v_3ArMGKnxlcU</t>
  </si>
  <si>
    <t>People are canoeing down a river of water.</t>
  </si>
  <si>
    <t>They are going around poles in the water.</t>
  </si>
  <si>
    <t>They go under a bridge.</t>
  </si>
  <si>
    <t>v_Dty6AUdBdrE</t>
  </si>
  <si>
    <t>A little girl in gray and printed coat is standing at the center of dry leaves, she walked away from the pile of leaves, grab handful and put it on one side.</t>
  </si>
  <si>
    <t>A woman in gray sweater and blue pants walk from the girl's behind then towards her, the lady is carrying a rake.</t>
  </si>
  <si>
    <t>The little girl came up to her and try to reach for the rake.</t>
  </si>
  <si>
    <t>The woman adjusted the handle of the rake to make it shorter and handed to the girl.</t>
  </si>
  <si>
    <t>The little girl tried to rake but it wouldn't move so the woman sat beside the girl and take the rake from her, while the little girl got distracted by the kids running down the street.</t>
  </si>
  <si>
    <t>The little girl continue to rake, while the lady take a bigger rake and started to rake the leaves.</t>
  </si>
  <si>
    <t>v_h_Kt_rqmODs</t>
  </si>
  <si>
    <t>A person is walking along the street that has chalk on it.</t>
  </si>
  <si>
    <t>A person in a red shirt is hopping along the street with the chalk on it.</t>
  </si>
  <si>
    <t>They finish and smile at the camera.</t>
  </si>
  <si>
    <t>v_G4fSvtn1HAw</t>
  </si>
  <si>
    <t>This is a recipe for making chocolate chip cookies.</t>
  </si>
  <si>
    <t>Chocolate bars are cut up with a knife.</t>
  </si>
  <si>
    <t>Butter is microwaved and prepared with sugar and other ingredients.</t>
  </si>
  <si>
    <t>Everything is stirred and the chocolate is put in.</t>
  </si>
  <si>
    <t>The cookies are shaped and put in an oven.</t>
  </si>
  <si>
    <t>v_LIaNG_UliKk</t>
  </si>
  <si>
    <t>man is sitting in the driver's seat.</t>
  </si>
  <si>
    <t>people are in snowy mountain snowboarding.</t>
  </si>
  <si>
    <t>v_aFdYbgmbOeY</t>
  </si>
  <si>
    <t>Someone grabs a rubix cube off of their desk and begin to solve it.</t>
  </si>
  <si>
    <t>They are moving so fast, they put it down for a split second.</t>
  </si>
  <si>
    <t>They pick it back up quickly and get back to it, moving so fast again.</t>
  </si>
  <si>
    <t>When they finally solve the cube they show their time, it took them only 33,91 to solve the cube.</t>
  </si>
  <si>
    <t>v_PJvOR4ue3tU</t>
  </si>
  <si>
    <t>The man in black shirt is walking and then raised the ball up.</t>
  </si>
  <si>
    <t>The man put the ball on his neck and started to turn around and threw the ball.</t>
  </si>
  <si>
    <t>The man cheered and gave a high five to other man, then he is so happy he went to the ground on his stomach and he continue to cheer.</t>
  </si>
  <si>
    <t>v_yBjsQN4fzVY</t>
  </si>
  <si>
    <t>There's a woman in a pink dress sitting with a man in a gray shirt.</t>
  </si>
  <si>
    <t>They are talking about brushing teeth in underwear and how it is banned by Metacafe.</t>
  </si>
  <si>
    <t>The man has a script in his hand that he's reading.</t>
  </si>
  <si>
    <t>A man in folded pants is walking on the beach.</t>
  </si>
  <si>
    <t>He picks up a toothbrush from the sand and begins brushing his teeth.</t>
  </si>
  <si>
    <t>The woman in the bathroom is brushing her teeth and is attacked by a man with a knife.</t>
  </si>
  <si>
    <t>There is blood splattered all over the bathroom.</t>
  </si>
  <si>
    <t>The injured woman gets up and looks in the mirror only find out that she has the face of the man from the beach.</t>
  </si>
  <si>
    <t>The same man is now back on the beach, walking along the shore.</t>
  </si>
  <si>
    <t>v_6fjc0Brqa7A</t>
  </si>
  <si>
    <t>Various shots of landscapes are shown followed by a woman speaking to the camera, gearing up, and riding behind a vehicle.</t>
  </si>
  <si>
    <t>The person walks around and interacts with the driver and leads into more clips of the person riding a board behind a car.</t>
  </si>
  <si>
    <t>A man speaks into a walkie talkie and showing the speed of the car as well as people celebrating and the man receiving a plaque.</t>
  </si>
  <si>
    <t>v_h3GLEcwSvD4</t>
  </si>
  <si>
    <t>A group of men are in a room doing various hand movements and moving their feet.</t>
  </si>
  <si>
    <t>As they continue,the man in the back falls on the ground,gets up and continues moving in the back of the room.</t>
  </si>
  <si>
    <t>They finish,stand still and begin clapping and high-fiving one another.</t>
  </si>
  <si>
    <t>v_aBr9bdWrl0I</t>
  </si>
  <si>
    <t>blonde woman is raking dry leaves in a backyard and dog is playing with them running.</t>
  </si>
  <si>
    <t>dog is unning in the backyard and is drinkin water from a smal fountain and keep running through the field playing with the leaves while the woman keep raking.</t>
  </si>
  <si>
    <t>v_tnavaGow7BI</t>
  </si>
  <si>
    <t>Two people are standing behind a counter.</t>
  </si>
  <si>
    <t>One person is adding peppers to a salad.</t>
  </si>
  <si>
    <t>Another person is chopping the pepper on a board.</t>
  </si>
  <si>
    <t>v_LW8UDBQ1yJc</t>
  </si>
  <si>
    <t>The opening credits for a film appears on the screen.</t>
  </si>
  <si>
    <t>Several young men are shown performing various stunts on skateboards.</t>
  </si>
  <si>
    <t>They jump on tables, over fountains, and down stairs.</t>
  </si>
  <si>
    <t>v_-kky8-yaEPg</t>
  </si>
  <si>
    <t>A man is stirring something in a pot.</t>
  </si>
  <si>
    <t>The first man leaves the scene as a second man enters and stirs something in a bowl.</t>
  </si>
  <si>
    <t>The first man walks into and out of frame.</t>
  </si>
  <si>
    <t>The camera pans left to watch the first man working at an oven.</t>
  </si>
  <si>
    <t>v_hK3E6njydQA</t>
  </si>
  <si>
    <t>People in uniforms of various characters are shown running around a green field.</t>
  </si>
  <si>
    <t>Then, a lacrosse game begins and they compete against one another.</t>
  </si>
  <si>
    <t>The large yellow character attempts to get a goal but isn't successful and he falls to his knee in disappointment.</t>
  </si>
  <si>
    <t>v_ivivR6ZdgRM</t>
  </si>
  <si>
    <t>A man in a denim shirt and black baseball cap plays the harmonica at the beach in front of a sandy shore, ocean water and a grass and flower covered knoll.</t>
  </si>
  <si>
    <t>The man is standing at the top of a short wooden staircase, and, leaning against the railing the man begins to play the harmonica covering the entire instrument with both hands while playing.</t>
  </si>
  <si>
    <t>A beach goer in shorts walks past him in the distance on the wet sand of the beach.</t>
  </si>
  <si>
    <t>The man continues to play the harmonica ending by pulling the harmonica away from the mouth and wriggling a large, puffy, mustache dramatically.</t>
  </si>
  <si>
    <t>v_B6W_0AvgGTY</t>
  </si>
  <si>
    <t>A man and dog are seen standing in a field with the dog looking to the owner.</t>
  </si>
  <si>
    <t>The man throws a frisbee off into the distance and the dog chases after it.</t>
  </si>
  <si>
    <t>The dog grabs the frisbee and runs back to the man.</t>
  </si>
  <si>
    <t>v_XuFiQCgRsRo</t>
  </si>
  <si>
    <t>A young woman is in a gym.</t>
  </si>
  <si>
    <t>She sits on an exercise machine while speaking to the camera.</t>
  </si>
  <si>
    <t>Three other people are near her, also on exercise machines.</t>
  </si>
  <si>
    <t>The woman then begins to use the exercise machine.</t>
  </si>
  <si>
    <t>The video ends with the woman stopping the machine and smiling at the camera.</t>
  </si>
  <si>
    <t>v_6SWx37_Byzs</t>
  </si>
  <si>
    <t>A man and woman are seen performing a dancing routine on a floor with one another.</t>
  </si>
  <si>
    <t>The man and woman are also seen in shots dancing by themselves and leads into them dancing together again.</t>
  </si>
  <si>
    <t>v_ZREEgMgSz_o</t>
  </si>
  <si>
    <t>A girl stands in a bathroom talking to the camera as a man films her.</t>
  </si>
  <si>
    <t>The lady wipes her eye makeup off and washes her face.</t>
  </si>
  <si>
    <t>the lady rinses the soap off her face.</t>
  </si>
  <si>
    <t>The lady stands upright and wipes her face with her hands while smiling.</t>
  </si>
  <si>
    <t>v_cfwJd80WCZU</t>
  </si>
  <si>
    <t>A man walking on metal stilts is bouncing a basketball with his right hand as a man passes him on rollerblades in the opposite direction.</t>
  </si>
  <si>
    <t>The man on stilts turns around while still bouncing the ball, loses control for a little bit, but steps it up and bounces is again.</t>
  </si>
  <si>
    <t>The man then grabs the basketball with two hands and pretends that he's going to throw it towards the camera.</t>
  </si>
  <si>
    <t>v_7g3YO0-R4qk</t>
  </si>
  <si>
    <t>A swimming pool is shown in a room.</t>
  </si>
  <si>
    <t>Men are shown jumping into the pool and swimming laps.</t>
  </si>
  <si>
    <t>v_ir1jpnsK5p8</t>
  </si>
  <si>
    <t>Cars move on a road adjacent to a home.</t>
  </si>
  <si>
    <t>A person is power washing.</t>
  </si>
  <si>
    <t>The person is soaking up water and debris with a vacuum.</t>
  </si>
  <si>
    <t>A man is painting the wall, light blue.</t>
  </si>
  <si>
    <t>The man is painting the wall and floor of a roof, black.</t>
  </si>
  <si>
    <t>v_SZqwvjwqwK4</t>
  </si>
  <si>
    <t>A man is playing the drums while wearing earphones.</t>
  </si>
  <si>
    <t>We see the man's feet in the upper corner.</t>
  </si>
  <si>
    <t>the mans' feet return in the corner.</t>
  </si>
  <si>
    <t>We see a game being played before returning to the drummer.</t>
  </si>
  <si>
    <t>We see another scene from the game.</t>
  </si>
  <si>
    <t>The man throws and catches one of his drumsticks.</t>
  </si>
  <si>
    <t>We see a closing screen with a website on it.</t>
  </si>
  <si>
    <t>v_lzcVvTHZlQo</t>
  </si>
  <si>
    <t>A shot is seen of two men performing an arm wrestling match together while the audience cheers.</t>
  </si>
  <si>
    <t>One man beats the other and the two hold up their arms to cheer and everybody celebrates.</t>
  </si>
  <si>
    <t>One man in the audience looks disappointing and the winner holds up a boy.</t>
  </si>
  <si>
    <t>v_xcI2e5T_BL0</t>
  </si>
  <si>
    <t>A man is scooping out the inside of a watermelon.</t>
  </si>
  <si>
    <t>He eats a piece of the watermelon.</t>
  </si>
  <si>
    <t>He draws on the side of the watermelon.</t>
  </si>
  <si>
    <t>He starts cutting out portions of the watermelon to carve it.</t>
  </si>
  <si>
    <t>He pulls out a piece of the watermelon skin.</t>
  </si>
  <si>
    <t>He continues drawing and cutting the watermelon.</t>
  </si>
  <si>
    <t>He shows the carved watermelon.</t>
  </si>
  <si>
    <t>The lights turn off and he shows the carved watermelon.</t>
  </si>
  <si>
    <t>v_Isx1Q5wyJZg</t>
  </si>
  <si>
    <t>Two girls spin double jump ropes while a girl in a black skirt jumps and a crowd of spectators watches on.</t>
  </si>
  <si>
    <t>A girl in jeans enters the ropes and performs different jumping moves.</t>
  </si>
  <si>
    <t>A girl in a blue shirt enters the jump ropes and performs different moves while jumping.</t>
  </si>
  <si>
    <t>A girl enters the jump ropes going extra fast speed and performs fast jumps.</t>
  </si>
  <si>
    <t>v_s1E6EKs1MZw</t>
  </si>
  <si>
    <t>A man in a gorilla suit is playing a saxophone in the middle of a store.</t>
  </si>
  <si>
    <t>The employees look on and laugh at the person playing and use their phones to take pictures.</t>
  </si>
  <si>
    <t>The gorillas reaches out to grab one of the employees hands and the man is very embarrassed by it.</t>
  </si>
  <si>
    <t>They talk to each other a bit and the other employees begin to clap excitedly.</t>
  </si>
  <si>
    <t>The Gorilla suit man plays the sax some more as everyone is still laughing.</t>
  </si>
  <si>
    <t>He plays and plays to the camera as the video comes to an end.</t>
  </si>
  <si>
    <t>v_wC-k0Zfx-cM</t>
  </si>
  <si>
    <t>People are sumo wrestling on a mat.</t>
  </si>
  <si>
    <t>People are playing the drums.</t>
  </si>
  <si>
    <t>Sumo wrestlers are talking to the camera.</t>
  </si>
  <si>
    <t>v_nOm1JLcBD30</t>
  </si>
  <si>
    <t>A small group of people are seen riding around bumper cars and crashing into one another.</t>
  </si>
  <si>
    <t>The group continues driving around and passing one another.</t>
  </si>
  <si>
    <t>The people continue driving the cars and passing one another.</t>
  </si>
  <si>
    <t>v_BuaWU70q7cE</t>
  </si>
  <si>
    <t>A teenaged boy and his mother are sitting in bed dressed very relaxed and talking about how to wrap gifts.</t>
  </si>
  <si>
    <t>He gets side tracked on his phone and then gets back to business, they start cutting the wrapping paper.</t>
  </si>
  <si>
    <t>They put the presents in the middle of the paper and try to start wrapping.</t>
  </si>
  <si>
    <t>They seems to have different techniques as the son finishes much faster and mom's comes out looking a little bit better.</t>
  </si>
  <si>
    <t>v_mS7SAG1nW1o</t>
  </si>
  <si>
    <t>A woman is in a stable with a white horse.</t>
  </si>
  <si>
    <t>She shows a collection of brushes and grooming supplies.</t>
  </si>
  <si>
    <t>She pets the horse as she talks, and tries to keep him calm.</t>
  </si>
  <si>
    <t>She uses the brushes to groom him thoroughly, then cleans his hooves.</t>
  </si>
  <si>
    <t>v_cy3a8BJJ-YQ</t>
  </si>
  <si>
    <t>A small group of people are seen sitting around a poker table with a woman dealing cards in front.</t>
  </si>
  <si>
    <t>The woman deals cards to the people while they put their cards and chips in the middle.</t>
  </si>
  <si>
    <t>The dealer continues playing with the people and looking off into the distance.</t>
  </si>
  <si>
    <t>v_JZK-HJ-Tdw4</t>
  </si>
  <si>
    <t>We see an animated opening scene.</t>
  </si>
  <si>
    <t>We see see man run with a pole and perform a high jump.</t>
  </si>
  <si>
    <t>The man knocks the pole down and lays down in disappointment.</t>
  </si>
  <si>
    <t>We see the man holding his pole and make his 2nd attempt knocking over the pole.</t>
  </si>
  <si>
    <t>The man tries a third time and the poles stays up.</t>
  </si>
  <si>
    <t>The man raises his arms in the air.</t>
  </si>
  <si>
    <t>We then see attempt 1,2 and 3 again.</t>
  </si>
  <si>
    <t>The man raises his arms in the air for the crowd.</t>
  </si>
  <si>
    <t>The man throws his arms in the air and falls to the ground.</t>
  </si>
  <si>
    <t>v_cwVZNpqc-mQ</t>
  </si>
  <si>
    <t>A man in a black shirt is sitting down playing a drum set.</t>
  </si>
  <si>
    <t>He stops playing and starts talking into a microphone.</t>
  </si>
  <si>
    <t>v_hHiPEAiYKv0</t>
  </si>
  <si>
    <t>A man is shoveling snow off his driveway in a heavy snow storm.</t>
  </si>
  <si>
    <t>He is wearing winter clothing and his fully covered.</t>
  </si>
  <si>
    <t>Another man is also shoveling snow off of he walkway of the house is not wearing any winter gear.</t>
  </si>
  <si>
    <t>They both continue to shovel and clean the snow in the heavy snow storm.</t>
  </si>
  <si>
    <t>v_vbyMT7bdUX4</t>
  </si>
  <si>
    <t>A woman is sitting in front of a table covered in wrapping supplies.</t>
  </si>
  <si>
    <t>She shows off a mug filled with gifts.</t>
  </si>
  <si>
    <t>She places it in cut cellophane, the wraps it around the present.</t>
  </si>
  <si>
    <t>She then ties it off with colorful ribbons.</t>
  </si>
  <si>
    <t>v_FOlMVTmAeaQ</t>
  </si>
  <si>
    <t>A male athlete is shown and he spins around and throws the discus.</t>
  </si>
  <si>
    <t>Once complete,two people rush out to measure the distance.</t>
  </si>
  <si>
    <t>The sequence is then continued and other men are shown throwing the discus.</t>
  </si>
  <si>
    <t>v_k3MFZmhXynI</t>
  </si>
  <si>
    <t>A person is seen pushing a lawn mower all around a yard while moving around in fast motion.</t>
  </si>
  <si>
    <t>The person continues moving around to cut the grass and the camera captures his movements.</t>
  </si>
  <si>
    <t>v_3vVhq-v5-wM</t>
  </si>
  <si>
    <t>A person is seen grabbing a bowling ball and winding his arm while other people bowl around him.</t>
  </si>
  <si>
    <t>The man throws the ball and hits several pins while running back and cheering to the camera.</t>
  </si>
  <si>
    <t>v_14AnvDNV5BI</t>
  </si>
  <si>
    <t>A young man sits on a cardio machine.</t>
  </si>
  <si>
    <t>Then, the man grans the handle of the machine.</t>
  </si>
  <si>
    <t>After, the man pulls the handle of la machine to do abs.</t>
  </si>
  <si>
    <t>v_soE6TfvOiIo</t>
  </si>
  <si>
    <t>A news man is talking in front of an image of a bulldog puppy.</t>
  </si>
  <si>
    <t>Doors open to a store, with various images of people working on different projects.</t>
  </si>
  <si>
    <t>A man shows how he received prostetic legs for the dog.</t>
  </si>
  <si>
    <t>The dog is shown with his new legs as they heal.</t>
  </si>
  <si>
    <t>In the final scene, the dog is walking along with a leashed pet pig.</t>
  </si>
  <si>
    <t>v_68kccxCgbys</t>
  </si>
  <si>
    <t>A title screen appears and then several paragraphs begin to roll over the screen.</t>
  </si>
  <si>
    <t>Next,a man with average sized curly black hair dressed in a suit begins to talk.</t>
  </si>
  <si>
    <t>When he is finished,a man is shown playing the saxophone at a night time television show and then the man comes back to finish talking.</t>
  </si>
  <si>
    <t>v_WYyqptHdgkk</t>
  </si>
  <si>
    <t>The man is on his feet bouncing towards the camera while standing on a tight flat ribbon that is connected to two very tall rock walls.</t>
  </si>
  <si>
    <t>The man then turns around and starts bouncing on his backside then back and forth onto his feet and backside while holding and letting go of the ribbon.</t>
  </si>
  <si>
    <t>The man continues to do tricks on the tight ribbon until he gets off of the ribbon and walks away smiling.</t>
  </si>
  <si>
    <t>v_YaIuavIbk6A</t>
  </si>
  <si>
    <t>An introduction comes onto the screen for a video about a sporting competition.</t>
  </si>
  <si>
    <t>A woman is interviewing another woman about the competition and all the events.</t>
  </si>
  <si>
    <t>Several clips are shown of people enjoying different sports and activities.</t>
  </si>
  <si>
    <t>After the interview ends, the closing credits are shown with graphics.</t>
  </si>
  <si>
    <t>v_O8tsM_ilGx4</t>
  </si>
  <si>
    <t>A cowboy riding a horse exits a gate.</t>
  </si>
  <si>
    <t>He ropes a little calf with a lasso.</t>
  </si>
  <si>
    <t>He jumps down and ties up the calf.</t>
  </si>
  <si>
    <t>v_poI4vU4k1sY</t>
  </si>
  <si>
    <t>A cue ball rolls on a table slowly away from the pocket.</t>
  </si>
  <si>
    <t>A man stands holding a touch screen discussing.</t>
  </si>
  <si>
    <t>Men compete and play a games of billiards.</t>
  </si>
  <si>
    <t>v__79Qlv1SQ9k</t>
  </si>
  <si>
    <t>A leg wearing a blue pants with red and white lines is shown, it moves on the snow, the legs were crossed as the lifebuoy moves on the snow.</t>
  </si>
  <si>
    <t>A person from afar is on a lifebuoy sliding on the snow.</t>
  </si>
  <si>
    <t>v_8ErMpNsK3_c</t>
  </si>
  <si>
    <t>A little girl swings across the monkey bars on a playground.</t>
  </si>
  <si>
    <t>Her mother talks as she watches her slide to the ground and start again.</t>
  </si>
  <si>
    <t>v_UZIs0_W2Akw</t>
  </si>
  <si>
    <t>A close up of a horse is shown followed by a woman walking into frame and brushing the horse.</t>
  </si>
  <si>
    <t>She continues brushing the horse in various spots and ends with her feeding the horse.</t>
  </si>
  <si>
    <t>v_AJ_QqCET1iY</t>
  </si>
  <si>
    <t>He does a gymnastics routine on the balance beam.</t>
  </si>
  <si>
    <t>He dismounts and lands on a blue mat.</t>
  </si>
  <si>
    <t>He waves at the crowd and walks off.</t>
  </si>
  <si>
    <t>v_T3DSDybuBsU</t>
  </si>
  <si>
    <t>The camera pans around a large group of people holding bows and arrows followed by several shots of them shooting the arrows.</t>
  </si>
  <si>
    <t>Several man run across the field as they shoot arrows at them that lead into sword fights and people being injured.</t>
  </si>
  <si>
    <t>People throw sponges at a man, fist fight, and shoot more arrows at others.</t>
  </si>
  <si>
    <t>v_TxxUmibEy9Q</t>
  </si>
  <si>
    <t>A woman is standing and walking inside a store.</t>
  </si>
  <si>
    <t>She walks up to a man and shakes his hand.</t>
  </si>
  <si>
    <t>She walks away, perusing the items on the shelves before leaning onto the counter, flexing her biceps.</t>
  </si>
  <si>
    <t>The woman shows the man her biceps before engaging in arm wrestling with him.</t>
  </si>
  <si>
    <t>She sits beside the counter, continuing to talk with him for a while.</t>
  </si>
  <si>
    <t>v_qZTAv1s_eBQ</t>
  </si>
  <si>
    <t>man is running wearing stilts in a green grassy field.</t>
  </si>
  <si>
    <t>cars are parked on side of a street in the background.</t>
  </si>
  <si>
    <t>man get ous the grass and runs into a street.</t>
  </si>
  <si>
    <t>v_Nr49JFixNE4</t>
  </si>
  <si>
    <t>People are standing in a gymnasium talking.</t>
  </si>
  <si>
    <t>They start running and throwing balls at each other.</t>
  </si>
  <si>
    <t>v_XJ-knBky6S0</t>
  </si>
  <si>
    <t>A man is seen standing at the end of a dock and looking back to people partying.</t>
  </si>
  <si>
    <t>The man walks up and sees two people performing martial arts in the middle of a circle.</t>
  </si>
  <si>
    <t>The people continuing moving around while others watch on the side and the soldier joining in as well.</t>
  </si>
  <si>
    <t>v_EMOfWVKMqDM</t>
  </si>
  <si>
    <t>There's a young woman who is curling in a curling rink.</t>
  </si>
  <si>
    <t>There are several other players who are also curling.</t>
  </si>
  <si>
    <t>Various pictures of that same woman are being shown posing for some sort of photo shoot.</t>
  </si>
  <si>
    <t>The woman seems a bit distressed about the game.</t>
  </si>
  <si>
    <t>She is posing for a photo shoot with a curling rock.</t>
  </si>
  <si>
    <t>v_abWGVKYPffM</t>
  </si>
  <si>
    <t>A man is using a weed whacker to trim bushes.</t>
  </si>
  <si>
    <t>He turns away from the bushes and cuts weeds on the ground.</t>
  </si>
  <si>
    <t>v_q59X9izcjQc</t>
  </si>
  <si>
    <t>Various clips are shown of a woman standing and pointing on a beach that lead into her dragging along a board and and adjusting it on the water.</t>
  </si>
  <si>
    <t>The woman then grabs onto the board and moves around the water while demonstrating proper moves and the camera moving all around others.</t>
  </si>
  <si>
    <t>v_6Kbv1OpIpaA</t>
  </si>
  <si>
    <t>A boy is sitting in the room with three guitars and begins to play all three of them with a violin bow.</t>
  </si>
  <si>
    <t>The man then begins to play the one guitar that is on his lap with his fingers and finishes the song.</t>
  </si>
  <si>
    <t>v_cWdWucjUhks</t>
  </si>
  <si>
    <t>A person does a routine on parallel bars.</t>
  </si>
  <si>
    <t>He does his routine and then dismounts.</t>
  </si>
  <si>
    <t>v_cUEGoRjraxM</t>
  </si>
  <si>
    <t>Dog owner stand with and hold their dogs.</t>
  </si>
  <si>
    <t>People play with their dogs in a park with obstacles.</t>
  </si>
  <si>
    <t>A group holds signs with a dog on a city sidewalk.</t>
  </si>
  <si>
    <t>v_Q3cc0HlO7so</t>
  </si>
  <si>
    <t>A man and woman are seen standing on a stage with a spotlight shown on them.</t>
  </si>
  <si>
    <t>The duo begin playing instruments together while looking at one another as well as the camera.</t>
  </si>
  <si>
    <t>The two continue playing with one another and pause to look at the camera.</t>
  </si>
  <si>
    <t>v_Vi2gzCrS-fE</t>
  </si>
  <si>
    <t>A person is seen cutting up a tomato and demonstrating how the knife works on a piece of paper.</t>
  </si>
  <si>
    <t>The person then sharpens the blade on a coffee mug and cuts through the paper.</t>
  </si>
  <si>
    <t>v_IVHmmp3Nsd4</t>
  </si>
  <si>
    <t>The words "Abstract Birds/Oil Painting Katy Jade Dobson" appear on screen.</t>
  </si>
  <si>
    <t>Dobson sketches out a design on white canvas and starts painting it.</t>
  </si>
  <si>
    <t>She stands by her finished work as paint drips in lines down the canvas.</t>
  </si>
  <si>
    <t>v_SfiAcQAPpQ8</t>
  </si>
  <si>
    <t>A man is standing behind a bar.</t>
  </si>
  <si>
    <t>He puts ice into the glass and pours drinks into it.</t>
  </si>
  <si>
    <t>He stirs it with a straw.</t>
  </si>
  <si>
    <t>v_23ApAC123aQ</t>
  </si>
  <si>
    <t>The scene opens up with a carwash and and advertisement.</t>
  </si>
  <si>
    <t>Two men are talking while one is sitting in his car.</t>
  </si>
  <si>
    <t>A man is cleaning a car and talking to the camera.</t>
  </si>
  <si>
    <t>The car is dried and vacuumed, then on to the next car.</t>
  </si>
  <si>
    <t>The customer is handed his keys and he is on his way with a clean car.</t>
  </si>
  <si>
    <t>Two men are messing around while cleaning the car.</t>
  </si>
  <si>
    <t>A sign shows the services they offer.</t>
  </si>
  <si>
    <t>v_Tm0jUAQf6zY</t>
  </si>
  <si>
    <t>A young girl is standing in her living room holding a baton horizontal to her neck while a cat on the ground is moving about.</t>
  </si>
  <si>
    <t>The girl then unbends her arm, lets the baton roll to her hands then begins to do a series of twirling the baton.</t>
  </si>
  <si>
    <t>The cat below walks in and out of the screen while she's twirling the baton and even throws it up in the air, catches it then continues to twirl it.</t>
  </si>
  <si>
    <t>v_6YmUCNIMpB4</t>
  </si>
  <si>
    <t>A man bends on front a hedge holding an electric cutter.</t>
  </si>
  <si>
    <t>The man cuts a long hedge of a garden using an electric cutter.</t>
  </si>
  <si>
    <t>Then, the man removes leaves on top the hedge with his hand.</t>
  </si>
  <si>
    <t>v_GhvNhbL2ivg</t>
  </si>
  <si>
    <t>man is sitting in a room playing congas.</t>
  </si>
  <si>
    <t>keyboard is behind the man playing congsa in a room.</t>
  </si>
  <si>
    <t>man is playing salsa in congas in a music room.</t>
  </si>
  <si>
    <t>v_Vcxv3nyZpSs</t>
  </si>
  <si>
    <t>A girl is riding on a yellow riding lawn mower on a very large yard filled with green grass.</t>
  </si>
  <si>
    <t>When the girl reaches the end of the yard she makes a turn and drives up in the same direction she just came from.</t>
  </si>
  <si>
    <t>When she reaches that end, she makes a turn but it's too tight and she reverses a little.</t>
  </si>
  <si>
    <t>The girl then makes her turn in the opposite direction once again and when she reaches half way down the yard she turns once again and heads up the direction she just came from.</t>
  </si>
  <si>
    <t>v_eMkBTRYwBAU</t>
  </si>
  <si>
    <t>A man in ski jacket on a snowboard holds onto a rope attached to a truck.</t>
  </si>
  <si>
    <t>The truck starts driving and the man is pulled behind on the tow rope.</t>
  </si>
  <si>
    <t>The man maneuvers to pull up parallel with the truck and alternates going back and forth behind the truck.</t>
  </si>
  <si>
    <t>The man slows down before he lets go of the tow rope and comes to a stop.</t>
  </si>
  <si>
    <t>v_xFDQTAemadA</t>
  </si>
  <si>
    <t>A guy is on a horse with a white long rope that has a big circle tied at the end and seems to be waiting for some blue gates to open.</t>
  </si>
  <si>
    <t>The blue gates open and a little bull runs out and the guy on the horse chase it down.</t>
  </si>
  <si>
    <t>the guy the tosses the rope and catch the bull around the neck while the or end of the rope is tied to the horse.</t>
  </si>
  <si>
    <t>The guy then jumps off the horse,runs to the bull and flip it on his back then tie the bulls legs together.</t>
  </si>
  <si>
    <t>the guy then gets back on his horse while two other guys free the bull from the rope tie and take it away.</t>
  </si>
  <si>
    <t>v_r1dvt537JQU</t>
  </si>
  <si>
    <t>The man is kneeled down to the floor, but he stands up to raise his arm and get on the bars to perform his act.</t>
  </si>
  <si>
    <t>When he's done he flips off and bows, next a girl is shown sitting in the chair and then he is shown performing again but in slow motion.</t>
  </si>
  <si>
    <t>Next, a girl is shown swinging on the uneven bars and when she's done she goes to sit down and talk about what she does.</t>
  </si>
  <si>
    <t>v_pmbHoeudjKc</t>
  </si>
  <si>
    <t>A lady is walking across a lawn.</t>
  </si>
  <si>
    <t>A guy runs and stops on the lawn.</t>
  </si>
  <si>
    <t>A man is standing on a track.</t>
  </si>
  <si>
    <t>The man runs on the track, jumps, and lands in a sand box.</t>
  </si>
  <si>
    <t>The man gets up, falls to the ground, and lays there.</t>
  </si>
  <si>
    <t>v_OJJMEEsOdPQ</t>
  </si>
  <si>
    <t>girl us hanging from a pole in a roofed gym and make a jump to the land pool.</t>
  </si>
  <si>
    <t>woman wwearing a red shirt is standing in front of the pole.</t>
  </si>
  <si>
    <t>little girl is walking in front of he girl doing gymnastics.</t>
  </si>
  <si>
    <t>v_9029wVyGkvg</t>
  </si>
  <si>
    <t>A man stands in front of the camera before being shown playing a game of basketball while punching a man with a pair of boxing gloves.</t>
  </si>
  <si>
    <t>The two men shake hands.</t>
  </si>
  <si>
    <t>v_NWbWuVtgt9Y</t>
  </si>
  <si>
    <t>A man is seen sitting on a bench holding a guitar and speaking to the camera.</t>
  </si>
  <si>
    <t>He points to microphones in front of him and begins strumming the guitar.</t>
  </si>
  <si>
    <t>The man continues to play while moving his hands all around and stopping to look at the camera.</t>
  </si>
  <si>
    <t>v_Oz4q98BhqKo</t>
  </si>
  <si>
    <t>We see people standing in an aerobics class.</t>
  </si>
  <si>
    <t>The teacher starts and the class follows.</t>
  </si>
  <si>
    <t>While standing on the step the people swing their hands.</t>
  </si>
  <si>
    <t>The class swings their arms again.</t>
  </si>
  <si>
    <t>The man in red walks off to the left.</t>
  </si>
  <si>
    <t>The class finishes and stop dancing.</t>
  </si>
  <si>
    <t>The teacher walks to turn off the camera.</t>
  </si>
  <si>
    <t>v_OW_iCiS_U4Y</t>
  </si>
  <si>
    <t>A female swimmer is standing on a diving board in a black swim suit and she jumps off doing multiple flips.</t>
  </si>
  <si>
    <t>She is then shown on ground level talking and wiping her face with a towel.</t>
  </si>
  <si>
    <t>All of a sudden,she returns back to the diving board and does a crazy flip where her knees are tucked in and she's doing several flips and then men applaud her and there's an instant replay.</t>
  </si>
  <si>
    <t>The routine continues and the girl attempts to do more flips and the people react the same way and she puts her hand up to her mouth in awe.</t>
  </si>
  <si>
    <t>v_mlUg8iMtew0</t>
  </si>
  <si>
    <t>Various text intros lead into pictures of a girl and paint close up.</t>
  </si>
  <si>
    <t>A person is then seen painting on a piece of paper using different colors.</t>
  </si>
  <si>
    <t>The person continues painting with text shown and blending in the paint.</t>
  </si>
  <si>
    <t>v_xUKQWr2aLTU</t>
  </si>
  <si>
    <t>The video is about Bristol BMX Club holding a biking event.</t>
  </si>
  <si>
    <t>There's a man drawing a white starting line on the ground for the race.</t>
  </si>
  <si>
    <t>The bikers get ready to begin their race.</t>
  </si>
  <si>
    <t>They start the race and go through ramps and bumps.</t>
  </si>
  <si>
    <t>The bikers are from various age groups ranging from teenagers to adults.</t>
  </si>
  <si>
    <t>The races continue as the bikers make their way through the obstacle course of going over ramps and bumps.</t>
  </si>
  <si>
    <t>v_NogC2IkaaAI</t>
  </si>
  <si>
    <t>A couple of sumo wrestlers are on a stage.</t>
  </si>
  <si>
    <t>They engage in a wrestling match together.</t>
  </si>
  <si>
    <t>A please stand by sign appears as technical problems are encountered.</t>
  </si>
  <si>
    <t>v_jHbf_E8aY1k</t>
  </si>
  <si>
    <t>A white screen is shown and various logos are shown on top of the screen as it goes to a black screen.</t>
  </si>
  <si>
    <t>A sun is rising and men are walking up a hill,pulling a rope,and reading a book.</t>
  </si>
  <si>
    <t>They continue to do various hobbies in the mountains and a man comes back and starts talking as the credits begin rolling.</t>
  </si>
  <si>
    <t>v_qnozppP4rm0</t>
  </si>
  <si>
    <t>A young girl is outside at the park talking to what appears to be her older brother.</t>
  </si>
  <si>
    <t>The two begin a face off and they drop down to the sidewalk drawing a long game of hopscotch.</t>
  </si>
  <si>
    <t>Once complete,they stand up,throw their chalk and the girl moves to the right of the game.</t>
  </si>
  <si>
    <t>The boy starts the game off and the girl begins her turn moving forward and backwards down the game.</t>
  </si>
  <si>
    <t>To show her up,the boy begins to dance across the pavement and the girl returns it by flipping down the game.</t>
  </si>
  <si>
    <t>Now its the boy's turn and he tries to flip but ends up falling and the girl starts to laugh at him.</t>
  </si>
  <si>
    <t>The young girl wins and the boy gives her his Xbox as a result.</t>
  </si>
  <si>
    <t>v_woRQ2JxcVHA</t>
  </si>
  <si>
    <t>A man dressed in black plays a saxophone on a pool patio.</t>
  </si>
  <si>
    <t>The saxophone player glances over to his keyboard player.</t>
  </si>
  <si>
    <t>The camera pans over to the keyboard player playing a Korg electric piano.</t>
  </si>
  <si>
    <t>v_ofrX4WyAM-0</t>
  </si>
  <si>
    <t>The lady talks to the camera.</t>
  </si>
  <si>
    <t>We then see a pot.</t>
  </si>
  <si>
    <t>We see spaghetti in a box.</t>
  </si>
  <si>
    <t>We see salt in a cup.</t>
  </si>
  <si>
    <t>The water is boiling in the bot.</t>
  </si>
  <si>
    <t>She adds salt to the pot.</t>
  </si>
  <si>
    <t>She adds pasta to the water.</t>
  </si>
  <si>
    <t>We see the pasta box up close.</t>
  </si>
  <si>
    <t>We see the lady set the timer.</t>
  </si>
  <si>
    <t>She takes the pasta out of the pot.</t>
  </si>
  <si>
    <t>She talks and waves bye to the camera.</t>
  </si>
  <si>
    <t>v_biAQgXDFskw</t>
  </si>
  <si>
    <t>A man and woman are seen standing in the middle of a floor with a woman speaking to the camera and leading into her dancing with the man.</t>
  </si>
  <si>
    <t>The two spin and dance around one another and ends by walking away from each other.</t>
  </si>
  <si>
    <t>v_PcGzPNEnVD0</t>
  </si>
  <si>
    <t>A man is seen speaking to the camera while standing next to a car with an open trunk.</t>
  </si>
  <si>
    <t>The man then unscrews a tire and lifts the car with a jack.</t>
  </si>
  <si>
    <t>The man takes the tire off and puts a new one on, ending by screwing it into place.</t>
  </si>
  <si>
    <t>He takes off the jack and finishes by speaking to the camera.</t>
  </si>
  <si>
    <t>v_p6jip892RdM</t>
  </si>
  <si>
    <t>a bicycle is shown in a dark room.</t>
  </si>
  <si>
    <t>man is wearing motobike clothes and is riding a motorbike in a field.</t>
  </si>
  <si>
    <t>man is doing high jumps on the motorbike practicig motocross in a dusty field.</t>
  </si>
  <si>
    <t>v_opCMfcAl7yw</t>
  </si>
  <si>
    <t>A large group of flags is shown.</t>
  </si>
  <si>
    <t>Several swimmers are swimming in the pool.</t>
  </si>
  <si>
    <t>They swim competitively, shown from underneath.</t>
  </si>
  <si>
    <t>v_b2eonKWCocE</t>
  </si>
  <si>
    <t>A man is shown speedily raking leaves in his front yard.</t>
  </si>
  <si>
    <t>Several cars go by as he continues raking.</t>
  </si>
  <si>
    <t>He rakes around the bushes and tree in his yard.</t>
  </si>
  <si>
    <t>A woman appears and helps him rake and bag the leaves.</t>
  </si>
  <si>
    <t>They take the bags away when they are done.</t>
  </si>
  <si>
    <t>They stand in front of the camera and pose with the rake.</t>
  </si>
  <si>
    <t>v_RJus6sogyiM</t>
  </si>
  <si>
    <t>A person is walking in a yard while recording it with a camera.</t>
  </si>
  <si>
    <t>The person gets a tray of white paint and paints a fence.</t>
  </si>
  <si>
    <t>v_nd50oUKdygI</t>
  </si>
  <si>
    <t>A man talks to the camera from a kitchen.</t>
  </si>
  <si>
    <t>The man demonstrates sharpening a knife with several sharpening tools.</t>
  </si>
  <si>
    <t>The man talks to the camera again.</t>
  </si>
  <si>
    <t>The man sharpens and then holds up a knife.</t>
  </si>
  <si>
    <t>Several types of knife storage options are displayed.</t>
  </si>
  <si>
    <t>The man talks to the camera some more.</t>
  </si>
  <si>
    <t>v_OKTxSQMS560</t>
  </si>
  <si>
    <t>We see an opening screen with a dog.</t>
  </si>
  <si>
    <t>We see a lady in a nurse shirt talking and two dogs in a kitchen.</t>
  </si>
  <si>
    <t>The lady has a small wet dog she is vacuuming on table and is brushing the dog.</t>
  </si>
  <si>
    <t>We see the dogs running around on the kitchen floor.</t>
  </si>
  <si>
    <t>We see the lady shave a dogs fur and brush the dog.</t>
  </si>
  <si>
    <t>We then see the dogs on the floor again.</t>
  </si>
  <si>
    <t>We see the lady and her contact info over her face.</t>
  </si>
  <si>
    <t>v_eQnwUWfah9w</t>
  </si>
  <si>
    <t>An ad for football appears on the screen.</t>
  </si>
  <si>
    <t>Several men are playing football indoors.</t>
  </si>
  <si>
    <t>They kick the ball back and forth while some people watch on the sidelines.</t>
  </si>
  <si>
    <t>v_xCplsH6deic</t>
  </si>
  <si>
    <t>A baseball player hits a run on a sporting field and runs the bases making a home run.</t>
  </si>
  <si>
    <t>Players kick a ball and run the bases on a baseball field.</t>
  </si>
  <si>
    <t>The catcher has fun while dancing.</t>
  </si>
  <si>
    <t>A kick is caught midair by the baseman and the player is out.</t>
  </si>
  <si>
    <t>v_8lhODyltF2Q</t>
  </si>
  <si>
    <t>A person is riding a lawnmower with an umbrella through the rain.</t>
  </si>
  <si>
    <t>A light colored sedan passes on the road.</t>
  </si>
  <si>
    <t>The person on the mower drives up to the roadway.</t>
  </si>
  <si>
    <t>v_P7kSJ8SRNHQ</t>
  </si>
  <si>
    <t>A small child is seen sitting in a swing.</t>
  </si>
  <si>
    <t>The child moves back and fourth on the swing while a laughing.</t>
  </si>
  <si>
    <t>A person's hand is seen pushing the child as she moves back and fourth.</t>
  </si>
  <si>
    <t>v_CCMtNNSzHw8</t>
  </si>
  <si>
    <t>A lady is wiping her face.</t>
  </si>
  <si>
    <t>A little girl is applying makeup to her face.</t>
  </si>
  <si>
    <t>The mother does the girls makeup.</t>
  </si>
  <si>
    <t>The girls admires her reflection.</t>
  </si>
  <si>
    <t>The girl grabs her toothbrush.</t>
  </si>
  <si>
    <t>v_BtKLAioC21g</t>
  </si>
  <si>
    <t>A man wearing ski goggles adjusts the camera.</t>
  </si>
  <si>
    <t>Several people are seen skiing down a steep slope.</t>
  </si>
  <si>
    <t>They continue skiing faster and faster as they go downhill.</t>
  </si>
  <si>
    <t>v_VToS7Ma-V4g</t>
  </si>
  <si>
    <t>The woman is positioned to take off on the race track and the man moves out of the way for her to go.</t>
  </si>
  <si>
    <t>Then she speeds off and does the triple jump into the sand making it all the way to the end of the 16 inch ruler.</t>
  </si>
  <si>
    <t>Next she is shown standing off the track smiling with her arms raised in the air filled with joy.</t>
  </si>
  <si>
    <t>v_kCOMyIb7f0Q</t>
  </si>
  <si>
    <t>People are skiing in doors in between each other.</t>
  </si>
  <si>
    <t>A button is pushed on a machine.</t>
  </si>
  <si>
    <t>People walk into a cabin.</t>
  </si>
  <si>
    <t>A person is trying on skis.</t>
  </si>
  <si>
    <t>Other people are practicing skiing on a motor belt.</t>
  </si>
  <si>
    <t>v_KBxE7NIOkf8</t>
  </si>
  <si>
    <t>Men stand on a steel platform high in the area and an instructor talks.</t>
  </si>
  <si>
    <t>A man is seated on the edge of the platform and holds onto large ropes.</t>
  </si>
  <si>
    <t>A patron runs and jumps from the platform wearing a budgie cord and he bounces on it as he reaches the bottom.</t>
  </si>
  <si>
    <t>v_mdv8UW_871g</t>
  </si>
  <si>
    <t>We see a boat pulling out of the dock.</t>
  </si>
  <si>
    <t>We see the boat driving as a person jet skis behind it.</t>
  </si>
  <si>
    <t>We see the skier without the boat.</t>
  </si>
  <si>
    <t>We see the boat from above again.</t>
  </si>
  <si>
    <t>The skier falls into the water.</t>
  </si>
  <si>
    <t>We see the skier ski and perform 4 flips.</t>
  </si>
  <si>
    <t>We see the skier ski.</t>
  </si>
  <si>
    <t>We see the skier swim towards the boat.</t>
  </si>
  <si>
    <t>A person in the boat raises their hands in the air.</t>
  </si>
  <si>
    <t>v_MPolPBO-K-Y</t>
  </si>
  <si>
    <t>The man in black shirt is playing guitar in the studio.</t>
  </si>
  <si>
    <t>The man is strumming the guitar.</t>
  </si>
  <si>
    <t>The man is pressing the thread on the guitar keys as he strum the guitar.</t>
  </si>
  <si>
    <t>v_AlLg4ZaxDoQ</t>
  </si>
  <si>
    <t>A person cooks on a wood cooker, then a person rafts in a river.</t>
  </si>
  <si>
    <t>Young men unpack a car and then carry raft boats in the jungle and pass a rope bridge.</t>
  </si>
  <si>
    <t>Young men raft in a narrow choppy river on individual boats.</t>
  </si>
  <si>
    <t>The young men falls from small cascades in the rocky river.</t>
  </si>
  <si>
    <t>v_84uYA9rFoSw</t>
  </si>
  <si>
    <t>A woman bends over in a ballet pose.</t>
  </si>
  <si>
    <t>She then faces the camera talking.</t>
  </si>
  <si>
    <t>She displays more ballet moves.</t>
  </si>
  <si>
    <t>She finishes with the low fifth position.</t>
  </si>
  <si>
    <t>v_N3UOyPU2t0E</t>
  </si>
  <si>
    <t>Several pairs of shoes are shown as well as a large group of people socializing and pouring alcohol into glasses.</t>
  </si>
  <si>
    <t>The glasses are laid out on a table and several shots are shown of people playing beer pong.</t>
  </si>
  <si>
    <t>More shots are shown of people speaking to one another as well as playing beer pong in several locations and partying with one another.</t>
  </si>
  <si>
    <t>In the end medals are handed out and people wear them while celebrating in different spots.</t>
  </si>
  <si>
    <t>v_WiGOn6O-S1g</t>
  </si>
  <si>
    <t>There are several swimmers standing on the tallest diving board of a swimming pool.</t>
  </si>
  <si>
    <t>The divers are getting ready to dive into the pool.</t>
  </si>
  <si>
    <t>One of the divers dives and jumps into the pool from a great height.</t>
  </si>
  <si>
    <t>v_bDTQVC0ASbE</t>
  </si>
  <si>
    <t>A man in a red apron is talking.</t>
  </si>
  <si>
    <t>He is rubbing something on a board and ironing it.</t>
  </si>
  <si>
    <t>He's scraping the top of the board he ironed.</t>
  </si>
  <si>
    <t>v_m7wfcL6YSMY</t>
  </si>
  <si>
    <t>A woman is seen riding on a camel behind another man on a camel.</t>
  </si>
  <si>
    <t>She looks back and smiles to the camera while it pans around the area.</t>
  </si>
  <si>
    <t>Another person is seen riding from behind while people hold onto the camels.</t>
  </si>
  <si>
    <t>v_-xQvJmC2jhk</t>
  </si>
  <si>
    <t>Two women in a child are shown in a canoe while a man pulls the canoe while standing in the water, with other individuals visible in the background.</t>
  </si>
  <si>
    <t>The child and a different man sit in a canoe while the man paddles.</t>
  </si>
  <si>
    <t>The camera pans to show the first man in the foreground.</t>
  </si>
  <si>
    <t>The child and the first man are in a canoe while the first man paddles.</t>
  </si>
  <si>
    <t>A series of still images of the various people shown during the video are shown.</t>
  </si>
  <si>
    <t>v_NEKcJ0whvkg</t>
  </si>
  <si>
    <t>A person rolls in the grass after a fall and gets up to join a game of lacrosse.</t>
  </si>
  <si>
    <t>We see gear in the grass and a man speaking to the camera.</t>
  </si>
  <si>
    <t>Men play lacrosse and ladies cheer on the side.</t>
  </si>
  <si>
    <t>We see a man interviewed and a team huddle and see men play.</t>
  </si>
  <si>
    <t>A man in interviewed and we see the men play lacrosse.</t>
  </si>
  <si>
    <t>A man in red is interviewed and the teams shake hands, hold up their trophy and pose for photos.</t>
  </si>
  <si>
    <t>v_NiaE7amNW7s</t>
  </si>
  <si>
    <t>A young female gymnast wearing red prepares for her balance beam routine in the Olympics.</t>
  </si>
  <si>
    <t>The female gymnast runs to the springboard and jumps from it to the balance beam.</t>
  </si>
  <si>
    <t>The female gymnast then does her tumbling routine on the balance beam while commentators explain what she is doing and how difficult it is.</t>
  </si>
  <si>
    <t>A huge crowd watches and cheers the gymnast on.</t>
  </si>
  <si>
    <t>An Asian man walks to the balance beam and pulls the springboard away from the beam.</t>
  </si>
  <si>
    <t>The gymnast performs a difficult tumbling sequence and the crowd cheers louder than before.</t>
  </si>
  <si>
    <t>People in the crowd that is watching the gymnast enter the gym and find seats while others stand up and exit the gym.</t>
  </si>
  <si>
    <t>Another female gymnast walks past the balance beam in the background.</t>
  </si>
  <si>
    <t>The female gymnast prepares for her dismount.</t>
  </si>
  <si>
    <t>The female gymnast runs and completes a tumbling sequence to exit the balance beam.</t>
  </si>
  <si>
    <t>The female gymnast lands perfectly and throws her arms straight up in the air with a huge smile on her face Other gymnasts in the background watch and clap.</t>
  </si>
  <si>
    <t>A large group of photographers watch and take photographs of the gymnast.</t>
  </si>
  <si>
    <t>The gymnast waves while spinning in a circle and then runs to the side of the gym floor.</t>
  </si>
  <si>
    <t>Three Asian gymnasts in yellow watch and clap without smiling.</t>
  </si>
  <si>
    <t>The gymnast in red hugs and talks to her other teammates and her coach while several photographers take photos of her.</t>
  </si>
  <si>
    <t>The commentators replay several of the gymnasts more difficult tumbling sequences and her dismount in slow motion while explaining what she is doing.</t>
  </si>
  <si>
    <t>The female gymnast hugs another coach and another one of her teammates while a man films them with a large camera.</t>
  </si>
  <si>
    <t>All of the gymnasts on the United States team and their coaches walk through the gym while the crowd cheers very loudly.</t>
  </si>
  <si>
    <t>Several gymnasts from other teams also walk past.</t>
  </si>
  <si>
    <t>The female gymnast talks with her team while waiting for her score to be displayed.</t>
  </si>
  <si>
    <t>v_cSCskKqO7CE</t>
  </si>
  <si>
    <t>A little girl demonstrates how to apply make up using a mini makeup kit as a makeup source, all while talking to the camera.</t>
  </si>
  <si>
    <t>A little girl talks to the camera and then leans into the camera in a close up shot.</t>
  </si>
  <si>
    <t>The little girl pulls out a colorful make up palette and shows the camera the inside of the palette before beginning to apply some of the make up to her eyes.</t>
  </si>
  <si>
    <t>The girl then applies black mascara to her eyelashes and some eyeshadow and lip gloss taking breaks after the applications to talk to the camera.</t>
  </si>
  <si>
    <t>The little girl gives a final thumbs up and blows kisses to the camera before talking more and smiling as the scene fades out.</t>
  </si>
  <si>
    <t>v_RpyRgnHdUXc</t>
  </si>
  <si>
    <t>A man sits on a rowing machine in a gym and talks to the camera while demonstrating how to use a rowing exercise machine.</t>
  </si>
  <si>
    <t>The man begins to exercise on the machine slowly , all while talking to the camera, eventually building up to a more fast paced work out on the same machine.</t>
  </si>
  <si>
    <t>The man begins to demonstrate how to use the digital panel on the exercise machine by pointing at it and talking to the camera.</t>
  </si>
  <si>
    <t>v_8QbHeaXOJOA</t>
  </si>
  <si>
    <t>A kite is shown high in the air.</t>
  </si>
  <si>
    <t>A man is holding the kite before letting it go.</t>
  </si>
  <si>
    <t>It spins high into the air and flips in circles and angles, bouncing off the ground.</t>
  </si>
  <si>
    <t>v_9YYypM0JvUM</t>
  </si>
  <si>
    <t>A man is standing in a gym holding up a large bicycle wheel moving his hands along the tube inside the rubber.</t>
  </si>
  <si>
    <t>The man continuously performs the action as he moves the circle around on his knee.</t>
  </si>
  <si>
    <t>After, the man picks up a yellow object and starts to tighten the spokes on the wheel and sealing the lifting the rubber up.</t>
  </si>
  <si>
    <t>v_IRz9PYgpb8U</t>
  </si>
  <si>
    <t>A man uses a trimmer to trim the leaves on a tree in a backyard, starting in the middle.</t>
  </si>
  <si>
    <t>He moves to his left to continue trimming the tree.</t>
  </si>
  <si>
    <t>v__Y4czVoIxvE</t>
  </si>
  <si>
    <t>Two women are standing inside a house.</t>
  </si>
  <si>
    <t>They show off a canvas tile.</t>
  </si>
  <si>
    <t>They then show how they made the tile and laid it out on the ground, piecing it together like a puzzle.</t>
  </si>
  <si>
    <t>They sit on top talking about it before moving the furniture back in place on top of it.</t>
  </si>
  <si>
    <t>v_ZNVhz7ctTq0</t>
  </si>
  <si>
    <t>A fluffy dog is standing on a sidewalk with a child behind it.</t>
  </si>
  <si>
    <t>The dog begins walking on the sidewalk and closely behind him a child is riding on a scooter as the dog walks.</t>
  </si>
  <si>
    <t>v_V7C34-4tBok</t>
  </si>
  <si>
    <t>A sink is shown full of dirty dishes and leads into various products shown off.</t>
  </si>
  <si>
    <t>A person then scrubs the dishes and begins putting some of them into a bucket.</t>
  </si>
  <si>
    <t>They wash the dishes continuously while stacking them in a rack off to the side.</t>
  </si>
  <si>
    <t>v_ze6Bu0bcNbg</t>
  </si>
  <si>
    <t>A Phillips three headed razor is shown and then un-boxed on a red table.</t>
  </si>
  <si>
    <t>Next,the razor is assembled and place on its charge to charge once it is plugged in.</t>
  </si>
  <si>
    <t>Once fully charged,the man rinses the razors,applies shaving cream to this beard area and start to shave.</t>
  </si>
  <si>
    <t>As he is shaving,the man continues to talk and his face begins to turn a little big razor and the razor is then placed back on the charger.</t>
  </si>
  <si>
    <t>v_uRcVktMzlUc</t>
  </si>
  <si>
    <t>A man is standing on a stage in front of an american flag while reading into a microphone from a piece of paper.</t>
  </si>
  <si>
    <t>He then is shown in front of a crowd as they scream behind him.</t>
  </si>
  <si>
    <t>The men walk out, and begin competing in a dart throwing challenge.</t>
  </si>
  <si>
    <t>The winner is interviewed afterward.</t>
  </si>
  <si>
    <t>v_b_v5uGSheEw</t>
  </si>
  <si>
    <t>The Bali River tubing information is shown on the screen.</t>
  </si>
  <si>
    <t>There's a yellow and red tube shown with the name Bali River printed on it.</t>
  </si>
  <si>
    <t>There are several people wearing protective helmets tubing in the river.</t>
  </si>
  <si>
    <t>There's a man standing under a pipe with fast flowing water.</t>
  </si>
  <si>
    <t>There are some tubers paddling through the water with their hands.</t>
  </si>
  <si>
    <t>There's a man relaxing in his tube giving a thumbs up.</t>
  </si>
  <si>
    <t>The tubers continue tubing through the river.</t>
  </si>
  <si>
    <t>v_KlmlCbJup5A</t>
  </si>
  <si>
    <t>A man is seen wearing a mask and pushing an object along a wall.</t>
  </si>
  <si>
    <t>The man is then seen laying out paper across a table.</t>
  </si>
  <si>
    <t>He shortly after puts wallpaper up on the wall.</t>
  </si>
  <si>
    <t>v_buhaBimF4M0</t>
  </si>
  <si>
    <t>A woman on roller blades moves backwards, falls on the grass and laughs.</t>
  </si>
  <si>
    <t>A friend is talking with the fallen woman as she tries to get up.</t>
  </si>
  <si>
    <t>A friend talks to her while holding the camera and offers her a hand to get up.</t>
  </si>
  <si>
    <t>Two women hold hand and start rollerblading, while the girl in the red shirt learns how.</t>
  </si>
  <si>
    <t>The girl in the red shirt falls and they all laugh.</t>
  </si>
  <si>
    <t>v_7UrJuhFvlQ4</t>
  </si>
  <si>
    <t>A leaf blower is shown blowing a large pile of leaves across a green lawn in front of residential houses.</t>
  </si>
  <si>
    <t>The leaves fly up in the air but stick largely together as the the leaf blower wipes the ground clean of brown leaves and starts to form piles on the lawn.</t>
  </si>
  <si>
    <t>The camera occasionally and finally settles on a yellow riding lawn mower sitting in the yard beyond the piles of leaves.</t>
  </si>
  <si>
    <t>v_vxJlOKF1VB4</t>
  </si>
  <si>
    <t>We see a girl with purple hair talking to the camera.</t>
  </si>
  <si>
    <t>We see the girl looking down at the camera.</t>
  </si>
  <si>
    <t>We see the girl pretend to brush and spray her hair.</t>
  </si>
  <si>
    <t>She holds 2 bottle to the camera.</t>
  </si>
  <si>
    <t>The girl brushes her hair and puts it in a ponytail.</t>
  </si>
  <si>
    <t>The girl adds products to her hair.</t>
  </si>
  <si>
    <t>The girl points at the camera.</t>
  </si>
  <si>
    <t>The girl gives the camera a thumbs up.</t>
  </si>
  <si>
    <t>v_rAL6jEy54Tk</t>
  </si>
  <si>
    <t>man is standing on a room playing dart.</t>
  </si>
  <si>
    <t>man is throwing darts into a dartboard.</t>
  </si>
  <si>
    <t>the man grabs the darts from the board and talks to the camera.</t>
  </si>
  <si>
    <t>v_pMCPCsvxRBw</t>
  </si>
  <si>
    <t>There are people working in a drink food stand filling cups, shaking cups, holding cups or just walking around.</t>
  </si>
  <si>
    <t>A young man fills a clear cup with liquid, puts it on the counter, covers it with a paper cup, shakes it vigorously, and when he's done he puts the paper cup down and pours all the contents into it, puts a yellow straw into it and hands it to the person waiting.</t>
  </si>
  <si>
    <t>Next to him another boy was also shaking a cup, and then preparing to transfer the contents to a paper cup.</t>
  </si>
  <si>
    <t>v_cmzEDurFcwI</t>
  </si>
  <si>
    <t>A man in a blue shirt talks next to a air hockey table game in a showcase room, interspersed with video of four men demonstrating a game of air table hockey.</t>
  </si>
  <si>
    <t>A man begins speaking from a showroom, while standing in front of a air hockey table game.</t>
  </si>
  <si>
    <t>The camera cuts away to show four men playing a game of air hockey with the table game.</t>
  </si>
  <si>
    <t>The man speaks again, next to the table game, until the camera pans away again to the men playing air hockey until the scene fades to an elaborate Gold Standard Games marketing graphic.</t>
  </si>
  <si>
    <t>v_AoRk69eieek</t>
  </si>
  <si>
    <t>A man stands by a pole vault rig while a series of vaulters is shown attempting the vault with varying degrees of success.</t>
  </si>
  <si>
    <t>A group of people wearing white uniforms walk by in the background.</t>
  </si>
  <si>
    <t>Two people walk by in the background.</t>
  </si>
  <si>
    <t>v_PPXrVuZAb74</t>
  </si>
  <si>
    <t>A woman is closing her eyes standing on a diving board.</t>
  </si>
  <si>
    <t>She does a flip and dives into the water.</t>
  </si>
  <si>
    <t>She swims to the surface.</t>
  </si>
  <si>
    <t>v_54K2F3zAZ0o</t>
  </si>
  <si>
    <t>A band is playing on a stage.</t>
  </si>
  <si>
    <t>A man and woman kiss.</t>
  </si>
  <si>
    <t>A man in a yellow shirt plays the saxophone.</t>
  </si>
  <si>
    <t>v_i-G50GikqTg</t>
  </si>
  <si>
    <t>A young man sits down and pulls a drum close to him.</t>
  </si>
  <si>
    <t>He picks up his sticks and hits them together.</t>
  </si>
  <si>
    <t>He starts to count and drum.</t>
  </si>
  <si>
    <t>He drums faster as he looks away and then stops to adjust a few drums.</t>
  </si>
  <si>
    <t>He gets up and moves the camera to show a lever he moves and then he taps on the top of a drum over and over.</t>
  </si>
  <si>
    <t>He gives a thumbs up and peace sign.</t>
  </si>
  <si>
    <t>v_pZ8QqpYu-H8</t>
  </si>
  <si>
    <t>A man is seated at a piano, playing and singing into a microphone.</t>
  </si>
  <si>
    <t>When he finishes, he looks up and smiles.</t>
  </si>
  <si>
    <t>v_4hmJfJo6UI8</t>
  </si>
  <si>
    <t>A female athlete runs quickly down a track.</t>
  </si>
  <si>
    <t>She plows into the sand before getting up and walking away.</t>
  </si>
  <si>
    <t>The scene is repeated three times before ending with her cheering and clapping.</t>
  </si>
  <si>
    <t>v_0VHUSC4YFT4</t>
  </si>
  <si>
    <t>A person is seen hanging on the side of a beam going down while another man holds him.</t>
  </si>
  <si>
    <t>He then pulls the other man up and watches him jump off on the side on a bungee cord.</t>
  </si>
  <si>
    <t>v_ADbp9ObJVxE</t>
  </si>
  <si>
    <t>A man is in a worship, talking in front of a piece of wood.</t>
  </si>
  <si>
    <t>He sands the piece of wood down, then wipes sealant or stain onto the wood.</t>
  </si>
  <si>
    <t>v_qq1wRySmDTc</t>
  </si>
  <si>
    <t>a man is crouching in the woods next to a pile of stones.</t>
  </si>
  <si>
    <t>He is explaining the building of a fire.</t>
  </si>
  <si>
    <t>He lights the wood, creating a fire.</t>
  </si>
  <si>
    <t>v_8AP2he781Cw</t>
  </si>
  <si>
    <t>People are playing hockey on an ice rink.</t>
  </si>
  <si>
    <t>A person falls over onto the ice.</t>
  </si>
  <si>
    <t>A person runs after a puck and falls over again.</t>
  </si>
  <si>
    <t>He begins hitting the puck and falls again.</t>
  </si>
  <si>
    <t>v_wNwwiK6znIE</t>
  </si>
  <si>
    <t>We see a man in a shop holding a ski.</t>
  </si>
  <si>
    <t>The man shows us a can of product he this sprays on and wipes down a ski.</t>
  </si>
  <si>
    <t>The man then holds the ski for us to see.</t>
  </si>
  <si>
    <t>We see two ski products and an ending screen.</t>
  </si>
  <si>
    <t>v_-kmomJph-6E</t>
  </si>
  <si>
    <t>Two kids with extremly long hair are outside near a group of sheds.</t>
  </si>
  <si>
    <t>The shorter boy begins pulling the other guys hair and pulling him by it.</t>
  </si>
  <si>
    <t>However,the boy lets the guys hair go and the guy begins to knee him in the private area,pick him up over his head and drop him on a piece of wood.</t>
  </si>
  <si>
    <t>v_YnsusYE6i_0</t>
  </si>
  <si>
    <t>There are a lot of dressed up people sitting in a large dining area at a reception.</t>
  </si>
  <si>
    <t>A brunette woman taps a blonde woman on her back, points to something on the ground, and the women smile with the blonde woman leans over and picks up her sweater that was on the ground.</t>
  </si>
  <si>
    <t>A woman dressed in a blue flowing dress with a blue bodysuit underneath is standing up, and she begins to do a ballet dance routine in the middle of the large dancing floor while the people in the reception area are watching her every move, taking picture and videoing her.</t>
  </si>
  <si>
    <t>When the woman is done dancing she stands there with her arms crossed on her chest and the crowds applauds, and gives her a standing ovation while she takes a few bows.</t>
  </si>
  <si>
    <t>v_aKJKZHvP53E</t>
  </si>
  <si>
    <t>woman is standing in front of a poker tokens and cards.</t>
  </si>
  <si>
    <t>she turn around the cards and mixing it.</t>
  </si>
  <si>
    <t>cards are in a stack and split them in 4 and mixing it.</t>
  </si>
  <si>
    <t>cards are in a stack and other person split it in two and put them in a transparent box.</t>
  </si>
  <si>
    <t>v_7dx3MobORY0</t>
  </si>
  <si>
    <t>A girl shows how to bake cookies from scratch.</t>
  </si>
  <si>
    <t>Ingredients are added, stirred, and then the mixture is put in the oven.</t>
  </si>
  <si>
    <t>v_rzsp_r9fq_A</t>
  </si>
  <si>
    <t>There's a woman in a black raincoat standing next to a wooden fence.</t>
  </si>
  <si>
    <t>She is joined by a little girl wearing a polka dotted jacket who brings her some green paint.</t>
  </si>
  <si>
    <t>The woman begins painting the fence with a bush.</t>
  </si>
  <si>
    <t>There are several other people in the neighborhood who are seen volunteering to paint the fence with green paint.</t>
  </si>
  <si>
    <t>The volunteers are being interviewed.</t>
  </si>
  <si>
    <t>There are two boys dressed in Batman costumes standing there.</t>
  </si>
  <si>
    <t>The volunteers continue to paint the fence.</t>
  </si>
  <si>
    <t>Some people from the community gather around the parking lot.</t>
  </si>
  <si>
    <t>The people continue painting the fence.</t>
  </si>
  <si>
    <t>v_EPCb-f6yQxA</t>
  </si>
  <si>
    <t>Various mountain scenery is shown from different angles.</t>
  </si>
  <si>
    <t>A soldier plays a bagpipe in a mountain scene.</t>
  </si>
  <si>
    <t>v_YmAIoN4uuz0</t>
  </si>
  <si>
    <t>Various clips are shown of landscapes as well as people riding along on boats and a man speaking to the camera.</t>
  </si>
  <si>
    <t>The man dives into the water and is shown in several clips swimming around and fish moving along as well.</t>
  </si>
  <si>
    <t>The man gives hand gestures to the camera and swims to the surface when another man grabs his gear and he speaks to the camera.</t>
  </si>
  <si>
    <t>More men speak to the camera as he jumps in.</t>
  </si>
  <si>
    <t>v_-C9mAKWi9Ho</t>
  </si>
  <si>
    <t>An intro leads into two men fencing in a field.</t>
  </si>
  <si>
    <t>Several shots are shown of the men sticking swords to one another and the other blocking.</t>
  </si>
  <si>
    <t>In between clips are shown of the men boxing.</t>
  </si>
  <si>
    <t>v_U7MAQwyFeDQ</t>
  </si>
  <si>
    <t>Walking through the airport, flying on a plane and driving down the highway they get to where they are going.</t>
  </si>
  <si>
    <t>A man in a white mask is getting ready to go bungee jumping off a very high cliff, he stands with his arms out like they are wings on the edge.</t>
  </si>
  <si>
    <t>Then he jumps down, falling from a very high height, another man follows after him, and then the camera man himself takes the leap recording the entire fall.</t>
  </si>
  <si>
    <t>They all take turns jumping, one of them even goes down backwards.</t>
  </si>
  <si>
    <t>v_x2ztI3YNu9o</t>
  </si>
  <si>
    <t>A camera pans around a snowy area and leads into a man holding an accordion and beginning to play.</t>
  </si>
  <si>
    <t>The man continues to play the instrument while the camera shows off more scenery of snowy areas and the man continuing to play.</t>
  </si>
  <si>
    <t>v_BRApK7rWSAk</t>
  </si>
  <si>
    <t>A Capri Sun wrapper in a pile of rocks on the ground with a pile of sawdust on it.</t>
  </si>
  <si>
    <t>We see a pile of sticks to the left and see a flint.</t>
  </si>
  <si>
    <t>The person strikes the flint and a flame sits on he sawdust.</t>
  </si>
  <si>
    <t>The person then puts a handful of twigs on the fire.</t>
  </si>
  <si>
    <t>The fire grows and the cameraman backs up to show the rocks surrounding the fire.</t>
  </si>
  <si>
    <t>v_UWusSRe8Whg</t>
  </si>
  <si>
    <t>Two men are sitting in a room with four congos in front of them playing.</t>
  </si>
  <si>
    <t>They are both in unison and they're using their body parts as part of their routine to make different sounds.</t>
  </si>
  <si>
    <t>The men take an extremely brief pause before rapidly hitting the congo and end by pointing their finger at each other.</t>
  </si>
  <si>
    <t>v_GNzaxjYL0TM</t>
  </si>
  <si>
    <t>Two people are seen sitting on dirt bikes speaking to the camera with one shoveling dirt and the other riding along.</t>
  </si>
  <si>
    <t>Several shots are then shown of the two riding dirt bikes along a trail while stopping to gesture to the camera every now and then.</t>
  </si>
  <si>
    <t>v_G8-soqkFiI8</t>
  </si>
  <si>
    <t>A woman on a beach begins to build a sand castle.</t>
  </si>
  <si>
    <t>A man comes over and begins to build the sand castle with her.</t>
  </si>
  <si>
    <t>Several people walk by as they continue to build the castle.</t>
  </si>
  <si>
    <t>v_eaR8oEBlYWk</t>
  </si>
  <si>
    <t>A woman in a jacket is washing clothes in a sink.</t>
  </si>
  <si>
    <t>She pours water into a blue bowl.</t>
  </si>
  <si>
    <t>She puts clothes into the buckets of water that are in the sink.</t>
  </si>
  <si>
    <t>A white washing machine that is unplugged is shown.</t>
  </si>
  <si>
    <t>The woman continues to wash the clothes in the sink.</t>
  </si>
  <si>
    <t>She walks over and takes the lid off of a large bucket of water on the ground.</t>
  </si>
  <si>
    <t>She dips a pot into the bucket and dumps the water into the sink.</t>
  </si>
  <si>
    <t>v_qgJzdtHCebM</t>
  </si>
  <si>
    <t>A bull runs around a pen and tries to hit the clown with their horns.</t>
  </si>
  <si>
    <t>A guy jumps over a fence to get away from the bull.</t>
  </si>
  <si>
    <t>A clown is hiding behind a red barrel.</t>
  </si>
  <si>
    <t>The man falls onto the ground being chased by the bull.</t>
  </si>
  <si>
    <t>v_BzhREL6ncq4</t>
  </si>
  <si>
    <t>A gymnast exercise on the parallel bars while the coach give directions and fix a mat.</t>
  </si>
  <si>
    <t>Then, the gymnast spins on the high bar , then flip and fall stand on the mat.</t>
  </si>
  <si>
    <t>v_Kd_qpMbvRtI</t>
  </si>
  <si>
    <t>We see a title on a dark gray screen, We see a boat on a lake from different angles.</t>
  </si>
  <si>
    <t>A person riding a surfboard behind the boat does a flip.</t>
  </si>
  <si>
    <t>, We are shown the interior of the the boat.</t>
  </si>
  <si>
    <t>We see the interior then the outside of the boat intermittently.</t>
  </si>
  <si>
    <t>We see people on a raft being pulled by the boat.</t>
  </si>
  <si>
    <t>A girl grabs something form a cabinet then jumps in the water.</t>
  </si>
  <si>
    <t>We see the end credit scenes.</t>
  </si>
  <si>
    <t>v_qOi_E_uYCIo</t>
  </si>
  <si>
    <t>Vodka is shown being poured into a martini glass.</t>
  </si>
  <si>
    <t>A woman is behind a bar, showing off bottles of alcohol.</t>
  </si>
  <si>
    <t>She mixes the ingredients together, then shakes them up before pouring into a glass filled with ice.</t>
  </si>
  <si>
    <t>v_jdfe-CV_cpE</t>
  </si>
  <si>
    <t>Three men sit together on a couch.</t>
  </si>
  <si>
    <t>A man gets up and walks into a barber shop.</t>
  </si>
  <si>
    <t>He sits down and gets his hair cut.</t>
  </si>
  <si>
    <t>He is sleeping in the chair.</t>
  </si>
  <si>
    <t>He wakes up and looks in a mirror.</t>
  </si>
  <si>
    <t>Him and the man start fighting.</t>
  </si>
  <si>
    <t>The man pulls a gun and points it at the other man.</t>
  </si>
  <si>
    <t>He runs into another mans arms and they walk out the door.</t>
  </si>
  <si>
    <t>v_gCku1WVr608</t>
  </si>
  <si>
    <t>The video shows how to get discounts on amazon for a category of dog supplies.</t>
  </si>
  <si>
    <t>Then it shows a woman shaving a dog.</t>
  </si>
  <si>
    <t>v_CneLYCPg7Es</t>
  </si>
  <si>
    <t>A lady holds a toothbrush as a child sits on a counter.</t>
  </si>
  <si>
    <t>The lady brushes the boys teeth.</t>
  </si>
  <si>
    <t>She finishes and the little boy smiles.</t>
  </si>
  <si>
    <t>the lady backs away and the child puts a pacifier in his mouth.</t>
  </si>
  <si>
    <t>v_D5iU1Qfy-wk</t>
  </si>
  <si>
    <t>A man sits in a room laughing.</t>
  </si>
  <si>
    <t>The man joins a woman and man at a table eating.</t>
  </si>
  <si>
    <t>The man sees a bobble doll and pushes it.</t>
  </si>
  <si>
    <t>The man hits the doll and bounces a ball around the room knocking all the food off the table and making a mess.</t>
  </si>
  <si>
    <t>The people laugh and the man cleans up and creates a whirlpool in the well which breaks and he ball smashes walls.</t>
  </si>
  <si>
    <t>The man works out in a field.</t>
  </si>
  <si>
    <t>Dust rises from the man and leafs fly through the sky.</t>
  </si>
  <si>
    <t>v_uDqnGmLJyao</t>
  </si>
  <si>
    <t>She shows how to hang a border along a wall in a living room.</t>
  </si>
  <si>
    <t>She then goes back to talking to the camera.</t>
  </si>
  <si>
    <t>v_o4zmTkyTu8g</t>
  </si>
  <si>
    <t>A group is playing volleyball in a swimmming pool.</t>
  </si>
  <si>
    <t>They bounce the ball back and forth over the net as a golden retriever joins it, hitting the ball with his nose.</t>
  </si>
  <si>
    <t>v_6OLIr7E0eHA</t>
  </si>
  <si>
    <t>A boy plays the drums on front people.</t>
  </si>
  <si>
    <t>A man sings holding a microphone next to the drummer.</t>
  </si>
  <si>
    <t>A person pass on front the boy.</t>
  </si>
  <si>
    <t>v_hQeDWu5NOj8</t>
  </si>
  <si>
    <t>A small group of people are seen riding in a raft down a rough river.</t>
  </si>
  <si>
    <t>The people use paddles to move themselves along the water and under tunnels.</t>
  </si>
  <si>
    <t>The group continue riding down the river and end with text across the screen.</t>
  </si>
  <si>
    <t>v_7coVNZXiU6U</t>
  </si>
  <si>
    <t>A woman gets her hair cut very short in a kitchen by a woman with a pair of scissors.</t>
  </si>
  <si>
    <t>A man, wearing glasses, talks into the camera in a close up shot before the camera pans to a woman seated in a soft chair and focuses on her upper arm.</t>
  </si>
  <si>
    <t>The camera pans into a kitchen area and a seated woman holding up a lock of her own hair while another woman behind her ( the woman who was formerly seated) begins to cut her hair with a pair of scissors.</t>
  </si>
  <si>
    <t>The camera pans to a close up of the woman in the kitchen chair who has had most of her hair cut off and now how a very short haircut.</t>
  </si>
  <si>
    <t>The camera cuts again to the man who first appears in the film and a shot of a digital clock displaying the time.</t>
  </si>
  <si>
    <t>v_5P_Scs7Vo2c</t>
  </si>
  <si>
    <t>A young woman is seen kneeling in a tub with clothes all around her.</t>
  </si>
  <si>
    <t>She steps on the clothes and bends down again to scrub them while the camera pans around her.</t>
  </si>
  <si>
    <t>She holds up the clothes and continues to wash them as well as a man stepping into frame to help.</t>
  </si>
  <si>
    <t>v_BgsxbT9RCeg</t>
  </si>
  <si>
    <t>A woman ballerina dressed in a pink skirt and white blouse is standing in pose with her back bent forward and hands on her sides on a stage.</t>
  </si>
  <si>
    <t>A man in blue jeans and a white shirt walks in and strokes her back with a yellow cloth.</t>
  </si>
  <si>
    <t>Then a little girl ballerina comes and bumps into the woman.</t>
  </si>
  <si>
    <t>The woman breaks into a dance every time the little girl ballerina taps her.</t>
  </si>
  <si>
    <t>The little girl picks up a pair of wings and tries to put it on her back.</t>
  </si>
  <si>
    <t>The woman starts doing some ballet moves.</t>
  </si>
  <si>
    <t>She continues to dance to ballet moves as the little girl walks away.</t>
  </si>
  <si>
    <t>The woman ballerina twists and twirls on her toes as she dances to music.</t>
  </si>
  <si>
    <t>The crowd applauds and the man in the white shirt and blue jeans lifts her up and walks off the stage.</t>
  </si>
  <si>
    <t>v_2jHMUtvWP_0</t>
  </si>
  <si>
    <t>A camera pans around a room with a freshly painted wall and a man painting the wall on a stool is seen.</t>
  </si>
  <si>
    <t>The camera pans over the skylight and finishes by looking behind the area.</t>
  </si>
  <si>
    <t>v_OPqqbxGKp6E</t>
  </si>
  <si>
    <t>We see a person in a kitchen cooking on the stove.</t>
  </si>
  <si>
    <t>The person has skillet with butter they add eggs to.</t>
  </si>
  <si>
    <t>The person flips the eggs.</t>
  </si>
  <si>
    <t>A fire starts on the eye the person blow it out.</t>
  </si>
  <si>
    <t>The person flips the eggs with a spatula.</t>
  </si>
  <si>
    <t>The eggs are poured into a plate and salt and pepper are added.</t>
  </si>
  <si>
    <t>The person walks away from the stove.</t>
  </si>
  <si>
    <t>v_Ve0Ufrv-T0s</t>
  </si>
  <si>
    <t>A dog urinates consistently, without stopping, and while walking on its forelegs only, down and around a paved sidewalk all while a person is walking them on a yellow leash.</t>
  </si>
  <si>
    <t>The pug dog starts urinating on a stone curb along a low stone mini wall, lands on all four legs to turn around, and then proceeds to start walking on its two forelegs only.</t>
  </si>
  <si>
    <t>The dog begins urinating while walking on its forelegs only with the yellow leash following behind as an unseen person walks the dog from the background.</t>
  </si>
  <si>
    <t>The dog continues to urinate in this way, past more sidewalk and grass, and finally starts using three legs, stops and urinates more while stationary on three legs.</t>
  </si>
  <si>
    <t>v_VZ2CPdIPa30</t>
  </si>
  <si>
    <t>A man secures a seated woman in a bungee harness while others stand by.</t>
  </si>
  <si>
    <t>The woman talks to the camera in a close up view.</t>
  </si>
  <si>
    <t>Several shots of the scenery are shown interspersed with the woman waiting.</t>
  </si>
  <si>
    <t>The man finishes with the equipment.</t>
  </si>
  <si>
    <t>The woman carefully walks out to the jumping platform while one of the men stands behind her and an audience watches.</t>
  </si>
  <si>
    <t>The woman bungees off the platform.</t>
  </si>
  <si>
    <t>A replay of the woman bungeeing off the platform is shown.</t>
  </si>
  <si>
    <t>v_wBij_rEXdCk</t>
  </si>
  <si>
    <t>We see a table covered with papers and a laptop as a man works.</t>
  </si>
  <si>
    <t>The man leaves and goes to a graffiti covered garage and turns on a boombox.</t>
  </si>
  <si>
    <t>The man break dances then sees there is a man across the room.</t>
  </si>
  <si>
    <t>The men then take turns break dancing.</t>
  </si>
  <si>
    <t>The men stand face to face and break dance together.</t>
  </si>
  <si>
    <t>v_zkR_t6p3lto</t>
  </si>
  <si>
    <t>A person's skis are shown close up as they move continuously down a snowy hill moving quickly past trees.</t>
  </si>
  <si>
    <t>The person continues moving down the trail at a fast pace and meeting up with others at the bottom.</t>
  </si>
  <si>
    <t>v_H-PhEsI9njQ</t>
  </si>
  <si>
    <t>people are standing in a court playing shufleboard while people is in the terraces are watching the game.</t>
  </si>
  <si>
    <t>a lot of people wearing red uniforms are walking and sitting around the court.</t>
  </si>
  <si>
    <t>v_KEWlDtEt2cQ</t>
  </si>
  <si>
    <t>A man in a suit and a lady in a sparking dress stand on stage.</t>
  </si>
  <si>
    <t>The people then ballroom dance as people watch.</t>
  </si>
  <si>
    <t>The man spins the woman in the air in front of him.</t>
  </si>
  <si>
    <t>The man dips the lady and she kicks her feet in the air.</t>
  </si>
  <si>
    <t>They finish and the crowd claps as they walk off stage.</t>
  </si>
  <si>
    <t>v_BUmS918SyLA</t>
  </si>
  <si>
    <t>Two girls are seen holding a pose in the middle of a large gymnasium while others watch around them.</t>
  </si>
  <si>
    <t>The girls begin performing a dance routine while using batons.</t>
  </si>
  <si>
    <t>The girls continue to dance around and end by holding a pose.</t>
  </si>
  <si>
    <t>v_oAyygdg493M</t>
  </si>
  <si>
    <t>A woman is walking on the beach carrying a surfboard.</t>
  </si>
  <si>
    <t>She starts surfing in the water.</t>
  </si>
  <si>
    <t>v_sY7m7E-sAYc</t>
  </si>
  <si>
    <t>A woman is washing in a sink and shows a little bottle.</t>
  </si>
  <si>
    <t>Then, the woman add several potatoes in a steaming pot.</t>
  </si>
  <si>
    <t>After, the woman put the potatoes in a bowl and then peel a potatoes easily.</t>
  </si>
  <si>
    <t>v_5DhbyYavYp4</t>
  </si>
  <si>
    <t>There is a garden with many trees and shrubs.</t>
  </si>
  <si>
    <t>There is a man using a hedging and trimming equipment trimming the bushes.</t>
  </si>
  <si>
    <t>Another man is giving instructions on lawn and garden care.</t>
  </si>
  <si>
    <t>The man climbs up a tall ladder to trim the trees and bushes several times.</t>
  </si>
  <si>
    <t>He goes around the entire side to trim the hedges.</t>
  </si>
  <si>
    <t>The instructor continues talking about the gardening process, The man trims the hedges that form a barrier near a house.</t>
  </si>
  <si>
    <t>The instructor explains the process again to the viewers.</t>
  </si>
  <si>
    <t>The scene changes to a strange looking statue in a busy city and ends with a thank you for watching message.</t>
  </si>
  <si>
    <t>v_ynispYtdDq8</t>
  </si>
  <si>
    <t>A woman in lingerie is sitting on a couch waving at the camera.</t>
  </si>
  <si>
    <t>She opens a pack of cigarettes and lights up.</t>
  </si>
  <si>
    <t>She continues sitting and smoking while looking at the camera.</t>
  </si>
  <si>
    <t>v_PI1ZaFQ28Ao</t>
  </si>
  <si>
    <t>A lady discusses while standing in a kitchen adjacent to a sink.</t>
  </si>
  <si>
    <t>The lady is holding a sponge while the sink water is running.</t>
  </si>
  <si>
    <t>The lady is soaking dishes in soapy water.</t>
  </si>
  <si>
    <t>v_4-BW75h1D1A</t>
  </si>
  <si>
    <t>A woman in a white dress belly dances outside near columns and trees.</t>
  </si>
  <si>
    <t>The woman shakes her hips as she dances.</t>
  </si>
  <si>
    <t>Credits appear on the screen.</t>
  </si>
  <si>
    <t>v_YEZrwxz0Ysk</t>
  </si>
  <si>
    <t>A shot glass is shown, filled with three colors of liquid.</t>
  </si>
  <si>
    <t>Several bottles of different colored alcohols are shown.</t>
  </si>
  <si>
    <t>The liquids are poured one at a time into the glasses, forming the tricolored drink.</t>
  </si>
  <si>
    <t>v_jmmOBfS3JIg</t>
  </si>
  <si>
    <t>A man in dress shirt taps his cloth on the spout of a glass container to get it damp.</t>
  </si>
  <si>
    <t>The man uses his cloth wrapped around his index and middle finer to polish a shoe.</t>
  </si>
  <si>
    <t>The man rubs his cloth in a shoe polish tin for more of the substance.</t>
  </si>
  <si>
    <t>The man continues to polish the show around the toe of the shoe.</t>
  </si>
  <si>
    <t>The man again rubs his cloth in the tin for more polish.</t>
  </si>
  <si>
    <t>The man continues to polish the show around the toe of the shoe near the toe in a circular motion.</t>
  </si>
  <si>
    <t>v_by8QQWbyimw</t>
  </si>
  <si>
    <t>Two girls are acting silly and throwing signs at a camera.</t>
  </si>
  <si>
    <t>They then take turns doing cartwheels across the lawn.</t>
  </si>
  <si>
    <t>They do front and back flips, then run toward the camera.</t>
  </si>
  <si>
    <t>v_OhgsnOwo4b4</t>
  </si>
  <si>
    <t>A man is standing inside a kitchen in front of ingredients and tools for cooking.</t>
  </si>
  <si>
    <t>He shows dressing being poured onto a cabbage salad.</t>
  </si>
  <si>
    <t>He explains how to cut a melon, creating slices that go into his salad.</t>
  </si>
  <si>
    <t>Then he shreds a carrot, and moves the salad into a bowl before drizzling it with dressing.</t>
  </si>
  <si>
    <t>v_7TgvbmIn03A</t>
  </si>
  <si>
    <t>A black screen appears with white words that read "GoPro Hero3+Black Making everyday tasks fun 'Mowing The Lawn' Resolution: 1080p superwide.</t>
  </si>
  <si>
    <t>A view from the top of a lawn mower shows a woman pulling onto the pull handle of the lawn mower.</t>
  </si>
  <si>
    <t>The view change to the view of the lawn mower and the mower is moving along a yard filled with green grass.</t>
  </si>
  <si>
    <t>The view changes back and forth from lawn mower view and the view of the whole woman mowing the lawn.</t>
  </si>
  <si>
    <t>v_tgPjcWP7Vig</t>
  </si>
  <si>
    <t>A large group of people are seen sitting on bicycles exercising with one another.</t>
  </si>
  <si>
    <t>A woman speaks to the camera while more shots are shown of people riding.</t>
  </si>
  <si>
    <t>A woman leads the class as well as speaks to the camera and others riding around.</t>
  </si>
  <si>
    <t>v_j4vMVBSfyu0</t>
  </si>
  <si>
    <t>A hand is showing a curved blade knife, and then he showed an ice pick with white paper at the end of it.</t>
  </si>
  <si>
    <t>The man threw the blade on the plywood, then he threw the ice pick.</t>
  </si>
  <si>
    <t>v_C6DH4l7fop0</t>
  </si>
  <si>
    <t>A boy puts freshly baked cookies on a cooling rack.</t>
  </si>
  <si>
    <t>One gets stuck and he licks the spatula.</t>
  </si>
  <si>
    <t>v_KxY2z_xDsO8</t>
  </si>
  <si>
    <t>A person's hand is seen pushing various marbles down a long track and watching where they land.</t>
  </si>
  <si>
    <t>They push several more marbles while the camera moves up and down to catch the action.</t>
  </si>
  <si>
    <t>v_5XiBb9XGsg8</t>
  </si>
  <si>
    <t>A young man is seen speaking to the camera and leads into him trying to solve a rubix cube.</t>
  </si>
  <si>
    <t>The boy then solves the cube and pans the camera back to show his time.</t>
  </si>
  <si>
    <t>v_HrBa_UraJvc</t>
  </si>
  <si>
    <t>A man is seen using a hookah and blowing smoke out into the air and leads into him scraping tobacco and driving around.</t>
  </si>
  <si>
    <t>He speaks to the camera and pans back to a hookah and begins smoking out of it.</t>
  </si>
  <si>
    <t>v_c-3ed17J3F8</t>
  </si>
  <si>
    <t>A man is standing in a shed behind a crafts table talking to the camera.</t>
  </si>
  <si>
    <t>Next,a man in a navy uniform begins walking down the road and ends up in the room with the man.</t>
  </si>
  <si>
    <t>The two of them begin polishing a pair of boots together with a white cloth and a green brush.</t>
  </si>
  <si>
    <t>As they finish,the man in the green shirt is given a patch and a screen of tips come on the screen for properly caring for your boots.</t>
  </si>
  <si>
    <t>v_8SMXK2uOvk0</t>
  </si>
  <si>
    <t>People are biking down a path.</t>
  </si>
  <si>
    <t>A person is trying to start a fire.</t>
  </si>
  <si>
    <t>The person feeds the fire and moves it to a hole.</t>
  </si>
  <si>
    <t>v_HqGWA16ECWE</t>
  </si>
  <si>
    <t>A girl in a dress is crossing monkey bars.</t>
  </si>
  <si>
    <t>She gets to the end and steps on a rock.</t>
  </si>
  <si>
    <t>A boy in a blue shirt stands behind her.</t>
  </si>
  <si>
    <t>v_vygPNS-eAYM</t>
  </si>
  <si>
    <t>A father and daughter are playing hop scotch on their tiled porch.</t>
  </si>
  <si>
    <t>The girl is wearing a blue sleeveless shirt and shorts and the father is wearing a gray shirt and shorts.</t>
  </si>
  <si>
    <t>They take turns to jump on the squares.</t>
  </si>
  <si>
    <t>Then she little girl is joined by her mother who begins hopping on the squares.</t>
  </si>
  <si>
    <t>She gives the daughter a high five.</t>
  </si>
  <si>
    <t>then the girl begins to hop and jump across the squares.</t>
  </si>
  <si>
    <t>v_OtMNVvCSxVo</t>
  </si>
  <si>
    <t>A man stands on front a sink.</t>
  </si>
  <si>
    <t>Then, the man puts soap on a cloth.</t>
  </si>
  <si>
    <t>After, the man wash the pot outside and inside.</t>
  </si>
  <si>
    <t>Next, the man turns and dry his hands.</t>
  </si>
  <si>
    <t>v_UA_RDwuO47s</t>
  </si>
  <si>
    <t>The word funkin is on the screen and underneath it says Bacardi cocktail.</t>
  </si>
  <si>
    <t>A man in a funkin shirt talks about and demonstrates how to make the Bacardi cocktail from behind a bar.</t>
  </si>
  <si>
    <t>The man is showing people how to make a drink in a martini glass.</t>
  </si>
  <si>
    <t>The man puts ingredients in a regular glass while showing the bottles of ingredients he is using.</t>
  </si>
  <si>
    <t>The word funkin is on the screen.</t>
  </si>
  <si>
    <t>v_SQs7o8LeU6A</t>
  </si>
  <si>
    <t>A man stands in a rustic living room and plays a bagpipe in his socks.</t>
  </si>
  <si>
    <t>We see a man tapping his foot as he plays.</t>
  </si>
  <si>
    <t>The man switches to his other foot tapping.</t>
  </si>
  <si>
    <t>the man finishes playing and wipes his face.</t>
  </si>
  <si>
    <t>v_ZKtjyZhRB6E</t>
  </si>
  <si>
    <t>A group of older people are seen sitting on a bus speaking to one another.</t>
  </si>
  <si>
    <t>The camera pans around the bus to show more people sitting and speaking.</t>
  </si>
  <si>
    <t>A woman is seen speaking to a man next to her while he knits.</t>
  </si>
  <si>
    <t>v_8IlwMnM_n38</t>
  </si>
  <si>
    <t>Guys are break dancing on a stage in front of an audience.</t>
  </si>
  <si>
    <t>A guy breaks dance right off the stage and exits.</t>
  </si>
  <si>
    <t>v_64JprLAtnzg</t>
  </si>
  <si>
    <t>A group of girls are dancing along a ledge.</t>
  </si>
  <si>
    <t>Each girl dances on the ledge gracefully.</t>
  </si>
  <si>
    <t>The screen fades away to black.</t>
  </si>
  <si>
    <t>v_2YeImloBCA8</t>
  </si>
  <si>
    <t>We see people working out on exercise steps in an aerobics class.</t>
  </si>
  <si>
    <t>The leader puts her hand in the air.</t>
  </si>
  <si>
    <t>The lady in back left gets lost and stops.</t>
  </si>
  <si>
    <t>Rear right gets lost and throws out her arms.</t>
  </si>
  <si>
    <t>The instructors arm is in the air again.</t>
  </si>
  <si>
    <t>The lady second on right stops trying.</t>
  </si>
  <si>
    <t>v_hpU50i4WBK8</t>
  </si>
  <si>
    <t>Two people are on a boat getting ready to dive into the ocean.</t>
  </si>
  <si>
    <t>They dive in and are able to look at all the beautiful corals and see fish and other things.</t>
  </si>
  <si>
    <t>They find a cockpit that they begin to observe and look around also running into a jelly fish.</t>
  </si>
  <si>
    <t>They begin to explore the outside of the plane where they are also able to see more fish and other marine life around it.</t>
  </si>
  <si>
    <t>v_Eeq-noKrGwY</t>
  </si>
  <si>
    <t>A girl in an orange shirt takes a drink of mouth wash.</t>
  </si>
  <si>
    <t>She swishes it around in her mouth and spits it out into a sink.</t>
  </si>
  <si>
    <t>v_sYKtWOfH6VQ</t>
  </si>
  <si>
    <t>There's a lady doing a tutorial on how to wash hands in her kitchen.</t>
  </si>
  <si>
    <t>She walks towards the sink and turns on the tap.</t>
  </si>
  <si>
    <t>Then she takes some liquid soap in her hands and rubs her hands on the top, the palms and in between her fingers.</t>
  </si>
  <si>
    <t>She demonstrates how to properly rub the palms and the wrist area to ensure a clean wash.</t>
  </si>
  <si>
    <t>Then she turns the tap back on to wash off the soap.</t>
  </si>
  <si>
    <t>Then she uses her right elbow to turn off the tap to avoid touching it directly.</t>
  </si>
  <si>
    <t>Then she takes a paper towel from the window sill and wipes her hands dry.</t>
  </si>
  <si>
    <t>v__gDw8q2sRLk</t>
  </si>
  <si>
    <t>Three people are seen walking out onto a large gymnasium floor and lead into the three performing a jump roping routine.</t>
  </si>
  <si>
    <t>The three continue to jump around the floor while many watch and end with their arms up.</t>
  </si>
  <si>
    <t>v_bDf_xpUpdmU</t>
  </si>
  <si>
    <t>A falls off a skateboard in an awkward way.</t>
  </si>
  <si>
    <t>Then we see several other boys as they trip and fall.</t>
  </si>
  <si>
    <t>They take sharp turns on suburban roads, trying to stay on their boards.</t>
  </si>
  <si>
    <t>v_gKkk82LG8H0</t>
  </si>
  <si>
    <t>Group play the bongos while a young woman dances.</t>
  </si>
  <si>
    <t>A couple walks past the group.</t>
  </si>
  <si>
    <t>The drummer gives the camera a thumbs up gesture.</t>
  </si>
  <si>
    <t>Lots of people pass in the background.</t>
  </si>
  <si>
    <t>A small group are looking on at the musicians.</t>
  </si>
  <si>
    <t>The dancer poses with 2 other women.</t>
  </si>
  <si>
    <t>v_sjpWwjzCbrw</t>
  </si>
  <si>
    <t>A health professional washers her hands with soap in a sink.</t>
  </si>
  <si>
    <t>The woman scrubs between the fingers thoroughly.</t>
  </si>
  <si>
    <t>The hands are dried with a paper towel in between the fingers thoroughly.</t>
  </si>
  <si>
    <t>The woman throws the paper towel in a designated waste bin.</t>
  </si>
  <si>
    <t>The medical professional shuts off the water faucet using her elbow and also the paper towel.</t>
  </si>
  <si>
    <t>v_Mnhg-VEP69U</t>
  </si>
  <si>
    <t>A man is seen assembling a tire on a lift and taking the rubber off using a machine.</t>
  </si>
  <si>
    <t>He then puts the rubber back on using the machine and ends by moving back from the tire.</t>
  </si>
  <si>
    <t>v_3xoIXUMqmqA</t>
  </si>
  <si>
    <t>He pulls down on a rope and works out.</t>
  </si>
  <si>
    <t>He lowers the bar and starts pulling the rope in the other direction.</t>
  </si>
  <si>
    <t>v_KWeZbXoX8Ys</t>
  </si>
  <si>
    <t>There is a very tall and steep slide running through some trees in a large open ground.</t>
  </si>
  <si>
    <t>There is a rubber surface running lengthwise at the bottom end of the slide to protect people from getting hurt as they land down.</t>
  </si>
  <si>
    <t>A young boy wearing black shorts and a shirt comes sliding down in full force.</t>
  </si>
  <si>
    <t>He lands far from the slide as he tumbles down and off of the slide.</t>
  </si>
  <si>
    <t>v_HCZpS7mhvrE</t>
  </si>
  <si>
    <t>A man in a hat talks at a press conference.</t>
  </si>
  <si>
    <t>We see cabins and trailers in a snowy area.</t>
  </si>
  <si>
    <t>Three men re waxing skis in a workshop and we see the man at the press conference.</t>
  </si>
  <si>
    <t>A man runs behind trailers and two men walk on the snow before we see the press conference again.</t>
  </si>
  <si>
    <t>We see the men skiing.</t>
  </si>
  <si>
    <t>The man at the press conference and a men puts a mask on in the workshop and a machine sits in the field.</t>
  </si>
  <si>
    <t>Two men pose holding rifles in the snow.</t>
  </si>
  <si>
    <t>v_iHzyX1djHU4</t>
  </si>
  <si>
    <t>A man is seen sitting in a chair as well as shots of people riding wake boards and clips of a dock.</t>
  </si>
  <si>
    <t>The man continues speaking to the camera while more shots of people wake boarding are shown as well as doing flips and tricks.</t>
  </si>
  <si>
    <t>v_XJQlO4G5Fns</t>
  </si>
  <si>
    <t>We see a lady holding the camera and blow drying her hair.</t>
  </si>
  <si>
    <t>The lady sits the camera on the floor, and continues blow drying her hair.</t>
  </si>
  <si>
    <t>The lady throws her hair back and picks up the phone.</t>
  </si>
  <si>
    <t>v_jqEpQ-cRGFk</t>
  </si>
  <si>
    <t>We see a sleeping lady in a hospital.</t>
  </si>
  <si>
    <t>A person begins combing the hair of a sleeping elderly lady in a hospital.</t>
  </si>
  <si>
    <t>The camera moves to the top of the ladies head.</t>
  </si>
  <si>
    <t>The camera then moves to the front of the ladies face.</t>
  </si>
  <si>
    <t>v_1mksQqxFtv4</t>
  </si>
  <si>
    <t>A man in shorts is in a gym.</t>
  </si>
  <si>
    <t>He is jumping rope in there.</t>
  </si>
  <si>
    <t>He speeds up his jumping.</t>
  </si>
  <si>
    <t>He is doing it in front of a mirror.</t>
  </si>
  <si>
    <t>v_FRFjdn_pjYk</t>
  </si>
  <si>
    <t>An older man is shown standing on a piece of exercise equipment.</t>
  </si>
  <si>
    <t>He talks to the camera and holds a remote up and continues moving on the machine.</t>
  </si>
  <si>
    <t>v_5MpJCKOxRVs</t>
  </si>
  <si>
    <t>First, the person is seen unscrewing the handle bars.</t>
  </si>
  <si>
    <t>Then he unscrews the base to level it out to his liking.</t>
  </si>
  <si>
    <t>Then he sits on the bike seat to achieve the best results.</t>
  </si>
  <si>
    <t>Then he adjusts the handle bars again and makes sure they are firmly in place.</t>
  </si>
  <si>
    <t>v_Qm-XTJ-uG5s</t>
  </si>
  <si>
    <t>Two men are in a room with three walls and a set of glass doors behind them hitting a ball back and fourth against the wall with tennis rackets.</t>
  </si>
  <si>
    <t>As they continue,one boy falls to the ground and they have to start over.</t>
  </si>
  <si>
    <t>v_kUlwaBYvyBI</t>
  </si>
  <si>
    <t>We see a man standing in front of a workbench in a workshop and talking.</t>
  </si>
  <si>
    <t>The man shows a piece of wood and a sander.</t>
  </si>
  <si>
    <t>The man wipes a substance from a jug on the wood and the sander and sands the wood.</t>
  </si>
  <si>
    <t>The man shows us the finished product.</t>
  </si>
  <si>
    <t>v_LBC8Fa1oCGI</t>
  </si>
  <si>
    <t>Several people parasail on a body of water surrounded by other boats, foliage and houses in the distance.</t>
  </si>
  <si>
    <t>Several people in swim trunks sail in a body of water with multi colored parasails.</t>
  </si>
  <si>
    <t>A person in the foreground in blue swim trunks flips the sail over but the sail twists and lands on the bottom so that the person and the sail land on their feet.</t>
  </si>
  <si>
    <t>v_3hp7kPpZDhs</t>
  </si>
  <si>
    <t>On a track, a runner gets ready to perform.</t>
  </si>
  <si>
    <t>He runs and skips along the way, jumping high at the end.</t>
  </si>
  <si>
    <t>He walks along the track after being finished.</t>
  </si>
  <si>
    <t>The man runs and jumps again.</t>
  </si>
  <si>
    <t>The runner talks to someone.</t>
  </si>
  <si>
    <t>v_FKQIdqjY9nI</t>
  </si>
  <si>
    <t>A man plays the bagpipes on stage while wearing a Scottish skirt.</t>
  </si>
  <si>
    <t>Then, the man ends playing and holds the bagpipes on his left arm.</t>
  </si>
  <si>
    <t>v_zogfsf4O3Vg</t>
  </si>
  <si>
    <t>A man in yellow opens a beer.</t>
  </si>
  <si>
    <t>A man in gray grabs the beer, adjusts his clothes then sits on the floor holding the beer.</t>
  </si>
  <si>
    <t>The man puts one arm behind his back and adjusts himself to try and pick the bottle up with his mouth.</t>
  </si>
  <si>
    <t>The man then quickly drinks and puts the bottle down.</t>
  </si>
  <si>
    <t>We see a countdown clock.</t>
  </si>
  <si>
    <t>v_LB1A7BobPwg</t>
  </si>
  <si>
    <t>We see the white title screen.</t>
  </si>
  <si>
    <t>We then see a bartender talking to two people in a bar.</t>
  </si>
  <si>
    <t>The man puts his arm behind his back.</t>
  </si>
  <si>
    <t>The bartender puts two cards on the bar.</t>
  </si>
  <si>
    <t>They push their cards and drink beer, then pull cards and drink beer.</t>
  </si>
  <si>
    <t>The bartender spits the beer back in the glass.</t>
  </si>
  <si>
    <t>The bartender looks at the camera and speaks.</t>
  </si>
  <si>
    <t>We see the end title screen.</t>
  </si>
  <si>
    <t>v_6O8QXbjvYKs</t>
  </si>
  <si>
    <t>A little boy picks up a bowling ball.</t>
  </si>
  <si>
    <t>He sets it on a rail and pushes it down a lane.</t>
  </si>
  <si>
    <t>A woman with a baby strapped to her chest bowls a ball down a lane.</t>
  </si>
  <si>
    <t>v_G_kJ-Af89ew</t>
  </si>
  <si>
    <t>A man in plaid shirt hit the ball with stick, the ball scattered on the table.</t>
  </si>
  <si>
    <t>The man in gray sweater lean on the table and look at the ball, he then hit the white ball and hit the yellow ball, while the man in plaid shirt sat on the chair.</t>
  </si>
  <si>
    <t>The man in gray sweater continue to play the billiard, making the balls shoot in the holes.</t>
  </si>
  <si>
    <t>v_mTDRTiTnsjQ</t>
  </si>
  <si>
    <t>A hand is pushing a grass blower machine.</t>
  </si>
  <si>
    <t>The machine spit out dry leaves from a black pole.</t>
  </si>
  <si>
    <t>The machine turned in a curve towards the house.</t>
  </si>
  <si>
    <t>v_Z56Xq8Ud4I0</t>
  </si>
  <si>
    <t>A woman is seen speaking to the camera and then takes her ring off to run her hands under some water.</t>
  </si>
  <si>
    <t>She scrubs her hands with soap and then runs her fingers under the water.</t>
  </si>
  <si>
    <t>In the end people perform a little dance with showing how to properly wash your hands.</t>
  </si>
  <si>
    <t>v_G_npKjzxQLk</t>
  </si>
  <si>
    <t>We see people deep sea diving.</t>
  </si>
  <si>
    <t>We see the surface of the ocean.</t>
  </si>
  <si>
    <t>We see people holding hands underwater.</t>
  </si>
  <si>
    <t>People are throwing up hand signs.</t>
  </si>
  <si>
    <t>We see a man throw a hand sign and we see people standing in the water.</t>
  </si>
  <si>
    <t>A man goes under the water slowly.</t>
  </si>
  <si>
    <t>v_7qjiHcYuq2Y</t>
  </si>
  <si>
    <t>A small group of people are seen standing on a beach playing a game of volleyball.</t>
  </si>
  <si>
    <t>One person hits it to the other and they hit the ball game.</t>
  </si>
  <si>
    <t>The game continues on while people are seen watching on the sides.</t>
  </si>
  <si>
    <t>v_RkCSfz8GeNg</t>
  </si>
  <si>
    <t>A man is seen playing with her hair in front of the camera and leads into her brushing her hair.</t>
  </si>
  <si>
    <t>She then ties her hair up and proceeds to blow dry her hair while a comb.</t>
  </si>
  <si>
    <t>Then takes her hair down and runs lotion through her hair while still looking to the camera.</t>
  </si>
  <si>
    <t>v_2fp9Ni7Ms6A</t>
  </si>
  <si>
    <t>A shot of a board is shown followed by various groomers grooming dogs on tables.</t>
  </si>
  <si>
    <t>The people continue grooming the dogs on tables and the video ends with text across the screen.</t>
  </si>
  <si>
    <t>v_R4ouBBtg-B4</t>
  </si>
  <si>
    <t>Various people are shown smiling into a camera and being interviewed about a question.</t>
  </si>
  <si>
    <t>Several other questions are asked to the same people as well as shots of people doing activities around the beach on a string.</t>
  </si>
  <si>
    <t>v_DVlDRG0SxG8</t>
  </si>
  <si>
    <t>The front of a yellow kayak is seen as the boat floats through turbulent white waters of a river.</t>
  </si>
  <si>
    <t>It passes a rock and numerous trees before slowing down.</t>
  </si>
  <si>
    <t>v_586OlQMU420</t>
  </si>
  <si>
    <t>A young blonde boy is shown in several still images, including several while skiing.</t>
  </si>
  <si>
    <t>He is then seen skiing down a large hill from multiple angles and videos.</t>
  </si>
  <si>
    <t>He lands on top of a small hill, falling over.</t>
  </si>
  <si>
    <t>We then see an image of him sleeping on a couch.</t>
  </si>
  <si>
    <t>v_41xqneu4_RA</t>
  </si>
  <si>
    <t>A man is inside a room in a house.</t>
  </si>
  <si>
    <t>He is using a racquet to hit a tennis ball back and forth against a wall.</t>
  </si>
  <si>
    <t>He continues hitting the ball until he is finished playing the game.</t>
  </si>
  <si>
    <t>v_VA8SXILXTj0</t>
  </si>
  <si>
    <t>A couple of lemons are seen sitting on a table with glasses and plates and leads into a person putting the lemons in a container.</t>
  </si>
  <si>
    <t>He mixes ingredients with the lemons and shakes them up in another glass.</t>
  </si>
  <si>
    <t>He finishes the lemonade and presents it to the camera while also taking a sip.</t>
  </si>
  <si>
    <t>v_lJRwUE12drE</t>
  </si>
  <si>
    <t>People are seen walking around a gymnasium and leads into one standing in between bars.</t>
  </si>
  <si>
    <t>The gymnast then moves himself around the bars and jumps down afterwards.</t>
  </si>
  <si>
    <t>Another man steps up to the bars and attempts to spin around.</t>
  </si>
  <si>
    <t>v_O9qI26TB3R0</t>
  </si>
  <si>
    <t>A toddler wash a dog in a bathtub pouring water with the shower hose.</t>
  </si>
  <si>
    <t>The toddler rise the tail of the horse and wash the butt.</t>
  </si>
  <si>
    <t>After, the toddler, grab a brush and scrub and wash the dog.</t>
  </si>
  <si>
    <t>v_YtKUxxMo6Cs</t>
  </si>
  <si>
    <t>A man is riding a pair of water skis while attached to a boat.</t>
  </si>
  <si>
    <t>He swerves from side to side in the water, holding on.</t>
  </si>
  <si>
    <t>He jumps into the air as a stunt, then loses his balance and falls into the water.</t>
  </si>
  <si>
    <t>v_Hc7A90HiA28</t>
  </si>
  <si>
    <t>Two teams are playing a tug of war, while the referee is at the center and on the side are people taking pictures.</t>
  </si>
  <si>
    <t>The referee gave a go signal for the team to start pulling, the players are pulling the rope with all of their might until the blue team won, on the other side of the lane another team are playing tug of war, and the camera pans to the audiences who are watching the game.</t>
  </si>
  <si>
    <t>v_adz3kDJLCF4</t>
  </si>
  <si>
    <t>A woman is using a pink brush to brush her teeth.</t>
  </si>
  <si>
    <t>She is brushing very fast and vigorously.</t>
  </si>
  <si>
    <t>She is brushing her upper and lower teeth.</t>
  </si>
  <si>
    <t>She sticks her tongue out to clean the toothpaste.</t>
  </si>
  <si>
    <t>She checks her teeth to see if they're clean enough.</t>
  </si>
  <si>
    <t>While she continues brushing, she opens her mouth.</t>
  </si>
  <si>
    <t>Some of the toothpaste falls down.</t>
  </si>
  <si>
    <t>She starts brushing her tongue thoroughly.</t>
  </si>
  <si>
    <t>Then she continues brushing her upper and lower teeth again.</t>
  </si>
  <si>
    <t>She then sticks her tongue out and scrapes it against her teeth.</t>
  </si>
  <si>
    <t>She spits out some toothpaste.</t>
  </si>
  <si>
    <t>Some of the toothpaste falls on her chin making it look like a white beard.</t>
  </si>
  <si>
    <t>She pretends to be Santa Claus and says, ho, ho, Merry Christmas.</t>
  </si>
  <si>
    <t>Then she laughs as she shows her teeth with a wide smile.</t>
  </si>
  <si>
    <t>v_b0bM4vKxoXQ</t>
  </si>
  <si>
    <t>A large group of people are seen sitting around in a circle and 2 bulls standing in the pit.</t>
  </si>
  <si>
    <t>The animals and people continue to walk around one another and lead into the bulls fighting one another.</t>
  </si>
  <si>
    <t>v_bp1wsvCaiB0</t>
  </si>
  <si>
    <t>A logo appears then the word fencing.</t>
  </si>
  <si>
    <t>People begin to fence together.</t>
  </si>
  <si>
    <t>People gear up to fence and are shown fencing in a variety of ways.</t>
  </si>
  <si>
    <t>v_0Yb2EQlAEYM</t>
  </si>
  <si>
    <t>The bottom of a murky river is shown and then it flashes to the name of the springs.</t>
  </si>
  <si>
    <t>A group of people are shown and they begin to get floats and play and float throughout the springs.</t>
  </si>
  <si>
    <t>Two kids are on the rocks together and they catch a dragonfly.</t>
  </si>
  <si>
    <t>After,various group of people are shown and a couple floats together with a dog sitting on the male's lap.</t>
  </si>
  <si>
    <t>v_jcqRPdvb18w</t>
  </si>
  <si>
    <t>First the man pushes a tire and he steps inside of it.</t>
  </si>
  <si>
    <t>He then starts hula hooping inside of the tire with it around his waist.</t>
  </si>
  <si>
    <t>v_-t_Zhm1b0FI</t>
  </si>
  <si>
    <t>People playing instruments are on the stage.</t>
  </si>
  <si>
    <t>A man in a suit walks on the stage and starts talking.</t>
  </si>
  <si>
    <t>The band keeps playing in the background.</t>
  </si>
  <si>
    <t>v_59nQKYriHQc</t>
  </si>
  <si>
    <t>A woman is seen kneeling down on the floor speaking to the camera while a dog lays next to her.</t>
  </si>
  <si>
    <t>The woman is then seen running soap and water all over a dog in the sink and ending by cleaning him off and watching him run around and be excited.</t>
  </si>
  <si>
    <t>v_D5hsFA2ZrIQ</t>
  </si>
  <si>
    <t>A man is shown working in an outdoor garden.</t>
  </si>
  <si>
    <t>He is using tools as he works.</t>
  </si>
  <si>
    <t>He trims a long row of hedges, then cleans up the debris.</t>
  </si>
  <si>
    <t>v_Kmk0IVi2Xu4</t>
  </si>
  <si>
    <t>We see a set of drums and a man standing behind the drums talking and holding a drink.</t>
  </si>
  <si>
    <t>the man drinks from the drink and puts it down.</t>
  </si>
  <si>
    <t>the man plays the drums with his hands.</t>
  </si>
  <si>
    <t>The man stops and talks before playing the drums again.</t>
  </si>
  <si>
    <t>The man stands on the drums and dances.</t>
  </si>
  <si>
    <t>We see two men sitting and the first man is clapping his hands.</t>
  </si>
  <si>
    <t>We see the man playing the maracas as a lady dances nearby the man stops and the lady turns away.</t>
  </si>
  <si>
    <t>v_QeIsJBPG8EM</t>
  </si>
  <si>
    <t>There's a young boy dressed in a black shirt and black shorts in a field playing with a hockey stick.</t>
  </si>
  <si>
    <t>He is hitting the ball into the goal with his stick.</t>
  </si>
  <si>
    <t>He swings the stick when another person throws the ball to him and aims it towards the goal.</t>
  </si>
  <si>
    <t>v_HWkGANOfqQE</t>
  </si>
  <si>
    <t>The man is showing how he plays the guitar.</t>
  </si>
  <si>
    <t>Then he shows us how he plays flute.</t>
  </si>
  <si>
    <t>v_Yr2unlRQZa0</t>
  </si>
  <si>
    <t>A woman and a man performs cardiovascular fitness holding handles of a machine while running.</t>
  </si>
  <si>
    <t>A person adjust the angle of the pedal and continues running.</t>
  </si>
  <si>
    <t>The screen of the machine shows relevant information, and is show the audio input jack of the machine and the muscle profile while the man and the woman continues exercising.</t>
  </si>
  <si>
    <t>v_6_uxd3nj2d0</t>
  </si>
  <si>
    <t>A woman leans over a boy, dabbing his face with a substance.</t>
  </si>
  <si>
    <t>He laughs and struggles as she continues.</t>
  </si>
  <si>
    <t>He grabs her by the hair, eating the piece of food she had been rubbing on him.</t>
  </si>
  <si>
    <t>v_MTC0fs4QyEY</t>
  </si>
  <si>
    <t>There is an old man doing Tai Chi on a sidewalk while pedestrians walk by.</t>
  </si>
  <si>
    <t>The man continues doing Tai Chi on the sidewalk as several people walk by him.</t>
  </si>
  <si>
    <t>He then stands next to some well pruned shrubs and continues his exercise in the open while it rains heavily.</t>
  </si>
  <si>
    <t>He then takes his shirt and walks away after he is done with his Tai Chi exercise.</t>
  </si>
  <si>
    <t>v_EZsumzBA68I</t>
  </si>
  <si>
    <t>A man is seen standing before a large fence holding a spray hose in his hand.</t>
  </si>
  <si>
    <t>The man sprays paint all along the wall while the camera captures his movements.</t>
  </si>
  <si>
    <t>The man continues to spray the wall while the camera follows him from behind.</t>
  </si>
  <si>
    <t>v_znIFzXChO1M</t>
  </si>
  <si>
    <t>A girl in a white dress is hitting a pinata with a bat.</t>
  </si>
  <si>
    <t>A man is standing behind her watching.</t>
  </si>
  <si>
    <t>Two girls are standing by the house watching.</t>
  </si>
  <si>
    <t>v_G6qOkn-K6aw</t>
  </si>
  <si>
    <t>It is dark in the room and colorful lights come on.</t>
  </si>
  <si>
    <t>People continue dancing on the dance floor.</t>
  </si>
  <si>
    <t>v_l1oh52tqdPo</t>
  </si>
  <si>
    <t>A small white, medium size Christmas tree is standing in front of two green doors.</t>
  </si>
  <si>
    <t>A lady is carrying a bag that has a "SNO-BOND FLOCK #1" written on it.</t>
  </si>
  <si>
    <t>The lady put the sno-bond flock in a strainer and grab a water spray bottle.</t>
  </si>
  <si>
    <t>She started to sift the white stuff on the tree.</t>
  </si>
  <si>
    <t>After sifting she spray the dust towards the tree.</t>
  </si>
  <si>
    <t>v_d-cxJQcmBzA</t>
  </si>
  <si>
    <t>A man is buffing the floor with a blue buffer.</t>
  </si>
  <si>
    <t>Another man stands next to him watching.</t>
  </si>
  <si>
    <t>He goes over the tile with the buffer.</t>
  </si>
  <si>
    <t>v_jX26w60MxmU</t>
  </si>
  <si>
    <t>Two men are seen sitting in a canoe in low motion and then tips the canoe a bit with a paddle.</t>
  </si>
  <si>
    <t>The men do this several times followed by instructions and locations written in text.</t>
  </si>
  <si>
    <t>v_Vq2mQvMp_c4</t>
  </si>
  <si>
    <t>Someone is riding a horse across a grassy field and comes upon other people on horseback.</t>
  </si>
  <si>
    <t>We soon see the riders are part of a group, and we follow the group across a parking lot and into a stream.</t>
  </si>
  <si>
    <t>Celebratory cheers are heard as the group is enjoying riding across the stream.</t>
  </si>
  <si>
    <t>Then we see a couple of riders, one of them standing up in his saddle.</t>
  </si>
  <si>
    <t>v_Kb8SPjD121k</t>
  </si>
  <si>
    <t>two guys beginning a arm wrestling match,the guy in the back shirt wins the first match.</t>
  </si>
  <si>
    <t>the men switched hands and starts a new match.</t>
  </si>
  <si>
    <t>the finally match was won by the same guy with the back shirt.</t>
  </si>
  <si>
    <t>v_Oh83skxSJkQ</t>
  </si>
  <si>
    <t>A close up of a piano is seen followed by a person walking into frame.</t>
  </si>
  <si>
    <t>The person then stretches out their nails and begins playing the piano.</t>
  </si>
  <si>
    <t>The person continues playing on the instrument and stops to turn off the camera.</t>
  </si>
  <si>
    <t>v_0rDLcTmgzGQ</t>
  </si>
  <si>
    <t>The men riding the horses are playing polo in the field.</t>
  </si>
  <si>
    <t>The men are chasing the ball and hitting with mallet.</t>
  </si>
  <si>
    <t>A player hit the ball and then ran after it, behind him are other players.</t>
  </si>
  <si>
    <t>v_xr0tV2KNqgI</t>
  </si>
  <si>
    <t>A crowd of people watch as two bulls fight each other in a competition.</t>
  </si>
  <si>
    <t>The camera pans over to show many people in the crowd watching the show.</t>
  </si>
  <si>
    <t>A man walks by the camera.</t>
  </si>
  <si>
    <t>Several people are getting close to the bull trying to catch the action.</t>
  </si>
  <si>
    <t>The bulls begin to chase each other around the field.</t>
  </si>
  <si>
    <t>v_1JeK3U_nUUc</t>
  </si>
  <si>
    <t>Several shots are shown of people wandering on a beach that lead into clips of a soccer match and people celebrating.</t>
  </si>
  <si>
    <t>More people are seen dancing around as well as playing soccer and gesturing to the camera.</t>
  </si>
  <si>
    <t>v_VE-zu8cdL44</t>
  </si>
  <si>
    <t>A dog who is missing his front legs is walking across a lawn.</t>
  </si>
  <si>
    <t>He is following the camera man, then breaks into a hopping run.</t>
  </si>
  <si>
    <t>He returns, and does the same again.</t>
  </si>
  <si>
    <t>v_-IkL9Kq9zfQ</t>
  </si>
  <si>
    <t>A man in cold weather clothing is kayaking on a river.</t>
  </si>
  <si>
    <t>The shot pans out to show several kayaks, and the man stuck on a small waterfall.</t>
  </si>
  <si>
    <t>He finally gets himself unstuck, pulling away from the falls.</t>
  </si>
  <si>
    <t>v_KnF56TCKPYw</t>
  </si>
  <si>
    <t>A dog sniffs the feet of a man and a woman.</t>
  </si>
  <si>
    <t>The couple walk the dog down to a lake.</t>
  </si>
  <si>
    <t>There are other owners and dogs, and they play at the water's edge.</t>
  </si>
  <si>
    <t>v_BtGrWzfvmP0</t>
  </si>
  <si>
    <t>A girl is seen smiling and waving to the camera followed by her holding up a contact lens and cleanser.</t>
  </si>
  <si>
    <t>She mixes the two together followed by putting the contact lens in her eyes.</t>
  </si>
  <si>
    <t>She finally shows off her eyes in the end and gives the camera a thumbs up.</t>
  </si>
  <si>
    <t>v_hnwZmUR1FUw</t>
  </si>
  <si>
    <t>There are two men indoors and playing racquetball in an indoor court as they quickly hit the ball against the wall and take turns.</t>
  </si>
  <si>
    <t>One of the men wearing a green shirt looks angrily at the camera and throws the racquet at the camera.</t>
  </si>
  <si>
    <t>The camera person turns the camera to himself and he is running and laughing while looking in the camera.</t>
  </si>
  <si>
    <t>v_Y97KgwAmdrU</t>
  </si>
  <si>
    <t>Various ingredients are laid out on a counter and are all mixed together in a bowl.</t>
  </si>
  <si>
    <t>The person is then shown placing dough balls into the oven and pressing a button.</t>
  </si>
  <si>
    <t>Then person then takes the cookies out and they disappear, all in stop animation.</t>
  </si>
  <si>
    <t>v_EKyV_WFsJH0</t>
  </si>
  <si>
    <t>A man is seen speaking to the camera while a shot of a person playing basketball shows behind.</t>
  </si>
  <si>
    <t>The man continues speaking as more shots are shown of the boy playing basketball.</t>
  </si>
  <si>
    <t>The man continues speaking and ends with text across the screen.</t>
  </si>
  <si>
    <t>v_E5uAH7_WTFs</t>
  </si>
  <si>
    <t>A professional swimmer wipes his eyes before engaging in the competition.</t>
  </si>
  <si>
    <t>He takes off, swimming as he tries to beat the two competitors on either side of him.</t>
  </si>
  <si>
    <t>v_DEVD2oszH48</t>
  </si>
  <si>
    <t>A gymnast gets ready and stretches out before an event.</t>
  </si>
  <si>
    <t>The gymnast runs then tumbles down a platform during an Olympic game finally landing on a padded mat.</t>
  </si>
  <si>
    <t>A large crowd applauds the performance.</t>
  </si>
  <si>
    <t>Other gymnast look on and nod with approval.</t>
  </si>
  <si>
    <t>A replay shows the gymnasts performance in slow motion.</t>
  </si>
  <si>
    <t>The gymnast sits with her coach and is congratulated.</t>
  </si>
  <si>
    <t>v_-lV2zo5XsCg</t>
  </si>
  <si>
    <t>A close up of a horse is seen standing in a fenced in area.</t>
  </si>
  <si>
    <t>A person is then seen brushing the horse from the side.</t>
  </si>
  <si>
    <t>The person continues brushing as a close up of the horse is shown.</t>
  </si>
  <si>
    <t>v_Jo2-IPbuapw</t>
  </si>
  <si>
    <t>A person's hands are seen places in the middle of a paper and begins drawing along the picture.</t>
  </si>
  <si>
    <t>The person then paints a large tree while still moving around quickly on the painting.</t>
  </si>
  <si>
    <t>The person finishes the painting and signs their name and shows a picture of themselves.</t>
  </si>
  <si>
    <t>v_rWVpotNVeyM</t>
  </si>
  <si>
    <t>A black screen appears with with white words reading, Winter Sedona,AZ.</t>
  </si>
  <si>
    <t>A man begins walking through a field of trees and shrubs,wearing a yellow hat,cardigan,boots,and a bag.</t>
  </si>
  <si>
    <t>He then stops and begins playing a wooden recorder.</t>
  </si>
  <si>
    <t>The camera zooms in and he continues playing the recorder and various forms of the surrounding landscape is shown.</t>
  </si>
  <si>
    <t>v_7IfBJgi3WCE</t>
  </si>
  <si>
    <t>The camera moves in on two cars parked on the street facing one another.</t>
  </si>
  <si>
    <t>A young man is then seen riding a tractor along the lawn to cut the grass and moves all around the camera man.</t>
  </si>
  <si>
    <t>v_ikHGZpkhfNc</t>
  </si>
  <si>
    <t>Five people carrying skateboards are walking towards the light.</t>
  </si>
  <si>
    <t>The young people are skateboarding in a subdivision while sitting down using their hands as a break.</t>
  </si>
  <si>
    <t>The young people skateboard in a ramp, then to the parking lot, then to the subdivision, one of the skateboarders fell off their skateboards.</t>
  </si>
  <si>
    <t>v_JO_CW4PR3I8</t>
  </si>
  <si>
    <t>A man is holding a wooden case.</t>
  </si>
  <si>
    <t>He puts a towel through the case.</t>
  </si>
  <si>
    <t>He begins to shine his shoe with the towel.</t>
  </si>
  <si>
    <t>v_Y3j1uDKRpPU</t>
  </si>
  <si>
    <t>A man is seen wearing a suit and walk away.</t>
  </si>
  <si>
    <t>The man walks up to a large chair and sits down.</t>
  </si>
  <si>
    <t>Another man is seen standing in front of the chair and begins looking down at the man's feet.</t>
  </si>
  <si>
    <t>v_cxFt88Cs-fs</t>
  </si>
  <si>
    <t>Two men are outside on the side of a bridge talking to each other as several people are walking by talking to them and shaking their hands.</t>
  </si>
  <si>
    <t>After,the man that is in the harness grabs on to the shoulders of two men as they help him stand up on top of the bridge.</t>
  </si>
  <si>
    <t>Finally,the man does a free fall off of the bridge and a orange ball is thrown to him.</t>
  </si>
  <si>
    <t>v_rBnygEUFOvE</t>
  </si>
  <si>
    <t>A gymnast wearing red leotards is performing gymnastics on uneven bars in a large stadium with a several spectators.</t>
  </si>
  <si>
    <t>She is doing front flips and back flips with swift motion without falling down.</t>
  </si>
  <si>
    <t>After she's done, she gets off the uneven bars and walks off as she gives a high five to her coach.</t>
  </si>
  <si>
    <t>v_5jaIcPomOuM</t>
  </si>
  <si>
    <t>Two women are seen speaking to the camera with one holding a cat in her lap.</t>
  </si>
  <si>
    <t>The woman then proceeds to hold the cat's claws and cut the nails while pointing to the cat and looking to the camera.</t>
  </si>
  <si>
    <t>v_eOsASILOUZM</t>
  </si>
  <si>
    <t>A woman stands on a diving board.</t>
  </si>
  <si>
    <t>She jumps off of the diving board.</t>
  </si>
  <si>
    <t>She dives into the pool of water.</t>
  </si>
  <si>
    <t>She swims under the water.</t>
  </si>
  <si>
    <t>v_oZjx7F1doGs</t>
  </si>
  <si>
    <t>Two men exhibit and demonstrate the use of an automated tennis ball server on a tennis ball court.</t>
  </si>
  <si>
    <t>An animation graphic appears exhibiting two gold cylinders inside of a metal bracket.</t>
  </si>
  <si>
    <t>The animated graphic morphs into a real and actual version of the graphic, appearing on a outdoor tennis court and flanked by two men.</t>
  </si>
  <si>
    <t>The two men standing next to the machinery place tennis balls into the machine, which in turn spits out the balls acting as an automated tennis ball server for a player who is standing on the other side of the tennis court with a tennis racket.</t>
  </si>
  <si>
    <t>v_HqpflYNEI7o</t>
  </si>
  <si>
    <t>A pumpkin is sitting on a counter.</t>
  </si>
  <si>
    <t>A knife is carving a face into the pumpkin.</t>
  </si>
  <si>
    <t>The lights are turned off and the pumpkin is lit up.</t>
  </si>
  <si>
    <t>v_7-5sFmNf4i4</t>
  </si>
  <si>
    <t>There are band members talking about their concert in Canada.</t>
  </si>
  <si>
    <t>They are seated on a stage as they talk about their experience about surprising a fan.</t>
  </si>
  <si>
    <t>They surprise a fan who is the winner of a contest.</t>
  </si>
  <si>
    <t>The band members go bowling with the surprised fan and play at the bowling alley.</t>
  </si>
  <si>
    <t>After the bowling game is over, they further surprise the fan by inviting her to their concert ans sound check party.</t>
  </si>
  <si>
    <t>v_f5Ja983oTMw</t>
  </si>
  <si>
    <t>A man mounts a pommel horse and starts spinning.</t>
  </si>
  <si>
    <t>A gymnast in the background falls mid performance.</t>
  </si>
  <si>
    <t>The main performer dismounts and throws his arms in the air.</t>
  </si>
  <si>
    <t>The main performer walks away.</t>
  </si>
  <si>
    <t>v_ljxNDSS_AcA</t>
  </si>
  <si>
    <t>A man is standing in a room talking.</t>
  </si>
  <si>
    <t>Another man is painting the walls of the room.</t>
  </si>
  <si>
    <t>The man sets his paint can and his towel down next to him.</t>
  </si>
  <si>
    <t>v_hLyHeVmMDGU</t>
  </si>
  <si>
    <t>A tether rope rises up on a bar.</t>
  </si>
  <si>
    <t>Athletes prepare for an event getting poles ready and chalking hands.</t>
  </si>
  <si>
    <t>Athletes pole vault over a high bar in a competition.</t>
  </si>
  <si>
    <t>Athletes and fans meet after the event talking and signing autographs.</t>
  </si>
  <si>
    <t>A graphic is seen of event sponsors and website on the screen with black backround.</t>
  </si>
  <si>
    <t>v_KFIxTdJtXAE</t>
  </si>
  <si>
    <t>One group of adults are in a raft, paddling through the water with big waves.</t>
  </si>
  <si>
    <t>The group hit each other's paddle like a high five and then continue to paddle through the river.</t>
  </si>
  <si>
    <t>Other group of people are riding the rafts and stopped at the side of the river.</t>
  </si>
  <si>
    <t>v_QJKFphS_3UQ</t>
  </si>
  <si>
    <t>A woman is seen speaking to the camera holding an instrument and leads into her playing the flute.</t>
  </si>
  <si>
    <t>The camera continues to zoom in on her playing the instrument while she intervenes by speaking to the camera.</t>
  </si>
  <si>
    <t>v_5BuDj1xkpiI</t>
  </si>
  <si>
    <t>We see a bottle of face wash.</t>
  </si>
  <si>
    <t>We see a person holding face wash then putting it on their face.</t>
  </si>
  <si>
    <t>They rinse the face and add the face wash with a brush.</t>
  </si>
  <si>
    <t>We see an illustration on how to add the wash using a brush.</t>
  </si>
  <si>
    <t>v_lu7viu9nf6g</t>
  </si>
  <si>
    <t>Various clips of a large group of people are seen standing together leading into clips of people shooting bows and arrows.</t>
  </si>
  <si>
    <t>More clips are shown of people speaking to the camera are shown as well as people celebrating and shooting more bows and dancing.</t>
  </si>
  <si>
    <t>v_aKLKf4Qd_4U</t>
  </si>
  <si>
    <t>A close up of a house is seen when a person walks into frame.</t>
  </si>
  <si>
    <t>The person is seen grabbing lawn mower and pulling it to the side.</t>
  </si>
  <si>
    <t>The person then pushes the lawn mower all around the house.</t>
  </si>
  <si>
    <t>v_FSU0YVLCoSc</t>
  </si>
  <si>
    <t>A person's hands are seen close up on a tool and begins moving the handle around and taking the tool apart.</t>
  </si>
  <si>
    <t>The person unscrews some items and tightens the inside and moves the screwdriver around while holding the tool.</t>
  </si>
  <si>
    <t>v_ot7hBY4lQ2c</t>
  </si>
  <si>
    <t>A group of men have gathered indoors.</t>
  </si>
  <si>
    <t>Two of them crouch in the center.</t>
  </si>
  <si>
    <t>They flip to the center of the circle, doing ornate kickboxing stunts.</t>
  </si>
  <si>
    <t>Several more clips of other fighters are shown, flipping, rolling, and kicking.</t>
  </si>
  <si>
    <t>The two men hug at the end.</t>
  </si>
  <si>
    <t>v_mHe2twk5BDE</t>
  </si>
  <si>
    <t>Various still shot pictures of different men, different ages, different races and different sizes appear with white text names appearing over each of their faces.</t>
  </si>
  <si>
    <t>A blue screen then appears and white text words appear and say "WAIT!! SO WHAT IS WATER POLO??".</t>
  </si>
  <si>
    <t>Various clips of many men playing water polo in a pool start to play and it shows them splashing in the water, fighting for the ball, swimming, and trying to make a goal at the net that's at the end of a pool.</t>
  </si>
  <si>
    <t>Another blue screen appears and it has white text that say's "OK then so heres us in action" and numerous still shot pictures display of people playing water polo in the pool, or just hanging out are displayed.</t>
  </si>
  <si>
    <t>When the pictures are done a blue screen appears with a lot of white words on it that basically say that if you're interested in what you just saw, you just need to contact one of them.</t>
  </si>
  <si>
    <t>v_rYXmAD8u7N8</t>
  </si>
  <si>
    <t>Several people are talking into microphones on the stage.</t>
  </si>
  <si>
    <t>One of the men starts playing a violin.</t>
  </si>
  <si>
    <t>He gives the violin to another man who plays it.</t>
  </si>
  <si>
    <t>The audience starts clapping for them.</t>
  </si>
  <si>
    <t>v_Xj--zKhm6k4</t>
  </si>
  <si>
    <t>A large man is dancing inside a dark room.</t>
  </si>
  <si>
    <t>People behind him laugh and clap.</t>
  </si>
  <si>
    <t>He is throwing darts at a target in the distance.</t>
  </si>
  <si>
    <t>v_xi4puZ1ulP4</t>
  </si>
  <si>
    <t>A woman is seen with seen wearing a tanktop with introduction text.</t>
  </si>
  <si>
    <t>The woman have hair tied back and applies eye make up to eyes using various brushes and colors.</t>
  </si>
  <si>
    <t>The woman begins to puts eye liner on with a fine pencil.</t>
  </si>
  <si>
    <t>The women takes cloth ties out of here hair and lets her hair down which is now curled.</t>
  </si>
  <si>
    <t>The woman uses a comb and hairspray to straighten parts of here hair then ties it back.</t>
  </si>
  <si>
    <t>Messages of tex are shown on the end of the video.</t>
  </si>
  <si>
    <t>v_U8m-9nmAfGU</t>
  </si>
  <si>
    <t>A person fixes a strap on a guy.</t>
  </si>
  <si>
    <t>The guy moves closer to the edge.</t>
  </si>
  <si>
    <t>Two men places hooks on the guy.</t>
  </si>
  <si>
    <t>A man release a rope.</t>
  </si>
  <si>
    <t>The guy jumps of the edge or bungee jumps.</t>
  </si>
  <si>
    <t>v_gS4dNLjHouo</t>
  </si>
  <si>
    <t>A marching band parades down the street, playing drums and other instruments.</t>
  </si>
  <si>
    <t>People on both sides of the street watch the band perform.</t>
  </si>
  <si>
    <t>v_Pl4zAGveukQ</t>
  </si>
  <si>
    <t>A woman with long hair speaks to the camera.</t>
  </si>
  <si>
    <t>She holds up a long brush.</t>
  </si>
  <si>
    <t>She demonstrates how to use the brush to scrape snow off a car.</t>
  </si>
  <si>
    <t>When she is done, she continues talking about the brush.</t>
  </si>
  <si>
    <t>v__EKqIcXdW04</t>
  </si>
  <si>
    <t>A lady knees, while a guy walks and instructs.</t>
  </si>
  <si>
    <t>The lady places both hands behind her head.</t>
  </si>
  <si>
    <t>v_gDhfInESf_E</t>
  </si>
  <si>
    <t>A lady is brushing her hair.</t>
  </si>
  <si>
    <t>The lady brushes her hair from underneath.</t>
  </si>
  <si>
    <t>115 The lady runs her hand through her hair.</t>
  </si>
  <si>
    <t>The lady finishes and sits upright.</t>
  </si>
  <si>
    <t>v_7Lkcan0X5VA</t>
  </si>
  <si>
    <t>A person's hands are shown playing piano.</t>
  </si>
  <si>
    <t>A close up of a trumpet shows a man playing.</t>
  </si>
  <si>
    <t>The video fades to the people playing on stage.</t>
  </si>
  <si>
    <t>The camera zooms in on the trumpet player.</t>
  </si>
  <si>
    <t>A girl is shown playing piano.</t>
  </si>
  <si>
    <t>The duo continue playing until the song ends.</t>
  </si>
  <si>
    <t>v_rI-Iq496Sgk</t>
  </si>
  <si>
    <t>A man has climbed a large ladder outside.</t>
  </si>
  <si>
    <t>He is using trimmers to cut and trim large trees.</t>
  </si>
  <si>
    <t>He reaches up, cutting the branches and twigs.</t>
  </si>
  <si>
    <t>v_HdgVytIzu4s</t>
  </si>
  <si>
    <t>A man is seen holding a tennis racket and begins hitting a ball around a room.</t>
  </si>
  <si>
    <t>Another man is in frame also holding a tennis racket and hitting a ball around.</t>
  </si>
  <si>
    <t>The men continue to play with one another around the room while the camera follows their movements.</t>
  </si>
  <si>
    <t>v_RNqJj9tt3F0</t>
  </si>
  <si>
    <t>Several NHL players are playing a hockey game in a hockey stadium.</t>
  </si>
  <si>
    <t>One of the player is shown expressing his anger at the game.</t>
  </si>
  <si>
    <t>A news caster comes onto the screen to announce a a segment about hockey meltdowns.</t>
  </si>
  <si>
    <t>The top ten hockey melt downs are then shown.</t>
  </si>
  <si>
    <t>v_Ka0Rtjfi9fI</t>
  </si>
  <si>
    <t>A man trims a large hedge with a pole trimmer.</t>
  </si>
  <si>
    <t>There are several close ups of the tool in action.</t>
  </si>
  <si>
    <t>Several extensions are shown for it.</t>
  </si>
  <si>
    <t>The man trims a tree with it.</t>
  </si>
  <si>
    <t>v_VFOpGMVouVg</t>
  </si>
  <si>
    <t>A woman is seen speaking to the camera and leads into her playing with her hair and pining it up.</t>
  </si>
  <si>
    <t>She ten begins braiding her hair in various places while speaking to the camera.</t>
  </si>
  <si>
    <t>She ties her hair back around her head and ends by speaking to the camera.</t>
  </si>
  <si>
    <t>v_eQMT-WmxKM8</t>
  </si>
  <si>
    <t>a girl is holding a baton her hand.</t>
  </si>
  <si>
    <t>She tosses it to a boy beside her.</t>
  </si>
  <si>
    <t>They take turns throwing it into the air and catching it.</t>
  </si>
  <si>
    <t>v_a42c_maArv4</t>
  </si>
  <si>
    <t>The camera shakes on an image of an indoor volleyball court.</t>
  </si>
  <si>
    <t>A woman races back from the net to hit the incoming volleyball.</t>
  </si>
  <si>
    <t>A fellow team member also hits the ball and sends it across the net.</t>
  </si>
  <si>
    <t>v_e60HGAzBOvo</t>
  </si>
  <si>
    <t>The man is wearing an apron as he walks into the works space and the words "Conti Ski-Boots Service Presents Race Operation" is overlayed onto the screen as he grabs a ski pole and picks up a drill and uses it on the top of the ski.</t>
  </si>
  <si>
    <t>The man then grabs the ski and puts it into the green machinery that is located behind him and runs it through the machine a few times then removes it and stars to work on the backside of the ski which appears to look like he is sanding, taping and pouring some type of clear finish onto it.</t>
  </si>
  <si>
    <t>The man then runs a device over the sky that looks like an iron, and continues to sand it, clear it off, scrape it, and use the ironing device again.</t>
  </si>
  <si>
    <t>The man then removes the tape and turns the ski onto it's side to scrape at it.</t>
  </si>
  <si>
    <t>When he's finished he grabs the ski and puts it into a compartment that is located above the green machine.</t>
  </si>
  <si>
    <t>v_0rDb-zfhH0E</t>
  </si>
  <si>
    <t>A boy and girl in a karate uniform are playing in front of a camera.</t>
  </si>
  <si>
    <t>They talk about how they earned their karate uniforms and what they like about karate.</t>
  </si>
  <si>
    <t>The girl talks about her brother and more about karate.</t>
  </si>
  <si>
    <t>The girl plays effects on her brother.</t>
  </si>
  <si>
    <t>The girl does various karate moves for the camera.</t>
  </si>
  <si>
    <t>Then the brother does several different karate moves for the camera.</t>
  </si>
  <si>
    <t>v_MzYA5oo-mzk</t>
  </si>
  <si>
    <t>A man is in a screened area standing on a concrete circle and swings a ball on a rope around two times above his head.</t>
  </si>
  <si>
    <t>The man then quickly starts spinning himself along with swinging the ball on the rope.</t>
  </si>
  <si>
    <t>After numerous and quick swings and spins the man lets the rope go and the ball goes flying.</t>
  </si>
  <si>
    <t>v_DsqNpc9JChY</t>
  </si>
  <si>
    <t>A person wash the dishes using a brush in a sink.</t>
  </si>
  <si>
    <t>Then, the person wash the utensils while cleaning with the brush.</t>
  </si>
  <si>
    <t>After, the person pours dishwasher in a glass and a cup, then brush and rinse.</t>
  </si>
  <si>
    <t>v_BshSmo_rRII</t>
  </si>
  <si>
    <t>A man watch through a window two bears copulate while brushing a shoe.</t>
  </si>
  <si>
    <t>A girl enters the room and see the bears, then she leaves the room.</t>
  </si>
  <si>
    <t>v_g-KEU43sCt4</t>
  </si>
  <si>
    <t>Children perform martial arts moves in a dojo as adults watch.</t>
  </si>
  <si>
    <t>A girl flips and takes her turn then flips out of the center.</t>
  </si>
  <si>
    <t>A teen does a flip to the other side of the room.</t>
  </si>
  <si>
    <t>One of the teachers moves to the middle of the floor.</t>
  </si>
  <si>
    <t>The teen talks to another one of the children and send the boy in when it's his turn.</t>
  </si>
  <si>
    <t>the teen attempts to have a scared boy take a turn but the boy refuses.</t>
  </si>
  <si>
    <t>The children all run to the floor.</t>
  </si>
  <si>
    <t>v_2SnFlGUHKnc</t>
  </si>
  <si>
    <t>A woman is dancing in the middle of the street with a baton.</t>
  </si>
  <si>
    <t>She twirls and throws the baton while a small crowd watches.</t>
  </si>
  <si>
    <t>She continues down the road, performing with the baton.</t>
  </si>
  <si>
    <t>v_KRfdZgxLZPY</t>
  </si>
  <si>
    <t>In the snow, various young men perform snowboard tricks before the camera.</t>
  </si>
  <si>
    <t>A man in a blue sweatshirt jumps down a staircase.</t>
  </si>
  <si>
    <t>A young man in a black outfit performs a double trick by grinding down one railing and jumping down a staircase.</t>
  </si>
  <si>
    <t>A man in a purple sweatshirt grinds down a staircase railing.</t>
  </si>
  <si>
    <t>A man in a purple and black striped sweatshirt jumps down a staircase.</t>
  </si>
  <si>
    <t>The man in the blue sweatshirt grinds down a railing and lands stylishly on the floor.</t>
  </si>
  <si>
    <t>v_lxNV7FI-LQQ</t>
  </si>
  <si>
    <t>A shot of a sunset leads into a large group of people riding camels along the beach.</t>
  </si>
  <si>
    <t>Many people are seen riding the camels one after another on the sand.</t>
  </si>
  <si>
    <t>The video continues on showing more people riding the camels and others leading in the front.</t>
  </si>
  <si>
    <t>v_zCijq4G1B3Q</t>
  </si>
  <si>
    <t>A man is painting the wood with brush, the wood is being shown.</t>
  </si>
  <si>
    <t>The man is painting the fence with brown paint, then painting the table.</t>
  </si>
  <si>
    <t>The man mixed the paint and then began painting the wooden table, then he clean up the floor and brush it.</t>
  </si>
  <si>
    <t>v_4XX5rcqpOXA</t>
  </si>
  <si>
    <t>A person is seen sitting at a table followed by two people dancing with one another and others sitting around watch.</t>
  </si>
  <si>
    <t>The people continue dancing around one another and end by stopping and having other two dancing beside them.</t>
  </si>
  <si>
    <t>v_J80e9M4AQ5w</t>
  </si>
  <si>
    <t>We see an opening screen with a black background.</t>
  </si>
  <si>
    <t>We see a lot of people moving snow with shovel, brooms, pots, and bowls.</t>
  </si>
  <si>
    <t>A man is shoveling with a dist pan followed by ladies with a hoe and plate.</t>
  </si>
  <si>
    <t>A man throws snow on a lady.</t>
  </si>
  <si>
    <t>A man throws snow on people.</t>
  </si>
  <si>
    <t>A person is stuck in the snow is buried by others.</t>
  </si>
  <si>
    <t>A lady talks to the camera and it goes black and white.</t>
  </si>
  <si>
    <t>People are mainge snow angels.</t>
  </si>
  <si>
    <t>We see the closing credits of the video.</t>
  </si>
  <si>
    <t>v___dXUJsj3yo</t>
  </si>
  <si>
    <t>A middle age woman is shown squatting down picking up snow and dumping it in pile.</t>
  </si>
  <si>
    <t>She then walks towards the camera and sticks her tongue out.</t>
  </si>
  <si>
    <t>v_UIrn2ziRgEM</t>
  </si>
  <si>
    <t>a woman lights a cigarette in front of the camera.</t>
  </si>
  <si>
    <t>She takes a big pull off the cigarette.</t>
  </si>
  <si>
    <t>She blows smoke at the camera and smiles.</t>
  </si>
  <si>
    <t>She takes another pull of the cigarette and blows smoke out.</t>
  </si>
  <si>
    <t>She plays with her hair.</t>
  </si>
  <si>
    <t>Then she continues to smoke the cigarette while looking around.</t>
  </si>
  <si>
    <t>v_oGwn4NUeoy8</t>
  </si>
  <si>
    <t>A small group of people are seen on a stage getting their instruments ready.</t>
  </si>
  <si>
    <t>A woman begins playing the drums while another plays piano and the others watch.</t>
  </si>
  <si>
    <t>The two continue to play their instruments and others on the side watch.</t>
  </si>
  <si>
    <t>v_dukaFaotZGc</t>
  </si>
  <si>
    <t>Two men quickly dismantle a red chimney.</t>
  </si>
  <si>
    <t>One man puts wood over the gaping hole.</t>
  </si>
  <si>
    <t>The man then covers the wood with shingles.</t>
  </si>
  <si>
    <t>v_nIpT_lGpjck</t>
  </si>
  <si>
    <t>We see a person chopping a fruit.</t>
  </si>
  <si>
    <t>The person then cuts off the chopped portion.</t>
  </si>
  <si>
    <t>The person chops the fruit again and cuts off the chopped bit.</t>
  </si>
  <si>
    <t>The person picks up a slice from the bowl and cuts it.</t>
  </si>
  <si>
    <t>We then see the person chop and cut more.</t>
  </si>
  <si>
    <t>The person picks up bits off their pants.</t>
  </si>
  <si>
    <t>v_P17kaxPrbdc</t>
  </si>
  <si>
    <t>A boy is seen holding a stick while other people watch and clap on the sidelines.</t>
  </si>
  <si>
    <t>The boy holding the stick performs a martial arts routine in front of the people and ends with a pose while everyone around him claps.</t>
  </si>
  <si>
    <t>v_S2VKbwm0uE8</t>
  </si>
  <si>
    <t>A man is seen giving the camera a piece sign while others around him talk and gear up.</t>
  </si>
  <si>
    <t>One man is then seen stepping up on a platform and jumping off the side.</t>
  </si>
  <si>
    <t>v_QF7wNOCJpMU</t>
  </si>
  <si>
    <t>A man competes in a canoe in a river moving the oar very fast.</t>
  </si>
  <si>
    <t>Then, the man pass turbulent waters.</t>
  </si>
  <si>
    <t>v_SXlSHYVNcvM</t>
  </si>
  <si>
    <t>The word ehow appears on the screen.</t>
  </si>
  <si>
    <t>We see a woman dressed in red standing in a room of a house.</t>
  </si>
  <si>
    <t>She is talking about a table in front of her.</t>
  </si>
  <si>
    <t>She picks up some furniture polish, and applies it to the wood, polishing it with a sock she has put over her hand.</t>
  </si>
  <si>
    <t>v_lwo7fssfLiw</t>
  </si>
  <si>
    <t>A woman is seen speaking to the camera while holding onto a piece of exercise equipment with her arms.</t>
  </si>
  <si>
    <t>She moves the machine back and fourth while still laughing and smiling to the camera.</t>
  </si>
  <si>
    <t>v_HEfOp_pz_j4</t>
  </si>
  <si>
    <t>In a dark crystal ball, an alien looking thing is looking at the characters inside.</t>
  </si>
  <si>
    <t>Three men are playing paper, scissor, stick and stone while creatures with different colors are watching them with shock.</t>
  </si>
  <si>
    <t>One character won by using scissor, he then talked to the people around him.</t>
  </si>
  <si>
    <t>v_8JKK6JayDeA</t>
  </si>
  <si>
    <t>A woman bends down and lifts a heavy weight over her head.</t>
  </si>
  <si>
    <t>People are sitting behind them on benches.</t>
  </si>
  <si>
    <t>Several more people keep lifting the weights.</t>
  </si>
  <si>
    <t>v_vRf9sof3dwU</t>
  </si>
  <si>
    <t>A woman is seen speaking to the camera in an aggressive manner and leads into her holding up a hula hoop.</t>
  </si>
  <si>
    <t>The woman attempts to hula hoop several times and succeeds by using it on her neck and bending down to the camera.</t>
  </si>
  <si>
    <t>v_R2izNBHhctM</t>
  </si>
  <si>
    <t>A woman in pink dress is clipping the right paw of a white cat who is sitting on her lap.</t>
  </si>
  <si>
    <t>She took the left paw to clip, the cat looked up and the woman looked down and gave her a quick kiss on the head.</t>
  </si>
  <si>
    <t>The cat looked up while the woman is clipping the right back paw of the cat.</t>
  </si>
  <si>
    <t>While the woman is clipping the left back paw, the cat was blinking to the camera.</t>
  </si>
  <si>
    <t>v_GN0TdqHETvc</t>
  </si>
  <si>
    <t>Two men are seen standing in a room and speaking to the camera while holding rackets.</t>
  </si>
  <si>
    <t>The two then continuously hit the ball around the closed area back and fourth and point to the camera with a racket and run around.</t>
  </si>
  <si>
    <t>v_l866oFamRY4</t>
  </si>
  <si>
    <t>A group of numerous people are walking down a public street.</t>
  </si>
  <si>
    <t>One couple is walking a pit bull on a leash.</t>
  </si>
  <si>
    <t>We see smoke billowing from a building as the people walk away.</t>
  </si>
  <si>
    <t>v_OVf4tUiUqA0</t>
  </si>
  <si>
    <t>Two workers are shown at a shop outdoors.</t>
  </si>
  <si>
    <t>They are washing down cars with soap, including the Maserati's tires.</t>
  </si>
  <si>
    <t>They then rinse the cars and wipe them clean.</t>
  </si>
  <si>
    <t>The final product is shown as a clean, shiny italian car.</t>
  </si>
  <si>
    <t>v_G02h5bFOpCE</t>
  </si>
  <si>
    <t>A man is holding a surf board.</t>
  </si>
  <si>
    <t>Birds fly into the sky above the water.</t>
  </si>
  <si>
    <t>He surfs the waves in the water.</t>
  </si>
  <si>
    <t>He is in the car talking.</t>
  </si>
  <si>
    <t>He surfs in the water some more.</t>
  </si>
  <si>
    <t>The birds are flying over the water again.</t>
  </si>
  <si>
    <t>v_JjUQ6dWZIL0</t>
  </si>
  <si>
    <t>A large flag is flowing in the wind.</t>
  </si>
  <si>
    <t>A man is on a street, hitting a stick with another stick.</t>
  </si>
  <si>
    <t>Two men engage in martial arts kick boxing, kicking and swinging and flipping.</t>
  </si>
  <si>
    <t>v_Xfu6WQuFEks</t>
  </si>
  <si>
    <t>A man is chopping wood in a snowy yard.</t>
  </si>
  <si>
    <t>There is a pile of snow behind him.</t>
  </si>
  <si>
    <t>The log split in two with one strike.</t>
  </si>
  <si>
    <t>v_cqgecSy943o</t>
  </si>
  <si>
    <t>A man bends over to talk to the camera.</t>
  </si>
  <si>
    <t>The man then skateboards on a ramp.</t>
  </si>
  <si>
    <t>He tries to run up the ramp without a skateboard.</t>
  </si>
  <si>
    <t>A child slides down the ramp on her butt.</t>
  </si>
  <si>
    <t>The man's skateboard gets away from him.</t>
  </si>
  <si>
    <t>The man chases his skareboard.</t>
  </si>
  <si>
    <t>The man talks to the camera.</t>
  </si>
  <si>
    <t>v_1WR4jgFCqRw</t>
  </si>
  <si>
    <t>An older gentleman in a blue shirt is painting a wooden fence.</t>
  </si>
  <si>
    <t>He picks up the paint bucket and walks up the sidewalk.</t>
  </si>
  <si>
    <t>v_6tzQ5-VBgVU</t>
  </si>
  <si>
    <t>A man is seen riding around on roller blades in a park and performs a grind while the camera slows down.</t>
  </si>
  <si>
    <t>Several more roller bladers are shown grinding around a park in various locations as well as showing several more tricks.</t>
  </si>
  <si>
    <t>The camera man holds the camera close to his face and zooms in on a man sitting and smoking.</t>
  </si>
  <si>
    <t>v_a2Y7AK4VD0o</t>
  </si>
  <si>
    <t>A girl plays a wind box instrument inside of a house.</t>
  </si>
  <si>
    <t>The woman laughs then resumes playing the song on the instrument.</t>
  </si>
  <si>
    <t>v_sNeT1WZ9UwA</t>
  </si>
  <si>
    <t>A small group of people are seen sitting on horses and leads into them riding down along a dirt path.</t>
  </si>
  <si>
    <t>The camera follows the people riding along on the horses and leads to them back at the stables.</t>
  </si>
  <si>
    <t>v_FDTkn9SFPfs</t>
  </si>
  <si>
    <t>A person holding a cat straightens the cat's paw.</t>
  </si>
  <si>
    <t>The person cuts the cat's claws with a scissor shape clipper.</t>
  </si>
  <si>
    <t>The cat attacks the the cutter.</t>
  </si>
  <si>
    <t>v_Cw5NDI8NnZU</t>
  </si>
  <si>
    <t>People are surfing on a large wave in the water.</t>
  </si>
  <si>
    <t>A boat is in the water.</t>
  </si>
  <si>
    <t>A large wave crashes in the water.</t>
  </si>
  <si>
    <t>v_s0Pw7vKtqpo</t>
  </si>
  <si>
    <t>Two people are shown and then several boats are advertised.</t>
  </si>
  <si>
    <t>After,the two people in the water surfing over large huge waves together.</t>
  </si>
  <si>
    <t>Next,people on the boat comes into the water as well as on jet skis as a man stands on top of a large cliff over the water.</t>
  </si>
  <si>
    <t>v_b1RAYvxWawA</t>
  </si>
  <si>
    <t>A camera pans all around a lake showing the trees and mountains as well as the canoe sitting in front of him.</t>
  </si>
  <si>
    <t>Another boy is seen riding along the water in a canoe as well as several others paddling by.</t>
  </si>
  <si>
    <t>More shots are shown of people riding in their canoes and capturing the scenery around them.</t>
  </si>
  <si>
    <t>v_Sma-ydx49eQ</t>
  </si>
  <si>
    <t>A man starts jump roping on a stage.</t>
  </si>
  <si>
    <t>People are in the audience watching him.</t>
  </si>
  <si>
    <t>Two men stand behind cameras filming him.</t>
  </si>
  <si>
    <t>v_snPtOKtIEA4</t>
  </si>
  <si>
    <t>A team of basketball players are shown on the right side of the court doing lay-ups.</t>
  </si>
  <si>
    <t>After several turns,they move to the left side of the court and begin practicing the lay ups once more.</t>
  </si>
  <si>
    <t>As they are going,a chair sits in front of them to serve as the marker and a man walks back and forth watching them go.</t>
  </si>
  <si>
    <t>v_Zhf052cWrv8</t>
  </si>
  <si>
    <t>A man is standing and walking in the gym.</t>
  </si>
  <si>
    <t>The man sat on the rowing machine and put his feet on the pedal.</t>
  </si>
  <si>
    <t>The man began to pull the belt.</t>
  </si>
  <si>
    <t>v_6SHSstpZN1I</t>
  </si>
  <si>
    <t>We see kids on dirt bikes on a dirt field with adults standing over them.</t>
  </si>
  <si>
    <t>The kids take off and start down the dirk track.</t>
  </si>
  <si>
    <t>The kids have a hard time turning to come up the dirt track.</t>
  </si>
  <si>
    <t>One of the boys has fallen and dropped his bike.</t>
  </si>
  <si>
    <t>We see the kids high fiveing men and women on the sidelines.</t>
  </si>
  <si>
    <t>v_i5kuZ8zlhMg</t>
  </si>
  <si>
    <t>The video is about girls varsity water polo.</t>
  </si>
  <si>
    <t>There are several girls getting ready to go to a water polo sport event.</t>
  </si>
  <si>
    <t>They are holding their backpacks and gear.</t>
  </si>
  <si>
    <t>They are traveling to the event together and check into a hotel.</t>
  </si>
  <si>
    <t>The entire team spends time together before the event.</t>
  </si>
  <si>
    <t>Two of the team members talk about their experience with the water polo event.</t>
  </si>
  <si>
    <t>The team members talk about the competition and how they fared in the sport.</t>
  </si>
  <si>
    <t>The screen shows all the final wins and loses in the girls varsity water polo.</t>
  </si>
  <si>
    <t>v_apPeChgjzs4</t>
  </si>
  <si>
    <t>A shirtless man is playing bongo drums in front of a microphone.</t>
  </si>
  <si>
    <t>There are other sets of drums to his left.</t>
  </si>
  <si>
    <t>To his right is a green bag and a hat situated on a table.</t>
  </si>
  <si>
    <t>v_0WJX2A6PSnA</t>
  </si>
  <si>
    <t>Cleaning supplies (and the list of names appear on the screen) are on an island in a kitchen.</t>
  </si>
  <si>
    <t>A woman walks in, grabs the supplies, starts spraying the sink and begins scrubbing with a sponge.</t>
  </si>
  <si>
    <t>The woman then starts rinsing the sink with the hand held sprayer until it's all clean.</t>
  </si>
  <si>
    <t>The cleaning spray is on the edge of the counter and text on the screen below it read "For tough stains repeat as necessary.</t>
  </si>
  <si>
    <t>v_g2GZd1160m4</t>
  </si>
  <si>
    <t>Two young boys perform martial arts dances.</t>
  </si>
  <si>
    <t>A group of boys around them watches on.</t>
  </si>
  <si>
    <t>Behind the performs sits a group of men playing music for the performance.</t>
  </si>
  <si>
    <t>The performers return to their seats.</t>
  </si>
  <si>
    <t>v_dB4SbhaQQV8</t>
  </si>
  <si>
    <t>A bunch of kids are standing on a soccer field and a girl is talking.</t>
  </si>
  <si>
    <t>The girl is ready to kick a red ball rolled on the ground.</t>
  </si>
  <si>
    <t>The young woman wearing blue shorts and a t-shirt runs and kicks the ball.</t>
  </si>
  <si>
    <t>The young girl slides into the first water slide.</t>
  </si>
  <si>
    <t>The girl then gets up and then slides into the second water slide.</t>
  </si>
  <si>
    <t>v_6diEN8nUqsI</t>
  </si>
  <si>
    <t>A man catch a fish from a hole in the ice.</t>
  </si>
  <si>
    <t>Then, the man holds the fish that moves on the ice.</t>
  </si>
  <si>
    <t>After, the man put a metal rod on the mouth of the fish.</t>
  </si>
  <si>
    <t>v_5SzzJMuyC_M</t>
  </si>
  <si>
    <t>A person is seen throwing plaster onto a wall while the camera follows the person close behind.</t>
  </si>
  <si>
    <t>The person gradually throws more and more onto the wall and the camera pans over the finished product.</t>
  </si>
  <si>
    <t>v_2pJTak2Qz8Q</t>
  </si>
  <si>
    <t>Lots of people are seen walking by in the beginning of the video.</t>
  </si>
  <si>
    <t>Then different people are shown skiing up ramps to do cool tricks.</t>
  </si>
  <si>
    <t>v_F79Tzy2i7bI</t>
  </si>
  <si>
    <t>A baby eats bread in a high chair.</t>
  </si>
  <si>
    <t>A person puts something in the baby's eyes.</t>
  </si>
  <si>
    <t>A person messes with the baby's hair.</t>
  </si>
  <si>
    <t>v_sYphlW-m1pU</t>
  </si>
  <si>
    <t>A young boy is sitting in front of a desktop as he plays with a Rubik cube.</t>
  </si>
  <si>
    <t>He finishes the cube and sets it on the desk and quickly stops a timer.</t>
  </si>
  <si>
    <t>He grabs the cube again and begins to complete it.</t>
  </si>
  <si>
    <t>He finishes again and starts another game of the cube.</t>
  </si>
  <si>
    <t>v_DYahQgHG1Gk</t>
  </si>
  <si>
    <t>An intro appears on the screen for a video bout a man who will be playing the rums.</t>
  </si>
  <si>
    <t>The man begins to play the drums as the camera records him.</t>
  </si>
  <si>
    <t>He pauses and people are laughing and enjoying the music.</t>
  </si>
  <si>
    <t>He pauses again and waits for a reaction from the crowd.</t>
  </si>
  <si>
    <t>the camera turns to show the people that are enjoying the music.</t>
  </si>
  <si>
    <t>v_bzHSF5GJc8o</t>
  </si>
  <si>
    <t>A group of women are wearing volleyball team uniforms standing in an indoor gym, and a young woman that has a number 10 on her shirt is bouncing the volleyball and getting ready to serve.</t>
  </si>
  <si>
    <t>The woman serves the ball and a game ensues as all the women keep the ball in the area and hit it over the net multiple times trying to keep it in bounds.</t>
  </si>
  <si>
    <t>The same woman that served the ball spikes the ball very hard ,the other team misses it and her team mates cheer.</t>
  </si>
  <si>
    <t>The same woman that served earlier serves the volleyball once again and the other team quickly spikes the ball that sends the opposing team member rolling on the ground in an attempt to save the ball from hitting the ground.</t>
  </si>
  <si>
    <t>v_9A0BwCxAKAg</t>
  </si>
  <si>
    <t>A man is seen talking to the camera and leads into him rubbing down a window.</t>
  </si>
  <si>
    <t>He streaks the window with cleaner and shows several methods on how to use a wiper properly.</t>
  </si>
  <si>
    <t>The window is all clean in the end and he is still seen talking to the camera.</t>
  </si>
  <si>
    <t>v_L6Uf3epn3zA</t>
  </si>
  <si>
    <t>Several canoes are sen laid out that leads into shots of people riding in the canoes.</t>
  </si>
  <si>
    <t>A man is seen speaking to the camera as well as riding in a canoe with another woman.</t>
  </si>
  <si>
    <t>More people are seen riding down the river in canoes while the man continues to speak.</t>
  </si>
  <si>
    <t>v_YYpeT1sH_m0</t>
  </si>
  <si>
    <t>Fit guys stand on a bleach.</t>
  </si>
  <si>
    <t>The guys play beach soccer.</t>
  </si>
  <si>
    <t>A man gives an interview.</t>
  </si>
  <si>
    <t>A player juggles two soccer balls.</t>
  </si>
  <si>
    <t>v_Ox51OBhM5Ak</t>
  </si>
  <si>
    <t>A girl in a yellow shirt is eating an ice cream cone.</t>
  </si>
  <si>
    <t>A boy in a striped shirt is sitting across from her eating an ice cream cone.</t>
  </si>
  <si>
    <t>A man next to him looks back at her.</t>
  </si>
  <si>
    <t>v_rHMMgJBUWh8</t>
  </si>
  <si>
    <t>A guy spins a ball attached to a rope.</t>
  </si>
  <si>
    <t>The guy releases the ball and rope attachment to the area behind him.</t>
  </si>
  <si>
    <t>The guy spins the ball attached to a rope and falls to the ground.</t>
  </si>
  <si>
    <t>v_9A9wnSoXs48</t>
  </si>
  <si>
    <t>A man in white shirt and white lifevest is sitting in a single orange raft.</t>
  </si>
  <si>
    <t>The man in a raft is going against the water waves, he paddles and the raft is turning in circle.</t>
  </si>
  <si>
    <t>v_ZpwXqrCxcGg</t>
  </si>
  <si>
    <t>An empty room is shown with yellow tile.</t>
  </si>
  <si>
    <t>A man in a white shirt is painting a wall.</t>
  </si>
  <si>
    <t>He turns around and looks at the camera.</t>
  </si>
  <si>
    <t>v_-9B2XtqICFw</t>
  </si>
  <si>
    <t>We see a series of title screens.</t>
  </si>
  <si>
    <t>We then see a badminton match.</t>
  </si>
  <si>
    <t>We see a illustration of badminton.</t>
  </si>
  <si>
    <t>We then see a lady and a man playing indoors.</t>
  </si>
  <si>
    <t>We see animations as the man hits the ball.</t>
  </si>
  <si>
    <t>We see a illustration of the man.</t>
  </si>
  <si>
    <t>A man is talking in a green room.</t>
  </si>
  <si>
    <t>v_zGDecqEw9AU</t>
  </si>
  <si>
    <t>Two people are seen playing a fooseball table and cheering with one another.</t>
  </si>
  <si>
    <t>The people continue playing and pausing to cheer ending with a handshake.</t>
  </si>
  <si>
    <t>v_w4CiGbHLTBg</t>
  </si>
  <si>
    <t>A green paint brush holder is shown.</t>
  </si>
  <si>
    <t>The brush of the paint brush is being shown on a person's finger.</t>
  </si>
  <si>
    <t>They are painting with the brush.</t>
  </si>
  <si>
    <t>They are dropping thinner into the paint with a dropper.</t>
  </si>
  <si>
    <t>There is a model airplane sitting on the table.</t>
  </si>
  <si>
    <t>The airplane is being painted a gold color.</t>
  </si>
  <si>
    <t>A green paint brush is being shown and turned around.</t>
  </si>
  <si>
    <t>v_73zt29iKyL4</t>
  </si>
  <si>
    <t>A person is seen walking along the snow and pulling a sled behind him.</t>
  </si>
  <si>
    <t>The person cuts a hole in the ice as well as bait and finally catches a fish.</t>
  </si>
  <si>
    <t>The man cuts the fish, cooks it, and is then seen eating it and walking away.</t>
  </si>
  <si>
    <t>v_y76trNI6U0Y</t>
  </si>
  <si>
    <t>A lady is washing a small dog in a sink.</t>
  </si>
  <si>
    <t>The lady puts shampoo on the dog.</t>
  </si>
  <si>
    <t>The lady picks the dog up again.</t>
  </si>
  <si>
    <t>The lady takes the dog over to a table and stands him up.</t>
  </si>
  <si>
    <t>She drapes the dog over a rolled up towel.</t>
  </si>
  <si>
    <t>She then picks up the dog.</t>
  </si>
  <si>
    <t>v_UJebyFqxDXI</t>
  </si>
  <si>
    <t>A man is seen speaking to the camera holding various objects and transitions into him cutting the edge of a lawn.</t>
  </si>
  <si>
    <t>He is then shown mowing lawns and trimming hedges while speaking to the camera as well as blowing leaves out of a yard.</t>
  </si>
  <si>
    <t>v_9pJZsi04xBk</t>
  </si>
  <si>
    <t>Two teams play a game of indoor field hockey.</t>
  </si>
  <si>
    <t>Teams take shots on a goal keeper that are blocked.</t>
  </si>
  <si>
    <t>The referee starts and stops the game.</t>
  </si>
  <si>
    <t>v_Lr0Vm9zBXKE</t>
  </si>
  <si>
    <t>snowy mountain range is shown and people are doing snowboarding.</t>
  </si>
  <si>
    <t>helicopter is in the air landing in a mountain leaving people in the top of the mountain.</t>
  </si>
  <si>
    <t>people are inside the helicopter talking between them.</t>
  </si>
  <si>
    <t>people start going down the slope snowboarding in the mountain.</t>
  </si>
  <si>
    <t>peolpe inside the helicopter are talking and puting the winter clothes and talking to the camera.</t>
  </si>
  <si>
    <t>v_iKnRiVXMMGg</t>
  </si>
  <si>
    <t>Scenes of women using various methods to curl their hair are shown.</t>
  </si>
  <si>
    <t>A computer graphics sequence shows one particular device's functionality.</t>
  </si>
  <si>
    <t>Several women display their curled hair.</t>
  </si>
  <si>
    <t>The curling product is once again demonstrated by several women.</t>
  </si>
  <si>
    <t>One woman's before and after pictures are shown.</t>
  </si>
  <si>
    <t>v_yGO1YnMQNRI</t>
  </si>
  <si>
    <t>A man in a green shirt throws a disc onto a field.</t>
  </si>
  <si>
    <t>A man in a blue shirt throws a disc onto the field.</t>
  </si>
  <si>
    <t>A man in a purple shirt throws a disc onto the field.</t>
  </si>
  <si>
    <t>v_8DIfyvX7H8Y</t>
  </si>
  <si>
    <t>A man works on a kite.</t>
  </si>
  <si>
    <t>Another man holding a baby holds up the kite's spool.</t>
  </si>
  <si>
    <t>A third man works on a similar kite while the second man holds a spool.</t>
  </si>
  <si>
    <t>The men fly the kites from a rooftop.</t>
  </si>
  <si>
    <t>The scene changes to a nighttime view of the sky with some unidentified light.</t>
  </si>
  <si>
    <t>v_RsHk6sq_9IY</t>
  </si>
  <si>
    <t>An advertising screen appears momentarily as the video begins.</t>
  </si>
  <si>
    <t>A group of men are shown kicking a ball back and forth in a stadium.</t>
  </si>
  <si>
    <t>The men run after the ball, attempting to capture it from the opposing team.</t>
  </si>
  <si>
    <t>A yellow circle is shown around a particular player.</t>
  </si>
  <si>
    <t>v_YJ4ynq5Adg0</t>
  </si>
  <si>
    <t>A group of kids are standing around wearing lifejackets as the camera pans around a lake.</t>
  </si>
  <si>
    <t>A man is seen sitting in a boat and the camera continues panning around the area.</t>
  </si>
  <si>
    <t>The kids wander into the boats and beginning paddling down the river.</t>
  </si>
  <si>
    <t>The water becomes more furious and the kids splash the camera man playfully.</t>
  </si>
  <si>
    <t>The continue riding down the treacherous waves as the camera watches them from afar.</t>
  </si>
  <si>
    <t>v_Te1d8H4VWYw</t>
  </si>
  <si>
    <t>A small group of people are seen swimming around a pool grabbing a ball and throwing it back and fourth.</t>
  </si>
  <si>
    <t>The people continue playing with one another and throw the ball around.</t>
  </si>
  <si>
    <t>v_JgHubY5Vw3Y</t>
  </si>
  <si>
    <t>A man and woman are talking in a room.</t>
  </si>
  <si>
    <t>A person is riding a bike down the street.</t>
  </si>
  <si>
    <t>Someone falls over after riding a bike.</t>
  </si>
  <si>
    <t>The man and woman are talking in a room.</t>
  </si>
  <si>
    <t>A bike is leaning against a fence.</t>
  </si>
  <si>
    <t>A man puts a lock around the tire of his bike.</t>
  </si>
  <si>
    <t>v_HW9c7WFW6q8</t>
  </si>
  <si>
    <t>A shot of a sunset set is shown followed by peaking smoking and walking around a paint ball pit.</t>
  </si>
  <si>
    <t>The men speak to one another and lead into running around and playing paint ball.</t>
  </si>
  <si>
    <t>They pauses for a few moments to speak to one another and the camera captures the shooters from different angles.</t>
  </si>
  <si>
    <t>v_W01QffZYsxQ</t>
  </si>
  <si>
    <t>A small child is seen laying down on a rug while the camera records them.</t>
  </si>
  <si>
    <t>The child then covers their eyes with their hands and moves their head up and down.</t>
  </si>
  <si>
    <t>Finally they smile to the camera in the end.</t>
  </si>
  <si>
    <t>v_hYgheCsbtco</t>
  </si>
  <si>
    <t>A close up is seen of chords and numbers scrolling next to the top of a guitar.</t>
  </si>
  <si>
    <t>Instructions are being given for playing the instrument.</t>
  </si>
  <si>
    <t>The person's fingers move up and down on the chords as they are shown.</t>
  </si>
  <si>
    <t>v_k6pU9VaFsZ8</t>
  </si>
  <si>
    <t>man is wearing stils and is making high jumps above a trasher bin in a parking lot.</t>
  </si>
  <si>
    <t>man is doing high jumps inf ront of the las vegas sign in the street and above a stoned wall in the street.</t>
  </si>
  <si>
    <t>v_XQ0_P0LpCFM</t>
  </si>
  <si>
    <t>Two teams are shown on a field and the man is running playing lacrosse and runs directly into the other opponent.</t>
  </si>
  <si>
    <t>Another play starts and this time another person is ran into except it is more fragrant and the person lays on the ground hurt for quite some time.</t>
  </si>
  <si>
    <t>After consulting with the referee and seeking help,the male finally gets up and the rest of the game continues.</t>
  </si>
  <si>
    <t>v_m_ST2LDe5lA</t>
  </si>
  <si>
    <t>Two people wearing scuba gear are underwater.</t>
  </si>
  <si>
    <t>They look at each other, remove their mouth pieces, then kiss.</t>
  </si>
  <si>
    <t>The man places his mouth piece back in.</t>
  </si>
  <si>
    <t>v_R3YoG3Hi4iI</t>
  </si>
  <si>
    <t>A person jumps off a boat into the water.</t>
  </si>
  <si>
    <t>A boy is long boarding down a street.</t>
  </si>
  <si>
    <t>They stop and sit on a park bench.</t>
  </si>
  <si>
    <t>A person is riding an escalator up.</t>
  </si>
  <si>
    <t>v_eZdao9O8jrw</t>
  </si>
  <si>
    <t>She shows a bottle in her hand.</t>
  </si>
  <si>
    <t>She pours some of the lotion onto her hands and rubs it on her face.</t>
  </si>
  <si>
    <t>She uses a towel to dry her face.</t>
  </si>
  <si>
    <t>v_FjfWqx-NL_w</t>
  </si>
  <si>
    <t>A little boy is in an outdoor parking lot.</t>
  </si>
  <si>
    <t>He is trying to roll around on a pair of inline skates.</t>
  </si>
  <si>
    <t>He tries to balance on a small piece of wood.</t>
  </si>
  <si>
    <t>v_gusezUdYfNA</t>
  </si>
  <si>
    <t>A man is seen speaking to the camera while holding a toilet paper roll and begins blowing smoke into the roll.</t>
  </si>
  <si>
    <t>The man continues to take several drags off a pipe and blow it out into the toilet paper roll.</t>
  </si>
  <si>
    <t>v__3lgJ6yp7o8</t>
  </si>
  <si>
    <t>A person is seen sitting in a kayak and moving himself down a rough river.</t>
  </si>
  <si>
    <t>The person continues riding down the river while another people watches on the side.</t>
  </si>
  <si>
    <t>v_XSu5dteR2Ko</t>
  </si>
  <si>
    <t>A man in a black shirt is playing a harmonica.</t>
  </si>
  <si>
    <t>Another man sits on a porch of a house.</t>
  </si>
  <si>
    <t>A woman in a white scarf turns a lantern off.</t>
  </si>
  <si>
    <t>v_-fLJHBqizNM</t>
  </si>
  <si>
    <t>A man is shown on parallel bars doing a routine on them.</t>
  </si>
  <si>
    <t>He is very focused and flipping and rocking back and forth.</t>
  </si>
  <si>
    <t>The athlete then dismounts the bars and lands on his feet.</t>
  </si>
  <si>
    <t>Various shots of the same routine are shown with pauses in between and notes as to proper technique are shown.</t>
  </si>
  <si>
    <t>v_yJN4jnk_S1U</t>
  </si>
  <si>
    <t>A woman is seen walking onto a stage performing a belly dancing routine in front of an audience.</t>
  </si>
  <si>
    <t>The woman continues dancing around the stage and ends with her posing.</t>
  </si>
  <si>
    <t>v_CIQ-mnURg9E</t>
  </si>
  <si>
    <t>woman is standing in front of a screenboard.</t>
  </si>
  <si>
    <t>man is cooking chopping carrots and sautee the vegetables in a fying pan and serving it in bowls abd out the dressing and cheese while pople behind him are watching him cook.</t>
  </si>
  <si>
    <t>v_rRoRvt4p2LU</t>
  </si>
  <si>
    <t>A small group of people are seen riding down a rough river past others while many watch on the side.</t>
  </si>
  <si>
    <t>The group continues to paddle along and meeting up with other groups at the bottom.</t>
  </si>
  <si>
    <t>v_xbWSMxwcP_8</t>
  </si>
  <si>
    <t>A young girl is seen sitting on a couch next to an adult looking down at their feet.</t>
  </si>
  <si>
    <t>The girl plays with a toy iron and moves the item up and down on a shirt.</t>
  </si>
  <si>
    <t>v_F03y7m3Nwuw</t>
  </si>
  <si>
    <t>A German man is throwing a discus in competition.</t>
  </si>
  <si>
    <t>He drops the discus and then walks away.</t>
  </si>
  <si>
    <t>A replay is shown and he looks sad.</t>
  </si>
  <si>
    <t>v_YdfWewUrcTw</t>
  </si>
  <si>
    <t>We see a man talking to two other men outside a warehouse.</t>
  </si>
  <si>
    <t>Inside the warehouse we see a box the men ride their skateboards over.</t>
  </si>
  <si>
    <t>The man falls off his skateboard repeatedly.</t>
  </si>
  <si>
    <t>He flips the skateboard, and we see it in slow motion.</t>
  </si>
  <si>
    <t>The man gets a hat, and we see the end screen.</t>
  </si>
  <si>
    <t>A man jumps on a pile of boxes and we see the end screen again.</t>
  </si>
  <si>
    <t>v_gYBIX_tGaXo</t>
  </si>
  <si>
    <t>Betty Heidler competes in the Olimpic games in the women's hammer category.</t>
  </si>
  <si>
    <t>Betty Haidler seems really focused and determined to go home with a prize.</t>
  </si>
  <si>
    <t>Betty Heidler starts spinning and then with all the momentum tossed the hammer really far away.</t>
  </si>
  <si>
    <t>Betty Heidler classified to the next round as the toss was successfull.</t>
  </si>
  <si>
    <t>Someone interviews Betty Heidler and she's really happy about qualifying to the next rounds of the game.</t>
  </si>
  <si>
    <t>v_o8wdvkauJQQ</t>
  </si>
  <si>
    <t>People workout on a fitness machine pulling a strings on a rod and going back and forth.</t>
  </si>
  <si>
    <t>A man folds a fitness machine in a gym.</t>
  </si>
  <si>
    <t>Then, a man make workouts in a fitness machine.</t>
  </si>
  <si>
    <t>v_IPehEfMBLM0</t>
  </si>
  <si>
    <t>A woman in blue shirt is chopping the wood, when she chopped the wood in half, she put them aside then she take another log and chopped it in half.</t>
  </si>
  <si>
    <t>The woman try to chop the wood in half but it won't get chopped in half, then it fell on ground and she put it back on the chopping board, and she continue to chop the wood, after several attempts she finally chopped the wood in half.</t>
  </si>
  <si>
    <t>v_uy9Z2i8AmyY</t>
  </si>
  <si>
    <t>Various picnic tables are shown on a field followed by a man putting on gear and others running through the forest.</t>
  </si>
  <si>
    <t>Several people are seen playing a paintball match with one another and continuously moving around the forest and holding up a gun.</t>
  </si>
  <si>
    <t>The person then runs through an area holding his gun up and shooting when a person arrives.</t>
  </si>
  <si>
    <t>v_YufXlj-WpEw</t>
  </si>
  <si>
    <t>The video leads into several shots of people running down a long track and jumping into a sand pit.</t>
  </si>
  <si>
    <t>More women are shown running down the track and landing into the sand pit as others watch.</t>
  </si>
  <si>
    <t>v_xmvwhxB1q30</t>
  </si>
  <si>
    <t>A man and two children paddle down a river.</t>
  </si>
  <si>
    <t>Two canoes are tied together.</t>
  </si>
  <si>
    <t>The water gets choppier as they go on.</t>
  </si>
  <si>
    <t>The river is lined with many trees.</t>
  </si>
  <si>
    <t>v_iC1C5wfb0iU</t>
  </si>
  <si>
    <t>A group of men play foosball outdoors.</t>
  </si>
  <si>
    <t>The men on the right win and shake hands and hung.</t>
  </si>
  <si>
    <t>One man high fives a child held up by a lady behind them.</t>
  </si>
  <si>
    <t>v_ihMn28mft2s</t>
  </si>
  <si>
    <t>A man sporting a beard and mustache and wearing a white shirt is giving a tutorial on volleyball safety.</t>
  </si>
  <si>
    <t>He then wears a black sweatshirt and demonstrates how to do stretching exercises.</t>
  </si>
  <si>
    <t>He continues to explain what gear to wear while playing and warming up for volleyball.</t>
  </si>
  <si>
    <t>There are some athletes playing volleyball as he talks.</t>
  </si>
  <si>
    <t>There is a game of volleyball shown where players are in an indoor gym.</t>
  </si>
  <si>
    <t>v_Sk1RSHPavBU</t>
  </si>
  <si>
    <t>We see men playing soccer in the sand.</t>
  </si>
  <si>
    <t>The ball enters and everyone runs towards the ball.</t>
  </si>
  <si>
    <t>A man on the right kicks the ball into the goal.</t>
  </si>
  <si>
    <t>The men in red all high five.</t>
  </si>
  <si>
    <t>v_zM1-aiWdPvY</t>
  </si>
  <si>
    <t>A woman is seen speaking to the camera while standing next to a horse and holding a brush.</t>
  </si>
  <si>
    <t>She begins brushing all along the horse while still speaking to the camera.</t>
  </si>
  <si>
    <t>She pauses for a moment to end while speaking to the camera.</t>
  </si>
  <si>
    <t>v_8WJWtfmEipI</t>
  </si>
  <si>
    <t>A car is stopped at a red light and there's a view of a small town that has some snow on the ground.</t>
  </si>
  <si>
    <t>The light turns green and the car drives down the street and there's no people walking on the sidewalk and just one truck parked.</t>
  </si>
  <si>
    <t>On the right side there's someone shoveling ice from the road and the car passes him.</t>
  </si>
  <si>
    <t>v_uxsZFuXKs3A</t>
  </si>
  <si>
    <t>A man is outdoors standing on a 4 step tool and swipes his hedge cutter to the right.</t>
  </si>
  <si>
    <t>The man then lifts the cutters up and begins cutting more towards his left side.</t>
  </si>
  <si>
    <t>The man stops cutting and begins to step down from the ladder.</t>
  </si>
  <si>
    <t>v_fvUckFYBQks</t>
  </si>
  <si>
    <t>A woman starts braiding her hair.</t>
  </si>
  <si>
    <t>Directions come up on the side of the screen.</t>
  </si>
  <si>
    <t>The woman turns to the side to show her braid.</t>
  </si>
  <si>
    <t>v_T3ngvDyxYiE</t>
  </si>
  <si>
    <t>Two teams are on either side of a field.</t>
  </si>
  <si>
    <t>They are holding a rope, getting ready to pull.</t>
  </si>
  <si>
    <t>The two teams begin pulling, trying to win the competition as a crowd watches.</t>
  </si>
  <si>
    <t>The yellow group begin to be pulled forward against their will.</t>
  </si>
  <si>
    <t>v_EM0N4dzewIg</t>
  </si>
  <si>
    <t>The front of a building called Giant is seen.</t>
  </si>
  <si>
    <t>Technicians are shown inside, working on bicycles.</t>
  </si>
  <si>
    <t>They work in teams, trying to build and repair.</t>
  </si>
  <si>
    <t>v_trV2ycq9rkU</t>
  </si>
  <si>
    <t>Two men are shown on the side of a building roof.</t>
  </si>
  <si>
    <t>One turns to the side, using a piece of equipment.</t>
  </si>
  <si>
    <t>They appear to be building a roof.</t>
  </si>
  <si>
    <t>v_2bnO6YWXCiU</t>
  </si>
  <si>
    <t>A man is spreading mulch around plants.</t>
  </si>
  <si>
    <t>A man is sitting at a table reading a newspaper.</t>
  </si>
  <si>
    <t>A well manicured yard is shown.</t>
  </si>
  <si>
    <t>v_8LB2tdMOZ6g</t>
  </si>
  <si>
    <t>a football game is showing and a man in the news is talking about a voleyball game.</t>
  </si>
  <si>
    <t>the set is shown with the voleyball game and some women in bikini playing white the spectators are on the grades clapping.</t>
  </si>
  <si>
    <t>back to the studio are three commentators talking.</t>
  </si>
  <si>
    <t>v_-rKS00dzFxQ</t>
  </si>
  <si>
    <t>A man and a woman stand by a table speaking to the camera.</t>
  </si>
  <si>
    <t>A recipe of mashed potatoes sits on the table.</t>
  </si>
  <si>
    <t>The man peels and cuts potatoes before throwing them into a yellow pot.</t>
  </si>
  <si>
    <t>The man throws in three handfuls of salt into the yellow pot.</t>
  </si>
  <si>
    <t>The man cuts up some garlic.</t>
  </si>
  <si>
    <t>Into the pot, the man throws the garlic along with two leaves.</t>
  </si>
  <si>
    <t>The woman joins the man at the table and she cuts butter in half.</t>
  </si>
  <si>
    <t>The woman throws the butter into a saucepan.</t>
  </si>
  <si>
    <t>The man speaks to her briefly and the woman proceeds to pour some milk into the saucepan.</t>
  </si>
  <si>
    <t>The man places the yellow pot and the saucepan on the stove.</t>
  </si>
  <si>
    <t>The man grabs the pot's lid and covers the pot.</t>
  </si>
  <si>
    <t>Back at the table, the man removes the lid from the pot and removes the leaves.</t>
  </si>
  <si>
    <t>The man mashes the potatoes.</t>
  </si>
  <si>
    <t>The man throws in a pinch of salt onto the potatoes.</t>
  </si>
  <si>
    <t>The man resumes mashing the potatoes.</t>
  </si>
  <si>
    <t>The man pours in the milk from the saucepan into the pot.</t>
  </si>
  <si>
    <t>The man mashes the potatoes some more.</t>
  </si>
  <si>
    <t>The man grabs some pepper and throws it onto the potatoes.</t>
  </si>
  <si>
    <t>The man adds some more milk.</t>
  </si>
  <si>
    <t>The man returns to mashing the potatoes and stirring them as they have thoroughly become soft.</t>
  </si>
  <si>
    <t>The man pauses for a second to throw in some water and resumes to stirring the potatoes.</t>
  </si>
  <si>
    <t>The finished mashed potatoes dish is left on a counter.</t>
  </si>
  <si>
    <t>v_45v95EtrJX0</t>
  </si>
  <si>
    <t>A close up of a board with shown with several pucks sitting around the side.</t>
  </si>
  <si>
    <t>Suddenly another puck is pushed down and knocked into others while people watch.</t>
  </si>
  <si>
    <t>v_iPc-u9aU_SQ</t>
  </si>
  <si>
    <t>Two men are crouched beside a car, and a third stands.</t>
  </si>
  <si>
    <t>They remove the tire while another man takes pictures.</t>
  </si>
  <si>
    <t>The two men change the tire, putting on a spare.</t>
  </si>
  <si>
    <t>v_RmwaWeIPX70</t>
  </si>
  <si>
    <t>A woman carry a heavy ball and stands on a circle.</t>
  </si>
  <si>
    <t>Then, the woman spins the weight.</t>
  </si>
  <si>
    <t>Then, the woman throw the weight.</t>
  </si>
  <si>
    <t>v_hog7gGdk4i4</t>
  </si>
  <si>
    <t>the kids are on the swing while one kid stand and push a little dog on the swing.</t>
  </si>
  <si>
    <t>three bikers are riding there bike in the parking lot passing the swing area.</t>
  </si>
  <si>
    <t>A women then jogs on the sidewalk passing the swing area as well.</t>
  </si>
  <si>
    <t>v_WL4iqWa_1Z0</t>
  </si>
  <si>
    <t>Two young males are sitting at a desk behind two microphones and two computers.</t>
  </si>
  <si>
    <t>One boy leaves and the other guys stays to gather his belongings.</t>
  </si>
  <si>
    <t>As he is packing up,a young woman walks in and begins shutting off the equipment and cleaning up around the radio station.</t>
  </si>
  <si>
    <t>Once everything is packed up,the boy leaves and begins blowing kisses to the camera.</t>
  </si>
  <si>
    <t>v_jzl0Ar3H5f8</t>
  </si>
  <si>
    <t>A man dressed in black walks through a long hall in a palace.</t>
  </si>
  <si>
    <t>Two men in dressed in white practice stretching and prepare for a fencing match while a coach dressed in black looks on with a butler in the rear stands by.</t>
  </si>
  <si>
    <t>The two men dressed in white put on their fencing masks and begin a fencing match.</t>
  </si>
  <si>
    <t>The coach dressed in black begins critiquing the two fencers and holds the tips of the swords in his hand.</t>
  </si>
  <si>
    <t>The coach turns and walks to the butler and begins conversing.</t>
  </si>
  <si>
    <t>v_Oj_PLXsWxL4</t>
  </si>
  <si>
    <t>A weightlifter stands on a wooden platform in a gym room and lifts heavily weighted bar bells above his head, several times while surrounded by onlookers.</t>
  </si>
  <si>
    <t>A weightlifter lifts over three bar bells above his head squatting under the weight as other gym attendees look on as he hoists the weight above his head and then allows the bell to fall to the floor.</t>
  </si>
  <si>
    <t>The man performs several more lifts of the bell bending at the knees first and then hoisting the bell to the shoulders before throwing the weight on the floor.</t>
  </si>
  <si>
    <t>The man shakes hands and hugs the onlookers when through with the demonstration.</t>
  </si>
  <si>
    <t>v_fM4pJeHb8hQ</t>
  </si>
  <si>
    <t>A woman is sitting down in a chair with a woman standing behind her.</t>
  </si>
  <si>
    <t>The woman begins to brush the woman's hair.</t>
  </si>
  <si>
    <t>She starts to braid the hair.</t>
  </si>
  <si>
    <t>v_iM8ZD2PwKDg</t>
  </si>
  <si>
    <t>There is a group of ladies in a gym dressed in workout tops and tights.</t>
  </si>
  <si>
    <t>They are all participating in a structured aerobics class.</t>
  </si>
  <si>
    <t>They are coordinating their steps and synchronizing their moves as they step on and off of the platform.</t>
  </si>
  <si>
    <t>They are dancing as they exercise to music.</t>
  </si>
  <si>
    <t>After they're done, they stop and raise remove the platforms.</t>
  </si>
  <si>
    <t>v_L9cxYlPkUYs</t>
  </si>
  <si>
    <t>An d for About dot com starts with a man in white speaking to the camera in front of a white background.</t>
  </si>
  <si>
    <t>The video then shows a series of professionals working hard and then cuts to two women running on the beach.</t>
  </si>
  <si>
    <t>A shot of a cyclist is shown and then it cuts back to the same man in white speaking.</t>
  </si>
  <si>
    <t>A woman is shown running and the man continues speaking about fitness tips.</t>
  </si>
  <si>
    <t>v_ymwMEUuXygs</t>
  </si>
  <si>
    <t>A man with a blue shirt is outside walking up a stair case into a building.</t>
  </si>
  <si>
    <t>As he walks in ,he walks down a row of several bicycles and sets up a camera.</t>
  </si>
  <si>
    <t>The man then enters another room with three other males and they begin to unbox and assemble several bicycles together.</t>
  </si>
  <si>
    <t>Once they are secured,the men get on them,testing them out and making the final touches on them.</t>
  </si>
  <si>
    <t>The bikes are finally finished and the man lifts it up to the camera and begins riding it down the sidewalk.</t>
  </si>
  <si>
    <t>v_EOvotFy4YX0</t>
  </si>
  <si>
    <t>A man is seen riding a camel that has a cart attached to the back with two passengers.</t>
  </si>
  <si>
    <t>The people in the back have a conversation while riding through several people watching on the sidelines.</t>
  </si>
  <si>
    <t>The man riding the camel smiles and waves to the camera.</t>
  </si>
  <si>
    <t>v_wZEf-Bs__sU</t>
  </si>
  <si>
    <t>A group of athletes are on a track outside.</t>
  </si>
  <si>
    <t>A man walks down the path, then runs.</t>
  </si>
  <si>
    <t>He takes a giant leap into a sand pit.</t>
  </si>
  <si>
    <t>v_pI-rY6fLM1Q</t>
  </si>
  <si>
    <t>A group of people ice fish on an ice covered lake on an overcast day.</t>
  </si>
  <si>
    <t>A man walks on a snow covered lake and pulls a fish out of a fishing hole.</t>
  </si>
  <si>
    <t>A woman and a man then run on the ice and pull another fish out of another hole in the lake.</t>
  </si>
  <si>
    <t>A third fish is pulled out of another hole in the ice and then thrown back into the hole.</t>
  </si>
  <si>
    <t>v_BN3ejP3RbkQ</t>
  </si>
  <si>
    <t>A man is sitting on a street.</t>
  </si>
  <si>
    <t>He is playing an instrument next to an open instrument case.</t>
  </si>
  <si>
    <t>People are passing on the sidewalk in front of him.</t>
  </si>
  <si>
    <t>v_D4LoDBsIFjw</t>
  </si>
  <si>
    <t>A boy watches as a semi truck drives through the desert.</t>
  </si>
  <si>
    <t>A man puts on his helmet and pushes off into the river on a kayak.</t>
  </si>
  <si>
    <t>A man paddles on rapids and down a river on a kayak.</t>
  </si>
  <si>
    <t>A man fishes from a beach on the shore of a river.</t>
  </si>
  <si>
    <t>A group prepares a picnic on the shore.</t>
  </si>
  <si>
    <t>A man flips over on his kayak from being turned over in the water.</t>
  </si>
  <si>
    <t>v_uHPrH22rPgU</t>
  </si>
  <si>
    <t>A guy is throwing darts across the room.</t>
  </si>
  <si>
    <t>The speed of the clip is quickened.</t>
  </si>
  <si>
    <t>v_7LkHBg_eAfU</t>
  </si>
  <si>
    <t>A man and woman are standing in a dance position.</t>
  </si>
  <si>
    <t>They then shift, showing different steps slowly.</t>
  </si>
  <si>
    <t>They continue dancing, showing how to perform different moves.</t>
  </si>
  <si>
    <t>v_p2RMXdo5avw</t>
  </si>
  <si>
    <t>A shuffleboard is sitting against a wall.</t>
  </si>
  <si>
    <t>Someone throws a ball down it.</t>
  </si>
  <si>
    <t>A green ball gets through down after it.</t>
  </si>
  <si>
    <t>v_dh4bxvmrCNs</t>
  </si>
  <si>
    <t>The girl is shoot the arrow.</t>
  </si>
  <si>
    <t>Five young people are shooting arrows.</t>
  </si>
  <si>
    <t>The young people removed the arrows from the target boards.</t>
  </si>
  <si>
    <t>v_tYZJ4O5Hsz4</t>
  </si>
  <si>
    <t>A little girl plays softly the drums holding two sticks while she is singing on a microphone.</t>
  </si>
  <si>
    <t>The, the girl plays more fast the drums.</t>
  </si>
  <si>
    <t>v_WBRQ4vHBFMY</t>
  </si>
  <si>
    <t>A woman is laying down in a chair as a man with gloves works.</t>
  </si>
  <si>
    <t>He places clamps on various parts of her nose.</t>
  </si>
  <si>
    <t>He then inserts a rod before creating a piercing.</t>
  </si>
  <si>
    <t>v_xZOzVaTezm8</t>
  </si>
  <si>
    <t>A person in a green jacket walks around on the snow.</t>
  </si>
  <si>
    <t>A young girl lays in a tube on the snow.</t>
  </si>
  <si>
    <t>She is then pushed down the ramp.</t>
  </si>
  <si>
    <t>Eventually she comes to a stop.</t>
  </si>
  <si>
    <t>v_VCg6_fuipp8</t>
  </si>
  <si>
    <t>An athletic man is seen standing ready in front of a large crowd and then runs down the track and jumps over a beam.</t>
  </si>
  <si>
    <t>The man celebrates with other people and his same jump is shown several times in slow motion.</t>
  </si>
  <si>
    <t>v_mRe2xY_amWw</t>
  </si>
  <si>
    <t>The video leads into various text shown across the screen followed by cheerleaders performing a routine.</t>
  </si>
  <si>
    <t>Several shots of cheer leading performers are shown completing impressive stunts and moving across a stage while others watch.</t>
  </si>
  <si>
    <t>v_VEDRmPt_-Ms</t>
  </si>
  <si>
    <t>women are in a gymnastics competition doing high jumps in a roofed gym with a lot of people gathered around them watching them.</t>
  </si>
  <si>
    <t>participants are on the podium receiveng thei medals.</t>
  </si>
  <si>
    <t>v_ggGw9EGSMs8</t>
  </si>
  <si>
    <t>A man paints a fence as the man next to him waters the fence.</t>
  </si>
  <si>
    <t>Both of them go over the fence a second time.</t>
  </si>
  <si>
    <t>They do it a third time.</t>
  </si>
  <si>
    <t>And they do it a fourth time.</t>
  </si>
  <si>
    <t>They do it a fifth time.</t>
  </si>
  <si>
    <t>v_mi_zRluISrE</t>
  </si>
  <si>
    <t>A construction worker named Dave begins to show you how to grout.</t>
  </si>
  <si>
    <t>He starts on the wall and begins to explain what he is doing and why he is doing.</t>
  </si>
  <si>
    <t>Once the grout begins to dry he informs you that you should wipe it down with a sponge various times.</t>
  </si>
  <si>
    <t>With a finer sponge you go over it again and get it out while wet so it doesn't ruin the tile and all the work you have done.</t>
  </si>
  <si>
    <t>v_R4aCl2dLS1w</t>
  </si>
  <si>
    <t>A man is seen wearing boxing gloves and hitting a bag in the middle of a large room.</t>
  </si>
  <si>
    <t>The man continues to hit the bag while several others are seen hitting bags in the background.</t>
  </si>
  <si>
    <t>He kicks and punches the bag and ends by walking towards the camera.</t>
  </si>
  <si>
    <t>v_O2vrVwjqktg</t>
  </si>
  <si>
    <t>A volleyball is spinning on a ledge.</t>
  </si>
  <si>
    <t>We then see a game being played of table tennis, the players showing the mechanics of the paddle, ball, and table as they play.</t>
  </si>
  <si>
    <t>v_byO53jHoAwI</t>
  </si>
  <si>
    <t>A man standing in a yard and playing bagpipes.</t>
  </si>
  <si>
    <t>The man is taking deep breaths and moving the keys.</t>
  </si>
  <si>
    <t>v_vrMWYB0UuGM</t>
  </si>
  <si>
    <t>Two individuals play squash together in an indoor court.</t>
  </si>
  <si>
    <t>One of the individuals recovers the ball and serves.</t>
  </si>
  <si>
    <t>The same individual recovers the ball and serves again.</t>
  </si>
  <si>
    <t>v_cB5ozEChN5Q</t>
  </si>
  <si>
    <t>People ride a line up a hill in a tubing resort.</t>
  </si>
  <si>
    <t>A person rides a tube down a hill.</t>
  </si>
  <si>
    <t>We watch the people walking up the hill holding their tubes and watch people go down the hill.</t>
  </si>
  <si>
    <t>We watch as the camera man goes down the hill.</t>
  </si>
  <si>
    <t>v_u3nOmvgcs84</t>
  </si>
  <si>
    <t>A girl stands by a counter with various food items placed out on the counter.</t>
  </si>
  <si>
    <t>She holds up the ingredients and instructs what you'll need to make a sandwich.</t>
  </si>
  <si>
    <t>She begins chopping the vegetables and putting the dressing on the bread.</t>
  </si>
  <si>
    <t>She spreads around the dressing and puts the other ingredients on the sandwich to finish.</t>
  </si>
  <si>
    <t>v_Irmh66trRY4</t>
  </si>
  <si>
    <t>We see the title go across the screen.</t>
  </si>
  <si>
    <t>We see baking supplies and ingredients.</t>
  </si>
  <si>
    <t>Someone stirs cookie dough and puts cookies on a sheet.</t>
  </si>
  <si>
    <t>The cookies go into the oven and bake for 9 minutes, and a new batch is put in the oven.</t>
  </si>
  <si>
    <t>The warm cookies are put on a cooling rack.</t>
  </si>
  <si>
    <t>The person washes, and drys the silicone baking sheet.</t>
  </si>
  <si>
    <t>They roll the baking sheet up and show us the finished cooling cookies.</t>
  </si>
  <si>
    <t>v_MfSdXqOC-f0</t>
  </si>
  <si>
    <t>A man is standing on an open field outdoors.</t>
  </si>
  <si>
    <t>He uses an archery set to pull back and arrow at a flying disc.</t>
  </si>
  <si>
    <t>He hits the discs with the arrow every time.</t>
  </si>
  <si>
    <t>v_Ft3SzVtUsKA</t>
  </si>
  <si>
    <t>A camera is shown sitting on the side of a pool capturing bubble underneath.</t>
  </si>
  <si>
    <t>More bubbles are shown followed by a man jumping in.</t>
  </si>
  <si>
    <t>The man jumps all the way into the pool and the camera captures his movements.</t>
  </si>
  <si>
    <t>v_QaNQrUpmmgo</t>
  </si>
  <si>
    <t>A woman in an orange shirt is sitting on an exercise machine.</t>
  </si>
  <si>
    <t>People are walking past a window behind her.</t>
  </si>
  <si>
    <t>v__zAfwnDt4VE</t>
  </si>
  <si>
    <t>A man is kneeling down in the dirt over a a silver bowl that is full of soap.</t>
  </si>
  <si>
    <t>In the large bowl,he begins to move a white shirt as if he is washing it.</t>
  </si>
  <si>
    <t>Finally,he stops and takes a hose to finish rinsing the water.</t>
  </si>
  <si>
    <t>v_XoCvj2IbVGE</t>
  </si>
  <si>
    <t>A person;s hand is seen turning a knob followed by their foot stepping on a button and a man holding up an iron.</t>
  </si>
  <si>
    <t>He adjusts more settings While testing the iron and begins ironing a shirt on a table.</t>
  </si>
  <si>
    <t>The men continues to flip around the shirt and iron and en by showing off the ironing machine to the camera.</t>
  </si>
  <si>
    <t>v_ItFq_6cIByw</t>
  </si>
  <si>
    <t>A man sits behind a drum set.</t>
  </si>
  <si>
    <t>The man starts playing the drum set.</t>
  </si>
  <si>
    <t>The man keeps playing the drums.</t>
  </si>
  <si>
    <t>v_980U7SiE0Nk</t>
  </si>
  <si>
    <t>Two girls are seen standing on a gymnasium floor in front of a large crowd.</t>
  </si>
  <si>
    <t>The girls then begin dancing around the area while twirling batons in their hands.</t>
  </si>
  <si>
    <t>They continue to spin around one another and end by holding a pose.</t>
  </si>
  <si>
    <t>v_N-92_rikI8U</t>
  </si>
  <si>
    <t>There's a man skiing down a very steep mountain slope.</t>
  </si>
  <si>
    <t>The man is going down very fast and steadily while fully dressed in ski gear and goggles.</t>
  </si>
  <si>
    <t>He then falls down to the ground as he reaches the bottom of the slope.</t>
  </si>
  <si>
    <t>He gets right back up and dusts off the snow from his clothes.</t>
  </si>
  <si>
    <t>He talks to another person through a hands free device attached on his coat to let him know he's okay.</t>
  </si>
  <si>
    <t>v_mcS9LX_P4BA</t>
  </si>
  <si>
    <t>an image of a girl with her vlog asking people to subscribe.</t>
  </si>
  <si>
    <t>a girl wearing red hirt with her face is sitting on a living room and is reading tweets and talking about them.</t>
  </si>
  <si>
    <t>girl holds a small pumpkin and a knife and cut the pumpkin while talking.</t>
  </si>
  <si>
    <t>the pumkkin is slice in two and is shown the inside while the girl keps talking and reading tweets.</t>
  </si>
  <si>
    <t>v_8ltNqT5N-xs</t>
  </si>
  <si>
    <t>A woman is seen belly dancing on a large stage while people watch her on the side.</t>
  </si>
  <si>
    <t>She moves her hips all around while a band plays instruments behind her.</t>
  </si>
  <si>
    <t>The woman continues dancing and ends by holding a pose and flipping back her hair.</t>
  </si>
  <si>
    <t>v_k4a5XXRYKK4</t>
  </si>
  <si>
    <t>A game of lacrosse of being shown with a large group of people running around a field.</t>
  </si>
  <si>
    <t>Several people watch on the sidelines as the game continues and a ref steps in to make a call.</t>
  </si>
  <si>
    <t>v_q_DajTs5gIA</t>
  </si>
  <si>
    <t>A person holds and pet a hairless cat.</t>
  </si>
  <si>
    <t>The person cleans and cuts the nails of the front legs of the cat.</t>
  </si>
  <si>
    <t>v_Fi_ja3Urdtg</t>
  </si>
  <si>
    <t>A man is talking from behind a bar.</t>
  </si>
  <si>
    <t>He shows off several kinds of bottles and taps.</t>
  </si>
  <si>
    <t>He shows how to mix a drink which he serves to a woman.</t>
  </si>
  <si>
    <t>v_XFZ5_uNU7jE</t>
  </si>
  <si>
    <t>A person peels potatoes in a sink, suddenly a cat jumps to the bench to watch the woman.</t>
  </si>
  <si>
    <t>The cat touch the sink with his mouth and intend to pass to the other side of the sink but the woman prevents it.</t>
  </si>
  <si>
    <t>Then, the cat drinks water from the sink and cat continues watching the woman.</t>
  </si>
  <si>
    <t>After, the cat touch the potato peeler with a leg while the person continue peeling the potatoes.</t>
  </si>
  <si>
    <t>v_86S2O0fpX4g</t>
  </si>
  <si>
    <t>A woman is lying on equipment in a gym.</t>
  </si>
  <si>
    <t>She has her feet tied with chain to a machine.</t>
  </si>
  <si>
    <t>She holds her head as she pulls her feet back and forth.</t>
  </si>
  <si>
    <t>v_JrRtv8puAZI</t>
  </si>
  <si>
    <t>A guy holds a light cloth.</t>
  </si>
  <si>
    <t>A guy gets a white basin from beneath the sink and fills it with water in a sink.</t>
  </si>
  <si>
    <t>The guy puts down the light cloth and adds dish soap to the basin.</t>
  </si>
  <si>
    <t>The guy gets a rack from beneath the sink and places it on the counter top.</t>
  </si>
  <si>
    <t>The guy adds utensils and a dish to the white basin and washes them with a red rug.</t>
  </si>
  <si>
    <t>A boy watches from behind.</t>
  </si>
  <si>
    <t>The guy rinses the dishes and puts them in a rack.</t>
  </si>
  <si>
    <t>The guy dries the dish with the light cloth.</t>
  </si>
  <si>
    <t>v_vSpl69BWMKI</t>
  </si>
  <si>
    <t>A man in gray shirt and jeans with orange helmet is trimming the hedges, he is standing in a ladder to reach the top of the hedge and trim it, the man continue to trim the hedge.</t>
  </si>
  <si>
    <t>A man in white shirt and orange helmet is trimming the burned hedges.</t>
  </si>
  <si>
    <t>v_2u1gdf_53C0</t>
  </si>
  <si>
    <t>A person in a protective white suit and goggles sprays a surface with purple paint using a spray gun in a room with white walls and floors.</t>
  </si>
  <si>
    <t>The person then spins the surface around on a spinning table and paints the sides.</t>
  </si>
  <si>
    <t>The finishes matte product is shown, dried, in the plain white room where the painting happened.</t>
  </si>
  <si>
    <t>v_C8hdbmjUMRc</t>
  </si>
  <si>
    <t>man is standing in a room mixing cement on a bucket.</t>
  </si>
  <si>
    <t>the man grabs the mix and spread it in the floor and put white tiles.</t>
  </si>
  <si>
    <t>the man sweeps the floor and spread cement again to put the tiles in the remaining part of the room.</t>
  </si>
  <si>
    <t>v_uX-UwKfRvJY</t>
  </si>
  <si>
    <t>The video begins with four pictures of contracted human abdomens.</t>
  </si>
  <si>
    <t>There's a young girl dressed in a blue tank top and black tights demonstrating the proper way to do planks and crunches.</t>
  </si>
  <si>
    <t>She is laying on a blue Yoga mat as she does crunches.</t>
  </si>
  <si>
    <t>Then she lays on her stomach by raising herself up on her elbows to show how to do planks.</t>
  </si>
  <si>
    <t>v_P0N68OQDhNs</t>
  </si>
  <si>
    <t>An athlete in black shirt gives instructions for a practice drill while standing on a large sporting field.</t>
  </si>
  <si>
    <t>The man sets up for an exercise and squats up and down for practice.</t>
  </si>
  <si>
    <t>The man jumps multiple times and goes further each jump.</t>
  </si>
  <si>
    <t>The man bends down and touches the ground while twisting.</t>
  </si>
  <si>
    <t>The man gives more instructions on a practice run while giving hand gestures.</t>
  </si>
  <si>
    <t>The man sets up on the edge of a line and jumps with one foot, then repeats.</t>
  </si>
  <si>
    <t>The man gives a final set of instructions while breathing heavy.</t>
  </si>
  <si>
    <t>A set of text is seen with information.</t>
  </si>
  <si>
    <t>v_OdLcbH2H_zI</t>
  </si>
  <si>
    <t>An arrow graphic is seen and title text.</t>
  </si>
  <si>
    <t>A woman stands on a dark lit room holding an accordion and demonstrating how to play it.</t>
  </si>
  <si>
    <t>The woman begins to play a song pressing in the keys.</t>
  </si>
  <si>
    <t>The woman pauses to discuss then plays more of the song.</t>
  </si>
  <si>
    <t>The woman finishes and closes the accordion.</t>
  </si>
  <si>
    <t>v_Mgvj2B6MyjI</t>
  </si>
  <si>
    <t>A girl is nervous on the edge of a diviing board.</t>
  </si>
  <si>
    <t>She falls in after standing up and then squatting again.</t>
  </si>
  <si>
    <t>v_eWG5T3TC_cg</t>
  </si>
  <si>
    <t>A marching band walk in the street playing instruments while a woman on front holds a flag.</t>
  </si>
  <si>
    <t>A boy on front the band holds a rode and raise and spin around.</t>
  </si>
  <si>
    <t>Then, band arrives and pass a traffic light.</t>
  </si>
  <si>
    <t>v_k1WnO7UeBJ8</t>
  </si>
  <si>
    <t>Two people are shown walking around with a rug over their shoulders and walk inside a building.</t>
  </si>
  <si>
    <t>They open the rug then pull out measuring tape and hammer down the rug.</t>
  </si>
  <si>
    <t>They then put plaster all over the floor and present the finished product of the rug by shaking hands with the owners and smiling for pictures.</t>
  </si>
  <si>
    <t>v_AffS41W1Jgg</t>
  </si>
  <si>
    <t>A man is seen speaking to the camera and leads into him laying up wallpaper on the wall.</t>
  </si>
  <si>
    <t>He continues speaking to the camera while still spreading paper on the wall.</t>
  </si>
  <si>
    <t>v_iGOGz6M_zcE</t>
  </si>
  <si>
    <t>A woman is washing her face in a sink.</t>
  </si>
  <si>
    <t>She looks in a mirror in front of her.</t>
  </si>
  <si>
    <t>She continues wiping her face.</t>
  </si>
  <si>
    <t>v_LYrqEz_vttQ</t>
  </si>
  <si>
    <t>A dog is sitting on an orange couch.</t>
  </si>
  <si>
    <t>A dog is sitting in a bath tub getting a bath.</t>
  </si>
  <si>
    <t>A person is drying the dog with a towel.</t>
  </si>
  <si>
    <t>The dog is getting blow dried with a hair dryer.</t>
  </si>
  <si>
    <t>v_h61C_KfvG0Y</t>
  </si>
  <si>
    <t>The logo "Weldy" appears over a photo of welding tools.</t>
  </si>
  <si>
    <t>The words "energy 1600" and the Weldy website address appears.</t>
  </si>
  <si>
    <t>A man is working on a white rooftop with one of the Weldy tools.</t>
  </si>
  <si>
    <t>"energy 1600" and the website appears on screen again.</t>
  </si>
  <si>
    <t>v_PeMJjLrDjhQ</t>
  </si>
  <si>
    <t>A woman is seen speaking to the camera while turning on a faucet.</t>
  </si>
  <si>
    <t>She then pumps soap off and scrubs her hands.</t>
  </si>
  <si>
    <t>She runs her hands under the sink and ends by drying her hands and walking out to put hand sanitizor on.</t>
  </si>
  <si>
    <t>v_uOxKf-kNEyg</t>
  </si>
  <si>
    <t>A woman is using polish in a container to polish a black shoe.</t>
  </si>
  <si>
    <t>She talks to the camera as she works.</t>
  </si>
  <si>
    <t>Black polish is shown dripping onto her legs.</t>
  </si>
  <si>
    <t>v_JyjONoyBr4Q</t>
  </si>
  <si>
    <t>There is a lady dog trainer dressed in a blue hoodie playing with a black and white dog in a park.</t>
  </si>
  <si>
    <t>She is throwing a Frisbee to the dog and makes the dog fetch it for her.</t>
  </si>
  <si>
    <t>The dog runs every time she throws the Frisbee at a distance and fetches it for her.</t>
  </si>
  <si>
    <t>The doh jumps high up to grab the Frisbee off her hand.</t>
  </si>
  <si>
    <t>He dog even jumps over the lady when she is laying on the ground.</t>
  </si>
  <si>
    <t>He continues to run and fetch the Frisbee for the lady as she throws multiple Frisbee.</t>
  </si>
  <si>
    <t>The same lady is now wearing an orange shirt and is throwing the Frisbee to the dog.</t>
  </si>
  <si>
    <t>The dog continues to jump and catch the Frisbee in his mouth.</t>
  </si>
  <si>
    <t>v_qmOYKPkURiw</t>
  </si>
  <si>
    <t>A young boy is standing outside watching another person play their bag pipes.</t>
  </si>
  <si>
    <t>Several people walk by and a lady stops and throws money into the person's case.</t>
  </si>
  <si>
    <t>v_35DlDj_hzvg</t>
  </si>
  <si>
    <t>A man is seen bending forward and holding onto a set of weights while gripping tightly.</t>
  </si>
  <si>
    <t>The man then lifts the weight over his end and throws it down in the end.</t>
  </si>
  <si>
    <t>v_6-P9SRNbwac</t>
  </si>
  <si>
    <t>Two young friends are together on a sandy beach.</t>
  </si>
  <si>
    <t>First the girl on the right speaks, and then her friend in a purple t-shirt speaks next.</t>
  </si>
  <si>
    <t>She finishes by turning to her friend and they get up, grabbing hands, and exit the scene to the right.</t>
  </si>
  <si>
    <t>Next we see them again seated on the sand facing each other as they begin to build something in the sand.</t>
  </si>
  <si>
    <t>The focus is shifted to one girl, who speaks, and finishes by writing something in the sand.</t>
  </si>
  <si>
    <t>v_1Om21fCH1sI</t>
  </si>
  <si>
    <t>Various clips are shown of people riding around on bikes as well as sitting on bikes ready to race.</t>
  </si>
  <si>
    <t>Several clips are shown of people up close as well as them riding around on bikes.</t>
  </si>
  <si>
    <t>v_yiFKPKXevOU</t>
  </si>
  <si>
    <t>A man puts a wood upright on a tree stump.</t>
  </si>
  <si>
    <t>A guy is splitting wood into halves.</t>
  </si>
  <si>
    <t>A guy repeatedly tries to cut a wood.</t>
  </si>
  <si>
    <t>v_zqXJkZgKmSk</t>
  </si>
  <si>
    <t>A ball flies through he air on a baseball field.</t>
  </si>
  <si>
    <t>The person with the camera takes off running.</t>
  </si>
  <si>
    <t>The runner stops on the home base and turns around.</t>
  </si>
  <si>
    <t>We see the people at the back of the field.</t>
  </si>
  <si>
    <t>v_3pBldeB3uaE</t>
  </si>
  <si>
    <t>A large group of people are seen standing around a pool as well as people writing on paper and speaking to one another.</t>
  </si>
  <si>
    <t>More people are seen diving on a board and jumping off onto the side.</t>
  </si>
  <si>
    <t>Several people are seen watching on the side as the kids continue to dive.</t>
  </si>
  <si>
    <t>v_O_bDLIcx5k0</t>
  </si>
  <si>
    <t>A drawing of airplanes and machineries are being use, then pictures of men and a woman.</t>
  </si>
  <si>
    <t>A man in blue shirt is brushing a paint to an airplane model, then he paint a different color to make the plane looks like a camouflage.</t>
  </si>
  <si>
    <t>v_pOIJeK3YZr8</t>
  </si>
  <si>
    <t>A man is sitting next to several small trees.</t>
  </si>
  <si>
    <t>He pulls some leaves off of the trees.</t>
  </si>
  <si>
    <t>He takes scissors and cuts some leaves off the tree.</t>
  </si>
  <si>
    <t>v_LdAT5MEBkuQ</t>
  </si>
  <si>
    <t>A man water skiis at a river.</t>
  </si>
  <si>
    <t>A long haired man operates a boat and the boat drags a man water skiing across the water.</t>
  </si>
  <si>
    <t>A guy holding onto a rope attached to a boat water skiis.</t>
  </si>
  <si>
    <t>The man in the glasses appears again, speaking to the camera and points to a man water skiing on the river.</t>
  </si>
  <si>
    <t>The water skiier glides back and forth on the water of the river.</t>
  </si>
  <si>
    <t>The man in glasses talks about the water skiis.</t>
  </si>
  <si>
    <t>v_0ys4fnsu9Jc</t>
  </si>
  <si>
    <t>A small child is seen standing on a trampoline and throwing a ball off into the distance.</t>
  </si>
  <si>
    <t>More kids are seen picking up balls and throwing them to the other side.</t>
  </si>
  <si>
    <t>More kids are seen throwing balls and playing dodgeball with one another.</t>
  </si>
  <si>
    <t>v_VqZr2oZk4z4</t>
  </si>
  <si>
    <t>Various shots are shown of scuba divers moving along the water as well as people riding and riding boats.</t>
  </si>
  <si>
    <t>More clips are shown of people getting ready on land as well as swimming around the ocean.</t>
  </si>
  <si>
    <t>v_mU3ujj4Z7lE</t>
  </si>
  <si>
    <t>A small dog is seen standing in snow and a person pushing snow with a shovel.</t>
  </si>
  <si>
    <t>The dog follows the person shoveling while biting at the shovel and barking at the camera man.</t>
  </si>
  <si>
    <t>v_ESsUwNlkJoo</t>
  </si>
  <si>
    <t>The letters RPM appear on the screen.</t>
  </si>
  <si>
    <t>A room is filled with people riding exercise bikes.</t>
  </si>
  <si>
    <t>They go as fast as they can, advertising a fitness gym.</t>
  </si>
  <si>
    <t>v_krqxyYFHzBI</t>
  </si>
  <si>
    <t>People start fighting outside on the ground.</t>
  </si>
  <si>
    <t>They knock a man onto the ground.</t>
  </si>
  <si>
    <t>They lift him up in the air and slam him back on the ground.</t>
  </si>
  <si>
    <t>v_ivkkCEynzPs</t>
  </si>
  <si>
    <t>A man wears a welding helmet and holds a rod.</t>
  </si>
  <si>
    <t>Then, the man use the road to held a piece of metal on the floor.</t>
  </si>
  <si>
    <t>v_U-N92yQynQA</t>
  </si>
  <si>
    <t>There is a badminton ladies double match taking place in an indoor court.</t>
  </si>
  <si>
    <t>There are several spectators watching the match as the doubles partners hit the shuttlecock with their rackets.</t>
  </si>
  <si>
    <t>The crowd cheers on as the match goes on and the players hit with their rackets back and forth.</t>
  </si>
  <si>
    <t>v_GXEuuWhEMCY</t>
  </si>
  <si>
    <t>A man stands, screaming loudly as he lifts a barbell.</t>
  </si>
  <si>
    <t>He lifts a weight above his head.</t>
  </si>
  <si>
    <t>Another man is shown lifting a weight as a crowd watches.</t>
  </si>
  <si>
    <t>Several weight lifters continue lifting barbells.</t>
  </si>
  <si>
    <t>A man is shown lying down as he is injured.</t>
  </si>
  <si>
    <t>v_HJws_Cwu3qE</t>
  </si>
  <si>
    <t>Two men are seen standing around a room and begin hitting a ball while others watch.</t>
  </si>
  <si>
    <t>More men appear in the room and are seen chasing around a tennis ball and hitting it.</t>
  </si>
  <si>
    <t>v_A1U24_iC6ww</t>
  </si>
  <si>
    <t>Cement is being made in the cement mixer.</t>
  </si>
  <si>
    <t>Three Hispanic men are laying the foundation of the pool with a cement gun.</t>
  </si>
  <si>
    <t>A man that is dressed in white is doing the cement finish as the other men lay the cement with a gun.</t>
  </si>
  <si>
    <t>Once the cement is done all the men start to do finish.</t>
  </si>
  <si>
    <t>v_dgXPoqHrKRM</t>
  </si>
  <si>
    <t>Skiers walk and stand on skis at the bottom of the hill at of a ski resort.</t>
  </si>
  <si>
    <t>Kids ride on inflatable tubes down lanes on a ski slope.</t>
  </si>
  <si>
    <t>Snowboarders and skiers ride down ski runs while other groups sit on the ski lift.</t>
  </si>
  <si>
    <t>A group hangs onto a tow rope on inter tubes and throws snowballs.</t>
  </si>
  <si>
    <t>v_Zsaa3XXIAhk</t>
  </si>
  <si>
    <t>A man plays a song on an acoustic guitar in a studio.</t>
  </si>
  <si>
    <t>The man resets his hands and finishes the song.</t>
  </si>
  <si>
    <t>v_Nb87GFizCB8</t>
  </si>
  <si>
    <t>A woman walks through a snowy parking lot, looking for her car.</t>
  </si>
  <si>
    <t>She is seen using a mop in an attempt to wipe the snow off her car.</t>
  </si>
  <si>
    <t>Snow begins to fall as she continues cleaning.</t>
  </si>
  <si>
    <t>v_oXPgInpuHDA</t>
  </si>
  <si>
    <t>A group of cheerleaders perform in the middle of a basketball court while an audience watches.</t>
  </si>
  <si>
    <t>A man walks through the bottom of the frame.</t>
  </si>
  <si>
    <t>The cheerleaders finish, and a group of younger cheerleaders replace them.</t>
  </si>
  <si>
    <t>v_oHDeMg1ZFp8</t>
  </si>
  <si>
    <t>A man is talking and standing in a kitchen wearing a white robe and a lot of colorful vegetables in front of him.</t>
  </si>
  <si>
    <t>Now the vegetables are gone and the man is now scooping something from a little bowl onto a white plate that is sitting on a wooden cutting board.</t>
  </si>
  <si>
    <t>The man then begins to break the contents up with his utensil and then his hands until they are into separate pieces.</t>
  </si>
  <si>
    <t>v_4Y94njisJd0</t>
  </si>
  <si>
    <t>A young man in a black shirt hits a small ball against the wall.</t>
  </si>
  <si>
    <t>A man in a red shirt hands the ball to him with his racket.</t>
  </si>
  <si>
    <t>The young man hits the ball against the wall again.</t>
  </si>
  <si>
    <t>A group of men walk around trying to hit the ball.</t>
  </si>
  <si>
    <t>The young man in the black shirt hands the ball to the man in the red shirt.</t>
  </si>
  <si>
    <t>The man in the red shirt hits the ball against the wall.</t>
  </si>
  <si>
    <t>The group of men run around the court, swinging their rackets and trying to catch the ball.</t>
  </si>
  <si>
    <t>v_whwserG3XGc</t>
  </si>
  <si>
    <t>team wearing yellow uniform are running in a field.</t>
  </si>
  <si>
    <t>photographers are standing in he ield taking pictures of the yellow and blue team.</t>
  </si>
  <si>
    <t>teams start to pla lacrosse in a big gren grassy field.</t>
  </si>
  <si>
    <t>v_bXEG4X7pRds</t>
  </si>
  <si>
    <t>The lady picks up a brush and scissors.</t>
  </si>
  <si>
    <t>She sweeps the base of the stand.</t>
  </si>
  <si>
    <t>She brushes the dogs right leg.</t>
  </si>
  <si>
    <t>She then clips the hair on this paw.</t>
  </si>
  <si>
    <t>She brushes the fur upwards.</t>
  </si>
  <si>
    <t>She then clips the fur on the paw again.</t>
  </si>
  <si>
    <t>She brushes his paw again.</t>
  </si>
  <si>
    <t>She then clips the fur on the paw another time.</t>
  </si>
  <si>
    <t>She then combs the cut hair off the paw.</t>
  </si>
  <si>
    <t>She clips the hair off the back of the paw.</t>
  </si>
  <si>
    <t>Fade to black, and the credits occur.</t>
  </si>
  <si>
    <t>v_fRLDhkPqrTE</t>
  </si>
  <si>
    <t>A lady looks behind her with delight.</t>
  </si>
  <si>
    <t>The lady plays a black piano.</t>
  </si>
  <si>
    <t>The lady looks to her side.</t>
  </si>
  <si>
    <t>v_qwBFQf5STBA</t>
  </si>
  <si>
    <t>Colorful zebra nails are shown and a colorful screen appears with colorful text that say's "Acid Zebra Nail Art by professionalDQ", and then followed by a lot of other words that include a list of supplies needed.</t>
  </si>
  <si>
    <t>A still shot of six different solid colors of nail polish are shown and some are rounded bottles and some are square bottles.</t>
  </si>
  <si>
    <t>The demonstration begins and it shows someone is sponge painting various colors onto a long white painted nail.</t>
  </si>
  <si>
    <t>A colorful screen briefly appears with colorful text and it say's "Then added a coat of sparkle flakes Awesome",shows the bottle of sparkle nail polish, then more text appears on a colorful screen.</t>
  </si>
  <si>
    <t>A black paint bottle is shown then the person paints a thin black line unto the sparkly and multi colored nail and paints them in the pattern of zebra stripes.</t>
  </si>
  <si>
    <t>A colorful screen along with colorful text appears and it has instructions to "Finish with topcoat And now you're an invincible Nyan Zebra!!".</t>
  </si>
  <si>
    <t>The finished nails are modeled and shown at different angles and a colorful screen with colorful letters appear and it say's "Don't forget your tail!" and then it shows the person holding a furry pink and black, long tail.</t>
  </si>
  <si>
    <t>A colorful screen with colorful text appears and it say's "Thanks for watching SWOOSH!" and more still shots of the finished colorful zebra nails are displayed in different positions and angles.</t>
  </si>
  <si>
    <t>v_W40iaV960sw</t>
  </si>
  <si>
    <t>The camel is sitting on the ground, but then the man puts on his glasses while he's sitting on the camel as it lifts up bringing the man forward a little bit.</t>
  </si>
  <si>
    <t>Then someone grabs the rope on the camel to guide the camel to the right place.</t>
  </si>
  <si>
    <t>Finally the man pulls the camel the man is sitting on while the other 2 camels walk behind the camel in the front.</t>
  </si>
  <si>
    <t>v_wHxB-5jKjbQ</t>
  </si>
  <si>
    <t>People sail in canoes rowing with a paddle in a choppy river.</t>
  </si>
  <si>
    <t>Two men in a canoe sail near the bank of the river, but then sail in the river.</t>
  </si>
  <si>
    <t>The men spins the canoe an pass near an arch of the canoe course.</t>
  </si>
  <si>
    <t>The two men cross a person alone in a canoe.</t>
  </si>
  <si>
    <t>The men continue sailing down the river passing between arches.</t>
  </si>
  <si>
    <t>Men in a canoes are on the border of the river.</t>
  </si>
  <si>
    <t>After, continue sailing straight in the river.</t>
  </si>
  <si>
    <t>v_PLvg8riZZVw</t>
  </si>
  <si>
    <t>A man is holding a fishing pole over an ice fishing hole.</t>
  </si>
  <si>
    <t>He gently tries to pull up and then reel the fishing line out of the hole.</t>
  </si>
  <si>
    <t>He dips and lowers while taking a break.</t>
  </si>
  <si>
    <t>He tries to reel the line out again.</t>
  </si>
  <si>
    <t>He removes his gloves and gets to his knees and back up as he tries to pull the line out of the hole repeatedly.</t>
  </si>
  <si>
    <t>He steps around the hole and continually gently pulls the line from the water as another man pulls the fish out of the water.</t>
  </si>
  <si>
    <t>v_Ktxr4ZiqO3o</t>
  </si>
  <si>
    <t>A person is shaving their beard with an electric shaver.</t>
  </si>
  <si>
    <t>They are slowly moving the shaver up their chin.</t>
  </si>
  <si>
    <t>v_hjDGz9OhwvM</t>
  </si>
  <si>
    <t>A young girl is showing sitting on a floor talking to the camera and pretending to iron.</t>
  </si>
  <si>
    <t>She prays the bottle of water onto the clothes and irons doing this several times.</t>
  </si>
  <si>
    <t>She flips over the shirt to continue ironing and looks off into the distance.</t>
  </si>
  <si>
    <t>v_oXqzXQRqAhI</t>
  </si>
  <si>
    <t>Two kids are seen sitting in a bath tub with one holding a bucket and the holding smiling and laughing.</t>
  </si>
  <si>
    <t>The boy pours the bucket over his face and a hand gives him a towel while the girl also splashes her face.</t>
  </si>
  <si>
    <t>The sprays water again with the bucket and rubs his eyes.</t>
  </si>
  <si>
    <t>v_HaprTZfP4sQ</t>
  </si>
  <si>
    <t>A gold ornament is shown hanging from a christmas tree.</t>
  </si>
  <si>
    <t>Two women are on the floor, wrapping presents.</t>
  </si>
  <si>
    <t>They cut the paper and tape it around boxes before adding bows.</t>
  </si>
  <si>
    <t>We then see the completed tree, adorned with a ring of wrapped presents at the base.</t>
  </si>
  <si>
    <t>v_sanasW2azw4</t>
  </si>
  <si>
    <t>A young boy wearing sunglasses is shown pushing a long a lawn mower across a lawn.</t>
  </si>
  <si>
    <t>The camera continuously follows him as he moves back and fourth with the mower on the lawn.</t>
  </si>
  <si>
    <t>Finally a picture of him sleeping on the couch is shown.</t>
  </si>
  <si>
    <t>v_zxOcSuLSrU4</t>
  </si>
  <si>
    <t>A woman is seen pushing a lawn mower along some tall grass while moving back and fourth.</t>
  </si>
  <si>
    <t>The woman continues pushing the machine around the yard and turns her back towards the camera to mow the back.</t>
  </si>
  <si>
    <t>v_jETKNHeojN8</t>
  </si>
  <si>
    <t>The woman says a few words in the beginning while the dancer stands silently.</t>
  </si>
  <si>
    <t>First the dancer makes sure her legs are positioned correctly.</t>
  </si>
  <si>
    <t>Then the ballet dancer brings one foot into a coupe.</t>
  </si>
  <si>
    <t>Next she straightens both legs and puts one leg in the front and brings it back down.</t>
  </si>
  <si>
    <t>She then repeats those 3 steps over again.</t>
  </si>
  <si>
    <t>v_73ZdOEJcsUw</t>
  </si>
  <si>
    <t>An old lady knits with a red needle and red wool.</t>
  </si>
  <si>
    <t>An old lady stops knitting and talks continuously.</t>
  </si>
  <si>
    <t>The old lady knits again and examines her creation.</t>
  </si>
  <si>
    <t>v_WSpfyZuoi3A</t>
  </si>
  <si>
    <t>A little girl sled in an inflatable boat hold to a string on front a man, suddenly she falls in a hollow.</t>
  </si>
  <si>
    <t>People carry sled boats and the little girl is in a sled boat.</t>
  </si>
  <si>
    <t>After a group of people sled do down the hill until meet other persons.</t>
  </si>
  <si>
    <t>v_fevlUD03yCM</t>
  </si>
  <si>
    <t>A young girl is applying sunscreen to her face.</t>
  </si>
  <si>
    <t>A beach is crowded with people while a motoroboat speeds across the water.</t>
  </si>
  <si>
    <t>A doctor from the Cleveland Clinic named Jennifer Lucas speaks.</t>
  </si>
  <si>
    <t>People apply sunblock to each other outdoors.</t>
  </si>
  <si>
    <t>v_aEopPs2eY-Q</t>
  </si>
  <si>
    <t>A girl names Ashley dressed in all purple walks up slowly, then it turns to nature view of dirt and flowers.</t>
  </si>
  <si>
    <t>Ashley comes out getting dressed in her motor cross gear and slowly walks her bike out.</t>
  </si>
  <si>
    <t>She goes out and starts riding through the dirt, catching some air really high after hitting little mountain hills.</t>
  </si>
  <si>
    <t>She speaks in sign language with another rider for a little but before returning toe the dirt to ride some more.</t>
  </si>
  <si>
    <t>v_tn8YmTHinZc</t>
  </si>
  <si>
    <t>woman is standing in kitchen talking to the camera and showing ingredients that are on top of a counter.</t>
  </si>
  <si>
    <t>woman holds a lemon and squeeze it in a plastic water jar and mix it with sugar.</t>
  </si>
  <si>
    <t>woman holds a knife and chop the lemons in small pieces and add soda to the jar and the chopped lemons along with strawberries.</t>
  </si>
  <si>
    <t>v_QFWxdR_C71M</t>
  </si>
  <si>
    <t>A woman uses a piece of chalk on a canvas.</t>
  </si>
  <si>
    <t>She then uses several colors of paint to create an image.</t>
  </si>
  <si>
    <t>When she is done, we see a still life image of an orange on a counter.</t>
  </si>
  <si>
    <t>v_BWanQWn1OYQ</t>
  </si>
  <si>
    <t>A small group of girls are seen walking out onto a lake holding tubes and leads into others riding along in tubes.</t>
  </si>
  <si>
    <t>The people continue riding along the river on the tubes and the camera pans around the large group.</t>
  </si>
  <si>
    <t>The walk off shore and speak to one another followed by the tubes hung up and the bus parked.</t>
  </si>
  <si>
    <t>v_Z7zc7zs5Zj8</t>
  </si>
  <si>
    <t>A woman is seen walking down a set of stairs and begins performing a routine in front of a large audience.</t>
  </si>
  <si>
    <t>The woman continues dancing around the stage while a group of people play instruments behind her.</t>
  </si>
  <si>
    <t>v_j5SX_9JKtfs</t>
  </si>
  <si>
    <t>cleaning materials sit next to a double sink, then a person puts a bottle with blue liquid next to the cleaning materials.</t>
  </si>
  <si>
    <t>After, the person pours a little bit of blue liquid in the sink and scrubs the sinks with a sponge.</t>
  </si>
  <si>
    <t>After, the person rinse the sinks with water and dries with a cloth.</t>
  </si>
  <si>
    <t>v_cMeMbnjX-pg</t>
  </si>
  <si>
    <t>A man is skating on an indoor rink with a sweeper as people watch.</t>
  </si>
  <si>
    <t>He cleans the floor as people try to talk to him.</t>
  </si>
  <si>
    <t>A man falls and slides, and another grabs him in a fight.</t>
  </si>
  <si>
    <t>v_JFupxdGxgPQ</t>
  </si>
  <si>
    <t>Several men stand in a dirt arena.</t>
  </si>
  <si>
    <t>Several other men sit on horses.</t>
  </si>
  <si>
    <t>A gate opens and a calf runs out closely followed by a man on a horse.</t>
  </si>
  <si>
    <t>The man on the horse throws a lasso around the calf's neck yanking the calf back to land on it's back.</t>
  </si>
  <si>
    <t>The man jumps from his horse and runs over and ties up the calf.</t>
  </si>
  <si>
    <t>The man gets up and walks back to get on his horse.</t>
  </si>
  <si>
    <t>Several men run over to free the calf as it gets up and runs away.</t>
  </si>
  <si>
    <t>v_8L1xXJvKuv4</t>
  </si>
  <si>
    <t>A group of people are swimming in an indoor pool with other swimmers standing on the side of the pool watching.</t>
  </si>
  <si>
    <t>The children on the sidelines are jumping up and down with swim caps and swimsuits on as they watch the people who are already in the pool swim.</t>
  </si>
  <si>
    <t>A person walks by the camera as the shaky camera focuses on the people who are already in the pool swimming.</t>
  </si>
  <si>
    <t>v_AkeJ-lJLNkw</t>
  </si>
  <si>
    <t>Two people are seen performing various kicks and tricks around one another while a large group of people watch on the sides.</t>
  </si>
  <si>
    <t>More continue kicking around one another in the middle of the circle while others watch and react on the side.</t>
  </si>
  <si>
    <t>v_f00gW6PbWDE</t>
  </si>
  <si>
    <t>A young man wearing blue jeans and a blue and white plaid long sleeved button up shirt is sitting on the ground with his legs wide opened on a board that has numbers on it in a triangular shape.</t>
  </si>
  <si>
    <t>There are two elderly women holding sticks, and they are getting ready to hit the disks across the board into the man's crotch while 5 men are standing alongside the board watching and cringing.</t>
  </si>
  <si>
    <t>The woman shoves the disk across the board and it hits the man in the crotch, the second woman shoves the disc across the board and it hits the man in the crotch very hard and the guys all laugh and gringe then help the guy up.</t>
  </si>
  <si>
    <t>v_NfVL1o5HMEo</t>
  </si>
  <si>
    <t>A gymnast is seen rubbing his hands together and walks over to a set of uneven bars and raises his hands up.</t>
  </si>
  <si>
    <t>The man performs a routine on the bars while hundreds of people watch on the sidelines.</t>
  </si>
  <si>
    <t>He jumps down, waves his arms in the air, and walks over to high five his coach afterwards.</t>
  </si>
  <si>
    <t>v_x0cSfzhQRAs</t>
  </si>
  <si>
    <t>A man walks across a rope suspended between two mountains high in the air using his arms for balance.</t>
  </si>
  <si>
    <t>A man walks across a suspended rope high in the air, losing balance at one point and holding on to the rope with his hands and feet wrapped around the rope.</t>
  </si>
  <si>
    <t>The man then is able to hoist himself back enough on the rope to sit on it with the rope between his legs.</t>
  </si>
  <si>
    <t>v_NqYEX8tUjYg</t>
  </si>
  <si>
    <t>A person is seen performing a trick on a snowboard followed by more a woman speaking to the camera.</t>
  </si>
  <si>
    <t>Several more clips are shown of people riding snowboards and performing tricks on a board.</t>
  </si>
  <si>
    <t>More people are seen riding on a board and speaking to the camera.</t>
  </si>
  <si>
    <t>v_Tbo7I63oIms</t>
  </si>
  <si>
    <t>A person ski over a ski rail and spins in the air, then land stand on the snow.</t>
  </si>
  <si>
    <t>The person ski over a ramp and fly in the air very high.</t>
  </si>
  <si>
    <t>Then, the person ski over the rails of a home turning ans spinning and then land on the street.</t>
  </si>
  <si>
    <t>Then, a person ski over the fence of a walking bridge and also ski on the stairs.</t>
  </si>
  <si>
    <t>v_6S9NCdsUxfE</t>
  </si>
  <si>
    <t>A man is seen waxing a set of skis while looking back to speak to the camera.</t>
  </si>
  <si>
    <t>The man continues moving his arms up and down the skis while looking up to speak at the camera every once and a while.</t>
  </si>
  <si>
    <t>v_uM6ErLnAGW4</t>
  </si>
  <si>
    <t>Carved pepper jack-o-lanterns are seen prepared.</t>
  </si>
  <si>
    <t>A woman uses a knife to carve out the center and facial features of a bell pepper then places in a dish.</t>
  </si>
  <si>
    <t>The woman adds chopped vegetables, salsa, and eggs to a large bowl.</t>
  </si>
  <si>
    <t>The woman uses a spatula to mix everything together.</t>
  </si>
  <si>
    <t>A spoon is used to add ingredients into the hollow bell peppers.</t>
  </si>
  <si>
    <t>Cheese is added to the tops of the bell peppers and the tops are placed back on them.</t>
  </si>
  <si>
    <t>The bell peppers are removed from the dish and put on a plate.</t>
  </si>
  <si>
    <t>the finished bell peppers are seen on the cutting board.</t>
  </si>
  <si>
    <t>A woman adds ingredients to a casserole dish.</t>
  </si>
  <si>
    <t>v_lxlXHOHSOlk</t>
  </si>
  <si>
    <t>Ships are shown in the water.</t>
  </si>
  <si>
    <t>Men are walking on a street.</t>
  </si>
  <si>
    <t>A man in a yellow shirt is riding on a boat.</t>
  </si>
  <si>
    <t>People watching the men in the boat are applauding.</t>
  </si>
  <si>
    <t>v_w24Pub_hNSw</t>
  </si>
  <si>
    <t>A woman is seated, a man is standing, and a little girl is climbing on playground equipment.</t>
  </si>
  <si>
    <t>She drops down, hanging from the monkey bars as she pretends to kick the man.</t>
  </si>
  <si>
    <t>She swings to the end, and lands in another man's arms.</t>
  </si>
  <si>
    <t>v_8slE1UskRS4</t>
  </si>
  <si>
    <t>Three people are standing outside under a very large concrete gazebo and briefly the white word "MARANHAO" is on the right side of the screen.</t>
  </si>
  <si>
    <t>A man with an instrument starts walking towards the three people and he begins to adjust his instrument.</t>
  </si>
  <si>
    <t>Two of the people start dancing, the woman starts singing, then all the people are now holding instruments and are smiling as they start playing their instruments, dancing, and singing together.</t>
  </si>
  <si>
    <t>v_zwQYVBQnn4o</t>
  </si>
  <si>
    <t>This man is shown lifting a very heavy weight in the beginning of the video.</t>
  </si>
  <si>
    <t>Then another man does the same thing and he lifts it successfully.</t>
  </si>
  <si>
    <t>When he's done, someone comes on stage and gives him a hug.</t>
  </si>
  <si>
    <t>He is then given a medal.</t>
  </si>
  <si>
    <t>v_v8Dqgro-f-U</t>
  </si>
  <si>
    <t>We see a gym filled with people watching as people jump rope.</t>
  </si>
  <si>
    <t>We see the outside of the building and a man is interviewed with shots of the inside cut in.</t>
  </si>
  <si>
    <t>We watch girl perform see ladies serving snacks and watch another person perform.</t>
  </si>
  <si>
    <t>We see girls interviewed outside the main room and scenes from inside the gym.</t>
  </si>
  <si>
    <t>We see people on bleachers and kids jumping.</t>
  </si>
  <si>
    <t>We then see the blue ending screen.</t>
  </si>
  <si>
    <t>v_DCKwTvFrA6Q</t>
  </si>
  <si>
    <t>The woman introduces herself in the beginning of the video and then different pictures are shown.</t>
  </si>
  <si>
    <t>She also talks about the fun you can have in Chicago and her big production of being the black widow.</t>
  </si>
  <si>
    <t>v_5Qav3tLfiZA</t>
  </si>
  <si>
    <t>The man in dark blue shirt is kneeling with one knee.</t>
  </si>
  <si>
    <t>The man is dribbling the blue ball.</t>
  </si>
  <si>
    <t>The man is dribbling the ball on his side.</t>
  </si>
  <si>
    <t>v_5sUctxaAFrw</t>
  </si>
  <si>
    <t>Several pictures are shown in the beginning of old roofs as well as new roofs and people working on top of these roofs.</t>
  </si>
  <si>
    <t>More shots are shown of people spraying down the roofs and looking away from the camera.</t>
  </si>
  <si>
    <t>v_ZL7xefcDWYc</t>
  </si>
  <si>
    <t>A gymnast is performing on the bars while a crowds is watching.</t>
  </si>
  <si>
    <t>At the end, the gymnast flips around the bars and jump on the mattress.</t>
  </si>
  <si>
    <t>v_sd2MhdKdQTo</t>
  </si>
  <si>
    <t>A woman is seen sitting on stage while singing into a microphone and people sitting behind her playing instruments.</t>
  </si>
  <si>
    <t>The girl continues singing with the band and ending by speaking to the audience.</t>
  </si>
  <si>
    <t>v_rWfi4xN3XQI</t>
  </si>
  <si>
    <t>A woman stands next to a horse in a field.</t>
  </si>
  <si>
    <t>"HJCTV presents: Grooming your horse 101" is overlaid.</t>
  </si>
  <si>
    <t>A woman stands in a stall with a horse with a grooming brush, she starts brushing it.</t>
  </si>
  <si>
    <t>Two girls stand outdoors with another horse and brush it.</t>
  </si>
  <si>
    <t>The first woman returns with a new brush and allows children to help brush the horse.</t>
  </si>
  <si>
    <t>v_0PLaN0hmMDY</t>
  </si>
  <si>
    <t>A person holds a ring in a small box.</t>
  </si>
  <si>
    <t>Then, the man wraps the box with gift paper.</t>
  </si>
  <si>
    <t>After, the man tries to find the end of a scotch tape roll, but he can not find it.</t>
  </si>
  <si>
    <t>The man cuts the excess of paper and put take on the gift.</t>
  </si>
  <si>
    <t>v_l3k_7ydV74A</t>
  </si>
  <si>
    <t>Four men perform a wrestling stunt in costume while standing on an elevated, lit, stage in front of a seated audience.</t>
  </si>
  <si>
    <t>Two men in black lift one man in a blue shiny outfit, up, on their shoulders.</t>
  </si>
  <si>
    <t>The two men in black place the man in blue's legs around the neck of another man, the biggest man on the stage, who is also dressed in black.</t>
  </si>
  <si>
    <t>The large man in black then takes the man in blue and slams him down, off the stage and onto a table next to the stage, at which point the man lands with a force that breaks the table in two causing the man to fall to the floor under the table.</t>
  </si>
  <si>
    <t>v_j82E082KJSw</t>
  </si>
  <si>
    <t>There are two teams playing volley ball in an indoor stadium in front of a large number of spectators.</t>
  </si>
  <si>
    <t>The green and yellow team is playing against the red team.</t>
  </si>
  <si>
    <t>The players dive up high to throw the ball across the net to their opposing team.</t>
  </si>
  <si>
    <t>Then the green and yellow team plays against the blue team.</t>
  </si>
  <si>
    <t>The red team is back to play with the green and yellow team.</t>
  </si>
  <si>
    <t>Then the blue team returns to play against the green and yellow team.</t>
  </si>
  <si>
    <t>The volley ball game continues as the red team and blue team alternately play with their opponents.</t>
  </si>
  <si>
    <t>v_d6uMS_ZgMg4</t>
  </si>
  <si>
    <t>A camera pans all around a piece of exercise equipment followed by a woman riding on it.</t>
  </si>
  <si>
    <t>A person is seen adjusting the settings of the bike as well as riding around and drinking water.</t>
  </si>
  <si>
    <t>More shots are shown of the woman adjusting the machine as well as rolling it away and continuing to ride.</t>
  </si>
  <si>
    <t>v_QESBvmN1hcM</t>
  </si>
  <si>
    <t>A small group of people are seen swimming around a pool and lead into several clips of people playing the game as well as celebrating.</t>
  </si>
  <si>
    <t>Various people are then seen speaking to the camera followed by more clips of the game being shown and people celebrating.</t>
  </si>
  <si>
    <t>v_yzmPtZyuo4s</t>
  </si>
  <si>
    <t>An African American male athlete is walking preparing himself to run.</t>
  </si>
  <si>
    <t>The male then begins to run from an angle towards the mat and does a high jump clearing the bar.</t>
  </si>
  <si>
    <t>A replay is shown and the crowd begins to cheer for him.</t>
  </si>
  <si>
    <t>v_Z9pWpZK4k2M</t>
  </si>
  <si>
    <t>Two men, a woman, and a toddler are walking down the road but all of the adults have on Kangaroo shoes.</t>
  </si>
  <si>
    <t>People continue to walk pass them and the two males begin jumping extremely high as the lady walks away with the child.</t>
  </si>
  <si>
    <t>The four individuals then move in front of a building and start hoping around then eventually to a set of steps in what looks to be a court yard.</t>
  </si>
  <si>
    <t>v_-V00wKlFJA0</t>
  </si>
  <si>
    <t>A man is seen standing in a garage and proceeds to play a set of bagpipes.</t>
  </si>
  <si>
    <t>The man continues playing the instrument while moving his hands around and stops in the end to turn off the camera.</t>
  </si>
  <si>
    <t>v_bVOD0M4LCEY</t>
  </si>
  <si>
    <t>Several pairs of people are out in the desert holding a selfie stick as they travel around on camels.</t>
  </si>
  <si>
    <t>As they continue,some people come around and begin to film the people with their own camera.</t>
  </si>
  <si>
    <t>Now,a line of people are in the sand just standing around watching them as the people on the camel begin to talk back to them.</t>
  </si>
  <si>
    <t>v_9-XGzUTSsuI</t>
  </si>
  <si>
    <t>A white screen appears and green letters appear in the middle of the screen and read "eHow"and changes to a blue screen that has a large white word that reads "health" under a small white square that contains the green eHow.</t>
  </si>
  <si>
    <t>A man wearing athletic clothing is standing in an indoor gym doing some fighting exercises and when he stops to talk, a banner on the bottom left say his name is Steve Hess and he's a Personal Trainer.</t>
  </si>
  <si>
    <t>While talking the man is also doing arm and leg movements and the camera is zoomed out to show his whole body.</t>
  </si>
  <si>
    <t>When the man is done the same blue screen from the beginning appears and ends with the same white screen with the green eHow written in the middle.</t>
  </si>
  <si>
    <t>v_paY7wXmzcTQ</t>
  </si>
  <si>
    <t>A person is seen standing on a pair of skis while others move around an area.</t>
  </si>
  <si>
    <t>One person sits on a tube while others walk from behind.</t>
  </si>
  <si>
    <t>A person then kicks the person n the tube down the hill.</t>
  </si>
  <si>
    <t>v_aeEMrTpNUss</t>
  </si>
  <si>
    <t>A man steps up to a set of uneven bars while a man does flips behind him and begins performing a gymnastics routine.</t>
  </si>
  <si>
    <t>The man flips and spins himself around on the bars and ends by jumping down and waving his hands up.</t>
  </si>
  <si>
    <t>v_FFZOmzFc_us</t>
  </si>
  <si>
    <t>A man is seen wearing an apron in front of sink stacked with many dishes.</t>
  </si>
  <si>
    <t>The man begins washing the dishes in a quick motion and throwing them into a pile.</t>
  </si>
  <si>
    <t>The man continues washing the dishes while looking back to the camera.</t>
  </si>
  <si>
    <t>v_n1LmL6_vxKs</t>
  </si>
  <si>
    <t>A man is seen bending down before a large weight while looking off into the distance.</t>
  </si>
  <si>
    <t>He then picks the weight up over his head.</t>
  </si>
  <si>
    <t>Finally he throws the weight down on the floor.</t>
  </si>
  <si>
    <t>v_PAF5AIQNXhs</t>
  </si>
  <si>
    <t>A baby is seated in a swing, rocking gently.</t>
  </si>
  <si>
    <t>A little girl is seen swinging herself back and forth.</t>
  </si>
  <si>
    <t>Then a toddler and baby look at each other as they continue to lightly swing.</t>
  </si>
  <si>
    <t>v_1V0TqgcXSVk</t>
  </si>
  <si>
    <t>A woman is standing in a room, surrounded by yoga gear.</t>
  </si>
  <si>
    <t>She then shows how to use a stepper to exercise, stepping on and off, side to side.</t>
  </si>
  <si>
    <t>She talks a little longer about the exercise.</t>
  </si>
  <si>
    <t>v_Wzpyu5NEqZ4</t>
  </si>
  <si>
    <t>Men are playing wall ball in a room against each other.</t>
  </si>
  <si>
    <t>A man in a red shirt and glasses is talking.</t>
  </si>
  <si>
    <t>A man in a black shirt talks to a man in a red shirt.</t>
  </si>
  <si>
    <t>Papers are being shown on the screen.</t>
  </si>
  <si>
    <t>The man continues to talk to the microphone.</t>
  </si>
  <si>
    <t>A man in a black shirt is talking.</t>
  </si>
  <si>
    <t>The men are playing more wall ball.</t>
  </si>
  <si>
    <t>v_UCBAyJpXuCw</t>
  </si>
  <si>
    <t>People are on a stage playing instruments.</t>
  </si>
  <si>
    <t>A man in a black shirt is playing a drum set.</t>
  </si>
  <si>
    <t>A man in a green shirt plays a guitar at the front of the stage.</t>
  </si>
  <si>
    <t>v_xq7Gr0FUwpo</t>
  </si>
  <si>
    <t>Two scientist throws stones in the water while talking.</t>
  </si>
  <si>
    <t>Scientist writes a formula on a board, then the scientists run and jumps in the water.</t>
  </si>
  <si>
    <t>Then, people water ski in the water pulling by a boat.</t>
  </si>
  <si>
    <t>A woman water ski while two men explains the movements made by the girl.</t>
  </si>
  <si>
    <t>After, a man water ski holding a water sky rope tie to a pole while a person watch, then he falls in the water.</t>
  </si>
  <si>
    <t>After, a person water ski and then falls in the water.</t>
  </si>
  <si>
    <t>v_5HLW2AI1Ink</t>
  </si>
  <si>
    <t>A swimmer is shown putting on his goggles and spreading his hands out before he dives into a pool.</t>
  </si>
  <si>
    <t>A side view of the man is shown as he does the side stroke underneath the water.</t>
  </si>
  <si>
    <t>The male continues to swim and several techniques of his are highlighted such as the way his hand is cuffed and the position of his legs.</t>
  </si>
  <si>
    <t>v_I4mFeQwqjnE</t>
  </si>
  <si>
    <t>The credits of the clips are shown.</t>
  </si>
  <si>
    <t>People in black play dodge ball on a court.</t>
  </si>
  <si>
    <t>A guy dives to the ground to prevent ball from hitting him.</t>
  </si>
  <si>
    <t>v_UsqhZb0co6o</t>
  </si>
  <si>
    <t>A man is laying in bed and looks at his phone.</t>
  </si>
  <si>
    <t>He runs into a room and gets dressed.</t>
  </si>
  <si>
    <t>He sits down on his bed and puts shoes on.</t>
  </si>
  <si>
    <t>He stands up and runs out the door.</t>
  </si>
  <si>
    <t>v_czh5nNO_Eow</t>
  </si>
  <si>
    <t>A black screen appears with white words that read "How to Paint a Paneled Door".</t>
  </si>
  <si>
    <t>A man then appears in front of a red door that is leaning up against a wall that has plastic on it, and he's talking and touching the door.</t>
  </si>
  <si>
    <t>The man then grabs a paint brush and begins painting on paints various parts of the door while continuing to talk.</t>
  </si>
  <si>
    <t>The man stops painting, and begins talking as he points at a few things on the door.</t>
  </si>
  <si>
    <t>A black screen appears with white words that include a website if someone wants more information.</t>
  </si>
  <si>
    <t>v_eL4Ce4WPI0Y</t>
  </si>
  <si>
    <t>A woman is seen wiping off her feet and stepping into a circle pit.</t>
  </si>
  <si>
    <t>The woman then spins around and throws a discuss off into the air while the camera follows her.</t>
  </si>
  <si>
    <t>v_ItpDcSURusI</t>
  </si>
  <si>
    <t>A professional diver named Pandelela Rinong is getting ready to dive in a competition.</t>
  </si>
  <si>
    <t>She goes forward on the diving board and does a backward dive into the pool from several feet.</t>
  </si>
  <si>
    <t>She twists her body as she dives down into the pool.</t>
  </si>
  <si>
    <t>After she's done, she smiles and walks out of the pool.</t>
  </si>
  <si>
    <t>v_JGStyHrlN2U</t>
  </si>
  <si>
    <t>Several player on horseback are playing cricket on a field.</t>
  </si>
  <si>
    <t>All players ride their horses to one side of the field.</t>
  </si>
  <si>
    <t>The ride around and around as the try to hit the cricket ball.</t>
  </si>
  <si>
    <t>The ball is hit into the middle of the field away from all the players.</t>
  </si>
  <si>
    <t>v_CJCONq_i1cQ</t>
  </si>
  <si>
    <t>We see a man in a driveway cleaning snow from his car.</t>
  </si>
  <si>
    <t>The man cleans the snow under his windshield wipers.</t>
  </si>
  <si>
    <t>We see the building behind the car.</t>
  </si>
  <si>
    <t>We do a 360 spin to see the parking lot.</t>
  </si>
  <si>
    <t>The man opens the doors on his car and gets in.</t>
  </si>
  <si>
    <t>The man backs out and and gets out of the car.</t>
  </si>
  <si>
    <t>v_ZluOmpTPdWw</t>
  </si>
  <si>
    <t>A group of people seen running around a sandy field playing a soccer match in front of a large crowd.</t>
  </si>
  <si>
    <t>The people continue kick the ball around with several more balls being thrown in as well.</t>
  </si>
  <si>
    <t>v_E2KlBkQJyzU</t>
  </si>
  <si>
    <t>Two people are seen sitting on a ski bench putting on gear and leads into people pushing a puck around a hockey rink.</t>
  </si>
  <si>
    <t>Several shots are shown of the players skating around the ice and playing the sport of hockey.</t>
  </si>
  <si>
    <t>In the end they all kneel down next to one another and skate away.</t>
  </si>
  <si>
    <t>v_tlNpR7CkM-4</t>
  </si>
  <si>
    <t>A man is shown inside a church.</t>
  </si>
  <si>
    <t>He is playing a set of bagpipes while wearing a kilt.</t>
  </si>
  <si>
    <t>He continues to play, not moving.</t>
  </si>
  <si>
    <t>v_az-UGTdlbaA</t>
  </si>
  <si>
    <t>A woman in a black top and shorts wears boxing gloves.</t>
  </si>
  <si>
    <t>She spares with a man in black.</t>
  </si>
  <si>
    <t>She kicks and hits at him.</t>
  </si>
  <si>
    <t>She does several different exercises.</t>
  </si>
  <si>
    <t>v_K0XdsHfUpco</t>
  </si>
  <si>
    <t>Players play croquet in a lawn.</t>
  </si>
  <si>
    <t>A guy plays a bag pipe on the croquet field.</t>
  </si>
  <si>
    <t>Players shake hands to demonstrate sportsmanship.</t>
  </si>
  <si>
    <t>Players carry a huge check.</t>
  </si>
  <si>
    <t>A guy steps out of a line and charges at the camera.</t>
  </si>
  <si>
    <t>v_QWXzDdMjZOw</t>
  </si>
  <si>
    <t>A man holds a saxophone, then he takes out the neck and blows the mouthpiece while talking.</t>
  </si>
  <si>
    <t>Then, the man puts on the neck in the saxophone and shows the keys while talking.</t>
  </si>
  <si>
    <t>Then, the man plays the saxophone while explaining.</t>
  </si>
  <si>
    <t>v_4KgCkxpsN2g</t>
  </si>
  <si>
    <t>People are in a large yellow raft going down a water fall.</t>
  </si>
  <si>
    <t>A man in a boat is going down the river.</t>
  </si>
  <si>
    <t>Several pictures of rafters are displayed on the screen.</t>
  </si>
  <si>
    <t>Rafters are going down a rough hill and hitting the rocks.</t>
  </si>
  <si>
    <t>v_rHD_vDxPpDA</t>
  </si>
  <si>
    <t>A shoe is cleaned with a toothbrush by a sink.</t>
  </si>
  <si>
    <t>The counter is wiped with a towel.</t>
  </si>
  <si>
    <t>The shoe is cleaned more with the toothbrush and a towel.</t>
  </si>
  <si>
    <t>v_IB068eD8A7Y</t>
  </si>
  <si>
    <t>We see a man and a small boy holding a bow and arrow in a field.</t>
  </si>
  <si>
    <t>The boy shoots the arrow stretches and shoots more arrows.</t>
  </si>
  <si>
    <t>We see the man shoot three arrows and see the target.</t>
  </si>
  <si>
    <t>We see the boy as he tries to shoot balloons on the target and misses them all.</t>
  </si>
  <si>
    <t>The boy walks away and we see lady shoot two arrows and turn and kiss her hand.</t>
  </si>
  <si>
    <t>v_M_hfBH8xEig</t>
  </si>
  <si>
    <t>Blue text talks about the description of the video.</t>
  </si>
  <si>
    <t>Some boys are shown performing backetball layups, one after the other.</t>
  </si>
  <si>
    <t>One boy continuously does layups until the end.</t>
  </si>
  <si>
    <t>v_ZzarNWOJnro</t>
  </si>
  <si>
    <t>A man picks up an ax.</t>
  </si>
  <si>
    <t>He swings it at a piece of wood on a stump.</t>
  </si>
  <si>
    <t>He picks another one up and chops it.</t>
  </si>
  <si>
    <t>v_17ODXa4CEmI</t>
  </si>
  <si>
    <t>A person puts slices of lemon over two glasses of lemonade with ice.</t>
  </si>
  <si>
    <t>Then, the person pours water and adds sugar in a pot to make syrup.</t>
  </si>
  <si>
    <t>The person press hard a lemon, and then cuts the lemmons and squeeze them using an electric citrus juicer.</t>
  </si>
  <si>
    <t>next, the person pours a glass of water in a jar, then adds the syrup, the lemon juice, slices of lemon and ice.</t>
  </si>
  <si>
    <t>Then the person serves the lemonade.</t>
  </si>
  <si>
    <t>v_P49Ci0Ph8eU</t>
  </si>
  <si>
    <t>A gymnast stands before a large crowd in an arena and puts his hands up.</t>
  </si>
  <si>
    <t>He begins his routine that involves many flips and rotations.</t>
  </si>
  <si>
    <t>The crowd sits silently while he does this.</t>
  </si>
  <si>
    <t>He does a handstand and a series of more rotations and flips before dismounting.</t>
  </si>
  <si>
    <t>He claps as the crowd cheers him on after his routine is over.</t>
  </si>
  <si>
    <t>v_GYh4XH7jUL4</t>
  </si>
  <si>
    <t>A person dives off a board into a pool.</t>
  </si>
  <si>
    <t>They come up from under the water.</t>
  </si>
  <si>
    <t>v_xH_1O0mckTU</t>
  </si>
  <si>
    <t>man is standing in street holding a board and skateboarding through the street.</t>
  </si>
  <si>
    <t>man is walking in a yard and doing jumps and talking to a microphone.</t>
  </si>
  <si>
    <t>v_U01xasUtlvw</t>
  </si>
  <si>
    <t>a man is outside wearing a superman shirt.</t>
  </si>
  <si>
    <t>He spins in circles, looking around.</t>
  </si>
  <si>
    <t>He finds a broken bike, and repairs it while an angry man yells at him.</t>
  </si>
  <si>
    <t>v_6LOfAoP4Mg8</t>
  </si>
  <si>
    <t>A man is shown sanding a wall and laying out a large piece of water paper across the wall.</t>
  </si>
  <si>
    <t>He continues pushing the paper into the wall and sanding it from behind.</t>
  </si>
  <si>
    <t>v_XQ4owd3yQ_4</t>
  </si>
  <si>
    <t>A man pushes a table into the sand.</t>
  </si>
  <si>
    <t>He is then shown surfing on the bottom of the table in the ocean, gliding across a wave.</t>
  </si>
  <si>
    <t>Another angle is shown with the surfer effortlessly riding a wave on a table.</t>
  </si>
  <si>
    <t>He crashes along with the wave.</t>
  </si>
  <si>
    <t>v_x_BIktHkEc4</t>
  </si>
  <si>
    <t>A man wearing headphones is in a studio, speaking into a microphone.</t>
  </si>
  <si>
    <t>Other men are shown, one of which begins playing a harmonica.</t>
  </si>
  <si>
    <t>He stops playing and says something that makes the DJ laugh.</t>
  </si>
  <si>
    <t>v_pv6CNBFhgCU</t>
  </si>
  <si>
    <t>A machine draws a face on a pumpkin.</t>
  </si>
  <si>
    <t>The lights turn off and it shows the carved pumpkin turned on.</t>
  </si>
  <si>
    <t>It shows the pumpkin in the light.</t>
  </si>
  <si>
    <t>v_HVhLOYGU9E4</t>
  </si>
  <si>
    <t>A large semi truck is driving in the rain.</t>
  </si>
  <si>
    <t>Then we see boys riding skateboards outside a house.</t>
  </si>
  <si>
    <t>They perform several stunts on a board in the driveway.</t>
  </si>
  <si>
    <t>v_d4prmED8v-w</t>
  </si>
  <si>
    <t>A pole vaulter runs up and launches himself over the bar.</t>
  </si>
  <si>
    <t>The vaulter introduces his challenge to the camera, which is to make it over ten times in a row in 20 minutes.</t>
  </si>
  <si>
    <t>He launches himself over 10 times successfully and easily gets under the 20 minute limit.</t>
  </si>
  <si>
    <t>v_6AwS8vWMwSA</t>
  </si>
  <si>
    <t>We see a man and a woman playing competitive rock paper scissors cut with scenes of the crowd.</t>
  </si>
  <si>
    <t>We see a man with a mustache clapping.</t>
  </si>
  <si>
    <t>The lady wins and the man in the suit raises her hand.</t>
  </si>
  <si>
    <t>The man and the woman shake each others hands.</t>
  </si>
  <si>
    <t>The man in the game shakes his head as he turns around.</t>
  </si>
  <si>
    <t>v_jBKlpn2mE8I</t>
  </si>
  <si>
    <t>A woman walks into a backyard, and flips her hair forward.</t>
  </si>
  <si>
    <t>She brushes her hair for a long time, smoothing and tossing it.</t>
  </si>
  <si>
    <t>She then walks away from the camera, continuing to brush.</t>
  </si>
  <si>
    <t>She stands upright, then bends over to brush some more.</t>
  </si>
  <si>
    <t>v_icOO9whIgX8</t>
  </si>
  <si>
    <t>A yellow frame with girls playing Lacross opens up the video.</t>
  </si>
  <si>
    <t>A game of girls Lacross is going on as different slides are shown.</t>
  </si>
  <si>
    <t>The game ends with a penalty shot.</t>
  </si>
  <si>
    <t>v_-G-sh-NhYtk</t>
  </si>
  <si>
    <t>A person in a black coat is shoveling show from a driveway.</t>
  </si>
  <si>
    <t>A man is being shown standing in a garage.</t>
  </si>
  <si>
    <t>v_r7Z5Pm3pKMA</t>
  </si>
  <si>
    <t>We see a man and people entering a stadium.</t>
  </si>
  <si>
    <t>We switch to people on teams, and military marching in a yard.</t>
  </si>
  <si>
    <t>People are playing a game with sticks.</t>
  </si>
  <si>
    <t>We see a group of people on a team standing in a a circle.</t>
  </si>
  <si>
    <t>We see a man walking down the street then a person sitting on the sidewalk.</t>
  </si>
  <si>
    <t>v_BdKxwCdax_w</t>
  </si>
  <si>
    <t>A man is standing in a room in front of a mirror talking.</t>
  </si>
  <si>
    <t>He gets down on his knees and stands on his head.</t>
  </si>
  <si>
    <t>He moves around in a circle on his head and spins.</t>
  </si>
  <si>
    <t>v_fgEMvRrOCRI</t>
  </si>
  <si>
    <t>There are players, one in yellow and the other in red hurling in an open air stadium.</t>
  </si>
  <si>
    <t>They are part of a team that is playing in the large stadium with several spectators.</t>
  </si>
  <si>
    <t>The video is demonstrating how to catch the ball and scoop it up with the stick.</t>
  </si>
  <si>
    <t>It also demonstrates how to balance the ball on the stick as the player runs.</t>
  </si>
  <si>
    <t>The players are showing all the steps in the tutorial where the one of the player shoots the ball bravely for a point.</t>
  </si>
  <si>
    <t>There's a player in a blue and white uniform shooting the ball for a point and scoring a goal.</t>
  </si>
  <si>
    <t>v_x2CZHFxoZaM</t>
  </si>
  <si>
    <t>A man is crossing the finish line of a race.</t>
  </si>
  <si>
    <t>Lots of people are running in a race.</t>
  </si>
  <si>
    <t>People are running down a dirt road.</t>
  </si>
  <si>
    <t>v_EEaLID3z9tM</t>
  </si>
  <si>
    <t>A group of four young girls are standing beside each other in the bathroom and they chug something.</t>
  </si>
  <si>
    <t>They are swishing it in their mouths and almost all of them have their hands over their mouths.</t>
  </si>
  <si>
    <t>One of them spits it out in the sink and the other three are trying to carry on.</t>
  </si>
  <si>
    <t>They are having a really hard time and eventually they all spit out and one girl wins.</t>
  </si>
  <si>
    <t>v_jvQU6RyhY7I</t>
  </si>
  <si>
    <t>A woman has a bandana tied around her eyes.</t>
  </si>
  <si>
    <t>She uses a stick to swing at a pinata.</t>
  </si>
  <si>
    <t>She hits the pinata numerous times.</t>
  </si>
  <si>
    <t>v_TMnmi7WJr_o</t>
  </si>
  <si>
    <t>A man is standing outside a tattoo and piercing parlor.</t>
  </si>
  <si>
    <t>He lies down on a bench while a tattoo artist works on a tattoo on his back.</t>
  </si>
  <si>
    <t>He shows a close up of his work, which says thuglife.</t>
  </si>
  <si>
    <t>The man looks at the work in the mirror.</t>
  </si>
  <si>
    <t>v_MhWIIdVyWVs</t>
  </si>
  <si>
    <t>A martial arts artists performs slow moves with her arms and legs simultaneously.</t>
  </si>
  <si>
    <t>A man speaks to the camera after the woman finishes her martial arts routine.</t>
  </si>
  <si>
    <t>v_O8TIRkB99Lo</t>
  </si>
  <si>
    <t>A man stands in a doorway talking.</t>
  </si>
  <si>
    <t>The man climbs a ladder and adds a piece of wallpaper to the wall.</t>
  </si>
  <si>
    <t>The man uses a tool before turning to speak then smooths it out.</t>
  </si>
  <si>
    <t>The man speaks and uses another tool to cut a piece off then wipes the ceiling.</t>
  </si>
  <si>
    <t>v_5kdiJ2cC5_w</t>
  </si>
  <si>
    <t>A woman stands holding a violin against herself.</t>
  </si>
  <si>
    <t>The woman plays the violin.</t>
  </si>
  <si>
    <t>The woman stops playing the violin.</t>
  </si>
  <si>
    <t>v_jkmbAc9BWaE</t>
  </si>
  <si>
    <t>There's a man in a red shirt and a checked shirt over it, standing in a park.</t>
  </si>
  <si>
    <t>He throws a rubber tire on the ground.</t>
  </si>
  <si>
    <t>He is standing near a park bench with a skateboard in his hand.</t>
  </si>
  <si>
    <t>He is demonstrating how to do stunts on the skateboard by jumping up on the park bench.</t>
  </si>
  <si>
    <t>He repeats the same stunt over and over again.</t>
  </si>
  <si>
    <t>He falls off the skateboard a couple times but is successful most of the time.</t>
  </si>
  <si>
    <t>Then he holds the skateboard in his hand as he talks while pointing to the bench.</t>
  </si>
  <si>
    <t>v_aOrDnKEJAwQ</t>
  </si>
  <si>
    <t>An "eesa" logo is shown on screen.</t>
  </si>
  <si>
    <t>Two men wearing scuba diving gear in an indoor pool talk to the camera.</t>
  </si>
  <si>
    <t>The camera follows one of the men underwater where numerous manmade obstacles are present.</t>
  </si>
  <si>
    <t>Other men dressed like astronauts are underwater with them.</t>
  </si>
  <si>
    <t>The scuba divers wave goodbye and credits roll.</t>
  </si>
  <si>
    <t>v_BPpq8m93LSI</t>
  </si>
  <si>
    <t>We see balls and paddle and a blue table then a man talks and two men playing table tennis.</t>
  </si>
  <si>
    <t>We see an instructional title screen.</t>
  </si>
  <si>
    <t>The man demonstrates hitting a ball and we see him in play hitting the ball.</t>
  </si>
  <si>
    <t>v_sjyZWmvTGA4</t>
  </si>
  <si>
    <t>Several men are blowing leaves in front of a home.</t>
  </si>
  <si>
    <t>One man is going all throughout the yard to blow the leaves.</t>
  </si>
  <si>
    <t>He clears out in front of the home.</t>
  </si>
  <si>
    <t>He also clears out by the shed.</t>
  </si>
  <si>
    <t>Another man is shown wandering through the yard.</t>
  </si>
  <si>
    <t>v_ckzLOLHjP44</t>
  </si>
  <si>
    <t>We see men on a lacrosse field playing a game.</t>
  </si>
  <si>
    <t>A man hits the ball and the men run on the field.</t>
  </si>
  <si>
    <t>We see a man in red run on the screen and walk back.</t>
  </si>
  <si>
    <t>v_smk2WJV1Zmo</t>
  </si>
  <si>
    <t>woman is in a gym doing leg exercise and abs.</t>
  </si>
  <si>
    <t>thw woman is sitting in a terrace talking to the camera.</t>
  </si>
  <si>
    <t>woman is walking in a sidewalk with a white small dog and enters in a house.</t>
  </si>
  <si>
    <t>the woman is again in the terrace talking to the camera.</t>
  </si>
  <si>
    <t>v_xxXspvK4tEY</t>
  </si>
  <si>
    <t>An elderly woman is sitting on the couch with a young girl, showing her how to thread yard onto a knitting hook.</t>
  </si>
  <si>
    <t>The girl smiles and laughs as she figures out how to handle it.</t>
  </si>
  <si>
    <t>v_SwXGVQXyXkQ</t>
  </si>
  <si>
    <t>A man sits in a barber chair.</t>
  </si>
  <si>
    <t>The barber begins to shave his head.</t>
  </si>
  <si>
    <t>He shaves stars into his head.</t>
  </si>
  <si>
    <t>The design is intricately done.</t>
  </si>
  <si>
    <t>v_S2jbh7QMrKc</t>
  </si>
  <si>
    <t>People surf in the choppy waters of the ocean while a cat sits on a rock.</t>
  </si>
  <si>
    <t>One person surfs on a big wave going to the right, while other surfer gets in a wave to surf and falls but get on the surfboard again.</t>
  </si>
  <si>
    <t>A man surfs on a wave going to the left while other people surfs in the ocean.</t>
  </si>
  <si>
    <t>Suddenly, a man appears rowing a canoe.</t>
  </si>
  <si>
    <t>v_legHHtPK5fA</t>
  </si>
  <si>
    <t>A group of men are standing in a row.</t>
  </si>
  <si>
    <t>They are throwing darts at targets.</t>
  </si>
  <si>
    <t>The people converse as they try to hit their targets.</t>
  </si>
  <si>
    <t>v_QV2QXt6eDdI</t>
  </si>
  <si>
    <t>A young child is seen washing various dishes in a sink while wearing gloves and running them under water.</t>
  </si>
  <si>
    <t>The boy continues to stick a bowl under the water while the camera pans around his movements.</t>
  </si>
  <si>
    <t>v_0_BvBpwDMpU</t>
  </si>
  <si>
    <t>A gymnast is seen raising his arm in the air and climbing on top a gymnastics beam.</t>
  </si>
  <si>
    <t>He spins himself around performing various tricks on the beam and finishes by jumping down and smiling to the applauding audience.</t>
  </si>
  <si>
    <t>v_PmyAt4zuLRY</t>
  </si>
  <si>
    <t>a woman wearing butterflies wings costume playing beerpong.</t>
  </si>
  <si>
    <t>a woman is wearing a catty costume is standing behind the table.</t>
  </si>
  <si>
    <t>woman is sitting in front of the table and dance when the woman fails the ball.</t>
  </si>
  <si>
    <t>v_E4PIKUW4v0k</t>
  </si>
  <si>
    <t>A man and a woman stand on a street talking on front a window.</t>
  </si>
  <si>
    <t>A person passes on front the man and the woman.</t>
  </si>
  <si>
    <t>People pass on front the woman and the man.</t>
  </si>
  <si>
    <t>v_F8pv5rFrEm4</t>
  </si>
  <si>
    <t>We see gymnasts in a gym on each other shoulders.</t>
  </si>
  <si>
    <t>They then begin an aerobic dance.</t>
  </si>
  <si>
    <t>The people walk to their steps and step on them.</t>
  </si>
  <si>
    <t>The people moves the steps to the center of the room.</t>
  </si>
  <si>
    <t>A lady does a split on the floor and they finish.</t>
  </si>
  <si>
    <t>The ending title appears on the screen.</t>
  </si>
  <si>
    <t>v_FzdLe1mjk7c</t>
  </si>
  <si>
    <t>There is a wall of paintings then the scene fades out.</t>
  </si>
  <si>
    <t>People are standing on a balcony over looking a soccer event and the screen says Wuzler Cup Finale.</t>
  </si>
  <si>
    <t>Two rows of people are playing table soccer.</t>
  </si>
  <si>
    <t>The ball jumped off the table and a woman put it back into play and a goal was made.</t>
  </si>
  <si>
    <t>There are cheerleaders for this event.</t>
  </si>
  <si>
    <t>The red team won and are showing off their tshirts.</t>
  </si>
  <si>
    <t>The scene changes to a reported behind a desk.</t>
  </si>
  <si>
    <t>v_PxEu0AAH9LI</t>
  </si>
  <si>
    <t>A group of women wearing blue dresses are dancing on a stage in sync they dropped to the ground and the screen fades to black.</t>
  </si>
  <si>
    <t>A woman alone then appears on the stage with white words on the bottom left that say "BALLET D'ORIENT",and a special effect background and she begins to belly dance, then other women join her.</t>
  </si>
  <si>
    <t>The spotlight fades as the routine ends and the screen fades to black.</t>
  </si>
  <si>
    <t>v_f0lxilPpXeM</t>
  </si>
  <si>
    <t>A man and woman are sitting behind a desk talking.</t>
  </si>
  <si>
    <t>A doctor is performing surgery in a room.</t>
  </si>
  <si>
    <t>A woman in a red shirt is standing at a counter talking.</t>
  </si>
  <si>
    <t>A woman wipes her mouth with a napkin.</t>
  </si>
  <si>
    <t>v_YeNlYRWhFzE</t>
  </si>
  <si>
    <t>An intro leads into several shots of a man riding a large wave of a surf board from various angles.</t>
  </si>
  <si>
    <t>One man is then interviewed by the cameraman and is shown again riding large waves in the ocean.</t>
  </si>
  <si>
    <t>Another man is interviewed by the camera and shows off his surfing skills on his board.</t>
  </si>
  <si>
    <t>v_k8ZXFB6xqZs</t>
  </si>
  <si>
    <t>A man is outside in a tennis court talking while he is holding a tennis racket.</t>
  </si>
  <si>
    <t>He goes on the court and with the racket and a ball from his pocket and hits it.</t>
  </si>
  <si>
    <t>He gives some very detailed information a for a while, tennis seems to be something he knows about very well.</t>
  </si>
  <si>
    <t>He shows how you should hit the ball properly and goes on talking some more.</t>
  </si>
  <si>
    <t>v_tkHJgKq3jTs</t>
  </si>
  <si>
    <t>woman is in an offece talking to a men that are decorating a christmas tree.</t>
  </si>
  <si>
    <t>man talks to the one who was standing by the tree and gives him a barbie.</t>
  </si>
  <si>
    <t>man walks to a woman and start talking in te corner of the room.</t>
  </si>
  <si>
    <t>man is holding a ball next to the christmas tree putting the balls.</t>
  </si>
  <si>
    <t>v_0IN40z63WAU</t>
  </si>
  <si>
    <t>A man is shown working out on several different pieces of exercise equipment as well as adjusting the settings.</t>
  </si>
  <si>
    <t>The man puts in a USB and continues to ride around on the machines.</t>
  </si>
  <si>
    <t>He adjusts more settings as well as watches tv when he works out and close ups of his feet and body shown.</t>
  </si>
  <si>
    <t>v_bWquUXC2Te8</t>
  </si>
  <si>
    <t>A man is seen looking to the camera wile holding a razor.</t>
  </si>
  <si>
    <t>He begins shaving his face while looking into the mirror.</t>
  </si>
  <si>
    <t>He points to the razor and continues shaving his face and looking to the camera.</t>
  </si>
  <si>
    <t>v_GSXP6BYeS-o</t>
  </si>
  <si>
    <t>1 A guy shows the tools to clip his cats nails.</t>
  </si>
  <si>
    <t>2 The guy wraps up the cat.</t>
  </si>
  <si>
    <t>3 The Guy cut the cats nails and the cat tries to bite him a few times.</t>
  </si>
  <si>
    <t>4 The guy lets the cat go.</t>
  </si>
  <si>
    <t>v_etqiXPKlthk</t>
  </si>
  <si>
    <t>A young man drinks six bottles of beer while a person stand on front him holding a chronometer.</t>
  </si>
  <si>
    <t>Then, the young man spits beer on the person who fall on the ground.</t>
  </si>
  <si>
    <t>After, the person stand sand take off his pants and t-shirt, then he crowls on the grass.</t>
  </si>
  <si>
    <t>v_l0aksT_7wKo</t>
  </si>
  <si>
    <t>A man is seen laying on the floor while speaking out loud and crossing his arms overs his chest.</t>
  </si>
  <si>
    <t>The man then does several crunches in various ways and ends by speaking to the camera.</t>
  </si>
  <si>
    <t>v_VcyO9tZ3NkY</t>
  </si>
  <si>
    <t>A roof is repaired by PVC.</t>
  </si>
  <si>
    <t>The roof is cleaned and the seal is made again.</t>
  </si>
  <si>
    <t>v_Q7R3ajucvyE</t>
  </si>
  <si>
    <t>The boy holds open his eyelids and places in a contact lens.</t>
  </si>
  <si>
    <t>The man tilts back his head and closes his eyes to adjust the contact lens.</t>
  </si>
  <si>
    <t>The man rubs his eyes then opens them wide to show the contacts.</t>
  </si>
  <si>
    <t>v_nDGhaYCgRiI</t>
  </si>
  <si>
    <t>people is in a gym doing exercise some push ups and stretching.</t>
  </si>
  <si>
    <t>men start settle the gym and bring some mats and strings to ge gym.</t>
  </si>
  <si>
    <t>people are balancing on the srings on the gym and jumping in the elastic bed in gym class.</t>
  </si>
  <si>
    <t>men and women are balancing on th string and doing tricks making jumps.</t>
  </si>
  <si>
    <t>v_PKdQIdYuXo8</t>
  </si>
  <si>
    <t>man is standing holding an harmonica while is playing the guitar and its reading the music sheet.</t>
  </si>
  <si>
    <t>man is teaching how to play the harmonica in the key of A and its talking and playing the guitar.</t>
  </si>
  <si>
    <t>v_ha40KZvmcEo</t>
  </si>
  <si>
    <t>Several clips are shown of people riding in water on kayaks.</t>
  </si>
  <si>
    <t>The people perform flips in the water while text is shown.</t>
  </si>
  <si>
    <t>More clips are shown of people riding in the water and doing flips in the kayaks.</t>
  </si>
  <si>
    <t>v_YApgx2YL9wM</t>
  </si>
  <si>
    <t>A firefighter is shown walking on a tight rope in his gear very slowly.</t>
  </si>
  <si>
    <t>He moves along the rope towards the end and walks back to the start until he fails.</t>
  </si>
  <si>
    <t>v_7vXt9RxeXWY</t>
  </si>
  <si>
    <t>A man is standing up behind him talking.</t>
  </si>
  <si>
    <t>The man on the mat has a brown belt around his waist.</t>
  </si>
  <si>
    <t>v_16Mq9vM7Nck</t>
  </si>
  <si>
    <t>Two people are seen walking out of a building and leads into them playing crochet with one another.</t>
  </si>
  <si>
    <t>The men continue hitting the ball around the yard while speaking to one another and measuring out the ball.</t>
  </si>
  <si>
    <t>The men continue playing and one holding out his arm and end by walking away.</t>
  </si>
  <si>
    <t>v_78je-JBAqxQ</t>
  </si>
  <si>
    <t>A man is blowing a whislet in front of a room filled with people.</t>
  </si>
  <si>
    <t>They are playing beer pong with several red solo cups, drinking in between plays.</t>
  </si>
  <si>
    <t>A blonde woman watches as a man wins the game, hugging the woman next to him.</t>
  </si>
  <si>
    <t>v_w5J3Gt5WLwU</t>
  </si>
  <si>
    <t>A water polo match is shown and a person scores goals.</t>
  </si>
  <si>
    <t>This is a recruiting video.</t>
  </si>
  <si>
    <t>v_HCraAphAW1A</t>
  </si>
  <si>
    <t>A person in a black t-shirt clips the nails on the front paws of a brown and tan speckled cat.</t>
  </si>
  <si>
    <t>A brown and tan speckled cat is lying on a white cushion when a person walks in holding a pair of red handled nail clippers.</t>
  </si>
  <si>
    <t>The person cuts the forepaws of the cat as the cat watches on.</t>
  </si>
  <si>
    <t>The person finishes cutting the cat's nails and pets the cats head and shows the clippers close to the camera before walking away.</t>
  </si>
  <si>
    <t>v_f0Z-qud2N74</t>
  </si>
  <si>
    <t>Two boys are wrestling in a bedroom.</t>
  </si>
  <si>
    <t>One boy is picked up and thrown on the bed.</t>
  </si>
  <si>
    <t>The boy turns off the camera.</t>
  </si>
  <si>
    <t>v_rrXdhD3WDy4</t>
  </si>
  <si>
    <t>A piercing artist inserts a bar into a woman's nipple.</t>
  </si>
  <si>
    <t>The man screws on hardware to the end of the piercing.</t>
  </si>
  <si>
    <t>The woman wearing a costume sits up and shows her new piercings.</t>
  </si>
  <si>
    <t>v_Sn8IRyUFNac</t>
  </si>
  <si>
    <t>A woman smoking a cigarette speaks to another about how much they need smoking.</t>
  </si>
  <si>
    <t>They continue talking about their smoking habit and what they can do to continue smoking if they please.</t>
  </si>
  <si>
    <t>v_aVDyPmUgHU0</t>
  </si>
  <si>
    <t>A man comes onto the screen to introduce a video about him trimming trees.</t>
  </si>
  <si>
    <t>He picks up a trimming saw and starts the engine.</t>
  </si>
  <si>
    <t>He climbs the ladder and begins trimming the tree.</t>
  </si>
  <si>
    <t>He looks back to the camera and smiles.</t>
  </si>
  <si>
    <t>v_FYv-2ehoGWo</t>
  </si>
  <si>
    <t>A blonde woman wearing a dress has two, side by side shots of her playing a violin.</t>
  </si>
  <si>
    <t>She plays two different melodies on the violin and finishes together at the same time, smiling at the camera.</t>
  </si>
  <si>
    <t>v_UIZN2F8pjzE</t>
  </si>
  <si>
    <t>A man is standing outside in the dark smoking a cigarette in front of a green garage.</t>
  </si>
  <si>
    <t>After,an image of a lung is shown and shows how cigarettes affect your organs.</t>
  </si>
  <si>
    <t>v_KKbfCtmIE0o</t>
  </si>
  <si>
    <t>A woman demonstrates how to do Tai Chi outside on the grass.</t>
  </si>
  <si>
    <t>The same woman demonstrates Tai Chi indoors on a stage.</t>
  </si>
  <si>
    <t>A second woman joins the first woman to help demonstrate.</t>
  </si>
  <si>
    <t>v_VeU_EBE-YPE</t>
  </si>
  <si>
    <t>There are several Seagull brand acoustic guitars are shown displayed in a store.</t>
  </si>
  <si>
    <t>A man dressed in black, seated on a stool is playing the acoustic guitar in the store where the guitars are displayed.</t>
  </si>
  <si>
    <t>The man continues playing the guitar.</t>
  </si>
  <si>
    <t>v_4CTczKzaPa4</t>
  </si>
  <si>
    <t>Several men stand around a pinata.</t>
  </si>
  <si>
    <t>A man spins a blindfolded man around.</t>
  </si>
  <si>
    <t>The blindfolded man takes a few swings at the pinata.</t>
  </si>
  <si>
    <t>A woman in red shirt laughs.</t>
  </si>
  <si>
    <t>v_DDZFQKi1v2U</t>
  </si>
  <si>
    <t>A woman is seen laying on the couch with another girl sitting above her.</t>
  </si>
  <si>
    <t>The girl is then shown piercing the nipple of the girl laying down.</t>
  </si>
  <si>
    <t>She finishes the piercing and ends by smiling to the camera.</t>
  </si>
  <si>
    <t>v_7c5vvEn3uLk</t>
  </si>
  <si>
    <t>A cowboy is riding on a horse in a large arena and is swinging his rope.</t>
  </si>
  <si>
    <t>The view changes to show a group of men with their horses and they're each holding onto their ropes and doing various things with them like tying and swinging them.</t>
  </si>
  <si>
    <t>The focus switches to a man talking whose name is Trevor Brazile and it flashes from him talking and then to clips of him riding his horse in different arenas as he is also wrangling a small calf.</t>
  </si>
  <si>
    <t>Another man by the name of Stran Smith is now talking and clips of him riding his horse in different arenas as he wrangles a calf also plays.</t>
  </si>
  <si>
    <t>Clips of both of men talking and clips of them riding horses and wrangling calves play and rotate between the two of them.</t>
  </si>
  <si>
    <t>The outro video begins and it shows a hanging banner at the arena that reads "CALGARY STAMPEDE", a woman riding a horse and holding a red flag that say's "1912-2012 Calgary Stampede",and a calf is running across a dirt field.</t>
  </si>
  <si>
    <t>v_hS4L3PMfYqA</t>
  </si>
  <si>
    <t>A person sings on front a crowd dressed on hip hop clothes.</t>
  </si>
  <si>
    <t>A man dance hip hop doing acrobatics moves with his hands and legs on the floor on front a crowd.</t>
  </si>
  <si>
    <t>People takes pictures and film the man who are behind the man.</t>
  </si>
  <si>
    <t>v_-5xWaBSwnjY</t>
  </si>
  <si>
    <t>woman is in a large green field holding a yellow frisbee and playing with a dog.</t>
  </si>
  <si>
    <t>a lot of acrs are parked in the street behind the alrge field.</t>
  </si>
  <si>
    <t>woman is throwing the frisbee to the dog.</t>
  </si>
  <si>
    <t>v_DxNIzbD6uD4</t>
  </si>
  <si>
    <t>A woman is seen speaking to the camera in front of a large exercise bar and begins standing on the equipment while speaking and using her hands.</t>
  </si>
  <si>
    <t>The woman continues to demonstrate how to properly execute the exercises while moving her arms and legs back and fourth.</t>
  </si>
  <si>
    <t>v_S4ppfXBp5o0</t>
  </si>
  <si>
    <t>There are three body builders exercising and working out in a small gym with weightlifting equipment.</t>
  </si>
  <si>
    <t>One of the body builders lifts the weight bar several times and then drops it down while the other two body builders watch him.</t>
  </si>
  <si>
    <t>Then he goes and wipes off his sweat with a towel and lifts the weight bar again and drops it.</t>
  </si>
  <si>
    <t>He then wears an abdominal belt and lifts the weight bar again and drops it.</t>
  </si>
  <si>
    <t>He struggles to lift the weight bar, lifts it slightly and then drops it down.</t>
  </si>
  <si>
    <t>v_Hujj6Q1Et3k</t>
  </si>
  <si>
    <t>A man wearing headphones stands behind a pair of large drums.</t>
  </si>
  <si>
    <t>The man plays drums with his palms.</t>
  </si>
  <si>
    <t>The man ceases playing the drums and turns away.</t>
  </si>
  <si>
    <t>v_Mcutz37Bowg</t>
  </si>
  <si>
    <t>A man lays out a scarf and puts some accessories in the middle of it.</t>
  </si>
  <si>
    <t>He ties the end and folds it into double knots.</t>
  </si>
  <si>
    <t>He opens it again and puts something else into the middle of it.</t>
  </si>
  <si>
    <t>Then pulls it together and it closes, he made a little bag out of a scarf.</t>
  </si>
  <si>
    <t>v_Lbdp-HCjWw8</t>
  </si>
  <si>
    <t>An introduction comes onto the screen for a video about how to play squash.</t>
  </si>
  <si>
    <t>Two men are shown on a squash court playing a game of squash.</t>
  </si>
  <si>
    <t>Text shows up on the screen showing the things you will need for the game.</t>
  </si>
  <si>
    <t>An indication shows on the screen letting you know the different lines.</t>
  </si>
  <si>
    <t>Tips for the game also show up on the screen.</t>
  </si>
  <si>
    <t>At the end of the video a text box shows up with a fun fact about squash.</t>
  </si>
  <si>
    <t>v_Vvco5y9PUFM</t>
  </si>
  <si>
    <t>A man cross a parking lot bouncing with bouncing shoes.</t>
  </si>
  <si>
    <t>There are car in the paring lot.</t>
  </si>
  <si>
    <t>v_YpXe04ALJw4</t>
  </si>
  <si>
    <t>Several people are outdoors enjoying the beach.</t>
  </si>
  <si>
    <t>In the middle of the sand however,there are a group of men playing a game of beach volley ball.</t>
  </si>
  <si>
    <t>After several hits,one man decides to kick the ball over the net and another man takes off running from the other side and tackles him in the dirt.</t>
  </si>
  <si>
    <t>v_dtT0BzjTStw</t>
  </si>
  <si>
    <t>A coach gives instructions to boys in a basketball court.</t>
  </si>
  <si>
    <t>Then, two young men demonstrate the boys how to pass and shoot the ball in the basket.</t>
  </si>
  <si>
    <t>After, the young man helps the boys throw the ball in the basket, while by two run passing the ball to shoot in a basket.</t>
  </si>
  <si>
    <t>Then, the boys practice basketball defense taking turns while running to the other side of the court.</t>
  </si>
  <si>
    <t>v_5t_hQVg9NsE</t>
  </si>
  <si>
    <t>Old clips are shown of a man drawing a picture and two children watching.</t>
  </si>
  <si>
    <t>The kids are then shown in several clips performing dives off a board and walk along the sides climbing back to the top.</t>
  </si>
  <si>
    <t>v_P14X14uarj0</t>
  </si>
  <si>
    <t>A person is seen passing a basketball all around a court to others and ending by shooting a basket.</t>
  </si>
  <si>
    <t>The group continues to pass the ball around to one another performing drills while the coach instructs.</t>
  </si>
  <si>
    <t>v_B0jASjqZl7s</t>
  </si>
  <si>
    <t>A man is seen speaking to the camera and leads of a clip of people riding down a snowy hill on tubes.</t>
  </si>
  <si>
    <t>More people are seen riding down the hill while pointing to one another.</t>
  </si>
  <si>
    <t>The group continues riding down the hill while also stopping to talk to the camera.</t>
  </si>
  <si>
    <t>v_qiw2I1oQIVQ</t>
  </si>
  <si>
    <t>Several black and white photos are being shown of people who played drums.</t>
  </si>
  <si>
    <t>A group of drum players gather, playing in a room.</t>
  </si>
  <si>
    <t>Their playing is interspersed with images of sheet music, then returns to their performance.</t>
  </si>
  <si>
    <t>v_Y5puaQ9oNVw</t>
  </si>
  <si>
    <t>The gymnasts run to and then did cartwheel and thumbling as he go through the end of the mat.</t>
  </si>
  <si>
    <t>The player jumped and cartwheel high.</t>
  </si>
  <si>
    <t>The male gymnast rotate up in the air and then he landed on the end of the mat.</t>
  </si>
  <si>
    <t>v_CBDFNn15G90</t>
  </si>
  <si>
    <t>Several shots are shown of forests that lead into a person gearing up and riding in a kayak.</t>
  </si>
  <si>
    <t>The person paddles themselves along the rough river as well as showing other people riding along.</t>
  </si>
  <si>
    <t>They move past rough waters along the river and end by sitting near one another.</t>
  </si>
  <si>
    <t>v_aJsAuChVmlY</t>
  </si>
  <si>
    <t>A woman is seen inside a bathroom.</t>
  </si>
  <si>
    <t>She is using a dryer to blow dry her hair.</t>
  </si>
  <si>
    <t>She occasionally uses a brush to help speed the process.</t>
  </si>
  <si>
    <t>v_k67UWfSt-iE</t>
  </si>
  <si>
    <t>A small group of people are seen playing a game of volleyball while people watch along the sidelines.</t>
  </si>
  <si>
    <t>The players hit the ball several times over the net as well as chasing after the ball.</t>
  </si>
  <si>
    <t>The continue to play the game while others cheer and high five one another after.</t>
  </si>
  <si>
    <t>v_mJQS2T-IVWc</t>
  </si>
  <si>
    <t>A man in a hard hat walks across a yard to a metal structure.</t>
  </si>
  <si>
    <t>He adjusts a ladder and leans it up against the structure, walks back to look, and adjusts it a couple more times.</t>
  </si>
  <si>
    <t>When satisfied, he tightens a strap, and grabs a second ladder.</t>
  </si>
  <si>
    <t>He climbs up, taking this one with him.</t>
  </si>
  <si>
    <t>v_LLD4SapVrgQ</t>
  </si>
  <si>
    <t>BMX waiting at the gate for the gate to come down and the race to begin.</t>
  </si>
  <si>
    <t>They take off on the track going really fast through it really fast.</t>
  </si>
  <si>
    <t>Florida has several locations for BMXing if you love to do it and don't know where to go, they have 1500 licensed riders and 30 sponsored teams.</t>
  </si>
  <si>
    <t>They even have some bikes for mini riders that want to be like their daddy's.</t>
  </si>
  <si>
    <t>v_TJFl99tLNWk</t>
  </si>
  <si>
    <t>Different shades of nail polish bottles are seen.</t>
  </si>
  <si>
    <t>Pieces of taper are wrapped around the tips of fingers around the nails.</t>
  </si>
  <si>
    <t>Different shades of nail polish are applied to a foam pad then dabbed on the finger nails.</t>
  </si>
  <si>
    <t>A clear coating is coating is applied onto the nails.</t>
  </si>
  <si>
    <t>The tape is removed and the edges are cleaned up with nail polish remover solution.</t>
  </si>
  <si>
    <t>v_5zPTTiJiXUY</t>
  </si>
  <si>
    <t>A woman is sitting in a car barefoot, trying to drive.</t>
  </si>
  <si>
    <t>She lights a cigarette as she drives.</t>
  </si>
  <si>
    <t>v_mQCFphhDFw8</t>
  </si>
  <si>
    <t>A man in yellow shirt and black tights, walked towards the bike, bend over and unscrew the screw.</t>
  </si>
  <si>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t>
  </si>
  <si>
    <t>The person screw the wheel back to the bike.</t>
  </si>
  <si>
    <t>v_WWip1_lFvGg</t>
  </si>
  <si>
    <t>A person holds their eye open.</t>
  </si>
  <si>
    <t>They put a contact lens in the eye.</t>
  </si>
  <si>
    <t>They then take the contact lens out of their eye.</t>
  </si>
  <si>
    <t>v_c4GQ3WTOeAA</t>
  </si>
  <si>
    <t>A small child is seen sitting on a coach opening a present.</t>
  </si>
  <si>
    <t>The camera pans all around her while she opens the present and smiles to the camera.</t>
  </si>
  <si>
    <t>She continues to try to open the box while looking and smiling.</t>
  </si>
  <si>
    <t>v_k_z03d9w_Mk</t>
  </si>
  <si>
    <t>A woman and man wearing matching green color dance on stage during a performance.</t>
  </si>
  <si>
    <t>The man spins his partner during the dance.</t>
  </si>
  <si>
    <t>The dancers kick up there feet while dancing.</t>
  </si>
  <si>
    <t>v_qknJO39WUGk</t>
  </si>
  <si>
    <t>A boy talks to the camera.</t>
  </si>
  <si>
    <t>The boy scrubs a metal sink with a brush.</t>
  </si>
  <si>
    <t>The boy switches his grip on the brush.</t>
  </si>
  <si>
    <t>v_aaMrQi25WHc</t>
  </si>
  <si>
    <t>Three people sit on front the ocean.</t>
  </si>
  <si>
    <t>A man surfs on a small wave, then fly in the air and lands on the shore.</t>
  </si>
  <si>
    <t>A person takes picture to the surfer.</t>
  </si>
  <si>
    <t>The man continues surfing, spinning and jumping, after he takes his surfboard and walks on the beach.</t>
  </si>
  <si>
    <t>A surfer turn over in a wave.</t>
  </si>
  <si>
    <t>v_8K_gkiWH5EI</t>
  </si>
  <si>
    <t>A surfer is standing in the ocean current.</t>
  </si>
  <si>
    <t>A couple of other surfers join him as they surf into the waves.</t>
  </si>
  <si>
    <t>They rides the waves to the shore together.</t>
  </si>
  <si>
    <t>v_kIIAJsYMjyc</t>
  </si>
  <si>
    <t>A man is seen sitting on the floor and jumping to a standing position.</t>
  </si>
  <si>
    <t>he then goes back in to a kneeling position and jumps to his feet again.</t>
  </si>
  <si>
    <t>The same man does this two more times.</t>
  </si>
  <si>
    <t>v_MRt7pz2OY5M</t>
  </si>
  <si>
    <t>A black intro screen appears and it has the words SUPER WASH in the middle.</t>
  </si>
  <si>
    <t>A red car and a car behind it is at a car wash and both of them are being worked on by two sets of people at each car.</t>
  </si>
  <si>
    <t>Now there are 3 cars visible and the same men are working on washing the red car while another man starts working on the 3rd car that's to the side of the red car and all the cars continue to get washed.</t>
  </si>
  <si>
    <t>The red car is parked outside of the building and it's clean, dry and very shiny.</t>
  </si>
  <si>
    <t>v_i69NhEDno_M</t>
  </si>
  <si>
    <t>People are driving a car down a street.</t>
  </si>
  <si>
    <t>They are paddling in a boat down a river.</t>
  </si>
  <si>
    <t>A man is standing in the water holding an oar.</t>
  </si>
  <si>
    <t>v_rwUlqI6HWyY</t>
  </si>
  <si>
    <t>A chef in a white chef’s uniform stands in an empty commercial kitchen and demonstrates how to make an omelette.</t>
  </si>
  <si>
    <t>A chef stands in a kitchen talks to the camera before taking an egg and pouring it into a mini black skillet.</t>
  </si>
  <si>
    <t>The chef maneuvers the egg over the stove with a fork gently prodding it.</t>
  </si>
  <si>
    <t>The chef then fold the egg in half in the skillet and plates it on a white plate before turning to the camera and talking again.</t>
  </si>
  <si>
    <t>v_RWTLd_0BeAg</t>
  </si>
  <si>
    <t>Two girls are dancing and twirling batons on a gym floor.</t>
  </si>
  <si>
    <t>One of the girls leaves and the other girl continues dancing alone.</t>
  </si>
  <si>
    <t>She starts throwing the batons in the air.</t>
  </si>
  <si>
    <t>The second girl joins her again and they finish dancing.</t>
  </si>
  <si>
    <t>v_b2YyPJ02NNQ</t>
  </si>
  <si>
    <t>We see a babies and kids playing.</t>
  </si>
  <si>
    <t>Kids walk on silts in circles.</t>
  </si>
  <si>
    <t>The kids walk in lines on their stilts.</t>
  </si>
  <si>
    <t>A man helps a girl walk on slits.</t>
  </si>
  <si>
    <t>A kid on stilts falls to their knees.</t>
  </si>
  <si>
    <t>Kids walk in a circle on their stilts.</t>
  </si>
  <si>
    <t>I see a closing screen and it fade to black.</t>
  </si>
  <si>
    <t>v_jJNDLjhemaE</t>
  </si>
  <si>
    <t>We see an indoor hockey game.</t>
  </si>
  <si>
    <t>The goalie blocks a shot and a handful of players fight over the puck.</t>
  </si>
  <si>
    <t>The puck hits the referee and knocks him over.</t>
  </si>
  <si>
    <t>The goalie blocks a shot.</t>
  </si>
  <si>
    <t>v_BahcBS2r0es</t>
  </si>
  <si>
    <t>Several children sit along a pool.</t>
  </si>
  <si>
    <t>They are all wearing flippers.</t>
  </si>
  <si>
    <t>A girl is underwater wearing scuba gear.</t>
  </si>
  <si>
    <t>Several children practice wearing scuba gear.</t>
  </si>
  <si>
    <t>v_j-FGgYaQVio</t>
  </si>
  <si>
    <t>A woman in an office is holding a pair of grooming clippers while standing next to a black dog who is standing on a table next to her while tethered to a metal pole on the table.</t>
  </si>
  <si>
    <t>The woman begins to groom the dogs face with the clippers.</t>
  </si>
  <si>
    <t>The woman then begins to groom under the dogs front legs.</t>
  </si>
  <si>
    <t>Finally, the woman grooms the dogs back legs and tail before a blue and white advertising sign populates.</t>
  </si>
  <si>
    <t>v_WJ4tCIdAgVo</t>
  </si>
  <si>
    <t>A girl is tying a blind fold around another while several children on look and an adult holds the girl in place.</t>
  </si>
  <si>
    <t>The girl is then handed a bat and attempts to break open a pinata.</t>
  </si>
  <si>
    <t>The girl succeeds in breaking the pinata and the children get very excited.</t>
  </si>
  <si>
    <t>v_MDdCBN1o2sE</t>
  </si>
  <si>
    <t>A camera pans all around the sky and shows a close up of a kite.</t>
  </si>
  <si>
    <t>A person is seen standing on the ground and pans back to the kite.</t>
  </si>
  <si>
    <t>The kite continues to move in the air while a person continue flying it.</t>
  </si>
  <si>
    <t>v_fZ729TTJq8g</t>
  </si>
  <si>
    <t>We see a bike tire and a man interviews BMX bike riders.</t>
  </si>
  <si>
    <t>We see the riders names and countries.</t>
  </si>
  <si>
    <t>The men wait then take off riding around the track.</t>
  </si>
  <si>
    <t>A man falls off his bike and the bike slides.</t>
  </si>
  <si>
    <t>Another man falls off his bike and is almost run over.</t>
  </si>
  <si>
    <t>The man interviews two men after the race and the screen goes green.</t>
  </si>
  <si>
    <t>v_zEyFuCsJh3Y</t>
  </si>
  <si>
    <t>People are working out on cycle bikes in a gym.</t>
  </si>
  <si>
    <t>A woman in the front stands up and pedals on the bike.</t>
  </si>
  <si>
    <t>A banner hanging on the wall is shown.</t>
  </si>
  <si>
    <t>v_3nvVkcxxaJ4</t>
  </si>
  <si>
    <t>A man in black is sitting and playing at a piano while a man in red is standing near drums.</t>
  </si>
  <si>
    <t>As the man in black plays, the man in red is rolling up a wire.</t>
  </si>
  <si>
    <t>The man in red begins bobbing his head to the beat of the piano music.</t>
  </si>
  <si>
    <t>The man then places the wire down.</t>
  </si>
  <si>
    <t>v_N6vpa6BarX4</t>
  </si>
  <si>
    <t>A boat is seen riding along the water with people sitting on the sides and watching.</t>
  </si>
  <si>
    <t>A young boy is then seen swimming underwater that leads into people riding the boat and driving around a city.</t>
  </si>
  <si>
    <t>The camera continues to pan around the city as well as the nightlife.</t>
  </si>
  <si>
    <t>v_ujWG6rjlN3s</t>
  </si>
  <si>
    <t>woman are practicing jumps in a cheerlading team.</t>
  </si>
  <si>
    <t>woman is laying down in a bed and a man is assisting her.</t>
  </si>
  <si>
    <t>v_0gkxTQGR6zI</t>
  </si>
  <si>
    <t>There are two people dressed in red shirts and blue shorts playing ping pong in a large stadium with lots of spectators watching them.</t>
  </si>
  <si>
    <t>The players play a long round of ping pong as they continue to maintain a great rally.</t>
  </si>
  <si>
    <t>The player on the right slices the ball across the ping pong table as he returns the ball to his opponent.</t>
  </si>
  <si>
    <t>The opponent manages to return the ball without missing it.</t>
  </si>
  <si>
    <t>They continue to play a great rally as one of the players literally jumps on the ping pong table to return the ball.</t>
  </si>
  <si>
    <t>The other player falls down on the ground trying to hit the ball back to his opponent.</t>
  </si>
  <si>
    <t>v_Va3NsrY1DJ8</t>
  </si>
  <si>
    <t>A man is on a tighrope in the snowy woods.</t>
  </si>
  <si>
    <t>He bounches high into the air, off the rope and back on.</t>
  </si>
  <si>
    <t>He continues this action throughout the video.</t>
  </si>
  <si>
    <t>v_GVn7MSMHXxk</t>
  </si>
  <si>
    <t>A teen boy is running on the beach.</t>
  </si>
  <si>
    <t>A dog is chasing him, trying to catch his frisbee.</t>
  </si>
  <si>
    <t>He throws the frisbee, and the dog jumps into the air to catch it.</t>
  </si>
  <si>
    <t>v__0sDAdyMtnk</t>
  </si>
  <si>
    <t>We see a man conducting an orchestra.</t>
  </si>
  <si>
    <t>We see a lady in a blue dress is playing in front of the other players.</t>
  </si>
  <si>
    <t>We see the lady from the back, and we see the other players.</t>
  </si>
  <si>
    <t>We see a shot of the whole orchestra.</t>
  </si>
  <si>
    <t>We see the basoon players playing.</t>
  </si>
  <si>
    <t>We fade to black and the video ends.</t>
  </si>
  <si>
    <t>v_bd3Df5_QMNw</t>
  </si>
  <si>
    <t>A picture of a dog in shown in a tub and leads into hands holding tools and a dog wandering around a tub.</t>
  </si>
  <si>
    <t>The person puts toothpaste onto a brush and brushes the dog's teeth back and fourth.</t>
  </si>
  <si>
    <t>Finally she puts gel in the dog's mouth and the dog is seen sitting on a bed waving to the camera.</t>
  </si>
  <si>
    <t>v_X5_KlfVvi6E</t>
  </si>
  <si>
    <t>Two woman are seen performing on a stage with one playing a flute and the other playing the piano.</t>
  </si>
  <si>
    <t>The women play a song while the camera zooms in on the flute player and them bowing and leaving in the end.</t>
  </si>
  <si>
    <t>v_NtX9Q0QX3sw</t>
  </si>
  <si>
    <t>A man cleans a window using a soft squeegee with detergent while explaining, then the man takes a steel wiper to clean the detergent on the window.</t>
  </si>
  <si>
    <t>Then, the man applies more detergent with the soft squeegee, then clean with the steep wiper.</t>
  </si>
  <si>
    <t>After, the man wash again the window using the soft squeegee and the steel wipe while explaining the procedure.</t>
  </si>
  <si>
    <t>v_TfFVoogTDJY</t>
  </si>
  <si>
    <t>The bikers are biking on the ramp, while on the starting line the group of bikers are in positioned.</t>
  </si>
  <si>
    <t>The small fence was put down the the bikers went bike racing over the big ramps.</t>
  </si>
  <si>
    <t>The spectators are on the side of the tracks.</t>
  </si>
  <si>
    <t>v_a6Wwa7qvlrA</t>
  </si>
  <si>
    <t>A man holds an iron that pass on top a painting.</t>
  </si>
  <si>
    <t>A man snowboard down a hill holding a stick.</t>
  </si>
  <si>
    <t>Snow flying in the air lands on the face of the man, then the man continue snowboarding.</t>
  </si>
  <si>
    <t>After, the man arrives to the ski station.</t>
  </si>
  <si>
    <t>v_cyJAifECfH0</t>
  </si>
  <si>
    <t>A man is seen bending down before a heavy set of weights.</t>
  </si>
  <si>
    <t>The man then bends down and lifts the weights over his head.</t>
  </si>
  <si>
    <t>He continues to hold the weights up and throws them down in the end while walking away.</t>
  </si>
  <si>
    <t>v_2QeU2xYPdWE</t>
  </si>
  <si>
    <t>A woman prepares for a shot put throw swinging her arms on a sporting field.</t>
  </si>
  <si>
    <t>The athlete winds back her shoulders than spins her body throwing a shot put.</t>
  </si>
  <si>
    <t>v_Paus1tL8KjE</t>
  </si>
  <si>
    <t>Several young men board a small powered boat on a very nice and sunny day.</t>
  </si>
  <si>
    <t>The slowly back the boat out to go water skiing.</t>
  </si>
  <si>
    <t>The boat leaves the dock and they're off.</t>
  </si>
  <si>
    <t>After picking up speed on the powered boat, their friends jump off and have a great time.</t>
  </si>
  <si>
    <t>A line of rope is thrown out for them to grab onto and it begins.</t>
  </si>
  <si>
    <t>They pick up speed and a young woman is skiing on the water at a very brisk pace.</t>
  </si>
  <si>
    <t>She goes back and forth and side to side in slow motion.</t>
  </si>
  <si>
    <t>The friends look back to see how she is doing.</t>
  </si>
  <si>
    <t>A young man is shown skiing on the water and is doing a great job.</t>
  </si>
  <si>
    <t>After he is done he lets go of the line and continues to ski on the water, only to fall back.</t>
  </si>
  <si>
    <t>v_kF7p6irju1Q</t>
  </si>
  <si>
    <t>A couple of women are shown inside a gym.</t>
  </si>
  <si>
    <t>One woman talks to the camera while another shows off dance moves.</t>
  </si>
  <si>
    <t>She demonstrates different ballet moves and positions.</t>
  </si>
  <si>
    <t>v_NrKBxbZXXg4</t>
  </si>
  <si>
    <t>People are rafting down a choppy river.</t>
  </si>
  <si>
    <t>A blue raft goes down a high waterfall.</t>
  </si>
  <si>
    <t>v_VkJ03vm8FJk</t>
  </si>
  <si>
    <t>Two men are holding a flute while one blows and the other moves his hands.</t>
  </si>
  <si>
    <t>An orchestra shows behind the men while they continue playing on the same instrument.</t>
  </si>
  <si>
    <t>The men continue playing until the song is finished and take a bow as the band claps.</t>
  </si>
  <si>
    <t>v_eCNng1eGQ_0</t>
  </si>
  <si>
    <t>We see the title screen on a red background.</t>
  </si>
  <si>
    <t>We see women playing lacrosse.</t>
  </si>
  <si>
    <t>We see the players through the net of a goal.</t>
  </si>
  <si>
    <t>We see a lady in pink talking to the camera.</t>
  </si>
  <si>
    <t>We then see a lady in a blue shirt talking.</t>
  </si>
  <si>
    <t>A lady in a backpack talks to the camera.</t>
  </si>
  <si>
    <t>We then see the ending screen and black.</t>
  </si>
  <si>
    <t>v_NAl-SP-92dI</t>
  </si>
  <si>
    <t>A "Monkeysee com" logo appears on screen with the tagline "See how the experts do it.</t>
  </si>
  <si>
    <t>" A young man stands in the foreground speaking while a female cheerleader stands behind him performing routines.</t>
  </si>
  <si>
    <t>The copyright and logo screen appears on a black screen.</t>
  </si>
  <si>
    <t>v_VOxaxr5LPiQ</t>
  </si>
  <si>
    <t>A shop attendant holds up the hula hoop and shows how to grip it.</t>
  </si>
  <si>
    <t>The woman drops the hoop and lets it spin around her body to the ground.</t>
  </si>
  <si>
    <t>The woman drops the hula hoop and lets it spin around her body then catches it.</t>
  </si>
  <si>
    <t>The woman practices swinging the hoop between two legs.</t>
  </si>
  <si>
    <t>The woman catches the spinning hula hoop as it falls between her legs.</t>
  </si>
  <si>
    <t>The woman spins the hoop upwards around her body.</t>
  </si>
  <si>
    <t>v_ck05xSh9-ig</t>
  </si>
  <si>
    <t>A guy is wiping a car tire.</t>
  </si>
  <si>
    <t>A female walks from driver side lightly rubbing a black cloth on the join the guy.</t>
  </si>
  <si>
    <t>The female throws the black cloth on a car directly above the tire the man is cleaning.</t>
  </si>
  <si>
    <t>The man picks up the black cloth, drops the rug on the sidewalk, and uses it to wipe the tire.</t>
  </si>
  <si>
    <t>v_zE1l4avJZaU</t>
  </si>
  <si>
    <t>A person is making a bow out of ribbon.</t>
  </si>
  <si>
    <t>They tie the ribbon onto a wrapped package.</t>
  </si>
  <si>
    <t>They tape the bow they made onto the package.</t>
  </si>
  <si>
    <t>v_y3Ll1puxM8c</t>
  </si>
  <si>
    <t>A black screen appears and the white words read "Nevena &amp; Goran Rodry-Go! El Mambo del Tra".</t>
  </si>
  <si>
    <t>A man and woman appear outdoors on a concrete brick deck and they begin dancing a routine in unison that include arm movements, steps, spins and various other dance moves.</t>
  </si>
  <si>
    <t>They stop dancing and the woman walks closer to the camera and sings to it while the man behind her dances along.</t>
  </si>
  <si>
    <t>She stops singing and they both laugh and walk away.</t>
  </si>
  <si>
    <t>v_wxoe1M2L4Qo</t>
  </si>
  <si>
    <t>A camera records a shop with two people standing inside, eventually leading over to a group of people standing by docks.</t>
  </si>
  <si>
    <t>A man walks down the docks while another holds a bucket and the camera pans to a woman talking.</t>
  </si>
  <si>
    <t>The woman puts on a vest and goggles and walks down into a boat.</t>
  </si>
  <si>
    <t>She talks to the camera while adjusting her goggles and is led over to the water wearing a tank.</t>
  </si>
  <si>
    <t>She hops in the water with the man and climbs back into the boat talking to the camera.</t>
  </si>
  <si>
    <t>v_Z8yNbpjUSLc</t>
  </si>
  <si>
    <t>A woman is in a kitchen talking about how to make lemonde.</t>
  </si>
  <si>
    <t>She presents various ingredients that you need to have.</t>
  </si>
  <si>
    <t>She blends all the juices together into a grinder to make a mixture.</t>
  </si>
  <si>
    <t>She then pours the mixture into a glass and drinks the juice.</t>
  </si>
  <si>
    <t>v_3zT7x5jZEfI</t>
  </si>
  <si>
    <t>Several shots of an audience cheering are shown as well as many clips of impressive sports events happening.</t>
  </si>
  <si>
    <t>People hit volleyballs back and fourth to one another while also showing clips of the people celebrating with their team mates.</t>
  </si>
  <si>
    <t>v_DXG4djsPk7s</t>
  </si>
  <si>
    <t>A person is wind surfing out on a lake.</t>
  </si>
  <si>
    <t>Other windsurfers pass behind him.</t>
  </si>
  <si>
    <t>v_lrxLP-R_ILw</t>
  </si>
  <si>
    <t>A girl does a tutorial on how to pack a bag.</t>
  </si>
  <si>
    <t>She then gives ballerina tips, especially on how to treat one's feet right.</t>
  </si>
  <si>
    <t>v_LFbW1KVHT8s</t>
  </si>
  <si>
    <t>a elder man is on water standing on a jet ski.</t>
  </si>
  <si>
    <t>The man begins to jet ski.</t>
  </si>
  <si>
    <t>The man takes on hand off of the handle.</t>
  </si>
  <si>
    <t>The man places both hands back on the handle and jet skis.</t>
  </si>
  <si>
    <t>v_gjyT6Rt985k</t>
  </si>
  <si>
    <t>A man walking very slowly toward a woman as she walks slowly towards him.</t>
  </si>
  <si>
    <t>They meet up and begin their dance, it is very intense and very well done, they work very well together,when they are done they bow and high five each other while the audience cheers for them.</t>
  </si>
  <si>
    <t>Then one of the judges stands up and speaks to them, causing them to smile and be more ecstatic.</t>
  </si>
  <si>
    <t>Another female judge critics them and the woman dancer runs up and hugs them, then the final judge tells them what he thinks of their performance.</t>
  </si>
  <si>
    <t>v_7PSicg5Q2ZI</t>
  </si>
  <si>
    <t>A woman in a green shirt stands in a kitchen.</t>
  </si>
  <si>
    <t>She stands in front of several ingredients.</t>
  </si>
  <si>
    <t>She cuts a lemon in half.</t>
  </si>
  <si>
    <t>She laughs a lot throughout the video.</t>
  </si>
  <si>
    <t>v_ze4292jVUcQ</t>
  </si>
  <si>
    <t>A group of people in swim caps are playing volleyball in an outdoor pool, surrounded by a spattering of onlookers, and an upright digital scoreboard.</t>
  </si>
  <si>
    <t>A yellow ball flies into the right side of the pool and the people in the pool swim and move it to the left side of the pool, while a man in all white tracks them from the side of the pool on a raised cement border.</t>
  </si>
  <si>
    <t>A person in the front spikes the yellow ball against a blue goal and past a goal blocker in the pool.</t>
  </si>
  <si>
    <t>A person on the far left of the pool throws the ball into the right side of the pool where all of the players swim to follow it.</t>
  </si>
  <si>
    <t>v_A7PBp9PDW80</t>
  </si>
  <si>
    <t>A young boy is seen looking off into the distance as well as a girl.</t>
  </si>
  <si>
    <t>People are seen walking inside followed by clips of people fencing.</t>
  </si>
  <si>
    <t>More shots are shown of people practicing and a girl bumping into an older man.</t>
  </si>
  <si>
    <t>v_X2LI_I_qw-A</t>
  </si>
  <si>
    <t>A group of kids are hanging out by a picnic table.</t>
  </si>
  <si>
    <t>A young girl peels potatoes.</t>
  </si>
  <si>
    <t>A young boy cuts the potatoes.</t>
  </si>
  <si>
    <t>v_7uumfT4aGLU</t>
  </si>
  <si>
    <t>A male gymnast is in an arena full of people and grabs two bars to begin his routine.</t>
  </si>
  <si>
    <t>After he is on the bars,he does several flips and turns before landing his performance and leaving the mat.</t>
  </si>
  <si>
    <t>v_RAaRFD5M8h4</t>
  </si>
  <si>
    <t>A close up of a dog is seen with a person holding a razor.</t>
  </si>
  <si>
    <t>The person then holds up the dogs face and begins trimming around it's eyes.</t>
  </si>
  <si>
    <t>The person continues shaving and ends by combing it's face.</t>
  </si>
  <si>
    <t>v_R586XlFT7Go</t>
  </si>
  <si>
    <t>A woman is seen speaking to the camera and leads into a woman running and interviewing other runners.</t>
  </si>
  <si>
    <t>She interviews two twins while running and the news shows off other runners in the area.</t>
  </si>
  <si>
    <t>v_M96TST6CN4M</t>
  </si>
  <si>
    <t>A large man is seen bending down on his knees moving his arms around and looking off into the distance.</t>
  </si>
  <si>
    <t>The man continues moving all around on the mat performing various martial arts moves and moving back and fourth to the camera.</t>
  </si>
  <si>
    <t>v_7QvvqWJRwNo</t>
  </si>
  <si>
    <t>People are sliding down a snowy slope with inflated tires.</t>
  </si>
  <si>
    <t>A child stands in the tire and jumps for joy.</t>
  </si>
  <si>
    <t>An adult gets up and pulls both tires.</t>
  </si>
  <si>
    <t>v_3VkqckKyshc</t>
  </si>
  <si>
    <t>A man dressed in a camouflaged suit is standing in a large grassy field with other people and he's pulling on a string we can barely see.</t>
  </si>
  <si>
    <t>There are a lot of other people moving around on the field doing their own thing.</t>
  </si>
  <si>
    <t>The camera angles are changing and when we get a close up of the man we can finally see the string he is pulling on.</t>
  </si>
  <si>
    <t>v_V90aT-d_FKo</t>
  </si>
  <si>
    <t>A woman is bathing two white colored puppies in an orange tub filled with water.</t>
  </si>
  <si>
    <t>She is joined by a man wearing a wrist watch, who helps the woman bathe the two puppies.</t>
  </si>
  <si>
    <t>One of the puppies tries to step out of the tub and the man holds him and puts him back in.</t>
  </si>
  <si>
    <t>The woman continues washing the puppies.</t>
  </si>
  <si>
    <t>v_OM0jqPYx700</t>
  </si>
  <si>
    <t>A man in black shirt wipe the table with white cloth.</t>
  </si>
  <si>
    <t>The white lights are reflected on the table.</t>
  </si>
  <si>
    <t>The man wipe the edge of the table with white rag.</t>
  </si>
  <si>
    <t>v__0mR06FcftE</t>
  </si>
  <si>
    <t>A woman is doing a tutorial on how to clean a kitchen sink with baking soda, a toothbrush and cloth rag.</t>
  </si>
  <si>
    <t>She first takes some baking soda on the rag and scrubs it on the sink.</t>
  </si>
  <si>
    <t>Then she takes the toothbrush and dips it in the baking soda.</t>
  </si>
  <si>
    <t>she brushes the toothbrush on the sink edges to clean it.</t>
  </si>
  <si>
    <t>She turns on the tap and washes the baking soda off of the sink.</t>
  </si>
  <si>
    <t>Then she takes some vinegar on the wash cloth and wipes the sink down with it.</t>
  </si>
  <si>
    <t>v_wlAnWPxnQ8k</t>
  </si>
  <si>
    <t>girlwearnig a purple body is in fornt of a balance pole and make a jump to stands on top.</t>
  </si>
  <si>
    <t>the girl is doing gymnastics on top of balance beam.</t>
  </si>
  <si>
    <t>people in the stands around the court are watching the kid doing gymnastics.</t>
  </si>
  <si>
    <t>the girl make a big somersault and lands on the floor.</t>
  </si>
  <si>
    <t>v_jEN2smSwZ-o</t>
  </si>
  <si>
    <t>A man with tattoed arms swabs the ear of young lady with an ear swab.</t>
  </si>
  <si>
    <t>The lady stand up and looks at herself in the mirror.</t>
  </si>
  <si>
    <t>She lays down on a black medical chair and the man pierces her ear's tragus with medical tools.</t>
  </si>
  <si>
    <t>The lady looks at herself and her new piercing in the mirror, smiles and gives two thumbs up.</t>
  </si>
  <si>
    <t>The words "If you want to know anything else about piercing just comment or message me:) New beauty videos along with a makeup collection will be up soon Bveeees&lt;3" appear on screen.</t>
  </si>
  <si>
    <t>v_RW7LEc-Ykh8</t>
  </si>
  <si>
    <t>A gymnast walks up to a beam, preparing himself.</t>
  </si>
  <si>
    <t>He mounts the beam, then does several acts around it, including spinning and flipping.</t>
  </si>
  <si>
    <t>He dismounts and walks away.</t>
  </si>
  <si>
    <t>v_SthTqCtPg7s</t>
  </si>
  <si>
    <t>A camera captures a net in front of the sky and shows two people preparing ropes for bungee jumping.</t>
  </si>
  <si>
    <t>The camera man jumps off the ledge and shows his feet while spinning around.</t>
  </si>
  <si>
    <t>Another camera captured his jump from the bottom and leads into several people waiting at the bottom and driving away.</t>
  </si>
  <si>
    <t>v_uC27rJLCn70</t>
  </si>
  <si>
    <t>A young boy in a blue jacket pulls onto a donut snow tube.</t>
  </si>
  <si>
    <t>Two young kids watch him.</t>
  </si>
  <si>
    <t>The whole group goes down the snow.</t>
  </si>
  <si>
    <t>v_pYUqRy9Ujaw</t>
  </si>
  <si>
    <t>man is wearing a back wetsuit doing windsurf in a lake.</t>
  </si>
  <si>
    <t>man is windsurfing in a lake doing tricks.</t>
  </si>
  <si>
    <t>he man windsurfing say hi to the camera.</t>
  </si>
  <si>
    <t>v_ObqrS-ZONKM</t>
  </si>
  <si>
    <t>A couple is seen performing a tango routine with one another in a small room.</t>
  </si>
  <si>
    <t>The people continue spinning and dancing all around the room and ends with them stopping and facing the camera.</t>
  </si>
  <si>
    <t>v_s3JuGKwna6o</t>
  </si>
  <si>
    <t>A group sits at a cafe table and enjoys cafe and pastries.</t>
  </si>
  <si>
    <t>The women pass condiments to each other.</t>
  </si>
  <si>
    <t>A small group sits on a balcony and talk.</t>
  </si>
  <si>
    <t>v_VEzhpSPnBrY</t>
  </si>
  <si>
    <t>A man is kneeling down on the ground.</t>
  </si>
  <si>
    <t>He is pulling on a cord that is attached to the wall.</t>
  </si>
  <si>
    <t>He continues pulling on the cord and working out.</t>
  </si>
  <si>
    <t>v_M4IUb6kp2yo</t>
  </si>
  <si>
    <t>A man walks up to a hedge carrying a large pair of hedge trimmers.</t>
  </si>
  <si>
    <t>He shows how to trim the hedges neatly, going down them a little at a time.</t>
  </si>
  <si>
    <t>He stops, talking to the camera as he goes.</t>
  </si>
  <si>
    <t>v_gzuLIo5ZR9A</t>
  </si>
  <si>
    <t>We see a little girl holding the leash for a big dog.</t>
  </si>
  <si>
    <t>The little girl falls and drops the leash.</t>
  </si>
  <si>
    <t>The little girl then follows the dog to get the leash.</t>
  </si>
  <si>
    <t>She gets the leash and walks the dog.</t>
  </si>
  <si>
    <t>v_wuZkli4TSZQ</t>
  </si>
  <si>
    <t>A woman is seen standing before pinata and swinging a bat.</t>
  </si>
  <si>
    <t>People watch on the side as the woman continue to hit the object.</t>
  </si>
  <si>
    <t>The woman swings over and over and a man comes into frame to kick it.</t>
  </si>
  <si>
    <t>v_DlJPKOVd0bA</t>
  </si>
  <si>
    <t>A group of children are standing outside a building.</t>
  </si>
  <si>
    <t>Adults supervise them as an officer walks by.</t>
  </si>
  <si>
    <t>The kids perform various exercises led by the adults.</t>
  </si>
  <si>
    <t>v_AS0hqTk_mIs</t>
  </si>
  <si>
    <t>In 2009, a man is shown sitting at a table.</t>
  </si>
  <si>
    <t>He has two rubik's cubes in front of him.</t>
  </si>
  <si>
    <t>As a timer runs, he solves the puzzle using only one hand.</t>
  </si>
  <si>
    <t>He jumps up in victory after only 17 seconds.</t>
  </si>
  <si>
    <t>v_DrigU09Wf7k</t>
  </si>
  <si>
    <t>The person is climbing on the stairs as the waves hit them, the surfers are surfing over the strong waves.</t>
  </si>
  <si>
    <t>Two people carrying their surfboards are climbing on the stairs.</t>
  </si>
  <si>
    <t>The people behind fence are watching the surfers as the run before the big wave hit them.</t>
  </si>
  <si>
    <t>v_o_Davs3OrOw</t>
  </si>
  <si>
    <t>A little boy wearing goggles jumps into a pool.</t>
  </si>
  <si>
    <t>He dives down to the bottom and picks something up off the bottom of the pool.</t>
  </si>
  <si>
    <t>He swims back to the top and above water.</t>
  </si>
  <si>
    <t>v_wZgSzWl5Hgg</t>
  </si>
  <si>
    <t>A line of people pick up a rope.</t>
  </si>
  <si>
    <t>They begin playing a game of tug of war.</t>
  </si>
  <si>
    <t>One side falls over and the crowd cheers.</t>
  </si>
  <si>
    <t>v_VIjOP5ZBvHg</t>
  </si>
  <si>
    <t>A black screen appears with the words,"Ticas Grooming Purse" along with their url.</t>
  </si>
  <si>
    <t>A dog is then shown hanging from a silver pole with two straps on him.</t>
  </si>
  <si>
    <t>A human then begins grabbing the dogs paws as the little dog tries to bite her.</t>
  </si>
  <si>
    <t>The grooming continues and then the dog is eventually put back down on the ground.</t>
  </si>
  <si>
    <t>v_OMYnLCWTdEA</t>
  </si>
  <si>
    <t>A man is squatting down in a big open room talking.</t>
  </si>
  <si>
    <t>The man demonstrates how to do a dance move.</t>
  </si>
  <si>
    <t>He then does the move several times and hops up to his feet.</t>
  </si>
  <si>
    <t>v_8JgckTuL1WA</t>
  </si>
  <si>
    <t>People are playing a game of badminton on a court.</t>
  </si>
  <si>
    <t>People are sitting behind them watching the game.</t>
  </si>
  <si>
    <t>A girl in a pink shirt picks up the ball.</t>
  </si>
  <si>
    <t>v_Ouy1exEw_dI</t>
  </si>
  <si>
    <t>A man prepares himself on a dock to go water skiing.</t>
  </si>
  <si>
    <t>He launches into the water as the boat guns off.</t>
  </si>
  <si>
    <t>The man holds onto the rope while gliding through the water, looking very confident and skilled.</t>
  </si>
  <si>
    <t>The boat is tied up on the dock and the man is finished for the day.</t>
  </si>
  <si>
    <t>v_LublNVXGH5I</t>
  </si>
  <si>
    <t>A man points to and picks up a pressurized spray can to display it.</t>
  </si>
  <si>
    <t>The man then picks up a roll of paper towels.</t>
  </si>
  <si>
    <t>The man shakes the pressurized spray can.</t>
  </si>
  <si>
    <t>The man sprays the window where the stain is and wipes the area with a paper towel.</t>
  </si>
  <si>
    <t>sprays the glass cleaner on the middle of the window in multiple spots and wipes them off.</t>
  </si>
  <si>
    <t>v_rZmNsUX-7SU</t>
  </si>
  <si>
    <t>A girl and a dog are on the swing set.</t>
  </si>
  <si>
    <t>They swing up and back down.</t>
  </si>
  <si>
    <t>They swing up and back down again.</t>
  </si>
  <si>
    <t>v_0xJPQ1I8-e0</t>
  </si>
  <si>
    <t>The man in blue helmet is paddling through the water current.</t>
  </si>
  <si>
    <t>Two rafts are stuck in running water.</t>
  </si>
  <si>
    <t>The people are paddling through the water but they are stuck in one spot.</t>
  </si>
  <si>
    <t>v_6Bm-_hI5A9A</t>
  </si>
  <si>
    <t>A man is shown playing a violin in front of a video game being played on tv.</t>
  </si>
  <si>
    <t>The man continues playing the instrument while the tv in the background shows a game being played.</t>
  </si>
  <si>
    <t>v_pF-r_m8LVPs</t>
  </si>
  <si>
    <t>A large group of people are seen standing at the bottom of a snowy hill speaking to one another.</t>
  </si>
  <si>
    <t>The people are then seen riding in tubes and going down a snowy trail.</t>
  </si>
  <si>
    <t>Several shots are shown of people riding down the mountain while looking and smiling to the camera.</t>
  </si>
  <si>
    <t>v_HnM44lX65cQ</t>
  </si>
  <si>
    <t>A seated man is using a sharpener to sharpen a large knife.</t>
  </si>
  <si>
    <t>He scrapes it along the surface and underbelly of the knife, sharpening it.</t>
  </si>
  <si>
    <t>v_L1XpfS1RCzE</t>
  </si>
  <si>
    <t>The person is riding a blue single raft.</t>
  </si>
  <si>
    <t>The man is paddling through the strong current of water.</t>
  </si>
  <si>
    <t>The man fell in the small falls.</t>
  </si>
  <si>
    <t>v_34cQhizPKfc</t>
  </si>
  <si>
    <t>A video of back country skiing is shown.</t>
  </si>
  <si>
    <t>The group prepares its equipment and then looks at its yurt.</t>
  </si>
  <si>
    <t>They then show skiing videos.</t>
  </si>
  <si>
    <t>v_lUw8OA9R4mQ</t>
  </si>
  <si>
    <t>A large group of people are seen standing around a room with a woman in front grabbing a drink.</t>
  </si>
  <si>
    <t>The woman puts her drink down and begins leading a group of people dancing around.</t>
  </si>
  <si>
    <t>The group continues to dance around while the camera captures their movements.</t>
  </si>
  <si>
    <t>v_HM3Rd5ZcME8</t>
  </si>
  <si>
    <t>A girl wearing a white ski jacket runs along the ski slope pulling an orange inner tube.</t>
  </si>
  <si>
    <t>A tubing attendant assists a group of kids load up on their inner tubes.</t>
  </si>
  <si>
    <t>The kids slide down the slope together in their inner tubes.</t>
  </si>
  <si>
    <t>The kids climb back up the tubing slope and slide down on their inner tubes once again.</t>
  </si>
  <si>
    <t>v_27e4y89XeyI</t>
  </si>
  <si>
    <t>An older black male is standing in the kitchen ironing a dark grey t-shirt.</t>
  </si>
  <si>
    <t>The man then pauses his ironing and looks at the person who is filming him and continues to put on his shirt.</t>
  </si>
  <si>
    <t>v__il2j9UtSe4</t>
  </si>
  <si>
    <t>A man is seen with messy hair and looking off in the distance.</t>
  </si>
  <si>
    <t>He holds up a coffee cup and turns towards the camera.</t>
  </si>
  <si>
    <t>He then gives a big smile while looking to the camera.</t>
  </si>
  <si>
    <t>v_jIQFVSymHQs</t>
  </si>
  <si>
    <t>An inflatable ball bounces on the grass as kids watch playing a game.</t>
  </si>
  <si>
    <t>A young boy in blue shirt and jeans retrieves the ball and runs towards the group.</t>
  </si>
  <si>
    <t>v_cP2LVnGxiww</t>
  </si>
  <si>
    <t>This man is shown holding a pumpkin in the beginning of the video then he carves the top off and gets the seeds and everything else out of the pumpkin.</t>
  </si>
  <si>
    <t>Someone gives one of the snow dogs a piece of the pumpkin.</t>
  </si>
  <si>
    <t>Then he puts the stencil on the pumpkin and carves a snow dog into the pumpkin.</t>
  </si>
  <si>
    <t>v_rBVbsbJJcyM</t>
  </si>
  <si>
    <t>An introduction comes onto the screen for a fine linen company.</t>
  </si>
  <si>
    <t>A woman explains that she will describe how to fold cloth napkins.</t>
  </si>
  <si>
    <t>She starts by pressing the napkin with a hot iron.</t>
  </si>
  <si>
    <t>She folds the napkin and continues to press it some more.</t>
  </si>
  <si>
    <t>v_Wr7YbcQ_Q9g</t>
  </si>
  <si>
    <t>A young boy mows the front lawn in a suburban residential neighborhood.</t>
  </si>
  <si>
    <t>A young boy in t-shirt and shorts maneuvers a lawn moves back and forth across a small patch of lawn as he mows the lawn.</t>
  </si>
  <si>
    <t>The boy then walks the mower down a longer stretch of lawn near the corner across from a stop sign.</t>
  </si>
  <si>
    <t>v_R_ffZ9kGeTI</t>
  </si>
  <si>
    <t>A large open outdoor area is shown by a moving camera.</t>
  </si>
  <si>
    <t>A man wearing a helmet is shown riding a skateboard with a long wooden plan base in various outdoors locations.</t>
  </si>
  <si>
    <t>A second rider joins the first rider on the skateboard.</t>
  </si>
  <si>
    <t>A clip of a man not wearing a helmet and riding another skateboard is shown.</t>
  </si>
  <si>
    <t>The helmeted man with the plank as a skateboard is shown again.</t>
  </si>
  <si>
    <t>Several other individuals riding other skateboards are shown.</t>
  </si>
  <si>
    <t>The original skateboarder is shown again.</t>
  </si>
  <si>
    <t>v_QjaqFPDoImc</t>
  </si>
  <si>
    <t>A man is running through a concrete sidewalk with steps in his Kangaroo shoes.</t>
  </si>
  <si>
    <t>More people appear and they too begin to jump throughout crowds of people.</t>
  </si>
  <si>
    <t>v_H0gSWEElh6A</t>
  </si>
  <si>
    <t>There's a man demonstrating how to use a hand setting tool.</t>
  </si>
  <si>
    <t>He is hammering nails into a wooden bar.</t>
  </si>
  <si>
    <t>He uses the tool to properly align the nails before hammering it in.</t>
  </si>
  <si>
    <t>He then demonstrates how the hammering process would look without using the alignment tool.</t>
  </si>
  <si>
    <t>Then he uses the alignment tool to show thew difference it makes to hammer a nail into wood when the tool is used.</t>
  </si>
  <si>
    <t>v_0-auIBOTx9E</t>
  </si>
  <si>
    <t>A skinny man,is talking on the phone bowling and knocks down all the bowling pins.</t>
  </si>
  <si>
    <t>Next,he has to go through several obstacles to roll the ball down and he ends up making it anyways.</t>
  </si>
  <si>
    <t>Some of them include,bowling with pins in the lane,standing from behind a chart,and even doing it with his eyes covered.</t>
  </si>
  <si>
    <t>v_dsCJ4xdRq-Q</t>
  </si>
  <si>
    <t>A group of four boys are at a table.</t>
  </si>
  <si>
    <t>As a timer counts, a boy is trying to solve a rubik's cube.</t>
  </si>
  <si>
    <t>He solves the cube, and shakes hands with the other boys.</t>
  </si>
  <si>
    <t>v_Q711Ki5aFHw</t>
  </si>
  <si>
    <t>A group dances in a spotlight wearing traditional chines robes and hats.</t>
  </si>
  <si>
    <t>The men pretend to pull imaginary ropes.</t>
  </si>
  <si>
    <t>The men crouch down one after the other and thrust there hips.</t>
  </si>
  <si>
    <t>The men stand back to back in a partial circle and dance.</t>
  </si>
  <si>
    <t>The men hold up there arms like a Hindu goddess.</t>
  </si>
  <si>
    <t>v_WwcbpTANbeU</t>
  </si>
  <si>
    <t>A view is seen of a deep canyon with a lift above it.</t>
  </si>
  <si>
    <t>A man is dressed in bungee gear by another man.</t>
  </si>
  <si>
    <t>He jumps out, then swings back and forth over the thin waters.</t>
  </si>
  <si>
    <t>v_bV4xdc71azY</t>
  </si>
  <si>
    <t>man is in a kichen holding a pan on stove and preparing an omelette.</t>
  </si>
  <si>
    <t>man is holding a bag and holds the pan, grab some cheese fom he bag and bend the omelette.</t>
  </si>
  <si>
    <t>v_PTkNBVyhUuo</t>
  </si>
  <si>
    <t>A group of people are seen standing around bow and arrows then the camera camera down a long line of people shooting bows.</t>
  </si>
  <si>
    <t>A man is then seen speaking to the camera followed by Several shots of random people shooting the arrows to a target.</t>
  </si>
  <si>
    <t>Many people watch on the sidelines and is followed by more shots of people shooting bows.</t>
  </si>
  <si>
    <t>v_JlgDwIT9KLI</t>
  </si>
  <si>
    <t>A red bowl contains a spoon and tuna fish in chunks.</t>
  </si>
  <si>
    <t>Someone pours mayonnaise into the tuna, as well as seasoning.</t>
  </si>
  <si>
    <t>The substance is mixed together, then spread onto the bread to make a sandwich.</t>
  </si>
  <si>
    <t>v_PUGP8PSlJEA</t>
  </si>
  <si>
    <t>A man is rock climbing on a wall next to a rock.</t>
  </si>
  <si>
    <t>He gets to the top and releases himself to fall to the bottom.</t>
  </si>
  <si>
    <t>v_LHu41OIGw7Q</t>
  </si>
  <si>
    <t>A camera pans around a lake area and leads into a person climbing into a kayak.</t>
  </si>
  <si>
    <t>The person then begins paddling along the water while moving underneath bridges.</t>
  </si>
  <si>
    <t>The person continues paddling all along the water and looking up to the camera.</t>
  </si>
  <si>
    <t>v_5kXIZCs22l8</t>
  </si>
  <si>
    <t>woman is posing to a camera in a white room.</t>
  </si>
  <si>
    <t>man is standing behind the wmoan cutting her hair with a scissor and the model is posing.</t>
  </si>
  <si>
    <t>v_YamDoDK71Ds</t>
  </si>
  <si>
    <t>A woman in a belly dancing outfit is dancing moving her body very strategically.</t>
  </si>
  <si>
    <t>She has her hands up in the air moving as she moves her hips very quickly.</t>
  </si>
  <si>
    <t>She talks about her love for belly dancing and stuff.</t>
  </si>
  <si>
    <t>Then you see her a different purple belly dancing outfit dancing outside.</t>
  </si>
  <si>
    <t>v_IvkpJMxlRKc</t>
  </si>
  <si>
    <t>A man was peeling a potato using a green peeler.</t>
  </si>
  <si>
    <t>He peeled the middle part one more time.</t>
  </si>
  <si>
    <t>Thrown it in the container.</t>
  </si>
  <si>
    <t>v_JguB9cLEXGY</t>
  </si>
  <si>
    <t>A person is seen holding up a stick followed by several clips of people throwing a javelin.</t>
  </si>
  <si>
    <t>More shots are shown of athletes throwing the javelin great distances while screaming each time after their throw.</t>
  </si>
  <si>
    <t>v_lBfyQsXSvUk</t>
  </si>
  <si>
    <t>A man is sitting in a chair.</t>
  </si>
  <si>
    <t>He is getting a tattoo on his arm.</t>
  </si>
  <si>
    <t>A man watches him get the tattoo.</t>
  </si>
  <si>
    <t>He gets his tattoo wraps with saran wrap.</t>
  </si>
  <si>
    <t>v_9PvtW0Uvnl0</t>
  </si>
  <si>
    <t>A camera pans away from a road and shows a person's feet moving around.</t>
  </si>
  <si>
    <t>Several shots are shown of people tying their shoes, hitting a button, and checking a watch.</t>
  </si>
  <si>
    <t>People are then seen running down the road one at a time followed by many more following.</t>
  </si>
  <si>
    <t>v_pRzFL4_I-cE</t>
  </si>
  <si>
    <t>Several shots of a casino is shown that includes close ups of poker tables and people sitting at a table playing.</t>
  </si>
  <si>
    <t>Many shots are shown of the dealer dealing cards while turning them around and the audience reacting.</t>
  </si>
  <si>
    <t>v_UyqM2sglj1s</t>
  </si>
  <si>
    <t>A person is snowboarding on a mountain.</t>
  </si>
  <si>
    <t>There is a montage of roads leading to a mountain and a chairlift.</t>
  </si>
  <si>
    <t>People jump on ramps and halfpipes.</t>
  </si>
  <si>
    <t>v_sZbkKa2iKrM</t>
  </si>
  <si>
    <t>A text intro leads into a wrestler slamming down another wrestler in a ring.</t>
  </si>
  <si>
    <t>The video continues with more shots of the man pinning down wrestlers.</t>
  </si>
  <si>
    <t>Several more shots are shown and ends with a subscribe option.</t>
  </si>
  <si>
    <t>v_vY77rUOOgwg</t>
  </si>
  <si>
    <t>The man in brown shirt is talking to the camera.</t>
  </si>
  <si>
    <t>The man placed a tool on the carpet with long pole.</t>
  </si>
  <si>
    <t>The man used the stretcher to flatten the carpet on the floor.</t>
  </si>
  <si>
    <t>v_AY2usHrPYL0</t>
  </si>
  <si>
    <t>We see a store, maps, and people on a bus.</t>
  </si>
  <si>
    <t>We see people at the beach.</t>
  </si>
  <si>
    <t>We see people in the lake and in rafts.</t>
  </si>
  <si>
    <t>We see a dog on the raft.</t>
  </si>
  <si>
    <t>We see a person paddling a raft.</t>
  </si>
  <si>
    <t>We see a dog swimming in the river.</t>
  </si>
  <si>
    <t>We see the ending screen in blue.</t>
  </si>
  <si>
    <t>v_GMwV9roiBYo</t>
  </si>
  <si>
    <t>A man is skating on a hockey rink and goes to make a goal.</t>
  </si>
  <si>
    <t>He shoots and makes a point and the crowd cheers.</t>
  </si>
  <si>
    <t>He makes another point and the crowd cheers.</t>
  </si>
  <si>
    <t>A team of yellow jerseys rushes onto the ice to congratulate him.</t>
  </si>
  <si>
    <t>They are lined up on the court while a man in a suit walks away from them.</t>
  </si>
  <si>
    <t>The man in the suit stops and talks to another man.</t>
  </si>
  <si>
    <t>He waves and walks back towards the players.</t>
  </si>
  <si>
    <t>The team beings skating towards the people.</t>
  </si>
  <si>
    <t>They skate across the ice and a man stands on the stands and holds up a trophy.</t>
  </si>
  <si>
    <t>v_eC4l8AuAmKw</t>
  </si>
  <si>
    <t>A large group of people are dancing in pairs on a dance floor.</t>
  </si>
  <si>
    <t>People watch from tables all around the dance floor.</t>
  </si>
  <si>
    <t>A man with a microphone stands on the dance floor.</t>
  </si>
  <si>
    <t>v_tRAntV9Om2o</t>
  </si>
  <si>
    <t>A man wearing a hat is seen putting on gloves and starting up a machine in some tall grass.</t>
  </si>
  <si>
    <t>The man then moves the machine all along the grass to cut it down.</t>
  </si>
  <si>
    <t>He pauses for a moment to speak to the camera and raises his hands up.</t>
  </si>
  <si>
    <t>v_9S9hPRDwi24</t>
  </si>
  <si>
    <t>A stick is being held from the ground.</t>
  </si>
  <si>
    <t>A man uses the croquette bat to hit a ball, then places it back to the ground.</t>
  </si>
  <si>
    <t>v_-t2ikmhg9_w</t>
  </si>
  <si>
    <t>A woman is seated on the floor, talking about a vacuum cleaner.</t>
  </si>
  <si>
    <t>She demonstrates how to apply powder to the carpet, and vacuum it up.</t>
  </si>
  <si>
    <t>She then shows how to clean the vacuum out, and the mechanics of the machine.</t>
  </si>
  <si>
    <t>v_KaGXQh-UHVU</t>
  </si>
  <si>
    <t>A group of people are in a house.</t>
  </si>
  <si>
    <t>A man is mopping the floor with a mop.</t>
  </si>
  <si>
    <t>Another boy attempts to walk through where he is mopping.</t>
  </si>
  <si>
    <t>The man takes a drink of beer and complains to the camera.</t>
  </si>
  <si>
    <t>He mops through the room in between the people.</t>
  </si>
  <si>
    <t>He stops mopping and speaks to the camera.</t>
  </si>
  <si>
    <t>v_1LdbczjQPII</t>
  </si>
  <si>
    <t>A globe is turning with writing in front of it.</t>
  </si>
  <si>
    <t>A man throws a bowling ball into various pins.</t>
  </si>
  <si>
    <t>He bounces it off of trampoline and knocks pins down.</t>
  </si>
  <si>
    <t>The throws a bowling ball off a bridge.</t>
  </si>
  <si>
    <t>A woman throws the ball down at pins.</t>
  </si>
  <si>
    <t>A man catches the bowling ball and throws it to pins.</t>
  </si>
  <si>
    <t>A man bounces it off a car and hits pins.</t>
  </si>
  <si>
    <t>Another trampoline trick is shown.</t>
  </si>
  <si>
    <t>A man throws a bowling ball down a slide and a person catches it at the bottom.</t>
  </si>
  <si>
    <t>A man throws a bowling ball up a hill and it rolls back down and hits pins.</t>
  </si>
  <si>
    <t>Two men bounce balls off trampolines to hit pins.</t>
  </si>
  <si>
    <t>A remote control car drives the bowling ball to hit pins.</t>
  </si>
  <si>
    <t>Two men high five after knocking pins down.</t>
  </si>
  <si>
    <t>A man standing on top of a building throws a ball down and hits pins.</t>
  </si>
  <si>
    <t>v_57J-q04z1Hs</t>
  </si>
  <si>
    <t>Two dancers dance in the center of the floor where there aren't many people watching.</t>
  </si>
  <si>
    <t>They're both wearing black decor and they're turning the batons in many different ways and music is playing.</t>
  </si>
  <si>
    <t>Many people are cheering, some are standing and others are sitting.</t>
  </si>
  <si>
    <t>v_k_bvz0NHKBo</t>
  </si>
  <si>
    <t>Two boys and two girls compete beer pong while other persons watch.</t>
  </si>
  <si>
    <t>Almost all the balls throw by the boys land in the cups, only one ball is missed.</t>
  </si>
  <si>
    <t>The girls talk each other while looking the boys.</t>
  </si>
  <si>
    <t>v_yFOZHa2pn1g</t>
  </si>
  <si>
    <t>A guy is putting a cloth shackles on a lady's ankles.</t>
  </si>
  <si>
    <t>The guy positions the lady at the edge.</t>
  </si>
  <si>
    <t>The lady bungee jumps when the guy removes his hand.</t>
  </si>
  <si>
    <t>v_YUN8d87DNNY</t>
  </si>
  <si>
    <t>A woman is sweeping in front of a barn.</t>
  </si>
  <si>
    <t>Chickens are on the ground behind her.</t>
  </si>
  <si>
    <t>She is shoveling dirt into a wheel barrow.</t>
  </si>
  <si>
    <t>Men are sweeping in front of the barn.</t>
  </si>
  <si>
    <t>A woman is brushing a horse with a brush.</t>
  </si>
  <si>
    <t>v_SzCK4QuEG3c</t>
  </si>
  <si>
    <t>A set of knifes rest on top of pin cones.</t>
  </si>
  <si>
    <t>A pocket knife is taken from wooden box and held with a clamp.</t>
  </si>
  <si>
    <t>The man uses sharpening stones on the blade of the knife.</t>
  </si>
  <si>
    <t>The man cuts through pieces of paper to show the knifes sharpness.</t>
  </si>
  <si>
    <t>A still shot of a hot open fire pit is seen.</t>
  </si>
  <si>
    <t>v_f0rWFvJ7uTk</t>
  </si>
  <si>
    <t>A group of boys line up in a baseball field then run to chase the ball.</t>
  </si>
  <si>
    <t>A woman rolls a kick ball on the field.</t>
  </si>
  <si>
    <t>The ball is returned to the field by someone on the sideline.</t>
  </si>
  <si>
    <t>A boy runs around the bases on the field.</t>
  </si>
  <si>
    <t>The group of boys point and signal to other players on the field.</t>
  </si>
  <si>
    <t>A boy kicks the ball and the other players run around the bases.</t>
  </si>
  <si>
    <t>v_NDvp3JeVWcM</t>
  </si>
  <si>
    <t>There is large indoor gym where a gymnastic event is being held.</t>
  </si>
  <si>
    <t>There is a girl gymnast who is performing on the bars.</t>
  </si>
  <si>
    <t>There are spectators watching her as she swings swiftly.</t>
  </si>
  <si>
    <t>She gets off the bars and is congratulated by her coach.</t>
  </si>
  <si>
    <t>The awards are then presented to the winners of the competition.</t>
  </si>
  <si>
    <t>the winners stand on stage to receive their medals of victory.</t>
  </si>
  <si>
    <t>The score board shows the names of all the winners.</t>
  </si>
  <si>
    <t>v_0-igBOtXYeE</t>
  </si>
  <si>
    <t>Several different wrestling battles are shown with many different wrestlers showcased.</t>
  </si>
  <si>
    <t>A man is hoisted onto the shoulders of another man and is then thrown down onto a table, which breaks in half with the force of his weight.</t>
  </si>
  <si>
    <t>Several more wrestlers are thrown violently onto ring floors and flat surfaces and tables, with one dark and long haired man appearing several times throughout the clip screaming in an animated way.</t>
  </si>
  <si>
    <t>A red haired man talks to a camera near the end of the clip.</t>
  </si>
  <si>
    <t>v_asyXgaH1Sro</t>
  </si>
  <si>
    <t>Two men are talking on the sidewalk.</t>
  </si>
  <si>
    <t>An orange fork lift goes by behind them.</t>
  </si>
  <si>
    <t>One of the men is brushing the other mans hair.</t>
  </si>
  <si>
    <t>The man in the red shirt plays with his hair.</t>
  </si>
  <si>
    <t>v_-L-LiCO1v-s</t>
  </si>
  <si>
    <t>A man standing in front of orange flowers talks.</t>
  </si>
  <si>
    <t>A small dog is laying on the ground.</t>
  </si>
  <si>
    <t>A shower head is shown.</t>
  </si>
  <si>
    <t>A woman is sitting on a bed with the dog.</t>
  </si>
  <si>
    <t>Her and the dog are in the shower.</t>
  </si>
  <si>
    <t>She is spraying the dog with water.</t>
  </si>
  <si>
    <t>A bottle is being held up to be shown.</t>
  </si>
  <si>
    <t>She dries the dog off with a white towel.</t>
  </si>
  <si>
    <t>A robot is dancing on the screen.</t>
  </si>
  <si>
    <t>v_LjfF72Hwpyg</t>
  </si>
  <si>
    <t>A snow piled lawn is shown.</t>
  </si>
  <si>
    <t>A man on a tractor is pulling a kid on a tube over mounds of snow over and over.</t>
  </si>
  <si>
    <t>It ends with the boy close up, and another eating cereal from the top of a staircase.</t>
  </si>
  <si>
    <t>v_V3uCGRAWG2M</t>
  </si>
  <si>
    <t>A representative of the GCN Network is talking and demonstrating how to use tools to fix bike wheels.</t>
  </si>
  <si>
    <t>He is standing near an elevated blue bike with several tools displayed on a wall behind him.</t>
  </si>
  <si>
    <t>He is using an Allen key to lever the bike tire.</t>
  </si>
  <si>
    <t>He rotates the bike tire and then uses the Allen key to adjust the screws.</t>
  </si>
  <si>
    <t>Then he resets the pistons of the wheel to realign them.</t>
  </si>
  <si>
    <t>Then he precisely fits in the attachment into the wheel.</t>
  </si>
  <si>
    <t>v_JtQSDGSKnsY</t>
  </si>
  <si>
    <t>A person uses a vacuum cleaner the clean the carpet of debris in a room sweeping it back and forth.</t>
  </si>
  <si>
    <t>The vacuum cleaner collecting bucket is moved in order to reach a new area of carpet.</t>
  </si>
  <si>
    <t>The person vacuums the carpet area around the couch.</t>
  </si>
  <si>
    <t>The person lifts up the head of the vacuum and examines the wheels underneath.</t>
  </si>
  <si>
    <t>v_ifmHO5lQq18</t>
  </si>
  <si>
    <t>A blonde woman runs and does a high jump repeatedly.</t>
  </si>
  <si>
    <t>A woman in white in the background does a high jump.</t>
  </si>
  <si>
    <t>A black lady walks past the camera.</t>
  </si>
  <si>
    <t>The black lady appears again and adjusts something on the ground.</t>
  </si>
  <si>
    <t>A man raises a red flag.</t>
  </si>
  <si>
    <t>v_tjUuEqmLGeI</t>
  </si>
  <si>
    <t>A girl in her dance uniform is standing with her mom talking waiting for her turn to come up, when it's her turn she and her partner walk on stage.</t>
  </si>
  <si>
    <t>They begin to do their routine with their batons.</t>
  </si>
  <si>
    <t>They work well together and one of the girls does a flip while the other girl holds her, they continue on with the rest of their routine.</t>
  </si>
  <si>
    <t>They end their routine, one of them kneeling and the other behind her and get up and walk off the stage.</t>
  </si>
  <si>
    <t>v_x1wy8QmHZL8</t>
  </si>
  <si>
    <t>A girl in a blue and sparkly costume is standing on a court while holding two batons.</t>
  </si>
  <si>
    <t>The girl begins her baton routine and starts her routine and twirls the batons and her body.</t>
  </si>
  <si>
    <t>Judges at a table watch her the whole time while they also write on a piece of paper.</t>
  </si>
  <si>
    <t>The girl drops her baton, picks it up and then continues on with her routine.</t>
  </si>
  <si>
    <t>v_7iuU-zsauOY</t>
  </si>
  <si>
    <t>A man is deep water scuba diving with some type of machine as if he is searching for something.</t>
  </si>
  <si>
    <t>In the midst,he begins playing with a small fish before continuing on his search.</t>
  </si>
  <si>
    <t>The man continues traveling through the water at a slow pace but he isn't finding anything.</t>
  </si>
  <si>
    <t>v_dI6TWaB6tls</t>
  </si>
  <si>
    <t>Two dancers engage in a ballroom dance in front of a live band and a full televised audience.</t>
  </si>
  <si>
    <t>A woman in a ballroom outfit approaches a man in a ballroom dance, when the two meet they begin to dance across the floor using elaborate footwork during the dance.</t>
  </si>
  <si>
    <t>A phone number inviting people to call in and vote for them appears on the screen along with the network logo.</t>
  </si>
  <si>
    <t>The two continue to dance exhibiting slides, pickups, a last kiss and slides on the dance floor as the people in the audience clap.</t>
  </si>
  <si>
    <t>v_55bimE5eU9E</t>
  </si>
  <si>
    <t>A man and a woman stand by each other as the man speaks.</t>
  </si>
  <si>
    <t>The woman reaches down and lifts a bar.</t>
  </si>
  <si>
    <t>She makes small lifts against her thighs.</t>
  </si>
  <si>
    <t>She continues the small lifts and adds a variance of big lifts.</t>
  </si>
  <si>
    <t>She lifts the bar over her head and brings it down to her thigh area to continue the small lifts.</t>
  </si>
  <si>
    <t>She brings the bar back over her head and drops it down to the ground.</t>
  </si>
  <si>
    <t>v_3HP2E_a9xrU</t>
  </si>
  <si>
    <t>A small child is seen swinging at a pinata with a large group of children behind them.</t>
  </si>
  <si>
    <t>More kids stand up to take a swing at the pinata as parents walk around the kids.</t>
  </si>
  <si>
    <t>One last girl attempts to break the pinata in the end.</t>
  </si>
  <si>
    <t>v_g_T8qK7qTFI</t>
  </si>
  <si>
    <t>People in traffic in a city look irritated as a cop directs traffic.</t>
  </si>
  <si>
    <t>A man sticks something in his ears.</t>
  </si>
  <si>
    <t>A man in a green shirt mocks a cop and people laugh and clap.</t>
  </si>
  <si>
    <t>The cop gives the man a Pepsi.</t>
  </si>
  <si>
    <t>We see the man on the cricket field throwing a ball.</t>
  </si>
  <si>
    <t>The man drinks the Pepsi and we see the closing screen.</t>
  </si>
  <si>
    <t>v_t_D9MYkEPEo</t>
  </si>
  <si>
    <t>an audience claps as a couple appears on stage.</t>
  </si>
  <si>
    <t>They dance gracefully, spinning and twirling.</t>
  </si>
  <si>
    <t>The couple bow as they finish their routine.</t>
  </si>
  <si>
    <t>v__BHoMDR2ZVg</t>
  </si>
  <si>
    <t>A man wearing glasses is seen speaking to the camera in a tattoo shop.</t>
  </si>
  <si>
    <t>The man is laying on a table and waving to the camera.</t>
  </si>
  <si>
    <t>He shows his outline and a man begins tattooing his leg.</t>
  </si>
  <si>
    <t>v_X1WExPnfJjE</t>
  </si>
  <si>
    <t>A young girl is seen sitting in front of the camera running a brush down her long hair.</t>
  </si>
  <si>
    <t>She suddenly jumps and screams towards the camera while smiling and setting the brush down.</t>
  </si>
  <si>
    <t>v_aFVthcfDK9Q</t>
  </si>
  <si>
    <t>A city next a river is displayed on a screen.</t>
  </si>
  <si>
    <t>Reporters talk in a TV set where other people are working.</t>
  </si>
  <si>
    <t>A man wearing white shirt clean his face while looking a mirror.</t>
  </si>
  <si>
    <t>v_pD-zyfLtC6w</t>
  </si>
  <si>
    <t>A biker seated on a bike revs the engine.</t>
  </si>
  <si>
    <t>Another biker is shown seated on a bike, making a gesture with both arms.</t>
  </si>
  <si>
    <t>Scenes of various bikers failing stunt jumps are shown, with occasional crowd reaction and aftermath shots.</t>
  </si>
  <si>
    <t>v__wo35butdOc</t>
  </si>
  <si>
    <t>A lady stands raising a metal disk in one hand.</t>
  </si>
  <si>
    <t>The lady spins with the disk and releases the disk.</t>
  </si>
  <si>
    <t>The lady places a towel around her back.</t>
  </si>
  <si>
    <t>v_zkLld95_bhg</t>
  </si>
  <si>
    <t>Between clips of a man on a catamaran moving in the ocean, black screens appear and different times with different words describing each movement the catamaran makes.</t>
  </si>
  <si>
    <t>The man is now standing on the boat and is pulling on ropes that move on the boat and then is shown once again as the boat is moving.</t>
  </si>
  <si>
    <t>The outro appears and it's a white screen with a picture of the boat and the words "MULTIHULL CENTRAL".</t>
  </si>
  <si>
    <t>v_3AWvyAJv20g</t>
  </si>
  <si>
    <t>A woman folds towels on an ironing board at home.</t>
  </si>
  <si>
    <t>Different clothing items are seen such as shirts, socks, and ties.</t>
  </si>
  <si>
    <t>The woman adds a tag to a piece of clothing and irons it in place.</t>
  </si>
  <si>
    <t>The tag is shown close up.</t>
  </si>
  <si>
    <t>v_HddRC-twMLc</t>
  </si>
  <si>
    <t>There's man dressed in a blue shirt and blue shorts shooting darts in a room that has beige walls.</t>
  </si>
  <si>
    <t>He has two darts in his hands which he aims and shoots at a target.</t>
  </si>
  <si>
    <t>v_-yn3D1fOfr0</t>
  </si>
  <si>
    <t>A woman in a black shirt is talking in front of a Christmas tree.</t>
  </si>
  <si>
    <t>She begins putting decorations on the Christmas tree.</t>
  </si>
  <si>
    <t>She places a gold bow on the top of the tree.</t>
  </si>
  <si>
    <t>Three women are talking in front of the tree.</t>
  </si>
  <si>
    <t>v_CIcVR4m7nOc</t>
  </si>
  <si>
    <t>Several people stand outside of cars.</t>
  </si>
  <si>
    <t>They get in a river on tubes.</t>
  </si>
  <si>
    <t>They float near a large bridge.</t>
  </si>
  <si>
    <t>The water gets a little choppy.</t>
  </si>
  <si>
    <t>v_JVfhBvlv0IY</t>
  </si>
  <si>
    <t>An athletic man is seen standing ready and runs down a long track into a sand pit.</t>
  </si>
  <si>
    <t>The man walks away while looking into the audience followed by another man running into the pit.</t>
  </si>
  <si>
    <t>Several more men take turns running down with their run showed again afterwards.</t>
  </si>
  <si>
    <t>v_efaYmJsTDJc</t>
  </si>
  <si>
    <t>A camera ia seen showing the outside of a home followed by a girl sitting in a tub.</t>
  </si>
  <si>
    <t>She looks to the mirror and has a friend hand her a solo cup.</t>
  </si>
  <si>
    <t>She runs throughout the house outside and shows a close up of mouth wash.</t>
  </si>
  <si>
    <t>v_gLPJ7_VhWVU</t>
  </si>
  <si>
    <t>A young lady explains how to put makeup on the eye lid using a brush.</t>
  </si>
  <si>
    <t>The young lady use an eyeliner to paint the border of the top lid.</t>
  </si>
  <si>
    <t>Then, she puts mascara to her eyelashes, and paint the the lower lid.</t>
  </si>
  <si>
    <t>After, she brush her cheek and put lipstick on the lips.</t>
  </si>
  <si>
    <t>v_xC5RVs9mXyM</t>
  </si>
  <si>
    <t>A large marching band are seen standing in the middle of a big crowd.</t>
  </si>
  <si>
    <t>The band then begins playing with one another in the circle.</t>
  </si>
  <si>
    <t>The people continuing playing with one another while people watch on the sides.</t>
  </si>
  <si>
    <t>v_zFb7PKk_-vA</t>
  </si>
  <si>
    <t>A woman is seen speaking to the camera while a group of people sit in tubes around her.</t>
  </si>
  <si>
    <t>The other people smile and wave to the camera while showing off the other tubes.</t>
  </si>
  <si>
    <t>The people continue to ride around the water while the camera pans all around their movements.</t>
  </si>
  <si>
    <t>v_s24-UW2mnjM</t>
  </si>
  <si>
    <t>This man is roller blading through the streets extremely fast.</t>
  </si>
  <si>
    <t>He jumps over a closed off area and keeps on skating passed people into the streets.</t>
  </si>
  <si>
    <t>He is skating in the streets of paris along with another skater, still skating past people and going down into the subway.</t>
  </si>
  <si>
    <t>He hold on to the back of someones motorcycle and uses it to catch speed and then continues back out of the subway back on to the sidewalks.</t>
  </si>
  <si>
    <t>v_U_Pb3Wm_pb4</t>
  </si>
  <si>
    <t>An orange rope is tied to a tree and dangling in the wind.</t>
  </si>
  <si>
    <t>A man steps up on the rope and begins to walk across it.</t>
  </si>
  <si>
    <t>The man jumps down off of the rope and starts at the beginning to walk across it.</t>
  </si>
  <si>
    <t>The man jumps off again and gets back on the rope and jumps off.</t>
  </si>
  <si>
    <t>The man tightens the rope.</t>
  </si>
  <si>
    <t>The camera shows the ground.</t>
  </si>
  <si>
    <t>v_Uo9q4riquHM</t>
  </si>
  <si>
    <t>It is raining outside while a man is on a lawn mower mowing his lawn.</t>
  </si>
  <si>
    <t>The camera focuses on water dripping down.</t>
  </si>
  <si>
    <t>The man rearranges himself on the mower.</t>
  </si>
  <si>
    <t>He continues to mow the lawn.</t>
  </si>
  <si>
    <t>The camera focuses on the running water again.</t>
  </si>
  <si>
    <t>Then switches back to the running water.</t>
  </si>
  <si>
    <t>v_QosVN26lb1g</t>
  </si>
  <si>
    <t>We see a woman hitting a pinata.</t>
  </si>
  <si>
    <t>The lady pauses to line up her shot.</t>
  </si>
  <si>
    <t>The lady holds the pinata as she hits it.</t>
  </si>
  <si>
    <t>A man takes the bat from the ladies hands.</t>
  </si>
  <si>
    <t>v_ivmBrbO32Qo</t>
  </si>
  <si>
    <t>a man in a lab coat uses a swiffer broom.</t>
  </si>
  <si>
    <t>He rakes it across a floor with cleaning solution.</t>
  </si>
  <si>
    <t>The floor shines as it comes clean beneath his feet.</t>
  </si>
  <si>
    <t>v_HzmT-lvHrpM</t>
  </si>
  <si>
    <t>A man stands with a bicycle on a rack and shows its different parts and features including the wheels.</t>
  </si>
  <si>
    <t>The man turns the crank and the wheel spins on the bike.</t>
  </si>
  <si>
    <t>The man spins the front wheel by hand.</t>
  </si>
  <si>
    <t>The man tightens a screw with his hand tool.</t>
  </si>
  <si>
    <t>v_HafSt7EDin0</t>
  </si>
  <si>
    <t>A basketball is focused on as it sits on a grass.</t>
  </si>
  <si>
    <t>Then it zooms out and a small girl is standing at the beginning of a hopscotch written in chalk, and a man is standing at the end and he throws a piece of chalk her way, it breaks, he hops to pick it up, she picks up the other piece and returns it to the chalk container off to the side.</t>
  </si>
  <si>
    <t>The girl returns to the beginning of the hopscotch and takes her turn, and they go back and forth and play taking turns jumping up and down the hopscotch.</t>
  </si>
  <si>
    <t>v_WhEdTfs7U5E</t>
  </si>
  <si>
    <t>At beach, several volleyball nets in different colors are set up, while people are standing or sitting on the side off the nets.</t>
  </si>
  <si>
    <t>Different teams, with combination of males and females played the beach volleyballs in the nets assigned to them.</t>
  </si>
  <si>
    <t>v_PMy2EyktRmo</t>
  </si>
  <si>
    <t>People are working out on exercise bikes.</t>
  </si>
  <si>
    <t>A man in a blue shirt is standing in front of them running around.</t>
  </si>
  <si>
    <t>v_lj-VovhJcPA</t>
  </si>
  <si>
    <t>A reporter talks in a TV set, then a reporter talks in a park, then a map of London is shown.</t>
  </si>
  <si>
    <t>A man shows a bag with a cigarette and then it is show next of papers.</t>
  </si>
  <si>
    <t>After, the man is in a backyard explaining to the reporter.</t>
  </si>
  <si>
    <t>People are in a park walking, a person with a pet and mother with a child.</t>
  </si>
  <si>
    <t>A man and a woman talk with the reporter.</t>
  </si>
  <si>
    <t>v_avxSMcGBdG8</t>
  </si>
  <si>
    <t>Individuals play croquet, with the camera only showing their lower legs an the balls and mallets.</t>
  </si>
  <si>
    <t>A group of people in witch costumes stand together as one talks.</t>
  </si>
  <si>
    <t>More small videos of people playing croquet are shown.</t>
  </si>
  <si>
    <t>The group of people in witch costumes are shown again.</t>
  </si>
  <si>
    <t>A series of croquet teams are shown, with some of them wearing costumes.</t>
  </si>
  <si>
    <t>The group of people in witch costumes is shown once more.</t>
  </si>
  <si>
    <t>Yet more small videos of people playing croquet are shown.</t>
  </si>
  <si>
    <t>And ending title screen is shown.</t>
  </si>
  <si>
    <t>v_n9P4ltD0g2k</t>
  </si>
  <si>
    <t>He starts cutting up fruit and putting it in the glass.</t>
  </si>
  <si>
    <t>He starts mashing the fruit with a stick.</t>
  </si>
  <si>
    <t>He adds ice to the glass and pours alcohol in.</t>
  </si>
  <si>
    <t>He shakes the drink and pours it into a tall glass.</t>
  </si>
  <si>
    <t>He adds some liquid and stirs it with a straw.</t>
  </si>
  <si>
    <t>v_tEAEFVJGGG0</t>
  </si>
  <si>
    <t>A man trims the bush on the lawn with a electric cutter.</t>
  </si>
  <si>
    <t>v_I9ZeyASdgTk</t>
  </si>
  <si>
    <t>A person turn on a button of a device with a long road next to a wood box.</t>
  </si>
  <si>
    <t>Then, the man put the rod in a hole and sparks come out, after the man end doing sparkles.</t>
  </si>
  <si>
    <t>v_nnWON1EzK0o</t>
  </si>
  <si>
    <t>A person is seen riding on a horse into a pit chasing down a baby calf.</t>
  </si>
  <si>
    <t>The man ropes the calf and jumps off the horse to tie him up then walks back to the horse.</t>
  </si>
  <si>
    <t>v_9ZGy24Geu5k</t>
  </si>
  <si>
    <t>A man is seen in the ocean on a surf board.</t>
  </si>
  <si>
    <t>The man glides towards an on coming wave.</t>
  </si>
  <si>
    <t>The man then jumps over the wave.</t>
  </si>
  <si>
    <t>The man then rides the inside of a new wave.</t>
  </si>
  <si>
    <t>v_maXU1lGguxs</t>
  </si>
  <si>
    <t>A beautiful young woman holding a violin in hand begins to motion back and forth against the strings with the bow to play a song that she has practiced.</t>
  </si>
  <si>
    <t>The nicely dressed woman in black with white sleeves continues playing and smiling intermittently while eloquently holding down different chords and notes in the corner of the room next to a piano dancing back and forth as she plays.</t>
  </si>
  <si>
    <t>The woman stops playing and smiles once more before walking out of view of the camera putting the violin down and ending the song.</t>
  </si>
  <si>
    <t>v_EfJIu_moZaE</t>
  </si>
  <si>
    <t>A person goes sailing by another boat in the water.</t>
  </si>
  <si>
    <t>Several scenes are shown of people sailing on the boats.</t>
  </si>
  <si>
    <t>A man is standing and talking to the camera.</t>
  </si>
  <si>
    <t>v_TjMdEjgAKLw</t>
  </si>
  <si>
    <t>A man stands on metal stilts an pulls a large straight edge over a ceiling to flatten out the plaster.</t>
  </si>
  <si>
    <t>The man reaches the nearest side and then turns around to continue.</t>
  </si>
  <si>
    <t>The man reaches the far side of the room and turns around to continue.</t>
  </si>
  <si>
    <t>The man finishes and lowers the straight edge tool smiling.</t>
  </si>
  <si>
    <t>v_ykcLgz3DlYg</t>
  </si>
  <si>
    <t>We see half a cake on a form with a person hand pointing to things.</t>
  </si>
  <si>
    <t>We see the person spins the cake with the cardboard above it.</t>
  </si>
  <si>
    <t>A person scrapes wax paper over the cake.</t>
  </si>
  <si>
    <t>We see a whole globe covered in chocolate.</t>
  </si>
  <si>
    <t>v_WP8YccCA2Jc</t>
  </si>
  <si>
    <t>Man scraps the ice from his windshield.</t>
  </si>
  <si>
    <t>The man in black puts a piece of cardboard on his windshield.</t>
  </si>
  <si>
    <t>Man pours hot water mixture on his cold windshield.</t>
  </si>
  <si>
    <t>v_YNVK-pb7fWM</t>
  </si>
  <si>
    <t>Two women are seen sitting in a park with one behind the other.</t>
  </si>
  <si>
    <t>One girl begins braiding the hair of another while sitting behind.</t>
  </si>
  <si>
    <t>The girl finishes the hair while the other looks back to the camera.</t>
  </si>
  <si>
    <t>v_eEfvYiuGULM</t>
  </si>
  <si>
    <t>Athletes throw a javelin across the field during a competition in a stadium.</t>
  </si>
  <si>
    <t>The athlete is not pleased with his throw and slaps his legs in frustration.</t>
  </si>
  <si>
    <t>The athlete is moderately pleased with his throw and claps his hands walking away and nods his head.</t>
  </si>
  <si>
    <t>A scoreboard is seen with the results of the competition.</t>
  </si>
  <si>
    <t>v_nDRaXY5ddPs</t>
  </si>
  <si>
    <t>A person is using a mop to mop the floor.</t>
  </si>
  <si>
    <t>A small dog is chasing the mop.</t>
  </si>
  <si>
    <t>They continue to mop with the dog on the mop.</t>
  </si>
  <si>
    <t>v_ZKo3_ifK2tQ</t>
  </si>
  <si>
    <t>A toy bear wearing red and white overalls pours a cup of coffee into a yellow coffee cup.</t>
  </si>
  <si>
    <t>The camera man zooms in on the toy bear from a side view to a front view.</t>
  </si>
  <si>
    <t>The camera man pans out and moves to a side view of the toy bear and zooms out.</t>
  </si>
  <si>
    <t>v_D_GSISuQw3Y</t>
  </si>
  <si>
    <t>There's a girl wearing a brown Cheers shirt doing a demonstration on how to paint her nails.</t>
  </si>
  <si>
    <t>She shows a bottle of magenta nail polish that she has already used on her nails.</t>
  </si>
  <si>
    <t>Then she takes a strip of rhinestones that she meticulously places and glues on her painted fingernails.</t>
  </si>
  <si>
    <t>Then she coats her nails and the rhinestones with a layer of neutral polish to secure the rhinestones.</t>
  </si>
  <si>
    <t>She talks in the camera as two boys stand behind her trying to participating in the video tutorial.</t>
  </si>
  <si>
    <t>v_nD4VObLUOuE</t>
  </si>
  <si>
    <t>We see a man in an orange shirt twirl and spin to throw the hammer over 80km .</t>
  </si>
  <si>
    <t>Next we see a man in a blue shirt throw 73km.</t>
  </si>
  <si>
    <t>We see a man in a white shirt throw 75km.</t>
  </si>
  <si>
    <t>The man in orange goes again and throws 81km.</t>
  </si>
  <si>
    <t>v_9WXl-2sINno</t>
  </si>
  <si>
    <t>A young girl giving a make up tutorial.</t>
  </si>
  <si>
    <t>She begins with the eye shadow.</t>
  </si>
  <si>
    <t>She gets a little bit distracted and starts talking to someone else in the room.</t>
  </si>
  <si>
    <t>She then finishes her other eye and laughs a little bit.</t>
  </si>
  <si>
    <t>v_U4ua-VD7hNM</t>
  </si>
  <si>
    <t>A person is seen laying on a long wire and walks his way all the way to end.</t>
  </si>
  <si>
    <t>He attempts to flip across the string again but fails and hurts himself.</t>
  </si>
  <si>
    <t>Several more men are seen watching from the sides when one slides across again.</t>
  </si>
  <si>
    <t>Another man is seen doing a flip on a rock and more shots people walking and jumping onto the string are shown.</t>
  </si>
  <si>
    <t>v_1gM0xfKN-Kc</t>
  </si>
  <si>
    <t>Several men and women are outside on a silver adult monkey bars climbing across it.</t>
  </si>
  <si>
    <t>After they all finish,the people get off and run back to do another set on the monkey bars.</t>
  </si>
  <si>
    <t>In the distance,more people are coming from the trail and a young boy is shown going across the bars before a group of images of them doing different activities are shown.</t>
  </si>
  <si>
    <t>v_zoSNO_k9RoM</t>
  </si>
  <si>
    <t>A person puts a contact lens in his right eye.</t>
  </si>
  <si>
    <t>Then, the person puts a contact lens in his left eye.</t>
  </si>
  <si>
    <t>v_ytvIoI5uwFA</t>
  </si>
  <si>
    <t>A man is standing in front of another man while someone adjusts the table between them.</t>
  </si>
  <si>
    <t>The men lock arms, and begin to arm wrestle.</t>
  </si>
  <si>
    <t>They push and pull hard, trying to win.</t>
  </si>
  <si>
    <t>They suddenly begin punching each other, breaking out in a fight.</t>
  </si>
  <si>
    <t>One begins to fall after a punch.</t>
  </si>
  <si>
    <t>v_M5UrBI13R3s</t>
  </si>
  <si>
    <t>A white intro screen appears and red letters in a foreign language appear flashing on the screen.</t>
  </si>
  <si>
    <t>A white bowl filled with water and 3 potatoes appear in one bowl, and ice cubes are in another white bowl.</t>
  </si>
  <si>
    <t>A hand then grabs the top potato, the bowl of ice cubes and pours the cubes into a bigger white bowl that already has water in it.</t>
  </si>
  <si>
    <t>The two hands now drop the potato into the larger bowl with the ice cubes and water and the fingers begin to peel off all of the skin under the water and when all the peels are gone the potato is placed onto a clean white plate.</t>
  </si>
  <si>
    <t>The white outro screen appears and more foreign red letters appear.</t>
  </si>
  <si>
    <t>v_VFVAkH9zPIM</t>
  </si>
  <si>
    <t>We see the title introducing us to Jesse.</t>
  </si>
  <si>
    <t>Jesse the dog runs and catches Frisbee.</t>
  </si>
  <si>
    <t>We see Jesse close up in the camera.</t>
  </si>
  <si>
    <t>Jesse is running around catching the Frisbee the lady throws.</t>
  </si>
  <si>
    <t>We see five still shots of Jesse jumping in the air.</t>
  </si>
  <si>
    <t>Jesse continues to run around with his Frisbee.</t>
  </si>
  <si>
    <t>We see the end credits on a black screen.</t>
  </si>
  <si>
    <t>v_We0DJIKCBOw</t>
  </si>
  <si>
    <t>A woman is shown preparing to lift a barbell into the air.</t>
  </si>
  <si>
    <t>She lifts it into the air and above her head.</t>
  </si>
  <si>
    <t>She drops the barbell to the ground.</t>
  </si>
  <si>
    <t>She bows for the crowd and blows them a kiss.</t>
  </si>
  <si>
    <t>She then walks off stage.</t>
  </si>
  <si>
    <t>v_zBg0FEtpC-o</t>
  </si>
  <si>
    <t>A man in a black knit hat talks to the camera while standing in front of a table with items on it and in front of a yellow truck with a black star on the door.</t>
  </si>
  <si>
    <t>The man picks up an orange packet from the table and later a smaller yellow packet and an orange device, all while talking.</t>
  </si>
  <si>
    <t>The man then places the yellow packet and orange device on the table next to each other on a metal table.</t>
  </si>
  <si>
    <t>The man then takes a metal plate, puts it upside down and starts a fire on top of it using the materials in the packet, before returning to talk to the camera again.</t>
  </si>
  <si>
    <t>v_6RxF2UHMYQM</t>
  </si>
  <si>
    <t>A person picks up a paint brush and can of varnish on an outside lawn.</t>
  </si>
  <si>
    <t>The person paints a coat various boards leaning up against an exterior wall of home.</t>
  </si>
  <si>
    <t>v_yWvyLG3kq2I</t>
  </si>
  <si>
    <t>A large water fall is shown.</t>
  </si>
  <si>
    <t>A person goes over the water fall in a green kayak.</t>
  </si>
  <si>
    <t>People are standing on the rocks above the water watching.</t>
  </si>
  <si>
    <t>v_KkpQ347Ceak</t>
  </si>
  <si>
    <t>A person is putting food into a bowl.</t>
  </si>
  <si>
    <t>They crack a nut and put that into the bowl.</t>
  </si>
  <si>
    <t>They crack another nut over a black tray.</t>
  </si>
  <si>
    <t>v_-HKsU_uFUWo</t>
  </si>
  <si>
    <t>woman is kneeling down in the floor talking to the camera holding a bend slide and opens it in the living room.</t>
  </si>
  <si>
    <t>dog is walking behind th woman.</t>
  </si>
  <si>
    <t>baby is walking to the woman and climb to the slide.</t>
  </si>
  <si>
    <t>v_Q9UovyMsTLc</t>
  </si>
  <si>
    <t>Three girls are seen standing behind a counter speaking to the camera with one spreading butter around a pan.</t>
  </si>
  <si>
    <t>Another mixes ingredients into a bowl with another girl's help and the girls lick the spoon used afterwards.</t>
  </si>
  <si>
    <t>They pour the mixture into a pan, put it in the oven, then shortly take it out some time after.</t>
  </si>
  <si>
    <t>Frosting is then seen all over the cake and the girl's spread it around and serve pieces onto a plate, followed by them eating on in a living room.</t>
  </si>
  <si>
    <t>v_7CNEttu-t7g</t>
  </si>
  <si>
    <t>A large exercise machine is shown.</t>
  </si>
  <si>
    <t>A man sits down and starts working out on the exercise machine.</t>
  </si>
  <si>
    <t>v_weeD4A7gl2A</t>
  </si>
  <si>
    <t>A car is seen sitting inside a car wash on a security camera with rags moving up and down the vehicle.</t>
  </si>
  <si>
    <t>A man then opens his door which is followed by the machine taking off the door and the car driving away.</t>
  </si>
  <si>
    <t>v_jx7_0MRlScw</t>
  </si>
  <si>
    <t>People are driving around playing bumper cars.</t>
  </si>
  <si>
    <t>A man has to help get cars unstuck.</t>
  </si>
  <si>
    <t>v_G0g7vEwI0z8</t>
  </si>
  <si>
    <t>Two people are cooking in pans on the oven.</t>
  </si>
  <si>
    <t>Two plates of food are on the counter.</t>
  </si>
  <si>
    <t>v_p3-tF0riSpQ</t>
  </si>
  <si>
    <t>A man is first seen speaking to the camera with text questions being asked to him.</t>
  </si>
  <si>
    <t>He is then seen putting a cleaner on his teeth and taking a bit of food.</t>
  </si>
  <si>
    <t>He continues speaking to the camera while occasionally eating food.</t>
  </si>
  <si>
    <t>v_hQl2eeYX3IY</t>
  </si>
  <si>
    <t>There's a man in a red shirt and brown hat blowing leaves off his driveway with a leaf blower.</t>
  </si>
  <si>
    <t>He begins by blowing the leaves off from near the front lawn.</t>
  </si>
  <si>
    <t>Then he moves towards where his white van is parked.</t>
  </si>
  <si>
    <t>He walks all around the driveway and blow the leaves, making sure he covers the entire driveway.</t>
  </si>
  <si>
    <t>Then he goes towards the corner of the garage and blow off a large pile of leaves that is lying there in a heap.</t>
  </si>
  <si>
    <t>v_MVVhOW7t3u0</t>
  </si>
  <si>
    <t>A track athlete walks down the path.</t>
  </si>
  <si>
    <t>A female participant prepares to run.</t>
  </si>
  <si>
    <t>She runs with a javelin over her shoulder, throwing it as far as she can.</t>
  </si>
  <si>
    <t>She then runs away from the spot on the track.</t>
  </si>
  <si>
    <t>v_zYN_cbLO3MU</t>
  </si>
  <si>
    <t>Several people surf with paddles in ocean water navigating rough waves as onlookers watch from boats and kayaks.</t>
  </si>
  <si>
    <t>A man is paddle rowing on a surfboard in a body of water, when he begins to surf the ocean waves using the paddle to navigate and guide the surfboard.</t>
  </si>
  <si>
    <t>Another man is shown in a red outfit performing the same feat with the paddle along with yet another man in a green shirt.</t>
  </si>
  <si>
    <t>Another man in is paddle surfboarding in a clear blue type of water before the scene switches again to another several more people navigating large and rough waves with surfboard and paddles.</t>
  </si>
  <si>
    <t>v_g9sYWTE6LTg</t>
  </si>
  <si>
    <t>A large group of people are sitting around while two men bring out a table and a man and woman stand on it.</t>
  </si>
  <si>
    <t>The man and woman speak to the crowd and perform a tango routine while standing on the table the entire time.</t>
  </si>
  <si>
    <t>The people step off the table and bow to the audience clapping and the camera panning around.</t>
  </si>
  <si>
    <t>v_kt_sGN-1prU</t>
  </si>
  <si>
    <t>Various text shown leads into several clips of people swinging around on uneven bars.</t>
  </si>
  <si>
    <t>More and more gymnasts are shown jumping off of a beam and onto uneven bars.</t>
  </si>
  <si>
    <t>Several woman are shown back to back performing these tricks.</t>
  </si>
  <si>
    <t>v_x06fLYM58wM</t>
  </si>
  <si>
    <t>A female ballet dancer is in a studio room by herself wearing a purple leotard with a skirt attached to it.</t>
  </si>
  <si>
    <t>She begins gracefully dancing throughout the room doing a series of turns and kicks all while on the tip of her toes.</t>
  </si>
  <si>
    <t>Finally,she begins doing a series of tiny backward steps and finishes in the position she started in.</t>
  </si>
  <si>
    <t>v_cXw6os9Xk5c</t>
  </si>
  <si>
    <t>A man on the side of the street drumming away on an actual drum set.</t>
  </si>
  <si>
    <t>People are standing around waiting an watching him.</t>
  </si>
  <si>
    <t>Cars are passing by and he just continues to drum like it's normal.</t>
  </si>
  <si>
    <t>He jams out using the cymbals and everything.</t>
  </si>
  <si>
    <t>v_6x3qs7jQQko</t>
  </si>
  <si>
    <t>A woman is styling the hair of a mannequin.</t>
  </si>
  <si>
    <t>She rolls the hair into curlers on top of the head of the mannequin.</t>
  </si>
  <si>
    <t>She takes the curlers out of the hair and styles it.</t>
  </si>
  <si>
    <t>v_x7PDVqDFw6c</t>
  </si>
  <si>
    <t>Film strips appear to roll across the screen.</t>
  </si>
  <si>
    <t>A man is using a telescoping pole by the side of a building.</t>
  </si>
  <si>
    <t>He stretches it upward, then cleans the side of the building with it.</t>
  </si>
  <si>
    <t>He uses it to clean the windows tha are highest.</t>
  </si>
  <si>
    <t>v_dIlpPraDc-I</t>
  </si>
  <si>
    <t>The man in red jacket is skiing on the slope.</t>
  </si>
  <si>
    <t>The man in is skiing down slope with is knees bend down.</t>
  </si>
  <si>
    <t>The man is skiing down the mountain.</t>
  </si>
  <si>
    <t>v_mhHoL-9mY1E</t>
  </si>
  <si>
    <t>We see a person sitting in front of a shoe holding a can with brush.</t>
  </si>
  <si>
    <t>The man takes the top off and sprays the shoes.</t>
  </si>
  <si>
    <t>The man uses the brush on the shoe to rub the shoe.</t>
  </si>
  <si>
    <t>The man puts the top back on the can.</t>
  </si>
  <si>
    <t>The man gets up and grabs the camera.</t>
  </si>
  <si>
    <t>v_VEihQG2UWKE</t>
  </si>
  <si>
    <t>People are flying kites on grass.</t>
  </si>
  <si>
    <t>The kites are shown in the sky.</t>
  </si>
  <si>
    <t>A woman is holding a purple umbrella.</t>
  </si>
  <si>
    <t>People are walking around in a park.</t>
  </si>
  <si>
    <t>v_hpoReoD1vD0</t>
  </si>
  <si>
    <t>A white plate is sitting on a white table in a kitchen.</t>
  </si>
  <si>
    <t>A child places turkey slices on two pieces of white bread, then adds a slice of cheese.</t>
  </si>
  <si>
    <t>Finally, she adds a layer of miracle whip.</t>
  </si>
  <si>
    <t>She leans forward, taking a large bite of the sandwich.</t>
  </si>
  <si>
    <t>v_8fqxUtHLyoE</t>
  </si>
  <si>
    <t>Two women are on a court with jump ropes.</t>
  </si>
  <si>
    <t>They do several stunts while jumping the ropes.</t>
  </si>
  <si>
    <t>They flip forward, backward and sideways in unison.</t>
  </si>
  <si>
    <t>v_IjmeHBgFb3g</t>
  </si>
  <si>
    <t>A gymnast is seen sitting before a beam and begins performing a routine with another person attached to his lower half.</t>
  </si>
  <si>
    <t>The two present to be one gymnast on a bar and end with them jumping off with their arms up.</t>
  </si>
  <si>
    <t>v_h9YbUJuYzLk</t>
  </si>
  <si>
    <t>A male stylist talks as he smooths a woman's hair.</t>
  </si>
  <si>
    <t>He then demonstrates how to cut and style her hair, clipping it as he goes.</t>
  </si>
  <si>
    <t>When he is done, he blows her hair dry and gives it it's final styling.</t>
  </si>
  <si>
    <t>v_XNzQVEmoJrY</t>
  </si>
  <si>
    <t>We see finger in front of the camera.</t>
  </si>
  <si>
    <t>A man in green walks unto a squash court.</t>
  </si>
  <si>
    <t>The light goes out and the room is dark.</t>
  </si>
  <si>
    <t>The man in green walks to the middle of the court and hits the ball back and forth.</t>
  </si>
  <si>
    <t>The man finishes and walks towards the camera.</t>
  </si>
  <si>
    <t>v_deU1mGcNh1Q</t>
  </si>
  <si>
    <t>A young child is seen sitting on the floor grabbing ice cream with it's hands.</t>
  </si>
  <si>
    <t>The child then grabs a spoon and continues to use his hands to eat.</t>
  </si>
  <si>
    <t>v_wEI_iPEfLNk</t>
  </si>
  <si>
    <t>A woman is seen speaking to the camera and leads into her holing up a jar of honey.</t>
  </si>
  <si>
    <t>She continues speaking and leads into her rubbing honey on her face.</t>
  </si>
  <si>
    <t>She dries off the mask and continues speaking while smiling to the camera.</t>
  </si>
  <si>
    <t>v_085A7Iv6xzA</t>
  </si>
  <si>
    <t>A view is shown of a man removing a paddle from a fence.</t>
  </si>
  <si>
    <t>We see his face as he speaks, before he kayaks down a very thin stream into open waters.</t>
  </si>
  <si>
    <t>He uses his phone as another person arrives, then videos others shooting down the passageway.</t>
  </si>
  <si>
    <t>v_FtAQcl1h7O8</t>
  </si>
  <si>
    <t>People are riding spin bikes in a gym.</t>
  </si>
  <si>
    <t>Two women are working out on exercise bikes.</t>
  </si>
  <si>
    <t>Yellow words come on the screen.</t>
  </si>
  <si>
    <t>v_v1hQ0vf66QY</t>
  </si>
  <si>
    <t>A countdown of text is shown that leads into clips of sumo wrestlers performing impressive throws.</t>
  </si>
  <si>
    <t>The video continues counting down as more shots are shown of sumo wrestlers fighting one another and people watching on the side.</t>
  </si>
  <si>
    <t>v_ILwwD00q1ZY</t>
  </si>
  <si>
    <t>A person in a furniture store is talking about popular furniture made from reclaimed wood.</t>
  </si>
  <si>
    <t>He shows rustic, contemporary and traditional type of furniture that is in his store.</t>
  </si>
  <si>
    <t>He shows the high quality reclaimed wood and the different furniture made from it.</t>
  </si>
  <si>
    <t>v_jkWqhnD8hyQ</t>
  </si>
  <si>
    <t>We see a title in the upper left corner.</t>
  </si>
  <si>
    <t>The man drills the cabinets apart and wipes and paints them.</t>
  </si>
  <si>
    <t>The cabinets dry and the man wipes them.</t>
  </si>
  <si>
    <t>We see a person applying a product over the paint.</t>
  </si>
  <si>
    <t>We see the cabinet faces put back on the cabinets.</t>
  </si>
  <si>
    <t>v_5BAvlsHfTLk</t>
  </si>
  <si>
    <t>Santa Cruz Nomad Bike company is demonstrating how to install a bike.</t>
  </si>
  <si>
    <t>The company representative is putting together the bike parts piece by piece.</t>
  </si>
  <si>
    <t>He starts with the main body and then goes to attach the wheels, the handle and the pedals.</t>
  </si>
  <si>
    <t>Then he goes ahead and attaches the rubber tires.</t>
  </si>
  <si>
    <t>After that he fixes the handles of the bike with black rubber tops.</t>
  </si>
  <si>
    <t>He finally reinforces all the parts and ensures the bike is ready for use.</t>
  </si>
  <si>
    <t>when he's done, he gets on the bike and rides it.</t>
  </si>
  <si>
    <t>v_q0buJ1CKj-Y</t>
  </si>
  <si>
    <t>A person is seen sitting in front of a desk holding a guitar in his hands.</t>
  </si>
  <si>
    <t>The man then begins playing the instrument moving his hands up and down.</t>
  </si>
  <si>
    <t>The person continues playing on the guitar and looking off into the distance.</t>
  </si>
  <si>
    <t>v_m5T_w1mhWgY</t>
  </si>
  <si>
    <t>A person is seen riding down a snowy hill followed by a man working on a machine and pulling paper out.</t>
  </si>
  <si>
    <t>The camera zooms in on the machine and the man takes a ski and runs the ski over the machine.</t>
  </si>
  <si>
    <t>He shows off the ski while continuing to use them on the machine and showing off how they look.</t>
  </si>
  <si>
    <t>v_KEUJ7ulD-_A</t>
  </si>
  <si>
    <t>The video opens up with an intro segment for a BMX race.</t>
  </si>
  <si>
    <t>The racers are shown at the gate getting ready for the race.</t>
  </si>
  <si>
    <t>Several racers are introduced with their names shown on the screen.</t>
  </si>
  <si>
    <t>The race starts and the racers race around the track.</t>
  </si>
  <si>
    <t>v_Mvw0hvMeM-w</t>
  </si>
  <si>
    <t>The video begins with the annual BMX biking event where several participants are gathered to begin their competitive event.</t>
  </si>
  <si>
    <t>Several bikers begin biking on their bikes on curved slopes in the open air arena.</t>
  </si>
  <si>
    <t>The bikers go over bumpy and hilly slopes in their gears and helmets.</t>
  </si>
  <si>
    <t>There are several bikers beginning a race from the top of the biking slope.</t>
  </si>
  <si>
    <t>They show off their stunts and skills as they speed through the obstacle course of the biking arena.</t>
  </si>
  <si>
    <t>v_bUCMSDMB7MU</t>
  </si>
  <si>
    <t>Two side by side videos are shown of a man in slow motion playing frisbee and doing tricks with a dog.</t>
  </si>
  <si>
    <t>The same man is shown again performing various tricks with his dog that are shown in real time as well as slow motion.</t>
  </si>
  <si>
    <t>v_ziJaskA3588</t>
  </si>
  <si>
    <t>People are in a boat while a person is attached to the back and waterboarding.</t>
  </si>
  <si>
    <t>As a large splash of water flies into the air white words appear in the middle of the screen that say "Wipeout Bay of Plenty".</t>
  </si>
  <si>
    <t>The person is shown from different angles waterboarding and then falling hard into the water multiple times.</t>
  </si>
  <si>
    <t>v_8UyB9XigBXM</t>
  </si>
  <si>
    <t>A young girl is seen brushing her hair as well as spraying product into her hair.</t>
  </si>
  <si>
    <t>She takes her hair in parts and begins braiding her hair.</t>
  </si>
  <si>
    <t>She finishes braiding her hair and ends by a picture of the braid.</t>
  </si>
  <si>
    <t>v_VmjCJxgPSiE</t>
  </si>
  <si>
    <t>A campfire is surrounded by stones.</t>
  </si>
  <si>
    <t>A person adds browned leafs to the campfire.</t>
  </si>
  <si>
    <t>A person uses a stick to move the leaves inside the fire.</t>
  </si>
  <si>
    <t>A person moves backwards away from the fire.</t>
  </si>
  <si>
    <t>A person moves forward towards the fire.</t>
  </si>
  <si>
    <t>v_kLpYpfT5bok</t>
  </si>
  <si>
    <t>Two people are fighting on the ground.</t>
  </si>
  <si>
    <t>People are sitting around them watching.</t>
  </si>
  <si>
    <t>People are sitting on chairs playing drums.</t>
  </si>
  <si>
    <t>v_9jFyJhik9VM</t>
  </si>
  <si>
    <t>A person goes windsurfing on a lime green board in a body of water.</t>
  </si>
  <si>
    <t>The person does a few spins.</t>
  </si>
  <si>
    <t>v_do_AQlxV9SI</t>
  </si>
  <si>
    <t>A large man is doing behind the neck shoulder presses.</t>
  </si>
  <si>
    <t>He is holding his breath doing them and then he stands up and starts to walk.</t>
  </si>
  <si>
    <t>He gets back on the bench and does a few more pf the shoulder presses again.</t>
  </si>
  <si>
    <t>Then, he goes outside and practices spinning and throwing.</t>
  </si>
  <si>
    <t>v_yUC6HXP9S8A</t>
  </si>
  <si>
    <t>A boy is standing outside on top of ice fishing out of a small hole in the ice.</t>
  </si>
  <si>
    <t>The boy struggles to get the fish out and someone comes and takes it out for him.</t>
  </si>
  <si>
    <t>Now there are four men visible and they all begin to fish out of the ice pond.</t>
  </si>
  <si>
    <t>Eventually,a man grabs a chair and starts fishing and taking his fish off of his line.</t>
  </si>
  <si>
    <t>v_1zyyumIi0iQ</t>
  </si>
  <si>
    <t>An intro leads into a group of cheerleaders performing several moves as a team and girls being interviewed on camera.</t>
  </si>
  <si>
    <t>They perform a routine shown by several videos and pictures and continue showing various tricks backstage and on stage.</t>
  </si>
  <si>
    <t>The girls speak to one another back stage with their coach and many people interact with them in the audience.</t>
  </si>
  <si>
    <t>v_i3H8cucgXEc</t>
  </si>
  <si>
    <t>A person is seen riding around on roller blades and performing a grind on a bar.</t>
  </si>
  <si>
    <t>Several more clips are shown of the person performing grinds with roller blades as well as other flips and tricks.</t>
  </si>
  <si>
    <t>v_XN7mRI1qGlQ</t>
  </si>
  <si>
    <t>woman is holding a hairdryer and dying a little kid hair.</t>
  </si>
  <si>
    <t>little kid in the back is standing and laughing.</t>
  </si>
  <si>
    <t>v_UeN7XgwLkOU</t>
  </si>
  <si>
    <t>man is standing in a room opening the blinds.</t>
  </si>
  <si>
    <t>men are skating on sidewalks by the street with a lot of people around.</t>
  </si>
  <si>
    <t>v_aMexiSP5Vjc</t>
  </si>
  <si>
    <t>A young child is seen using an elliptical while watching a computer video in front of her.</t>
  </si>
  <si>
    <t>The girl controls the moves on the video using the machine while the camera zooms in and out of the area.</t>
  </si>
  <si>
    <t>v_TIfAkOBMf5A</t>
  </si>
  <si>
    <t>People run out onto a stage.</t>
  </si>
  <si>
    <t>They begin to dance and work out on the stage.</t>
  </si>
  <si>
    <t>An audience is watching them perform.</t>
  </si>
  <si>
    <t>v_qwJhmfZKdNQ</t>
  </si>
  <si>
    <t>A man wearing a purple sweater is demonstrating how to use garden shears.</t>
  </si>
  <si>
    <t>He is trimming the hedges and bushes in the yard.</t>
  </si>
  <si>
    <t>He shows how the shears can be used effectively in hard to reach places.</t>
  </si>
  <si>
    <t>v_g9bIJ1MIvPk</t>
  </si>
  <si>
    <t>A roll of shingles is shown lying on a roof.</t>
  </si>
  <si>
    <t>A man holds up a sheet of the shingles.</t>
  </si>
  <si>
    <t>He uses pliers to remove damaged shingles before replacing them with new ones.</t>
  </si>
  <si>
    <t>v_e34P8tr-Mi4</t>
  </si>
  <si>
    <t>Three men are applying plaster to the ceiling of an unfinished room while another man watches.</t>
  </si>
  <si>
    <t>One of the men climbs a ladder to reach the ceiling.</t>
  </si>
  <si>
    <t>One man performs a short dance.</t>
  </si>
  <si>
    <t>The camera moves to reveal that the man dancing and another one of the men are using stilts to reach the ceiling.</t>
  </si>
  <si>
    <t>v_e-44ig51evc</t>
  </si>
  <si>
    <t>We see a title screen for the video.</t>
  </si>
  <si>
    <t>We then see little boys playing soccer in a couple of gymnasiums.</t>
  </si>
  <si>
    <t>We watch the boy in the white shirt score a goal.</t>
  </si>
  <si>
    <t>We see a boy kick a goal and the goalie reaches to stop the ball but misses.</t>
  </si>
  <si>
    <t>We see the boy in white score a goal and his Teammates hug him.</t>
  </si>
  <si>
    <t>3:10 The white ream number 10 scores and a teammate gives him a high five.</t>
  </si>
  <si>
    <t>v_zVOj9aaq4L0</t>
  </si>
  <si>
    <t>A woman is shown, playing with her hair.</t>
  </si>
  <si>
    <t>A salon artist appears, and his tools are shown on a table.</t>
  </si>
  <si>
    <t>The woman blows her hair dry before posing, and is shown step by step creating curls in her hair with his tools.</t>
  </si>
  <si>
    <t>She adjusts and brushes her hair, then shows off the final result.</t>
  </si>
  <si>
    <t>v__CYdiU1sMwc</t>
  </si>
  <si>
    <t>A man is using a leaf blower to blow the leaves off the grass.</t>
  </si>
  <si>
    <t>A car drives by on the road at a decent speed.</t>
  </si>
  <si>
    <t>He continues to blow the leaves mindlessly.</t>
  </si>
  <si>
    <t>The leaves are all falling on the road making the grass look so much better.</t>
  </si>
  <si>
    <t>v_cDV1vDdAT1w</t>
  </si>
  <si>
    <t>Several people are seen riding around on surf board with kites on the top.</t>
  </si>
  <si>
    <t>They continue riding around and a small child is seen up close.</t>
  </si>
  <si>
    <t>More shots are shown of them riding around one another and riding along the water.</t>
  </si>
  <si>
    <t>v_CiryRTSYkC4</t>
  </si>
  <si>
    <t>A person is seen gearing up while speaking to the camera and leads into him doing push ups.</t>
  </si>
  <si>
    <t>The man walks down a hallway with a women being introduced and leads into the two playing ping pong.</t>
  </si>
  <si>
    <t>The two continue playing and leads into the man holding up a basketball and the woman shocked.</t>
  </si>
  <si>
    <t>v_W2Wjbhsuacw</t>
  </si>
  <si>
    <t>Outside in a bucket there is some wood and someone come out and starts to blow something on it.</t>
  </si>
  <si>
    <t>He is blowing fire on to it with some kind of fire contraption that looks like a gardening tool.</t>
  </si>
  <si>
    <t>It is catching nicely and the woods is burning quick.</t>
  </si>
  <si>
    <t>The fire dies down a little but is still burning.</t>
  </si>
  <si>
    <t>v_rkDuiu5H8JY</t>
  </si>
  <si>
    <t>A woman demonstrates how to create a braided hairstyle using a young woman as a model for the style in a hands on tutorial.</t>
  </si>
  <si>
    <t>The hairstylist begins by parting the hair in four sections with a comb before braiding each section and clipping a hairpin on the ends of each braid.</t>
  </si>
  <si>
    <t>The woman then pulls each braid across the front of the models hairline.</t>
  </si>
  <si>
    <t>The model showcases the look while sitting in the chair and the camera captures her hairstyle from different angles before and image of three women on a sofa with a fly away helium balloon appears.</t>
  </si>
  <si>
    <t>v_3kEAg-JtDBY</t>
  </si>
  <si>
    <t>A woman is wearing a white robe and a black belt.</t>
  </si>
  <si>
    <t>She does karate moves in her room.</t>
  </si>
  <si>
    <t>She kicks her legs up several times.</t>
  </si>
  <si>
    <t>She finishes and stands up right with her arms by her side and bows.</t>
  </si>
  <si>
    <t>v_HdNOiIdGqvE</t>
  </si>
  <si>
    <t>A man in a white lab coat is seen talking to the camera and showing various tools in a laboratory.</t>
  </si>
  <si>
    <t>Towel are seen sitting in a sink and the man shows the proper hand washing tools.</t>
  </si>
  <si>
    <t>He puts his hands under the sink with soap and washes his hand thoroughly.</t>
  </si>
  <si>
    <t>He dries his hands and continues talking to the camera how why this is important.</t>
  </si>
  <si>
    <t>v_FyxltEKCfZ0</t>
  </si>
  <si>
    <t>We see nurses giving children shots.</t>
  </si>
  <si>
    <t>We see a laboratory with a scientist.</t>
  </si>
  <si>
    <t>We see a person in an MRI and we see a doctor looking at the results.</t>
  </si>
  <si>
    <t>Coffee is poured into a white mug.</t>
  </si>
  <si>
    <t>Coffee beans are spilling on each other.</t>
  </si>
  <si>
    <t>We see people making coffee in a coffee shop.</t>
  </si>
  <si>
    <t>v__NwkwvaC7Bg</t>
  </si>
  <si>
    <t>The scene transitions into a bunch of young people carrying pieces of wood to an open area outdoors.</t>
  </si>
  <si>
    <t>They begin to attempt to chop the wood, but have trouble getting the axe out at first.</t>
  </si>
  <si>
    <t>A woman finally gets the axe out and they start chopping the wood.</t>
  </si>
  <si>
    <t>The camera pans around to the spectators as a woman in a bandanna successfully chops the wood and takes a bow.</t>
  </si>
  <si>
    <t>The scene returns to the woman at that was at the beginning of the video.</t>
  </si>
  <si>
    <t>The video ends with the women around the wood startled as something falls.</t>
  </si>
  <si>
    <t>v_lQP65cm11FA</t>
  </si>
  <si>
    <t>A person puts on safety glasses and walks through a gate into a courtyard.</t>
  </si>
  <si>
    <t>The person blows the leaves from a driveway using an electric blower.</t>
  </si>
  <si>
    <t>The person blows the leaves from a grass area using the blower.</t>
  </si>
  <si>
    <t>The blower is seen up close with different attachments and settings featured.</t>
  </si>
  <si>
    <t>v_Qm7AL0RjHxI</t>
  </si>
  <si>
    <t>A man step on a square drawn in the beach and turns the body back and forth.</t>
  </si>
  <si>
    <t>Then, the man step on the triangle and does hand movements, after the man joint the hands.</t>
  </si>
  <si>
    <t>v_alcSAjjsH9w</t>
  </si>
  <si>
    <t>a man wearing an apron is laughing over a table.</t>
  </si>
  <si>
    <t>He is shown with a large bowl and several cracked eggs.</t>
  </si>
  <si>
    <t>He talks to a group of people about what to do with the eggs.</t>
  </si>
  <si>
    <t>He creates an omelette, then plates it.</t>
  </si>
  <si>
    <t>v_nt9tMdFVQ1c</t>
  </si>
  <si>
    <t>A group of men are playing volleyball on the beach, 3 on one side, and 2 on the other side.</t>
  </si>
  <si>
    <t>One team attempts to serve and it crashes into the net.</t>
  </si>
  <si>
    <t>The other (shorthanded) team sends its own serve, a simple lob, but the opposing team knock their return out of bounds.</t>
  </si>
  <si>
    <t>v_f2W1Mt04CIM</t>
  </si>
  <si>
    <t>People rides bumper cars in a carnival.</t>
  </si>
  <si>
    <t>An old man rides a small bumper car.</t>
  </si>
  <si>
    <t>Several people get stuck with other bumper cars.</t>
  </si>
  <si>
    <t>There are a lot of people in the carnival.</t>
  </si>
  <si>
    <t>v_9UGNhbRWM14</t>
  </si>
  <si>
    <t>A girl and a man are practicing boxing in a gym.</t>
  </si>
  <si>
    <t>There is a punching bag swinging in the background.</t>
  </si>
  <si>
    <t>The girl and man move around the floor swinging at each other.</t>
  </si>
  <si>
    <t>v_wyARf3xHOgs</t>
  </si>
  <si>
    <t>Children practice gymnastics in a room.</t>
  </si>
  <si>
    <t>A woman helps a child do a flip.</t>
  </si>
  <si>
    <t>Some children kick off of a wall.</t>
  </si>
  <si>
    <t>Some other kids do more flips.</t>
  </si>
  <si>
    <t>v_VcthLhKIntA</t>
  </si>
  <si>
    <t>A man wearing a hat is talking on a stage.</t>
  </si>
  <si>
    <t>A woman enters, and she begins to dance.</t>
  </si>
  <si>
    <t>The woman lights a hula hoop on fire, dancing with the hoop.</t>
  </si>
  <si>
    <t>v_9XyrLUWZl40</t>
  </si>
  <si>
    <t>A boy puts together a rubix cube and excitedly drops it.</t>
  </si>
  <si>
    <t>He jumps up and claps his hands together so happy about it.</t>
  </si>
  <si>
    <t>Another boy is doing it with only his feet.</t>
  </si>
  <si>
    <t>It's a competition, the audience is watching as the people competing are being timed.</t>
  </si>
  <si>
    <t>v_BG4QxmqBaS4</t>
  </si>
  <si>
    <t>Screens begin to appear with white words on them describing events that are about to take place.</t>
  </si>
  <si>
    <t>A still image is then shown before a guy attempts to do several pole vault jumps.</t>
  </si>
  <si>
    <t>Another black screen appears and a different person tries to do the jump but he too hits the pole.</t>
  </si>
  <si>
    <t>Once he is done, a different man attempts to do it but he isn't successful either.</t>
  </si>
  <si>
    <t>v_Pi5fonaOYTI</t>
  </si>
  <si>
    <t>A woman is talking to the camera while standing against a white background.</t>
  </si>
  <si>
    <t>She holds up a hula hoop while she talks.</t>
  </si>
  <si>
    <t>She then shows how to utilize the hula hoop while doing exercises and yoga poses, sometimes inserting parts of her body into the hoop.</t>
  </si>
  <si>
    <t>v_CXP20cVQN30</t>
  </si>
  <si>
    <t>People walk past the camera .</t>
  </si>
  <si>
    <t>The camera zooms in to show people swimming in the pool and some playing volleyball in the pool.</t>
  </si>
  <si>
    <t>One person gets out of the pool and walks away.</t>
  </si>
  <si>
    <t>A person throws the ball at someones face.</t>
  </si>
  <si>
    <t>People throw the balls so far that they go out of the pool.</t>
  </si>
  <si>
    <t>v_zDBpa2miW8A</t>
  </si>
  <si>
    <t>An intro starts entitled how to cut the grass.</t>
  </si>
  <si>
    <t>A man walks out wearing funny attire and showing off to the camera with a lawn mower.</t>
  </si>
  <si>
    <t>The man then walks around and blows the leaves off still wearing the funny outfit.</t>
  </si>
  <si>
    <t>v_79gvzh0wn0Q</t>
  </si>
  <si>
    <t>A woman in white karate uniform does a demonstration of a routine on the mat for judges during event.</t>
  </si>
  <si>
    <t>The woman bows and walks off the mat.</t>
  </si>
  <si>
    <t>A woman in black uniform shakes hands with judges.</t>
  </si>
  <si>
    <t>A woman in white uniform walks up and greets judges shaking their hands.</t>
  </si>
  <si>
    <t>v_TfIGKODkpPY</t>
  </si>
  <si>
    <t>There are people flying kites collectively in a huge parking lot where several cars and mini vans are parked.</t>
  </si>
  <si>
    <t>There's a man in a blue striped shirt standing with another man in a brown shirt, both getting ready to fly their orange kite.</t>
  </si>
  <si>
    <t>They pull the strings out of the spool and begin flying the kite.</t>
  </si>
  <si>
    <t>v_Y5VEl3e9Hbo</t>
  </si>
  <si>
    <t>Two boys are polishing shoes with brushes.</t>
  </si>
  <si>
    <t>Then, one boy takes a shoe up to play.</t>
  </si>
  <si>
    <t>A little boy put his leg in a big shoe and polish with a brush.</t>
  </si>
  <si>
    <t>Then, the other boy put his hand in the shoe to polish it.</t>
  </si>
  <si>
    <t>v_5rO2DwFhdwo</t>
  </si>
  <si>
    <t>Two men are on an indoor racquetball court.</t>
  </si>
  <si>
    <t>They pick the ball up and continue competing.</t>
  </si>
  <si>
    <t>v_3GgQdXjJfEU</t>
  </si>
  <si>
    <t>man wearing black shorts is running on race track and make a javelin throw.</t>
  </si>
  <si>
    <t>men are sitting on a side of the race track.</t>
  </si>
  <si>
    <t>man is standing in a dusty diamond behind green net.</t>
  </si>
  <si>
    <t>thee men are standing next to a green net watching the javelin throw.</t>
  </si>
  <si>
    <t>referees wearing green shirts are standing on the field.</t>
  </si>
  <si>
    <t>v_c6wINALtTvs</t>
  </si>
  <si>
    <t>woman is in a kitchen talking to the camera and showing how to prepare cookies.</t>
  </si>
  <si>
    <t>woman is mixing ingredients ni a kitchen aid and making balls and putnig them in a pan and on the oven.</t>
  </si>
  <si>
    <t>v_2QO41PbOUJ0</t>
  </si>
  <si>
    <t>A woman is seen looking off into the distance while smoking a cigarette.</t>
  </si>
  <si>
    <t>She speaks to someone out of frame while taking puffs from her cigarette.</t>
  </si>
  <si>
    <t>She continues smoking while the camera captures her movements.</t>
  </si>
  <si>
    <t>v_7jGKlEvH_uw</t>
  </si>
  <si>
    <t>A woman is seen spinning two hoops around her hands while looking back to the camera and speaking.</t>
  </si>
  <si>
    <t>She continues spinning around the hoops while pausing inbetween to hold them and speak.</t>
  </si>
  <si>
    <t>v_31KEa5VhvPs</t>
  </si>
  <si>
    <t>A group of spectators are gathered in a gym.</t>
  </si>
  <si>
    <t>A man and his teammates are pushing a puck.</t>
  </si>
  <si>
    <t>They are engaged in a game of curling on the ice.</t>
  </si>
  <si>
    <t>v_Xc2CUi0Rnpw</t>
  </si>
  <si>
    <t>The camera zooms in on several players and leads into a small group of people playing soccer against one another.</t>
  </si>
  <si>
    <t>Coaches and audience members react as they watch the game and the players continue kicking the ball up and down the field.</t>
  </si>
  <si>
    <t>v_nt8MurhX7HY</t>
  </si>
  <si>
    <t>A small group of people are seen standing on each side of a rope wile putting their hands up.</t>
  </si>
  <si>
    <t>The men then grab onto the rope and pull against one another.</t>
  </si>
  <si>
    <t>Men watch on the side as one team wins.</t>
  </si>
  <si>
    <t>v_YH3571KWDpM</t>
  </si>
  <si>
    <t>A large group of people are seen standing around an indoor gym behind one another.</t>
  </si>
  <si>
    <t>The group then begins dancing with one another performing the same moves.</t>
  </si>
  <si>
    <t>The people continue to dance around the room while the camera records their movements.</t>
  </si>
  <si>
    <t>v_ZmUk9OQ1zfk</t>
  </si>
  <si>
    <t>Several team members from a volleyball games are interviewed.</t>
  </si>
  <si>
    <t>They are shown playing on the beach, kicking the ball.</t>
  </si>
  <si>
    <t>v_hN9diyaOK4E</t>
  </si>
  <si>
    <t>A man competes solving a puzzle cube.</t>
  </si>
  <si>
    <t>A person pass behind the man.</t>
  </si>
  <si>
    <t>A hand extends a sheet on front the player.</t>
  </si>
  <si>
    <t>After finish, the man puts on his glasses.</t>
  </si>
  <si>
    <t>v_l-YtPYZ_534</t>
  </si>
  <si>
    <t>We see two men sitting then shaking their heads.</t>
  </si>
  <si>
    <t>We see tools and tips for croquet.</t>
  </si>
  <si>
    <t>The two men argue about the game.</t>
  </si>
  <si>
    <t>We see the men playing croquet.</t>
  </si>
  <si>
    <t>We see a diagram on the screen.</t>
  </si>
  <si>
    <t>The man has his foot on a red ball.</t>
  </si>
  <si>
    <t>We see a man laugh and dance while another is upset.</t>
  </si>
  <si>
    <t>v_ghWwS5ev6xk</t>
  </si>
  <si>
    <t>A man is seen sitting in a kayak while speaking to the camera and holding a paddle.</t>
  </si>
  <si>
    <t>The man then moves himself around on the kayak while demonstrating how to properly move.</t>
  </si>
  <si>
    <t>He continues to spin around while looking up at the camera.</t>
  </si>
  <si>
    <t>v_HVD8N0bbPVo</t>
  </si>
  <si>
    <t>A man in sunglasses is standing outside a building.</t>
  </si>
  <si>
    <t>He is then seen inside an elevator, acting strangely as he punches the air with different people riding.</t>
  </si>
  <si>
    <t>He is intentionally trying to scare and worry them.</t>
  </si>
  <si>
    <t>v_Ogx1hUoOSrE</t>
  </si>
  <si>
    <t>Four girls are shown looking into the camera.</t>
  </si>
  <si>
    <t>A girl up front begins waving a bottle of mouthwash.</t>
  </si>
  <si>
    <t>The girl then takes a cup of the mouthwash and drinks it.</t>
  </si>
  <si>
    <t>The cup of mouthwash is passed around until all the girls drink from it.</t>
  </si>
  <si>
    <t>v_PofMK_beoR8</t>
  </si>
  <si>
    <t>Several people begin walking into a room wearing Kangaroo shoes and bouncing around.</t>
  </si>
  <si>
    <t>On the left side of the room,there is a bar on two poles that is about five feet high that each person takes turns jumping over.</t>
  </si>
  <si>
    <t>v_qt-0mo_8ufU</t>
  </si>
  <si>
    <t>Skiers ride up a ski lift.</t>
  </si>
  <si>
    <t>A man in yellow skis down a slope.</t>
  </si>
  <si>
    <t>Several tricks are done by skiers.</t>
  </si>
  <si>
    <t>They jump over several ramps.</t>
  </si>
  <si>
    <t>v_kcB7HQPxzDM</t>
  </si>
  <si>
    <t>Lithuanian Zinaida Sendriute throws the discus 64 meters to lead out for her third throw, waving to the camera as she walks off.</t>
  </si>
  <si>
    <t>Cuban Yarelis Barrios is next and unleashes a mighty 67 meter toss with a thunderous scream.</t>
  </si>
  <si>
    <t>Croatian Sandra Perkovic out distances both of the previous throwers with a 69 meter toss to claim the lead.</t>
  </si>
  <si>
    <t>v_p35FXT4drA0</t>
  </si>
  <si>
    <t>An athletic man is seen stepping up to a circle and throwing an object off into the distance.</t>
  </si>
  <si>
    <t>His throw is shown again while others measure his throw on the side.</t>
  </si>
  <si>
    <t>The man grabs a flag and walks around the arena.</t>
  </si>
  <si>
    <t>v_Y_ITwC4_pEY</t>
  </si>
  <si>
    <t>A large screen is shown followed by a band playing on stage.</t>
  </si>
  <si>
    <t>A man wearing a mickey costume and playing the drums.</t>
  </si>
  <si>
    <t>The man continues playing the drums and ends with the curtain closing.</t>
  </si>
  <si>
    <t>v_YMsyF-g2TqE</t>
  </si>
  <si>
    <t>We see a carved pumpkin and a title screen.</t>
  </si>
  <si>
    <t>A man draws a face on a pumpkin.</t>
  </si>
  <si>
    <t>A man then carves a pumpkin into a snarling old man.</t>
  </si>
  <si>
    <t>The man takes an image of the pumpkin with a phone.</t>
  </si>
  <si>
    <t>The man tilts the pumpkin back into the light.</t>
  </si>
  <si>
    <t>We see still shots of the carved pumpkin.</t>
  </si>
  <si>
    <t>We see the ending screen with a website.</t>
  </si>
  <si>
    <t>v_OkCu0QymO10</t>
  </si>
  <si>
    <t>A man is seen standing on a ladder and working on a roof while the camera captures his movements.</t>
  </si>
  <si>
    <t>The man then sprays down the roof and moves back and fourth.</t>
  </si>
  <si>
    <t>v_FRsHew2Pcko</t>
  </si>
  <si>
    <t>A young boy is seated in front of a drum set.</t>
  </si>
  <si>
    <t>He is rapidly playing the drums in front of him.</t>
  </si>
  <si>
    <t>He also hits the cymbals several times.</t>
  </si>
  <si>
    <t>v_fkgojk18K0E</t>
  </si>
  <si>
    <t>We see a lady in a dancing costume.</t>
  </si>
  <si>
    <t>She points at her hips and waist.</t>
  </si>
  <si>
    <t>She begins to belly dance slowly.</t>
  </si>
  <si>
    <t>She picks up speed and spins her hands.</t>
  </si>
  <si>
    <t>She goes slower then goes fast again.</t>
  </si>
  <si>
    <t>The lady finishes her dance, stops and bows.</t>
  </si>
  <si>
    <t>v_c5Io6wg8D60</t>
  </si>
  <si>
    <t>A man is standing by a desk talking with some coaches about something.</t>
  </si>
  <si>
    <t>He begins to walk backwards and get himself ready to start running.</t>
  </si>
  <si>
    <t>He starts running and builds up speed pretty quickly.</t>
  </si>
  <si>
    <t>He lands into the sand and when he is done and man come behind him to smooth the sand out.</t>
  </si>
  <si>
    <t>v_88qqQjRPFUQ</t>
  </si>
  <si>
    <t>A camera shows a young child walking up a playground set with a dog wandering in the back.</t>
  </si>
  <si>
    <t>The child climbs up a set of stairs and slides down a slide.</t>
  </si>
  <si>
    <t>v_wdecG9VSAl0</t>
  </si>
  <si>
    <t>A young man is seen paddling a canoe down a river.</t>
  </si>
  <si>
    <t>He talks to the camera as he approaches.</t>
  </si>
  <si>
    <t>He gets out, continuing to talk about canoeing.</t>
  </si>
  <si>
    <t>v_V50vtrHboIE</t>
  </si>
  <si>
    <t>A woman is seen moving a hula hoop close up in front of the camera.</t>
  </si>
  <si>
    <t>The girl then speaks to the camera and leads into her spinning a hula hoop around.</t>
  </si>
  <si>
    <t>The woman continues speaking to the camera while spinning the hoop and demonstrating how to perform proper moves.</t>
  </si>
  <si>
    <t>v_BJWL_X79HRc</t>
  </si>
  <si>
    <t>Several men dreassed in lacrosse gear run onto a field.</t>
  </si>
  <si>
    <t>The opposing teams are shown in several clips, fighting and hitting the ball into each other's goals.</t>
  </si>
  <si>
    <t>v_6kUeZVukTEI</t>
  </si>
  <si>
    <t>Several clips are shown of people lifting heavy weights as well as jumping on a track.</t>
  </si>
  <si>
    <t>People are seen jumping over poles, squatting with weights, as well as performing various other exercises.</t>
  </si>
  <si>
    <t>In the end more people are seen jumping over a pole.</t>
  </si>
  <si>
    <t>v_fzHg9PhhlAg</t>
  </si>
  <si>
    <t>Several men from different places are outside on a large field playing cricket.</t>
  </si>
  <si>
    <t>Men come to the middle of the field and stand around a small rectangle and begin hitting the ball extremely far.</t>
  </si>
  <si>
    <t>As the ball goes to the outfield,the teammates begin jumping up and down and cheering for their team.</t>
  </si>
  <si>
    <t>Finally,a man is shown holding up a large silver award.</t>
  </si>
  <si>
    <t>v_SHT08nPhIb4</t>
  </si>
  <si>
    <t>A man is shooting a basketball into a hoop.</t>
  </si>
  <si>
    <t>Another man starts shooting a basketball into the hoop.</t>
  </si>
  <si>
    <t>The first man watches the second man.</t>
  </si>
  <si>
    <t>v_btMVEIvr0oc</t>
  </si>
  <si>
    <t>We see kids playing dodge ball in a trampoline park.</t>
  </si>
  <si>
    <t>We see a boy hit with the ball and throw it back.</t>
  </si>
  <si>
    <t>We see a boy in green throw the ball hard.</t>
  </si>
  <si>
    <t>The boy in striped shirt joins the game and the boy in red is out.</t>
  </si>
  <si>
    <t>A girl walks past the camera waving her hand.</t>
  </si>
  <si>
    <t>A boy in a yellow shirt walks towards the camera.</t>
  </si>
  <si>
    <t>v_xaMEGQCxddY</t>
  </si>
  <si>
    <t>Old videos are shown of track meets.</t>
  </si>
  <si>
    <t>A man is shown multiple times as he throws a discus.</t>
  </si>
  <si>
    <t>He spins in circles, then throws the disc as far as he can.</t>
  </si>
  <si>
    <t>v_f1HMhfSlPSw</t>
  </si>
  <si>
    <t>Gymnasts do tumbling routines with flips and spins on a mat inside of a gym.</t>
  </si>
  <si>
    <t>Men swings on hand rings as part of his tumbling routine.</t>
  </si>
  <si>
    <t>The man falls on the ground while swinging on the rings.</t>
  </si>
  <si>
    <t>The gymnast plays around a bit batting his ear and waiting for another person to clear the mat.</t>
  </si>
  <si>
    <t>v_ptY-0n53uq0</t>
  </si>
  <si>
    <t>A little boy is inside a garage room.</t>
  </si>
  <si>
    <t>He is playing a large drum set while wearing headphones.</t>
  </si>
  <si>
    <t>He hits the cymbals and drums hard with the sticks.</t>
  </si>
  <si>
    <t>v_G-EDozcMT_4</t>
  </si>
  <si>
    <t>An intro leads into several shots of skateboarders riding around on rails in a large city.</t>
  </si>
  <si>
    <t>The camera follows these borders closely as they perform tricks up stairs and over benches.</t>
  </si>
  <si>
    <t>The men continue skating on and ends with a police woman smiling and giving a thumbs up to the camera.</t>
  </si>
  <si>
    <t>v_qWdjYyFfrTM</t>
  </si>
  <si>
    <t>A production graphic is shown along with a link for more media.</t>
  </si>
  <si>
    <t>This fades into a man starting to play the saxophone in his living room up to a microphone.</t>
  </si>
  <si>
    <t>The man is now wearing sunglasses while playing, grooving to the music.</t>
  </si>
  <si>
    <t>The man is shown back without the sunglasses.</t>
  </si>
  <si>
    <t>Another window displaying the performer is shown in the corner of the video.</t>
  </si>
  <si>
    <t>v_KaGGtAhiH64</t>
  </si>
  <si>
    <t>A group of young men are seated at tables at a rubiks cube competition.</t>
  </si>
  <si>
    <t>An official removes a slip of paper from a rubiks cube sitting in front of a young man at the end of a table after which the competitor solves the cube and celebrates by banging his hands on the table.</t>
  </si>
  <si>
    <t>An official lifts a cup to reveal a rubiks cube that the same man then solves.</t>
  </si>
  <si>
    <t>A young man wearing a beige shirt solves a cube and presses his hands to his face before standing up.</t>
  </si>
  <si>
    <t>An official removes a piece of paper from on top of a cube as the young man in the black sweatshirt solves another cube.</t>
  </si>
  <si>
    <t>The young man solves two more cubes in front of an official before moving to get up.</t>
  </si>
  <si>
    <t>v_gIFI03m-ATM</t>
  </si>
  <si>
    <t>A large paint ball arena is shown with a group of people standing off to the side.</t>
  </si>
  <si>
    <t>The people then begin running around the course shooting guns at one another.</t>
  </si>
  <si>
    <t>The people continue running around and stop i the end to speak to one another.</t>
  </si>
  <si>
    <t>v_Jz2xJx1ICCM</t>
  </si>
  <si>
    <t>Some kids in class are about to start arm wrestling, they get their arms in place to start.</t>
  </si>
  <si>
    <t>The other kid on the side feels on one of the wrestlers muscles.</t>
  </si>
  <si>
    <t>He's writing things down keeping score and what not.</t>
  </si>
  <si>
    <t>The female arm wrestler wins bringing down the other guys arm.</t>
  </si>
  <si>
    <t>v_n7dHbqoEiek</t>
  </si>
  <si>
    <t>A man trims a wall of foliage outdoors, while wearing shorts and a pair of noise canceling headphones with a tree trimming motorized tool.</t>
  </si>
  <si>
    <t>The man takes a break and then climbs a ladder and uses the tool with an extended arm to trim the top of the wall from the top of the ladder.</t>
  </si>
  <si>
    <t>The man then moves the ladder down the length of the wall to continue trimming the foliage.</t>
  </si>
  <si>
    <t>v_mXb1tduBEj8</t>
  </si>
  <si>
    <t>A man is seen speaking to the camera holding a volleyball and leads into shots of him hitting the ball.</t>
  </si>
  <si>
    <t>He continues speaking to the camera while holding the ball and looking off into the distance.</t>
  </si>
  <si>
    <t>v_8Zgys8Vn-4Y</t>
  </si>
  <si>
    <t>A person is shown on skis riding behind a boat on water performing various tricks.</t>
  </si>
  <si>
    <t>The man continues doing several different tricks on the skis and the boat moving a lot faster.</t>
  </si>
  <si>
    <t>v_ywl6JVt7-7I</t>
  </si>
  <si>
    <t>A person is seen riding around on a lawn mower cutting the grass in a large field.</t>
  </si>
  <si>
    <t>The young boy moves closer to the camera while still driving around and cutting the grass.</t>
  </si>
  <si>
    <t>v_6iA4RXGAR_k</t>
  </si>
  <si>
    <t>Two ballroom dances are shown performing a routine in a large auditorium.</t>
  </si>
  <si>
    <t>The couple spin multiple times while the audience cheers them on loudly.</t>
  </si>
  <si>
    <t>They continue performing their dance routine and several people on look using phones and cameras.</t>
  </si>
  <si>
    <t>The couple does one last spin and eventually takes a bow.</t>
  </si>
  <si>
    <t>v_xIB7VSLKvaM</t>
  </si>
  <si>
    <t>A man is shown mowing his lawn with a push mower.</t>
  </si>
  <si>
    <t>He turns and goes back and forth, leaving marks on the lawn.</t>
  </si>
  <si>
    <t>A man talks in the corner of the screen about the process.</t>
  </si>
  <si>
    <t>v__j5JUQzOCtc</t>
  </si>
  <si>
    <t>An Olympic logo is seen with the 5 rings.</t>
  </si>
  <si>
    <t>A young boy wearing striped shirt in a gym lifts a weight bar over his head.</t>
  </si>
  <si>
    <t>A young man in blue shorts lifts a weight bar over his head in a crowded gym.</t>
  </si>
  <si>
    <t>Professional athletes in competitions lift large heavily weighted bars overhead for judging.</t>
  </si>
  <si>
    <t>v_r-xtiGmrKxA</t>
  </si>
  <si>
    <t>A man is standing in the gym alone and begins talking to the camera.</t>
  </si>
  <si>
    <t>He then puts his fist up and begins shadow boxing as he moves around the room.</t>
  </si>
  <si>
    <t>Next,he adds his feet and starts to kick the air and does twist as if someone is there hitting him.</t>
  </si>
  <si>
    <t>Finally,he comes back to the screen slightly out of breath to end the video.</t>
  </si>
  <si>
    <t>v_RZFU1gXLqDs</t>
  </si>
  <si>
    <t>A small group of people are seen sitting in bumper car and begin driving around crashing into one another.</t>
  </si>
  <si>
    <t>The camera follows around a woman he cannot seem to move the car and others on the side instruct her on how to drive as others crash into her.</t>
  </si>
  <si>
    <t>v_TbFqsEFrCB4</t>
  </si>
  <si>
    <t>A man is seen speaking to the camera in front of a large pool while using his hands with enthusiasm.</t>
  </si>
  <si>
    <t>The man continues to speak while using his hands and pans to the man swimming around the pool and back to talking.</t>
  </si>
  <si>
    <t>v_koSLx0E23gU</t>
  </si>
  <si>
    <t>We see an arena from out doors.</t>
  </si>
  <si>
    <t>We see people on trampoline performing flips in the arena.</t>
  </si>
  <si>
    <t>We see a person almost fall after flipping.</t>
  </si>
  <si>
    <t>The person lands and almost falls.</t>
  </si>
  <si>
    <t>A person flips multiple times down a strip on the ground.</t>
  </si>
  <si>
    <t>We see a man jump and land on the trampoline in slow motion.</t>
  </si>
  <si>
    <t>v_jrXoqceGS-k</t>
  </si>
  <si>
    <t>We see an animated opening screen.</t>
  </si>
  <si>
    <t>A man is driving then gets out of his car.</t>
  </si>
  <si>
    <t>We see a man rollerblading in a plaza and a skate park.</t>
  </si>
  <si>
    <t>We see the man's feet in the blades then a man's face.</t>
  </si>
  <si>
    <t>We see the man standing on an elevated sidewalk then skating on the railing.</t>
  </si>
  <si>
    <t>We see the man skate across a bench then put on sunglasses.</t>
  </si>
  <si>
    <t>We see the man turn and click a button and a car blows up.</t>
  </si>
  <si>
    <t>v_zq621OgpFFk</t>
  </si>
  <si>
    <t>A man services a tennis ball across the court.</t>
  </si>
  <si>
    <t>The man turns to talk to the camera.</t>
  </si>
  <si>
    <t>v_XWG_-4VMTcA</t>
  </si>
  <si>
    <t>A wrestler, standing at the top of a ladder, with another man on the ladder with him, but in front of him, jumps off the ladder from the top and takes the other person with him.</t>
  </si>
  <si>
    <t>A man in a wrestling costumer stands at the top of a ladder in the middle of a ring with a referee and people in the audience.</t>
  </si>
  <si>
    <t>The man jumps off the ladder as people in the audience clap for him and the other man falls off as well.</t>
  </si>
  <si>
    <t>v_43OU5XCzLzo</t>
  </si>
  <si>
    <t>People sails in a rocky river on inflatable individual boats.</t>
  </si>
  <si>
    <t>The boats pass with difficulty between the rocks.</t>
  </si>
  <si>
    <t>Then, people enters in more troubled waters.</t>
  </si>
  <si>
    <t>v_e4ZTZDDFtYY</t>
  </si>
  <si>
    <t>kids are standing in the opening of a cartoon.</t>
  </si>
  <si>
    <t>woman is talking in front of a micropone in front of a big audience.</t>
  </si>
  <si>
    <t>mmen are in the middle of an arena in a big stadium fighting between them.</t>
  </si>
  <si>
    <t>v_99A2KqvfBLI</t>
  </si>
  <si>
    <t>A man walks onto the stage to join a band.</t>
  </si>
  <si>
    <t>A man plays up front of a band with a harmonica.</t>
  </si>
  <si>
    <t>The keyboardist plays a spirited solo during the song.</t>
  </si>
  <si>
    <t>The man congratulates and gives a high five to the keyboardist at the end of the song.</t>
  </si>
  <si>
    <t>v_jgHYzuDU2Iw</t>
  </si>
  <si>
    <t>A man in tan khakis and a button down shirt sweeps a floor with a wide broom.</t>
  </si>
  <si>
    <t>A man walks and sweeps a floor walking to the left of the room pushing the wide broom in front of him.</t>
  </si>
  <si>
    <t>The man then walks to the right side of the room with the same wide broom.</t>
  </si>
  <si>
    <t>The man then finishes sweeping, lleans the broom in the corner of the room and stands against the wall in front of a window.</t>
  </si>
  <si>
    <t>v_sqEsAtdFfrg</t>
  </si>
  <si>
    <t>A young child is seen standing ready holding a pole and then runs down a long track and throws the pole.</t>
  </si>
  <si>
    <t>He walks back around the track when another person is seen running down and throwing the stick.</t>
  </si>
  <si>
    <t>Finally one last boy steps up to the track to throw the javelin and then walks back to the others.</t>
  </si>
  <si>
    <t>v_KIOvUY8S2pQ</t>
  </si>
  <si>
    <t>An intro with text is shown across the screen followed by two cartoon characters.</t>
  </si>
  <si>
    <t>The characters speak to one another and lead into them playing a game.</t>
  </si>
  <si>
    <t>One character loses the game and then disappears.</t>
  </si>
  <si>
    <t>v_1Cf8TkmsbMU</t>
  </si>
  <si>
    <t>We see a young man speaking in a news studio.</t>
  </si>
  <si>
    <t>We see a man riding a stationary bike and see a photo of the man holding a cake.</t>
  </si>
  <si>
    <t>We see the man being interviewed cut with scenes of the man working out.</t>
  </si>
  <si>
    <t>We see the man in the image holding the cake again and see the man in the shirt which no longer fits and is too big.</t>
  </si>
  <si>
    <t>We see the man working out again.</t>
  </si>
  <si>
    <t>We see three newscasters in the studio.</t>
  </si>
  <si>
    <t>v_DRK5oUhjwTg</t>
  </si>
  <si>
    <t>A pilates instructor on skates explains how to strap your risk protectors tight and shows that you need knee pads to protect your knees.</t>
  </si>
  <si>
    <t>The lady then explains the skates movement and how to use the breaks that is in the back of the skates.</t>
  </si>
  <si>
    <t>finally the lady shows you the right way to skate to have fun.</t>
  </si>
  <si>
    <t>v_E5bRptEXtq8</t>
  </si>
  <si>
    <t>Kids are sitting in bumper cars.</t>
  </si>
  <si>
    <t>They begin crashing into each other.</t>
  </si>
  <si>
    <t>They stop and start getting out of their cars.</t>
  </si>
  <si>
    <t>v_tnk1skdLN0Q</t>
  </si>
  <si>
    <t>A strong young man is standing in a large open green field preparing to throw a shot put.</t>
  </si>
  <si>
    <t>Once he throws the ball,a man runs out to mark the distance and he walks to the tent and takes the tape off of his wrist.</t>
  </si>
  <si>
    <t>Another man who is slightly shorter and larger approaches the circle and does the same thing followed by another person.</t>
  </si>
  <si>
    <t>All three of the men are finished and there scores shown.</t>
  </si>
  <si>
    <t>v_cDnJjAQtf-g</t>
  </si>
  <si>
    <t>Three men discuss the topic of playing water polo with kayaks.</t>
  </si>
  <si>
    <t>The scene changes to show a display of water polo with kayaks.</t>
  </si>
  <si>
    <t>Two boats crash as two men try to paddle their way to the ball, The men commentate over the scene, they players look severely injured.</t>
  </si>
  <si>
    <t>The display changes back to the men talking about the water polo, they are very intrigued and shocked.</t>
  </si>
  <si>
    <t>The scene reverts back to the water polo accident, the show banner concludes the video.</t>
  </si>
  <si>
    <t>v_G0vkQmcalvk</t>
  </si>
  <si>
    <t>A woman plays the drums and sings on stage.</t>
  </si>
  <si>
    <t>The camera pulls back on the scene.</t>
  </si>
  <si>
    <t>The woman finishes and stands up.</t>
  </si>
  <si>
    <t>v_3HEJb83Wm_I</t>
  </si>
  <si>
    <t>We see a green title screen.</t>
  </si>
  <si>
    <t>A lady in a bathroom talks to the camera.</t>
  </si>
  <si>
    <t>We see her pour baking soda and vinegar on her sink drain and talks and moves her hands while the solution foams.</t>
  </si>
  <si>
    <t>The lady turns the water on to rinse the solution down the drain.</t>
  </si>
  <si>
    <t>v_Kq115s7yL3I</t>
  </si>
  <si>
    <t>A window cleaning commercial demonstrates all the materials and techniques need to clean a house window.</t>
  </si>
  <si>
    <t>The commercial begins with a closeup up a two story house and the interior of the house including a line of large windows.</t>
  </si>
  <si>
    <t>Images of a person cleaning a window, soap, a bucket and sponge are showed along with a chalkboard with ingredients needed to clean a window.</t>
  </si>
  <si>
    <t>A person cleans a window using all of the tools, including removing screens to clean them and removing stickers on windows.</t>
  </si>
  <si>
    <t>v_oqX-n2KHWAM</t>
  </si>
  <si>
    <t>A man is talking as he stands in a kitchen.</t>
  </si>
  <si>
    <t>The man boils milk and adds fresh vanilla and pours the solution into a bowl with other ingredients.</t>
  </si>
  <si>
    <t>The man cooks the custard and pours into a bowl and freezes to make ice cream.</t>
  </si>
  <si>
    <t>The man cuts and cooks rubarb in sugar on the stove.</t>
  </si>
  <si>
    <t>He eats the ice cream over the cooked rubarb.</t>
  </si>
  <si>
    <t>We see a shot of London and fade out.</t>
  </si>
  <si>
    <t>v_uMAjCPUZfp0</t>
  </si>
  <si>
    <t>Several clips are shown of various people fencing with one another.</t>
  </si>
  <si>
    <t>The people continue moving back and fourth while the camera zooms in on the people playing.</t>
  </si>
  <si>
    <t>v_CV9n0jgThLY</t>
  </si>
  <si>
    <t>A person is in the basket of crane on a roof of a barn, while a man stands on the truck holding a rope.</t>
  </si>
  <si>
    <t>Smoke comes near a table.</t>
  </si>
  <si>
    <t>People stand on front the barn watching, also two women and two children stand on front the barn.</t>
  </si>
  <si>
    <t>v_exxji9vqjSw</t>
  </si>
  <si>
    <t>Various shots are shown of snowy mountains that transition in between shots of people skiing and snowboarding down the mountain.</t>
  </si>
  <si>
    <t>The people are seen performing various flips and tricks down the mountain while the camera captures them from many angles as well as the mountain.</t>
  </si>
  <si>
    <t>v_RZkwDTyxMZI</t>
  </si>
  <si>
    <t>We enter a room and see a boy putting a shirt on an ironing board.</t>
  </si>
  <si>
    <t>The boy begins ironing the tank top with an unplugged iron.</t>
  </si>
  <si>
    <t>The little boy irons a gray shirt and sits the iron on the board next to it.</t>
  </si>
  <si>
    <t>The little boy walks away smiling.</t>
  </si>
  <si>
    <t>The boy shows two fingers and walks around the room with the iron.</t>
  </si>
  <si>
    <t>v_EeGunBjmpFw</t>
  </si>
  <si>
    <t>A man in a jacket talks in front of house as men stand on the roof.</t>
  </si>
  <si>
    <t>A man throws shingles off the roof in the background.</t>
  </si>
  <si>
    <t>The men continue to throw the shingles off the roof.</t>
  </si>
  <si>
    <t>The man holding the camera turns and climbs the ladder and stands on the rooftop.</t>
  </si>
  <si>
    <t>The man turns the camera on himself and continues to talk.</t>
  </si>
  <si>
    <t>v_-5K3KZ6fHuI</t>
  </si>
  <si>
    <t>A group of friends are seated on sleds at the top of the hill.</t>
  </si>
  <si>
    <t>The two friends are pushed down the hill and they slide to the bottom.</t>
  </si>
  <si>
    <t>The two friends are stopped by rubber mats at the bottom of the hill.</t>
  </si>
  <si>
    <t>v_Yg6jFRYIyXw</t>
  </si>
  <si>
    <t>An Aurora Borealis is seen over a northern landscape.</t>
  </si>
  <si>
    <t>A man shovels snow from his porch with a snow shovel.</t>
  </si>
  <si>
    <t>The man shovels snow from a stair case with a snow shovel.</t>
  </si>
  <si>
    <t>The man finishes the job and shows his muscles.</t>
  </si>
  <si>
    <t>v_zQFC5vNZ_Qs</t>
  </si>
  <si>
    <t>A little girl is crossing the monkey bars.</t>
  </si>
  <si>
    <t>A woman is helping her standing under her.</t>
  </si>
  <si>
    <t>The girl drops and the woman catches her.</t>
  </si>
  <si>
    <t>v_y3LlQBDXAHI</t>
  </si>
  <si>
    <t>An athlete is seen standing in a circle and spinning herself around and around.</t>
  </si>
  <si>
    <t>She throws an object off in the distance and is shown again in slow motion.</t>
  </si>
  <si>
    <t>She walks back while cheering and others hold up a flag.</t>
  </si>
  <si>
    <t>v_eFq3gsEi9yI</t>
  </si>
  <si>
    <t>Two white pegs are shown in the wall with a red bed on the side and someone hitting it with a large block of wood.</t>
  </si>
  <si>
    <t>Another angle is shown and the person takes 21 shots at the balls.</t>
  </si>
  <si>
    <t>For the 22nd shot,a man is standing in a large field of white pegs and begins to hit all three balls at the same time in different directions.</t>
  </si>
  <si>
    <t>v_tr8JRPrfAN0</t>
  </si>
  <si>
    <t>A woman cleans the carpet and the floor with a vacuum, after the vacuum picks up dirt from the carpet.</t>
  </si>
  <si>
    <t>Then, the woman takes out the canister of the vacuum and continues cleaning the floor, the wall, the sofa and the floor.</t>
  </si>
  <si>
    <t>After, the woman cleans the frames of picture and pick up hair from a pillow.</t>
  </si>
  <si>
    <t>Next, the woman rewinds the wire of the canister and drops the trash in the trash can.</t>
  </si>
  <si>
    <t>v_drVqGhjI558</t>
  </si>
  <si>
    <t>A man is seen sitting at several tables and peeling potatoes while the camera looks around in fast motion.</t>
  </si>
  <si>
    <t>Another person is seen peeling potatoes and the man walks back over to the table to continue peeling.</t>
  </si>
  <si>
    <t>v_zu960Glpzo4</t>
  </si>
  <si>
    <t>Two men film themselves in an arm wrestling match that someone asked them to make.</t>
  </si>
  <si>
    <t>Two men are sitting in a room next to each other while one man reads off a laptop then they both grab one another's hand to motion what is about to happen.</t>
  </si>
  <si>
    <t>One man sets up the camera to film the match.</t>
  </si>
  <si>
    <t>The men get prepared at the corner of a table, grab hands and then countdown from three.</t>
  </si>
  <si>
    <t>The two men arm wrestle as the make jokes and laugh while doing it.</t>
  </si>
  <si>
    <t>One man gives up and both of the men talk and laugh about the match.</t>
  </si>
  <si>
    <t>One man grunts and throws his hands up in victory.</t>
  </si>
  <si>
    <t>v_YrS64TBX798</t>
  </si>
  <si>
    <t>A young girl is seen moving quickly around a horse brushing it's sides.</t>
  </si>
  <si>
    <t>She brushes all over the horse while another horse walks in and out of frame.</t>
  </si>
  <si>
    <t>She continues to brush the horse while the camera captures her movements.</t>
  </si>
  <si>
    <t>v_6B7fKzdJAbo</t>
  </si>
  <si>
    <t>women are standing in a wooden court in a roofed gym playing voleyball while public is in teraces watching the game.</t>
  </si>
  <si>
    <t>the ball hits a woman for the red team and people run to her.</t>
  </si>
  <si>
    <t>v_aEnq40UPxJ0</t>
  </si>
  <si>
    <t>They are playing a game of water polo.</t>
  </si>
  <si>
    <t>A woman throws the ball into the net and it's caught by the goalie.</t>
  </si>
  <si>
    <t>v_LITdMW0xh7o</t>
  </si>
  <si>
    <t>A man is outside in the good with an ax attempting to cut down a tree.</t>
  </si>
  <si>
    <t>Finally,the tree comes down and the man begins to hit the tree with the ax.</t>
  </si>
  <si>
    <t>v_L9MTwigRhmk</t>
  </si>
  <si>
    <t>BMX biker going down a track practicing in his lane by himself.</t>
  </si>
  <si>
    <t>Then there is another biker too, they're probably racing, They're going super fast down the track turning and hitting high bumps that make them go high up in the air.</t>
  </si>
  <si>
    <t>The track opens again and they start another race.</t>
  </si>
  <si>
    <t>Two bikers are dancing around before getting back on their bikes to get back on the track for another little race.</t>
  </si>
  <si>
    <t>v_YoJxVl_hUWg</t>
  </si>
  <si>
    <t>A man is underneath an RV trying to fix the wheel as a man stands on the outside helping.</t>
  </si>
  <si>
    <t>The wheel is then taken off and the other group of people crowd around to find the problem.</t>
  </si>
  <si>
    <t>As they are talking,the man remains underneath the RV and begins smiling as he holds the rig.</t>
  </si>
  <si>
    <t>v_p-uTwZ9Ph-A</t>
  </si>
  <si>
    <t>A man serves a ball to play squash with a partner.</t>
  </si>
  <si>
    <t>The men hit the ball to the wall.</t>
  </si>
  <si>
    <t>The man bounce the ball on the floor.</t>
  </si>
  <si>
    <t>v_tD-wp39rjnE</t>
  </si>
  <si>
    <t>A man holding a javelin runs down a track.</t>
  </si>
  <si>
    <t>The man throws the javelin.</t>
  </si>
  <si>
    <t>The man falls to the ground.</t>
  </si>
  <si>
    <t>We see the javelin flying through the air.</t>
  </si>
  <si>
    <t>We see people run to measure the distance of the javelin.</t>
  </si>
  <si>
    <t>The man pumps his arms and we see happy people in the crowd.</t>
  </si>
  <si>
    <t>we then see a reply of the man's toss.</t>
  </si>
  <si>
    <t>v_PVAHm5MjHdw</t>
  </si>
  <si>
    <t>A group of baton twirlers are practices their routine for an upcoming competition.</t>
  </si>
  <si>
    <t>The news announcer is commenting on the events.</t>
  </si>
  <si>
    <t>The coach is then interviewed stating what the girls are working on.</t>
  </si>
  <si>
    <t>Multiple twirlers are interviewed for their point of view on why they are working so hard.</t>
  </si>
  <si>
    <t>The coach states what she loves about the process and what is most important.</t>
  </si>
  <si>
    <t>The commentator announces where the competition will be help and states her name.</t>
  </si>
  <si>
    <t>v_OOcsprnRCQQ</t>
  </si>
  <si>
    <t>Three people are walking on a bridge on a lagoon.</t>
  </si>
  <si>
    <t>We see a man on a boat and a lady putting on scuba gear.</t>
  </si>
  <si>
    <t>The man and the woman are underwater looking at sea life.</t>
  </si>
  <si>
    <t>We see a man holding an underwater animal he hands to a lady.</t>
  </si>
  <si>
    <t>We see a man and a lady on a tropical patio talking and laughing.</t>
  </si>
  <si>
    <t>v_y2MSbfOsukM</t>
  </si>
  <si>
    <t>A woman is seen bending forward while sitting on a bed and holding a brush in her hands.</t>
  </si>
  <si>
    <t>She then runs the brush through her hair over and over again.</t>
  </si>
  <si>
    <t>She continues to run the brush through her hair and ends by smiling to the camera.</t>
  </si>
  <si>
    <t>v_diBZlwUO8rc</t>
  </si>
  <si>
    <t>We see a lady in a chefs coat in a kitchen talking.</t>
  </si>
  <si>
    <t>A lady sharpens a knife on a rod.</t>
  </si>
  <si>
    <t>The lady puts water on a black sharpener block.</t>
  </si>
  <si>
    <t>The lady then sharpens the knife.</t>
  </si>
  <si>
    <t>She then returns to the rod.</t>
  </si>
  <si>
    <t>Then back to the black block.</t>
  </si>
  <si>
    <t>We see a closing title screen.</t>
  </si>
  <si>
    <t>v_j_YetAlzwbk</t>
  </si>
  <si>
    <t>A child is standing on a stool filling a cup up with water in the sink.</t>
  </si>
  <si>
    <t>The child puts purple gloves on.</t>
  </si>
  <si>
    <t>They take the gloves off and set them in the sink.</t>
  </si>
  <si>
    <t>v_RtbfdVDciWQ</t>
  </si>
  <si>
    <t>A man wiggles his toes while seated in a room barefoot.</t>
  </si>
  <si>
    <t>The man puts on his shoes and ties the laces.</t>
  </si>
  <si>
    <t>The man dances his feet around while seated.</t>
  </si>
  <si>
    <t>v_-JqLjPz-07E</t>
  </si>
  <si>
    <t>Three men are presenting an instructional video for Slikhaar Studios.</t>
  </si>
  <si>
    <t>The man in the center is demonstrating a hairstyle on the person wearing the blue shirt.</t>
  </si>
  <si>
    <t>The man in the blue shirt sits on the chair next to the sink.</t>
  </si>
  <si>
    <t>The other man begins washing his hair.</t>
  </si>
  <si>
    <t>He scrubs in the shampoo and then washes it off.</t>
  </si>
  <si>
    <t>He then combs it and blow dries his hair after styling it with gel.</t>
  </si>
  <si>
    <t>He uses an electric clipper to groom the sideburns and the temples.</t>
  </si>
  <si>
    <t>He also trims the back and sides of his head with the clippers.</t>
  </si>
  <si>
    <t>He uses scissors to trim the hair and give it a finished look.</t>
  </si>
  <si>
    <t>The model uses some hair gel to style his hair after the haircut.</t>
  </si>
  <si>
    <t>The host of the show then explains how the hair was cut and styled and gives information about his website.</t>
  </si>
  <si>
    <t>v_gF0ymMmpS_M</t>
  </si>
  <si>
    <t>A woman is shown standing in front of an elliptical trainer, talking.</t>
  </si>
  <si>
    <t>She flips through a booklet before walking over to the trainer.</t>
  </si>
  <si>
    <t>She begins to demonstrate how to prepare the trainer for use.</t>
  </si>
  <si>
    <t>She climbs onto the trainer and shows how it is used by pedaling with her feet.</t>
  </si>
  <si>
    <t>A close up of the display screen is then shown.</t>
  </si>
  <si>
    <t>The trainer is folded to show compaction and ease of storage.</t>
  </si>
  <si>
    <t>v_hThdSxhMhDo</t>
  </si>
  <si>
    <t>A grey bunny is standing on a bed on a black towel eating something in his hand.</t>
  </si>
  <si>
    <t>As he eats,the bunny begins to grabs his ears and shakes its head.</t>
  </si>
  <si>
    <t>Struggling more,the bunny bends down and keeps eating something before looking out.</t>
  </si>
  <si>
    <t>v_5_UEjPqtnE0</t>
  </si>
  <si>
    <t>A young child is seen sitting before a fooseball table when one hands her the ball and she puts it into the game.</t>
  </si>
  <si>
    <t>The man then helps the girl play on the table by moving the poles all around and pushing the people.</t>
  </si>
  <si>
    <t>v_PmWF-HawRw0</t>
  </si>
  <si>
    <t>Athletes run down a track and throw a javelins across the field.</t>
  </si>
  <si>
    <t>A referees runs out to check the javelin position.</t>
  </si>
  <si>
    <t>A leader board is shows scores of athletes.</t>
  </si>
  <si>
    <t>v_5sl-E-AwptI</t>
  </si>
  <si>
    <t>A field hockey player dribbles a ball on the field between his legs.</t>
  </si>
  <si>
    <t>Th field hockey play dribble the ball back and forth in front of him.</t>
  </si>
  <si>
    <t>The field hockey player hits up while juggling the ball in the air and balances on his stick.</t>
  </si>
  <si>
    <t>The players dribble through a set of cones and takes shots on the goal.</t>
  </si>
  <si>
    <t>v_hrN0hOmQrD4</t>
  </si>
  <si>
    <t>People are driving a car with rafts on the back.</t>
  </si>
  <si>
    <t>They get in the rafts and are rafting down a river.</t>
  </si>
  <si>
    <t>They go to a hot dog stand and get food.</t>
  </si>
  <si>
    <t>They continue rafting down the river.</t>
  </si>
  <si>
    <t>v_ILgkiTHnGVI</t>
  </si>
  <si>
    <t>A man shows up on the screen wearing a martial arts uniform showing people how to do a side kick.</t>
  </si>
  <si>
    <t>He sways from side to side to show how to control your balance.</t>
  </si>
  <si>
    <t>He lifts his knees, one after alternating from left to right to show how to begin the kick.</t>
  </si>
  <si>
    <t>He continues to show how to finish the side kick with a follow through.</t>
  </si>
  <si>
    <t>Then he demonstrates how to do the kick from several angles.</t>
  </si>
  <si>
    <t>v_mGgidUE8drE</t>
  </si>
  <si>
    <t>We see an opening white screen.</t>
  </si>
  <si>
    <t>We then see a man pushing a bike brake and adjusting it.</t>
  </si>
  <si>
    <t>The man pulls a cord on the bike near the tire.</t>
  </si>
  <si>
    <t>The men then adjusts the bake lever again.</t>
  </si>
  <si>
    <t>We then see the man talking to the camera.</t>
  </si>
  <si>
    <t>v_KKAPxOMogDE</t>
  </si>
  <si>
    <t>woman that is sitting in a chair is holding a cup in the dog's mouth so the fog can lick the cup.</t>
  </si>
  <si>
    <t>black dog is standing in a living oom licking water from a cup.</t>
  </si>
  <si>
    <t>a woman is standing in a living with a black dog in a white carpet.</t>
  </si>
  <si>
    <t>v_tB_B3HVdO2I</t>
  </si>
  <si>
    <t>A boy is swinging across monkey bars in a park.</t>
  </si>
  <si>
    <t>A man is doing something behind him.</t>
  </si>
  <si>
    <t>The boy makes his way all the way across.</t>
  </si>
  <si>
    <t>v_KPfKLVV-HCQ</t>
  </si>
  <si>
    <t>A large group of people are seen moving around together in a large gymnasium.</t>
  </si>
  <si>
    <t>The people move up and down on a beam kicking their legs up and moving around.</t>
  </si>
  <si>
    <t>The people continue moving all around the board while the camera captures their movements.</t>
  </si>
  <si>
    <t>v_OhXBMlKOHMI</t>
  </si>
  <si>
    <t>There are a lot of people in an opened court area and they look to be mostly elderly people playing some kind of sport.</t>
  </si>
  <si>
    <t>A man and a woman begin to walk across the court together and they stop to watch a man with a stick who hits something across the court using his stick.</t>
  </si>
  <si>
    <t>Another man then walks up to the court to take his turn while the man who just had a turn moves out of his way.</t>
  </si>
  <si>
    <t>v_RW-nnJiVPsU</t>
  </si>
  <si>
    <t>A man puts on welding safety gear.</t>
  </si>
  <si>
    <t>The man starts welding something on a metal table.</t>
  </si>
  <si>
    <t>He stops welding, lifts his face mask and adjusts things in the table.</t>
  </si>
  <si>
    <t>He then lowers his face mask and starts welding again.</t>
  </si>
  <si>
    <t>He stops and lifts his mask again.</t>
  </si>
  <si>
    <t>He uses a tool to hit something on the table before sanding it.</t>
  </si>
  <si>
    <t>The man pulls off his gloves while walking to the camera.</t>
  </si>
  <si>
    <t>He brings the camera to the table to show the work he has done.</t>
  </si>
  <si>
    <t>v_mpyN1mrMl3U</t>
  </si>
  <si>
    <t>A woman is pouring ingredients into a mixer.</t>
  </si>
  <si>
    <t>She then makes the dough into balls and puts them on a cookie sheet.</t>
  </si>
  <si>
    <t>She places them in the oven.</t>
  </si>
  <si>
    <t>v_xAxax-pfZsk</t>
  </si>
  <si>
    <t>A man is sitting down on the ground and has a skate show on one foot and a prosthetic leg for the other.</t>
  </si>
  <si>
    <t>The man then puts the roller blade over his prosthetic and then follows with the other foot.</t>
  </si>
  <si>
    <t>Once they are both on,he scoots to the grass and someone assists him as he gets up.</t>
  </si>
  <si>
    <t>After he is steady,he gets up and goes rollerblading down the sidewalk before coming back and sitting on the pavement.</t>
  </si>
  <si>
    <t>v_ZjuM-Xv_jqY</t>
  </si>
  <si>
    <t>Several items are seen laid out on a table followed by a person presenting each item to the camera.</t>
  </si>
  <si>
    <t>The person dips a brush into water followed by a cleaner and rubbing a rag across the brush.</t>
  </si>
  <si>
    <t>The person scrubs down the shoes with the brush and wipes off the side with a rag.</t>
  </si>
  <si>
    <t>He waits a certain amount of time and rubs the shoes again and presents them.</t>
  </si>
  <si>
    <t>v_HdOylJP08Lk</t>
  </si>
  <si>
    <t>man is walking in a casino watching the pople and the machines.</t>
  </si>
  <si>
    <t>woman is sitting in a black jack table and is talking to men.</t>
  </si>
  <si>
    <t>woman is smiling and stretching her arm behind her back.</t>
  </si>
  <si>
    <t>man sits in a table and start playing black jack in a casino.</t>
  </si>
  <si>
    <t>v_IgEc5mY9L44</t>
  </si>
  <si>
    <t>A foreman wear blue colored gloves before he begins welding metal.</t>
  </si>
  <si>
    <t>He continues welding the metal with his torch and protective gear on.</t>
  </si>
  <si>
    <t>He welds the metal for a very long time.</t>
  </si>
  <si>
    <t>Then switches off the welding torch and puts the equipment away.</t>
  </si>
  <si>
    <t>v_O4LdjwlsGKI</t>
  </si>
  <si>
    <t>A young man in a brown hoodie and cargo pants is standing on a road in a forested area, instructing viewers as he holds onto the end of a skateboard.</t>
  </si>
  <si>
    <t>After demonstrating a stance on the board, he picks it up and walks back several yards, and places the skateboard on the ground, tiling it up with one foot on the end.</t>
  </si>
  <si>
    <t>He puts it down flat, and begins to skate forward on the board.</t>
  </si>
  <si>
    <t>He flips around on the board, doing a tricky move, and then heads back to where he began to skate.</t>
  </si>
  <si>
    <t>60 After speaking for a little longer, and gesturing to the board, he repeats the move again, heading back once again to the spot he started from.</t>
  </si>
  <si>
    <t>v_yWfTd8pRLgM</t>
  </si>
  <si>
    <t>A girl is doing back flips on a blue mat.</t>
  </si>
  <si>
    <t>A girl does the splits in the air.</t>
  </si>
  <si>
    <t>People are laying down on the mat next to her.</t>
  </si>
  <si>
    <t>She does several flips on a trampoline.</t>
  </si>
  <si>
    <t>v_Imui46JTe7s</t>
  </si>
  <si>
    <t>We see a fitness center sign.</t>
  </si>
  <si>
    <t>We then see a man talking to the camera and sitting and laying on a exercise ball.</t>
  </si>
  <si>
    <t>The man performs sits ups while on the ball and talking.</t>
  </si>
  <si>
    <t>The man sits up and talks to the camera.</t>
  </si>
  <si>
    <t>The end screen is seen on a black background.</t>
  </si>
  <si>
    <t>v_aCiN9mqkXoA</t>
  </si>
  <si>
    <t>Ingredients are prepared and poured into a large mixing bowl.</t>
  </si>
  <si>
    <t>A woman washes a bowl in a kitchen sink with a sponge.</t>
  </si>
  <si>
    <t>The woman smells the bowl to make sure it is clean.</t>
  </si>
  <si>
    <t>The woman places the bowl into a dish washer and shows the proper placement.</t>
  </si>
  <si>
    <t>A woman washes a plate in a kitchen sink with a sponge.</t>
  </si>
  <si>
    <t>The woman smells the plate to make sure it is clean.</t>
  </si>
  <si>
    <t>The woman places the plate into a dish washer and shows the proper placement.</t>
  </si>
  <si>
    <t>A woman washes glass cups in a kitchen sink with a sponge.</t>
  </si>
  <si>
    <t>The woman smells the glass cups to make sure they are clean.</t>
  </si>
  <si>
    <t>The woman places the glass cups into a dish washer and shows the proper placement.</t>
  </si>
  <si>
    <t>End credits are seen for the film.</t>
  </si>
  <si>
    <t>v_aMQVH3dF0QM</t>
  </si>
  <si>
    <t>An introduction appears on the screen for a video about galloping along the beach.</t>
  </si>
  <si>
    <t>Several images are shown of people riding on horseback along the beach.</t>
  </si>
  <si>
    <t>The images turn into a video of several people going along the sand dunes.</t>
  </si>
  <si>
    <t>The video then alternates between images and video of people enjoying the beach ride.</t>
  </si>
  <si>
    <t>The video ends with text displayed showing more information about the trip.</t>
  </si>
  <si>
    <t>v_xmK2kbPSGUs</t>
  </si>
  <si>
    <t>A woman demonstrates how to make a mixed drink in a bar at a bar countertop in front of a countertop filled with alcohol.</t>
  </si>
  <si>
    <t>The woman begins by talking to the camera and pulling out a bottle of alcohol next to a mason jar prepped with a slice of lemon and mint in it.</t>
  </si>
  <si>
    <t>The woman pours ice in the glass and a few shots of alcohol and then pours lemonade in the glass with a mint sprig and lemon wedge on the rim.</t>
  </si>
  <si>
    <t>The woman takes a sip of the drink before the scene fades.</t>
  </si>
  <si>
    <t>v_iZImXrduFlA</t>
  </si>
  <si>
    <t>a man is outside in his yard.</t>
  </si>
  <si>
    <t>He is using a pressure washer to wash the leaves off his lawn.</t>
  </si>
  <si>
    <t>He sprays them up and down, pushing them down an incline.</t>
  </si>
  <si>
    <t>v_UYhKDweME3A</t>
  </si>
  <si>
    <t>A man fills a pot with water and adds salt and oil, and then boil the water while talking.</t>
  </si>
  <si>
    <t>Then, the man puts the spaghetti in the bowling pot.</t>
  </si>
  <si>
    <t>After, the man taste the spaghetti and drain it.</t>
  </si>
  <si>
    <t>Next, the man adds grated cheese and oil on the spaghetti.</t>
  </si>
  <si>
    <t>v_f1YrGAkQd0U</t>
  </si>
  <si>
    <t>There are 3 men and 1 woman.</t>
  </si>
  <si>
    <t>Each of them show and tell you their way of bowling to earn strikes and get perfect scores on the high scoreboard.</t>
  </si>
  <si>
    <t>v_Mvl-TR0rDdA</t>
  </si>
  <si>
    <t>We see the title for Kyla Ross on the parallel bars.</t>
  </si>
  <si>
    <t>The girls lifts, then lowers her arms.</t>
  </si>
  <si>
    <t>Kyla then jumps onto the short bar.</t>
  </si>
  <si>
    <t>She transfers to the tall bar, then back to the short one.</t>
  </si>
  <si>
    <t>She spins back to the tall one and spins.</t>
  </si>
  <si>
    <t>She flips to the short bar, then back to the tall and flips.</t>
  </si>
  <si>
    <t>She dismounts and hugs her coach.</t>
  </si>
  <si>
    <t>We see her final score on a black screen.</t>
  </si>
  <si>
    <t>v_K9cQxJ37xzA</t>
  </si>
  <si>
    <t>A woman in a white tank top is riding an exercise bike in a room.</t>
  </si>
  <si>
    <t>She is doing push ups on a black mat.</t>
  </si>
  <si>
    <t>She is back to riding the exercise bike.</t>
  </si>
  <si>
    <t>She is lifting weights up and down at her sides.</t>
  </si>
  <si>
    <t>She is riding on the exercise bike again.</t>
  </si>
  <si>
    <t>v_jafEh82XETQ</t>
  </si>
  <si>
    <t>A man is demonstrating how to cook a friend bologna sandwich in his kitchen.</t>
  </si>
  <si>
    <t>He takes two slices of sandwich bread and puts them in the toaster.</t>
  </si>
  <si>
    <t>Then he takes a little butter and bologna in a frying pan and fries it.</t>
  </si>
  <si>
    <t>He flips the bologna to fry it on both sides.</t>
  </si>
  <si>
    <t>Then he takes two slices of American cheese.</t>
  </si>
  <si>
    <t>He takes the bologna out of the pan and places it on the toast along with the cheese slices.</t>
  </si>
  <si>
    <t>He shows the finished sandwich with the bologna and cheese.</t>
  </si>
  <si>
    <t>v_yfeKtTU0aOE</t>
  </si>
  <si>
    <t>A man is sitting on a weight machine and grabbing onto handle bars.</t>
  </si>
  <si>
    <t>He pulls the handlebars back and fourth as the seat he's moving on continuously moves.</t>
  </si>
  <si>
    <t>He performs this set several times and eventually pauses to let the instruction end.</t>
  </si>
  <si>
    <t>v_5l2_BVOqQX8</t>
  </si>
  <si>
    <t>A bald man in gray shirt is standing at the playground, he walked towards the monkey bars and started to pull himself up and down, he walked towards a lower pole and started to pull himself up while his legs are stretched down.</t>
  </si>
  <si>
    <t>He walked back to the monkey bar and pull himself up and down, his legs are moves from side to side then pull him up and down.</t>
  </si>
  <si>
    <t>v_9Ds9DvdPQkM</t>
  </si>
  <si>
    <t>A woman is talking while holding a saxophone.</t>
  </si>
  <si>
    <t>She begins to play the saxophone.</t>
  </si>
  <si>
    <t>v_fULvroAfMAo</t>
  </si>
  <si>
    <t>A guy raises a metal ball above his head, spins with a metal ball, and releases the metal ball.</t>
  </si>
  <si>
    <t>A guy cheers after releasing the metal ball.</t>
  </si>
  <si>
    <t>The score board is shown.</t>
  </si>
  <si>
    <t>v_dDYQNtOtb-Q</t>
  </si>
  <si>
    <t>A little boy is riding in a car drinking a drink and playing with his phone.</t>
  </si>
  <si>
    <t>He begins to have a conversation with an older man who is recording him in the car.</t>
  </si>
  <si>
    <t>v_VOLBBe1br3Q</t>
  </si>
  <si>
    <t>A man runs out on a professional stadium and throws a ball at a batter.</t>
  </si>
  <si>
    <t>Two women watching the game cheer after the batter hits the ball with his plank.</t>
  </si>
  <si>
    <t>One of the women exposes her bare chest to the camera, a black bar is overlaid.</t>
  </si>
  <si>
    <t>The camera returns to action on the field.</t>
  </si>
  <si>
    <t>v_WjX-xi2Ocbo</t>
  </si>
  <si>
    <t>A dirt clodden rodea is shown, as a man on a horse is released from a gate.</t>
  </si>
  <si>
    <t>He ropes a calf, dismounted to tie it up.</t>
  </si>
  <si>
    <t>Another man rides on screen momentarily.</t>
  </si>
  <si>
    <t>v_PPJ6gSuk33o</t>
  </si>
  <si>
    <t>A man is seen standing in a bathroom with a woman and looking back to speak to the camera.</t>
  </si>
  <si>
    <t>The man then moves all around the bathroom while continuing to speak and the camera zooms in.</t>
  </si>
  <si>
    <t>v_AuVL_nkYXw0</t>
  </si>
  <si>
    <t>A man is seen speaking to the camera while standing in front of exercise equipment.</t>
  </si>
  <si>
    <t>He continues speaking and leads into clips of a person's feet moving on the machine.</t>
  </si>
  <si>
    <t>The man the uses the machine continuously while pointing to his body and showing off his legs.</t>
  </si>
  <si>
    <t>v_daSrmaPxaZA</t>
  </si>
  <si>
    <t>A set of black boots are shown on a small table along with a bottle oil and a rag in front of a woman.</t>
  </si>
  <si>
    <t>The woman then grabs the rag and puts olive oil on it and begins polishing the boots.</t>
  </si>
  <si>
    <t>She then pauses with the rags and starts talking.</t>
  </si>
  <si>
    <t>v_PRTcRz--03E</t>
  </si>
  <si>
    <t>A person is seen walking into frame and begins playing on a set of bongo drums.</t>
  </si>
  <si>
    <t>The man continues playing on the drums while the camera doesn't move and ends with him hitting them once and walking away.</t>
  </si>
  <si>
    <t>v_J9OSz5iCwNU</t>
  </si>
  <si>
    <t>A young boy roller blades off a ramp and onto another ramp.</t>
  </si>
  <si>
    <t>The boy speeds off onto a ramp and jumps off it, landing on the cement.</t>
  </si>
  <si>
    <t>Later, the boy roller blades onto another ramp.</t>
  </si>
  <si>
    <t>The young boy is seen in another outfit, performing spins at the end of his roller blading.</t>
  </si>
  <si>
    <t>The boy roller blades criss cross style around some orange cones.</t>
  </si>
  <si>
    <t>The boy does it again, this time weaving in and out of the cones.</t>
  </si>
  <si>
    <t>v_5Z-78AmLjFo</t>
  </si>
  <si>
    <t>A man is using a welding tool on a pile of random metal indoors.</t>
  </si>
  <si>
    <t>Another man is holding up a shield to protect himself.</t>
  </si>
  <si>
    <t>The man holds up a shield to his face as he welds.</t>
  </si>
  <si>
    <t>v_oyljZJZJ7IA</t>
  </si>
  <si>
    <t>A man demonstrates how to use a special dog collar and harness on a dog using both a stuffed toy dog and real dogs.</t>
  </si>
  <si>
    <t>A man standing in front of a wooden fence holds a stuffed dog with a red collar/harness and holds the dog up while talking and demonstrating features of the collar harness.</t>
  </si>
  <si>
    <t>Two hands are showcased holding the red collar by itself and demonstrating the features of the collar harness with still graphics to accompany the hand showcase.</t>
  </si>
  <si>
    <t>The man stands, now, with a real dog and demonstrates how to put the harness on the real dog, then goes back to demonstrating with the stuffed dog before finally ending with petting the collared, real, tan, dog as a black Labrador Retriever wanders into the final shot.</t>
  </si>
  <si>
    <t>v_OMGTFZ9csg0</t>
  </si>
  <si>
    <t>A camera zooms in on a backyard that contains a volkswagon and other various items.</t>
  </si>
  <si>
    <t>A man is shown putting skis together at a rapid pace.</t>
  </si>
  <si>
    <t>The man finishes up the skis and leaves his hat on top of the skis.</t>
  </si>
  <si>
    <t>v_JA-B3KK9A-I</t>
  </si>
  <si>
    <t>An underwater view of blue water appear at the deep end of the pool.</t>
  </si>
  <si>
    <t>In slow motion someone splashes into the water.</t>
  </si>
  <si>
    <t>Various clips of men appear doing different dives into the pool and from different heights.</t>
  </si>
  <si>
    <t>A man goes into the water feet first, lands at the bottom of the deep pool, then drops to do a push up and then quickly shoots up.</t>
  </si>
  <si>
    <t>One guys jumps on the diving board but instead of diving he loses his footing and falls into the water.</t>
  </si>
  <si>
    <t>A boy is standing at a wall pressing a button and talking into an intercom then stops and laughs.</t>
  </si>
  <si>
    <t>v_3zMCxmdkcRY</t>
  </si>
  <si>
    <t>A man and woman are dancing on a roof top of a building in a city.</t>
  </si>
  <si>
    <t>He lifts the woman up into the air.</t>
  </si>
  <si>
    <t>The camera pans up to a tall building in the background.</t>
  </si>
  <si>
    <t>v_Qlh-VSBxcJs</t>
  </si>
  <si>
    <t>An intro leads into a belly dancer performing a routine in front of a mirror.</t>
  </si>
  <si>
    <t>She continues dancing around while moving all around the floor whipping her hair and grabbing her skirt.</t>
  </si>
  <si>
    <t>She finishes by sitting down on the floor and looking into the mirror.</t>
  </si>
  <si>
    <t>v_JYRVSy54UUY</t>
  </si>
  <si>
    <t>A woman is seen speaking to the camera while holding onto an accordion.</t>
  </si>
  <si>
    <t>She begins moving the instrument slowly while looking to the camera.</t>
  </si>
  <si>
    <t>She continues playing the accordion while speaking and looking away.</t>
  </si>
  <si>
    <t>v_NoVa1C5KBno</t>
  </si>
  <si>
    <t>A young teenaged boy is standing outside of the house with a tennis ball and racket.</t>
  </si>
  <si>
    <t>He goes to the tennis court and begins to talk about the game of tennis.</t>
  </si>
  <si>
    <t>He does some stretches for a little but and then gets ready to hit the ball over to the other side of the court.</t>
  </si>
  <si>
    <t>He talks about it on the court and then he leaves to go home.</t>
  </si>
  <si>
    <t>v_L35c6QI1l_0</t>
  </si>
  <si>
    <t>A scene of sand dunes leading to a beach shoreline.</t>
  </si>
  <si>
    <t>A girl in a blue blouse walks and poses in the sand.</t>
  </si>
  <si>
    <t>A man wearing a safari hat leads a group of camels with riders in a single file.</t>
  </si>
  <si>
    <t>The camera pans a close up of the camels lying in the sand with their riding saddles on.</t>
  </si>
  <si>
    <t>A rider captures the view of the sand dunes leading to the ocean.</t>
  </si>
  <si>
    <t>The camel caravan arrives to a camp on the beach.</t>
  </si>
  <si>
    <t>v_SlogVhfmTVs</t>
  </si>
  <si>
    <t>A boy sprays shaving cream into his hand from a can in his bathroom.</t>
  </si>
  <si>
    <t>The boy applies the shaving cream to his face.</t>
  </si>
  <si>
    <t>A man has shaving cream on his face and reads a label on a pressurized can and discusses it.</t>
  </si>
  <si>
    <t>A man rubs his smooth face.</t>
  </si>
  <si>
    <t>The man holds up a metal oil can.</t>
  </si>
  <si>
    <t>The man applies a medicine dropper with liquid to a razor and demonstrates how to use it.</t>
  </si>
  <si>
    <t>v_G9m5zxl2f08</t>
  </si>
  <si>
    <t>A person is seen putting their hands in a sink full of dirty water and pressing his face up against the water.</t>
  </si>
  <si>
    <t>The man continues wiping the mud off of his face as the mud drips down into the sink.</t>
  </si>
  <si>
    <t>v_J3qC2hqRhPc</t>
  </si>
  <si>
    <t>Elmo from Sesame Street is presenting how to brush teeth along with singer Bruno Mars.</t>
  </si>
  <si>
    <t>Elmo pulls out a toothbrush and begins dancing while Bruno Mars appears brushing his teeth on the mirror.</t>
  </si>
  <si>
    <t>Elmo is singing along as Bruno Mars continues to brush his teeth and the multicolored lights on the mirror flicker.</t>
  </si>
  <si>
    <t>Elmo and Bruno Mars continue to dance along as they teach little kids the importance of brushing teeth.</t>
  </si>
  <si>
    <t>v_pmIJcJiydpk</t>
  </si>
  <si>
    <t>A small child is seen standing with her hands on her hips and between jumping down a hop scotch outline.</t>
  </si>
  <si>
    <t>She jumps all the way down and speaks to the camera in the end.</t>
  </si>
  <si>
    <t>v_QdvC8Xt-ym0</t>
  </si>
  <si>
    <t>Two teams on horses ride around on a field.</t>
  </si>
  <si>
    <t>Using cricket bats they hit a ball back and forth.</t>
  </si>
  <si>
    <t>A team finally makes a goal.</t>
  </si>
  <si>
    <t>The scoring team then rides around in victory.</t>
  </si>
  <si>
    <t>v_rBmFxH3BUOw</t>
  </si>
  <si>
    <t>A man points to some products for the usage of waxing skis.</t>
  </si>
  <si>
    <t>The man cleans the ski with a towel.</t>
  </si>
  <si>
    <t>The man grabs one of the products and rubs it all over the ski, letting the product sit there for a while.</t>
  </si>
  <si>
    <t>After some time has passed, the man grabs another product and rubs it all over the ski.</t>
  </si>
  <si>
    <t>v_UU8a7vp6tgY</t>
  </si>
  <si>
    <t>A woman is puts a rod in a base.</t>
  </si>
  <si>
    <t>She then puts a skirt over the rod on the floor.</t>
  </si>
  <si>
    <t>She puts a fake Christmas tree up on the rod.</t>
  </si>
  <si>
    <t>A close up of the bow of the Christmas tree is shown.</t>
  </si>
  <si>
    <t>She fixes the bow on the tree.</t>
  </si>
  <si>
    <t>v_Rte9HqaQ1tw</t>
  </si>
  <si>
    <t>A white wall on the interior of a room is shown.</t>
  </si>
  <si>
    <t>A hand holding a lit match lights a candle.</t>
  </si>
  <si>
    <t>A man sets the candle beside a sink and begins to wash dishes.</t>
  </si>
  <si>
    <t>v_u713piB4VWk</t>
  </si>
  <si>
    <t>A close up of people sweeping is shown followed by people walking around an arena.</t>
  </si>
  <si>
    <t>Two wrestlers then bend down and walk around the pit a bit followed by wrestling one another.</t>
  </si>
  <si>
    <t>One man throws the other down and leads into clips of the city.</t>
  </si>
  <si>
    <t>v_Wh-Q13ZAffE</t>
  </si>
  <si>
    <t>A person is seen riding a sled down a hill followed by several people climbing up the hill and sliding back down again.</t>
  </si>
  <si>
    <t>An adult and child ride down as the person pulls the child out of the sled followed by more people riding down and walking up again.</t>
  </si>
  <si>
    <t>v_ognXkeWL7h8</t>
  </si>
  <si>
    <t>A toddler paint her lips with a lipstick.</t>
  </si>
  <si>
    <t>Then, the toddler applies make up to her eyelids on front a blue mirror.</t>
  </si>
  <si>
    <t>Next, the toddle takes more make up from a palette to continues applying to her eyelids.</t>
  </si>
  <si>
    <t>v_KVaTsulE5Z0</t>
  </si>
  <si>
    <t>A man is crossing a slack line.</t>
  </si>
  <si>
    <t>He puts something in the trunk of a car.</t>
  </si>
  <si>
    <t>He crosses the slack line onto the other side.</t>
  </si>
  <si>
    <t>v_ZdgWC6Jk2Nk</t>
  </si>
  <si>
    <t>A close up of a lawn mower is seen with a person's shoes walking behind.</t>
  </si>
  <si>
    <t>A camera pans out of a dirt hole and shows a man placing it down next to a tree.</t>
  </si>
  <si>
    <t>The camera pans around the tree and shows the man checking up on the dirt.</t>
  </si>
  <si>
    <t>v_dSOVaLk3ZmU</t>
  </si>
  <si>
    <t>A man sitting in a kayak pushing himself around swirling water using his paddles for support.</t>
  </si>
  <si>
    <t>The man flips several times in the water attempting to break free and he eventually does.</t>
  </si>
  <si>
    <t>v_Po6rrhjsS8g</t>
  </si>
  <si>
    <t>A man is talking in the camera, while another man with scarf is behind him, then they went in the building and sat on two couches, a woman came over to give them water.</t>
  </si>
  <si>
    <t>The man in sweater checked his phone then get two rackets in the bag, handed one to the guy, the guy standing bounced the ball on the racket.</t>
  </si>
  <si>
    <t>The two men started playing tennis while they are sitting.</t>
  </si>
  <si>
    <t>Then they moved the couches and started playing on the wall, then play in the area where people where working.</t>
  </si>
  <si>
    <t>A bald man went down on the stairs and went to the two men who were playing tennis on the wall.</t>
  </si>
  <si>
    <t>v_XpFkoI5hz7s</t>
  </si>
  <si>
    <t>A woman is seen working out with a man and leads into her speaking to the camera.</t>
  </si>
  <si>
    <t>She then steps back and fourth on a board moving her legs around and continuing to speak to the camera.</t>
  </si>
  <si>
    <t>She then hops around the camera and bit and ends by still speaking to the camera.</t>
  </si>
  <si>
    <t>v_0vIFg1eE7Tw</t>
  </si>
  <si>
    <t>A woman blowing kisses at the camera, then inserting her contact lenses.</t>
  </si>
  <si>
    <t>She begins to put eye shadow on her eyelids and rubbing it in.</t>
  </si>
  <si>
    <t>She adds eyelash extensions on her eyes.</t>
  </si>
  <si>
    <t>Then, she begins to contour her entire face little by little patting it down as she goes along.</t>
  </si>
  <si>
    <t>v_ECjumI_otNw</t>
  </si>
  <si>
    <t>A group of cheerleaders perform doing a tower, then the cheerleaders jump down.</t>
  </si>
  <si>
    <t>After, the cheerleaders jump, flip and does cartwheels.</t>
  </si>
  <si>
    <t>Next, the cheerleaders form human towers and dance together.</t>
  </si>
  <si>
    <t>v_pA8QJ2ZoeBM</t>
  </si>
  <si>
    <t>A woman is working out on an elliptical machine.</t>
  </si>
  <si>
    <t>The woman is sitting on a couch in heels.</t>
  </si>
  <si>
    <t>She continues to work out on the machine.</t>
  </si>
  <si>
    <t>v_LlpV8R-EaDQ</t>
  </si>
  <si>
    <t>A girl is sitting in the sand.</t>
  </si>
  <si>
    <t>She is putting sand in a blue bucket in front of her.</t>
  </si>
  <si>
    <t>Two people walk along the beach in front of her.</t>
  </si>
  <si>
    <t>v_lnieKUxnxuY</t>
  </si>
  <si>
    <t>A man walks into a room and puts his hand on a ladder while talking.</t>
  </si>
  <si>
    <t>We see a man putting orange tiles on a floor.</t>
  </si>
  <si>
    <t>We see aa man tiling a shower.</t>
  </si>
  <si>
    <t>We see the man putting the tiles on a floor again.</t>
  </si>
  <si>
    <t>We return to the man talking near the ladder and a website appears on the screen.</t>
  </si>
  <si>
    <t>v_kbRciA51ouY</t>
  </si>
  <si>
    <t>A newsman in a suit is talking.</t>
  </si>
  <si>
    <t>Older women are behind sewing machines sewing blankets.</t>
  </si>
  <si>
    <t>v_kZXVFSjRt5g</t>
  </si>
  <si>
    <t>A few people are sitting down indian style with life vest on watching a man inside of a float boat talk.</t>
  </si>
  <si>
    <t>They get ins the boat with paddles and some others next to them in a kayak.</t>
  </si>
  <si>
    <t>They use the paddle to try to control the boat, but get splashed by the very brown water.</t>
  </si>
  <si>
    <t>Another little boat comes and bumps into them, they paddle until they are about to reach back to land.</t>
  </si>
  <si>
    <t>v_ZHVzukkU9sk</t>
  </si>
  <si>
    <t>Two cookies are shown on a plate.</t>
  </si>
  <si>
    <t>The ingredients are mixed into a bowl one at a time, adding eggs, sugar, and butter.</t>
  </si>
  <si>
    <t>The cookies are cut out of the dough.</t>
  </si>
  <si>
    <t>They are then baked and assembled.</t>
  </si>
  <si>
    <t>v_blMN_9ZtxsY</t>
  </si>
  <si>
    <t>People are dressed up playing ping pong.</t>
  </si>
  <si>
    <t>People are standing next to the table watching.</t>
  </si>
  <si>
    <t>They continue to play and two of the men high five.</t>
  </si>
  <si>
    <t>v_2VvCuSFicyA</t>
  </si>
  <si>
    <t>A person is seen riding on a bicycle down a street with a dog tied next to him.</t>
  </si>
  <si>
    <t>The camera is shown in various angles the man riding the bike with the dog.</t>
  </si>
  <si>
    <t>The man continues riding around with the dog.</t>
  </si>
  <si>
    <t>v_0X34KkUlCAI</t>
  </si>
  <si>
    <t>A man with a whistle holds the middle of the rope.</t>
  </si>
  <si>
    <t>Two men are at each end of the rope pulling in their own direction over the mud.</t>
  </si>
  <si>
    <t>The red rope is leaning toward the man in blue as he nearly sits on the ground.</t>
  </si>
  <si>
    <t>The referee is on his knee observing.</t>
  </si>
  <si>
    <t>The competitor is taking short breaths as he stares.</t>
  </si>
  <si>
    <t>A man with a beard gives a wink and grins.</t>
  </si>
  <si>
    <t>Each man continues to pull as they lean back in the mud.</t>
  </si>
  <si>
    <t>It shows 6 minutes has passed as they continue to pull.</t>
  </si>
  <si>
    <t>It shows 8 minutes and 30 seconds have passed.</t>
  </si>
  <si>
    <t>The man in red stands up and runs backwards pulling the other man across the line.</t>
  </si>
  <si>
    <t>The two men shake hands and hug and walk away.</t>
  </si>
  <si>
    <t>The man in blue puts his arms around two men and walk away.</t>
  </si>
  <si>
    <t>v_Nkcc9kLDQz8</t>
  </si>
  <si>
    <t>People are standing on a hill of snow.</t>
  </si>
  <si>
    <t>People are skiing down a hill.</t>
  </si>
  <si>
    <t>The skiiers stop at the bottom and talk.</t>
  </si>
  <si>
    <t>v_p1yEPOr467M</t>
  </si>
  <si>
    <t>A group of men are pulled on an inflatable hot dog which make a swift turn causing them to fall of.</t>
  </si>
  <si>
    <t>People on water skis and inter tubes have comical crashes while being pulled along in the water.</t>
  </si>
  <si>
    <t>A boy on skis holds onto a tug rope on a dock and is pulled over falling in the water.</t>
  </si>
  <si>
    <t>A large group on inter tubes are pulled on tug ropes in the water then hit a large wave and flip into the air.</t>
  </si>
  <si>
    <t>A man on a boat jumps ship after an item with the boat still moving.</t>
  </si>
  <si>
    <t>v_S7MZle1gPzI</t>
  </si>
  <si>
    <t>A man lays back in ocean water as he holds onto a bar.</t>
  </si>
  <si>
    <t>He is drug by a boat filled with people.</t>
  </si>
  <si>
    <t>He gains his balance, and is water skiing quickly behind the boat.</t>
  </si>
  <si>
    <t>v_mG8h5rX3OnU</t>
  </si>
  <si>
    <t>Several people are captured decorating a Christmas tree in a living room in a fast forward, speed motion video.</t>
  </si>
  <si>
    <t>A Christmas tree stands undecorated in a living room.</t>
  </si>
  <si>
    <t>Two people decorate the tree with a light cord.</t>
  </si>
  <si>
    <t>Three people decorate the tree with blue and silver balls.</t>
  </si>
  <si>
    <t>The tree lights are turned on and wrapped gifts are placed under the tree as people start to sit under the tree and a dog casually walks by the tree.</t>
  </si>
  <si>
    <t>v_PdNb0g36a6U</t>
  </si>
  <si>
    <t>A guy is standing, gesturing, and instructing in a gym.</t>
  </si>
  <si>
    <t>A man demonstrates a gymnastic stunt on a hand platform.</t>
  </si>
  <si>
    <t>The man poses with his hands extended in the air.</t>
  </si>
  <si>
    <t>v_96kej9yK8To</t>
  </si>
  <si>
    <t>There's man dressed in a black sweater playing the violin in a church.</t>
  </si>
  <si>
    <t>There's a woman standing next to him, also dressed on black holding a violin in her hands.</t>
  </si>
  <si>
    <t>There's a statue of Jesus Christ right behind them.</t>
  </si>
  <si>
    <t>After the man stops playing the violin, the woman joins in and begins playing her violin.</t>
  </si>
  <si>
    <t>there are a few people seated in the front row, watching the woman play.</t>
  </si>
  <si>
    <t>v_IrO7Fgr102M</t>
  </si>
  <si>
    <t>A group of men on donkeys play a form of polo on a dirt field.</t>
  </si>
  <si>
    <t>The camera pans to people watching the game.</t>
  </si>
  <si>
    <t>The camera returns to the people riding the donkeys.</t>
  </si>
  <si>
    <t>v_1sA-lEbrgak</t>
  </si>
  <si>
    <t>A close up of a score board is shown followed by a man lifting a heavy set of weights.</t>
  </si>
  <si>
    <t>The man lifts it over his head and his score his shown afterwards.</t>
  </si>
  <si>
    <t>He does this several more times.</t>
  </si>
  <si>
    <t>v_uPyciwjOz3E</t>
  </si>
  <si>
    <t>Several dogs are at a park.</t>
  </si>
  <si>
    <t>Their owners talk about the.</t>
  </si>
  <si>
    <t>Several vendors are set up in tents.</t>
  </si>
  <si>
    <t>The ownders walk the dogs around.</t>
  </si>
  <si>
    <t>v_JbAvSsIaI8g</t>
  </si>
  <si>
    <t>A man is sitting behind a laptop.</t>
  </si>
  <si>
    <t>He takes a contact out of his eye.</t>
  </si>
  <si>
    <t>He rubs his eye before putting it back in.</t>
  </si>
  <si>
    <t>v_AWPlbtK7afY</t>
  </si>
  <si>
    <t>A group of people is learning how to rollerblade.</t>
  </si>
  <si>
    <t>Some peeople go in groups, but generally they are slow and awkward.</t>
  </si>
  <si>
    <t>v_Bc0_vvpfMAE</t>
  </si>
  <si>
    <t>A woman is shown talking in her kitchen.</t>
  </si>
  <si>
    <t>She fills a bowl with butter, flour and sugar, and adds eggs.</t>
  </si>
  <si>
    <t>She creates a dough, and then makes and bakes a batch of cookies.</t>
  </si>
  <si>
    <t>v__bj64aqyIyk</t>
  </si>
  <si>
    <t>A girl is crossing the monkey bars.</t>
  </si>
  <si>
    <t>A girl in a yellow shirt is standing on the ground watching.</t>
  </si>
  <si>
    <t>A girl on a blue shirt is standing on a playground.</t>
  </si>
  <si>
    <t>v_Il0IelOoXa4</t>
  </si>
  <si>
    <t>A woman is seen sitting in a canoe when a man pushes her along and climbs in back.</t>
  </si>
  <si>
    <t>The man is seen riding around and looking at her surroundings while the man behind paddles.</t>
  </si>
  <si>
    <t>The woman continues sitting and looking around her at the trees and sights.</t>
  </si>
  <si>
    <t>v_jSHcj_pXiI4</t>
  </si>
  <si>
    <t>A man is getting his ear pierced by another individual who only has his or her hands in frame.</t>
  </si>
  <si>
    <t>The second individual pushes a cart behind the first individual.</t>
  </si>
  <si>
    <t>The camera focus on the first individual.</t>
  </si>
  <si>
    <t>The second individual pierces the first man's other ear.</t>
  </si>
  <si>
    <t>v_AG2g8djPKV0</t>
  </si>
  <si>
    <t>We see a lady washing clothes by hand outdoors.</t>
  </si>
  <si>
    <t>The lady pours water on the clothes from a bowl.</t>
  </si>
  <si>
    <t>The lady pushes her hair back.</t>
  </si>
  <si>
    <t>The lady pours more water on the clothes.</t>
  </si>
  <si>
    <t>v_A49K-WtIzsY</t>
  </si>
  <si>
    <t>A man is outside scraping the ice off of the windows of his car.</t>
  </si>
  <si>
    <t>Once he is finished,he puts the tool in the back of his seat and gets in the car.</t>
  </si>
  <si>
    <t>v_T9jiC2SRLJQ</t>
  </si>
  <si>
    <t>A person is seen making a drink close up followed by him speaking to others on a mountain.</t>
  </si>
  <si>
    <t>More shots are shown of the man having a drink as well as speaking to others.</t>
  </si>
  <si>
    <t>The man has another drink and plays pool followed by a picture of them.</t>
  </si>
  <si>
    <t>v_RVOBQBamjDA</t>
  </si>
  <si>
    <t>A lady is sitting and playing the piano.</t>
  </si>
  <si>
    <t>A guy is standing and playing a saxophone.</t>
  </si>
  <si>
    <t>The lady and guy are performing on the same stage, together.</t>
  </si>
  <si>
    <t>The lady and guy stop playing.</t>
  </si>
  <si>
    <t>v_z31xpHUGgO0</t>
  </si>
  <si>
    <t>A man and a little boy play badminton in an indoor court.</t>
  </si>
  <si>
    <t>The little boy serves and returns the ball well.</t>
  </si>
  <si>
    <t>The little boy miss a ball that ends in the net, then the man recovers the ball and they continue playing.</t>
  </si>
  <si>
    <t>v_KCOzA0Suy5U</t>
  </si>
  <si>
    <t>Two young motorcycle riders sit on the bikes and wave on a dirt trail.</t>
  </si>
  <si>
    <t>The boys ride their bikes over jumps on the trails.</t>
  </si>
  <si>
    <t>A young rider jumps a ramp and clutches the handlebars with his feet.</t>
  </si>
  <si>
    <t>The boy does heal clicks and kicks his feet to the side of the motor bike in mid air.</t>
  </si>
  <si>
    <t>v_x9VlxLDK-VM</t>
  </si>
  <si>
    <t>A young girl with messy curly hair is standing in front of the sink cleaning a dish with a blue sponge.</t>
  </si>
  <si>
    <t>She then rinses the top of the plate and hands it to somebody standing behind her.</t>
  </si>
  <si>
    <t>As she grabs the next dish,someone comes along and puts another dish in the sink as she continues to dump water in and out of the container.</t>
  </si>
  <si>
    <t>v_XklHV0q3w40</t>
  </si>
  <si>
    <t>A man is sitting down playing a saxophone.</t>
  </si>
  <si>
    <t>He stops playing the saxophone and talks.</t>
  </si>
  <si>
    <t>He stands up and continues playing the saxophone.</t>
  </si>
  <si>
    <t>v_VOyKKN3NdXM</t>
  </si>
  <si>
    <t>A colorful intro with a lot of flashing words flash across the screen along with a logo and a banner with foreign language written on it.</t>
  </si>
  <si>
    <t>A woman dressed in an orange and red dress and scarf is standing and talking has she hold white paper in her hands.</t>
  </si>
  <si>
    <t>The woman is no longer shown and there are various pictures flashing that seem to be about SPEED CAR WASH.</t>
  </si>
  <si>
    <t>A few short video clips begin and they all take place at the SPEED CAR WASH company where cars are driving, products are shown, a man is washing a car and various people are talking either together or alone.</t>
  </si>
  <si>
    <t>The woman from before who is dressed in an orange and red dress appears again and is still holding the white paper as she talks.</t>
  </si>
  <si>
    <t>Flashing words appear after the woman is talking and continues to the end.</t>
  </si>
  <si>
    <t>v_q8TBL7DBgXY</t>
  </si>
  <si>
    <t>A pier is shown at a beach, with people walking alongside it.</t>
  </si>
  <si>
    <t>Many pictures are shown of a woman tying up a pair of skates.</t>
  </si>
  <si>
    <t>She skates and we see bikes, people riding them, palm trees, and ferris wheels.</t>
  </si>
  <si>
    <t>We follow the woman as she skates alongside surfboards and other people.</t>
  </si>
  <si>
    <t>v_4gEDonpfTeY</t>
  </si>
  <si>
    <t>A man and a woman dance in a restaurant full of people.</t>
  </si>
  <si>
    <t>The woman approaches a young male and touch his face, then the man gets angry and push the woman who ends on his arms and they continues dancing.</t>
  </si>
  <si>
    <t>A fire appears on the floor.</t>
  </si>
  <si>
    <t>A man puts two bread sticks on the nose while a woman watch with surprise.</t>
  </si>
  <si>
    <t>The man helps a woman light a cigarette, then he flips and takes as red table cloth to make tricks, the the man and the woman continues dancing until they kiss while liquid come out of bottles and appears the moon at the end.</t>
  </si>
  <si>
    <t>v_HeMpg3SAUUs</t>
  </si>
  <si>
    <t>A little girl is wiping water all over her face.</t>
  </si>
  <si>
    <t>She looks at the camera and smiles as she continues to wash her face.</t>
  </si>
  <si>
    <t>She sticks her tongue out slightly at the camera.</t>
  </si>
  <si>
    <t>v_d_z2CA-o13U</t>
  </si>
  <si>
    <t>people are having fun playing with paint ball guns in interesting ways,some are riding in cars and other are on the ground shooting paint balls at each other.</t>
  </si>
  <si>
    <t>there are people on motorcycles as well as up in the air in parachutes just have a big fun day.</t>
  </si>
  <si>
    <t>One guy seems to have a paint ball rocket launcher and shoots a guy with it.</t>
  </si>
  <si>
    <t>there are people on motor skate boards also.</t>
  </si>
  <si>
    <t>they show that a group of people made it to the top of a small hill to plant there flag and many of there team mates were defeated.</t>
  </si>
  <si>
    <t>v_DVsLkoQijV4</t>
  </si>
  <si>
    <t>Two girls dressed in a red shirt and black spanxs are bending over preparing for a volley ball game.</t>
  </si>
  <si>
    <t>The other team is shown on the other side of the net and they serve the ball.</t>
  </si>
  <si>
    <t>Both of the girls begin to play,hits the ball back over and the girl cheers as they gain a point.</t>
  </si>
  <si>
    <t>v_L9ons75VGCg</t>
  </si>
  <si>
    <t>There are a lot of different teams rowing very fast in a very large body of water that is outdoors, surrounded by a lot of trees and a lot of buildings.</t>
  </si>
  <si>
    <t>Now the focus is on canoes that only have one woman in it and they are racing on another just like the teams did but they are alone and they have numbers behind them.</t>
  </si>
  <si>
    <t>Now they are showing canoes with two men racing and they are also rowing very fast, and then teams of 4 men begin to race.</t>
  </si>
  <si>
    <t>When they are done racing they are now shown walking up to a man and a woman who are placing medals on ribbons around men and women that walk up to him.</t>
  </si>
  <si>
    <t>When the medals have all been given out the list of winners begin to display on different screens.</t>
  </si>
  <si>
    <t>v_Hcoc9euI0tk</t>
  </si>
  <si>
    <t>Two people are skiing down a very cold and snowy mountain slope during winter.</t>
  </si>
  <si>
    <t>Going left and right and starting to build up some more speed as they go.</t>
  </si>
  <si>
    <t>One of them falls and still moving down the slope ends up running into another skier causing him to fall down also.</t>
  </si>
  <si>
    <t>They try to grab hands and they end up finally at a halt.</t>
  </si>
  <si>
    <t>v_zuNQFkkyBNo</t>
  </si>
  <si>
    <t>We see green writing on a black title screen.</t>
  </si>
  <si>
    <t>A lady in a lacy black and white bra sits in a black room under bright spot lights smoking a cigarette.</t>
  </si>
  <si>
    <t>The lady adjusts her position in the chair and looks down.</t>
  </si>
  <si>
    <t>v_UusDcf16TVQ</t>
  </si>
  <si>
    <t>A person wearing a mask plays the accordion.</t>
  </si>
  <si>
    <t>A woman waves to the person with the camera.</t>
  </si>
  <si>
    <t>v_Xk3KngL2ZH0</t>
  </si>
  <si>
    <t>A close up of snow is shown that leads into a man playing drums.</t>
  </si>
  <si>
    <t>The man leans over a set of drums in the snow while the camera pans around.</t>
  </si>
  <si>
    <t>The man still plays the drums and stops to walk away and look at the camera.</t>
  </si>
  <si>
    <t>v_dtYofkPozXM</t>
  </si>
  <si>
    <t>A man is painting a room.</t>
  </si>
  <si>
    <t>He stands on many ladders to reach the walls.</t>
  </si>
  <si>
    <t>He poses in front of a fireplace.</t>
  </si>
  <si>
    <t>v_8WFB_LUOx4k</t>
  </si>
  <si>
    <t>A camera captures several shots of sites as well as people standing outside drinking and celebrating.</t>
  </si>
  <si>
    <t>One man pulls out a weed and a drone is seen flying in the distance.</t>
  </si>
  <si>
    <t>The people attempt to hit the drone and then are seen driving around on a golf cart around other people.</t>
  </si>
  <si>
    <t>A man shows up in a guerrilla suit and the drone flies over people playing games and riding around.</t>
  </si>
  <si>
    <t>v_Q1mh4F0L8Ec</t>
  </si>
  <si>
    <t>A girl in white top and blue jeans is brushing the fur of the horse on one side then she moved on the other side and then brushed his leg.</t>
  </si>
  <si>
    <t>The lady picked up a black bottle and spray the body of the horse, then brushed off the dirt off the horse shoes then put polished on the horse's feet.</t>
  </si>
  <si>
    <t>v_2ESPauwYUnQ</t>
  </si>
  <si>
    <t>A young boy arranges a shirt on the floor.</t>
  </si>
  <si>
    <t>He grabs and iron and irons the shirt.</t>
  </si>
  <si>
    <t>He places the iron down and looks around the room.</t>
  </si>
  <si>
    <t>v_UD4RnQp5tPY</t>
  </si>
  <si>
    <t>A young man stands in a dark room holding two maraca's and speaking to the camera.</t>
  </si>
  <si>
    <t>Another man walks in scolding him and then eventually take off their shirts.</t>
  </si>
  <si>
    <t>They walk to the bathroom and rub shaving cream all over their legs.</t>
  </si>
  <si>
    <t>They begin shaving their legs and hold up a razor smiling at the camera.</t>
  </si>
  <si>
    <t>v_4ksF9BUdQJM</t>
  </si>
  <si>
    <t>A man walks outside plugs his lawn mower in and gets ready to mow.</t>
  </si>
  <si>
    <t>He starts mowing his lawn casually going over all the grass.</t>
  </si>
  <si>
    <t>His dog comes outside and starts to follow him a little while he's closer to the house.</t>
  </si>
  <si>
    <t>The yard is slowly starting to look really really nice, once he is completely finished the yard looks great, nice and smooth.</t>
  </si>
  <si>
    <t>v_L0K-WJuI1-I</t>
  </si>
  <si>
    <t>A man is standing in a kitchen talking.</t>
  </si>
  <si>
    <t>He uses a vacuum to clean the floor.</t>
  </si>
  <si>
    <t>He removes the filter from the vacuum.</t>
  </si>
  <si>
    <t>He talks some more after this.</t>
  </si>
  <si>
    <t>v_syy0FVZ7SkQ</t>
  </si>
  <si>
    <t>A middle aged man talks while holding a mop.</t>
  </si>
  <si>
    <t>The man throws a mop pad on the floor and puts the mop on it picking up the pad.</t>
  </si>
  <si>
    <t>The man goes around the room mopping the floor.</t>
  </si>
  <si>
    <t>The same man is standing in a kitchen.</t>
  </si>
  <si>
    <t>The man runs water over the mop pad and then wrings it out.</t>
  </si>
  <si>
    <t>The man throws the mop pad on the floor again and picks it up with the mop.</t>
  </si>
  <si>
    <t>The man mops the floor going around the furniture.</t>
  </si>
  <si>
    <t>v_TrRsujPlt5w</t>
  </si>
  <si>
    <t>An elderly man is using an elliptical trainer inside a gym.</t>
  </si>
  <si>
    <t>He pedals and pushes back and forth as he talks to the person with the camera.</t>
  </si>
  <si>
    <t>v_wtA-5-6DRcY</t>
  </si>
  <si>
    <t>A group is lazily floating on intertubes in a river.</t>
  </si>
  <si>
    <t>The people are holding hands so they stay together.</t>
  </si>
  <si>
    <t>They float down the water in the rain, through the rapids.</t>
  </si>
  <si>
    <t>v_aDsRltSdQak</t>
  </si>
  <si>
    <t>We see the ocean and an island in the water.</t>
  </si>
  <si>
    <t>We see a person kitesurfing in the water.</t>
  </si>
  <si>
    <t>We then see two people kitesurfing.</t>
  </si>
  <si>
    <t>We go back to just one person surfing.</t>
  </si>
  <si>
    <t>We see the island from above.</t>
  </si>
  <si>
    <t>We return to the surfer in the water.</t>
  </si>
  <si>
    <t>v_v0mUPr68x2U</t>
  </si>
  <si>
    <t>A man get out a home while a dog follows him.</t>
  </si>
  <si>
    <t>Then a toddler get out the home, stand on the border of the swimming pool an falls in the water.</t>
  </si>
  <si>
    <t>The baby floats face up, then a man comes and take the baby.</t>
  </si>
  <si>
    <t>A woman puts a baby in the swimming pool, and the baby swims fast to reach the border of the swimming pool.</t>
  </si>
  <si>
    <t>A woman puts the baby in the swimming pool who swings and floats.</t>
  </si>
  <si>
    <t>v_0-ReTddxkhg</t>
  </si>
  <si>
    <t>Two women are in front of a camera, the woman in the red shirt is speaking.</t>
  </si>
  <si>
    <t>The women both put something from a cup in there mouths.</t>
  </si>
  <si>
    <t>The woman in red begins to dance.</t>
  </si>
  <si>
    <t>The woman in black makes a face to the camera.</t>
  </si>
  <si>
    <t>Both girls bend over a bit in front of the camera.</t>
  </si>
  <si>
    <t>The woman in red stops dancing and begins to laugh and the woman in black does this as well.</t>
  </si>
  <si>
    <t>It appears that both women either swallow or spit out whatever was in their mouths.</t>
  </si>
  <si>
    <t>v_yhWPzE-kmk4</t>
  </si>
  <si>
    <t>A young child is seen talking to the camera while wearing oven mits and holding a stick.</t>
  </si>
  <si>
    <t>The boy then opens and oven door and pulls out a plate of cookies.</t>
  </si>
  <si>
    <t>He uses the stick to push the rack back and closes the oven while waves to the camera.</t>
  </si>
  <si>
    <t>v_QT2l100KJe0</t>
  </si>
  <si>
    <t>A man in a yellow shirt has his hands behind his head.</t>
  </si>
  <si>
    <t>He is running down a track and throwing a javelin.</t>
  </si>
  <si>
    <t>He trips and falls forward.</t>
  </si>
  <si>
    <t>A shot of the field is shows with many people walking on it.</t>
  </si>
  <si>
    <t>v_OvSf6kk07uE</t>
  </si>
  <si>
    <t>Gymnasts stretch and prepare for a routine.</t>
  </si>
  <si>
    <t>They do a bunch of things with their shirts off.</t>
  </si>
  <si>
    <t>v_352jrqIWSFY</t>
  </si>
  <si>
    <t>Two wrestlers are seen hunches over in a ring with one running over to the other.</t>
  </si>
  <si>
    <t>One wrestler grabs the other and flips him over his shoulders, then a ref hits the side to tap out.</t>
  </si>
  <si>
    <t>v_0OxOI3sAIrM</t>
  </si>
  <si>
    <t>A woman is sitting on a mat on the floor.</t>
  </si>
  <si>
    <t>A man is talking about how to use a bowflex.</t>
  </si>
  <si>
    <t>She lies down, doing sit ups as he continues to talk.</t>
  </si>
  <si>
    <t>v__CJaovqcgtM</t>
  </si>
  <si>
    <t>A flat screen television is sitting on a stand showing the television show RAW.</t>
  </si>
  <si>
    <t>On the show,two men are wrestling each over moving on the ground.</t>
  </si>
  <si>
    <t>The fat man then picks up the skinny guy,drops him,and stands over him.</t>
  </si>
  <si>
    <t>v_iAWXaWo82u4</t>
  </si>
  <si>
    <t>A person is holding a dog covered in suds and holding a bottle of shampoo in a yard.</t>
  </si>
  <si>
    <t>We see the person standing next to the dog and washing him with the shampoo.</t>
  </si>
  <si>
    <t>A person waves their hand in front of the dog.</t>
  </si>
  <si>
    <t>The camera pans and we see another dog laying on the ground.</t>
  </si>
  <si>
    <t>v_1FFbrlvDQ7c</t>
  </si>
  <si>
    <t>A white screen appears with a picture of a globe and a banner around it with yellow words that say "ABADA-CAPOEIRA"and is followed with various white screens that have black writing on each individual screen.</t>
  </si>
  <si>
    <t>People that include both children and adults are gathered in a room and are watching a film being projected on a large wall.</t>
  </si>
  <si>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t>
  </si>
  <si>
    <t>When they're done dancing a lot of the children pile onto and around an adult man and they take a group picture.</t>
  </si>
  <si>
    <t>Outro appears and it's the globe, white screens with black words on each one, and then logos.</t>
  </si>
  <si>
    <t>v_J3TwVc0v89A</t>
  </si>
  <si>
    <t>Two sister toddlers enter in a kitchen, then one toddler wash the dishes in the sink.</t>
  </si>
  <si>
    <t>The mother puts dishes on the sink and open the dishwasher.</t>
  </si>
  <si>
    <t>The toddler sister helps with the dishwasher and then climbs the high chair and help wash the dishes and the toddler loads the dishwasher.</t>
  </si>
  <si>
    <t>The mother stands near the refrigerator drinking tea and texting.</t>
  </si>
  <si>
    <t>The sister toddler go down the chair and leave the kitchen.</t>
  </si>
  <si>
    <t>Then, the toddler go down the chair, then she close and turn on the dishwasher.</t>
  </si>
  <si>
    <t>v_QFz-keqof9g</t>
  </si>
  <si>
    <t>A rope is strung between two trees.</t>
  </si>
  <si>
    <t>A man walks on the rope.</t>
  </si>
  <si>
    <t>He falls several times off the rope.</t>
  </si>
  <si>
    <t>Eventually he is able to balance and walks back and forth.</t>
  </si>
  <si>
    <t>v_JKVOi9DE8Hs</t>
  </si>
  <si>
    <t>A little boy is throwing darts at a board.</t>
  </si>
  <si>
    <t>He walks over to the target, looking at where the darts hit.</t>
  </si>
  <si>
    <t>v_1o9RGnujlkI</t>
  </si>
  <si>
    <t>A girl is standing in a room taking out several arrows out of her pack and using her arrow to release them.</t>
  </si>
  <si>
    <t>She then moves around the gym,takes a deep breath and continues going.</t>
  </si>
  <si>
    <t>After she moves again,two carpets are shown hanging from the wall and she continues to aim at her target until all of her bows are gone.</t>
  </si>
  <si>
    <t>v_K1G84xfLr9s</t>
  </si>
  <si>
    <t>A girl walks onto a mat, bowing before the judges.</t>
  </si>
  <si>
    <t>She performs several martial arts moves using a large wooden stick.</t>
  </si>
  <si>
    <t>When she is done, a man blows a whistle.</t>
  </si>
  <si>
    <t>v_bKec2fA5RZ8</t>
  </si>
  <si>
    <t>A woman is shown talking to the camera holding a vacuum and followed by her vacuuming up her floor at a fast pace.</t>
  </si>
  <si>
    <t>She vacuums all around the area while still talking to the camera and eventually transitioning to a close up of the vacuum.</t>
  </si>
  <si>
    <t>v_gMaakjqhNmM</t>
  </si>
  <si>
    <t>There are some men playing darts in a basement where two dart boards are hung on the wall.</t>
  </si>
  <si>
    <t>One of the men wearing a green shirt aims the dart board with a dart to hit the bull's eye on one board.</t>
  </si>
  <si>
    <t>Another man also hits the dart on the other dart board.</t>
  </si>
  <si>
    <t>The man in green shoots another dart and then goes to remove it from the dart board.</t>
  </si>
  <si>
    <t>v_8kkKxLpiMus</t>
  </si>
  <si>
    <t>a group of people are gathered inside a room.</t>
  </si>
  <si>
    <t>They are walking back and forward together.</t>
  </si>
  <si>
    <t>They are dancing as a form of aerobics.</t>
  </si>
  <si>
    <t>v_kp-mNHSU5Rc</t>
  </si>
  <si>
    <t>Several shots of people leading around horses are shown and one ties a horse to pole and wets down a razor.</t>
  </si>
  <si>
    <t>The woman then cuts the horses mane and rubs down the horses coat while the camera pans around.</t>
  </si>
  <si>
    <t>The woman unties the horse and finishes by speaking to the camera.</t>
  </si>
  <si>
    <t>v_kcMJk5dg-Wc</t>
  </si>
  <si>
    <t>A small spout of water is shown outdoors between the forest and the rocks and is creating small waves.</t>
  </si>
  <si>
    <t>All of a sudden a person comes down the water kayaking.</t>
  </si>
  <si>
    <t>Once he gets to the bottom,the kayaker turns and the waves continue flowing washing up against the rocks.</t>
  </si>
  <si>
    <t>v_k3rWocPJ428</t>
  </si>
  <si>
    <t>A table soccer set is seen without players that is built out of Lego type blocks.</t>
  </si>
  <si>
    <t>A ball is dispensed from an enclosure.</t>
  </si>
  <si>
    <t>Two boys play a game of table soccer.</t>
  </si>
  <si>
    <t>A boy scores a goal and the ball is retrieved from the slot.</t>
  </si>
  <si>
    <t>A ball falls down a square chute.</t>
  </si>
  <si>
    <t>v_KoP6ZgL6fMY</t>
  </si>
  <si>
    <t>A woman in red is practicing to jump in the sand, She runs a little and jumps in the sand again.</t>
  </si>
  <si>
    <t>Then she starts to try from further back, sprinting and jumping into the sand.</t>
  </si>
  <si>
    <t>She starts to jump over little stands next and then another man joins in to practice with her.</t>
  </si>
  <si>
    <t>Then, an actual race begins and everyone is racing along.</t>
  </si>
  <si>
    <t>v_hKa9wV1orM8</t>
  </si>
  <si>
    <t>A teen wearing red cup gets hit by other cars.</t>
  </si>
  <si>
    <t>People spin around and then continue riding and bumping.</t>
  </si>
  <si>
    <t>Then, people spin without hitting and then continue riding and bumping cars.</t>
  </si>
  <si>
    <t>A boy wearing white shirt spins around and get hit by several cars.</t>
  </si>
  <si>
    <t>v_CZISTSKNsSk</t>
  </si>
  <si>
    <t>A man presents the videos with the topics he will cover as well as the equipment that will be needed to ski.</t>
  </si>
  <si>
    <t>Throughout the video, several people are shown demonstrating some key concepts of the skiing lesson.</t>
  </si>
  <si>
    <t>The video ends with the closing credits for the segment.</t>
  </si>
  <si>
    <t>v__kdhjXHUfes</t>
  </si>
  <si>
    <t>A woman is seen holding a pose on a stage and leads into another man walking on stage.</t>
  </si>
  <si>
    <t>The man and woman then perform a dance routine together around the stage while looking at one another.</t>
  </si>
  <si>
    <t>The two continue dancing and end with a bow and the audience applauding.</t>
  </si>
  <si>
    <t>v_rmaHl5HTcwE</t>
  </si>
  <si>
    <t>A close up of a dart board is seen that leads into darts appearing.</t>
  </si>
  <si>
    <t>A person's hand takes off the darts and more darts are shown hitting the board.</t>
  </si>
  <si>
    <t>This happens several more times while the camera captures it's movements.</t>
  </si>
  <si>
    <t>v_yJgC3-t_ciw</t>
  </si>
  <si>
    <t>There are two men playing Foos ball with two young boys in a living room.</t>
  </si>
  <si>
    <t>There is a large decorated Christmas tree behind them.</t>
  </si>
  <si>
    <t>There is a woman sitting in the living room with a little girl.</t>
  </si>
  <si>
    <t>The boys play Foos ball with the men.</t>
  </si>
  <si>
    <t>They laugh and enjoy themselves as they continue to play.</t>
  </si>
  <si>
    <t>v_BK8yiRJkfcU</t>
  </si>
  <si>
    <t>A large arena is seen with a person running by and pointing to the camera.</t>
  </si>
  <si>
    <t>Several shots are shown of the athlete playing football and leads into him standing.</t>
  </si>
  <si>
    <t>The man then runs down the field and long jumps into a sand pit and his jump is shown again.</t>
  </si>
  <si>
    <t>v_asWvAGhlbdQ</t>
  </si>
  <si>
    <t>A man is seen holding a sharp knife in his hands while the camera zooms in and the man points to two boxes.</t>
  </si>
  <si>
    <t>He then glides the knife along the boxes and shows off the sharpened knife to the camera.</t>
  </si>
  <si>
    <t>He ends by holding the knife and smiling to the camera.</t>
  </si>
  <si>
    <t>v_8aYk3so14fE</t>
  </si>
  <si>
    <t>A man is seen looking off into the distance and leads into him speaking to the camera.</t>
  </si>
  <si>
    <t>The man continues to speak to the camera and then walks behind a set of drums.</t>
  </si>
  <si>
    <t>The man plays the drums continuously and ends by speaking to the camera.</t>
  </si>
  <si>
    <t>v_hDV6wQKvKCg</t>
  </si>
  <si>
    <t>A young girl is shown swinging back and fourth on a swingset and smiling into the camera.</t>
  </si>
  <si>
    <t>She continues going back and fourth while the camera captures her yelling at the camera.</t>
  </si>
  <si>
    <t>v_vBCnsp-NEAg</t>
  </si>
  <si>
    <t>A person slices and ground garlic and chop parsley.</t>
  </si>
  <si>
    <t>Then, the person adds the garlic in the hot oil in a pan.</t>
  </si>
  <si>
    <t>The person cooks and drain the pasta, then put the pasta in the pot and add chicken broth, the cooked garlic, parsley, salt, pepper and cheese on top.</t>
  </si>
  <si>
    <t>Next, the person make fried chicken, then serves the pasta with the chicken.</t>
  </si>
  <si>
    <t>v_1f_EQl4C700</t>
  </si>
  <si>
    <t>Different people enjoy having a cup of tea together.</t>
  </si>
  <si>
    <t>A woman blends the holds up a greased pan then adds a yellow butter to a bowl.</t>
  </si>
  <si>
    <t>Flour is added to the bowl and everything is blended together.</t>
  </si>
  <si>
    <t>Eggs are added to the mixture and blended in with a blender.</t>
  </si>
  <si>
    <t>The woman adds a liquid extracts as well as additional powdered flour to the dish.</t>
  </si>
  <si>
    <t>The woman adds cubed fruit to the mixture and stirs it with a spatula.</t>
  </si>
  <si>
    <t>The host pours the ingredients into a pan then cooks them in an oven.</t>
  </si>
  <si>
    <t>The women enjoy a bite of the dish together.</t>
  </si>
  <si>
    <t>The host pours a cup of tea to enjoy.</t>
  </si>
  <si>
    <t>v_kS_wMOFfMDk</t>
  </si>
  <si>
    <t>A woman rubs her hand very well.</t>
  </si>
  <si>
    <t>Then, the woman rinse her hands with water.</t>
  </si>
  <si>
    <t>v_2ehPAKS6Gpo</t>
  </si>
  <si>
    <t>People are playing hockey on a rink of ice.</t>
  </si>
  <si>
    <t>A referee skates over to the people.</t>
  </si>
  <si>
    <t>They continue playing the game of hockey.</t>
  </si>
  <si>
    <t>v_Z4OyG8ZzUpg</t>
  </si>
  <si>
    <t>Two boys are out in the yard playing ball.</t>
  </si>
  <si>
    <t>One stands in front of the net and passes to the other with lacrosse sticks.</t>
  </si>
  <si>
    <t>The boys continue passing the ball bath and fourth to each other.</t>
  </si>
  <si>
    <t>One boy throws the ball out into the road while the other runs after it.</t>
  </si>
  <si>
    <t>Another boy comes in with a wig and the boys start wrestling each other.</t>
  </si>
  <si>
    <t>The boys then pretend the beat the boy with the wig up.</t>
  </si>
  <si>
    <t>The boys all continue wrestling each other while grabbing the objects and running away.</t>
  </si>
  <si>
    <t>v_E8r9-dSKLwc</t>
  </si>
  <si>
    <t>People are riding bikes around a dirt trail.</t>
  </si>
  <si>
    <t>They go over a hill several times.</t>
  </si>
  <si>
    <t>The boy is wearing a helmet.</t>
  </si>
  <si>
    <t>v_pv73L2pQX1s</t>
  </si>
  <si>
    <t>A person is welding a small square metal object.</t>
  </si>
  <si>
    <t>A flame exit a tube and a light sparkles form the welding machine.</t>
  </si>
  <si>
    <t>Two men weld to join to big cylinders.</t>
  </si>
  <si>
    <t>v_-1IBHYS3L-Y</t>
  </si>
  <si>
    <t>A man removes snow on a car using a snowbrush.</t>
  </si>
  <si>
    <t>Then, the man writes over the snow covering the window of a car, and a woman wearing winter clothes smiles.</t>
  </si>
  <si>
    <t>Then, the man continues removing the snow on his car.</t>
  </si>
  <si>
    <t>v_OYPyiUC4h68</t>
  </si>
  <si>
    <t>A man in bathing suit and his wife float down a river on intertubes.</t>
  </si>
  <si>
    <t>The man falls from his intertube and walks over to the waters edge.</t>
  </si>
  <si>
    <t>The man, now wearing life jacket, with his wife float down a river in the middle of a large group.</t>
  </si>
  <si>
    <t>A group from behind floats next to the man and woman as they slow down near the side of the river.</t>
  </si>
  <si>
    <t>v_oB6h3DscMUw</t>
  </si>
  <si>
    <t>A woman cuts the ends off a sweet potato on a cutting board with a knife.</t>
  </si>
  <si>
    <t>The woman uses a peeling tool to skin a sweet potato over the cutting board.</t>
  </si>
  <si>
    <t>v_L4ZhAK04yjg</t>
  </si>
  <si>
    <t>We see a man and a a woman dancing together.</t>
  </si>
  <si>
    <t>The man spins the woman back and forth.</t>
  </si>
  <si>
    <t>The screen turns a green shade.</t>
  </si>
  <si>
    <t>The lady takes her hair out of a pony tail.</t>
  </si>
  <si>
    <t>The screen turns a blue shade.</t>
  </si>
  <si>
    <t>A person enter the room then leaves.</t>
  </si>
  <si>
    <t>The people start spining again.</t>
  </si>
  <si>
    <t>The person returns and moves to the left.</t>
  </si>
  <si>
    <t>The color becomes normal again.</t>
  </si>
  <si>
    <t>The man stops and the woman is upset.</t>
  </si>
  <si>
    <t>v_ZWHFbIjh0N8</t>
  </si>
  <si>
    <t>An intro appears on a dark screen with red and white special effects and the words "MILWAUKEE OPEN" and "BEST PLAYS" show up on separate screens.</t>
  </si>
  <si>
    <t>Clips of various people, both men and women are outdoors at beaches, wearing beach attire as they play sand volleyball during different matches while a lot of spectators watching them and cheering them on.</t>
  </si>
  <si>
    <t>The clips end and the outro appears and looks just like the intro and ends with the words "BEST PLAYS" and "MILWAUKEE OPEN" on two different screens.</t>
  </si>
  <si>
    <t>v_tO1VJnsd8sg</t>
  </si>
  <si>
    <t>A person in a yellow shirt stands outside watching.</t>
  </si>
  <si>
    <t>A woman opens the door and walks out.</t>
  </si>
  <si>
    <t>v_3AZgr5HkSDY</t>
  </si>
  <si>
    <t>A large group of people are seen performing a routine together in an exercise class while moving up and down on a beam.</t>
  </si>
  <si>
    <t>The people continue moving around one another while moving their arms up and down on the beam and end by holding onto one another and walking around the room.</t>
  </si>
  <si>
    <t>v_9Ht1yvo936I</t>
  </si>
  <si>
    <t>people is playing black jack around a table.</t>
  </si>
  <si>
    <t>dealer is dealnig the cards and the tokens to the women.</t>
  </si>
  <si>
    <t>man stands from a table and walks in a room.</t>
  </si>
  <si>
    <t>v_hYj38k-VOFM</t>
  </si>
  <si>
    <t>A person is seen raking a yard and pauses to put his hand in his pocket.</t>
  </si>
  <si>
    <t>Another man comes walking in with a leaf blower pushing the leaves around.</t>
  </si>
  <si>
    <t>The man rakes more leaves and the leaf blower man comes in again.</t>
  </si>
  <si>
    <t>v_Ho0eNR4jvEg</t>
  </si>
  <si>
    <t>We see the underwater sea floor.</t>
  </si>
  <si>
    <t>Two people swim in front of the camera.</t>
  </si>
  <si>
    <t>We see a man holding a camera.</t>
  </si>
  <si>
    <t>We see a fin enter the camera.</t>
  </si>
  <si>
    <t>The camera is spinning wildly.</t>
  </si>
  <si>
    <t>Bubbles rise out of a tube.</t>
  </si>
  <si>
    <t>A man hands another person the mouthpiece.</t>
  </si>
  <si>
    <t>v_4S09Z8HRtdo</t>
  </si>
  <si>
    <t>Two people are seen walking around a yard in front of a board.</t>
  </si>
  <si>
    <t>Another man walks in and the group are seen laying up a fence.</t>
  </si>
  <si>
    <t>The men continue to put boards up on the fence and end by presenting it to the camera.</t>
  </si>
  <si>
    <t>v_f3Mse2A5edA</t>
  </si>
  <si>
    <t>A man is sitting behind a table completing a Rubik's cube.</t>
  </si>
  <si>
    <t>A person in a blue shirt is standing next to the table holding a stop watch.</t>
  </si>
  <si>
    <t>The man completes the Rubik's cube and sets it down.</t>
  </si>
  <si>
    <t>He hugs a person that walks up next to him.</t>
  </si>
  <si>
    <t>v_STR26rN9GcA</t>
  </si>
  <si>
    <t>Two men are outdoors on a sidewalk, playing drums with their bare hands.</t>
  </si>
  <si>
    <t>A large crowd crosses the sidewalk as they complete the show, and the man on the left stands upright.</t>
  </si>
  <si>
    <t>v_Y1j_e1DXW6I</t>
  </si>
  <si>
    <t>A group of people line up against a wall in front of a set of balls at the start of a game in a gym.</t>
  </si>
  <si>
    <t>The group runs up to retrieve the balls.</t>
  </si>
  <si>
    <t>The group trows balls back and forth with an opposing team in a dodge ball game.</t>
  </si>
  <si>
    <t>A man gets hit multiple times as he runs forward on the court and retrieves balls.</t>
  </si>
  <si>
    <t>v_oeFUzyNgxQU</t>
  </si>
  <si>
    <t>We see men on a stage walking on a slack line as two other men film the event.</t>
  </si>
  <si>
    <t>They switch and a different man then walks the slackline who flips off the slackline.</t>
  </si>
  <si>
    <t>The men switch again and the first man is on the slackline.</t>
  </si>
  <si>
    <t>The man fall off the slackline onto his butt.</t>
  </si>
  <si>
    <t>The second man bounces and flips off.</t>
  </si>
  <si>
    <t>The first man bounces and flips off.</t>
  </si>
  <si>
    <t>the men clap and take the slackline off stage.</t>
  </si>
  <si>
    <t>v_p8C7govzEPw</t>
  </si>
  <si>
    <t>A close up of a clock is shown followed by a person making and pouring out coffee as well as the outside of a building.</t>
  </si>
  <si>
    <t>A women sets up her keys, writes on a board, and leads into her grooming and petting the dogs.</t>
  </si>
  <si>
    <t>Several clips are shown of the woman grooming the animals from various views and the animals shown afterwards.</t>
  </si>
  <si>
    <t>v_CZGDWYYkO-U</t>
  </si>
  <si>
    <t>A girl wearing glasses is seen speaking to the camera that leads into her taking them off and holding them to her camera.</t>
  </si>
  <si>
    <t>She then holds up various items and holds her eye open to put in contact lens for both eyes.</t>
  </si>
  <si>
    <t>v_Ygy-zufAejI</t>
  </si>
  <si>
    <t>We see a man walking a tightrope high above a mountain range.</t>
  </si>
  <si>
    <t>We see a picture in picture in the upper left corner.</t>
  </si>
  <si>
    <t>We see the man holding a selfie stick.</t>
  </si>
  <si>
    <t>The man reaches the other side and turns around.</t>
  </si>
  <si>
    <t>the ending title screen loads.</t>
  </si>
  <si>
    <t>v_enESbo2pA9U</t>
  </si>
  <si>
    <t>Several shots are shown of a celebrity walking the red carpet as well as a woman hosting a news segment and pictures being shown beside her.</t>
  </si>
  <si>
    <t>More pictures are shown as well as the celebrity skiing and snowboarding and ends with men escorting the celebrity into a building and more pictures as the woman speaks.</t>
  </si>
  <si>
    <t>v_JhoGvKrhs8s</t>
  </si>
  <si>
    <t>A large marching band is seen standing together in front of a large building with others standing around.</t>
  </si>
  <si>
    <t>More shots are shown of the group standing around one another while the camera pans around.</t>
  </si>
  <si>
    <t>v_7hxCoi0XU6I</t>
  </si>
  <si>
    <t>An intro leads into two women in front of the camera, one standing and speaking, and the other sitting and watching.</t>
  </si>
  <si>
    <t>The woman standing holds up a brush and begins brushing the woman's hair.</t>
  </si>
  <si>
    <t>She finishes brushing the woman's hair and looks back to the camera smiling.</t>
  </si>
  <si>
    <t>v_vlBzrnOuW9U</t>
  </si>
  <si>
    <t>A woman helps a little boy kick a ball during a kickball game.</t>
  </si>
  <si>
    <t>Each time the ball reaches base, another kid has a turn to kick.</t>
  </si>
  <si>
    <t>v_bqsWU8HqpxE</t>
  </si>
  <si>
    <t>A man runs with a pole and a jumps high, then people jumps several times.</t>
  </si>
  <si>
    <t>Two men are boxing, then people gather, men parachute and a man dive in the water.</t>
  </si>
  <si>
    <t>People dressed with military clothes, then they are doing other activities.</t>
  </si>
  <si>
    <t>People practice pole vault, climbing and other activities.</t>
  </si>
  <si>
    <t>v_P5Sg_kACPRM</t>
  </si>
  <si>
    <t>Two men run on a track while a large crowd of spectators and press watch.</t>
  </si>
  <si>
    <t>A man in the grass in the background runs with the men for a moment.</t>
  </si>
  <si>
    <t>The man on the inside lane of the track starts running very fast and then jumps into a sand pit.</t>
  </si>
  <si>
    <t>the other man runs past the sand pit.</t>
  </si>
  <si>
    <t>The man that jumped steps out of the sand pit and walks to the side.</t>
  </si>
  <si>
    <t>v_xXGc5_0_2QI</t>
  </si>
  <si>
    <t>Inside of a fence men are sitting upon horses waiting.</t>
  </si>
  <si>
    <t>One of the men starts to chase after a bull on his horse.</t>
  </si>
  <si>
    <t>He gets off of his horse and brings the bull down and starts walking back to his horse.</t>
  </si>
  <si>
    <t>He gets back on the horse as the bull just lays on the ground defeated.</t>
  </si>
  <si>
    <t>v_v26OP6f29Qc</t>
  </si>
  <si>
    <t>The men discuss a project sitting at the table.</t>
  </si>
  <si>
    <t>Two men sit at a table together and read from a document.</t>
  </si>
  <si>
    <t>The two men play a game of rock paper scissors.</t>
  </si>
  <si>
    <t>v_1Z3mjpu1I2A</t>
  </si>
  <si>
    <t>There's a little girl washing dishes and spoons in the kitchen sink.</t>
  </si>
  <si>
    <t>She uses a blue dish scrub and plenty of dish soap and washes the glass and spoons while keeping the tap running.</t>
  </si>
  <si>
    <t>She has her hands covered with soap foam as she washes the spoons and knives under the tap.</t>
  </si>
  <si>
    <t>She then washes a pizza cutter and spoon thoroughly with the soap and water.</t>
  </si>
  <si>
    <t>v_VyQ4ZbgqMXk</t>
  </si>
  <si>
    <t>A man is playing a game of shuffleboard.</t>
  </si>
  <si>
    <t>A man falls down onto the shuffleboard.</t>
  </si>
  <si>
    <t>A disc is dropped onto the ground.</t>
  </si>
  <si>
    <t>v_pieT6K771WQ</t>
  </si>
  <si>
    <t>A girl talks stand on the sidewalk, then she walks to a hopscotch.</t>
  </si>
  <si>
    <t>The girl stands on the hopscotch, then she jumps hopscotch while talking.</t>
  </si>
  <si>
    <t>v_FLL06mU-ua8</t>
  </si>
  <si>
    <t>A man gives tips on outdoor physical training.</t>
  </si>
  <si>
    <t>He demonstrates on the monkey bars going back and forth with upper body strength.</t>
  </si>
  <si>
    <t>v_QgklQUCQcV4</t>
  </si>
  <si>
    <t>A news report on physical fitness is given.</t>
  </si>
  <si>
    <t>A few people discuss the benefits of hulahooping and then do a demonstration.</t>
  </si>
  <si>
    <t>v_vcRCId1-xdA</t>
  </si>
  <si>
    <t>A woman is seen holding a drink on stage speaking into a mic as well as the audience.</t>
  </si>
  <si>
    <t>The woman continues speaking and looking around the audience while taking sips of her drink and putting it down.</t>
  </si>
  <si>
    <t>Finally she picks up a guitar and grabs a pic from the front and steps away.</t>
  </si>
  <si>
    <t>v__W8m7v1Ir5I</t>
  </si>
  <si>
    <t>A large group of people are seen standing behind one another with others watching on the sides and leads into the group running down a road.</t>
  </si>
  <si>
    <t>The large group of kids continue running down the road after one another while people still watch on the sides.</t>
  </si>
  <si>
    <t>v_mtF0AFNSFnI</t>
  </si>
  <si>
    <t>A man is seen sitting in front of a woman who begins playing a piano.</t>
  </si>
  <si>
    <t>Another man is seen sitting next to her playing an accordion.</t>
  </si>
  <si>
    <t>The man and woman play together while smiling and nodding and end by stopping and the man applauding.</t>
  </si>
  <si>
    <t>v_VlfnvORj6KY</t>
  </si>
  <si>
    <t>A man is sitting behind three drums.</t>
  </si>
  <si>
    <t>He begins playing the drums in front of him.</t>
  </si>
  <si>
    <t>He finishes playing and pictures are shown on the screen.</t>
  </si>
  <si>
    <t>v_-bzI8_hCbWk</t>
  </si>
  <si>
    <t>A large group of people are seen standing around a large gymnasium playing a game of dodge ball with one another.</t>
  </si>
  <si>
    <t>One man performs an impressive flip that leads to a man speaking to the camera and showing more shots of impressive dodgeball play.</t>
  </si>
  <si>
    <t>v_Il2jGm3L0-0</t>
  </si>
  <si>
    <t>A male athlete puts powder on his hands.</t>
  </si>
  <si>
    <t>He mounts a high beam in the gym.</t>
  </si>
  <si>
    <t>He spins and flips several times before dismounting.</t>
  </si>
  <si>
    <t>v_IeMeu-7QihI</t>
  </si>
  <si>
    <t>A shot of people are shown from several angles and leads into various shots of people riding skis and doing tricks.</t>
  </si>
  <si>
    <t>More close up of water skiers are shown while the boat trails around the area.</t>
  </si>
  <si>
    <t>v_hV9sBYo342M</t>
  </si>
  <si>
    <t>A man is running down a track.</t>
  </si>
  <si>
    <t>He jumps onto a blue mat.</t>
  </si>
  <si>
    <t>He jumps over a high bar and lands on the blue mat.</t>
  </si>
  <si>
    <t>v_Zfo0XXcWXiU</t>
  </si>
  <si>
    <t>A woman brushes and dries her hair.</t>
  </si>
  <si>
    <t>The woman puts the blow dryer down and brushes her hair again.</t>
  </si>
  <si>
    <t>v_O_IrzZbXiCc</t>
  </si>
  <si>
    <t>A child smiles at the camera.</t>
  </si>
  <si>
    <t>The child practices field hockey with obstacles on the ground.</t>
  </si>
  <si>
    <t>The child walks away from the camera.</t>
  </si>
  <si>
    <t>v_2-hF-v79XyQ</t>
  </si>
  <si>
    <t>We see two men in a TV studio talking.</t>
  </si>
  <si>
    <t>We see people playing an indoor soccer game.</t>
  </si>
  <si>
    <t>A man in black is running with his arms in the air.</t>
  </si>
  <si>
    <t>A man in yellow slides on the ground.</t>
  </si>
  <si>
    <t>The 10 in yellow throws a tantrum.</t>
  </si>
  <si>
    <t>The yellow team all hug each other.</t>
  </si>
  <si>
    <t>We return to the men in the studio.</t>
  </si>
  <si>
    <t>v_FNX7CeuIvIQ</t>
  </si>
  <si>
    <t>A man is outside with two dogs on leashes.</t>
  </si>
  <si>
    <t>He puts on a show with the trained dogs.</t>
  </si>
  <si>
    <t>He throws frisbees, and the small crowd claps for the performing dogs.</t>
  </si>
  <si>
    <t>v_eWP99kNayuU</t>
  </si>
  <si>
    <t>A man stands over a roof of a house and puts a took on the roof.</t>
  </si>
  <si>
    <t>Then, the man holds the handle of a tool with one hand.</t>
  </si>
  <si>
    <t>The man holds the handle with two hands, then he continues holding the tool with one hand.</t>
  </si>
  <si>
    <t>v_vKShqwBJrME</t>
  </si>
  <si>
    <t>A person's hands are seen attempting to solve a rubix cube while the end of a table is shown.</t>
  </si>
  <si>
    <t>The person continues until they finish the cube and then shows his time on the screen.</t>
  </si>
  <si>
    <t>v_JxEnKQ7iXUI</t>
  </si>
  <si>
    <t>A group of young girls are dressed in pink tutus, standing on a stage and doing their ballerina routine.</t>
  </si>
  <si>
    <t>One of the girls goes out of sync from the rest and starts moving her feet as she's doing her routine and everything other girl is just standing on their feet and moving just their arms.</t>
  </si>
  <si>
    <t>The girls are now starting to sing as they continue to dance and the same girl that was doing her own thing out of sync continues to do her own dancing different from the majority of the young girls.</t>
  </si>
  <si>
    <t>The dance ends and some of the girls do a curtsy and then they all walk off the stage.</t>
  </si>
  <si>
    <t>v_oq8DE3Cbar0</t>
  </si>
  <si>
    <t>A man in a movie mask is seated by a flight of stairs.</t>
  </si>
  <si>
    <t>He is playing an accordian for the people passing by.</t>
  </si>
  <si>
    <t>A few pause to listen, then continue on their way.</t>
  </si>
  <si>
    <t>v_34eCEU2Y4T0</t>
  </si>
  <si>
    <t>A woman demonstrates, on a toy baby, how to swaddle a baby and wash a baby’s face using cotton balls and wet towels.</t>
  </si>
  <si>
    <t>A woman stands in front of a toy baby and talks to the camera.</t>
  </si>
  <si>
    <t>The woman swaddles the baby in a white blanket and then begins to apply water soaked cotton balls, from a nearby water filled container, to the baby’s eyes and nose and face.</t>
  </si>
  <si>
    <t>The woman finishes and talks to the camera again.</t>
  </si>
  <si>
    <t>v_s789WxU8PFY</t>
  </si>
  <si>
    <t>A woman is seen speaking to the camera and begins unboxing an item.</t>
  </si>
  <si>
    <t>She pulls out the panels as well as putting sunglasses on and presents a pan of objects to the camera.</t>
  </si>
  <si>
    <t>She continues speaking to the camera and pulls the objects out to present baked cookies.</t>
  </si>
  <si>
    <t>The cookies are seen again on a tray and she breaks them open to see.</t>
  </si>
  <si>
    <t>v_7845vSLQoG8</t>
  </si>
  <si>
    <t>A little boy is bending over dipping a paint brush into a blue bucket.</t>
  </si>
  <si>
    <t>He paints the fence in front of him.</t>
  </si>
  <si>
    <t>He walks towards the camera.</t>
  </si>
  <si>
    <t>v_3G3Zear4vog</t>
  </si>
  <si>
    <t>Two girls are seen moving quickly around the room while switching places and looking into a camera.</t>
  </si>
  <si>
    <t>The younger girl laughs to the camera while putting on makeup and the other moves around quick.</t>
  </si>
  <si>
    <t>v_yB35e1u3pJs</t>
  </si>
  <si>
    <t>A young girl is seen speaking to the camera while sitting at a table and leads into her holding up a contacts case.</t>
  </si>
  <si>
    <t>The girl then holds her eye open and takes out the contact, followed by her dipping it in liquid and putting it back in while still speaking.</t>
  </si>
  <si>
    <t>v_JRr3BruqS2Y</t>
  </si>
  <si>
    <t>A woman is rollerskating across a street with people crossing behind her.</t>
  </si>
  <si>
    <t>She goes back across the street alone.</t>
  </si>
  <si>
    <t>A woman in a grey sweater talks to the camera on the sidewalk.</t>
  </si>
  <si>
    <t>A man in a black hat talks to the camera in front of a blue building.</t>
  </si>
  <si>
    <t>A man in a black shirt is sitting down and talking.</t>
  </si>
  <si>
    <t>It goes back to the man in a black hat talking.</t>
  </si>
  <si>
    <t>It goes back to the man in the black shirt talking.</t>
  </si>
  <si>
    <t>The girl is bent over on roller blades pulling something out of a bench.</t>
  </si>
  <si>
    <t>She does tricks on the bench.</t>
  </si>
  <si>
    <t>A woman in a brown hat is talking.</t>
  </si>
  <si>
    <t>A man with a mohawk talks.</t>
  </si>
  <si>
    <t>The girl does more tricks on her roller blades.</t>
  </si>
  <si>
    <t>Three kids are sitting on a bench in roller skates talking.</t>
  </si>
  <si>
    <t>The girl on roller blades does another trick.</t>
  </si>
  <si>
    <t>An older woman is talking to the camera.</t>
  </si>
  <si>
    <t>v_mBZAFJ-Q6Mw</t>
  </si>
  <si>
    <t>A boy is drawing with chalk on concrete as he deals with the troubles of family life and school.</t>
  </si>
  <si>
    <t>He finishes drawing hopscotch boxes on the concrete as he begins to jump on the squares and begins to dance only to be reminded of the bullying at school.</t>
  </si>
  <si>
    <t>The young man is seen now break dancing and going through a routine.</t>
  </si>
  <si>
    <t>Back at home with his troubled family he is eating and day dreaming of dancing as the scene goes back to him dancing.</t>
  </si>
  <si>
    <t>He stops dancing to look at the hopscotch squares that are now faded and worn.</t>
  </si>
  <si>
    <t>In the classroom as the teacher is walking through the rows of desks he notices the young man asleep at his desk as he uses a ruler to tap him on his head to wake him.</t>
  </si>
  <si>
    <t>The young boy notices a note at his desk that has a picture of the hopscotch squares that says "teach me" followed by a smiley face.</t>
  </si>
  <si>
    <t>The credits roll as the concrete and the chalk marks of the hopscotch squares are shown.</t>
  </si>
  <si>
    <t>v_qisMX7KNi7s</t>
  </si>
  <si>
    <t>She opens a white bin and pours water and soap into it.</t>
  </si>
  <si>
    <t>She then closes it and turns the top.</t>
  </si>
  <si>
    <t>She hangs the clothes from a wood rack to dry.</t>
  </si>
  <si>
    <t>v_60CCYfec2vQ</t>
  </si>
  <si>
    <t>There are several workers on top of a roof working on repairing the roof.</t>
  </si>
  <si>
    <t>They are removing the old shingles with the help of a roof jacks.</t>
  </si>
  <si>
    <t>They continue removing the shingles while standing on top of the roof.</t>
  </si>
  <si>
    <t>v_xoETvVbyiBA</t>
  </si>
  <si>
    <t>A man walks up to a set of parallel bars.</t>
  </si>
  <si>
    <t>The man performs acrobatics on the bars in a professional venue.</t>
  </si>
  <si>
    <t>The man successfully jumps of the bars and lands on his feet.</t>
  </si>
  <si>
    <t>v_3Rc2pPAQ-Cs</t>
  </si>
  <si>
    <t>The man in white shirt is strumming the bongo drum.</t>
  </si>
  <si>
    <t>At the counter the man is sitting behind the counter.</t>
  </si>
  <si>
    <t>The man playing bongo hit one drum then the next, then he beat the drums fast.</t>
  </si>
  <si>
    <t>v_CsaeiOFuij0</t>
  </si>
  <si>
    <t>A man is positioning a camera and then walks into a room through a wall of glass with three walls in them.</t>
  </si>
  <si>
    <t>When he enters the room,another man appears with a racket in his hand and they begin hitting the ball up against the wall.</t>
  </si>
  <si>
    <t>The two go back and forth hitting the ball and they eventually stop when neither of the men are able to get to the ball.</t>
  </si>
  <si>
    <t>v_KHxBqZmSaJU</t>
  </si>
  <si>
    <t>people is sitting on a studio talking to each other.</t>
  </si>
  <si>
    <t>man is in the beach doing tricks with a little kid and people in the studio is talking about the video.</t>
  </si>
  <si>
    <t>page of a cheerleaders is shown in the screen and the video of the girl in the beach doing tricks.</t>
  </si>
  <si>
    <t>man is in a living room with a little girl and is doing tricks with her and on the beach, then a video of the man and the girl talking to a camera is shown while people in the stuio keep talking and showing their videos.</t>
  </si>
  <si>
    <t>v_UgtzVS_oeq0</t>
  </si>
  <si>
    <t>People are shown interacting in a dance hall.</t>
  </si>
  <si>
    <t>A woman smokes and exhales black smoke.</t>
  </si>
  <si>
    <t>A man approaches a table and places food on it.</t>
  </si>
  <si>
    <t>Two children eat under the table.</t>
  </si>
  <si>
    <t>Two individuals dancing together kiss.</t>
  </si>
  <si>
    <t>The woman smokes and the black smoke disappears.</t>
  </si>
  <si>
    <t>v_Gd6YooP1_CU</t>
  </si>
  <si>
    <t>A close up of a coffee drink is shown followed by a man drinking out of the cup.</t>
  </si>
  <si>
    <t>The camera pans around to more people with drinks in their hands.</t>
  </si>
  <si>
    <t>A ma looks down at his lap with the drink still in front of him.</t>
  </si>
  <si>
    <t>v_n5RVQbgz1Rs</t>
  </si>
  <si>
    <t>A large green field is shown as two teams begin rushing towards a ball hitting it with a stick that has a net at the end of it.</t>
  </si>
  <si>
    <t>As the game progresses,a player runs into two other people and flips over their shoulders ultimately getting injured.</t>
  </si>
  <si>
    <t>He lays on the ground and several replays of the incident are shown.</t>
  </si>
  <si>
    <t>Next,several still images of other teams walking and preparing to start are shown of them playing games in various locations.</t>
  </si>
  <si>
    <t>v_PFn7a6eEhb4</t>
  </si>
  <si>
    <t>The camera zooms in on a baby cow with various title pages shown across the screen.</t>
  </si>
  <si>
    <t>A group of men run around a calf while others hold him down.</t>
  </si>
  <si>
    <t>A drunk man attempts to interact with a bull and is flipped into the air.</t>
  </si>
  <si>
    <t>Several men drag him out while a tourist attempts to draw the bull in.</t>
  </si>
  <si>
    <t>The bull nearly grabs him but the boy makes it on the fence and throws the red blanket on the bull.</t>
  </si>
  <si>
    <t>v_uUzmPV8Vgqg</t>
  </si>
  <si>
    <t>A woman in track pants and her daughters wash a small dog with soap and water in a bucket on a patio.</t>
  </si>
  <si>
    <t>A woman uses a cup to pour water on the dog to remove the soap.</t>
  </si>
  <si>
    <t>v_qtfFFPKya3Y</t>
  </si>
  <si>
    <t>A field is shown with about ten men standing in the middle and a man takes off running and throws a ball at a man holding a paddle.</t>
  </si>
  <si>
    <t>More games are shown and the same exact actions are repeated throughout various teams.</t>
  </si>
  <si>
    <t>A man with short black hair is then shown and his teammates begin congratulating him and more teams are shown playing the game.</t>
  </si>
  <si>
    <t>v_Pt4BlfBqduE</t>
  </si>
  <si>
    <t>man is holding a hammer fixing the roof of a garage.</t>
  </si>
  <si>
    <t>man is standing in the rooftop adding a black mix.</t>
  </si>
  <si>
    <t>v_ean7ZR6XmG4</t>
  </si>
  <si>
    <t>man is sitting on a table eating a sandwich in a rstaurant talking to other man.</t>
  </si>
  <si>
    <t>man is watching the man while eats and talking to him.</t>
  </si>
  <si>
    <t>both men stands and play rock paper scissors and man hits the man sand this falls to the floor.</t>
  </si>
  <si>
    <t>man is sitting on the chair and talks to the man on thefloor and throw him the sandwich.</t>
  </si>
  <si>
    <t>man walks to a desk and sits in front of te computer drinking water and the other man is laying on the floor trying to talk.</t>
  </si>
  <si>
    <t>anoher man siting in front talk to the man in the desk.</t>
  </si>
  <si>
    <t>man stands and talk to the man on the floor and hits him again and the man spit blood.</t>
  </si>
  <si>
    <t>v_KVmuW9kwZV4</t>
  </si>
  <si>
    <t>A man at his dish washing job has a very unique way to do his dishes at a very fast speed.</t>
  </si>
  <si>
    <t>He throws all the plates one by one very fast.</t>
  </si>
  <si>
    <t>They all land into the sink on top of each other after he wipes them down, some of them fall out a bit.</t>
  </si>
  <si>
    <t>The he pushes them all down into the water.</t>
  </si>
  <si>
    <t>v_3PC5_h68qkc</t>
  </si>
  <si>
    <t>People are putting on their supplies and riding in rafts down a river.</t>
  </si>
  <si>
    <t>We see the location name and the resort shots of the restaurants, bathrooms and more.</t>
  </si>
  <si>
    <t>We see people dance and play games outdoors and in a room in groups with balloons and dancing.</t>
  </si>
  <si>
    <t>We see people zip lining in the jungle.</t>
  </si>
  <si>
    <t>v_bJahexpTlr8</t>
  </si>
  <si>
    <t>A man in a silver jacket is fixing a spoke on the tire of his bicycle.</t>
  </si>
  <si>
    <t>He spins the wheel of the tire.</t>
  </si>
  <si>
    <t>He takes the tire off the bike and lays it against the building.</t>
  </si>
  <si>
    <t>He uses a tool to fix the spoke of the tire.</t>
  </si>
  <si>
    <t>He puts the tire back on the bike and spins it.</t>
  </si>
  <si>
    <t>v_ERmsX91_7V4</t>
  </si>
  <si>
    <t>A person is seen running onto a court and shooting a basketball.</t>
  </si>
  <si>
    <t>The man is shown in several clips running down and scoring a basket.</t>
  </si>
  <si>
    <t>The man continues to shoot hoops over and over again.</t>
  </si>
  <si>
    <t>v_hLnVjkmioH8</t>
  </si>
  <si>
    <t>A boy sits at a kitchen counter and adjusts the camera.</t>
  </si>
  <si>
    <t>His friend moves the camera back so they are more visible.</t>
  </si>
  <si>
    <t>The two boys then arm wrestle and the left boy wins both times.</t>
  </si>
  <si>
    <t>The right boy walks away and the left boy reaches for the camera.</t>
  </si>
  <si>
    <t>v_SQM-heGm8iU</t>
  </si>
  <si>
    <t>Two women are seen running around a room and leads into one speaking to the camera.</t>
  </si>
  <si>
    <t>The people hit a tennis ball around the room while dancing and cheering with one another.</t>
  </si>
  <si>
    <t>The people continue hitting the ball around while playing with one another.</t>
  </si>
  <si>
    <t>v_Lvia-mF_Hnk</t>
  </si>
  <si>
    <t>A man in welding attire welds a piece of metal to another piece of metal on camera.</t>
  </si>
  <si>
    <t>A man wearing protective clothing and a metal welding hat stands in front of a piece of metal missing a long strip on the face of it.</t>
  </si>
  <si>
    <t>The man begins to weld creating large sparks of white light.</t>
  </si>
  <si>
    <t>When the welding stop the finished product reveals a strip has been welded onto the formerly bare spot and the welder tests it with a hard instrument.</t>
  </si>
  <si>
    <t>v_WhYyvKiwLc8</t>
  </si>
  <si>
    <t>A woman rides a bike outside.</t>
  </si>
  <si>
    <t>She is then shown playing a violin.</t>
  </si>
  <si>
    <t>She then roller blades outside.</t>
  </si>
  <si>
    <t>And then she does push ups on a roof.</t>
  </si>
  <si>
    <t>v_DEt_Xgg8dzc</t>
  </si>
  <si>
    <t>A person jumps and land on the sand.</t>
  </si>
  <si>
    <t>A man runs fast and jumps high to land on the sand, then stand and goes skiping to his sit, while people walk in the stadium.</t>
  </si>
  <si>
    <t>A man talks sitting in an elegant room.</t>
  </si>
  <si>
    <t>A man pass on front the crowd, then jumps and bend on the floor to celebrate.</t>
  </si>
  <si>
    <t>Three athletes stand on the podium, then a man runs and jumps to land on the sand.</t>
  </si>
  <si>
    <t>v_taO9hPOvMz0</t>
  </si>
  <si>
    <t>People are sitting on the sand on a beach.</t>
  </si>
  <si>
    <t>People are surfing on large waves in the water.</t>
  </si>
  <si>
    <t>A boy lays a towel out onto the sand of the beach.</t>
  </si>
  <si>
    <t>People continue to surf on the large waves of the water.</t>
  </si>
  <si>
    <t>v_BKRKHkkZq6g</t>
  </si>
  <si>
    <t>A man wearing a black shirt holds an exercise ball over another man wearing a light blue shirt performs sit-ups on an inclined bench.</t>
  </si>
  <si>
    <t>The man wearing the black shirt drops the ball on the floor and crouches down and high fives the man performing the sit-ups.</t>
  </si>
  <si>
    <t>v_j_ImkPKoA-U</t>
  </si>
  <si>
    <t>A man is sitting on a rock by a fast flowing river.</t>
  </si>
  <si>
    <t>Another man sails past him in a raft trying to keep up with the strong current and waves.</t>
  </si>
  <si>
    <t>There are several other people sitting on the rocks watching the rafter go by.</t>
  </si>
  <si>
    <t>They are sitting on the rocks with their life vests besides them.</t>
  </si>
  <si>
    <t>v_MlxMV7WH9-g</t>
  </si>
  <si>
    <t>A camera pans out of chocolate chip cookies and milk and leads into a woman speaking.</t>
  </si>
  <si>
    <t>The woman mixes various ingredients together in a bowl and leads into her putting clumps of dough onto a pan.</t>
  </si>
  <si>
    <t>She puts the pan in the oven then takes it out to show off her chocolate ship cookies.</t>
  </si>
  <si>
    <t>v_C_fqFJyf5SU</t>
  </si>
  <si>
    <t>A woman is seen standing in front of the camera holding onto fire.</t>
  </si>
  <si>
    <t>Another woman steps beside the first and the two begin performing a fire routine with one another.</t>
  </si>
  <si>
    <t>A man hands them objects to light and the woman continue dancing and spinning around with the fire.</t>
  </si>
  <si>
    <t>v_8qODQbBVsus</t>
  </si>
  <si>
    <t>A man and woman are standing at a counter with a pineapple.</t>
  </si>
  <si>
    <t>The man ripped the top of the pineapple.</t>
  </si>
  <si>
    <t>The man sliced the top off the pineapple.</t>
  </si>
  <si>
    <t>The man cut the pineapple in half.</t>
  </si>
  <si>
    <t>The man cut the skin off the pineapple.</t>
  </si>
  <si>
    <t>v_gmFioIDX4X0</t>
  </si>
  <si>
    <t>A person is seen climbing into the back of a kayak with another man and paddling alone the water.</t>
  </si>
  <si>
    <t>The camera pans around the area and zooms back and fourth along the water and pans to people on the beach.</t>
  </si>
  <si>
    <t>v_vycd0CJTwoA</t>
  </si>
  <si>
    <t>A parking lot is shown, and a man on roller blades takes off down the hill.</t>
  </si>
  <si>
    <t>He goes around sharp curves on his skates.</t>
  </si>
  <si>
    <t>He takes several country and wooded roads before rolling to a stop in a parking lot.</t>
  </si>
  <si>
    <t>v_TcxOTZ4xnQ4</t>
  </si>
  <si>
    <t>A girl demonstrates several gymnastic and tumbler moves in a living room and on a green lawn with a line of residential houses as a backdrop.</t>
  </si>
  <si>
    <t>A girl demonstrates a somersault move in the living room in front of two couches.</t>
  </si>
  <si>
    <t>The girl then demonstrates more advanced backflip gymnastic moves in a field of grass with houses in a residential neighborhood as the backdrop.</t>
  </si>
  <si>
    <t>v_OkEqcSlWMJg</t>
  </si>
  <si>
    <t>A small group of people are seen swimming in a pool and leads into various clips of children learning how to swim.</t>
  </si>
  <si>
    <t>A man helps them practice in the water as well as jumping off a diving board.</t>
  </si>
  <si>
    <t>More shots are shown of kids swimming and leads into a girl grabbing objects under water and swimming with another.</t>
  </si>
  <si>
    <t>v_EL47wkhiOq8</t>
  </si>
  <si>
    <t>The young boy serve the shuttlecock but it hit the net.</t>
  </si>
  <si>
    <t>The older man serve the ball and the kid missed it.</t>
  </si>
  <si>
    <t>An older woman in gray shirt serve the ball and the girl in red hit it.</t>
  </si>
  <si>
    <t>v_Jv7AjsdOk2I</t>
  </si>
  <si>
    <t>A man is skateboarding, he jumps up on higher levels.</t>
  </si>
  <si>
    <t>He kicks to build up some speed and does some cool tricks .</t>
  </si>
  <si>
    <t>He gets off and then jumps back on the board and does more tricks all around.</t>
  </si>
  <si>
    <t>He jumps up on a rail and then gets back down and sits on the board and waves.</t>
  </si>
  <si>
    <t>v_taHfD8TFfX4</t>
  </si>
  <si>
    <t>A baseball player is seen standing on a patch of dirt with another behind him.</t>
  </si>
  <si>
    <t>The man then begins to hit a ball.</t>
  </si>
  <si>
    <t>The man hits the ball in slow motion.</t>
  </si>
  <si>
    <t>v_X3Nr9Gj6JR0</t>
  </si>
  <si>
    <t>A person makes spaghetti from scratch using flour, eggs, a blender and a pasta press.</t>
  </si>
  <si>
    <t>A hand mixes flour in a bowl, adds eggs and mixes both ingredients with a mixer.</t>
  </si>
  <si>
    <t>The hands then take the resulting ball of dough and kneads it, covers it in saran wrap and cuts it in pieces before rolling it flat with a rolling pin.</t>
  </si>
  <si>
    <t>The person then takes the flattened dough and puts it in a presser, dusts it with flour, and puts it into a container and then a spaghetti press which produces many strands of spaghetti.</t>
  </si>
  <si>
    <t>v_aOzMA2rpWEw</t>
  </si>
  <si>
    <t>A man and a woman are standing outside in the snow talking.</t>
  </si>
  <si>
    <t>The man is cleaning the snow off of the car.</t>
  </si>
  <si>
    <t>The girl wears a fur coat and talks to the camera.</t>
  </si>
  <si>
    <t>The man continues brushing the snow off of the car.</t>
  </si>
  <si>
    <t>They are sitting inside the car talking.</t>
  </si>
  <si>
    <t>v_mbmMY04yMUA</t>
  </si>
  <si>
    <t>There is some script shown on fear of singing on stage.</t>
  </si>
  <si>
    <t>A woman in a green shirt is singing while doing the dishes in her kitchen sink.</t>
  </si>
  <si>
    <t>She continues to wash the spoons and forks with a blue scrub and soap as she sings in a high pitch and tone.</t>
  </si>
  <si>
    <t>She continues to wash a large knife and then places the wet utensils on a drying rack.</t>
  </si>
  <si>
    <t>She washes some glasses and scrubs them thoroughly with the same sponge.</t>
  </si>
  <si>
    <t>Then places the glass on the drying rack.</t>
  </si>
  <si>
    <t>v_PtoVL69LEh4</t>
  </si>
  <si>
    <t>A man raps along with a song.</t>
  </si>
  <si>
    <t>The guy gets a tattoo as well.</t>
  </si>
  <si>
    <t>v_dpUDMvzlwmI</t>
  </si>
  <si>
    <t>A large group of people are seen playing a soccer match on a large, sandy beach.</t>
  </si>
  <si>
    <t>Many people watch on the sidelines as the kids pass the ball back and fourth to one another.</t>
  </si>
  <si>
    <t>The game continues on as the kids move up and down the field and attempt several goals that end up missed.</t>
  </si>
  <si>
    <t>v__EZnGbfMqsc</t>
  </si>
  <si>
    <t>A young blonde girl jumps outside.</t>
  </si>
  <si>
    <t>She holds a jump rope and turns the jump rope in front of her.</t>
  </si>
  <si>
    <t>She performs the same thing again.</t>
  </si>
  <si>
    <t>She turns the jump rope once more and catches it with her feet.</t>
  </si>
  <si>
    <t>She does it once more.</t>
  </si>
  <si>
    <t>She turns the jump rope and completes a full jump.</t>
  </si>
  <si>
    <t>She goes and does it again.</t>
  </si>
  <si>
    <t>She jump ropes multiple times.</t>
  </si>
  <si>
    <t>She does it again, jump roping over and over again.</t>
  </si>
  <si>
    <t>She speaks to the camera.</t>
  </si>
  <si>
    <t>v_-3baQGb2zIY</t>
  </si>
  <si>
    <t>A black male majorette begins walking through the drum line with his baton.</t>
  </si>
  <si>
    <t>As he makes his way to the front of the band,he bgeins to twirl the baton and move across the field and takes his pants off.</t>
  </si>
  <si>
    <t>Underneath his pants is a pair of sparkly shorts and he continues to dance, doing turns,tricks,kicks,splits,and popping as the band plays.</t>
  </si>
  <si>
    <t>v_jwOZsKS25oc</t>
  </si>
  <si>
    <t>A woman dressed in a pink tank top and gray tights is demonstrating spinning in a fitness gym.</t>
  </si>
  <si>
    <t>She shows the various exercises using the bicycle.</t>
  </si>
  <si>
    <t>She also shows stomach crunches and stretches while laying down on the floor.</t>
  </si>
  <si>
    <t>She motivates her team to continue biking as she encourages them to go faster.</t>
  </si>
  <si>
    <t>v_--veKG73Di4</t>
  </si>
  <si>
    <t>A man and a women introduce themselves to the camera and start to talk to each other while the man is sitting behind a four set bongo set and the women is on the other side holding a water bottle.</t>
  </si>
  <si>
    <t>As the conversation ensues another woman approaches the woman and takes away her water bottle.</t>
  </si>
  <si>
    <t>Afterwards the man starts to play the bongos and woman starts to dance.</t>
  </si>
  <si>
    <t>As the woman dances on a man on a bike passes by and starts to observe what's going on.</t>
  </si>
  <si>
    <t>In the end while the woman stops dancing and starts to clap and the man playing the bongos stops playing and does a final clap.</t>
  </si>
  <si>
    <t>v_bxxSc2m08Sk</t>
  </si>
  <si>
    <t>We see a man performing Capoiera in a plaza.</t>
  </si>
  <si>
    <t>The man is joined by a second man and the practice together.</t>
  </si>
  <si>
    <t>The first man leaves and another man jumps in.</t>
  </si>
  <si>
    <t>The two men finish and shake hands and hug.</t>
  </si>
  <si>
    <t>Both men back out of the ring and a new man enters.</t>
  </si>
  <si>
    <t>v_HB11MXjwvVo</t>
  </si>
  <si>
    <t>A young boy pushes a vacuum cleaner in the kitchen of a home.</t>
  </si>
  <si>
    <t>The mother points underneath the furniture with her hand then foot directing the boy.</t>
  </si>
  <si>
    <t>The boy pushes the vacuum cleaner into the hallway and vacuums the area.</t>
  </si>
  <si>
    <t>v_Ue2EbbpegkE</t>
  </si>
  <si>
    <t>A man explains and shows how to do snow surfboard hillside turn.</t>
  </si>
  <si>
    <t>Then, the man performs toeside using a snow skateboard.</t>
  </si>
  <si>
    <t>The man continues explaining and performs a turn.</t>
  </si>
  <si>
    <t>A toddler ski on the snow.</t>
  </si>
  <si>
    <t>v_dsYLNeumBig</t>
  </si>
  <si>
    <t>A woman is standing and talking in a kitchen.</t>
  </si>
  <si>
    <t>She is using a small vacuum cleaner.</t>
  </si>
  <si>
    <t>She demonstrates how to use the vacuum as she talks.</t>
  </si>
  <si>
    <t>v_GaxyzK2mHqw</t>
  </si>
  <si>
    <t>woman is in a kitchen talking and slicing cheddar cheese into thick pieces, cutting the bread, then she put butter in a pan and the bread loaf on the pan with the cheese on top so the cheese can be melted in the pan, woman says this is wrong.</t>
  </si>
  <si>
    <t>woman shows a clean pan, put the butter on the bread and grate the cheese, then put it as a sandwich and in the pan with a lid till the bread is tasty.</t>
  </si>
  <si>
    <t>woman serve the bread in a blue dish and slice in two.</t>
  </si>
  <si>
    <t>v_hsIudyKGz6A</t>
  </si>
  <si>
    <t>A man is seen standing before a fire holding up an ax and begins cutting a piece of wood.</t>
  </si>
  <si>
    <t>Another man holds up the pieces of wood as the man continues to cut the wood and the other man moving the wood.</t>
  </si>
  <si>
    <t>v_T-vwsIOVNTw</t>
  </si>
  <si>
    <t>A person in white runs towards first base playing kickball.</t>
  </si>
  <si>
    <t>The man is tagged out by a woman wearing red.</t>
  </si>
  <si>
    <t>v_P_sjOVZiv6A</t>
  </si>
  <si>
    <t>We see an opening screen and a man drinks from a cup.</t>
  </si>
  <si>
    <t>the man paints a lady's nails in a dining room.</t>
  </si>
  <si>
    <t>The lady shows us her finger nails.</t>
  </si>
  <si>
    <t>The man drinks from his cup.</t>
  </si>
  <si>
    <t>The man leans back and laughs.</t>
  </si>
  <si>
    <t>we see a ending credit screen.</t>
  </si>
  <si>
    <t>v_lz2FMoj9tpo</t>
  </si>
  <si>
    <t>An athletic man is seen holding a discuss and begins spinning himself around in slow motion.</t>
  </si>
  <si>
    <t>The man then throws the object off into the distance and slow walks back while moving in slow motion.</t>
  </si>
  <si>
    <t>v_xg0OCQW8t2s</t>
  </si>
  <si>
    <t>A lawn mower is tied to a white rope.</t>
  </si>
  <si>
    <t>It is turned on and starts going in circles around the rope mowing the lawn.</t>
  </si>
  <si>
    <t>v_sRTDDlI1-Yo</t>
  </si>
  <si>
    <t>A shot of a playground is shown with various kids playing on the playground and riding down a slide.</t>
  </si>
  <si>
    <t>More shots are shown of kids swinging and hanging up side down as well as moving a steering wheel and climbing to the top.</t>
  </si>
  <si>
    <t>v_RfbEuBH1Pow</t>
  </si>
  <si>
    <t>A team of swimmers are huddled in.</t>
  </si>
  <si>
    <t>The team gets in the pool.</t>
  </si>
  <si>
    <t>Two teams play water polo against each other.</t>
  </si>
  <si>
    <t>A crowd looks on from the stands.</t>
  </si>
  <si>
    <t>v_5E42nKwv1xY</t>
  </si>
  <si>
    <t>We see a scoreboard in a game.</t>
  </si>
  <si>
    <t>Girls run onto the field and shake hands with the other team.</t>
  </si>
  <si>
    <t>We see girls playing volleyball indoors.</t>
  </si>
  <si>
    <t>The girls on the left make a shot and the team hugs.</t>
  </si>
  <si>
    <t>We see the scoreboard and people on the sidelines talking.</t>
  </si>
  <si>
    <t>We see a shot in slow motion and the girls hug.</t>
  </si>
  <si>
    <t>The game is over and the girls all shake hands.</t>
  </si>
  <si>
    <t>v_vuXsKQKbAfE</t>
  </si>
  <si>
    <t>Two men are in a pool putting on diving gear.</t>
  </si>
  <si>
    <t>The man in red puts the breather in his mouth then floats backward on his back.</t>
  </si>
  <si>
    <t>We see the man in red and blue putting a solution on their goggles before trying them on.</t>
  </si>
  <si>
    <t>The man in red puts the tube in his mouth then the breather before going under water.</t>
  </si>
  <si>
    <t>We then see a sign upside down floating in the water.</t>
  </si>
  <si>
    <t>v_3ROld-bSgPQ</t>
  </si>
  <si>
    <t>A baby girl is sitting next to all of her toys eating an ice cream very messily.</t>
  </si>
  <si>
    <t>Her mom takes the ice cream away from her and she starts to cry .</t>
  </si>
  <si>
    <t>Her mom gives her back the ice cream and she is happy again, back to eating it.</t>
  </si>
  <si>
    <t>She plays with her toys with her sticky ice cream fingers and her ice cream in the other hand.</t>
  </si>
  <si>
    <t>v_vwaQwo_5X-k</t>
  </si>
  <si>
    <t>We see a man break dancing in an office plaza.</t>
  </si>
  <si>
    <t>We switch and see different men break dancing in office plazas and lobbies.</t>
  </si>
  <si>
    <t>We see man do a handstand.</t>
  </si>
  <si>
    <t>We see a man take off and throw his jacket on the camera.</t>
  </si>
  <si>
    <t>We see the black closing screen.</t>
  </si>
  <si>
    <t>v_TBFAAb62ou4</t>
  </si>
  <si>
    <t>A man wearing a black baseball hat and a black shirt is playing an acoustic guitar.</t>
  </si>
  <si>
    <t>He is playing the Beatles song Yesterday on his guitar.</t>
  </si>
  <si>
    <t>He plays till the entire song is over and then stops and smiles at the camera.</t>
  </si>
  <si>
    <t>v_6GYdu5G61g8</t>
  </si>
  <si>
    <t>A group of people transport a boat on their heads.</t>
  </si>
  <si>
    <t>People jumps backwards on the river and floats on their backs.</t>
  </si>
  <si>
    <t>Then, people in a boat raft down the choppy waters of a river while paddling.</t>
  </si>
  <si>
    <t>People in two boats meet and start to throw water each other using the oars, then some rafters jump into the water.</t>
  </si>
  <si>
    <t>Persons jump from a balcony on the rocks to the water while other people continues rafting.</t>
  </si>
  <si>
    <t>v_TNwMZhQ7SFc</t>
  </si>
  <si>
    <t>A small girl is standing behind a man in a bathroom who is standing at a sink.</t>
  </si>
  <si>
    <t>The man turns around, grabs the towel and begins drying himself while the girl is still standing on the ground, and then puts the towel back when he's done.</t>
  </si>
  <si>
    <t>The man then picks up the small girl and begins to wash her face off and while the little girl brushes her teeth as she's getting her face cleaned.</t>
  </si>
  <si>
    <t>v_JNFUZz1bqmg</t>
  </si>
  <si>
    <t>A man is talking in front of two large windows.</t>
  </si>
  <si>
    <t>Two men are kneeling down on the ground.</t>
  </si>
  <si>
    <t>The man is back to talking in front of the windows.</t>
  </si>
  <si>
    <t>Two men are sitting on a train talking.</t>
  </si>
  <si>
    <t>A man in a black coat is walking down the street.</t>
  </si>
  <si>
    <t>He is holding a white paper in his hand and writing on it.</t>
  </si>
  <si>
    <t>He is then walking up some stairs on an bridge with other people.</t>
  </si>
  <si>
    <t>He is getting harnessed on top of the bridge.</t>
  </si>
  <si>
    <t>He jumps off the bridge and bungee jumps.</t>
  </si>
  <si>
    <t>A man in an orange vest puts him into the boat.</t>
  </si>
  <si>
    <t>A man holding a camera is standing on the sidewalk and watches another man trip and fall and runs over to help him.</t>
  </si>
  <si>
    <t>v_QnATCZ_P9DE</t>
  </si>
  <si>
    <t>A man is shown in the water, wearing a helmet, holding a paddle and sitting in a kayak.</t>
  </si>
  <si>
    <t>He is talking to the camera about how to use the kayak.</t>
  </si>
  <si>
    <t>He shows several rocking and paddling motions, and flips the kayak once at the end.</t>
  </si>
  <si>
    <t>v_ZRnCnUeqKv4</t>
  </si>
  <si>
    <t>a group is playing soccer on a field.</t>
  </si>
  <si>
    <t>The girls chase the ball, hitting it with sticks, trying to get it into the goal.</t>
  </si>
  <si>
    <t>v_ZGzXbvRHNAE</t>
  </si>
  <si>
    <t>A man cleans a spot in the kitchen sink with a sponge and bottle of clorox cleaner, in a black and white commercial.</t>
  </si>
  <si>
    <t>A shot of a suburban town is shown with a close up of the city name on a town sign.</t>
  </si>
  <si>
    <t>A man in an apron stands in front of a kitchen sink putting dishes away in a drainer.</t>
  </si>
  <si>
    <t>The man cleans a spot in the sink with a bottle of clorox and a sponge, before a marketing template appears with lettering and closeup of the bottle of clorox.</t>
  </si>
  <si>
    <t>v_eSQnn2RFxeY</t>
  </si>
  <si>
    <t>A woman holds the wheel of the yacht that sails in the ocean, and a dolphin swims near the yacht.</t>
  </si>
  <si>
    <t>Then, a young men talks, and from time ti time shows the sunset.</t>
  </si>
  <si>
    <t>Four people start to dance in the yacht, and one boy dance against the sail.</t>
  </si>
  <si>
    <t>The four people holds a big fish with both hands while the yacht continues to sail.</t>
  </si>
  <si>
    <t>v_XbN3TvLEm2A</t>
  </si>
  <si>
    <t>A woman dressed very comfortably is doing an exercise down on one knee.</t>
  </si>
  <si>
    <t>She puts her arm in the air and stares off into the distance holding it into place.</t>
  </si>
  <si>
    <t>After holding that on place for a few minutes she puts her arm down and then faces forward.</t>
  </si>
  <si>
    <t>She continues to just stay in that position.</t>
  </si>
  <si>
    <t>v_VOGF4tBFEuw</t>
  </si>
  <si>
    <t>A first person view is seen of a man riding a riding lawn mower.</t>
  </si>
  <si>
    <t>He takes turns quickly, mowing the lawn.</t>
  </si>
  <si>
    <t>He continues until the entire yard is mown.</t>
  </si>
  <si>
    <t>v_ooadlJjyibo</t>
  </si>
  <si>
    <t>A girl performs on a balance beam.</t>
  </si>
  <si>
    <t>The girl stands and performs two flips.</t>
  </si>
  <si>
    <t>The girl jumps in the air two times.</t>
  </si>
  <si>
    <t>The girl sits down then gets back on her feet.</t>
  </si>
  <si>
    <t>The girl flips across the beam two times and dismounts the beam.</t>
  </si>
  <si>
    <t>The girl raises her arms and turns to high five and hug a lady standing nearby.</t>
  </si>
  <si>
    <t>v_vP-wI1egoHA</t>
  </si>
  <si>
    <t>A small group of children are seen riding around in bumper cars crashing into one another.</t>
  </si>
  <si>
    <t>The kids move all around the game hitting into one another.</t>
  </si>
  <si>
    <t>The game continues on with the kids playing and crashing into each other.</t>
  </si>
  <si>
    <t>v_yKdvz5dgro4</t>
  </si>
  <si>
    <t>A young man dry a pot lid while dancing.</t>
  </si>
  <si>
    <t>Also, a teen wash a cup of steel and dancing.</t>
  </si>
  <si>
    <t>A woman enters and then leave the kitchen.</t>
  </si>
  <si>
    <t>v_R3CGHNqunGA</t>
  </si>
  <si>
    <t>A young man sits on a a planter in front of a brick building.</t>
  </si>
  <si>
    <t>A graphic is seen with cartoons.</t>
  </si>
  <si>
    <t>The young man sits on a planter with a skateboard on his lap the young man spins his board and does skateboard tricks riding on asphalt.</t>
  </si>
  <si>
    <t>The young man does tricks over an orange safety cone.</t>
  </si>
  <si>
    <t>The skateboarder stands up from the ledge and stands on his skateboard.</t>
  </si>
  <si>
    <t>v_qpVPY6w9Fp0</t>
  </si>
  <si>
    <t>A man is seen speaking to the camera while standing on a beach next to a shovel.</t>
  </si>
  <si>
    <t>The man then begins shoveling a pile of dirt and walking to the water to fill up buckets.</t>
  </si>
  <si>
    <t>The man stacks the buckets and begins putting sand around it and sculpting it into a castle.</t>
  </si>
  <si>
    <t>He walks away in the end and shows off the castle he's made.</t>
  </si>
  <si>
    <t>v_9g-5J05BIiQ</t>
  </si>
  <si>
    <t>An intro leads into several shots of people riding a skateboard around various areas and ending in a corn field.</t>
  </si>
  <si>
    <t>They end up at a house and swim into the pool doing tricks on their boards underwater.</t>
  </si>
  <si>
    <t>They are then seen riding down a road again in the end and one boarder scuffs dirt into the camera.</t>
  </si>
  <si>
    <t>v_GhwvPy4_2KE</t>
  </si>
  <si>
    <t>A young child is pushed on a swing set of an outdoor playground at a park.</t>
  </si>
  <si>
    <t>The child reaches out her hand.</t>
  </si>
  <si>
    <t>v_BLLeQHgNmYc</t>
  </si>
  <si>
    <t>Three people are seen standing on a lawn beginning to perform martial arts moves.</t>
  </si>
  <si>
    <t>The group moves around at the same time while looking away from the camera.</t>
  </si>
  <si>
    <t>They continue to move their arms and legs around together and end by holding s pose.</t>
  </si>
  <si>
    <t>v_suwVnxHZtI8</t>
  </si>
  <si>
    <t>People are sledding down a snowy hill on an inner tube.</t>
  </si>
  <si>
    <t>They stop at the bottom of the hill.</t>
  </si>
  <si>
    <t>Several tubes are on a rope going up a hill.</t>
  </si>
  <si>
    <t>People are sledding down a hill on an inner tube again.</t>
  </si>
  <si>
    <t>v_51XRujaBAbE</t>
  </si>
  <si>
    <t>Children sit on motorcycles and parents are next to them.</t>
  </si>
  <si>
    <t>A man carry a child, a woman applaud and a man takes pictures.</t>
  </si>
  <si>
    <t>A toddler stands on the hay and grabs the leg of a woman.</t>
  </si>
  <si>
    <t>Then, men push the motorcycles with the children while a man takes notes.</t>
  </si>
  <si>
    <t>Then, the children line on the start line and then run.</t>
  </si>
  <si>
    <t>v_2Ot4ZPYpNwI</t>
  </si>
  <si>
    <t>A man is seated on a couch, playing a harmonica.</t>
  </si>
  <si>
    <t>He lowers it from his mouth when he is done.</t>
  </si>
  <si>
    <t>v_8cH0mAgsuAc</t>
  </si>
  <si>
    <t>Several people are kneeling down on a red mat doing stretches.</t>
  </si>
  <si>
    <t>v_enx7eEDrYcc</t>
  </si>
  <si>
    <t>A girl is kneeling on a pad, arms in the air.</t>
  </si>
  <si>
    <t>She leans back, letting her arms touch the wall.</t>
  </si>
  <si>
    <t>She repeats the action one more time.</t>
  </si>
  <si>
    <t>v_2zFmooC8gUg</t>
  </si>
  <si>
    <t>A person is seen kneeling down on top of a roof and holding objects in place to hammer down.</t>
  </si>
  <si>
    <t>The man then lays down more tile while hammering the sides and presenting the tiles to the camera.</t>
  </si>
  <si>
    <t>v_mPtCJg-j4SM</t>
  </si>
  <si>
    <t>A woman dressed in workout clothes and a jacket is walking down a hall and stops to talk about whats behind the door.</t>
  </si>
  <si>
    <t>Once she opens the door,the camera pans many workout machines and the woman begins talking to the program director.</t>
  </si>
  <si>
    <t>After they are done talking,the young woman begins working out with the rest of the class as the trainer walks by making sure they are working out properly.</t>
  </si>
  <si>
    <t>Finally,the workout is finished and everyone begins high-fiving one another and the woman begins to talk again.</t>
  </si>
  <si>
    <t>v_FCzT4Knfhqs</t>
  </si>
  <si>
    <t>A camera pans around a group of people standing around each other with one spinning in circles.</t>
  </si>
  <si>
    <t>A man pushing the spinning girl around and around and zooms in on a pinata.</t>
  </si>
  <si>
    <t>The girl swings at the pinata blindfolded and a man jumps down to grab a piece of fallen candy.</t>
  </si>
  <si>
    <t>The girl breaks open the pinata and several people run down to grab the candy.</t>
  </si>
  <si>
    <t>v_fRUoSevi63M</t>
  </si>
  <si>
    <t>A woman is painting a picture on a canvas.</t>
  </si>
  <si>
    <t>She has orange and yellow paint on a board in front of her.</t>
  </si>
  <si>
    <t>She paints two flowers onto the canvas.</t>
  </si>
  <si>
    <t>v_Ci9WKE6wkOQ</t>
  </si>
  <si>
    <t>A man and woman are talking to a camera on exercises.</t>
  </si>
  <si>
    <t>The girl talks about equipment and how to use it.</t>
  </si>
  <si>
    <t>She prepares the equipment and helps the man perform the exercise.</t>
  </si>
  <si>
    <t>v_KrLVIvCoW90</t>
  </si>
  <si>
    <t>people standing on side of the road on skateboards and with parked cars in a side.</t>
  </si>
  <si>
    <t>boys are doing tricks riding skateboards in the wet asphalt going down a hill.</t>
  </si>
  <si>
    <t>boys are gathered under a tent in the sidewalk and doing tricks in skateboard showing the wey asphalt and the wet grass.</t>
  </si>
  <si>
    <t>v_bjYah4IvnII</t>
  </si>
  <si>
    <t>A camera with a caption is shown and leads into several people jumping off a bridge.</t>
  </si>
  <si>
    <t>Another shot of people riding down a river on tubes is shown followed by large groups of people on the sandbars.</t>
  </si>
  <si>
    <t>The cameraman grabs another tube an jumps in the water while still floating down and catching a popped balloon.</t>
  </si>
  <si>
    <t>v_82s4QeuHioo</t>
  </si>
  <si>
    <t>man is sitting on akayak holding a row and showing the corect way of rowing.</t>
  </si>
  <si>
    <t>people are in a kayak on lakeside.</t>
  </si>
  <si>
    <t>people are on rapids kayaking.</t>
  </si>
  <si>
    <t>men are swimming on the lake by the kayak and walking in the lakeside holding kayaks.</t>
  </si>
  <si>
    <t>v_3cmHM1Yu92s</t>
  </si>
  <si>
    <t>A woman is shown working out on an elliptical and smiling off into the distance.</t>
  </si>
  <si>
    <t>The video shows several different perks the machine can do while the woman continues to work.</t>
  </si>
  <si>
    <t>She eventually steps on the machine again and continues to work out on the machine.</t>
  </si>
  <si>
    <t>v_c2VcfB3YTBo</t>
  </si>
  <si>
    <t>We see a lady walking down stairs.</t>
  </si>
  <si>
    <t>She enters a room with kids in it, takes off her coat and starts dancing.</t>
  </si>
  <si>
    <t>A man enters and the lady and man perform a fancy dance as the kids watch.</t>
  </si>
  <si>
    <t>The man throws his coat across the room.</t>
  </si>
  <si>
    <t>The lady hugs the man from behind.</t>
  </si>
  <si>
    <t>The lady tries to leave and the man grabs her and pulls her back.</t>
  </si>
  <si>
    <t>They finish and the man shakes the hands of the kids.</t>
  </si>
  <si>
    <t>The lady puts on her coat as a girl talks to her and leaves the room.</t>
  </si>
  <si>
    <t>v_lBXRkMZfIXk</t>
  </si>
  <si>
    <t>A man is seen speaking to the camera and leads into him holding a piece of paper and two objects.</t>
  </si>
  <si>
    <t>He puts the objects on a board and sharpens a knife along the object.</t>
  </si>
  <si>
    <t>He continues speaking to the camera while sharpening the blade and pointing to the object.</t>
  </si>
  <si>
    <t>v_CG-7jcSB5_c</t>
  </si>
  <si>
    <t>A toddler holds a lacrosse stick, then he catches a ball with the lacrosse stick and throws to the floor.</t>
  </si>
  <si>
    <t>Then, the toddler try to catch another ball, but it rolls under a chair.</t>
  </si>
  <si>
    <t>Next, the toddler catch a ball and throw to the floor and the ball bounce.</t>
  </si>
  <si>
    <t>After, the toddler catch the bouncing ball and throw to the backyard, then the toddler steps down a step.</t>
  </si>
  <si>
    <t>v_Geh_BZchxFY</t>
  </si>
  <si>
    <t>We see a lady peeling small potatoes.</t>
  </si>
  <si>
    <t>The lady peels her second potato.</t>
  </si>
  <si>
    <t>The lady moves on to her third potatoes.</t>
  </si>
  <si>
    <t>We zoom out and see the ladies face.</t>
  </si>
  <si>
    <t>The lady peels her fourth and fifth potato.</t>
  </si>
  <si>
    <t>v_DozJpP2cClI</t>
  </si>
  <si>
    <t>Two people are playing badminton as someone records them with a video camera.</t>
  </si>
  <si>
    <t>A guy hurts himself as the other people watching him laugh at him.</t>
  </si>
  <si>
    <t>The people that were playing badminton go over and talk to other people that are sitting in lawn chairs.</t>
  </si>
  <si>
    <t>The boy goes into the house as the people continue to laugh.</t>
  </si>
  <si>
    <t>v_tl3wQEusmj8</t>
  </si>
  <si>
    <t>We see an opening scene with an image.</t>
  </si>
  <si>
    <t>We then see a lake with ducks and rocks.</t>
  </si>
  <si>
    <t>People are paddling in the lake in a canoe.</t>
  </si>
  <si>
    <t>We see a bridge and the people pass under the bridge.</t>
  </si>
  <si>
    <t>We see tall grass blowing in the breeze as the boaters ride past.</t>
  </si>
  <si>
    <t>The boaters arrives at the shore.</t>
  </si>
  <si>
    <t>v_XXIDYn4H_1A</t>
  </si>
  <si>
    <t>A scoreboard and large video screen are shown.</t>
  </si>
  <si>
    <t>Bikers launch down a very tall ramp onto a dirt bike track.</t>
  </si>
  <si>
    <t>The bikers race around the bumpy track.</t>
  </si>
  <si>
    <t>v_EiPofuIoUic</t>
  </si>
  <si>
    <t>A close up of a person's feet are seen riding along the river in a tube.</t>
  </si>
  <si>
    <t>Several more people are seen riding in tubes down the river while others watch on the side.</t>
  </si>
  <si>
    <t>The person continues riding down the river past others.</t>
  </si>
  <si>
    <t>v_ZqkJAD0CGBU</t>
  </si>
  <si>
    <t>A man is seen standing behind a small child who is blindfolded.</t>
  </si>
  <si>
    <t>Several clips are then shown of people swinging around at pinatas and failing miserably.</t>
  </si>
  <si>
    <t>More clips are shown of people swinging around at pinatas and ends with them hitting other people.</t>
  </si>
  <si>
    <t>v_v5peBgLKWL8</t>
  </si>
  <si>
    <t>bright sun is in the sky and shows a snowy mountain and a lot of pine trees covered in snow.</t>
  </si>
  <si>
    <t>an snowboarder is walking in the snow holding two poles.</t>
  </si>
  <si>
    <t>cubicles is hanging on wires and a snowboarder is going down the snowy slope with other snowboarders standing behind.</t>
  </si>
  <si>
    <t>men are walking in a snowy slope holding the poles and other snowboarders are sliding behind.</t>
  </si>
  <si>
    <t>women are in a hanging chair and under the kids are going down slope riding snowboards and playing in a snow castle.</t>
  </si>
  <si>
    <t>people is walking in snowy mountain and snowboarding.</t>
  </si>
  <si>
    <t>wmoan enters in a cave with a man and are serving wine and a elderly couple are toasting.</t>
  </si>
  <si>
    <t>a lot of people is waiting and sitting on their bags with the snowboards on a side, people is going down the mountain while the days goes by.</t>
  </si>
  <si>
    <t>v_17zMW3rzlR4</t>
  </si>
  <si>
    <t>Several professional men are placing wax on all types of skis.</t>
  </si>
  <si>
    <t>As they continue to place wax,they use tools to grind and smooth the skis.</t>
  </si>
  <si>
    <t>Finally, the use of cloths by the workers smooths and shines the skis.</t>
  </si>
  <si>
    <t>v_e-Z9xiEQqPQ</t>
  </si>
  <si>
    <t>A military procession carries a coffin and goes through a funeral ceremony.</t>
  </si>
  <si>
    <t>A news anchor talks in a newsroom.</t>
  </si>
  <si>
    <t>A coffin and is carried by a wagon along with military personell.</t>
  </si>
  <si>
    <t>A military man presents a flag to a guest.</t>
  </si>
  <si>
    <t>A man with a prosthetic leg and a woman ride horses with trainers with a trainer alongside.</t>
  </si>
  <si>
    <t>A journalist rides with a man in football jersey along a sidewalk.</t>
  </si>
  <si>
    <t>A horse trainer talks near a forested area.</t>
  </si>
  <si>
    <t>The man in a jersey stops on the horse as he approaches the funeral procession.</t>
  </si>
  <si>
    <t>v_6l0tenUYS-w</t>
  </si>
  <si>
    <t>There is man speaking on the microphone to announce who's coming up.</t>
  </si>
  <si>
    <t>Next many different people go up on stage to dance.</t>
  </si>
  <si>
    <t>v_LtdO87DWEHM</t>
  </si>
  <si>
    <t>Several clips of shown of a person riding down city streets on roller blades.</t>
  </si>
  <si>
    <t>The person continues riding along the streets and then text appears across the screen.</t>
  </si>
  <si>
    <t>v_GjHanmMGvuw</t>
  </si>
  <si>
    <t>A young girl is shown on a large gym floor doing flips and tricks with a baton and several judges watching her.</t>
  </si>
  <si>
    <t>She continues moving along the floor while along girl practices behind her.</t>
  </si>
  <si>
    <t>She finishes her routine and stands in front of the judges and hears her results.</t>
  </si>
  <si>
    <t>v_97McCuWAynA</t>
  </si>
  <si>
    <t>A surfer wearing a wet suit takes off and rides a wave in the ocean.</t>
  </si>
  <si>
    <t>Two surfers is greeted by a seal in the ocean that jumps on his board and plays with them.</t>
  </si>
  <si>
    <t>The surfer wearing a wet suit takes off on a wave leaving the seal behind.</t>
  </si>
  <si>
    <t>v_-x1twrM_ABM</t>
  </si>
  <si>
    <t>A man is in a room, pointing and talking about tiles.</t>
  </si>
  <si>
    <t>He is placing the tiles into the wall one at a time.</t>
  </si>
  <si>
    <t>The man completes the construction, then turns off the camera.</t>
  </si>
  <si>
    <t>v_Y-UOZRZ01hI</t>
  </si>
  <si>
    <t>A page with a video structured to look similar to Youtube is shown.</t>
  </si>
  <si>
    <t>A seated woman talks to the camera, interspersed by scenes of individuals shown welding.</t>
  </si>
  <si>
    <t>The Youtube lookalike page with a video is shown again.</t>
  </si>
  <si>
    <t>v_EcQ7DcVefdw</t>
  </si>
  <si>
    <t>A middle eastern news caster is talking about a recent event in another language.</t>
  </si>
  <si>
    <t>The scene switches to show group of people at an event of some kind.</t>
  </si>
  <si>
    <t>The people at the event are shown polishing shoes.</t>
  </si>
  <si>
    <t>A man in a red shirt is being interviewed while it shows others at the event on the split screen.</t>
  </si>
  <si>
    <t>The scene switches back to just the event with the newscaster talking over the footage.</t>
  </si>
  <si>
    <t>v_moMisK3nGuY</t>
  </si>
  <si>
    <t>woman is standing next to a horse holding a brush combing the horse's hair.</t>
  </si>
  <si>
    <t>litle kid is caressing the horse.</t>
  </si>
  <si>
    <t>woman walks to the track.</t>
  </si>
  <si>
    <t>v_ksPQdczmNKs</t>
  </si>
  <si>
    <t>A girl is seen crossing her arms and hula hooping over and over again.</t>
  </si>
  <si>
    <t>She continuously hula hoops while moving her legs all around and doing various jumps and tricks.</t>
  </si>
  <si>
    <t>v_n1dboqahvZU</t>
  </si>
  <si>
    <t>A man named Andrei approaches the stage.</t>
  </si>
  <si>
    <t>He powders his hands in preperation.</t>
  </si>
  <si>
    <t>He puts his hands on the weight.</t>
  </si>
  <si>
    <t>He prepares his body for lifting the heavy weight.</t>
  </si>
  <si>
    <t>He pulls up but drops the weight and falls down.</t>
  </si>
  <si>
    <t>The other competitor rejoices at their win.</t>
  </si>
  <si>
    <t>v_phDLuo6dYrk</t>
  </si>
  <si>
    <t>The clear sky is shown before a group of girls appear playing a game of field hockey.</t>
  </si>
  <si>
    <t>The two teams compete against each other in the building as still images are shown in between the plays.</t>
  </si>
  <si>
    <t>As one team gets close to making a goal,a male photographer is shown on the corner of the goal and then a girl appears at the end of the video making a funny face.</t>
  </si>
  <si>
    <t>v_yHtapvYRcMw</t>
  </si>
  <si>
    <t>Two men are performaing capoeria in the middle of a circle of people.</t>
  </si>
  <si>
    <t>They are performing while everyone claps.</t>
  </si>
  <si>
    <t>They take a short break and walk around a bit before starting their performance again.</t>
  </si>
  <si>
    <t>People are clapping to a set rhythm.</t>
  </si>
  <si>
    <t>This lasts for a long while.</t>
  </si>
  <si>
    <t>v_1xQTlp0hscs</t>
  </si>
  <si>
    <t>Bright text appears on the screen.</t>
  </si>
  <si>
    <t>An art piece is displayed on the wall, and we are shown several close ups of the paint.</t>
  </si>
  <si>
    <t>Perusers of art walk through the gallery, looking at the painting.</t>
  </si>
  <si>
    <t>We then conclude with someone taking a photo and walking away.</t>
  </si>
  <si>
    <t>v_ZMopjyYvcqw</t>
  </si>
  <si>
    <t>A man is showing a crossbow and a knife and other hunting gear.</t>
  </si>
  <si>
    <t>The man is talking to the camera showing a hunting bow.</t>
  </si>
  <si>
    <t>The bow is shown in detail.</t>
  </si>
  <si>
    <t>Another man is shown outdoors using the hunting bow to shoot a target.</t>
  </si>
  <si>
    <t>The man is talking to the camera again indoors showing the hunting bow.</t>
  </si>
  <si>
    <t>v_0ERgbWePjWk</t>
  </si>
  <si>
    <t>A man is on a diving board and begins to jump on the board once.</t>
  </si>
  <si>
    <t>The man goes into the air and does a forward roll in the air.</t>
  </si>
  <si>
    <t>The man then starts descending into the water from the top of his jump.</t>
  </si>
  <si>
    <t>The man lands into the water as it splashes and makes the move to come back to the surface.</t>
  </si>
  <si>
    <t>v_ZQs-OWTZA6o</t>
  </si>
  <si>
    <t>The woman with sunglasses, blue jacket pushed the round lifebuoy on the snow and jumped on it.</t>
  </si>
  <si>
    <t>The lifebuoy continue to slide on the snow, the woman is looking a the camera, she passed the orange flags, and several people that are standing on the side of the trail.</t>
  </si>
  <si>
    <t>v_NSavdMErlYA</t>
  </si>
  <si>
    <t>A guy talks while gesturing.</t>
  </si>
  <si>
    <t>The ingredients to make a dish is shown.</t>
  </si>
  <si>
    <t>The guy puts butter, oil and dry ingredients into a pan.</t>
  </si>
  <si>
    <t>The guy adds pasta to the pan.</t>
  </si>
  <si>
    <t>v_fgkiHZ0nENg</t>
  </si>
  <si>
    <t>A group of people are seen standing around a yard when one hits a ball and another watches closely.</t>
  </si>
  <si>
    <t>Another man walks into frame hitting the ball and the other people behind him continue playing.</t>
  </si>
  <si>
    <t>v_NDWJOqVUGeA</t>
  </si>
  <si>
    <t>A camera pans over a roof and shows several people working and a man being interviewed.</t>
  </si>
  <si>
    <t>A man sprays down a roof and shows the product used several times and the top of the roof.</t>
  </si>
  <si>
    <t>Another man is interviewed and shows more men working on the roof.</t>
  </si>
  <si>
    <t>v_dAP7xalPRHo</t>
  </si>
  <si>
    <t>A person puts a garment in a pail, then he adds detergent and water.</t>
  </si>
  <si>
    <t>Then, the man washes the cloth with his hand, and then pours water and rinse several times.</t>
  </si>
  <si>
    <t>Next, the person carry the the garment to hang on a rope and dry.</t>
  </si>
  <si>
    <t>v_fKFcbNM89MA</t>
  </si>
  <si>
    <t>A large river is seen followed by a person riding down in a tube.</t>
  </si>
  <si>
    <t>Another person is also seen riding in a tube.</t>
  </si>
  <si>
    <t>The two ride down the river together and pass other people sitting alongside the river.</t>
  </si>
  <si>
    <t>v_-nskwoky7vk</t>
  </si>
  <si>
    <t>A man is seen speaking to the camera while holding a large accordion in his hands.</t>
  </si>
  <si>
    <t>The man then demonstrates how to properly play the instrument while moving his hands up and down.</t>
  </si>
  <si>
    <t>v_RiQdIJNDTo4</t>
  </si>
  <si>
    <t>A white haired man sits at an upright piano and begins to play in a lobby while people walk by.</t>
  </si>
  <si>
    <t>The cameraman zooms in on the mans hands as he's playing and zooms back out.</t>
  </si>
  <si>
    <t>v_HPJuOvOmEW8</t>
  </si>
  <si>
    <t>An intro leads into a tall man wearing a santa costume and skating down a long street in between people.</t>
  </si>
  <si>
    <t>The camera follows him riding around the city and performing various tricks and maneuvers around cars and people.</t>
  </si>
  <si>
    <t>v_3baH1vI0Cxk</t>
  </si>
  <si>
    <t>Two men walked over the football table, one man counted the dice on the side.</t>
  </si>
  <si>
    <t>The players twist and push and pull the poles as they play on the table.</t>
  </si>
  <si>
    <t>The camera men are taking pictures behind them.</t>
  </si>
  <si>
    <t>v_Dys_KC7uIzs</t>
  </si>
  <si>
    <t>Several men are shown bowling while an audience watches on.</t>
  </si>
  <si>
    <t>The bowlers bowl in turn, one at a time.</t>
  </si>
  <si>
    <t>The players and audience cheer one of the players.</t>
  </si>
  <si>
    <t>v_i-8vfNV-klk</t>
  </si>
  <si>
    <t>A man is using a pair of hedge trimmers on trees.</t>
  </si>
  <si>
    <t>He is talking to the camera as he goes.</t>
  </si>
  <si>
    <t>He trims the trees with the shears.</t>
  </si>
  <si>
    <t>v_Z-2Gwqt_GCQ</t>
  </si>
  <si>
    <t>A person gather mops and cleaning materials on a hard floor.</t>
  </si>
  <si>
    <t>The person cleans the hard floor using a dust mop.</t>
  </si>
  <si>
    <t>Then, the person puts a cup of detergent in a litter of water, then wet a cloth and attaches to a handle to mop the floor.</t>
  </si>
  <si>
    <t>The person removes stains on the floor using a cloth with a special solution.</t>
  </si>
  <si>
    <t>v_qlvW6jW2mfQ</t>
  </si>
  <si>
    <t>A person take two sticks on the drums, one stick holds with a hand and the other with his foot, then the person plays with one hand and the drums falls.</t>
  </si>
  <si>
    <t>The person plays with a hand and feet, and the face of, a gorilla appears.</t>
  </si>
  <si>
    <t>Then, the person puts mustard in one drum and one egg on other drum, and drums.</t>
  </si>
  <si>
    <t>After, the person puts a tortilla and drums over, then fried and egg.</t>
  </si>
  <si>
    <t>Next , the person destroys the drums.</t>
  </si>
  <si>
    <t>v_rcMv32d1QkI</t>
  </si>
  <si>
    <t>The video begins with several shots of a person doing tricks on a skateboard while many people watch him on the sides.</t>
  </si>
  <si>
    <t>He attempts many more tricks that fail to have him land on the board and he walks around the bowl each time afterwards.</t>
  </si>
  <si>
    <t>v_Az7bzVcLMSM</t>
  </si>
  <si>
    <t>A woman is seen standing on a stage stage with a single light shown and begins performing a dance routine.</t>
  </si>
  <si>
    <t>The light is seen on the woman is leads into her on a lit stage performing a belly dancing routine.</t>
  </si>
  <si>
    <t>The stage becomes dark again and the woman continues dancing all on the stage and holding a pose.</t>
  </si>
  <si>
    <t>v_doNSg6PuKDM</t>
  </si>
  <si>
    <t>A child shovels the snow in a yard and throws it into the driveway.</t>
  </si>
  <si>
    <t>The girl drops her shovel and shovel in the snow.</t>
  </si>
  <si>
    <t>The child walks over to her family in the yard.</t>
  </si>
  <si>
    <t>v_G98dfNXqu4Q</t>
  </si>
  <si>
    <t>Several people are on horses at a rodeo.</t>
  </si>
  <si>
    <t>One man comes out of the gate and ropes a calf.</t>
  </si>
  <si>
    <t>The calf falls to the ground as he is roped into place.</t>
  </si>
  <si>
    <t>He tries to stand, but another man grabs him.</t>
  </si>
  <si>
    <t>v_5FSdOfvJnek</t>
  </si>
  <si>
    <t>a lot of people wearing red life jackets and are in a bus and holding rafts.</t>
  </si>
  <si>
    <t>people are in water paddling in the river.</t>
  </si>
  <si>
    <t>v_fxxeCpqgRfk</t>
  </si>
  <si>
    <t>The male athlete bow then raised his arms then walked to the poles.</t>
  </si>
  <si>
    <t>The athlete jumped onto the poles and balanced on the two poles, standing on his arms then falling and rotating.</t>
  </si>
  <si>
    <t>When the athlete is done with his number he jumped from the pole and landed on his feet on the mat.</t>
  </si>
  <si>
    <t>v_xpxxH2V7Fe8</t>
  </si>
  <si>
    <t>A row of drummers are standing in front of an orchestra.</t>
  </si>
  <si>
    <t>The drummers hold their drumsticks in front of their face.</t>
  </si>
  <si>
    <t>They each beat their drums.</t>
  </si>
  <si>
    <t>After each note the drummers raise their drumsticks back in front of their faces.</t>
  </si>
  <si>
    <t>v_pA5W1NYnmyY</t>
  </si>
  <si>
    <t>A man is seen standing on a ladder and speaking to the camera.</t>
  </si>
  <si>
    <t>He holds up various tools and begins piecing them together.</t>
  </si>
  <si>
    <t>He then cleans off a window using the tools and tightening up the ladder.</t>
  </si>
  <si>
    <t>v_4rKTw99bM8g</t>
  </si>
  <si>
    <t>A person wearing a blue jacket and orange helmet is on an overturned raft in the water.</t>
  </si>
  <si>
    <t>The raft completely overturns as he tries to make his way up.</t>
  </si>
  <si>
    <t>Then the man straightens the raft and sits up straight in the raft.</t>
  </si>
  <si>
    <t>v__hdjRMpleWs</t>
  </si>
  <si>
    <t>A man is seen riding in on a horse while swinging a rope and grabbing a calf.</t>
  </si>
  <si>
    <t>The person ties up the calf while others ride in on horses and the men untie the animal.</t>
  </si>
  <si>
    <t>v_R-lGXNY19wE</t>
  </si>
  <si>
    <t>A woman is holding a baby on the beach.</t>
  </si>
  <si>
    <t>She sets the baby on a towel and starts rubbing sunscreen on the baby.</t>
  </si>
  <si>
    <t>She picks the baby up and gives it a kiss.</t>
  </si>
  <si>
    <t>v_yfPa5IKWTvU</t>
  </si>
  <si>
    <t>A billboard is shown on a wall.</t>
  </si>
  <si>
    <t>Kids run out onto the stage and get in formation.</t>
  </si>
  <si>
    <t>A banner is placed at the front of the stage.</t>
  </si>
  <si>
    <t>The kids start cheerleading on the stage.</t>
  </si>
  <si>
    <t>The kids in the front hold up the banner.</t>
  </si>
  <si>
    <t>They run off of the stage.</t>
  </si>
  <si>
    <t>v_1PpVSeE2BJ8</t>
  </si>
  <si>
    <t>A baby boy is seated at a restaurant table.</t>
  </si>
  <si>
    <t>He is eating a vanilla ice cream cone.</t>
  </si>
  <si>
    <t>He takes a napkin and wipes his mouth before handing the napkin back and continuing to eat.</t>
  </si>
  <si>
    <t>v_SHfFrzy_fKM</t>
  </si>
  <si>
    <t>A little girl is guided as she mounts a camel at a station.</t>
  </si>
  <si>
    <t>A man helps her as he leads the camel around.</t>
  </si>
  <si>
    <t>The girl smiles as she rides the camel around the pen.</t>
  </si>
  <si>
    <t>v_Q2OOxx3RWhY</t>
  </si>
  <si>
    <t>The young girl is speaking to the camera.</t>
  </si>
  <si>
    <t>The girl is holding a hair curler.</t>
  </si>
  <si>
    <t>The young woman is providing tips to other girls on how to curl their hair.</t>
  </si>
  <si>
    <t>At the end of the video, the girl asks to like the video.</t>
  </si>
  <si>
    <t>v_RNxHKDlWAGQ</t>
  </si>
  <si>
    <t>A camera shows a person riding around a dirt track on a bike moving at a quick speed.</t>
  </si>
  <si>
    <t>Several more shots are shown of people riding the dirt track on bikes while the camera captures them from several angles.</t>
  </si>
  <si>
    <t>v_5P-4_nS8euM</t>
  </si>
  <si>
    <t>A young man is seen talking to the camera from various angles and then using a razor to cut his hair.</t>
  </si>
  <si>
    <t>He continues cutting his hair while speaking to the camera and laughing.</t>
  </si>
  <si>
    <t>He finishes his hair while looking into the camera then has his reflection shown behind a shower curtain.</t>
  </si>
  <si>
    <t>v_gF14lRI0HUM</t>
  </si>
  <si>
    <t>Two people are boxing in a ring.</t>
  </si>
  <si>
    <t>A man in a black shirt is refereeing the fight.</t>
  </si>
  <si>
    <t>A woman is holding a camera taking pictures of them fighting.</t>
  </si>
  <si>
    <t>v_HDhG0WkwGaU</t>
  </si>
  <si>
    <t>The videos transitions into a countdown of various people getting hurt on the streets from bull attacks.</t>
  </si>
  <si>
    <t>many different people are seen running down streets while a bull flips them over and hurt them.</t>
  </si>
  <si>
    <t>v_fOGXvBAmTsY</t>
  </si>
  <si>
    <t>There's a woman talking about being the first woman to participate in a marathon in 1967.</t>
  </si>
  <si>
    <t>A picture of the participant when she was young is shown.</t>
  </si>
  <si>
    <t>She talks about how different the marathons used to be back in the day where she shows clips of participants from a marathon at least 50 years ago.</t>
  </si>
  <si>
    <t>There are pictures of male participants shown dominating the scene where she was the only female participant.</t>
  </si>
  <si>
    <t>She talks about her experience as she shows more pictures of her participation against all odds.</t>
  </si>
  <si>
    <t>She also shares information on how things changed later when she was finally allowed to participate freely.</t>
  </si>
  <si>
    <t>v_DLFerdBxdxQ</t>
  </si>
  <si>
    <t>A woman is standing at a table, putting food into a large pita on a plate.</t>
  </si>
  <si>
    <t>An older woman demonstrates how to cut onions, peppers, lettuce, carrots, tomatoes, etc into chunks.</t>
  </si>
  <si>
    <t>The vegetables are places in a processor and pureed into a bowl.</t>
  </si>
  <si>
    <t>The mix is blended and put on the table to be served on the tortillas.</t>
  </si>
  <si>
    <t>The women sit at the table and talk as they eat.</t>
  </si>
  <si>
    <t>v_qVgsPJeQYMY</t>
  </si>
  <si>
    <t>A group of students stretch out in gym class.</t>
  </si>
  <si>
    <t>A group of band students practice inside a classroom and gym.</t>
  </si>
  <si>
    <t>The school band plays during outdoor events and sporting games.</t>
  </si>
  <si>
    <t>v_F-WmsfI8HG0</t>
  </si>
  <si>
    <t>We see a newscaster in a studio.</t>
  </si>
  <si>
    <t>We see a man operating 2 manual vacuum cleaners.</t>
  </si>
  <si>
    <t>We see some old style vacuums.</t>
  </si>
  <si>
    <t>We see a black and white TV clip.</t>
  </si>
  <si>
    <t>We see the man vacuum and still from the museum.</t>
  </si>
  <si>
    <t>We see a lady in black and white and in color.</t>
  </si>
  <si>
    <t>We then see a factory and a man talking.</t>
  </si>
  <si>
    <t>We see the man talking and see him near a vacuum.</t>
  </si>
  <si>
    <t>We see an old print ad.</t>
  </si>
  <si>
    <t>We return to the newscaster in the studio.</t>
  </si>
  <si>
    <t>v_9wH6BIpe9X4</t>
  </si>
  <si>
    <t>A woman is seen speaking to the camera and leads into clips of her and another riding horses in a forest and beach.</t>
  </si>
  <si>
    <t>The women then run the horses along the beach while the camera captures them from several angles.</t>
  </si>
  <si>
    <t>v_aDhbXceBwHw</t>
  </si>
  <si>
    <t>Two men are seen doing a sumo move in a large circle surrounded by others.</t>
  </si>
  <si>
    <t>One man pretends to fight a sumo wrestler and is pushed to the side very easily.</t>
  </si>
  <si>
    <t>The other man tries with his shot shown again in slow motion and stand all together with their arms up.</t>
  </si>
  <si>
    <t>v_MqQ9mgUb664</t>
  </si>
  <si>
    <t>A man and woman is standing on the counter while the man talks in the camera.</t>
  </si>
  <si>
    <t>A plate of cut pineapple is on a plate on the table, as the man get some grapes and put it on the chopping board and cut them into half, then placed them on top of the pineapple cuts, then he wiped his hands and showed the plate to the camera.</t>
  </si>
  <si>
    <t>v_bY0vSkxH0PE</t>
  </si>
  <si>
    <t>A child watches at a window while a man outdoors is shoveling snow.</t>
  </si>
  <si>
    <t>He moves back and forth, picking up snow and moving it away from the door.</t>
  </si>
  <si>
    <t>v_-tv6laq1ic0</t>
  </si>
  <si>
    <t>We see blinds down on a window.</t>
  </si>
  <si>
    <t>A person is laying in a tattoo parlor being tattooed.</t>
  </si>
  <si>
    <t>We back up and see the tattoo artist.</t>
  </si>
  <si>
    <t>The lady looks in her phone and smiles at the camera.</t>
  </si>
  <si>
    <t>We pan down and see the tattoo artist work.</t>
  </si>
  <si>
    <t>v_LgUCZHYBBEc</t>
  </si>
  <si>
    <t>A large group of people are seen riding on horses and begin moving around.</t>
  </si>
  <si>
    <t>The people play a game on the horses while chasing a ball.</t>
  </si>
  <si>
    <t>The men continue to play and end by one jumping off the horse.</t>
  </si>
  <si>
    <t>v_FkWlzk8CrxA</t>
  </si>
  <si>
    <t>A woman in a white shirt is talking to the camera.</t>
  </si>
  <si>
    <t>A man and the woman start to dance together.</t>
  </si>
  <si>
    <t>She raises her arm and he twists her around.</t>
  </si>
  <si>
    <t>v_dWUEAavKWmI</t>
  </si>
  <si>
    <t>Two men wearing blue are inside playing a game of ping ping.</t>
  </si>
  <si>
    <t>They are hitting the ball back and forth pretty quickly without stopping.</t>
  </si>
  <si>
    <t>One of them hits the ball up and stops their progress, they have to start again.</t>
  </si>
  <si>
    <t>they get back to playing and hitting it barely missing a beat.</t>
  </si>
  <si>
    <t>v_jLwUrFMRGzY</t>
  </si>
  <si>
    <t>An intro is shown followed by two people and a man talking to the camera.</t>
  </si>
  <si>
    <t>The camera pans out to more people and shows them performing an exercise that swings their legs back and fourth.</t>
  </si>
  <si>
    <t>The people continue following the instructor through various movements while he leads them in the exercise.</t>
  </si>
  <si>
    <t>v_cBMi-cIbI2c</t>
  </si>
  <si>
    <t>A man is dressed in a black uniform and approaches a small circle that is in the middle of the field surrounded by green nets.</t>
  </si>
  <si>
    <t>The crowd is panned and then the man is shown throwing his discus as multiple people run out to track his distance.</t>
  </si>
  <si>
    <t>An instant replay is played and the front of the man's face is visible.</t>
  </si>
  <si>
    <t>v_nDG3MsnLE20</t>
  </si>
  <si>
    <t>We see a curling stone and a graph.</t>
  </si>
  <si>
    <t>We see a person pushing the stone.</t>
  </si>
  <si>
    <t>We see the stone on another graph.</t>
  </si>
  <si>
    <t>We see a man push the stone and people sweep in front of it.</t>
  </si>
  <si>
    <t>v_vPh9o_BuJaU</t>
  </si>
  <si>
    <t>A close up of a person's feet are shown sitting in a chair.</t>
  </si>
  <si>
    <t>The person then bends forward and begins putting shoes on.</t>
  </si>
  <si>
    <t>He finishes putting shoes on and gets up to walk away.</t>
  </si>
  <si>
    <t>v_HnEvJUr8DEM</t>
  </si>
  <si>
    <t>A man is standing on a field.</t>
  </si>
  <si>
    <t>He kicks a ball into the air.</t>
  </si>
  <si>
    <t>He runs to first base.</t>
  </si>
  <si>
    <t>v_a7QrIgqkyao</t>
  </si>
  <si>
    <t>A woman is standing behind a table with several pumpkin carving kits.</t>
  </si>
  <si>
    <t>She shows the contents of the books.</t>
  </si>
  <si>
    <t>The woman chooses a design, carving it into the pumpkin.</t>
  </si>
  <si>
    <t>She then places batteries in tea light to go inside, and paints the pumpkin black.</t>
  </si>
  <si>
    <t>v_UVJ0mQndDhE</t>
  </si>
  <si>
    <t>We see a person sliding blue discs down a wooden table.</t>
  </si>
  <si>
    <t>The man moves to the other end of the table and the camera moves to see them from the end.</t>
  </si>
  <si>
    <t>We wee the person slide all their blue then the red discs down the table.</t>
  </si>
  <si>
    <t>We see a hand appear and point.</t>
  </si>
  <si>
    <t>The person grabs a blue disc and slides it two times.</t>
  </si>
  <si>
    <t>v_iOnlcEk50CM</t>
  </si>
  <si>
    <t>A male is standing on side on a road in front of a forest with his foot on a skateboard.</t>
  </si>
  <si>
    <t>The male then gets on the skateboard and start balancing himself on it.</t>
  </si>
  <si>
    <t>After,he picks up the skateboard and moves a few feet back and starts skateboarding.</t>
  </si>
  <si>
    <t>Once done,he picks up the skateboard and holds it back down to his side.</t>
  </si>
  <si>
    <t>v_CIAZbDkD0TE</t>
  </si>
  <si>
    <t>A woman walks out of a kitchen and over to a steamer with her daughter behind her.</t>
  </si>
  <si>
    <t>She picks up her iron and begins to iron a pair of pants as the girl plays with a dress, and the woman has left the iron resting on the clothing.</t>
  </si>
  <si>
    <t>She irons the dress for the girl as she watches.</t>
  </si>
  <si>
    <t>v__HIJu_hNweY</t>
  </si>
  <si>
    <t>Three girls are seen standing on a cliff hitting a birdie to one another.</t>
  </si>
  <si>
    <t>The camera pans around their movements as they hit the birdie around.</t>
  </si>
  <si>
    <t>The girls continue to hit the birdie around and showing off their butts in the end.</t>
  </si>
  <si>
    <t>v_H_xL4tssqEU</t>
  </si>
  <si>
    <t>A woman knits and shows her work.</t>
  </si>
  <si>
    <t>Women are knitting while sitting in a circle and talking each other.</t>
  </si>
  <si>
    <t>A reporter talks in the room where the women knits.</t>
  </si>
  <si>
    <t>v_P2H4fTMMHNE</t>
  </si>
  <si>
    <t>A woman is ironing a brown shirt on an ironing board.</t>
  </si>
  <si>
    <t>She looks at the tag on the shirt.</t>
  </si>
  <si>
    <t>She continues ironing the shirt on the ironing board.</t>
  </si>
  <si>
    <t>She lifts the shirt up and puts it over the ironing board.</t>
  </si>
  <si>
    <t>She turns the shirt inside out and holds it up.</t>
  </si>
  <si>
    <t>v_bJkemB0CcKo</t>
  </si>
  <si>
    <t>A man talks to the camera smiling and transitions to him holding a pan and spreading butter into it.</t>
  </si>
  <si>
    <t>He pours egg into the pan and pushes it around with several vegetables.</t>
  </si>
  <si>
    <t>He finishes by putting the omelet onto a plate and eating one big bite.</t>
  </si>
  <si>
    <t>v_EeUkryzfwYk</t>
  </si>
  <si>
    <t>An animated intro screen has a lot of little Christmas pictures moving on it and white words appear that say "Decorating The Christmas Tree".</t>
  </si>
  <si>
    <t>The same animation continues to play and the white words now appearing are "With Me, My Sis, Mom &amp; Chris".</t>
  </si>
  <si>
    <t>In fast motion, there are people in a residential home and they are winding strings of white Christmas tree lights around a very full and grown tree.</t>
  </si>
  <si>
    <t>When they are done with the lights, the begin to decorate the tree with ornaments until it's all filled with ornaments.</t>
  </si>
  <si>
    <t>The camera is picked up and the man is now attempting to put a white star on the top of the tree while children are hanging around and talking.</t>
  </si>
  <si>
    <t>The star is now on the tree, the camera is put back down, one of the girl hugs the tree.</t>
  </si>
  <si>
    <t>v_ceDvPX6hP_U</t>
  </si>
  <si>
    <t>A man is standing inside a gym as he speaks to the camera.</t>
  </si>
  <si>
    <t>He indicated a blue block on the ground before stepping over it and kneeling on top of it.</t>
  </si>
  <si>
    <t>He begins pulling the cord on the equipment, showing how it is used.</t>
  </si>
  <si>
    <t>v_lvlVfgZ53NQ</t>
  </si>
  <si>
    <t>A man is talking behind a bar, standing in front of numerous alcohol bottles.</t>
  </si>
  <si>
    <t>He pours liquids over a glass filled with ice.</t>
  </si>
  <si>
    <t>He then garnishes the final product for serving.</t>
  </si>
  <si>
    <t>v_z-1HUIQFGIg</t>
  </si>
  <si>
    <t>Karate students play standing and hand held drums in a studio.</t>
  </si>
  <si>
    <t>Karate students jump over the top of a rope held by other students on a mat.</t>
  </si>
  <si>
    <t>The group of karate students practices punches standing in a line.</t>
  </si>
  <si>
    <t>A group of younger student practice sparring against opponents.</t>
  </si>
  <si>
    <t>The groups spin each other in circles holding each others hands.</t>
  </si>
  <si>
    <t>The group stands in a circle and jump up and down together while watching the instructor.</t>
  </si>
  <si>
    <t>v_q2TF-3bWZuU</t>
  </si>
  <si>
    <t>A woman is talking as she stands outside horse stables.</t>
  </si>
  <si>
    <t>She talks as a client is riding one of her horses in a dirt field.</t>
  </si>
  <si>
    <t>She discusses the form and positioning of the rider.</t>
  </si>
  <si>
    <t>The rider takes the horse around for a trot while the woman watches.</t>
  </si>
  <si>
    <t>v_wdsZn1Yu_5M</t>
  </si>
  <si>
    <t>A blonde woman is speaking in a news room in front of a large screen.</t>
  </si>
  <si>
    <t>Boats are seen pulling people on water skis.</t>
  </si>
  <si>
    <t>A man is shown preparing and then skiing through the water.</t>
  </si>
  <si>
    <t>v_rBMQFpHspmo</t>
  </si>
  <si>
    <t>Several people are seen wandering around an indoor field with one pole volting over a bar.</t>
  </si>
  <si>
    <t>The same shot is shown again in slow motion as well as several other attempts the boy makes.</t>
  </si>
  <si>
    <t>He attempts the jump several more times while people watch him on the sides.</t>
  </si>
  <si>
    <t>v_V1AqyQ3qaQY</t>
  </si>
  <si>
    <t>A man is standing next to a pond.</t>
  </si>
  <si>
    <t>He loads an arrow in the bow.</t>
  </si>
  <si>
    <t>He shoots the arrow at a ceramic cat, knocking it into the water before moving on to other targets.</t>
  </si>
  <si>
    <t>v_4Dj7wOTfyH4</t>
  </si>
  <si>
    <t>A woman is seen walking into frame and speaking to the camera.</t>
  </si>
  <si>
    <t>She sits down on boxes while holding others up and begins laying tiles down on the floor.</t>
  </si>
  <si>
    <t>She picks others up while speaking to the camera followed by vacuuming the floor and a child playing along.</t>
  </si>
  <si>
    <t>v_1G5cu1NvDFw</t>
  </si>
  <si>
    <t>A young child is seen running around a back yard on a large set of stilts.</t>
  </si>
  <si>
    <t>The boy continues bouncing around as the camera captures him as well as running.</t>
  </si>
  <si>
    <t>v_LHjmL7Pg_80</t>
  </si>
  <si>
    <t>Boys are running on a field playing a game of soccer.</t>
  </si>
  <si>
    <t>Then they are are playing professional on an indoor court while an audience watches.</t>
  </si>
  <si>
    <t>They show many different clips from many different games, like a memoir of videos.</t>
  </si>
  <si>
    <t>Number 12 is the basis of them all, he seems to be a very great soccer player.</t>
  </si>
  <si>
    <t>v_eGl_I8h832w</t>
  </si>
  <si>
    <t>A young girl is seen speaking to the camera and looking off into the distance.</t>
  </si>
  <si>
    <t>She continues speaking and leads into a woman cutting her hair.</t>
  </si>
  <si>
    <t>She hands the girl her hair and shows off her cut in the end.</t>
  </si>
  <si>
    <t>v_dD3eR9Sb1x0</t>
  </si>
  <si>
    <t>Multiple colors and designs flash across the screen.</t>
  </si>
  <si>
    <t>Women gather onstage as they are about to perform.</t>
  </si>
  <si>
    <t>The women dance and jump, leading a zumba routine.</t>
  </si>
  <si>
    <t>v_fJEXzQ0L1uU</t>
  </si>
  <si>
    <t>Various shots of signs are shown as well as people walking around a field and getting ready for events.</t>
  </si>
  <si>
    <t>Many people are interviewed for the camera and show people waving and getting ready on the sides.</t>
  </si>
  <si>
    <t>People wave to the camera and stand around holding signs while more speak to the camera and show games of hopscotch.</t>
  </si>
  <si>
    <t>v__Hi9gQEaT-Q</t>
  </si>
  <si>
    <t>A dog pushes a stroller down the sidewalk.</t>
  </si>
  <si>
    <t>A person in white passes the tree.</t>
  </si>
  <si>
    <t>The dog passes a small tree.</t>
  </si>
  <si>
    <t>v_E_6XYa_WO8I</t>
  </si>
  <si>
    <t>A man starts chopping a piece of wood with an ax.</t>
  </si>
  <si>
    <t>He picks the wood back up and throws it into a pile.</t>
  </si>
  <si>
    <t>He picks up a new piece of wood and chops that one.</t>
  </si>
  <si>
    <t>v_WjEh7acrr5o</t>
  </si>
  <si>
    <t>A woman is seen sitting in a chair knitting thread while the camera watches her.</t>
  </si>
  <si>
    <t>The woman continues to knit while stopping to look at the camera and make faces.</t>
  </si>
  <si>
    <t>v_GhVERbQMZWQ</t>
  </si>
  <si>
    <t>A hummer backs a boat down a ramp.</t>
  </si>
  <si>
    <t>A person is wake boarding behind the boat.</t>
  </si>
  <si>
    <t>People are sitting on the boat.</t>
  </si>
  <si>
    <t>v_80pIiAmVa5Q</t>
  </si>
  <si>
    <t>A woman is seated at the bottom of a slide.</t>
  </si>
  <si>
    <t>She is adjusting her camera.</t>
  </si>
  <si>
    <t>A child slides down the slide, running into her from behind.</t>
  </si>
  <si>
    <t>v_GZjNt2TsChs</t>
  </si>
  <si>
    <t>A young child is seen climbing up a playground and then going down a slide.</t>
  </si>
  <si>
    <t>She goes back to the top again followed by another go down the slide and back to the stairs again.</t>
  </si>
  <si>
    <t>v_yRswMXWCcrI</t>
  </si>
  <si>
    <t>A person stands on a hill covered wit snow, then the person ski down the hill and fall.</t>
  </si>
  <si>
    <t>A skier comes down a hill makes a jump over stones and falls and rolls on the snow.</t>
  </si>
  <si>
    <t>Then, other man skies on the hill and flat areas covered with snow.</t>
  </si>
  <si>
    <t>Also, skiers makes a flip from in the air while other people watch.</t>
  </si>
  <si>
    <t>v_2EQMXueAmCA</t>
  </si>
  <si>
    <t>Two men play squash on an indoor court.</t>
  </si>
  <si>
    <t>The left man in the white shirt misses the ball and the start over.</t>
  </si>
  <si>
    <t>We see the man in the gray shirt miss the ball land stands up and pumps his fist while looking disappointed.</t>
  </si>
  <si>
    <t>v_5Owjrx-YjjM</t>
  </si>
  <si>
    <t>A little girl is sitting on the porch floor with her dad as he puts together a blue butterfly kite for her.</t>
  </si>
  <si>
    <t>After he's done completing the kite, they go out in the open to fly the kite.</t>
  </si>
  <si>
    <t>The father is holding the kite in his hand as the wind blows strongly.</t>
  </si>
  <si>
    <t>The girl holds the string of the kite and begins flying the kite high up in the air.</t>
  </si>
  <si>
    <t>v_JXvPFMjtbcw</t>
  </si>
  <si>
    <t>A chef explains how to cook an omelette with vegetables and spices, Then, the chef take a dish and serves the omelette with lettuce and lemon.</t>
  </si>
  <si>
    <t>A man and a woman pass behind the chef in the restaurant.</t>
  </si>
  <si>
    <t>Another man sit in a table, stand and walk away.</t>
  </si>
  <si>
    <t>Another person enters the restaurant and turns left.</t>
  </si>
  <si>
    <t>v_FhGOGbL-A84</t>
  </si>
  <si>
    <t>A little boy is in a yard, using a leaf blower.</t>
  </si>
  <si>
    <t>A little girl soon joins him, raking leaves.</t>
  </si>
  <si>
    <t>v_MIE0KbGIXjM</t>
  </si>
  <si>
    <t>A man is seen bent over washing his hands when another man walks out and speaks to him.</t>
  </si>
  <si>
    <t>The other man then begins washing his hands with soap under the faucet while the other man watches.</t>
  </si>
  <si>
    <t>He finishes washing while the other man leaves and cues to a third man walking out of the stall.</t>
  </si>
  <si>
    <t>v_5Qj8hHmZbiI</t>
  </si>
  <si>
    <t>People are playing beer pong at a party.</t>
  </si>
  <si>
    <t>People are drinking drinks from the table.</t>
  </si>
  <si>
    <t>A glass of beer is shown.</t>
  </si>
  <si>
    <t>v_Ck5i8CVEkJI</t>
  </si>
  <si>
    <t>A man is seen throwing a dart onto a board and leads into a woman speaking.</t>
  </si>
  <si>
    <t>The man throws several more darts while taking the time to speak to the woman.</t>
  </si>
  <si>
    <t>More people are shown throwing dart while the two continue to speak and the man points to the board.</t>
  </si>
  <si>
    <t>v_oMegp6a547Q</t>
  </si>
  <si>
    <t>The camera pans around several groups of people are seen performing martial arts around one another as well as people walking around and watching.</t>
  </si>
  <si>
    <t>Many shots are shown of people dancing and singing as well as performing martial arts in the streets and helping one another.</t>
  </si>
  <si>
    <t>People are seen playing instruments, reading the the news, and performing martial arts all around the street.</t>
  </si>
  <si>
    <t>v_j1QaZ7YWcJ8</t>
  </si>
  <si>
    <t>A person plays tam-tam inside a room, the man mainly plays on the tam- tam on front hum.</t>
  </si>
  <si>
    <t>A hand pass on front the screen.</t>
  </si>
  <si>
    <t>The person extend her arm over the tam-tam.</t>
  </si>
  <si>
    <t>v_0RUs80IYF38</t>
  </si>
  <si>
    <t>A man jumps off of the brown horse and he lassos the bull to the ground in the beginning.</t>
  </si>
  <si>
    <t>Then he gets on another horse and he lassos a bull bigger than the last one to the ground.</t>
  </si>
  <si>
    <t>When he's done tying the bull's legs together, he gets up and walks away.</t>
  </si>
  <si>
    <t>v_Rn_frSrkkbM</t>
  </si>
  <si>
    <t>A cricket game is being played between two teams in front of a crowd of people.</t>
  </si>
  <si>
    <t>The first play is made and the commentators narrate the play.</t>
  </si>
  <si>
    <t>Then, a replay of the previous play is started while the commentators narrate it.</t>
  </si>
  <si>
    <t>The camera cuts to a man laughing at a mistake made in the play.</t>
  </si>
  <si>
    <t>v_ahY7nqwwJEg</t>
  </si>
  <si>
    <t>The video leads into several clips of people performing skateboarding tricks out in public places.</t>
  </si>
  <si>
    <t>Many more clips are shown of people riding around on skateboards doing flips and tricks.</t>
  </si>
  <si>
    <t>v_wS_T-RMSSCE</t>
  </si>
  <si>
    <t>elephant is walking in a small water well playing with a ball.</t>
  </si>
  <si>
    <t>woman is talking in the camera and the elephant is again in the water well playing with the ball.</t>
  </si>
  <si>
    <t>little elephant is playing with a big blue ball.</t>
  </si>
  <si>
    <t>v_1izVZnE0l7k</t>
  </si>
  <si>
    <t>A girl is standing at a sink, washing dishes and playing in the water.</t>
  </si>
  <si>
    <t>She smiles as she rinses a plastic bowl.</t>
  </si>
  <si>
    <t>She walks over to the camera talking and laughing before leaving the room with her brother.</t>
  </si>
  <si>
    <t>v_nHuu6aInr1w</t>
  </si>
  <si>
    <t>A man puts a pile of marshmallows in his mouth.</t>
  </si>
  <si>
    <t>A man make a campfire and tips flash on the screen.</t>
  </si>
  <si>
    <t>The man digs a hole put rocks around it and gather firewood.</t>
  </si>
  <si>
    <t>He puts the wood in a triangle in the pit and logs on the outside.</t>
  </si>
  <si>
    <t>The man lights the fire and adds a few more pieces of wood.</t>
  </si>
  <si>
    <t>v_BYLxSOPFOuc</t>
  </si>
  <si>
    <t>man is standing in front of a mirror holding a camera.</t>
  </si>
  <si>
    <t>woman enters in the bathroom carying a white cat and the man kneels so the cat can stands on his back.</t>
  </si>
  <si>
    <t>the woman leaves the bathroom and the man keeps recording himself making poses in front of the camera and talking to himself in the mirror.</t>
  </si>
  <si>
    <t>the man enters in the bedroom and the woman is sitting in the bed holding the cat.</t>
  </si>
  <si>
    <t>man is in the bathroom again holding a knife and the woman enters in the room with a back scarf around her head.</t>
  </si>
  <si>
    <t>they are driving the car and are parked in snowy parking lot.</t>
  </si>
  <si>
    <t>they eners in a restaurant and leaves and walks to the car again.</t>
  </si>
  <si>
    <t>the woman gets into the car and the man opens the door and grabs a little brush and cleans the windshield and the woman do the same and plays with the man.</t>
  </si>
  <si>
    <t>v_NaTBiY3G3zc</t>
  </si>
  <si>
    <t>A woman is seen pushing a puck along the ice with others followed by a man speaking to the camera.</t>
  </si>
  <si>
    <t>More clips are shown of people curling on the ice while the man continues to speak to the camera and the game is shown in slow motion.</t>
  </si>
  <si>
    <t>v_m_sBF4vLRRc</t>
  </si>
  <si>
    <t>woman is wearing a red shirt and is standing talking to the camera in a white room.</t>
  </si>
  <si>
    <t>woman start dancing salsa steps on a wooden court.</t>
  </si>
  <si>
    <t>the woman is doing samba steps shaking her body side to side.</t>
  </si>
  <si>
    <t>v_XkOO6lc5vxw</t>
  </si>
  <si>
    <t>An intro shows off a hedge trimmer.</t>
  </si>
  <si>
    <t>A woman beings to speak about the hedge trimmer.</t>
  </si>
  <si>
    <t>The product is shown in action, trimming a bush.</t>
  </si>
  <si>
    <t>The woman shows off the blade, and charger.</t>
  </si>
  <si>
    <t>We see the product in use again.</t>
  </si>
  <si>
    <t>The woman shows the comfort grip.</t>
  </si>
  <si>
    <t>The woman talks about how to order the product.</t>
  </si>
  <si>
    <t>v_DgdEQgh8TKU</t>
  </si>
  <si>
    <t>A man is seen standing by the water holding an axe in one hand and a block of wood in the other.</t>
  </si>
  <si>
    <t>The man continues cutting wood while the camera pans to other people in the room and a woman speaking to the camera.</t>
  </si>
  <si>
    <t>v_IZXFAoiSj0c</t>
  </si>
  <si>
    <t>A female athlete is in a field and she begins to throw a shot put.</t>
  </si>
  <si>
    <t>The lady spins and spins in slow motion as words are shown at the top describing each phase needed to throw a shot put successfully.</t>
  </si>
  <si>
    <t>v_PWw-DAcSszM</t>
  </si>
  <si>
    <t>We see a man slowly performing Tai Chi.</t>
  </si>
  <si>
    <t>A white banner streams across the bottom.</t>
  </si>
  <si>
    <t>The man lifts his legs up in front of him then kicks out.</t>
  </si>
  <si>
    <t>The man stops and stands still.</t>
  </si>
  <si>
    <t>v_bsl3oM4svdQ</t>
  </si>
  <si>
    <t>A woman is seen pulling a piece of exercise equipment while struggling to get it to move.</t>
  </si>
  <si>
    <t>She moves the mat underneath her and then is able to pull the bar back and fourth towards her.</t>
  </si>
  <si>
    <t>v_lXTcGMN9I8g</t>
  </si>
  <si>
    <t>A young man at an outdoor festival is doing tightrope tricks in front of a crowd.</t>
  </si>
  <si>
    <t>The young man does various bouncing and balancing tricks on a tight rope a few feet above black mats.</t>
  </si>
  <si>
    <t>The gets off the rope and walks on the mats off the floor and towards his group.</t>
  </si>
  <si>
    <t>v_Jbl0E75cx8o</t>
  </si>
  <si>
    <t>A woman is seen sitting in a chair while a man uses various tools to pierce her ear.</t>
  </si>
  <si>
    <t>The man finishes the piercing and the girl begins to turn in the end.</t>
  </si>
  <si>
    <t>v_cnFw7hjmqJY</t>
  </si>
  <si>
    <t>man is standing in a court in front of kids and is walking showing how to score a basket.</t>
  </si>
  <si>
    <t>man throw the ball with someone in the other side of the court and make a lay up and the kids behind him in the court do the same.</t>
  </si>
  <si>
    <t>the coach os hlping the girl to catch the ball and run.</t>
  </si>
  <si>
    <t>the kid make a throw and then score a basket adn the kids behind her keeps doing the same.</t>
  </si>
  <si>
    <t>v_84x9A9xyLcE</t>
  </si>
  <si>
    <t>The sun rises over the hills.</t>
  </si>
  <si>
    <t>A man in shorts walks around.</t>
  </si>
  <si>
    <t>He grabs his board and places it into the water.</t>
  </si>
  <si>
    <t>The man climbs the board and surfs.</t>
  </si>
  <si>
    <t>v__AaSNARQPfE</t>
  </si>
  <si>
    <t>A man picks up a weight over his head and drops it on the ground.</t>
  </si>
  <si>
    <t>A man picks up a bar and raises it several times.</t>
  </si>
  <si>
    <t>A man in a black shirt is standing next to him.</t>
  </si>
  <si>
    <t>Another man stands next to him and lifts a bar with him.</t>
  </si>
  <si>
    <t>v_JM7YQFgxu2I</t>
  </si>
  <si>
    <t>There is a little girl slowly sliding down the side with the comfort of holding her mother's hand, the first time she went down.</t>
  </si>
  <si>
    <t>The second time she went down on her belly without help.</t>
  </si>
  <si>
    <t>v_6k5m4u5AchQ</t>
  </si>
  <si>
    <t>There are two camping out in the winter for an ice fishing trip.</t>
  </si>
  <si>
    <t>One of the men comes out of his camping tent with a fish in his hand.</t>
  </si>
  <si>
    <t>The two men are sitting in their make shift tent, fishing through a hole in the frozen lake.</t>
  </si>
  <si>
    <t>They are patiently sitting with their fishing rods till they fish out mid size fish from the holes.</t>
  </si>
  <si>
    <t>They show the kind of fish they have found as they lay it out on the frozen ground.</t>
  </si>
  <si>
    <t>One of the men cleans the fish scales.</t>
  </si>
  <si>
    <t>Then they cut the fish into small pieces and clean them up outside their garage.</t>
  </si>
  <si>
    <t>They sharpen the knife to slice the fish to prepare batter covered fried fish.</t>
  </si>
  <si>
    <t>The entire family sits together on a large dinning table and enjoy a delicious fried fish meal.</t>
  </si>
  <si>
    <t>v_7OZHg_OOfxw</t>
  </si>
  <si>
    <t>boys and girls are stading in a court practicing cheerleaders choreography and a woman is talking in a studio on news.</t>
  </si>
  <si>
    <t>high scoo musical scene is show and a man practicing is being interviewed and scenes of bring it on is showed.</t>
  </si>
  <si>
    <t>v_jzBR9ihZBbI</t>
  </si>
  <si>
    <t>A man is talking in front of a couple of graphs.</t>
  </si>
  <si>
    <t>She demonstrates the technique with his racquet.</t>
  </si>
  <si>
    <t>He then goes into a room, and plays a game of racquetball with a man.</t>
  </si>
  <si>
    <t>When they are done, he walks out and discusses it some more.</t>
  </si>
  <si>
    <t>v_b3bawTEPLtA</t>
  </si>
  <si>
    <t>A ballerina is seen swirling in a room and leads into the woman speaking to the camera and performing several ballet moves.</t>
  </si>
  <si>
    <t>She stands at the barre and then on her own to demonstrate how to properly perform ballet moves.</t>
  </si>
  <si>
    <t>She moves her arms up and down as well as her legs and continuously speaking to the camera.</t>
  </si>
  <si>
    <t>v_K-kJ-0nkKZk</t>
  </si>
  <si>
    <t>A set of hands are seen putting brush into a stack of sticks and then places cotton in the pile.</t>
  </si>
  <si>
    <t>He then lights a match and creates a fire and then bends over the fire to put more in.</t>
  </si>
  <si>
    <t>The camera closes in on the pit and is seen placing logs around the side.</t>
  </si>
  <si>
    <t>v_cvatsuUhqhk</t>
  </si>
  <si>
    <t>Two men are playing Foosball in a dark room.</t>
  </si>
  <si>
    <t>They compete intensely at a fast pace.</t>
  </si>
  <si>
    <t>The man of the red team wins all four times.</t>
  </si>
  <si>
    <t>Every time when he wins, he does a little cheering dance.</t>
  </si>
  <si>
    <t>v_ZOeQh2-ci3M</t>
  </si>
  <si>
    <t>A person uses the toilet in a stall.</t>
  </si>
  <si>
    <t>The man leaves the bathroom without washing his hands.</t>
  </si>
  <si>
    <t>The man eats from food dishes using his hands.</t>
  </si>
  <si>
    <t>A woman plays with the dogs.</t>
  </si>
  <si>
    <t>A person washes their hands in a sink using foam soap.</t>
  </si>
  <si>
    <t>The person uses a paper towel to dry off his hands.</t>
  </si>
  <si>
    <t>A person washes their hands in a stainless steel sink.</t>
  </si>
  <si>
    <t>v_76tyabobb_0</t>
  </si>
  <si>
    <t>A messy kid is eating an ice cream cone.</t>
  </si>
  <si>
    <t>He bites the parents ice cream cone.</t>
  </si>
  <si>
    <t>The parent adjusts the cone for the child.</t>
  </si>
  <si>
    <t>The parent wipes ice cream from the child's face.</t>
  </si>
  <si>
    <t>v_QJm_B5Hx4DI</t>
  </si>
  <si>
    <t>An employee of the beach patrol is talking about how to have a safe day at the beach.</t>
  </si>
  <si>
    <t>Sunscreen is addressed and he overviews how and why to apply sunscreen properly.</t>
  </si>
  <si>
    <t>Sunscreen SPF value is addressed with a slide on how to pay attention to the proper SPF.</t>
  </si>
  <si>
    <t>He addresses the negative impacts of sunburns, especially with children.</t>
  </si>
  <si>
    <t>He then talks about different types of specialty sunscreen to ensure you are safely covered.</t>
  </si>
  <si>
    <t>Children sunscreen safety is then talked about and how to properly protect your kids.</t>
  </si>
  <si>
    <t>He then discusses what to do when a sunburn does occur, how to handle it to take care of your skin.</t>
  </si>
  <si>
    <t>A slide is shown to make us aware of when a sunburn is bad and needs medical attention.</t>
  </si>
  <si>
    <t>He then takes another overview of how to use sunscreen to make your day enjoyable.</t>
  </si>
  <si>
    <t>v_EJxWhTE_ZeE</t>
  </si>
  <si>
    <t>Several clips of boxes are shown as well as people moving around a stage and an audience watching.</t>
  </si>
  <si>
    <t>The video leads into several people washing windows as quickly as they can while many watch them on the side.</t>
  </si>
  <si>
    <t>Many men speak to the camera as well as people announcing the scores and more window washing taking place.</t>
  </si>
  <si>
    <t>v_mgmwdQixDXY</t>
  </si>
  <si>
    <t>woman is showing her nails with a cute manicure and some polishes behind her hand.</t>
  </si>
  <si>
    <t>woman is holding a pink polish and start painting her nail.</t>
  </si>
  <si>
    <t>and with a little sponge and a little pin paint the nail with white blue and purple paint.</t>
  </si>
  <si>
    <t>with a small bush put som wwhite dots and clean the nail.</t>
  </si>
  <si>
    <t>woman cut a red paper and paint with frosty gray polish.</t>
  </si>
  <si>
    <t>v_tPiuksisb4E</t>
  </si>
  <si>
    <t>There is a hookah placed on a kitchen counter.</t>
  </si>
  <si>
    <t>A man wearing a black sleeveless shirt comes there and kneels down to begins smoking the hookah.</t>
  </si>
  <si>
    <t>He smokes the hookah and blows out smoke.</t>
  </si>
  <si>
    <t>He takes a few puffs of the hookah and exhales the smoke out.</t>
  </si>
  <si>
    <t>He continues smoking by taking long puffs of the hookah and then leaves.</t>
  </si>
  <si>
    <t>v_Qv0fN5A1vp4</t>
  </si>
  <si>
    <t>A close up of a bag is seen followed by a woman looking in the camera.</t>
  </si>
  <si>
    <t>She holds up a phone and speaks into the mirror.</t>
  </si>
  <si>
    <t>Finally she jumps up and down a bit and ends by turning off the camera.</t>
  </si>
  <si>
    <t>v_9mF5s6_dTlk</t>
  </si>
  <si>
    <t>A man in a crowded garage with lots of tools speaks to the camera as he holds a piece of paper.</t>
  </si>
  <si>
    <t>He taps a paper, continuously, on a iron type tool and brushes the paper against a long piece of wood.</t>
  </si>
  <si>
    <t>He puts down the piece of paper and takes the iron tool straight to the piece of wood.</t>
  </si>
  <si>
    <t>He picks up a paper towel and presses the iron against the piece of wood with one hand while using the other hand to drag a paper towel over the ironed areas of the board.</t>
  </si>
  <si>
    <t>He places the iron down.</t>
  </si>
  <si>
    <t>He takes the paper towel and quickly cleans the piece of wood.</t>
  </si>
  <si>
    <t>v_5Fq-ln3yC38</t>
  </si>
  <si>
    <t>A man pours a liquid onto a table.</t>
  </si>
  <si>
    <t>With the use of a paintbrush, he covers the table with the liquid.</t>
  </si>
  <si>
    <t>He removes varnish from the top of the table.</t>
  </si>
  <si>
    <t>Afterwards, he does a light sanding of the table.</t>
  </si>
  <si>
    <t>With a tack rug, he removes the dust.</t>
  </si>
  <si>
    <t>Wearing gloves, he applies a stain to the table.</t>
  </si>
  <si>
    <t>Finally, he polishes the table and shows off his end result.</t>
  </si>
  <si>
    <t>v_PlAVnu-ueM4</t>
  </si>
  <si>
    <t>Ms Smith is giving an interview talking about weight lifting, she speaks about how she started around 12.</t>
  </si>
  <si>
    <t>The coach briefly speaks about how gives them rest before every competition.</t>
  </si>
  <si>
    <t>She lifts the weight way above her head and drops it wearing her uniform.</t>
  </si>
  <si>
    <t>Everyone claps for her, and then you hear from her and the coach again before the interview is over.</t>
  </si>
  <si>
    <t>v_5Y4YkCkgShc</t>
  </si>
  <si>
    <t>A nighttime view of a city is shown through a window.</t>
  </si>
  <si>
    <t>A man in a chef's coat is standing in a kitchen talking to the camera.</t>
  </si>
  <si>
    <t>A pancake is shown with syrup being poured on it.</t>
  </si>
  <si>
    <t>Ingredients are placed in a bowl.</t>
  </si>
  <si>
    <t>The man cracks an egg and whisks the ingredients in a bowl.</t>
  </si>
  <si>
    <t>A ladle is shown next to the bowl.</t>
  </si>
  <si>
    <t>The man ladles the pancake batter onto the griddle.</t>
  </si>
  <si>
    <t>The man flips the pancakes.</t>
  </si>
  <si>
    <t>The pancake is placed on a plate and syrup is poured on it.</t>
  </si>
  <si>
    <t>The man is shown eating a piece of the pancake.</t>
  </si>
  <si>
    <t>The man continues talking to the camera while holding a piece of pancake.</t>
  </si>
  <si>
    <t>A television studio is shown.</t>
  </si>
  <si>
    <t>v_aSYCOvkN5uk</t>
  </si>
  <si>
    <t>A young man with Downs Syndrome bowls.</t>
  </si>
  <si>
    <t>Another young man throws a bowling ball.</t>
  </si>
  <si>
    <t>The first young man celebrates after a successful throw.</t>
  </si>
  <si>
    <t>v_COIwJdDOmcc</t>
  </si>
  <si>
    <t>man is standing in front of a gray car in a workshop changing a car wheel and talking to te camera.</t>
  </si>
  <si>
    <t>first the man grab an hiyraulic jack and put it under the car, unscrew the bolts wit a wheel brace and pulls out the wheel and mount the new one, put the screws back again with the wheel brace and tightens.</t>
  </si>
  <si>
    <t>man talking in front of the car and giving recomendations.</t>
  </si>
  <si>
    <t>v_Kv-A_H9TXug</t>
  </si>
  <si>
    <t>A guy sits on the floor and speaks.</t>
  </si>
  <si>
    <t>The guy lays down and does sit ups.</t>
  </si>
  <si>
    <t>The guy goes back to the sitting position.</t>
  </si>
  <si>
    <t>The credits of the video and an image are shown.</t>
  </si>
  <si>
    <t>v_MeHEDK_Y8sE</t>
  </si>
  <si>
    <t>A female Caucasian is sitting in a chair spinning around showing off her long blonde hair style,it is pinned to the right and has curls in the bottom.</t>
  </si>
  <si>
    <t>On the next screen,a woman begins grabbing the bottom and rolling it from the bottom up to about three inches and seals it with a piece of foil.</t>
  </si>
  <si>
    <t>Once the hair is folded up in a the foil,the lady takes a flat iron and runs it over the foil.</t>
  </si>
  <si>
    <t>As the next scene comes,the lady is pictured with eight foiled curls in her head that are sealed with long hair pins.</t>
  </si>
  <si>
    <t>The next step is to then remove the pins followed by the foil and release the curls.</t>
  </si>
  <si>
    <t>Finally,the style is completed and she is spun around once more to show the finished product.</t>
  </si>
  <si>
    <t>v_AahkhvTAXwg</t>
  </si>
  <si>
    <t>a woman walks onto a blue lit stage.</t>
  </si>
  <si>
    <t>She starts flipping back and forth on the stage.</t>
  </si>
  <si>
    <t>She is spinning and twirling a baton while she performs before disappearing.</t>
  </si>
  <si>
    <t>v_ZT_gv2W65Zc</t>
  </si>
  <si>
    <t>A woman brushes her hair with her hand.</t>
  </si>
  <si>
    <t>The woman combs her hair with a comb.</t>
  </si>
  <si>
    <t>The combing is shown in slow motion.</t>
  </si>
  <si>
    <t>v_IC61TQ-sd8o</t>
  </si>
  <si>
    <t>boys and girls are in stage doing a cheerleader choreography in a competiion while people in stands are watching them.</t>
  </si>
  <si>
    <t>men wearing black uniforms are standing behind the cheer team.</t>
  </si>
  <si>
    <t>v_n637bl2-DDo</t>
  </si>
  <si>
    <t>A man talks in front of an office building.</t>
  </si>
  <si>
    <t>The man enters the building and walks up the staircase.</t>
  </si>
  <si>
    <t>The man enters the gym room.</t>
  </si>
  <si>
    <t>People ride on stationary bikes and watch a television in the gym.</t>
  </si>
  <si>
    <t>v_byVhCu3KH1g</t>
  </si>
  <si>
    <t>Shoe polish supplies in a store, then people in a classroom get instructions about shoe polish.</t>
  </si>
  <si>
    <t>The teacher demonstrates to polish a boot using a tissue.</t>
  </si>
  <si>
    <t>Then, a girl polish the shoe of a woman using a cloth.</t>
  </si>
  <si>
    <t>A person takes pictures and a cameraman film.</t>
  </si>
  <si>
    <t>After, people practice shoe polish in group.</t>
  </si>
  <si>
    <t>v_oHOR69nFt-4</t>
  </si>
  <si>
    <t>We see the opening screen on orange.</t>
  </si>
  <si>
    <t>A lady is cooking in a kitchen.</t>
  </si>
  <si>
    <t>The lady pours ingredients into a bowl and stirs.</t>
  </si>
  <si>
    <t>The lady stirs an egg mixture and mixes it in with her original bow.</t>
  </si>
  <si>
    <t>She puts it in a glass pan and puts the pan in the oven.</t>
  </si>
  <si>
    <t>v__-_SwG4EnRU</t>
  </si>
  <si>
    <t>She begins dancing in the kitchen.</t>
  </si>
  <si>
    <t>She starts mopping the floor while she's dancing.</t>
  </si>
  <si>
    <t>v_0Q9RHSEFeMI</t>
  </si>
  <si>
    <t>People are working out in a gym.</t>
  </si>
  <si>
    <t>They are stepping up and down off of black step stools.</t>
  </si>
  <si>
    <t>They raise their hands and stop dancing.</t>
  </si>
  <si>
    <t>v_m3SlyuAh1Wk</t>
  </si>
  <si>
    <t>A close up of leaves are shown followed by a woman raking them and speaking to the camera.</t>
  </si>
  <si>
    <t>The woman continues raking while speaking to the camera back and fourth.</t>
  </si>
  <si>
    <t>She shows her piles as well as the clean lawn while still speaking to the camera.</t>
  </si>
  <si>
    <t>v_Pmt3R5olRP0</t>
  </si>
  <si>
    <t>A middle aged woman wearing a headpiece speaks to the camera while stiring with a spoon.</t>
  </si>
  <si>
    <t>She takes a couple sips from a cup while still speaking to the camera.</t>
  </si>
  <si>
    <t>She does this one more time before turning the camera off.</t>
  </si>
  <si>
    <t>v_0p3JN4KJsUs</t>
  </si>
  <si>
    <t>People practice ballet in a studio alone and in couples.</t>
  </si>
  <si>
    <t>Then, a boy and a girl dance ballet, then a man enter and dance with the girl.</t>
  </si>
  <si>
    <t>After, several couples dance ballet while other people observe.</t>
  </si>
  <si>
    <t>v_UQXB3JOoxYE</t>
  </si>
  <si>
    <t>A boy sits in the water, his skis out in front of him, while he holds the handle of the rope between his legs.</t>
  </si>
  <si>
    <t>We see a short flashback as we then see him in the boat in then in the water being assisted with his skis.</t>
  </si>
  <si>
    <t>Once again he is in the water, and the boat slowly picks up speed, pulling the young man upright until he is skiing full-speed behind the boat.</t>
  </si>
  <si>
    <t>A man comes up beside him, his arms outstretched as he holds a camera, and then a show of him with several other men in the boat.</t>
  </si>
  <si>
    <t>We soon see the man again in the water with his arm around the boy's shoulders, the boy triumphant after his successful ride.</t>
  </si>
  <si>
    <t>All in all everyone seemed to enjoy a great day outdoors whether in the boat or skiing or both.</t>
  </si>
  <si>
    <t>v_5HqegO_ayw8</t>
  </si>
  <si>
    <t>A large group of people are seen standing around a square with people playing volleyball.</t>
  </si>
  <si>
    <t>The people continuously hit the ball around the sandy field as the camera pans around them playing.</t>
  </si>
  <si>
    <t>The camera pans around the group as they keep playing.</t>
  </si>
  <si>
    <t>v_HAEyXtEdERI</t>
  </si>
  <si>
    <t>A camera pans around the outside of a building and surrounding areas and leads into several shots of people riding bikes on a track.</t>
  </si>
  <si>
    <t>Many people watch the race on the sidelines as the people continue going around the track and others record their time.</t>
  </si>
  <si>
    <t>Many people sit around speaking with one man speaking to a large group.</t>
  </si>
  <si>
    <t>More shots of people speaking and riding are shown and the audience cheers them on in the stands.</t>
  </si>
  <si>
    <t>v_sPEed6XrTZA</t>
  </si>
  <si>
    <t>An older man in a yellow t-shirt stands by an opened garage and white car parked outside.</t>
  </si>
  <si>
    <t>The man pours water and solution into a bucket and wand sprayer tank.</t>
  </si>
  <si>
    <t>The man begins washing the Nissan Leaf car with the sprayer and wipes it down with a cloth.</t>
  </si>
  <si>
    <t>v_CGz-ghbUXvk</t>
  </si>
  <si>
    <t>A wedding party is standing at the front of an aisle.</t>
  </si>
  <si>
    <t>A pair of men playing bagpipes enter the room before the bride makes her entrance with her father.</t>
  </si>
  <si>
    <t>Everyone stands to watch the procession.</t>
  </si>
  <si>
    <t>The man shakes hands with the groom, and we see the couple standing at the altar, facing each other.</t>
  </si>
  <si>
    <t>v_G3TPqsLNlrw</t>
  </si>
  <si>
    <t>A young man is water skiing and falls.</t>
  </si>
  <si>
    <t>Watching video of the lake and driving.</t>
  </si>
  <si>
    <t>You can see a man skiing from several different angles.</t>
  </si>
  <si>
    <t>Winter of Water skiing at Stoney Park.</t>
  </si>
  <si>
    <t>v_o6Xr1PiL-Jg</t>
  </si>
  <si>
    <t>The woman attempts to rake leaves, but then she falls and gets back up holding the rake and a man takes it from her.</t>
  </si>
  <si>
    <t>Then she walks away and comes back again and he rakes the leaves on top of her.</t>
  </si>
  <si>
    <t>v_yVJGQI5MBIk</t>
  </si>
  <si>
    <t>Two people are seen doing various martial arts moves to one another while a crowd of people cheer and applaud.</t>
  </si>
  <si>
    <t>The men continue kicking around one another and ends with them grabbing hands and smiling.</t>
  </si>
  <si>
    <t>v_TwJvPxAq9_o</t>
  </si>
  <si>
    <t>A girl is smoking a cigarette.</t>
  </si>
  <si>
    <t>A girl blows out smoke.</t>
  </si>
  <si>
    <t>A guy sits, gestures, and discusses.</t>
  </si>
  <si>
    <t>The guy gestures smoking a cigarette.</t>
  </si>
  <si>
    <t>v_XHQLkc06XIc</t>
  </si>
  <si>
    <t>A little girl does an introduction for a video of herself playing the violin.</t>
  </si>
  <si>
    <t>She begins to play the violin in a joyful and professional manner.</t>
  </si>
  <si>
    <t>She begins to pick up the speed of the song.</t>
  </si>
  <si>
    <t>When she is done playing she explains that the piece she just played.</t>
  </si>
  <si>
    <t>v_MNpV9WvVPSA</t>
  </si>
  <si>
    <t>instructions of how to play chords on the violin are shown.</t>
  </si>
  <si>
    <t>woman is in a room playing the violin.</t>
  </si>
  <si>
    <t>woman is showing how to play chords on wooden violin.</t>
  </si>
  <si>
    <t>v_lWFGSRpuopM</t>
  </si>
  <si>
    <t>Kids are driving around in bumper cars.</t>
  </si>
  <si>
    <t>The cars crash into each other.</t>
  </si>
  <si>
    <t>The kid in the green car crashes into the wall.</t>
  </si>
  <si>
    <t>v_Igpy_o0h3Cs</t>
  </si>
  <si>
    <t>A woman wear curls shows how to wrap pieces of fabric on a roller.</t>
  </si>
  <si>
    <t>The woman unrolls the curls from her hair.</t>
  </si>
  <si>
    <t>The woman combs out her hair using her hands.</t>
  </si>
  <si>
    <t>v_mEsW__Np9Xo</t>
  </si>
  <si>
    <t>People are riding horses around an arena.</t>
  </si>
  <si>
    <t>People are standing outside the arena watching them.</t>
  </si>
  <si>
    <t>The people watching turn around and look behind them.</t>
  </si>
  <si>
    <t>v_v2iIR1YLdz4</t>
  </si>
  <si>
    <t>A man is doing gymnastics in a living room.</t>
  </si>
  <si>
    <t>He is doing hand stands on a couple of bars on the ground.</t>
  </si>
  <si>
    <t>The bars are made from pvc pipes.</t>
  </si>
  <si>
    <t>v_LbGr5TjfTBY</t>
  </si>
  <si>
    <t>A cooker talks in a kitchen and shows the inside of a sharpener knife that has discs inside.</t>
  </si>
  <si>
    <t>Then, the man puts a knife in the sharpener knife to sharpen.</t>
  </si>
  <si>
    <t>After, the man wash and dry the knife.</t>
  </si>
  <si>
    <t>v_kF-J9mKwA8A</t>
  </si>
  <si>
    <t>A young boy playing a large drum game concentrates while the camera watches him play.</t>
  </si>
  <si>
    <t>Other people walk in and out of frame from the boy while he continuously plays the game on the drum.</t>
  </si>
  <si>
    <t>Another boy holding a drink walks into frame and watches the boy play the game.</t>
  </si>
  <si>
    <t>v_gR9qUDlytF8</t>
  </si>
  <si>
    <t>A large group of people are walking towards the camera and they look like they're in a small village.</t>
  </si>
  <si>
    <t>As the people get closer we see a man and a child are holding onto a saddle attached to a camel and riding on it while another man holds the leash and guides the camel.</t>
  </si>
  <si>
    <t>The camel passes the camera person and we get a view of the camel walking away and a view of a different side of the area that looks like a village.</t>
  </si>
  <si>
    <t>v_4w7sVSMbjyM</t>
  </si>
  <si>
    <t>A shot of a snowy area is shown followed by two people hoping along the area and speaking to the camera.</t>
  </si>
  <si>
    <t>More shots are shown of the men hopping around on snowboards in various locations as well as speaking to the camera and showing pictures of the people as well as footage of them riding around.</t>
  </si>
  <si>
    <t>v_cGEhbEHCQyE</t>
  </si>
  <si>
    <t>Many men are in a building playing a group of ice hockey against each other.</t>
  </si>
  <si>
    <t>As they continue to play,the referee begins to skate back and forth on the side in circles.</t>
  </si>
  <si>
    <t>After several starts and finishes,the games keeps going and the goalie is successful in blocking the puck each and every time.</t>
  </si>
  <si>
    <t>v_zwx1Kig4nXg</t>
  </si>
  <si>
    <t>We see a baby spining in a room with adults watching.</t>
  </si>
  <si>
    <t>An adult dances with the baby.</t>
  </si>
  <si>
    <t>Two adults hold the babies hands and dance.</t>
  </si>
  <si>
    <t>The baby is twirled in a circle.</t>
  </si>
  <si>
    <t>The baby is twirled again.</t>
  </si>
  <si>
    <t>The baby dances alone again.</t>
  </si>
  <si>
    <t>The baby picks up a toy dog and dances with it.</t>
  </si>
  <si>
    <t>v_n0meVEbpXak</t>
  </si>
  <si>
    <t>Kids are riding small dirt bikes around a track.</t>
  </si>
  <si>
    <t>A kid falls over and people help them up.</t>
  </si>
  <si>
    <t>v_jIsGq431gBs</t>
  </si>
  <si>
    <t>A bunch of people are meeting in a raft shop.</t>
  </si>
  <si>
    <t>They all meet in a room to put on helmets and get together their equipment.</t>
  </si>
  <si>
    <t>They all go for a long walk together, including down a large flight of stairs.</t>
  </si>
  <si>
    <t>They reach a long line of rafts by the water, where they get in and begin rafting.</t>
  </si>
  <si>
    <t>The people are white water rafting down a turbulent river, using their paddles in unison, going down small waterfalls together.</t>
  </si>
  <si>
    <t>They all stop to have lunch under an outdoor pavilion at the end of their adventure.</t>
  </si>
  <si>
    <t>v_bmf7otW5TQo</t>
  </si>
  <si>
    <t>A teen performs pommel horse spinning around, then jumps on the floor and goes to get power from a container.</t>
  </si>
  <si>
    <t>After, the teen gets again on the pommel horse and spins many times, while the jury observes.</t>
  </si>
  <si>
    <t>People walk behind the jury.</t>
  </si>
  <si>
    <t>Next, the teen stands on his hands and jumps to the mat.</t>
  </si>
  <si>
    <t>v_nyjtOdSyHn4</t>
  </si>
  <si>
    <t>A woman wearing a wig is seen blindfolding another girl while others watch on the sides.</t>
  </si>
  <si>
    <t>Kids are playing on the bouncehouse and a woman spins around the blindfolded girl.</t>
  </si>
  <si>
    <t>The girl swings around at a pinata and hits then walks away.</t>
  </si>
  <si>
    <t>v_-ceM4HHukhE</t>
  </si>
  <si>
    <t>A man sits down on an exercise machine.</t>
  </si>
  <si>
    <t>He begins working out on the machine.</t>
  </si>
  <si>
    <t>A man in a tan shirt stands behind him.</t>
  </si>
  <si>
    <t>v_DK271OQnNRA</t>
  </si>
  <si>
    <t>Three people go tubing down a rapid.</t>
  </si>
  <si>
    <t>They get stuck on the rocks, then push off and continue floating.</t>
  </si>
  <si>
    <t>v_4DFKpHF2aq4</t>
  </si>
  <si>
    <t>There's a young man wearing a black hoodie and hat out in the wilderness.</t>
  </si>
  <si>
    <t>He takes an umbrella in his hand and then tosses it behind him.</t>
  </si>
  <si>
    <t>Then he walks on a tight rope and tries to balance himself.</t>
  </si>
  <si>
    <t>There are some other men doing the same thing out in the wilderness, trying to balance themselves and walk on tight ropes.</t>
  </si>
  <si>
    <t>v_omLZQlz1PAo</t>
  </si>
  <si>
    <t>An elderly couple are dancing alone on a gymnasium floor while a line of people at a table watch.</t>
  </si>
  <si>
    <t>They spin and dance happily, and the crowd claps as they finish and walk away.</t>
  </si>
  <si>
    <t>v_c0Cn3HFXpLs</t>
  </si>
  <si>
    <t>Three men playing a game of racquetball are in a court surrounded by white walls.</t>
  </si>
  <si>
    <t>The man in white serves, followed by the man in the hat scoring on his serve.</t>
  </si>
  <si>
    <t>The man in the yellow shorts is next and manages to take the game over, serving several times to close the video.</t>
  </si>
  <si>
    <t>v_jsxrJJkUl2E</t>
  </si>
  <si>
    <t>A group of four men talk in front of a camera.</t>
  </si>
  <si>
    <t>There is an animated sequence.</t>
  </si>
  <si>
    <t>They continue to talk in front of the camera.</t>
  </si>
  <si>
    <t>Two of them stand holding a rake and they play rock paper scissors.</t>
  </si>
  <si>
    <t>One loses the game and jumps on the rake.</t>
  </si>
  <si>
    <t>Replays of him jumping on the rake.</t>
  </si>
  <si>
    <t>The other two hold the rake and play rock paper scissors.</t>
  </si>
  <si>
    <t>A different person loses and jumps on the rake.</t>
  </si>
  <si>
    <t>They show replays again of him jumping on it.</t>
  </si>
  <si>
    <t>A different set of guys hold the rake and play rock paper scissors again.</t>
  </si>
  <si>
    <t>One loses and jumps on the rake again.</t>
  </si>
  <si>
    <t>They show replays of him jumping on the rake.</t>
  </si>
  <si>
    <t>The other guy then jumps on the rake.</t>
  </si>
  <si>
    <t>They once again show replays.</t>
  </si>
  <si>
    <t>All four are once again talking in front of the camera.</t>
  </si>
  <si>
    <t>It ends with other videos of their you tube channel.</t>
  </si>
  <si>
    <t>v_8wDm37sdBCI</t>
  </si>
  <si>
    <t>A person is down below and is swinging a fabric and hitting it onto something.</t>
  </si>
  <si>
    <t>A wide shot of a city is shown from the from above.</t>
  </si>
  <si>
    <t>The view pans to other parts of the city and then zooms on other people hitting fabric onto an object as well.</t>
  </si>
  <si>
    <t>v_zzxYEZkahBU</t>
  </si>
  <si>
    <t>A person is throwing a disk down a strip of land.</t>
  </si>
  <si>
    <t>A woman in a brown shirt is holding a red cup.</t>
  </si>
  <si>
    <t>A boy pushes a ball with a stick.</t>
  </si>
  <si>
    <t>A man in a black shirt is holding a stick.</t>
  </si>
  <si>
    <t>A boy in a white shirt smiles at the camera.</t>
  </si>
  <si>
    <t>v_bX-PSFlwV5s</t>
  </si>
  <si>
    <t>A man is seen speaking to the camera while holding up a tool.</t>
  </si>
  <si>
    <t>A person is then seen peeling off a roof using the roof and speaking out loud.</t>
  </si>
  <si>
    <t>The man continues to take apart the roof.</t>
  </si>
  <si>
    <t>v_UCmycSotoy4</t>
  </si>
  <si>
    <t>A group of people are playing in white water kayaks.</t>
  </si>
  <si>
    <t>The person in the red tries to flip.</t>
  </si>
  <si>
    <t>A person in green attempts the same thing.</t>
  </si>
  <si>
    <t>The person in the red then has their front in the air for a long time.</t>
  </si>
  <si>
    <t>v_qoSn8oUMBSE</t>
  </si>
  <si>
    <t>A large group of people are seen walking out onto a field with a crowd cheering behind them.</t>
  </si>
  <si>
    <t>The men then begin playing a game of soccer and kicking the ball around the field.</t>
  </si>
  <si>
    <t>Several shots are shown of people scoring goals as well as others celebrating and holding one another.</t>
  </si>
  <si>
    <t>v_-vqefJDOxkw</t>
  </si>
  <si>
    <t>Several spectators watch as a man does track and field.</t>
  </si>
  <si>
    <t>The video with a man who begins running down the track.</t>
  </si>
  <si>
    <t>As he reaches the dirt section, he he does three jumps.</t>
  </si>
  <si>
    <t>On his final jump, he extends his legs to try and jump as far as possible.</t>
  </si>
  <si>
    <t>The video ends after he lands and he is shown smacking the ground.</t>
  </si>
  <si>
    <t>v_ahOnhEvMgq0</t>
  </si>
  <si>
    <t>The camera pans around a man standing in front of a ping pong table and begins playing a match with another man.</t>
  </si>
  <si>
    <t>The men continue hitting the ball back and fourth while various people watch him on the side.</t>
  </si>
  <si>
    <t>v_6XINT0LDdz8</t>
  </si>
  <si>
    <t>A gymnast is seen looking off into the distance and standing before a set of uneven bars.</t>
  </si>
  <si>
    <t>The man then jumps up onto the bars and begins swinging himself back and fourth.</t>
  </si>
  <si>
    <t>The man continues to swing around and ends by jumping down.</t>
  </si>
  <si>
    <t>v_rlWN8PZMbfY</t>
  </si>
  <si>
    <t>A woman washes her hands at a sink.</t>
  </si>
  <si>
    <t>The woman towels her hands dry.</t>
  </si>
  <si>
    <t>The camera shows a closeup of her dropping liquid into a contact lens.</t>
  </si>
  <si>
    <t>The contact lens is held up for inspection.</t>
  </si>
  <si>
    <t>The woman rubs the contact lens with the fluid.</t>
  </si>
  <si>
    <t>The woman puts the lens on.</t>
  </si>
  <si>
    <t>The woman removes the lens.</t>
  </si>
  <si>
    <t>The lens is held up for inspection.</t>
  </si>
  <si>
    <t>The woman removes the lens from her eye again.</t>
  </si>
  <si>
    <t>The woman cleans the lens with solution.</t>
  </si>
  <si>
    <t>The woman places the lens into a container.</t>
  </si>
  <si>
    <t>v_xYt__nSK8NA</t>
  </si>
  <si>
    <t>A young woman is seen looking to the camera smoking a cigarette and laughing to the camera.</t>
  </si>
  <si>
    <t>She continues taking puffs off the cigarette while looking into the camera and blowing smoke.</t>
  </si>
  <si>
    <t>v_7n1L0evoi34</t>
  </si>
  <si>
    <t>In Home Pet Groomers demonstrate how to groom a pet.</t>
  </si>
  <si>
    <t>The person is demonstrating how the dog's hair is trimmed with electric shears at their grooming salon.</t>
  </si>
  <si>
    <t>v_aVJRaXUjsEE</t>
  </si>
  <si>
    <t>Two men stand on the far left of a beer pong table.</t>
  </si>
  <si>
    <t>One of the men throws a beer pong ball across the table, into a cup.</t>
  </si>
  <si>
    <t>The other man with him throws a ball across the table, too.</t>
  </si>
  <si>
    <t>Two other men stand on the far right side of the beer pong table, and one of the men reaches to grab the cup where the ball fell into, and the other man bends down to catch a ball that has fallen on the floor.</t>
  </si>
  <si>
    <t>v_4Fxj9ObTMw8</t>
  </si>
  <si>
    <t>A girl leans over a sink, and a boy walks up to talk to her.</t>
  </si>
  <si>
    <t>She starts laughing and jumping up and down.</t>
  </si>
  <si>
    <t>The boy seems equally excited, and she smiles at the camera.</t>
  </si>
  <si>
    <t>v_rt3t2n6K_ww</t>
  </si>
  <si>
    <t>A young girl with a ponytail plays a drumkit, she appears to a trained musician.</t>
  </si>
  <si>
    <t>The girl focuses on one particular drum.</t>
  </si>
  <si>
    <t>The girl continues to play different parts of the drumkit.</t>
  </si>
  <si>
    <t>v_3DQTz4Ke50Q</t>
  </si>
  <si>
    <t>A truck is seen backing up and blowing leaves around while the camera captures the area around the truck.</t>
  </si>
  <si>
    <t>The truck is seen again in several locations backing up and pushing leaves back away from the truck.</t>
  </si>
  <si>
    <t>v_8ofNg0y8w60</t>
  </si>
  <si>
    <t>Two people are playing a tennis match on a blue court.</t>
  </si>
  <si>
    <t>The man in the blue shirt misses the ball and walks away to talk to someone.</t>
  </si>
  <si>
    <t>They replay the video of him missing the ball.</t>
  </si>
  <si>
    <t>A man in a white shirt sits on a chair with a microphone.</t>
  </si>
  <si>
    <t>They restart another tennis match.</t>
  </si>
  <si>
    <t>v_IpCYVZ-sMTc</t>
  </si>
  <si>
    <t>A man is seen speaking to the camera while holding a ski and pointing around it in various locations.</t>
  </si>
  <si>
    <t>The man continues speaking while rubbing down the ski with lotion and ending by presenting it to the screen.</t>
  </si>
  <si>
    <t>v_thvpt_lUxTI</t>
  </si>
  <si>
    <t>Two buses are parked in a parking lot.</t>
  </si>
  <si>
    <t>People are walking in front of it in the snow.</t>
  </si>
  <si>
    <t>A person is shoveling the snow in front of them.</t>
  </si>
  <si>
    <t>v_G5HZX5i26us</t>
  </si>
  <si>
    <t>An older woman is seen sitting in a chair with a needle in her hands.</t>
  </si>
  <si>
    <t>The woman then begins sowing while the camera captures her movements.</t>
  </si>
  <si>
    <t>The woman continues sowing and the camera watches from the side.</t>
  </si>
  <si>
    <t>v_06dIgOEgYp0</t>
  </si>
  <si>
    <t>A woman stands in snow with the words "Fat Girl Snowboarding" overlaid.</t>
  </si>
  <si>
    <t>A long typed message about her reason of wanting to snowboard.</t>
  </si>
  <si>
    <t>She makes several attempts down the snowy hill and falls many times.</t>
  </si>
  <si>
    <t>v_42i3phJnY4M</t>
  </si>
  <si>
    <t>a bullfighter holding a red cloth is in field.</t>
  </si>
  <si>
    <t>a bull is running to the red cloth of the bullfighter.</t>
  </si>
  <si>
    <t>a lot of people are sitting on stands watching the bullfighter.</t>
  </si>
  <si>
    <t>v_FDIYymZEFi0</t>
  </si>
  <si>
    <t>A young boy is seen pouring soap into his hands and scrubbing his hands above a sink.</t>
  </si>
  <si>
    <t>He then grabs a paper towel and dries off his hands.</t>
  </si>
  <si>
    <t>v_siMXfU6NPlE</t>
  </si>
  <si>
    <t>Couples dance on a dance floor during a party in front of a stage.</t>
  </si>
  <si>
    <t>The man spins his partner around while dancing.</t>
  </si>
  <si>
    <t>A man on the right dances swinging his arms back and fourth.</t>
  </si>
  <si>
    <t>v_LAbzDJZtSvQ</t>
  </si>
  <si>
    <t>A man is standing in the woods, talking.</t>
  </si>
  <si>
    <t>He uses an ax to hit a large piece of wood.</t>
  </si>
  <si>
    <t>He splits the wood into logs with the ax.</t>
  </si>
  <si>
    <t>v_dcARAWmvWSo</t>
  </si>
  <si>
    <t>We see men working on a roof on a ranch style house.</t>
  </si>
  <si>
    <t>We see the supplies on the ground.</t>
  </si>
  <si>
    <t>We see the men on the front part of the roof.</t>
  </si>
  <si>
    <t>We see a man throwing shingles into a trailer on the ground.</t>
  </si>
  <si>
    <t>We see the rolls of roofing materials.</t>
  </si>
  <si>
    <t>We see a man throwing shingles into a trailer.</t>
  </si>
  <si>
    <t>Three men throw shingles off the roof.</t>
  </si>
  <si>
    <t>v_GqrEVe0c6PQ</t>
  </si>
  <si>
    <t>A setting of glasses with lemon water are set on a place mat with a whole lemon.</t>
  </si>
  <si>
    <t>Lemon slices are scooped from a jar and placed into drinking glasses on a steel counter top.</t>
  </si>
  <si>
    <t>Steaming hot water is poured over the lemons in the glasses.</t>
  </si>
  <si>
    <t>The glasses are stirred with a stirring rod.</t>
  </si>
  <si>
    <t>The glasses are seen set on the table and are slowly panned over from right to left.</t>
  </si>
  <si>
    <t>v_1F_CSpL_4Dg</t>
  </si>
  <si>
    <t>A couple is seen with a crowd, going up a snow covered hill.</t>
  </si>
  <si>
    <t>They tube down the snowy hills.</t>
  </si>
  <si>
    <t>The people slide down steep fast curves on the intertubes.</t>
  </si>
  <si>
    <t>v_DXu_aHrZaUs</t>
  </si>
  <si>
    <t>A sign board is seen with a company logo and contact information.</t>
  </si>
  <si>
    <t>A construction worker screws down floor baseboards.</t>
  </si>
  <si>
    <t>A construction worker uses a handheld scraper to apply plaster to the bare floor.</t>
  </si>
  <si>
    <t>A worker places tiles onto the floor and uses plastic cross spacers in the groves.</t>
  </si>
  <si>
    <t>A heavy weight roller is rolled over the newly placed tiles.</t>
  </si>
  <si>
    <t>The finished floor is seen after the job is done.</t>
  </si>
  <si>
    <t>v_9fh_ray_B80</t>
  </si>
  <si>
    <t>A few guys are sitting near a cliff.</t>
  </si>
  <si>
    <t>A man is climbing a cliff with all limbs.</t>
  </si>
  <si>
    <t>The man that is climbing falls and begins to laugh.</t>
  </si>
  <si>
    <t>v_4M4MXPP9oRY</t>
  </si>
  <si>
    <t>There are several people gathered to watch a competitive game of water polo on a sunny day.</t>
  </si>
  <si>
    <t>There are two teams in an outdoor swimming pool playing against each other.</t>
  </si>
  <si>
    <t>The spectators are watching and cheering for the players.</t>
  </si>
  <si>
    <t>the players are playing with a yellow colored ball.</t>
  </si>
  <si>
    <t>After one of the team scores a point, the fellow teammates cheer for them.</t>
  </si>
  <si>
    <t>The winning team scores more points and receives applause from the crowd.</t>
  </si>
  <si>
    <t>v_Hfd5sxW8Clg</t>
  </si>
  <si>
    <t>Several contestants are on a stage standing behind a podium made to look like a Rubik cube.</t>
  </si>
  <si>
    <t>A boy then places a blind fold on his forehead as a man stand to his left examining his every move.</t>
  </si>
  <si>
    <t>The cube is then picked up off the counter and the timer begins as he attempts to solve the puzzle.</t>
  </si>
  <si>
    <t>After thirty five seconds,he pulls the blind fold down over his eyes and continues to try and solve the cube.</t>
  </si>
  <si>
    <t>A minute and fifteen seconds has passed and the boy puts the cube down and the timer stops.</t>
  </si>
  <si>
    <t>Everybody is extremely happy for him and begin and congratulates him as the other opponents are still attempting to solve theirs.</t>
  </si>
  <si>
    <t>v_QuaoqO4JgKY</t>
  </si>
  <si>
    <t>A young boy is seen walking to the end of a diving board and jumping off the side.</t>
  </si>
  <si>
    <t>The boy comes up from the surface and another boy is seen walking to the end of the board.</t>
  </si>
  <si>
    <t>v_KlIAmoVrptA</t>
  </si>
  <si>
    <t>A brunette woman is smiling and talking while standing in a bathroom with just her chest up visible and a quick banner on the bottom of the screen say's her name is "Aubrey Morgan".</t>
  </si>
  <si>
    <t>The woman is now standing up and with just her legs visible and wearing shorts, she's holding a razor up and showing it in different angles, and close ups, the text on the screen reads "Good Quality Razor".</t>
  </si>
  <si>
    <t>The woman begins to wash her legs while still standing up, exfoliates, and then applies a thick layer of shaving cream all over her leg, fans her leg, and then begins shaving her legs from the ankle and the knee and then rinses her razor.</t>
  </si>
  <si>
    <t>The woman holds up a disposable razor, then holds up a reusable razor and shows that the razor can be popped up.</t>
  </si>
  <si>
    <t>The woman is standing again and is now applying lotion to her leg.</t>
  </si>
  <si>
    <t>The woman is now standing with just her upper body showing and is smiling and talking.</t>
  </si>
  <si>
    <t>v_peoMXSP3VgY</t>
  </si>
  <si>
    <t>Mountains are seen in the background and a boy rides in a car.</t>
  </si>
  <si>
    <t>Skateboarders ride down through a parking garage together.</t>
  </si>
  <si>
    <t>The skateboards ride down a hill the skid at the bottom.</t>
  </si>
  <si>
    <t>The boy sets his board standing upright.</t>
  </si>
  <si>
    <t>A boy skateboards through the bleachers of a stadium.</t>
  </si>
  <si>
    <t>v_nGsRDNIsc2o</t>
  </si>
  <si>
    <t>People are sitting on exercise bikes and working out.</t>
  </si>
  <si>
    <t>A woman puts something on the side of the leg of a man working out.</t>
  </si>
  <si>
    <t>A man in a black suit talks in front of a television.</t>
  </si>
  <si>
    <t>v_Gdf7ZWhh9Nw</t>
  </si>
  <si>
    <t>A person is seen scrubbing down the mane of a horse's fur and leads into washing him and spray him.</t>
  </si>
  <si>
    <t>The camera shows shots of the liquid and then shows the woman scrubbing down and washing the horse.</t>
  </si>
  <si>
    <t>She walks the horse away and shakes the bottle, showing more shots of her cleaning the horse with the bottle shown intermittent.</t>
  </si>
  <si>
    <t>v_stkWKPWbQpE</t>
  </si>
  <si>
    <t>A man holding a baton and wearing glittery tights is standing on a basketball court and is doing a routine of baton twirling, flips, and dramatic dances.</t>
  </si>
  <si>
    <t>The man twirls the baton very quickly and unexpectedly drops it.</t>
  </si>
  <si>
    <t>The man quickly recovers and picks up the baton and continues his routine like he's never dropped it in the first place and throws the baton high up into the air and does numerous spins and quickly catches the baton before it hits the ground.</t>
  </si>
  <si>
    <t>The man ends his routine in a sitting position with his legs spread apart, his head thrown back and the baton resting on his right and between his legs.</t>
  </si>
  <si>
    <t>v_NgBfcoVZ254</t>
  </si>
  <si>
    <t>The building is being shown then the clock tower.</t>
  </si>
  <si>
    <t>The young people are walking on the walkway in front of the building.</t>
  </si>
  <si>
    <t>A young man is skateboarding on the road, going side to side moving his feet on the board.</t>
  </si>
  <si>
    <t>v_IxrncvpPWV8</t>
  </si>
  <si>
    <t>A group of several teen boys are playing a game of tug of war.</t>
  </si>
  <si>
    <t>They pull hard until the rope gives, and they win the game.</t>
  </si>
  <si>
    <t>v_Acogo5mgX4Q</t>
  </si>
  <si>
    <t>The scene is of a neighborhood surrounded by tall trees and a pile of dead leaves next to a leaf catcher.</t>
  </si>
  <si>
    <t>A man holding a rattle puts leaves in bags attached to a leaf catcher.</t>
  </si>
  <si>
    <t>Also, the man use the leaf catcher to collect trash in a bag.</t>
  </si>
  <si>
    <t>v_kYZSCs-ILNQ</t>
  </si>
  <si>
    <t>A man wearing a white shirt is holding a tennis racket.</t>
  </si>
  <si>
    <t>He starts hitting tennis balls with his tennis racket.</t>
  </si>
  <si>
    <t>v_GycRQhoHnXw</t>
  </si>
  <si>
    <t>A large group of women are seen standing in a room and begin belly dancing.</t>
  </si>
  <si>
    <t>The woman dance with one another performing the same routine and one woman dancing in front.</t>
  </si>
  <si>
    <t>The women continue dancing with one another and end by walking around.</t>
  </si>
  <si>
    <t>v_E9hFBWDR12A</t>
  </si>
  <si>
    <t>person is walking inside a house to an open field holding a baseball bat.</t>
  </si>
  <si>
    <t>perso is walking with a handle stick behind some men running around the field.</t>
  </si>
  <si>
    <t>some papers are shown and women selling lacrosse tshirts, in a game, people are gathered around the field.</t>
  </si>
  <si>
    <t>players walks from the dressing rooms and are in the field playig.</t>
  </si>
  <si>
    <t>players are stading in line clapping at the end of the game, results are shown in the end.</t>
  </si>
  <si>
    <t>v_jIYRVlrXJgc</t>
  </si>
  <si>
    <t>Two players are playing a game of racket ball.</t>
  </si>
  <si>
    <t>One female takes a swing at the ball and hits it.</t>
  </si>
  <si>
    <t>The other female takes a swing at the ball and misses and hits herself instead.</t>
  </si>
  <si>
    <t>She then sits down on the floor while the other person comes to turn the camera off.</t>
  </si>
  <si>
    <t>v_P3BkKdkf43I</t>
  </si>
  <si>
    <t>A young man is seen standing in the middle of a room and holding a tennis racket up in the air.</t>
  </si>
  <si>
    <t>Himself and a man are then seen hitting the tennis ball around while running around the room.</t>
  </si>
  <si>
    <t>The boy runs away from the man and towards the camera in the end.</t>
  </si>
  <si>
    <t>v_WMdeqUyHWSo</t>
  </si>
  <si>
    <t>A large group of people are standing together while a women in a beautiful dress speaks.</t>
  </si>
  <si>
    <t>Various people in costume are shown and a girl runs around playing with a kite.</t>
  </si>
  <si>
    <t>Several kites are shown up in the air while other children play with them.</t>
  </si>
  <si>
    <t>Hundreds of kites are shown in the air for a festival and a man interviews his experience with the kites.</t>
  </si>
  <si>
    <t>Several people stop and look around and the city pans over the night.</t>
  </si>
  <si>
    <t>v_3CJW0qBwwx4</t>
  </si>
  <si>
    <t>A man is seen kneeling down beside a car spraying a hose on the car.</t>
  </si>
  <si>
    <t>He uses a sponge to clean around the car while others clean around the sides.</t>
  </si>
  <si>
    <t>More shots are shown of them cleaning the inside as well as under the hood while the camera pans around.</t>
  </si>
  <si>
    <t>v_s07U8_fkUWU</t>
  </si>
  <si>
    <t>women are playing voleyball in a wooden court.</t>
  </si>
  <si>
    <t>peolpe are siting in chairs around the court watching the girls.</t>
  </si>
  <si>
    <t>referees are standing on sides of the court holding flags and watching the game no stairs.</t>
  </si>
  <si>
    <t>v_jN-FG9yxNvE</t>
  </si>
  <si>
    <t>"Fitness for Life 365" appears on the screen.</t>
  </si>
  <si>
    <t>A panning up of the inside of a gym is shown as there is a man climbing monkey bars going backwards.</t>
  </si>
  <si>
    <t>He then goes back and forth to continue his workout.</t>
  </si>
  <si>
    <t>The video then fades to a black screen and asks you to subscribe to their youtube channel.</t>
  </si>
  <si>
    <t>v_Pt0CjFgzpxM</t>
  </si>
  <si>
    <t>The video shows a tutorial on how to install ceramic tiles using concrete.</t>
  </si>
  <si>
    <t>A person wearing an orange vest and black pants is working on tiling a room in a house.</t>
  </si>
  <si>
    <t>He is kneeling down next to a pile of white square ceramic tiles and a bucket filled with grout and cement.</t>
  </si>
  <si>
    <t>He is smearing the floor with cement with a trowel.</t>
  </si>
  <si>
    <t>Then he places the square tiles next to each other in a straight line, making sure they are fitted tightly together.</t>
  </si>
  <si>
    <t>He removes more tiles from the box to places them on the wet cement, making sure they are properly aligned with each other.</t>
  </si>
  <si>
    <t>He continues placing the tiles to fill in all the gaps until the entire room is fully covered with the white tiles.</t>
  </si>
  <si>
    <t>v_z9uVyf0D8eM</t>
  </si>
  <si>
    <t>A man is seen playing a set of bag pipes to the camera while moving his hands up and down.</t>
  </si>
  <si>
    <t>The man continues playing the instrument in the room and ends by moving his hands down.</t>
  </si>
  <si>
    <t>v_WSKx2EK_Bqc</t>
  </si>
  <si>
    <t>A man is sitting down with a microphone attached to his ears and starts to talk about the congas in front of him.</t>
  </si>
  <si>
    <t>Once he is done talking,the man begins to play and hits the congas back and forth.</t>
  </si>
  <si>
    <t>In between his performance,he takes briefs breaks and talks before continuing playing.</t>
  </si>
  <si>
    <t>Now,he has on head phones and starts to play the congas straight through with no interruptions.</t>
  </si>
  <si>
    <t>v__uPVFvEQocU</t>
  </si>
  <si>
    <t>I woman talks to the camera while holding a ping pong ball and standing by a ping pong table, interspersed with closeups of short demonstrations of technique.</t>
  </si>
  <si>
    <t>The woman retrieves a new ball.</t>
  </si>
  <si>
    <t>The woman retrieves two balls, then gets rid of one.</t>
  </si>
  <si>
    <t>The woman retrieves another ball.</t>
  </si>
  <si>
    <t>v_WbZpWiPCHVU</t>
  </si>
  <si>
    <t>Coffee is spilled on the carpet.</t>
  </si>
  <si>
    <t>A person carpet cleans the carpet.</t>
  </si>
  <si>
    <t>They then clean seats of a car.</t>
  </si>
  <si>
    <t>They empty the water into the sink.</t>
  </si>
  <si>
    <t>They empty the bucket into another bucket.</t>
  </si>
  <si>
    <t>They vacuum up sprinkles off of the carpet.</t>
  </si>
  <si>
    <t>v_rVxxAI6wlXk</t>
  </si>
  <si>
    <t>A man grabs a suitcase out of a car.</t>
  </si>
  <si>
    <t>He lays down in a barber chair.</t>
  </si>
  <si>
    <t>A man starts shaving his beard with a razor.</t>
  </si>
  <si>
    <t>He wraps a towel around his face.</t>
  </si>
  <si>
    <t>v_OtcRXishIxw</t>
  </si>
  <si>
    <t>A young man is helping a young woman swing at a soccer pinata.</t>
  </si>
  <si>
    <t>They are on an outdoor green field at a school or community center.</t>
  </si>
  <si>
    <t>She keeps missing the pinata while her friends try to help her out.</t>
  </si>
  <si>
    <t>An adult is controlling the pinata trying to keep her from hitting it.</t>
  </si>
  <si>
    <t>She finally ends up finding where it generally is while her friends laugh at her and continue to try to help.</t>
  </si>
  <si>
    <t>She gets hit by the pinata and ends up being unsuccessful.</t>
  </si>
  <si>
    <t>v_Wiu7FVCc6DA</t>
  </si>
  <si>
    <t>A few men are in the woods running playing paintball.</t>
  </si>
  <si>
    <t>They are looking for the other to try to shoot them out, while staying close to their team mates.</t>
  </si>
  <si>
    <t>One of the men checks his gun and readjust his it and then keeps moving forward.</t>
  </si>
  <si>
    <t>He moves along to continue playing the game.</t>
  </si>
  <si>
    <t>v_lipavQnHm_g</t>
  </si>
  <si>
    <t>A man is standing on an indoor court with his racket in his right hand the racket ball in the left hand and is talking and motioning a lot.</t>
  </si>
  <si>
    <t>The man then drops the ball on the court, hits it, then catches it when it returns to him.</t>
  </si>
  <si>
    <t>The man continues to talk as he holds the ball and racket in his hands and the screen fades to black.</t>
  </si>
  <si>
    <t>v_yXzLQU_jS44</t>
  </si>
  <si>
    <t>A man is looking down and talking into the camera.</t>
  </si>
  <si>
    <t>The man removes his glasses and shows us how to insert contact lenses.</t>
  </si>
  <si>
    <t>The man shows the contact lens to the camera.</t>
  </si>
  <si>
    <t>The man inserts the contact and moves his eye around.</t>
  </si>
  <si>
    <t>The man shows his other contact.</t>
  </si>
  <si>
    <t>The man inserts the contact on the right and moves his eye around.</t>
  </si>
  <si>
    <t>v_J6-rLsT975U</t>
  </si>
  <si>
    <t>A man shovels snow in the winter.</t>
  </si>
  <si>
    <t>A timelapse photo is made and a path is cleared so a car can drive out.</t>
  </si>
  <si>
    <t>v_sOUNe30PXY4</t>
  </si>
  <si>
    <t>Two men are on top a ladder in a wrestling ring, a man is bend on the ladder.</t>
  </si>
  <si>
    <t>Then, the wrestler jumps over the man, and the man and the wrestler fall to the ring.</t>
  </si>
  <si>
    <t>The judge watch the men.</t>
  </si>
  <si>
    <t>v_Qwj7f4vqveo</t>
  </si>
  <si>
    <t>A kid takes a drink and swishes it around in their mouth.</t>
  </si>
  <si>
    <t>They spit it out into a sink.</t>
  </si>
  <si>
    <t>They take another drink out of a cup.</t>
  </si>
  <si>
    <t>They put their mouth on a towel.</t>
  </si>
  <si>
    <t>They take another drink and dump it out in the sink.</t>
  </si>
  <si>
    <t>They pick up the towel and wipe their face.</t>
  </si>
  <si>
    <t>They grab a cup and turn the sink on.</t>
  </si>
  <si>
    <t>v_Gc1Mk5UyECQ</t>
  </si>
  <si>
    <t>A lacrosse team goes to play a game.</t>
  </si>
  <si>
    <t>other highlights are shown.</t>
  </si>
  <si>
    <t>v_jIVP2bEWmJE</t>
  </si>
  <si>
    <t>A boy is standing in a kitchen with two pieces of bread.</t>
  </si>
  <si>
    <t>He opens the fridge and takes out sandwich ingredients.</t>
  </si>
  <si>
    <t>He squirts mustard and mayo onto the sandwich.</t>
  </si>
  <si>
    <t>He then adds meat and cheese.</t>
  </si>
  <si>
    <t>Afterward, he puts the ingredients back into the fridge, zeroing in on the sandwich on the counter.</t>
  </si>
  <si>
    <t>v_sLq6p6NKApk</t>
  </si>
  <si>
    <t>We see a man with a croquet mallet talking.</t>
  </si>
  <si>
    <t>The man lines up his shot of the red ball.</t>
  </si>
  <si>
    <t>The man hits the red ball.</t>
  </si>
  <si>
    <t>The man points at the blue ball the kneels in the grass.</t>
  </si>
  <si>
    <t>v_c-3fceLb7n4</t>
  </si>
  <si>
    <t>A group of friends play shuffle board on an indoor court.</t>
  </si>
  <si>
    <t>The group takes turns shooting pucks onto the shuffleboard court.</t>
  </si>
  <si>
    <t>v_g9b-kCC79kQ</t>
  </si>
  <si>
    <t>People are talking in a room.</t>
  </si>
  <si>
    <t>People are playing blackjack in a crowded casino.</t>
  </si>
  <si>
    <t>A man claps his hands and signs a paper.</t>
  </si>
  <si>
    <t>People continue to play blackjack.</t>
  </si>
  <si>
    <t>v_gPtpPiea0iQ</t>
  </si>
  <si>
    <t>A woman walks into a partially netted area.</t>
  </si>
  <si>
    <t>The woman stands preparing to hammer throw.</t>
  </si>
  <si>
    <t>The woman performs the hammer throw.</t>
  </si>
  <si>
    <t>The hammer is seen landing with judges walking towards it.</t>
  </si>
  <si>
    <t>The woman raises her arm.</t>
  </si>
  <si>
    <t>The woman walks out of the netted area.</t>
  </si>
  <si>
    <t>The woman raises her arm again.</t>
  </si>
  <si>
    <t>v_V8UMJTrfXdw</t>
  </si>
  <si>
    <t>Two people play foosball with a woman behind.</t>
  </si>
  <si>
    <t>One person scores and claps.</t>
  </si>
  <si>
    <t>v_o4uymxrCKeo</t>
  </si>
  <si>
    <t>A boy swings on a swing outdoors.</t>
  </si>
  <si>
    <t>He swings as high as he can with his legs out.</t>
  </si>
  <si>
    <t>v_cXVWUEcSx20</t>
  </si>
  <si>
    <t>A woman is seen sitting on a couch holding a hat and leads into her cutting the cat's claws.</t>
  </si>
  <si>
    <t>She then holds up a piece of paper as the cat runs away and she points to the paper.</t>
  </si>
  <si>
    <t>v_ULPw4uZcx5I</t>
  </si>
  <si>
    <t>A person is sitting in a tube with other people standing around and pushing the person down a snowy trail.</t>
  </si>
  <si>
    <t>The person flies down the trail in the tube with another person following down afterwards.</t>
  </si>
  <si>
    <t>v_c3vEqTcKPsU</t>
  </si>
  <si>
    <t>a journalist is interviewing a basketball player in a court.</t>
  </si>
  <si>
    <t>man is polishing the wooden floor.</t>
  </si>
  <si>
    <t>v_y1jyeWW-G4E</t>
  </si>
  <si>
    <t>a little girl is sitting in sand where she has been trying to make a sand castle.</t>
  </si>
  <si>
    <t>Adults and another girl laugh as they try to build something in the sand.</t>
  </si>
  <si>
    <t>v_-wFNUGYf298</t>
  </si>
  <si>
    <t>A young adult male punches and kicks a suspended punching bag.</t>
  </si>
  <si>
    <t>The young male then starts to move around the punching bag while still punching and kicking it.</t>
  </si>
  <si>
    <t>The young male then walks away while removing his gloves.</t>
  </si>
  <si>
    <t>v_2WzsyEvhPPI</t>
  </si>
  <si>
    <t>A man talking to the camera while holding a poster.</t>
  </si>
  <si>
    <t>He grabs various objects off the table and explains his instructions.</t>
  </si>
  <si>
    <t>He wraps a box with tin foil then writes on the box with a marker.</t>
  </si>
  <si>
    <t>He lays out more tin foil and wraps another object with it.</t>
  </si>
  <si>
    <t>He finishes wrapping all objects with tin foil and showing how.</t>
  </si>
  <si>
    <t>v_FujUrbL1qc0</t>
  </si>
  <si>
    <t>A man is sitting on a workout bench.</t>
  </si>
  <si>
    <t>He lays back and starts doing crunches.</t>
  </si>
  <si>
    <t>He sits back up on the machine and continues talking.</t>
  </si>
  <si>
    <t>v_sByOncVAMqg</t>
  </si>
  <si>
    <t>She stands on the beam, then does several hand springs and flips.</t>
  </si>
  <si>
    <t>v_3Y46yorcd5Q</t>
  </si>
  <si>
    <t>A large wave breaks in the ocean as surfers and surfers paddle over it.</t>
  </si>
  <si>
    <t>A large wave crashes in the ocean and a man rides down the face on body board.</t>
  </si>
  <si>
    <t>surfers ride waves in the ocean.</t>
  </si>
  <si>
    <t>A large wave breaks on shore and spectators run.</t>
  </si>
  <si>
    <t>v_CcBPELJaRlk</t>
  </si>
  <si>
    <t>Several people are divided up into groups on rafts kayaking through murky water.</t>
  </si>
  <si>
    <t>The first group of eight people paddle themselves near a cliff and go down the hill and the others trail behind them with the same actions.</t>
  </si>
  <si>
    <t>For the fifth group, an aerial view is provided and the others way for them to come.</t>
  </si>
  <si>
    <t>After, each group does the same thing as they maneuver throughout various parts of the water and hitting rocks.</t>
  </si>
  <si>
    <t>v_JLipYEVwKTg</t>
  </si>
  <si>
    <t>A woman wearing a leopard print jacket is sitting with a man in a hookah bar.</t>
  </si>
  <si>
    <t>The man kisses her as he leans forward.</t>
  </si>
  <si>
    <t>She is holding the hookah in her hand ready to take her first puff.</t>
  </si>
  <si>
    <t>After she inhales the hookah, she puffs out some smoke and coughs in discomfort.</t>
  </si>
  <si>
    <t>v_eEBiomp_9tQ</t>
  </si>
  <si>
    <t>A woman in a dress is walking up stairs.</t>
  </si>
  <si>
    <t>She takes her dress off and starts dancing.</t>
  </si>
  <si>
    <t>She is working out with other people on a step stool.</t>
  </si>
  <si>
    <t>v_XOEQfCu6KsE</t>
  </si>
  <si>
    <t>A man is seen walking around a field with a dog next to him.</t>
  </si>
  <si>
    <t>The man then grabs a frisbee and begins performing tricks with the dog.</t>
  </si>
  <si>
    <t>The man continues to throw around a frisbee with the dog while others watch on the side.</t>
  </si>
  <si>
    <t>v_f7qFnCkFIuQ</t>
  </si>
  <si>
    <t>A person is walking towards three people who are painting a fence black.</t>
  </si>
  <si>
    <t>The man asks the boy to see his work and pans the camera over to his wife.</t>
  </si>
  <si>
    <t>The man makes a joke to his wife and laughs off camera.</t>
  </si>
  <si>
    <t>v_VuGLqAda2hE</t>
  </si>
  <si>
    <t>A woman talks in a gym, then she drives a static bike.</t>
  </si>
  <si>
    <t>Then,the woman and other people lift weight.</t>
  </si>
  <si>
    <t>Then, the woman continues riding the bike and then lift weigh.</t>
  </si>
  <si>
    <t>v_qp3OfC0dCOs</t>
  </si>
  <si>
    <t>Outside in the backyard two little boys in matching swim suits are playing with nets trying to catch a ball.</t>
  </si>
  <si>
    <t>They are both trying to get the ball in their own net basically playfully fighting over whose going to get it.</t>
  </si>
  <si>
    <t>The dad comes and throws the ball over and the boys run after it.</t>
  </si>
  <si>
    <t>They continue to play and one of the little boys gets it in his net and trows it and when it lands they both go after it again.</t>
  </si>
  <si>
    <t>v_6cha8sVi65k</t>
  </si>
  <si>
    <t>Several hockey players leave a group, skating across the ice.</t>
  </si>
  <si>
    <t>They begin playing, shooting the puck back and forth, trying to get it to go into the enemy's goal.</t>
  </si>
  <si>
    <t>A goalie stands alone at his goal.</t>
  </si>
  <si>
    <t>Everyone gathers again as the referee signals them to play.</t>
  </si>
  <si>
    <t>v_CJKwvmOuhJk</t>
  </si>
  <si>
    <t>A person is seen standing before a sink wearing gloves.</t>
  </si>
  <si>
    <t>The woman looks back to the camera and smiles while holding a toothbrush.</t>
  </si>
  <si>
    <t>She then turns back to the sink full of dirty dishes.</t>
  </si>
  <si>
    <t>v_Szze8i9UsRo</t>
  </si>
  <si>
    <t>A person opens a round box and take off a bottle of nail polish and puts on holder.</t>
  </si>
  <si>
    <t>Then, the person puts a nail on a round support on the box, then paint her nails.</t>
  </si>
  <si>
    <t>After, the woman close the nail polish bottle.</t>
  </si>
  <si>
    <t>v_sWaU9O4xzFE</t>
  </si>
  <si>
    <t>A man and a woman get ready to play darts.</t>
  </si>
  <si>
    <t>Instructions on needed materials to play darts are displayed.</t>
  </si>
  <si>
    <t>The man and the woman walk to the dart board.</t>
  </si>
  <si>
    <t>They joke around getting ready to play darts.</t>
  </si>
  <si>
    <t>The man throws a dart.</t>
  </si>
  <si>
    <t>The woman follows after him.</t>
  </si>
  <si>
    <t>The woman throws three more darts.</t>
  </si>
  <si>
    <t>The man shows off his dart and demonstrates how to step.</t>
  </si>
  <si>
    <t>He throws the dart from afar.</t>
  </si>
  <si>
    <t>The position of the darts on the boars are shown.</t>
  </si>
  <si>
    <t>The man grabs the darts from the board.</t>
  </si>
  <si>
    <t>The woman throws some darts.</t>
  </si>
  <si>
    <t>The man follows after the woman.</t>
  </si>
  <si>
    <t>The woman does it again.</t>
  </si>
  <si>
    <t>The man returns to do the same.</t>
  </si>
  <si>
    <t>The woman throws them again.</t>
  </si>
  <si>
    <t>The man goes after her again.</t>
  </si>
  <si>
    <t>The woman goes once more and triumphantly wins.</t>
  </si>
  <si>
    <t>v_Mg3_BN9t9JY</t>
  </si>
  <si>
    <t>A woman is seen hosting a news segment and that leads into people riding around on horses.</t>
  </si>
  <si>
    <t>People are seen walking around an area with dogs stomping their feet as well as another man speaking to the camera.</t>
  </si>
  <si>
    <t>More shots are shown of the people playing the game on a horse as well as others speaking to the camera and getting a trophy.</t>
  </si>
  <si>
    <t>v_Hc--KcdMkEA</t>
  </si>
  <si>
    <t>A man stands in front of a podium talking.</t>
  </si>
  <si>
    <t>Two other men stand next to him.</t>
  </si>
  <si>
    <t>One of the two men digs in a fire pit where there was a fire and then pours water on it.</t>
  </si>
  <si>
    <t>The same man digs around in the pit with his hand looking for burning embers.</t>
  </si>
  <si>
    <t>v_n-i9nC6vxu0</t>
  </si>
  <si>
    <t>A body of water is shown below the trees.</t>
  </si>
  <si>
    <t>A person is walking on a slack line over the water.</t>
  </si>
  <si>
    <t>They get to the end of the slack line.</t>
  </si>
  <si>
    <t>v_ncTkaZcDcTo</t>
  </si>
  <si>
    <t>A skater girl in a white t-shirt and shorts tries to jump with her skateboard and falls backwards hitting her head.</t>
  </si>
  <si>
    <t>Two more skaters head around a curve, but one plows straight into a hay-stack, though luckily helmet-first.</t>
  </si>
  <si>
    <t>Another helmeted skater tries a hand-stop, and does stop, though unfortunately his skateboard does not.</t>
  </si>
  <si>
    <t>After a few more skating mishaps, the last performance is by a skater who doesn't feel the need for safety equipment and while headed straight down a hill, he flips off of his skateboard and spends several minutes checking on his various road-rashes.</t>
  </si>
  <si>
    <t>v_RVYINuYPY6o</t>
  </si>
  <si>
    <t>Three boys in a grass covered back yard take turns playing a game of cricket on the lawn.</t>
  </si>
  <si>
    <t>The boys take turns throwing and hitting the cricket ball, helping each other out by redistributing the ball back into the game when they land in the field.</t>
  </si>
  <si>
    <t>One of the boys puts on a football helmet and stands on the side lines catching the ball.</t>
  </si>
  <si>
    <t>v_mtQUYdj2Ecg</t>
  </si>
  <si>
    <t>A man attempts to lift a barbell.</t>
  </si>
  <si>
    <t>He bends at the knees, lifting it to his chest.</t>
  </si>
  <si>
    <t>He hits himself in the throat, falling backward.</t>
  </si>
  <si>
    <t>v_pJRUkudK6iE</t>
  </si>
  <si>
    <t>A textured intro screen appears and a logo of a shoe is displayed along with green words that say "VICKERMANN und STOYA".</t>
  </si>
  <si>
    <t>Two groups of supplies are shown and they include products from the company name in the intro screen that include brushes, a cloth, shoe shaper, shoelaces and a couple of small tin containers.</t>
  </si>
  <si>
    <t>A man wearing a green apron is untying shoelaces from a brown high shoe, then brushes it with a large brush, then he takes a smaller brush, dips it into a small container, then brushes it onto the shoe and the shoe looks very polished on any surface that he brushes.</t>
  </si>
  <si>
    <t>The man then picks up a white cloth and rubs it all over the shoe.</t>
  </si>
  <si>
    <t>The man puts the white cloth down, picks up a thick brush and brushes the shoe all over.</t>
  </si>
  <si>
    <t>Then he puts the shoe and the brush down, picks up the shoelace and laces the shoe.</t>
  </si>
  <si>
    <t>The man then picks up the polished shoe and unpolished shoe and puts them closer to the camera for a comparison then the same textured screen from the intro appears with the shoe log and the company name of "VICKERMANN und STOYA".</t>
  </si>
  <si>
    <t>v_CD8FFj8AJE0</t>
  </si>
  <si>
    <t>A man is seen speaking to the camera and leads into him wiping down another man's back.</t>
  </si>
  <si>
    <t>He rubs in lotion and then stands up with the man.</t>
  </si>
  <si>
    <t>The man holds a mirror up to his back and smiles back to the artist.</t>
  </si>
  <si>
    <t>v_Qxquum8p8S8</t>
  </si>
  <si>
    <t>There are some kids using a water pump to wash their hands at the Plumpton Park Zoo.</t>
  </si>
  <si>
    <t>There's a young boy in a black and white hoodie helping pump out water for another boy to wash his hands.</t>
  </si>
  <si>
    <t>Then he goes on help another young boy wearing a black hoodie to wash his hands.</t>
  </si>
  <si>
    <t>The three kids are having fun in the water as they wash their hands clean.</t>
  </si>
  <si>
    <t>v_1P_y_DLlg-E</t>
  </si>
  <si>
    <t>A lady stands in a yard holding a leaf blower before stepping over the cord.</t>
  </si>
  <si>
    <t>The lady blows the leafs as she walks around the yard.</t>
  </si>
  <si>
    <t>The lady points the tool at the camera and laugh.</t>
  </si>
  <si>
    <t>The lady continues to blow the leaves.</t>
  </si>
  <si>
    <t>v_QHJTOHgjDMw</t>
  </si>
  <si>
    <t>A girl walks into a room, seeing sheet music at a piano.</t>
  </si>
  <si>
    <t>She opens the piano and begins to play.</t>
  </si>
  <si>
    <t>She thinks about a couple while she is playing.</t>
  </si>
  <si>
    <t>v_bLqd98mmu3w</t>
  </si>
  <si>
    <t>A woman is scared of going in the water and says she cant do this.</t>
  </si>
  <si>
    <t>A group of people are sitting in a pool of water that is precariously close to the edge of a waterfall.</t>
  </si>
  <si>
    <t>The woman jumps in the water and everyone cheers.</t>
  </si>
  <si>
    <t>The group of people are laughing and talking while more people jump in the water.</t>
  </si>
  <si>
    <t>Scenes of the waterfall are viewed.</t>
  </si>
  <si>
    <t>v_MEuGzNPI1pw</t>
  </si>
  <si>
    <t>A man prepares for a gymnastics routine on the parallel bars.</t>
  </si>
  <si>
    <t>The crowd seems to approve when he flips and catches himself before then dismounting.</t>
  </si>
  <si>
    <t>v_qU_605hliNw</t>
  </si>
  <si>
    <t>A camera pans all around a wooded area and leads into two people riding around on skis.</t>
  </si>
  <si>
    <t>Several shots are shown of various people riding behind a boat on skis and performing tricks.</t>
  </si>
  <si>
    <t>The people continue riding as well as hanging on the side on a large pole.</t>
  </si>
  <si>
    <t>v_hyW_cjYi8P4</t>
  </si>
  <si>
    <t>A man is seen speaking to the camera while presenting various objects in front of him.</t>
  </si>
  <si>
    <t>The man then uses a marker to dig up the side of a table and fill it in.</t>
  </si>
  <si>
    <t>He shows how to use the pen on several objects while filling it in and sanding it afterwards.</t>
  </si>
  <si>
    <t>v_BC1ZIeZvFXw</t>
  </si>
  <si>
    <t>A boy is riding a long board down various road ways.</t>
  </si>
  <si>
    <t>He does a flip trick riding down one of the road ways.</t>
  </si>
  <si>
    <t>He winds back and fourth down the snowy road.</t>
  </si>
  <si>
    <t>He skateboards at night and the logo is shown.</t>
  </si>
  <si>
    <t>v_LxntXVcMxtc</t>
  </si>
  <si>
    <t>Two girls in karate class bow forward and then to each other before practice.</t>
  </si>
  <si>
    <t>The girl dodges an attack by taking a knee while blocking a hit.</t>
  </si>
  <si>
    <t>The karate students punch and block with their wrists.</t>
  </si>
  <si>
    <t>The girl does a standing spinning kicks.</t>
  </si>
  <si>
    <t>v_TXSNkjjTzdE</t>
  </si>
  <si>
    <t>A woman talks and fix her wet hair, also she shows a brush and a dry hair.</t>
  </si>
  <si>
    <t>The woman brush her hair on different directions using a hair dryer.</t>
  </si>
  <si>
    <t>Then, the woman stops and shows her hairstyle while talking.</t>
  </si>
  <si>
    <t>After, the woman shows the direction to comb hair, then uses a hair iron to straight the hair.</t>
  </si>
  <si>
    <t>v_gY5akj1YcMk</t>
  </si>
  <si>
    <t>A man does wave wheels in a canoe.</t>
  </si>
  <si>
    <t>He is shown doing downstream momentum, rolling over in his canoe.</t>
  </si>
  <si>
    <t>Now we see set edge and plant blade as he moves upstream.</t>
  </si>
  <si>
    <t>v_j_Xr8nLEjLQ</t>
  </si>
  <si>
    <t>A person stands on a rope, and then he jumps over a rope.</t>
  </si>
  <si>
    <t>The person jumps on his feet, as well on this butt and body.</t>
  </si>
  <si>
    <t>v_5QDwobEnN3g</t>
  </si>
  <si>
    <t>A family is seen sitting on the beach making sand castles with a object.</t>
  </si>
  <si>
    <t>People stand around to watch them work and the camera pans around the kids playing in the sand.</t>
  </si>
  <si>
    <t>v_iM8rmKLJnt8</t>
  </si>
  <si>
    <t>woman is painting the fence with white paint.</t>
  </si>
  <si>
    <t>man is painting a green bench in the park.</t>
  </si>
  <si>
    <t>v_ALjodjboELk</t>
  </si>
  <si>
    <t>A group of people are seen swimming around a pool with one man sitting on his head.</t>
  </si>
  <si>
    <t>More shots are shown of people close up swimming up the water as well as kneeling.</t>
  </si>
  <si>
    <t>A woman takes off her tank as well as putting it back and leads into them swimming more.</t>
  </si>
  <si>
    <t>v_PWrVWeH45Zo</t>
  </si>
  <si>
    <t>Boys are moping the tiled floor.</t>
  </si>
  <si>
    <t>A boy in short places his mop in a yellow bucket.</t>
  </si>
  <si>
    <t>A lady walks away with a long clear object in her hand.</t>
  </si>
  <si>
    <t>v_agr3ZKq1Iso</t>
  </si>
  <si>
    <t>Children ride in bumper cars on an amusement ride.</t>
  </si>
  <si>
    <t>One person follows close behind a car in front of him riding his bumper.</t>
  </si>
  <si>
    <t>The group gets stuck in a a large traffic jam after bumping each other.</t>
  </si>
  <si>
    <t>The cars turn around and get out of the traffic jam.</t>
  </si>
  <si>
    <t>A boy crashes into the back of a stopped car.</t>
  </si>
  <si>
    <t>v_39FIjDeot-s</t>
  </si>
  <si>
    <t>a lot of kids ar standing ni a basket court doing boxing movements.</t>
  </si>
  <si>
    <t>little girls are standing in the middle of a court practicing boxing.</t>
  </si>
  <si>
    <t>people are sitting on chairs in a wooden court.</t>
  </si>
  <si>
    <t>v_F4ERtlGMFt4</t>
  </si>
  <si>
    <t>A person is riding a bull in an arena.</t>
  </si>
  <si>
    <t>People are standing in an arena around a bull.</t>
  </si>
  <si>
    <t>A bull charges them and knocks them to the ground.</t>
  </si>
  <si>
    <t>v_H8f7pTaBFKk</t>
  </si>
  <si>
    <t>A man is seen scraping off a car that is covered with snow and speaking to the camera.</t>
  </si>
  <si>
    <t>The camera follows the man around as he continues to scrap off the car and speaking to the camera.</t>
  </si>
  <si>
    <t>v_0-F3q8Aj9Zk</t>
  </si>
  <si>
    <t>A teenage boy dances around in the background while another teenage boy wearing practices high jump in a school cafeteria.</t>
  </si>
  <si>
    <t>A teenage boy completes a high jump landing on his back on the mat.</t>
  </si>
  <si>
    <t>Several adults and teenagers are standing and sitting around the high jump mat while a boy in black does the high jump.</t>
  </si>
  <si>
    <t>The boy in black does another high jump while another teenage boy watches in the background.</t>
  </si>
  <si>
    <t>The same boy in black does a high jump while a taller boy in white walks past.</t>
  </si>
  <si>
    <t>The same high jump is shown slowly to point out mistakes the boy is making.</t>
  </si>
  <si>
    <t>A different boy wearing white does the high jump while other people stand and sit nearby.</t>
  </si>
  <si>
    <t>The high jump from the boy wearing white is replayed to point out mistakes.</t>
  </si>
  <si>
    <t>A third boy wearing blue does the high jump three times in a row with others in the background.</t>
  </si>
  <si>
    <t>A replay of the boy in blue is played to point out mistakes he is making.</t>
  </si>
  <si>
    <t>v_7kQ3JRkEQr0</t>
  </si>
  <si>
    <t>Two girls are standing up doing karate.</t>
  </si>
  <si>
    <t>People are sitting down watching them.</t>
  </si>
  <si>
    <t>A woman in a black robe is standing up next to them.</t>
  </si>
  <si>
    <t>v_R0sADQPdso8</t>
  </si>
  <si>
    <t>A lady speaks in front of a plaza.</t>
  </si>
  <si>
    <t>the lady hula hoops in short shorts and a tight shirt in a plaza and we see a timer in the upper right corner periodically.</t>
  </si>
  <si>
    <t>The timer reads The lady hula hoops for 2 minutes and seventeen seconds.</t>
  </si>
  <si>
    <t>The lady speaks to the camera again.</t>
  </si>
  <si>
    <t>We see the ending YouTube screen.</t>
  </si>
  <si>
    <t>v_DLfOiuxMstg</t>
  </si>
  <si>
    <t>A envelope with a key on it is shown.</t>
  </si>
  <si>
    <t>A woman wraps a book in brown paper.</t>
  </si>
  <si>
    <t>A woman in a gray sweater is talking.</t>
  </si>
  <si>
    <t>A woman waves at the camera.</t>
  </si>
  <si>
    <t>They finish wrapping the book and put the envelope on the front of the package.</t>
  </si>
  <si>
    <t>The words thank you is stamped inside a book.</t>
  </si>
  <si>
    <t>v_X7f-hwiYZ1Q</t>
  </si>
  <si>
    <t>A woman is seen speaking and laughing to the camera and leads into her holding up a magazine and presenting pages to the camera.</t>
  </si>
  <si>
    <t>The woman presents more objects to the camera and then uses one to brush her teeth while still speaking to the camera.</t>
  </si>
  <si>
    <t>v_rVYuVW9tB3U</t>
  </si>
  <si>
    <t>Two suma wrestlers walk to a ring.</t>
  </si>
  <si>
    <t>A crowd watches the fight.</t>
  </si>
  <si>
    <t>The suma wrestlers prepare themselves.</t>
  </si>
  <si>
    <t>A referee calls them into position.</t>
  </si>
  <si>
    <t>The suma wrestlers begin fighting, with one of them immediately throwing the other to the ground.</t>
  </si>
  <si>
    <t>The winning suma wrestler is applauded and cheered on by the crowd as he walks off the stage.</t>
  </si>
  <si>
    <t>v_dH_gpSfaA6E</t>
  </si>
  <si>
    <t>To wrap a circular gift you will need ribbon scissors, paper scissors, ribbons, tape, Japenese using paper because its soft and strong and the color doesn't come off.</t>
  </si>
  <si>
    <t>First measure the paper correctly by measuring at the sides then fold paper in the middle holding the paper the same way on the other side then close paper in the middle of the joint to make a crease then repeat until crease is all around then put tape on top then tie on the ribbon.</t>
  </si>
  <si>
    <t>v_c-aDlEaZmFk</t>
  </si>
  <si>
    <t>A lady gymnast dressed in black leotards is performing gymnastics on bars.</t>
  </si>
  <si>
    <t>She flawlessly jumps on the bar and swings back and forth from one bar to another without falling off.</t>
  </si>
  <si>
    <t>She successfully completes her round and jumps off of the bars.</t>
  </si>
  <si>
    <t>The crowd cheers loudly as they applaud for the gymnast.</t>
  </si>
  <si>
    <t>v_3TwqeiVbpS8</t>
  </si>
  <si>
    <t>A series of people violently falling off of water skis while water skiing exhibits.</t>
  </si>
  <si>
    <t>A person crashing into a family on the beach from going full speed on a water ski occurs.</t>
  </si>
  <si>
    <t>Several more people are shown crashing while on water skis with one man crashing and the water turning red at the point of impact and crashing.</t>
  </si>
  <si>
    <t>A last clip shows someone going up a ramp on water skis and then crashing into the water.</t>
  </si>
  <si>
    <t>v_at2XbuHG5WQ</t>
  </si>
  <si>
    <t>A white fence is shown outside a house.</t>
  </si>
  <si>
    <t>A man is holding a scraper and brush.</t>
  </si>
  <si>
    <t>He scrapes the paint off the fence, then repaints it with fresh paint.</t>
  </si>
  <si>
    <t>v_Ed08LA1pjIg</t>
  </si>
  <si>
    <t>The person is skiing down the high snow covered mountains.</t>
  </si>
  <si>
    <t>A red helicopter is flying around as the skiers are climbing the top mountain.</t>
  </si>
  <si>
    <t>The skiers ski down the slope, ride their motorcycles, went fishing , and ski.</t>
  </si>
  <si>
    <t>v_s__e_v6aaq0</t>
  </si>
  <si>
    <t>A little boy is inside a living room.</t>
  </si>
  <si>
    <t>He is pushing and pulling a large vacuum cleaner.</t>
  </si>
  <si>
    <t>He is vacuuming the large living room rug.</t>
  </si>
  <si>
    <t>v_boqZwv68BiM</t>
  </si>
  <si>
    <t>A close up of a tool is shown followed by a person cutting along a rug.</t>
  </si>
  <si>
    <t>The person continues using the tool along the sides and the camera fades to black shortly after.</t>
  </si>
  <si>
    <t>v_Bg9hw5K-m6Q</t>
  </si>
  <si>
    <t>A man is standing in his yard.</t>
  </si>
  <si>
    <t>He uses a brush to brush his very long hair.</t>
  </si>
  <si>
    <t>He brushes it from several different angles.</t>
  </si>
  <si>
    <t>v_MyMYuXh8E0Y</t>
  </si>
  <si>
    <t>A man in a black hoodie talks to the camera.</t>
  </si>
  <si>
    <t>A second man in a blue hoodie walks in and talks to the camera.</t>
  </si>
  <si>
    <t>The man in the black hoodie shows off a bottle of mouth wash.</t>
  </si>
  <si>
    <t>The two men talk to each other.</t>
  </si>
  <si>
    <t>The man in the blue hoodie pours the mouthwash in two glasses.</t>
  </si>
  <si>
    <t>The two men take classes and "cheers" each other.</t>
  </si>
  <si>
    <t>The two men keep the mouthwash in their mouths.</t>
  </si>
  <si>
    <t>The man in the black hoodie shows off his t-shirt.</t>
  </si>
  <si>
    <t>The two men show off signs that insult each other and try to make each other laugh.</t>
  </si>
  <si>
    <t>The man in the blue hoodie laughs first.</t>
  </si>
  <si>
    <t>The men both spit the mouthwash in the sink.</t>
  </si>
  <si>
    <t>v_DvtfiPvPhZ8</t>
  </si>
  <si>
    <t>A man and woman is seen walking onto a large stage away from one another.</t>
  </si>
  <si>
    <t>The two then begin performing a tango routine with one another.</t>
  </si>
  <si>
    <t>The man lifts the woman all around while they continue dancing and end by holing a pose.</t>
  </si>
  <si>
    <t>v_-HaFSqzE4Nc</t>
  </si>
  <si>
    <t>A teenage boy and girl are sitting in s car smoking from a hose.</t>
  </si>
  <si>
    <t>The girl and boy take turns blowing smoke rings.</t>
  </si>
  <si>
    <t>v_aM9WZ1_8yC0</t>
  </si>
  <si>
    <t>A man is throwing darts at a dart board.</t>
  </si>
  <si>
    <t>He points to the words on his shirt.</t>
  </si>
  <si>
    <t>He shows the darts in the dart board.</t>
  </si>
  <si>
    <t>He shows his hand while throwing the dart.</t>
  </si>
  <si>
    <t>v_hShYj_OGFtc</t>
  </si>
  <si>
    <t>A person is seen kneeling down in a large hole rubbing plaster along a wall.</t>
  </si>
  <si>
    <t>The man rubs plaster using a tool and stands up to grab paper.</t>
  </si>
  <si>
    <t>He rubs the paper along the wall and ends by looking up to the camera.</t>
  </si>
  <si>
    <t>v_BxzOUJbq28s</t>
  </si>
  <si>
    <t>A man with a beard is playing on a green drum.</t>
  </si>
  <si>
    <t>The man starts adding in a second drum to the mix.</t>
  </si>
  <si>
    <t>A third drum is added to the drumming mix.</t>
  </si>
  <si>
    <t>v_PuylbPlzbH0</t>
  </si>
  <si>
    <t>We see people holding their phones up to record.</t>
  </si>
  <si>
    <t>We then see a man playing a piano.</t>
  </si>
  <si>
    <t>The camera moves around the man's back.</t>
  </si>
  <si>
    <t>The crowd then claps for the man.</t>
  </si>
  <si>
    <t>The man then looks up and speaks.</t>
  </si>
  <si>
    <t>v_uxRBnIWE79s</t>
  </si>
  <si>
    <t>People are indoors and the focus is on various clips of various different people fencing one another.</t>
  </si>
  <si>
    <t>A fencing match between two women begin and the wording on the screen say's their names are Michelle Li &amp; Cindy Gao, and they are shown fighting from various different angles doing many fencing moves.</t>
  </si>
  <si>
    <t>When they are done fighting the women are shown standing close together, smiling, and the woman on the left has her arm resting on the shoulder of the woman on the right.</t>
  </si>
  <si>
    <t>The outro is a white screen with multiple colors on it that include logos, website and the name of the event.</t>
  </si>
  <si>
    <t>v_at3YFTd6nEw</t>
  </si>
  <si>
    <t>A woman is smiling sitting in a tattoo sitting on the chair waiting patiently, smiling and being over friendly.</t>
  </si>
  <si>
    <t>He is wearing gloves and grabs a clamp then hr puts it in her mouth and clamps her lip with it.</t>
  </si>
  <si>
    <t>Then grabs a needle and sticks it through her lip, he gets a piercing and puts it on for her.</t>
  </si>
  <si>
    <t>After that she gets up off the chair and walks to the mirror to check it out for herself.</t>
  </si>
  <si>
    <t>v_qI_Bo0D6p7I</t>
  </si>
  <si>
    <t>A small girl is seen hula hooping over and over again with her hands on her hips.</t>
  </si>
  <si>
    <t>The girl spins around with the hula hoop moving from her feet to her knees as well as the rest of her body.</t>
  </si>
  <si>
    <t>At one point she throws the hula hoop accidentally but picks it back up and continues spinning with it.</t>
  </si>
  <si>
    <t>In the end she falls to the ground with the hoop still in her hands.</t>
  </si>
  <si>
    <t>v_SEZvtGus0HU</t>
  </si>
  <si>
    <t>There are surfers riding on a very large wave.</t>
  </si>
  <si>
    <t>A white wave crashes down and the surfer below it disappears as the large white foam of the wave spreads to a very large area on the water.</t>
  </si>
  <si>
    <t>Men on water jets quickly go to the area where the surfers could be and they recover them from the water and quickly drive away from the wave as they pass other surfers and water jet drivers as they all continue to ride on the waves.</t>
  </si>
  <si>
    <t>Now the view changes to the view from a helicopter above and it shows the people on the water driving their water jets.</t>
  </si>
  <si>
    <t>A black screen appears and it includes white lettering that say's "Shot on Red One by Mike Waltze" and includes a website then the word "Courtesy NanoGreensHawaii dot com Instant Organic Nutrition".</t>
  </si>
  <si>
    <t>v_iEGYd3DJ3Wo</t>
  </si>
  <si>
    <t>A man dressed as a referee is shown in a hockey rink.</t>
  </si>
  <si>
    <t>A number of men play are shown playing hockey.</t>
  </si>
  <si>
    <t>Several of the hockey players start a fight.</t>
  </si>
  <si>
    <t>v_02V8Hz-M6BM</t>
  </si>
  <si>
    <t>The people are walking in the street with marching band.</t>
  </si>
  <si>
    <t>The men in green vest are walking on both sides of the parade.</t>
  </si>
  <si>
    <t>The man in neon green jacket is taking picture of the parade.</t>
  </si>
  <si>
    <t>v_oSyBkE3gYMM</t>
  </si>
  <si>
    <t>There's a young man skateboarding through a two lane empty road that has trees on both sides.</t>
  </si>
  <si>
    <t>He goes steadily through the long and winding road without stopping.</t>
  </si>
  <si>
    <t>He passes through curves and turns around to adjust his speed.</t>
  </si>
  <si>
    <t>Then as he approaches a steep curve, he tries to turn but ends up falling down and bruising himself.</t>
  </si>
  <si>
    <t>He gets up immediately and shows his friends his scraped and injured elbow.</t>
  </si>
  <si>
    <t>Another friend of his also shows his injuries that he's had from skateboarding.</t>
  </si>
  <si>
    <t>v_h9LI_6eBzw4</t>
  </si>
  <si>
    <t>A montage of canoe sprinting is shown.</t>
  </si>
  <si>
    <t>The winners celebrate and both men's and women's are shown.</t>
  </si>
  <si>
    <t>v_w_X7cLnFCYw</t>
  </si>
  <si>
    <t>An introduction comes onto the screen about a video showing how to triple jump.</t>
  </si>
  <si>
    <t>A guy is shown running down a track making a jump.</t>
  </si>
  <si>
    <t>The jump is shown again in slow motion for better understanding.</t>
  </si>
  <si>
    <t>The guy is then shown exiting the track.</t>
  </si>
  <si>
    <t>v_q0o0k2uD0co</t>
  </si>
  <si>
    <t>A person is washing a car.</t>
  </si>
  <si>
    <t>The person changes hands and washes with their other hand.</t>
  </si>
  <si>
    <t>They then use both hands.</t>
  </si>
  <si>
    <t>v_FKphYO14qhw</t>
  </si>
  <si>
    <t>A man is leaning over a large pool table.</t>
  </si>
  <si>
    <t>He uses a cue to shoot the ball toward the pocket.</t>
  </si>
  <si>
    <t>He tries again and again until they go into the pockets.</t>
  </si>
  <si>
    <t>v_EWSMeiZqUHQ</t>
  </si>
  <si>
    <t>A class room is filled with students either sitting or standing.</t>
  </si>
  <si>
    <t>Suddenly, a group of boys begin to run around the classroom smiling, marching in place, and doing some dancing and exercises while the rest of the sitting class look on.</t>
  </si>
  <si>
    <t>The boys spread apart and end their routine then they walk towards one another while smiling.</t>
  </si>
  <si>
    <t>v_43hQNmW-6_k</t>
  </si>
  <si>
    <t>A man is doing the splits inside a gym.</t>
  </si>
  <si>
    <t>He talks to the camera about the procedure.</t>
  </si>
  <si>
    <t>He leans forward, stretching his legs.</t>
  </si>
  <si>
    <t>v_6yVhTyPaaLQ</t>
  </si>
  <si>
    <t>A woman stands on front a paint holding a bottle, and then paintings on canvas are shown in a slideshow.</t>
  </si>
  <si>
    <t>Then, the woman paints two canvas using a bottle, when it is necessary the woman rotates the canvas.</t>
  </si>
  <si>
    <t>Then, the woman puts the canvas on the floor and continues painting with the bottle.</t>
  </si>
  <si>
    <t>After, the woman hangs the paintings on the, then she puts the paintings on the floor and then hang on the wall to continues painting.</t>
  </si>
  <si>
    <t>v_Xg_MSiPhJns</t>
  </si>
  <si>
    <t>A person is spreading something green on bread.</t>
  </si>
  <si>
    <t>They put the sandwich into a grill.</t>
  </si>
  <si>
    <t>They take the sandwich off the grill and put it onto a plate.</t>
  </si>
  <si>
    <t>v_HjRevGoqqz0</t>
  </si>
  <si>
    <t>People are interacting in an inside court.</t>
  </si>
  <si>
    <t>People run to pick up balls from the center of the court.</t>
  </si>
  <si>
    <t>Two teams are playing dodge-ball.</t>
  </si>
  <si>
    <t>A red team member runs up and throws a ball directly at an opponent.</t>
  </si>
  <si>
    <t>v_SgkdciuEuKs</t>
  </si>
  <si>
    <t>A woman demonstrates how to dry a counter top and sink of water splashed from a sink faucet with a paper towel.</t>
  </si>
  <si>
    <t>A woman stands in a kitchen next to a sink and talks to the camera.</t>
  </si>
  <si>
    <t>the woman points to a water splash on the counter next to the sink after turning on the water at the sink.</t>
  </si>
  <si>
    <t>The woman then grabs a paper towel and wipes down the sink counter, the inside of the sink and the faucet spout.</t>
  </si>
  <si>
    <t>The woman then returns to talking to the camera.</t>
  </si>
  <si>
    <t>v_aAZSPRL18Ss</t>
  </si>
  <si>
    <t>An intro leads into a woman talking to a class sitting on bicycles and beginning to ride.</t>
  </si>
  <si>
    <t>She leads the class in a bicycle riding class and inspires her students to peddle hard like this.</t>
  </si>
  <si>
    <t>The people smile along with her as the camera pans over several shots of the people.</t>
  </si>
  <si>
    <t>v_SfYJTxMRKDE</t>
  </si>
  <si>
    <t>A man hold a dish with food while talking, then, two girls run in the field were other people are walking.</t>
  </si>
  <si>
    <t>People play throwing balls on the ground.</t>
  </si>
  <si>
    <t>After, a band plays and people dance including a bride.</t>
  </si>
  <si>
    <t>The people get in boats and sail in the river while other people rest.</t>
  </si>
  <si>
    <t>People pass a small waterfall with choppy water, and then they go down the river.</t>
  </si>
  <si>
    <t>People dive in the river, and then rest while drinking, then go sail in the river.</t>
  </si>
  <si>
    <t>v_I71OenniCZI</t>
  </si>
  <si>
    <t>A group of senior citizens are gathered at a court.</t>
  </si>
  <si>
    <t>They are engaged in a game of curling.</t>
  </si>
  <si>
    <t>They hit the puck, pushing it forward.</t>
  </si>
  <si>
    <t>v_tJiYIajy41Q</t>
  </si>
  <si>
    <t>A man is seen close up standing on a field.</t>
  </si>
  <si>
    <t>A person then passes the man a ball to move up the field.</t>
  </si>
  <si>
    <t>The people then begin kicking the ball around.</t>
  </si>
  <si>
    <t>v_PhJVHb-J7zM</t>
  </si>
  <si>
    <t>A close up of a floor is seen followed by a young child kneeling before another.</t>
  </si>
  <si>
    <t>A person is seen sitting on a bed with the young child shines the shoes of another.</t>
  </si>
  <si>
    <t>The kids continues to shine the shoes of another.</t>
  </si>
  <si>
    <t>v_134sVNOzn_w</t>
  </si>
  <si>
    <t>A man is seen using a hammer and tool to knock off pieces of a roof.</t>
  </si>
  <si>
    <t>The man then lays a bar down and continues placing roof shingles on while the camera pans around.</t>
  </si>
  <si>
    <t>v_dQyZheN0Fw0</t>
  </si>
  <si>
    <t>An animated image of a curling brush is shown.</t>
  </si>
  <si>
    <t>A woman bends down and puts something on a scale.</t>
  </si>
  <si>
    <t>She then slides across the ice.</t>
  </si>
  <si>
    <t>v_QwLiAkfSa9A</t>
  </si>
  <si>
    <t>A larger woman is seen sitting on a chair while a man wipes down her lip and puts a mark onto it.</t>
  </si>
  <si>
    <t>The woman lies down and the man puts a needle into her lip creating a piercing.</t>
  </si>
  <si>
    <t>The woman sits up and smiles while the man wipes down her lip and she continues speaking.</t>
  </si>
  <si>
    <t>v_ma0HmFqdFqg</t>
  </si>
  <si>
    <t>A woman is seen wiping down a mirror that leads into her standing behind a counter.</t>
  </si>
  <si>
    <t>She pours ingredients into a buckets, soaks the sponge in the bucket, then wipes down a mirror with a wiper.</t>
  </si>
  <si>
    <t>v_rOeNl9qIoVI</t>
  </si>
  <si>
    <t>A person is seen riding along the water in a kayak while another man watches him on the side.</t>
  </si>
  <si>
    <t>He continues riding along the water in the kayak and doing flips in the water.</t>
  </si>
  <si>
    <t>v_mvWKOkRzfos</t>
  </si>
  <si>
    <t>People are playing volleyball in the sand.</t>
  </si>
  <si>
    <t>A person falls into the sand.</t>
  </si>
  <si>
    <t>A woman in a blue shirt is talking to the camera.</t>
  </si>
  <si>
    <t>v_oj6czGQ830c</t>
  </si>
  <si>
    <t>Men and woman posing and smiling at the camera.</t>
  </si>
  <si>
    <t>A groups men and woman dressed in cold water diving gear arrive in a van.</t>
  </si>
  <si>
    <t>The divers march in single file on a dock to the water and pose with their diving gear on.</t>
  </si>
  <si>
    <t>The divers are under water performing different sunken vehicles and playing around and posing.</t>
  </si>
  <si>
    <t>The divers are featured in some trick photography.</t>
  </si>
  <si>
    <t>The divers relax at a restaurant with their regular close on seated at a round picnic table.</t>
  </si>
  <si>
    <t>v_efkbBgZ2Mzo</t>
  </si>
  <si>
    <t>A person does a tutorial on how to use an elliptical most efficiently.</t>
  </si>
  <si>
    <t>A woman does the backwards elliptical while smiling sometimes.</t>
  </si>
  <si>
    <t>v_8-muYZwFf9c</t>
  </si>
  <si>
    <t>The video leads into various shots of people kite surfing all along the ocean.</t>
  </si>
  <si>
    <t>The person continues riding all along the water while the camera follows him from a bird's eye view.</t>
  </si>
  <si>
    <t>v_nSR-JSqGoWQ</t>
  </si>
  <si>
    <t>A video recap of a beach soccer game begins with an Argentinian goal off a deep pass.</t>
  </si>
  <si>
    <t>The Brazilians follow up with a goal on a penalty kick, taken by an exuberant keeper.</t>
  </si>
  <si>
    <t>The Argentinians steal a pass halfway across the sand field and take it down for a goal in the tight corner.</t>
  </si>
  <si>
    <t>This is immediately followed by another goal from Argentina on a penalty kick.</t>
  </si>
  <si>
    <t>Brazil finds itself down even more on another Argentinian goal on a beautiful pass and shot across the field.</t>
  </si>
  <si>
    <t>To make matters worse, Argentina scores on a deep uncontested shot after that.</t>
  </si>
  <si>
    <t>This game is far too easy for them, and they win by a large score.</t>
  </si>
  <si>
    <t>v_oW2v7KlfmJk</t>
  </si>
  <si>
    <t>A man is playing shuffleboard on a ship.</t>
  </si>
  <si>
    <t>He turns to the camera and says something.</t>
  </si>
  <si>
    <t>v_F2x2fynkbAQ</t>
  </si>
  <si>
    <t>A man dips a rag into a black container.</t>
  </si>
  <si>
    <t>He begins wiping a shoe with the rag.</t>
  </si>
  <si>
    <t>He picks up a brush and begins using that to brush the shoe.</t>
  </si>
  <si>
    <t>v_vMYPNyBR3d0</t>
  </si>
  <si>
    <t>We see three men on a boat in a lake.</t>
  </si>
  <si>
    <t>The left man holds his nears near his chest.</t>
  </si>
  <si>
    <t>A man acts weird and sprays himself.</t>
  </si>
  <si>
    <t>v_SXZjg8ap1Uk</t>
  </si>
  <si>
    <t>A large group of cheerleaders are seen running through a hole and onto a stage.</t>
  </si>
  <si>
    <t>The group then begins performing with one another while lifting one another into the air.</t>
  </si>
  <si>
    <t>The group continue to lift and jump around one another and end by walking off stage.</t>
  </si>
  <si>
    <t>v_O8jThut7tAQ</t>
  </si>
  <si>
    <t>A person talks and throws a bowling ball on the bowling lane.</t>
  </si>
  <si>
    <t>The man holds a ball and shows his left leg forward, then throws the bowling ball on the lane while talking.</t>
  </si>
  <si>
    <t>v_GyOLWizKXaE</t>
  </si>
  <si>
    <t>A man is outside with a lawn utensil and he begins cutting the yard.</t>
  </si>
  <si>
    <t>He moves a knob and then continues to cut the grass and another woman is shown cutting the yard.</t>
  </si>
  <si>
    <t>Finally,the man comes back and shows how his the object works to cut the grass.</t>
  </si>
  <si>
    <t>v_vSExyDlV9JA</t>
  </si>
  <si>
    <t>A small group of people are seen standing on a sandy beach and leads into a game of volleyball.</t>
  </si>
  <si>
    <t>The people play back and fourth with one of them spiking the ball and the camera panning around to people watching and celebrating.</t>
  </si>
  <si>
    <t>v_anfZnOQGPk0</t>
  </si>
  <si>
    <t>A young child is seen standing on a stage with others and one begins dancing in the middle.</t>
  </si>
  <si>
    <t>The young boy then moves in the middle taking turns with others dancing around.</t>
  </si>
  <si>
    <t>Another man moves to the middle to dance while others watch on the side.</t>
  </si>
  <si>
    <t>v_DmaPpBMsuXg</t>
  </si>
  <si>
    <t>A person is seen standing in the middle of a gym holding a tennis racket.</t>
  </si>
  <si>
    <t>The person then begins hitting a birdie across the gym.</t>
  </si>
  <si>
    <t>The person continuously hits the object back and fourth while looking to the camera.</t>
  </si>
  <si>
    <t>v_GG3JgE6hy4g</t>
  </si>
  <si>
    <t>A man is seen standing on a roof pushing pieces of debris up with a stick.</t>
  </si>
  <si>
    <t>The man continues pushing the debris off the roof while digging deeper and deeper into the mess.</t>
  </si>
  <si>
    <t>v_k25ECDpOD0E</t>
  </si>
  <si>
    <t>A person brush the teeth of a dog while holding the back neck.</t>
  </si>
  <si>
    <t>After, she taps the chest of the dog and put toothpaste on the brush and continue brushing the dog's teeth.</t>
  </si>
  <si>
    <t>After, the person tap again the the chest, put toothpaste on the brush and brush the dog's teeth.</t>
  </si>
  <si>
    <t>When the person finish to brush, she kiss the dog.</t>
  </si>
  <si>
    <t>v_4HC2-Unzuu4</t>
  </si>
  <si>
    <t>A woman is talking to the camera surrounded by alcohol bottles.</t>
  </si>
  <si>
    <t>The woman begins pouring different alcohols and lemon juice into a glass of ice.</t>
  </si>
  <si>
    <t>The woman shakes the drink mixture and strains it into another glass.</t>
  </si>
  <si>
    <t>The woman puts a small straw into the drink and holds it up and smiles.</t>
  </si>
  <si>
    <t>v_3ZUy7h-dN38</t>
  </si>
  <si>
    <t>A man wearing a black hat plays guitar for the camera to see.</t>
  </si>
  <si>
    <t>He continues strumming his fingers and moving his hands around the instrument until the song ends as well as the video.</t>
  </si>
  <si>
    <t>v_aEG-_-m49mY</t>
  </si>
  <si>
    <t>A woman is recording a video of a little boy who is painting a fence.</t>
  </si>
  <si>
    <t>The camera pans to the rest of the backyard and fence.</t>
  </si>
  <si>
    <t>Another little boy is painting the other end of the fence, and the camera goes up to him.</t>
  </si>
  <si>
    <t>The video then cuts to show that the fence is mostly completed.</t>
  </si>
  <si>
    <t>The video then shows the two boys working together to complete the final panel of the fencing.</t>
  </si>
  <si>
    <t>The video ends as the camera pans out to show the house and the freshly painted fence.</t>
  </si>
  <si>
    <t>v_ui7LIgAF8-E</t>
  </si>
  <si>
    <t>A woman is seen performing a jump off of a high dive and landing into a pool.</t>
  </si>
  <si>
    <t>More shots of her diving are shown again shortly after in slow motion.</t>
  </si>
  <si>
    <t>v_y1F_Hzpux48</t>
  </si>
  <si>
    <t>A large fish is seen swimming under frozen water.</t>
  </si>
  <si>
    <t>A man creates a hole in the ice to catch the fish.</t>
  </si>
  <si>
    <t>He catches it on a line, and pulls until He is able to get it through the hole.</t>
  </si>
  <si>
    <t>v_kuyuhXuMPX4</t>
  </si>
  <si>
    <t>We see the intro and intro scenes.</t>
  </si>
  <si>
    <t>A man stands in a garage with two shovels.</t>
  </si>
  <si>
    <t>We then see his shoveling supplies.</t>
  </si>
  <si>
    <t>The man stretches and puts on his winter clothes.</t>
  </si>
  <si>
    <t>He sprays his shovel with nonstick spray and shovels his driveway.</t>
  </si>
  <si>
    <t>The man lays down and had a hard time breathing.</t>
  </si>
  <si>
    <t>After putting down sand he drinks a warm beverage.</t>
  </si>
  <si>
    <t>We see the ending credits screen.</t>
  </si>
  <si>
    <t>v_yOcWUk9cOws</t>
  </si>
  <si>
    <t>Several girls are outside in a large green field playing a game.</t>
  </si>
  <si>
    <t>The girl in front of the camera is dressed in a yellow shirt and black shorts hit the ball with the stick and begins jumping in the air.</t>
  </si>
  <si>
    <t>v_15Yf7NIDLtM</t>
  </si>
  <si>
    <t>A shot of a christmas tree is shown followed by a man walking into frame.</t>
  </si>
  <si>
    <t>The man then begins decorating the tree as well as others.</t>
  </si>
  <si>
    <t>People continuously decorate the tree moving quickly around one another and end by presenting it to the camera.</t>
  </si>
  <si>
    <t>v_0KwSF8NdEug</t>
  </si>
  <si>
    <t>A woman is seen speaking to the camera while holding up a bag of cookies as well as a plate.</t>
  </si>
  <si>
    <t>Various ingredients are then see laid out in bowls.</t>
  </si>
  <si>
    <t>The woman mixes all the ingredients together and squishes them into tiny balls to plate in the end.</t>
  </si>
  <si>
    <t>v_8OSnT8UvJkU</t>
  </si>
  <si>
    <t>A woman with a nose ring is seen speaking to the camera and leads into someone cutting her hair.</t>
  </si>
  <si>
    <t>The person cuts around the sides and the woman is seen wearing glasses and posing with her new style.</t>
  </si>
  <si>
    <t>More shots of a person cutting is shown while the woman speaks to the camera.</t>
  </si>
  <si>
    <t>v_pw0A0Uv2TZM</t>
  </si>
  <si>
    <t>A young girl is inside a bathroom with her dad.</t>
  </si>
  <si>
    <t>He rubs water up and down her face.</t>
  </si>
  <si>
    <t>She giggles and smiles as he does so.</t>
  </si>
  <si>
    <t>v_c_NlYvL96y0</t>
  </si>
  <si>
    <t>A girl is stretching her body on a ballet bar.</t>
  </si>
  <si>
    <t>An instructor stands with a woman and talks about ballet.</t>
  </si>
  <si>
    <t>The girl dances and pans back to the instructor.</t>
  </si>
  <si>
    <t>The instructor talks about the tools you will need for ballet.</t>
  </si>
  <si>
    <t>She talks about various ballet moves to do at the barre while the dancer demonstrates.</t>
  </si>
  <si>
    <t>v_cIN4HNSRoAg</t>
  </si>
  <si>
    <t>A close up shot of a fooseball game is shown as the plastic people push around a ball.</t>
  </si>
  <si>
    <t>Hands are seen moving the ball around as well as grabbing the poles to play.</t>
  </si>
  <si>
    <t>v_lIXHKxbq59c</t>
  </si>
  <si>
    <t>Some people are shown as they prepare to tube down a long snow slope.</t>
  </si>
  <si>
    <t>They begin to head down the slope until they reach the end and are able to stop themselves.</t>
  </si>
  <si>
    <t>After that, they get out of their tubes and begin to exit.</t>
  </si>
  <si>
    <t>v_-fBxVUu0KcQ</t>
  </si>
  <si>
    <t>People are playing a sport on sand.</t>
  </si>
  <si>
    <t>A man in a green uniform gives a high five to someone on the sidelines.</t>
  </si>
  <si>
    <t>A man falls down into the sand.</t>
  </si>
  <si>
    <t>v_ZyOPt4sgsbs</t>
  </si>
  <si>
    <t>A young woman is seen holding onto a cat and smiling towards the camera.</t>
  </si>
  <si>
    <t>The cat begins to fuss around and the woman continues to smile.</t>
  </si>
  <si>
    <t>The woman then cuts the cats claws while the cat still moves around and she holds up the cat.</t>
  </si>
  <si>
    <t>v_OD5rJOPicoM</t>
  </si>
  <si>
    <t>Two people are sailing on boards out on a lake.</t>
  </si>
  <si>
    <t>One person is seen sailing on their board until they fall off the board and into the water.</t>
  </si>
  <si>
    <t>v_1qi8ZXUH_wY</t>
  </si>
  <si>
    <t>A group of men are wrapping boxes on a table.</t>
  </si>
  <si>
    <t>Several people are walking around the area.</t>
  </si>
  <si>
    <t>A man is getting very in depth on his wrapping and wraps the box tightly.</t>
  </si>
  <si>
    <t>Another man appears and grabs paper then walks away.</t>
  </si>
  <si>
    <t>The man wrapping finishes his box.</t>
  </si>
  <si>
    <t>v_f0CViWbj3V4</t>
  </si>
  <si>
    <t>A man and woman are seated on a porch.</t>
  </si>
  <si>
    <t>The man plays bongo drums while the woman helps occasionally.</t>
  </si>
  <si>
    <t>Another hand is seen banging a drum in the foreground.</t>
  </si>
  <si>
    <t>v_ntJk6Rj-lRA</t>
  </si>
  <si>
    <t>A person goes upstairs supporting on a crutch, then sits on the last step while a man follows him.</t>
  </si>
  <si>
    <t>The man lifts up the carpet, then the person gives the man a carpet runner with nails while talking both men.</t>
  </si>
  <si>
    <t>After, the man puts the carpet runner on the wood step and hummers the loosed nails.</t>
  </si>
  <si>
    <t>Next, the man put on the carpet and uses a machine and a hammer to fix the loosed carpet.</t>
  </si>
  <si>
    <t>v_CHaTWk6uqd8</t>
  </si>
  <si>
    <t>A man is seen speaking to the camera while pointing to a bike frame and spinning around the tire.</t>
  </si>
  <si>
    <t>The man then uses tools to adjust the tire wheel and continues spinning it.</t>
  </si>
  <si>
    <t>He is still seen working on the back of the bike while the camera zooms in.</t>
  </si>
  <si>
    <t>v_NkJA_0tErGY</t>
  </si>
  <si>
    <t>A man is speaking, he had a china cabinet behind him filled with glass product.</t>
  </si>
  <si>
    <t>He begins to start to show step by step instructions on how to make a sauce .</t>
  </si>
  <si>
    <t>Then in another frying pan he adds some meat and cheese while his bread is toasting.</t>
  </si>
  <si>
    <t>He then adds all the ingredients on the bread and cuts it in halves and begins to eat.</t>
  </si>
  <si>
    <t>v_uMCyo89mK_E</t>
  </si>
  <si>
    <t>A large christmas is shown is shown followed by a woman standing beside it.</t>
  </si>
  <si>
    <t>The girl begins decorating the tree while jumping up and down in place.</t>
  </si>
  <si>
    <t>She continues bouncing around while decorating the tree and looking off into the distance.</t>
  </si>
  <si>
    <t>v_QE80ROTC_fI</t>
  </si>
  <si>
    <t>A man and dog are seen standing outside in a field with a man playing fetch with a dog.</t>
  </si>
  <si>
    <t>The man throws the frisbee around with the dog while the animal brings it back.</t>
  </si>
  <si>
    <t>The man performs several more tricks with the dog using several frisbees.</t>
  </si>
  <si>
    <t>v_Ufki4AjZHFI</t>
  </si>
  <si>
    <t>A young man is shown on a road wearing stilts.</t>
  </si>
  <si>
    <t>He walks over to the side of the road.</t>
  </si>
  <si>
    <t>He then lifts his feet up and down as if in preparation of running.</t>
  </si>
  <si>
    <t>The video ends as the person recording tilts the camera and covers the lens.</t>
  </si>
  <si>
    <t>v_b1s0BdtlFZs</t>
  </si>
  <si>
    <t>A man sits on a toilet with her leg up.</t>
  </si>
  <si>
    <t>A person holding a camera walks into the bathroom.</t>
  </si>
  <si>
    <t>The man rubs shaving cream on their legs.</t>
  </si>
  <si>
    <t>He begins to shave his leg in the sink.</t>
  </si>
  <si>
    <t>v_NPt1niJMbvE</t>
  </si>
  <si>
    <t>A gymnast runs fast, then he jumps long in a stadium full of people.</t>
  </si>
  <si>
    <t>Two men walk holding javelins.</t>
  </si>
  <si>
    <t>After, the gymnast jumps happily.</t>
  </si>
  <si>
    <t>People take pictures of the gymnast.</t>
  </si>
  <si>
    <t>v_vlwOSDuiKQA</t>
  </si>
  <si>
    <t>A man is seen standing in a large room holding up a tennis racket.</t>
  </si>
  <si>
    <t>Two more people walk into frame and begin hitting the ball around the area.</t>
  </si>
  <si>
    <t>The men continue to hit the ball around with tennis rackets and chase it around the room.</t>
  </si>
  <si>
    <t>v_0QDPpdms08g</t>
  </si>
  <si>
    <t>Two people are seen standing in a gymnasium wearing boxing gloves.</t>
  </si>
  <si>
    <t>The men then go back and fourth with one another kicking and punching.</t>
  </si>
  <si>
    <t>The two continue to fight while the camera captures their movements.</t>
  </si>
  <si>
    <t>v_9ku5v_hSVMw</t>
  </si>
  <si>
    <t>A man squats and holds a bar over his head several times.</t>
  </si>
  <si>
    <t>A man in a red shirt watches him.</t>
  </si>
  <si>
    <t>He drops the bar on the ground in front of him.</t>
  </si>
  <si>
    <t>v_0m63LNVHP1U</t>
  </si>
  <si>
    <t>An older woman is seen talking to the camera and leads into her swinging back and fourth with another child.</t>
  </si>
  <si>
    <t>The child pushes the woman in a swing and continues playing with her on the swing set.</t>
  </si>
  <si>
    <t>v_bWBcYdYEup4</t>
  </si>
  <si>
    <t>Two people are seen performing a fencing match back and fourth while other people practice in the background.</t>
  </si>
  <si>
    <t>Several shots of people fencing are shown as well as a fencer being interviewed on camera.</t>
  </si>
  <si>
    <t>More shots of people fencing are shown and ends with many standing around and two shaking hands.</t>
  </si>
  <si>
    <t>v_Q4UF7Z0ozCw</t>
  </si>
  <si>
    <t>A pile of clothing is shown on a bench in a house.</t>
  </si>
  <si>
    <t>A sweater hangs from a rack.</t>
  </si>
  <si>
    <t>The sweater is shown from several angles as a vacuum is used to pick up hair and lint.</t>
  </si>
  <si>
    <t>v_H1FKtaktOEc</t>
  </si>
  <si>
    <t>A large building is seen with cars driving by and people walking around an arena.</t>
  </si>
  <si>
    <t>Several people are then seen shooting bow and arrows at a target and waving their hands in the air.</t>
  </si>
  <si>
    <t>The people continue to shoot the bow and arrow at the target while others watch on the side.</t>
  </si>
  <si>
    <t>v_YCdPa5gJYmc</t>
  </si>
  <si>
    <t>A shirtless guy spins a ball attached to a pole.</t>
  </si>
  <si>
    <t>The guy lifts this item from the grass at the pole end.</t>
  </si>
  <si>
    <t>The guy releases the item.</t>
  </si>
  <si>
    <t>A guy moves away from the descending item.</t>
  </si>
  <si>
    <t>The website address of the group is shown.</t>
  </si>
  <si>
    <t>v_o_e0KLnKpj8</t>
  </si>
  <si>
    <t>We see a lady starting a lawn mower.</t>
  </si>
  <si>
    <t>The lady stops and looks at the camera.</t>
  </si>
  <si>
    <t>The lady starts then stops mowing.</t>
  </si>
  <si>
    <t>The lady tries to start the mower again.</t>
  </si>
  <si>
    <t>Another lady comes to help and falls over.</t>
  </si>
  <si>
    <t>The first lady finally gets the mowers started.</t>
  </si>
  <si>
    <t>the lady throws her arm in the air and mows the lawn.</t>
  </si>
  <si>
    <t>v_bnkO0slLSyw</t>
  </si>
  <si>
    <t>A woman talks to the camera while a man stands beside her.</t>
  </si>
  <si>
    <t>The man turns and walks away while the woman demonstrates the female perspective of the dance sequence by herself.</t>
  </si>
  <si>
    <t>The man rejoins the woman and talks to the camera while demonstrating the sequence of steps from the male perspective.</t>
  </si>
  <si>
    <t>The two demonstrate the dance together without commentary.</t>
  </si>
  <si>
    <t>v_0Mn0gxECBLA</t>
  </si>
  <si>
    <t>A male mows a lawn using a red riding mower.</t>
  </si>
  <si>
    <t>A man whips grass of his foot.</t>
  </si>
  <si>
    <t>A large, black dog runs across the lawn.</t>
  </si>
  <si>
    <t>The man stops and reverses the riding mower.</t>
  </si>
  <si>
    <t>The man rubs his ear.</t>
  </si>
  <si>
    <t>v_P0j0bBKsNAo</t>
  </si>
  <si>
    <t>A man is seen beginning to climb up a rock wall while looking back and speaking to the camera.</t>
  </si>
  <si>
    <t>He continues to climb up and down while showing off to the properly climb with his feet.</t>
  </si>
  <si>
    <t>He does this a few more times while the camera shows text instructions.</t>
  </si>
  <si>
    <t>v_ABB755sPZfY</t>
  </si>
  <si>
    <t>Inside a gym, two men hold two jump ropes.</t>
  </si>
  <si>
    <t>A guy in a ponytail jumps the jump ropes with hand stands.</t>
  </si>
  <si>
    <t>A man in a black shirt watches.</t>
  </si>
  <si>
    <t>v_iiQ6t0p9lik</t>
  </si>
  <si>
    <t>The video takes place in the pool of a backyard.</t>
  </si>
  <si>
    <t>A tight rope is strung across the length of the pool and a woman is attempting to walk across, She falls several times.</t>
  </si>
  <si>
    <t>The last time she falls, the camera rewinds and shows her falling backwards.</t>
  </si>
  <si>
    <t>The video then cuts to a man who is also using a tight rope to cross a pool.</t>
  </si>
  <si>
    <t>The video shows several clips of the man falling.</t>
  </si>
  <si>
    <t>At one point, he is holding a camera while falling in.</t>
  </si>
  <si>
    <t>He also attempts to stand with one leg on the rope, as well as balancing.</t>
  </si>
  <si>
    <t>The video ends showing him in a final fall into a tube.</t>
  </si>
  <si>
    <t>v_2SBTnunPQrQ</t>
  </si>
  <si>
    <t>A little boy shines the shoes of a person using black shoe polish and make shine with a brush and a cloth.</t>
  </si>
  <si>
    <t>Then, the man pays the little boy.</t>
  </si>
  <si>
    <t>A boy cleans the tennis shows of a person putting white painting.</t>
  </si>
  <si>
    <t>v_o1WPnnvs00I</t>
  </si>
  <si>
    <t>A man is playing a flute in front of a microphone.</t>
  </si>
  <si>
    <t>A few other men are shown playing guitars as they sit.</t>
  </si>
  <si>
    <t>The group plays for the audience, occasionally zooming in on individuals.</t>
  </si>
  <si>
    <t>One man is playing drums while the others are on flute and guitar.</t>
  </si>
  <si>
    <t>The lights move fluidly as they crescendo, and they screen goes black.</t>
  </si>
  <si>
    <t>v_RYv3eIxMouY</t>
  </si>
  <si>
    <t>A yellow and brown animal is attached to the wall swaying from left to right.</t>
  </si>
  <si>
    <t>While it is there,a boy is wrapped up in a bandanna and he is holding the stick on the left side of the pinata.</t>
  </si>
  <si>
    <t>He then moves it to the right side and begins to hit the pinata ferociously.</t>
  </si>
  <si>
    <t>v_fm9mf-VuWxI</t>
  </si>
  <si>
    <t>A woman in a blue shirt is holding a lacrosse stick.</t>
  </si>
  <si>
    <t>They continue to play lacrosse.</t>
  </si>
  <si>
    <t>v_ucEqZtmQS-0</t>
  </si>
  <si>
    <t>A man in a black shirt is standing in a salon.</t>
  </si>
  <si>
    <t>He starts shaving a man's beard that is laying down.</t>
  </si>
  <si>
    <t>He towels off the man's face.</t>
  </si>
  <si>
    <t>v_qS7TStZg_5c</t>
  </si>
  <si>
    <t>A man is showing playing guitar with a title screen shown on the left.</t>
  </si>
  <si>
    <t>The man strums over and over again while gradually banging his head to the beat.</t>
  </si>
  <si>
    <t>v_hR6VFvMXCN4</t>
  </si>
  <si>
    <t>A close up of a flame is shown followed by audience members standing up and athletes standing ready.</t>
  </si>
  <si>
    <t>Hitler then watches a man jump into a pit as well as several other runners after him.</t>
  </si>
  <si>
    <t>More athletes continue jumping while the audience gets riled up and ends with soldiers raising flags up to the sky.</t>
  </si>
  <si>
    <t>v_A9TcWJnbcWs</t>
  </si>
  <si>
    <t>There are two boys playing squash in an indoor squash court.</t>
  </si>
  <si>
    <t>They are playing randomly in an unstructured game where they often miss the ball.</t>
  </si>
  <si>
    <t>v_Tc8L-74Ilck</t>
  </si>
  <si>
    <t>A man is seen standing at the bottom of a hole while a man records him.</t>
  </si>
  <si>
    <t>Two men are seen climbing along the hill and looking up to the camera.</t>
  </si>
  <si>
    <t>One man pulls the other out and climbs down while they and others speak to the camera.</t>
  </si>
  <si>
    <t>v_WRv7Kpf1KT0</t>
  </si>
  <si>
    <t>Two men are putting suntan lotion on each other at the beach.</t>
  </si>
  <si>
    <t>They rub it on each other's backs before turning around.</t>
  </si>
  <si>
    <t>v_ZdUUBA1czgY</t>
  </si>
  <si>
    <t>man is standing in a large field wlking and practicing a shot put.</t>
  </si>
  <si>
    <t>man wearing red shirt is standing on a side.</t>
  </si>
  <si>
    <t>men are pacticing in a large green grassy field.</t>
  </si>
  <si>
    <t>v_azfkn6EsuJA</t>
  </si>
  <si>
    <t>A man is buffing down his skis in a garage.</t>
  </si>
  <si>
    <t>He changes position to give himself more leverage as he buffs.</t>
  </si>
  <si>
    <t>He moves the shis to another location when he is done.</t>
  </si>
  <si>
    <t>v_z_ojmuWzMWo</t>
  </si>
  <si>
    <t>A dog is being bathed by a woman.</t>
  </si>
  <si>
    <t>The woman is spraying water on the small dog with a hose.</t>
  </si>
  <si>
    <t>She is now blow drying the dog.</t>
  </si>
  <si>
    <t>The dog is placed in the kennel next to a woman's feet.</t>
  </si>
  <si>
    <t>A dog plays behind and with the groomed dog.</t>
  </si>
  <si>
    <t>The dog now is getting a haircut.</t>
  </si>
  <si>
    <t>v_R547-iOgb6g</t>
  </si>
  <si>
    <t>Intro screen appears and includes an illustration of a man wiping the floor with a mop in a bathroom, a brand name and some other words.</t>
  </si>
  <si>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t>
  </si>
  <si>
    <t>A top view of the bucket is shown and it shows the bucket has two water compartments and the clean water is in the front and the dirty water is kept in the back.</t>
  </si>
  <si>
    <t>A white screen appears and it displays the logo brand, different pictures of the mop sleeves and numbers next to it.</t>
  </si>
  <si>
    <t>The woman walks to the entrance of the bathroom, removes the wet floor sign, puts it in her cart, starts pushing the cart, and the focus goes back to the clean bathroom she just cleaned.</t>
  </si>
  <si>
    <t>v_c8HFew22GnI</t>
  </si>
  <si>
    <t>A man is acting as a dj with headphones on.</t>
  </si>
  <si>
    <t>Another man takes off on a pair of water skis.</t>
  </si>
  <si>
    <t>He skis as people gather and leave on a pier.</t>
  </si>
  <si>
    <t>Several people join in on a curling event, holding signs and smiling.</t>
  </si>
  <si>
    <t>v_1iIG5D3jTk4</t>
  </si>
  <si>
    <t>Two people are seen standing in a large gymnasium speaking to one another and leads into them performing a jump roping routine.</t>
  </si>
  <si>
    <t>The woman continue jumping all along the gym together and end by holding the ropes against their feet.</t>
  </si>
  <si>
    <t>v_oY1y_UONCGg</t>
  </si>
  <si>
    <t>A little boy is sitting on the floor, touching a vacuum cleaner and talking.</t>
  </si>
  <si>
    <t>He also picks up another vacuum, and starts rolling it across the room, back and forth.</t>
  </si>
  <si>
    <t>v_CqAJxW84FkU</t>
  </si>
  <si>
    <t>A man in a green shirt and green hat is holding a large knife.</t>
  </si>
  <si>
    <t>He starts cutting a piece of wood with the knife.</t>
  </si>
  <si>
    <t>He cuts the piece of wood in half.</t>
  </si>
  <si>
    <t>v_8fVB8gAjTO4</t>
  </si>
  <si>
    <t>we see a man in a room playing a set of drums.</t>
  </si>
  <si>
    <t>The man plays the drums on the left side primarily.</t>
  </si>
  <si>
    <t>The man pauses while playing.</t>
  </si>
  <si>
    <t>The man hits a few drums then stops.</t>
  </si>
  <si>
    <t>v_2UjVfKEcj4g</t>
  </si>
  <si>
    <t>A man is holding two extremely dirty high heeled women's shoes.</t>
  </si>
  <si>
    <t>He uses a ruler to scrape off the dried dirt.</t>
  </si>
  <si>
    <t>He then uses a brush to polish up the suede material before spraying a white substance onto the shoe.</t>
  </si>
  <si>
    <t>He scrapes it clean, then applies a new sole and spike to the heel.</t>
  </si>
  <si>
    <t>He shows off the renovator can.</t>
  </si>
  <si>
    <t>v_WkiBckpLXfU</t>
  </si>
  <si>
    <t>a man and a woman are talking in front of the camera.</t>
  </si>
  <si>
    <t>players are in a court playing hockey.</t>
  </si>
  <si>
    <t>a man and a woman are being interviewed.</t>
  </si>
  <si>
    <t>v_c0qbyRWSptg</t>
  </si>
  <si>
    <t>Boats are going through the water.</t>
  </si>
  <si>
    <t>A storm hits and a man is crying.</t>
  </si>
  <si>
    <t>The boats continue to go through the water.</t>
  </si>
  <si>
    <t>v_gpmrwsV9skQ</t>
  </si>
  <si>
    <t>A man in a suit is reading a newspaper.</t>
  </si>
  <si>
    <t>He puts a dissolving tablet into a glass of water.</t>
  </si>
  <si>
    <t>Someone runs in front of a car on stilts.</t>
  </si>
  <si>
    <t>v_5jfQNanBKAM</t>
  </si>
  <si>
    <t>A large group of boys paddle around on a lake in red canoes.</t>
  </si>
  <si>
    <t>Other groups of boys on a dock prepare boats for use.</t>
  </si>
  <si>
    <t>Two boys on a canoe back paddle to get away from the reeds on the edge on the lake.</t>
  </si>
  <si>
    <t>v_aB5xErksFkI</t>
  </si>
  <si>
    <t>A person is seen kneeling down on the floor laying out plaster as well as onto a tile.</t>
  </si>
  <si>
    <t>The person then flips over the tiles and places them down on the floor.</t>
  </si>
  <si>
    <t>v_OHwE8aA90IE</t>
  </si>
  <si>
    <t>A young man is seen standing before a lawn mower and looking at the camera.</t>
  </si>
  <si>
    <t>The boy then pulls a string on the lawn mower.</t>
  </si>
  <si>
    <t>He finally pushes forward on the lawn mower.</t>
  </si>
  <si>
    <t>v_9hR1MHvXGv8</t>
  </si>
  <si>
    <t>We see a man putting items in his car.</t>
  </si>
  <si>
    <t>The man gets in the car and drives down the street.</t>
  </si>
  <si>
    <t>We see men climbing indoors on a climbing wall, and outdoors in the woods.</t>
  </si>
  <si>
    <t>We see two men outdoors at night then day.</t>
  </si>
  <si>
    <t>We see men climbing a cliff.</t>
  </si>
  <si>
    <t>A man waves from the top.</t>
  </si>
  <si>
    <t>We see the men on the top of the cliff.</t>
  </si>
  <si>
    <t>A man drills holes in a wall.</t>
  </si>
  <si>
    <t>We see a man fall repeatedly.</t>
  </si>
  <si>
    <t>We see three men in a boat on a river.</t>
  </si>
  <si>
    <t>v_Z6WJ0A9VvxQ</t>
  </si>
  <si>
    <t>peolpe are running in street under a bridge.</t>
  </si>
  <si>
    <t>people are standing and running through the bridge and street.</t>
  </si>
  <si>
    <t>v_IcfWEKjl_AY</t>
  </si>
  <si>
    <t>A boy stands from the bottom of a slide and walk away.</t>
  </si>
  <si>
    <t>Other kids slide on another slide in the playground.</t>
  </si>
  <si>
    <t>A toddler climbs a jungle gym, and then go down the slide.</t>
  </si>
  <si>
    <t>v_AXDa8WmY2og</t>
  </si>
  <si>
    <t>A Shih Tzu dog is standing on a table being groomed by an elderly Asian woman.</t>
  </si>
  <si>
    <t>Once she is done with the top,the lady the grabs the dog front left paw and takes a pair of scissors and begins trimming underneath his body.</t>
  </si>
  <si>
    <t>Once the belly is done,the goes to the top of the dogs head and cuts the hair around the face and clips the rest of the hair behind him.</t>
  </si>
  <si>
    <t>The next step consist of her trimming the hair under the dog's mouth.</t>
  </si>
  <si>
    <t>v_pZzTMUJG9Rk</t>
  </si>
  <si>
    <t>A man is playing soccer with another across a field.</t>
  </si>
  <si>
    <t>He performs a quick turn around move with the other following close behind.</t>
  </si>
  <si>
    <t>The same clip is replayed over and over at slower speeds to better understand the trick.</t>
  </si>
  <si>
    <t>Another trick is performed and later shown in slow motion.</t>
  </si>
  <si>
    <t>Two more tricks are demonstrated by the duo and finally showed at a slowed down pace.</t>
  </si>
  <si>
    <t>v_2zvN1cL1uik</t>
  </si>
  <si>
    <t>An intro starts with music player and foreign letter are presented across the screen.</t>
  </si>
  <si>
    <t>A man sits down in front of a hookah and begins talking to the camera.</t>
  </si>
  <si>
    <t>The man takes a hit of the hookah and coughs a bit.</t>
  </si>
  <si>
    <t>The man shows how to avoid coughing with a hookah by moving the tobacco around on the bowl.</t>
  </si>
  <si>
    <t>He sits down and takes another puff off the hookah.</t>
  </si>
  <si>
    <t>He then continues taking puffs off the device and talking about how to get clear hits.</t>
  </si>
  <si>
    <t>v_xXDNNCl1m6c</t>
  </si>
  <si>
    <t>The Department of Transportation demonstrates ice and snow safety tips with a white car covered in snow.</t>
  </si>
  <si>
    <t>A lady in a red winter jacket places the keys in the ignition and starts the car.</t>
  </si>
  <si>
    <t>The lady in the red jacket opens the trunk of the car and removes a snow brush and brushes the snow off of the car body, windshields, head lights, front grill and license tag.</t>
  </si>
  <si>
    <t>v_XTErpg4IdiE</t>
  </si>
  <si>
    <t>A man is on the floor with some gadget looking at it and messing around with it.</t>
  </si>
  <si>
    <t>He puts a hose in one sde of it and starts ro mess around with it some more.</t>
  </si>
  <si>
    <t>He then moves it to the corer of the carpet and starts working on it.</t>
  </si>
  <si>
    <t>He moves it down more and pushing the carpet down, he does this to basically the entire room.</t>
  </si>
  <si>
    <t>v_bcOFV26B3jk</t>
  </si>
  <si>
    <t>A lady kicks a ball in a field.</t>
  </si>
  <si>
    <t>The lady picks up the baby.</t>
  </si>
  <si>
    <t>The lady runs across the screen.</t>
  </si>
  <si>
    <t>The camera pans left and right to show the crowd standing around.</t>
  </si>
  <si>
    <t>v_rx_WRuQ-X14</t>
  </si>
  <si>
    <t>A wall is painted by two men.</t>
  </si>
  <si>
    <t>They then hang up wall decorations that are wallpaperlike in appearance.</t>
  </si>
  <si>
    <t>v_jqrLD8zs7R4</t>
  </si>
  <si>
    <t>A couple appears on the screen, talking about dancing the tango.</t>
  </si>
  <si>
    <t>They begin showing different steps of the dance as they talk.</t>
  </si>
  <si>
    <t>They move forward and back and forth, demonstrating the tango.</t>
  </si>
  <si>
    <t>They then dance together for the camera.</t>
  </si>
  <si>
    <t>v_SN_YS2w3JhE</t>
  </si>
  <si>
    <t>Players stand on the sideline before a volleyball match on the beach.</t>
  </si>
  <si>
    <t>Players walk onto the court and take positions for the match.</t>
  </si>
  <si>
    <t>Teams play a game of beach volleyball.</t>
  </si>
  <si>
    <t>The players shake hands and congratulate each other.</t>
  </si>
  <si>
    <t>v_p4pj27t5B6g</t>
  </si>
  <si>
    <t>A young man talks while showing a saxophone.</t>
  </si>
  <si>
    <t>The young man points the keys of the saxophone while talking.</t>
  </si>
  <si>
    <t>Then, the young man fasten the saxophone with a blue ribbon on his neck.</t>
  </si>
  <si>
    <t>After, the young man puts his mouth on the mouthpiece of the saxophone, then he continues explaining.</t>
  </si>
  <si>
    <t>v_hPQEkPZmNsU</t>
  </si>
  <si>
    <t>A hair stylist explains how to cut a mans haircut.</t>
  </si>
  <si>
    <t>The hair sylist prepares the hair into sections with some clips and begins cutting the hair with a feather razor and puts a clip in the hair on top of the head and proceeds to cut the hair with scissors making layers.</t>
  </si>
  <si>
    <t>The hair stylist then uses a hair blower dryer to fluff up the hair using her fingers.</t>
  </si>
  <si>
    <t>The hair stylist then uses only her fingers to fluff up the hair.</t>
  </si>
  <si>
    <t>A close up of theman and the final cut and a close up of the hair stylist.</t>
  </si>
  <si>
    <t>v_r4F2X_MlL-U</t>
  </si>
  <si>
    <t>A hand lines the loose area of the wallpaper.</t>
  </si>
  <si>
    <t>The hand puts paste from a bowl on the back of the loose wallpaper.</t>
  </si>
  <si>
    <t>The hand runs a scrub on the loose wallpaper.</t>
  </si>
  <si>
    <t>The hand holds a blow dryer and the other hand rolls a device to mend the loose wallpaper.</t>
  </si>
  <si>
    <t>The hand runs a scrub quickly through the mended wallpaper.</t>
  </si>
  <si>
    <t>v_iuVi8QAWfCI</t>
  </si>
  <si>
    <t>A woman introduces her home decor video, standing next to a chair.</t>
  </si>
  <si>
    <t>She first scrubs the dirt from the chair with a sponge.</t>
  </si>
  <si>
    <t>Next, she applies a silver paint to the chair.</t>
  </si>
  <si>
    <t>She then dips her brush in a blue paint to cover the chair's seat, back, and then arms/legs.</t>
  </si>
  <si>
    <t>Lastly, she places stencils on the chair and paints the insides white to decorate.</t>
  </si>
  <si>
    <t>v_SjfrdNchlqw</t>
  </si>
  <si>
    <t>men are sitting in a black jack table in a casino and the dealer is spreading the cards to players.</t>
  </si>
  <si>
    <t>man is talking to the camera.</t>
  </si>
  <si>
    <t>the dealer woman is standing talking in front of the camera.</t>
  </si>
  <si>
    <t>man is standing in front of slot machine talking to the camera.</t>
  </si>
  <si>
    <t>v_E5SWUUNrHDU</t>
  </si>
  <si>
    <t>Various tools and products are laid out on a table and transitions into a man walking in front of a mirror and putting lotion on his face.</t>
  </si>
  <si>
    <t>He then puts cream on his face and shaves all around his face.</t>
  </si>
  <si>
    <t>He then wipes his face down with a rag and walks away from the mirror.</t>
  </si>
  <si>
    <t>v_qbDQNRf-EUI</t>
  </si>
  <si>
    <t>A man speaks to camera in front of bicycles.</t>
  </si>
  <si>
    <t>The man places a part on a bicycle being worked on.</t>
  </si>
  <si>
    <t>The man tightens the part on the bicycle.</t>
  </si>
  <si>
    <t>v_h4N22DApP_Y</t>
  </si>
  <si>
    <t>Crowd are sitting on chair, kids and young people are sitting at the table with timer solving the rubik's cubes, while a man with big beard is talking in front of the camera.</t>
  </si>
  <si>
    <t>The boys are solving the rubik's cube one is blind folded, one is solving it with one hand, others are solving with with both hands.</t>
  </si>
  <si>
    <t>v_yW76UI8lnNc</t>
  </si>
  <si>
    <t>Black and yellow tokens slides on the floor while people holding sticks arrange the tokens on a painted triangle.</t>
  </si>
  <si>
    <t>Toddlers walk on the sidewalk and cross the road stepping on the tokens.</t>
  </si>
  <si>
    <t>v_eRQAjBwhDXk</t>
  </si>
  <si>
    <t>A person skis quickly down a snow covered hill.</t>
  </si>
  <si>
    <t>People are on intertubes, sledding along the snow.</t>
  </si>
  <si>
    <t>v__86X1xtj67w</t>
  </si>
  <si>
    <t>Two teams plays throwing balls to hit an opponent.</t>
  </si>
  <si>
    <t>Two boys advance to the center and throw the balls, then they return to his place.</t>
  </si>
  <si>
    <t>After, the other team advance throwing balls and hit one player wearing purple t-shirt.</t>
  </si>
  <si>
    <t>They continue playing taking turns to hit the balls.</t>
  </si>
  <si>
    <t>People handle balls to players, then they go to the center to hit other team with the balls.</t>
  </si>
  <si>
    <t>v_AX2KQGWXg1E</t>
  </si>
  <si>
    <t>A woman and a man practice kick box in a gym where also other people train, then he woman talks.</t>
  </si>
  <si>
    <t>A cars run in a city with a soldier holding a weapon, a family in the street, people walking and car sit o the curve.</t>
  </si>
  <si>
    <t>The woman talks from a room, then she trains with others in a gym, then a lady in the gym talks.</t>
  </si>
  <si>
    <t>at the end trophies are shown.</t>
  </si>
  <si>
    <t>v_3Wjig_NRlnU</t>
  </si>
  <si>
    <t>A man performs martial arts fighting with people in a film, then a big door close and a woman helps the man fight.</t>
  </si>
  <si>
    <t>The man and the woman are on front a river fighting, and then hung his legs from a tree.</t>
  </si>
  <si>
    <t>Cannons fires a home and a village, after an army fight in a field and cannons destroy homes in a village.</t>
  </si>
  <si>
    <t>A man gives to the man a big gold coin, after the man fights with people.</t>
  </si>
  <si>
    <t>v_JowsnupmNd0</t>
  </si>
  <si>
    <t>She swings her leg up.</t>
  </si>
  <si>
    <t>She drops down to the ground.</t>
  </si>
  <si>
    <t>v_U6M5hbiHn5Q</t>
  </si>
  <si>
    <t>Man does acrobatic moves down a mat.</t>
  </si>
  <si>
    <t>Another man is running down a mat in the background.</t>
  </si>
  <si>
    <t>Several replays of acrobatic moves occurs.</t>
  </si>
  <si>
    <t>Young man runs and hugs what looks to be his coach.</t>
  </si>
  <si>
    <t>Another set of replays occur.</t>
  </si>
  <si>
    <t>Words go across the screen directing people to social media and websites.</t>
  </si>
  <si>
    <t>v_YJcjkeVD0qk</t>
  </si>
  <si>
    <t>A close up of food is laid out on the table and leads into a man taking puffs out of a hookah pipe.</t>
  </si>
  <si>
    <t>The man blows smoke rings as well as several other drinks while speaking to the camera and moving to various spots in the house.</t>
  </si>
  <si>
    <t>v_McwVhHxdr5g</t>
  </si>
  <si>
    <t>a little boy is riding inline skates down a driveway.</t>
  </si>
  <si>
    <t>He waves his arms, trying to keep his balance.</t>
  </si>
  <si>
    <t>He runs, then falls on the skates.</t>
  </si>
  <si>
    <t>v_slUvIngXl4g</t>
  </si>
  <si>
    <t>two sumos are on sides of a ring and the refeee is in the middle while people is in sands sitting arpund them watching them.</t>
  </si>
  <si>
    <t>sumo start wrestling and fell out the ring.</t>
  </si>
  <si>
    <t>v_6wTk8QqWxuo</t>
  </si>
  <si>
    <t>A boy is helping his father push a mower.</t>
  </si>
  <si>
    <t>They turn back to the camera.</t>
  </si>
  <si>
    <t>A person goes stand near the fence.</t>
  </si>
  <si>
    <t>v_l9LHfuoU8js</t>
  </si>
  <si>
    <t>A person is seen cutting a piece of roof tiling and hammering down the tile for a roof.</t>
  </si>
  <si>
    <t>He walks through hamming down the fabric and nailing a long board across.</t>
  </si>
  <si>
    <t>v__Boy9qJLibI</t>
  </si>
  <si>
    <t>A graphic is seen with logo title.</t>
  </si>
  <si>
    <t>A Google map shows different city locations.</t>
  </si>
  <si>
    <t>Teammates in jumpsuits run navigate through a course of wooden crate obstacles aiming paintball guns.</t>
  </si>
  <si>
    <t>The men receive gear from a rental shop including clothes and weapons.</t>
  </si>
  <si>
    <t>The two teams walk in a line together entering the course to play.</t>
  </si>
  <si>
    <t>The men fill their gun hoppers with ammo.</t>
  </si>
  <si>
    <t>The teammates navigate through a course with inflatable obstacles aiming for opponents.</t>
  </si>
  <si>
    <t>A man is hit in the face mask to end the game.</t>
  </si>
  <si>
    <t>v_S_CnkpTkjYQ</t>
  </si>
  <si>
    <t>A man is seated while playing the drums, with a woman instructing him standing next to him.</t>
  </si>
  <si>
    <t>He hits the drums back and forth as they talk.</t>
  </si>
  <si>
    <t>He then talks extensively about how to play the congas.</t>
  </si>
  <si>
    <t>He demonstrates by playing further while talking.</t>
  </si>
  <si>
    <t>v_IbYlWVA8Dh8</t>
  </si>
  <si>
    <t>a hand is shown on a table with different supplies.</t>
  </si>
  <si>
    <t>A man is seen taking all the parts of a bicycle out of a box.</t>
  </si>
  <si>
    <t>He assembles the bicycle in the yard.</t>
  </si>
  <si>
    <t>v_7dlkshlM4nk</t>
  </si>
  <si>
    <t>A tree is seen by the side of a road.</t>
  </si>
  <si>
    <t>A man shows how to mulch around the bottom of the tree.</t>
  </si>
  <si>
    <t>He spreads the mulch evenly as he gives directions.</t>
  </si>
  <si>
    <t>v_Gp2bIEiDWTI</t>
  </si>
  <si>
    <t>A girl plays with her braided pony tail.</t>
  </si>
  <si>
    <t>The girl twists her hair together in two sections.</t>
  </si>
  <si>
    <t>The girl braids the end of the twisted hair.</t>
  </si>
  <si>
    <t>The girl separates the braids and loosens them.</t>
  </si>
  <si>
    <t>The girl pulls the braids up her hair to make them more fluffy.</t>
  </si>
  <si>
    <t>The girl uses a flat iron on her hair.</t>
  </si>
  <si>
    <t>The girl holds two dogs and dances.</t>
  </si>
  <si>
    <t>v_iH659QSrcDc</t>
  </si>
  <si>
    <t>A text graphic is seen with a title and description.</t>
  </si>
  <si>
    <t>A man stands on a roof and drills pieces of wood down.</t>
  </si>
  <si>
    <t>Credits are seen for the video with a website.</t>
  </si>
  <si>
    <t>v_yLS0UuNYXOI</t>
  </si>
  <si>
    <t>A large ice glacier is shown in the water.</t>
  </si>
  <si>
    <t>A boat is pulling a person on skis behind the boat.</t>
  </si>
  <si>
    <t>The person is floating in the water.</t>
  </si>
  <si>
    <t>v_CpTIytatsno</t>
  </si>
  <si>
    <t>An athlete spins and throws a shot put on a large playing field of a stadium.</t>
  </si>
  <si>
    <t>The man celebrates and gives a thumbs up.</t>
  </si>
  <si>
    <t>A second athlete in grey shirt throws a shotput.</t>
  </si>
  <si>
    <t>The ball lands in the grass and the man is disappointed in the throw and walks away.</t>
  </si>
  <si>
    <t>A large man in yellow shirt and headband spins and throws a shut put that veers to the left of the field.</t>
  </si>
  <si>
    <t>The man is pleased with his shot and pumps his fist.</t>
  </si>
  <si>
    <t>The man gives high fives to his team mates.</t>
  </si>
  <si>
    <t>A rack of balls are seen in the grass behind scores for the game.</t>
  </si>
  <si>
    <t>The man awaits his score standing on the track among other athletes in the background.</t>
  </si>
  <si>
    <t>v_AQQT21DBT_E</t>
  </si>
  <si>
    <t>People are grooming and brushing dogs in a public facility.</t>
  </si>
  <si>
    <t>Women take cares of dogs that have long hair.</t>
  </si>
  <si>
    <t>A woman take cares of a poodle, while other woman pets a big dog.</t>
  </si>
  <si>
    <t>A woman talks on front a dog while petting.</t>
  </si>
  <si>
    <t>v_SY5WpDrtmEE</t>
  </si>
  <si>
    <t>A man is shown performing a song at Google's London offices.</t>
  </si>
  <si>
    <t>They are standing inside of an office space and playing the flute.</t>
  </si>
  <si>
    <t>The man starts really getting into it and cheering very passionately a people look on.</t>
  </si>
  <si>
    <t>A close up is shown of him playing over and over.</t>
  </si>
  <si>
    <t>he then ends the song to a round of applause and walks out of the frame.</t>
  </si>
  <si>
    <t>v_RNrxxPOyHo4</t>
  </si>
  <si>
    <t>A man is seen kneeling on the floor while holding an iron in his hands.</t>
  </si>
  <si>
    <t>He bends down with the iron to iron the shirt and puts it down.</t>
  </si>
  <si>
    <t>Afterwards he covers his ears and looks away in pain.</t>
  </si>
  <si>
    <t>v_0wpStx2JuS4</t>
  </si>
  <si>
    <t>A man in a white shirt and hat is sitting down.</t>
  </si>
  <si>
    <t>He is playing two drums in front of him.</t>
  </si>
  <si>
    <t>He stops playing them and sits up straight.</t>
  </si>
  <si>
    <t>v_5BVcwR8hEo0</t>
  </si>
  <si>
    <t>A boy serves a tennis ball.</t>
  </si>
  <si>
    <t>He then serves two more.</t>
  </si>
  <si>
    <t>The boy turns and walks away.</t>
  </si>
  <si>
    <t>v_NNKEE-015ZY</t>
  </si>
  <si>
    <t>A teen talks and hold a leash of a dog while a young man pets a dog on a couch.</t>
  </si>
  <si>
    <t>Then, the teen runs with the dog were other youth play frisbee, after the teen talks.</t>
  </si>
  <si>
    <t>A woman reads a book lean on a dispenser soda machine.</t>
  </si>
  <si>
    <t>A man walks a dog in a parking lot and the street.</t>
  </si>
  <si>
    <t>After, the teen and the young man are indoors.</t>
  </si>
  <si>
    <t>v_xfVx1-emCV8</t>
  </si>
  <si>
    <t>The video starts with a curling game being shown from overhead.</t>
  </si>
  <si>
    <t>The camera then shows a lady skating across the ice.</t>
  </si>
  <si>
    <t>Then the camera focuses back onto the curling game showing a lady about to shoot.</t>
  </si>
  <si>
    <t>They return to the overhead angle of the game while the lady prepares to shoot.</t>
  </si>
  <si>
    <t>Other players are shown watching in anticipation.</t>
  </si>
  <si>
    <t>The player makes the shot and the camera follows along.</t>
  </si>
  <si>
    <t>The crowd cheers and a replay of the shot is shown.</t>
  </si>
  <si>
    <t>v_9n_cwQLpo_c</t>
  </si>
  <si>
    <t>A person is snowboarding indoors alone.</t>
  </si>
  <si>
    <t>The person is zig-zagging with his board down a slope.</t>
  </si>
  <si>
    <t>The person turns around at the end of the slope with arms extended.</t>
  </si>
  <si>
    <t>v_s3DoV1L9zAM</t>
  </si>
  <si>
    <t>A young man is seen sitting behind a drum set holding sticks.</t>
  </si>
  <si>
    <t>The man begins playing the drums continuously while the camera captures his movements.</t>
  </si>
  <si>
    <t>He is still seen playing the drums and ends with his hands up.</t>
  </si>
  <si>
    <t>v_xmStXpxlG_I</t>
  </si>
  <si>
    <t>A toddler hits a piñata with a bat while it is spinning.</t>
  </si>
  <si>
    <t>A person is near the boy showing an arm.</t>
  </si>
  <si>
    <t>v_nxNir9CE3zI</t>
  </si>
  <si>
    <t>The scene says River Scum with a black background.</t>
  </si>
  <si>
    <t>A kayak is going down a river while a person is paddling.</t>
  </si>
  <si>
    <t>A screen comes with words.</t>
  </si>
  <si>
    <t>v_Ip1EWQCXvRM</t>
  </si>
  <si>
    <t>A small group of people are seen sitting in a raft with close ups of their feet and paddles are shown.</t>
  </si>
  <si>
    <t>A man speaks to the group and leads into them paddling down a river.</t>
  </si>
  <si>
    <t>The group continues riding down the river showing close ups of them working and ending with a logo across the screen.</t>
  </si>
  <si>
    <t>v_esQnfUcBbPE</t>
  </si>
  <si>
    <t>A black bull is taunted with a dummy hanging on a rope as the bull lunges at the dummy.</t>
  </si>
  <si>
    <t>A man with a green and white umbrella taunts a black bull on a rope while onlookers also taunt the bull from the side on a wall.</t>
  </si>
  <si>
    <t>The black bull lunges at another dummy and the dummy get caught on the bulls horn as the bull runs off after other taunting targets.</t>
  </si>
  <si>
    <t>v_-Q9WotFs1MI</t>
  </si>
  <si>
    <t>A man is holding an ax in the forest.</t>
  </si>
  <si>
    <t>He is talking and adjusting a large stump.</t>
  </si>
  <si>
    <t>He uses the ax to split the wood.</t>
  </si>
  <si>
    <t>v_TPsMocKBQU0</t>
  </si>
  <si>
    <t>We see a lady bouncing on a slack line.</t>
  </si>
  <si>
    <t>The lady sits on her knees.</t>
  </si>
  <si>
    <t>The man in the background picks up snow.</t>
  </si>
  <si>
    <t>The lady falls of the slack line.</t>
  </si>
  <si>
    <t>We see a man bouncing on the slack line.</t>
  </si>
  <si>
    <t>We go back to the first lady bouncing.</t>
  </si>
  <si>
    <t>The lady jumps off the slack line and gets back on.</t>
  </si>
  <si>
    <t>The lady spins while bouncing.</t>
  </si>
  <si>
    <t>The lady jumps off then is back on.</t>
  </si>
  <si>
    <t>v_NE6SEdnVUh4</t>
  </si>
  <si>
    <t>A group of men are sitting outside playing instruments together.</t>
  </si>
  <si>
    <t>One of the men hand another a stick made into a flute and he sits done and begins to start playing on it.</t>
  </si>
  <si>
    <t>The man starts playing saxophone along with him.</t>
  </si>
  <si>
    <t>The other men all join in and they all make music together, having a nice time.</t>
  </si>
  <si>
    <t>v_nFhBmNJ9zN0</t>
  </si>
  <si>
    <t>A person rides a horse in a field kicking a ball with a curved stick.</t>
  </si>
  <si>
    <t>People play polo in the field riding horses.</t>
  </si>
  <si>
    <t>The man with the curved stick runs behind the other players and dispute the ball and scores.</t>
  </si>
  <si>
    <t>After, the person runs behind a player with blue t-shirt to hit the ball and score.</t>
  </si>
  <si>
    <t>v_OsB_uEj1PRM</t>
  </si>
  <si>
    <t>A man is seen laying on the ground holding onto his stomach.</t>
  </si>
  <si>
    <t>He begins moving himself up and down on the ground while holding onto his waist.</t>
  </si>
  <si>
    <t>He continues moving up and down while the camera captures his movements.</t>
  </si>
  <si>
    <t>v_HI_lWd3JhII</t>
  </si>
  <si>
    <t>A close up of a person holding a bag is shown and follows with the person taking out the items.</t>
  </si>
  <si>
    <t>He lays the items out and runs a board across a ski.</t>
  </si>
  <si>
    <t>He finally rubs the ski again and places the cap on the bar.</t>
  </si>
  <si>
    <t>v_BcflqWdlBjI</t>
  </si>
  <si>
    <t>A man chops a large notch into a lox with an ax.</t>
  </si>
  <si>
    <t>The man uses his gloved hand to brush away splintered wood from the log.</t>
  </si>
  <si>
    <t>v_xafFWMX7ZeY</t>
  </si>
  <si>
    <t>An intro leads into a woman performing several different tricks with a dog and showing text for how to perform the trick.</t>
  </si>
  <si>
    <t>The woman continues performing tricks with the dog and end by walking to the camera.</t>
  </si>
  <si>
    <t>v_baktSTMnMv4</t>
  </si>
  <si>
    <t>A bunch of billiards players and shots are shown.</t>
  </si>
  <si>
    <t>The shots are trick shots in the second half of the video.</t>
  </si>
  <si>
    <t>v_XG6ar8yc2pM</t>
  </si>
  <si>
    <t>The words "My Horseback Riding Fails" appears.</t>
  </si>
  <si>
    <t>A girl riding a white horse fails to make her horse do jumps around a track.</t>
  </si>
  <si>
    <t>A song plays over the video.</t>
  </si>
  <si>
    <t>v_gN27GB5txG8</t>
  </si>
  <si>
    <t>A black screen with three rows of Arabic writing is shown.</t>
  </si>
  <si>
    <t>A young girl then comes into the bathroom and begins to wash her hands.</t>
  </si>
  <si>
    <t>As she continues,she begins talking and describing the process and then more writing appears.</t>
  </si>
  <si>
    <t>v_Z2GWtB7MGVs</t>
  </si>
  <si>
    <t>The camera pans back to show a hotel with red lanterns in the air and crows of people standing and looking out over the beach.</t>
  </si>
  <si>
    <t>A man rides a jetski in front of a large wave of dirty water.</t>
  </si>
  <si>
    <t>A sailboat is being swayed by a large wave.</t>
  </si>
  <si>
    <t>A lady is surfing on a large wave as a boat rides next to her filming it.</t>
  </si>
  <si>
    <t>We see the boat in the water swaying again.</t>
  </si>
  <si>
    <t>We see people surfing the large waves of the river.</t>
  </si>
  <si>
    <t>A man does a handstand on a surfboard while surfing.</t>
  </si>
  <si>
    <t>v_DEEgoxzTvdk</t>
  </si>
  <si>
    <t>A group of tall trees is surrounded by water.</t>
  </si>
  <si>
    <t>We see the vast ocean water around us.</t>
  </si>
  <si>
    <t>We then see several people as they relax on a boat.</t>
  </si>
  <si>
    <t>v_ta9cB1q4AzU</t>
  </si>
  <si>
    <t>A man talks and then walks in the street until to arrive to an ice cream shop.</t>
  </si>
  <si>
    <t>A woman shows a chocolate and vanilla ice cream cones, and a girl likes an ice cream.</t>
  </si>
  <si>
    <t>People purchase ice cream, and a raise child to see ice cream.</t>
  </si>
  <si>
    <t>The man lick an ice in the shop, then he pretends to lick an ice cream in a picture.</t>
  </si>
  <si>
    <t>v_DJyfOeZc2lI</t>
  </si>
  <si>
    <t>A woman is throwing darts at a dart board.</t>
  </si>
  <si>
    <t>The dart board is shown on the wall.</t>
  </si>
  <si>
    <t>She continues to throw darts at the dart board.</t>
  </si>
  <si>
    <t>She pulls the darts out of the dart board.</t>
  </si>
  <si>
    <t>v_tTBbFGv9emI</t>
  </si>
  <si>
    <t>A man cuts the center of a log with an ax while standing on the log.</t>
  </si>
  <si>
    <t>The man stands on the log holding the ax with the right hand.</t>
  </si>
  <si>
    <t>Then, the man continues cutting the log.</t>
  </si>
  <si>
    <t>After, two people walk on front the man, and one takes loosed wood from the log.</t>
  </si>
  <si>
    <t>v_Y5hT9Sk5EY4</t>
  </si>
  <si>
    <t>A dog groomer brushes the coat of a dog with a brush that is sitting on a table.</t>
  </si>
  <si>
    <t>The brushes are seen by themselves up close.</t>
  </si>
  <si>
    <t>The groomer holds up the brush to view it close up.</t>
  </si>
  <si>
    <t>The groomer removes hair from the brush and puts it into a pile.</t>
  </si>
  <si>
    <t>v_IIAaKRUze8A</t>
  </si>
  <si>
    <t>A man stands next to a small roof.</t>
  </si>
  <si>
    <t>He holds out a piece of metal.</t>
  </si>
  <si>
    <t>He places metal along side the roof.</t>
  </si>
  <si>
    <t>He attaches the pieces securely.</t>
  </si>
  <si>
    <t>v_S_ONutgLuV8</t>
  </si>
  <si>
    <t>A close up of a person's face is shown as well as driving and laying out a surf board toy.</t>
  </si>
  <si>
    <t>The man controls the machine along the water doing jumps and tricks and speaking to the camera.</t>
  </si>
  <si>
    <t>v_H0puoztHMY8</t>
  </si>
  <si>
    <t>A fire place in a room is shown.</t>
  </si>
  <si>
    <t>Windows on a house is shown.</t>
  </si>
  <si>
    <t>A hardwood flooring in a house is shown.</t>
  </si>
  <si>
    <t>There are paint cans sitting on the floor.</t>
  </si>
  <si>
    <t>v_Svr-YN9ujkA</t>
  </si>
  <si>
    <t>A woman puts her hands down on a table with some wash cloths to get a manicure.</t>
  </si>
  <si>
    <t>The manicurist puts some glass clear nail polish on her nails and then picks up a little bag of red glitter.</t>
  </si>
  <si>
    <t>The manicurist starts to put little fun decorations to make the nail look pretty.</t>
  </si>
  <si>
    <t>Then she gets the gooey stuff and goes over the nails with it to prevent them from coming off.</t>
  </si>
  <si>
    <t>v_1xcFq3SkTKk</t>
  </si>
  <si>
    <t>A large crowd of girls walk into frame holding bars then put the bars down on the ground.</t>
  </si>
  <si>
    <t>The girls then perform a dance routine moving the bars all around and end with them holding a pose and walking off stage.</t>
  </si>
  <si>
    <t>v_6qynXM937V0</t>
  </si>
  <si>
    <t>There's a man wearing a hat and a beige colored shirt standing on the banks of a river playing his harmonica.</t>
  </si>
  <si>
    <t>There is a still river behind him.</t>
  </si>
  <si>
    <t>He continues playing his harmonica to a soothing tune.</t>
  </si>
  <si>
    <t>After he stops playing, he puts his hands down.</t>
  </si>
  <si>
    <t>v_YYUm4o1aDmY</t>
  </si>
  <si>
    <t>A woman untie a pair of shoes until half and raise the tongues.</t>
  </si>
  <si>
    <t>Then, the woman put on a foot and tie the shoe behind the tongue.</t>
  </si>
  <si>
    <t>Then, the person put the other feet and tie the shoe, then she puts the tongues up.</t>
  </si>
  <si>
    <t>The woman talks and shows her shoes and skinny pants.</t>
  </si>
  <si>
    <t>v_zjbxaEVgzyE</t>
  </si>
  <si>
    <t>A woman is seen stepping into a pit with a large man and then begins running around one another.</t>
  </si>
  <si>
    <t>The woman then climbs on top of the man while he spins her around and she gets him in a head lock.</t>
  </si>
  <si>
    <t>The two bow to one another and the woman stands next to the host shaking his hands.</t>
  </si>
  <si>
    <t>v_VCldTcZi0aE</t>
  </si>
  <si>
    <t>There are several people gathered in an outdoor gymnasium.</t>
  </si>
  <si>
    <t>There are people standing and seated in the bleachers watching about twelve band students performing.</t>
  </si>
  <si>
    <t>Most of the players are drumming on the percussion instruments in a rhythmic tune.</t>
  </si>
  <si>
    <t>The percussion players begin going round in a circle as they play the instruments.</t>
  </si>
  <si>
    <t>v_IIKwRyf4Oyg</t>
  </si>
  <si>
    <t>A close up of a guitar is seen with a hand plucking the strings.</t>
  </si>
  <si>
    <t>A man is then seen singing into a microphone while still playing the guitar.</t>
  </si>
  <si>
    <t>The man moves his fingers up and down the guitar while still singing into the microphone.</t>
  </si>
  <si>
    <t>v_MN0YWduOEHk</t>
  </si>
  <si>
    <t>men are standing in big field pulling a thick rope.</t>
  </si>
  <si>
    <t>men are walking on sides of the rope and preparing themselves to pull the rope.</t>
  </si>
  <si>
    <t>men start pullnig the rope in both sides.</t>
  </si>
  <si>
    <t>v_5K6oT9zBjVE</t>
  </si>
  <si>
    <t>A person is showing off a scrubbing brush and cleaner and pouring the clearing into a sink.</t>
  </si>
  <si>
    <t>He scrubs the sink with the brush creating suds in the water while the facet runs.</t>
  </si>
  <si>
    <t>He continues scrubbing the sink with the brush until the sink is clean.</t>
  </si>
  <si>
    <t>He wipes a paper towel around the sink with the water continues to run.</t>
  </si>
  <si>
    <t>v_3VYPdypGB_Q</t>
  </si>
  <si>
    <t>A guy is outside playing a guitar.</t>
  </si>
  <si>
    <t>A boy rides a scooter.</t>
  </si>
  <si>
    <t>A child slides down a slide.</t>
  </si>
  <si>
    <t>Children and an adult stand in line.</t>
  </si>
  <si>
    <t>The boy walks towards the line.</t>
  </si>
  <si>
    <t>v_DbF6oI705UA</t>
  </si>
  <si>
    <t>A lady wearing a UCA jersey is giving a tutorial on the different moves of cheer leading.</t>
  </si>
  <si>
    <t>As she talks, several cheerleaders show the different poses and stretches that are often done by cheerleaders to improve flexibility.</t>
  </si>
  <si>
    <t>The lady continues to explain how certain poses help in improving general flexibility in cheerleaders.</t>
  </si>
  <si>
    <t>v_uoy7NjeESZc</t>
  </si>
  <si>
    <t>A group of bikers stand on the start line.</t>
  </si>
  <si>
    <t>Suddenly all the bikes fall from a stage.</t>
  </si>
  <si>
    <t>The scene of the fall of the bikers is repeated several times.</t>
  </si>
  <si>
    <t>v_rEDbnmvTblI</t>
  </si>
  <si>
    <t>The video is shot in first person view along a snowy slope.</t>
  </si>
  <si>
    <t>The person starts at the top of the slope, riding a tube.</t>
  </si>
  <si>
    <t>They quickly slide down and travel through the snowy path.</t>
  </si>
  <si>
    <t>At the bottom, a large pile of tubes stops the person from sliding further.</t>
  </si>
  <si>
    <t>The camera pans to another group of people who have also finished sliding down the slope.</t>
  </si>
  <si>
    <t>v_fSA-eTz3GkU</t>
  </si>
  <si>
    <t>A man in a black shirt spins around and throws a ball onto the field.</t>
  </si>
  <si>
    <t>A man in the stands claps for him.</t>
  </si>
  <si>
    <t>Another man spins and throws a ball onto the field.</t>
  </si>
  <si>
    <t>v_kmtuO9Xdp-Y</t>
  </si>
  <si>
    <t>A woman plays guitar on stage.</t>
  </si>
  <si>
    <t>The lady sings in the microphone.</t>
  </si>
  <si>
    <t>The lady takes a break from singing.</t>
  </si>
  <si>
    <t>The lady begins to sing again.</t>
  </si>
  <si>
    <t>The lady stops singing then steps back to the microphone.</t>
  </si>
  <si>
    <t>v_FbPUX8cWmeU</t>
  </si>
  <si>
    <t>A young lady dressed in a pink leotard and tuto begins prancing around a large stage.</t>
  </si>
  <si>
    <t>As she continues her routine,she continues doing ballet leaps and swinging her arms and twisting like a ballerina.</t>
  </si>
  <si>
    <t>Behind,her a castle appears cast on the wall as the girl smiles and looks out to the crowd.</t>
  </si>
  <si>
    <t>v_5kBKAfEX7XA</t>
  </si>
  <si>
    <t>An athlete is seen walking up to a set of uneven bars and begins performing a gymnastics routine on the bars.</t>
  </si>
  <si>
    <t>He continues moving around on the bars and ends by jumping down on the side with his arms out.</t>
  </si>
  <si>
    <t>v_Jz9ZxenBLa8</t>
  </si>
  <si>
    <t>There are a lot of people riding in small bumper cars that can fit either 1 or 2 people.</t>
  </si>
  <si>
    <t>A woman in a blue bumper car bumps into the middle metal part and she seems stuck and can't move but suddenly she begins to move again.</t>
  </si>
  <si>
    <t>Everyone keeps riding their bumper cars after the woman gets herself going again and eventually they all come to a stop.</t>
  </si>
  <si>
    <t>v_eufCY8KHuMA</t>
  </si>
  <si>
    <t>A man is riding a black horse in slow motion.</t>
  </si>
  <si>
    <t>People are shown trying to jump fences in several scenes, falling over or breaking through them at break neck speeds.</t>
  </si>
  <si>
    <t>As the rider walks away, the words Do you think it's easy? Appear on the screen.</t>
  </si>
  <si>
    <t>v_K8ivAsscK98</t>
  </si>
  <si>
    <t>A camera pans between a person and the cameraman and leads into a man sitting in front of a drum set.</t>
  </si>
  <si>
    <t>The man then plays the drums continuously and another man walks in and sings and dances.</t>
  </si>
  <si>
    <t>Another man is shown close up and pans back to the drummer then ceiling.</t>
  </si>
  <si>
    <t>v_t-xIv68Ac4c</t>
  </si>
  <si>
    <t>Several people are in a dance room and an instructor comes as they begin to dance.</t>
  </si>
  <si>
    <t>The six people continue to dance from side to side making arrows like a Jamaican dance.</t>
  </si>
  <si>
    <t>As it continues,steps are repeated and throws fist punts in the air.</t>
  </si>
  <si>
    <t>v_KyMDXMXZLyM</t>
  </si>
  <si>
    <t>A person is talking while looking at their icy car.</t>
  </si>
  <si>
    <t>He uses a tool to scrape the ice off the windshield.</t>
  </si>
  <si>
    <t>He continues scraping until he can see to drive.</t>
  </si>
  <si>
    <t>v_Nf-7lKa387k</t>
  </si>
  <si>
    <t>There is smoke and lights and words on the screen.</t>
  </si>
  <si>
    <t>The smoke is rolling around a hat.</t>
  </si>
  <si>
    <t>A person is blowing smoke out of their nose and smoke rings.</t>
  </si>
  <si>
    <t>The camera reverses and he continues to blow smoke.</t>
  </si>
  <si>
    <t>The words everything is purple.</t>
  </si>
  <si>
    <t>The smoke continues to blow and the words Edits by Jarron Jones comes up.</t>
  </si>
  <si>
    <t>The man keeps blowing smoke into the air.</t>
  </si>
  <si>
    <t>v_rBgMeunuviE</t>
  </si>
  <si>
    <t>There are 5 different people sitting in chairs playing accordions that has pianos attached to them.</t>
  </si>
  <si>
    <t>There are 2 women, and 3 men and all of them, look very serious about what they're doing.</t>
  </si>
  <si>
    <t>They all press different keys to make blending sounds and not all of them use the accordion much.</t>
  </si>
  <si>
    <t>v_JOYduGqZSRc</t>
  </si>
  <si>
    <t>Men explains the game beer pong, while people compete in the tournament.</t>
  </si>
  <si>
    <t>Two person wears funny clothes and white wigs.</t>
  </si>
  <si>
    <t>Several people compete beer pong in a table full of cups with beer, then one person wins and people congratulates the winner.</t>
  </si>
  <si>
    <t>Then, people plays beer pong unsuccessful, and then a man throw the ball in the far cup, then people hug the winner who receives a price.</t>
  </si>
  <si>
    <t>A person takes pictures to the winner.</t>
  </si>
  <si>
    <t>v_KIIcgQyr0-Y</t>
  </si>
  <si>
    <t>We see a guitar illustration on the opening scene.</t>
  </si>
  <si>
    <t>We see a man hitting the guitar like drum.</t>
  </si>
  <si>
    <t>The man plays a song on the guitar and we briefly see the song and artist name on the screen.</t>
  </si>
  <si>
    <t>We focus on the mans left hand on the guitar neck.</t>
  </si>
  <si>
    <t>The man finishes and stops playing.</t>
  </si>
  <si>
    <t>We see the illustration again.</t>
  </si>
  <si>
    <t>v_APCbvR0SBl0</t>
  </si>
  <si>
    <t>A person runs and throws a javelin.</t>
  </si>
  <si>
    <t>There are people watching them behind a fence.</t>
  </si>
  <si>
    <t>A green umbrella sits next to the track.</t>
  </si>
  <si>
    <t>v_0pxONuRdIAY</t>
  </si>
  <si>
    <t>Two people give a news report about the importance of wearing sunscreen and talk with each other.</t>
  </si>
  <si>
    <t>People are shown outside putting sunscreen on.</t>
  </si>
  <si>
    <t>The newscasters then talk at the end with each other.</t>
  </si>
  <si>
    <t>v_KoMKIJ6QbpY</t>
  </si>
  <si>
    <t>A man in a white shirt is putting a tile on the floor.</t>
  </si>
  <si>
    <t>The man points beside the tile then stands.</t>
  </si>
  <si>
    <t>The camera zooms in on the tile.</t>
  </si>
  <si>
    <t>v_4ivePL3RW0Q</t>
  </si>
  <si>
    <t>The video begins with a close up of two young boys.</t>
  </si>
  <si>
    <t>A title slide is then shown, and then shows several ingredients used in a recipe for cookies.</t>
  </si>
  <si>
    <t>The video then shows the two boys mixing ingredients together.</t>
  </si>
  <si>
    <t>They roll the dough into balls and place them into an oven.</t>
  </si>
  <si>
    <t>The boys take the cookies out of the oven and begin eating them.</t>
  </si>
  <si>
    <t>v_I6riV09yqm8</t>
  </si>
  <si>
    <t>An intro leads into a woman preparing to jump and flips around and around on bars.</t>
  </si>
  <si>
    <t>She continues her gymnastic routine flipping through the bars with a bar spotting her and she finishes by putting her arms up.</t>
  </si>
  <si>
    <t>v_dS9TsX_zyPg</t>
  </si>
  <si>
    <t>A man wearing an apron is seen rubbing down several dishes while throwing them in a sink.</t>
  </si>
  <si>
    <t>The man continues rubbing down dishes while immediately throwing them into a sink of water.</t>
  </si>
  <si>
    <t>v_SIeV0DPSpHQ</t>
  </si>
  <si>
    <t>We see an opening sequence with flashes.</t>
  </si>
  <si>
    <t>We see two men in a yard pushing an item in the grass.</t>
  </si>
  <si>
    <t>We see a dirt patch in the grass.</t>
  </si>
  <si>
    <t>We see the monitor on the device.</t>
  </si>
  <si>
    <t>We see a tree in a round of dirt.</t>
  </si>
  <si>
    <t>We see a root in the yard.</t>
  </si>
  <si>
    <t>We see the ending credits and the screen fades.</t>
  </si>
  <si>
    <t>v_wjD2BdbSb1o</t>
  </si>
  <si>
    <t>A girl in a black shirt and pink shorts is painting a wooden fence.</t>
  </si>
  <si>
    <t>v_s84BStnbfK8</t>
  </si>
  <si>
    <t>Two people are standing in a room.</t>
  </si>
  <si>
    <t>They begin to play a game of wall ball.</t>
  </si>
  <si>
    <t>They are swinging their rackets hitting the ball.</t>
  </si>
  <si>
    <t>v_xkKjgwIPEuM</t>
  </si>
  <si>
    <t>People are running around on field playing lacrosse.</t>
  </si>
  <si>
    <t>The crowd is watching them play.</t>
  </si>
  <si>
    <t>A black and white logo is shown on the screen.</t>
  </si>
  <si>
    <t>v_VCdZ9gfzRWo</t>
  </si>
  <si>
    <t>A large Christmas tree is sitting in a room.</t>
  </si>
  <si>
    <t>A man and woman are putting lights on the Christmas tree.</t>
  </si>
  <si>
    <t>A dog is walking around the Christmas tree.</t>
  </si>
  <si>
    <t>v_K4cNyYu2LLg</t>
  </si>
  <si>
    <t>A set of toddler boys are standing up against the wall talking and playing with toothbrushes.</t>
  </si>
  <si>
    <t>They both begin to brush their teeth ferociously without any toothpaste or water.</t>
  </si>
  <si>
    <t>v_B5s4uYNIM24</t>
  </si>
  <si>
    <t>An intro comes onto the screen showing a high rise building.</t>
  </si>
  <si>
    <t>Then, a man is shown gearing up and putting on several contraptions that he can connect to a belt.</t>
  </si>
  <si>
    <t>He is then shown washing the windows of the very tall building.</t>
  </si>
  <si>
    <t>He uses a scrapper the scrape of a sticker from one of the windows.</t>
  </si>
  <si>
    <t>He is shows dipping a washer in a bucket and washing the windows of the ground floor.</t>
  </si>
  <si>
    <t>Several of the window washing supplies are shown again before the video ends.</t>
  </si>
  <si>
    <t>v_uE6_kwnfDCQ</t>
  </si>
  <si>
    <t>A woman shows tango steps moving and turning around while talking.</t>
  </si>
  <si>
    <t>Then, the man moves around showing tango steps.</t>
  </si>
  <si>
    <t>After, the woman and the man dance tango together while the man talks.</t>
  </si>
  <si>
    <t>v_ThRbaI4pGIs</t>
  </si>
  <si>
    <t>A picture of an island coast is shown with calm blue waves washing up against the rocks.</t>
  </si>
  <si>
    <t>A male suddenly appears and begins running towards the water with a surf board.</t>
  </si>
  <si>
    <t>The man begins surfing on the waves as several people sit on the beach watching him.</t>
  </si>
  <si>
    <t>After awhile,the male leaves the water and sits on the hill with the surfboard and then walks away.</t>
  </si>
  <si>
    <t>v_AmW-O5MmJHk</t>
  </si>
  <si>
    <t>A woman hands a young boy a stick with a little girl grabbing for her attention.</t>
  </si>
  <si>
    <t>The pinata is lifted and the boy begins swinging at the object.</t>
  </si>
  <si>
    <t>The camera pans around people watching while he hits the pinata and a little boy is seen clapping behind him.</t>
  </si>
  <si>
    <t>v__7l3OxQodF0</t>
  </si>
  <si>
    <t>A man in a purple shirt is talking to the camera.</t>
  </si>
  <si>
    <t>He starts climbing wood planks up a wall.</t>
  </si>
  <si>
    <t>He gets down off the wall and continues talking.</t>
  </si>
  <si>
    <t>v_B3ZL18f1x4Y</t>
  </si>
  <si>
    <t>Various pictures of food are shown followed by a person cutting up vegetables and mixing various ingredients into a pot.</t>
  </si>
  <si>
    <t>He then cuts up a piece of bread, scoops out the insides, and fries up some meat.</t>
  </si>
  <si>
    <t>Finally he pours all the ingredients into the break bowl, wraps it up in aluminum foil, and shows more pictures of the sandwich.</t>
  </si>
  <si>
    <t>v_0RUMAGGab1k</t>
  </si>
  <si>
    <t>a man is standing in front of a camera.</t>
  </si>
  <si>
    <t>He starts playing a harmonica for the camera.</t>
  </si>
  <si>
    <t>He rocks back and forth to the music as he goes.</t>
  </si>
  <si>
    <t>v_04LdesS7Pxk</t>
  </si>
  <si>
    <t>A man is closing his eyes while getting his beard trimmed and combed.</t>
  </si>
  <si>
    <t>The man now has a nearly shaven beard and is getting his neck shaved.</t>
  </si>
  <si>
    <t>The man has shaving cream on his neck and side and is getting his beard closely shaven with a razor in a downward motion.</t>
  </si>
  <si>
    <t>His face is getting toweled off after being shaven.</t>
  </si>
  <si>
    <t>A man rubs something on his hands and pats it on the other mans face.</t>
  </si>
  <si>
    <t>His face gets patted with the towel at the end.</t>
  </si>
  <si>
    <t>v_qyssgQ2xq2M</t>
  </si>
  <si>
    <t>Inside of the house on the couch two men are sitting, one of them is talking casually awhile the other is holding his arm out on a pillow.</t>
  </si>
  <si>
    <t>The man is painting his friends finger nails, he seems to have done someone else's nails also and made little red heart.</t>
  </si>
  <si>
    <t>The man is talking and pretty excited her able to do this, he keeps putting the top of the polish back to get more paint on it.</t>
  </si>
  <si>
    <t>He jokingly rubs the other mans face, and continues to take his time painting his nails.</t>
  </si>
  <si>
    <t>v_jQU4NYJzxco</t>
  </si>
  <si>
    <t>There are two children standing at a double stainless steel sink in a residential home.</t>
  </si>
  <si>
    <t>The taller child moves dishes from the right side of the sink to the left side of the sink one by one while the smaller child holds onto an orange bottle brush and doesn't move any dishes.</t>
  </si>
  <si>
    <t>Both of the children turn to the camera behind them and the older gives a big smile while the little one gives a very small smile.</t>
  </si>
  <si>
    <t>v_8TDYCXqSHCw</t>
  </si>
  <si>
    <t>A gymnast lift a weight until his shoulders, then lift it above his head.</t>
  </si>
  <si>
    <t>The man left the weight fall on the floor.</t>
  </si>
  <si>
    <t>v_bDD56LnztiQ</t>
  </si>
  <si>
    <t>A man is seen speaking to the camera behind a desk and leads into shows of people riding on skateboards.</t>
  </si>
  <si>
    <t>More shots of him talking are shown as well as people do tricks on the skateboards.</t>
  </si>
  <si>
    <t>v_T9JSNxOyUQA</t>
  </si>
  <si>
    <t>A large group of people is standing and walking around several stacks of inner-tubes and a bus.</t>
  </si>
  <si>
    <t>Two young children are sitting in one of the bus seats.</t>
  </si>
  <si>
    <t>A group of adults is riding in the bus talking.</t>
  </si>
  <si>
    <t>Several kids are in their inner-tubes in the water among other people floating on inner-tubes in the water.</t>
  </si>
  <si>
    <t>Several people are shown in canoes with people in inner-tubes in the background.</t>
  </si>
  <si>
    <t>A young girl sinks down in the middle of her inner-tube and jumps back up with her head soaked.</t>
  </si>
  <si>
    <t>Someone shows a first person view floating down the river.</t>
  </si>
  <si>
    <t>Various other people are shown in inner-tubes and canoes in the water.</t>
  </si>
  <si>
    <t>A few people are seen buying food from two women at a a concession stand.</t>
  </si>
  <si>
    <t>A man holds a young boy in a life vest who looks like he is sleeping.</t>
  </si>
  <si>
    <t>v_l5uaH-Qydxk</t>
  </si>
  <si>
    <t>A young girl is climbing across the monkey bars outside a building.</t>
  </si>
  <si>
    <t>She is swinging from each rung, moving her body forward one at a time.</t>
  </si>
  <si>
    <t>When she reaches the other end, she turns and starts making her way back to the beginning.</t>
  </si>
  <si>
    <t>v_iJPPWotXvV0</t>
  </si>
  <si>
    <t>A man in a gym walks over to a barbell.</t>
  </si>
  <si>
    <t>The man lifts the barbell to his chest, then over his head.</t>
  </si>
  <si>
    <t>The man drops the weight.</t>
  </si>
  <si>
    <t>The man hugs the men behind him.</t>
  </si>
  <si>
    <t>A man in red runs and jumps on the weight lifting man.</t>
  </si>
  <si>
    <t>The man in red walks away laughing.</t>
  </si>
  <si>
    <t>v_Bi3vlu17qp8</t>
  </si>
  <si>
    <t>A person in a black shirt gets hit by a ball.</t>
  </si>
  <si>
    <t>People standing on the beach are tossing around an orange ball.</t>
  </si>
  <si>
    <t>There are people swimming in the water behind them.</t>
  </si>
  <si>
    <t>v_ZSoPIyVJWWk</t>
  </si>
  <si>
    <t>A clear package of soft flexible hair curlers is shown on a black table as a hand picks up an unwrapped purple curler and fidgets with it.</t>
  </si>
  <si>
    <t>The hand turns the bag around so that the contents are shown through the mouth of the bag before handling both the loose purple and pink curlers.</t>
  </si>
  <si>
    <t>The hand continues to go back and forth between handling the two loose curlers and the full back of curlers before the video ends.</t>
  </si>
  <si>
    <t>v_SIHG_BRgn2E</t>
  </si>
  <si>
    <t>A black and white video intro appears with special effects of asian lettering showing up while different pictures of people are displayed.</t>
  </si>
  <si>
    <t>An Asian man is now smiling and talking to the camera as he sits in front of a microphone in a studio, and he then sings as he plays on a black piano as he reads music from music sheets on the piano.</t>
  </si>
  <si>
    <t>When the man is done singing and playing he turns to the camera and gives a big smile.</t>
  </si>
  <si>
    <t>A black screen appears and white lettering appears at the bottom right.</t>
  </si>
  <si>
    <t>v_tHhdS8t9ytI</t>
  </si>
  <si>
    <t>docto is talking in a consulting room and mixing liquids into a test tube preparing coffee and talking to the camera about benefis of the coffee.</t>
  </si>
  <si>
    <t>coffe is being served in a cup and is shown the benefits of the coffee in the body.</t>
  </si>
  <si>
    <t>v_iAwNYgA6mkc</t>
  </si>
  <si>
    <t>A man kneels in his fencing gear.</t>
  </si>
  <si>
    <t>A man walks up to him with his back turned as they talk.</t>
  </si>
  <si>
    <t>The man stands, and engages in fencing with an opponent, both attached to cables behind them.</t>
  </si>
  <si>
    <t>v__eanWnL3FtM</t>
  </si>
  <si>
    <t>A man wearing a blue shirt and a man wearing a dart shirt enter a stage surrounded by a crowd.</t>
  </si>
  <si>
    <t>The two men competes paper, scissors and rock on front a judge.</t>
  </si>
  <si>
    <t>The two men continues competing while the judge gives the start.</t>
  </si>
  <si>
    <t>Then, the two men continue competing, after the man wearing dark shirt wins the competition and people cheers.</t>
  </si>
  <si>
    <t>v_JI5_cMwgnxI</t>
  </si>
  <si>
    <t>A guy wearing a red plaid shirt is showing a tutorial on how to trim and prune trees in a garden.</t>
  </si>
  <si>
    <t>He is using a pair of garden shears to chop off the excessive leaves grown on the trees.</t>
  </si>
  <si>
    <t>He then demonstrates how to fertile the trees and shrubs by using some fertilizer balls.</t>
  </si>
  <si>
    <t>He then used a liquid fertilizer on the trees and plants to fortify them.</t>
  </si>
  <si>
    <t>He finally waters the trees and plants with a hose to complete the process.</t>
  </si>
  <si>
    <t>v_4XGQR2VmWpw</t>
  </si>
  <si>
    <t>We see a red light then the title.</t>
  </si>
  <si>
    <t>A man's biker gear is shown.</t>
  </si>
  <si>
    <t>We are shown the terrain.</t>
  </si>
  <si>
    <t>The riders take off on their bikes.</t>
  </si>
  <si>
    <t>We see them ride over all types of terrain.</t>
  </si>
  <si>
    <t>We see an Aerial shot of the bikers.</t>
  </si>
  <si>
    <t>We see a lake, and a dog followed by a bike on a street.</t>
  </si>
  <si>
    <t>A man uses a knife to open a coconut.</t>
  </si>
  <si>
    <t>We go back to the dirt bikers performing stunts.</t>
  </si>
  <si>
    <t>We see two bikers flying through the sky.</t>
  </si>
  <si>
    <t>We then see three bikers sitting still on their bikes.</t>
  </si>
  <si>
    <t>We see the end title card.</t>
  </si>
  <si>
    <t>v_vWGkTOLx57s</t>
  </si>
  <si>
    <t>A young gymnastic boy gets on a bar and starts doing flips and other things.</t>
  </si>
  <si>
    <t>It seems like he is being judged for a tournament.</t>
  </si>
  <si>
    <t>He is on the bars doing excellent, looking awesome and having fun while doing it.</t>
  </si>
  <si>
    <t>Then, he lands and poses and the audience is shown.</t>
  </si>
  <si>
    <t>v_XDFJFhaG_p0</t>
  </si>
  <si>
    <t>A man stands holding a violin and bow discussing its features.</t>
  </si>
  <si>
    <t>The man sets the instrument under his chin and tightens the bow.</t>
  </si>
  <si>
    <t>The man undoes the bow strings and raps them around the violin.</t>
  </si>
  <si>
    <t>The man plays a song on the violin.</t>
  </si>
  <si>
    <t>v_crSMHcUkPcA</t>
  </si>
  <si>
    <t>A green splash appears against a white back drown.</t>
  </si>
  <si>
    <t>Then a series of words appear across the screen and showing various pictures describing the terms.</t>
  </si>
  <si>
    <t>A man is then shown standing on a ladder laying wall paper.</t>
  </si>
  <si>
    <t>After,the man cuts the wall paper and gains assistance while putting the paper on the roof.</t>
  </si>
  <si>
    <t>The two finish and give each a high five.</t>
  </si>
  <si>
    <t>Finally,several rooms are shown displaying the work they've done.</t>
  </si>
  <si>
    <t>v_Hj_YKQiU-8Y</t>
  </si>
  <si>
    <t>A young girl is seen speaking to the camera while playing with her hair.</t>
  </si>
  <si>
    <t>She points to her shirt and leads into her brushing her hair while speaking to the camera.</t>
  </si>
  <si>
    <t>v_iVVatZsgnGo</t>
  </si>
  <si>
    <t>A person is seen swimming under water using scuba gear and pulling a rope by her side.</t>
  </si>
  <si>
    <t>She then catches a fish and is seen again in a bikini swimming around a whale.</t>
  </si>
  <si>
    <t>More shots of a dolphin are shown jumping through the water and ends with text across the screen.</t>
  </si>
  <si>
    <t>v_5OGNGIF22SY</t>
  </si>
  <si>
    <t>A buff young man is sitting on a machine with a sliding seat demonstrating weight lifting techniques.</t>
  </si>
  <si>
    <t>He then slides back,puts his feet in the ropes and starts to tie his shoes.</t>
  </si>
  <si>
    <t>Once complete,the man grabs the rope and moves back and forth while pulling out the rope to exercise.</t>
  </si>
  <si>
    <t>Now he is done,he drops the ropes and starts to talk again.</t>
  </si>
  <si>
    <t>v_dgbGv3G4k5M</t>
  </si>
  <si>
    <t>A family is rearranging furniture in a living room.</t>
  </si>
  <si>
    <t>They set up a Christmas tree in the corner of the room.</t>
  </si>
  <si>
    <t>They put lights on the tree.</t>
  </si>
  <si>
    <t>They put bulbs onto the tree.</t>
  </si>
  <si>
    <t>A little girl does a spin in front of the tree.</t>
  </si>
  <si>
    <t>v__icW_MAe7Po</t>
  </si>
  <si>
    <t>A man is inside a gym with a ball.</t>
  </si>
  <si>
    <t>He joins a team, playing a game of soccer.</t>
  </si>
  <si>
    <t>They kick the ball back and forth on the court.</t>
  </si>
  <si>
    <t>v_huKjjvCG0EE</t>
  </si>
  <si>
    <t>men are standing in a geen grssy field playing croquet.</t>
  </si>
  <si>
    <t>people are sitting on the field around the croquet game.</t>
  </si>
  <si>
    <t>man wearing white uniform is talking to the camera in the field.</t>
  </si>
  <si>
    <t>a man and a woman are talking to the camera.</t>
  </si>
  <si>
    <t>v_aiTAx3oo97U</t>
  </si>
  <si>
    <t>We see a person standing on a stair stepper.</t>
  </si>
  <si>
    <t>The person moves a cord out of the way.</t>
  </si>
  <si>
    <t>The man begins to walk on the stepper.</t>
  </si>
  <si>
    <t>The person lifts their right hand.</t>
  </si>
  <si>
    <t>v_tt5-QtDwm3Y</t>
  </si>
  <si>
    <t>A man is seen speaking to the camera and leads into him helping a man shoot several baskets.</t>
  </si>
  <si>
    <t>The coach is then seen instructing a large group of children as they shoot baskets over and over.</t>
  </si>
  <si>
    <t>v_GTOP7XXi_vI</t>
  </si>
  <si>
    <t>Smoke fills an empty dark room.</t>
  </si>
  <si>
    <t>Words appear on the screen, followed by the appearance of men who are kickboxing.</t>
  </si>
  <si>
    <t>A group plays instruments behind them while they fight.</t>
  </si>
  <si>
    <t>The two men end the fight with a hug.</t>
  </si>
  <si>
    <t>v_ldjIg23Rofw</t>
  </si>
  <si>
    <t>two man are in a room playing row row row your boat.</t>
  </si>
  <si>
    <t>two men are playing taking a selfie in a living room.</t>
  </si>
  <si>
    <t>man is standing in living room playing beer pong and taking out his shirt.</t>
  </si>
  <si>
    <t>man is standing in the living room holding a tennis racket and hiting a ball.</t>
  </si>
  <si>
    <t>two men are standing in the living oom playing beer pong and doing other shot games with a bottle of whiskey.</t>
  </si>
  <si>
    <t>v_zyh1cftKtQM</t>
  </si>
  <si>
    <t>A woman is seen speaking to the camera while holding up various objects and begins brushing her hair.</t>
  </si>
  <si>
    <t>She ties her hair up while still speaking and holding up several brushes at the sign time.</t>
  </si>
  <si>
    <t>v_WdC6dVbfTvs</t>
  </si>
  <si>
    <t>A body piercing artist is seen piercing the belly button of a female.</t>
  </si>
  <si>
    <t>Initially he uses a piercing tool to make the incision on the belly button.</t>
  </si>
  <si>
    <t>Afterwards he inserts the piercing and makes sure its secure.</t>
  </si>
  <si>
    <t>Than he uses a wipe and cleans the area.</t>
  </si>
  <si>
    <t>Afterwards the girl stands up talks to he friend and looks in the mirror.</t>
  </si>
  <si>
    <t>In the end the camera man turns around and speaks to the camera with authority .</t>
  </si>
  <si>
    <t>v_yrCBN0tYjPE</t>
  </si>
  <si>
    <t>A man stands in a large room.</t>
  </si>
  <si>
    <t>He then jumps up on beams.</t>
  </si>
  <si>
    <t>He then balances himself on the beam.</t>
  </si>
  <si>
    <t>He does several flips and tricks.</t>
  </si>
  <si>
    <t>v_5fgJ5vWTcSQ</t>
  </si>
  <si>
    <t>A man is riding a skateboard down a suburban road.</t>
  </si>
  <si>
    <t>Two more are shown as the camera man is spotting them from behind.</t>
  </si>
  <si>
    <t>He pushes them, keeping them at a fast pace.</t>
  </si>
  <si>
    <t>v_a_v_1fL2VyM</t>
  </si>
  <si>
    <t>An athlete jumps with a pole to pass the horizontal bar, then he falls on the foamy mat.</t>
  </si>
  <si>
    <t>Then, there is a flash back of the vault pole jump.</t>
  </si>
  <si>
    <t>v_Z2wZr0Beq9c</t>
  </si>
  <si>
    <t>A woman is seen sitting behind a poker table and dealer cards while others do the same in the back.</t>
  </si>
  <si>
    <t>The woman continues dealing cards on the table while looking and smiling to the camera.</t>
  </si>
  <si>
    <t>v_cu8TBL7msJg</t>
  </si>
  <si>
    <t>Several clips are shown of people holding tennis rackets and hitting a ball into the distance.</t>
  </si>
  <si>
    <t>Text is shown across the screen and more shots are shown of people demonstrating.</t>
  </si>
  <si>
    <t>The people continue hitting the balls around the court while the camera captures their movements.</t>
  </si>
  <si>
    <t>v_I5RVQUYA1w4</t>
  </si>
  <si>
    <t>The two girls hug each other and the girl who's wearing the blue dress slightly pushes past the other girl.</t>
  </si>
  <si>
    <t>Then she runs back to her and hugs her and runs away from her again.</t>
  </si>
  <si>
    <t>v_6Eh7B3GnQWI</t>
  </si>
  <si>
    <t>We see a man talking to the camera while holding an accordion.</t>
  </si>
  <si>
    <t>The man then plays the accordion and we see it up close.</t>
  </si>
  <si>
    <t>The man holds a note and his hands shake.</t>
  </si>
  <si>
    <t>We zoom out and the man stops playing.</t>
  </si>
  <si>
    <t>v_mvl6wff267o</t>
  </si>
  <si>
    <t>A large group of people are seen running down a track and transitions into several more people running.</t>
  </si>
  <si>
    <t>Two girls check their wrists while one speaks to the camera and several shots of a wristband are shown.</t>
  </si>
  <si>
    <t>More people are interviewed while wearing the wrist bands and show how they work while many run around.</t>
  </si>
  <si>
    <t>v_vkk-sOo8Hqw</t>
  </si>
  <si>
    <t>We see men on a boat, a saw appears then a man in a hammock.</t>
  </si>
  <si>
    <t>the man gets up and goes to his mower and creates something on a wheel well and ties it to the mower and the shed door.</t>
  </si>
  <si>
    <t>The man allows the mower to spin around the object and cut the grass.</t>
  </si>
  <si>
    <t>It then pulls the object into the shed on the line and the door pulls closed.</t>
  </si>
  <si>
    <t>v_A6CBFa22oJc</t>
  </si>
  <si>
    <t>An add displays a web site about a business called happydogz.</t>
  </si>
  <si>
    <t>Then, a man appears pulled by a dog, then adds display information about a retractable dog leash.</t>
  </si>
  <si>
    <t>After, a couple pulls two dogs from leashes.</t>
  </si>
  <si>
    <t>After, adds display information about the leash.</t>
  </si>
  <si>
    <t>v_8LI3rnG6kMA</t>
  </si>
  <si>
    <t>A carved pumpking with a light in it glows on a counter.</t>
  </si>
  <si>
    <t>Supplies for carving are then shown.</t>
  </si>
  <si>
    <t>A woman cuts the top off the pumpkin, emptying the seeds.</t>
  </si>
  <si>
    <t>She then carves the traced lines to cut out the design.</t>
  </si>
  <si>
    <t>When she is done, a tea light is placed inside the pumpkin and lit.</t>
  </si>
  <si>
    <t>v_JK8pYBpatAY</t>
  </si>
  <si>
    <t>She has a metal weight bar on her shoulders.</t>
  </si>
  <si>
    <t>She moves up and down lifting the weight.</t>
  </si>
  <si>
    <t>v_2iBb6ArHweI</t>
  </si>
  <si>
    <t>A woman is seen speaking to the camera while holding a bottle of sunscreen.</t>
  </si>
  <si>
    <t>She then opens the bottle and uses a holder on the side.</t>
  </si>
  <si>
    <t>She shows off the holder while still speaking to the camera.</t>
  </si>
  <si>
    <t>v_TpURw9nc8ks</t>
  </si>
  <si>
    <t>Several people are seen standing around one another holding sticks and looking around.</t>
  </si>
  <si>
    <t>The people hit a ball across a lawn one at a time and are seen laughing and smiling at one another.</t>
  </si>
  <si>
    <t>v_IHPb-JPIhg8</t>
  </si>
  <si>
    <t>A man is swinging on a balance beam.</t>
  </si>
  <si>
    <t>He jumps off and puts his hands in the air.</t>
  </si>
  <si>
    <t>He gets back on the balance beam.</t>
  </si>
  <si>
    <t>v_CiCNA-Nr1QQ</t>
  </si>
  <si>
    <t>A man is at a bowling alley dressed in bowling clothes, shoes and wearing gloves as he takes turns rolling the ball down the lane and hitting pins.</t>
  </si>
  <si>
    <t>The man grabs the ball from the return and holds the ball and stands there for a while staring down the lane, and when he finally rolls it he makes a strike.</t>
  </si>
  <si>
    <t>When the strike is over, it then replays in slow motion.</t>
  </si>
  <si>
    <t>v_QtiqvB4uw2Y</t>
  </si>
  <si>
    <t>A view of a top of a roof with pine straws shown strewn all over it appears and a banner at the bottom say's "If you got pine straw on your roof, call us 678-887-9479.</t>
  </si>
  <si>
    <t>A man is now on the top of the roof and he has a blower in his right hand, metal stick in his left hand for balance, and he's walking along the roof blowing off all of the pine straws.</t>
  </si>
  <si>
    <t>The last view is of the cleaned off roof and the website is shown at the bottom of the screen.</t>
  </si>
  <si>
    <t>v_Y76wuHBZgdU</t>
  </si>
  <si>
    <t>A man is is laying carpet in a room.</t>
  </si>
  <si>
    <t>A woman is looking at carpet samples in a shop.</t>
  </si>
  <si>
    <t>Men are on their knees installing hardwood flooring.</t>
  </si>
  <si>
    <t>v_VdeYnCIbRJ4</t>
  </si>
  <si>
    <t>An athletic man is seen standing at the beginning of a long track with several people standing on the sidelines.</t>
  </si>
  <si>
    <t>He begins running down the track and jumping with a few others walk around him in the distance.</t>
  </si>
  <si>
    <t>v__UPD2IvdQ_M</t>
  </si>
  <si>
    <t>An audience is gathered in a gymnasium to watch the gymnast on the pommel horse.</t>
  </si>
  <si>
    <t>He concentrates, and then mounts to begin his routine.</t>
  </si>
  <si>
    <t>He performs first one, and then a second impressive handstand while gripping one handle with both hands.</t>
  </si>
  <si>
    <t>He completes his routine, and then finishes with a flawless dismount to cheering.</t>
  </si>
  <si>
    <t>v_nn-ASL9KZUo</t>
  </si>
  <si>
    <t>A man is seen throwing a dart up over the camera while looking into the distance.</t>
  </si>
  <si>
    <t>Several shots are shown of him throwing as well as text going across the screen.</t>
  </si>
  <si>
    <t>The man continues throwing over and over again.</t>
  </si>
  <si>
    <t>v_0YPfoB84Fes</t>
  </si>
  <si>
    <t>A woman shows how to cover a cake with frosting using a spatula.</t>
  </si>
  <si>
    <t>Then, she explains how to cleans the border of the cake using a cloth.</t>
  </si>
  <si>
    <t>v_hG2kfPRWjO0</t>
  </si>
  <si>
    <t>A close up of a phone is shown as well as a person waking up, brushing their teeth, and walking out the door.</t>
  </si>
  <si>
    <t>Close ups are shown of people riding up a ski lift as well as down a mountain.</t>
  </si>
  <si>
    <t>The people to zoom in on the camera looking closely and waving to one another.</t>
  </si>
  <si>
    <t>v_xCVZBvwhoWE</t>
  </si>
  <si>
    <t>A person is seen standing in a close room holding a tennis racket.</t>
  </si>
  <si>
    <t>The person then begins hitting the ball with the racket and walking around.</t>
  </si>
  <si>
    <t>Another person is seen walking in frame as well as out.</t>
  </si>
  <si>
    <t>v_AF6tasHTW-8</t>
  </si>
  <si>
    <t>Two kids are jump roping outside.</t>
  </si>
  <si>
    <t>Two adults are kneeling down on the ground holding a jump rope for a kid.</t>
  </si>
  <si>
    <t>The woman is talking to the camera.</t>
  </si>
  <si>
    <t>A boy spills a glass on his face while jump roping.</t>
  </si>
  <si>
    <t>v_f4mDKdD0z3U</t>
  </si>
  <si>
    <t>woman is wearing harness and get in a helicopter above and are flying above a volcano.</t>
  </si>
  <si>
    <t>a man and a woman are hanging from the helicopter's door holds to a rope and make a jump.</t>
  </si>
  <si>
    <t>the man and the woman are in the land talking to a couple.</t>
  </si>
  <si>
    <t>v_H6g8SsxL8RU</t>
  </si>
  <si>
    <t>man in in front of a car with the hood open.</t>
  </si>
  <si>
    <t>man walks through the woods and ty to light a woodfire.</t>
  </si>
  <si>
    <t>v_pVkwQOp1xZo</t>
  </si>
  <si>
    <t>Someone is stroking blue paint up and down on a fence.</t>
  </si>
  <si>
    <t>They put the paint brush in the paint again to gather more paint.</t>
  </si>
  <si>
    <t>Then continue to proceed with painting the fence.</t>
  </si>
  <si>
    <t>They do that multiple times trying to cover all of the brown.</t>
  </si>
  <si>
    <t>v_jqW7r60gOzE</t>
  </si>
  <si>
    <t>A man is seen standing before a hold child holding up a pinata while others stand around and watch.</t>
  </si>
  <si>
    <t>The blind folded boy then takes multiple swings at the pinata while the kids sit around and watch.</t>
  </si>
  <si>
    <t>v_lk2niPrG3y8</t>
  </si>
  <si>
    <t>There's a woman in a yellow tank top and black tights doing jump rope in a gym.</t>
  </si>
  <si>
    <t>She jumps in a rhythmic manner without stopping on the hardwood floor surface.</t>
  </si>
  <si>
    <t>After she's done, a person standing in front of her gives her a thumbs up and cheers for her.</t>
  </si>
  <si>
    <t>v_W3KCFRADoX8</t>
  </si>
  <si>
    <t>A woman is sitting in a room talking.</t>
  </si>
  <si>
    <t>There is a white cat on the bed behind her.</t>
  </si>
  <si>
    <t>She starts braiding her hair to the side.</t>
  </si>
  <si>
    <t>She continues talking and blows a kiss to the camera.</t>
  </si>
  <si>
    <t>v_cKHdMUfKsQ8</t>
  </si>
  <si>
    <t>A woman is seen speaking to the camera while holding up a paintbrush and bucket.</t>
  </si>
  <si>
    <t>She paints a piece of furniture next to her while also holding up a brush.</t>
  </si>
  <si>
    <t>She holds up more objects while dipping the brushes into them as well as uses it on the furniture.</t>
  </si>
  <si>
    <t>v_FeXBmKYV8HY</t>
  </si>
  <si>
    <t>A woman reporting is speaking to a camera with a serious demeanor.</t>
  </si>
  <si>
    <t>A man unzips his violin from the bag and plays a little bit for the camera while the reporter commentates.</t>
  </si>
  <si>
    <t>He begins to struggle playing with his condition, and shows surgery on how to fix him.</t>
  </si>
  <si>
    <t>The reporter claims that the man is better than ever and shows his progress playing a violin in a show.</t>
  </si>
  <si>
    <t>v_cwQQj3VZLC8</t>
  </si>
  <si>
    <t>A man is standing at the start line clapping his hands, people look on.</t>
  </si>
  <si>
    <t>He takes off running and does a long jump.</t>
  </si>
  <si>
    <t>He salutes the large applauding audience.</t>
  </si>
  <si>
    <t>Another man waits on the start line before accelerating into the long jump.</t>
  </si>
  <si>
    <t>He looks to the crowd who are subdued.</t>
  </si>
  <si>
    <t>He walk away looking at the ground.</t>
  </si>
  <si>
    <t>Another man waits on the start line before running into a longjump.</t>
  </si>
  <si>
    <t>He waves to the appreciative crowd and runs away smiling and celebrating.</t>
  </si>
  <si>
    <t>v_uu4_cV49pMI</t>
  </si>
  <si>
    <t>A person is seen lying on the ground with another person running from behind.</t>
  </si>
  <si>
    <t>The person running then falls and others around them help and drink water.</t>
  </si>
  <si>
    <t>v_n2fFj1mBjhQ</t>
  </si>
  <si>
    <t>Players are playing lacrosse in a hockey arena.</t>
  </si>
  <si>
    <t>The players leaves the arena.</t>
  </si>
  <si>
    <t>A green team player runs towards the clear window.</t>
  </si>
  <si>
    <t>v_dVCAykynRzs</t>
  </si>
  <si>
    <t>A camera pans around a mcdonalds and leads into a man speaking to a cashier.</t>
  </si>
  <si>
    <t>Several shots are then shown of people playing rock paper scissors with employees.</t>
  </si>
  <si>
    <t>When people win the game, they get a free ice cream.</t>
  </si>
  <si>
    <t>v_E7OCzz_XuiI</t>
  </si>
  <si>
    <t>A fridge is seen opening with two people grabbing onto a piece of cheese.</t>
  </si>
  <si>
    <t>The two men fight then begin playing a game of rock paper scissors.</t>
  </si>
  <si>
    <t>They use various tools and objects to play as well as smaller versions of themselves that keep panning backwards.</t>
  </si>
  <si>
    <t>v_50oy8wP2Wo8</t>
  </si>
  <si>
    <t>We see an opening screen then a sitting lady.</t>
  </si>
  <si>
    <t>We see a person cutting the ladies long hair with a level.</t>
  </si>
  <si>
    <t>The person then brushes her blunt hair.</t>
  </si>
  <si>
    <t>The lady turns around and smiles.</t>
  </si>
  <si>
    <t>We see a before and after.</t>
  </si>
  <si>
    <t>We then see scenes of people using the tool.</t>
  </si>
  <si>
    <t>We see the tool in white and blue.</t>
  </si>
  <si>
    <t>The closing screen is seen.</t>
  </si>
  <si>
    <t>v_VFKUKX9ToNI</t>
  </si>
  <si>
    <t>a group of swimmers are on a diving board.</t>
  </si>
  <si>
    <t>A man falls off the board very suddenly.</t>
  </si>
  <si>
    <t>He hits other levels on his way down into the water.</t>
  </si>
  <si>
    <t>v_insSTTMSC38</t>
  </si>
  <si>
    <t>A woman is doing some exercise on a machine.</t>
  </si>
  <si>
    <t>She is going at a pretty fast speed, you can see her get off and then get back on again.</t>
  </si>
  <si>
    <t>She places her hands around a piece and it allows her to she her stride and speed as well as her heartbeat and stuff.</t>
  </si>
  <si>
    <t>She changes the her speed and drink some water and keeps on going.</t>
  </si>
  <si>
    <t>v_1Ao43T5yRjI</t>
  </si>
  <si>
    <t>A rusty ball is shown rolling down some type of man made ramp.</t>
  </si>
  <si>
    <t>Several Olympic athletes are then shown putting the shotput by their neck and throwing it and getting their distance measured.</t>
  </si>
  <si>
    <t>A black scoreboard is finally shown and they begin to give the winner the medal and show the flag of the country the person is representing.</t>
  </si>
  <si>
    <t>v_lcUtnIptSjM</t>
  </si>
  <si>
    <t>A woman in a lab coat is in a hospital recovery room.</t>
  </si>
  <si>
    <t>She soaps up her hands well with soap.</t>
  </si>
  <si>
    <t>She then rinses and dries them thoroughly.</t>
  </si>
  <si>
    <t>v_zcvbHJ1BZ9s</t>
  </si>
  <si>
    <t>A man pulls a boot onto his foot seated in a chair inside.</t>
  </si>
  <si>
    <t>The man fastens the straps on the boat.</t>
  </si>
  <si>
    <t>A person shows the man how to fasten the straps on the boot.</t>
  </si>
  <si>
    <t>The man shakes while trying to finish putting on the shoes.</t>
  </si>
  <si>
    <t>v_29kX1NaPGP0</t>
  </si>
  <si>
    <t>An older man is seen speaking to the camera while holding a tennis ball and racket in his hand.</t>
  </si>
  <si>
    <t>He moves the racket and ball up to demonstrate how to properly serve the ball, followed by him actually serving the ball in slow motion.</t>
  </si>
  <si>
    <t>The same shot is shown several more times to demonstrate how to properly perform this serve.</t>
  </si>
  <si>
    <t>v_aEAmMKa8iuM</t>
  </si>
  <si>
    <t>An indoor BMX bike race happens.</t>
  </si>
  <si>
    <t>After the start, everyone goes around the track as quick as possible.</t>
  </si>
  <si>
    <t>v_TIue1jR51j8</t>
  </si>
  <si>
    <t>Man in purple talks to the camera.</t>
  </si>
  <si>
    <t>Man in purple walks forward in slow steps.</t>
  </si>
  <si>
    <t>Man in gray demonstrates how to walk.</t>
  </si>
  <si>
    <t>Man in gray demonstrates different jumps.</t>
  </si>
  <si>
    <t>v_dcmfRooP6dg</t>
  </si>
  <si>
    <t>A close up of a strawberry is shown.</t>
  </si>
  <si>
    <t>A woman is talking with an array of watercolors.</t>
  </si>
  <si>
    <t>She demonstrates how to use the watercolors to create art on a canvas.</t>
  </si>
  <si>
    <t>v_wRKFbuczjsw</t>
  </si>
  <si>
    <t>There's a woman in a pink shirt and black shorts training a dog on a large open lawn.</t>
  </si>
  <si>
    <t>she is throwing pink colored Frisbee discs for the dog to run and fetch.</t>
  </si>
  <si>
    <t>Every time she throws the disc, the dog gets excited and runs and fetches the disc for her.</t>
  </si>
  <si>
    <t>The dog is well trained to catch the disc in its mouth almost every time without missing it.</t>
  </si>
  <si>
    <t>there are are few people standing and watching the trainer and the dog.</t>
  </si>
  <si>
    <t>v_yAa24V7sXJM</t>
  </si>
  <si>
    <t>An emblem appears on the screen.</t>
  </si>
  <si>
    <t>A view of the sun is seen between the clouds.</t>
  </si>
  <si>
    <t>A woman walks up to a young boy who has his pants down, crouching in front of a bucket.</t>
  </si>
  <si>
    <t>She yells at him, and drags him away.</t>
  </si>
  <si>
    <t>She shows him how to lather his hands with soap.</t>
  </si>
  <si>
    <t>Then the group of gathered women talk as the boy watches and listens.</t>
  </si>
  <si>
    <t>The women look sad as she walks away.</t>
  </si>
  <si>
    <t>A boy and woman walk up to talk to another woman, and she looks upset.</t>
  </si>
  <si>
    <t>A doctor is shown talking about dirty hands to the women.</t>
  </si>
  <si>
    <t>They are then shown outside, washing their hands and doctoring the boy as they show how not to be dirty.</t>
  </si>
  <si>
    <t>The group jumps into the air in celebration.</t>
  </si>
  <si>
    <t>v_Kdf1HhynNx8</t>
  </si>
  <si>
    <t>Two girls are seen waving to the camera while one holds up a drink and the other plays with her hair.</t>
  </si>
  <si>
    <t>The girls walk around a bit followed by drinking out of a glass and making funny faces to the camera.</t>
  </si>
  <si>
    <t>v_zBtmE0BAjGE</t>
  </si>
  <si>
    <t>A woman is shown walking around a kitchen turning on a faucet and l letting the sink fill up with water.</t>
  </si>
  <si>
    <t>She is shown wearing gloves, spraying cleaner around the sink and scrubbing with a brush.</t>
  </si>
  <si>
    <t>She smiles at the cleaning product and pans out to the label being shown.</t>
  </si>
  <si>
    <t>v_45WfFPM5yvw</t>
  </si>
  <si>
    <t>a man in swimming trunks is outdoors, fastening himself into equipment.</t>
  </si>
  <si>
    <t>He gets on a parasailer, and gets into the water.</t>
  </si>
  <si>
    <t>He begins sailing on a surfboard, holding on tightly as he speeds up.</t>
  </si>
  <si>
    <t>He then stops in the water, leaning onto his side.</t>
  </si>
  <si>
    <t>v_r-XQMXUJBqk</t>
  </si>
  <si>
    <t>A kid is playing hopscotch on the ground.</t>
  </si>
  <si>
    <t>They go back and forth on the hopscotch board.</t>
  </si>
  <si>
    <t>They bend down to pick something up.</t>
  </si>
  <si>
    <t>v_5K-soRkdGDs</t>
  </si>
  <si>
    <t>A dog is shown running up steps to a building.</t>
  </si>
  <si>
    <t>They go inside, and it's a dog grooming salon.</t>
  </si>
  <si>
    <t>Several signs in another language are shown before the equipment is turned on.</t>
  </si>
  <si>
    <t>The dog is rinsed, soaped, bathed and clipped on the machine.</t>
  </si>
  <si>
    <t>v_oO6jZR9Aijc</t>
  </si>
  <si>
    <t>A store front is seen from the outside.</t>
  </si>
  <si>
    <t>A store owner stands behind a display wall and discusses.</t>
  </si>
  <si>
    <t>Paintball players run through a grassy court with obstacles and aim their weapons.</t>
  </si>
  <si>
    <t>The store owner displays different face masks for the sport.</t>
  </si>
  <si>
    <t>v_DKnvOGEDUyQ</t>
  </si>
  <si>
    <t>A group of people are seen standing around a Foosball table playing a game with one another using the poles to play.</t>
  </si>
  <si>
    <t>The men continue playing game and fourth while the camera captures them from above and two walk away in the end.</t>
  </si>
  <si>
    <t>v_37Q3so6ERxs</t>
  </si>
  <si>
    <t>A man in blue shirt drink a big glass of beer.</t>
  </si>
  <si>
    <t>The blonde man beside him is cheering.</t>
  </si>
  <si>
    <t>The man in blue shirt finished his drink and put it down, and the blonde man cheered.</t>
  </si>
  <si>
    <t>v_CRKA3xPEKm8</t>
  </si>
  <si>
    <t>man is standing in parallels doing gymnastics in a roofed gym.</t>
  </si>
  <si>
    <t>people is in teraces watching the man.</t>
  </si>
  <si>
    <t>v_rV9RzL8o7tk</t>
  </si>
  <si>
    <t>A girl wearing a white coat with hood is next to man and a woman on side of a pool table.</t>
  </si>
  <si>
    <t>Then, the girl walks and takes off the coat, then she takes a cue stick and bend on front two men.</t>
  </si>
  <si>
    <t>After, the girl turns and grabs the boy shirt while making a sexy gesture, then she turns to play again.</t>
  </si>
  <si>
    <t>A man wants to touch the butt of a girl.</t>
  </si>
  <si>
    <t>v_nw8MpBwL508</t>
  </si>
  <si>
    <t>A girl in a purple outfit gets onto a balance beam.</t>
  </si>
  <si>
    <t>She does a gymnastics routine on the balance beam.</t>
  </si>
  <si>
    <t>v_8LTh7r2U8Fw</t>
  </si>
  <si>
    <t>An athlete walks onto a field outside.</t>
  </si>
  <si>
    <t>He runs with a javelin in the air.</t>
  </si>
  <si>
    <t>He throws the javelin as far as he can, repeating multiple times.</t>
  </si>
  <si>
    <t>v_gtzg66XV6E0</t>
  </si>
  <si>
    <t>a woman is in front of a table, holding a cat.</t>
  </si>
  <si>
    <t>She pets the cat to calm him down.</t>
  </si>
  <si>
    <t>She then gently clips his toenails.</t>
  </si>
  <si>
    <t>v_0J55EGFLglQ</t>
  </si>
  <si>
    <t>it seems like they are watching on tv a game of soccer.</t>
  </si>
  <si>
    <t>The station shows for what channel it is that is being watched.</t>
  </si>
  <si>
    <t>The women on the court are running around trying to get the ball.</t>
  </si>
  <si>
    <t>One of the women runs all the way into the goal.</t>
  </si>
  <si>
    <t>v_ezx7z-kx2v4</t>
  </si>
  <si>
    <t>A man is standing up and throws a rock.</t>
  </si>
  <si>
    <t>People are standing and watching him.</t>
  </si>
  <si>
    <t>A man gets into a horse carriage and rides away.</t>
  </si>
  <si>
    <t>v_7univ6G4RXA</t>
  </si>
  <si>
    <t>We see a boy brushing his teeth and dancing in the bathroom.</t>
  </si>
  <si>
    <t>The boy pauses and looks at the brush.</t>
  </si>
  <si>
    <t>The boy returns to brushing and dancing.</t>
  </si>
  <si>
    <t>The boy holds on the the sink for a moment.</t>
  </si>
  <si>
    <t>The boy holds onto the sink again.</t>
  </si>
  <si>
    <t>v_veKNTB-N9EQ</t>
  </si>
  <si>
    <t>A close up of a wall is shown with water spraying down the sides that leads into several pictures as well as people spraying down the ground.</t>
  </si>
  <si>
    <t>More people are seen spraying down a truck as well as cars being lifted up on a machine while more pictures are shown.</t>
  </si>
  <si>
    <t>v_6sorAV7KJxA</t>
  </si>
  <si>
    <t>This man is shown standing on the roof saying a few words.</t>
  </si>
  <si>
    <t>Then he starts removing some parts of wood from the roof and he piles all of the tiles up.</t>
  </si>
  <si>
    <t>Then he puts them where they should go to make a full part on the roof.</t>
  </si>
  <si>
    <t>v_MJZjSHG6tBY</t>
  </si>
  <si>
    <t>A man does a barbecue in a yard while singing with people showing drinks in cans and cups.</t>
  </si>
  <si>
    <t>Then people walk to a bar and sing inside drinking beer.</t>
  </si>
  <si>
    <t>Women serves drinks from a fountain.</t>
  </si>
  <si>
    <t>A man talks on front a microphone and people continue singing and showing beer.</t>
  </si>
  <si>
    <t>Then, people are again singing, drinking and dancing outdoors.</t>
  </si>
  <si>
    <t>v_M6yAoJJQvGY</t>
  </si>
  <si>
    <t>A woman is seen speaking to the camera and leads into clips of her performing ab exercises wile speaking to the camera.</t>
  </si>
  <si>
    <t>The woman demonstrates how to do a proper sit up by moving her arms in different places and speaking to the camera.</t>
  </si>
  <si>
    <t>v_4XEowfJ-1W0</t>
  </si>
  <si>
    <t>A person shows a bowl of ice cream at Disneyland.</t>
  </si>
  <si>
    <t>The person enjoys the bowl of ice cream.</t>
  </si>
  <si>
    <t>A trolley rolls along a street with a conductor hanging out of the window.</t>
  </si>
  <si>
    <t>A busy street is seen with many people walking along and looking at a parked trolley car.</t>
  </si>
  <si>
    <t>v_etG65un_AiQ</t>
  </si>
  <si>
    <t>A jet ski is parked and a man is riding one.</t>
  </si>
  <si>
    <t>We see a man's name on the screen and a man behind a boat and a man jet skiing and flipping around.</t>
  </si>
  <si>
    <t>Two men on a jet ski shake their hair.</t>
  </si>
  <si>
    <t>A person name is on the screen and we see a man jet ski.</t>
  </si>
  <si>
    <t>Another name and another man on the jet ski.</t>
  </si>
  <si>
    <t>We see the man as he prepares to ski riding behind the boat.</t>
  </si>
  <si>
    <t>We see the lake and then the closing credits.</t>
  </si>
  <si>
    <t>v_mHbsKzezfFQ</t>
  </si>
  <si>
    <t>We see a black screen and the credits.</t>
  </si>
  <si>
    <t>A person is cutting a man's hair.</t>
  </si>
  <si>
    <t>They switch to an electric razor on the back.</t>
  </si>
  <si>
    <t>The person uses the shaver on their hand.</t>
  </si>
  <si>
    <t>The screen changes to black for a moment.</t>
  </si>
  <si>
    <t>We see the screen change again and the person lines the back of the man's head.</t>
  </si>
  <si>
    <t>The barber touches the shaver edge.</t>
  </si>
  <si>
    <t>The screen fades to black and the ending credits roll.</t>
  </si>
  <si>
    <t>v_p4YTDxTASBI</t>
  </si>
  <si>
    <t>A group of people are riding in various canoes down a river.</t>
  </si>
  <si>
    <t>A man shoots a flame up into the air followed by several others as well.</t>
  </si>
  <si>
    <t>The camera pans around the group of people dressed as pirates and in other various costumes.</t>
  </si>
  <si>
    <t>v_vHejQlbAL78</t>
  </si>
  <si>
    <t>Several people are seen grabbing skis as well as cars lined up and people speaking to one another.</t>
  </si>
  <si>
    <t>This leads into several clips of skiers riding down mountains one after the other.</t>
  </si>
  <si>
    <t>People are shown riding together as well as a solo and ends with a man kicking at the camera.</t>
  </si>
  <si>
    <t>v_o_AftOrP4zI</t>
  </si>
  <si>
    <t>The athlete is putting on his red sneakers, then he talked to the camera, and then run in the indoor tracking field.</t>
  </si>
  <si>
    <t>He rested for a bit, then his coach is having interview, then the scene change where the athlete started to practice, running around, then did some pole jumped.</t>
  </si>
  <si>
    <t>He did some exercises and stretches.</t>
  </si>
  <si>
    <t>v_jTMdMnbW9OI</t>
  </si>
  <si>
    <t>A boy in an orange shirt is playing a video game.</t>
  </si>
  <si>
    <t>The scene changes to the game itself.</t>
  </si>
  <si>
    <t>The scene changes back to the boy.</t>
  </si>
  <si>
    <t>The camera zooms in on the controller.</t>
  </si>
  <si>
    <t>The scene goes back to the game.</t>
  </si>
  <si>
    <t>There is a close up of the boy's face.</t>
  </si>
  <si>
    <t>The camera shows the TV with the back of the boy's head.</t>
  </si>
  <si>
    <t>The game is playing until the end.</t>
  </si>
  <si>
    <t>The boy says something and TV has numbers on it.</t>
  </si>
  <si>
    <t>The boy is talking again.</t>
  </si>
  <si>
    <t>The boy gets up and leaves the room.</t>
  </si>
  <si>
    <t>He goes to the bathroom and is rubbing his eyes.</t>
  </si>
  <si>
    <t>He looks in the mirror then reaches for the face wash and puts some in his hand.</t>
  </si>
  <si>
    <t>He throws the face wash on the washing machine.</t>
  </si>
  <si>
    <t>He puts his head in the sink and washes his face angrily.</t>
  </si>
  <si>
    <t>When he looks in the mirror again, it is an old man.</t>
  </si>
  <si>
    <t>He falls to the floor.</t>
  </si>
  <si>
    <t>He washes his face again and this time it turn to a skull.</t>
  </si>
  <si>
    <t>He rubs his face and the skull falls into the sink.</t>
  </si>
  <si>
    <t>v_q5thIuCSTkk</t>
  </si>
  <si>
    <t>A person has their hand over the lens.</t>
  </si>
  <si>
    <t>We then see a child in gray skiing in front of the camera operator.</t>
  </si>
  <si>
    <t>the child falls off their skis and lays in the snow.</t>
  </si>
  <si>
    <t>The camera person stops and wipes snow from the kids goggles and turns off the camera.</t>
  </si>
  <si>
    <t>v_ArGF2CfOxkY</t>
  </si>
  <si>
    <t>A horse is behind a yellow gate as a man sits on top holding a rope.</t>
  </si>
  <si>
    <t>The gate is opened,and a black calf comes running out into the field of dirt.</t>
  </si>
  <si>
    <t>Almost instantly,the man throws his lasso and jumps off to secure the cow.</t>
  </si>
  <si>
    <t>Once he is finished,the man gets back on the horse and other individuals come out to take the calf out.</t>
  </si>
  <si>
    <t>v_hHWXldYW8rU</t>
  </si>
  <si>
    <t>A camera walks closer to a girl pointing to her eye in the mirror.</t>
  </si>
  <si>
    <t>She then bends down forward and sticks her face under the water rubbing it along her face.</t>
  </si>
  <si>
    <t>v_ciEBsDNryN8</t>
  </si>
  <si>
    <t>A woman is seen holding an accordion while shaking her fists into the air.</t>
  </si>
  <si>
    <t>A band is seen walking in behind her and begins playing while she does.</t>
  </si>
  <si>
    <t>The girl continues to play with the band and ends by looking to the camera.</t>
  </si>
  <si>
    <t>v_WGHXYbCWvyU</t>
  </si>
  <si>
    <t>A man is seen standing in a field with his eye closed and standing still.</t>
  </si>
  <si>
    <t>The man then begins moving his arms and legs around his body.</t>
  </si>
  <si>
    <t>He continues moving his body around with his eyes closed.</t>
  </si>
  <si>
    <t>v_bXLa6zLsJ50</t>
  </si>
  <si>
    <t>A woman lays on a table being prepped for ear piercing.</t>
  </si>
  <si>
    <t>The person in charge of the operation pierces her ear in two places with a small rod.</t>
  </si>
  <si>
    <t>The person applies a cork to one end of the rod.</t>
  </si>
  <si>
    <t>The person pushes a different rod through the holes created by the initial piercing.</t>
  </si>
  <si>
    <t>The person caps the new rod on both ends.</t>
  </si>
  <si>
    <t>The woman shows off her new piercing and smiles.</t>
  </si>
  <si>
    <t>v_xPnNcv7ErXk</t>
  </si>
  <si>
    <t>A young child is seen smiling to the camera and beginning to climb across monkey bars.</t>
  </si>
  <si>
    <t>She makes it to the other side and then waves to the camera.</t>
  </si>
  <si>
    <t>v_S2V2TgLAMKg</t>
  </si>
  <si>
    <t>A person holds small objects in their hands.</t>
  </si>
  <si>
    <t>The person applies objects continuously to a wooden surface.</t>
  </si>
  <si>
    <t>When the person rubs on the smaller object, it puts a white residue on the surface.</t>
  </si>
  <si>
    <t>When the person rubs on the brown object, it removes the residue.</t>
  </si>
  <si>
    <t>v_79LyHiS908U</t>
  </si>
  <si>
    <t>A man is shown sitting in front of several drums and banging to a rhythm.</t>
  </si>
  <si>
    <t>He talks to the camera about his song and what he is planning on playing.</t>
  </si>
  <si>
    <t>The man continues playing while the camera pans in and out on him playing the drums.</t>
  </si>
  <si>
    <t>v_UBqFQKI1YW8</t>
  </si>
  <si>
    <t>A black man gymnast prepares to perform on a parallel bar exhibition.</t>
  </si>
  <si>
    <t>The man mounts the parallel bar and goes into a handstand and performs a series of spins and moves.</t>
  </si>
  <si>
    <t>The gymnast goes into his dismount and lands a perfect landing on the mat.</t>
  </si>
  <si>
    <t>v_TH1kq-KBr9Y</t>
  </si>
  <si>
    <t>A man is hanging up wallpaper.</t>
  </si>
  <si>
    <t>He looks back at the camera.</t>
  </si>
  <si>
    <t>He steps down from the step ladder.</t>
  </si>
  <si>
    <t>A chair appears with the wallpaper.</t>
  </si>
  <si>
    <t>The man is taking down the paper.</t>
  </si>
  <si>
    <t>v_eVwRbDXyBbc</t>
  </si>
  <si>
    <t>There is a pool table with billiard balls on it.</t>
  </si>
  <si>
    <t>A person has a pool cue in their hand.</t>
  </si>
  <si>
    <t>They hit the cue ball into the other balls.</t>
  </si>
  <si>
    <t>v_AWXdK-ix3gQ</t>
  </si>
  <si>
    <t>A gymaist stands holding is arm up and jumping onto a beam.</t>
  </si>
  <si>
    <t>He moves his arms and spins himself round and round on a set of bars.</t>
  </si>
  <si>
    <t>He does handstands and flips and jumps off to finish his routine.</t>
  </si>
  <si>
    <t>v_lvAXZEUE0m8</t>
  </si>
  <si>
    <t>A man puts a harness on and steps on a bridge.</t>
  </si>
  <si>
    <t>He jumps off the bridge and bungee jumps over a body of water.</t>
  </si>
  <si>
    <t>A boat drives up and puts him in the boat.</t>
  </si>
  <si>
    <t>v_2RfasAe0-tA</t>
  </si>
  <si>
    <t>A girl dressed as a tomboy and a boy dressed in a red shirt are standing in a room across from each other in a messy room.</t>
  </si>
  <si>
    <t>The two begin to grab each other and they begin salsa dancing.</t>
  </si>
  <si>
    <t>They continue dancing and spin each other around and doing a some type of salsa dancing.</t>
  </si>
  <si>
    <t>v_KPJJfGK5NCw</t>
  </si>
  <si>
    <t>This woman is shown standing in one spot for a little while.</t>
  </si>
  <si>
    <t>Then she moves to throw the ball into the air and she goes back to the position she was in.</t>
  </si>
  <si>
    <t>Then she jumps back and turns around to throw the ball at a small distance, except she is not positioned quite right this time.</t>
  </si>
  <si>
    <t>v_6URUyopL8qM</t>
  </si>
  <si>
    <t>A sign appears in a yard and a red van comes traveling down the road.</t>
  </si>
  <si>
    <t>After,a man appears tubing in a trail of water underneath the bridge.</t>
  </si>
  <si>
    <t>As he continues down the river,he hits a few rocks along the way and begins to bobble up and down before returning back in front of the red van.</t>
  </si>
  <si>
    <t>v_Hh7aXAtWsXg</t>
  </si>
  <si>
    <t>A woman is see laughing with a group of people and one man hitting the other.</t>
  </si>
  <si>
    <t>A person hands a man a set of darts who then throws them off into the distance.</t>
  </si>
  <si>
    <t>The people continue speaking while the camera pans all around them.</t>
  </si>
  <si>
    <t>v_1VDNFR3vQR4</t>
  </si>
  <si>
    <t>There are two guys standing on a large blue mat in a gym and they are both wearing shorts and a pair of boxing gloves.</t>
  </si>
  <si>
    <t>The men square up and they begin hitting and kicking at one another with brief moments of stopping in between their punches and their kicks.</t>
  </si>
  <si>
    <t>One of the guys kicks the other one too hard and the one who got kicked gets mad, rips his gloves off of his hands, walks away and angrily throws his gloves.</t>
  </si>
  <si>
    <t>v_ih3LAZtQM50</t>
  </si>
  <si>
    <t>A guy bows while standing outside.</t>
  </si>
  <si>
    <t>The guy start doing karate outside.</t>
  </si>
  <si>
    <t>The guy does karate indoors and then leaves.</t>
  </si>
  <si>
    <t>A dog stands with a sweater.</t>
  </si>
  <si>
    <t>v_qywEvklc1kM</t>
  </si>
  <si>
    <t>Two people are seen speaking to the camera with one holding a pot and the other handing him ingredients.</t>
  </si>
  <si>
    <t>The other then mixes the ingredients into a bowl and pouts it into a pan.</t>
  </si>
  <si>
    <t>More people come in to take a bite as well as a young boy helping and the man continuing to cook.</t>
  </si>
  <si>
    <t>v_q-ID2mgEIow</t>
  </si>
  <si>
    <t>A man wearing glasses is seen stepping into frame and playing an accordion.</t>
  </si>
  <si>
    <t>The man continues to play while looking off into the distance and stops by smiling to the camera.</t>
  </si>
  <si>
    <t>v_l5qCvYE1-tA</t>
  </si>
  <si>
    <t>Two young girls are in a gym and they do a side ways hurtles over a bar in the middle of the gym.</t>
  </si>
  <si>
    <t>The video is then replayed in slow motion and once again in a faster speed.</t>
  </si>
  <si>
    <t>v_zwm-v9MLOFY</t>
  </si>
  <si>
    <t>4 men are in a square doing break dance while people is gathered around them watching them dance and do tricks in front of a lot of stores.</t>
  </si>
  <si>
    <t>names of the break dancers are shown in the screen.</t>
  </si>
  <si>
    <t>v_9qUbxwjh-4A</t>
  </si>
  <si>
    <t>We see a young girl light a cigarette.</t>
  </si>
  <si>
    <t>She then takes the cigarette out of her mouth and talks.</t>
  </si>
  <si>
    <t>She hands the lighter to another person and puts her hand on her hip.</t>
  </si>
  <si>
    <t>v_d7-tFV0RSCk</t>
  </si>
  <si>
    <t>A man is standing outside of a home talking with a large silver pole in his hand that has a yellow rope attached to it.</t>
  </si>
  <si>
    <t>The man begins cleaning the inside of a sliding glass door with his pole and brush and washes around the base and the inside of the window.</t>
  </si>
  <si>
    <t>The man then stops and begins talking to the camera and pointing to the window before he waves bye.</t>
  </si>
  <si>
    <t>v_CTIVIXvCI3c</t>
  </si>
  <si>
    <t>A small child is seen hoping along the floor when a woman leads in more young dancers.</t>
  </si>
  <si>
    <t>She lines up the girls in front of a large crowd and the kids begin dancing on the stage.</t>
  </si>
  <si>
    <t>The little ones continue to dance and twirl on stage and walk off stage.</t>
  </si>
  <si>
    <t>v_rA_RAZx2_aA</t>
  </si>
  <si>
    <t>Women from different nationalities competes long jumps is a stadium.</t>
  </si>
  <si>
    <t>Women continue competing long jump.</t>
  </si>
  <si>
    <t>An athlete runs, then skip and jumps forward to perform long jump while judges holds sticks to measure.</t>
  </si>
  <si>
    <t>v_pibXLs9IOX8</t>
  </si>
  <si>
    <t>man is standing in a green field preparing himself to make a cricket shot, other man is watchim him and take off the hat and the sunglasses and the man is really sweaty and prepare to make the shot and to score which he did, they enjoy and hug each other and the man throw the ball.</t>
  </si>
  <si>
    <t>men are seating on a couch in a living room and are talking to each other and to the camera.</t>
  </si>
  <si>
    <t>winner and information of the video is shown.</t>
  </si>
  <si>
    <t>v_tPHfkxAwyp8</t>
  </si>
  <si>
    <t>A title screen appears in red letters and then fades out in a martial arts classroom.</t>
  </si>
  <si>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t>
  </si>
  <si>
    <t>Then a closing screen with a logo for the Capoeira school.</t>
  </si>
  <si>
    <t>v_yxZ4ouqcld4</t>
  </si>
  <si>
    <t>A camera shoots various shots all around a city and shoe store.</t>
  </si>
  <si>
    <t>Hundreds of people are walking around an area and checking out shoes.</t>
  </si>
  <si>
    <t>A man talks to a woman about what shoes she likes to wear.</t>
  </si>
  <si>
    <t>People are dancing and enjoying the event together.</t>
  </si>
  <si>
    <t>There is food being eaten at the event by many.</t>
  </si>
  <si>
    <t>Several runners are getting ready to start a race.</t>
  </si>
  <si>
    <t>The race begins and people run very fast.</t>
  </si>
  <si>
    <t>Several people get interviewed during the race.</t>
  </si>
  <si>
    <t>The man who wins the race comes across the finish line.</t>
  </si>
  <si>
    <t>Several more people are shown finishing.</t>
  </si>
  <si>
    <t>v_UKhH_iEifrU</t>
  </si>
  <si>
    <t>a list of ingredients is shown and the items are in a white table.</t>
  </si>
  <si>
    <t>fist a bag of tea is sumerge in boiled water and added some syrup into a starbucks cup.</t>
  </si>
  <si>
    <t>v_EA58Fo2e0CI</t>
  </si>
  <si>
    <t>A news station ad appears on the screen.</t>
  </si>
  <si>
    <t>We see two reporters outdoors, talking with members of a running team.</t>
  </si>
  <si>
    <t>They are preparing for a race, one of which is pregnant.</t>
  </si>
  <si>
    <t>The crowd is shown walking to where the race will begin.</t>
  </si>
  <si>
    <t>v_LlI1IJEkW5E</t>
  </si>
  <si>
    <t>A woman is in a kitchen, talking in front of an array of sandwich fixings.</t>
  </si>
  <si>
    <t>She opens the bread, and applies meat, cheese, pickles, and mustard.</t>
  </si>
  <si>
    <t>She closes the sandwiches, and puts them in a heated panini press.</t>
  </si>
  <si>
    <t>She removes the sandwiches as they are toasted, and plates them.</t>
  </si>
  <si>
    <t>v_JAZu9CWEVbQ</t>
  </si>
  <si>
    <t>There are two men in the water wearing wetsuits and laying on their surfboards as they ride a wave.</t>
  </si>
  <si>
    <t>The camera man is in a fast moving boat and he continues to video the surfers who are still riding the wave but now they are standing up.</t>
  </si>
  <si>
    <t>The surfer who is in front is happy to riding the wave for so long that he raises his two arms up in the air and then lowers it back down.</t>
  </si>
  <si>
    <t>The surfer in the back begins to lose balance and falls off of his board while the man in the front is still standing up.</t>
  </si>
  <si>
    <t>v_xPDjkE7llg4</t>
  </si>
  <si>
    <t>A woman cuts the nails of the back legs of a cat with a nail trimmer, while a person restraints the cat.</t>
  </si>
  <si>
    <t>Then, the woman stands on front the cat, and the person holds the cat from a neck.</t>
  </si>
  <si>
    <t>After, the woman cuts the nails of the front legs, but the cat kicks.</t>
  </si>
  <si>
    <t>A person wearing black clothes enters the room.</t>
  </si>
  <si>
    <t>v_f119wB0sj0w</t>
  </si>
  <si>
    <t>Several clips of baseball players are shown playing the game.</t>
  </si>
  <si>
    <t>At one point it shows a player arguing with a referee.</t>
  </si>
  <si>
    <t>The video ends with another title sequence.</t>
  </si>
  <si>
    <t>v_H1_5M9mQ79w</t>
  </si>
  <si>
    <t>A man wearing headphones is seen speaking into a microphone and begins playing a harmonica into the mic.</t>
  </si>
  <si>
    <t>The man continues playing and the camera ends with a close up of the instrument.</t>
  </si>
  <si>
    <t>v_hHmn5tf5d5I</t>
  </si>
  <si>
    <t>A small group of people are seen standing in a room with a woman standing in front.</t>
  </si>
  <si>
    <t>The woman then begins dancing around with the women while following her around.</t>
  </si>
  <si>
    <t>The women switch places with men and then begin following the woman dancing around.</t>
  </si>
  <si>
    <t>v_Krh4m6nxZWE</t>
  </si>
  <si>
    <t>A woman in a blue shirt is walking along a slack line.</t>
  </si>
  <si>
    <t>She falls off and grabs the rope.</t>
  </si>
  <si>
    <t>v_J7GJKAoU0rE</t>
  </si>
  <si>
    <t>Several people are gathered at a lake.</t>
  </si>
  <si>
    <t>Images are shown of the people posing with and flying kites.</t>
  </si>
  <si>
    <t>They are then seen flying the kites on a beach.</t>
  </si>
  <si>
    <t>v_qCZhlIBr8_Q</t>
  </si>
  <si>
    <t>An assortment of drum lines are shown practicing in various locations.</t>
  </si>
  <si>
    <t>Several schools are shown and the SB4TS is in the bottom right corner as a group in blue shirts and black pants begin to perform and make various formations.</t>
  </si>
  <si>
    <t>v_u0SpXGr_elM</t>
  </si>
  <si>
    <t>A gyros restaurant is shown from the outside.</t>
  </si>
  <si>
    <t>We enter, and the chef begins talking to the camera.</t>
  </si>
  <si>
    <t>He demonstrates how to make a gyro sandwich.</t>
  </si>
  <si>
    <t>He places all the ingredients on the counter, shaves the meat, and begins to stack them inside the pita.</t>
  </si>
  <si>
    <t>He continues talking for the camera, then serves the camera man a gyro.</t>
  </si>
  <si>
    <t>The man eats it, nodding in approval.</t>
  </si>
  <si>
    <t>v_QkX8GFbwN7c</t>
  </si>
  <si>
    <t>A man is seen creating sparks onto a metal pole while moving it along the side.</t>
  </si>
  <si>
    <t>He then puts the torch down and zooms in on the bar.</t>
  </si>
  <si>
    <t>v_rGuOU8U5Bvk</t>
  </si>
  <si>
    <t>A person is walking a horse in an arena.</t>
  </si>
  <si>
    <t>They begin to brush the horse's fur.</t>
  </si>
  <si>
    <t>They brush the ear of the horse.</t>
  </si>
  <si>
    <t>They brush the face of the horse.</t>
  </si>
  <si>
    <t>v_P9I3zxNUu74</t>
  </si>
  <si>
    <t>A man with two children are seen speaking to the camera with one throwing his hands up and leading into them moving quickly.</t>
  </si>
  <si>
    <t>The kids stand on a chair taking ornaments off a tree while moving back and fourth to the table to place the objects.</t>
  </si>
  <si>
    <t>The kids then sweep up the floor while dancing and having fun and end by all waving to the camera.</t>
  </si>
  <si>
    <t>v_zJKedNWsZKY</t>
  </si>
  <si>
    <t>A man is seen sitting on a piece of exercise equipment and begins moving himself back and fourth on the machine.</t>
  </si>
  <si>
    <t>The man continues moving back an fourth while pulling his body back and ends by unhooking himself and moving his feet.</t>
  </si>
  <si>
    <t>v_xa-zOtV3uPU</t>
  </si>
  <si>
    <t>A dealer is dealing cards at a blackjack table.</t>
  </si>
  <si>
    <t>People are sitting around the table playing.</t>
  </si>
  <si>
    <t>A man in a white shirt is standing up next to the table.</t>
  </si>
  <si>
    <t>v_lGwUq5vZGEk</t>
  </si>
  <si>
    <t>A young girl is demonstrating how to do a braid in layered hair.</t>
  </si>
  <si>
    <t>She begins by brushing her hair down.</t>
  </si>
  <si>
    <t>Then she brings all of her hair to her right side and starts braiding the hair on a single braid.</t>
  </si>
  <si>
    <t>She then takes a hair tie and ties it around the bottom of her braid.</t>
  </si>
  <si>
    <t>She takes some hair gel out of an orange container and uses it on the tips of her braid to smoothen the hair.</t>
  </si>
  <si>
    <t>She further braids the bottom part of her braid till the end and ties another hair tie around it.</t>
  </si>
  <si>
    <t>Then she takes a bobby pin and pins the short hair in the front to back of her head.</t>
  </si>
  <si>
    <t>She secures the pin into her hair and waves good bye.</t>
  </si>
  <si>
    <t>v_mA4wEXlASpc</t>
  </si>
  <si>
    <t>Two people are seen standing ready with one running down a track and into a sand pit.</t>
  </si>
  <si>
    <t>The man lays down while another raises a flag and walks away from the track.</t>
  </si>
  <si>
    <t>v_w9M6GUCtoQQ</t>
  </si>
  <si>
    <t>An girl is seen sitting at a table holding various objects in her hands and pushing them all together.</t>
  </si>
  <si>
    <t>She then rubs a needle on a cotton ball then pushing it onto a pencil and wrapping thread around it.</t>
  </si>
  <si>
    <t>She then holds up a box of a product and then pouring several liquids into a bowl.</t>
  </si>
  <si>
    <t>She then dips the needle in ink and using the pencil to draw a design on her leg, rubbing it off with a rag in the end.</t>
  </si>
  <si>
    <t>v_fpWOf1DR1oA</t>
  </si>
  <si>
    <t>A predominately dark dart board is empty.</t>
  </si>
  <si>
    <t>A guy throws a dart at the dart board.</t>
  </si>
  <si>
    <t>The dart hits the bullseye.</t>
  </si>
  <si>
    <t>v_dAdCETrsDQw</t>
  </si>
  <si>
    <t>A small group of people are seen walking the red carpet and speaking to one another.</t>
  </si>
  <si>
    <t>An athlete is then seen speaking with a new host and several shots of him playing and riding a horse are shown.</t>
  </si>
  <si>
    <t>More clips are shown of him playing a sport and speaking to the host and shaking his hand.</t>
  </si>
  <si>
    <t>v_Gn651vGKC2I</t>
  </si>
  <si>
    <t>A woman makes a tattoo in the arm of a girl while cleaning with a tissue.</t>
  </si>
  <si>
    <t>The girl makes pain gestures in the face.</t>
  </si>
  <si>
    <t>v_WUOiJOqrHlI</t>
  </si>
  <si>
    <t>A shot of the movie Forest Gump is shown with the man playing ping pong in several shots and him laughing in the end.</t>
  </si>
  <si>
    <t>More clips are shown of the actors playing with one another and a man showing the footage on a computer while speaking to the camera.</t>
  </si>
  <si>
    <t>Tom Hanks is interviewed several times about the event and then sits down in the end while playing.</t>
  </si>
  <si>
    <t>v_4y8mMJkvAR4</t>
  </si>
  <si>
    <t>A woman dressed in all black with a visor and sunglasses is talking holding a paddle.</t>
  </si>
  <si>
    <t>Once she is done talking,she begins kayaking with her white dog between her legs.</t>
  </si>
  <si>
    <t>Now the woman is out of the water and begins doing arm exercises with the paddle behind her head lifting it up and down.</t>
  </si>
  <si>
    <t>She then adds the legs and begins doing lunges in the grass before she continues to do curls with her hands.</t>
  </si>
  <si>
    <t>The lady has now moved to a patio an is laying down flat on her back doing leg exercises.</t>
  </si>
  <si>
    <t>v_485Wn1DXt5U</t>
  </si>
  <si>
    <t>A girl is standing outside in a field talking and hula hooping.</t>
  </si>
  <si>
    <t>Another girl then tries to do the same thing but she isn't successful.</t>
  </si>
  <si>
    <t>The first girl comes back and does it effortlessly as the second girl still struggles.</t>
  </si>
  <si>
    <t>For the last round,the girl begins to hula hoop and drinks soda and runs across the grass.</t>
  </si>
  <si>
    <t>v_Y1f_NXMfD98</t>
  </si>
  <si>
    <t>A black and brown down is standing up against the wall as a person moves a vacuum like machine back and forth over his fur.</t>
  </si>
  <si>
    <t>After his back is done,the person does the legs then lifts his tail up and does the but hole and the dog begins to walk away.</t>
  </si>
  <si>
    <t>The women then has to grab the dog and hold him to finish her task.</t>
  </si>
  <si>
    <t>Once complete,she takes the hair out of the vacuum and dumps it into a big black trash bag.</t>
  </si>
  <si>
    <t>v_yj7YkvTZ4zw</t>
  </si>
  <si>
    <t>A blonde women runs jumps and twist a lands on the padding.</t>
  </si>
  <si>
    <t>Another woman runs and jumps and she doesn't make it she falls onto the grass.</t>
  </si>
  <si>
    <t>She completely missed the jump altogether and hits the pole down when she falls.</t>
  </si>
  <si>
    <t>She is laughing down on the ground and a man comes up to help her up.</t>
  </si>
  <si>
    <t>v_Q8EoKJNm4mc</t>
  </si>
  <si>
    <t>a group of people are sitting in a sauna fully clothed.</t>
  </si>
  <si>
    <t>One guy stands up with a violin.</t>
  </si>
  <si>
    <t>The guy begins playing the violin and dancing.</t>
  </si>
  <si>
    <t>The guy kicks his shoe off while dancing.</t>
  </si>
  <si>
    <t>The guy sits down and plays the violin.</t>
  </si>
  <si>
    <t>v_rABAqfLcssA</t>
  </si>
  <si>
    <t>A person is seen riding a board with a kite along the ocean moving at a fast pace.</t>
  </si>
  <si>
    <t>The person continues riding along and eventually crashes while the camera zooms in on the rider.</t>
  </si>
  <si>
    <t>v_5wkGeYBS7hQ</t>
  </si>
  <si>
    <t>A group of boys are standing in a room with many clear cups of beer on a table they are all standing around.</t>
  </si>
  <si>
    <t>The boys talk, laugh and tease each other before beginning a game of beer pong across a long table using a triangle shaped array of clear cups.</t>
  </si>
  <si>
    <t>One of the ping pongs lands in the cup and one of the boys begins to drink the beer.</t>
  </si>
  <si>
    <t>The group continue to play beer pong when one final player is able to throw and land a ping pong ball while standing with his back to the cups at which point the boys celebrate, and laugh.</t>
  </si>
  <si>
    <t>v_zyi4NVylqB0</t>
  </si>
  <si>
    <t>A small group of people are seen shaking hands and standing together followed by a man blowing a whistle and people running around.</t>
  </si>
  <si>
    <t>The people then play a game of soccer with one another, running up and down the sandy field while coaches yell on the side and a goal is blocked.</t>
  </si>
  <si>
    <t>v_6jxqb8FyWnQ</t>
  </si>
  <si>
    <t>Two men are shown sitting at a table with their arms crossed one another.</t>
  </si>
  <si>
    <t>They grab each other's hand and begin an arm wrestling match with one yelling to the other.</t>
  </si>
  <si>
    <t>One almost wins but the other pulls back quickly and wins while screaming and pushing.</t>
  </si>
  <si>
    <t>v_OxPzQ4yqfwg</t>
  </si>
  <si>
    <t>An older woman sitting at the table reading her paper work.</t>
  </si>
  <si>
    <t>Her husband comes up behind her and reads through it with her.</t>
  </si>
  <si>
    <t>Roofers are on the roof fixing some issues, putting in some new shingles.</t>
  </si>
  <si>
    <t>A woman on the phone with the company walks up and hands the phone to her husband.</t>
  </si>
  <si>
    <t>v_b5SYTLjp6HI</t>
  </si>
  <si>
    <t>A man walks into a gym and bends in front of a weight.</t>
  </si>
  <si>
    <t>the man tries to lift the weight two times and drops it.</t>
  </si>
  <si>
    <t>The man lifts the weight three times and walks away.</t>
  </si>
  <si>
    <t>The man lifts the weight two times.</t>
  </si>
  <si>
    <t>the man lifts the weight three times and walks away.</t>
  </si>
  <si>
    <t>The man lifts the weight two tines and removes his weight lifting belt.</t>
  </si>
  <si>
    <t>v_DCCD1fufXfY</t>
  </si>
  <si>
    <t>The little girl went out of the room.</t>
  </si>
  <si>
    <t>The boy get the bottle under the bed and is holding it and then drink it.</t>
  </si>
  <si>
    <t>The boy went back to bed and pretend to sleep while the girl went back in the room.</t>
  </si>
  <si>
    <t>v_6kBo1TR--dk</t>
  </si>
  <si>
    <t>A large group of people are seen wandering around an area with a woman running past them.</t>
  </si>
  <si>
    <t>The woman is seen speaking to the camera and continues to run around the beach area.</t>
  </si>
  <si>
    <t>She runs along the boardwalk as well as past people and ends with her running a race and being interviewed.</t>
  </si>
  <si>
    <t>v_K-pwTH9ubkE</t>
  </si>
  <si>
    <t>A persons hands are seen playing a piano that pans away from the person playing.</t>
  </si>
  <si>
    <t>People are seen smiling and waving to the camera while the man continues to play the piano.</t>
  </si>
  <si>
    <t>The camera captures him from all over playing the piano as well as singing to the camera.</t>
  </si>
  <si>
    <t>v_IlD4gfHmWIg</t>
  </si>
  <si>
    <t>A gymnast wearing a magenta leotard is performing on the horse bar.</t>
  </si>
  <si>
    <t>There is a panel of judges sitting across from her and evaluating her.</t>
  </si>
  <si>
    <t>She stands up straight on the bar and does a twist and pummel.</t>
  </si>
  <si>
    <t>She continues to successfully do front flips on the horse bar.</t>
  </si>
  <si>
    <t>She completes her round after she jumps off of the horse bar doing a back flip.</t>
  </si>
  <si>
    <t>Then the gymnast walks away from the performing area.</t>
  </si>
  <si>
    <t>v_fm6UhMKF8DU</t>
  </si>
  <si>
    <t>Several shots of a bridge are shown as well as a sign and people standing on the ledge.</t>
  </si>
  <si>
    <t>Two men then bungee jump off the side of the bridge and are shown swinging up using their legs.</t>
  </si>
  <si>
    <t>v_P79nFNUaysw</t>
  </si>
  <si>
    <t>A man is seen speaking to the camera and leads into shots of water boiling in a pot.</t>
  </si>
  <si>
    <t>He takes a bite of the of the pasta and ends with him still smiling to the camera.</t>
  </si>
  <si>
    <t>v_sEvP3GFbLdw</t>
  </si>
  <si>
    <t>A close up of a couch is seen followed by a person walking in and out of frame.</t>
  </si>
  <si>
    <t>The person then sits down and holds their feet up.</t>
  </si>
  <si>
    <t>The person then puts a pair of shoes on and walks out of frame.</t>
  </si>
  <si>
    <t>v_5MuLI6Plf-Y</t>
  </si>
  <si>
    <t>A man wearing a black shirt is sitting and playing the guitar in front of a black backdrop.</t>
  </si>
  <si>
    <t>Initially he starts to play the guitar slowly to find the proper rhythm.</t>
  </si>
  <si>
    <t>Than he starts to play the notes faster and faster.</t>
  </si>
  <si>
    <t>In the end he looks at the guitar and adjusts his fingers as he finishes playing the song .</t>
  </si>
  <si>
    <t>v_RNA9HtKreug</t>
  </si>
  <si>
    <t>We see people putting electronics on a foosball table.</t>
  </si>
  <si>
    <t>We see the bars moving and then see two men sitting at the table.</t>
  </si>
  <si>
    <t>We see a group of people playing foosball in a narrow room.</t>
  </si>
  <si>
    <t>v_HppLOtjJY_Q</t>
  </si>
  <si>
    <t>A large group of people are standing on a bridge.</t>
  </si>
  <si>
    <t>They are looking into the rapid waters below.</t>
  </si>
  <si>
    <t>Several people on canoes come through the bridge, which is the finish line.</t>
  </si>
  <si>
    <t>v_OmE9IhdWFa0</t>
  </si>
  <si>
    <t>A model wearing a bikini opens directs the scene and talks behind an I-Pad screen.</t>
  </si>
  <si>
    <t>A meal is cooked in a frying pan.</t>
  </si>
  <si>
    <t>People ride on a boat and catch fish.</t>
  </si>
  <si>
    <t>Surfers ride large waves in the ocean.</t>
  </si>
  <si>
    <t>Jet skis pull surfers towards waves in the ocean.</t>
  </si>
  <si>
    <t>v_XiG7rgPoKKI</t>
  </si>
  <si>
    <t>We see team of boaters in a competition in the sea.</t>
  </si>
  <si>
    <t>We see the race start and the boaters take off.</t>
  </si>
  <si>
    <t>They pass a small boat in the water.</t>
  </si>
  <si>
    <t>We see one team up close.</t>
  </si>
  <si>
    <t>We see a score board on the screen.</t>
  </si>
  <si>
    <t>The racers pass a banner and we see the green team again.</t>
  </si>
  <si>
    <t>The race is finished and we see the crowd clapping.</t>
  </si>
  <si>
    <t>We see the final scores and the scene ends.</t>
  </si>
  <si>
    <t>v_2FjaU9wfxaU</t>
  </si>
  <si>
    <t>A woman is seen hosting a news segment with a man and leads into a person bring out a dog and petting the dog.</t>
  </si>
  <si>
    <t>The man then demonstrates how to properly groom the dog while the host continues to speak and pet the dog.</t>
  </si>
  <si>
    <t>v_Ckkf840HZE4</t>
  </si>
  <si>
    <t>A man is seen riding around on the water wake boarding behind a boat.</t>
  </si>
  <si>
    <t>The man is shown in several clips performing a trick with camera affects point to his movements.</t>
  </si>
  <si>
    <t>The man continues to ride around on the board while text appears to give instructions.</t>
  </si>
  <si>
    <t>v_GKy0MNJZxDc</t>
  </si>
  <si>
    <t>There is a large gymnasium where three gymnasts are performing gymnastics.</t>
  </si>
  <si>
    <t>There's one gymnast in orange leotards swinging on the rod and another gymnast next to him also swinging on the bars.</t>
  </si>
  <si>
    <t>They both swing upside down and stand on their hands for a few seconds before swinging back down.</t>
  </si>
  <si>
    <t>The third gymnast is performing behind them, doing front and back flips.</t>
  </si>
  <si>
    <t>The gymnast in the orange leotards does another front swing and then gets off the bars and walks away.</t>
  </si>
  <si>
    <t>v_33SI8z8PovA</t>
  </si>
  <si>
    <t>A black female is shown in a room with a black scarf around her head.</t>
  </si>
  <si>
    <t>Black spots on her faced are then zoomed in on and she begins to apply something on it.</t>
  </si>
  <si>
    <t>Next,she takes some spray and it makes her skin extremely oily and she continues to talk until the video is over.</t>
  </si>
  <si>
    <t>v_vcCwvRYqU2I</t>
  </si>
  <si>
    <t>We see a tree with leaves blowing int he wind.</t>
  </si>
  <si>
    <t>A man rakes his yard and talks to the camera.</t>
  </si>
  <si>
    <t>The man chooses a rake from four.</t>
  </si>
  <si>
    <t>The man throws some grass in the garbage.</t>
  </si>
  <si>
    <t>The man picks up and smells a twig with leaves.</t>
  </si>
  <si>
    <t>The man throws his rake into the yard.</t>
  </si>
  <si>
    <t>The man sprinkles leaves into the yard and rakes them up.</t>
  </si>
  <si>
    <t>We then see the twigs and leaves again.</t>
  </si>
  <si>
    <t>v_k8C1Jb_xvh0</t>
  </si>
  <si>
    <t>A male worker walks up to an elephant.</t>
  </si>
  <si>
    <t>He gives the elephant a dart.</t>
  </si>
  <si>
    <t>The elephant and a woman take turns throwing darts at their targets.</t>
  </si>
  <si>
    <t>v_Dv2T0R7HVBQ</t>
  </si>
  <si>
    <t>A young man is seen sitting at the bottom of a pool.</t>
  </si>
  <si>
    <t>He begins moving closer to the camera while smiling.</t>
  </si>
  <si>
    <t>He then bumps into the wall and moves upwards.</t>
  </si>
  <si>
    <t>v_V8gr2EMHNwQ</t>
  </si>
  <si>
    <t>Various shots are shown of the ocean as well as boats riding along the water.</t>
  </si>
  <si>
    <t>People are seen laying on beaches as well as speaking to one another and riding behind boats.</t>
  </si>
  <si>
    <t>Close ups of fish are seen as well as people riding around and surfing the water.</t>
  </si>
  <si>
    <t>v__--nxrRXdPg</t>
  </si>
  <si>
    <t>Athletes performs high jump successfully in a stadium full of people.</t>
  </si>
  <si>
    <t>An athlete jumps, but touch the horizontal rod.</t>
  </si>
  <si>
    <t>Other athletes perform high jump in a competition on front a crow.</t>
  </si>
  <si>
    <t>v_wBgU5jXb_V4</t>
  </si>
  <si>
    <t>A woman is walking her horse out to a field to ride.</t>
  </si>
  <si>
    <t>The horses tail is braided back and she is wearing pink.</t>
  </si>
  <si>
    <t>The lady gets on the horse and ride it around hitting a ball around.</t>
  </si>
  <si>
    <t>The horses tail is no longer braided as they ride around in the sand.</t>
  </si>
  <si>
    <t>v_JaBA8V-nuDg</t>
  </si>
  <si>
    <t>Three women are sitting in a room behind the table knitting scarves and hats before a logo appears.</t>
  </si>
  <si>
    <t>They all reappear and begin knitting a purple scarf as they talk.</t>
  </si>
  <si>
    <t>Next,each lady begins to talk and show pictures of who they are making the special garment for.</t>
  </si>
  <si>
    <t>v_Yp9WuBrgbI4</t>
  </si>
  <si>
    <t>The shirtless man is doing crunches.</t>
  </si>
  <si>
    <t>The woman is doing crunches while her legs is on a machine.</t>
  </si>
  <si>
    <t>The woman is holding the man's feet as he crunches.</t>
  </si>
  <si>
    <t>The man is moving his legs while he has big yoga ball under his legs.</t>
  </si>
  <si>
    <t>v_TTDruR5Vin4</t>
  </si>
  <si>
    <t>Two bikers are riding their motor bikes through rough terrain.</t>
  </si>
  <si>
    <t>They are dressed in biking gear with protective helmets and clothing.</t>
  </si>
  <si>
    <t>They are going on hilly slopes and uneven terrain on their motorbikes.</t>
  </si>
  <si>
    <t>They go through extremely steep and dangerous dirt roads at high speed.</t>
  </si>
  <si>
    <t>They also go over ramps created in the dirt road.</t>
  </si>
  <si>
    <t>They continue biking through the dirt at high speed as they create a cloud of dust behind them.</t>
  </si>
  <si>
    <t>v_UYcpD3r6Ol0</t>
  </si>
  <si>
    <t>A black screen appears and a black triangle with blue and green lights illuminating from it appear in the middle and red fancy lettering appear in the middle and read "Lovey's Nails".</t>
  </si>
  <si>
    <t>More lettering appear on different black screens and together they read "MALEFICENT NAILS"and "FOR EASIER USE RED NAIL TIPS IF YOU HAVE USA PUNTAS ROJAS SI TIENES".</t>
  </si>
  <si>
    <t>The woman is now removing nail polish from her nails on her left hand ,applies oil, then super glues fake nails onto her left hand and cuts the fake tipped nails into a pointed shape.</t>
  </si>
  <si>
    <t>The woman then opens up a small container of red thick liquid, takes a paint brush and applies it to her fake pointy tipped nails and applies a few coats onto each fake tipped nail, then once the red is dried she then applies flesh colored thick liquid over the entire nail include the red tips, shapes them, files,sands them down, then brushes off the powder with a brush.</t>
  </si>
  <si>
    <t>The woman then paints the top of the nails with a clear coat, then turns the nails over and paints the underside as well and puts her two hands together to show how it looks on the underside as well as the topside.</t>
  </si>
  <si>
    <t>The woman is now showing a close up of her face as she shows the near her face, then holds up a MAC lipstick that's named "Russian Red" and she applies it to her lips then smiles and shows of her newly done nails and lips by showing it at a few angles, and then finishing with still shot pictures and the word Shio on the last still shot.</t>
  </si>
  <si>
    <t>v_tAleUKVZCD8</t>
  </si>
  <si>
    <t>Two teams play ice hockey the white team scores, and people in the bleaches cheers, then the red teams scores for his team, then they continue playing.</t>
  </si>
  <si>
    <t>The white team scores and players hug each other, the crowd applauds.</t>
  </si>
  <si>
    <t>After the red team score.</t>
  </si>
  <si>
    <t>The players go to dressing rooms in the half time.</t>
  </si>
  <si>
    <t>Then, the players continue playing and the red team scores and wins the competition.</t>
  </si>
  <si>
    <t>v_iGXUvIRX77c</t>
  </si>
  <si>
    <t>People are playing the drums in a room.</t>
  </si>
  <si>
    <t>They begin marching back and forth in the room.</t>
  </si>
  <si>
    <t>A person in the back is playing the symbols.</t>
  </si>
  <si>
    <t>v_DRWMUsADKFM</t>
  </si>
  <si>
    <t>A camera pans around a room and leads into a room rubbing paper down and putting a box in the middle.</t>
  </si>
  <si>
    <t>The woman wraps the box up in paper and pushing in the sides.</t>
  </si>
  <si>
    <t>She tapes up the sides and uses a ribbon to tie the box up and ends by unwrapping it and showing what's inside.</t>
  </si>
  <si>
    <t>v_Qt2ktBj1l-Y</t>
  </si>
  <si>
    <t>The typing noise from the typewriter is going in the beginning and the title of a story that was typed is shown.</t>
  </si>
  <si>
    <t>Then two men are shown shoveling snow outside off of statues and the ground and when they're done, someone falls to the ground.</t>
  </si>
  <si>
    <t>v_kPbae85fofk</t>
  </si>
  <si>
    <t>People including security guards are standing behind a fence in a mall.</t>
  </si>
  <si>
    <t>We see a young man in a fancy jacket talk and throw darts across the room.</t>
  </si>
  <si>
    <t>The man stops throwing and ducks down for a moment then continues to throw.</t>
  </si>
  <si>
    <t>A lady wipes something off the mans face and the man and his entourage begin to leave the area.</t>
  </si>
  <si>
    <t>v_ResZdSbk9kE</t>
  </si>
  <si>
    <t>man wearing a blue helmet is kayaking in river showing how to use a row.</t>
  </si>
  <si>
    <t>man in river is sitting in yellow kayak holding a row.</t>
  </si>
  <si>
    <t>man is fighting against the current in a kayak.</t>
  </si>
  <si>
    <t>v_pQof_-tUNtY</t>
  </si>
  <si>
    <t>We see a box on fabric.</t>
  </si>
  <si>
    <t>A person wraps the box in the fabric and ties it up.</t>
  </si>
  <si>
    <t>We see the person wrap to bottles in the fabric together.</t>
  </si>
  <si>
    <t>They then put two bottles in a bag and tie it.</t>
  </si>
  <si>
    <t>v_eAIJhHmdjmk</t>
  </si>
  <si>
    <t>We see the green opening screens.</t>
  </si>
  <si>
    <t>We then see a person shovel snow with a pusher.</t>
  </si>
  <si>
    <t>We see an title screen.</t>
  </si>
  <si>
    <t>We we a man plowing an ice rink with his shovel.</t>
  </si>
  <si>
    <t>We then see the product screen.</t>
  </si>
  <si>
    <t>v_5kCv4zwc7-I</t>
  </si>
  <si>
    <t>A girl in a blue shirt holds up a pack of fake finger nails.</t>
  </si>
  <si>
    <t>She sticks them onto her finger nails.</t>
  </si>
  <si>
    <t>She is showing her finger nails to the camera.</t>
  </si>
  <si>
    <t>v_dAjhBWalWRM</t>
  </si>
  <si>
    <t>A group of people stand in front of a blackjack table.</t>
  </si>
  <si>
    <t>The blackjack attendant places cards on the table.</t>
  </si>
  <si>
    <t>v_yfikZ4E_uko</t>
  </si>
  <si>
    <t>Liquid is shown being poured into a bowl, followed by a person slicing up a pineapple and apple and mixing them into a bowl.</t>
  </si>
  <si>
    <t>The person then cuts up more fruits and adds it to the bowl and mixes it all around together to create a fruit bowl.</t>
  </si>
  <si>
    <t>v_lb-TlBtrKcU</t>
  </si>
  <si>
    <t>A woman is outside in a large green field talking,holding up a bow and arrow in front of a white paper with a large target.</t>
  </si>
  <si>
    <t>Before she begins,she assembles the bow in the arrow and hits the board.</t>
  </si>
  <si>
    <t>She then demonstrates the proper way to put the bow in their again and how you should hold the arrow before releasing it.</t>
  </si>
  <si>
    <t>After,a row of people are shown and they all begin to shoot their bows and arrows.</t>
  </si>
  <si>
    <t>v_KwY8nf4MqR4</t>
  </si>
  <si>
    <t>A small boy wearing a blue and yellow hoodie and gray sweat pants in standing in an outdoor tennis court.</t>
  </si>
  <si>
    <t>He is holding a blue racket as he bounces the yellow and orange tennis ball on the court.</t>
  </si>
  <si>
    <t>He starts with his first serve where the ball hits the net.</t>
  </si>
  <si>
    <t>Then he takes another ball, bounces it and serves again.</t>
  </si>
  <si>
    <t>The ball goes over the net and falls on the other side of the court.</t>
  </si>
  <si>
    <t>He gets another ball for the third time and drops it off his hands while trying to serve.</t>
  </si>
  <si>
    <t>v_-boJqGIgV9I</t>
  </si>
  <si>
    <t>A small girl is at an amusement park dart rewards game.</t>
  </si>
  <si>
    <t>A lady who is working at the stand comes and asks her how many darts she would like to use, she gives the girl the darts.</t>
  </si>
  <si>
    <t>The girl starts throwing darts, she is only able to hit one balloon, she asks for help but does not get it.</t>
  </si>
  <si>
    <t>v_oTsTx2BhtgY</t>
  </si>
  <si>
    <t>We see the title on a black background.</t>
  </si>
  <si>
    <t>We see a knife and sharpener and a man holding them.</t>
  </si>
  <si>
    <t>We see the man cut a tomato and paper.</t>
  </si>
  <si>
    <t>The person uses a sharpens and then cuts the tomato, and paper easily.</t>
  </si>
  <si>
    <t>Sharpen a different knife and cuts a tomato and shows us the sharpener.</t>
  </si>
  <si>
    <t>v_sY8TfKQHe5w</t>
  </si>
  <si>
    <t>A commercial advertising a pumpkin cutter, a pumpkin knife, and a pumpkin light is shown using a family of two boys and one mother preparing pumpkins for the demonstration.</t>
  </si>
  <si>
    <t>A little boy is shown using a pumpkin cutter to cut faces into a pumpkin.</t>
  </si>
  <si>
    <t>The boy is then shown scooping out a pumpkin using a pumpkin scoop.</t>
  </si>
  <si>
    <t>A boy is then shown placing a pumpkin light inside of a pumpkin as the mother leans in and smiles between the two boys and the finished pumpkins which now have carved faces with glowing lights inside.</t>
  </si>
  <si>
    <t>v_K1z2fiB9pUM</t>
  </si>
  <si>
    <t>Dozens of people are seen riding up a large, dusty hill while the camera pans around people riding on dirt bikes.</t>
  </si>
  <si>
    <t>The people ride all along the path while several others watch on the side and follow the riders as the continue riding along the track.</t>
  </si>
  <si>
    <t>v_C-M4L_WDzK8</t>
  </si>
  <si>
    <t>A group of women play field hockey on an outdoor field covered in grass .</t>
  </si>
  <si>
    <t>The women run after a white ball on the field while holding hockey sticks.</t>
  </si>
  <si>
    <t>The red team and blue team continue to play field hockey while a referee watches on and a guard guards the goal.</t>
  </si>
  <si>
    <t>v_Gba1MksaNBQ</t>
  </si>
  <si>
    <t>Some men are playing pool as three boxer dogs watch.</t>
  </si>
  <si>
    <t>The boxers stand by the pool table, trying to snap at the balls as they are shot with the cues.</t>
  </si>
  <si>
    <t>v_5WCgpt2bEJw</t>
  </si>
  <si>
    <t>A man sets a timer on a table.</t>
  </si>
  <si>
    <t>He then tries to solver a color block puzzle.</t>
  </si>
  <si>
    <t>He finishes the puzzle in only slightly over 8 seconds.</t>
  </si>
  <si>
    <t>v_aKvCtSitxJY</t>
  </si>
  <si>
    <t>A girl is standing with a hula hoop in her hand.</t>
  </si>
  <si>
    <t>The girl talks to the camera.</t>
  </si>
  <si>
    <t>The girl demonstrates the hula hoop.</t>
  </si>
  <si>
    <t>The girl drops the hula hoop and poses.</t>
  </si>
  <si>
    <t>v_1AEZ9fDDkz4</t>
  </si>
  <si>
    <t>A line of bikers prepare for a dirt bike race.</t>
  </si>
  <si>
    <t>They take off, racing over hills and around sharp corners, some falling off their bikes and kicking it angrily.</t>
  </si>
  <si>
    <t>v_DbuQn8EOJx0</t>
  </si>
  <si>
    <t>A boy sits in a room and talks to a camera while holding a demonstrating how to use an electronic cigarette.</t>
  </si>
  <si>
    <t>The boy unscrews the cigarette to reveal the inside mechanism.</t>
  </si>
  <si>
    <t>The boy puts the cigarette back together and begins to smoke it as a woman walks by in the background, and then he continues to talk to the camera.</t>
  </si>
  <si>
    <t>v_Zso0ZBs2y6E</t>
  </si>
  <si>
    <t>Close ups of fabric are shown and leads to a man putting them on a wall and a woman speaking to a great of men.</t>
  </si>
  <si>
    <t>A person lays out paper on a table and shows the men how to properly put wallpaper on.</t>
  </si>
  <si>
    <t>A man then speaks to the camera and ends with information being presented and the man putting down more paper.</t>
  </si>
  <si>
    <t>v_0K1SrDmREzs</t>
  </si>
  <si>
    <t>An athletic woman is seen standing in a circle moving in a slow motion holding a discuss.</t>
  </si>
  <si>
    <t>She then spins herself around while holding the object and then throwing it off the distance.</t>
  </si>
  <si>
    <t>v_BOckSaGr-uI</t>
  </si>
  <si>
    <t>A man in gray shirt is sitting on a chair.</t>
  </si>
  <si>
    <t>The man is pointing an empty canvas with his brush as he continue to talk.</t>
  </si>
  <si>
    <t>The man hold out his brush, dip the brush on the colors and began painting on the bigger canvas.</t>
  </si>
  <si>
    <t>v_7WfF6FrZEuU</t>
  </si>
  <si>
    <t>A woman is seen smiling and speaking to the camera.</t>
  </si>
  <si>
    <t>Another man is seen sitting behind her with another man in front.</t>
  </si>
  <si>
    <t>The woman continues speaking while the man in front cleans the other's shoes.</t>
  </si>
  <si>
    <t>v_RfXFS9fy-mI</t>
  </si>
  <si>
    <t>People are playing soccer in an indoor arena.</t>
  </si>
  <si>
    <t>They shoot and make a goal into the net.</t>
  </si>
  <si>
    <t>The players hug on the court.</t>
  </si>
  <si>
    <t>v_7uE2pMuAM8I</t>
  </si>
  <si>
    <t>A person polish a shoe with a wrapped finger.</t>
  </si>
  <si>
    <t>Then, the person grabs polish paste and water to polish the shoe.</t>
  </si>
  <si>
    <t>After, the person put a drop of water on the shoe and continues polishing.</t>
  </si>
  <si>
    <t>v_0h45uztur-o</t>
  </si>
  <si>
    <t>Wrapped presents are being shown lined up.</t>
  </si>
  <si>
    <t>A person is rolling out wrapping paper and using a ruler to hold it down.</t>
  </si>
  <si>
    <t>A box is set on top of the wrapping paper.</t>
  </si>
  <si>
    <t>The person begins wrapping the present.</t>
  </si>
  <si>
    <t>They are cutting the paper.</t>
  </si>
  <si>
    <t>They continue wrapping the present.</t>
  </si>
  <si>
    <t>They use tape to hold the paper on.</t>
  </si>
  <si>
    <t>They fold tissue paper to wrap around the middle of the box.</t>
  </si>
  <si>
    <t>They wrap curling ribbon around the box and tie it into a bow.</t>
  </si>
  <si>
    <t>The use the scissors to curl the ends of the bow.</t>
  </si>
  <si>
    <t>They stick a silver flower into the present.</t>
  </si>
  <si>
    <t>v_w6kBE7BHHeU</t>
  </si>
  <si>
    <t>This is a video for arm wrestling tips.</t>
  </si>
  <si>
    <t>A screen with caption is shown describing the video.</t>
  </si>
  <si>
    <t>There are two men at an arm wrestling table a man in a white t-shirt and glasses is informing on how to properly prepare for an arm wrestling match with stance, arm position, finger position, wrist placement, body position, body and arm movement.</t>
  </si>
  <si>
    <t>Another black screen appears with captions.</t>
  </si>
  <si>
    <t>The man in the white t-shirt shows several ways to stand during an arm wrestling match with both feet on the ground and wrapping one leg around the arm wrestling table.</t>
  </si>
  <si>
    <t>Another black screen appears with caption about finding arm wrestling clubs.</t>
  </si>
  <si>
    <t>The man in the glasses while still at the arm wrestling table with the other man gives a website address and social media sites.</t>
  </si>
  <si>
    <t>The screen goes black and there are credits rolling followed by a company name.</t>
  </si>
  <si>
    <t>v_sBx1HvNjs6s</t>
  </si>
  <si>
    <t>A bald man is talking and two pictures of a young male with nice hair flashes on the screen.</t>
  </si>
  <si>
    <t>The man then begins to work with a mannequin head that has a similar hairstyle as the boy in the pictures and he shows how the haircut was achieved while buzzing, cutting, combing and finger combing the hair.</t>
  </si>
  <si>
    <t>A black screen with white letters appear and they read "Thanks for wathing! Please subscribe!!".</t>
  </si>
  <si>
    <t>v_y-HkIwa-jWM</t>
  </si>
  <si>
    <t>An older man passes a ball to a group of small kids and eventually kicks the ball.</t>
  </si>
  <si>
    <t>The man runs as other kids run and runs all the way to home plate.</t>
  </si>
  <si>
    <t>A woman runs in front of the base with the ball and the man trips over her.</t>
  </si>
  <si>
    <t>He helps her up as they both.</t>
  </si>
  <si>
    <t>v_-qXqnltHWtE</t>
  </si>
  <si>
    <t>Cowboys compete in a rodeo competition.</t>
  </si>
  <si>
    <t>Men ride horses out of a gates and ropes a bull before dismounting and tying their its legs.</t>
  </si>
  <si>
    <t>The winner waves his hat and is congratulated by the other riders.</t>
  </si>
  <si>
    <t>v_GlvfqDfvbKA</t>
  </si>
  <si>
    <t>A man talks to the camera while seated at a drum set while another man plays drums in the background.</t>
  </si>
  <si>
    <t>The first man plays the drums.</t>
  </si>
  <si>
    <t>The first man stops playing and turns to the camera.</t>
  </si>
  <si>
    <t>v_OUfVZuWyqJQ</t>
  </si>
  <si>
    <t>We see the white opening screen.</t>
  </si>
  <si>
    <t>A man in jump stilts throws a bag over his shoulder and leaves a bank.</t>
  </si>
  <si>
    <t>The man in jump stilts runs from the cops on a city street.</t>
  </si>
  <si>
    <t>The man pushes through a market.</t>
  </si>
  <si>
    <t>The man jumps over a stroller being pushed by a lady.</t>
  </si>
  <si>
    <t>The man jumps over a truck and over a fence losing the cops.</t>
  </si>
  <si>
    <t>The man runs through a skate park down a city street and up stairs.</t>
  </si>
  <si>
    <t>The man opens the bag and counts his cash.</t>
  </si>
  <si>
    <t>v_9FaSaHgQSO8</t>
  </si>
  <si>
    <t>A large group of people are all seen riding around in bumper cars and driving around a track, bumping into one another.</t>
  </si>
  <si>
    <t>The people continue riding around and ends with a man and two children walking out.</t>
  </si>
  <si>
    <t>v_xE5KichXWrA</t>
  </si>
  <si>
    <t>An intro shows on the screen introducing a winter throwing video.</t>
  </si>
  <si>
    <t>A man does spins around in a circle and completes the throw celebrating his distance.</t>
  </si>
  <si>
    <t>He prepares for another throw by getting himself into position.</t>
  </si>
  <si>
    <t>He completes the throw and prepares for another.</t>
  </si>
  <si>
    <t>He completes the next throw and prepares for the next.</t>
  </si>
  <si>
    <t>He completes the last throw and again celebrates a good distance.</t>
  </si>
  <si>
    <t>The video ends with text displayed on the screen.</t>
  </si>
  <si>
    <t>v_mZxvYV53uf0</t>
  </si>
  <si>
    <t>Two girls are practicing dance moves in front of their television set in their living room.</t>
  </si>
  <si>
    <t>One of the girls is wearing a red shirt and the other is wearing a dark blue shirt.</t>
  </si>
  <si>
    <t>They are practicing ball room dancing.</t>
  </si>
  <si>
    <t>they take turns to swing and twirl around each other's hands as they go around in circles.</t>
  </si>
  <si>
    <t>They also follow a pattern of their leg movements as they follow the steps rhythmically.</t>
  </si>
  <si>
    <t>After they finish, they both giggle and walk away.</t>
  </si>
  <si>
    <t>v_k5wY4N61bzU</t>
  </si>
  <si>
    <t>A still image is pictured with the words Dog Walk Across America shown over it.</t>
  </si>
  <si>
    <t>A middle aged couple is then shown siting on logs talking with their dogs roaming behind them and another man sitting on a big boulder rock.</t>
  </si>
  <si>
    <t>Then several images of dogs are shown and then the woman reappears alone.</t>
  </si>
  <si>
    <t>Then another set of images are shown where the dogs are being helped by vets.</t>
  </si>
  <si>
    <t>The man then reappears with the lady and they begin to talk again.</t>
  </si>
  <si>
    <t>Lastly,the man walks off and a black screen appears showing multiple websites.</t>
  </si>
  <si>
    <t>v_wZeV6W1VEoM</t>
  </si>
  <si>
    <t>Some boys are inside a gym.</t>
  </si>
  <si>
    <t>They take turns stacking a pile of tires.</t>
  </si>
  <si>
    <t>After each addition, one of them jumps and stands at the top.</t>
  </si>
  <si>
    <t>v_s_hQSJVIN3c</t>
  </si>
  <si>
    <t>man is in a oofed gym stretching his leg and doing exercise in front of a chair.</t>
  </si>
  <si>
    <t>the man bend the other leg and stretch it.</t>
  </si>
  <si>
    <t>v_m5YvKrjGtPM</t>
  </si>
  <si>
    <t>A man kneels to grab a weight while a man watch him.</t>
  </si>
  <si>
    <t>A topless fat man practice weight lift behind the man.</t>
  </si>
  <si>
    <t>A person lift a weight on back.</t>
  </si>
  <si>
    <t>Then, the man lifts the weight, after he drops the weight to the floor.</t>
  </si>
  <si>
    <t>Again, the man kneels again and lift the weight above his head and then drop it.</t>
  </si>
  <si>
    <t>v_n9xULD7oYXc</t>
  </si>
  <si>
    <t>Two man sit at a table.</t>
  </si>
  <si>
    <t>The man closest to camera crochets.</t>
  </si>
  <si>
    <t>The man closest to camera scratches his ear.</t>
  </si>
  <si>
    <t>v_7GSCDxBSFsw</t>
  </si>
  <si>
    <t>A person holds a javelin and prepares to launch it.</t>
  </si>
  <si>
    <t>Then, the man runs and launch the javelin.</t>
  </si>
  <si>
    <t>v_htBt3oP9zuo</t>
  </si>
  <si>
    <t>A woman demonstrates how to apply wallpaper to a wall.</t>
  </si>
  <si>
    <t>A woman holds up the various tools needed to apply wallpaper.</t>
  </si>
  <si>
    <t>The woman demonstrates the process before applying the paper in short demonstration segments.</t>
  </si>
  <si>
    <t>The woman then begins to apply the wallpaper to a wall step by step.</t>
  </si>
  <si>
    <t>v_bqDxblFvgro</t>
  </si>
  <si>
    <t>A person's bare feet are shown walking up a flight of stairs.</t>
  </si>
  <si>
    <t>Then different men are shown diving in slow motion off the diving board into the water.</t>
  </si>
  <si>
    <t>Women and boys are also jumping, each landing in an outdoor pool.</t>
  </si>
  <si>
    <t>v_vbWdGj1sfO8</t>
  </si>
  <si>
    <t>A female is laying on her back exercising inside of a gym.</t>
  </si>
  <si>
    <t>She is wearing black and pink and just looks very comfortable while she works out.</t>
  </si>
  <si>
    <t>She brings her arms up and her legs up to the center of her body.</t>
  </si>
  <si>
    <t>She does that repeatedly for a little while.</t>
  </si>
  <si>
    <t>v_ruHObln9mwI</t>
  </si>
  <si>
    <t>the players rush the field and start fighting.</t>
  </si>
  <si>
    <t>A person punches someone in the head.</t>
  </si>
  <si>
    <t>The coach is trying to fight another coach.</t>
  </si>
  <si>
    <t>A man climbs over the balcony to try and fight.</t>
  </si>
  <si>
    <t>The red team gathers and hugs each other.</t>
  </si>
  <si>
    <t>v_RZqM8Z0ocjE</t>
  </si>
  <si>
    <t>A volleyball coach stands by a net holding a ball and speaks.</t>
  </si>
  <si>
    <t>Two groups of girls run out to the middle of a court to grab volleyballs.</t>
  </si>
  <si>
    <t>They throw the balls at each other.</t>
  </si>
  <si>
    <t>The coach is seen giving instructions.</t>
  </si>
  <si>
    <t>The girls continue to throw the balls at each other.</t>
  </si>
  <si>
    <t>Two girls stand by the sidelines talking.</t>
  </si>
  <si>
    <t>v_BZQb9uWULOc</t>
  </si>
  <si>
    <t>People are sitting bored in a lounge.</t>
  </si>
  <si>
    <t>A man walks in holding a portable beer pong table.</t>
  </si>
  <si>
    <t>The people get excited for him.</t>
  </si>
  <si>
    <t>They play a few rounds of beer pong.</t>
  </si>
  <si>
    <t>A man holds up a ping pong ball in front of a group of people.</t>
  </si>
  <si>
    <t>Text appears on the screen.</t>
  </si>
  <si>
    <t>v_5pqVrMgiMcs</t>
  </si>
  <si>
    <t>A skateboarder come rolling down a steep road.</t>
  </si>
  <si>
    <t>Skateboarders roll down the middle of public streets.</t>
  </si>
  <si>
    <t>The words "Fair Oaks Longboarding" along with credits appear over the skaters.</t>
  </si>
  <si>
    <t>v_KTNJc_NVOmg</t>
  </si>
  <si>
    <t>A cat is laying on its back on the couch.</t>
  </si>
  <si>
    <t>A person picks up the cat and lays it on their lap.</t>
  </si>
  <si>
    <t>They start clipping the cats nails.</t>
  </si>
  <si>
    <t>v_jaaWdcA_COY</t>
  </si>
  <si>
    <t>There is a woman in a bikini walking past people with hula hoops.</t>
  </si>
  <si>
    <t>She goes to the grass and she begins hooping in circles, she is having a really good time dancing and hooping.</t>
  </si>
  <si>
    <t>Then, other people are dancing around and hooping also, doing tricks and just enjoying the day.</t>
  </si>
  <si>
    <t>Everyone is watching as the two girls hoop around outside of the store.</t>
  </si>
  <si>
    <t>v_m0ZPQ8q4Qq4</t>
  </si>
  <si>
    <t>A little girl is outside on a snowy day.</t>
  </si>
  <si>
    <t>She is playing hopscotch which is drawn on the driveway.</t>
  </si>
  <si>
    <t>She hops along each square, then turns and goes back to the beginning.</t>
  </si>
  <si>
    <t>v_UzdI8PLRiXg</t>
  </si>
  <si>
    <t>A towel and glass are on a table next to a piece of foam and metal.</t>
  </si>
  <si>
    <t>A tool is being shown by a man holding it.</t>
  </si>
  <si>
    <t>The metal is used to sharpen a knife in front of him.</t>
  </si>
  <si>
    <t>v_MbEoZXWVc-I</t>
  </si>
  <si>
    <t>A group of people are seen hanging out around an area with several standing around a beer pong match.</t>
  </si>
  <si>
    <t>The people play beer pong back and fourth and a woman takes a drink in the end that is gross.</t>
  </si>
  <si>
    <t>v_nY8a1E4QH5Q</t>
  </si>
  <si>
    <t>A dance class is choreographing a routine and everyone is generally in sync with each other.</t>
  </si>
  <si>
    <t>They move back and forth, up and down, and shake their chests.</t>
  </si>
  <si>
    <t>v_iYH0Ol3xIZU</t>
  </si>
  <si>
    <t>A man in a white asian inspired outfit stands outdoors, surrounded by trees, on the grass, and performs several slow martial arts and meditation moves.</t>
  </si>
  <si>
    <t>The scene begins with a bare green patch of cut grass surrounded by tall trees and a building in the background beyond the foliage.</t>
  </si>
  <si>
    <t>The man runs into the frame into the center of the grass, centers himself and does a leg lift followed by several slow hand movements up and down and around.</t>
  </si>
  <si>
    <t>The man continues to perform slow martial arts moves using feet, hands, knees, and shoulders moving around the grass patch and sometime stomping his feet on the ground.</t>
  </si>
  <si>
    <t>v_kK9k01CtXnE</t>
  </si>
  <si>
    <t>This is a how to film on how to apply a seal to a roof.</t>
  </si>
  <si>
    <t>Black things are put on the side of the roof.</t>
  </si>
  <si>
    <t>The roof is sealed up.</t>
  </si>
  <si>
    <t>v_-Cefl3S_L-w</t>
  </si>
  <si>
    <t>A large group of people are seen playing a tug of war match with one another and pulling onto a rope against one another.</t>
  </si>
  <si>
    <t>The people continue playing with one another and ends with one team winning and the crowd cheering.</t>
  </si>
  <si>
    <t>v_YcDlkZkPb6g</t>
  </si>
  <si>
    <t>A graphic shows on the screen for a website about basketball drills.</t>
  </si>
  <si>
    <t>Some young men on an indoor basketball court are shown doing some of the basketball drills.</t>
  </si>
  <si>
    <t>An older man begins explaining the drills while more footage is shown of the players demonstrating them.</t>
  </si>
  <si>
    <t>The screen goes black and more text reminds the viewer to visit the website for more information.</t>
  </si>
  <si>
    <t>v_C26UfwZbHE0</t>
  </si>
  <si>
    <t>woman is talking to another standing in front of green lockers in a hallway, a man walks to the girls holding yellow roses on his hand.</t>
  </si>
  <si>
    <t>a woman walks in the hall holding a mouthwash and talking to the camera about it.</t>
  </si>
  <si>
    <t>woman is in front of a handwash cleaning his mouth with mouthwash.</t>
  </si>
  <si>
    <t>the woman is in the hall and talk to the boys and they seem impressed by her fresh breath.</t>
  </si>
  <si>
    <t>v_OmlzSz6AKfI</t>
  </si>
  <si>
    <t>A child in a helmet is shown.</t>
  </si>
  <si>
    <t>Several other children in helmets on bikes ride off of a ramp.</t>
  </si>
  <si>
    <t>A man runs along side them.</t>
  </si>
  <si>
    <t>The cross a finish line.</t>
  </si>
  <si>
    <t>v_PIr3WhkKB1o</t>
  </si>
  <si>
    <t>A special effect video clip appears with someone running on a treadmill and white words on the middle of the screen that read "CityNews HEALTH".</t>
  </si>
  <si>
    <t>A man and woman newscaster appear sitting on stools, both dressed in work attire and talking to the camera and to one another.</t>
  </si>
  <si>
    <t>The newscaster woman is now shown outdoors and talking to people on a beach, and clips of people sunbathing, applying suntan lotion, and different types of suntan lotions are show.</t>
  </si>
  <si>
    <t>The newscaster woman is now sitting on the beach, holding a bottle of suntan lotion and begins to apply lotion all over her arm.</t>
  </si>
  <si>
    <t>A new clip appears with the newscaster woman interviewing a Doctor, then a woman is shown sitting in a chair while the Doctor is standing up talking to her, and the banner below say's his name is "DR PAUL COHEN DERMATOLOGIST" and various clips of people playing in the sun play in between him talking.</t>
  </si>
  <si>
    <t>The newscaster woman is back indoors with the man she was shown with earlier and they end with a smile.</t>
  </si>
  <si>
    <t>v_QtCNHRtycmg</t>
  </si>
  <si>
    <t>Several clips are shown of men speaking to one another as well as riding on a dirt bike.</t>
  </si>
  <si>
    <t>More clips are shown of people riding around and cheering with one another.</t>
  </si>
  <si>
    <t>The riders continue to go around the track as well as show off jumps in the end.</t>
  </si>
  <si>
    <t>v_HD4aY4ATCFY</t>
  </si>
  <si>
    <t>a big burguer is in a table.</t>
  </si>
  <si>
    <t>woman is talking to the camera sanding i front of a wall with a lot of wallpapers.</t>
  </si>
  <si>
    <t>woman grab a sandwich and spread butter in it, then put pickles, cheddar cheese, jam and pork, then se put butter on top and toast it, when the sandwich is ready is cutted in the half and its being serve in a plate.</t>
  </si>
  <si>
    <t>v_DBGsPnuwdnU</t>
  </si>
  <si>
    <t>People are riding bumper cars on a brown floor.</t>
  </si>
  <si>
    <t>A boy's red bumper car gets stuck on the column.</t>
  </si>
  <si>
    <t>A lady in a black jilbab waves.</t>
  </si>
  <si>
    <t>The lady bumper car collides with a man's.</t>
  </si>
  <si>
    <t>A guy walks across the brown floor.</t>
  </si>
  <si>
    <t>v_PDEUAMa8aOU</t>
  </si>
  <si>
    <t>A man is seen putting products into a woman's hair followed by blow drying her hair and brushing it down.</t>
  </si>
  <si>
    <t>The person then cuts the woman's hair several inches while moving slower in the end.</t>
  </si>
  <si>
    <t>v_Z-6dR4H2dns</t>
  </si>
  <si>
    <t>a group of models are gathered at a car wash.</t>
  </si>
  <si>
    <t>Cars pull in, and the woman are using soap to soap down the cars.</t>
  </si>
  <si>
    <t>They then rinse and wipe the cars clean.</t>
  </si>
  <si>
    <t>v_e8w3gmiv-mM</t>
  </si>
  <si>
    <t>A little boy is playing on the jungle gym while a man talks to him and records.</t>
  </si>
  <si>
    <t>He goes up the stairs and slides down the slide several times.</t>
  </si>
  <si>
    <t>When he is done he goes over and hugs a lady in a wheelchair.</t>
  </si>
  <si>
    <t>v_2Mj26IwwEiY</t>
  </si>
  <si>
    <t>There's a home improvement specialist demonstrating how to remove wallpaper from walls.</t>
  </si>
  <si>
    <t>He starts of by preparing the space by moving furniture away from the walls and covering the furniture with plastic sheets for protection.</t>
  </si>
  <si>
    <t>He also removes the window treatments from windows.</t>
  </si>
  <si>
    <t>He shows how to take precautionary measures with respect to electrical wiring and switches and circuits.</t>
  </si>
  <si>
    <t>Then he shows how to use fans to ventilate the room.</t>
  </si>
  <si>
    <t>He takes a scour and begins to scour the wall paper.</t>
  </si>
  <si>
    <t>He uses a paint roller to soak the wall paper for easy removal.</t>
  </si>
  <si>
    <t>He then demonstrates how steam can be used too to loosen the wall paper.</t>
  </si>
  <si>
    <t>Then he begins to slowly peel off the paper from the wall.</t>
  </si>
  <si>
    <t>He re-wets the surface and uses a flat tool to remove any stubborn wall paper.</t>
  </si>
  <si>
    <t>He finally uses a sponge and soap water to clean the wall to remove any residual wall paper.</t>
  </si>
  <si>
    <t>He shows how to apply primer to prep the wall for painting.</t>
  </si>
  <si>
    <t>Information on how to use these techniques is provided on the Lowe's company website.</t>
  </si>
  <si>
    <t>v_EFtxSXp1pck</t>
  </si>
  <si>
    <t>chef is sanding in front of a coutner with chopped ingredients in different plates and talking to the camera.</t>
  </si>
  <si>
    <t>man spray oil on the pan and add the mix of the eggs and the vegetables.</t>
  </si>
  <si>
    <t>man is standing in the kitchen talking to the camera giving a recipe.</t>
  </si>
  <si>
    <t>v_OzRxQDkrhTg</t>
  </si>
  <si>
    <t>Two teams are on the field playa game trying to score.</t>
  </si>
  <si>
    <t>One of the players on the blue team falls down on the field.</t>
  </si>
  <si>
    <t>Another blue player gets the ball from out of bounds, puts it on the line and hits back into the game.</t>
  </si>
  <si>
    <t>Te coaches start jumping with joy as well as the players.</t>
  </si>
  <si>
    <t>v_ZdwkA72VMKE</t>
  </si>
  <si>
    <t>Two men are shuffling brooms across a floor with another pulling it on a string.</t>
  </si>
  <si>
    <t>One man follows behind and the two shuffling eventually move the puck into a hole.</t>
  </si>
  <si>
    <t>The three men cheer with each other and give each other big hugs.</t>
  </si>
  <si>
    <t>v_K1_g97xCqKg</t>
  </si>
  <si>
    <t>The video begins with a closeup of a tire in an auto shop.</t>
  </si>
  <si>
    <t>The cameraman uses his hand to show a specific spot on the tire and zooms in closer.</t>
  </si>
  <si>
    <t>The man puts down the camera and begins working on the tire.</t>
  </si>
  <si>
    <t>He grabs the camera again to show different screws.</t>
  </si>
  <si>
    <t>The video ends showing both sides of the tire.</t>
  </si>
  <si>
    <t>v_fT7dpRY0DTo</t>
  </si>
  <si>
    <t>The camera pans over the walls of a shower stall.</t>
  </si>
  <si>
    <t>A man plasters and installs tiles on the wall.</t>
  </si>
  <si>
    <t>The man applies grout to the gaps between the tiles.</t>
  </si>
  <si>
    <t>The man measures and cuts a tile for installation in the shower.</t>
  </si>
  <si>
    <t>The man installs the soap dish.</t>
  </si>
  <si>
    <t>Scrolling text is shown on a blue screen.</t>
  </si>
  <si>
    <t>v_TvNNx-ZFfDA</t>
  </si>
  <si>
    <t>There is a facility open just for beer pong games so people can come play.</t>
  </si>
  <si>
    <t>Everyone loves it and is excited to be there around other people that like to play.</t>
  </si>
  <si>
    <t>A lot of different groups are playing and talking about it as well as even playing rock paper scissors to see who gets to go first.</t>
  </si>
  <si>
    <t>Whoever is the winner gets a check at the end of the game.</t>
  </si>
  <si>
    <t>v_zrwpgILg7VI</t>
  </si>
  <si>
    <t>A large group of people are in a mall and are watching people set up an area with a large black floor and a large black wall.</t>
  </si>
  <si>
    <t>Suddenly there are lit up people wearing light suits that are dancing on the black area and they change from 1-7 people, and alternate suit colors from white, then to red and then back to white again.</t>
  </si>
  <si>
    <t>Their light suits go out and the dance is over.</t>
  </si>
  <si>
    <t>v_1oaJBEdY6ao</t>
  </si>
  <si>
    <t>A man driving a moving tractor steps around and looks towards the front.</t>
  </si>
  <si>
    <t>He begins moving again on the machine cutting the grass and steering the instrument.</t>
  </si>
  <si>
    <t>A man on a bike looks onward and laughs and the man eventually steps off.</t>
  </si>
  <si>
    <t>v_nLddpveoSHE</t>
  </si>
  <si>
    <t>A tattooo artist is shown, interspersed with the artists speaking to the camera, giving tattoos.</t>
  </si>
  <si>
    <t>They show various images of their finished work coupled with actiively injecting ink and making designs.</t>
  </si>
  <si>
    <t>v_g3InHLh678M</t>
  </si>
  <si>
    <t>A boy is walking across the stage with helmet and sword.</t>
  </si>
  <si>
    <t>The boy meets another boy where baby faces are shown on their faces.</t>
  </si>
  <si>
    <t>A man showing I'm bald words is above his head.</t>
  </si>
  <si>
    <t>The boys separate as question marks appear over their heads.</t>
  </si>
  <si>
    <t>A description of the video is shown.</t>
  </si>
  <si>
    <t>The boy s continue to spar across the stage.</t>
  </si>
  <si>
    <t>Pretend quotes are shown over their head and they continue to spar.</t>
  </si>
  <si>
    <t>The boy on the left turns into flames and they set back up and continue to spar.</t>
  </si>
  <si>
    <t>The stage lights up green and they separate and come back to spar.</t>
  </si>
  <si>
    <t>The stage lights up blue as silly quotes appear over the boy on the rights head.</t>
  </si>
  <si>
    <t>v__B3Q8bTJWG4</t>
  </si>
  <si>
    <t>A man rides a horse into an arena.</t>
  </si>
  <si>
    <t>He jumps off the horse and ties a calf.</t>
  </si>
  <si>
    <t>He stands up and gets back on his horse.</t>
  </si>
  <si>
    <t>Two people come and lay the calf down on the arena.</t>
  </si>
  <si>
    <t>v_WV_MFi9EZeQ</t>
  </si>
  <si>
    <t>A man is seen speaking to the camera while holding a scraper.</t>
  </si>
  <si>
    <t>He pushes the scraper along the car while speaking to the camera.</t>
  </si>
  <si>
    <t>In the end he slides down into the snow.</t>
  </si>
  <si>
    <t>v_8Ztw2YrUHRE</t>
  </si>
  <si>
    <t>A group of individuals are performing at a Holiday Baton Recital.</t>
  </si>
  <si>
    <t>The girls continue dancing,moving up and down and twirling the baton.</t>
  </si>
  <si>
    <t>The lights begin to flicker and the girls form a straight line in the back of the stage.</t>
  </si>
  <si>
    <t>During the recital,the girls do the same routine but instead of a horizontal line form a vertical one.</t>
  </si>
  <si>
    <t>Once they are done,they move towards the back of the stage and dance off behind the curtains.</t>
  </si>
  <si>
    <t>v_pwPid8YHHpU</t>
  </si>
  <si>
    <t>A man puts on a matador outfit in a room.</t>
  </si>
  <si>
    <t>A matador fights with a bowl using a red cape in a stadium.</t>
  </si>
  <si>
    <t>Boys practice using the red cape together in the arena.</t>
  </si>
  <si>
    <t>People get autographs from the matador and are seen on the street interviewing about the event.</t>
  </si>
  <si>
    <t>The bull runs and charges aft the matador from a distance.</t>
  </si>
  <si>
    <t>The matador cheers to the crowd with his back facing the bull.</t>
  </si>
  <si>
    <t>v_fxyqt18d-jo</t>
  </si>
  <si>
    <t>A man, in black t-shirt, stands alone in a kitchen, talks to a camera in an animated way and prepares a peanut butter and jelly sandwich.</t>
  </si>
  <si>
    <t>The man holds up a jar of peanut butter and a bottle of jelly after pulling out two pieces of bread while standing in front of a kitchen countertop.</t>
  </si>
  <si>
    <t>The man puts jelly and peanut butter on the bread.</t>
  </si>
  <si>
    <t>The man bites into the sandwich, begins talking again, slams the sandwich down on a plate and walks off.</t>
  </si>
  <si>
    <t>v_RZ8r5B69CLY</t>
  </si>
  <si>
    <t>People are shown on a volleyball court as they warm up.</t>
  </si>
  <si>
    <t>The girls volley the ball back and forth over the net.</t>
  </si>
  <si>
    <t>They try to keep the ball from their opponents as the game truly begins.</t>
  </si>
  <si>
    <t>v_h91i2x9Gouk</t>
  </si>
  <si>
    <t>A woman is seen speaking to the camera holding up various mops and presenting them to the camera.</t>
  </si>
  <si>
    <t>She then dips the mops into a bucket and washes them along the floor.</t>
  </si>
  <si>
    <t>She continues speaking while holding up the mops as well as taking them apart and showing how they work.</t>
  </si>
  <si>
    <t>v_V9xuy-rVj9w</t>
  </si>
  <si>
    <t>A group of men and boys are on a snow capped hill.</t>
  </si>
  <si>
    <t>They lob snowballs and ride the cars, then they ski down the hill.</t>
  </si>
  <si>
    <t>They are shown skiing and performing many tricks, spinning and flipping as they go.</t>
  </si>
  <si>
    <t>v_Z9o_h64qVeo</t>
  </si>
  <si>
    <t>We see a boy playing an accordion.</t>
  </si>
  <si>
    <t>The boy slides his hand across the keys.</t>
  </si>
  <si>
    <t>A piece of paper enters the scene on the lower right.</t>
  </si>
  <si>
    <t>The boy finishes and the screen goes black.</t>
  </si>
  <si>
    <t>v_Y_slRMRs18I</t>
  </si>
  <si>
    <t>The hand drills a hole with an electric tool.</t>
  </si>
  <si>
    <t>The hand screws two nail into holes with an electric tool.</t>
  </si>
  <si>
    <t>The person leaves with the electric tool.</t>
  </si>
  <si>
    <t>v_U0jlI70N_DQ</t>
  </si>
  <si>
    <t>Several kids are in a pool playing a game of water polo.</t>
  </si>
  <si>
    <t>One of the girls gets the ball and makes a shot into the net as the crowd cheers.</t>
  </si>
  <si>
    <t>The game resets and the teams begin to play again.</t>
  </si>
  <si>
    <t>v_yqBRp0txs-c</t>
  </si>
  <si>
    <t>Two men are shown speaking at a party playing pong with two other men.</t>
  </si>
  <si>
    <t>The men keep getting the balls into the cups back and fourth and one jumps on the back of the other.</t>
  </si>
  <si>
    <t>v_crz2vi_dguk</t>
  </si>
  <si>
    <t>A sink is covered in filth.</t>
  </si>
  <si>
    <t>A bottle is held up to the camera.</t>
  </si>
  <si>
    <t>The water runs over a sponge.</t>
  </si>
  <si>
    <t>The solution is poured on the sponge and the sink is cleaned.</t>
  </si>
  <si>
    <t>v_LLLuBjEVHI8</t>
  </si>
  <si>
    <t>A teenage boy wearing a white shirt and black track pants is shooting hoops in an outdoor basketball court.</t>
  </si>
  <si>
    <t>There are a few cones arranged around the court.</t>
  </si>
  <si>
    <t>The boy continues running, dribbling and shooting hoops with the basketball.</t>
  </si>
  <si>
    <t>He hits a shot and makes a basket and then stops playing.</t>
  </si>
  <si>
    <t>v_f9eW4rFQG-A</t>
  </si>
  <si>
    <t>A map is shown and then two large fish are shown in the water as a bird floats across the water.</t>
  </si>
  <si>
    <t>Two men are on a boat and they are sailing across the water over fish.</t>
  </si>
  <si>
    <t>An underwater view is then shown and you can see the bottom of the ducks body.</t>
  </si>
  <si>
    <t>Several men and boats are then shown and one mail catches a fish.</t>
  </si>
  <si>
    <t>After, a man dressed in all black is underwater and a water helicopter is shown then the man goes back under water holding the camera and playing with large fish.</t>
  </si>
  <si>
    <t>More are shown and males continue to jump off the boat, and show their findings underwater and dumping water on themselves and another map is shown.</t>
  </si>
  <si>
    <t>v_lvd2InghJOo</t>
  </si>
  <si>
    <t>Two people are playing racquetball .</t>
  </si>
  <si>
    <t>The ball comes around behind the players.</t>
  </si>
  <si>
    <t>They resume playing and jumping.</t>
  </si>
  <si>
    <t>The ball again gets by the players.</t>
  </si>
  <si>
    <t>The man in yellow restarts a new match.</t>
  </si>
  <si>
    <t>The man in blue walks to the window and messes with a sticker.</t>
  </si>
  <si>
    <t>The man in yellow tries to restart a new match.</t>
  </si>
  <si>
    <t>The man in blue hits the ball in the corner and it rolls back.</t>
  </si>
  <si>
    <t>They start another round of racquetball.</t>
  </si>
  <si>
    <t>v_rLCRgksVNE8</t>
  </si>
  <si>
    <t>A girl is getting her nose pierced.</t>
  </si>
  <si>
    <t>The nose is cleaned before the piercing.</t>
  </si>
  <si>
    <t>She talks to the camera.</t>
  </si>
  <si>
    <t>The man pierces her nose.</t>
  </si>
  <si>
    <t>v_Ha5KU-pp4gk</t>
  </si>
  <si>
    <t>A scenery of a residence is shown.</t>
  </si>
  <si>
    <t>A man appears from behind a hedge and he's holding a lime green hedge cutter and he begins to go around his hedges and starts cutting away at them first at the top, then he concentrates on the sides and towards the bottom.</t>
  </si>
  <si>
    <t>The man then moves his hedge cutter and concentrates on the top of the hedges.</t>
  </si>
  <si>
    <t>v_i7rJN34TruM</t>
  </si>
  <si>
    <t>Four people are seen hitting a ball around a gymnasium back and fourth off the wall with a tennis racket.</t>
  </si>
  <si>
    <t>The men continue playing with one another and end by shaking hands with each other.</t>
  </si>
  <si>
    <t>v_ODW0I_ITug0</t>
  </si>
  <si>
    <t>A man is seen standing in front of the camera holding onto a set of bagpipes.</t>
  </si>
  <si>
    <t>The man continues to play while taking breaks here and there and showing text in the end.</t>
  </si>
  <si>
    <t>v_L2jO-evVIRE</t>
  </si>
  <si>
    <t>A woman is seen raking leaves around a lawn while three dogs stand near her and hold toys.</t>
  </si>
  <si>
    <t>The woman continues raking as the dog roam around her with toys and she gradually picks them up and throws them for the dogs.</t>
  </si>
  <si>
    <t>v_MQ7k1wig4jk</t>
  </si>
  <si>
    <t>There are several men playing Foos ball in an indoor room that has wooden panels.</t>
  </si>
  <si>
    <t>They are all engrossed in the game as they hit the ball back and forth.</t>
  </si>
  <si>
    <t>v_b_iUgvzb1-0</t>
  </si>
  <si>
    <t>A woman bends forward extending her left left arm on front and raising her leg up while having the right hand over her shoulder.</t>
  </si>
  <si>
    <t>Then, the woman turns to the left and throw a ball and spin her body.</t>
  </si>
  <si>
    <t>v_4kNx9rVwmAg</t>
  </si>
  <si>
    <t>A woman leads a class of boys and girl in exercise.</t>
  </si>
  <si>
    <t>They use steppers to jump up and down, and side to side.</t>
  </si>
  <si>
    <t>Then they run in place, hopping on and off the steppers.</t>
  </si>
  <si>
    <t>They slow down, cooling off before clapping.</t>
  </si>
  <si>
    <t>v_5ObgpPDmVPA</t>
  </si>
  <si>
    <t>woman is in sea scubadiving and a man is behind her.</t>
  </si>
  <si>
    <t>they are watching the fishes and trunks.</t>
  </si>
  <si>
    <t>men are scuba diving under the sea.</t>
  </si>
  <si>
    <t>v_CikGafc6H_8</t>
  </si>
  <si>
    <t>A group of boys are lined up, playing the drums.</t>
  </si>
  <si>
    <t>A couple of teams are inside the pool.</t>
  </si>
  <si>
    <t>v_asM7fbK_F-U</t>
  </si>
  <si>
    <t>A woman is seen speaking to someone off camera and leads into herself playing the drums.</t>
  </si>
  <si>
    <t>Another man steps into frame and begins playing the drums with a woman.</t>
  </si>
  <si>
    <t>A small child appears in front a bit grabbing onto the woman while she and the man still play drums.</t>
  </si>
  <si>
    <t>v_wOZdXVdiB04</t>
  </si>
  <si>
    <t>A large group of people are seen playing dodgeball against one another and throwing the ball back and fourth.</t>
  </si>
  <si>
    <t>Many people watch the game on the sidelines as people continue to play while some fall and walk in and out of frame.</t>
  </si>
  <si>
    <t>v_9LhMNDcFW_k</t>
  </si>
  <si>
    <t>An Asian woman is standing while holding a card that has gold BYN letters on the back of it.</t>
  </si>
  <si>
    <t>A clip begins to play and it shows various men in a large field playing croquet while spectators look on.</t>
  </si>
  <si>
    <t>A young man is then presented with a large silver cup that is handed to him by an older man.</t>
  </si>
  <si>
    <t>v_goH-zdx5urM</t>
  </si>
  <si>
    <t>A woman lies on her back doing abs.</t>
  </si>
  <si>
    <t>The woman raises her kneed to the chest and pull the head with her hands.</t>
  </si>
  <si>
    <t>Then, the woman stops and a dog approach to her.</t>
  </si>
  <si>
    <t>v_gyCXP8w8GRA</t>
  </si>
  <si>
    <t>A young team of boys are in a gym at a karate match.</t>
  </si>
  <si>
    <t>A woman walks her son out to the mat and begins fixing his mat and preparing him to face his opponent.</t>
  </si>
  <si>
    <t>The two individuals walk up to the mat and the referee gives them the signal to begin.</t>
  </si>
  <si>
    <t>As the boy is being approached,he kicks his opponent in the head.</t>
  </si>
  <si>
    <t>The boy that is kicked falls out on the ground and his mother rushes out to make sure he is okay as the other boy takes a knee.</t>
  </si>
  <si>
    <t>Once the boy is okay,the referee begins making several hand gestures and they conclude the match,the young boy goes to his mother and makes his way to who ever is holding the camera.</t>
  </si>
  <si>
    <t>v_BiIIco4EC2U</t>
  </si>
  <si>
    <t>A blindfolded man is seen sitting at a table with a timer coming on next to him attempting to solve a rubix cube.</t>
  </si>
  <si>
    <t>The man finishes the cube and timer stops while a person standing next to him records his time.</t>
  </si>
  <si>
    <t>Another man is seen walking around in the background while the camera pans around to more people solving cubes.</t>
  </si>
  <si>
    <t>v_9hYyE1gofFQ</t>
  </si>
  <si>
    <t>A girl is shown on the gymnastics floor preparing to do a baton routine.</t>
  </si>
  <si>
    <t>The routine begins as she starts to dance around the floor and twirl her batons.</t>
  </si>
  <si>
    <t>The routine ends an she runs off the stage as the crowd cheers.</t>
  </si>
  <si>
    <t>v_IucYlH_gAic</t>
  </si>
  <si>
    <t>A person is seen moving themselves along the water while also being shown in slow motion.</t>
  </si>
  <si>
    <t>The person pushes themselves under the water and continues moving underneath.</t>
  </si>
  <si>
    <t>The camera captures the man from several angles.</t>
  </si>
  <si>
    <t>v_b7_ok8iTlT8</t>
  </si>
  <si>
    <t>There are distant view shots of areas around Los Angeles, Hollywood, and surrounding areas.</t>
  </si>
  <si>
    <t>A man then talks behind a table full of ingredients and cooking utensils.</t>
  </si>
  <si>
    <t>The man then shows off some of his vegetables and ingredients and smells them.</t>
  </si>
  <si>
    <t>He starts cooking by squeezing a lemon into a bowl of soaked vegetables.</t>
  </si>
  <si>
    <t>Then, he puts onions, lemon juice, pepper, oil, which he smells, and some other vegetables on a plate.</t>
  </si>
  <si>
    <t>He then shreds cheese onto a place with a shredder.</t>
  </si>
  <si>
    <t>He puts the shredded cheese onto the original plate.</t>
  </si>
  <si>
    <t>After, he picks some herbs and places them on a plate.</t>
  </si>
  <si>
    <t>He then adds salt and more pepper to the original plate.</t>
  </si>
  <si>
    <t>He then talks about a bottle of oil and adds some to the original plate.</t>
  </si>
  <si>
    <t>He also adds a different type of oil to the plate.</t>
  </si>
  <si>
    <t>There are then different clips and angles of the finished food plate.</t>
  </si>
  <si>
    <t>v_bJ1vEQKX-hE</t>
  </si>
  <si>
    <t>A man completes a large set of push-ups and then introduces the concepts of dodgeball.</t>
  </si>
  <si>
    <t>A graphic is shown of the court.</t>
  </si>
  <si>
    <t>The two teams line up to play against one another.</t>
  </si>
  <si>
    <t>The concepts of ruling people out and blocking the ball are introduced.</t>
  </si>
  <si>
    <t>The teams congratulate each other, showing sportsmanship.</t>
  </si>
  <si>
    <t>More rules are shown on the screen, highlighting player safety.</t>
  </si>
  <si>
    <t>v_pxfc6AIPrig</t>
  </si>
  <si>
    <t>A person is seen in several different shots performing tricks along the water while others ride around him.</t>
  </si>
  <si>
    <t>The man continues to perform tricks along the water and ends with the video fading to black.</t>
  </si>
  <si>
    <t>v_twQbAuWVxlU</t>
  </si>
  <si>
    <t>A green figures walks down the street.</t>
  </si>
  <si>
    <t>An endless stream of other green figures appear.</t>
  </si>
  <si>
    <t>Each of the figures is walking a dog.</t>
  </si>
  <si>
    <t>The clip seems to be a loop.</t>
  </si>
  <si>
    <t>v_icGrJ2XBxa0</t>
  </si>
  <si>
    <t>People are sitting in kayaks on a river.</t>
  </si>
  <si>
    <t>They are rowing their oars.</t>
  </si>
  <si>
    <t>People are standing on the beach with medals around their necks.</t>
  </si>
  <si>
    <t>v_Nq6cd5Xue9Q</t>
  </si>
  <si>
    <t>We see a man running on a track.</t>
  </si>
  <si>
    <t>The man uses a long stick to perform a long jump.</t>
  </si>
  <si>
    <t>We then see the man attempt and fail the long jump repeatedly.</t>
  </si>
  <si>
    <t>We see the man's shirt get stuck on the pole.</t>
  </si>
  <si>
    <t>v_NfTfLk1D-tI</t>
  </si>
  <si>
    <t>A close up of drums are seen followed by a person walking into frame.</t>
  </si>
  <si>
    <t>The person sits down in front of the drums and begins playing them continuously.</t>
  </si>
  <si>
    <t>The man continues playing the drums faster and faster while the camera captures his movements.</t>
  </si>
  <si>
    <t>v_NjFxN3xQqeY</t>
  </si>
  <si>
    <t>A man is seen pushing a lawn mower along a yard and moving the machine all around the yard.</t>
  </si>
  <si>
    <t>Another man is seen grabbing a machine out of a truck as the other man continues to mow the lawn.</t>
  </si>
  <si>
    <t>v_8VYre-lXqIo</t>
  </si>
  <si>
    <t>A pregnant woman is slowly moving in a room.</t>
  </si>
  <si>
    <t>She moves side to side as she goes.</t>
  </si>
  <si>
    <t>She lifts her feet and arms, doing several martial arts moves.</t>
  </si>
  <si>
    <t>v_jQ2UoAENwlw</t>
  </si>
  <si>
    <t>A man is seen sitting on a chair look nervously at the camera while another man sits behind him.</t>
  </si>
  <si>
    <t>The man then begins tattooins the man's chest and the man looks up into the camera every now and then.</t>
  </si>
  <si>
    <t>v_W74AfHdwWhM</t>
  </si>
  <si>
    <t>There is a woman shown throwing knives into wood and taking them out.</t>
  </si>
  <si>
    <t>In the end the other people who are there all sit down and eat popsicles.</t>
  </si>
  <si>
    <t>v_uAKyRSEaY1s</t>
  </si>
  <si>
    <t>A man wearing a grey t-shirt stands at a desk with a computer monitor displaying a timer.</t>
  </si>
  <si>
    <t>The man holds a Rubik's Cube and starts the timer as he starts to solve the Rubik's Cube.</t>
  </si>
  <si>
    <t>As the man completes the Rubik's Cube he drops the puzzle and stops the timer at 26 seconds.</t>
  </si>
  <si>
    <t>v_gOe72cTd0IA</t>
  </si>
  <si>
    <t>We see a black opening title screen.</t>
  </si>
  <si>
    <t>We see a boat floating in the ocean and people sitting on the boat.</t>
  </si>
  <si>
    <t>Three people are underwater in diving gear looking at the sealife.</t>
  </si>
  <si>
    <t>We see a man and a woman swimming together and the lady waves at the camera.</t>
  </si>
  <si>
    <t>The lady makes an explosion sign with her hands and waves.</t>
  </si>
  <si>
    <t>The lady takes her mouth piece out and shrugs her shoulders.</t>
  </si>
  <si>
    <t>We see the people back on the boat and the man and the girl hug each other.</t>
  </si>
  <si>
    <t>We see a balloon high in the sky.</t>
  </si>
  <si>
    <t>v_H3pQJc8d8H8</t>
  </si>
  <si>
    <t>Three men in white are doing karate moves in a room.</t>
  </si>
  <si>
    <t>They do a few kicks in the air.</t>
  </si>
  <si>
    <t>Two of the men start fighting each other.</t>
  </si>
  <si>
    <t>v_leJM3mgm_gU</t>
  </si>
  <si>
    <t>A large, blue ball is tossed in the air.</t>
  </si>
  <si>
    <t>A child runs to catch a blue, large ball.</t>
  </si>
  <si>
    <t>The child falls on the lawn.</t>
  </si>
  <si>
    <t>v_UsexiHSzIQI</t>
  </si>
  <si>
    <t>A woman comes onto the screen to introduce a video about working out.</t>
  </si>
  <si>
    <t>The same woman is shown as she teaches a spin class with several participants.</t>
  </si>
  <si>
    <t>She takes a break from the bike and does tome abdominal exercises on the floor.</t>
  </si>
  <si>
    <t>The video ends with the closing credit shown at the end.</t>
  </si>
  <si>
    <t>v_0w2XFd-Q9Eg</t>
  </si>
  <si>
    <t>A person sits on front a laptop and a cube puzzle.</t>
  </si>
  <si>
    <t>Then, the person solves a cube puzzle.</t>
  </si>
  <si>
    <t>After, the person solves the cube puzzle puts it on the laptop.</t>
  </si>
  <si>
    <t>v_MHAS5TK2eW0</t>
  </si>
  <si>
    <t>A group of people are exercizing in an aerobics class.</t>
  </si>
  <si>
    <t>They are using a stepper, dancing and jumping on and off the equipment.</t>
  </si>
  <si>
    <t>v_AWryNQMbcd8</t>
  </si>
  <si>
    <t>Two small children are seen outside by a swingset.</t>
  </si>
  <si>
    <t>One swings back and fourth while the other stands on the side.</t>
  </si>
  <si>
    <t>One man kicks the other boy and he bends over.</t>
  </si>
  <si>
    <t>v_ZW46Rcuhqac</t>
  </si>
  <si>
    <t>Beer and other alcohol is shown on a counter in a kitchen.</t>
  </si>
  <si>
    <t>A man takes a pitcher of beer and begins talking to the camera.</t>
  </si>
  <si>
    <t>The man proceeds to drink the entire pitcher of beer.</t>
  </si>
  <si>
    <t>v_oNc2lJ9hV9E</t>
  </si>
  <si>
    <t>A lady speaks in a kitchen with a medal on the screen and we see shots of cake and cooking.</t>
  </si>
  <si>
    <t>We see the lady make a cake and give instructions.</t>
  </si>
  <si>
    <t>The lady takes and prepares her cake pans.</t>
  </si>
  <si>
    <t>The lady mixes her dry ingredients then mixes them in the mixer with red food coloring and pours them into cake pans cooks and cools them on racks.</t>
  </si>
  <si>
    <t>The lady makes frosting in the mixer and puts frosting in between the layers of cake and on top.</t>
  </si>
  <si>
    <t>The lady cuts the cake and we see the ending title screen.</t>
  </si>
  <si>
    <t>v_fghAmraOM9A</t>
  </si>
  <si>
    <t>A woman wearing a protective helmet speaks to the camera while standing outdoors next to a palm tree.</t>
  </si>
  <si>
    <t>The woman is standing on a sidewalk wearing rollerblades and protective gear.</t>
  </si>
  <si>
    <t>The woman speaks to the camera and demonstrates different techniques of skating down the sidewalk.</t>
  </si>
  <si>
    <t>v_g5rkuDdjRVI</t>
  </si>
  <si>
    <t>We see two boys on a train talking.</t>
  </si>
  <si>
    <t>It gets dark in a tunnel.</t>
  </si>
  <si>
    <t>Someone throws something at a boy.</t>
  </si>
  <si>
    <t>We see the boys riding skateboards down a residential street.</t>
  </si>
  <si>
    <t>A man rides downhill backwards.</t>
  </si>
  <si>
    <t>We see a boy fall off his skateboard.</t>
  </si>
  <si>
    <t>We see a number three on a wall.</t>
  </si>
  <si>
    <t>We see a person jump off their skateboard.</t>
  </si>
  <si>
    <t>v_7iTrw4kr8e0</t>
  </si>
  <si>
    <t>An intro leads into a woman looking into the mirror and putting makeup on.</t>
  </si>
  <si>
    <t>She puts glasses and looks down at the mirror.</t>
  </si>
  <si>
    <t>She turns herself away and ends with a logo shown.</t>
  </si>
  <si>
    <t>v_5SyvdU5LWPk</t>
  </si>
  <si>
    <t>A group of lacrosse players are shown on a field.</t>
  </si>
  <si>
    <t>They run around, trying to get the ball away from each other.</t>
  </si>
  <si>
    <t>They are shown playing in slow motion.</t>
  </si>
  <si>
    <t>v_9qJbSz-eCq0</t>
  </si>
  <si>
    <t>A man wearing a plastic head covering is shown eating ice cream.</t>
  </si>
  <si>
    <t>We see the inside of a plant, where cookies are crushed and put into containers of vanilla ice cream, then sorted.</t>
  </si>
  <si>
    <t>Ice cream fills the pints, and is mixed in a giant vault before other ingredients are added and the pints filled.</t>
  </si>
  <si>
    <t>We then see popsicles being created, before a man and woman are shown eating the treats.</t>
  </si>
  <si>
    <t>v_goLVOzKw4U8</t>
  </si>
  <si>
    <t>A man wearing gloves holds a pair of pliers and putting an object in between.</t>
  </si>
  <si>
    <t>He sparks the object to create a flame and puts his mask on to protect himself.</t>
  </si>
  <si>
    <t>He continues flaming the object and shows off what he has burned.</t>
  </si>
  <si>
    <t>v__pYDg0B6_tw</t>
  </si>
  <si>
    <t>A boy jumps on a diving board high.</t>
  </si>
  <si>
    <t>Then, the boy jumps and flips three time, but falls on his back making a big splash.</t>
  </si>
  <si>
    <t>v_MD6p1s-N9rM</t>
  </si>
  <si>
    <t>A young man irons a shirt on an ironing board in a hallway.</t>
  </si>
  <si>
    <t>The man adjusts the camera and returns to ironing.</t>
  </si>
  <si>
    <t>The man finishes ironing and turns the camera away.</t>
  </si>
  <si>
    <t>v_cWrOETjOOTc</t>
  </si>
  <si>
    <t>A man in a red shirt is kneeling down.</t>
  </si>
  <si>
    <t>Another man in a black shirt is standing up in front of him.</t>
  </si>
  <si>
    <t>They are fixing something on a bike.</t>
  </si>
  <si>
    <t>v_CpxGRgJgRPA</t>
  </si>
  <si>
    <t>A woman explains how to wrap a box with gift paper.</t>
  </si>
  <si>
    <t>Then, the woman cuts the paper and wraps around the box using tape.</t>
  </si>
  <si>
    <t>After, the woman folds the sides of the paper and cutting a piece to fit the box, then put tape to joint the ends while explaining.</t>
  </si>
  <si>
    <t>v_U-VzZQGWOqA</t>
  </si>
  <si>
    <t>A young girl is seen licking an ice cream cone while the camera watching her eat.</t>
  </si>
  <si>
    <t>She continues eating the ice cream cone and looking off into the distance.</t>
  </si>
  <si>
    <t>v_Ck0IhZZI5CA</t>
  </si>
  <si>
    <t>A man in jeans and tshirt rolls a paint roller in the tray.</t>
  </si>
  <si>
    <t>The man applies more paint to the fence with a roller and getting more paint until he lifts the roller and is pleased.</t>
  </si>
  <si>
    <t>The man gets more paint on his brush from the tray.</t>
  </si>
  <si>
    <t>The man finishes painting the section of fence and then sets down his roller.</t>
  </si>
  <si>
    <t>v_B2_qciB7U1Q</t>
  </si>
  <si>
    <t>Several people are longboarding and biking down a hill.</t>
  </si>
  <si>
    <t>A person has a white glove and is holding onto the person in front of them.</t>
  </si>
  <si>
    <t>Words go on the screen at the end.</t>
  </si>
  <si>
    <t>v_Ga-6wy0Nboo</t>
  </si>
  <si>
    <t>man is snowboarding going down a hill sliding in zigzags passing small flags.</t>
  </si>
  <si>
    <t>man is talking to the camera in a dark room.</t>
  </si>
  <si>
    <t>man is snowboarding on the snowy slope and a video is showing the right position of the body when going side to side.</t>
  </si>
  <si>
    <t>v_peaOnHl5YS8</t>
  </si>
  <si>
    <t>A man and daughter are seen sliding into frame wearing only socks and a long shirt.</t>
  </si>
  <si>
    <t>The two are seen holding mops and begin singing with one another.</t>
  </si>
  <si>
    <t>The two continue to dance around and sing with each other.</t>
  </si>
  <si>
    <t>v_kvqX0QOgYDc</t>
  </si>
  <si>
    <t>Scuba diver swim and glide underwater in the ocean near a rock face.</t>
  </si>
  <si>
    <t>The scuba divers make hand gestures and joke.</t>
  </si>
  <si>
    <t>The men swim up close into view.</t>
  </si>
  <si>
    <t>v_SnFWB9NLFjY</t>
  </si>
  <si>
    <t>A close up of skis are shown followed by a person pushing themselves along using sticks and skiing down the mountain.</t>
  </si>
  <si>
    <t>The person continuously riding down on the mountain using the skis and zooming past people and stopping at the bottom.</t>
  </si>
  <si>
    <t>v_5pzCqex6S48</t>
  </si>
  <si>
    <t>A man is seen standing ready and putting his arms up by his sides.</t>
  </si>
  <si>
    <t>The man then jumps onto a set of uneven bars and begins performing a gymnastics routine.</t>
  </si>
  <si>
    <t>The man spins himself all around and ends by jumping off the side with his arms up.</t>
  </si>
  <si>
    <t>v_LB2P_KH0W2I</t>
  </si>
  <si>
    <t>Two women are washing dishes in the kitchen.</t>
  </si>
  <si>
    <t>They go back and forth over the kitchen.</t>
  </si>
  <si>
    <t>The scene is in very fast motion.</t>
  </si>
  <si>
    <t>v_Zf3RcqHO82M</t>
  </si>
  <si>
    <t>A man and woman are sitting on a stage together.</t>
  </si>
  <si>
    <t>They are talking about the tango dance.</t>
  </si>
  <si>
    <t>They spin and twirl before an audience.</t>
  </si>
  <si>
    <t>v_XPwpA67qHjA</t>
  </si>
  <si>
    <t>A news story is given about walking a slackline.</t>
  </si>
  <si>
    <t>People of all levels walk, lie, and meditate on the rope.</t>
  </si>
  <si>
    <t>Some people walk over oncoming canoers.</t>
  </si>
  <si>
    <t>v_rdszlTqxBXs</t>
  </si>
  <si>
    <t>A woman put lipstick on her lips on front a mirror.</t>
  </si>
  <si>
    <t>Then She laugh with other teens next to her.</t>
  </si>
  <si>
    <t>v_QU5R75IyQow</t>
  </si>
  <si>
    <t>A man is talking to a camera in his bathroom.</t>
  </si>
  <si>
    <t>He is then shown brushing, spraying, and styling a woman's hair before braiding it.</t>
  </si>
  <si>
    <t>she poses for the camera when he is finished.</t>
  </si>
  <si>
    <t>v_Mkljhl3D9-Q</t>
  </si>
  <si>
    <t>The man instructs four women on cooking.</t>
  </si>
  <si>
    <t>The man adds oil, onions, garlic, and peppers to a pot.</t>
  </si>
  <si>
    <t>The man adds clams to the pot.</t>
  </si>
  <si>
    <t>The man adds broth to the pot.</t>
  </si>
  <si>
    <t>The man boils pasta in a separate pot.</t>
  </si>
  <si>
    <t>The women gather around a pot to see the pasta.</t>
  </si>
  <si>
    <t>The man finishes the sauce and pours it in a pot.</t>
  </si>
  <si>
    <t>The man adds the pasta.</t>
  </si>
  <si>
    <t>The man adds the pasta to the plate.</t>
  </si>
  <si>
    <t>The women try the pasta dish.</t>
  </si>
  <si>
    <t>Everyone laughs and seems happy.</t>
  </si>
  <si>
    <t>The man starts calling out tickets.</t>
  </si>
  <si>
    <t>The women cook the dish that the man had just taught them to make.</t>
  </si>
  <si>
    <t>The man helps them and gives them pointers.</t>
  </si>
  <si>
    <t>The women look anxious as they try to cook.</t>
  </si>
  <si>
    <t>The waiters start serving the plates.</t>
  </si>
  <si>
    <t>v_aYC7F72n924</t>
  </si>
  <si>
    <t>A construction worker is standing in a building, holding a mop and bucket.</t>
  </si>
  <si>
    <t>He shows off the bucket and solution, then mops the floor in a demonstration.</t>
  </si>
  <si>
    <t>He gets the floor completely clean and shiny before standing to one side.</t>
  </si>
  <si>
    <t>v_wM7FmqEj4PY</t>
  </si>
  <si>
    <t>woman is standing in a living room holding an iron.</t>
  </si>
  <si>
    <t>woman wearing a pink shirt is ironing a blue shirt.</t>
  </si>
  <si>
    <t>quiet living room is with old furnitures.</t>
  </si>
  <si>
    <t>v_f0cxC1B5cbw</t>
  </si>
  <si>
    <t>A woman is raking leaves into a large pile.</t>
  </si>
  <si>
    <t>A man is running a lawn mower over leaves.</t>
  </si>
  <si>
    <t>He puts some of the leaves into a garden bed.</t>
  </si>
  <si>
    <t>v_TSIz-6s4OeY</t>
  </si>
  <si>
    <t>A woman is seen speaking to the camera and leads into her ironing a pair of pants.</t>
  </si>
  <si>
    <t>The woman continues ironing the pants while moving the iron up and down.</t>
  </si>
  <si>
    <t>v_daDd48y4x0g</t>
  </si>
  <si>
    <t>We see lots of plate of fancy food.</t>
  </si>
  <si>
    <t>We then zoom in on the plates.</t>
  </si>
  <si>
    <t>We see a shadow on the plates.</t>
  </si>
  <si>
    <t>A man on the right picks up a few plates.</t>
  </si>
  <si>
    <t>v_t6trrsdhMEc</t>
  </si>
  <si>
    <t>A woman wearing workout gear is standing upright and hanging onto a very long punching bag.</t>
  </si>
  <si>
    <t>Suddenly the woman jumps up and straddles the bag.</t>
  </si>
  <si>
    <t>Slowly, the woman drops her upper half of her body while still straddling the bag, and does 5 sit ups while the bag swings with her.</t>
  </si>
  <si>
    <t>The woman holds onto the bag, smiles, then jumps off.</t>
  </si>
  <si>
    <t>v_4UIAc9irBLs</t>
  </si>
  <si>
    <t>A woman and a young girl swim in a pool.</t>
  </si>
  <si>
    <t>The young girl holds on to the woman as she swims.</t>
  </si>
  <si>
    <t>The young girl lets go and swims near the woman.</t>
  </si>
  <si>
    <t>The young girl and the woman hold hands and swim to the surface of the pool.</t>
  </si>
  <si>
    <t>The woman holds on to the girl.</t>
  </si>
  <si>
    <t>v_dRiIYsAmNAc</t>
  </si>
  <si>
    <t>A large group of people are seen running around a sandy pit kicking a soccer ball around.</t>
  </si>
  <si>
    <t>The people continue playing soccer with one another and wait for a call in the end.</t>
  </si>
  <si>
    <t>v_ZIHD-3iWCrE</t>
  </si>
  <si>
    <t>A woman is holding a kitten in her lap.</t>
  </si>
  <si>
    <t>A guy is clipping the nails on the cat.</t>
  </si>
  <si>
    <t>v_-QuFk_ThRNg</t>
  </si>
  <si>
    <t>Two bodybuilder women are seated at a table.</t>
  </si>
  <si>
    <t>They are arm wrestling, vieing to win.</t>
  </si>
  <si>
    <t>When there is a victor, the two women shake hands.</t>
  </si>
  <si>
    <t>v_S3OJBVHL9y8</t>
  </si>
  <si>
    <t>The green and white team gets off the floor.</t>
  </si>
  <si>
    <t>The green and white team are pulling the rope in a tug of war contest.</t>
  </si>
  <si>
    <t>The red and black team are pulling the rope in a tug of war contest.</t>
  </si>
  <si>
    <t>The green and white team are repeatedly taking steps and the audience is cheering.</t>
  </si>
  <si>
    <t>The green and white team are standing holding the rope.</t>
  </si>
  <si>
    <t>v_7hEUl8lziZs</t>
  </si>
  <si>
    <t>A man in a yellow shirt is on his knees layering cement on the floor.</t>
  </si>
  <si>
    <t>He stops for a second and looks up.</t>
  </si>
  <si>
    <t>The man goes back to layering the floor with cement.</t>
  </si>
  <si>
    <t>v_259K1wC2IMk</t>
  </si>
  <si>
    <t>A young boy is seen pulling a mop out of a bucket followed by him pushing the mop across the floor.</t>
  </si>
  <si>
    <t>The camera pans to a woman in the distance and the boy continuing to push the mop along the floor.</t>
  </si>
  <si>
    <t>v_CTxuJBTp_CQ</t>
  </si>
  <si>
    <t>A person spreads out the branches on a Christmas tree.</t>
  </si>
  <si>
    <t>The person drapes shiny tinsel strands around the tree.</t>
  </si>
  <si>
    <t>The person hangs Christmas bulbs on the tree.</t>
  </si>
  <si>
    <t>A child comes and watches the person decorating the tree then runs around playing.</t>
  </si>
  <si>
    <t>The person rolls up a sheer piece of fabric to put away.</t>
  </si>
  <si>
    <t>v_9qFwSM8QLIE</t>
  </si>
  <si>
    <t>Various crowd scenes at a bullfight arena are shown.</t>
  </si>
  <si>
    <t>Matadors walk out into the ring area.</t>
  </si>
  <si>
    <t>A parade of horses and riders is shown.</t>
  </si>
  <si>
    <t>Scenes of matadors interacting with bulls are shown.</t>
  </si>
  <si>
    <t>The crowd cheers for a matador.</t>
  </si>
  <si>
    <t>Matadors are hoisted on people's shoulders and paraded.</t>
  </si>
  <si>
    <t>v_l_Y_Xns6SpE</t>
  </si>
  <si>
    <t>The woman is leaning on the pool table focusing on the ball.</t>
  </si>
  <si>
    <t>The woman hit the ball and cheered .</t>
  </si>
  <si>
    <t>The woman hit the ball again and started jumping.</t>
  </si>
  <si>
    <t>v_Lyi8-hf1rCw</t>
  </si>
  <si>
    <t>A man in a a leotard is blowing in his hands getting himself warmed up to start running.</t>
  </si>
  <si>
    <t>Once he starts he goes super fast jumping up and into the sand.</t>
  </si>
  <si>
    <t>They show a replay of his run and land in slow motion.</t>
  </si>
  <si>
    <t>When he is done he walks around the arena while being followed by a camera.</t>
  </si>
  <si>
    <t>v_NOXPH0_y4Ww</t>
  </si>
  <si>
    <t>a little girl is standing in a kitchen and starts squeeze a lemon into a water bowl, a person is standing by her side.</t>
  </si>
  <si>
    <t>lttle girl suck her finger and smile while a woman walks throug kitchen and puts something in the counter.</t>
  </si>
  <si>
    <t>little girl is standing in the kitchen with her mouth open and play with her hair.</t>
  </si>
  <si>
    <t>the girl starts walking an sit in fronts of a counter with a bowl of fruits and talk to the camera, walks again in the kitchen and keep aqueezing lemons in the water bowl, woman starts helping her.</t>
  </si>
  <si>
    <t>woman clean her hands in the sink and the girl walks in the kitchen and keep squeezing the lemons.</t>
  </si>
  <si>
    <t>v_XI6sjZg9Yeg</t>
  </si>
  <si>
    <t>A man is seen laying floor down on the ground using a machine and others helping.</t>
  </si>
  <si>
    <t>Several shots are shown of the men pushing down the floor and using a torch underneath to keep it in place.</t>
  </si>
  <si>
    <t>The man continue working while showing the steam on the hot mats and the finished roof with done.</t>
  </si>
  <si>
    <t>v_liNIRD7YwFQ</t>
  </si>
  <si>
    <t>A large wave is crashing toward the shore.</t>
  </si>
  <si>
    <t>A surfer is shown tearing through the water.</t>
  </si>
  <si>
    <t>A rainbow appears, then we see boats on the beach and more surfers in the waves.</t>
  </si>
  <si>
    <t>v_p800u2wCKbE</t>
  </si>
  <si>
    <t>A news reporter is talking about a local fund raiser held by a nursery school.</t>
  </si>
  <si>
    <t>There are several people gathered to support the cause.</t>
  </si>
  <si>
    <t>There is a lemonade stand set up where people are purchasing lemonade to donate money for a cause.</t>
  </si>
  <si>
    <t>One of the parents is talking to the news reporter about the fund raiser.</t>
  </si>
  <si>
    <t>Three more parents are standing are chatting as they sip lemonade.</t>
  </si>
  <si>
    <t>A picture the girl, Hannah is shown for whom the fund raiser was held.</t>
  </si>
  <si>
    <t>v_bR62246z9qA</t>
  </si>
  <si>
    <t>Cheerleaders with their hands in do a cheer.</t>
  </si>
  <si>
    <t>They go on the floor and stand still.</t>
  </si>
  <si>
    <t>They perform a cheer leading routine.</t>
  </si>
  <si>
    <t>Four girls are lifted and hold their legs.</t>
  </si>
  <si>
    <t>Two girls are lifted in the air and two girls are flipped then two girls lift the two girls.</t>
  </si>
  <si>
    <t>Four girls are lifted and hold two other girls up and a third is added.</t>
  </si>
  <si>
    <t>Two girls in the front held up a red sign.</t>
  </si>
  <si>
    <t>Three girls are lifted and they each hold another girl on their shoulders.</t>
  </si>
  <si>
    <t>v_nO2tXrQDD8I</t>
  </si>
  <si>
    <t>Several individuals play against each other in a table football match.</t>
  </si>
  <si>
    <t>Two individuals walk by in the background.</t>
  </si>
  <si>
    <t>Another two individuals walk by in the background.</t>
  </si>
  <si>
    <t>v_rcrhyi2EzZc</t>
  </si>
  <si>
    <t>Two young kids are his mother are standing in a kitchen washing dishes.</t>
  </si>
  <si>
    <t>The little girl takes a blue sponge cleans her dish and then gets down and begins walking around.</t>
  </si>
  <si>
    <t>Both the mother and son are still at the sink and she stands besides him and helps him clean his dish as well.</t>
  </si>
  <si>
    <t>v_Y9wrTRY3mUI</t>
  </si>
  <si>
    <t>A group of people, children and families live, travel, and ice fish on a vast ice and snow covered piece of land.</t>
  </si>
  <si>
    <t>A group of men and a woman talk to a camera while showcasing fish caught and live fishing in ice holes on a snow and ice covered terrain.</t>
  </si>
  <si>
    <t>Several people fish in ice holes with children nearby while other drive across the ice terrain.</t>
  </si>
  <si>
    <t>Fish are shown , local animals native to the area, toilets, cars on the ice, children, people holding fish just caught and ice holes where the fish are coming from along with dogs pulling snow sleds.</t>
  </si>
  <si>
    <t>v_mhPpeG3LrUk</t>
  </si>
  <si>
    <t>A girl is seen sitting outdoors and holding up a bottle of sunscreen while speaking to the camera.</t>
  </si>
  <si>
    <t>The girl then shakes up the bottle, pours it into her hands, and rubs it all over her body.</t>
  </si>
  <si>
    <t>v_x4qwV0Ti1Og</t>
  </si>
  <si>
    <t>A large track is shown with several people riding down on tubes at once.</t>
  </si>
  <si>
    <t>A man records a close up of a tube and pushing it into a woman standing in the snow.</t>
  </si>
  <si>
    <t>She begins talking on her phone and the same clip is shown again in slow motion.</t>
  </si>
  <si>
    <t>v_8bX1g0mefzM</t>
  </si>
  <si>
    <t>A woman talks showing a shoe, then she cleans it with a cloth.</t>
  </si>
  <si>
    <t>The woman puts oil in a cloth and polish the shoe.</t>
  </si>
  <si>
    <t>Then, the woman takes shoe polish and apply to the shoe.</t>
  </si>
  <si>
    <t>v_o-S8I8lhQpo</t>
  </si>
  <si>
    <t>A woman is parasailing in the ocean.</t>
  </si>
  <si>
    <t>She goes through tough waves.</t>
  </si>
  <si>
    <t>She goes over a large wave, which knocks her over.</t>
  </si>
  <si>
    <t>v_7ToBC5eGg38</t>
  </si>
  <si>
    <t>A young woman is seen standing on a court wearing a hat and holding a tennis racket.</t>
  </si>
  <si>
    <t>The girl then throws the ball up into the air and hits it off into the distance.</t>
  </si>
  <si>
    <t>She looks back and smiles to the camera.</t>
  </si>
  <si>
    <t>v_U20a95sHi8E</t>
  </si>
  <si>
    <t>A close up of a car is seen followed by people walking into frame and washing the car.</t>
  </si>
  <si>
    <t>The people clean the exterior as well as interior and roll the car outside.</t>
  </si>
  <si>
    <t>They park the car and continue to wipe it down followed by drying it off in the end.</t>
  </si>
  <si>
    <t>v_r4kC4AHDIH8</t>
  </si>
  <si>
    <t>People on a river bank get on inflated boats and raft in a river with choppy waters.</t>
  </si>
  <si>
    <t>Two men are on a red canoe.</t>
  </si>
  <si>
    <t>A group of rafters go down the river while, also people in canoes raft.</t>
  </si>
  <si>
    <t>The rafters arrive to calm waters, then a team celebrates a victory.</t>
  </si>
  <si>
    <t>v_0acEl97ZBME</t>
  </si>
  <si>
    <t>A camera pans up to a man sitting and smoking a cigarette.</t>
  </si>
  <si>
    <t>Another man walks over with a cart and begins digging through trash.</t>
  </si>
  <si>
    <t>The man smoking cigarettes begins talking to the homeless man about how life sucks and how he can relate to the homeless man.</t>
  </si>
  <si>
    <t>v_jcaOoRM6J80</t>
  </si>
  <si>
    <t>We see outdoor images then a man in a kitchen.</t>
  </si>
  <si>
    <t>We see ingredients on a table.</t>
  </si>
  <si>
    <t>The man mixes the ingredients in a mixer bowl.</t>
  </si>
  <si>
    <t>The man stirs the mix then turns the mixer back on.</t>
  </si>
  <si>
    <t>The man mixes the mix and pours it into cake pans.</t>
  </si>
  <si>
    <t>The man taps the pans then puts the cake in the oven.</t>
  </si>
  <si>
    <t>We see cookware, cupcakes, and the man cooking.</t>
  </si>
  <si>
    <t>Then see the bright end screen.</t>
  </si>
  <si>
    <t>v_9uieGqu2TYA</t>
  </si>
  <si>
    <t>A black intro screen appears and it contains white words that say "Named Gymnastic Elements Parallel bars", then "MUSIC: Nightwish Where were you last night", and the last screen includes foreign words an email and a website.</t>
  </si>
  <si>
    <t>Various short clips of different men on different parallel bars in gymnasiums are doing handstands, swinging on them and doing various other tricks as spectators look on.</t>
  </si>
  <si>
    <t>The last man on the parallel bars seems to be practicing in a gym with no large group of spectators looking on.</t>
  </si>
  <si>
    <t>v_CLbEvGHmK8k</t>
  </si>
  <si>
    <t>A group of people perform simple step aerobics out on a sunny day.</t>
  </si>
  <si>
    <t>The aerobics instructor has the class switch to a new aerobics move in which the group dances their arms out in front of them and incorporate clapping as they take steps.</t>
  </si>
  <si>
    <t>Their next move is placing their hands up towards the sky as they take a step.</t>
  </si>
  <si>
    <t>v_JMrfe-UVA0Y</t>
  </si>
  <si>
    <t>man is standing in front of a screen talking to the camera.</t>
  </si>
  <si>
    <t>a woman is playing with a cat and its in table with a nail clipper cutting the cat's nails.</t>
  </si>
  <si>
    <t>v_5gaobaT6K1A</t>
  </si>
  <si>
    <t>A woman is seen riding off a bull when the bull knocks her off and others run in to help.</t>
  </si>
  <si>
    <t>Several more people are shown attempting to taunt the bull and end by getting hurt and others helping.</t>
  </si>
  <si>
    <t>v_P6ijX0vabJs</t>
  </si>
  <si>
    <t>A close up of an instrument is shown followed by a woman sitting into frame and speaking to the camera.</t>
  </si>
  <si>
    <t>She then picks up the flute and begins playing it and pausing to speak in between.</t>
  </si>
  <si>
    <t>She plays the instrument again and pauses to put it down and speak to the camera.</t>
  </si>
  <si>
    <t>v__m8WprCWHF4</t>
  </si>
  <si>
    <t>A black screen appears and quickly white words fly across it and they say "Here it comes Set for full Screen".</t>
  </si>
  <si>
    <t>A picture of a snowcapped mountain appears and white words on the screen say "HARTEL PRODUCTIONS".</t>
  </si>
  <si>
    <t>A wooden board appears at an outdoor area an it say's "CLAM BEACH COUNTY PARK WELCOME NORTH DAY USE PARKING", then in yellow some text appears that say "THE DOG WALK".</t>
  </si>
  <si>
    <t>Various still shots of people walking with dogs or walking alone along a road appear along with various shots of the area and titles of what they are.</t>
  </si>
  <si>
    <t>At the end there are still shots of dogs getting loaded into a car, the dogs in the car, a man loading the car with his walker, a closing sign and then yellow words appear that say "THE END" and it fades to black.</t>
  </si>
  <si>
    <t>v_v8u8BiprYKs</t>
  </si>
  <si>
    <t>A lady kneels in front of bushes and talks.</t>
  </si>
  <si>
    <t>The lady uses gardening shears to trim the bush.</t>
  </si>
  <si>
    <t>The lady stands and trims the bushes.</t>
  </si>
  <si>
    <t>The lady kneels down again and continues to talk to the camera.</t>
  </si>
  <si>
    <t>v_4o4Vh49v-q4</t>
  </si>
  <si>
    <t>A little girl is standing in her bathroom and demonstrating how she rinses her mouth with mouth wash.</t>
  </si>
  <si>
    <t>She takes a sip of Listerine mouth was from her cup and holds it in her mouth for several seconds while her older brother video tapes her.</t>
  </si>
  <si>
    <t>Another little girl walks behind her and watches her rinse.</t>
  </si>
  <si>
    <t>She holds the mouth wash in her mouth for a long time and then spits it out in the sink.</t>
  </si>
  <si>
    <t>v_Gms3Yt6RrV4</t>
  </si>
  <si>
    <t>A man is seen talking with a camera very close to his face.</t>
  </si>
  <si>
    <t>Another man with a helmet on is standing near by.</t>
  </si>
  <si>
    <t>A third man is seen in a car next to the man talking.</t>
  </si>
  <si>
    <t>The man wearing the helmet starts down the street on a skateboard.</t>
  </si>
  <si>
    <t>The man goes down a few very steep hills on his skateboard.</t>
  </si>
  <si>
    <t>The man rides past a stop sign.</t>
  </si>
  <si>
    <t>The man with the camera and the man in the car follow filming the man on the skateboard.</t>
  </si>
  <si>
    <t>After the stop sign, the car passes the man on the skateboard.</t>
  </si>
  <si>
    <t>The car stops and the man on the skateboard stops just past them and picks up his skateboard.</t>
  </si>
  <si>
    <t>v_qlq13iS0nEA</t>
  </si>
  <si>
    <t>A man with a guitar and a microphone performs a piece of music.</t>
  </si>
  <si>
    <t>A black screen with a graphic of a white guitar and a website appear.</t>
  </si>
  <si>
    <t>The man stops playing then the black screen with white guitar and website appear again.</t>
  </si>
  <si>
    <t>v_E4yf1mz4ij0</t>
  </si>
  <si>
    <t>An athlete is seen walking into a circle and preparing himself to throw a shot put.</t>
  </si>
  <si>
    <t>The man throws the object several times after spinning around and several people watching on the sidelines.</t>
  </si>
  <si>
    <t>v_XwW5p80hYCg</t>
  </si>
  <si>
    <t>A logo and the words Master Lube TV show up on a black screen.</t>
  </si>
  <si>
    <t>A young man is standing and talking in a business while other young men are cleaning and detailing the inside and outside of a silver vehicle.</t>
  </si>
  <si>
    <t>The now cleaned vehicle pulls out of the garage and drives away from the business.</t>
  </si>
  <si>
    <t>The vehicle is now parked and two young men are wiping it down with a a dry cloth.</t>
  </si>
  <si>
    <t>More clips of the young man talking solo and all the cleaning they did previously replays.</t>
  </si>
  <si>
    <t>A red, white and blue flag with the words "HAND CAR WASH" blows in the wind.</t>
  </si>
  <si>
    <t>More clips of the young man talking solo and replays of the cleaning loops as words below the man show up and read "MasterLube Hand Car Wash 750 Broadwater Ave (406) 294-5530.</t>
  </si>
  <si>
    <t>Flags are show again and it fades to a black screen with a logo and the words MasterLube.</t>
  </si>
  <si>
    <t>v_Q5kU3DUXXZg</t>
  </si>
  <si>
    <t>Numerous different pictures of fitness people flash on the screen and the logo LA MUSCLE flashes quickly.</t>
  </si>
  <si>
    <t>A group of people appear and they are on bicycles pedaling and are doing a cardio workshop while the man in front wearing a headband is talking the whole time.</t>
  </si>
  <si>
    <t>The outro screen appears and it's a white screen that shoes the LA MUSCLE logo like it did in the beginning and the words "For More Visit LAMUSCLE dot TV".</t>
  </si>
  <si>
    <t>v_1kMPW5huHWQ</t>
  </si>
  <si>
    <t>A man is completing a rubiks cube.</t>
  </si>
  <si>
    <t>A timer is sitting on the table next to him.</t>
  </si>
  <si>
    <t>He sets the completed rubiks cube down on the table.</t>
  </si>
  <si>
    <t>v_cvEOK7xAPSs</t>
  </si>
  <si>
    <t>People running up the beach very quickly.</t>
  </si>
  <si>
    <t>Then they start to make strange faces towards the camera.</t>
  </si>
  <si>
    <t>They start bouncing and doing tricks on some kind of bouncy rope.</t>
  </si>
  <si>
    <t>Some of the the tricks look like they are very extreme.</t>
  </si>
  <si>
    <t>v_RHfjDkr6mcc</t>
  </si>
  <si>
    <t>A woman is seen standing behind an ironing board ironing a shirt while speaking to the camera every now and then.</t>
  </si>
  <si>
    <t>The moves the shirt all around the table ironing it and holding it up in the end to present.</t>
  </si>
  <si>
    <t>v_-fMxoShIXiM</t>
  </si>
  <si>
    <t>A woman with long, black, curly hair is wearing casual wear, talking, and squatting on a roof.</t>
  </si>
  <si>
    <t>The woman then stands up and walks to a part of the roof where she lifts up a black shingle on the roof.</t>
  </si>
  <si>
    <t>The woman is now on standing on the ground in front of the house smiling and talking.</t>
  </si>
  <si>
    <t>A large truck pulls up to the house and a man begins to unload shingles onto the roof.</t>
  </si>
  <si>
    <t>The woman is back on the roof with a shovel and is shoveling off all of the old shingles then she dumps them in a large dumpster.</t>
  </si>
  <si>
    <t>Men are now laying out long pieces of black material and nailing them into the roof, as well as nailing the shingles down.</t>
  </si>
  <si>
    <t>The roof is done and a view of the entire house is shown to show off the finished roof.</t>
  </si>
  <si>
    <t>The woman is standing in front of the home, smiling while talking.</t>
  </si>
  <si>
    <t>v_wNvLv7PtvQg</t>
  </si>
  <si>
    <t>A camera zooms in out two people riding in a canoe together.</t>
  </si>
  <si>
    <t>The camera moves in closer and captures the people paddling further down the river.</t>
  </si>
  <si>
    <t>v_jFqY3M37F-g</t>
  </si>
  <si>
    <t>We see a man siting and holding a drum.</t>
  </si>
  <si>
    <t>We then see the man playing on the drum.</t>
  </si>
  <si>
    <t>The man hits a drum off camera left.</t>
  </si>
  <si>
    <t>The man shuffles his hands on the drum.</t>
  </si>
  <si>
    <t>The man stops paying the drums.</t>
  </si>
  <si>
    <t>v_E29kZvEtOUA</t>
  </si>
  <si>
    <t>A child helps push a lawn mower with an adult to cut the grass.</t>
  </si>
  <si>
    <t>A man mows the lawn of a large yard along with a child watching nearby.</t>
  </si>
  <si>
    <t>The man empties out the collection hopper bag on the lawn mower and empties it into a trash bin and wheels it away.</t>
  </si>
  <si>
    <t>The child plays with the lawn mower while turned off.</t>
  </si>
  <si>
    <t>v_nt4Ag91306U</t>
  </si>
  <si>
    <t>A person is throwing a tennis ball up in the air and hits the ball.</t>
  </si>
  <si>
    <t>Two men begin talking about this tennis move and how you should properly hold your racket.</t>
  </si>
  <si>
    <t>The man demonstrates how to throw the ball up and how to swing.</t>
  </si>
  <si>
    <t>The man continues to discuss when to hit the ball for this move and how to execute it properly.</t>
  </si>
  <si>
    <t>v_DIF8qouivIU</t>
  </si>
  <si>
    <t>A man wearing a white fencing outfit walks over to a woman in leather with her hands tied together.</t>
  </si>
  <si>
    <t>He holds her waist and speaks to her while watching the men fence behind them.</t>
  </si>
  <si>
    <t>They speak to another couple defiantly and the men prepare to fight.</t>
  </si>
  <si>
    <t>The men fence back and fourth when the older gentleman pinches his eyes and fight again.</t>
  </si>
  <si>
    <t>The men become agitated and one leaves with shirt off.</t>
  </si>
  <si>
    <t>v_W7JxYa-PiB8</t>
  </si>
  <si>
    <t>A man wearing a hat is seen holding a tennis racket and bouncing a ball up and down.</t>
  </si>
  <si>
    <t>The man then serves the ball and leads into a tennis match between four people.</t>
  </si>
  <si>
    <t>The announcer laughs as the other team mates speak to each other and showing his hit again in slow motion.</t>
  </si>
  <si>
    <t>v_gnKpguqHfag</t>
  </si>
  <si>
    <t>A green and yellow team Hockey team is pictured and there location is shown on a map.</t>
  </si>
  <si>
    <t>The video then reverts back to the game and shows the venue that the teams are playing in.</t>
  </si>
  <si>
    <t>After,several players are shown skating around the rink and then a bald Caucasian male is shown dressed in a black polo begins talking to the camera.</t>
  </si>
  <si>
    <t>Once finished,the bench is panned and the game begins with the referee standing in between the two teams and they begin playing.</t>
  </si>
  <si>
    <t>As they continue,the bald man is shows and continues talking and they continue to flash between him,the players, and the games.</t>
  </si>
  <si>
    <t>v_BERvPz1e_AU</t>
  </si>
  <si>
    <t>Various athletes are seen standing together in the middle of a large stadium and leads into a woman throwing a shot put and then walking away.</t>
  </si>
  <si>
    <t>Several more people are seen walking up and throwing the object with a woman running with the american flag and standing on a podium with others.</t>
  </si>
  <si>
    <t>v_B1u-Er4jXFA</t>
  </si>
  <si>
    <t>The camera zooms in on a chef spinning around a spatula in a pan and putting more ingredients into the pan.</t>
  </si>
  <si>
    <t>He stirs around the mixture and presses it to the side while setting down the spatula.</t>
  </si>
  <si>
    <t>v_vT6bb2y34UE</t>
  </si>
  <si>
    <t>Two wires are seen laid across and table with a person putting a box on top.</t>
  </si>
  <si>
    <t>The person wraps the box with wires and tying a bow on top.</t>
  </si>
  <si>
    <t>The person ties a candy cane with the box and shows it off to the camera.</t>
  </si>
  <si>
    <t>v_LW5lcM_rKBY</t>
  </si>
  <si>
    <t>A man is seen holding a power drill with a potato on the end and people peeling around him.</t>
  </si>
  <si>
    <t>The man turns on the drill and peels the potato with another person pointing on the side.</t>
  </si>
  <si>
    <t>v_7S7THbo8uds</t>
  </si>
  <si>
    <t>Two men are seen holding each other's arms and leads into the men performing an arm wrestling match.</t>
  </si>
  <si>
    <t>One man smokes a cigarette while they continue to play and that man winds while holding his arms up.</t>
  </si>
  <si>
    <t>v_GU_8hjy79VQ</t>
  </si>
  <si>
    <t>A man is seen with a large pole.</t>
  </si>
  <si>
    <t>A large crowd is in the stands in the background.</t>
  </si>
  <si>
    <t>The man with the pole runs and throws it and then hits the ground.</t>
  </si>
  <si>
    <t>The pole flies through the air and lands just past the number 85 on a field.</t>
  </si>
  <si>
    <t>Several man run out to the pole.</t>
  </si>
  <si>
    <t>Men are seen in the stands clapping.</t>
  </si>
  <si>
    <t>The man that threw the pole is seen putting a jacket on.</t>
  </si>
  <si>
    <t>Many people walk around and sit on the field.</t>
  </si>
  <si>
    <t>The man is seen throwing the pole again.</t>
  </si>
  <si>
    <t>v_lx5Yfoj7Gk8</t>
  </si>
  <si>
    <t>A close up of a machine is shown printing paper and leads into people working around the picture.</t>
  </si>
  <si>
    <t>The people continue working with the machine putting paper through and measuring it and laying it out on a table.</t>
  </si>
  <si>
    <t>The people are then seen hanging the paper up on a wall and presenting it in the end.</t>
  </si>
  <si>
    <t>v_QhDPo3amF6o</t>
  </si>
  <si>
    <t>The bumper car ride is packed with people, already many are crashing.</t>
  </si>
  <si>
    <t>A man flashes the peace sign at the camera, having a good time.</t>
  </si>
  <si>
    <t>Car 9 has finally gotten going but he is crashing left and right.</t>
  </si>
  <si>
    <t>A man reverses into another car behind him.</t>
  </si>
  <si>
    <t>A large pile-up occurs in the middle of the track.</t>
  </si>
  <si>
    <t>v_8ZjUZbykp4U</t>
  </si>
  <si>
    <t>A man is seen sitting behind a drum set playing on the drums.</t>
  </si>
  <si>
    <t>The camera pans all around his movements while he speaks to the camera.</t>
  </si>
  <si>
    <t>More shots are shown of him playing as well as singing and other people playing instruments around him.</t>
  </si>
  <si>
    <t>v_BxEnhkx2srY</t>
  </si>
  <si>
    <t>A boy prepares to do a high jump in a gym.</t>
  </si>
  <si>
    <t>He takes off running with the high jump stick.</t>
  </si>
  <si>
    <t>he makes the jump and lands on the safety pads.</t>
  </si>
  <si>
    <t>v_kkEjwEXkz3w</t>
  </si>
  <si>
    <t>A person's hands with nails are shown followed by two women talking to the camera.</t>
  </si>
  <si>
    <t>Several objects on paper are shown while the women continue to speak and one start making designs on the nails.</t>
  </si>
  <si>
    <t>v_MleVjHU-wI8</t>
  </si>
  <si>
    <t>We then see a man holding something wrapped in a plastic bag.</t>
  </si>
  <si>
    <t>A woman joins the man.</t>
  </si>
  <si>
    <t>The man opens the plastic bag.</t>
  </si>
  <si>
    <t>The lady gift wraps the box for the man.</t>
  </si>
  <si>
    <t>The man takes a shot at the gift wrapping.</t>
  </si>
  <si>
    <t>The lady finishes wrapping the gift.</t>
  </si>
  <si>
    <t>The man folds an edge, and the lady tapes it.</t>
  </si>
  <si>
    <t>The man presents the box to the camera and talks.</t>
  </si>
  <si>
    <t>the closing screen is then seen and it goes black.</t>
  </si>
  <si>
    <t>v_2FKWKDEg5KE</t>
  </si>
  <si>
    <t>We see a man working on a piece of equipment.</t>
  </si>
  <si>
    <t>The man heats the caulk and scrapes it off.</t>
  </si>
  <si>
    <t>The screen flashes and the man puts on new caulk.</t>
  </si>
  <si>
    <t>The man stops and points at the caulk The end scene is seen.</t>
  </si>
  <si>
    <t>v_3SL_Au0H0cw</t>
  </si>
  <si>
    <t>man is wearing a black kimono and isdoing yoga movements.</t>
  </si>
  <si>
    <t>man is standing in a large green grassy field.</t>
  </si>
  <si>
    <t>man is slowly walking practicing boxing movements.</t>
  </si>
  <si>
    <t>v_xpA16yFuDqw</t>
  </si>
  <si>
    <t>A woman and man are shown swimming backward in the water of a pool.</t>
  </si>
  <si>
    <t>They demonstrate different techniques as the swim.</t>
  </si>
  <si>
    <t>The names of the various methods appear on the screen between examples.</t>
  </si>
  <si>
    <t>v_UCndppz9rWc</t>
  </si>
  <si>
    <t>manis wearing a white shirt and is walking in a green grass carrying a lawnmower.</t>
  </si>
  <si>
    <t>kid is standing in the field watching the man with the lawnmower.</t>
  </si>
  <si>
    <t>man stands and extends the hand to hold the kid.</t>
  </si>
  <si>
    <t>v_7iPb7mLURVc</t>
  </si>
  <si>
    <t>A woman is seen speaking to the camera while holing a baton in her hands.</t>
  </si>
  <si>
    <t>She continues speaking to the camera while spinning around the baton.</t>
  </si>
  <si>
    <t>She continues to spin around the baton and demonstrate how to properly twirl it.</t>
  </si>
  <si>
    <t>v_ooWk0EL6I7o</t>
  </si>
  <si>
    <t>A lady and a man kneel in a curling ring.</t>
  </si>
  <si>
    <t>They talk to each other and a broom enters the scene.</t>
  </si>
  <si>
    <t>they start to move forwards.</t>
  </si>
  <si>
    <t>The man stops and the lady stumbles.</t>
  </si>
  <si>
    <t>v_oJ9BFy1KNlY</t>
  </si>
  <si>
    <t>A man stands indoors, on a platform, in front of three onlookers, and lifts a heavily weighted bar bell.</t>
  </si>
  <si>
    <t>A man approaches a barbell on the floor and stands before it preparing to lift it.</t>
  </si>
  <si>
    <t>The man then bends at the knees and puts his hands on the bar portion of the weight.</t>
  </si>
  <si>
    <t>The man then lifts the bell above his head and then lets the bell fall to the floor where it bounces a bit upon landing as the man turns and walks away from the weight.</t>
  </si>
  <si>
    <t>v_q4rVY3sLQqA</t>
  </si>
  <si>
    <t>Two men describe lead climbing while one man in a bright green shirt climbs a climbing wall the other man wearing a dark green shirt holds the lead line and explains the process.</t>
  </si>
  <si>
    <t>The man in the dark green shirt places a strap and link to the climbing wall and loops a rope through the clip.</t>
  </si>
  <si>
    <t>The man reverses the strap position and loops the rope through the strap eye link.</t>
  </si>
  <si>
    <t>The man in the bright green shirt continue climbing to the top of the wall.</t>
  </si>
  <si>
    <t>The man in the dark green shirt continues talking to the camera.</t>
  </si>
  <si>
    <t>v_MLfEz9HPElE</t>
  </si>
  <si>
    <t>One woman throws something at another.</t>
  </si>
  <si>
    <t>Then, the two women play hopscotch.</t>
  </si>
  <si>
    <t>v_0uh3HP895OA</t>
  </si>
  <si>
    <t>a woman is sitting behind a desk talking to the camera.</t>
  </si>
  <si>
    <t>A woman walks into a room and sits in a pew.</t>
  </si>
  <si>
    <t>The woman begins to knit.</t>
  </si>
  <si>
    <t>The woman then talks to the camera.</t>
  </si>
  <si>
    <t>v_FMlWHXByLL0</t>
  </si>
  <si>
    <t>Kids are jump roping in a gym.</t>
  </si>
  <si>
    <t>They do flips over each other.</t>
  </si>
  <si>
    <t>People in the audience clap for them at the end.</t>
  </si>
  <si>
    <t>v_DqT3NrqisLk</t>
  </si>
  <si>
    <t>A close up of a person's feet are seen as well as text on the screen.</t>
  </si>
  <si>
    <t>The person is seen taking the laces off and running the shoes under water.</t>
  </si>
  <si>
    <t>The person mixes ingredients into a bowl and scrubs the shoes using the tooth brush.</t>
  </si>
  <si>
    <t>She then sticks the shoes in the wash and shows them off afterwards.</t>
  </si>
  <si>
    <t>v_7oBW5W6Fdok</t>
  </si>
  <si>
    <t>We see a man preparing to throw a hammer in track and field.</t>
  </si>
  <si>
    <t>The man shakes his legs and walks to the field.</t>
  </si>
  <si>
    <t>The man spins hard and throws the hammer.</t>
  </si>
  <si>
    <t>We see the hammer as it flies across the track.</t>
  </si>
  <si>
    <t>v_xEnnIWce1ok</t>
  </si>
  <si>
    <t>Two men perform a flip move on a playground that leads to one being dropped on the ground.</t>
  </si>
  <si>
    <t>The camera zooms in on the fallen man while they all laugh together.</t>
  </si>
  <si>
    <t>v_rA7qVOp47Qg</t>
  </si>
  <si>
    <t>A girl is riding on a white horse that is in an enclosed obstacle course, but it's just walking, trotting and running around the perimeter doing laps.</t>
  </si>
  <si>
    <t>Another girl is now the focus and she's riding on a taller brown horse who begins walking, trotting and they also stay on the perimeter of the area.</t>
  </si>
  <si>
    <t>When the brown horse is done going around in laps, it walks over to the white horse who is now in the middle of the area and it stops.</t>
  </si>
  <si>
    <t>v_jmPV_y8YntQ</t>
  </si>
  <si>
    <t>There are several girls standing ready with their jump ropes in an indoor gym.</t>
  </si>
  <si>
    <t>They are ready to compete in competition.</t>
  </si>
  <si>
    <t>There are several people seated and standing that are watching the girls as they jump rope.</t>
  </si>
  <si>
    <t>The girls take turns and jump rope in a relay manner.</t>
  </si>
  <si>
    <t>They switch between the contestants and move from fast skipping to slower and steadier skipping.</t>
  </si>
  <si>
    <t>They take turns as they skip.</t>
  </si>
  <si>
    <t>After they stop, the crowd claps and cheers.</t>
  </si>
  <si>
    <t>v__UlKLq9w_nw</t>
  </si>
  <si>
    <t>A group of people have gathered at an outdoor court.</t>
  </si>
  <si>
    <t>They are involved in a game of curling.</t>
  </si>
  <si>
    <t>Each person uses the stick to push the puck as a girl talks to the camera.</t>
  </si>
  <si>
    <t>v_3gpgeAMy6a8</t>
  </si>
  <si>
    <t>kids are standing in a green grassy field flying kites.</t>
  </si>
  <si>
    <t>man wearing white shirt is flying the kite in a lage field.</t>
  </si>
  <si>
    <t>litle kid wearing an orange shirt is watching the man.</t>
  </si>
  <si>
    <t>v_5mxY_p7N_Yw</t>
  </si>
  <si>
    <t>The video leads into several clips of a hockey player moving around the ice and players speaking to the camera.</t>
  </si>
  <si>
    <t>The people continuing skating on the ice while practicing as players intervene to speak to the camera.</t>
  </si>
  <si>
    <t>v_TPzxIqu1JJg</t>
  </si>
  <si>
    <t>A text intro leads into several shots of a warehouse and people working with torches.</t>
  </si>
  <si>
    <t>People are seen using computers as well as magnets that leads into people making cakes.</t>
  </si>
  <si>
    <t>People use several tools and materials to make a large cake that moves around and brings it into an exhibit in the end.</t>
  </si>
  <si>
    <t>v_U697zTxxDHM</t>
  </si>
  <si>
    <t>A group of friends sit together against a fence at a skate park.</t>
  </si>
  <si>
    <t>People on roller blades do tricks on a ramp over steps.</t>
  </si>
  <si>
    <t>People on roller blades do tricks on a bench at the skate park.</t>
  </si>
  <si>
    <t>People do trucks on a railing down a ramp at the skate park.</t>
  </si>
  <si>
    <t>The roller skates ride on half pipe ramps.</t>
  </si>
  <si>
    <t>v_lcVkXTsnR7A</t>
  </si>
  <si>
    <t>A guy climbs up the stairs carrying a black amplifier.</t>
  </si>
  <si>
    <t>The guy walks through a door he opened.</t>
  </si>
  <si>
    <t>The guy plays a harmonica with a microphone in one hand.</t>
  </si>
  <si>
    <t>The guy plays the guitar.</t>
  </si>
  <si>
    <t>The black amplifier is displayed on a table.</t>
  </si>
  <si>
    <t>The amplifier is displayed on a table.</t>
  </si>
  <si>
    <t>v_im-nQ-KEzaQ</t>
  </si>
  <si>
    <t>A woman is seen speaking to the camera with various ingredients laid out as well as her cleaning.</t>
  </si>
  <si>
    <t>She lays out a newspaper and mixes various ingredients together into a spray bottle.</t>
  </si>
  <si>
    <t>She puts on gloves and using the newspaper to wipe down a window after she has sprayed it.</t>
  </si>
  <si>
    <t>She continues wiping down the window while speaking to the camera.</t>
  </si>
  <si>
    <t>v_dUa0E0ASviM</t>
  </si>
  <si>
    <t>A girl is warming up and stretching and grabs 2 large ropes.</t>
  </si>
  <si>
    <t>Two women are holding each rope and the girl tries to pull both ropes at once.</t>
  </si>
  <si>
    <t>She continues pulling the rope and succeeds at pulling the two women closer to her.</t>
  </si>
  <si>
    <t>v_ouc67LyENuw</t>
  </si>
  <si>
    <t>Cows are running through fields with men chasing after them with sticks.</t>
  </si>
  <si>
    <t>The men are agitating the cows and causing them to fight with one another.</t>
  </si>
  <si>
    <t>The men are singing and dancing around the cows.</t>
  </si>
  <si>
    <t>The media interviews men from the crowd.</t>
  </si>
  <si>
    <t>A female reporter is holding a microphone while doing a news report.</t>
  </si>
  <si>
    <t>A large crowd of men are following her.</t>
  </si>
  <si>
    <t>v_EjaS2rW81S4</t>
  </si>
  <si>
    <t>Several people are seen kneeling on a beach helping a small child make sand castles.</t>
  </si>
  <si>
    <t>Many people are seen walking around the beach as the boy and older woman continue to make sand castles.</t>
  </si>
  <si>
    <t>v_dEUFGAwRhEM</t>
  </si>
  <si>
    <t>A couple of large balloons are floating over the ocean water.</t>
  </si>
  <si>
    <t>Competitor boaters are shown racing in the water.</t>
  </si>
  <si>
    <t>They paddle quickly toward the finish mark.</t>
  </si>
  <si>
    <t>v_J3coWVRd5do</t>
  </si>
  <si>
    <t>A girl runs down a track in slow motion.</t>
  </si>
  <si>
    <t>She takes a huge jump, hurling herself over a bar.</t>
  </si>
  <si>
    <t>She is shown performing the act again in slow motion.</t>
  </si>
  <si>
    <t>v_kG7inHibWLU</t>
  </si>
  <si>
    <t>A girl knocks on a door but nobody answers.</t>
  </si>
  <si>
    <t>She dances and prepares food in front of the stove with another woman.</t>
  </si>
  <si>
    <t>She fights and then both girls separate.</t>
  </si>
  <si>
    <t>v_7ZX3NHDmMZY</t>
  </si>
  <si>
    <t>People are in a swimming pool playing water polo.</t>
  </si>
  <si>
    <t>A woman is walking outside the pool.</t>
  </si>
  <si>
    <t>A man rubs his face while in the water before getting out of the water.</t>
  </si>
  <si>
    <t>v_e0Qj2F3V6fM</t>
  </si>
  <si>
    <t>The video stats explaining how to make Omelette muffins.</t>
  </si>
  <si>
    <t>She shows the ingredients and tell what to set the oven to.</t>
  </si>
  <si>
    <t>She mixes everything together and stirs it up with seasoning.</t>
  </si>
  <si>
    <t>She then puts it into the tray and into the oven to bake.</t>
  </si>
  <si>
    <t>Afterward she takes it out and shows the finished product.</t>
  </si>
  <si>
    <t>v_FIzlf7jdsUY</t>
  </si>
  <si>
    <t>Pictures of people's hair is shown.</t>
  </si>
  <si>
    <t>A woman in a pink shirt has pictures of her hair.</t>
  </si>
  <si>
    <t>Words come on the screen at the end.</t>
  </si>
  <si>
    <t>v_wFmczV8lv-I</t>
  </si>
  <si>
    <t>A group of gymnast enter front a side of a stadium.</t>
  </si>
  <si>
    <t>Next, a gymnast is shown on the bar and does multiple tricks consisting of flips and handstands then flips off to land and walks off.</t>
  </si>
  <si>
    <t>As a man runs near him,a replay is shown of the instances where he messed up and then his score is shown.</t>
  </si>
  <si>
    <t>Another man is shown doing various tricks and flips but instead of being above the bar,he starts out below the bar and comes on the top to do a hand stand before finally flipping off.</t>
  </si>
  <si>
    <t>Several other teams approach the bar and they too begin doing the same tricks in their competition.</t>
  </si>
  <si>
    <t>The winner then begins waving his flag and waving his hand to the crowd.</t>
  </si>
  <si>
    <t>v_TDWbRqIEcts</t>
  </si>
  <si>
    <t>We see a man in a room in front of a bookshelf with a cookie.</t>
  </si>
  <si>
    <t>The cookie is snatched from the man.</t>
  </si>
  <si>
    <t>We see the face of a young boy.</t>
  </si>
  <si>
    <t>We see ingredients added to a bowl.</t>
  </si>
  <si>
    <t>We switch and see a cat.</t>
  </si>
  <si>
    <t>We see ingredients in a mixer, then poured into a bowl then refrigerated.</t>
  </si>
  <si>
    <t>We see the cat appear again.</t>
  </si>
  <si>
    <t>A person shapes balls and coats them in powdered sugar.</t>
  </si>
  <si>
    <t>The cookies are baked.</t>
  </si>
  <si>
    <t>We see the man talking with a girl.</t>
  </si>
  <si>
    <t>We see the cookies and two mugs.</t>
  </si>
  <si>
    <t>We see the man with two kids.</t>
  </si>
  <si>
    <t>v_gkhgAlVSKTI</t>
  </si>
  <si>
    <t>A woman is seen playing a set of bagpipes while people sit around her and watch.</t>
  </si>
  <si>
    <t>The girl continues playing as the camera watches her move her hands along the instrument and a man standing next to her to pose and throw change.</t>
  </si>
  <si>
    <t>v_ybhc3-s7aYo</t>
  </si>
  <si>
    <t>A man is seen standing before a large log holding an ax in his hands.</t>
  </si>
  <si>
    <t>He holds the ax up over his head while still looking down at the log.</t>
  </si>
  <si>
    <t>He swing the ax down and chops the log in half.</t>
  </si>
  <si>
    <t>v_WidcZbpPEC0</t>
  </si>
  <si>
    <t>People are in a room talk to each other.</t>
  </si>
  <si>
    <t>Then, the men compete arm wrestling and the winner looks happy, while people 
 applaud.</t>
  </si>
  <si>
    <t>A man drinks beer from a bottle.</t>
  </si>
  <si>
    <t>v_l8TsSm4Yh4M</t>
  </si>
  <si>
    <t>A person is seen walking around a paintball course and leads into clips of people playing paintball and speaking to one another.</t>
  </si>
  <si>
    <t>A man points to the camera and leads into more shots of people playing and working with one another.</t>
  </si>
  <si>
    <t>v_GtYf9VsPHO0</t>
  </si>
  <si>
    <t>A close up of a sandwich is shown followed by ingredients and a woman speaking to the camera.</t>
  </si>
  <si>
    <t>Several ingredients are laid out and shown close up one by one while the woman mixes them all together in a bowl.</t>
  </si>
  <si>
    <t>She then pours the mixture onto a slice of break and presents it on a plate while speaking continuously.</t>
  </si>
  <si>
    <t>v_rVmNL8rzHnU</t>
  </si>
  <si>
    <t>A man is putting wall paper on the wall, he is trying to measure it just right so that it is even with the rest.</t>
  </si>
  <si>
    <t>He cuts some of the paper and takes the plastic part off of the back so that it is sticky and begins pressing the adhesive side down on the wall.</t>
  </si>
  <si>
    <t>He starts to add pressure to it so that any bubbles get out and it looks nice and even.</t>
  </si>
  <si>
    <t>He stands back to look at the wall and make sure it look good, then shows a before and after photo.</t>
  </si>
  <si>
    <t>v_znoMrA2qCbA</t>
  </si>
  <si>
    <t>A man is kneeling on a field.</t>
  </si>
  <si>
    <t>He picks up a heavy ball, and uses it to perform numerous exercise techniques.</t>
  </si>
  <si>
    <t>He then sets it back down on the grass.</t>
  </si>
  <si>
    <t>v_a7oaRcmRZ5k</t>
  </si>
  <si>
    <t>A boat is seen riding along the water with a man driving others around.</t>
  </si>
  <si>
    <t>A person is seen riding on the back doing several flips and tricks on his board.</t>
  </si>
  <si>
    <t>The people watch the man as well as the camera as he continues flipping around and looking back to the camera.</t>
  </si>
  <si>
    <t>v_NJuf9o45A8U</t>
  </si>
  <si>
    <t>A man is snowboarding down a hill of snow.</t>
  </si>
  <si>
    <t>He is jumping in the air and doing tricks off of pipes.</t>
  </si>
  <si>
    <t>v_LOhacn4jdT4</t>
  </si>
  <si>
    <t>A man walks around while adjusting a belt, with many other people in the room.</t>
  </si>
  <si>
    <t>The man walks through a tunnel flanked by several other men.</t>
  </si>
  <si>
    <t>The man gets on a stage and powders his hands.</t>
  </si>
  <si>
    <t>The man walks before a barbell with weights.</t>
  </si>
  <si>
    <t>The man lifts the weights.</t>
  </si>
  <si>
    <t>The man drops the weights.</t>
  </si>
  <si>
    <t>The man walks off stage as attendants move to the weight on stage.</t>
  </si>
  <si>
    <t>A replay of the lift is shown from a different angle.</t>
  </si>
  <si>
    <t>v_S633fHu_NrU</t>
  </si>
  <si>
    <t>A lady is standing at the table with ingredients on the table.</t>
  </si>
  <si>
    <t>The woman pointed the ingredients such as red bell peppers, celery, carrots, chicken breast, olives, pickled gherkins, olive oil in the bottle, white wine in the bottle, mayonnaise, mustard and gruyere, salt and pepper.</t>
  </si>
  <si>
    <t>The lady touched the ingredients in the plates, then she sliced the chicken, put the mustard, mayonnaise and olive oil in a bowl, then added the vegetables, and then the plate is shown with the chicken salad.</t>
  </si>
  <si>
    <t>v_GBTpVjwLxe0</t>
  </si>
  <si>
    <t>A kayak rider paddles against the current and maneuvers back and forth with his hips and paddle.</t>
  </si>
  <si>
    <t>The kayak rider dips into the water and recovers.</t>
  </si>
  <si>
    <t>v_wMDyshGO2og</t>
  </si>
  <si>
    <t>A game is taking place between argentina and peru.</t>
  </si>
  <si>
    <t>People in the crowded stands gather and disperse.</t>
  </si>
  <si>
    <t>The men are shown on the court, playing the game and kicking the ball.</t>
  </si>
  <si>
    <t>The scoreboard is shown for comparison as the game ends.</t>
  </si>
  <si>
    <t>v_ecWUNT_HcN8</t>
  </si>
  <si>
    <t>A large roof is seen close up followed by a person standing on a ladder and pushing down tiles.</t>
  </si>
  <si>
    <t>More people are seen working on the roof hammering down tiles as well as pushing them off and speaking to the camera.</t>
  </si>
  <si>
    <t>The camera continues to pan all around the roof as well as buildings around them and the men continuing to work.</t>
  </si>
  <si>
    <t>v_f5xSylPY_bQ</t>
  </si>
  <si>
    <t>A girl is sitting down in front of a couch.</t>
  </si>
  <si>
    <t>She starts playing a flute.</t>
  </si>
  <si>
    <t>She continues playing the flute white looking down.</t>
  </si>
  <si>
    <t>v_ynxngsa-IHU</t>
  </si>
  <si>
    <t>A man stands in front of a wall filled with hair products.</t>
  </si>
  <si>
    <t>Various scissors and combs are laid out on a mat.</t>
  </si>
  <si>
    <t>The salon stylist towels off then rubs hair products through the man's hair with his hands.</t>
  </si>
  <si>
    <t>The stylist combs out the persons hair and cuts it with scissors.</t>
  </si>
  <si>
    <t>The stylist trims the sideburns and around the ears.</t>
  </si>
  <si>
    <t>The stylist uses his hands to style the hair and blow drys it when finished cutting for the person to see.</t>
  </si>
  <si>
    <t>v_PVJK-r4pNg8</t>
  </si>
  <si>
    <t>We see a smiling man with credits running on the screen.</t>
  </si>
  <si>
    <t>We see an instructional screen.</t>
  </si>
  <si>
    <t>We see two men playing a game of squash.</t>
  </si>
  <si>
    <t>v_1_PiNdPt6RU</t>
  </si>
  <si>
    <t>woman is eating bran flakes and putting some mascara, washing her teeth and cleaning her mouth with mouthwash.</t>
  </si>
  <si>
    <t>journalists are talking in the news.</t>
  </si>
  <si>
    <t>v_Lx_FcKpTZIw</t>
  </si>
  <si>
    <t>A woman is washing her hands over a sink.</t>
  </si>
  <si>
    <t>She rinses her hands off in the sink.</t>
  </si>
  <si>
    <t>She grabs a paper towel and dries her hands.</t>
  </si>
  <si>
    <t>v_zPGc84TC74A</t>
  </si>
  <si>
    <t>We see the title screen on gray.</t>
  </si>
  <si>
    <t>Two men are playing squash.</t>
  </si>
  <si>
    <t>We see a transition urging practice.</t>
  </si>
  <si>
    <t>A transition starts but doesn't change to anything.</t>
  </si>
  <si>
    <t>The man in white wipes his brow with his sleeve.</t>
  </si>
  <si>
    <t>The end credits run up the screen.</t>
  </si>
  <si>
    <t>v_zL_WLS1gPNw</t>
  </si>
  <si>
    <t>A woman is kneeling down on the ground next to a desk.</t>
  </si>
  <si>
    <t>She starts painting the desk white with a paint brush.</t>
  </si>
  <si>
    <t>She then starts painting two of the drawers orange.</t>
  </si>
  <si>
    <t>v_KRz3aBw_TlQ</t>
  </si>
  <si>
    <t>Men take turns throwing darts at a dart board.</t>
  </si>
  <si>
    <t>A woman in the crowd claps for them.</t>
  </si>
  <si>
    <t>A man takes a drink out of a glass.</t>
  </si>
  <si>
    <t>v_Ru18FF0tcuA</t>
  </si>
  <si>
    <t>A person is rowing at the edge of a boat.</t>
  </si>
  <si>
    <t>The person takes out a fishing hook.</t>
  </si>
  <si>
    <t>The person starts fishing at his edge.</t>
  </si>
  <si>
    <t>v_iqmpDgATXbU</t>
  </si>
  <si>
    <t>A woman is seen performing a belly dancing routine on a large stage with other people watching on the sides.</t>
  </si>
  <si>
    <t>The woman continues dancing and spinning around the stage and ends with her posing and walking off.</t>
  </si>
  <si>
    <t>v_YUFPWt0VQ1Y</t>
  </si>
  <si>
    <t>There is a group of marching band students playing the trumpets.</t>
  </si>
  <si>
    <t>They are dressed in maroon and yellow colored uniforms and white hats.</t>
  </si>
  <si>
    <t>There are some students playing the drums and some students playing the trumpet.</t>
  </si>
  <si>
    <t>They continue playing the band as they march along the streets.</t>
  </si>
  <si>
    <t>v_-EKpX0t44pQ</t>
  </si>
  <si>
    <t>A wrestler is walking out and gets into the ring.</t>
  </si>
  <si>
    <t>Someone is laying on their stomach getting a tattoo on their back.</t>
  </si>
  <si>
    <t>A man in a red shirt is tattooing the man laying down.</t>
  </si>
  <si>
    <t>The wrestler is shown again.</t>
  </si>
  <si>
    <t>v_86sxvTk3YEY</t>
  </si>
  <si>
    <t>An actor,Jason Stathom,is sitting in a blue reclining chair talking a late night tv host by the name of Jimmy Fallon who is sitting behind a desk.</t>
  </si>
  <si>
    <t>The two continue to speak then they both stand up in a joking manner and walk over to a table.</t>
  </si>
  <si>
    <t>They both stand at the ends of the table and begin arm wrestling and talking.</t>
  </si>
  <si>
    <t>After a long period of time passes,the actor wins and starts cheering for himself.</t>
  </si>
  <si>
    <t>v_AntmYynwbhQ</t>
  </si>
  <si>
    <t>A woman in white shirt is posing with her short hair.</t>
  </si>
  <si>
    <t>A man in white shirt is cutting the hair of the girl in a studio with white background, then he braided the back of her hair, then continue to cut and style the girl's hair.</t>
  </si>
  <si>
    <t>v_VXiaPftjWqQ</t>
  </si>
  <si>
    <t>A man is seen kneeling down on a floor followed by shots of him putting plaster and tiles down are shown.</t>
  </si>
  <si>
    <t>He then drills into a bucket and lays plaster down, as well as placing tiles on the floor yet again and showing more shots of him working in the end.</t>
  </si>
  <si>
    <t>v_osaJxzwVt6Q</t>
  </si>
  <si>
    <t>kid is standing in front of stage playing congas.</t>
  </si>
  <si>
    <t>behind him is a girl playing the tambourine and a boy playing the triangle.</t>
  </si>
  <si>
    <t>in the background kids standing on stage are playing drums.</t>
  </si>
  <si>
    <t>v_4_yy5vswBn4</t>
  </si>
  <si>
    <t>A man is sitting at a table.</t>
  </si>
  <si>
    <t>A woman steps onto the table and falls into his arms.</t>
  </si>
  <si>
    <t>She does a back flip off of him onto the floor.</t>
  </si>
  <si>
    <t>They begin dancing on the dance floor.</t>
  </si>
  <si>
    <t>v_LkwkGj27pP8</t>
  </si>
  <si>
    <t>A man is seen leaning onto a fence and continuously bending down to dip paint into a bucket.</t>
  </si>
  <si>
    <t>The woman brushes the fence continuously in front of her while the camera captures her from behind.</t>
  </si>
  <si>
    <t>v_JBnHqQjeVMk</t>
  </si>
  <si>
    <t>Cars and RV's sit outside a rodeo center.</t>
  </si>
  <si>
    <t>Cowboys practice their lasso work.</t>
  </si>
  <si>
    <t>People shop inside the store of the rodeo center.</t>
  </si>
  <si>
    <t>A young kid catches a calf.</t>
  </si>
  <si>
    <t>A cowboy jumps off his horse to control the calf he has caught.</t>
  </si>
  <si>
    <t>Another cowboy in a black shirt jumps off his horse.</t>
  </si>
  <si>
    <t>A man in a pink shirt lassos a calf.</t>
  </si>
  <si>
    <t>A woman on a horse catches a calf.</t>
  </si>
  <si>
    <t>Another man jumps off his brown horse to control the calf he has caught.</t>
  </si>
  <si>
    <t>v_8tI9IsSpgeI</t>
  </si>
  <si>
    <t>A man lifts large weight off the ground.</t>
  </si>
  <si>
    <t>He pushes it over his head before dropping it on the ground.</t>
  </si>
  <si>
    <t>v_D99jYbtGO38</t>
  </si>
  <si>
    <t>A man throws a ball to his son, who catches it with a lacrosse stick.</t>
  </si>
  <si>
    <t>The boy flings it back and it sails to the right of the man.</t>
  </si>
  <si>
    <t>v_sV6JEbmqDUw</t>
  </si>
  <si>
    <t>A woman is shown from various angles moving on an exercise machine and leads into the earth revolving.</t>
  </si>
  <si>
    <t>She places an item on the machine and several pictures of health are shown.</t>
  </si>
  <si>
    <t>She is again on the machine riding and finally folds up the machine in the end.</t>
  </si>
  <si>
    <t>v_rvkVdD2u_yA</t>
  </si>
  <si>
    <t>A man is talking in front of a net.</t>
  </si>
  <si>
    <t>He crouches down to the floor, crossing his ankles.</t>
  </si>
  <si>
    <t>He then goes forward and back several times, stretching.</t>
  </si>
  <si>
    <t>v_CP9NQpJD0-Y</t>
  </si>
  <si>
    <t>A man sits in a room and discusses.</t>
  </si>
  <si>
    <t>The man holds up a coffee cup while talking.</t>
  </si>
  <si>
    <t>The man takes a few drinks from the coffee cup.</t>
  </si>
  <si>
    <t>v_fsz79uPkUSs</t>
  </si>
  <si>
    <t>A toddler is sitting down in front of a table,with her play make up laid out on the table.</t>
  </si>
  <si>
    <t>She then takes her foundation and puts it around her face.</t>
  </si>
  <si>
    <t>Next comes her eye shadow,then her lips but she ends up dropping it on the floor and has to go under the table to get it.</t>
  </si>
  <si>
    <t>Finally,she comes back and adds the finishing touches on her lips,she finishes off her lips and adds more color to her cheeks.</t>
  </si>
  <si>
    <t>v_06ofnvq2Hjs</t>
  </si>
  <si>
    <t>We see images which were shot around DC.</t>
  </si>
  <si>
    <t>We see a man talking and shots of skateboards as people assemble in a room.</t>
  </si>
  <si>
    <t>We see Tony Hawk who points to other people.</t>
  </si>
  <si>
    <t>We see people skateboarding in the street, and around DC.</t>
  </si>
  <si>
    <t>We see a skater named Shaun Gregoirie.</t>
  </si>
  <si>
    <t>A lady holds up a USA Flag and talks.</t>
  </si>
  <si>
    <t>We see a cop car on the street.</t>
  </si>
  <si>
    <t>We see Anthony Shetler sitting and talking before skating on the street.</t>
  </si>
  <si>
    <t>A man jumps stairs and falls.</t>
  </si>
  <si>
    <t>v_O9HLR19is-A</t>
  </si>
  <si>
    <t>A man is seen sitting in a bumper car holding a thumbs up and then begins driving around.</t>
  </si>
  <si>
    <t>The people continue driving around bumping into one another and ends with them standing up.</t>
  </si>
  <si>
    <t>v_PQBeNLSdugw</t>
  </si>
  <si>
    <t>Young boys are shown doing a karate demo in front of the judges.</t>
  </si>
  <si>
    <t>They move back and forth and front to back performing various punches.</t>
  </si>
  <si>
    <t>They then relax and take a bow while the people behind them clap.</t>
  </si>
  <si>
    <t>They then continue on with their routine of play fighting.</t>
  </si>
  <si>
    <t>This continues on until the boy finish their routine to applause and then sit down.</t>
  </si>
  <si>
    <t>v_C3K-OgdK8FY</t>
  </si>
  <si>
    <t>A man is wearing sunglasses inside a building.</t>
  </si>
  <si>
    <t>We see a group of people in the building as they dance aerobically.</t>
  </si>
  <si>
    <t>They shake in unison, going back and forth and side to side.</t>
  </si>
  <si>
    <t>v_E0xXymnjDkc</t>
  </si>
  <si>
    <t>People are standing outside playing volleyball.</t>
  </si>
  <si>
    <t>A man in a black shirt is talking to someone.</t>
  </si>
  <si>
    <t>A man in a gray shirt has his hands on his hips.</t>
  </si>
  <si>
    <t>v_ujiWstJ3tt0</t>
  </si>
  <si>
    <t>A man is kneeling down on the ground sanding a wall with a silver utensil.</t>
  </si>
  <si>
    <t>The man stands up,looks back at the camera and continues doing his task.</t>
  </si>
  <si>
    <t>Now the man is back on his knees and continues to do what he was doing in the beginning.</t>
  </si>
  <si>
    <t>v_oFku30m99do</t>
  </si>
  <si>
    <t>A woman is seen standing in a bathroom wrapped up in a towel.</t>
  </si>
  <si>
    <t>The girl holds her hair up with one hand and rubs makeup on with the other.</t>
  </si>
  <si>
    <t>v_F1RpG1Vwi28</t>
  </si>
  <si>
    <t>There's a bald man with a goatee beard standing in his bathroom in front of a large mirror with an electric shaver in his hand.</t>
  </si>
  <si>
    <t>He is demonstrating how to shave off his beard and maintain it.</t>
  </si>
  <si>
    <t>Then he begins showing how to use the trimmer for his beard by adjusting the clipper size.</t>
  </si>
  <si>
    <t>He completely shaves his beard off.</t>
  </si>
  <si>
    <t>He then touches his skin to see how clean the shave is.</t>
  </si>
  <si>
    <t>He removes the hair off of the shaver and cleans it.</t>
  </si>
  <si>
    <t>v_8Qg395HjqFg</t>
  </si>
  <si>
    <t>A man in a white jacket picks up an iron.</t>
  </si>
  <si>
    <t>He places tin foil down onto a table.</t>
  </si>
  <si>
    <t>He puts bread on the tin foil with butter and cheese.</t>
  </si>
  <si>
    <t>He puts the iron on the sandwich.</t>
  </si>
  <si>
    <t>He opens the tin foil and cuts the sandwich in half.</t>
  </si>
  <si>
    <t>He takes a bit of the sandwich.</t>
  </si>
  <si>
    <t>v_zSCZphJS2vA</t>
  </si>
  <si>
    <t>An athlete is seen walking up to a platform and begins spinning himself around and throwing an object off into the distance.</t>
  </si>
  <si>
    <t>His throw is shown again in slow motion and another man is seen spinning around then throwing the object with his hands up afterwards.</t>
  </si>
  <si>
    <t>v_Z7gECmnHeKk</t>
  </si>
  <si>
    <t>A man is seen sitting on a piece of exercise equipment and rowing himself back and fourth on a machine.</t>
  </si>
  <si>
    <t>The man continues moving himself back and fourth as the camera captures him from several angles.</t>
  </si>
  <si>
    <t>v_-C1nnsyw7R0</t>
  </si>
  <si>
    <t>man is standing in a racetrack and is running to make a jump and people is standing around him.</t>
  </si>
  <si>
    <t>man is sitting in a room talking to the camera.</t>
  </si>
  <si>
    <t>man is running in a racetrack and jumping in the dust and man is sitting in a room talking.</t>
  </si>
  <si>
    <t>players are running playing american football and spectators are in the terraces.</t>
  </si>
  <si>
    <t>old man is talking in the room and the man in the race track is running and practicing the jump.</t>
  </si>
  <si>
    <t>v_zUuT2FBf-Oc</t>
  </si>
  <si>
    <t>Two large pieces of decorated construction paper are shown with the words Happy Birthday all over them.</t>
  </si>
  <si>
    <t>We then see presents wrapped with the same wording.</t>
  </si>
  <si>
    <t>v_TSVDMiy_FC4</t>
  </si>
  <si>
    <t>A close up pair of shoes is shown followed by various text instructions and tools laid out.</t>
  </si>
  <si>
    <t>A person is then seen rubbing down the show with a rag using several ingredients and zooming in on the clean pair of shoes.</t>
  </si>
  <si>
    <t>v_iPU4muYW14Y</t>
  </si>
  <si>
    <t>A woman is standing on a wooden floor.</t>
  </si>
  <si>
    <t>She is raising and lowering her arms, changing to different positions.</t>
  </si>
  <si>
    <t>She is displaying acts of tai chai for the camera.</t>
  </si>
  <si>
    <t>v_mEjU4uJZccw</t>
  </si>
  <si>
    <t>a man is shown on a stage, playing a set of drums.</t>
  </si>
  <si>
    <t>The woman to one side is playing maracas.</t>
  </si>
  <si>
    <t>The man on the other side is playing an electric guitar.</t>
  </si>
  <si>
    <t>v_kXCtmH4V0TI</t>
  </si>
  <si>
    <t>A man is shown entering a circular caged area with one side open.</t>
  </si>
  <si>
    <t>The man begins rotating a ball that is attached to a string around him.</t>
  </si>
  <si>
    <t>The man begins spinning his body quickly in circles.</t>
  </si>
  <si>
    <t>The man lets go of the string and the ball flies through the air.</t>
  </si>
  <si>
    <t>v_uqT5jtfx8x0</t>
  </si>
  <si>
    <t>Two teams play polo holding poles to kick a ball on front a crowd in a field.</t>
  </si>
  <si>
    <t>People stand next to the scores boards.</t>
  </si>
  <si>
    <t>Then, a player get up the stage to receives a trophy, after a woman kiss the winner and other players on stage, and all rise the trophy.</t>
  </si>
  <si>
    <t>v_HXn5ZpSEMqg</t>
  </si>
  <si>
    <t>A man hold up a bench and opens the parts so he can set it up.</t>
  </si>
  <si>
    <t>He sticks a pin in and snaps his ski in.</t>
  </si>
  <si>
    <t>He then waxes the ski and removes the pin.</t>
  </si>
  <si>
    <t>He adjusts the parts of the bench.</t>
  </si>
  <si>
    <t>We see the bench in shots with the end credits.</t>
  </si>
  <si>
    <t>v_BryW4niZT9Y</t>
  </si>
  <si>
    <t>A man serves a tennis ball when playing tennis with a person in a tennis court.</t>
  </si>
  <si>
    <t>Then, the man serves again to a person behind the net, while a player stands next to him.</t>
  </si>
  <si>
    <t>After, the man serves a ball but nobody is behind the net.</t>
  </si>
  <si>
    <t>v_34NXXCSWyzE</t>
  </si>
  <si>
    <t>A man riding a horse and swinging a rope around is seen chasing after a calf and eventually grabbing the animal with his rope.</t>
  </si>
  <si>
    <t>He holds the calf down and another man comes out to help the man tie up the calf.</t>
  </si>
  <si>
    <t>He then grabs his rope and rides out of the arena on his horse.</t>
  </si>
  <si>
    <t>v_tMheZSxPl3Q</t>
  </si>
  <si>
    <t>Pieces of furniture are seen including cabinets and tables.</t>
  </si>
  <si>
    <t>A person sands down a piece of wood with an electric sander.</t>
  </si>
  <si>
    <t>A person sands down a piece of wood by hand.</t>
  </si>
  <si>
    <t>v_hPOtGLv1GzM</t>
  </si>
  <si>
    <t>People are riding bicycles on a track.</t>
  </si>
  <si>
    <t>A man crashes and lands on the track.</t>
  </si>
  <si>
    <t>A man in a hat is talking to the camera.</t>
  </si>
  <si>
    <t>People continue to ride bikes on the track and crashing.</t>
  </si>
  <si>
    <t>v_3xmgPNrmUYM</t>
  </si>
  <si>
    <t>A camera zooms in on a weight with a person standing nearby.</t>
  </si>
  <si>
    <t>A woman is then standing with weights in her hands and doing lunges.</t>
  </si>
  <si>
    <t>A second woman comes in as well as a man doing various weight lifting moves.</t>
  </si>
  <si>
    <t>v_JkcoGLKl_0A</t>
  </si>
  <si>
    <t>A baby is riding a swing in the playground.</t>
  </si>
  <si>
    <t>A hand pushs her while she enjoys the ride.</t>
  </si>
  <si>
    <t>The man starts to play with her.</t>
  </si>
  <si>
    <t>v_6okx-34bDEg</t>
  </si>
  <si>
    <t>People run in a marathon in the street.</t>
  </si>
  <si>
    <t>A man head the race and run alone in the street.</t>
  </si>
  <si>
    <t>Suddenly, the man crashes into the car and falls.</t>
  </si>
  <si>
    <t>v_CmS2nSm5n2Q</t>
  </si>
  <si>
    <t>There's a man in a blue shirt walking into a tall building where there's an indoor fencing arena.</t>
  </si>
  <si>
    <t>He walks into the arena and talks with two fencers.</t>
  </si>
  <si>
    <t>One of the fencers puts on a fencing suit on the man.</t>
  </si>
  <si>
    <t>The fencer then demonstrates and gives the man a lesson in fencing.</t>
  </si>
  <si>
    <t>He shows the man the various skills involved in fencing.</t>
  </si>
  <si>
    <t>The man is able to miss and evade every move of the fencer as he goes untouched by the sword.</t>
  </si>
  <si>
    <t>Then both the fencers remove their masks and shake hands.</t>
  </si>
  <si>
    <t>The fencer talks about his experience with the master fencer.</t>
  </si>
  <si>
    <t>v_sJUUm0n4cXA</t>
  </si>
  <si>
    <t>A game of lacrosse begins and a boy by the name of Chase Madrid is highlights making scenes throughout the game.</t>
  </si>
  <si>
    <t>Several different games begin and a yellow circle is drawn around him for each play when he is running back and forth.</t>
  </si>
  <si>
    <t>When the highlight reel is finished,a black screen appears and shows the High School as well as the name for the player.</t>
  </si>
  <si>
    <t>v_8v2sAylgkgc</t>
  </si>
  <si>
    <t>A man is at a park, where he and his wife, who is holding a baby, push two small children on the swings.</t>
  </si>
  <si>
    <t>The woman disappears as the man continues to push.</t>
  </si>
  <si>
    <t>v_Kcy0A0DuckE</t>
  </si>
  <si>
    <t>A small group of kids are seen moving around a gymnasium throwing balls around.</t>
  </si>
  <si>
    <t>The kids throw the balls to one another while playing a game.</t>
  </si>
  <si>
    <t>The game continues on while the kids jump and down.</t>
  </si>
  <si>
    <t>v_A0F6uT95xhA</t>
  </si>
  <si>
    <t>A man dances in in a big room.</t>
  </si>
  <si>
    <t>As he does the dance he explains how to do it.</t>
  </si>
  <si>
    <t>v_3S_aifr5rG4</t>
  </si>
  <si>
    <t>These horses are walking in a grassy area by themselves and then a woman is shown brushing the horse's hair.</t>
  </si>
  <si>
    <t>The camera zooms in to shows the horse' nose and then the woman climbs onto the horse's saddle to ride it somewhere.</t>
  </si>
  <si>
    <t>Then two other people are hsown riding the horse's in different settings.</t>
  </si>
  <si>
    <t>v_DIATqGGmG2g</t>
  </si>
  <si>
    <t>Two girls are siting outside talking with there feet crossed.</t>
  </si>
  <si>
    <t>One of the girls hands the other a container which she pulls a little paper out of that tells her what to do.</t>
  </si>
  <si>
    <t>She reads it and then does what the paper says to do.</t>
  </si>
  <si>
    <t>They take turns doing this, picking a note and then doing the task it says to do and they are having fun while doing so.</t>
  </si>
  <si>
    <t>v_FRoL-CpfbJ4</t>
  </si>
  <si>
    <t>Water splashing on a watch tower.</t>
  </si>
  <si>
    <t>People sitting on the beach in a boat.</t>
  </si>
  <si>
    <t>music plays in the background as different people are sailing during different clips.</t>
  </si>
  <si>
    <t>v_RBkieLmOUlQ</t>
  </si>
  <si>
    <t>Two boys in karate pants wrestle one another in the background.</t>
  </si>
  <si>
    <t>The group forms a circle and two of the boys begin to spar in a martial arts practice.</t>
  </si>
  <si>
    <t>the boy in pink top does a spinning kick.</t>
  </si>
  <si>
    <t>v_-l5e1zVzQOQ</t>
  </si>
  <si>
    <t>A band plays music on stage.</t>
  </si>
  <si>
    <t>A man plays the drums intensely.</t>
  </si>
  <si>
    <t>A large screen shows the band above.</t>
  </si>
  <si>
    <t>People play the guitar on the stage.</t>
  </si>
  <si>
    <t>v_TdAfqkmTrf0</t>
  </si>
  <si>
    <t>Players are running around playing lacrosse on a field of grass.</t>
  </si>
  <si>
    <t>The audience is watching and applauding for them.</t>
  </si>
  <si>
    <t>v_ZVMGA4oF6xo</t>
  </si>
  <si>
    <t>A balded man is seen talking to a camera while rubbing his head and making grimace faces.</t>
  </si>
  <si>
    <t>He continues speaking to the camera and the video ends with him waving and shutting the camera off.</t>
  </si>
  <si>
    <t>v_t6Hc2tHRrs4</t>
  </si>
  <si>
    <t>A group is shown together and racing on bmx bikes in a series of photos.</t>
  </si>
  <si>
    <t>Then we see people on bikes, performing stunts, going around a ring and jumping hills.</t>
  </si>
  <si>
    <t>A biker flies through the air, then we see a final photo of the winners with their medals.</t>
  </si>
  <si>
    <t>v_HmqRZ4HPu1U</t>
  </si>
  <si>
    <t>A man in a yard starts his lawn mower.</t>
  </si>
  <si>
    <t>The man mows his lawn with headphones on his ears as his dog walks around the yard.</t>
  </si>
  <si>
    <t>the dog runs to get out of the way of the lawn mower and leaves the scene.</t>
  </si>
  <si>
    <t>v_fVzpG-QQ1n8</t>
  </si>
  <si>
    <t>A cat is seen licking itself on a bed while a person continuously attempts to cut it's claws.</t>
  </si>
  <si>
    <t>The person scratches the cat while it continues to lick itself and attempts again to cut it's claws.</t>
  </si>
  <si>
    <t>Finally the person plays with the cat and the car continues licking.</t>
  </si>
  <si>
    <t>v_KgfKmcsEMK0</t>
  </si>
  <si>
    <t>A guy is shaving a male's leg.</t>
  </si>
  <si>
    <t>The male laughs and messes with his shorts.</t>
  </si>
  <si>
    <t>The guy rinses the razor in a blue bowl full with soapy liquid.</t>
  </si>
  <si>
    <t>v_BadeHG8y4PQ</t>
  </si>
  <si>
    <t>A man is holding a volleyball while standing on a court and speaking.</t>
  </si>
  <si>
    <t>Female players train and practice behind him while he speaks.</t>
  </si>
  <si>
    <t>v_X1vyuNazaIc</t>
  </si>
  <si>
    <t>Two children in pajamas hang Christmas ornaments from a tree.</t>
  </si>
  <si>
    <t>A fake bat bursts out of the Christmas tree and scares the children.</t>
  </si>
  <si>
    <t>v_rVqeQ9D7EWo</t>
  </si>
  <si>
    <t>A man is standing outside a trailer.</t>
  </si>
  <si>
    <t>He begins to shovel snow in front of the trailer.</t>
  </si>
  <si>
    <t>He puts the snow shovel in the snow and continues talking.</t>
  </si>
  <si>
    <t>v_PlUAKvaRd8s</t>
  </si>
  <si>
    <t>A small child is seen sitting in a tube while others stand around him.</t>
  </si>
  <si>
    <t>The boy then begins riding down a snowy hill in the tube.</t>
  </si>
  <si>
    <t>The boy continues to ride until he reaches the bottom.</t>
  </si>
  <si>
    <t>v_TV8putYbiCU</t>
  </si>
  <si>
    <t>A woman stands by a sink as she speaks.</t>
  </si>
  <si>
    <t>She turns on the faucet and wets the sink.</t>
  </si>
  <si>
    <t>She sprays the sink with a cleaner.</t>
  </si>
  <si>
    <t>She grabs a paper towel and wipes the sink.</t>
  </si>
  <si>
    <t>She turns on the water and wets the sink.</t>
  </si>
  <si>
    <t>She grabs another paper towel and wipes the sink.</t>
  </si>
  <si>
    <t>She finishes wiping the sink and speaks.</t>
  </si>
  <si>
    <t>v_JFGJYIZ7ONE</t>
  </si>
  <si>
    <t>A team is playing basketball against another team.</t>
  </si>
  <si>
    <t>They chase the ball all over the court.</t>
  </si>
  <si>
    <t>They try to keep the ball away from their opponent, making baskets as they go.</t>
  </si>
  <si>
    <t>v_5I5xXW25OXs</t>
  </si>
  <si>
    <t>Two men getting ready for a contest by doing paper scissors rocks to see who goes first.</t>
  </si>
  <si>
    <t>The men cross their arms and began drinking the liquids during the contest.</t>
  </si>
  <si>
    <t>v_vl7OBBTv7KY</t>
  </si>
  <si>
    <t>an oreo cheesecake is on top of a table.</t>
  </si>
  <si>
    <t>oreos are in a bowl and the cooker is crushing them and melted butter and mixing and put it in a pan.</t>
  </si>
  <si>
    <t>whipping cream is meled in a bowl and beat until double its volume.</t>
  </si>
  <si>
    <t>in other bowl a cream cheese is mixed with sugar and vanilla and break oreo cookies in a bowl and mix it together and then drop it in the pan and top it off with oreo cookies.</t>
  </si>
  <si>
    <t>v_J_CqwWJZTh4</t>
  </si>
  <si>
    <t>A woman is seen speaking into a microphone and leads into her throwing darts at a person's head after spinning.</t>
  </si>
  <si>
    <t>The person wears a pumpkin head and more people are seen attempting to throw darts.</t>
  </si>
  <si>
    <t>In the end the man takes the pumpkin off of his head.</t>
  </si>
  <si>
    <t>v_AR-VPPtV7ag</t>
  </si>
  <si>
    <t>A man is shown sitting down in front of a tree shuffling cards when someone hands him a drink.</t>
  </si>
  <si>
    <t>He then chugs the drink very quickly and points to the one who threw the drink.</t>
  </si>
  <si>
    <t>v_FaiSWZFSHSE</t>
  </si>
  <si>
    <t>Several images of a bakery and a chef are shown and then a little animate guy comes along showing what the video will be about.</t>
  </si>
  <si>
    <t>A real chef then appears and begins cutting small layers of cakes and adding them together.</t>
  </si>
  <si>
    <t>Once all the layers of the cake are cut out and iced together,the fondant is placed on the cake as well as the icing and the desert is complete.</t>
  </si>
  <si>
    <t>v_rMX2KeJa8qI</t>
  </si>
  <si>
    <t>A group of shirtless men are seen standing around the outside of a home when one grabs various tools and hands more to another.</t>
  </si>
  <si>
    <t>The men then hit a ball all around the yard through stands sticking out and speak to one another while drinking water.</t>
  </si>
  <si>
    <t>The men hit the ball a few more times and continue to speak to one another.</t>
  </si>
  <si>
    <t>v_brSp5DB7OLs</t>
  </si>
  <si>
    <t>A young girl is shown taking wet clothes our of a bucket.</t>
  </si>
  <si>
    <t>Several people are around her washing clothes and tending to them.</t>
  </si>
  <si>
    <t>She looks back at the camera and seems to be having fun.</t>
  </si>
  <si>
    <t>A young boy jumps in front of the camera and is smiling.</t>
  </si>
  <si>
    <t>The little girls continue rinsing the clothes in the bucket as the young boy turns his back to the camera.</t>
  </si>
  <si>
    <t>The young girl continues on with her work and is shown being very focused in her task.</t>
  </si>
  <si>
    <t>v_t2zLJ5mKTT8</t>
  </si>
  <si>
    <t>Water falls as a man stand on a jet ski.</t>
  </si>
  <si>
    <t>We see the man jet skiing and performing jumps on a lake.</t>
  </si>
  <si>
    <t>The man skis with his hand in the water as he bends down.</t>
  </si>
  <si>
    <t>We see the boat pass us with the skier in the air.</t>
  </si>
  <si>
    <t>v_Np43Q2E8GCE</t>
  </si>
  <si>
    <t>Two women and a man are walking in the hallway looking at the carpets on display.</t>
  </si>
  <si>
    <t>A red van driven by a man passed, then a man walked towards the house, then a man is crouching on the carpeted floor cutting a piece or brown carpet, iron the carpet, press the carpet with heavy metal.</t>
  </si>
  <si>
    <t>v_0XRZ2F5B7fQ</t>
  </si>
  <si>
    <t>A man and a woman scrape frost off of a parked car's windows, windshield and wiper blades while a second woman talks to them from the side of the car in the snow.</t>
  </si>
  <si>
    <t>A man in a long black wool coat scrapes ice off of a blue car's windshield while a woman in a black fur collared coat talks to him from the side of the car.</t>
  </si>
  <si>
    <t>A second woman begins wiping snow off of the car's windshield wipers while talking to the woman in the fur hooded coat.</t>
  </si>
  <si>
    <t>The man gets in the back seat of the car and shuts the door behind him while the woman in the fur hooded coat waves at the other woman who is moving towards the drivers side car door.</t>
  </si>
  <si>
    <t>v_WiJMIl5Tp3A</t>
  </si>
  <si>
    <t>There are a few girls doing gymnastics in a gym.</t>
  </si>
  <si>
    <t>There's a young girl wearing an athletic tank top and shorts doing back flips in her backyard.</t>
  </si>
  <si>
    <t>She continues to back flips in a fast manner.</t>
  </si>
  <si>
    <t>She also does a back flip on the beach.</t>
  </si>
  <si>
    <t>Then she does some more back flips in her backyard and in a park.</t>
  </si>
  <si>
    <t>The girl then stretches her leg towards the back of her head to make her toes touch her head.</t>
  </si>
  <si>
    <t>Several pictures of the girl are shown where she has participated as a cheerleader and in many gymnastic events.</t>
  </si>
  <si>
    <t>v_juP0cn5B60Y</t>
  </si>
  <si>
    <t>A woman is seen speaking to the camera while shots of homes are shown.</t>
  </si>
  <si>
    <t>People are then seen grooming dogs and holding up awards.</t>
  </si>
  <si>
    <t>The woman continues speaking to the camera while the dogs continue to be groomed behind her.</t>
  </si>
  <si>
    <t>v_zp86ztwZEKk</t>
  </si>
  <si>
    <t>A talking man dressed in athletic gear is standing on a very green field and the words on the bottom left say his name is Neil Macmillan and his title is Head Coach.</t>
  </si>
  <si>
    <t>A large group of girls dressed in athletic gear are shown playing land hockey, and the people not playing are dressed for cold weather.</t>
  </si>
  <si>
    <t>Clips of the man continue to play and rotate from showing the man and the girls playing land hockey until they are done playing.</t>
  </si>
  <si>
    <t>v_FK73jqIGUzE</t>
  </si>
  <si>
    <t>A boy welds on a piece of metal making sparkles.</t>
  </si>
  <si>
    <t>Then, the boy raise his helmet and talks.</t>
  </si>
  <si>
    <t>v_AhWkUdag6NA</t>
  </si>
  <si>
    <t>A woman opens her mouth and smiles at the camera.</t>
  </si>
  <si>
    <t>People are going by, water sailing.</t>
  </si>
  <si>
    <t>They spin and turn in the water as they sail.</t>
  </si>
  <si>
    <t>v_zQ4HbFGX7t0</t>
  </si>
  <si>
    <t>A man closing his house door and then opening his car door.</t>
  </si>
  <si>
    <t>He gets in the car and puts the keys in the ignition and starts driving down the highway to his shop.</t>
  </si>
  <si>
    <t>He gets some boards and starts sanding them down smoothing them out.</t>
  </si>
  <si>
    <t>When the day is over he turns the lights off and gets ready for work.</t>
  </si>
  <si>
    <t>v_GwIHO7HpGkY</t>
  </si>
  <si>
    <t>A man is standing on ice holding a fishing pole in his right hand and there's a very small hole in the ice in front of him and he drops his hook into the hole and tugs on his pole.</t>
  </si>
  <si>
    <t>The man then pulls on the fishing wire a few times and stands there holding his fishing pole, moving it, and winding it from time to time.</t>
  </si>
  <si>
    <t>The end of the pole begins to bend and the man starts pulling the pole and winding it up and he pulls a fish out of the hole and it lands onto the ice.</t>
  </si>
  <si>
    <t>The man grabs the fish from the ice and puts it right back into the hole he just pulled it out from while it's still attached to the hook and his wire.</t>
  </si>
  <si>
    <t>The man then begins to pull on the fishing wire, pulls his pole up and and down a few times, and then adjusts the camera.</t>
  </si>
  <si>
    <t>v_dWBnXy2nauU</t>
  </si>
  <si>
    <t>The tile screen shows up with some names.</t>
  </si>
  <si>
    <t>A man starts throwing a shot-put several different times as names scroll at the bottom.</t>
  </si>
  <si>
    <t>A group can be seen behind watch him.</t>
  </si>
  <si>
    <t>A man is behind the last one thrown.</t>
  </si>
  <si>
    <t>v_bmc11KqVbEE</t>
  </si>
  <si>
    <t>Words appear on the screen before it goes black.</t>
  </si>
  <si>
    <t>A man appears, using squeegees to wash a window in front of him while he speaks.</t>
  </si>
  <si>
    <t>He applies soap liberally before swiping it off with the rake.</t>
  </si>
  <si>
    <t>He stops cleaning the window, and says a few words in closing.</t>
  </si>
  <si>
    <t>v_4fgIHu_Se3Q</t>
  </si>
  <si>
    <t>An athlete walks up to a beam.</t>
  </si>
  <si>
    <t>He mounts quickly, spinning and turning around it and jumping between the two bars several times.</t>
  </si>
  <si>
    <t>He finally dismounts, throwing his arms into the air before walking away.</t>
  </si>
  <si>
    <t>v_kzvFQv5UCx4</t>
  </si>
  <si>
    <t>A man makes tattoos on the back head and neck of a person.</t>
  </si>
  <si>
    <t>Then, the man cleans the head and neck with a white tissue.</t>
  </si>
  <si>
    <t>After, the man continues making the tattoo on the side of the head while cleaning the paint.</t>
  </si>
  <si>
    <t>v_fXdw7jwiP8g</t>
  </si>
  <si>
    <t>A woman in a black leotard is talking on a stage.</t>
  </si>
  <si>
    <t>She starts dancing for the camera.</t>
  </si>
  <si>
    <t>She shows several dance moves as she does them.</t>
  </si>
  <si>
    <t>v_vULLe2qogZU</t>
  </si>
  <si>
    <t>Two people are playing a lacrosse game.</t>
  </si>
  <si>
    <t>They shoot at the goal and make the point.</t>
  </si>
  <si>
    <t>v_-qGmUrF_7v4</t>
  </si>
  <si>
    <t>A little girl in a room standing in front of some chairs is hitting a dora pinata.</t>
  </si>
  <si>
    <t>She hits it a few times and then its someone else's turn.</t>
  </si>
  <si>
    <t>An older girl hits it so hard that it doesn't break but the whole pinata falls down and the adults have to put it back up.</t>
  </si>
  <si>
    <t>After everyone takes their tun the little girl gets to go again, when hitting doesn't work they all grab a piece of string and pull it.</t>
  </si>
  <si>
    <t>v_kliGNOFLJSk</t>
  </si>
  <si>
    <t>people is in a court stretching and making exercise, jumping the rope and weightlifting.</t>
  </si>
  <si>
    <t>man is talking to the camera and the people practicing capoeira, doing suicides and weightlifting are training.</t>
  </si>
  <si>
    <t>v_0WRxp0X0edY</t>
  </si>
  <si>
    <t>A man and a woman anchor are talking behind a desk and several television.</t>
  </si>
  <si>
    <t>The woman is then shown alone and she begins talking.</t>
  </si>
  <si>
    <t>An ice rink then appears and a woman begins coaching a man about specific techniques for a game.</t>
  </si>
  <si>
    <t>She has a brief interview and continues coaching people on Curling.</t>
  </si>
  <si>
    <t>More people are in the gym and they continue curling and more instructors begin having interviews.</t>
  </si>
  <si>
    <t>Clips are shown from a real curling game and the people begin to wait against the wall.</t>
  </si>
  <si>
    <t>v_r_n1PfHvKI4</t>
  </si>
  <si>
    <t>There is a field with a kite laying in it.</t>
  </si>
  <si>
    <t>A man is preparing to fly the kite.</t>
  </si>
  <si>
    <t>The kite gets airborne and soars.</t>
  </si>
  <si>
    <t>v_eDMv3IHGpnA</t>
  </si>
  <si>
    <t>A man wearing very large glasses is talking into a black microphone while people behind him are dancing until he points into their direction and they all scatter off the dance floor.</t>
  </si>
  <si>
    <t>Men are dressed in red suits and each are taking turns break dancing alone as words on the screen are possibly naming the dancer.</t>
  </si>
  <si>
    <t>When the last man is dancing they all stop and strike a pose and DJ that has been playing this whole time continues to play music at his DJ station.</t>
  </si>
  <si>
    <t>v_BUqr7or97JA</t>
  </si>
  <si>
    <t>A woman and a man performs arm wrestling.</t>
  </si>
  <si>
    <t>The man raise his t-shirt sleeve until the shoulder.</t>
  </si>
  <si>
    <t>A man walks in a room behind the wrestlers.</t>
  </si>
  <si>
    <t>The man bend the woman's arm, but the woman straight her arm and bend the arm of the man and win.</t>
  </si>
  <si>
    <t>v_YL3MvJVk6u0</t>
  </si>
  <si>
    <t>A man prunes dead branches from fruit bearing plant stems in the winter.</t>
  </si>
  <si>
    <t>A man, in a field of dirt and fruit crops with bare branches from the winter, begins to prune dead branches from the fruit plants with a pruning tool and a hatchet.</t>
  </si>
  <si>
    <t>An image of the plants in fruit bearing months appears before returning to the man in the field pruning the dead branches.</t>
  </si>
  <si>
    <t>v_edbczrXeEOk</t>
  </si>
  <si>
    <t>A person is shown performing a dive off of a board while a couple people watch on the sidelines and clap.</t>
  </si>
  <si>
    <t>The person performs several more tricks off of the high dive while more people watch on the sides.</t>
  </si>
  <si>
    <t>v_EZdnNs-5tlo</t>
  </si>
  <si>
    <t>Children drives bumper cars in a carnival.</t>
  </si>
  <si>
    <t>A little girl bumps on the wall and gets stuck with other cars, then the girl gets free and continues riding.</t>
  </si>
  <si>
    <t>The little girl get stuck with other children, then she gets free and then rides the bumper car.</t>
  </si>
  <si>
    <t>v_1BWF1U1dJ_w</t>
  </si>
  <si>
    <t>A person demonstrates how to make a mini meat and cheese sandwich platter with garnish.</t>
  </si>
  <si>
    <t>A large platter of prepared sandwiches displays.</t>
  </si>
  <si>
    <t>A persons hands is seen throwing different sandwich making ingredients into a shopping cart inside of a grocery store, the ingredients include rolls and lunch meat.</t>
  </si>
  <si>
    <t>A person is then seen putting a sandwich of cheese and meat together on white bread rolls with lettuce on a counter top.</t>
  </si>
  <si>
    <t>The person cuts the rolls apart to make individual sandwiches and then adds toothpicks and strawberries along with lettuce garnish to the platter which is then focused on by the camera as the finished product.</t>
  </si>
  <si>
    <t>v_zruHn4r6_CY</t>
  </si>
  <si>
    <t>We see a sign with a mans' name.</t>
  </si>
  <si>
    <t>We see a man run and do a long jump on different tracks repeatedly with his name on a sign occasionally.</t>
  </si>
  <si>
    <t>We see the man on a blue track with ad signs.</t>
  </si>
  <si>
    <t>The man tumbles on his landing.</t>
  </si>
  <si>
    <t>The man lands on his back.</t>
  </si>
  <si>
    <t>The screen fades to black.</t>
  </si>
  <si>
    <t>v_e51NGAPMp1s</t>
  </si>
  <si>
    <t>A man sinks underwater in a pool.</t>
  </si>
  <si>
    <t>The man sinks underwater in a pool backwards.</t>
  </si>
  <si>
    <t>Text is shown on a black screen.</t>
  </si>
  <si>
    <t>v_yDrTpm9c7MY</t>
  </si>
  <si>
    <t>woman is sitting on a wooden bench talking to the camera.</t>
  </si>
  <si>
    <t>woman is doing somersaults on a large green grassy field.</t>
  </si>
  <si>
    <t>woman is making a jump and slide and fell into the grass.</t>
  </si>
  <si>
    <t>v_Ta70WnVT6Lc</t>
  </si>
  <si>
    <t>A video is shown of skateboarders at an outdoor skatepark.</t>
  </si>
  <si>
    <t>Interviews are shown and then a few races are shown.</t>
  </si>
  <si>
    <t>v_TEkIJQljABs</t>
  </si>
  <si>
    <t>A small child seated at a table eats ice cream with a spoon while people walk by in the background.</t>
  </si>
  <si>
    <t>A pair of adult hands briefly enter the camera frame in the foreground.</t>
  </si>
  <si>
    <t>The child inserts her spoon into her ice cream container on the table.</t>
  </si>
  <si>
    <t>The child complains about something.</t>
  </si>
  <si>
    <t>The camera zooms in on the ice cream.</t>
  </si>
  <si>
    <t>v_-ROljbRVlos</t>
  </si>
  <si>
    <t>A person is seen standing on a court wearing stilts on his feet.</t>
  </si>
  <si>
    <t>The boy then begins running down the court on the stilts.</t>
  </si>
  <si>
    <t>The boy dunks a small ball into the basket and walks back to grab it.</t>
  </si>
  <si>
    <t>v_Wgm-mYzdnxc</t>
  </si>
  <si>
    <t>A man is seen using a power drill in a large bowl filled with chocolate.</t>
  </si>
  <si>
    <t>Another person hands him a blender but the man continues using the drill in the bowl.</t>
  </si>
  <si>
    <t>v_oLEagb_RGq8</t>
  </si>
  <si>
    <t>A young woman is seen standing behind a lawn mower in a yard.</t>
  </si>
  <si>
    <t>She begins pushing the lawn mower along the yard.</t>
  </si>
  <si>
    <t>She moves herself back on the lawn and looks into the camera.</t>
  </si>
  <si>
    <t>v_lnx8WSmcLF8</t>
  </si>
  <si>
    <t>A gymnast performs a routine on the horizontal bars.</t>
  </si>
  <si>
    <t>The gymnast spins and turns from one bar to the other, also holding on one hand.</t>
  </si>
  <si>
    <t>Then, the gymnast spins and jumps stand on the floor, then a flashback of the routine is presented.</t>
  </si>
  <si>
    <t>v_i5K-DXt9djA</t>
  </si>
  <si>
    <t>A man and woman are riding bikes quickly down a paved street.</t>
  </si>
  <si>
    <t>they stop, pumping air into their tires.</t>
  </si>
  <si>
    <t>they then replace the tubes and get back on their bikes.</t>
  </si>
  <si>
    <t>They continue riding down the road.</t>
  </si>
  <si>
    <t>v_bdDzTqaiB3E</t>
  </si>
  <si>
    <t>A woman is standing in the bathtub using the shower to wash her clothes.</t>
  </si>
  <si>
    <t>She kicks the clothes around and steps around and kind of dances on them.</t>
  </si>
  <si>
    <t>Her boyfriend is recording her and himself in the mirror.</t>
  </si>
  <si>
    <t>He continues to watch her as she steps on the clothed, and then he turns the camera to his mother.</t>
  </si>
  <si>
    <t>v_1SouLWwpbvU</t>
  </si>
  <si>
    <t>Several people are in a small room dressed in work out clothes going up and and on the stair step.</t>
  </si>
  <si>
    <t>They then turn around and start to dance on the stair step and intensifying the workout.</t>
  </si>
  <si>
    <t>Midway through,the instructor gets off and walks around while the rest of the class continues.</t>
  </si>
  <si>
    <t>After,the grab the stair step,place it against the wall and come back to their spots for the remainder of the workout.</t>
  </si>
  <si>
    <t>v_9ddD5Ob93J0</t>
  </si>
  <si>
    <t>Steven Richardson, a store manager, discusses the topic of tire care for vehicles with 4 wheel drive.</t>
  </si>
  <si>
    <t>He explains that mismatched tires on 4 wheel drive vehicles cause wear and tear.</t>
  </si>
  <si>
    <t>He recommend that all 4 tires should be replaced at the same time.</t>
  </si>
  <si>
    <t>He advertises the website belletire dot com and says to use it to find a location near you.</t>
  </si>
  <si>
    <t>v_sNnNDCx6RRA</t>
  </si>
  <si>
    <t>A ballerina is seen walking out onto a stage and leads into her performing a ballet routine.</t>
  </si>
  <si>
    <t>The girl spins herself around on her shoes while the audience watches her.</t>
  </si>
  <si>
    <t>She continues spinning and twirling around and ends by holding a pose and bowing.</t>
  </si>
  <si>
    <t>v_cJcr6kWylI8</t>
  </si>
  <si>
    <t>A barefoot man is touching up a piece of wood furniture with a brush.</t>
  </si>
  <si>
    <t>He then moves the piece around to show the scuffs and buffs them out with a brush.</t>
  </si>
  <si>
    <t>The man shows the cleaned edges with his fingers.</t>
  </si>
  <si>
    <t>v_E1Xsc4kfFRE</t>
  </si>
  <si>
    <t>A couple of kids are cheering at a bowling alley.</t>
  </si>
  <si>
    <t>They join other children, arguing over a bowling ball.</t>
  </si>
  <si>
    <t>They pick a ball, then bowl it down the lane.</t>
  </si>
  <si>
    <t>v_YptHsVTHquc</t>
  </si>
  <si>
    <t>A group of people are dancing around each other.</t>
  </si>
  <si>
    <t>A girl moves around with a hula hoop doing various movements.</t>
  </si>
  <si>
    <t>The People continuing dancing around her in various motions.</t>
  </si>
  <si>
    <t>The girl spins her hula hoop around her head.</t>
  </si>
  <si>
    <t>v_8YkCDiVc7RI</t>
  </si>
  <si>
    <t>Two girls are seen speaking and waving to the camera that lead into them performing several jumps and tricks on a mat.</t>
  </si>
  <si>
    <t>the girls continue taking turns flipping all around the mat in the area as well as speaking to the camera and waving.</t>
  </si>
  <si>
    <t>v_YcAs1-6SYb4</t>
  </si>
  <si>
    <t>A woman is standing with a ball on a string.</t>
  </si>
  <si>
    <t>She is in a competition for athletics.</t>
  </si>
  <si>
    <t>She swings the ball around numerous times, then legs go and cheers as it lands far into the field.</t>
  </si>
  <si>
    <t>v_zvAlL20-K4w</t>
  </si>
  <si>
    <t>An athlete is seen standing ready in the middle of a small circle and then throws a shot put off into the distance.</t>
  </si>
  <si>
    <t>The man walks away shaking his arms and his throw is shown again several times.</t>
  </si>
  <si>
    <t>Several more athletes are shown stepping up to the platform throwing the shot put and ending with a man in a hat speaking to the audience.</t>
  </si>
  <si>
    <t>v_XSfG1M-Ik_A</t>
  </si>
  <si>
    <t>A lady in a bra and panties grabs and throws a shotput.</t>
  </si>
  <si>
    <t>IT goes through a window on a house and a cat runs.</t>
  </si>
  <si>
    <t>The man looks outside and sees the lady.</t>
  </si>
  <si>
    <t>the lady uses a pole to pole vault into the second story window and jump on the man.</t>
  </si>
  <si>
    <t>We see the title screen and the man's pants fly out the window.</t>
  </si>
  <si>
    <t>v_d6lajCxMhPE</t>
  </si>
  <si>
    <t>A person holding a broom cleans the floor back and forth.</t>
  </si>
  <si>
    <t>The person turn the broom to collect the dust.</t>
  </si>
  <si>
    <t>v_SfFjpnTKG7s</t>
  </si>
  <si>
    <t>Athletes runs on an outdoors track of a field and pole vault during practice.</t>
  </si>
  <si>
    <t>An athlete runs and pole vaults during an Olympic competition in a stadium.</t>
  </si>
  <si>
    <t>Athletes make a practice jumps and dive under the rope and onto the mat.</t>
  </si>
  <si>
    <t>v_NT0dXbWzt7w</t>
  </si>
  <si>
    <t>A little boy is filling an ice cream cone with ice cream.</t>
  </si>
  <si>
    <t>He licks the ice cream cone.</t>
  </si>
  <si>
    <t>He lifts the ice cream cone up to show the camera.</t>
  </si>
  <si>
    <t>v_yDWOqabreoU</t>
  </si>
  <si>
    <t>A girls has a pole and she is blindfolded.</t>
  </si>
  <si>
    <t>She swings at a pinata and misses.</t>
  </si>
  <si>
    <t>She steps closer and tries again, hitting it this time.</t>
  </si>
  <si>
    <t>She backs up as a dog comes into the picture.</t>
  </si>
  <si>
    <t>She keeps swinging at missing.</t>
  </si>
  <si>
    <t>She stops for moment, takes a hard swing and hits it.</t>
  </si>
  <si>
    <t>v_C1TWr5XH8b0</t>
  </si>
  <si>
    <t>Various text is shown across the screen and leads into a man speaking and more tools being shown.</t>
  </si>
  <si>
    <t>The man rubs the tools along his skin and points back and fourth to the vacuum while speaking.</t>
  </si>
  <si>
    <t>v_fljxcvQe_Mo</t>
  </si>
  <si>
    <t>The top shingle of a roof dangles unsecured.</t>
  </si>
  <si>
    <t>A man on a roof hammers a nail into the shingle, securing the shingle.</t>
  </si>
  <si>
    <t>v_hj88A5tvA0Y</t>
  </si>
  <si>
    <t>Various people are seen walking around a beach leading into men tightening up a rope and bouncing on the rope.</t>
  </si>
  <si>
    <t>Several people perform many tricks and jumps on the rope while others stand and watch on the side.</t>
  </si>
  <si>
    <t>v_tYyTrDyzB6o</t>
  </si>
  <si>
    <t>A person is seen riding in a tube down a river while the camera zooms in on a persons feet.</t>
  </si>
  <si>
    <t>The people in tubes ride past others in the water.</t>
  </si>
  <si>
    <t>More people are seen riding down the river in tubes.</t>
  </si>
  <si>
    <t>v_yuYqFaAnTxI</t>
  </si>
  <si>
    <t>A series of clips of the same woman performing pole vaults at different professional athletic events plays.</t>
  </si>
  <si>
    <t>A woman holding a pole runs on a track toward a goal line and performs a pole vault in front of event onlookers and supporters.</t>
  </si>
  <si>
    <t>The woman is then shown at two more event performing the same pole vault surrounded by onlookers and score takers.</t>
  </si>
  <si>
    <t>v_o8RIoxL9FDE</t>
  </si>
  <si>
    <t>A woman stands in front of a mirror and rinses her mouth before pulling her face close to the mirror and looking at her teeth from a close up angle.</t>
  </si>
  <si>
    <t>A woman sits in front of a bathroom mirror squishing water in her mouth, as if rinsing her mouth.</t>
  </si>
  <si>
    <t>The woman then spits the water into the sink and looks at her teeth very close in the mirror before the scene fades out.</t>
  </si>
  <si>
    <t>v_mBsIWxXJPY0</t>
  </si>
  <si>
    <t>We see people on skis falling hard.</t>
  </si>
  <si>
    <t>We see a person fly into a snow pile.</t>
  </si>
  <si>
    <t>A person skis and falls as they jump across a street.</t>
  </si>
  <si>
    <t>A person on skis is holding a line and falls then a person in white crashes into another and they both fall.</t>
  </si>
  <si>
    <t>A snowboarder can't hold the line and knocks over a person helping and falls himself.</t>
  </si>
  <si>
    <t>v_dJAZplo9ke0</t>
  </si>
  <si>
    <t>A river surrounded by rocks apperas.</t>
  </si>
  <si>
    <t>Several people are floating through it in intertubes.</t>
  </si>
  <si>
    <t>They float down the river together through the rapids.</t>
  </si>
  <si>
    <t>v_f025sQGYfJM</t>
  </si>
  <si>
    <t>A man and a man in green shirt is decorating the Christmas tree with his kid in gray shirt, they are putting the decorations while the woman is sitting on a chair by the tree and put the decors on the blue table.</t>
  </si>
  <si>
    <t>The lady helped the man and child to hang the decor in the Christmas tree, the man handed some decorations to the lady and she put it on the tree.</t>
  </si>
  <si>
    <t>The woman sat on the chair to arrange the christmas ball on the table, and helped them with the decorations.</t>
  </si>
  <si>
    <t>A lady in black top put more decorations to the christmas tree.</t>
  </si>
  <si>
    <t>v_9bUNAiuRXyo</t>
  </si>
  <si>
    <t>A boy walks up to a post on a very large indoor court.</t>
  </si>
  <si>
    <t>He gets himself ready, moving his arms around.</t>
  </si>
  <si>
    <t>He begins to spin around very quickly.</t>
  </si>
  <si>
    <t>Finally letting go and throwing the ball.</t>
  </si>
  <si>
    <t>v_XSnPmf41ToA</t>
  </si>
  <si>
    <t>A woman slaps her cheek as she prepares on a field.</t>
  </si>
  <si>
    <t>She swings a ball around several times.</t>
  </si>
  <si>
    <t>She lets go, letting the ball fly through the air.</t>
  </si>
  <si>
    <t>v_Po3-9ktM5Do</t>
  </si>
  <si>
    <t>A woman wearing a black top and with curly brown hair and bronze highlights is demonstrating how to use a diffuser to dry hair.</t>
  </si>
  <si>
    <t>She is using the blow dryer on medium heat to dry her hair.</t>
  </si>
  <si>
    <t>She blow dries the curls till the moisture from the hair is gone.</t>
  </si>
  <si>
    <t>After she's done using the blow dryer, she uses a wide tooth comb to comb through her curls.</t>
  </si>
  <si>
    <t>She then poofs up her hair and shows off her luscious curls.</t>
  </si>
  <si>
    <t>v_3EuY86B4uTo</t>
  </si>
  <si>
    <t>A helicopter flies in some people who then start playing paintball.</t>
  </si>
  <si>
    <t>They run around obstacles and have a great time.</t>
  </si>
  <si>
    <t>v_wQbVxdVTN-I</t>
  </si>
  <si>
    <t>A boy holds an axe outside.</t>
  </si>
  <si>
    <t>He swings the axe at a stump.</t>
  </si>
  <si>
    <t>Another boy is shown doing the same thing.</t>
  </si>
  <si>
    <t>They continue to try to split the wood.</t>
  </si>
  <si>
    <t>v_nnUYbsoLNqo</t>
  </si>
  <si>
    <t>The start of a race is shown as people run by and the finish is also shown.</t>
  </si>
  <si>
    <t>People in costumes are shown and people are generally having a great time.</t>
  </si>
  <si>
    <t>v_NEthbdTgx-M</t>
  </si>
  <si>
    <t>An intro leads into several shots of people riding down snowy hills and climbing up the side.</t>
  </si>
  <si>
    <t>Two people speak to the camera and show more shots of them climbing a mountain and various shots of the mountain.</t>
  </si>
  <si>
    <t>The people then ride around on skis while still speaking to the camera and show several shots of them riding down the snowy mountain.</t>
  </si>
  <si>
    <t>v_aJsDVKt5Igs</t>
  </si>
  <si>
    <t>Two women and a little girl are walking outdoors, showing the little girl a group of boys in the distance.</t>
  </si>
  <si>
    <t>They throw a ball, and the girl kicks it before being led to a base.</t>
  </si>
  <si>
    <t>The group gathers together to congratulate her.</t>
  </si>
  <si>
    <t>v_icm5lX5pZE0</t>
  </si>
  <si>
    <t>A man is seen sitting behind a desk working on a computer.</t>
  </si>
  <si>
    <t>Several shots are shown of people printing off paper as well as paper close up.</t>
  </si>
  <si>
    <t>More clips are shown of people hanging up the wallpaper as well as shots of the city.</t>
  </si>
  <si>
    <t>v_E50d5qFvzOI</t>
  </si>
  <si>
    <t>A video begins showing a man and woman holding each other and moving back and fourth.</t>
  </si>
  <si>
    <t>The couple moves their feet back and fourth while the man speaks to the camera.</t>
  </si>
  <si>
    <t>The woman eventually speaks the camera while performing several different dance moves for the camera to see.</t>
  </si>
  <si>
    <t>v_8kjYbv52EcI</t>
  </si>
  <si>
    <t>Several canoes are shown in idle in murky water.</t>
  </si>
  <si>
    <t>Then a set of boys begin kayaking in the water and jumping off the trees.</t>
  </si>
  <si>
    <t>v__L8VrJYsOAQ</t>
  </si>
  <si>
    <t>A person is washing their hands in a sink.</t>
  </si>
  <si>
    <t>Two women are standing by the sink washing their hands.</t>
  </si>
  <si>
    <t>v_vQ8NJRCSyb4</t>
  </si>
  <si>
    <t>Two men on one knee demonstrate a hip flexxer stretch in a therapy gym.</t>
  </si>
  <si>
    <t>The man wearing a black t-shirt uses the man wearing a green t-shirt as a model to demonstrate the hip flexxer stretch.</t>
  </si>
  <si>
    <t>The man in the black t-shirt adjusts the man in the green -t shirt a into different positions by slight positioning of the foot, leg, hips and arms.</t>
  </si>
  <si>
    <t>v_rqraLuIBvyg</t>
  </si>
  <si>
    <t>The credits of the clips is shown.</t>
  </si>
  <si>
    <t>A woman is outside next to a pile of snow.</t>
  </si>
  <si>
    <t>A guy picks up a shovel land shovels snow off to the side.</t>
  </si>
  <si>
    <t>The guy puts down the shovel and stretches his back backwards twice.</t>
  </si>
  <si>
    <t>The guy picks up the shovel and continues to shovel snow.</t>
  </si>
  <si>
    <t>v_JGKjMJm0HRI</t>
  </si>
  <si>
    <t>A close up shot of children are seen riding around a bumper car game and running into one another.</t>
  </si>
  <si>
    <t>Two boys are seen bumping in to one another with several other kids riding around and hitting each other.</t>
  </si>
  <si>
    <t>v_ORL5yMppl8E</t>
  </si>
  <si>
    <t>A kid fills a pot with water.</t>
  </si>
  <si>
    <t>He puts the pot on a stove and puts a lid on it.</t>
  </si>
  <si>
    <t>He adds salt and pasta to the pot.</t>
  </si>
  <si>
    <t>He puts the lid back on the pot.</t>
  </si>
  <si>
    <t>He stirs the pot and pours the pasta into a strainer.</t>
  </si>
  <si>
    <t>He pours the pasta back into the pan.</t>
  </si>
  <si>
    <t>He adds sauce and stirs it together.</t>
  </si>
  <si>
    <t>v_0CTnYEE7rdo</t>
  </si>
  <si>
    <t>A man is skateboarding down a city street.</t>
  </si>
  <si>
    <t>He is seen talking to the camera in the middle of the road.</t>
  </si>
  <si>
    <t>Then we see him doing several different stunts as he winds in and out of traffic.</t>
  </si>
  <si>
    <t>v_2YSsqivrvR4</t>
  </si>
  <si>
    <t>A person is seen sitting on the edge of a bed carrying a guitar.</t>
  </si>
  <si>
    <t>The person begins playing the guitar while looking over to the camera.</t>
  </si>
  <si>
    <t>The man continues playing and stops moving his hand out of frame.</t>
  </si>
  <si>
    <t>v_P9jIpcRGeOk</t>
  </si>
  <si>
    <t>Several people are shown in images gathered outside a building.</t>
  </si>
  <si>
    <t>Two cartoon sumo wrestlers are engaged in a fight.</t>
  </si>
  <si>
    <t>They body slam each other as a referee watches.</t>
  </si>
  <si>
    <t>v_MAXfslyf7Dw</t>
  </si>
  <si>
    <t>Sumos are standing in front of each other in a dust court and a referee dress in white suit is watching them.</t>
  </si>
  <si>
    <t>men stat wrestling and one of them if taking off the court.</t>
  </si>
  <si>
    <t>v_nh1GBPeyyMo</t>
  </si>
  <si>
    <t>A person's hands are seen cutting a piece of paper with scissors and then wrapping a box with paper.</t>
  </si>
  <si>
    <t>She tapes down the present and ties it in a bowl, finishes by cutting the excess string and placing a tag on top.</t>
  </si>
  <si>
    <t>v_McFsP60TqH4</t>
  </si>
  <si>
    <t>A young child is seen sitting on the floor brushing her hair in front of a mirror.</t>
  </si>
  <si>
    <t>The girl continues to brush her hair and ends with her watching a video and speaking to the camera.</t>
  </si>
  <si>
    <t>v_Damu3T2Yy0M</t>
  </si>
  <si>
    <t>Two men are seen speaking to the camera when another walks into frame laughing and walks away.</t>
  </si>
  <si>
    <t>The men continue speaking then lead into an arm wrestling match between the two.</t>
  </si>
  <si>
    <t>One beats the other and flexes his arms to the camera while smiling.</t>
  </si>
  <si>
    <t>v_W1Cp1UyY8S8</t>
  </si>
  <si>
    <t>A man is power washing a fence.</t>
  </si>
  <si>
    <t>It cuts to him power washing a different section.</t>
  </si>
  <si>
    <t>It fades to an open shot of the fence.</t>
  </si>
  <si>
    <t>v_YoDlwg4eAEA</t>
  </si>
  <si>
    <t>Several alternating images of dishes of food appear.</t>
  </si>
  <si>
    <t>A recipe for greek dressing begins.</t>
  </si>
  <si>
    <t>The ingredients made from oilsand powders are mixed together and shaken in a jar, and poured onto a salad.</t>
  </si>
  <si>
    <t>It is then topped with blocks of cheese.</t>
  </si>
  <si>
    <t>v_jqLwYHwYYPM</t>
  </si>
  <si>
    <t>A black screen appears and the yellow words appear on them read "Extreme How-To presents".</t>
  </si>
  <si>
    <t>The second black screen has yellow words that read "Installing Heated Floor Tile".</t>
  </si>
  <si>
    <t>A man is now standing and talking in the corner of a residential home, dressed in a long sleeved button up black shirt, brown long pants, shoes and wearing a hat.</t>
  </si>
  <si>
    <t>The man walks away from the corner and the next view is of a kneeling man using a tool to remove base molding from a wall, using a drill gun, measuring with a long ruler, then laying on the ground gray pieces of fabric with some wires attached to it.</t>
  </si>
  <si>
    <t>The man is then shown pressing buttons on a little white box and the man is now pointing to those wires attached to those gray pieces of fabric and the man starts putting wires into a gray pipe that is now shown on the wall.</t>
  </si>
  <si>
    <t>The man is back on the ground with a long tape measure and measuring the ground.</t>
  </si>
  <si>
    <t>The man is now holding a tile with ridges on all four sides and he takes a mallet and a tool to gently pound the pieces together.</t>
  </si>
  <si>
    <t>When the man reaches the wall he uses a pencil to measure the tile, takes it to a wet tile cutter and cuts it.</t>
  </si>
  <si>
    <t>The man is back in the house and piecing a small tile near some cabinets, then the man begins to grout, and uses a large,wet, yellow sponge to clean up the excess grout.</t>
  </si>
  <si>
    <t>The talking man from earlier appears back in the corner talking and yellow words appear on the screen that contain websites.</t>
  </si>
  <si>
    <t>v_pEr9p5-qUsU</t>
  </si>
  <si>
    <t>Several tables are set up in a large room.</t>
  </si>
  <si>
    <t>Several groups are playing beer pong.</t>
  </si>
  <si>
    <t>Some people are cheering about winning.</t>
  </si>
  <si>
    <t>Others look upset about losing.</t>
  </si>
  <si>
    <t>v_SZXscHYG26Y</t>
  </si>
  <si>
    <t>The person is parasailing, he is holding the sail.</t>
  </si>
  <si>
    <t>The man is moving forwards towards the island.</t>
  </si>
  <si>
    <t>The person has his feet on the parasail board.</t>
  </si>
  <si>
    <t>v_2qN85UKyL2s</t>
  </si>
  <si>
    <t>We see a man and a woman playing pool.</t>
  </si>
  <si>
    <t>The lady takes her turn shooting the ball.</t>
  </si>
  <si>
    <t>We see bright camera flashes.</t>
  </si>
  <si>
    <t>We see the lady taking the photos.</t>
  </si>
  <si>
    <t>The lady hands her pool stick to a man and shakes his hand.</t>
  </si>
  <si>
    <t>She shakes another man's hand and leaves.</t>
  </si>
  <si>
    <t>v_A5-gsreb2zY</t>
  </si>
  <si>
    <t>A woman gets her nose clamped by a man sitting behind her head.</t>
  </si>
  <si>
    <t>He pierces through her septum.</t>
  </si>
  <si>
    <t>He cuts it and removes the clamp.</t>
  </si>
  <si>
    <t>The man puts an earring through the hole.</t>
  </si>
  <si>
    <t>He puts qtips in her nose to catch the blood.</t>
  </si>
  <si>
    <t>v_dmiLuqRB09U</t>
  </si>
  <si>
    <t>A woman is sitting on a chair.</t>
  </si>
  <si>
    <t>She gets a dermal piercing in her cheek.</t>
  </si>
  <si>
    <t>The girl shows the piercing and smiles.</t>
  </si>
  <si>
    <t>v_PRLlYhneNMk</t>
  </si>
  <si>
    <t>Two people are seen wearing funny hates and standing behind a table speaking to the camera.</t>
  </si>
  <si>
    <t>They then quickly wrap a present and show off a better present underneath.</t>
  </si>
  <si>
    <t>More shots are shown of them wrapping as they quickly move around and speaking to the camera.</t>
  </si>
  <si>
    <t>v_s3EHHOAkQYE</t>
  </si>
  <si>
    <t>A person is seen riding in a car panning to others while following behind a large group of people on bikes.</t>
  </si>
  <si>
    <t>The driver hands people water on the side as well as pulling them in to fix a bike.</t>
  </si>
  <si>
    <t>The car continues to follow and help the man as well as stopping to change a wheel and climbing back in the car.</t>
  </si>
  <si>
    <t>v_vjCKf3el7pM</t>
  </si>
  <si>
    <t>A man is seen looking closely into the camera followed by a person wake boarding and performing various tricks.</t>
  </si>
  <si>
    <t>Several shots are shown of people doing tricks along the water while the boat pulls them from the front.</t>
  </si>
  <si>
    <t>v_0fw8it7Gj7k</t>
  </si>
  <si>
    <t>A man is seen holding up a piece of wood and rubbing it down while speaking to the camera and spraying down polish.</t>
  </si>
  <si>
    <t>The man wipes down the polish with a rag while continuing to speak to the camera and holding up the piece of wood in the end.</t>
  </si>
  <si>
    <t>v_IV47aK7qJdY</t>
  </si>
  <si>
    <t>The dry brown and yellow leaves are on the ground, on top of green grass.</t>
  </si>
  <si>
    <t>A man with a leaf blower on his hand started to blew the leaves towards the center of the field.</t>
  </si>
  <si>
    <t>The man blew the leaves from the side of the road towards the tree, while another man with leaf blower walks on other side of the walkway.</t>
  </si>
  <si>
    <t>v_7Sfl-Fmr_3E</t>
  </si>
  <si>
    <t>A man is shown working on a fence in the backyard.</t>
  </si>
  <si>
    <t>The man wears a blue outfit as he paints the wooden fence a red color.</t>
  </si>
  <si>
    <t>The man cleans the paint off of boards.</t>
  </si>
  <si>
    <t>v_Ux4brKS0Sac</t>
  </si>
  <si>
    <t>A man is seen speaking to the camera while putting a box around some paper.</t>
  </si>
  <si>
    <t>He wraps the box in paper while using scissors to cut around the sides.</t>
  </si>
  <si>
    <t>The man tapes up the box and presents it to the camera.</t>
  </si>
  <si>
    <t>v_VDX1IQnUMgo</t>
  </si>
  <si>
    <t>A news anchor is standing behind a table with papers on it talking as a man is picture swimming on the television screen behind him.</t>
  </si>
  <si>
    <t>After,a group of people are in a pool playing a game of water polo making goals.</t>
  </si>
  <si>
    <t>A coach is then shown in a hallway as the people come back and continue playing the game before a football game then shows.</t>
  </si>
  <si>
    <t>v_sEENChh3zno</t>
  </si>
  <si>
    <t>A girl is seen jumping items into water and scrubbing a pan with a brush.</t>
  </si>
  <si>
    <t>She continues speaking to the camera as well as into the pan and demonstrating how to properly clean a pan.</t>
  </si>
  <si>
    <t>v_jpvgI6bNO1g</t>
  </si>
  <si>
    <t>A camera pans all around a forest and leads into a rope tied to a tree.</t>
  </si>
  <si>
    <t>A person is seen tightening the rope followed by walking along the rope.</t>
  </si>
  <si>
    <t>Several people are seen walking on the rope as well as bouncing and performing tricks.</t>
  </si>
  <si>
    <t>v_doAvtD_jgiY</t>
  </si>
  <si>
    <t>We see a girl in gold doing a baton routine.</t>
  </si>
  <si>
    <t>The girl does a flip.</t>
  </si>
  <si>
    <t>the girls spins repeatedly and catches her baton.</t>
  </si>
  <si>
    <t>The girl spins and two batons roll in and she grabs each.</t>
  </si>
  <si>
    <t>The girl spins, catches her baton and poses for her finish as the crowd claps.</t>
  </si>
  <si>
    <t>v_h4phcAYe0aE</t>
  </si>
  <si>
    <t>A person is raking leaves into a pile.</t>
  </si>
  <si>
    <t>A little boy is picking up the leaves and playing in the pile.</t>
  </si>
  <si>
    <t>The boy picks up a rake and starts raking the leaves.</t>
  </si>
  <si>
    <t>v_XsqslHC79FQ</t>
  </si>
  <si>
    <t>There's a young girl wearing a brown sweater playing the violin.</t>
  </si>
  <si>
    <t>She strings the violin with her left hand while she uses the bow stick with her right hand.</t>
  </si>
  <si>
    <t>She continues playing her tune on the violin with full concentration without pausing.</t>
  </si>
  <si>
    <t>She constantly looks down at the violin as she plays the notes.</t>
  </si>
  <si>
    <t>After she finishes playing the violin, she smiles and walks away.</t>
  </si>
  <si>
    <t>v_EJiyr-6l3ps</t>
  </si>
  <si>
    <t>A video of clipping a cats toenails is shown.</t>
  </si>
  <si>
    <t>Each paw is grabbed and the nail is pushed out and trimmed.</t>
  </si>
  <si>
    <t>The cat is oddly calm the whole time.</t>
  </si>
  <si>
    <t>v_joehK-w2bCc</t>
  </si>
  <si>
    <t>A man is walking in a room.</t>
  </si>
  <si>
    <t>A girl is dancing in front of a mirror in the room.</t>
  </si>
  <si>
    <t>He watches her from outside the room.</t>
  </si>
  <si>
    <t>v_MCsGSMze_6Q</t>
  </si>
  <si>
    <t>There is a black and white TV show with two men on a stage talking and laughing.</t>
  </si>
  <si>
    <t>The right man gets up and walks to a piano.</t>
  </si>
  <si>
    <t>The man plays a grand piano.</t>
  </si>
  <si>
    <t>The man finishes and stands up.</t>
  </si>
  <si>
    <t>The men shake hands and the piano player walks away and the host talks and shimmies a bit.</t>
  </si>
  <si>
    <t>v_8KPk9pH4wWw</t>
  </si>
  <si>
    <t>An athlete is seen waving his hands to the crowd and clapping followed by him running over a beam.</t>
  </si>
  <si>
    <t>His same shot is shown again in slow motion and hes seen speaking to a man.</t>
  </si>
  <si>
    <t>v_yaK-giAk4e8</t>
  </si>
  <si>
    <t>A group of young men are in a kitchen, playing a game of beer pong.</t>
  </si>
  <si>
    <t>They cheer as they get the ball into a cup.</t>
  </si>
  <si>
    <t>A woman appears, and picks up one of the cups.</t>
  </si>
  <si>
    <t>v_NO5J7RjTTTo</t>
  </si>
  <si>
    <t>Two boys at a young age are playing fooseball with each other.</t>
  </si>
  <si>
    <t>One grab the ball and puts it back into play.</t>
  </si>
  <si>
    <t>The boys continue to play the game back and fourth on the tabs.</t>
  </si>
  <si>
    <t>v_C7UEAqu1KtY</t>
  </si>
  <si>
    <t>A camera pans around a yard leading to a rake sitting up against a trash can.</t>
  </si>
  <si>
    <t>A man is seen stretching off into the distance and begins raking the leaves.</t>
  </si>
  <si>
    <t>He picks the leaves up and throws them in the trash as well as onto a blanket and handing it to a girl.</t>
  </si>
  <si>
    <t>v_FGdCWm4gI3M</t>
  </si>
  <si>
    <t>A collection of skateboards lined up on a street in the upward position on their wheels and upside down on the platform.</t>
  </si>
  <si>
    <t>A skateboarder wearing a white helmet skates by followed by another skateboarder while the camera pans a group of skateboarder spectators watching from the street curb.</t>
  </si>
  <si>
    <t>A group of skateboarders perform tricks and maneuvers up and down the street.</t>
  </si>
  <si>
    <t>A view of a vehicle loaded with skateboards and skateboarding equipment.</t>
  </si>
  <si>
    <t>Another view of the skateboards lined up on the street in the upright position.</t>
  </si>
  <si>
    <t>Spectators watch from the street curb while a group of skateboarders take turns skating down hill and making a sharp spin stop at a designated spot.</t>
  </si>
  <si>
    <t>v_yGPzIGJ_2B8</t>
  </si>
  <si>
    <t>woman is walking in a green grassy backyard.</t>
  </si>
  <si>
    <t>man is standing in a bacyard in front of a fence with a machine in front of him.</t>
  </si>
  <si>
    <t>woman is in the backyard and a man is behind her using a lawn mower to cut the grass.</t>
  </si>
  <si>
    <t>man is walking with some white plastic bags on the cloth.</t>
  </si>
  <si>
    <t>v_XsCND4lDiqA</t>
  </si>
  <si>
    <t>An old man threw the yellow ball in the cup and it bounced back on the table.</t>
  </si>
  <si>
    <t>The old man in black shirt threw the ball and landed on the table.</t>
  </si>
  <si>
    <t>A man threw the ball back and the man in black shirt take the ball from the cup and threw it but landed outside the table.</t>
  </si>
  <si>
    <t>v_uj0UBMgR2gk</t>
  </si>
  <si>
    <t>We see a man in an orchestra making faces.</t>
  </si>
  <si>
    <t>The man then stands and plays the violin.</t>
  </si>
  <si>
    <t>We see people at lockers.</t>
  </si>
  <si>
    <t>We go back to the man playing the violin.</t>
  </si>
  <si>
    <t>We see the people in the locker.</t>
  </si>
  <si>
    <t>We see the playing man and then the crowd stands and claps.</t>
  </si>
  <si>
    <t>The man smiles and waves.</t>
  </si>
  <si>
    <t>v_mNq0NksbsZ4</t>
  </si>
  <si>
    <t>People are long boarding down a hill.</t>
  </si>
  <si>
    <t>A silver truck is parked next to the hill.</t>
  </si>
  <si>
    <t>A person falls off the long board onto the pavement.</t>
  </si>
  <si>
    <t>v_FkMk9TZdea0</t>
  </si>
  <si>
    <t>White text says in memory of Paul Walker.</t>
  </si>
  <si>
    <t>A person is shown using a small brush to create an image of Paul Walker.</t>
  </si>
  <si>
    <t>Each detail is drawn one at a time, producing the final completed image.</t>
  </si>
  <si>
    <t>v_cqVvHj1oC-8</t>
  </si>
  <si>
    <t>Two people are seen hosting a news segment that leads into clips of people scraping off their cars.</t>
  </si>
  <si>
    <t>A woman is seen speaking to the camera while scraping off her car and holding up products to help.</t>
  </si>
  <si>
    <t>More people are seen speaking to the camera and showing off their methods of melting ice and leading back to the two reporters.</t>
  </si>
  <si>
    <t>v_ubgCjUUmP9I</t>
  </si>
  <si>
    <t>A male gymnast dressed red and white leotards is performing on a horse bar.</t>
  </si>
  <si>
    <t>He climbs up the horse bar and does backhand springs.</t>
  </si>
  <si>
    <t>He continues swiftly over the horse bar as he raises his body by pushing his body weight on his arms.</t>
  </si>
  <si>
    <t>He continues doing front and back hand springs.</t>
  </si>
  <si>
    <t>After he's done, he gets off the bar and walks towards the judges and other contestants.</t>
  </si>
  <si>
    <t>The spectators cheer for him and the judges shake hands with the gymnast.</t>
  </si>
  <si>
    <t>v_2P555wnyj_8</t>
  </si>
  <si>
    <t>A man is standing in a room melting down an object with a utensil that is creating several sparks.</t>
  </si>
  <si>
    <t>Another male then walks behind the person and puts on a helmet for protection as he watches the man in front of him.</t>
  </si>
  <si>
    <t>v_jVp2BsFOIVA</t>
  </si>
  <si>
    <t>Three kids swinging on the play set in the back yard.</t>
  </si>
  <si>
    <t>One of the boys climb and slides down the slide.</t>
  </si>
  <si>
    <t>More kids join and and they go down the slide together and move around the set very quickly.</t>
  </si>
  <si>
    <t>They start to swing on their tummies and just overall having a great time playing.</t>
  </si>
  <si>
    <t>v_98SSjNuSxvM</t>
  </si>
  <si>
    <t>A series of words appear across the screen and they inform us that the men are attempting to row across the Atlantic.</t>
  </si>
  <si>
    <t>A man is then shown outside on his patio rowing and words indicate that it has been two hours and 1600 calories burned.</t>
  </si>
  <si>
    <t>After the man is shown again but this time he is exhausted and is forced to take a breath so he can breathe.</t>
  </si>
  <si>
    <t>Now the man is standing up and is taking to the camera and holds up his hand to show the blisters he has on his hands.</t>
  </si>
  <si>
    <t>v_JhqQGe0TkBU</t>
  </si>
  <si>
    <t>People stands on top of a diving board, the a man jumps in the swimming pool.</t>
  </si>
  <si>
    <t>Suddenly a girl runs on a lower dining board and jumps in the swimming pool.</t>
  </si>
  <si>
    <t>People sit around the pool.</t>
  </si>
  <si>
    <t>v_Ba3uRADSg50</t>
  </si>
  <si>
    <t>A few older men are shown standing in front of monkey bars talking to one another.</t>
  </si>
  <si>
    <t>One begins climbing along the bars with several other people coming from behind.</t>
  </si>
  <si>
    <t>One woman falls in the water and many more climb across the monkey bars.</t>
  </si>
  <si>
    <t>v_gh5di42-RJo</t>
  </si>
  <si>
    <t>A small boy wearing a black and red striped shirt is sitting with a drum set and playing drums.</t>
  </si>
  <si>
    <t>A man wearing a pink shirt and black trousers is standing next to him.</t>
  </si>
  <si>
    <t>Another person wearing a denim shirt walks past the boy.</t>
  </si>
  <si>
    <t>the boy continues to drum the cymbals and the hi-hat in a rhythmic way as the people cheer for him.</t>
  </si>
  <si>
    <t>He alternately hits the cymbals and the snare drums with the sticks.</t>
  </si>
  <si>
    <t>He ends by hitting the cymbals.</t>
  </si>
  <si>
    <t>v_RxuL7k7-hYQ</t>
  </si>
  <si>
    <t>Gymnasts swing on double bars during Olympic competition.</t>
  </si>
  <si>
    <t>Gymnast swings on double bars during practice in a gym.</t>
  </si>
  <si>
    <t>v_hyk4wNZwwxc</t>
  </si>
  <si>
    <t>Several adults are a doing a stepping exercise onto platforms.</t>
  </si>
  <si>
    <t>They step on and of and spin around.</t>
  </si>
  <si>
    <t>They do a cart wheel off the platform.</t>
  </si>
  <si>
    <t>They end their exercise and step off.</t>
  </si>
  <si>
    <t>v_i9DlXuEewE8</t>
  </si>
  <si>
    <t>A young teen age girl is sitting in a large chair talking on the phone and making faces.</t>
  </si>
  <si>
    <t>Two other females then begin dancing out front in the yard on a sidewalk.</t>
  </si>
  <si>
    <t>The girl then grabs her sweat pants and begins teaching her counterpart different dance steps and the first female reappears on the phone.</t>
  </si>
  <si>
    <t>v_1uC0xzyx4Bc</t>
  </si>
  <si>
    <t>A person is showing how to install rubber tiles in a gym.</t>
  </si>
  <si>
    <t>The video shows several people working out in a gym on the flooring.</t>
  </si>
  <si>
    <t>The person shows how to prep the floor surface before installing the tiles.</t>
  </si>
  <si>
    <t>He demonstrates how to lay the tiles on the floor in a criss-cross manner.</t>
  </si>
  <si>
    <t>The video shows a simulation how the tiles can measured up and laid down one by one in order to get a perfect wall to to wall fit.</t>
  </si>
  <si>
    <t>A person also shows how to trim tiles to fit flush edge to edge without leaving a gap between tiles.</t>
  </si>
  <si>
    <t>Finally he shows how to use a vinegar solution to clean the tiles in order to maintain the quality of the tiles.</t>
  </si>
  <si>
    <t>The video ends with the information of the tile company.</t>
  </si>
  <si>
    <t>v_vctal2m9Zvg</t>
  </si>
  <si>
    <t>An indoor barn is shown and a man is sitting on a horse.</t>
  </si>
  <si>
    <t>The gates open and the man flies out with is lasso chasing after a black and white calf.</t>
  </si>
  <si>
    <t>The man throws the rope and catches the calf,gets off,ties the cow up and returns back on top of the horse.</t>
  </si>
  <si>
    <t>v_o0O-CwwSaGw</t>
  </si>
  <si>
    <t>A girl with long hair is shown speaking to the camera and leads into her spraying water all over a dog in the tub.</t>
  </si>
  <si>
    <t>She scrubs the dog with shampoo and runs again runs the water over the dog.</t>
  </si>
  <si>
    <t>She holds the dog with a towel and then blow dries the dog in her lap while combing him.</t>
  </si>
  <si>
    <t>The dog is shown again all dried off and shakes himself while looking at the camera and the girl speaks more.</t>
  </si>
  <si>
    <t>v_ocvKEzb7OaE</t>
  </si>
  <si>
    <t>A man in a black shirt setting up a camera while sitting in front of a rub-ix cube and a electronic stop clock.</t>
  </si>
  <si>
    <t>Once the clock starts another man off camera and the man sitting in front of the cube starts to figure out the puzzle.</t>
  </si>
  <si>
    <t>Once the clock reaches 43 seconds both the men finish the puzzle and congratulate each other on completing the puzzle.</t>
  </si>
  <si>
    <t>v_qkHBMmMlEr8</t>
  </si>
  <si>
    <t>We see a man talking in a basketball gym.</t>
  </si>
  <si>
    <t>The man points at the boy.</t>
  </si>
  <si>
    <t>The man points to the right.</t>
  </si>
  <si>
    <t>We see a man making shots in a basketball hoop.</t>
  </si>
  <si>
    <t>v_VD3kzQGuQnc</t>
  </si>
  <si>
    <t>A woman is seen speaking to the camera and leads into her pouring ice into a glass.</t>
  </si>
  <si>
    <t>She then mixes various ingredients into the glass and mixes them up in a shaker.</t>
  </si>
  <si>
    <t>The woman then puts the glass down and pours the mixture into glass presenting it to the camera.</t>
  </si>
  <si>
    <t>v_kN2ZNcn241g</t>
  </si>
  <si>
    <t>A man wearing a coach shirt is standing while a female gymnast turns flips on a beam.</t>
  </si>
  <si>
    <t>He spots her as she flips and dismounts before sitting down.</t>
  </si>
  <si>
    <t>v_5rftu62ML_c</t>
  </si>
  <si>
    <t>A large group of people are shown in various shots riding around in canoes.</t>
  </si>
  <si>
    <t>A man speaks to the camera while people walk around with the canoes and show off pictures.</t>
  </si>
  <si>
    <t>More people are seen using them as well as walking around.</t>
  </si>
  <si>
    <t>v_escpZEdyNTI</t>
  </si>
  <si>
    <t>A person is seen running hold a surf board, and is shown again looking at his phone and laughing.</t>
  </si>
  <si>
    <t>More people are seen in various locations checking their phone and ends with a woman riding an exercise bike.</t>
  </si>
  <si>
    <t>v_7yg2zbiTJJ4</t>
  </si>
  <si>
    <t>A woman's hand picks up a stuffed animal surrounded by gifts.</t>
  </si>
  <si>
    <t>Gift wrapping accessories are shown.</t>
  </si>
  <si>
    <t>A woman lays out tissue paper and places a stuffed toy in the center.</t>
  </si>
  <si>
    <t>The woman wraps the toy in the tissue paper and tapes it shut.</t>
  </si>
  <si>
    <t>The woman lays out cellophane and places the wrapped toy on it.</t>
  </si>
  <si>
    <t>The woman cuts the cellophane and then proceeds to roll up the tissue paper covered toy.</t>
  </si>
  <si>
    <t>The woman twists the ends of the cellophane and tapes the package shut.</t>
  </si>
  <si>
    <t>Ribbon is placed around the ends of the package.</t>
  </si>
  <si>
    <t>The woman shows the package to the camera and sets it on a counter.</t>
  </si>
  <si>
    <t>v_oxp7V1AKJWk</t>
  </si>
  <si>
    <t>A little boy is playing an arcade game.</t>
  </si>
  <si>
    <t>He picks up a ball and throws it at the pins.</t>
  </si>
  <si>
    <t>He turns around and walks away.</t>
  </si>
  <si>
    <t>v_ijnNP7P5m28</t>
  </si>
  <si>
    <t>Men and women and kids are roasting marshmallow in the bonfire while others are skiing or resting on the chairs.</t>
  </si>
  <si>
    <t>A woman slide down the slope and the little girl came up to her and give her a kiss, then the woman help the little girl slide down the slope.</t>
  </si>
  <si>
    <t>v_i7NKJhCdKx0</t>
  </si>
  <si>
    <t>A man is outside in the snow holding a rope that is attached to a snow mobile.</t>
  </si>
  <si>
    <t>The snow mobile starts to move and the person begins snowboarding throughout the field.</t>
  </si>
  <si>
    <t>They continue to move through the snow and the forest of trees into a parking lot by a cabin.</t>
  </si>
  <si>
    <t>v_wHRHS7_4J_s</t>
  </si>
  <si>
    <t>A young girl is seen standing ready looking down at a violin.</t>
  </si>
  <si>
    <t>The girl is then seen playing the violin while moving her hands up and down.</t>
  </si>
  <si>
    <t>The girl continues playing the instrument and ends by looking to the camera.</t>
  </si>
  <si>
    <t>v_bDiwuABU45I</t>
  </si>
  <si>
    <t>A man is rubbing sunscreen on his back.</t>
  </si>
  <si>
    <t>A girl is laying down on a towel on the beach behind him.</t>
  </si>
  <si>
    <t>A person in an orange shirt walks behind him.</t>
  </si>
  <si>
    <t>v_yGCklVOLgk8</t>
  </si>
  <si>
    <t>A person is seen falling into the water in front of a jump.</t>
  </si>
  <si>
    <t>Another person is seen riding along on skis past him.</t>
  </si>
  <si>
    <t>The man continues to ride as the camera zooms in on the water.</t>
  </si>
  <si>
    <t>v_IiG80Vp4WyY</t>
  </si>
  <si>
    <t>A man is seen holding an instrument in front of a large stack of instruments and speaking to the camera.</t>
  </si>
  <si>
    <t>The man then plays the instrument continuously and ends with him pausing and holding the instrument.</t>
  </si>
  <si>
    <t>v_WOkHZ33CgAs</t>
  </si>
  <si>
    <t>Two men start fighting standing outside.</t>
  </si>
  <si>
    <t>One man throws the other man onto a table.</t>
  </si>
  <si>
    <t>v_RZr2KLNE6qE</t>
  </si>
  <si>
    <t>A camera zooms in on a baby wearing a baseball hat riding back and fourth on a swing set.</t>
  </si>
  <si>
    <t>The baby continuously rides back and fourth while another child rides a swing next to him.</t>
  </si>
  <si>
    <t>v_4mfnfTpcfck</t>
  </si>
  <si>
    <t>A group of girls are sitting in an old car while a large group of cars behind them move around.</t>
  </si>
  <si>
    <t>Other people are shown wearing christmas attire and dancing in the streets of the car.</t>
  </si>
  <si>
    <t>A band is playing by a group of kids while the parade follows them full of people dancing.</t>
  </si>
  <si>
    <t>v_qY8t0S0WWoA</t>
  </si>
  <si>
    <t>A man and a child paint a fence with brushes.</t>
  </si>
  <si>
    <t>A baby watches the man and the toddler painting.</t>
  </si>
  <si>
    <t>v_iPiP-7UwAa4</t>
  </si>
  <si>
    <t>A large group of people are seen standing on a stage while others watch on the side.</t>
  </si>
  <si>
    <t>The cheerleaders then begin performing a routine while throwing others up and flipping around.</t>
  </si>
  <si>
    <t>The group continues to perform on the stage and end by holding a pose and walking away.</t>
  </si>
  <si>
    <t>v_uN8lcRwsBno</t>
  </si>
  <si>
    <t>A guy sits with his legs close to his chest.</t>
  </si>
  <si>
    <t>The guy is exercising by pulling a handle.</t>
  </si>
  <si>
    <t>The guy stops exercising fixes his reading glasses and touches his beard.</t>
  </si>
  <si>
    <t>The guy removes his legs from the exercise machine and touches the knob.</t>
  </si>
  <si>
    <t>v_yPpKYckLbdI</t>
  </si>
  <si>
    <t>We see a girl jumping on a trampoline in doors.</t>
  </si>
  <si>
    <t>We see the girl spin in the air.</t>
  </si>
  <si>
    <t>The girl does a series of flips.</t>
  </si>
  <si>
    <t>The girl flips into blue boxes.</t>
  </si>
  <si>
    <t>The girl does a series of flips and a spin.</t>
  </si>
  <si>
    <t>We see a title screen and then see the girls bloopers.</t>
  </si>
  <si>
    <t>v_igwT-3gprOI</t>
  </si>
  <si>
    <t>A woman is shown talking to the camera with her hands and the camera pointing to a building.</t>
  </si>
  <si>
    <t>She stands in front of the building doing a several little dances and continues this in front of several buildings and locations.</t>
  </si>
  <si>
    <t>v_OqLrsVv44MY</t>
  </si>
  <si>
    <t>A woman smiling at the camera is shown scraping off her car with a scraper.</t>
  </si>
  <si>
    <t>She talks to the camera man while smiling at the camera and continuing to scrape.</t>
  </si>
  <si>
    <t>v_n1sWb2K6hBM</t>
  </si>
  <si>
    <t>We see a lady bring a horse into a stable turns the horse around and ties him up.</t>
  </si>
  <si>
    <t>The lady then brushes the horse and cleans the hooves on the horse on the right.</t>
  </si>
  <si>
    <t>The lady then sprays a product in the mane and comes it.</t>
  </si>
  <si>
    <t>The lady moves to the front of the horse and brushes his mane.</t>
  </si>
  <si>
    <t>the lady brushes the left side of the horse and cleans his hooves.</t>
  </si>
  <si>
    <t>The lady then brushes the tail and the horse and the lady leave.</t>
  </si>
  <si>
    <t>v_IVnPfvBZxKE</t>
  </si>
  <si>
    <t>Various pictures of ingredients are shown followed by pictures of the ingredients laid out on a cutting board.</t>
  </si>
  <si>
    <t>The pictures transition into more ingredients with hands covering them up and squeezing them into a ball.</t>
  </si>
  <si>
    <t>Pictures and video of the food being cooked in a pan are shown followed by a person taking it out and cutting it with a knife.</t>
  </si>
  <si>
    <t>Finally, a picture of the finished food product is shown.</t>
  </si>
  <si>
    <t>v_ExcXXMZYGs0</t>
  </si>
  <si>
    <t>We see people rafting down a river in a yellow raft.</t>
  </si>
  <si>
    <t>The raft is overturned and the people fall into the river.</t>
  </si>
  <si>
    <t>The people duck under branch of a low hanging tree and the right front man stands and dances.</t>
  </si>
  <si>
    <t>A man in the back of the raft walks forward.</t>
  </si>
  <si>
    <t>v_MFeI2mRg6Ho</t>
  </si>
  <si>
    <t>Some team is playing a game on the field, one of them scores.</t>
  </si>
  <si>
    <t>The audience goes crazy and then the teams are back to trying to score into the goal.</t>
  </si>
  <si>
    <t>The guy from the yellow team has the ball on the stick, he's running quickly with it and he scores.</t>
  </si>
  <si>
    <t>They put the trophy in the air and yell with excitement.</t>
  </si>
  <si>
    <t>v_VWmSZPIoBlw</t>
  </si>
  <si>
    <t>A man wearing a black coat is standing on the sidewalk.</t>
  </si>
  <si>
    <t>He walks up to a car and starts scraping the snow off the windows.</t>
  </si>
  <si>
    <t>The snow falls onto the ground in front of the car.</t>
  </si>
  <si>
    <t>v_gRzHp84ptgE</t>
  </si>
  <si>
    <t>A man and a little girl are standing on a beach.</t>
  </si>
  <si>
    <t>The man picks up the girl and picks up a surf board.</t>
  </si>
  <si>
    <t>He goes surfing in the water with her on his back.</t>
  </si>
  <si>
    <t>v_pF7z3Z_JSGk</t>
  </si>
  <si>
    <t>A man holds the back paws of a cat and clips its nails sitting on the floor.</t>
  </si>
  <si>
    <t>The man finishes one paw then wrestles with the cat.</t>
  </si>
  <si>
    <t>The man pets that cats stomach.</t>
  </si>
  <si>
    <t>The man examines the cats after the job is done.</t>
  </si>
  <si>
    <t>v_I62kL8H81XA</t>
  </si>
  <si>
    <t>A cup with lemonade is next a jar with a lemonade.</t>
  </si>
  <si>
    <t>A bowl with three cups of cold water, a cup of lemon juice, a cup of water and a cup of sugar are on at table.</t>
  </si>
  <si>
    <t>Then, a person adds sugar, and lemon to pot with water to warm.</t>
  </si>
  <si>
    <t>Then, the person adds the lemonade to a jar and serves in a cup.</t>
  </si>
  <si>
    <t>v_wIK83guBfM0</t>
  </si>
  <si>
    <t>A man is in a garage with newspaper on a table.</t>
  </si>
  <si>
    <t>He shows how to cut the top off a pumpkin, and removes the insides.</t>
  </si>
  <si>
    <t>Then he carves a design into the pumpkin, creating a novelty jackolantern.</t>
  </si>
  <si>
    <t>v_R52e9UAE60k</t>
  </si>
  <si>
    <t>A group of people are shown riding on horses in the desert.</t>
  </si>
  <si>
    <t>A man talks to the camera while riding the horse and giving various shots of the land.</t>
  </si>
  <si>
    <t>He shows off the several other people on horses and continues talking about his adventure close up to the camera.</t>
  </si>
  <si>
    <t>v_5HCYb6qfkdk</t>
  </si>
  <si>
    <t>A person opens a door and walks inside a kitchen.</t>
  </si>
  <si>
    <t>A woman sits on a kitchen counter shaving her legs in a sink.</t>
  </si>
  <si>
    <t>v_zwX7e_5Koh0</t>
  </si>
  <si>
    <t>An intro leads into a group of women standing on a wood floor behind a piece of exercise equipment.</t>
  </si>
  <si>
    <t>The women then begin moving back and fourth and up and down on the equipment while the woman in front speaks out loud.</t>
  </si>
  <si>
    <t>v_RKUEXxnXrm8</t>
  </si>
  <si>
    <t>A man demonstrates how to make an egg salad sandwich.</t>
  </si>
  <si>
    <t>A man starts talking to the camera in close up angle and then takes a bite of a sandwich.</t>
  </si>
  <si>
    <t>A grop of sandwich making materials is shown.</t>
  </si>
  <si>
    <t>An eggs is boiled in a pan, and then the eggs are run under cold water.</t>
  </si>
  <si>
    <t>Celery is chopped into bits along with other vegetables and then the eggs are mixed with this and a finished sandwich is shown.</t>
  </si>
  <si>
    <t>v_CHkT4As5jZI</t>
  </si>
  <si>
    <t>A bartender talks about how to make a proper cocktail.</t>
  </si>
  <si>
    <t>He grabs a glass and puts ice in the glass.</t>
  </si>
  <si>
    <t>He then mixes vodka and soda together in the glass.</t>
  </si>
  <si>
    <t>He grabs a lemon and puts it in the glass to finish.</t>
  </si>
  <si>
    <t>v_O337_rGYZPc</t>
  </si>
  <si>
    <t>A close up of various objects in shown in a circle of dirt and leads into a person holding a bag.</t>
  </si>
  <si>
    <t>The person then opens the bag and points to the objects in dirt and lights a match.</t>
  </si>
  <si>
    <t>The objects catch fire and the camera zooms in on the objects burning.</t>
  </si>
  <si>
    <t>v_NnLjEbG31ZE</t>
  </si>
  <si>
    <t>A group of friends ride inter tubes through small rapids in a tropical jungle.</t>
  </si>
  <si>
    <t>The group goes past large boulders popping up out of the water.</t>
  </si>
  <si>
    <t>v_QRLye5j54ic</t>
  </si>
  <si>
    <t>A boy is standing in the tall grass of a field.</t>
  </si>
  <si>
    <t>He is holding onto a kite in the air.</t>
  </si>
  <si>
    <t>He leans way back, being drug by the force of the wind.</t>
  </si>
  <si>
    <t>v_y-OZ45FQZ0g</t>
  </si>
  <si>
    <t>A man is sitting on the couch wearing jeans a shirt, and he's holding a guitar on his lap, strumming with his right hand and tapping the upper strings with his left hand.</t>
  </si>
  <si>
    <t>The man slows down and stops strumming and tapping on his guitar.</t>
  </si>
  <si>
    <t>A colorful screen appears and it displays a cartoon picture of a Pokemon standing outdoors near a tree while it's snowing, and red words read "Pokemon-Pallet-Town".</t>
  </si>
  <si>
    <t>v_ZBG-KhSyVgQ</t>
  </si>
  <si>
    <t>People are standing on the backs of horses.</t>
  </si>
  <si>
    <t>Three girls are talking to a camera.</t>
  </si>
  <si>
    <t>The horses are walking across a dirt road.</t>
  </si>
  <si>
    <t>v_Io1OF2OkTWY</t>
  </si>
  <si>
    <t>A man is seen speaking to the camera while holding onto a dog in a plane.</t>
  </si>
  <si>
    <t>Several clips are shown of the man in a plane with the dog as well as underwater.</t>
  </si>
  <si>
    <t>The man performs several activities with his dog in hand while a woman speaks to the camera.</t>
  </si>
  <si>
    <t>v_wdb4-V33wIo</t>
  </si>
  <si>
    <t>A camera pans around a snowy roof and leads into a man pushing snow off of a roof and onto the ground below.</t>
  </si>
  <si>
    <t>The man continues speaking to the camera while pushing off snow and leading into an empty roof.</t>
  </si>
  <si>
    <t>Another man is seen shoveling off snow and ends with pictures of the men working.</t>
  </si>
  <si>
    <t>v_8Uyi1KXdS50</t>
  </si>
  <si>
    <t>An elderly woman is seated in a chair.</t>
  </si>
  <si>
    <t>She is knitting with red yarn.</t>
  </si>
  <si>
    <t>She talks to the person with the camera as she knits.</t>
  </si>
  <si>
    <t>v_98wL6zakU9o</t>
  </si>
  <si>
    <t>A person is seen pushing a sander along a ski and leads into another person tightening down a ski and spraying wax along the top.</t>
  </si>
  <si>
    <t>The person wipes it down and then uses a bar of wax on the sander along the ski.</t>
  </si>
  <si>
    <t>v_TkNCytAQ5cw</t>
  </si>
  <si>
    <t>A woman is hosting a news segment that leads into clips of people working on the streets and protesting.</t>
  </si>
  <si>
    <t>Several women are interviewed by the camera and shows more clips of people working and protesting.</t>
  </si>
  <si>
    <t>v_frWLB7ZxMNI</t>
  </si>
  <si>
    <t>We see a man shooting pool on a blue table.</t>
  </si>
  <si>
    <t>The man finishes and smiles as his friend claps his hands.</t>
  </si>
  <si>
    <t>v_xJNqBSJ7rqU</t>
  </si>
  <si>
    <t>A senior picture of a female is shown and then a screen flashes indicating that her highlights are about to be shown.</t>
  </si>
  <si>
    <t>Several videos of her are then shown running up against girls from other teams defending her territory and stripping the ball from the other opponents.</t>
  </si>
  <si>
    <t>v__vbwjI1QA7g</t>
  </si>
  <si>
    <t>man is standing in a room with dart game haging on the wall.</t>
  </si>
  <si>
    <t>he took one of the dart from the board and keeps talking, approaches to the camera and shows the sharp dart.</t>
  </si>
  <si>
    <t>he throw the dart to the board and lean on the wall.</t>
  </si>
  <si>
    <t>man open his arms and swings side to side, kneel on the floor.</t>
  </si>
  <si>
    <t>he take other dart into the board and with the head down starts yelling at the camera.</t>
  </si>
  <si>
    <t>v_V-6nF6U6rfI</t>
  </si>
  <si>
    <t>A gymnast is seen standing ready and holding her arms up that lead into her climbing on a beam and performing a gymnastics routine on the beam.</t>
  </si>
  <si>
    <t>The girl performs several jumps and tricks that ends with her jumping into a mat and holding her arms up.</t>
  </si>
  <si>
    <t>v_8kC5L_Iu3KY</t>
  </si>
  <si>
    <t>A person is seen sitting behind a set of drums playing them consistently.</t>
  </si>
  <si>
    <t>She continues to play the drums while the camera zooms in on her hands.</t>
  </si>
  <si>
    <t>v_08ItAtlb60Q</t>
  </si>
  <si>
    <t>There are many trophies on display that you can win for doing a good job.</t>
  </si>
  <si>
    <t>Men on their bikes are waiting to start a race .</t>
  </si>
  <si>
    <t>Two men hit their knuckles together before the race begins.</t>
  </si>
  <si>
    <t>The audience is cheering and the riders are off going super fast trying to win.</t>
  </si>
  <si>
    <t>v_9PGFsuE3Ye0</t>
  </si>
  <si>
    <t>A man is seen doing karate in front of another with a knife and leads into a shot of a man bowling and text across his face.</t>
  </si>
  <si>
    <t>The man celebrates as people watch and clipart is shown as well as more shots of the man celebrating and bowling.</t>
  </si>
  <si>
    <t>The man holds a trophy in the end and screams to the camera and the audience.</t>
  </si>
  <si>
    <t>The camera then zooms in on a photo on a poster.</t>
  </si>
  <si>
    <t>v_H9FxfosWRTE</t>
  </si>
  <si>
    <t>A woman is seen kneeling down before a large weight and speaking to the camera continuously.</t>
  </si>
  <si>
    <t>She moves her body around the weight and pointing around to demonstrate how to properly hold the weight.</t>
  </si>
  <si>
    <t>v_qcV3JtJDoV8</t>
  </si>
  <si>
    <t>They pass a group of people snowboarding.</t>
  </si>
  <si>
    <t>They get to the bottom of the hill and stop in front of a small building.</t>
  </si>
  <si>
    <t>v_AyWXuUCDSjw</t>
  </si>
  <si>
    <t>We see 5 men walking down the street sides by side.</t>
  </si>
  <si>
    <t>A man looks at the men.</t>
  </si>
  <si>
    <t>A lady looks at the men.</t>
  </si>
  <si>
    <t>Two men turn and look at each other.</t>
  </si>
  <si>
    <t>One man buys drinks as everyone stares at them.</t>
  </si>
  <si>
    <t>The five men drink their beers in one gulp.</t>
  </si>
  <si>
    <t>The men leave the bar drunk.</t>
  </si>
  <si>
    <t>We see a gray closing screen.</t>
  </si>
  <si>
    <t>v_7LhKz7863kg</t>
  </si>
  <si>
    <t>woman wearing black clothes is laying down in the floor doing abs.</t>
  </si>
  <si>
    <t>woman doing abs in the floor have her fet tied to elastics.</t>
  </si>
  <si>
    <t>woman is doing exercise in a roofed gym.</t>
  </si>
  <si>
    <t>v_AvjExlAl18I</t>
  </si>
  <si>
    <t>A man is seen performing a dance routine on a stage while an orchestra plays behind him.</t>
  </si>
  <si>
    <t>A woman then steps in and dances with the man while spinning his hat around and twirling on the stage.</t>
  </si>
  <si>
    <t>The two end by making a funny gesture and then walk off the stage to the side.</t>
  </si>
  <si>
    <t>v_W0M9tXQV3Xg</t>
  </si>
  <si>
    <t>A man is talking in next to several exercise bikes.</t>
  </si>
  <si>
    <t>He starts working out on one of the bikes.</t>
  </si>
  <si>
    <t>People are working out in the dark.</t>
  </si>
  <si>
    <t>v_rdZ0TZcP0NU</t>
  </si>
  <si>
    <t>A group of people play polo on horses on a grass covered, fenced in field surrounded by onlookers and spectators.</t>
  </si>
  <si>
    <t>A man on a horse walks down the center of a line of people on a horse while holding a long mallet pole.</t>
  </si>
  <si>
    <t>A group of spectators standing and sitting on the grass look on from the side of the field.</t>
  </si>
  <si>
    <t>The game of polo begins and the people on the horses begin to swing their mallet poles across the ground.</t>
  </si>
  <si>
    <t>v_HvzJ-RJOF9Q</t>
  </si>
  <si>
    <t>A man is seen speaking to the camera while moving his arms around and others swim in a pool behind him.</t>
  </si>
  <si>
    <t>The man continues speaking to the camera and a person jumps off the diving board behind him.</t>
  </si>
  <si>
    <t>v_fg_R9Vrr1KI</t>
  </si>
  <si>
    <t>A gymnast mounts a high beam in a gym.</t>
  </si>
  <si>
    <t>He flips and does several springs.</t>
  </si>
  <si>
    <t>He then dismounts, throwing his arms up as he does so.</t>
  </si>
  <si>
    <t>v_7-uMJ_5WsZM</t>
  </si>
  <si>
    <t>A large orange machine is shown moving down a road with a claw like arm and razor cutting down the grass.</t>
  </si>
  <si>
    <t>The cutting continues and the machine is being operated in different areas such as highways.</t>
  </si>
  <si>
    <t>v_pHU2Ie4VQBg</t>
  </si>
  <si>
    <t>A girl is seen performing a belly dancing routine on a small stage.</t>
  </si>
  <si>
    <t>She continues dancing and performing around the stage and finishes her dance with a posing, bowing, and walking off.</t>
  </si>
  <si>
    <t>v_e9l3PzP4uGQ</t>
  </si>
  <si>
    <t>Various clip are shown of ingredients being laid out in bowls followed by a person mixing them all together.</t>
  </si>
  <si>
    <t>The person rolls them into balls and sets them on a plate, finally sticking them into the oven.</t>
  </si>
  <si>
    <t>She then pulls out the made cookies and gives the camera a thumbs up.</t>
  </si>
  <si>
    <t>v_tQ9yPS_BJHQ</t>
  </si>
  <si>
    <t>People are driving bumper cars and crashing into each other.</t>
  </si>
  <si>
    <t>A green car crashes into a gold car.</t>
  </si>
  <si>
    <t>A blue car crashes into a gold car.</t>
  </si>
  <si>
    <t>v_3UgGvKnelfY</t>
  </si>
  <si>
    <t>A camera pans around a large warehouse and shows clips of materials being made and men working.</t>
  </si>
  <si>
    <t>Machinery is shown pushing materials along while people watch on the sides.</t>
  </si>
  <si>
    <t>More products for homes are being pushed out and a machinery is shown carrying them away.</t>
  </si>
  <si>
    <t>v_airowj9k5ro</t>
  </si>
  <si>
    <t>A close up of a slide is seen followed by an adult and a young child riding down the slide.</t>
  </si>
  <si>
    <t>The woman laughs with the baby and picks her up at the bottom.</t>
  </si>
  <si>
    <t>v_5ZmZr2bguy0</t>
  </si>
  <si>
    <t>A woman is seen standing in a large circle and bending herself forward.</t>
  </si>
  <si>
    <t>The woman then spins herself around and throws an object off into the distance.</t>
  </si>
  <si>
    <t>The woman does this several times afterwards.</t>
  </si>
  <si>
    <t>v_piKE8obU4JY</t>
  </si>
  <si>
    <t>A drum line gets in formation at an outdoor event.</t>
  </si>
  <si>
    <t>They begin their routine, each section moving in their own set way before coming together and spreading out again.</t>
  </si>
  <si>
    <t>They form into two rows and finish the song.</t>
  </si>
  <si>
    <t>v_-kuXhOsHAc4</t>
  </si>
  <si>
    <t>A person walks up stairs into a room and sees beer poured from a keg and people talking.</t>
  </si>
  <si>
    <t>People stand and play beer pong while others watch.</t>
  </si>
  <si>
    <t>A man tries to blow a ball out of a cup.</t>
  </si>
  <si>
    <t>A man hits the ball away from the cup.</t>
  </si>
  <si>
    <t>The left team jumps and cheers.</t>
  </si>
  <si>
    <t>We see peoples faces up close and plates of food on a table.</t>
  </si>
  <si>
    <t>We see a lighted sign and end.</t>
  </si>
  <si>
    <t>v_mXbrIyhXbQo</t>
  </si>
  <si>
    <t>A man is seen standing around a neighborhood on a pair of stilts.</t>
  </si>
  <si>
    <t>The man walks up the street and turns towards the back.</t>
  </si>
  <si>
    <t>He then begins jumping down the road and looking back to the camera.</t>
  </si>
  <si>
    <t>v_M_Jib8gkQpg</t>
  </si>
  <si>
    <t>A man jumps of a diving board backwards into a swimming pool.</t>
  </si>
  <si>
    <t>There is a big splash and the man surfaces smiling.</t>
  </si>
  <si>
    <t>v_2rA5pyel_NE</t>
  </si>
  <si>
    <t>Children bring desert out for their family member.</t>
  </si>
  <si>
    <t>The family enjoys eating the desert together.</t>
  </si>
  <si>
    <t>The people in the restaurant laugh at the man and he wonders what they are doing.</t>
  </si>
  <si>
    <t>The man gets up and walks away to the other room.</t>
  </si>
  <si>
    <t>v_w28ML-KpYdI</t>
  </si>
  <si>
    <t>a man is standing in his back yard.</t>
  </si>
  <si>
    <t>He is laughing as he paits the side of a shed.</t>
  </si>
  <si>
    <t>He uses a sprayer to apply the red paint.</t>
  </si>
  <si>
    <t>v_Ww2_b9f6Kh0</t>
  </si>
  <si>
    <t>We see a man on a diving board high in the air.</t>
  </si>
  <si>
    <t>The man does a handstand and fall from the handstand into the water.</t>
  </si>
  <si>
    <t>The next man simply runs and dives while flipping into the water.</t>
  </si>
  <si>
    <t>The final man does a more traditional dive.</t>
  </si>
  <si>
    <t>v_c-X500da7JU</t>
  </si>
  <si>
    <t>A person shows how to warp a gift like a professional and do fancy ornaments and ribbons on gifts.</t>
  </si>
  <si>
    <t>The woman arrange a gift basket and shows a pile of nice gifts.</t>
  </si>
  <si>
    <t>Then, the woman wraps gifts with different shapes and ornaments.</t>
  </si>
  <si>
    <t>v_c81l0bAPiFo</t>
  </si>
  <si>
    <t>A lady kneels in a canoe as she rows on a lake.</t>
  </si>
  <si>
    <t>A lady attempts to stand on one foot in the boat and falls into the lake.</t>
  </si>
  <si>
    <t>A lady has one foot in the water and one in the boat and she starts doing push-ups on the boat.</t>
  </si>
  <si>
    <t>The lady finishes and shows her muscle to the camera.</t>
  </si>
  <si>
    <t>We see an emblem on the screen.</t>
  </si>
  <si>
    <t>v_OhPSVjVQZ8o</t>
  </si>
  <si>
    <t>A young child wearing a helmet is climbing on monkey bars on a playground with a small boy underneath her.</t>
  </si>
  <si>
    <t>A person riding a bike goes around the young girl and she climbs until the last bar.</t>
  </si>
  <si>
    <t>v_w6ofRgXA0xc</t>
  </si>
  <si>
    <t>A man in red short is pouring a bottle onto some wood.</t>
  </si>
  <si>
    <t>The man throws some paper on top of the wood.</t>
  </si>
  <si>
    <t>The man throws matches at the pile of wood.</t>
  </si>
  <si>
    <t>A fire begins to burn.</t>
  </si>
  <si>
    <t>v_BEA4YVQv7Wk</t>
  </si>
  <si>
    <t>A camera pans around a large indoor pool and shows a man jumping off a diving board into the water.</t>
  </si>
  <si>
    <t>Several people are shown warming up and followed up by many jumping into the pool.</t>
  </si>
  <si>
    <t>A man instructs them on how to properly land in the water followed by several people jumping one at a time into the pool, including the camera man.</t>
  </si>
  <si>
    <t>v_YbD0P8dH6Oc</t>
  </si>
  <si>
    <t>Two sumos prepares to wrestle in a ring while a judge stands in middle of them.</t>
  </si>
  <si>
    <t>Then the sumos wrestle, and the thin sumo throws the fat sumo to the floor.</t>
  </si>
  <si>
    <t>After, the fat sumo stands up and left the ring.</t>
  </si>
  <si>
    <t>The crow applaud, then men broom the ring.</t>
  </si>
  <si>
    <t>v_JxBFSll-mDE</t>
  </si>
  <si>
    <t>A man is seen speaking to the camera holding a hockey stick and leads into him instructing other players.</t>
  </si>
  <si>
    <t>The man continue playing around one another while the man yells to them and the others continue playing.</t>
  </si>
  <si>
    <t>v_V6lFpCjRKC8</t>
  </si>
  <si>
    <t>A small group of men are seen standing around a court with many people sitting and watching on the sides.</t>
  </si>
  <si>
    <t>A person runs down with a pole vault and throws it off into the distance while the same clip is shown again in slow motion and another goes after.</t>
  </si>
  <si>
    <t>v_9FAPy8NVDgY</t>
  </si>
  <si>
    <t>The video begins with an introduction to Recipes in Motion about quick spaghetti sauce.</t>
  </si>
  <si>
    <t>The video transitions into showing a ladle pouring the sauce onto noodles.</t>
  </si>
  <si>
    <t>Someone begins to cut various vegetable with a knife, this includes a green vegetable and onions.</t>
  </si>
  <si>
    <t>Next an empty metallic pan is shown as someone pours oil and the vegetables into it.</t>
  </si>
  <si>
    <t>They then begin stirring the vegetables with the oil.</t>
  </si>
  <si>
    <t>After this what other ingredients are added include tomatoes, spices and some type of liquid.</t>
  </si>
  <si>
    <t>Everything is being stirred together.</t>
  </si>
  <si>
    <t>The pan is removed and the stirred ingredients are blended.</t>
  </si>
  <si>
    <t>The blended ingredients are put back onto the man and a red substance from a can is poured onto the pan and mixed in.</t>
  </si>
  <si>
    <t>The sauce is completed and poured onto the noodles.</t>
  </si>
  <si>
    <t>The video ends with with an orange background with information on where to watch more videos.</t>
  </si>
  <si>
    <t>v_ngE2y5ExVqw</t>
  </si>
  <si>
    <t>A teenager boy hits a Sponge Bob piñata covered his eyes with a cloth while woman takes pictures.</t>
  </si>
  <si>
    <t>A boy hits the piñata until it falls while the boy cover his eyes with a blue cloth.</t>
  </si>
  <si>
    <t>A man rubs his face with his hand and then he sticks his tong out.</t>
  </si>
  <si>
    <t>v_hSnTYQ9osIg</t>
  </si>
  <si>
    <t>Two people are outside in ball dancing in a plaza as a group of people surround them and watch.</t>
  </si>
  <si>
    <t>People come and go to watch the two people dance and then they finally stop dancing,bow and grabs a cloth to wash their face.</t>
  </si>
  <si>
    <t>v_3C4Nry679BA</t>
  </si>
  <si>
    <t>A woman places vegetable leaves in a bow.</t>
  </si>
  <si>
    <t>The camera pans right to show a man standing beside the woman.</t>
  </si>
  <si>
    <t>The man slices a cucumber on a plate.</t>
  </si>
  <si>
    <t>v_2X4-yp_EFVE</t>
  </si>
  <si>
    <t>Two men are seen leading over the hood of the car while grabbing onto each other's hands.</t>
  </si>
  <si>
    <t>They then begin a game of arm wrestling and ends with one man winning and both looking at the camera and one holding his wrist.</t>
  </si>
  <si>
    <t>v_fc3yCFrmkCU</t>
  </si>
  <si>
    <t>Video title or label are shown.</t>
  </si>
  <si>
    <t>A guy gestures the peace sign.</t>
  </si>
  <si>
    <t>A guy is snow board down a slope.</t>
  </si>
  <si>
    <t>A group in a row wave goodbye.</t>
  </si>
  <si>
    <t>v_Z57GknpXOBg</t>
  </si>
  <si>
    <t>A man is getting ready to waterboard, there's a boat waiting for him to his right, and the white words on the right bottom corner say "Spray Lake Watersports &amp; Activity Centre".</t>
  </si>
  <si>
    <t>The man goes in the water and as he's holding onto the bar connected to the rope and the boat, he is quickly waterboarding on the lake, sometimes using both hands to hold onto the bar and sometimes alternating hands.</t>
  </si>
  <si>
    <t>The man lets go of the bar and begins to slow towards a dock.</t>
  </si>
  <si>
    <t>A pair of hands are now holding a waterboard that has black and silver pair of shoes attached to it.</t>
  </si>
  <si>
    <t>A person is briefly shown waterboarding and the view goes to bubbling underwater.</t>
  </si>
  <si>
    <t>v_MfFM_a26bR8</t>
  </si>
  <si>
    <t>A person is seen riding around on the horse in a closed in area.</t>
  </si>
  <si>
    <t>The camera continues to follow him riding around the area galloping around.</t>
  </si>
  <si>
    <t>v_s_gb6Xi_J5g</t>
  </si>
  <si>
    <t>The little girl is on top of the monkey bar.</t>
  </si>
  <si>
    <t>A little kid in colorful shirt is crossing the monkey bar.</t>
  </si>
  <si>
    <t>The little girl fell from monkey bar and went back to the monkey bar.</t>
  </si>
  <si>
    <t>v_uiG7A8lEdEg</t>
  </si>
  <si>
    <t>Players are playing lacrosse outdoors in front of an audience.</t>
  </si>
  <si>
    <t>A player is laying on the field.</t>
  </si>
  <si>
    <t>The player hits the ball into the goal.</t>
  </si>
  <si>
    <t>The audience and teammates celebrate the goal, and teammates pat each other on the shoulder.</t>
  </si>
  <si>
    <t>A guy removes his helmet.</t>
  </si>
  <si>
    <t>v_-eCMRApm6n4</t>
  </si>
  <si>
    <t>A girl shows how to make lemonade.</t>
  </si>
  <si>
    <t>She then rakes in the cash her parents helped her.</t>
  </si>
  <si>
    <t>v_TrhOt1WyU7Y</t>
  </si>
  <si>
    <t>A camera pans to a kite flying around in the sky as well as people in a field.</t>
  </si>
  <si>
    <t>A man is seen off to the site controlling the kite with his hands.</t>
  </si>
  <si>
    <t>He continues flying the object around the sky with the camera following.</t>
  </si>
  <si>
    <t>v_d-sWAcDYsbc</t>
  </si>
  <si>
    <t>A young man sits down on a chair in front of a drum set.</t>
  </si>
  <si>
    <t>He begins playing the drums, which are located inside of a living room.</t>
  </si>
  <si>
    <t>The playing continues until he puts down the drum sticks and looks at the camera with a shocked look.</t>
  </si>
  <si>
    <t>The video ends with the man getting up to turn off the camera.</t>
  </si>
  <si>
    <t>v_cdO-xmdjM7Q</t>
  </si>
  <si>
    <t>A group of people walk holding inflatable boats and arrive to a lake, then the people sail in the lake.</t>
  </si>
  <si>
    <t>After, the people take the boats to sail on a narrow choppy river.</t>
  </si>
  <si>
    <t>The rafters arrive to a cascade and the boats fold when descend the cascade, then they continue rafting in the river.</t>
  </si>
  <si>
    <t>v_zlAwW2Pxc1A</t>
  </si>
  <si>
    <t>A man is standing on a ladder.</t>
  </si>
  <si>
    <t>He is hanging wall paper onto a wall in front of him.</t>
  </si>
  <si>
    <t>He uses a tool to smooth out the wall paper once it's on the wall.</t>
  </si>
  <si>
    <t>v_MSiXlMKPGKs</t>
  </si>
  <si>
    <t>Various shots of people standing together and moving around ice are shown as well as people playing shuffle board and yelling to one another.</t>
  </si>
  <si>
    <t>Several people are interviewed on the camera that intervenes with shots of shuffleboard and people rubbing their necks and speaking to one another.</t>
  </si>
  <si>
    <t>v_3W92sMbvoaE</t>
  </si>
  <si>
    <t>A woman is riding an intertube down a snowy hill.</t>
  </si>
  <si>
    <t>She spins as she goes down, running into another person.</t>
  </si>
  <si>
    <t>She is knocked out of her intertube.</t>
  </si>
  <si>
    <t>v_68oJj9QktGg</t>
  </si>
  <si>
    <t>Several shots are shown of bulls running into people in busy streets and people becoming hurt by the bulls.</t>
  </si>
  <si>
    <t>Many more shots are shown of bulls hurting people in various locations while others try to help them on the side.</t>
  </si>
  <si>
    <t>v_Sb2SPX38lyQ</t>
  </si>
  <si>
    <t>A dark sky with a moon and cloud is shown in between trail so dirt.</t>
  </si>
  <si>
    <t>After,A man wearing a hat is shown walking down the trail and several dirt bikers racing are shown.</t>
  </si>
  <si>
    <t>The man then puts on a helmet,the bar is let down and he begins jumping over a hill.</t>
  </si>
  <si>
    <t>As the video continues,you are following the man racing through the trail and doing tricks and riding at side angles to ensure that the tricks are landed and he doesn't fall off.</t>
  </si>
  <si>
    <t>The man then reappears and the reflection of racing is shown in his eye before he walks off.</t>
  </si>
  <si>
    <t>v_ZvVnXvKlKbQ</t>
  </si>
  <si>
    <t>Bowling pins are getting hit with bowling ball.</t>
  </si>
  <si>
    <t>A crowd cheers sitting behind the bowling alley.</t>
  </si>
  <si>
    <t>A man kisses a trophy in his hands.</t>
  </si>
  <si>
    <t>v_wmmOt79-Azo</t>
  </si>
  <si>
    <t>People are standing in a room playing tennis.</t>
  </si>
  <si>
    <t>A woman picks up a ball that falls onto the ground.</t>
  </si>
  <si>
    <t>The girl walks up to the net.</t>
  </si>
  <si>
    <t>v_LFOlEafI35c</t>
  </si>
  <si>
    <t>Two young men arm wrestle in a kitchen using a standing cat chair as an table.</t>
  </si>
  <si>
    <t>A young man in a white tank top places his elbow on a elevated cat chair along with another young man in a black shirt.</t>
  </si>
  <si>
    <t>The two young men begin to arm wrestle.</t>
  </si>
  <si>
    <t>The man in the black shirt wins the arm wrestling match at which point the man in the white tank top backs away and stands in front of a refrigerator next to a girl drinking a canned beverage.</t>
  </si>
  <si>
    <t>v_EPql2nTJb9I</t>
  </si>
  <si>
    <t>A man and woman are standing an a kitchen.</t>
  </si>
  <si>
    <t>The woman is chopping up various vegetables on a white tray.</t>
  </si>
  <si>
    <t>v_-fjUWhSM6Hc</t>
  </si>
  <si>
    <t>A huge crowd is in the stands in an arena.</t>
  </si>
  <si>
    <t>A man throws a javelin.</t>
  </si>
  <si>
    <t>Photographers take pictures in the background.</t>
  </si>
  <si>
    <t>Several men run to where the javelin lands.</t>
  </si>
  <si>
    <t>The man that threw the javelin celebrates.</t>
  </si>
  <si>
    <t>Another man throws a javelin.</t>
  </si>
  <si>
    <t>People walk all around doing different things.</t>
  </si>
  <si>
    <t>Several men run out to where the javelin lands again.</t>
  </si>
  <si>
    <t>The second man to throw the javelin and a man in the stands celebrate.</t>
  </si>
  <si>
    <t>A third man throws a javelin so hard that he falls.</t>
  </si>
  <si>
    <t>The same men run to the the javelin's landing spot.</t>
  </si>
  <si>
    <t>The third man walks away looking disappointed.</t>
  </si>
  <si>
    <t>A fourth man throws a javelin.</t>
  </si>
  <si>
    <t>Again, the men run to where the javelin lands.</t>
  </si>
  <si>
    <t>The fourth man looks disappointed looking for his jacket.</t>
  </si>
  <si>
    <t>The first man to throw a javelin runs around celebrating and hugs another man.</t>
  </si>
  <si>
    <t>A man puts a gold medal around the neck of the first javelin thrower and shakes his hand.</t>
  </si>
  <si>
    <t>He puts a silver medal on the second thrower.</t>
  </si>
  <si>
    <t>He puts a bronze medal on the third thrower.</t>
  </si>
  <si>
    <t>All of the men shake hands.</t>
  </si>
  <si>
    <t>The gold medal winner talks to a news person.</t>
  </si>
  <si>
    <t>The silver medalist talks to a news person.</t>
  </si>
  <si>
    <t>v_d44RiNHK6KA</t>
  </si>
  <si>
    <t>Two people are working out on exercise bikes.</t>
  </si>
  <si>
    <t>The one wearing a blue wig puts their hands in the air.</t>
  </si>
  <si>
    <t>People are in front of them also on exercise bikes.</t>
  </si>
  <si>
    <t>v_1d6FGbM4FRM</t>
  </si>
  <si>
    <t>One person covers the floor with tiles.</t>
  </si>
  <si>
    <t>Then, another man come and help cover the floor with tiles.</t>
  </si>
  <si>
    <t>v_2ErgL7-MXHw</t>
  </si>
  <si>
    <t>Two men stands on front a tall hedge holding trimmers.</t>
  </si>
  <si>
    <t>The men cuts the top of the hedge.</t>
  </si>
  <si>
    <t>Leaves falls from the top of the hedge.</t>
  </si>
  <si>
    <t>v_jXZ6WVxXgLA</t>
  </si>
  <si>
    <t>A man is using a large broom in a parking lot.</t>
  </si>
  <si>
    <t>He spins the broom in circles around him.</t>
  </si>
  <si>
    <t>The spinning brushes the piles of leaves out of the parking lot.</t>
  </si>
  <si>
    <t>v_bFRqNqyVznA</t>
  </si>
  <si>
    <t>A woman is seen speaking to the camera while holding a rag and cleaner and leads into her spraying down the gloves and moving them along a piano.</t>
  </si>
  <si>
    <t>The woman continues wiping all around the piano and ends by speaking to the camera.</t>
  </si>
  <si>
    <t>v_p2P5g7HTJeY</t>
  </si>
  <si>
    <t>People are running around on a field playing a game of lacrosse.</t>
  </si>
  <si>
    <t>A man in white shorts sits down in front of the camera.</t>
  </si>
  <si>
    <t>A man knocks over one of his team mates.</t>
  </si>
  <si>
    <t>Two men almost crash into the camera.</t>
  </si>
  <si>
    <t>A group of players fight over the ball.</t>
  </si>
  <si>
    <t>A man hits the ball far across the field.</t>
  </si>
  <si>
    <t>The screen fades to green.</t>
  </si>
  <si>
    <t>v_-KWToNMY1Lc</t>
  </si>
  <si>
    <t>A man is seated on a horse and holding a lasso while assistants stand by and an audience watches.</t>
  </si>
  <si>
    <t>A cow is released and the man chases after it.</t>
  </si>
  <si>
    <t>The man lassos and ties it up.</t>
  </si>
  <si>
    <t>A man briefly enters the camera frame.</t>
  </si>
  <si>
    <t>Another man is seated on a horse and holding a lasso in the same setting.</t>
  </si>
  <si>
    <t>A cow is released and the second man chases after it.</t>
  </si>
  <si>
    <t>The second man lassos and ties it up.</t>
  </si>
  <si>
    <t>Two riders and two assistants enter the frame.</t>
  </si>
  <si>
    <t>v_ZQU0p5OKC04</t>
  </si>
  <si>
    <t>A man bungee jumps from an elevated capsule into a body of water beneath him in a forest like environment.</t>
  </si>
  <si>
    <t>A man in a blue shirt is strapped into a bungee jumping harness.</t>
  </si>
  <si>
    <t>The man is then lifted into the air in a yellow capsule with a guide, high above a body of water.</t>
  </si>
  <si>
    <t>The man then jumps out of the capsule and falls the distance between the capsule and the water and plops into the water.</t>
  </si>
  <si>
    <t>v_niHEMszTMBU</t>
  </si>
  <si>
    <t>A man in a blue shirt is standing in the woods explaining something.</t>
  </si>
  <si>
    <t>He then shows how to set up wood for a fire.</t>
  </si>
  <si>
    <t>The camera goes back to him standing.</t>
  </si>
  <si>
    <t>The camera goes to the fire being started.</t>
  </si>
  <si>
    <t>the camera goes back to him standing.</t>
  </si>
  <si>
    <t>The camera goes back to him building a different kind of campfire.</t>
  </si>
  <si>
    <t>He is standing in the woods again talking.</t>
  </si>
  <si>
    <t>v_PzAjZbCEbLU</t>
  </si>
  <si>
    <t>a video of how to prevent RV roof leaks is shown, there is a roof of an RV and a man cleaning the glue around the leak.</t>
  </si>
  <si>
    <t>man is putting white glue around the leak.</t>
  </si>
  <si>
    <t>v_4fw4nswO748</t>
  </si>
  <si>
    <t>An introduction comes onto the screen for a video about snowboarding.</t>
  </si>
  <si>
    <t>A snowboarder begins to make some commentary about his snowboarding techniques.</t>
  </si>
  <si>
    <t>Several clips of snowboarders are shown performing the technique as he explains.</t>
  </si>
  <si>
    <t>v_FGAlwzRvAHg</t>
  </si>
  <si>
    <t>The screen shows Transworld Snowboarding at Keystone, Colorado.</t>
  </si>
  <si>
    <t>It displays the fundamentals of snowboarding by Jack Mitrani.</t>
  </si>
  <si>
    <t>A person wearing a green hoodie and a hat is talking about the essentials required for snowboarding.</t>
  </si>
  <si>
    <t>He is demonstrating his tutorial with a snowboard placed in front of him.</t>
  </si>
  <si>
    <t>He is holding an iron in his hand as he is explaining how to wax the board.</t>
  </si>
  <si>
    <t>He has a piece of hard wax in his hand and an iron too.</t>
  </si>
  <si>
    <t>He begins melting the wax with the heated iron and drops it on the board.</t>
  </si>
  <si>
    <t>He drops the melted wax all over the board.</t>
  </si>
  <si>
    <t>He then drags the melted wax all through the board.</t>
  </si>
  <si>
    <t>He continues the same process throughout the entire board.</t>
  </si>
  <si>
    <t>Then uses a scraper to scrape the wax off and clean the board.</t>
  </si>
  <si>
    <t>He also uses a brush to brush off the wax and blows the wax shavings off of the board.</t>
  </si>
  <si>
    <t>v_7qeiQKbWpLM</t>
  </si>
  <si>
    <t>A female gymnast goes through her routine as her coach supervises.</t>
  </si>
  <si>
    <t>Graphics appear at the bottom of the screen that gives the girl's name and country she represents.</t>
  </si>
  <si>
    <t>Her coach walks to the uneven bars to position himself in case she falls.</t>
  </si>
  <si>
    <t>The coach walks up to the uneven bars a second time to position himself to catch her if needed and then walks across to the other side of the mats.</t>
  </si>
  <si>
    <t>She gets off the uneven bars and lands on the mat and poses.</t>
  </si>
  <si>
    <t>v_vijDPbwU6vA</t>
  </si>
  <si>
    <t>People are sitting around a campfire.</t>
  </si>
  <si>
    <t>A man in a hat stands up and chops wood.</t>
  </si>
  <si>
    <t>He gives a thumbs up and puts the ax over his shoulder.</t>
  </si>
  <si>
    <t>v_ZKSORB5ygRM</t>
  </si>
  <si>
    <t>A man drives his car to the beach.</t>
  </si>
  <si>
    <t>He gears up for the surf.</t>
  </si>
  <si>
    <t>He then surfs across a large wave.</t>
  </si>
  <si>
    <t>He finishes and stands on the beach.</t>
  </si>
  <si>
    <t>v_h0R04AFnor4</t>
  </si>
  <si>
    <t>A person touches the skin with a green light while cleaning the area.</t>
  </si>
  <si>
    <t>The person clean the leg with cotton.</t>
  </si>
  <si>
    <t>The person continues applying the green light.</t>
  </si>
  <si>
    <t>v_9a6C5rvS56A</t>
  </si>
  <si>
    <t>There are 4 african american children skipping around on the concrete ground.</t>
  </si>
  <si>
    <t>3 are wearing dresses and 1 of them is wearing a shirt and pants.</t>
  </si>
  <si>
    <t>After they're done skipping, they go to pick vegetables on the side of a building and put them into a blue bowl.</t>
  </si>
  <si>
    <t>v_KcgpoXEh44M</t>
  </si>
  <si>
    <t>Two women are in a room standing behind a table and one holds up a teddy bear.</t>
  </si>
  <si>
    <t>The two the help each other,and begin by taking out a roll of wrapping paper.</t>
  </si>
  <si>
    <t>After,the young girl begins to cut,fold, and tape the paper and places the bear inside.</t>
  </si>
  <si>
    <t>Finally,the task is complete and she holds the finished product up on the table.</t>
  </si>
  <si>
    <t>v_UBtVJ-w9O28</t>
  </si>
  <si>
    <t>A group of men are outside standing in a circle hitting sticks as two males begin fighting.</t>
  </si>
  <si>
    <t>Next,two more men begin dancing around the circle making fighting movements.</t>
  </si>
  <si>
    <t>After,the men come into the circle in pairs and begin to dance around each other as if they are fighting each other.</t>
  </si>
  <si>
    <t>v_3jb0w48ACkU</t>
  </si>
  <si>
    <t>A girl video records a man throwing lighting the end of a stick on fire.</t>
  </si>
  <si>
    <t>The man blows the stick of fire into a pile of wood and eventually creates a fire.</t>
  </si>
  <si>
    <t>v_bL0bXUG2QWI</t>
  </si>
  <si>
    <t>Two men are standing on a gym.</t>
  </si>
  <si>
    <t>A man gets on his knees and lifts two weights.</t>
  </si>
  <si>
    <t>A man stands behind him and talks.</t>
  </si>
  <si>
    <t>The man stands up and kneels back down several times.</t>
  </si>
  <si>
    <t>v_hEabp9fbqtw</t>
  </si>
  <si>
    <t>A man is wearing white in front of a building.</t>
  </si>
  <si>
    <t>He is doing several martial arts moves.</t>
  </si>
  <si>
    <t>He moves very slowly as he demonstrates the moves.</t>
  </si>
  <si>
    <t>v_iksziMLKsBQ</t>
  </si>
  <si>
    <t>We see a black intro screen.</t>
  </si>
  <si>
    <t>We see princess Diana and a man playing pool.</t>
  </si>
  <si>
    <t>Photographers stand up at the end of her table.</t>
  </si>
  <si>
    <t>The princess and her people exit the room.</t>
  </si>
  <si>
    <t>We go back to the black screen.</t>
  </si>
  <si>
    <t>v_18qVzfQ9VAs</t>
  </si>
  <si>
    <t>A woman is standing while wearing a pair of black boots.</t>
  </si>
  <si>
    <t>Her boots begin to move and kick as she starts dancing.</t>
  </si>
  <si>
    <t>She moves side to side, kicking in and out.</t>
  </si>
  <si>
    <t>The woman is fully shown as she stops dancing and begins to speak to the camera.</t>
  </si>
  <si>
    <t>v_ZIvekQVbCZ4</t>
  </si>
  <si>
    <t>A man is jumping rope in a room.</t>
  </si>
  <si>
    <t>A man behind him is stretching.</t>
  </si>
  <si>
    <t>A man behind him starts doing push ups.</t>
  </si>
  <si>
    <t>v_zahB34blHyk</t>
  </si>
  <si>
    <t>There is a man wearing a blue hazmat suit spray painting a tall fence.</t>
  </si>
  <si>
    <t>He is using a spray paint hose to paint the wooden fence.</t>
  </si>
  <si>
    <t>He moves the hose back and forth to ensure he covers the entire surface area of the fence.</t>
  </si>
  <si>
    <t>v_d-NsZZkxTa0</t>
  </si>
  <si>
    <t>A little girl is running around with a stick pushing and object, playing and having a lot of fun.</t>
  </si>
  <si>
    <t>The little girl goes forward playing for around 10 meters and then she goes back running.</t>
  </si>
  <si>
    <t>She touches a red plate and positions it and then runs again to the other side.</t>
  </si>
  <si>
    <t>v_2L9pp85KvbQ</t>
  </si>
  <si>
    <t>A man has a hookah in his mouth and he is inhaling smoke for a while.</t>
  </si>
  <si>
    <t>He takes the hookah out of his mouth and exhales letting out a bunch of smoke.</t>
  </si>
  <si>
    <t>I think he is trying to make O's with the smoke but he doesn't know how.</t>
  </si>
  <si>
    <t>He keeps inhaling and continues to try blowing out the smoke.</t>
  </si>
  <si>
    <t>v_71vVRQ4l8OI</t>
  </si>
  <si>
    <t>A gymnist is seen pushing himself up onto a set of uneven bars while several other people watch on the sidelines as well as perform.</t>
  </si>
  <si>
    <t>Several older men man runs into frame to check on the gymnast in back while the man on the bars continues his routine.</t>
  </si>
  <si>
    <t>The athlete does a back flip and finishes his routine while several others run into frame.</t>
  </si>
  <si>
    <t>v_rduaWxRvcw0</t>
  </si>
  <si>
    <t>A woman wearing a head scarf is seated, talking to the camera.</t>
  </si>
  <si>
    <t>She takes rollers out of her hair, one at a time.</t>
  </si>
  <si>
    <t>She then styles her hair and displays it to the camera.</t>
  </si>
  <si>
    <t>v_vEiQlqCy-rI</t>
  </si>
  <si>
    <t>A goalie is shown saving several balls and being interviewed by a reporter.</t>
  </si>
  <si>
    <t>Many shots are shown of boys playing soccer and being interviewed and leads into the coach being interviewed.</t>
  </si>
  <si>
    <t>Many people enjoy watching the game and finish with more players being interviewed.</t>
  </si>
  <si>
    <t>v_yw9W5dZ6T18</t>
  </si>
  <si>
    <t>The man is standing in the kitchen.</t>
  </si>
  <si>
    <t>He grab a tong and a silver, metal bowl with vegetables in it.</t>
  </si>
  <si>
    <t>The ingredients on the counter are in white containers.</t>
  </si>
  <si>
    <t>the chef is holding a small piece of nut.</t>
  </si>
  <si>
    <t>v_44M2Ov9JzUE</t>
  </si>
  <si>
    <t>The camera pans in on a volleyball player while she plays a game with others.</t>
  </si>
  <si>
    <t>The camera pauses every now and then to capture her movements and pans around the other people playing.</t>
  </si>
  <si>
    <t>v_jBnNbI48KjQ</t>
  </si>
  <si>
    <t>A host speaks to the camera with various musicians sitting behind him and leads into several shots of landscapes.</t>
  </si>
  <si>
    <t>The same man speaks to the camera and is shown riding on a surf board with several other surfers.</t>
  </si>
  <si>
    <t>The man is seen once again in the studio and is interviewed by a woman and another man.</t>
  </si>
  <si>
    <t>v_PV8QJ4QJgtY</t>
  </si>
  <si>
    <t>A woman is standing and talking to the camera, as she pointed to the horse next to her.</t>
  </si>
  <si>
    <t>A woman in yellow is sitting on the horse, the horse walked around the ramp.</t>
  </si>
  <si>
    <t>The horse began running in circles as the older woman is watching.</t>
  </si>
  <si>
    <t>v_fhEvf47Jqi8</t>
  </si>
  <si>
    <t>A man is seen speaking to the camera and leads into him holding a set of tools and presenting them to the camera.</t>
  </si>
  <si>
    <t>He then uses the tools on bushes nearby while still looking to the camera to speak.</t>
  </si>
  <si>
    <t>v_5QBRDpzedoI</t>
  </si>
  <si>
    <t>A man is running down a track in slow motion doing several jumps and landing into a pit.</t>
  </si>
  <si>
    <t>The same man is shown several times through various clips in slow motion performing the long jump on a track field.</t>
  </si>
  <si>
    <t>v_7Zd7KlliqQw</t>
  </si>
  <si>
    <t>A man is seen moving around in slow motion while the camera captures him from several angles.</t>
  </si>
  <si>
    <t>A pair of scissors and a comb is then seen close up and leads into a person cutting the man's hair.</t>
  </si>
  <si>
    <t>He finally blow dries the man's hair and is shown once again smiling and laughing to the camera.</t>
  </si>
  <si>
    <t>v_mI7Hwk_AF-M</t>
  </si>
  <si>
    <t>women are in a big green field playing hurling.</t>
  </si>
  <si>
    <t>woman is in a small green court practicing hurling shots.</t>
  </si>
  <si>
    <t>v_MaYV3jnGr6g</t>
  </si>
  <si>
    <t>person is watching her hands with soap in a handwasher, put some solution into the pots, holds an eye contact with the index finger and with the other hands open her eye and put the contact in her eye, grab the other contact and with the other hands open the eye ad put it in the eye.</t>
  </si>
  <si>
    <t>now the person wash her hands and opens the eye and with the fingers grab the contact from the eye and put it into a pot, then she do the same with the other eye, open the eye and grab the contact from the eye and put it in the pot.</t>
  </si>
  <si>
    <t>v_qRT0Z6Sz_Ck</t>
  </si>
  <si>
    <t>A person gets off a plane.</t>
  </si>
  <si>
    <t>A person is rollerblading through a city and hanging out with friends.</t>
  </si>
  <si>
    <t>This happens in many different places, but it basically the same thing.</t>
  </si>
  <si>
    <t>v__xtOX9UCWmU</t>
  </si>
  <si>
    <t>A man is shown against a white background.</t>
  </si>
  <si>
    <t>He is playing a guitar with his hands.</t>
  </si>
  <si>
    <t>The chords and words appear at the bottom of the screen as he plays.</t>
  </si>
  <si>
    <t>v_bzndhMU3izM</t>
  </si>
  <si>
    <t>We we an opening screen for a product.</t>
  </si>
  <si>
    <t>We see a person shoveling their sidewalk.</t>
  </si>
  <si>
    <t>The man reaches the house and turns to finish the other side of the walkway.</t>
  </si>
  <si>
    <t>We see a person spraying an item on their sidewalk.</t>
  </si>
  <si>
    <t>We then see two closing screens.</t>
  </si>
  <si>
    <t>v_MxZtYALqIrE</t>
  </si>
  <si>
    <t>A man is engaged in a pool competition.</t>
  </si>
  <si>
    <t>He shoots the stick at the balls, making them go into the corner pockets.</t>
  </si>
  <si>
    <t>When he wins, he high fives another man.</t>
  </si>
  <si>
    <t>v_G9ZEi6eRhi0</t>
  </si>
  <si>
    <t>There are about five to six young boys bouncing and jumping in an enclosed bouncy house with basketballs in their hands.</t>
  </si>
  <si>
    <t>The coach is guiding them by blowing the whistle as the children continue to bounce and jump.</t>
  </si>
  <si>
    <t>They take turns to throw the orange balls as instructed by their coach.</t>
  </si>
  <si>
    <t>v_N4Z9eYSu2uM</t>
  </si>
  <si>
    <t>People are playing tug of war on a field.</t>
  </si>
  <si>
    <t>People fall into a pile of muddy water.</t>
  </si>
  <si>
    <t>People are standing next to them watching.</t>
  </si>
  <si>
    <t>v_dexjr5WGeqQ</t>
  </si>
  <si>
    <t>The woman shows the square mats and points to the different materials and features.</t>
  </si>
  <si>
    <t>The woman sweeps the floor to prep for a project.</t>
  </si>
  <si>
    <t>The woman uses a chalk line then tape to mark the floor.</t>
  </si>
  <si>
    <t>The woman sets in the square carpet pieces in place to cover the floor.</t>
  </si>
  <si>
    <t>The woman shows the finished floor off.</t>
  </si>
  <si>
    <t>v_PMDpnLURLp8</t>
  </si>
  <si>
    <t>He grabs the long pole and begins to walk with it to the other side of the field.</t>
  </si>
  <si>
    <t>Then he positions himself and does a jump and lands.</t>
  </si>
  <si>
    <t>Everyone else begins to take their turns and start to run and jump also.</t>
  </si>
  <si>
    <t>They practice for a while and do it for a few more times.</t>
  </si>
  <si>
    <t>v_kpnGg2lOBLM</t>
  </si>
  <si>
    <t>A large group of people are seen jumping rope in a gymnasium while moving back and fourth with the camera.</t>
  </si>
  <si>
    <t>A woman stands in front to instruct the group and continue jumping rope and then stopping.</t>
  </si>
  <si>
    <t>The people then do a warm up with one another and stretch with the woman leading in front.</t>
  </si>
  <si>
    <t>v_7V1ZHZRHFrg</t>
  </si>
  <si>
    <t>A treadmill is shown, then a woman, using the treadmill in the living room is shown, she is wearing blue top and black shorts.</t>
  </si>
  <si>
    <t>She adjusted the monitor, then a treadmill adjustments and meters are shown with numbers on it.</t>
  </si>
  <si>
    <t>v_MbCIH5bay4Q</t>
  </si>
  <si>
    <t>A man is seen standing ready outside a track and begins running towards a bar.</t>
  </si>
  <si>
    <t>The man then jumps over the bar and is shown again in slow motion.</t>
  </si>
  <si>
    <t>v_eepvgF5Fi_Q</t>
  </si>
  <si>
    <t>People sit at a black jack table.</t>
  </si>
  <si>
    <t>A man sits behind the table dealing the cards.</t>
  </si>
  <si>
    <t>A man cashes in chips with the dealer.</t>
  </si>
  <si>
    <t>v_XLspZ5bof7o</t>
  </si>
  <si>
    <t>A lady is talking to the camera in a light room.</t>
  </si>
  <si>
    <t>She turns around and grabs a handful of hair.</t>
  </si>
  <si>
    <t>The lady starts braiding her hair adding more hair as she braids.</t>
  </si>
  <si>
    <t>The lady pulls her braid in front of her and adds a hair tie.</t>
  </si>
  <si>
    <t>She pulls her hair to loosen the braid and turns to the camera and smiles.</t>
  </si>
  <si>
    <t>v_Io0_nTofT7w</t>
  </si>
  <si>
    <t>A row of teenaged boys are playing snare drums.</t>
  </si>
  <si>
    <t>A large bass drum and player appear.</t>
  </si>
  <si>
    <t>A girl playing a drum joins in.</t>
  </si>
  <si>
    <t>v_-wWtZjqIH9o</t>
  </si>
  <si>
    <t>A group of children of varying ages slide down a blue slide in a theme park.</t>
  </si>
  <si>
    <t>A group of children appear at the top of high slide.</t>
  </si>
  <si>
    <t>The children then slide down the slide, with one girl's headband coming down over her eyes.</t>
  </si>
  <si>
    <t>The children land and get up and run off.</t>
  </si>
  <si>
    <t>v_zL0L9Faa5CA</t>
  </si>
  <si>
    <t>White text explains the process of knee injury.</t>
  </si>
  <si>
    <t>A man is shown doing athletic acts, including jumping on a mattress, and stretches for his knees before jumping again and again.</t>
  </si>
  <si>
    <t>v_DLJFoRluYx4</t>
  </si>
  <si>
    <t>A man stands in a bathroom in front of a mirror, holding a razor.</t>
  </si>
  <si>
    <t>The man begins speaking to the camera while showing the razor and its various parts.</t>
  </si>
  <si>
    <t>Soon he begins shaving his face while looking in the mirror.</t>
  </si>
  <si>
    <t>Afterward, he resumes speaking to the camera and showing how the razor performed.</t>
  </si>
  <si>
    <t>The man places the razor on a charging stand which shows a light illuminating, and then picks it back up.</t>
  </si>
  <si>
    <t>The video ends with the man touching his face to demonstrate the smooth job.</t>
  </si>
  <si>
    <t>v__5by7Is4JEU</t>
  </si>
  <si>
    <t>Two men demonstrate jump rope stunts, tricks and techniques in an auditorium in front of a group of students.</t>
  </si>
  <si>
    <t>A man in a grey track suit performs jump rope tricks in front of a group of students.</t>
  </si>
  <si>
    <t>The man in the grey track suit finishes and the children clap.</t>
  </si>
  <si>
    <t>A second man walks beside the man and the two men begin to perform more tricks and stunts including backflips and dance moves during the demonstration.</t>
  </si>
  <si>
    <t>v_hTx_y1ils70</t>
  </si>
  <si>
    <t>Two people are seen hosting a news segment speaking to one another and showing several clips on the interior of a gym.</t>
  </si>
  <si>
    <t>The woman then climbs on the treadmill and gives it a try while still speaking to the man.</t>
  </si>
  <si>
    <t>v_y7R4iEhqx9A</t>
  </si>
  <si>
    <t>A woman is seen speaking to the camera holding a beer and leads into her drinking from the glass.</t>
  </si>
  <si>
    <t>She continues drinking the beer while laughing to the camera and nodding in agreement.</t>
  </si>
  <si>
    <t>v_fIG7aXzSyMU</t>
  </si>
  <si>
    <t>A volunteer rakes leaves in a front yard.</t>
  </si>
  <si>
    <t>Volunteers carry and set up yard tools and cleaning products.</t>
  </si>
  <si>
    <t>A group of volunteers rake the leaves together in front of a house.</t>
  </si>
  <si>
    <t>Volunteers all eat together in a cafeteria.</t>
  </si>
  <si>
    <t>A man loads up bags of leaves and drops them off at a collection yard.</t>
  </si>
  <si>
    <t>v_Iwgbi95VjXU</t>
  </si>
  <si>
    <t>A girl in a bathing suit is sitting on the beach.</t>
  </si>
  <si>
    <t>She is putting sand into a cup and building a sand castle.</t>
  </si>
  <si>
    <t>Another girl walks up and talks to her.</t>
  </si>
  <si>
    <t>v_SIKxtWHWybU</t>
  </si>
  <si>
    <t>A man lays down on the floor over a mat.</t>
  </si>
  <si>
    <t>The man holds a weight ovebe his head.</t>
  </si>
  <si>
    <t>The man exercise holding the weight and raising the folded legs until the chest.</t>
  </si>
  <si>
    <t>v_RRFC2NrZSf4</t>
  </si>
  <si>
    <t>A man wearing a black shirt that has white words that say "Plays well with self" is sitting in a home and playing on two different bongos that are different in size, design and color.</t>
  </si>
  <si>
    <t>The man stops hitting the bongos and rests his left hand on the lighter colored bongo.</t>
  </si>
  <si>
    <t>Then the man moves his right leg as if he is going to stand up and the bongo moves without his leg support.</t>
  </si>
  <si>
    <t>v_duGxOdcqg3I</t>
  </si>
  <si>
    <t>Stone cold steve austin in the ring sweating profusely.</t>
  </si>
  <si>
    <t>He looks over at the other wrestler breathing and sweating, they just look at each other for a while.</t>
  </si>
  <si>
    <t>They open beers and bump the together, then they start throwing beers to the audience.</t>
  </si>
  <si>
    <t>Then, austin rolls out of the ring and starts walking to the back.</t>
  </si>
  <si>
    <t>v_VNMj5YKHEsY</t>
  </si>
  <si>
    <t>woman is talking to a man in an icerink skating and holding hockey poles playing pulling the disc.</t>
  </si>
  <si>
    <t>woman is in an hospital talking to a man.</t>
  </si>
  <si>
    <t>man and woman looked the man that have bandage in his head.</t>
  </si>
  <si>
    <t>v_oD45QIOK4z0</t>
  </si>
  <si>
    <t>The players from Brasil scores while people in the bleaches celebrate.</t>
  </si>
  <si>
    <t>A Brazilian player pass the ball to his playmate who scores and runs to celebrate, other Brazilian players scores many times.</t>
  </si>
  <si>
    <t>After, Brasil plays with other teems and scores many times.</t>
  </si>
  <si>
    <t>Then Brasil plays with players from other countries and scores.</t>
  </si>
  <si>
    <t>At the end, Brasil win the competition.</t>
  </si>
  <si>
    <t>v_L4mSCZwXelk</t>
  </si>
  <si>
    <t>People are playing indoor soccer in an arena.</t>
  </si>
  <si>
    <t>People are sitting in the stands watching.</t>
  </si>
  <si>
    <t>v_bhRHD3bBNZY</t>
  </si>
  <si>
    <t>A woman stands in a room holding a hula hoop.</t>
  </si>
  <si>
    <t>She demonstrates how to use the hula hoop.</t>
  </si>
  <si>
    <t>She spins it using her hips and talking to the camera.</t>
  </si>
  <si>
    <t>v_hjsu3SGAdLs</t>
  </si>
  <si>
    <t>A man wearing a blue shirt is playing the piano in a yard.</t>
  </si>
  <si>
    <t>There are two elephants standing behind him.</t>
  </si>
  <si>
    <t>One of the elephant is trying to play the piano with his trunk.</t>
  </si>
  <si>
    <t>The man continues to play the piano in a fast pace using various keys on the piano.</t>
  </si>
  <si>
    <t>He gives a big finish with the tune and then pats the elephant's trunk.</t>
  </si>
  <si>
    <t>v_BqjNfptu17Q</t>
  </si>
  <si>
    <t>A guy stands on the shore of a beach holding a hockey stick balancing a ball.</t>
  </si>
  <si>
    <t>A hockey stick and a white ball lay on fake grass outside.</t>
  </si>
  <si>
    <t>A person moves a white ball with a hockey stick.</t>
  </si>
  <si>
    <t>A person demonstrates ten field hockey techniques.</t>
  </si>
  <si>
    <t>A guy uses a hockey stick to bounce a ball in the air.</t>
  </si>
  <si>
    <t>Greetings and credits are shown.</t>
  </si>
  <si>
    <t>v_unz00-r84NY</t>
  </si>
  <si>
    <t>A boy plays with a ball in a yard.</t>
  </si>
  <si>
    <t>A boy swings and hits the ball out of the yard.</t>
  </si>
  <si>
    <t>The boy walks to retrieve the ball.</t>
  </si>
  <si>
    <t>The boy plays a game where he hits the ball and knocks down trash can lids.</t>
  </si>
  <si>
    <t>The boy swings a stick at the balls to hit them through a goal.</t>
  </si>
  <si>
    <t>v_tb8KKdC7r-A</t>
  </si>
  <si>
    <t>People play shuffleboard in a gym.</t>
  </si>
  <si>
    <t>A woman throws a black puck, then she talks and continue playing.</t>
  </si>
  <si>
    <t>Old man wearing a cap talks in the gym .</t>
  </si>
  <si>
    <t>Two women talks side by side, one of the woman holds a pole.</t>
  </si>
  <si>
    <t>v_TrFoFWXLMFg</t>
  </si>
  <si>
    <t>An infomercial shows a person using a razor on their leg while speaking to the camera.</t>
  </si>
  <si>
    <t>The woman continues shaving her legs and a close up of the tool is shown.</t>
  </si>
  <si>
    <t>v_LNd1TrbshXM</t>
  </si>
  <si>
    <t>A woman walks into frame playing with her hair and parting it behind her.</t>
  </si>
  <si>
    <t>The woman continues braiding up her hair and shows off the end result while looking to the camera then away.</t>
  </si>
  <si>
    <t>v_uqixFWxAQSA</t>
  </si>
  <si>
    <t>cars covered by a thick snow is shown and a man is cleaning the snow with a shovel in the windshield and all the car.</t>
  </si>
  <si>
    <t>car is going in street.</t>
  </si>
  <si>
    <t>v_lcOepzWnOO4</t>
  </si>
  <si>
    <t>A couple and a child are in a living room.</t>
  </si>
  <si>
    <t>The couple begin dancing in the middle of the room, spinning and twirling.</t>
  </si>
  <si>
    <t>v_h3H6TzHC8Cc</t>
  </si>
  <si>
    <t>A referee wearing a white shirt in a boxing match starts a boxing match.</t>
  </si>
  <si>
    <t>Two girl boxers approach each other and start kick boxing.</t>
  </si>
  <si>
    <t>The taller boxer approaches the shorter boxer and hits the shorter boxer with a straight kick.</t>
  </si>
  <si>
    <t>Both boxers exchange punches and kicks in the center of the ring.</t>
  </si>
  <si>
    <t>The referee manages the fight while following and watching the fighters closely.</t>
  </si>
  <si>
    <t>v_3bTGq7QDjUg</t>
  </si>
  <si>
    <t>Two people are tubing in a stream with lush water and huge rocks through out it.</t>
  </si>
  <si>
    <t>Once the two get around the curve,they hit two small hills and wade in the calmer part of the water.</t>
  </si>
  <si>
    <t>v_Huz41aVo5eo</t>
  </si>
  <si>
    <t>man is waxing a woman's leg.</t>
  </si>
  <si>
    <t>woman is talking to the camera and showing how to wax the leg.</t>
  </si>
  <si>
    <t>v_kkXSGwesZ0U</t>
  </si>
  <si>
    <t>Two people have their legs tied together and then receive instructions.</t>
  </si>
  <si>
    <t>They walk out to a ledge and then go bungee jumping over the edge.</t>
  </si>
  <si>
    <t>v_uo1ERV8LZeU</t>
  </si>
  <si>
    <t>Pictures of a drink are shown followed by an empty bowl and a person putting ingredients in the bowl.</t>
  </si>
  <si>
    <t>The person stirs the ingredients all around and pours the mixture into a glass with ice to serve.</t>
  </si>
  <si>
    <t>v_zH-fOiPLLxA</t>
  </si>
  <si>
    <t>A brush is attached to a power drill for scrubbing.</t>
  </si>
  <si>
    <t>The top of the sink is scrubbed then the bowl.</t>
  </si>
  <si>
    <t>It is wiped with a towel to finish.</t>
  </si>
  <si>
    <t>v_FjY3eKNvzug</t>
  </si>
  <si>
    <t>People are sitting on exercise machines in a room.</t>
  </si>
  <si>
    <t>They all begin working out and pulling on a rope.</t>
  </si>
  <si>
    <t>People are standing in front of them cheering them on.</t>
  </si>
  <si>
    <t>v_3NFWgG4_6NI</t>
  </si>
  <si>
    <t>A man is seen dancing with a hula hoop in a crowded area while people wander around behind her.</t>
  </si>
  <si>
    <t>The woman continues spinning the hoop around herself as people watch her spin around.</t>
  </si>
  <si>
    <t>v_vWEbHvnkogA</t>
  </si>
  <si>
    <t>A jazz musicians is teaching how to play the saxophone.</t>
  </si>
  <si>
    <t>He is giving instructions and talking about music and scales.</t>
  </si>
  <si>
    <t>Then he starts to play some for a little before going back to lecturing.</t>
  </si>
  <si>
    <t>He talks about the notes he has written on the chalk board and goes back to lecturing more about it all.</t>
  </si>
  <si>
    <t>v_X6BHwIJKl-Q</t>
  </si>
  <si>
    <t>A person talks while sit in a boat holding a paddle.</t>
  </si>
  <si>
    <t>Then, the person sails in choppy waters, suddenly he pivote the boat away helping with the oar.</t>
  </si>
  <si>
    <t>v__Wq1OGf0MHM</t>
  </si>
  <si>
    <t>A group of kids and adults are by a river.</t>
  </si>
  <si>
    <t>They get into rafts and float down stream.</t>
  </si>
  <si>
    <t>They paddle through the rapids and falls.</t>
  </si>
  <si>
    <t>v_-Sp-gOEGy2o</t>
  </si>
  <si>
    <t>"How to start a campfire with FiAir" appears on screen.</t>
  </si>
  <si>
    <t>Wildlife Biologist Bryon Shissler sits outside by a campfire pit and speaks to the camera.</t>
  </si>
  <si>
    <t>He builds and lights a fire in the pit using the FiAir device.</t>
  </si>
  <si>
    <t>"FiAir The handly little blower to feed your fires" appears on screen.</t>
  </si>
  <si>
    <t>v_XKA2W2735WM</t>
  </si>
  <si>
    <t>People watch a parade where people walk on front a marching band holding a banner and waving the viewers.</t>
  </si>
  <si>
    <t>A man cross the street holding a small flag and extend his hand.</t>
  </si>
  <si>
    <t>A group of soldiers holds rifles and flags on front a black car.</t>
  </si>
  <si>
    <t>A veteran make the military salute.</t>
  </si>
  <si>
    <t>v_KgONRjXP8_Y</t>
  </si>
  <si>
    <t>A person dips a paint brush into a pan.</t>
  </si>
  <si>
    <t>They use the brush to paint the side of a table.</t>
  </si>
  <si>
    <t>They use large strokes, continuing to paint.</t>
  </si>
  <si>
    <t>v_sra0ywgWITo</t>
  </si>
  <si>
    <t>A man walks over to another man upset and suggests an arm wrestling match.</t>
  </si>
  <si>
    <t>The men begin to hold hands and quickly move away while two women walk into scene.</t>
  </si>
  <si>
    <t>The men continue the match while look calm and the other looks struggled.</t>
  </si>
  <si>
    <t>The match continues as the men discuss their issues and the women watching yell at the men.</t>
  </si>
  <si>
    <t>The women then help the men arm wrestle and one punches the other to help one man win.</t>
  </si>
  <si>
    <t>The punched woman pulls the arms up and stabs them while the other man also stabs them.</t>
  </si>
  <si>
    <t>The women pull out duct tape and stuff one body into a bag.</t>
  </si>
  <si>
    <t>v_ersl2OEJ-eI</t>
  </si>
  <si>
    <t>A man is concentrating extremely hard as he is throwing darts on to a board at a tournament.</t>
  </si>
  <si>
    <t>People cheer and screen for him as another man approaches the board and hives him competition.</t>
  </si>
  <si>
    <t>The two go back and forth,however the first guy appears to be the fan's favorite and ends up winning the game.</t>
  </si>
  <si>
    <t>v_mBAlD4A8swo</t>
  </si>
  <si>
    <t>A man is sitting on an exercise bike.</t>
  </si>
  <si>
    <t>He is working out on the bike.</t>
  </si>
  <si>
    <t>He is talking to the camera while working out.</t>
  </si>
  <si>
    <t>v_QFxe74w7aNc</t>
  </si>
  <si>
    <t>A group of martial artists and drummers perform in a street competition.</t>
  </si>
  <si>
    <t>The martial artists in red pants and black shirts do kicks and flips.</t>
  </si>
  <si>
    <t>Drummers wearing all black and red hats play the drums.</t>
  </si>
  <si>
    <t>The performers finish their piece and the crowd applauds.</t>
  </si>
  <si>
    <t>v_3HBAcaU552I</t>
  </si>
  <si>
    <t>A young boy and girl are standing over a sink with their mother talking.</t>
  </si>
  <si>
    <t>The mother instructs them on how to brush their teeth while laughing.</t>
  </si>
  <si>
    <t>The boy helps his younger sister brush his teeth.</t>
  </si>
  <si>
    <t>She gets them some water to gargle in their mouths.</t>
  </si>
  <si>
    <t>The boy and girl begin playing in the sink.</t>
  </si>
  <si>
    <t>The woman laughs at the children dribbling water.</t>
  </si>
  <si>
    <t>v_eNE8O5cgYuE</t>
  </si>
  <si>
    <t>A woman is outside wind blowing a little bit through her hair, the view is outstanding.</t>
  </si>
  <si>
    <t>There is ia group of runners starting a marathon taking their time.</t>
  </si>
  <si>
    <t>It was scenic and beautiful out there, flowers blossoming and everything.</t>
  </si>
  <si>
    <t>A few of the runners talk about their experience to reporters.</t>
  </si>
  <si>
    <t>v_ufgYKCfK2Vk</t>
  </si>
  <si>
    <t>She is dancing with a baton very gracefully all around the stage for her performance.</t>
  </si>
  <si>
    <t>She does handstands and all kinds of different intriguing moves.</t>
  </si>
  <si>
    <t>She throws the baton up and does a few cartwheels and lands in time to catch it.</t>
  </si>
  <si>
    <t>She accidentally drops the baton and picks its up and continues on and on until the end of her dance.</t>
  </si>
  <si>
    <t>v_HcPhIfhQLmA</t>
  </si>
  <si>
    <t>kid is sanding in a room talking to the camera.</t>
  </si>
  <si>
    <t>anoher man appears on the room and is practicing a head lock.</t>
  </si>
  <si>
    <t>man throw the the kid in the bed and stands.</t>
  </si>
  <si>
    <t>v_Y-dpHbPGQWE</t>
  </si>
  <si>
    <t>An opening screen with the title of a song is shown.</t>
  </si>
  <si>
    <t>We see a man playing a guitar in a recording studio.</t>
  </si>
  <si>
    <t>We see a ending screen with the man's youtube channel address on it.</t>
  </si>
  <si>
    <t>v_F4FpAZJSV1g</t>
  </si>
  <si>
    <t>man is in a racetrack running to make a high jump into the dust.</t>
  </si>
  <si>
    <t>woman is putting numbers in a scoeboard.</t>
  </si>
  <si>
    <t>man is running in the middle of the field.</t>
  </si>
  <si>
    <t>v_aWz9H0jTv3c</t>
  </si>
  <si>
    <t>Two men are in an inside court.</t>
  </si>
  <si>
    <t>They play a game of racquetball together.</t>
  </si>
  <si>
    <t>They take turns hitting the ball back and forth against the wall.</t>
  </si>
  <si>
    <t>v_NtUIIxVvDsA</t>
  </si>
  <si>
    <t>People are sitting in a car.</t>
  </si>
  <si>
    <t>They are standing around a large inflatable raft.</t>
  </si>
  <si>
    <t>They are rafting in choppy water of a river.</t>
  </si>
  <si>
    <t>v_q8lLTxHen0I</t>
  </si>
  <si>
    <t>Various pictures are shown of people huddled up together as well as people playing soccer on a beach.</t>
  </si>
  <si>
    <t>More pictures are shown of people playing as well as one man receiving a trophy and celebrating with others.</t>
  </si>
  <si>
    <t>v_3sAcnQxBchE</t>
  </si>
  <si>
    <t>A camera pans around a woman sitting in a chair smoking a cigarette.</t>
  </si>
  <si>
    <t>She speaks to the camera while continuing to smoke and ends by spreading her legs.</t>
  </si>
  <si>
    <t>v_Kwhp0DNop9I</t>
  </si>
  <si>
    <t>woman is ni seashore wearing a big hat and smiling.</t>
  </si>
  <si>
    <t>peolpe are scuba diving in the sea next to the pier with bags on their backs and showing the fishes and rocks on the floor.</t>
  </si>
  <si>
    <t>v_iZg4cUU6Hkc</t>
  </si>
  <si>
    <t>A group of teen boys are outside in a yard.</t>
  </si>
  <si>
    <t>They gather supplies, then light a fire.</t>
  </si>
  <si>
    <t>They begin kicking a flaming ball back and forth.</t>
  </si>
  <si>
    <t>v_R-VaPP7ToKQ</t>
  </si>
  <si>
    <t>A boy is sitting behind a table.</t>
  </si>
  <si>
    <t>He picks up a beer and takes a drink quickly.</t>
  </si>
  <si>
    <t>A woman grabs it away from him.</t>
  </si>
  <si>
    <t>v_mc-1msYF8Xo</t>
  </si>
  <si>
    <t>Various shots of plated food are shown followed by a sandwich sitting on a table and a woman holding up pans.</t>
  </si>
  <si>
    <t>The woman then puts ingredients onto sandwich bread and mixes the two together and takes multiple bites.</t>
  </si>
  <si>
    <t>v_xm7pETlJrwA</t>
  </si>
  <si>
    <t>A woman is seen speaking to the camera while holding up a bucket and pot.</t>
  </si>
  <si>
    <t>She pours water out of the pot into the bucket as well as some detergent.</t>
  </si>
  <si>
    <t>She then washing clothes in the bucket using water continuously as well as a toothbrush.</t>
  </si>
  <si>
    <t>She lays out the clothes in the end as well as hangs them up.</t>
  </si>
  <si>
    <t>v_RK1L77bNTxg</t>
  </si>
  <si>
    <t>three people is in studio talking about news.</t>
  </si>
  <si>
    <t>a history about curling sport and the kids team playing in the field and scoring is shown in the screen.</t>
  </si>
  <si>
    <t>back to the studio reporters keep talking about the history.</t>
  </si>
  <si>
    <t>v_-4VuHlphgL4</t>
  </si>
  <si>
    <t>A man is standing behind a couch, wearing a protective head covering.</t>
  </si>
  <si>
    <t>He is covering a couch with plastic, and tapes it in place.</t>
  </si>
  <si>
    <t>He speaks to the camera about what he did a little longer.</t>
  </si>
  <si>
    <t>v_TQ22icNBoSI</t>
  </si>
  <si>
    <t>We see blue letters on a black screen and see a roof.</t>
  </si>
  <si>
    <t>Then we switch to more letters and roof has been sprayed with a solution.</t>
  </si>
  <si>
    <t>We are informed the roof has been cleaned and shown shots of the clean roof.</t>
  </si>
  <si>
    <t>We then see the front of the house.</t>
  </si>
  <si>
    <t>We are provided the phone number of the pressure washers.</t>
  </si>
  <si>
    <t>v_T0wmRC8Ka2Y</t>
  </si>
  <si>
    <t>The ball falls onto the ground and a guy in red shorts picks it up.</t>
  </si>
  <si>
    <t>A man in a black hat serves the ball.</t>
  </si>
  <si>
    <t>v_TdFvHyfq97o</t>
  </si>
  <si>
    <t>A man is standing outside in a field of grass that is relatively low.</t>
  </si>
  <si>
    <t>However,in his hand he has a scythe and begins swinging it back and forth cutting the grass down further.</t>
  </si>
  <si>
    <t>As he cuts,several texts appear across the screen with white words about what he is doing and explaining the activity.</t>
  </si>
  <si>
    <t>v_0S0fNrI4oVs</t>
  </si>
  <si>
    <t>A group of USA olympic fencing champions are shown competing in fencing interspersed with images and graphics advertising an upcoming fencing tournament in NYC.</t>
  </si>
  <si>
    <t>Several images of fencers are shows interspersed with video of the fencers walking.</t>
  </si>
  <si>
    <t>An image of a girl holding an American flag behind her appears.</t>
  </si>
  <si>
    <t>More still images of fencing and a slow motion video of a fencing competition appear before a final marketing graphic with a website on it.</t>
  </si>
  <si>
    <t>v_iyGv338SnrQ</t>
  </si>
  <si>
    <t>An elderly woman lays on down against a brown pillow.</t>
  </si>
  <si>
    <t>She holds a harmonica to her mouth and plays it.</t>
  </si>
  <si>
    <t>The light in the room brightens.</t>
  </si>
  <si>
    <t>She finishes playing and laughs.</t>
  </si>
  <si>
    <t>v_Iuk7PNmG3tQ</t>
  </si>
  <si>
    <t>Several players from the black and white team are playing ice hockey in the arena.</t>
  </si>
  <si>
    <t>One of the players from the black team hits the puck away from his opponent.</t>
  </si>
  <si>
    <t>The players from the white team try to prevent him from hitting a goal.</t>
  </si>
  <si>
    <t>An animated version of the game is shown on screen.</t>
  </si>
  <si>
    <t>Then the focus is back on the real game where a black team player is highlighted as he takes a shot on the goal.</t>
  </si>
  <si>
    <t>Again, another animated example is shown to explain how the game works.</t>
  </si>
  <si>
    <t>The black team player hits the puck on the opposite corner of the ice.</t>
  </si>
  <si>
    <t>As the black moves fast and towards the goal, it cause the goalie to fall down.</t>
  </si>
  <si>
    <t>The black team wins the goal and gets the victory in the game.</t>
  </si>
  <si>
    <t>v_1f8iBakydSI</t>
  </si>
  <si>
    <t>A camera pans over a weight room and shows various people working on a machines.</t>
  </si>
  <si>
    <t>One man is seen running on an elliptical while another using a rowing machine in the back.</t>
  </si>
  <si>
    <t>v_gfwSnetklbE</t>
  </si>
  <si>
    <t>A man is shoveling snow off of the top of a car.</t>
  </si>
  <si>
    <t>He walks around the car and starts shoveling the ground.</t>
  </si>
  <si>
    <t>v_TXgzRTa2C38</t>
  </si>
  <si>
    <t>A person throws a bowling ball down a lane.</t>
  </si>
  <si>
    <t>They knock the pins down.</t>
  </si>
  <si>
    <t>They throw the ball at a spare and knock all the rest of the pins down.</t>
  </si>
  <si>
    <t>v__CFadTE9L4I</t>
  </si>
  <si>
    <t>A woman washes clothes in a bucket with soap.</t>
  </si>
  <si>
    <t>The woman wrings out a towel.</t>
  </si>
  <si>
    <t>Someone is folding in the background while the woman continues washing the clothes.</t>
  </si>
  <si>
    <t>v_HQFey_iCEw8</t>
  </si>
  <si>
    <t>A man in a baseball cap, shorts and a blue short sleeved shirt serves three tennis balls across a tennis net on a tennis court by himself.</t>
  </si>
  <si>
    <t>A man on a tennis court by himself serves a tennis ball with a tennis racket across a net.</t>
  </si>
  <si>
    <t>The man then serves two more balls across the net, the ball just land on the other side.</t>
  </si>
  <si>
    <t>v_R3ffxWaI9QU</t>
  </si>
  <si>
    <t>A male athlete is running on a track.</t>
  </si>
  <si>
    <t>He jumps high into the air.</t>
  </si>
  <si>
    <t>He vaults backwards over a high beam.</t>
  </si>
  <si>
    <t>This is shown repeated in slow motion numerous times.</t>
  </si>
  <si>
    <t>v_MZiBlBhpq-Y</t>
  </si>
  <si>
    <t>A man sits down with a guitar.</t>
  </si>
  <si>
    <t>The man begins playing the guitar.</t>
  </si>
  <si>
    <t>The man starts singing while playing the guitar.</t>
  </si>
  <si>
    <t>The man stops playing the guitar and stands up and walks toward the camera.</t>
  </si>
  <si>
    <t>v_yZLwR5EJ7Wc</t>
  </si>
  <si>
    <t>A man plays bagpipes in a city square while nobody pays attention.</t>
  </si>
  <si>
    <t>A cop tells him to stop.</t>
  </si>
  <si>
    <t>v_BbFCkDdq3S0</t>
  </si>
  <si>
    <t>A boy runs slowly down a path.</t>
  </si>
  <si>
    <t>He takes a huge leap into the air.</t>
  </si>
  <si>
    <t>He lands in a giant sand pit.</t>
  </si>
  <si>
    <t>v_LVub7uinY-4</t>
  </si>
  <si>
    <t>A small group of people are seen playing a baseball game on a field and leads into several more shots of them playing.</t>
  </si>
  <si>
    <t>The video continues with several clips of people hitting and catching the ball and ends with text across the screen.</t>
  </si>
  <si>
    <t>v_ER0UPx6-VcM</t>
  </si>
  <si>
    <t>A man and woman are playing inside a racquetball court.</t>
  </si>
  <si>
    <t>They are using racquets, balls, special shoes and protective glasses.</t>
  </si>
  <si>
    <t>They show how to stand and hit the ball.</t>
  </si>
  <si>
    <t>v_pmix_U52VWk</t>
  </si>
  <si>
    <t>A boy is standing behind a music stand playing a flute.</t>
  </si>
  <si>
    <t>He stops playing and smiles before walking away.</t>
  </si>
  <si>
    <t>v_QrKWO2uNNJ0</t>
  </si>
  <si>
    <t>A woman with a hat on stands and talks.</t>
  </si>
  <si>
    <t>She is playing with her hair and talking.</t>
  </si>
  <si>
    <t>Pictures of her hair are inserted.</t>
  </si>
  <si>
    <t>v_Yxsw5nTf4Dg</t>
  </si>
  <si>
    <t>A girl in a bikini is doing hula hoop on a patio.</t>
  </si>
  <si>
    <t>She spins around several times and seems to be having a lot of fun.</t>
  </si>
  <si>
    <t>The came moves up and down to keep her in the frame.</t>
  </si>
  <si>
    <t>It then jumps to another girl only showing her bottom half as a hula hoop spins around her.</t>
  </si>
  <si>
    <t>Another girls is shown dancing inside of a house several times.</t>
  </si>
  <si>
    <t>v_y4PXBhxpZHk</t>
  </si>
  <si>
    <t>A large group of people are shown in several shots playing a sport's game while hundreds of people watch on the sides.</t>
  </si>
  <si>
    <t>The men continue running around the field while close ups of coaches are shown and one scores a goal.</t>
  </si>
  <si>
    <t>One man kneels down and the others shake hands with players.</t>
  </si>
  <si>
    <t>v_QElXIVBV-gk</t>
  </si>
  <si>
    <t>A lady chef wearing a stripe blouse talks in a kitchen.</t>
  </si>
  <si>
    <t>The lady chef describes the ingredients needed and the preparation for the creamy seafood pasta.</t>
  </si>
  <si>
    <t>The lady chef shows a step by step process for preparing the creamy seafood pasta dish and shows the final product.</t>
  </si>
  <si>
    <t>v_2w3FSD235TY</t>
  </si>
  <si>
    <t>A man is talking in a stable as he feeds a horse beside him.</t>
  </si>
  <si>
    <t>He talks extensively about the benefits of horse riding.</t>
  </si>
  <si>
    <t>He mounts a saddle onto the horse.</t>
  </si>
  <si>
    <t>He then leads the horse out, feeding him an apple as he continues to speak.</t>
  </si>
  <si>
    <t>v_QyYbyFXmd-g</t>
  </si>
  <si>
    <t>A man is sen standing in front of a large group of people holding onto a rope.</t>
  </si>
  <si>
    <t>The man raises his arms and the two team begin a game of tug of war.</t>
  </si>
  <si>
    <t>Another game of tug of war occurs on the side and ends with the men standing straight.</t>
  </si>
  <si>
    <t>v_uTc2-oAxgbc</t>
  </si>
  <si>
    <t>We see a girl sitting in a piercing parlor with a lady standing near her.</t>
  </si>
  <si>
    <t>The lady puts a clip on the girls lip and sticks a large needle through her lip.</t>
  </si>
  <si>
    <t>The lady slides the earring through the girls lip and puts a disinfectant on it.</t>
  </si>
  <si>
    <t>v__qzzQdKJ7F0</t>
  </si>
  <si>
    <t>A young girl is seen speaking to the camera and holds up a bottle to the camera.</t>
  </si>
  <si>
    <t>The girl then begins painting her nails and showing them off to the camera.</t>
  </si>
  <si>
    <t>She continues to paint her nails as well as make funny faces to the camera.</t>
  </si>
  <si>
    <t>v_ZQs0S7WwYiM</t>
  </si>
  <si>
    <t>A person puts carpets shims on the floor.</t>
  </si>
  <si>
    <t>The man measures the shims to fit in the corners.</t>
  </si>
  <si>
    <t>After, the person puts stripes on the border of the shims, then put the carpet.</t>
  </si>
  <si>
    <t>v_7EPzlmJ25dA</t>
  </si>
  <si>
    <t>A man takes videos of him skiing and snowboarding down a mountain.</t>
  </si>
  <si>
    <t>He also goes through a forest.</t>
  </si>
  <si>
    <t>v_W_scepAxfPA</t>
  </si>
  <si>
    <t>Two swimmers stand bow forward on a high dive platform.</t>
  </si>
  <si>
    <t>The divers dive from the platform into the water.</t>
  </si>
  <si>
    <t>v_IN8-B39kq_k</t>
  </si>
  <si>
    <t>Two men introduce themselves in the beginning of the video and tell the viewers that they will be talking about tattoos.</t>
  </si>
  <si>
    <t>One of the guys comes on the screen and gives some tips about how to prepare to give a tattoo.</t>
  </si>
  <si>
    <t>A close up of a man is shown giving a tattoo to someone.</t>
  </si>
  <si>
    <t>Several clients are shown close up on the screen while they are in the process of a tattoo.</t>
  </si>
  <si>
    <t>v_Eq0Ibnq9sYA</t>
  </si>
  <si>
    <t>A woman is seen pushing a puck along some ice followed by people brushing ice with brooms in front of the puck.</t>
  </si>
  <si>
    <t>They continuously brush and end the puck in a circle and ends with the woman speaking to the others.</t>
  </si>
  <si>
    <t>v_mRyXubjYWEo</t>
  </si>
  <si>
    <t>A man first salutes and then does karate inside a room while spinning on one leg, next he makes salute.</t>
  </si>
  <si>
    <t>A male makes the cross signal in a squatting position, then he spins his body.</t>
  </si>
  <si>
    <t>Then, the man and the male fight while jumping and kicking.</t>
  </si>
  <si>
    <t>After, the male kick the face of the man with his feet and does a spin with a hand on the floor while the man lands on a foamy mat.</t>
  </si>
  <si>
    <t>v_XQWebGbAjxU</t>
  </si>
  <si>
    <t>A close up of a mat is shown surrounded by pucks and a stick sitting in the middle.</t>
  </si>
  <si>
    <t>The camera pans to people pushing the puck along the ice followed by a person pushing the puck into the middle.</t>
  </si>
  <si>
    <t>v_XPctbL-V1ww</t>
  </si>
  <si>
    <t>A little boy in his pajamma's standing in the mirror watching himself brush his teeth.</t>
  </si>
  <si>
    <t>He moves forward a little and spits out some toothpaste.</t>
  </si>
  <si>
    <t>Then continues to brush, he puts the tooth brush down and grabs a cup of water gargles a bit and spits it out.</t>
  </si>
  <si>
    <t>He finds this very amusing, and does it over and over until the cup of water is empty and then he gets down off his stool and cleans his face with a towel.</t>
  </si>
  <si>
    <t>v_f0hh9bwVfV0</t>
  </si>
  <si>
    <t>Some text appears on screen asking a question about a topic in SCUBA diving safety.</t>
  </si>
  <si>
    <t>The scene changes to show a lot of SCUBA air tanks and some more text explaining more about the question.</t>
  </si>
  <si>
    <t>A man is SCUBA diving underwater while holding his air tank in his hands and the text continues to explain.</t>
  </si>
  <si>
    <t>The air tank is seen floating on it's own on the sea bed.</t>
  </si>
  <si>
    <t>Another man is SCUBA diving and he lets go of his tank to demonstrate the buoyancy.</t>
  </si>
  <si>
    <t>The scene switches back to the group of air tanks with more text explaining.</t>
  </si>
  <si>
    <t>Another scene is shown with 2 tanks and a bag next to some trees.</t>
  </si>
  <si>
    <t>v_0bosp4-pyTM</t>
  </si>
  <si>
    <t>A man is holding a pocket knife while sitting on some rocks in the wilderness.</t>
  </si>
  <si>
    <t>Then he takes a small stone from the flowing river and smashes it on another stone.</t>
  </si>
  <si>
    <t>He starts to crush the small stone to smaller pieces.</t>
  </si>
  <si>
    <t>He grind it hard to make the pieces smaller.</t>
  </si>
  <si>
    <t>Then he takes a piece of bark and rubs the powered stone pieces onto it.</t>
  </si>
  <si>
    <t>The stone particles stick to the wet piece of wood.</t>
  </si>
  <si>
    <t>He then takes the knife and sharpens it against the wood piece.</t>
  </si>
  <si>
    <t>He then notices a little black and green poisonous frog sitting next to him.</t>
  </si>
  <si>
    <t>The frog then escapes and jumps away.</t>
  </si>
  <si>
    <t>He explains how the frog secretes a poisonous fluid that can be extremely harmful.</t>
  </si>
  <si>
    <t>v_1tEJRzqqalM</t>
  </si>
  <si>
    <t>We see a pink opening screen.</t>
  </si>
  <si>
    <t>We see a lady brushing two miniature horses.</t>
  </si>
  <si>
    <t>The lady cleans the brown horses hooves.</t>
  </si>
  <si>
    <t>The lady cleans the hooves on the white and tan horse.</t>
  </si>
  <si>
    <t>The lady brushes the mane on both horses.</t>
  </si>
  <si>
    <t>The lady puts her supplies down.</t>
  </si>
  <si>
    <t>We see black and white still images of the horses.</t>
  </si>
  <si>
    <t>We see the lady brush the brown horse again.</t>
  </si>
  <si>
    <t>v_fwU91k-Vmb8</t>
  </si>
  <si>
    <t>A bunch of children are riding around in bumper cars.</t>
  </si>
  <si>
    <t>They go back and forth on the track.</t>
  </si>
  <si>
    <t>They bump into each other, smiling and laughing.</t>
  </si>
  <si>
    <t>v_GwmpYLRpJQw</t>
  </si>
  <si>
    <t>snowy mountins are shown and people is doing snowboard going down the hill holding poles.</t>
  </si>
  <si>
    <t>a snow house with kids playing is shown.</t>
  </si>
  <si>
    <t>ma is playing with a toy airplane.</t>
  </si>
  <si>
    <t>people doing snowboarding are going down the mountain with red lighes and fireworks are in sky.</t>
  </si>
  <si>
    <t>v_93bg_XU3OTg</t>
  </si>
  <si>
    <t>The product's varying sizes are displayed.</t>
  </si>
  <si>
    <t>The guy pours product in a container and uses a brush to put the liquid on the surface of a metal object.</t>
  </si>
  <si>
    <t>The guy puts a white cloth on the edge.</t>
  </si>
  <si>
    <t>The guy runs the metal object repeatedly across the white cloth.</t>
  </si>
  <si>
    <t>v_DbZ0ns9s2X0</t>
  </si>
  <si>
    <t>A painting is shown followed by several pictures of painting tools and supplies.</t>
  </si>
  <si>
    <t>A person's hand then begins putting marks on the painting and dipping her brush continuously in the paint.</t>
  </si>
  <si>
    <t>The camera pans down the finished picture and a text is shown across the screen.</t>
  </si>
  <si>
    <t>v_ygkcjkVqxAA</t>
  </si>
  <si>
    <t>A woman is seen playing Frisbee out in a back yard with a dog and performs several tricks with the dog.</t>
  </si>
  <si>
    <t>She continuously plays with several toys with the dog when another person watches on the side.</t>
  </si>
  <si>
    <t>v_8P0N5psQrEI</t>
  </si>
  <si>
    <t>A Caucasian woman in late maternity is shown seated on a living room sofa.</t>
  </si>
  <si>
    <t>She puts on a sock on her left foot while crossing her leg and then proceeds to put on a tennis shoe on her left foot.</t>
  </si>
  <si>
    <t>She is cleary in discomfort as she proceeds to tie her shoe, which she rests on an ottoman.</t>
  </si>
  <si>
    <t>She takes a small break and then proceeds to put on her right shoe, She rests her right foot on the ottoman while she ties the shoe.</t>
  </si>
  <si>
    <t>The satisfied and exhausted woman sits back on the sofa and holds her large belly as she completes the task of putting her right shoe on.</t>
  </si>
  <si>
    <t>v_dJVWRkiRXHM</t>
  </si>
  <si>
    <t>A man holding a racket stands in a squash court talking to the camera.</t>
  </si>
  <si>
    <t>The man bounces and catches a blue ball.</t>
  </si>
  <si>
    <t>The man then hits the ball off the back wall and catches it.</t>
  </si>
  <si>
    <t>The man then stands and talks to the camera.</t>
  </si>
  <si>
    <t>v_2KsL5MBiZcc</t>
  </si>
  <si>
    <t>A small group of people are seen standing around a field with a ref speaking to the people.</t>
  </si>
  <si>
    <t>The players then begin a match of lacrosse with one another and run up and down the field playing.</t>
  </si>
  <si>
    <t>v_HNIs8lFvKkA</t>
  </si>
  <si>
    <t>There are two people dressed in yellow shirts playing table tennis in a finished basement.</t>
  </si>
  <si>
    <t>There are three people seated on sofas next to them watching soccer television.</t>
  </si>
  <si>
    <t>Another person seated on the sofa is playing on his phone.</t>
  </si>
  <si>
    <t>The two players continue playing table tennis.</t>
  </si>
  <si>
    <t>The player on the right hits the ball which is opponent returns in a fast manner.</t>
  </si>
  <si>
    <t>The ball falls off the table.</t>
  </si>
  <si>
    <t>The person on the right runs to pick up the ball.</t>
  </si>
  <si>
    <t>They continue playing and serving the ball.</t>
  </si>
  <si>
    <t>A guy dressed in a black hoodie walks by.</t>
  </si>
  <si>
    <t>One of the player pauses to adjust the table.</t>
  </si>
  <si>
    <t>They continue playing table tennis as they talk to each other.</t>
  </si>
  <si>
    <t>v_2bS6JfPF1mk</t>
  </si>
  <si>
    <t>Two young children are shown when one climbs across a set of monkey bars and the other steps out of frame.</t>
  </si>
  <si>
    <t>The girl makes it to the end of the bars and looks to the camera speaking and smiling.</t>
  </si>
  <si>
    <t>v_IfYiYObrUlY</t>
  </si>
  <si>
    <t>A woman talks in kitchen, then come two boys and talk whiles showing the fruits on the counter.</t>
  </si>
  <si>
    <t>Then, a man comes and puts all the fruits in a large bowl while explaining.</t>
  </si>
  <si>
    <t>After, the man adds on top the fruits yogurt, chocolate and cereal.</t>
  </si>
  <si>
    <t>v_H8K1E49607E</t>
  </si>
  <si>
    <t>A person wearing a vest has several buckets on the street he is drumming with.</t>
  </si>
  <si>
    <t>Many people are standing around in amazement watching this man play, while some are recording with a camera.</t>
  </si>
  <si>
    <t>The man continues drumming faster and the crowd continues to cheer him on.</t>
  </si>
  <si>
    <t>Many people walk past and don't seem to notice the drummer.</t>
  </si>
  <si>
    <t>v_O8JVA-scYlM</t>
  </si>
  <si>
    <t>A boy stands behind a table of food.</t>
  </si>
  <si>
    <t>He begins spreading mayonnaise on slices of bread.</t>
  </si>
  <si>
    <t>He puts lettuce on the bread.</t>
  </si>
  <si>
    <t>He stacks tomatoes on top of the lettuce on the bread.</t>
  </si>
  <si>
    <t>He puts chicken on top of the tomato.</t>
  </si>
  <si>
    <t>He puts one piece of bread on top of the other.</t>
  </si>
  <si>
    <t>He puts mayonnaise on top of the top piece of bread.</t>
  </si>
  <si>
    <t>He stacks the food up on the bread again.</t>
  </si>
  <si>
    <t>He tops it with a final piece of bread.</t>
  </si>
  <si>
    <t>He cuts the sandwich into four slices on a board.</t>
  </si>
  <si>
    <t>He puts a toothpick in each section of the sandwich.</t>
  </si>
  <si>
    <t>He moves the sandwich from the board onto a plate.</t>
  </si>
  <si>
    <t>He adds fries to the plate with the sandwich on it.</t>
  </si>
  <si>
    <t>v_63Zt34YuyRk</t>
  </si>
  <si>
    <t>There's a NBC news reporter wearing a red sweater and white shirt talking about dog grooming by Scissor Wizard a grooming company.</t>
  </si>
  <si>
    <t>The representative from the company is talking about the services they offer and how those dogs participate in dog shows.</t>
  </si>
  <si>
    <t>A groomer is seen using shears to creatively trim the dog's hair and even dye it in colorful shades of red, green, yellow and blue.</t>
  </si>
  <si>
    <t>v_z6GHmDSskgY</t>
  </si>
  <si>
    <t>Multiple people are in an exercise class in a room with lot of mirrors at a gym, and they are dancing as well as spinning around and stepping up onto a platform.</t>
  </si>
  <si>
    <t>A woman walks by the exercise room holding weights.</t>
  </si>
  <si>
    <t>A woman places the weights down on the rack.</t>
  </si>
  <si>
    <t>A woman walks by without holding any weights.</t>
  </si>
  <si>
    <t>v_iZtie23nW_A</t>
  </si>
  <si>
    <t>A red mustang is being hosed down.</t>
  </si>
  <si>
    <t>Next, the workers rub soap over the car.</t>
  </si>
  <si>
    <t>After that, they both work on washing the soap off before applying another soap over the vehicle.</t>
  </si>
  <si>
    <t>They then use hoses to wash the car clean.</t>
  </si>
  <si>
    <t>v_XKOeu8n7R7s</t>
  </si>
  <si>
    <t>A small group of men are seen running around a basketball court playing a game of basketball.</t>
  </si>
  <si>
    <t>One player moves all around the net holding the ball and demonstrates how to properly shoot a hoop.</t>
  </si>
  <si>
    <t>He bounces the ball around a bit and more shots of the people playing are shown.</t>
  </si>
  <si>
    <t>v_eSyrFLhr3b0</t>
  </si>
  <si>
    <t>A man is seen speaking to the camera while showing a plate of food and pouring out ingredients onto a plate.</t>
  </si>
  <si>
    <t>He continues to mix ingredients together onto a plate and ends with a close up of the dish and him speaking more.</t>
  </si>
  <si>
    <t>v_sJ0Tc4nthOA</t>
  </si>
  <si>
    <t>Two people are shown holding fencing sticks and pointing towards each other.</t>
  </si>
  <si>
    <t>They move back and fourth and match with each other.</t>
  </si>
  <si>
    <t>v_89rUyq2rCJ8</t>
  </si>
  <si>
    <t>A man is riding on a surfboard in the ocean.</t>
  </si>
  <si>
    <t>He does a big flip, landing back in the wave.</t>
  </si>
  <si>
    <t>The flip is repeated in slow motion.</t>
  </si>
  <si>
    <t>v_nlYl30Dqfc0</t>
  </si>
  <si>
    <t>woman is standing in middle of stage talking to the camera and showing in slow motion dance moves.</t>
  </si>
  <si>
    <t>woman is making the movements quickly and showing the position of the hands.</t>
  </si>
  <si>
    <t>woman is showing salsa movements in a room.</t>
  </si>
  <si>
    <t>v_KoeytdNfQ_M</t>
  </si>
  <si>
    <t>A man is standing on a dark field.</t>
  </si>
  <si>
    <t>He throws a frisbee through the air, and a dog catches it.</t>
  </si>
  <si>
    <t>The dog chases and does tricks to get the frisbee.</t>
  </si>
  <si>
    <t>v_8qzR38WgsS8</t>
  </si>
  <si>
    <t>A group of young boys are on bicycles behind a sand preparing to take off and race down the course.</t>
  </si>
  <si>
    <t>The latch is let down and they all take off into the dirt and start to race in the dirt.</t>
  </si>
  <si>
    <t>Many of the boys keep going around the track and people are spread throughout the course holding up sticks.</t>
  </si>
  <si>
    <t>v_NpsOCOnQS6c</t>
  </si>
  <si>
    <t>A man spraying a fence grey using a powerful spray gun.</t>
  </si>
  <si>
    <t>A man in casually standing behind him watching with his hands crossed, yawning.</t>
  </si>
  <si>
    <t>The man spraying sprays up and down making good time.</t>
  </si>
  <si>
    <t>He makes sure to go over all the spots so he doesn't miss any.</t>
  </si>
  <si>
    <t>v_Dx9wjBdbZ1M</t>
  </si>
  <si>
    <t>The man is kicking the tile of the roof until it moved.</t>
  </si>
  <si>
    <t>The man pull out one tire of the roof and pointed on the sides of the tiles.</t>
  </si>
  <si>
    <t>He put back the tile, move it to its original place.</t>
  </si>
  <si>
    <t>v_pYbOylWZx-s</t>
  </si>
  <si>
    <t>A man in a black tank top describes cardio workout on a spin bike.</t>
  </si>
  <si>
    <t>The man in the black tank top mounts the spinning bike in intervals of 45 second cruise speed tension, the 15 seconds hard with tension up.</t>
  </si>
  <si>
    <t>Then cool down with cruise speed tension.</t>
  </si>
  <si>
    <t>v_kXfYuIx31Bo</t>
  </si>
  <si>
    <t>A close up of a machine is shown followed by a man shoveling dirt around a floor.</t>
  </si>
  <si>
    <t>The man then uses the machine around the dirt and waters down the area afterwards.</t>
  </si>
  <si>
    <t>Another man is seen pouring water down on the ground and pasting white paper down.</t>
  </si>
  <si>
    <t>v_aGu-FfGDdVI</t>
  </si>
  <si>
    <t>A man is in the murky waters, using a paddle.</t>
  </si>
  <si>
    <t>He is kayaking toward the camera and past other kayakers.</t>
  </si>
  <si>
    <t>He goes through the water faster, trying to keep up with the current.</t>
  </si>
  <si>
    <t>v_aXCAudMzN2o</t>
  </si>
  <si>
    <t>A man is seen jumping up and down on a pair of stilts while a few others move around on stilts with help.</t>
  </si>
  <si>
    <t>More shots are shown of people jumping around on the stilts and others still needing help from others.</t>
  </si>
  <si>
    <t>v_qNxA4UTadGo</t>
  </si>
  <si>
    <t>The camera pans around a pool and audience and leads into a group of swimmers standing ready on the side.</t>
  </si>
  <si>
    <t>Afterwards several men are seen performing impressive dives into a pool that include flips and tricks and the divers receiving medals in the end.</t>
  </si>
  <si>
    <t>v_NouHsmaE-xA</t>
  </si>
  <si>
    <t>People are in a rodeo arena while a man on a horse prepares a rope with a loop.</t>
  </si>
  <si>
    <t>Then,the man spins the loop and throw to catch a calf, then run and tie the calf.</t>
  </si>
  <si>
    <t>A young man enters the arena and untie the calf.</t>
  </si>
  <si>
    <t>v_WFqm48C2BPk</t>
  </si>
  <si>
    <t>Various shots are shown of a boat riding along rough water conditions from several angles.</t>
  </si>
  <si>
    <t>The camera shows a board and leads back to the water, transitioning into people seen sitting inside the boat.</t>
  </si>
  <si>
    <t>The camera walks around more and captures views of the inside as well as the water.</t>
  </si>
  <si>
    <t>v_UOL8oxziVwU</t>
  </si>
  <si>
    <t>A bald man inside of a home is holding a camera and videotaping a woman on stilts.</t>
  </si>
  <si>
    <t>The camera pans to the woman, who is walking around the living room in the stilts.</t>
  </si>
  <si>
    <t>The man asks the woman to act like a movie character, and she agrees.</t>
  </si>
  <si>
    <t>The woman then grabs the camera, and the view is obscured by her hand.</t>
  </si>
  <si>
    <t>v_AbVuOBhG634</t>
  </si>
  <si>
    <t>A woman is standing outside, talking to the camera.</t>
  </si>
  <si>
    <t>She speaks extensively in her new york city location.</t>
  </si>
  <si>
    <t>At the end, a screen appears with contact information.</t>
  </si>
  <si>
    <t>v_0je8CeAJABY</t>
  </si>
  <si>
    <t>First the man walks onto the stage in the beginning and shakes his head roughly.</t>
  </si>
  <si>
    <t>Then he wrestles a bald man in a wrestling match.</t>
  </si>
  <si>
    <t>Next he wrestles a man who has long short blonde hair and he wrestles a man who has a low haircut and he wins.</t>
  </si>
  <si>
    <t>The crowd starts cheering and roaring because of how many times he'd won.</t>
  </si>
  <si>
    <t>v_NOGtIoZbEVg</t>
  </si>
  <si>
    <t>A young man sits on a bed.</t>
  </si>
  <si>
    <t>The man starts playing an acoustic guitar.</t>
  </si>
  <si>
    <t>The man starts singing while playing.</t>
  </si>
  <si>
    <t>The man pauses and rolls is eyes.</t>
  </si>
  <si>
    <t>The man finishes and looks up, then at the ground.</t>
  </si>
  <si>
    <t>v_t19uSLVQGWA</t>
  </si>
  <si>
    <t>A man is seen sitting behind a drum set beginning to play while others watch him on the side.</t>
  </si>
  <si>
    <t>The man continues to play the drum set faster and faster and ends by stopping to speak to the camera.</t>
  </si>
  <si>
    <t>v_T6TgMYLrPII</t>
  </si>
  <si>
    <t>The woman is adjusting the matt, while the man is raising the pole.</t>
  </si>
  <si>
    <t>The woman is running with a pole, then she jumped over the yellow rope.</t>
  </si>
  <si>
    <t>The woman jumped over the rope while her coach is on the side of the tract watching and assisting her as she jumped over the pole.</t>
  </si>
  <si>
    <t>v_plZs-3GtoOo</t>
  </si>
  <si>
    <t>A barber is shown using clippers on his client's head in a hair salon.</t>
  </si>
  <si>
    <t>He is shaving a man's head with shaving cream and a razor.</t>
  </si>
  <si>
    <t>He is also styling a boy's hair with gel and a comb.</t>
  </si>
  <si>
    <t>He is shaving a man's beard with shaving gel and a razor.</t>
  </si>
  <si>
    <t>He is also cutting a man's hair with scissors to give him a Mohawk.</t>
  </si>
  <si>
    <t>He is using clippers on a young man.</t>
  </si>
  <si>
    <t>The website is advertised on the screen with pictures of the website.</t>
  </si>
  <si>
    <t>v_FRzN9ApCxW8</t>
  </si>
  <si>
    <t>A man is outside in a field of grass pushing a lawn mower back and forth.</t>
  </si>
  <si>
    <t>Once he makes it to the other side of the strip,the person with the camera walks closer to him and starts to talk to them.</t>
  </si>
  <si>
    <t>After,the guy with the lawn mower begins to laugh and continues cutting the yard.</t>
  </si>
  <si>
    <t>v_3hSPAtKORgk</t>
  </si>
  <si>
    <t>A graphic of a boy kicking a soccer ball with 3 defender is seen.</t>
  </si>
  <si>
    <t>The ball is deflected by the defenders in the graphic.</t>
  </si>
  <si>
    <t>A soccer player kicks a ball that is blocked by a series of defenders and a goalie on and indoor field.</t>
  </si>
  <si>
    <t>v_QR2BmWR5FGM</t>
  </si>
  <si>
    <t>A small playground is seen followed by a man and his dog walking into frame.</t>
  </si>
  <si>
    <t>The man pushes it dog up and the dog rides down the slide.</t>
  </si>
  <si>
    <t>The man does this again with the dog in another playground.</t>
  </si>
  <si>
    <t>v_Zob68l3snFo</t>
  </si>
  <si>
    <t>a man is in a boat in the water.</t>
  </si>
  <si>
    <t>a loaf of bread is thrown to fishes and their are fighting to eat it.</t>
  </si>
  <si>
    <t>man is diving ni deep sea through the shoals and corals.</t>
  </si>
  <si>
    <t>v_--0edUL8zmA</t>
  </si>
  <si>
    <t>Four men are playing dodge ball in an indoor court.</t>
  </si>
  <si>
    <t>They start running towards the red balls after the coach blows the whistle.</t>
  </si>
  <si>
    <t>One of the players hits the ball on his opponent.</t>
  </si>
  <si>
    <t>The opponent strikes back at the other player, but he manages to dodge the ball.</t>
  </si>
  <si>
    <t>Next, the player hits another ball directly at his opponent standing opposite him.</t>
  </si>
  <si>
    <t>The player hits the ball hard on his opponent's leg.</t>
  </si>
  <si>
    <t>They continue playing several rounds of dodge ball.</t>
  </si>
  <si>
    <t>The player aims directly at one of his opponents and hits him on his leg.</t>
  </si>
  <si>
    <t>The game ends after the coach blows the whistle.</t>
  </si>
  <si>
    <t>v_ABCRXwB5-JQ</t>
  </si>
  <si>
    <t>People sail in canoes in a river rowing oars.</t>
  </si>
  <si>
    <t>A young man plays the guitar in a boat, while a youth smoke a cigarette.</t>
  </si>
  <si>
    <t>Two young ladies sail a boat behind the men.</t>
  </si>
  <si>
    <t>v_4_CcDjbCXBQ</t>
  </si>
  <si>
    <t>A woman is seen hosting a news segment and leads into shots of people playing soccer and audience members watching.</t>
  </si>
  <si>
    <t>More highlights of the game are shown as well as team mates celebrating and hugging one another.</t>
  </si>
  <si>
    <t>v_tIAdhrfT70I</t>
  </si>
  <si>
    <t>A fox news icon appears on the screen.</t>
  </si>
  <si>
    <t>A group of people are in a building, playing a game called beer pong.</t>
  </si>
  <si>
    <t>The news reporters gather in their studio to play beer pong.</t>
  </si>
  <si>
    <t>A male and female reporter attempt to throw the balls at the cups.</t>
  </si>
  <si>
    <t>The woman walks away laughing as the other reporters continue to talk.</t>
  </si>
  <si>
    <t>They resume playing before the fox news icon again appears onscreen.</t>
  </si>
  <si>
    <t>v_cHSGL-OcMak</t>
  </si>
  <si>
    <t>Two people are seen walking around on stilts in the middle of a street and sidewalk.</t>
  </si>
  <si>
    <t>The walk continue walking up and down the streets on stilts passing by people and speaking.</t>
  </si>
  <si>
    <t>v_HlFnWOx53XU</t>
  </si>
  <si>
    <t>woman is standing in a field playing bagpipes.</t>
  </si>
  <si>
    <t>woman is standing in the middle of a parking lot playing bag pipes.</t>
  </si>
  <si>
    <t>a blue house is behind the woman that is playing bagpipes.</t>
  </si>
  <si>
    <t>v_bw96D55q2FI</t>
  </si>
  <si>
    <t>A skateboarder comes by and rolls in a patch of dirt by the side walk.</t>
  </si>
  <si>
    <t>A man then begins to ride his skateboard from the top of the roof down an inclined road.</t>
  </si>
  <si>
    <t>The man then begins moving and skateboarding throughout the neighborhood and interacting with the people.</t>
  </si>
  <si>
    <t>All of a sudden,the man walks through the subway and gets off his skateboard until he gets to his destination.</t>
  </si>
  <si>
    <t>He then proceeds to skate through the city,jumping over the poles and the credits begin to roll.</t>
  </si>
  <si>
    <t>v_75u6o4tXGC0</t>
  </si>
  <si>
    <t>man is standing in front of a kitchen cooking and showing the ingredients to a cook.</t>
  </si>
  <si>
    <t>man put the ingredients in a pan and cook the chicken with the salad and serve it in a plate.</t>
  </si>
  <si>
    <t>v_LrmtSSUVRaQ</t>
  </si>
  <si>
    <t>An introduction comes onto the screen for a video about casino dealing.</t>
  </si>
  <si>
    <t>A man explains that they are at a casino dealing school where they will teach people how to deal.</t>
  </si>
  <si>
    <t>Another man begins to tell and about the basics for casino dealing.</t>
  </si>
  <si>
    <t>v_rosZj4ZcPBA</t>
  </si>
  <si>
    <t>Outside a man is using a leaf blower using it to blow a pile of leaves.</t>
  </si>
  <si>
    <t>He seems to be at a park or something in the parking lot.</t>
  </si>
  <si>
    <t>He is wearing a hat and jeans and just out there by himself.</t>
  </si>
  <si>
    <t>He continues to keep blowing the pile of leaves when a dog runs by out of nowhere.</t>
  </si>
  <si>
    <t>v_zcdJNPYkIE0</t>
  </si>
  <si>
    <t>A scuba-diving man interacts underwater with a large fish.</t>
  </si>
  <si>
    <t>The man makes a pushing gesture towards the camera.</t>
  </si>
  <si>
    <t>The man makes several gestures towards the camera.</t>
  </si>
  <si>
    <t>The fish rams into the man and swims away.</t>
  </si>
  <si>
    <t>v_yVbzejdydrw</t>
  </si>
  <si>
    <t>A man holds two swords out and pretends to hit another people holding swords.</t>
  </si>
  <si>
    <t>He demonstrates again and hands the swords to another man.</t>
  </si>
  <si>
    <t>He commentates on his ability while continuing to show several sword movements.</t>
  </si>
  <si>
    <t>Other men begin to fight with the swords.</t>
  </si>
  <si>
    <t>One man falls down and acts hurt to portray a role in the play Hamlet.</t>
  </si>
  <si>
    <t>v_rMdojBVP-aM</t>
  </si>
  <si>
    <t>A camera pans around a woman standing in front of a dog balancing on a fence.</t>
  </si>
  <si>
    <t>The dog continues balancing on the fence while the camera pans around.</t>
  </si>
  <si>
    <t>The dog then jumps off the fence in the end.</t>
  </si>
  <si>
    <t>v_liI1E_ZZV5w</t>
  </si>
  <si>
    <t>A man is holding a white shoe and puts it on the ground.</t>
  </si>
  <si>
    <t>The man already has a shoe on his right foot and it tightens itself when he touches it.</t>
  </si>
  <si>
    <t>The man's face is shown and he's looking down at the shoes and then it shows the left shoe on the foot and it's tightening itself .</t>
  </si>
  <si>
    <t>The man stands up from the car and the scene reveals that it's Michael J Fox in the movie Back to the Future.</t>
  </si>
  <si>
    <t>v_Oya9LWABkf4</t>
  </si>
  <si>
    <t>A girl is outside on a boat dock holding a three hula hoops in her hands.</t>
  </si>
  <si>
    <t>She starts swinging them in her hand,around her legs,wrist,and neck and stops briefly to adjust the camera.</t>
  </si>
  <si>
    <t>The young lady then appears again with twenty to thirty hula hoops around her body swinging them back and forth before advising you to subscribe to a channel.</t>
  </si>
  <si>
    <t>v__WPcOFgi5vU</t>
  </si>
  <si>
    <t>Two men are seen standing in an enclosed room holding tennis rackets and begin hitting the ball off the wall to one another.</t>
  </si>
  <si>
    <t>The men continue walking back and fourth with the ball and hitting it off the wall as well as bumping into the wall.</t>
  </si>
  <si>
    <t>v_8zfA20hcc0o</t>
  </si>
  <si>
    <t>Two men are seen passing a ball to one another and leads into a group of people playing soccer.</t>
  </si>
  <si>
    <t>The people move up and down the court while the camera follows their movements.</t>
  </si>
  <si>
    <t>Many people watch on the sides as the group continues to play.</t>
  </si>
  <si>
    <t>v_dSHw52PBi5I</t>
  </si>
  <si>
    <t>People in an indoor pool watch on as multiple divers are taking turns and standing at the highest diving point with the word INDIANA on it as they do multiple flips before they land into the pool.</t>
  </si>
  <si>
    <t>A few woman take their turns jumping off of the highest diving point as they start in different ways, do multiple flips, then dive into the pool making small splashes as they hit the water.</t>
  </si>
  <si>
    <t>A blonde woman does a very slow handstand facing towards the pool, then pushes off and does multiple flips before she dives into the pool creating a small splash.</t>
  </si>
  <si>
    <t>When the women are finished diving, men take their turns diving from the highest point as well and they also do multiple flips before they hit the water creating a small splash.</t>
  </si>
  <si>
    <t>v_R4ES1QLRvtg</t>
  </si>
  <si>
    <t>A person in dark winter gear is using a shovel to shovel the walkway of a parking garage.</t>
  </si>
  <si>
    <t>It is night time and the street is dimly lit with the street lights.</t>
  </si>
  <si>
    <t>He continues shoveling the entire pathway while several cars drive by on the main road nearby.</t>
  </si>
  <si>
    <t>He picks up the up snow and piles it up on the corner.</t>
  </si>
  <si>
    <t>After he finishes, he walks away.</t>
  </si>
  <si>
    <t>v_zNpILhjhFbQ</t>
  </si>
  <si>
    <t>A person sits on a mat in a gym and does sit ups while holding her legs up.</t>
  </si>
  <si>
    <t>The person finishes the exercise routine and takes a break.</t>
  </si>
  <si>
    <t>A graphic is seen with a feather falling.</t>
  </si>
  <si>
    <t>v_cGqmHplppAU</t>
  </si>
  <si>
    <t>Various clips are shown of people playing on the beach as well putting sunscreen on and carrying objects.</t>
  </si>
  <si>
    <t>A large explosion is shown followed by kids fishing with a man and more clips of people playing on the beach.</t>
  </si>
  <si>
    <t>v_a50gTER-FsQ</t>
  </si>
  <si>
    <t>Three men walk into a building.</t>
  </si>
  <si>
    <t>They begin to play a game of curling.</t>
  </si>
  <si>
    <t>People are shown enjoying themselves at the curling hall and the trophies are shown that have been won.</t>
  </si>
  <si>
    <t>The men are shown in the locker preparing to curl.</t>
  </si>
  <si>
    <t>The men are shown all together posing on the ice.</t>
  </si>
  <si>
    <t>v_FkSf3pxra3M</t>
  </si>
  <si>
    <t>Many judges sit around a field, waiting the performance of an athlete.</t>
  </si>
  <si>
    <t>An athlete approaches the field area.</t>
  </si>
  <si>
    <t>The athlete spins his body around and tosses a disc with maximum force.</t>
  </si>
  <si>
    <t>v_cRDXBF2RcYI</t>
  </si>
  <si>
    <t>A person is laying back on a bed.</t>
  </si>
  <si>
    <t>A person puts wax on their leg.</t>
  </si>
  <si>
    <t>They put paper on it and rip off the hair.</t>
  </si>
  <si>
    <t>v_-ySxFjhhK4Y</t>
  </si>
  <si>
    <t>We see a man preparing and throwing shotput.</t>
  </si>
  <si>
    <t>We see a man running to measure the distance.</t>
  </si>
  <si>
    <t>We see a man standing and measure.</t>
  </si>
  <si>
    <t>We see people in the crowd cheering.</t>
  </si>
  <si>
    <t>We see the people in the bleachers again.</t>
  </si>
  <si>
    <t>We zoom in as the player walks away.</t>
  </si>
  <si>
    <t>v_K-Jzu2AmuW4</t>
  </si>
  <si>
    <t>Two women and a man dance pop music while doing different steps.</t>
  </si>
  <si>
    <t>The women and the man rise the arms while dancing, then they continue dancing and turning.</t>
  </si>
  <si>
    <t>v_3H7ZS0E90pY</t>
  </si>
  <si>
    <t>She does a gymnastic routine on the balance beam.</t>
  </si>
  <si>
    <t>She jumps off the beam and lands on the mat with her hands up.</t>
  </si>
  <si>
    <t>A woman in a blue shirt comes over and hugs her.</t>
  </si>
  <si>
    <t>v_Wr_Eu2M7U9E</t>
  </si>
  <si>
    <t>A woman walks into a garage with a rolled up paper in her hand.</t>
  </si>
  <si>
    <t>Once she leaves,a black cat is shown and it begins to crawl over everything and then the lady comes and pets it.</t>
  </si>
  <si>
    <t>The female leaves and walks into a room and starts covering the room in wall paper.</t>
  </si>
  <si>
    <t>She forgets the scissors and walks out to grab them and comes back to apply more paper on the wall.</t>
  </si>
  <si>
    <t>A break is needed and the woman get a drink from the kitchen.</t>
  </si>
  <si>
    <t>Shortly after,the lady continues her tasks and then walks outside to take her cat out.</t>
  </si>
  <si>
    <t>The wall still isn't finished and she goes back to the room to finish it rolling the outside of it to ensure its smoothness.</t>
  </si>
  <si>
    <t>As she finishes,the cat comes in the room and starts playing with a ball before returning back outside.</t>
  </si>
  <si>
    <t>The women reappears in another set of clothes to finish the wall,she finally finishes and begins to throw her hands up and collapses on the bed.</t>
  </si>
  <si>
    <t>v_ctFlPn4EfkU</t>
  </si>
  <si>
    <t>People are playing golf on the grass.</t>
  </si>
  <si>
    <t>A man hits the ball with a club.</t>
  </si>
  <si>
    <t>A man in a white hat walks behind him.</t>
  </si>
  <si>
    <t>v_OK84hJx9daQ</t>
  </si>
  <si>
    <t>The final product and credits are shown.</t>
  </si>
  <si>
    <t>Ingredients are mixed and sauteed.</t>
  </si>
  <si>
    <t>Pasta is added to the fry pan.</t>
  </si>
  <si>
    <t>Tomato paste and dry ingredients is added to the pan.</t>
  </si>
  <si>
    <t>The final product is taken from the fry pan and placed on a white plate.</t>
  </si>
  <si>
    <t>The final product and credits of the clip are shown.</t>
  </si>
  <si>
    <t>v_q66BG9h_7XI</t>
  </si>
  <si>
    <t>People are strapping on these Qloja machines to their feet.</t>
  </si>
  <si>
    <t>It takes a pretty long time to get them on and then they start to walk.</t>
  </si>
  <si>
    <t>They build up a little speed and start kind of running in a line.</t>
  </si>
  <si>
    <t>A line of about 15 people wearing these contraceptions are running on them, then a smaller group of three are bouncing up and down all around.</t>
  </si>
  <si>
    <t>v_XumLmNQiRjk</t>
  </si>
  <si>
    <t>People are playing a game of volleyball against each other.</t>
  </si>
  <si>
    <t>v_V_rril47Z5Q</t>
  </si>
  <si>
    <t>Two people choreograph a routine with nunchucks.</t>
  </si>
  <si>
    <t>The girls drop the nunchucks then dance around.</t>
  </si>
  <si>
    <t>A third person joins and then leaves.</t>
  </si>
  <si>
    <t>v_q3DzEgYmIV0</t>
  </si>
  <si>
    <t>A hand saw sits on top of a roof.</t>
  </si>
  <si>
    <t>A ladder leans on it.</t>
  </si>
  <si>
    <t>The roof is old and dilapidated.</t>
  </si>
  <si>
    <t>The camera then pans down.</t>
  </si>
  <si>
    <t>v_Kq8g8jjodvc</t>
  </si>
  <si>
    <t>A weight lifter opens his mouth wide.</t>
  </si>
  <si>
    <t>He lifts a giant barbell with all his might.</t>
  </si>
  <si>
    <t>He lifts it to his chest, then over his head.</t>
  </si>
  <si>
    <t>v_B0sXYJeZ8Xk</t>
  </si>
  <si>
    <t>A woman is seen standing in a yard with a lawn mower in front of her.</t>
  </si>
  <si>
    <t>The girl then pushes the lawn mower along the yard.</t>
  </si>
  <si>
    <t>The camera moves in closer of the woman still pushing the mower and speaking to the camera.</t>
  </si>
  <si>
    <t>v_aRZd3O6-PKw</t>
  </si>
  <si>
    <t>A man is standing outside under a tent hitting a pinata with a stick.</t>
  </si>
  <si>
    <t>After about three strings,he moves and gives the stick to a young girl with a grey and black dress on.</t>
  </si>
  <si>
    <t>Once she has the stick,she is hitting in the wrong direction and then is redirected towards the pinata and still ends up missing it.</t>
  </si>
  <si>
    <t>v_2R_TVXvocQs</t>
  </si>
  <si>
    <t>a man and a woman are dancing doing a zumba choreogaphy in the middle of stage.</t>
  </si>
  <si>
    <t>man wearing a grey shirts approach to stage and keeps dancing.</t>
  </si>
  <si>
    <t>woman wearing a pink shirt is in the background holding a white cellphone and taking pictures.</t>
  </si>
  <si>
    <t>v_W_5Mx-mfNmU</t>
  </si>
  <si>
    <t>A couple wheels a small wagon and cooler in a park area.</t>
  </si>
  <si>
    <t>Sticks are collected then a ring of stones is construct with the sticks stacked together with twigs inside.</t>
  </si>
  <si>
    <t>The bundle of woods is lit on fire and more sticks are added to keep it going.</t>
  </si>
  <si>
    <t>The man sits down in a lawn chair and enjoys the day.</t>
  </si>
  <si>
    <t>The man screws a nozzle onto a propane tank and fuels the fire with it.</t>
  </si>
  <si>
    <t>The fire is put out with a bucket of water and covered in earth.</t>
  </si>
  <si>
    <t>v__LAABOgXU1s</t>
  </si>
  <si>
    <t>A man is taking a tire off a hub with a tool.</t>
  </si>
  <si>
    <t>He then puts the tire on top of the tool to finish taking it off.</t>
  </si>
  <si>
    <t>v_f4k-dKaEZog</t>
  </si>
  <si>
    <t>A team of players run on a field.</t>
  </si>
  <si>
    <t>They are holding some sort of rackets.</t>
  </si>
  <si>
    <t>The swing them at each other.</t>
  </si>
  <si>
    <t>Some players run past a yellow line.</t>
  </si>
  <si>
    <t>v_ral5Oaib_vk</t>
  </si>
  <si>
    <t>Opening credits show the upcoming activities.</t>
  </si>
  <si>
    <t>A man in plaid is standing at a microphone acknowledging the crowd.</t>
  </si>
  <si>
    <t>He begins playing the harmonica.</t>
  </si>
  <si>
    <t>The man stops playing and dances in place.</t>
  </si>
  <si>
    <t>The man continues to play his harmonica.</t>
  </si>
  <si>
    <t>The man stop splaying and thanks the crowd as the closing credits appear.</t>
  </si>
  <si>
    <t>v_sR0hZeYm06I</t>
  </si>
  <si>
    <t>There's a little boy dressed in a red shirt and blue jeans seated on a black leather recliner.</t>
  </si>
  <si>
    <t>He is sitting with his hands stretched out.</t>
  </si>
  <si>
    <t>A man standing next to him with a small stick is tickling the boy's hand with the stick.</t>
  </si>
  <si>
    <t>The boy seems to like it and asks him to do it on his other hand too.</t>
  </si>
  <si>
    <t>The man tickles the little boy's other hand too.</t>
  </si>
  <si>
    <t>The boy smiles and asks for more.</t>
  </si>
  <si>
    <t>v_mWOa-0w0Bls</t>
  </si>
  <si>
    <t>A camera pans around grass and leads to a fence.</t>
  </si>
  <si>
    <t>The camera pans all around the fence with flowers on the side.</t>
  </si>
  <si>
    <t>The camera continues to pan around the fence and the different colors.</t>
  </si>
  <si>
    <t>v_NLkJgnrKaKM</t>
  </si>
  <si>
    <t>A man takes a hookah and exhales smoke rings.</t>
  </si>
  <si>
    <t>He inhales and does it again.</t>
  </si>
  <si>
    <t>v_5fMtHNSIOAE</t>
  </si>
  <si>
    <t>Eight middle aged white men are on one of a rope attempting to win a game of tug-of-war outside in a field at what looks to be a tournament.</t>
  </si>
  <si>
    <t>As the game begins,the men all fall into a slanted position as they struggle to pull the rope.</t>
  </si>
  <si>
    <t>Suddenly, a man from the sides begins to talk to the man in the front and gets in his face as if he's giving him a pep talk to stay strong,win,and not let the other team get the best of him.</t>
  </si>
  <si>
    <t>The game continues and you can see that the team is being drug but they suddenly gain strength and pull the rope back to their side,then they all stand up as the game is finished.</t>
  </si>
  <si>
    <t>v_2I9xymLVssI</t>
  </si>
  <si>
    <t>Two people get into an truck.</t>
  </si>
  <si>
    <t>They drive onto the street.</t>
  </si>
  <si>
    <t>A man carrying a ladder sets it against a house.</t>
  </si>
  <si>
    <t>The woman watches the man.</t>
  </si>
  <si>
    <t>The man looks at the roof of the house on the ladder.</t>
  </si>
  <si>
    <t>He shows her something and she holds it in her hand.</t>
  </si>
  <si>
    <t>A man talks in front of a house.</t>
  </si>
  <si>
    <t>A man climbs a ladder and looks at a roof.</t>
  </si>
  <si>
    <t>A man goes through a stack of papers.</t>
  </si>
  <si>
    <t>It shows the papers on the screen.</t>
  </si>
  <si>
    <t>v_xYM6h31PrM0</t>
  </si>
  <si>
    <t>A gymnast is seen standing before a beam raising her arms up and others watching on the side.</t>
  </si>
  <si>
    <t>The woman then performs a gymnasts routine in front of a large group of people.</t>
  </si>
  <si>
    <t>She falls off at one point and jumps back on to finish her routine and ends by jumping off the side.</t>
  </si>
  <si>
    <t>v_qsTCTQo-wI8</t>
  </si>
  <si>
    <t>A man is explaining how to play the drums on bongos.</t>
  </si>
  <si>
    <t>He demonstrates how he alternates between three bongos.</t>
  </si>
  <si>
    <t>He later switches to a much slower beat and rhythm by drumming on the bongos.</t>
  </si>
  <si>
    <t>He explains how the beats on the drum changes as the rhythm changes.</t>
  </si>
  <si>
    <t>He then switches back to a faster beat and rhythm on the drums by alternating between two drums.</t>
  </si>
  <si>
    <t>v_8lw8uAimUXI</t>
  </si>
  <si>
    <t>A woman stands at the end of a diving board.</t>
  </si>
  <si>
    <t>She lightly bounces up and down.</t>
  </si>
  <si>
    <t>She then does a backflip into the water.</t>
  </si>
  <si>
    <t>v_2IRQ5fPwHV8</t>
  </si>
  <si>
    <t>A group of women are gathered in a room, then go to the beach.</t>
  </si>
  <si>
    <t>A woman photographs the others under the pier.</t>
  </si>
  <si>
    <t>They talk to the camera between shoots.</t>
  </si>
  <si>
    <t>v_Fg_VZJAtByk</t>
  </si>
  <si>
    <t>A man takes a moment to himself before he starts playing the guitar.</t>
  </si>
  <si>
    <t>The man plays the guitar.</t>
  </si>
  <si>
    <t>The man quits playing the guitar.</t>
  </si>
  <si>
    <t>v_hiEVVSgAhls</t>
  </si>
  <si>
    <t>Two people are playing a game of ping pong.</t>
  </si>
  <si>
    <t>People are playing basketball behind them.</t>
  </si>
  <si>
    <t>The man grabs the ball again and serves it across the table.</t>
  </si>
  <si>
    <t>The man is holding a phone and taking a picture with the girl.</t>
  </si>
  <si>
    <t>v_B0rorWq-j44</t>
  </si>
  <si>
    <t>An elderly lady in a neck brace yells at the camera in a grocery store.</t>
  </si>
  <si>
    <t>The lady vacuums the floor in the store.</t>
  </si>
  <si>
    <t>The lady dances to the music and pretends to play a guitar.</t>
  </si>
  <si>
    <t>The lady takes off her sunglasses and talks to the camera.</t>
  </si>
  <si>
    <t>We end seeing her standing in an aisle.</t>
  </si>
  <si>
    <t>v_4A49mkP6HsM</t>
  </si>
  <si>
    <t>There is a group of Korean Pop singers performing on a stage.</t>
  </si>
  <si>
    <t>One of the singers is playing the violin while the audience cheers and claps for him.</t>
  </si>
  <si>
    <t>Then another singer grabs the mic and talks to the audience.</t>
  </si>
  <si>
    <t>The audience applaud and smile as they watch.</t>
  </si>
  <si>
    <t>The performer sings as he plays the violin and then bows down in front of the audience.</t>
  </si>
  <si>
    <t>The crowd cheers and claps for him.</t>
  </si>
  <si>
    <t>v_jBvGvVw3R-Q</t>
  </si>
  <si>
    <t>A man is standing in a gym preparing to lift a set of weights placed on a bar.</t>
  </si>
  <si>
    <t>Next the screen flashes to a younger male jerking and then drops the bar on the ground.</t>
  </si>
  <si>
    <t>Several more people are shown lifting weights and dropping them on the ground.</t>
  </si>
  <si>
    <t>The man begins to dance as he lifts and drops the bar and the continuation of weightlifting is repeated.</t>
  </si>
  <si>
    <t>After,the men continue walking around the gym eating a protein bar.</t>
  </si>
  <si>
    <t>v_HsklqPvsMEQ</t>
  </si>
  <si>
    <t>A person is seen aiming a paintball gun off into the distance in a large field.</t>
  </si>
  <si>
    <t>Many people watch on the side as the man aims.</t>
  </si>
  <si>
    <t>Suddenly another person comes into frame and plays with the man.</t>
  </si>
  <si>
    <t>v_N3rFdrfE3q8</t>
  </si>
  <si>
    <t>A boy picks up a rake off the ground and carries it.</t>
  </si>
  <si>
    <t>A man goes down a slide wearing a blue helmet.</t>
  </si>
  <si>
    <t>He falls onto the ground after going down the slide.</t>
  </si>
  <si>
    <t>v_gzyu1S2LNIw</t>
  </si>
  <si>
    <t>A small group of girls are seen standing ready holding flags and lead into them performing a routine.</t>
  </si>
  <si>
    <t>A man sits in front of them playing an instrument while they continue spinning and many on the sides watch.</t>
  </si>
  <si>
    <t>v_jgNeMnPVfkQ</t>
  </si>
  <si>
    <t>A player on the orange team skates with the puck until he is tripped up and falls.</t>
  </si>
  <si>
    <t>Player 18 on the grey team retrieves the puck and makes a break down the ice perused by defenders.</t>
  </si>
  <si>
    <t>Player 18 takes a shot on the goal.</t>
  </si>
  <si>
    <t>The goalie on the orange team blocks the shot and puts the puck back into play.</t>
  </si>
  <si>
    <t>Player 4 on the orange team takes the puck down the ice passing once to himself passed defenders.</t>
  </si>
  <si>
    <t>Player 4 takes a shot on the goal and scores.</t>
  </si>
  <si>
    <t>Player 4 and teammates celebrate and the win and skate off the ice.</t>
  </si>
  <si>
    <t>v_9WDvq8LXrxU</t>
  </si>
  <si>
    <t>A seated man cleans a shoe in a classroom setting with other individuals.</t>
  </si>
  <si>
    <t>The man turns to the camera and smiles.</t>
  </si>
  <si>
    <t>The man laughs as he holds the shoe downwards.</t>
  </si>
  <si>
    <t>v_jzGsvw5Douk</t>
  </si>
  <si>
    <t>We see rafts and people in a building.</t>
  </si>
  <si>
    <t>People board a bus and exit at a water park.</t>
  </si>
  <si>
    <t>People grab rafts,and people on rafts fill a river.</t>
  </si>
  <si>
    <t>We see an artificial waterfall and people sliding through it.</t>
  </si>
  <si>
    <t>A person falls out of their raft.</t>
  </si>
  <si>
    <t>A man holding a selfie stick is riding a raft.</t>
  </si>
  <si>
    <t>Another man holding a selfie stick.</t>
  </si>
  <si>
    <t>We see the phone number and credits for the video.</t>
  </si>
  <si>
    <t>v_c9bvuUO9Q0Q</t>
  </si>
  <si>
    <t>A small group of people are seen standing outside with one being blindfolded and holding a bat.</t>
  </si>
  <si>
    <t>A person then pulls up a pinata and begins swinging at the object.</t>
  </si>
  <si>
    <t>The boy moves his hands around and continues to swing at the object.</t>
  </si>
  <si>
    <t>v_uqiooW1OAXU</t>
  </si>
  <si>
    <t>People gather in a tour facility in the dessert.</t>
  </si>
  <si>
    <t>Then, people rides camels pulled by men.</t>
  </si>
  <si>
    <t>The caravan advance in the desert, while the camels walk in line.</t>
  </si>
  <si>
    <t>A white car parks behind the camels.</t>
  </si>
  <si>
    <t>Then, the man makes kneel the camels and people get down the camels.</t>
  </si>
  <si>
    <t>After, a group of tourists rides camels and pass on front the tour facility.</t>
  </si>
  <si>
    <t>v_ABmZdlZEZOY</t>
  </si>
  <si>
    <t>An intro leads into several shots of divers moving around the ocean and passing various fish and items under water.</t>
  </si>
  <si>
    <t>The diver comes above the water holding a tank and spins around while the camera follows.</t>
  </si>
  <si>
    <t>v_Y34oqcxYmWc</t>
  </si>
  <si>
    <t>A man and a woman are dancing on a dance floor in front of a crowd of people.</t>
  </si>
  <si>
    <t>The crowd applauds for them.</t>
  </si>
  <si>
    <t>The couple hugs and bows for the crowd.</t>
  </si>
  <si>
    <t>v_p1yiPvIkRec</t>
  </si>
  <si>
    <t>A person is seen sitting on a bench holding a rubix cube.</t>
  </si>
  <si>
    <t>The person then begins moving their hands around the solve the cube.</t>
  </si>
  <si>
    <t>The person solves the cube then turns the camera off.</t>
  </si>
  <si>
    <t>v_HGtfDm5EOtc</t>
  </si>
  <si>
    <t>Two men are seen swinging their arms and legs around one another while a group of people stand around and watch them.</t>
  </si>
  <si>
    <t>The men continue spinning around wile people clap and end with them shaking each other's hands.</t>
  </si>
  <si>
    <t>v_n--fgqwuTTI</t>
  </si>
  <si>
    <t>A person is putting something on a chain of a bike.</t>
  </si>
  <si>
    <t>They use a blue tool to take the chain apart.</t>
  </si>
  <si>
    <t>They put it back together using a tool.</t>
  </si>
  <si>
    <t>v_fRmHJKlQmmw</t>
  </si>
  <si>
    <t>A man is doing a gymnastic routine on a balance beam.</t>
  </si>
  <si>
    <t>He jumps off the beam onto a mat.</t>
  </si>
  <si>
    <t>Another man jumps onto a balance beam and does a routine.</t>
  </si>
  <si>
    <t>v_EP9Ul7UdzYI</t>
  </si>
  <si>
    <t>Several men dressed for the cold are waiting in a room outside the snow.</t>
  </si>
  <si>
    <t>They go outside, prepared to ski.</t>
  </si>
  <si>
    <t>They begin skiing, going down a steep hill, moving side to side and angling through the snow covered trees.</t>
  </si>
  <si>
    <t>v_ksk7okDk_wY</t>
  </si>
  <si>
    <t>A group of people are on an outdoor court on the beach.</t>
  </si>
  <si>
    <t>They are playing a game of volleyball.</t>
  </si>
  <si>
    <t>They kick and hit the ball back and forth, celebrating when they win as the crowd claps and cheers.</t>
  </si>
  <si>
    <t>v_mdXSm8Yr6aU</t>
  </si>
  <si>
    <t>A little girl is on a swing set next to her baby brother.</t>
  </si>
  <si>
    <t>They are being pushed as they swing back and forth.</t>
  </si>
  <si>
    <t>v_FxGXQIH3-RQ</t>
  </si>
  <si>
    <t>People walk around cars and tents and sit in chairs in the background doing different things.</t>
  </si>
  <si>
    <t>A man and a dog are in the middle of a field preparing to play frisbee.</t>
  </si>
  <si>
    <t>The man throws a frisbee and the dog runs, catches it and brings it back.</t>
  </si>
  <si>
    <t>The dog is very excited preparing for his next trick.</t>
  </si>
  <si>
    <t>The man kneels down and throws frisbees for the dog as he rolls, flips and walks around.</t>
  </si>
  <si>
    <t>A second man joins the first man on the field and they both raise an arm and then turn to walk away together.</t>
  </si>
  <si>
    <t>v_6_NquDQUFm0</t>
  </si>
  <si>
    <t>A woman is seen running back and fourth on a small track and leads into her putting a helmet on.</t>
  </si>
  <si>
    <t>She grabs a pole and runs down the track jumping over a bar and onto a mat.</t>
  </si>
  <si>
    <t>She jumps up and walks over to a group of people keeping her score.</t>
  </si>
  <si>
    <t>v_c1eUdyyT4zg</t>
  </si>
  <si>
    <t>kids are driving bumper cars in an amusement park.</t>
  </si>
  <si>
    <t>parents are sitting on bumper cars with his children.</t>
  </si>
  <si>
    <t>man wearing a yellow vest is sitting on the background.</t>
  </si>
  <si>
    <t>v_ffGPrFNbQkA</t>
  </si>
  <si>
    <t>A large group of people are seen wearing protective hear and wandering around an area speaking to one another.</t>
  </si>
  <si>
    <t>Another person runs in and speaks to the others while holding a gun and others aiming over the sides.</t>
  </si>
  <si>
    <t>A woman grabs a toy giraffe while others react and others watch in the distance.</t>
  </si>
  <si>
    <t>v_PBxI7l0AqAY</t>
  </si>
  <si>
    <t>A man is speaking about how things works while a woman works on a horse.</t>
  </si>
  <si>
    <t>As he speaks he washes his hands with some hand sanitizer.</t>
  </si>
  <si>
    <t>Then he gets soap and starts to wash his hands very throughly.</t>
  </si>
  <si>
    <t>He grabs a napkin and dries his hands off still continuing to speak.</t>
  </si>
  <si>
    <t>v_j5D5FR6Xtps</t>
  </si>
  <si>
    <t>A person is seen holding a woman's long hair as well as a brush in his hands.</t>
  </si>
  <si>
    <t>The man continues playing with the hair and leads into him brushing the hair and braiding it.</t>
  </si>
  <si>
    <t>v_Wir90-9HmAI</t>
  </si>
  <si>
    <t>Two people are seen sitting at a table speaking with cups of coffees on the table in front of them.</t>
  </si>
  <si>
    <t>The man is then seen sitting alone in various locations and then begins dancing on a wall.</t>
  </si>
  <si>
    <t>He then is shown waking up in his bed assuming it was all a dream.</t>
  </si>
  <si>
    <t>v_UyORfPxpaGo</t>
  </si>
  <si>
    <t>A boy sitting on a bunk bed.</t>
  </si>
  <si>
    <t>Another boy approaches as he wraps his legs around his neck.</t>
  </si>
  <si>
    <t>The second boy spins him around and slams him to the ground.</t>
  </si>
  <si>
    <t>v_M6xFXdXOzzc</t>
  </si>
  <si>
    <t>There are 4 people who are all playing badminton and the boy in the white shirt is the first one to serve to the man in the black shirt.</t>
  </si>
  <si>
    <t>Then the man wearing the black shirt serves to the boy whose wearing the gold shirt.</t>
  </si>
  <si>
    <t>Then the boy who's wearing the white shirt hits the shuttlecock and serves to the girl who's wearing the pink shirt and the game goes on and everyone keeps serving to each other and they all use different shuttlecocks.</t>
  </si>
  <si>
    <t>v_G4XDVF_hYZc</t>
  </si>
  <si>
    <t>A boy is sitting at a table fiddling with a Rubik's cube and then places it on the table.</t>
  </si>
  <si>
    <t>The boy then picks it up and begins competing with four other males to solve it.</t>
  </si>
  <si>
    <t>Once solved,the boy slams his arms against a black bar that stops the timer and the judge times him at 20 seconds.</t>
  </si>
  <si>
    <t>v_ptukoEe5jvI</t>
  </si>
  <si>
    <t>A group of beach goers play a game of volley ball on a busy beach wearing swimsuits.</t>
  </si>
  <si>
    <t>A woman dances after making a serve and hugs her friend.</t>
  </si>
  <si>
    <t>A player scores a point and gives teammate a high five.</t>
  </si>
  <si>
    <t>Beach goers are seen playing in the water.</t>
  </si>
  <si>
    <t>v_HpQrpwNgCjc</t>
  </si>
  <si>
    <t>A close up of a high dive is shown followed by people walking up the steps.</t>
  </si>
  <si>
    <t>Suddenly a person is seen jumping off of the high dive and into the pool.</t>
  </si>
  <si>
    <t>v_j_q_MOjw80Q</t>
  </si>
  <si>
    <t>A close up of ingredients are shown followed by a man licking the spoon and mixing ingredients into a pot.</t>
  </si>
  <si>
    <t>He mixes more ingredients in a blender and squishes them all into balls to put in the oven.</t>
  </si>
  <si>
    <t>He takes them out and finishes by decorating them.</t>
  </si>
  <si>
    <t>v_bxRZ-Lvjgzk</t>
  </si>
  <si>
    <t>An intro leads into A close up of a painting and a paintbrush swirling around and around.</t>
  </si>
  <si>
    <t>The hand holding the brush begins painting grass into the painting slowly down the picture.</t>
  </si>
  <si>
    <t>v_F7V-FqgG3T8</t>
  </si>
  <si>
    <t>Two men are standing in a room playing a game of tennis.</t>
  </si>
  <si>
    <t>Behind the man,there is a row of kids sitting against the wall where a row of kids are watching them play.</t>
  </si>
  <si>
    <t>The game continues,the child holds his own until the adult ends up hitting it and the kid is not able to return the ball.</t>
  </si>
  <si>
    <t>v_5R3h6lxne90</t>
  </si>
  <si>
    <t>There are two news anchors, a lady and a gentleman both dressed in black presenting a news section.</t>
  </si>
  <si>
    <t>The lady is holding two small cards in her hands as she talks about the product to the viewers.</t>
  </si>
  <si>
    <t>There is another lady seated on a table along with two other women, demonstrating how to wear colored lenses in eyes.</t>
  </si>
  <si>
    <t>They are talking and discussing about the lenses and how it works.</t>
  </si>
  <si>
    <t>There's a commercial shown where the same lenses are worn by several people to show how it can be used.</t>
  </si>
  <si>
    <t>a doctor in a lab coat talks about the lenses too, while people are showing how to use them.</t>
  </si>
  <si>
    <t>Another news anchor also talks about the same lenses and how it has become a dangerous trend among teenagers.</t>
  </si>
  <si>
    <t>The lady news anchor comes back with the male news anchor to continue the program.</t>
  </si>
  <si>
    <t>v_0lzqfDIWXtw</t>
  </si>
  <si>
    <t>Several players are shown on an ice rink.</t>
  </si>
  <si>
    <t>They are engaged in different games of curling.</t>
  </si>
  <si>
    <t>They use their bats to move the puck, high fiving when they are done.</t>
  </si>
  <si>
    <t>v_BC0cgv8YgTg</t>
  </si>
  <si>
    <t>A cartoon network show is played.</t>
  </si>
  <si>
    <t>A blue character chops a block but fails several times.</t>
  </si>
  <si>
    <t>v_lVMMPkvnid8</t>
  </si>
  <si>
    <t>Team of Bolivian bowlers get ready to start bowling by practicing a technique taught by Jason Belmont by putting two fingers in the holes and using two hands to spin the ball.</t>
  </si>
  <si>
    <t>The young amateur players begin to bowl using the two handed technique.</t>
  </si>
  <si>
    <t>The president of the Bowling Federation Marcelo Garafulic is introduced.</t>
  </si>
  <si>
    <t>The announcer begins explaining how the team of Bolivian bowlers are training and more practice is shown.</t>
  </si>
  <si>
    <t>Garafulic starts to explain clinics and the medals they have won breaking perfect games.</t>
  </si>
  <si>
    <t>The bowlers are shown practicing once again.</t>
  </si>
  <si>
    <t>v_8GqAgX-kseE</t>
  </si>
  <si>
    <t>A boy is barefoot, pushing a lawn mower in his yard.</t>
  </si>
  <si>
    <t>A little girl runs by as he mows.</t>
  </si>
  <si>
    <t>v_uaGy1W-EYWU</t>
  </si>
  <si>
    <t>A man is in a room with a crowd of people watching him as he prepares to perform.</t>
  </si>
  <si>
    <t>The male stands up right and puts a blue plastic chair between his legs and starts spinning around his head.</t>
  </si>
  <si>
    <t>Once he is done,another person comes up and he begins spinning around on his head as a colorful hula hoop begins spinning around his waist.</t>
  </si>
  <si>
    <t>He completes his performance and the crowd jumps up and congratulates the man.</t>
  </si>
  <si>
    <t>v_gaILpaBa7M8</t>
  </si>
  <si>
    <t>A electric machine is attached to the end of a ping pong table and is moving with the motion senses of a person's hand.</t>
  </si>
  <si>
    <t>After,several balls are then thrown towards the paddle and returned by the machine.</t>
  </si>
  <si>
    <t>The person then walks across the table and begins hitting the balls faster and the machine speeds up to hit the ball.</t>
  </si>
  <si>
    <t>v_pF8jt67vTDY</t>
  </si>
  <si>
    <t>Adults are playing a game of volley ball on a court.</t>
  </si>
  <si>
    <t>v_FV2TzKt9MdI</t>
  </si>
  <si>
    <t>People are working out on spin bikes.</t>
  </si>
  <si>
    <t>A woman in a yellow tank top talks to the camera.</t>
  </si>
  <si>
    <t>A woman in a green tank top talks to the camera.</t>
  </si>
  <si>
    <t>v_ZZVrH3Hv1fM</t>
  </si>
  <si>
    <t>A woman is seen walking into frame and speaking to the camera while holding various objects in her hands.</t>
  </si>
  <si>
    <t>She continues to pull out more objects while still speaking to the camera.</t>
  </si>
  <si>
    <t>v_IwSUfrzxFnU</t>
  </si>
  <si>
    <t>Two boys walk down a sidewalk near a pool.</t>
  </si>
  <si>
    <t>There are lots of people doing different things in and around the pool.</t>
  </si>
  <si>
    <t>Some boys jump off of the diving boards doing flips and other tricks.</t>
  </si>
  <si>
    <t>v_AonniE_CsPY</t>
  </si>
  <si>
    <t>People have their hands on a casino table.</t>
  </si>
  <si>
    <t>v_iazhs1cz_1Q</t>
  </si>
  <si>
    <t>A woman is sitting behind a piano.</t>
  </si>
  <si>
    <t>A child is sitting behind a keyboard playing it.</t>
  </si>
  <si>
    <t>Pictures of pianos are shown at the end.</t>
  </si>
  <si>
    <t>v_qcA3mFHfo84</t>
  </si>
  <si>
    <t>A girl is shown several times running on a track.</t>
  </si>
  <si>
    <t>She uses a pole to vault over a bar.</t>
  </si>
  <si>
    <t>She lands on a mat on the other side.</t>
  </si>
  <si>
    <t>v_-FbWTFJ3kV0</t>
  </si>
  <si>
    <t>A boat that has a blue sail with two people is sailing in a body of water.</t>
  </si>
  <si>
    <t>The person at the front of the boat is leaning off to the side and is seemingly hitting the water.</t>
  </si>
  <si>
    <t>The water starts to become more and more choppy.</t>
  </si>
  <si>
    <t>The boat makes a turn to the right.</t>
  </si>
  <si>
    <t>The boat begins to head to the shore.</t>
  </si>
  <si>
    <t>v_rbnlUn4UNSk</t>
  </si>
  <si>
    <t>We see two people under water in a pool.</t>
  </si>
  <si>
    <t>The people exchange one flipper.</t>
  </si>
  <si>
    <t>The men start to share a breather.</t>
  </si>
  <si>
    <t>The exchange their other flippers.</t>
  </si>
  <si>
    <t>The men change their air equipment.</t>
  </si>
  <si>
    <t>The right man is unable to find the arm hole.</t>
  </si>
  <si>
    <t>v_rse-MW1helQ</t>
  </si>
  <si>
    <t>First the people are shown swimming backwards.</t>
  </si>
  <si>
    <t>Then they are shown playing volleyball in the water.</t>
  </si>
  <si>
    <t>v_bru03d1k6DY</t>
  </si>
  <si>
    <t>A woman is talking in front of an image of two deer on a plain.</t>
  </si>
  <si>
    <t>We thensee a man talking as they drill holes in the ice.</t>
  </si>
  <si>
    <t>Some booth serve hot dogs to the people as they ice fish.</t>
  </si>
  <si>
    <t>A little boy and girl attempt to catch a fish.</t>
  </si>
  <si>
    <t>They are interviewed as they fish.</t>
  </si>
  <si>
    <t>v_sjHCZWdopsQ</t>
  </si>
  <si>
    <t>The fingers are pressing the black keys.</t>
  </si>
  <si>
    <t>One finger is pressing one key.</t>
  </si>
  <si>
    <t>The fingers are moving to different keys and pressing them.</t>
  </si>
  <si>
    <t>v_B8WIh6PUjE0</t>
  </si>
  <si>
    <t>A woman is seen speaking to the camera using her hands and leads into her kneeling down dumping a bucket.</t>
  </si>
  <si>
    <t>She then uses a rake to rub it all the dirt around the tree while still stopping to speak to the camera.</t>
  </si>
  <si>
    <t>v_TsPh4-BsCYk</t>
  </si>
  <si>
    <t>A woman is shown holding a shot put and talking to the camera while standing in a large gym.</t>
  </si>
  <si>
    <t>She demonstrates how to properly throw the tool and performs several throws to show how it's one correctly.</t>
  </si>
  <si>
    <t>v_Zi2Pah5-BXI</t>
  </si>
  <si>
    <t>The exterior a store is seen from the parking lot.</t>
  </si>
  <si>
    <t>A man sits on a wooden bench up against a window with trophies.</t>
  </si>
  <si>
    <t>The man talks while a seated with a tattoo artist working on his shoulder.</t>
  </si>
  <si>
    <t>The tattoo artist wipes the area that he is working on and continues drawing.</t>
  </si>
  <si>
    <t>The tattoo artist turns off the light and stops his work.</t>
  </si>
  <si>
    <t>The man stands up and shows off his tattoo.</t>
  </si>
  <si>
    <t>v_6LADh__9LUI</t>
  </si>
  <si>
    <t>men are on sides of a car polishing a blue car in a hand car wash.</t>
  </si>
  <si>
    <t>blue car is inside a blue car wash and men are polishing it.</t>
  </si>
  <si>
    <t>men are holding clothes on them hands cleaning the car.</t>
  </si>
  <si>
    <t>v_uyBGDfYo0qE</t>
  </si>
  <si>
    <t>A person is vacuuming in a hallway.</t>
  </si>
  <si>
    <t>A toddler in pajamas runs past frantically, running into other rooms and jumping excitedly because he wants to be picked up.</t>
  </si>
  <si>
    <t>He is angry when his mother goes into the bathroom with the vacuum.</t>
  </si>
  <si>
    <t>The woman gives the boy the vacuum, and he vacuums the floors.</t>
  </si>
  <si>
    <t>v_FpxVS1Xpl1U</t>
  </si>
  <si>
    <t>people are sitting in chairs in pool.</t>
  </si>
  <si>
    <t>man and woman are talking and presenting the man that walks by the pool.</t>
  </si>
  <si>
    <t>man is weightlifting and doing a big jump from a trampoline and talking to the camera.</t>
  </si>
  <si>
    <t>a big platfom is shown and a man is being interviewed by a woman in top of trampoline.</t>
  </si>
  <si>
    <t>woman in audience is screaming and throwing kisses.</t>
  </si>
  <si>
    <t>man is on the 10 m trampoline and make a hand stand to make the jump to the pool.</t>
  </si>
  <si>
    <t>woman is impressed siting by the pool and have her hands on her face.</t>
  </si>
  <si>
    <t>presentator is interviewing the man.</t>
  </si>
  <si>
    <t>v_dcclQadR-L0</t>
  </si>
  <si>
    <t>A group of people are riding on horses on a field.</t>
  </si>
  <si>
    <t>They start a game of polo.</t>
  </si>
  <si>
    <t>They race their horses, trying to get the ball.</t>
  </si>
  <si>
    <t>v_r0P0egQt-jU</t>
  </si>
  <si>
    <t>Women are standing on the sand watching while some other women surf.</t>
  </si>
  <si>
    <t>A few of them are out there in the ocean riding on the waves enjoying the ride.</t>
  </si>
  <si>
    <t>One of them only has one arm and she surfs so well, its amazing.</t>
  </si>
  <si>
    <t>They carry her over and then 4 girls stand while they get gifts for their performance and the one handed girl gets to talk about it.</t>
  </si>
  <si>
    <t>v_KrHpGJBzjJk</t>
  </si>
  <si>
    <t>A woman in a dark room plays the drums with his hand.</t>
  </si>
  <si>
    <t>The camera tilts on it's side then goes back upright.</t>
  </si>
  <si>
    <t>We see the room around the lady.</t>
  </si>
  <si>
    <t>v_ORI5ZNZARw8</t>
  </si>
  <si>
    <t>A woman is seen sitting on a piece of exercise equipment looking forward.</t>
  </si>
  <si>
    <t>She then grabs the lever in front and begins pulling herself.</t>
  </si>
  <si>
    <t>The girl then pulls herself back and fourth on the machine while the camera captures her movements.</t>
  </si>
  <si>
    <t>v_w--HmpjK-s8</t>
  </si>
  <si>
    <t>A man with dreads is talking and getting his instruments together to make some music.</t>
  </si>
  <si>
    <t>he is jamming out in the car very happily.</t>
  </si>
  <si>
    <t>There is a lot of traffic and and ambulence driving by too.</t>
  </si>
  <si>
    <t>He records all of the music on a laptop.</t>
  </si>
  <si>
    <t>v_XtqTatsTGNY</t>
  </si>
  <si>
    <t>The boy stands at the bottom of a small staircase and then he walks up to slide down the blue slide.</t>
  </si>
  <si>
    <t>When he's done sliding down he runs away and tries to go out the gate.</t>
  </si>
  <si>
    <t>v_1stYB5_yR5k</t>
  </si>
  <si>
    <t>man is talking to the camera cleaning a wooden shed and start painting it.</t>
  </si>
  <si>
    <t>the man mix the paint and with a brush varnish all the shed.</t>
  </si>
  <si>
    <t>at the end the man talks to the camera and shows the materials list.</t>
  </si>
  <si>
    <t>v_HUzoMRdSrZo</t>
  </si>
  <si>
    <t>We see a city scene at night.</t>
  </si>
  <si>
    <t>We see people playing soccer outdoors at night.</t>
  </si>
  <si>
    <t>A man falls on the ground.</t>
  </si>
  <si>
    <t>We see a man shifting the ball with his feet.</t>
  </si>
  <si>
    <t>We see two men high five each other.</t>
  </si>
  <si>
    <t>We see the closing tile screen.</t>
  </si>
  <si>
    <t>v_Y9EIH-A_ePo</t>
  </si>
  <si>
    <t>Two girls are outside in a yard.</t>
  </si>
  <si>
    <t>They are bouncing and throwing a ball to each other.</t>
  </si>
  <si>
    <t>They chase each other with the ball playfully.</t>
  </si>
  <si>
    <t>They run up to the camera and talk for a while.</t>
  </si>
  <si>
    <t>v_E7rhlhVA0SY</t>
  </si>
  <si>
    <t>We see a Gelato store outside.</t>
  </si>
  <si>
    <t>We see a title screen for a cake.</t>
  </si>
  <si>
    <t>We then see a lady cooking.</t>
  </si>
  <si>
    <t>The lady puts gelato in a bowl.</t>
  </si>
  <si>
    <t>The lady puts rice crispies on it.</t>
  </si>
  <si>
    <t>The lady puts a dome in a chocolate dome and puts a crispies circle on it.</t>
  </si>
  <si>
    <t>The lady puts holes in a chocolate dome.</t>
  </si>
  <si>
    <t>The lady sprays the domes.</t>
  </si>
  <si>
    <t>The lady puts the red dome on top of a black one and put the dome with holes on top of it.</t>
  </si>
  <si>
    <t>The lady puts the cake in a display case.</t>
  </si>
  <si>
    <t>v_LaWCwEG6n3w</t>
  </si>
  <si>
    <t>A person is seen standing off in the distance with another standing around a hole.</t>
  </si>
  <si>
    <t>The person uses a fishing pole on the hole and attempts to pull out a fish.</t>
  </si>
  <si>
    <t>The person continues pulling while the other watches on the side.</t>
  </si>
  <si>
    <t>v_padyJHC5Y5Y</t>
  </si>
  <si>
    <t>A woman is seen brushing wet hair and rubbing lotion all throughout her hair.</t>
  </si>
  <si>
    <t>She then blow dries her hair and is seen again with her hair pinned up around the top.</t>
  </si>
  <si>
    <t>She blow dries the bottom of her hair and is then seen again with all of her hair pinned up.</t>
  </si>
  <si>
    <t>She undoes the pins to show off her new hair.</t>
  </si>
  <si>
    <t>v_w30TFlJiRKA</t>
  </si>
  <si>
    <t>A little boy plays piano in a home, then, he bends to the left and talks.</t>
  </si>
  <si>
    <t>After, the boy continues playing the piano, then he takes a rest.</t>
  </si>
  <si>
    <t>The boy change clothes and continues playing the piano.</t>
  </si>
  <si>
    <t>v_CsyHOM8ngZA</t>
  </si>
  <si>
    <t>A shaggy dog is getting a bath from a veterinarian.</t>
  </si>
  <si>
    <t>The veterinarian is blow drying the dog after washing it.</t>
  </si>
  <si>
    <t>A different vet is petting and brushing the dog.</t>
  </si>
  <si>
    <t>A video montage of the dog plays and then credits roll.</t>
  </si>
  <si>
    <t>v_I4_jFA46Uio</t>
  </si>
  <si>
    <t>A little girl is standing in front of a kitchen sink.</t>
  </si>
  <si>
    <t>She has a bowl and a knife in her hand.</t>
  </si>
  <si>
    <t>She is peeling potatoes with the knife.</t>
  </si>
  <si>
    <t>v_ufxyjYMKe7c</t>
  </si>
  <si>
    <t>Two boys in matching shirts sit on a sofa and talk with a candy toy in their hands as they hold the candy up to the camera, play with the candy toy buttons and talk.</t>
  </si>
  <si>
    <t>The two boys mock fight with the toy candy, which is shaped like a hand with retractable fingers, and the camera speeds up when they do this.</t>
  </si>
  <si>
    <t>The boys then switch toys and open the toy candy at which point they begin to eat the candy and talk while chewing.</t>
  </si>
  <si>
    <t>A closeup of the toy candy is then shown, with the candy lying on a maroon backdrop and posed.</t>
  </si>
  <si>
    <t>v_GiHxeCLGNy8</t>
  </si>
  <si>
    <t>A person is at a camp fire poking around at the wood.</t>
  </si>
  <si>
    <t>The camera moves over to a little boy as he is talking to the camera person.</t>
  </si>
  <si>
    <t>The camera person continues to narrate the situation as he records the fire.</t>
  </si>
  <si>
    <t>v_yL7tvoBkkkI</t>
  </si>
  <si>
    <t>Various people are seen from a bird's eye view working in rough conditions out in the open.</t>
  </si>
  <si>
    <t>They are scrubbing clothes and hanging them up while the camera pans around and watches.</t>
  </si>
  <si>
    <t>v_FXl3qRRs9jw</t>
  </si>
  <si>
    <t>People are walking next to a bull.</t>
  </si>
  <si>
    <t>There is a large group walking behind the bull.</t>
  </si>
  <si>
    <t>There is another bull and they start fighting.</t>
  </si>
  <si>
    <t>The crowd is rallying around the bulls.</t>
  </si>
  <si>
    <t>A man in a red shirt is talking into a microphone.</t>
  </si>
  <si>
    <t>A man is putting a black shirt on.</t>
  </si>
  <si>
    <t>v_fSVDG4h0lzM</t>
  </si>
  <si>
    <t>A middle age man is standing in the field preparing to hit a ball.</t>
  </si>
  <si>
    <t>Once the man hits the ball it is caught and the other teams jumps and cheers in excitement and there is replay.</t>
  </si>
  <si>
    <t>v_RI8IORq_BbY</t>
  </si>
  <si>
    <t>A man shows how to sharpen a knife with a machine.</t>
  </si>
  <si>
    <t>Then, he sharpens knives against each other.</t>
  </si>
  <si>
    <t>v_oezddremlnE</t>
  </si>
  <si>
    <t>A close up of a girl's hair is shown followed by a person braiding her hair.</t>
  </si>
  <si>
    <t>The person continues braiding the hair and the camera pans away from her face.</t>
  </si>
  <si>
    <t>v_9PFlQcBl_jU</t>
  </si>
  <si>
    <t>Several people are outside watching a about four men bullfighting with a cape.</t>
  </si>
  <si>
    <t>Once the bull is caught,they start to move it and they have difficulty because the crowd is on their back.</t>
  </si>
  <si>
    <t>Next,a shirtless man lays down on the dirt,gets trampled by the bull and jumps up happy about what just happened.</t>
  </si>
  <si>
    <t>Another bull comes along,runs over a person and the person remains on the ground and a crowd of people come running over to him laying a blanket across his body.</t>
  </si>
  <si>
    <t>v_p0-BGit7WAo</t>
  </si>
  <si>
    <t>A young boy is seen speaking with others while wrapping ballet shoes around him and walking past others.</t>
  </si>
  <si>
    <t>The man then steps into ballet class and interacts with the dancers and ends by drinking a beer.</t>
  </si>
  <si>
    <t>v_oQ_PwsBgozM</t>
  </si>
  <si>
    <t>a lady and a young girl are in room with a Christmas tree.</t>
  </si>
  <si>
    <t>The lights are turned on on the tree an the little girl dances in front of it.</t>
  </si>
  <si>
    <t>A young boy plays with and takes ornaments off the tree and shows them to the camera.</t>
  </si>
  <si>
    <t>The man take it and shows it to the camera then puts it back.</t>
  </si>
  <si>
    <t>v_YKLZAgdkFrk</t>
  </si>
  <si>
    <t>A girl is seen speaking to the camera on the floor.</t>
  </si>
  <si>
    <t>Another woman is seen sitting on a swingset looking to the camera.</t>
  </si>
  <si>
    <t>The woman swings back and fourth while looking down at her hand.</t>
  </si>
  <si>
    <t>v_ngwH6Zy5vb8</t>
  </si>
  <si>
    <t>A man in a suit is playing a piano.</t>
  </si>
  <si>
    <t>The audience stands up and claps for him.</t>
  </si>
  <si>
    <t>People are hugging and mingling on a stage.</t>
  </si>
  <si>
    <t>v_Fvc0-yNMFyE</t>
  </si>
  <si>
    <t>A small group of people are seen riding around on bumper cars while bumping into one another.</t>
  </si>
  <si>
    <t>The kids continue driving the cars around when a man walks in and out of frame making sure the kids and parents are safe.</t>
  </si>
  <si>
    <t>v_UojTppgtyCE</t>
  </si>
  <si>
    <t>An outdoor garden is seen and a man in tshirt stands in it holding a pair of sheers.</t>
  </si>
  <si>
    <t>Mellons are seen throughout the garden.</t>
  </si>
  <si>
    <t>The man points to the melons up against the wall and begins trimming them with his sheers throwing them to the side.</t>
  </si>
  <si>
    <t>The man walks over to the outer edge of the melon plants and picks up a large vine in one hand then trims off leafs with the other hand.</t>
  </si>
  <si>
    <t>The man does circular motions with his hands around his waste to demonstrate size.</t>
  </si>
  <si>
    <t>A garden website is seen.</t>
  </si>
  <si>
    <t>v_yjOriMHCSdw</t>
  </si>
  <si>
    <t>A painted construction paper piece sits on a table along with a suitcase of supplies.</t>
  </si>
  <si>
    <t>I person cuts up a piece of construction paper.</t>
  </si>
  <si>
    <t>Designs are drawn on the paper with markers.</t>
  </si>
  <si>
    <t>The construction paper is folded over an item and a piece of tape secures the construction paper in the middle.</t>
  </si>
  <si>
    <t>The corners are folded like a present and peices of tape are used to secure the folded ends of the package.</t>
  </si>
  <si>
    <t>A ribbon is slid under the package and tied in a bow.</t>
  </si>
  <si>
    <t>v_JiZCjH6ePq0</t>
  </si>
  <si>
    <t>A group of people are in a gym playing dodgeball.</t>
  </si>
  <si>
    <t>A logo appears on the screen.</t>
  </si>
  <si>
    <t>A man is talking to the camera while people play dodgeball behind him.</t>
  </si>
  <si>
    <t>The man and players demonstrate dodgeball techniques.</t>
  </si>
  <si>
    <t>Captions appear on the screen periodically that explain dodgeball.</t>
  </si>
  <si>
    <t>v_D5vmWDHQ86I</t>
  </si>
  <si>
    <t>There's a man in a green shirt talking and being interviewed by another man dressed in a black jacket and gray pants.</t>
  </si>
  <si>
    <t>They are seated on chairs in a large room with wooden floors.</t>
  </si>
  <si>
    <t>The entrance of the Valqueire Tennis club is shown.</t>
  </si>
  <si>
    <t>The ID card of the person being interviewed is also shown.</t>
  </si>
  <si>
    <t>The man in green continues talking about soccer to the interviewer.</t>
  </si>
  <si>
    <t>Brazil versus Venezuela soccer game is shown.</t>
  </si>
  <si>
    <t>The man in green talks about a newspaper article related to the soccer as clips from the soccer game are shown.</t>
  </si>
  <si>
    <t>v_pxt1-L_-H74</t>
  </si>
  <si>
    <t>Two people are seen standing next to one another speaking to the camera and leads into the two performing a dance routine with one another.</t>
  </si>
  <si>
    <t>The people continue dancing around on the side of a road and ends with them posing and laughing.</t>
  </si>
  <si>
    <t>v_eDm8bUVWxAM</t>
  </si>
  <si>
    <t>A man in a white shirt is talking.</t>
  </si>
  <si>
    <t>A bow and arrow is set up in the grass.</t>
  </si>
  <si>
    <t>A man shoots a bow and arrow while in the water.</t>
  </si>
  <si>
    <t>v_ienRkMdn_OM</t>
  </si>
  <si>
    <t>A hand is put into a brush and moves the hair to be piled up and vaccumed with the other hand.</t>
  </si>
  <si>
    <t>The middle section is done and the horse stands still while being cut down.</t>
  </si>
  <si>
    <t>Now,the middle is done and the person moves to the back of the horse until all of the horse's body is cut down.</t>
  </si>
  <si>
    <t>v_Ncfysce-svA</t>
  </si>
  <si>
    <t>A person plays an acoustic guitar while sitting on a beige sofa in jeans and a t-shirt.</t>
  </si>
  <si>
    <t>A room is shown with an acoustic guitar lying across a beige sofa and a stone art piece in front of the sofa with rocks in it.</t>
  </si>
  <si>
    <t>A person, face unseen, approaches the sofa and picks up the guitar.</t>
  </si>
  <si>
    <t>The person then sits down and plays the acoustic guitar, which has a capo on the neck, and plays until the scene fades to a Spanish subtitle.</t>
  </si>
  <si>
    <t>v_H5Z__A99EG4</t>
  </si>
  <si>
    <t>There's a man doing a science experiment in his kitchen using a on liter Pepsi bottle that is filled with foam.</t>
  </si>
  <si>
    <t>There's a boy laying down on the floor with his legs stretched up against the cabinet.</t>
  </si>
  <si>
    <t>The man is holding a hose in one hand and blowing air into the bottle simultaneously.</t>
  </si>
  <si>
    <t>Then he drops the huge bubble from the bottle onto the boy's face.</t>
  </si>
  <si>
    <t>v_j1IYrdjnY6M</t>
  </si>
  <si>
    <t>A web address is displayed on the slide.</t>
  </si>
  <si>
    <t>The name of a sunscreen is shown.</t>
  </si>
  <si>
    <t>The sunscreen bottle is shown.</t>
  </si>
  <si>
    <t>The price of the sunscreen is shown.</t>
  </si>
  <si>
    <t>The sunscreen bottle is presented.</t>
  </si>
  <si>
    <t>An information guideline is shown.</t>
  </si>
  <si>
    <t>v_ry-AEtNb4c0</t>
  </si>
  <si>
    <t>The title is on the screen.</t>
  </si>
  <si>
    <t>The screen switches to the man explaining his art.</t>
  </si>
  <si>
    <t>We see the man's artwork.</t>
  </si>
  <si>
    <t>We see the man talking again.</t>
  </si>
  <si>
    <t>He grabs paint on his brush.</t>
  </si>
  <si>
    <t>He discusses his painting technique.</t>
  </si>
  <si>
    <t>He is painting on the art.</t>
  </si>
  <si>
    <t>He cleans his brush on paper.</t>
  </si>
  <si>
    <t>He adds more paint to the brush.</t>
  </si>
  <si>
    <t>He is painting on the art again.</t>
  </si>
  <si>
    <t>He cleans his brush on the paper again.</t>
  </si>
  <si>
    <t>He adds white paint to the brush.</t>
  </si>
  <si>
    <t>He paints white on the artwork.</t>
  </si>
  <si>
    <t>He crosses his arms and talks.</t>
  </si>
  <si>
    <t>We see the title card.</t>
  </si>
  <si>
    <t>v_MSfIKwQhLFk</t>
  </si>
  <si>
    <t>People dive into the pool and start swimming.</t>
  </si>
  <si>
    <t>A person reaches the end and takes their goggles off.</t>
  </si>
  <si>
    <t>They wave at the camera and smile.</t>
  </si>
  <si>
    <t>The other swimmers get to the finish line.</t>
  </si>
  <si>
    <t>v_2w7Fxoeo_Qk</t>
  </si>
  <si>
    <t>A man wearing a helmet and carrying a skateboard lays on a skateboard and goes down a bowling lane to knock over pins.</t>
  </si>
  <si>
    <t>People look to watch him go down the lane.</t>
  </si>
  <si>
    <t>Someone pushes someone laying on a skateboard down a bowling lane.</t>
  </si>
  <si>
    <t>People throw bowling balls after the person.</t>
  </si>
  <si>
    <t>Two men laugh watching the man.</t>
  </si>
  <si>
    <t>Someone pushes another person laying on a skateboard down a bowling lane.</t>
  </si>
  <si>
    <t>v_3zDw5mwGIW0</t>
  </si>
  <si>
    <t>A person pours different colors of paint on a surface.</t>
  </si>
  <si>
    <t>Then, the woman paints flowers on the headboard of a bed.</t>
  </si>
  <si>
    <t>v_a2k-AgrAppg</t>
  </si>
  <si>
    <t>A little girl sits on front a cup of ice cream, then she takes a piece of food from the cup and eats it.</t>
  </si>
  <si>
    <t>Then, the girl grab the spoon and eats the ice cream.</t>
  </si>
  <si>
    <t>A hand takes nuts from the ice cram.</t>
  </si>
  <si>
    <t>v_WD40PRo1quM</t>
  </si>
  <si>
    <t>A man and a woman are seen dancing around a living room performing a tango routine.</t>
  </si>
  <si>
    <t>They spin each other round and round and ends with credits rolling.</t>
  </si>
  <si>
    <t>v_wIcK3bQNqcA</t>
  </si>
  <si>
    <t>A person moves their fingers around the center of a bike's wheel.</t>
  </si>
  <si>
    <t>The person takes a black part and adds it.</t>
  </si>
  <si>
    <t>The person adds a smaller black part and fastens it.</t>
  </si>
  <si>
    <t>The person removes their hands from the center of the bike's wheel.</t>
  </si>
  <si>
    <t>v_GUbKGqYKj7U</t>
  </si>
  <si>
    <t>There are a lot of people at a park and some are playing while others are just watching.</t>
  </si>
  <si>
    <t>A man and a woman are standing at the entrance of the playing field and getting ready to play.</t>
  </si>
  <si>
    <t>When the ball rolls towards them, the man kicks it and runs while other players try and get into motion for the play.</t>
  </si>
  <si>
    <t>Another man runs towards the home base and dives onto the dirt to touch the base they are protecting and another man is trying to catch the ball to get the man out.</t>
  </si>
  <si>
    <t>The man attempts to catch the ball, misses it, falls on the ground to catch it, throws it at the head of the man who is already on the base and they all laugh and the team who just scored give one another high fives.</t>
  </si>
  <si>
    <t>v_p771liKjycc</t>
  </si>
  <si>
    <t>Two kids are outside playing together at a playground.</t>
  </si>
  <si>
    <t>One boy jumps off and walks to the other side as the other one begins to do the monkey bars.</t>
  </si>
  <si>
    <t>After he makes it to the other side,he climbs off and runs to another set of monkey bars and follows through those as well.</t>
  </si>
  <si>
    <t>v_ZTwmb1d44bc</t>
  </si>
  <si>
    <t>A curling stone slides down the ice.</t>
  </si>
  <si>
    <t>The blue team discuss their strategy.</t>
  </si>
  <si>
    <t>The white team high five each other.</t>
  </si>
  <si>
    <t>The blue team discuss while a member points.</t>
  </si>
  <si>
    <t>A blue team player takes his turn and curls his stone into the center.</t>
  </si>
  <si>
    <t>The blue team comes and hugs the player as they celebrate.</t>
  </si>
  <si>
    <t>v_zi_TdMQffkU</t>
  </si>
  <si>
    <t>A person is seen sitting on a horse in front of a large crowd.</t>
  </si>
  <si>
    <t>The man then rides in on the horse and ropes up a calf.</t>
  </si>
  <si>
    <t>He ties up the calf while others ride in on horses to help.</t>
  </si>
  <si>
    <t>v_0UR4hXxt68E</t>
  </si>
  <si>
    <t>A group of cheerleaders stand in a line in a large auditorium in preparation.</t>
  </si>
  <si>
    <t>The group of cheerleaders does a dance routine in all dancing in unison.</t>
  </si>
  <si>
    <t>Half of the group kneels on the floor and the other standing group exits to the sides.</t>
  </si>
  <si>
    <t>The remaining group stands back up and does a second dance routine together.</t>
  </si>
  <si>
    <t>The group of cheerleader end their routine and jump up and down before bowing to the crowd.</t>
  </si>
  <si>
    <t>v_eGTZNTfgg24</t>
  </si>
  <si>
    <t>Various athletes are seen standing ready while one jumps in place and prepares himself.</t>
  </si>
  <si>
    <t>He then runs down a long track into a sand pit and sticks his hands in the air.</t>
  </si>
  <si>
    <t>A man holds a white fag up while the athlete celebrates and his jump and people's reactions in the audience are shown again.</t>
  </si>
  <si>
    <t>v_XC6tvSBS0PA</t>
  </si>
  <si>
    <t>A young lady wearing a colorful swimsuit is underwater swimming in a pool.</t>
  </si>
  <si>
    <t>A screen flashes and shows step two as the girl demonstrates swimming with your feet close together.</t>
  </si>
  <si>
    <t>Next,a warning screen appears saying not to swim without goggles as the girl does the exact opposite.</t>
  </si>
  <si>
    <t>After,the girl is shown with an orange mermaid tail on swimming under water as she joins another "mermaid".</t>
  </si>
  <si>
    <t>v_5FM_xJGb-Tk</t>
  </si>
  <si>
    <t>A man in a little kayak type of of boat is paddling the boat.</t>
  </si>
  <si>
    <t>He is sitting by himself in it because it's so small it only fits one person really.</t>
  </si>
  <si>
    <t>He uses a lot of energy into paddling, going really fast.</t>
  </si>
  <si>
    <t>I believe he is probably practicing for an event late in the future.</t>
  </si>
  <si>
    <t>v_2DMOP9Fy91U</t>
  </si>
  <si>
    <t>A woman is standing outside in front of a building.</t>
  </si>
  <si>
    <t>She begins dancing with hula hoops.</t>
  </si>
  <si>
    <t>She finishes and words come on the screen.</t>
  </si>
  <si>
    <t>v_bPkk-z5n8MY</t>
  </si>
  <si>
    <t>A large group of people are seen spinning and twirling batons in the city.</t>
  </si>
  <si>
    <t>A large group of people are seen sitting around the group watching.</t>
  </si>
  <si>
    <t>The group continues to dance around the city block while the camera pans around and watches them walk away.</t>
  </si>
  <si>
    <t>v_jOUwMAGYImE</t>
  </si>
  <si>
    <t>A man sits on a stationary bike on a stage and starts working out.</t>
  </si>
  <si>
    <t>He sticks one leg up to the side.</t>
  </si>
  <si>
    <t>He gets off and does a hand stand.</t>
  </si>
  <si>
    <t>v_fZzswQaICfM</t>
  </si>
  <si>
    <t>There is a hopscotch board drawn with chalk on the pavement.</t>
  </si>
  <si>
    <t>A little girl in green takes her turn and then more of her friends follow after.</t>
  </si>
  <si>
    <t>All three girls stand and then drop a bottle cap to move forward with their jumps.</t>
  </si>
  <si>
    <t>They play different variations of the game just having fun doing so and when its over one of the girls throws her hands in the air.</t>
  </si>
  <si>
    <t>v_ivjnwAR91Sk</t>
  </si>
  <si>
    <t>A large group of people are seen standing on a stage with people watching on the sidelines.</t>
  </si>
  <si>
    <t>People take turns jumping onto a large mat over a beam and cheering with teammates.</t>
  </si>
  <si>
    <t>More shots are shown of kids fooling around while looking and laughing to the camera.</t>
  </si>
  <si>
    <t>v_26qGsfI9tZ8</t>
  </si>
  <si>
    <t>A toddler climbs the steps of a playground.</t>
  </si>
  <si>
    <t>Then, the boy slides down until to reach the ground.</t>
  </si>
  <si>
    <t>v_t6FuJ4L8sHY</t>
  </si>
  <si>
    <t>A group of people are seen standing on a soccer field and leads into one falling down and being helped back up.</t>
  </si>
  <si>
    <t>The same shot is shown again in slow motion and leads into one scoring a goal with others not paying attention.</t>
  </si>
  <si>
    <t>The same shot is shown again in slow motion several times and pans back to all the players.</t>
  </si>
  <si>
    <t>v_L0QdLXym4F4</t>
  </si>
  <si>
    <t>A lady is filming a girl and a boy who are outdoors at a park playground.</t>
  </si>
  <si>
    <t>The young girl hangs an goes across the monkey bars using her arms while the young boy stands behind rails and watches.</t>
  </si>
  <si>
    <t>The jumps down at the end of the monkey bars and then jumps up and down and gives a high five to the excited woman filming her.</t>
  </si>
  <si>
    <t>The lady behind the camera then walks over and pans to the little boy who is now at the monkey bars and holds a conversation with him.</t>
  </si>
  <si>
    <t>v_7MAADmeogHo</t>
  </si>
  <si>
    <t>A bike is seen upside down in a shop.</t>
  </si>
  <si>
    <t>A man shows how to remove a tire.</t>
  </si>
  <si>
    <t>He then replaces it and tightens it back into place.</t>
  </si>
  <si>
    <t>v_Bhc8INrOToY</t>
  </si>
  <si>
    <t>A man is seen speaking to the camera and leads into clips of them skiing.</t>
  </si>
  <si>
    <t>The men move down all along the mountain while others are shown skiing next to them.</t>
  </si>
  <si>
    <t>The people continue riding down the hill and end by stopping at the bottom.</t>
  </si>
  <si>
    <t>v_ie9PgZt9svA</t>
  </si>
  <si>
    <t>A group of girls on a rope jumping team do a routine in a large music hall.</t>
  </si>
  <si>
    <t>A group of girls jump rope individually.</t>
  </si>
  <si>
    <t>Three girls jump rope with two holding a single rope on each end.</t>
  </si>
  <si>
    <t>Three girls jump together inside of a single rope.</t>
  </si>
  <si>
    <t>A group of girls hold two ropes and take turns doing double dutch while members run through and jump the rope.</t>
  </si>
  <si>
    <t>v_fcSJAHXHDvM</t>
  </si>
  <si>
    <t>A man is seen moving in slow motion holding a tennis racket and throwing a ball up into the air.</t>
  </si>
  <si>
    <t>Arrows point around his body and show him hitting the ball while pausing to show off his body movements.</t>
  </si>
  <si>
    <t>v_kUwCHpiuCuA</t>
  </si>
  <si>
    <t>A bicycle elliptical machine is sitting in living room by a couch.</t>
  </si>
  <si>
    <t>A dog appears on the couch and suddenly a person sits on the machine and turns it on.</t>
  </si>
  <si>
    <t>Once the machine is on,it begins to flash 30 minutes several times and the person begins to exercise on the machine pushing the bars back and forth.</t>
  </si>
  <si>
    <t>v_sgPkVKPp1dU</t>
  </si>
  <si>
    <t>A man in black shirt lifted the barbel and started to carry it up and down for few times, while behind him, two men are removing the metal plates on another barbel.</t>
  </si>
  <si>
    <t>The man in black shirt added more weight on the barbel by adding yellow plates on both side, then continue weight lifting.</t>
  </si>
  <si>
    <t>v_Ox16PeB954Q</t>
  </si>
  <si>
    <t>A man and child are sitting on a couch while the adult smokes hookah tobacco.</t>
  </si>
  <si>
    <t>The child grabs it as if to smoke only to have it pulled away.</t>
  </si>
  <si>
    <t>The child is then able to stick it in his own mouth but doesn't know what to do.</t>
  </si>
  <si>
    <t>He ends up sticking it back into the adults mouth and the adult continues to smoke from the hookah pipe.</t>
  </si>
  <si>
    <t>v_7bUu05RIksU</t>
  </si>
  <si>
    <t>Business details are written in white text on a black background.</t>
  </si>
  <si>
    <t>Men wearing jackets pressure wash a white car in a parking lot.</t>
  </si>
  <si>
    <t>Two men wash a black SUV with a pressure washing hose.</t>
  </si>
  <si>
    <t>Men wash a white car using hand towels.</t>
  </si>
  <si>
    <t>The business details are seen before end credits for the video are shown.</t>
  </si>
  <si>
    <t>v_HwM3ionUBsg</t>
  </si>
  <si>
    <t>The video takes place in a gymnasium of various gymnasts.</t>
  </si>
  <si>
    <t>A young girl stands on top of the trampoline in preparation to jump.</t>
  </si>
  <si>
    <t>She jumps on the bar and begins to do several flips between two bars.</t>
  </si>
  <si>
    <t>She then jumps to the padded area and throws up her hands, and a man gives her a hug.</t>
  </si>
  <si>
    <t>v_4w3QwJdzwsE</t>
  </si>
  <si>
    <t>A large boat with a wind sail on it is seen riding along a big storm with people on board.</t>
  </si>
  <si>
    <t>The boat tips over at one point when another boat comes by and falls over as well.</t>
  </si>
  <si>
    <t>v_6pY2zz2_CCU</t>
  </si>
  <si>
    <t>woman is sitting on a couch with a cat on her legs, he grab a scisoors from the table next to her and starts cutting the front cat nails.</t>
  </si>
  <si>
    <t>she looks his back paws and gave her cat some cat food.</t>
  </si>
  <si>
    <t>the girl congratlate the cat and put him on the floor.</t>
  </si>
  <si>
    <t>v_k74CgBa46bA</t>
  </si>
  <si>
    <t>A man without a shirt on sits outside by the trees and drinks out of a coffee cup.</t>
  </si>
  <si>
    <t>A person is seen petting a cat.</t>
  </si>
  <si>
    <t>v_Mmdcsw_SEzc</t>
  </si>
  <si>
    <t>A boy is building a sandcastle near the edge of the ocean.</t>
  </si>
  <si>
    <t>He forms huge circles and stands up.</t>
  </si>
  <si>
    <t>v_rliYO1sEYts</t>
  </si>
  <si>
    <t>A man kisses a girl on the beach.</t>
  </si>
  <si>
    <t>People are playing rock paper scissors on the beach.</t>
  </si>
  <si>
    <t>A man in a black shirt is standing on the beach.</t>
  </si>
  <si>
    <t>v_7vECSCWxbDk</t>
  </si>
  <si>
    <t>A man plugs a cable into his guitar.</t>
  </si>
  <si>
    <t>He begins playing the guitar.</t>
  </si>
  <si>
    <t>He looks up and speaks.</t>
  </si>
  <si>
    <t>He goes back to playing his guitar.</t>
  </si>
  <si>
    <t>He looks up again and speaks as he makes hand gestures.</t>
  </si>
  <si>
    <t>He begins playing his guitar again.</t>
  </si>
  <si>
    <t>He glides his finger along his guitar.</t>
  </si>
  <si>
    <t>v_UW1wC80VNd8</t>
  </si>
  <si>
    <t>A woman is in a kitchen, stirring food in a pot.</t>
  </si>
  <si>
    <t>She adds her gathered ingredients one a time as she talks, showing the pasta she is using.</t>
  </si>
  <si>
    <t>She then adds a bowlful of vegetables she has mixed.</t>
  </si>
  <si>
    <t>v_rZMiqPMOpzA</t>
  </si>
  <si>
    <t>A person is seen sitting in front of the camera holding an instrument.</t>
  </si>
  <si>
    <t>The man then begins playing the instrument while the camera captures is movements.</t>
  </si>
  <si>
    <t>The man continues to play moving his hands all along the instrument and finally turning the camera off.</t>
  </si>
  <si>
    <t>v_KK7g7udEPuo</t>
  </si>
  <si>
    <t>A man is looking all over for his dog.</t>
  </si>
  <si>
    <t>He said he paid his dog 10 dollars to cut the grass and now he's gone.</t>
  </si>
  <si>
    <t>He finally finds the dog who is driving the riding lawn mower.</t>
  </si>
  <si>
    <t>According to the owner, the dog is asking for a raise.</t>
  </si>
  <si>
    <t>He continues mowing in not very straight lines as the other dogs watch.</t>
  </si>
  <si>
    <t>v_OM_n35Vcw30</t>
  </si>
  <si>
    <t>Two kids are seen holding poles with another man and playing a game of shuffle board on a mat.</t>
  </si>
  <si>
    <t>The kids push the puck around back and fourth while walking around one another and ends with a woman stepping into frame and a close up of the young boy.</t>
  </si>
  <si>
    <t>v_eBajcta4sD4</t>
  </si>
  <si>
    <t>A camera pans around a building as well as people inside posing for pictures and putting fencing gear on.</t>
  </si>
  <si>
    <t>More clips are shown of fencing objects, people watching on the sides, and others getting ready to fence.</t>
  </si>
  <si>
    <t>Several clips are then shown of two people fencing each other with a woman reffing on the sides and people watching on the sides.</t>
  </si>
  <si>
    <t>v_JFA1iR09BUA</t>
  </si>
  <si>
    <t>A man is practicing in front of a mirror in a studio while another watches.</t>
  </si>
  <si>
    <t>They start taking turns in front of the mirror trying to perfect their moves.</t>
  </si>
  <si>
    <t>They are doing all kinds of crazy acrobatic flips and other moves.</t>
  </si>
  <si>
    <t>There is about six or seven men sitting up against the wall watching as the other flips around in the air.</t>
  </si>
  <si>
    <t>v_ctWolbJDJyc</t>
  </si>
  <si>
    <t>A person is seen walking down the length of a diving board while the camera zooms in.</t>
  </si>
  <si>
    <t>The man turns around and performs a back flip off of the board into the water.</t>
  </si>
  <si>
    <t>v_m-BZKFg9k18</t>
  </si>
  <si>
    <t>A lady dances around on an aerobic stair in a fitness gym.</t>
  </si>
  <si>
    <t>The lady spins off of the step.</t>
  </si>
  <si>
    <t>The lady touches her toes to the step.</t>
  </si>
  <si>
    <t>The lady repeats the routine repeatedly.</t>
  </si>
  <si>
    <t>The lady steps off of her step in front of it and looks at the camera.</t>
  </si>
  <si>
    <t>v_JTFEzdAw1L4</t>
  </si>
  <si>
    <t>An older woman throws a white ball towards a green cup.</t>
  </si>
  <si>
    <t>A young boy gives her back the ball.</t>
  </si>
  <si>
    <t>The woman throws the ball again.</t>
  </si>
  <si>
    <t>She does a dance and throws it again.</t>
  </si>
  <si>
    <t>She again throws the white ball.</t>
  </si>
  <si>
    <t>The young boy hands the woman the ball and she throws it again.</t>
  </si>
  <si>
    <t>The older woman starts laughing.</t>
  </si>
  <si>
    <t>v_-ArIbKfZc2s</t>
  </si>
  <si>
    <t>A group of rafters paddle there raft down a river with rapids and obstacles.</t>
  </si>
  <si>
    <t>A group of rafter push off from a rock and turn there boat around to face the current.</t>
  </si>
  <si>
    <t>The rafters maneuver through a concrete structure.</t>
  </si>
  <si>
    <t>The group paddles around a large boulder sticking high up in the middle of the river.</t>
  </si>
  <si>
    <t>The group jumps from a rock into the river.</t>
  </si>
  <si>
    <t>v_UD7HJBRK2Z4</t>
  </si>
  <si>
    <t>A light blue screen appears and it has multiple blue words that are not in English and they're scrolling from bottom to top.</t>
  </si>
  <si>
    <t>The direction of the scrolling letters change from bottom to top and now they're in the middle.</t>
  </si>
  <si>
    <t>A man wearing a white button up short sleeved shirt and black long pants is standing on green grass that's near water, with a large bush behind him and he's doing very slow coordinated movements.</t>
  </si>
  <si>
    <t>v_Ptw9hFDV4ow</t>
  </si>
  <si>
    <t>A coach is training a boy and a girl to do kickboxing.</t>
  </si>
  <si>
    <t>There is a woman standing in a purple shirt, filming the coach teach the kids.</t>
  </si>
  <si>
    <t>Both the girl and the boy are taking turns in returning the punches and kicks to the coach.</t>
  </si>
  <si>
    <t>The coach is encouraging the students to constantly punch and return the kicks.</t>
  </si>
  <si>
    <t>v_8OCTuqJVToU</t>
  </si>
  <si>
    <t>A small group of children are seen sitting around a pool while the camera pans around the pool.</t>
  </si>
  <si>
    <t>The kids kick their feet around and show one instructor helping a child.</t>
  </si>
  <si>
    <t>The man continues to swim around the pool with children and close ups of children.</t>
  </si>
  <si>
    <t>v_LWAxCIy4PBw</t>
  </si>
  <si>
    <t>A little boy is pushing a mop.</t>
  </si>
  <si>
    <t>He closes an oven door that is open.</t>
  </si>
  <si>
    <t>He continues to mop the floor.</t>
  </si>
  <si>
    <t>He picks the mop up and puts it in the air.</t>
  </si>
  <si>
    <t>He sets it down and continues mopping.</t>
  </si>
  <si>
    <t>v_qzt9U8tEdJQ</t>
  </si>
  <si>
    <t>Someone is shown driving down a snowy street in the Ukraine.</t>
  </si>
  <si>
    <t>Several skiers are skiing down the slopes on the side of a mountain.</t>
  </si>
  <si>
    <t>A close up is seen of some of the skiers as they go.</t>
  </si>
  <si>
    <t>v_zJX_Oh4yVnc</t>
  </si>
  <si>
    <t>A person is seen riding around on a dirt bike that leads into him speaking to the camera.</t>
  </si>
  <si>
    <t>He shows off his bike as well as camera and leads into several clips of him riding around.</t>
  </si>
  <si>
    <t>He continues to ride around on the track while also showing close ups of himself as well as the camera.</t>
  </si>
  <si>
    <t>v_r7kQ1sko74M</t>
  </si>
  <si>
    <t>A young man is seen playing a single drum standing next to a group of people also drumming.</t>
  </si>
  <si>
    <t>The boy continues drumming with the group and the camera pans around to people watching on the sides.</t>
  </si>
  <si>
    <t>v_h7Tq3Gsj6lY</t>
  </si>
  <si>
    <t>A man is shown in several shots riding around on a skateboard.</t>
  </si>
  <si>
    <t>Close ups are shown of objects as well as skateboard and places you can buy them.</t>
  </si>
  <si>
    <t>More close ups are shown of products.</t>
  </si>
  <si>
    <t>v_pnN9AK7WKHU</t>
  </si>
  <si>
    <t>We see a person jet skiing.</t>
  </si>
  <si>
    <t>We see a red and black sail on a surfboard.</t>
  </si>
  <si>
    <t>We then see a yellow and blue sail.</t>
  </si>
  <si>
    <t>A yellow one passes a black one and keeps going, then the yellow one turns around.</t>
  </si>
  <si>
    <t>A yellowish green one appears on the screen.</t>
  </si>
  <si>
    <t>Three pass a red and blue one going in opposite directions.</t>
  </si>
  <si>
    <t>The rider of the red and blue one falls off his board.</t>
  </si>
  <si>
    <t>v_aBmKEmXVCqM</t>
  </si>
  <si>
    <t>A man is standing on a elliptical working out.</t>
  </si>
  <si>
    <t>He moves his arms back and forth.</t>
  </si>
  <si>
    <t>There is a lake behind him.</t>
  </si>
  <si>
    <t>v_b5GJUtjiWkQ</t>
  </si>
  <si>
    <t>Three kids are seen standing out in front of a house when one plays hop scotch to a person coming in frame.</t>
  </si>
  <si>
    <t>The camera follows the same girl hopping down a long path and continuing her way back to where she started.</t>
  </si>
  <si>
    <t>v_JwdW7Tlc4gs</t>
  </si>
  <si>
    <t>A young man is sitting in his room.</t>
  </si>
  <si>
    <t>The young man started to play his guitar.</t>
  </si>
  <si>
    <t>The young man is moving his fingers as he press the threads on the guitar.</t>
  </si>
  <si>
    <t>v_H5F01WIyJWI</t>
  </si>
  <si>
    <t>A blindfolded man is standing outside with vehicles parked behind him and he's playing a small set of bongos as well as a large set of bongos right next to it.</t>
  </si>
  <si>
    <t>The man quickly only hits the small bongos and then moves onto the big bongos going from his right to his left.</t>
  </si>
  <si>
    <t>On the return back going from his left to his right, he hits only the large bongos first, then hits the smaller bongos.</t>
  </si>
  <si>
    <t>v_4p6OjaHHSDs</t>
  </si>
  <si>
    <t>A close up is shown of a woman wearing glasses.</t>
  </si>
  <si>
    <t>She starts smoking a cigarette, then leans over.</t>
  </si>
  <si>
    <t>A woman in bed is laughing as she falls onto her own bed, still smoking.</t>
  </si>
  <si>
    <t>v_ad5QOYLt_cI</t>
  </si>
  <si>
    <t>man is standing in front of a table chopping vegetables and preparing a sandwich, he put in a bread butter cheese, avoado, and ham and a rolled sandwich.</t>
  </si>
  <si>
    <t>man talks o the camera and spread butter in bread slices with a knife put cheddar cheese, ham and ketchup and cut in four slices and serve them in a plate.</t>
  </si>
  <si>
    <t>v_k9VKFjPYT3o</t>
  </si>
  <si>
    <t>A man in a blue coat is talking outside by a rock.</t>
  </si>
  <si>
    <t>He is wearing a rock climbing harness.</t>
  </si>
  <si>
    <t>He begins climbing up the rock.</t>
  </si>
  <si>
    <t>He has a rope around his neck with different rock climbing tools.</t>
  </si>
  <si>
    <t>He gives another person a high five.</t>
  </si>
  <si>
    <t>v_gh8rmWE-564</t>
  </si>
  <si>
    <t>Two people are seen riding down a hill with one on skis and the other on a sled.</t>
  </si>
  <si>
    <t>The person then goes over a jump and crashes into a snowbank, showing the same shot again in slow motion.</t>
  </si>
  <si>
    <t>v_tZ6Fjq6SJvQ</t>
  </si>
  <si>
    <t>A man and a woman dressed in a black evening gown and a black suit dance in a ball room dance style in a large room with stone floors and grated windows.</t>
  </si>
  <si>
    <t>The man and woman begin with a fast dance with a lot of foot work twirling around the floor.</t>
  </si>
  <si>
    <t>The man and woman then begin a slow dance in which they glide, caress, spin and twirl each other across the floor at times lingering in smoldering postures that imply romance.</t>
  </si>
  <si>
    <t>The man and woman then begin to dance fast again utilizing fast twirls and foot work and with the man picking the woman up and spinning her around in the air until one final dip.</t>
  </si>
  <si>
    <t>v__zkcTAj5Z8Q</t>
  </si>
  <si>
    <t>A young boy is seen swimming around with another person standing in the water.</t>
  </si>
  <si>
    <t>The boy continues to swim around with the other people as well as do flips under the water.</t>
  </si>
  <si>
    <t>The kids move under and over the water while the camera continues to follow them.</t>
  </si>
  <si>
    <t>v_Qm6HmQv5uOo</t>
  </si>
  <si>
    <t>A man sings a song with someone plays an accordion in a restaurant.</t>
  </si>
  <si>
    <t>The man playing accordion breaks his instrument in half.</t>
  </si>
  <si>
    <t>The people are startled but continue on singing the song.</t>
  </si>
  <si>
    <t>v_cwhkG3LhZO8</t>
  </si>
  <si>
    <t>A little boy is standing at the parking lot, he is not wearing a shirt, he talked to the camera.</t>
  </si>
  <si>
    <t>He then walked with both his elbows up towards the road.</t>
  </si>
  <si>
    <t>The boy is on stage playing a brown guitar, he is not wearing a shirt, there's a microphone in front of him, behind him is a man playing a guitar too.</t>
  </si>
  <si>
    <t>v_-zHX3Gdx6I4</t>
  </si>
  <si>
    <t>A boy is running down a track.</t>
  </si>
  <si>
    <t>The boy lifts his body above the height of a pole.</t>
  </si>
  <si>
    <t>The boy lands on his back on to a red mat.</t>
  </si>
  <si>
    <t>The boy gets up from the mat.</t>
  </si>
  <si>
    <t>The boy celebrates by clapping and flexing both arms.</t>
  </si>
  <si>
    <t>A man stands and observes.</t>
  </si>
  <si>
    <t>v_IuY073Pr4E4</t>
  </si>
  <si>
    <t>The man walks towards a children's playground.</t>
  </si>
  <si>
    <t>The man hangs from mounted bar type devices in the playground.</t>
  </si>
  <si>
    <t>The man dismounts and walks back to the camera.</t>
  </si>
  <si>
    <t>v_bjtjeUcoxkg</t>
  </si>
  <si>
    <t>A man speaks to a camera.</t>
  </si>
  <si>
    <t>Another man shaves his face that is covered with shaving cream.</t>
  </si>
  <si>
    <t>The man shaves part of his neck.</t>
  </si>
  <si>
    <t>The man's razor is covered with shaving cream so he rinses the razor with water.</t>
  </si>
  <si>
    <t>The man speaks to the camera again.</t>
  </si>
  <si>
    <t>The shaving man again shaves part of his cheek area.</t>
  </si>
  <si>
    <t>An animation of shaving is shown.</t>
  </si>
  <si>
    <t>The man continues to speak to the camera.</t>
  </si>
  <si>
    <t>The shaving man shaves more towards his chin, including his upper cheek.</t>
  </si>
  <si>
    <t>The man speaks some more to the camera.</t>
  </si>
  <si>
    <t>v_X487OD6H6LE</t>
  </si>
  <si>
    <t>A man is sitting behind two congas with one shoulder rolled up.</t>
  </si>
  <si>
    <t>After he finishes talking,he begins hitting the conga.</t>
  </si>
  <si>
    <t>After several hits,he adds in the other conga and starts to hit the other conga.</t>
  </si>
  <si>
    <t>v_PUJqlmTdlak</t>
  </si>
  <si>
    <t>A man shuffles a deck of cards and deals them.</t>
  </si>
  <si>
    <t>Four aces are shown face up on the table.</t>
  </si>
  <si>
    <t>A man sits at a table and plays blackjack.</t>
  </si>
  <si>
    <t>v_NA8fCmbHwU8</t>
  </si>
  <si>
    <t>A team rides together on a bus.</t>
  </si>
  <si>
    <t>Teams play games of beach soccer.</t>
  </si>
  <si>
    <t>A man makes a bicycle kick in the sand.</t>
  </si>
  <si>
    <t>The winning team holds up a trophy together and celebrates.</t>
  </si>
  <si>
    <t>Teammates call from the bench and cheer.</t>
  </si>
  <si>
    <t>v_I4wkBjpwAAU</t>
  </si>
  <si>
    <t>Two army men in the their uniforms are tied together and pulling each other in opposite direction as part of their training.</t>
  </si>
  <si>
    <t>There is a crowd of army officers watching them cheering for them as they do the strength training exercise.</t>
  </si>
  <si>
    <t>The game is over after one of the army officer's drags the other officer on the ground and wins the game.</t>
  </si>
  <si>
    <t>v_NkvwL_M_lDg</t>
  </si>
  <si>
    <t>The man in blue shirt is strumming the drum in front of him.</t>
  </si>
  <si>
    <t>The young man strum the drum in front of him then the next drum.</t>
  </si>
  <si>
    <t>The young man strum the drums in front of him.</t>
  </si>
  <si>
    <t>v_4IRb308UjTA</t>
  </si>
  <si>
    <t>A woman opens the trunk of a car.</t>
  </si>
  <si>
    <t>She gets a spare tire out and sets it on the ground.</t>
  </si>
  <si>
    <t>She takes the old tire off.</t>
  </si>
  <si>
    <t>She puts the new tire on.</t>
  </si>
  <si>
    <t>She puts the hub of the tire on.</t>
  </si>
  <si>
    <t>v_lly76lvHbB8</t>
  </si>
  <si>
    <t>A man in a red shirt holds onto a disc and skates down the ice.</t>
  </si>
  <si>
    <t>He lets go of the disc and walks back.</t>
  </si>
  <si>
    <t>v_7MWFfqhKgIY</t>
  </si>
  <si>
    <t>A little girl performs holding on the rings.</t>
  </si>
  <si>
    <t>A boy stands next a man, then he raise a hand and walks to perform on the parallel bards.</t>
  </si>
  <si>
    <t>The boy swing on the bars, and then jumps on the mat.</t>
  </si>
  <si>
    <t>v_wjcCl0jPxO4</t>
  </si>
  <si>
    <t>There's a woman in a maroon shirt washing her face in the sink.</t>
  </si>
  <si>
    <t>An aesthetician is talking about skin care routines and giving tips on how to keep facial skin clean.</t>
  </si>
  <si>
    <t>The model washes her face and then dabs it dry gently with a towel.</t>
  </si>
  <si>
    <t>v_bFgXdHQnTtQ</t>
  </si>
  <si>
    <t>Three girls exercise inside a house.</t>
  </si>
  <si>
    <t>The girls dance while jumping, spinning and moving the hips.</t>
  </si>
  <si>
    <t>Then, the girls one by one thrown to the ground, then stand and continue dancing.</t>
  </si>
  <si>
    <t>After, two girls kneel and a child stands on the legs and raise her arms, after the girls ends their performance.</t>
  </si>
  <si>
    <t>v_-lER_VO9LUo</t>
  </si>
  <si>
    <t>Two dogs are walking on the sidewalk attached by a rope.</t>
  </si>
  <si>
    <t>Two people are walking on the sidewalk next to them.</t>
  </si>
  <si>
    <t>One of the people is carrying a water bottle.</t>
  </si>
  <si>
    <t>v_r5cjo7N6IEY</t>
  </si>
  <si>
    <t>A shadow is on the ground, caused by a designed shrub.</t>
  </si>
  <si>
    <t>A man is shown outdoors, showing off his multitude of decorative bushes in his yard.</t>
  </si>
  <si>
    <t>He clips and measures them to make sure they look their best.</t>
  </si>
  <si>
    <t>He finds two that look like boxers, and pretends to make them fight.</t>
  </si>
  <si>
    <t>v_hh6Yt_LJPwQ</t>
  </si>
  <si>
    <t>A woman is seen talking to people out in public followed by a man washing his mouth out and kissing another girl.</t>
  </si>
  <si>
    <t>He then presents the mouth to various people spread out through days and has the people speak to the camera about their experience.</t>
  </si>
  <si>
    <t>v_G-zVpNXq224</t>
  </si>
  <si>
    <t>We see Ellen playing table tennis.</t>
  </si>
  <si>
    <t>A Table tennis player comes out.</t>
  </si>
  <si>
    <t>The new match is played.</t>
  </si>
  <si>
    <t>The man holds his arms out.</t>
  </si>
  <si>
    <t>Ellen ducks down near the table.</t>
  </si>
  <si>
    <t>The players shake hands, the lady hugs Ellen and laugh.</t>
  </si>
  <si>
    <t>We see the ending screen with Ellen on it.</t>
  </si>
  <si>
    <t>v_N2fTZV7pnEw</t>
  </si>
  <si>
    <t>A man is skiin on a slope, quickly.</t>
  </si>
  <si>
    <t>He turns as he passes between other skiers on the way.</t>
  </si>
  <si>
    <t>The man continues until he is finished, then removes himself to the board and joins other skiers at the resting spot.</t>
  </si>
  <si>
    <t>v_IrTqW6Qn8mI</t>
  </si>
  <si>
    <t>A close up is shown of leaves being blown.</t>
  </si>
  <si>
    <t>A person is blowing leaves with a leaf blower.</t>
  </si>
  <si>
    <t>They continue blowing the leaves across the yard.</t>
  </si>
  <si>
    <t>v_D2Trvi7Im_s</t>
  </si>
  <si>
    <t>A woman is skating down a sidewalk outside.</t>
  </si>
  <si>
    <t>She rolls slowly past the camera.</t>
  </si>
  <si>
    <t>She keeps skating down the sidewalk past the ocean's edge.</t>
  </si>
  <si>
    <t>v_3Hgwyprv8u4</t>
  </si>
  <si>
    <t>A camera pans all around a vacuum close up and shows a person's feet.</t>
  </si>
  <si>
    <t>The person walks around with the vacuum and pushes it along a rug.</t>
  </si>
  <si>
    <t>More shots are shown of the person using the attachments on the camera as well as showing how it's made.</t>
  </si>
  <si>
    <t>v_eUCKEnKxG8w</t>
  </si>
  <si>
    <t>Two young girls are seen kneeling before a tub while speaking to the camera.</t>
  </si>
  <si>
    <t>The girls hold up a product and measure it out followed by putting it into their mouths and swishing it around.</t>
  </si>
  <si>
    <t>The girls then spit out the liquid and continue to speak to the camera.</t>
  </si>
  <si>
    <t>v_9BS1II6O7I0</t>
  </si>
  <si>
    <t>A young man solves a cube puzzle while a man stand on front him.</t>
  </si>
  <si>
    <t>Then, a man writes on a paper and shows the young man.</t>
  </si>
  <si>
    <t>The young man solves again the puzzle is less time, and the man takes note.</t>
  </si>
  <si>
    <t>After the young man solves again two times the puzzle in less time.</t>
  </si>
  <si>
    <t>At the end, the young man solves the puzzle in less time than the previous times, he raises happy from his chair.</t>
  </si>
  <si>
    <t>v_sdMr24Qyrw8</t>
  </si>
  <si>
    <t>A young girl is sitting in a chair, awaiting nervously.</t>
  </si>
  <si>
    <t>The piercing artist paints a dot above her lip.</t>
  </si>
  <si>
    <t>He sanitizes his tools and proceeds to pierce the lip of the young girl.</t>
  </si>
  <si>
    <t>He inserts a ring into the piercing.</t>
  </si>
  <si>
    <t>He tightens the piercing and cleans around the piercing.</t>
  </si>
  <si>
    <t>The girl looks into a mirror handed to her by the piercing artist and looks pleased.</t>
  </si>
  <si>
    <t>v_tseeGOVN_eY</t>
  </si>
  <si>
    <t>A child is seen turning on a faucet and begins washes dishes in a sink.</t>
  </si>
  <si>
    <t>The child turns the water off an on again while scrubbing the dishes and another person walking in to help.</t>
  </si>
  <si>
    <t>v_opAcl-kukdU</t>
  </si>
  <si>
    <t>cherleader team wearing purple uniforms are doing a choreography on the middle of a wooden court.</t>
  </si>
  <si>
    <t>a lot of people are sitting on stands around the court.</t>
  </si>
  <si>
    <t>people is walking on sides of the wooden court in a roofed gym.</t>
  </si>
  <si>
    <t>v_J0EWvkkxh5o</t>
  </si>
  <si>
    <t>We see a girl preparing to dive in an indoor pool.</t>
  </si>
  <si>
    <t>The girl jumps and stands looking scared of the height.</t>
  </si>
  <si>
    <t>The girl turns and dives into the water.</t>
  </si>
  <si>
    <t>The girl surfaces and swims to the edge of the pool.</t>
  </si>
  <si>
    <t>v_BJ-1HVacaF4</t>
  </si>
  <si>
    <t>The video starts with a logo of the cathedrals of light.</t>
  </si>
  <si>
    <t>Next a group of people are shown.</t>
  </si>
  <si>
    <t>Then people are shown swimming in an underwater world.</t>
  </si>
  <si>
    <t>Reefs and rocks are shown underwater.</t>
  </si>
  <si>
    <t>Scuba divers are shown swimming deep into the water exploring what is around.</t>
  </si>
  <si>
    <t>v_JFVZdzzJVr8</t>
  </si>
  <si>
    <t>Two men are next to the table wearing blue shirts and welding helmets.</t>
  </si>
  <si>
    <t>The man is holding a welding machine and working on a metal that causes sparks, next to him is another man watching closely on the metal.</t>
  </si>
  <si>
    <t>The lights lit up, the man is poking the metal.</t>
  </si>
  <si>
    <t>v_gJKw6jGjiDE</t>
  </si>
  <si>
    <t>A gymnast stands nervously awaiting her start.</t>
  </si>
  <si>
    <t>The crowd in the arena watches her.</t>
  </si>
  <si>
    <t>She climbs up to a bar and performs various flips, cartwheels, as well as doing the splits mid air.</t>
  </si>
  <si>
    <t>She jumps off the bar and lands on a blue mat.</t>
  </si>
  <si>
    <t>v_6fgk5PKVS2o</t>
  </si>
  <si>
    <t>A person's car is shown from several angles with a person inside and leads into the car driving with people inside.</t>
  </si>
  <si>
    <t>The people are then shown in various angles riding up a snowy mountain and going down a hill.</t>
  </si>
  <si>
    <t>Close ups of the people's faces are shown as they go up and down the hill several times and landing at the bottom of a hill.</t>
  </si>
  <si>
    <t>v_uBhuULfs3Hc</t>
  </si>
  <si>
    <t>A man is at a mound, spinning a disc around in circles.</t>
  </si>
  <si>
    <t>He lets go of the disc and watches it fly.</t>
  </si>
  <si>
    <t>A line of discs is shown before a group of people on the field, choosing their own disc.</t>
  </si>
  <si>
    <t>People are shown, one at a time, throwing the discs.</t>
  </si>
  <si>
    <t>The winner stands with his trophy, shaking hands of people who walk up to him.</t>
  </si>
  <si>
    <t>v_4dyn1oKJO34</t>
  </si>
  <si>
    <t>Various clips are shown of people playing lacrosse followed by a man holding the stick and speaking to the camera.</t>
  </si>
  <si>
    <t>He moves the stick all around demonstrating how to properly play.</t>
  </si>
  <si>
    <t>v_G9ynahMxUz8</t>
  </si>
  <si>
    <t>A little girl kicks a big pink ball to her mother, who catches it and kicks it back.</t>
  </si>
  <si>
    <t>They continue kicking and throwing the ball to each other, and a man joins in.</t>
  </si>
  <si>
    <t>The little girl chases down the ball, bringing it back.</t>
  </si>
  <si>
    <t>v_2WwWzzO6rZQ</t>
  </si>
  <si>
    <t>A female gymnast jumps onto a balance beam and do many tricks and flips and lands back on her feet.</t>
  </si>
  <si>
    <t>the gymnast does two nice back flips back to back while keeping her balance and landing prefect on her feet.</t>
  </si>
  <si>
    <t>finally the female gymnast finishes with a high twice flip off the balance beam in the air and lands on the mat prefect.</t>
  </si>
  <si>
    <t>v_oT42qP2zIXo</t>
  </si>
  <si>
    <t>An intro appears of a person standing in front of objects on a counter, then a white screen appears with a picture of an owl and the words on the screen that include a website and the gray words "Samurai Pro Knife Sharpener".</t>
  </si>
  <si>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t>
  </si>
  <si>
    <t>The man is touching, holding and showing the camera a closer look of the sharpener.</t>
  </si>
  <si>
    <t>The outro is a person drawing the owl and the website onto a large piece of paper with markers, gives a thumbs up when they're done, then the screen goes to a digital white screen of the same owl that was just drawn and the website below it.</t>
  </si>
  <si>
    <t>v_YPSV5JEqhBw</t>
  </si>
  <si>
    <t>Women are holding a ball and spinning around before throwing it onto the field.</t>
  </si>
  <si>
    <t>A man in a red shirt is holding a broom.</t>
  </si>
  <si>
    <t>People are watching them throw the balls.</t>
  </si>
  <si>
    <t>v_1t0yXLlX1XE</t>
  </si>
  <si>
    <t>Several images of a bald man bowling are shown and then he appears and throws a curve ball.</t>
  </si>
  <si>
    <t>Several videos from different locations are shown of the curve ball and the ball almost goes to the gutter but curves about two to three feet away from the bowling pins.</t>
  </si>
  <si>
    <t>v_iUe1t0sN4Jo</t>
  </si>
  <si>
    <t>A man bowls several times down a lane.</t>
  </si>
  <si>
    <t>The screen of the score board is shown.</t>
  </si>
  <si>
    <t>v_aUbSDHBZNEQ</t>
  </si>
  <si>
    <t>A close up of a dog is seen who proceeds to run away towards another dog.</t>
  </si>
  <si>
    <t>The big dog then leads the little dog around on a leash.</t>
  </si>
  <si>
    <t>v_QJVtvcYcwac</t>
  </si>
  <si>
    <t>This a video tutorial on getting box braids.</t>
  </si>
  <si>
    <t>A screen pops up with several websites and social media addresses.</t>
  </si>
  <si>
    <t>There are stills of the processes to make the braids shown on a girl in a pink jacket.</t>
  </si>
  <si>
    <t>Then a video shows how the process looks in actual time using a comb and the technique of separating the braids as a woman braids the hair by hand.</t>
  </si>
  <si>
    <t>Then there is a front view of the little girl in pink as the woman behind her finishes up the braiding process at the front of her head.</t>
  </si>
  <si>
    <t>There are screen text that mentions how the hair looks six hours later.</t>
  </si>
  <si>
    <t>Then there are still shots of the results of her hair being braided.</t>
  </si>
  <si>
    <t>v_Ycf5NG0xedg</t>
  </si>
  <si>
    <t>A waterfall appears on screen next to a river with the title "H20 Adventures Savegre River" overlaid.</t>
  </si>
  <si>
    <t>A group of people walk across a red suspension walking bridge above the river.</t>
  </si>
  <si>
    <t>A group of people wearing life vests and holding oars listen to instructions.</t>
  </si>
  <si>
    <t>Groups of people row inflatable rafts down the fast current river.</t>
  </si>
  <si>
    <t>People stand on shore talking and drinking beverages.</t>
  </si>
  <si>
    <t>Video credits appear on screen over video of a lizard on a rock.</t>
  </si>
  <si>
    <t>The screen goes completely black after the credits end.</t>
  </si>
  <si>
    <t>v_aFGLXYcKD2M</t>
  </si>
  <si>
    <t>A couple of men are on an indoor tennis court.</t>
  </si>
  <si>
    <t>They lob the ball back and forth over the net.</t>
  </si>
  <si>
    <t>They hit the ball back to each other.</t>
  </si>
  <si>
    <t>v_jGLJuL49zYE</t>
  </si>
  <si>
    <t>Two men alternatively dance on the street while pedestrian and road traffic pass by.</t>
  </si>
  <si>
    <t>Two women stop to watch the dancers.</t>
  </si>
  <si>
    <t>A man and a woman stop to watch the dancers.</t>
  </si>
  <si>
    <t>v_Gpjx38IDVT0</t>
  </si>
  <si>
    <t>A boy is inside an outdoor net.</t>
  </si>
  <si>
    <t>He swings a ball on a rope very quickly.</t>
  </si>
  <si>
    <t>He lets it go and watches as it flies across the field.</t>
  </si>
  <si>
    <t>v_TDwSu2nfSXw</t>
  </si>
  <si>
    <t>A boy dancing on the front of a book with describing credits.</t>
  </si>
  <si>
    <t>The boy is sitting in an empty room talking about his dance moves.</t>
  </si>
  <si>
    <t>The boy is standing in the room showing a move that starts with kicking his left foot out as he slowly turns and shows the rest of the current dance move.</t>
  </si>
  <si>
    <t>Next the boy starts with same move but moves quicker.</t>
  </si>
  <si>
    <t>The instructions to practice are shown as the boy is dancing in the almost empty room.</t>
  </si>
  <si>
    <t>v_Uk_VxavVjP0</t>
  </si>
  <si>
    <t>The trees are shown above the water.</t>
  </si>
  <si>
    <t>A man puts his hands behind his head.</t>
  </si>
  <si>
    <t>v_WjueR8K-nnI</t>
  </si>
  <si>
    <t>Children rides bumper cars in a carnival.</t>
  </si>
  <si>
    <t>The kids get stuck in the center, but they free and drive.</t>
  </si>
  <si>
    <t>A woman push a stroller in the street.</t>
  </si>
  <si>
    <t>Children bumps cars and ride around.</t>
  </si>
  <si>
    <t>The children gets off the bumper cars and walk to the exit.</t>
  </si>
  <si>
    <t>v_3nvKiZeVfGY</t>
  </si>
  <si>
    <t>A person slides a heavy ball on the floor while holding a brush on his left hand.</t>
  </si>
  <si>
    <t>Then, two men brush the floor on front the heavy ball without touching it.</t>
  </si>
  <si>
    <t>People plays behind the person.</t>
  </si>
  <si>
    <t>The yellow ball reaches the center of the red circle.</t>
  </si>
  <si>
    <t>v_pgBfTJzVB98</t>
  </si>
  <si>
    <t>A man is wearing a red hat and sunglasses.</t>
  </si>
  <si>
    <t>He throws a dart in front of him.</t>
  </si>
  <si>
    <t>He makes a bulls eye on the dart board.</t>
  </si>
  <si>
    <t>v_XwrF8edyJz0</t>
  </si>
  <si>
    <t>A camera pans around glasses of lemonade followed by a person squeezing juice out of lemons.</t>
  </si>
  <si>
    <t>The person mixes various ingredients together into a bowl and pours it into a glass.</t>
  </si>
  <si>
    <t>Several shots are shown of the glasses being poured as well as presented to the camera.</t>
  </si>
  <si>
    <t>v_1_YFTTzzLrI</t>
  </si>
  <si>
    <t>A man sits at a table and a woman moves a box from him.</t>
  </si>
  <si>
    <t>He puts his hands on the table then begins to solve a rubix cube.</t>
  </si>
  <si>
    <t>The timer continues as he solves the cube.</t>
  </si>
  <si>
    <t>v_J4UFrrwKUQA</t>
  </si>
  <si>
    <t>two men are standing in a sailing boat in sea.</t>
  </si>
  <si>
    <t>man is standing in a dock wearing a red bull shirt and then is in the saillboat.</t>
  </si>
  <si>
    <t>dolphins are swimming next to the boat.</t>
  </si>
  <si>
    <t>people are standing on a sunny day in a dock.</t>
  </si>
  <si>
    <t>v_TssNxg5XJ-o</t>
  </si>
  <si>
    <t>A man is kneeling on the ice with another beside hide pulling string out of a hole.</t>
  </si>
  <si>
    <t>They continue to pull the string while the man beside him grabs a hook.</t>
  </si>
  <si>
    <t>He places the hook near the hole but the man grabs a fish on a string.</t>
  </si>
  <si>
    <t>The fish flops around and the man grabs the fish and holds him up.</t>
  </si>
  <si>
    <t>v_RYyGvn4MOr0</t>
  </si>
  <si>
    <t>People drive bumper cars in a carnival.</t>
  </si>
  <si>
    <t>A little girl follows a boy in a yellow bumper car.</t>
  </si>
  <si>
    <t>Then, the boy and the girl hit other bumper cars.</t>
  </si>
  <si>
    <t>v_PEp22TMpoHA</t>
  </si>
  <si>
    <t>A group of people are on rafts,white water rafting through rocky waters.</t>
  </si>
  <si>
    <t>Eventually,they travel through the water and end up hitting a huge rock and losing their paddles.</t>
  </si>
  <si>
    <t>After,they continue to go through rocky parts of the water and slide down small hills.</t>
  </si>
  <si>
    <t>v_teDceMxV9PA</t>
  </si>
  <si>
    <t>A reporter reports on a story about amputees and non amputees using replacement limbs with advanced technology or as leg extenders and performance enhancers for non amputees.</t>
  </si>
  <si>
    <t>A reporter sits at a reporters table during a news broadcast before the clip cuts to people wearing limb replacement technology.</t>
  </si>
  <si>
    <t>Several clips of men who are not amputees wearing amputee extender legs are shown with the subjects running and bounced in the street.</t>
  </si>
  <si>
    <t>v_brewO_8bl4g</t>
  </si>
  <si>
    <t>Hulk Hogan is seen speaking to the camera while holding up his arms and another man stands in the background.</t>
  </si>
  <si>
    <t>The man continues speaking to the camera and leads into clips of a boy arm wrestling and another man holding up his arm.</t>
  </si>
  <si>
    <t>v_WnYqWQ005Tc</t>
  </si>
  <si>
    <t>An Asian male is standing on a hard wood floor and begins talking and begins to do a spin on his head.</t>
  </si>
  <si>
    <t>After the clip,he comes back and shows how to properly place your hands on the floor.</t>
  </si>
  <si>
    <t>As he continues,he grabs a beanie and puts it on his hand to make him turn easier.</t>
  </si>
  <si>
    <t>The man then does the twist continuously and shows off the cricket position before returning to talk again.</t>
  </si>
  <si>
    <t>v_rob5gIT_pAw</t>
  </si>
  <si>
    <t>man is welding a metal machine in a room.</t>
  </si>
  <si>
    <t>man is talknig to the camera and is holding an emery in a machine room.</t>
  </si>
  <si>
    <t>v_Yyv8oxrFGV0</t>
  </si>
  <si>
    <t>A group of men are seen crowded around a table where more men are sitting and speaking.</t>
  </si>
  <si>
    <t>Eventually two men chug a beer followed down a line of more men drinking their beer.</t>
  </si>
  <si>
    <t>The men finish their beers and laugh and applaud one another while many watch on the sides.</t>
  </si>
  <si>
    <t>v_SMpmoqIk3Ts</t>
  </si>
  <si>
    <t>Several individuals are in the water playing a game and the man throws an orange ball to a person.</t>
  </si>
  <si>
    <t>The person then takes the ball and throws it to the man sitting next to the goal.</t>
  </si>
  <si>
    <t>He then moves to the other side of the pool and grabs the goal.</t>
  </si>
  <si>
    <t>v_Xhrk1wP8tCs</t>
  </si>
  <si>
    <t>A man is sitting down next to a desk where a fitness equipment piece is placed.</t>
  </si>
  <si>
    <t>The man shows off the pedals of the equipment as well as a timer on the equipment.</t>
  </si>
  <si>
    <t>A woman is seen walking on the equipment.</t>
  </si>
  <si>
    <t>A man pulls the fitness equipment from under a desk.</t>
  </si>
  <si>
    <t>The man is seen by the desk again, talking about the fitness equipment.</t>
  </si>
  <si>
    <t>v_Snw8Jf1DQwg</t>
  </si>
  <si>
    <t>A screenshot of a woman wearing a blue jumpsuit is standing in a pose holding two batons and white words on the middle of the screen say "2 Baton Nicole".</t>
  </si>
  <si>
    <t>The woman is now standing on a floor with a lot of colorful lines and dashes and she begins her 2 baton routine that includes a lot of twirling, spinning, and throwing and catching of the batons.</t>
  </si>
  <si>
    <t>Almost to the end of her routine the woman drops the baton twice, picks them up and continues to do her routine until the end.</t>
  </si>
  <si>
    <t>v_On4V94fVLpg</t>
  </si>
  <si>
    <t>A lady speaks with two pumpkins on a table.</t>
  </si>
  <si>
    <t>A woman shows her palm.</t>
  </si>
  <si>
    <t>A person carves a pumpkin.</t>
  </si>
  <si>
    <t>A females gives an interview on carving kit.</t>
  </si>
  <si>
    <t>Children hold pumpkins with smiles on their faces.</t>
  </si>
  <si>
    <t>A man pulls the top of a pumpkin off.</t>
  </si>
  <si>
    <t>The lady presents a knife and a smaller knife.</t>
  </si>
  <si>
    <t>Two people sit with papers in front of them.</t>
  </si>
  <si>
    <t>v_K9kVsnTQh-g</t>
  </si>
  <si>
    <t>A man in sweat shirt washes plates and cups in a sink with soapy water.</t>
  </si>
  <si>
    <t>The man picks up silverware soaking in sink and washes them off.</t>
  </si>
  <si>
    <t>The man washes pots and a cutting board.</t>
  </si>
  <si>
    <t>The man washes a coffee press gadget.</t>
  </si>
  <si>
    <t>The man turns off the water and drains the sink.</t>
  </si>
  <si>
    <t>v_ssies4ErWus</t>
  </si>
  <si>
    <t>People are sitting on the edge of the water.</t>
  </si>
  <si>
    <t>A guy is chopping something on the ground.</t>
  </si>
  <si>
    <t>A woman gets up and walks away.</t>
  </si>
  <si>
    <t>v_KdqoLhoXjS8</t>
  </si>
  <si>
    <t>A grooming room is shown and three people are washing different dogs.</t>
  </si>
  <si>
    <t>Other rooms are shown and the dogs continue being groomed and laying down on the ground waiting for their turn.</t>
  </si>
  <si>
    <t>After,the camera leaves the back of the office and the reception area is shown.</t>
  </si>
  <si>
    <t>v_mNTO-xnsaTc</t>
  </si>
  <si>
    <t>People are paddling oars in a blue raft.</t>
  </si>
  <si>
    <t>They go over a wave in the water.</t>
  </si>
  <si>
    <t>They continue going down the river.</t>
  </si>
  <si>
    <t>v_6PaTEwG8Ym4</t>
  </si>
  <si>
    <t>A man is seated on a chair in a hair salon.</t>
  </si>
  <si>
    <t>He is getting a haircut from a hairdresser who is wearing a blue dress.</t>
  </si>
  <si>
    <t>The man is sitting with a camera in his hand.</t>
  </si>
  <si>
    <t>The hairdresser finishes cutting his hair and then steps back.</t>
  </si>
  <si>
    <t>v_PNdG3SUdJzc</t>
  </si>
  <si>
    <t>A kneeling man attempts to start a fire while several others watch on.</t>
  </si>
  <si>
    <t>One of the spectators walks away briefly.</t>
  </si>
  <si>
    <t>The kneeling man starts a fire.</t>
  </si>
  <si>
    <t>One of the spectators kisses the kneeing man.</t>
  </si>
  <si>
    <t>v_A0R3KFXD_BU</t>
  </si>
  <si>
    <t>A group of men sit around a bar flirting with a bartender behind the bar.</t>
  </si>
  <si>
    <t>The woman continues talking to the men while the camera pans around various groups of people nearby the bar.</t>
  </si>
  <si>
    <t>The woman sparks with her hands while also dealing cards for people at the bar.</t>
  </si>
  <si>
    <t>v_izdf6Fm48Tc</t>
  </si>
  <si>
    <t>A man is seen speaking to the camera with a pair of shoes in front of him.</t>
  </si>
  <si>
    <t>He holds up the shoes as well as cleaning products and begins using them on the shoes.</t>
  </si>
  <si>
    <t>He wipes the shoes while still showing the cleaning products and speaking to the camera.</t>
  </si>
  <si>
    <t>v_a9qztQPPsJg</t>
  </si>
  <si>
    <t>man is sitting in font of a table talking about how to clean a white sneaker.</t>
  </si>
  <si>
    <t>man pour a liquid on water and cleans the shoe with a brush and with a wipe polish it.</t>
  </si>
  <si>
    <t>v_7MDr4f1r8rI</t>
  </si>
  <si>
    <t>Girls are shown one at a time, using pvc pipes to vault in an indoor gym onto a mat.</t>
  </si>
  <si>
    <t>Finally a boy is shown vaulting as well.</t>
  </si>
  <si>
    <t>v_P2HtcvFg3z8</t>
  </si>
  <si>
    <t>A close up of a cartoon earth is shown, followed by a cartoon man with a javelin.</t>
  </si>
  <si>
    <t>The man is then shown throwing three different javelins in competition, interspersed with words on the screen.</t>
  </si>
  <si>
    <t>v_Zgiq5MK8fQ8</t>
  </si>
  <si>
    <t>A woman is seen standing next to a frozen car while looking away from the camera.</t>
  </si>
  <si>
    <t>The woman then begins using a scraper to scrape off the sides.</t>
  </si>
  <si>
    <t>The woman continues scraping the car and looking off into the distance.</t>
  </si>
  <si>
    <t>v_v5KAaaZD6uk</t>
  </si>
  <si>
    <t>Athletes are giving interviews, and some show off their participation medals.</t>
  </si>
  <si>
    <t>Athletes are boarding white buses.</t>
  </si>
  <si>
    <t>The buses move down the road.</t>
  </si>
  <si>
    <t>A person stacks tee shirts.</t>
  </si>
  <si>
    <t>Athletes wait at the start line.</t>
  </si>
  <si>
    <t>Athletes are running down the road.</t>
  </si>
  <si>
    <t>Athletes cross the finish line.</t>
  </si>
  <si>
    <t>v_i1s-HuRTr5k</t>
  </si>
  <si>
    <t>An athlete is seen sitting on the ground when a man walks over and hands him shoes.</t>
  </si>
  <si>
    <t>The man then puts on the shoes and begins moving around the field.</t>
  </si>
  <si>
    <t>The man kicks a ball around while the camera follows him from behind.</t>
  </si>
  <si>
    <t>v_Nk4p-ah_PkA</t>
  </si>
  <si>
    <t>People playing a baseball game are shown on a large field with dozens of people watching on the side.</t>
  </si>
  <si>
    <t>The people continue playing the game and ends with several players running of the field in the end.</t>
  </si>
  <si>
    <t>v_IZdVPuT8Hfs</t>
  </si>
  <si>
    <t>A person is helping a young man to jump behind the rails of a bridge and check the belts.</t>
  </si>
  <si>
    <t>Then, the man jumps down the bridge.</t>
  </si>
  <si>
    <t>v_V4_SJyhRGqA</t>
  </si>
  <si>
    <t>A game of croquette is in progress.</t>
  </si>
  <si>
    <t>A man has lined up numerous colored balls.</t>
  </si>
  <si>
    <t>He moves down the line, hitting each ball through the goal.</t>
  </si>
  <si>
    <t>v_7uk4sqUBhks</t>
  </si>
  <si>
    <t>This video is a tutorial showing people how to ski correctly.</t>
  </si>
  <si>
    <t>First it tells you what environment you should ski in.</t>
  </si>
  <si>
    <t>It also shows someone skiing in the snow to accompany the steps given.</t>
  </si>
  <si>
    <t>v_gqJE_SZyoIc</t>
  </si>
  <si>
    <t>A man is working out on an elliptical machine.</t>
  </si>
  <si>
    <t>It shows the screen on the machine.</t>
  </si>
  <si>
    <t>v_lEqYTrzaHsc</t>
  </si>
  <si>
    <t>An intro leads into a boat full of people flying on the water.</t>
  </si>
  <si>
    <t>The camera shows various angles of the boat moving along the water as well as close ups on the people on board.</t>
  </si>
  <si>
    <t>v_EavcvmrlVLQ</t>
  </si>
  <si>
    <t>We see men playing a game of soccer and scoring repeatedly indoors.</t>
  </si>
  <si>
    <t>We see a goalie jumping around and a man shoot and score.</t>
  </si>
  <si>
    <t>We see a happy young man fanning his shirt.</t>
  </si>
  <si>
    <t>v_UfYMJBu4HI0</t>
  </si>
  <si>
    <t>Apply the tiles in the same exact direction.</t>
  </si>
  <si>
    <t>The tile must be installed over the adhesive.</t>
  </si>
  <si>
    <t>Then roll immediately with a hundred-point roller.</t>
  </si>
  <si>
    <t>Cut tiles near the perimeter to ensure smooth installation.</t>
  </si>
  <si>
    <t>v_QWhn9Ncvvso</t>
  </si>
  <si>
    <t>A person shows bacon on a dish, then puts mayonnaise on two pieces of bread.</t>
  </si>
  <si>
    <t>Then, the person puts bacon on a bread and lettuce and tomato on the other bread, then spread peeper and form the sandwich.</t>
  </si>
  <si>
    <t>Next, the person cuts the sandwich in half, then takes a half and gives a bite.</t>
  </si>
  <si>
    <t>v_VGVIaQuhdcI</t>
  </si>
  <si>
    <t>A man uses a tool to even plaster on a wall.</t>
  </si>
  <si>
    <t>The man works on the wall below the visible frame of the camera.</t>
  </si>
  <si>
    <t>The man rises up in front of the camera and walks past it.</t>
  </si>
  <si>
    <t>v_oXFKaTlg3p0</t>
  </si>
  <si>
    <t>People are riding in a boat in the water.</t>
  </si>
  <si>
    <t>The boat is pulling a tube with a man behind it.</t>
  </si>
  <si>
    <t>The person flies off of the tube.</t>
  </si>
  <si>
    <t>The boat is pulling the same tube with several young people on it.</t>
  </si>
  <si>
    <t>A person water skis behind the boat.</t>
  </si>
  <si>
    <t>A jet ski passes by the boat then we see the passengers.</t>
  </si>
  <si>
    <t>v_Qzewn-dGdOI</t>
  </si>
  <si>
    <t>A man holding a red cape is standing in front of a bull.</t>
  </si>
  <si>
    <t>The bull hits him and knocks him to the ground.</t>
  </si>
  <si>
    <t>People carry the man off the arena.</t>
  </si>
  <si>
    <t>v_K_I5LyzD8m0</t>
  </si>
  <si>
    <t>A barber rubs shaving cream on a man's bald head.</t>
  </si>
  <si>
    <t>The barber stops to clean his hands with a towel.</t>
  </si>
  <si>
    <t>The barber grabs a razor and slowly shaves the head of the man.</t>
  </si>
  <si>
    <t>v_XP8pufIBsnM</t>
  </si>
  <si>
    <t>A young man bend to lift a weight to his shoulders, then he lifts the weight above his head.</t>
  </si>
  <si>
    <t>The young man lets the weight falls on the floor.</t>
  </si>
  <si>
    <t>After, the man flips, and then a man comes and hugs the young man.</t>
  </si>
  <si>
    <t>v_DhYJl8KAZN4</t>
  </si>
  <si>
    <t>An intro comes onto the screen giving information for a percussion company.</t>
  </si>
  <si>
    <t>A man begins to play a set of drums with the camera showing him from several different angles.</t>
  </si>
  <si>
    <t>The camera shows his foot using a pedal to play the drums.</t>
  </si>
  <si>
    <t>As the video ends the closing credits are displayed.</t>
  </si>
  <si>
    <t>v_Y4svcMuQgBw</t>
  </si>
  <si>
    <t>A woman talks and smiles while ironing a garment from a laundry room.</t>
  </si>
  <si>
    <t>A woman wearing a pink shirt and apron stands in a laundry room in front of a washer and dryer and talks facing the camera.</t>
  </si>
  <si>
    <t>The woman bends down to pick up a garment and then spreads it over an ironing table.</t>
  </si>
  <si>
    <t>The woman proceeds to iron the garment, stopping momentarily, to spray the garment with a liquid from a white spray bottle, then finishes ironing the garment and holds it to her face and cheeks and smiles.</t>
  </si>
  <si>
    <t>v_o0d1PXKkJqM</t>
  </si>
  <si>
    <t>There's a man in a pink shirt and a lady in a white tank top holding bagpipes in her hand.</t>
  </si>
  <si>
    <t>They are standing in a parking lot near a silver car.</t>
  </si>
  <si>
    <t>The lady begins playing her bagpipes as the man watches her play.</t>
  </si>
  <si>
    <t>She continues playing and after she's done, the man claps for her and gives her a hug.</t>
  </si>
  <si>
    <t>v_z9PXpyWbXk8</t>
  </si>
  <si>
    <t>The kid is standing in the court.</t>
  </si>
  <si>
    <t>The little girl is sitting at the other end of a mat.</t>
  </si>
  <si>
    <t>The young boy run towards the mat and jump over the pole.</t>
  </si>
  <si>
    <t>v_UdIoEWadRxI</t>
  </si>
  <si>
    <t>A woman bartender is standing behind a bar.</t>
  </si>
  <si>
    <t>An empty glass is in front of her as she talks.</t>
  </si>
  <si>
    <t>She adds ice to the glass with a scoop.</t>
  </si>
  <si>
    <t>She adds three different liquids from three bottles to the glass.</t>
  </si>
  <si>
    <t>She stirs and continues to talk about the drink.</t>
  </si>
  <si>
    <t>v_fnZIksNLUXA</t>
  </si>
  <si>
    <t>We see people on a boat and then see quick shots of people on a boat in diving gear.</t>
  </si>
  <si>
    <t>We see people under water diving.</t>
  </si>
  <si>
    <t>A man holds a white thing and touches it over and over.</t>
  </si>
  <si>
    <t>Above water people are on the boat and a person falls into the water, we see people underwater diving and looking at sealife at night.</t>
  </si>
  <si>
    <t>A person falls back into the water and we are underwater near a shipwreck in the day.</t>
  </si>
  <si>
    <t>The men get on the boat after they are done.</t>
  </si>
  <si>
    <t>v_I1P5GuVHFQA</t>
  </si>
  <si>
    <t>A man is seen speaking to the camera while holding up various objects and sharpening a stick.</t>
  </si>
  <si>
    <t>The man then puts a helmet on and attached the stick to a holder, leading into the man creating a spark and cutting an object.</t>
  </si>
  <si>
    <t>He pauses to speak more to the camera and looking down at the object to see how it turned out.</t>
  </si>
  <si>
    <t>v_n--IF_1qqYA</t>
  </si>
  <si>
    <t>A man is mowing his lawn, he has chickens in his coop.</t>
  </si>
  <si>
    <t>The time is speed up so quickly so it looks like it is in double time.</t>
  </si>
  <si>
    <t>He walks around the yard looking around.</t>
  </si>
  <si>
    <t>The yard looks very green and very nicely kept.</t>
  </si>
  <si>
    <t>v_0HrPpZa_xv8</t>
  </si>
  <si>
    <t>A cowboy on a horse runs after a cow.</t>
  </si>
  <si>
    <t>The cowboy jumps off the horse and runs after the cow.</t>
  </si>
  <si>
    <t>The cowboy ties the cow up.</t>
  </si>
  <si>
    <t>v_oRR1nIUPbjo</t>
  </si>
  <si>
    <t>A person is sitting in a raft going down a stream.</t>
  </si>
  <si>
    <t>There are multiple people in a raft going in the river.</t>
  </si>
  <si>
    <t>Someone falls into the water and gets helped back in.</t>
  </si>
  <si>
    <t>v_eMNvlcxXZj8</t>
  </si>
  <si>
    <t>They are stepping on stepping stools.</t>
  </si>
  <si>
    <t>They are dancing together while working out.</t>
  </si>
  <si>
    <t>v_MZQmJZ_31O0</t>
  </si>
  <si>
    <t>We see a ladies eye and noes up close.</t>
  </si>
  <si>
    <t>We see the lady in the desert spinning hula hoops and performing tricks.</t>
  </si>
  <si>
    <t>The lady hula hoops with 10 or so golden hula hoops.</t>
  </si>
  <si>
    <t>The lady spins the hoop on her hand then transfers it to her leg stretched upward and we see her in the gold hoops again.</t>
  </si>
  <si>
    <t>The lady spins her body in and out of the hoops and we see her in a handstand with the hula hoop on her feet.</t>
  </si>
  <si>
    <t>She is in the gold hoops as they fall to the ground she then spins many pink hoops from her hands to her feet and as a skirt.</t>
  </si>
  <si>
    <t>v_yauw3CrvbtY</t>
  </si>
  <si>
    <t>A man in a white shirt is standing next to a swimming pool.</t>
  </si>
  <si>
    <t>A man is holding a camera filming him go up the stairs.</t>
  </si>
  <si>
    <t>He stands on a diving board and jumps into the pool below him.</t>
  </si>
  <si>
    <t>He gets out of the water and walks to give hugs to people.</t>
  </si>
  <si>
    <t>v_y3r4IrZkgBo</t>
  </si>
  <si>
    <t>A woman is seen sitting on a tub with a towel wrapped around her and shaving her legs.</t>
  </si>
  <si>
    <t>She then laughs to the camera and runs out with a young boy pushing her to the floor.</t>
  </si>
  <si>
    <t>v_cz20Wqx9d4Q</t>
  </si>
  <si>
    <t>Two men are sitting at a picnic table getting ready to arm wrestle.</t>
  </si>
  <si>
    <t>Various people are watching from the sides and the men begin to arm wrestle.</t>
  </si>
  <si>
    <t>A man is interviewed by the cameraman and shows off his biceps to the camera.</t>
  </si>
  <si>
    <t>Two men continue talking to the camera and eventually begin arm wrestling again.</t>
  </si>
  <si>
    <t>They play various matches of arm wrestling and interview a woman onlooker who also wants to arm wrestle.</t>
  </si>
  <si>
    <t>The man lets her win their arm wrestling match and the girl seems giddy.</t>
  </si>
  <si>
    <t>v_1cccnJAK7TI</t>
  </si>
  <si>
    <t>A guy is tattooing a lady's upper arm.</t>
  </si>
  <si>
    <t>The lady is in pain.</t>
  </si>
  <si>
    <t>The guy whips with a white paper towel.</t>
  </si>
  <si>
    <t>v_W6y6Vmk5edg</t>
  </si>
  <si>
    <t>A gymnast is seen leaning across a long beam and begins performing a gymnastics routine.</t>
  </si>
  <si>
    <t>The girl flips and tricks along the beam while others watch on the side.</t>
  </si>
  <si>
    <t>The woman continues moving along the beam and ends by jumping off the side and walking off the stage.</t>
  </si>
  <si>
    <t>v_Z4biLo6k5fI</t>
  </si>
  <si>
    <t>The faucet showing is then a hand attached the hose and tighten the hose.</t>
  </si>
  <si>
    <t>A straw is attached to a tank.</t>
  </si>
  <si>
    <t>The woman is washing the dog with the hose in the bathtub.</t>
  </si>
  <si>
    <t>v_M2OoQFcDflU</t>
  </si>
  <si>
    <t>A tray of chips are shown on a table.</t>
  </si>
  <si>
    <t>A person is dealing cards onto the table.</t>
  </si>
  <si>
    <t>People sitting at the table give each other high fives.</t>
  </si>
  <si>
    <t>v_A6DBt7UgWEg</t>
  </si>
  <si>
    <t>A spinning disc with circles of color are shown, panning out a a film reel and the words films of india.</t>
  </si>
  <si>
    <t>A man is shown stretching before engaging in a tennis match in front of a crowd.</t>
  </si>
  <si>
    <t>He then speaks to the crowd amongst flashing cameras through a microphone.</t>
  </si>
  <si>
    <t>The man is occasionally shown playing tennis, then goes back to speaking to the group.</t>
  </si>
  <si>
    <t>v_Gl3okOVEwgg</t>
  </si>
  <si>
    <t>A man is standing at the foot of a large wall.</t>
  </si>
  <si>
    <t>He is stretching and staring at it looking like he might climb it.</t>
  </si>
  <si>
    <t>He looks up and down before putting a foot on the base of the wall.</t>
  </si>
  <si>
    <t>He then starts to climb higher and higher.</t>
  </si>
  <si>
    <t>He scales the wall very methodically.</t>
  </si>
  <si>
    <t>He eventually get to the very top with relative ease.</t>
  </si>
  <si>
    <t>v_-fuvIQpA-QQ</t>
  </si>
  <si>
    <t>A teen boy is standing in a kitchen, holding a pitcher and talking.</t>
  </si>
  <si>
    <t>He fills the pitcher with water at the sink.</t>
  </si>
  <si>
    <t>He then mixes a powder into the water, creating a drink mix.</t>
  </si>
  <si>
    <t>He ads alcohol, then drinks from the pitcher to test the flavor.</t>
  </si>
  <si>
    <t>v_nXr1r26HZis</t>
  </si>
  <si>
    <t>A group of people are inside a building.</t>
  </si>
  <si>
    <t>They are playing a game of foosball together.</t>
  </si>
  <si>
    <t>They kick the figures back and forth, trying to win the game.</t>
  </si>
  <si>
    <t>v_LslQvR_4bkk</t>
  </si>
  <si>
    <t>A man practice ice hockey throwing a disc with a stick.</t>
  </si>
  <si>
    <t>Then, the player scores in a game and he is congratulated by teammates.</t>
  </si>
  <si>
    <t>Other player talks and talks when score while men plays ice hockey.</t>
  </si>
  <si>
    <t>A player talks and teams are playing in the ice court, and players score.</t>
  </si>
  <si>
    <t>v_1JEQbXJC85w</t>
  </si>
  <si>
    <t>A man in tshirt leans on a kitchen counter next to bags of ingredients.</t>
  </si>
  <si>
    <t>The man presents each separate ingredient and holds them up showing each one.</t>
  </si>
  <si>
    <t>A pan of sliced sausage and peppers cooks on a stove.</t>
  </si>
  <si>
    <t>A pot of soup boils.</t>
  </si>
  <si>
    <t>Ingredients sit next to the stove top and are being used to prepare the food.</t>
  </si>
  <si>
    <t>A bowl of sliced vegetables has the pans ingredients added in.</t>
  </si>
  <si>
    <t>A bowl of colander of pasta is added into to bowl and shaken.</t>
  </si>
  <si>
    <t>A bag of cheese is held up.</t>
  </si>
  <si>
    <t>The man speaks up close to the camera.</t>
  </si>
  <si>
    <t>v_bJx4unQR6nU</t>
  </si>
  <si>
    <t>A woman talks in an office.</t>
  </si>
  <si>
    <t>The woman explains how she curls her hair.</t>
  </si>
  <si>
    <t>v_aT-0XxCqV5E</t>
  </si>
  <si>
    <t>A large group of people are seen standing and sitting around a sand pit while a runner jumps inside it.</t>
  </si>
  <si>
    <t>The man is shown several times jumping with people measuring his jump afterwards and raking the sand.</t>
  </si>
  <si>
    <t>v_w8LDUu66JWI</t>
  </si>
  <si>
    <t>Two cheerleaders exercise in a gym while talking.</t>
  </si>
  <si>
    <t>A cheerleader is in a room and then lift weight, while the other one talks on his phone.</t>
  </si>
  <si>
    <t>After, the cheerleaders talk and exercise.</t>
  </si>
  <si>
    <t>After, the cheerleaders exercise and also talk.</t>
  </si>
  <si>
    <t>v_UJfwaeMrZ7A</t>
  </si>
  <si>
    <t>A woman is on a concrete court outside.</t>
  </si>
  <si>
    <t>She is jumping across a chalk drawn hopscotch game.</t>
  </si>
  <si>
    <t>She goes back and forth over the puzzle twice.</t>
  </si>
  <si>
    <t>v_TqO-bmGQGiY</t>
  </si>
  <si>
    <t>Two dogs wearing clothing run together up stairs.</t>
  </si>
  <si>
    <t>The two dogs are shown running together amidst crowds in several different locations while following a man.</t>
  </si>
  <si>
    <t>The man teaches one dog to pull another by the leash.</t>
  </si>
  <si>
    <t>v_AVL31l6H1uI</t>
  </si>
  <si>
    <t>A lady in a suit talks in a white room.</t>
  </si>
  <si>
    <t>We see a man washing a car with a towel.</t>
  </si>
  <si>
    <t>We see the car being rinsed with a pressure washer and the wheel is wiped.</t>
  </si>
  <si>
    <t>the emblem appears on the screen as suds slip down a car.</t>
  </si>
  <si>
    <t>v_r6r4Q9jLFvs</t>
  </si>
  <si>
    <t>A man is standing in a room with three walls and a glass wall behind him hitting a ball with a racket.</t>
  </si>
  <si>
    <t>A series of words are then shown as well as a YouTube video.</t>
  </si>
  <si>
    <t>The next screen comes around with a large hot air balloon and animated cars.</t>
  </si>
  <si>
    <t>v_rVRNX-fClE4</t>
  </si>
  <si>
    <t>A blurry object is shown and white text shows up that reads "Fun Shoe Shine".</t>
  </si>
  <si>
    <t>As the picture becomes more clear there is a small silver can with a screw on lid and the writing on the can say's "Dr Martens AirWair".</t>
  </si>
  <si>
    <t>A pair of shiny black boots are standing and their black shoelaces are tied and the text "After" appears on the front left area of the boot.</t>
  </si>
  <si>
    <t>A few angles of the boots are shown and various words pop up in front of them.</t>
  </si>
  <si>
    <t>A person is then seen wiping the boot down with a cloth and more texts show up.</t>
  </si>
  <si>
    <t>A close up of the silver can being opened by a hand is showing the contents in it and how to use the contents on a boot.</t>
  </si>
  <si>
    <t>The can is then screwed tight again and the texts "See you next time" ends the video.</t>
  </si>
  <si>
    <t>Pop up texts occur throughout the entire time.</t>
  </si>
  <si>
    <t>v_U4UHEGNFyz8</t>
  </si>
  <si>
    <t>A person is riding a bike down a dirt track.</t>
  </si>
  <si>
    <t>A little boy wearing red is riding a small bike down the track.</t>
  </si>
  <si>
    <t>A person falls down at the end.</t>
  </si>
  <si>
    <t>v_3jEnu5mEYA4</t>
  </si>
  <si>
    <t>Food sizzling in hot oil in a black skillet on the stove, a long stemmed spoon sits in the skillet.</t>
  </si>
  <si>
    <t>Onions are added to the skillet.</t>
  </si>
  <si>
    <t>the skillet is stirred and the spoon removed.</t>
  </si>
  <si>
    <t>Salt is added and stirred in.</t>
  </si>
  <si>
    <t>The skillet gently sizzles as the mix cooks.</t>
  </si>
  <si>
    <t>Spices are added to the skillet.</t>
  </si>
  <si>
    <t>The flame is visible as the skillet sizzles more vigorously, the skillet is stirred and the food is browning.</t>
  </si>
  <si>
    <t>4 eggs are broken into the skillet.</t>
  </si>
  <si>
    <t>The mixture is stirred and left to cook.</t>
  </si>
  <si>
    <t>Pasta is poured and stirred in to the mixture from a sieve.</t>
  </si>
  <si>
    <t>It is left to cook more.</t>
  </si>
  <si>
    <t>It is now plated and fresh herbs are sprinkled on top.</t>
  </si>
  <si>
    <t>v_TcGhRsPTTRE</t>
  </si>
  <si>
    <t>A man is seen walking around an area pointing to himself and speaking to the camera.</t>
  </si>
  <si>
    <t>The man then begins performing various martial arts moves and kicking towards the camera.</t>
  </si>
  <si>
    <t>The man continues moving around while the camera captures his movements.</t>
  </si>
  <si>
    <t>v_hgzyQ_jHeJc</t>
  </si>
  <si>
    <t>A gymnast bows before walking up to the beam.</t>
  </si>
  <si>
    <t>He mounts the beam and begins to perform.</t>
  </si>
  <si>
    <t>He spins around the beam multiple times.</t>
  </si>
  <si>
    <t>He jumps off the beam in a finale.</t>
  </si>
  <si>
    <t>v_HysxcMFrTkc</t>
  </si>
  <si>
    <t>A group of men dressed as redcoats march onto a stage.</t>
  </si>
  <si>
    <t>We then see a woman holding a flag in the center and many women alongside her as they jump on a massive jumprope.</t>
  </si>
  <si>
    <t>They perform many jumping and flipping tricks with the ropes, bringing in more ropes every few minutes.</t>
  </si>
  <si>
    <t>When they finish, they freeze in a pose and the screen turns black.</t>
  </si>
  <si>
    <t>v_B-KSdR2ct00</t>
  </si>
  <si>
    <t>A woman is brushing her teeth.</t>
  </si>
  <si>
    <t>A woman approaches behind her.</t>
  </si>
  <si>
    <t>The woman stops brushing her teeth.</t>
  </si>
  <si>
    <t>A woman smiles really big.</t>
  </si>
  <si>
    <t>v_Ds-LrRrLj9c</t>
  </si>
  <si>
    <t>A little girl wearing a brown bow is standing in front of the sink brushing her teeth.</t>
  </si>
  <si>
    <t>The little girl,then turns the water on and spits several times in the sink.</t>
  </si>
  <si>
    <t>Finally,she puts the brush down,rinses her mouth and dries it with a brown towel.</t>
  </si>
  <si>
    <t>v_QLsdBUBpz_8</t>
  </si>
  <si>
    <t>A small child is seen sitting on top of a slide and looking back towards the camera.</t>
  </si>
  <si>
    <t>The boy then pushes himself backwards down the slide while turning over in the end and jumping off.</t>
  </si>
  <si>
    <t>v_ri5WJu1K0ak</t>
  </si>
  <si>
    <t>A young girl is seen speaking to the camera and begins playing with her hair.</t>
  </si>
  <si>
    <t>She pins up her and puts put a headband in her hair.</t>
  </si>
  <si>
    <t>She then puts in more fake hair as well as doing her makeup.</t>
  </si>
  <si>
    <t>She points to the camera in the end and smiles.</t>
  </si>
  <si>
    <t>v_8yFimnZ8XhA</t>
  </si>
  <si>
    <t>A girl is sitting in a tube surrounded by a large group of people also sitting on tubes.</t>
  </si>
  <si>
    <t>The camera pans around to the various people sitting in the tubes.</t>
  </si>
  <si>
    <t>The girl jumps out of her tube and finds herself swimming in the water.</t>
  </si>
  <si>
    <t>v_MEbEcvzdytY</t>
  </si>
  <si>
    <t>A woman in a red workout shirt is talking about the benefits of an elliptical cross trainer.</t>
  </si>
  <si>
    <t>Another woman in a pink tank top is demonstrating the use of the elliptical.</t>
  </si>
  <si>
    <t>The woman in red continues explaining the use of the elliptical.</t>
  </si>
  <si>
    <t>Then a demonstration of how the legs must move on the elliptical is shown.</t>
  </si>
  <si>
    <t>The woman in red further explains benefits of the workout with an elliptical.</t>
  </si>
  <si>
    <t>The woman on the machine continues to show the viewers the correct way to exercising on the elliptical.</t>
  </si>
  <si>
    <t>The host then concludes the tutorial.</t>
  </si>
  <si>
    <t>v_ZMG8WE3Y22k</t>
  </si>
  <si>
    <t>Several pictures of different individual are shown white water rafting as an intro for a video.</t>
  </si>
  <si>
    <t>Men then arrive in a field and take the rafts out before more pictures are shown.</t>
  </si>
  <si>
    <t>The men then stand in the field with their paddles and actually get in the raft demonstrating the proper way to row.</t>
  </si>
  <si>
    <t>Finally,they are in the water and all of them begin to paddle throughout the water.</t>
  </si>
  <si>
    <t>More people join them and they eventually get out of the water and walk back to land.</t>
  </si>
  <si>
    <t>v_Io8EwPbNUbE</t>
  </si>
  <si>
    <t>A video tutorial is shown of a family doing dishes at a campsite.</t>
  </si>
  <si>
    <t>Everything is thrown into two buckets.</t>
  </si>
  <si>
    <t>One with soap and the other to rinse.</t>
  </si>
  <si>
    <t>v_b40ECuGuck8</t>
  </si>
  <si>
    <t>Woman throws a throwing knife at board.</t>
  </si>
  <si>
    <t>Three men throw knives.</t>
  </si>
  <si>
    <t>Knives hit a board.</t>
  </si>
  <si>
    <t>Two men throw throwing knives backwards.</t>
  </si>
  <si>
    <t>Man throws throwing knife.</t>
  </si>
  <si>
    <t>Woman throws throwing knife.</t>
  </si>
  <si>
    <t>A man and woman throw throwing knives.</t>
  </si>
  <si>
    <t>Man throws knife while laying down.</t>
  </si>
  <si>
    <t>Man demonstrates techniques to students.</t>
  </si>
  <si>
    <t>Dojo members practice techniques.</t>
  </si>
  <si>
    <t>Dojo members bow to the man.</t>
  </si>
  <si>
    <t>v_TakNLlCbjvw</t>
  </si>
  <si>
    <t>A child walks by a hopscotch pattern.</t>
  </si>
  <si>
    <t>The child puts her palms on the hopscotch pattern.</t>
  </si>
  <si>
    <t>The child hops on the hopscotch pattern.</t>
  </si>
  <si>
    <t>v_lu1bVIcDn4c</t>
  </si>
  <si>
    <t>A young woman is standing behind a counter with a black skillet on it.</t>
  </si>
  <si>
    <t>In her hands,she is holding two onions then the video rapidly shows her with a tomato,rutabaga and a bag of Cathedral City mature cheddar.</t>
  </si>
  <si>
    <t>Next,she begins cutting each of the ingredients and adds butter to a skillet.</t>
  </si>
  <si>
    <t>After it is fried for five minutes,the mushrooms go in the pot and three eggs are cracked.</t>
  </si>
  <si>
    <t>The rest of the contents are added into a measuring cup then eventually all of the contents are poured into a frying pan.</t>
  </si>
  <si>
    <t>After sometime,an omelette is created and put on a plate along with two slices of toast.</t>
  </si>
  <si>
    <t>v_V9LQVhq2ePE</t>
  </si>
  <si>
    <t>A camera pans away from a sign and leads into people pushing material around a floor.</t>
  </si>
  <si>
    <t>A bend bends down around a floor and pushes the material around the room.</t>
  </si>
  <si>
    <t>In the end the camera pans around the finished floor.</t>
  </si>
  <si>
    <t>v_G12fEYNjIR0</t>
  </si>
  <si>
    <t>Team USA Women are in the Olympics.</t>
  </si>
  <si>
    <t>Tracy,Natalie, Nicole,Allison and Debbie are group photographed in multiple scenes.</t>
  </si>
  <si>
    <t>As Team USA scores,the team mates hug.</t>
  </si>
  <si>
    <t>v_zGwcX0S4DVA</t>
  </si>
  <si>
    <t>People are riding camels in the desert.</t>
  </si>
  <si>
    <t>People are walking alongside camels.</t>
  </si>
  <si>
    <t>A lady looks down and to the side of her camel.</t>
  </si>
  <si>
    <t>v_RbbjYXAxaPI</t>
  </si>
  <si>
    <t>A large crowd sits in a theater clapping and watching.</t>
  </si>
  <si>
    <t>Two women are seen on stage dancing.</t>
  </si>
  <si>
    <t>One of the women shows her talent balancing swords on her different parts of her body.</t>
  </si>
  <si>
    <t>v_W_LjBXWG7wI</t>
  </si>
  <si>
    <t>Several shots of beaches are shown and leads into women in bikinis playing a game of volley ball.</t>
  </si>
  <si>
    <t>The girls continue playing then sit on the sides and touch each other's legs.</t>
  </si>
  <si>
    <t>They then put lotion all over their legs and begins shaving their legs and holding the ball laughing in the end.</t>
  </si>
  <si>
    <t>v_4x08i2_AYKo</t>
  </si>
  <si>
    <t>A man walks on stilts into a park.</t>
  </si>
  <si>
    <t>Turns to his right and walks pass a row of benches.</t>
  </si>
  <si>
    <t>The man speeds up then returns to his initial speed.</t>
  </si>
  <si>
    <t>The man reaches the park's sign and comes to a stop.</t>
  </si>
  <si>
    <t>v_K_0DLTcFy-8</t>
  </si>
  <si>
    <t>A man with a thick mustache is dressed in winter clothing is sitting on a white bucket turned upside down on a frozen body of water as he drinks a beer from a blue can and talking.</t>
  </si>
  <si>
    <t>The man then picks up his fishing pole and pulls on the fishing wire that's in the fishing hole in front of him,holds the wire up, then puts it back in the hole while he's still talking.</t>
  </si>
  <si>
    <t>The man then gets off of his bucket and while on his two knees he puts his fingers in and out of the fishing hole and keeps talking.</t>
  </si>
  <si>
    <t>v_BAgUUUOGaxI</t>
  </si>
  <si>
    <t>A man is seen sitting in a busy city square playing an accordion while others watch.</t>
  </si>
  <si>
    <t>The man continues playing as people walk around and notice.</t>
  </si>
  <si>
    <t>v_nM_6V_Z6IwI</t>
  </si>
  <si>
    <t>A man is in front of a mirror.</t>
  </si>
  <si>
    <t>He is covering his face in a white liquid substance.</t>
  </si>
  <si>
    <t>He then disappears for a while, and returns with a wet but clean face.</t>
  </si>
  <si>
    <t>v_PLPUWZ7XZDo</t>
  </si>
  <si>
    <t>She grabs a while bar and holds it next to her.</t>
  </si>
  <si>
    <t>She puts the bar down and picks up a kettle bell.</t>
  </si>
  <si>
    <t>She lifts the kettle bell and puts it back down.</t>
  </si>
  <si>
    <t>She then picks it back up and lifts it up and down several times in front of her.</t>
  </si>
  <si>
    <t>v_IWHN3TD8mMQ</t>
  </si>
  <si>
    <t>A woman introduces herself to the camera and begins to talk about the topic of the video, pasta.</t>
  </si>
  <si>
    <t>The camera shows the ingredients that go into cooking pasta.</t>
  </si>
  <si>
    <t>The woman drops salt in a pot of water and turns the burners on.</t>
  </si>
  <si>
    <t>Once, boiling, she adds the pasta in the pot.</t>
  </si>
  <si>
    <t>She stirs the pasta, and then empties the pot in a colander once the pasta is al dente.</t>
  </si>
  <si>
    <t>She returns the pasta to the pot and adds olive oil.</t>
  </si>
  <si>
    <t>v_POafWgyeV0I</t>
  </si>
  <si>
    <t>A woman and male sports news reporter, report, during a live newscast, from behind a newscast table, on a story about the dangers of dodgeball in schools and whether or not a dodge ball hurts more than a soccer ball when hit with one or the other.</t>
  </si>
  <si>
    <t>Two newscasters talk to each other from behind a newscast table.</t>
  </si>
  <si>
    <t>The clip switches to display a series of video clips of different children playing dodgeball in gymnasiums and being hit by the dodgeball.</t>
  </si>
  <si>
    <t>The woman reporter then takes a group of men out to a enclosed, paved area, outdoors, and proceeds to throw both a dodgeball and soccer ball at them, at which point several of the men display that they have been hit and hurt by both balls.</t>
  </si>
  <si>
    <t>v_aG5kKRuw0Fk</t>
  </si>
  <si>
    <t>A large group of women are seen standing on a stage hitting drums while another group of men play behind them.</t>
  </si>
  <si>
    <t>The group continuously plays in front of a large crowd and ends with credits rolling along the screen.</t>
  </si>
  <si>
    <t>v_ZJWLTokAJbo</t>
  </si>
  <si>
    <t>A young woman is shown exercising on a black elliptical.</t>
  </si>
  <si>
    <t>She continues exercising and a close up of the machine is shown.</t>
  </si>
  <si>
    <t>Finally,she takes a sip of her water as she finishes her brisk workout and then Golds Gym appears in the middle of the screen.</t>
  </si>
  <si>
    <t>v_TQco5PWc2JU</t>
  </si>
  <si>
    <t>A man is seen speaking to the camera and leads into him with shaving cream.</t>
  </si>
  <si>
    <t>He then holds up a razor and begins shaving his face while old shots of movies are shown.</t>
  </si>
  <si>
    <t>The men continues shaving and ends with text across the screen.</t>
  </si>
  <si>
    <t>v_Y4pyUctR49I</t>
  </si>
  <si>
    <t>A patient sitting in a hospital chair in a hospital room gets her nails done by a manicurist who is wearing a green blouse.</t>
  </si>
  <si>
    <t>The patient is listening to music as she is moving her feet to the rhythm of some music.</t>
  </si>
  <si>
    <t>v_i887uArWX9w</t>
  </si>
  <si>
    <t>We see a game of Foosball being played.</t>
  </si>
  <si>
    <t>We pan up and see the players.</t>
  </si>
  <si>
    <t>We see the players on the left.</t>
  </si>
  <si>
    <t>A person spins the second from right bar.</t>
  </si>
  <si>
    <t>v_C4V6fqELvPY</t>
  </si>
  <si>
    <t>A fast motion video shows a young boy beginning to climb across a set of monkey bars.</t>
  </si>
  <si>
    <t>The boy makes it across and jumps down while another person attempts right behind him.</t>
  </si>
  <si>
    <t>v_9FJwDxnlW7Y</t>
  </si>
  <si>
    <t>A middle aged man is shoveling snow on a sidewalk while a medium sized brown dog chases the shovel.</t>
  </si>
  <si>
    <t>The man throws the snow and turns the other way to repeat the shoveling while the dog continues to chase the shovel.</t>
  </si>
  <si>
    <t>At the end of the sidewalk near a driveway a young woman in a black snowsuit lying on her stomach sees the dog chasing the shovel and laughs.</t>
  </si>
  <si>
    <t>The man now turns and runs down the sidewalk shoveling the snow again and the dog runs along with him.</t>
  </si>
  <si>
    <t>The man does not turn around and shovel the sidewalk again, but carries the snow in the shovel and walks away from the dog.</t>
  </si>
  <si>
    <t>The dog trails behind as if tired.</t>
  </si>
  <si>
    <t>v_nGYqSqf0yCY</t>
  </si>
  <si>
    <t>People are standing on a stage.</t>
  </si>
  <si>
    <t>They start playing a game of rock paper scissors.</t>
  </si>
  <si>
    <t>Men standing in referee shirts are standing behind them.</t>
  </si>
  <si>
    <t>v_WtBr459dWY4</t>
  </si>
  <si>
    <t>woman wearing a red shirt is holdgina ball and is trying to throw the ball to someone when somebody throw her a ball and now she gots two and throw them.</t>
  </si>
  <si>
    <t>man is holding a red ball and is walking in a wooden court and throw the ball.</t>
  </si>
  <si>
    <t>people are playing dodgeball in a roofedwooden gym.</t>
  </si>
  <si>
    <t>v_PV5Y3NeR5yQ</t>
  </si>
  <si>
    <t>A girl is standing outside in the middle of the road doing tricks with a hula hoop,moving it around her hips and her arms.</t>
  </si>
  <si>
    <t>While she is performing,a woman is sitting behind her with her bags on the ground.</t>
  </si>
  <si>
    <t>When the girl is finished performing,she grabs a beanie,holds it up and then starts to ask for money from the crowd of people who was watching her.</t>
  </si>
  <si>
    <t>v_NzMZlzy5Q9A</t>
  </si>
  <si>
    <t>Two sumo wrestlers are shown in a ring as spectators and a referee watch.</t>
  </si>
  <si>
    <t>The wrestlers crouch down and run into each other.</t>
  </si>
  <si>
    <t>They briefly wrestle while one man gets thrown out of the ring.</t>
  </si>
  <si>
    <t>The winner performs a hand signal with the referee.</t>
  </si>
  <si>
    <t>The loser walks in the back as they show a replay of the win.</t>
  </si>
  <si>
    <t>The video ends with the host interviewing the loser, and showing the sumo ring.</t>
  </si>
  <si>
    <t>v_j0FMv4RDpEk</t>
  </si>
  <si>
    <t>Men are working on a roof.</t>
  </si>
  <si>
    <t>A man is spraying the paste on the roof, a male is handing off the pieces, and a guy is adding the pieces to the pasted area on the roof.</t>
  </si>
  <si>
    <t>A person is spraying the paste on the roof pieces.</t>
  </si>
  <si>
    <t>v_aCJHnvM0Mkc</t>
  </si>
  <si>
    <t>A young Asian boy is standing in a living room with a mop in his hand.</t>
  </si>
  <si>
    <t>The boy bends down,picks up a spray bottle and squirts it on the floor.</t>
  </si>
  <si>
    <t>He then moves the broom back and forth and cleans the floor.</t>
  </si>
  <si>
    <t>v_qcYRPEEitZU</t>
  </si>
  <si>
    <t>A woman sits in front of a large crowd while holding shaving cream and a razor.</t>
  </si>
  <si>
    <t>Another man is seen on stage shaving his face and the woman begins shaving her legs.</t>
  </si>
  <si>
    <t>The crowd cheers them on for the shaving competition.</t>
  </si>
  <si>
    <t>v_mxY7J50ItrU</t>
  </si>
  <si>
    <t>A small group of people are seen standing side by side with one another punching a bag one after the other.</t>
  </si>
  <si>
    <t>Many people are then shown kicking the bags next to one another.</t>
  </si>
  <si>
    <t>v_wkJWeSw8FSE</t>
  </si>
  <si>
    <t>A man stands lighting a stick with campers in the background and a fire blazing.</t>
  </si>
  <si>
    <t>He sticks the cone into the fire and the end of the stick begins to catch fire.</t>
  </si>
  <si>
    <t>v_xATeffo_kP4</t>
  </si>
  <si>
    <t>A close up of a fooseball table is shown as well as people playing on the table.</t>
  </si>
  <si>
    <t>The game continues on as the people use the bars to move the game as the ball moves back and fourth.</t>
  </si>
  <si>
    <t>v_jCd-VeMUwRg</t>
  </si>
  <si>
    <t>A group of people are wearing snorkeling gear in the edge of the ocean water.</t>
  </si>
  <si>
    <t>They are then seen under the water, exploring and looking at fish.</t>
  </si>
  <si>
    <t>They reach out to touch the fish as they swim by.</t>
  </si>
  <si>
    <t>v_n1KeC6NXPUA</t>
  </si>
  <si>
    <t>A girl is playing on a playground.</t>
  </si>
  <si>
    <t>She goes backwards on the monkey bars.</t>
  </si>
  <si>
    <t>She shows her hands to the camera and continues talking.</t>
  </si>
  <si>
    <t>v_aivuk1LvDv8</t>
  </si>
  <si>
    <t>A woman is playing a classical song on the piano in a black and white film.</t>
  </si>
  <si>
    <t>She begins to speed up the pace of the music she is playing.</t>
  </si>
  <si>
    <t>The camera shows her playing the piano from overhead.</t>
  </si>
  <si>
    <t>The audience applauds for the woman and the video ends.</t>
  </si>
  <si>
    <t>v_GWRqx0obKzA</t>
  </si>
  <si>
    <t>A group pose smiling for the camera.</t>
  </si>
  <si>
    <t>A group wave to the camera while more people in the background walk through the water.</t>
  </si>
  <si>
    <t>The group go rafting on the water.</t>
  </si>
  <si>
    <t>They wave again to the camera.</t>
  </si>
  <si>
    <t>The group are shown in their raft as they sail along the river.</t>
  </si>
  <si>
    <t>They are shown taking a break in the river.</t>
  </si>
  <si>
    <t>POV footage from one of the rafters.</t>
  </si>
  <si>
    <t>The group is out of the river and hiking.</t>
  </si>
  <si>
    <t>v_sfPGQnxbJ3U</t>
  </si>
  <si>
    <t>men are in front of a mirror in a room.</t>
  </si>
  <si>
    <t>man is alone practicing kicks and punches.</t>
  </si>
  <si>
    <t>man wearing white shirt is stretching her legs bind the other man.</t>
  </si>
  <si>
    <t>v_bNvAqFcKzqU</t>
  </si>
  <si>
    <t>A large group of people are seen wandering around a city square with a young child in the middle playing an instrument.</t>
  </si>
  <si>
    <t>The boy plays a saxophone while people walk past him and put money down.</t>
  </si>
  <si>
    <t>The boy continues playing while the camera captures his movements and others stop to watch.</t>
  </si>
  <si>
    <t>v_xWxpAaPhknA</t>
  </si>
  <si>
    <t>People are jumping off diving boards into the pool below them.</t>
  </si>
  <si>
    <t>They are walking up a set of stairs to get to the diving board.</t>
  </si>
  <si>
    <t>A person does a back flip into the water.</t>
  </si>
  <si>
    <t>v_b7Q-Jj9ZEH0</t>
  </si>
  <si>
    <t>The little girl slide down the yellow slide and fell on the pool of balls.</t>
  </si>
  <si>
    <t>The girl reach out the a hand as she climbs on the top of the slide.</t>
  </si>
  <si>
    <t>The girl slide down again and fell on the pool of ball but on her stomach.</t>
  </si>
  <si>
    <t>v_N7kI8J6vfL8</t>
  </si>
  <si>
    <t>Girls are going down a small red slide.</t>
  </si>
  <si>
    <t>A man in a red shirt is standing behind them.</t>
  </si>
  <si>
    <t>He walks away towards the house.</t>
  </si>
  <si>
    <t>v_iIhEO_NA8gk</t>
  </si>
  <si>
    <t>A young girl is outside running down the road between a forest and then ends up in the airport.</t>
  </si>
  <si>
    <t>She is sitting down playing on her iPad and then begins to board an airplane.</t>
  </si>
  <si>
    <t>The plane lands and she is in a cabin and begins skiing at a resort.</t>
  </si>
  <si>
    <t>As she is skating,she changes her skis and the screen is covered with a grey static like film and the person continues with her snow activities.</t>
  </si>
  <si>
    <t>v_mZ6iJfRokTw</t>
  </si>
  <si>
    <t>A man is floating in the ocean water talking.</t>
  </si>
  <si>
    <t>He then talks to a group of people while drinking an energy drink.</t>
  </si>
  <si>
    <t>He bungee jumps off the side of a bridge.</t>
  </si>
  <si>
    <t>He is talking to the camera as he swings above the water.</t>
  </si>
  <si>
    <t>v_bULPHJydFTQ</t>
  </si>
  <si>
    <t>We see a locker room, and the title screen.</t>
  </si>
  <si>
    <t>We see a man winding up to throw the hammer in track and field on his third attempt.</t>
  </si>
  <si>
    <t>After it's thrown we see men measuring the distance.</t>
  </si>
  <si>
    <t>We then see his fifth attempt and the measuring.</t>
  </si>
  <si>
    <t>We then see his sixth attempt and measuring.</t>
  </si>
  <si>
    <t>The camera zooms in on the man as he shakes another mans hand.</t>
  </si>
  <si>
    <t>We then see 8 men standing on platforms holding plaques.</t>
  </si>
  <si>
    <t>v_J6ScF5n_Cug</t>
  </si>
  <si>
    <t>A young girl plays the clarinet.</t>
  </si>
  <si>
    <t>The girl pauses for a second to flip her music sheet standing in front of her.</t>
  </si>
  <si>
    <t>The young girl resumes playing her clarinet.</t>
  </si>
  <si>
    <t>The girl stops and looking pleased with her performance.</t>
  </si>
  <si>
    <t>v_KuAVv3uS4zc</t>
  </si>
  <si>
    <t>Several intros lead into a bike race between 3 men on bikes.</t>
  </si>
  <si>
    <t>One crashes hard while the others pass and continue the race.</t>
  </si>
  <si>
    <t>All men continue to ride through the track until one eventually wins while one chases him.</t>
  </si>
  <si>
    <t>v_lUk_dSjmIgM</t>
  </si>
  <si>
    <t>A young girl is cleaning the sink.</t>
  </si>
  <si>
    <t>The girl gets her shirt all wet.</t>
  </si>
  <si>
    <t>The girl points to the drain of the sink.</t>
  </si>
  <si>
    <t>v_C53reDr47oU</t>
  </si>
  <si>
    <t>A young child is shown rubbing glitter all over his lips and walking over to a mirror.</t>
  </si>
  <si>
    <t>He continues putting the gloss on his lips and smacking his lips and finally turning towards the camera to speak.</t>
  </si>
  <si>
    <t>v_WElK913B33U</t>
  </si>
  <si>
    <t>A man and a woman works out the a cardio machine.</t>
  </si>
  <si>
    <t>The stride length of the pedal is displayed in the screen.</t>
  </si>
  <si>
    <t>Then, the man comes to meet the woman that exercise.</t>
  </si>
  <si>
    <t>Then the man exercise, and the muscles of the abdomen are shown.</t>
  </si>
  <si>
    <t>The steps of the machine and the screen panel is shown.</t>
  </si>
  <si>
    <t>v_OmIcycXGkG8</t>
  </si>
  <si>
    <t>A girl and a boy play ping pong in a basement type room with a ping pong table and florescent lights for lighting.</t>
  </si>
  <si>
    <t>The boy walks up to the camera for a close up.</t>
  </si>
  <si>
    <t>The boy and girl begin to play ping pong again.</t>
  </si>
  <si>
    <t>v_HUvBb3Hmir8</t>
  </si>
  <si>
    <t>The young girl in gray shirt is brushing the thong, while the female in blue t-shirt is washing the pans, and the other girl is holding a sponge.</t>
  </si>
  <si>
    <t>The older girl in blue is washing the knife, while the other one is wiping the bowl.</t>
  </si>
  <si>
    <t>The girls put the clean dishes on the rack to dry it.</t>
  </si>
  <si>
    <t>v_mzXRehGBEOg</t>
  </si>
  <si>
    <t>A woman smiles at the camera.</t>
  </si>
  <si>
    <t>The woman rinses a toothbrush under water.</t>
  </si>
  <si>
    <t>The woman applies toothpaste to the toothbrush.</t>
  </si>
  <si>
    <t>The woman demonstrates brushing her teeth.</t>
  </si>
  <si>
    <t>The woman rinses the toothbrush under water again.</t>
  </si>
  <si>
    <t>The woman rinses her mouth with a glass of water.</t>
  </si>
  <si>
    <t>The woman towels her mouth and shows her teeth.</t>
  </si>
  <si>
    <t>v_dojDT4CtenU</t>
  </si>
  <si>
    <t>A group of athletes are shown standing on a mound, while one throws a ball to another player.</t>
  </si>
  <si>
    <t>The batter hits the ball into the stands and the moment is recaptured in 3-d.</t>
  </si>
  <si>
    <t>A reporter comments how amazing the hit was and replays it from various angles.</t>
  </si>
  <si>
    <t>The player is interviewed by a reporter and once again has his moment shown on tv.</t>
  </si>
  <si>
    <t>v_cpy_BFGQoQ8</t>
  </si>
  <si>
    <t>Inside of a rock climbing store men are gathered around a jumping on a rope.</t>
  </si>
  <si>
    <t>The man in the green does some tricks and then a man in a hoodie jumps and walks on it.</t>
  </si>
  <si>
    <t>Someone has a camera and everyone is scattered around doing their own thing.</t>
  </si>
  <si>
    <t>The man in the green continues to jump on the rope until he take it down.</t>
  </si>
  <si>
    <t>v_pq2xsK79FcQ</t>
  </si>
  <si>
    <t>A track and field long jumper from the Florida Gators dressed in blue and orange prepares to make his run while other participants, coaches and officials congregate around the track and field course.</t>
  </si>
  <si>
    <t>The Florida Gator long jumper begins his run with a gradual forward walk then a skip and a fast sprint to the sand pit jumping marker.</t>
  </si>
  <si>
    <t>The Florida Gator long jumper jumps and flies through the air and lands in the sand.</t>
  </si>
  <si>
    <t>The camera pans to the score board showing the long jumpers results.</t>
  </si>
  <si>
    <t>v_Tz5eN8gV6F4</t>
  </si>
  <si>
    <t>An intro starts and leads to a woman standing next to a German Sheppard on a table.</t>
  </si>
  <si>
    <t>A fast motion watch around of the shop occurs then shows the woman brushing the dog with several instruments.</t>
  </si>
  <si>
    <t>She pets the dog a bit while continuing to brush him and talking to the camera.</t>
  </si>
  <si>
    <t>v_15HUSdsIHxg</t>
  </si>
  <si>
    <t>Little girls performs holding sticks moving around an spinning the sticks.</t>
  </si>
  <si>
    <t>The little girls hold the sticks up and jump turning around.</t>
  </si>
  <si>
    <t>Two women walk toward the door.</t>
  </si>
  <si>
    <t>After, the little girls spins on the floor, then continue jumping and spinning around.</t>
  </si>
  <si>
    <t>Next, the girls get together to salute.</t>
  </si>
  <si>
    <t>v_2x-Xqt98Ek4</t>
  </si>
  <si>
    <t>A man plays tam-tam, and then he talks with crossed hands on a tan-tam.</t>
  </si>
  <si>
    <t>Then, the man plays tam-tam with his right hand and plays with sticks with the left hand.</t>
  </si>
  <si>
    <t>v_E-XerA_sOjw</t>
  </si>
  <si>
    <t>A man walks out onto a playing field with a large Dalmatian.</t>
  </si>
  <si>
    <t>The man stops and throws the frisbee and returns it to the man.</t>
  </si>
  <si>
    <t>The dog runs around in circles on the field with the frisbee.</t>
  </si>
  <si>
    <t>v_Tvzd_WIvBU4</t>
  </si>
  <si>
    <t>A person is cutting cordwood using a log splitter.</t>
  </si>
  <si>
    <t>The wood remaining is shown and stumps are cut up.</t>
  </si>
  <si>
    <t>v_lgwDuuJy2zY</t>
  </si>
  <si>
    <t>A camera pans all around a lake and shows a person riding around on a canoe.</t>
  </si>
  <si>
    <t>The person gets stuck before a rock and finally paddles themselves past.</t>
  </si>
  <si>
    <t>The person continues to get stuck around the area but moves down successfully.</t>
  </si>
  <si>
    <t>v_di8Vr1fzUh8</t>
  </si>
  <si>
    <t>The man in suit is talking to the camera as people are behind him.</t>
  </si>
  <si>
    <t>The older man throw his darts on the dartboard and three darts landed on one place.</t>
  </si>
  <si>
    <t>The man positioned himself then throw the darts in the board and the darts are away from each other.</t>
  </si>
  <si>
    <t>The man continue to hit the board with darts.</t>
  </si>
  <si>
    <t>v_XoeGnEtEq3U</t>
  </si>
  <si>
    <t>The camera pans around a large group of women sitting in chair knitting and speaking to one another.</t>
  </si>
  <si>
    <t>Several shots are shown of women knitting and leading back into people helping one another knit and more pictures shown.</t>
  </si>
  <si>
    <t>v_2FRzNpVz6f8</t>
  </si>
  <si>
    <t>A bunch of teammates are riding horses on the field.</t>
  </si>
  <si>
    <t>They are playing a game of polo.</t>
  </si>
  <si>
    <t>The people run on their horses, trying to hit the ball.</t>
  </si>
  <si>
    <t>v_aXI9v77XV7A</t>
  </si>
  <si>
    <t>A man is talking in front of a rock climbing wall.</t>
  </si>
  <si>
    <t>He starts climbing the rock climbing wall.</t>
  </si>
  <si>
    <t>A man in a yellow hat is talking.</t>
  </si>
  <si>
    <t>He climbs up the wall.</t>
  </si>
  <si>
    <t>Several people are climbing up the rock climbing wall.</t>
  </si>
  <si>
    <t>v_XnBUb3qoFQM</t>
  </si>
  <si>
    <t>A man wearing black bathing trunks sitting on an inner tube as it slides down a tubing slide.</t>
  </si>
  <si>
    <t>A man wearing dark trunks stands on an enclosed water slide ride at a water park.</t>
  </si>
  <si>
    <t>Two men slide down a blue water slide at a water park and end up in a huge swimming pool.</t>
  </si>
  <si>
    <t>Different scenes of a group of people swimming in different parts of a water park.</t>
  </si>
  <si>
    <t>v_5deGCvJOGg0</t>
  </si>
  <si>
    <t>A man dressed in white curling gear is participating in the sport.</t>
  </si>
  <si>
    <t>He goes on the curling rink with his stick and rock.</t>
  </si>
  <si>
    <t>He is playing the sport while in another location there are two musicians performing.</t>
  </si>
  <si>
    <t>They are both singing as one musician is playing a guitar and the other is drumming a tambourine.</t>
  </si>
  <si>
    <t>The man continues to play curling on the ice rink as he pushes the rock with his curling stick.</t>
  </si>
  <si>
    <t>He is shown pictured with another young man.</t>
  </si>
  <si>
    <t>He is posing for pictures with different people while holding a broomstick in his hand.</t>
  </si>
  <si>
    <t>He is back in the curling rink, singing and twirling the curling stick in his hands.</t>
  </si>
  <si>
    <t>v_-4WdzYpCJPU</t>
  </si>
  <si>
    <t>A man is standing at a table holding a bow in his hand talking.</t>
  </si>
  <si>
    <t>He then goes outside and shoots an arrow at a target.</t>
  </si>
  <si>
    <t>A close up of the bow is shown.</t>
  </si>
  <si>
    <t>v_n_hNYA5kWME</t>
  </si>
  <si>
    <t>We then see people solving Rubiks cubes in a competition.</t>
  </si>
  <si>
    <t>A boy finishes, throws his arms up and spins in his chair.</t>
  </si>
  <si>
    <t>We see a boy throw his arms and yells.</t>
  </si>
  <si>
    <t>v_poFH53rF9uY</t>
  </si>
  <si>
    <t>A team prepares to play a game called hurling.</t>
  </si>
  <si>
    <t>Highlights of a game are shown and players are interviewed.</t>
  </si>
  <si>
    <t>Teammates cheer from the sidelines.</t>
  </si>
  <si>
    <t>v_vREBYOCUCj0</t>
  </si>
  <si>
    <t>A man in a blue coat is standing in the snow talking.</t>
  </si>
  <si>
    <t>He begins skiing down a hill of snow.</t>
  </si>
  <si>
    <t>v_YuCMWTdK_DY</t>
  </si>
  <si>
    <t>A man is seen walking into a circle and looking off into the distance.</t>
  </si>
  <si>
    <t>The man stretches a bit and begins spinning himself around.</t>
  </si>
  <si>
    <t>He continues to spin and ends by walking away.</t>
  </si>
  <si>
    <t>v_lXueRLwe3tk</t>
  </si>
  <si>
    <t>The man in blue shirt is holding a white spray bottle with green and black lid on it.</t>
  </si>
  <si>
    <t>He started spraying the contents of the bottle on the white car's hood.</t>
  </si>
  <si>
    <t>He wiped the hood and the back of the white car with a yellow cloth.</t>
  </si>
  <si>
    <t>He vacuum the floor of the car on the driver's side, wipe the dirt off the steering wheel using the yellow cloth.</t>
  </si>
  <si>
    <t>He wiped the meters, the side window and glass and the wheel.</t>
  </si>
  <si>
    <t>He is showing a white spray bottle with black lid, while he is holding a yellow cloth.</t>
  </si>
  <si>
    <t>He is wiping the edge of the car then showed the white spray bottle.</t>
  </si>
  <si>
    <t>A white car is shown being dirty and then the after where it is clean and shiny.</t>
  </si>
  <si>
    <t>v_nobV1wL__iY</t>
  </si>
  <si>
    <t>A gun is seen moving around several corners and hitting people in various places.</t>
  </si>
  <si>
    <t>More shots of a person running around a paintball field as shown as well as pointing to others, shooting others, and hiding behind objects.</t>
  </si>
  <si>
    <t>The men group together in the end, give a thumbs up, and show more shots of people shooting.</t>
  </si>
  <si>
    <t>v_43gst-Mw43s</t>
  </si>
  <si>
    <t>a comic of a man telling how to wash with a detergent.</t>
  </si>
  <si>
    <t>a house is shown with a sentence of how to wash the rooftop.</t>
  </si>
  <si>
    <t>the numbers and address are shown in the advertising.</t>
  </si>
  <si>
    <t>v_-y5p8UMdM20</t>
  </si>
  <si>
    <t>Several shots are shown of signs and building as well as pictures of divers.</t>
  </si>
  <si>
    <t>Many people are seen speaking to the camera while taking turns diving off a board.</t>
  </si>
  <si>
    <t>More clips are shown of people diving and waving to the camera as well as speaking to one another and holding up a score.</t>
  </si>
  <si>
    <t>v_vy5IRxiudmI</t>
  </si>
  <si>
    <t>A group of people are inside a gym.</t>
  </si>
  <si>
    <t>They are lifting weights and dancing.</t>
  </si>
  <si>
    <t>Others are using recumbent bikes and pedaling quickly.</t>
  </si>
  <si>
    <t>v_FBANd818hU4</t>
  </si>
  <si>
    <t>A man kicks a soccer ball, then he plays with other young men in the street, the man scores.</t>
  </si>
  <si>
    <t>Then, they continue playing and the young man scores, as well the man scores.</t>
  </si>
  <si>
    <t>Teams are playing indoor soccer and the man wearing a yellow t-shirt scores playing with several teams.</t>
  </si>
  <si>
    <t>The man dispute the ball with other player and kick it to a playmate, the man continues playing an scoring for his team.</t>
  </si>
  <si>
    <t>v_W6Sz8ajVsjc</t>
  </si>
  <si>
    <t>There's a man in a black shirt representing Pev's Paintball talking about the recreational game.</t>
  </si>
  <si>
    <t>He is holding a paintball gun in his hand as he talks about how the sport is played.</t>
  </si>
  <si>
    <t>A man dressed in a camouflage print outfit is hiding and running with a paintball gun.</t>
  </si>
  <si>
    <t>The Pev representative is explaining the features of the paintball gun and how to use if effectively.</t>
  </si>
  <si>
    <t>v_olFThb2_GHM</t>
  </si>
  <si>
    <t>We see a man preparing to throw the discuss.</t>
  </si>
  <si>
    <t>He throws and walks away and we see it in slow motion.</t>
  </si>
  <si>
    <t>We see the next man walk up and throw and we see it again.</t>
  </si>
  <si>
    <t>A guy in yellow shorts throws and we see it again.</t>
  </si>
  <si>
    <t>v_msGQHfIRLhE</t>
  </si>
  <si>
    <t>A young woman is seen performing several martial arts moves in the middle of a large mat.</t>
  </si>
  <si>
    <t>The girl continues moving around and then leads into her fighting a boy.</t>
  </si>
  <si>
    <t>More pictures of her are shown as well as her fighting.</t>
  </si>
  <si>
    <t>v_pXeVR0bf4Pk</t>
  </si>
  <si>
    <t>A man stands up in a raft.</t>
  </si>
  <si>
    <t>Several rafts are on the ground, filled with people.</t>
  </si>
  <si>
    <t>They listen to an instructor tell them what they need to do.</t>
  </si>
  <si>
    <t>They raft through the rapids of a heavily flowing river.</t>
  </si>
  <si>
    <t>One of the rafts capsizes at the end.</t>
  </si>
  <si>
    <t>v_7I6v9c00aRA</t>
  </si>
  <si>
    <t>A man floats in calm water and holds onto a rope while waiting for the boat to drive.</t>
  </si>
  <si>
    <t>The man bare foot skis on a rope off the side of a boat attempting to stand up.</t>
  </si>
  <si>
    <t>The man stands up and immediately falls into the water at high speed.</t>
  </si>
  <si>
    <t>v_rInf05YA7ww</t>
  </si>
  <si>
    <t>people are playing futsal in a roofed gym.</t>
  </si>
  <si>
    <t>referee is watching the game running side to side.</t>
  </si>
  <si>
    <t>v_vt46wY2Q9JQ</t>
  </si>
  <si>
    <t>Two men are decorating a Christmas tree.</t>
  </si>
  <si>
    <t>They are putting red ribbon around the tree.</t>
  </si>
  <si>
    <t>A dresser is shown at the end.</t>
  </si>
  <si>
    <t>v_CI6cPLeVCTk</t>
  </si>
  <si>
    <t>Two people are seen sitting on swings outside.</t>
  </si>
  <si>
    <t>The people then begin moving back and fourth.</t>
  </si>
  <si>
    <t>The people continuously swing back and fourth on the swingset.</t>
  </si>
  <si>
    <t>v_nE0_PaRBXeA</t>
  </si>
  <si>
    <t>There's a man in a blue shirt using the lat pull machine in a gym.</t>
  </si>
  <si>
    <t>There are a few other people running on the treadmill behind the man.</t>
  </si>
  <si>
    <t>He starts off by pulling the handles of the machine and then goes back and forth to exercise.</t>
  </si>
  <si>
    <t>v_t8hx8ihRPGc</t>
  </si>
  <si>
    <t>A boy is shown going down a slide.</t>
  </si>
  <si>
    <t>A woman is talking to the camera at the park.</t>
  </si>
  <si>
    <t>Kids are shown playing on various equipment.</t>
  </si>
  <si>
    <t>v_VcbMGRcN9Cc</t>
  </si>
  <si>
    <t>The video shows a slow motion of three people playing Foosball.</t>
  </si>
  <si>
    <t>There are two people standing on one side and a single player on the other side.</t>
  </si>
  <si>
    <t>They continue playing Foosball with each other.</t>
  </si>
  <si>
    <t>v_o2hmponBzIE</t>
  </si>
  <si>
    <t>A small group of girls wearing costumes are seen walking out onto a gym floor and holding a pose in front of a large audience.</t>
  </si>
  <si>
    <t>The girls perform a dance routine with batons in their hand and end by lining up and walking away.</t>
  </si>
  <si>
    <t>v_KlJqjBqpnjw</t>
  </si>
  <si>
    <t>A woman named Sapna appears in a photo.</t>
  </si>
  <si>
    <t>She is then seen demonstrating a variety of jump rope moves.</t>
  </si>
  <si>
    <t>She jumps forward and back, and side to side.</t>
  </si>
  <si>
    <t>v_IqRwR1a9ia0</t>
  </si>
  <si>
    <t>A man wearing a construction hard hat applies plaster to a wall using a hand held flat edge.</t>
  </si>
  <si>
    <t>The man pauses to explain his procedure.</t>
  </si>
  <si>
    <t>A Company name and slogan are seen in white text.</t>
  </si>
  <si>
    <t>v_dL9mlqbG5CU</t>
  </si>
  <si>
    <t>A rock band is playing a rock song in a black an white environment.</t>
  </si>
  <si>
    <t>Several curlers are preparing for a curling match while the band plays.</t>
  </si>
  <si>
    <t>the band and the curlers are both on the ice interacting with one another.</t>
  </si>
  <si>
    <t>The video returns to the black and white environment where the curler and the band members are both singing.</t>
  </si>
  <si>
    <t>The video focuses on a woman getting ready to curl while the others watch.</t>
  </si>
  <si>
    <t>v_oKaNlV45bB8</t>
  </si>
  <si>
    <t>A young woman is seen brushing her tooth followed by close ups of a tooth brush.</t>
  </si>
  <si>
    <t>Shots are shown of her teeth close up as well as her still brushing.</t>
  </si>
  <si>
    <t>She continues brushing all along her teeth to demonstrate how it's done.</t>
  </si>
  <si>
    <t>v_uaLMHEtFlNA</t>
  </si>
  <si>
    <t>A gopro ad appears on the screen.</t>
  </si>
  <si>
    <t>Someone wears the device as he uses a mower to mow his lawn.</t>
  </si>
  <si>
    <t>It is sped up as it shows every angle as he completes mowing the lawn, back and forth and going over the same spots until it is perfect.</t>
  </si>
  <si>
    <t>v_vWNDj8KxmBg</t>
  </si>
  <si>
    <t>Several clips are shown of people performing flips and tricks in the middle of a floor while a light shines down in the middle.</t>
  </si>
  <si>
    <t>The kids continue spinning around one another and end by standing up together and falling down.</t>
  </si>
  <si>
    <t>v_gdr6iVHHYcU</t>
  </si>
  <si>
    <t>Two women are in a room talking.</t>
  </si>
  <si>
    <t>A woman begins to put makeup on the other woman.</t>
  </si>
  <si>
    <t>She dabs the woman's face with a sponge.</t>
  </si>
  <si>
    <t>v_p4qZGZenAoU</t>
  </si>
  <si>
    <t>A woman with her hair up in a towel introduces her video showing how she washes her face.</t>
  </si>
  <si>
    <t>She applies a moisturizer to her face while dancing around.</t>
  </si>
  <si>
    <t>She then dances in the living room with the moisturizer on.</t>
  </si>
  <si>
    <t>Finally, she returns to the bathroom and washes her face.</t>
  </si>
  <si>
    <t>v_Xa1yH3vxlAk</t>
  </si>
  <si>
    <t>man is standing on side of car stuck in traffic.</t>
  </si>
  <si>
    <t>man holding bagpipes is walking in street between cars.</t>
  </si>
  <si>
    <t>v_dPdeb0SgIw8</t>
  </si>
  <si>
    <t>A TV reporter is talking while shows a screen of a person playing hockey on ice.</t>
  </si>
  <si>
    <t>Then, the reporters talk and comment each other, while one of the man is on front a laptop.</t>
  </si>
  <si>
    <t>v__3hVtPVXTmg</t>
  </si>
  <si>
    <t>A gymnast is seen running towards a set of uneven bars and performing a routine on the bars.</t>
  </si>
  <si>
    <t>She swings all around and jumps on the mat to end her routine.</t>
  </si>
  <si>
    <t>v_-XCESzrIWXA</t>
  </si>
  <si>
    <t>People are playing soccer in an indoor soccer arena.</t>
  </si>
  <si>
    <t>Two of the men hug on the court.</t>
  </si>
  <si>
    <t>A person kicks a ball into the goal.</t>
  </si>
  <si>
    <t>v_2RpAv3irv1c</t>
  </si>
  <si>
    <t>A woman sprays lotion and brush her hair.</t>
  </si>
  <si>
    <t>Then, the woman makes a braid with the front hair and fasten it with a pin.</t>
  </si>
  <si>
    <t>After, the woman makes a pony tail and spray lotion to her hair.</t>
  </si>
  <si>
    <t>v_cuyD4bT4Bvc</t>
  </si>
  <si>
    <t>initial logo is shown and a web page.</t>
  </si>
  <si>
    <t>man is in a skate park in white skates.</t>
  </si>
  <si>
    <t>man is sitting in a tube and make tricks in a skate park, other man is sitting watching him.</t>
  </si>
  <si>
    <t>little kid is talking to someone and watching the man in skates doing the tricks in skate park.</t>
  </si>
  <si>
    <t>v_NzJkKwzPqvk</t>
  </si>
  <si>
    <t>An older woman is using a cue to play pool.</t>
  </si>
  <si>
    <t>She shoots the ball and walks away.</t>
  </si>
  <si>
    <t>Then she bangs cues with another person.</t>
  </si>
  <si>
    <t>v_nOxKfRwdf2w</t>
  </si>
  <si>
    <t>Two people are talking to a camera outside.</t>
  </si>
  <si>
    <t>A ballerina does several twirls on stage.</t>
  </si>
  <si>
    <t>v_U89hsv1dzuQ</t>
  </si>
  <si>
    <t>man is smoking a cigarrette in a dark street.</t>
  </si>
  <si>
    <t>man is wearing a white t shirt smoking a cigarrette and watching to the camera.</t>
  </si>
  <si>
    <t>man is in the night in a dark field smoking.</t>
  </si>
  <si>
    <t>v_3svMy4Kfjd8</t>
  </si>
  <si>
    <t>A guy is water boarding in a body of water.</t>
  </si>
  <si>
    <t>The guy messes with his hair.</t>
  </si>
  <si>
    <t>The guy gives hands gesture.</t>
  </si>
  <si>
    <t>v_aYfWH960W0Q</t>
  </si>
  <si>
    <t>An athletic woman is seen running down a track with a large group of people watching her on the sidelines.</t>
  </si>
  <si>
    <t>She continues running and finishes the race while collapsing on the ground in the end and breathing heavily while crying.</t>
  </si>
  <si>
    <t>She sits back up crying and another woman helps her up, ending with a short clip of a girl running.</t>
  </si>
  <si>
    <t>v_At7fzSxdiCg</t>
  </si>
  <si>
    <t>A man is running down the track at a track and field competition.</t>
  </si>
  <si>
    <t>He begins to take some rapid steps to give himself so leverage for a jump he is trying to make.</t>
  </si>
  <si>
    <t>He takes off into the air as he begins the jump.</t>
  </si>
  <si>
    <t>He lands on the ground as he completes the jump.</t>
  </si>
  <si>
    <t>v_o18RrUlR-0Y</t>
  </si>
  <si>
    <t>A man with long beard is talking in the camera while a hand is brushing the side of his beard, then he continue talking while in his back the TV is running, then he closed up his beard, showed a man in green and the kid sitting next to him.</t>
  </si>
  <si>
    <t>The man in green shaves the man's beard on the side then brushed it then continue to shave the long beard leaving the stubble.</t>
  </si>
  <si>
    <t>v_IfpcrV_cwHI</t>
  </si>
  <si>
    <t>A close up of a pool table is shown followed by a man hitting the ball.</t>
  </si>
  <si>
    <t>The man the celebrates and shakes the hands of the opponent.</t>
  </si>
  <si>
    <t>He walks around the audience celebrating with them and walks back to his bag.</t>
  </si>
  <si>
    <t>v_XxyTLG8B-Ns</t>
  </si>
  <si>
    <t>A man is talking to the camera as he gets ready to ride the bumper cars.</t>
  </si>
  <si>
    <t>The man rides around in the bumper car bumping in to the other people while the camera watches.</t>
  </si>
  <si>
    <t>The camera zooms in on the people for a closer look.</t>
  </si>
  <si>
    <t>The ride ends and the people get out of the bumper cars.</t>
  </si>
  <si>
    <t>v_mTlReluteEQ</t>
  </si>
  <si>
    <t>A man throws an object in a track and field event at the Olympics.</t>
  </si>
  <si>
    <t>This is then shown in slow motion and then sped up.</t>
  </si>
  <si>
    <t>The coach reacts and cheers.</t>
  </si>
  <si>
    <t>The athlete receives a medal and waves to the crowd.</t>
  </si>
  <si>
    <t>v_XkWO7aqcC8Y</t>
  </si>
  <si>
    <t>A man is outdoors, cutting wires off a stack of sheetrock.</t>
  </si>
  <si>
    <t>He moves the sheets, then muds the floors before laying them down.</t>
  </si>
  <si>
    <t>The man presses the large sheets onto the ground.</t>
  </si>
  <si>
    <t>v_BO0vQ6ASVlo</t>
  </si>
  <si>
    <t>A man holds a frisbee next to a dog, then the dog jumps above the back of the man and grabs a frisbee.</t>
  </si>
  <si>
    <t>The man throws a frisbee and the dog runs to get it, after the man does tricks with the dog.</t>
  </si>
  <si>
    <t>A person lie down with his feet up, then the dog stand on his feet and plays with the frisbee.</t>
  </si>
  <si>
    <t>The man plays with the dog frisbee doing tricks and throwing the frisbee.</t>
  </si>
  <si>
    <t>v_8pR6NBu7Ay0</t>
  </si>
  <si>
    <t>The outside of a box containing a gun is shown.</t>
  </si>
  <si>
    <t>A man is joined by two others in front of a display of guns.</t>
  </si>
  <si>
    <t>They talk about the guns, then join a game of paintball outdoors, hiding behind obstacles as they shoot at each other.</t>
  </si>
  <si>
    <t>v_M7tUnCF9lU4</t>
  </si>
  <si>
    <t>A lady standing beside the slide is holding a little child on top of the slide.</t>
  </si>
  <si>
    <t>She looked inside the tunnel and moved the little kid to show him and wave at the person.</t>
  </si>
  <si>
    <t>The lady hold the child while she push him down the slide.</t>
  </si>
  <si>
    <t>The lady slide the kid up back to the top.</t>
  </si>
  <si>
    <t>The lady hold the child and pushed him down the slide.</t>
  </si>
  <si>
    <t>The child sat on the bottom of the slide while looking away.</t>
  </si>
  <si>
    <t>v_9Cs3CYCMH2w</t>
  </si>
  <si>
    <t>Two people are jump roping outside on a patio.</t>
  </si>
  <si>
    <t>The boy leaves and the girls starts jump roping by herself.</t>
  </si>
  <si>
    <t>The girl does a hand stand.</t>
  </si>
  <si>
    <t>The boy starts jump roping by himself.</t>
  </si>
  <si>
    <t>The girl does a flip in the air.</t>
  </si>
  <si>
    <t>The boy does a flip in the air.</t>
  </si>
  <si>
    <t>v_wsc5GIgVwN8</t>
  </si>
  <si>
    <t>Several people are shown in a back ground of lasers are portrayed as members on a team.</t>
  </si>
  <si>
    <t>A man from the team then comes along and starts to skateboard down the road in a community environment.</t>
  </si>
  <si>
    <t>As he continues skating,he moves to a more rural area with large mountains and field in the open and points begin to rack up in the corner of the screen.</t>
  </si>
  <si>
    <t>v_Z-C5yMAUmM4</t>
  </si>
  <si>
    <t>A woman is sitting down taking a drink.</t>
  </si>
  <si>
    <t>She sets the drink down and starts talking.</t>
  </si>
  <si>
    <t>v_jjuitTS2cuM</t>
  </si>
  <si>
    <t>A little toddler is walking down the street holding her dog leash.</t>
  </si>
  <si>
    <t>The dog is walking ahead of her not pulling her, he is very gentle.</t>
  </si>
  <si>
    <t>The dog stops to sniff around and then begins walking again.</t>
  </si>
  <si>
    <t>The little girl trying to follow closely behind him.</t>
  </si>
  <si>
    <t>v_MWdPh6J-YXM</t>
  </si>
  <si>
    <t>A man stretches in front of the camera.</t>
  </si>
  <si>
    <t>The camera cuts to scenes of the man on a small boat paddling.</t>
  </si>
  <si>
    <t>The camera cuts to scenes of various men paddling boats from various angles, with different backgrounds.</t>
  </si>
  <si>
    <t>The camera shows men putting boats away.</t>
  </si>
  <si>
    <t>The camera shows several men in a car.</t>
  </si>
  <si>
    <t>The camera shows quick clips of men exercising in a gym.</t>
  </si>
  <si>
    <t>The camera returns to scenes of men paddling boats.</t>
  </si>
  <si>
    <t>The camera cuts to accelerated footage of a car driving.</t>
  </si>
  <si>
    <t>The camera cuts to scenes of men relaxing and tossing a ball around.</t>
  </si>
  <si>
    <t>The camera cuts to a scene of a man sitting relaxing.</t>
  </si>
  <si>
    <t>v_nwBb-WkaCYU</t>
  </si>
  <si>
    <t>A person is sitting behind a table doing a rubiks cube blind folded.</t>
  </si>
  <si>
    <t>A timer is on the desk in front of them.</t>
  </si>
  <si>
    <t>The person completes the rubiks cube and sets it down on the table.</t>
  </si>
  <si>
    <t>v_JavaLreBqtI</t>
  </si>
  <si>
    <t>We see a lady sitting on a couch talking.</t>
  </si>
  <si>
    <t>The lady makes faces and claps her hands.</t>
  </si>
  <si>
    <t>We watch the lady pull rollers our out her braids.</t>
  </si>
  <si>
    <t>We see her hair up close.</t>
  </si>
  <si>
    <t>The lady makes a quote sign with her fingers.</t>
  </si>
  <si>
    <t>v_NulnzF8avMI</t>
  </si>
  <si>
    <t>The gymnast gathers his focus, and mounts the pommel horse to begin his event.</t>
  </si>
  <si>
    <t>The audience watches and cheers as the announcers give their commentary.</t>
  </si>
  <si>
    <t>He goes up to a hand stand.</t>
  </si>
  <si>
    <t>He picks up his speed once he comes back down from the hand stand.</t>
  </si>
  <si>
    <t>The gymnast has a nice dismount.</t>
  </si>
  <si>
    <t>We watch the performance again in slow motion then see his smile as he is seated afterwords.</t>
  </si>
  <si>
    <t>v_UqE_T7oG1Gc</t>
  </si>
  <si>
    <t>woman is talking to the camera and holding makeup brushes.</t>
  </si>
  <si>
    <t>woman is shoing a braid on her hair and its shownig how to do the braid.</t>
  </si>
  <si>
    <t>v_87fIi0-1JVM</t>
  </si>
  <si>
    <t>A girl travels in a car while talking.</t>
  </si>
  <si>
    <t>The girl is in a piercing shop, then a man rubs her nose with a tissue and put a mark.</t>
  </si>
  <si>
    <t>After, the man pierce the nose of the girl and puts a tip.</t>
  </si>
  <si>
    <t>After, the man cleans the area, and the girl dry some tears on her face.</t>
  </si>
  <si>
    <t>After, the girl holds a camera on front her face and talks, also shows her piercing.</t>
  </si>
  <si>
    <t>v_8381XS5ZDNs</t>
  </si>
  <si>
    <t>A piece of exercise equipment spins around on a panel when a woman suddenly appears.</t>
  </si>
  <si>
    <t>She climbs on the machine and begins exercising while the camera pans around her movements.</t>
  </si>
  <si>
    <t>She continues to use the equipment and eventually shows a picture of the equipment.</t>
  </si>
  <si>
    <t>v_8kyg5u6o21k</t>
  </si>
  <si>
    <t>boy is putting a helmet and is fixing his skateboard.</t>
  </si>
  <si>
    <t>boy is going down an slope passing by houses till is dark.</t>
  </si>
  <si>
    <t>v_jXIKHEsmVl4</t>
  </si>
  <si>
    <t>A guy is outside chopping wood.</t>
  </si>
  <si>
    <t>The ax gets stuck on the wood on his first try.</t>
  </si>
  <si>
    <t>The guy pulls the ax out.</t>
  </si>
  <si>
    <t>The guy keeps cutting the wood smaller and smaller.</t>
  </si>
  <si>
    <t>v_SpEdr2o2TP0</t>
  </si>
  <si>
    <t>A man and woman are talking in a stable.</t>
  </si>
  <si>
    <t>The man helps the woman on the horse and she leads it around the arena.</t>
  </si>
  <si>
    <t>The woman gets off the horse and talks to the camera.</t>
  </si>
  <si>
    <t>v_iSHPVCBsnLw</t>
  </si>
  <si>
    <t>Two men are seen sitting on a couch watching tv and speaking back and fourth to one another.</t>
  </si>
  <si>
    <t>Another walks into frame speaking and holding a drink and the two men continue speaking to one another.</t>
  </si>
  <si>
    <t>v_7m--xUKvqkc</t>
  </si>
  <si>
    <t>A hand holds a damp mop sign up to the camera.</t>
  </si>
  <si>
    <t>A person mops a floor, with the camera only picking up part of the person and the mop.</t>
  </si>
  <si>
    <t>The camera shows a close up of the mop head.</t>
  </si>
  <si>
    <t>v_dKwPfFN7DpM</t>
  </si>
  <si>
    <t>A man is shown spinning in circles while throwing a shot put off into the distance.</t>
  </si>
  <si>
    <t>Several men are then shown over and over again throwing the object off into the distance in various locations.</t>
  </si>
  <si>
    <t>v_iMF8-iDLl6U</t>
  </si>
  <si>
    <t>An intro featuring the text "how to change a tire" plays.</t>
  </si>
  <si>
    <t>A woman has a tool that allows you put the tire on to a rim while a man holds the tool.</t>
  </si>
  <si>
    <t>The woman then uses the same tool to remove the tire from the rim.</t>
  </si>
  <si>
    <t>The person filming shows an iPhone's timer at various points to show how long a step should take.</t>
  </si>
  <si>
    <t>The tool that removes the tier from the rim is shown and how it works.</t>
  </si>
  <si>
    <t>A man opens a Bridgestone locker or machine to show the inside.</t>
  </si>
  <si>
    <t>The video ends with an image of a solar powered vehicle.</t>
  </si>
  <si>
    <t>v_3TVKXCyNObQ</t>
  </si>
  <si>
    <t>People skateboard down the road of a city.</t>
  </si>
  <si>
    <t>A group of teens meet on the road and watch a teen skateboard.</t>
  </si>
  <si>
    <t>A teen enters a skateboard ramp and skateboard around.</t>
  </si>
  <si>
    <t>A boy skateboards on a road passing a city and a field.</t>
  </si>
  <si>
    <t>Two teens skateboard on a road.</t>
  </si>
  <si>
    <t>v_8EGM3zcvjs8</t>
  </si>
  <si>
    <t>Eight people are standing at the studio, one woman walked at the back of the group.</t>
  </si>
  <si>
    <t>The group started dancing, swirling, shaking their hips, rotating, their arms and hands are moving from side to side, in front.</t>
  </si>
  <si>
    <t>v_SIj-ti_70HQ</t>
  </si>
  <si>
    <t>A woman stands in front of a mirror smiling and begins brushing her hair.</t>
  </si>
  <si>
    <t>She continues brushing her hair and looking at herself in the mirror.</t>
  </si>
  <si>
    <t>v_oNqtuh6qa2E</t>
  </si>
  <si>
    <t>A man is standing outside on a sidewalk with a silver camera in his hand filming something.</t>
  </si>
  <si>
    <t>As the camera turns,the man is filming someone on a one-seater paddling as he is playing a bag of pipes.</t>
  </si>
  <si>
    <t>The man continues,and a gruop of people crowd around him and watch him until he falls off the wheel.</t>
  </si>
  <si>
    <t>v__6mQ9_DQr0Q</t>
  </si>
  <si>
    <t>Man approaches the weights before him.</t>
  </si>
  <si>
    <t>Man lifts up weights and drops them to the floor.</t>
  </si>
  <si>
    <t>Man lifts up weights and holds them for a while.</t>
  </si>
  <si>
    <t>Man shakes his hands in celebration.</t>
  </si>
  <si>
    <t>Man screams in celebration.</t>
  </si>
  <si>
    <t>v_B-60jGEds7M</t>
  </si>
  <si>
    <t>A boat sails in the choppy waters of an ocean.</t>
  </si>
  <si>
    <t>The big waves moves the boat up and down.</t>
  </si>
  <si>
    <t>A person stands on front the boat wearing dark clothes.</t>
  </si>
  <si>
    <t>v_d8u6MM00_ig</t>
  </si>
  <si>
    <t>A large group of people are seen wandering around an arena when a man steps up to a weight.</t>
  </si>
  <si>
    <t>The man lifts the weight over his head and throws it on the ground.</t>
  </si>
  <si>
    <t>Several more men are seen attempting to lift the weight with others succeeding and cheering and others dropping the weight.</t>
  </si>
  <si>
    <t>v_KfkNKhAWOII</t>
  </si>
  <si>
    <t>Graphics with "FCC Presents" followed by "The Great Indoors with Tracy Briggs" appear on screen.</t>
  </si>
  <si>
    <t>Briggs speaks to the camera from a kitchen.</t>
  </si>
  <si>
    <t>She begins preparing a potato and tomtatos to eat.</t>
  </si>
  <si>
    <t>v_6rMF2jWbeUQ</t>
  </si>
  <si>
    <t>A woman is seen sitting in a wheelchair looking to the camera and wheels herself over to a side.</t>
  </si>
  <si>
    <t>She then puts her shoes on with another man's help while still smiling to the camera.</t>
  </si>
  <si>
    <t>She wheels herself away and claps in the end.</t>
  </si>
  <si>
    <t>v_9zm9jW7_ANc</t>
  </si>
  <si>
    <t>The chef begins by removing and slicing the endive.</t>
  </si>
  <si>
    <t>The chef then places them in a bin,afterwards he slices and peels more.</t>
  </si>
  <si>
    <t>The chef then chops romaine and places them in a silver bin and mixes endive with the romaine.</t>
  </si>
  <si>
    <t>Finally he removes the salad mixture with a dressing on it from a round silver bowl and places the salad on a white plate.</t>
  </si>
  <si>
    <t>v_M1SUIrWykRs</t>
  </si>
  <si>
    <t>Several people are surfing on a large wave in the water.</t>
  </si>
  <si>
    <t>A man and a little girl are swimming in the water.</t>
  </si>
  <si>
    <t>v_7OTqYfUuAIw</t>
  </si>
  <si>
    <t>A young child is seen kicking around in the middle of a room.</t>
  </si>
  <si>
    <t>The kid kicks both of his legs around while the camera pans around.</t>
  </si>
  <si>
    <t>Another child is seen kicking on the side while a dog walks in and out of frame.</t>
  </si>
  <si>
    <t>v_KYl67H9-4TA</t>
  </si>
  <si>
    <t>A small child wearing a wig is seen holding a violin and speaking to the camera.</t>
  </si>
  <si>
    <t>She then plays a song on the violin moving his arms and hands back and fourth and ends by speaking off into the distance.</t>
  </si>
  <si>
    <t>v_8z29qtUWwdU</t>
  </si>
  <si>
    <t>A man is seen talking to the camera and presents his knife and sharpener.</t>
  </si>
  <si>
    <t>He then glides the knife down the sharpener and shows how other knives work with different sharpeners.</t>
  </si>
  <si>
    <t>He presents the knife one last time while still speaking to the camera.</t>
  </si>
  <si>
    <t>v_MFlYmFZ7xlo</t>
  </si>
  <si>
    <t>A man is mopping a floor.</t>
  </si>
  <si>
    <t>A woman is eating.</t>
  </si>
  <si>
    <t>v_fjoaurNKg60</t>
  </si>
  <si>
    <t>A person washes there hands and closes a sink drain.</t>
  </si>
  <si>
    <t>The person removes a contact from the container and places on the tip of their finger.</t>
  </si>
  <si>
    <t>The person holds open one eyelid at a time and inserts the contact into their eye.</t>
  </si>
  <si>
    <t>A cleaner solution is sprayed into the container to clean it out.</t>
  </si>
  <si>
    <t>The contact lens is removed from the eye.</t>
  </si>
  <si>
    <t>Solution is sprayed on the contact lens resting in the palm of a hand before being placed back on the counter.</t>
  </si>
  <si>
    <t>v_61sN9tqZHwk</t>
  </si>
  <si>
    <t>A series of masks are shown on a table.</t>
  </si>
  <si>
    <t>A yorkie dog is shown from several angles.</t>
  </si>
  <si>
    <t>We then see the dog winning competitions and getting groomed.</t>
  </si>
  <si>
    <t>v_GEhtyurCwDQ</t>
  </si>
  <si>
    <t>We see an electric shaver from various angles.</t>
  </si>
  <si>
    <t>The man unwraps the product and takes it out of the bag.</t>
  </si>
  <si>
    <t>The product is being taken out of it's packaging.</t>
  </si>
  <si>
    <t>The man shaves his hand then adds a guard and shaves his beard and the hairline in back.</t>
  </si>
  <si>
    <t>The man rinses the shaver and works on his neck.</t>
  </si>
  <si>
    <t>v_0AjYz-s4Rek</t>
  </si>
  <si>
    <t>A man and a woman dressed in snow clothing are walking in the snow and they begin to drill into the ice ground with hand held red crank long drills.</t>
  </si>
  <si>
    <t>When they make a hole in the ice they put their fishing wire attached with bait into the hole and begin ice fishing until the woman catches a fish.</t>
  </si>
  <si>
    <t>After they're done fishing, they are now at a wood fire and the fish is cooking on the wood.</t>
  </si>
  <si>
    <t>v_19YCgLDhfoE</t>
  </si>
  <si>
    <t>A woman exercise sniping a stick on her hand in a filed.</t>
  </si>
  <si>
    <t>The woman exercise on front the ocean spinning the stick on her neck.</t>
  </si>
  <si>
    <t>Then, the woman throws the stick on the air.</t>
  </si>
  <si>
    <t>After, the woman pass the stick from hand to another on her folded arm.</t>
  </si>
  <si>
    <t>v_zihMznAYlV0</t>
  </si>
  <si>
    <t>Two men in padded sumo costumes are pulled along a tug rope on a ski slope.</t>
  </si>
  <si>
    <t>Two men in yellow padded sumo costumes do jumps on their snowboard on a downhill course.</t>
  </si>
  <si>
    <t>A filmer waives to the camera.</t>
  </si>
  <si>
    <t>The man spins while sliding across a platform in the sumo suit.</t>
  </si>
  <si>
    <t>The two men give each other a high five.</t>
  </si>
  <si>
    <t>The man in sumo suit goes over a small triangular obstacle.</t>
  </si>
  <si>
    <t>A man on small skis crashes while trying to jump.</t>
  </si>
  <si>
    <t>The man jumps onto and slide across a platform while wearing a sumo suit.</t>
  </si>
  <si>
    <t>The man bounces over a low railing.</t>
  </si>
  <si>
    <t>v_T6KP0pg7qxM</t>
  </si>
  <si>
    <t>A boy is sitting in a chair behind a counter.</t>
  </si>
  <si>
    <t>A girl comes up next to him and tries to feed him cereal.</t>
  </si>
  <si>
    <t>He starts throwing darts at a dartboard.</t>
  </si>
  <si>
    <t>v_v8XN1ajGeIw</t>
  </si>
  <si>
    <t>A close up is shown of a very dirty floor being cleaned with a large vacuum.</t>
  </si>
  <si>
    <t>Words on the screen explain the strength of the vacuum as the person continues.</t>
  </si>
  <si>
    <t>The floor is being cleaned at walking speed.</t>
  </si>
  <si>
    <t>The man continues to demonstrate the usage until an ad for the company appears at the end.</t>
  </si>
  <si>
    <t>v_zQCqzIgIpHI</t>
  </si>
  <si>
    <t>A view is seen of the outside of an airport, then the wing of the flying plane.</t>
  </si>
  <si>
    <t>A man is on the plane wearing a mask.</t>
  </si>
  <si>
    <t>Several people are sleeping in the dark quarters.</t>
  </si>
  <si>
    <t>They arrive at a ski resort, and ride the lifts before donning skis and skiing down treacherous hills.</t>
  </si>
  <si>
    <t>v_K8ZPkLVlAiA</t>
  </si>
  <si>
    <t>A man is holding the arm of a canister vacuum in a vacuum showroom.</t>
  </si>
  <si>
    <t>The man lifts the arm and shows it to the camera.</t>
  </si>
  <si>
    <t>The man then pretends, then actually vacuums the linoleum floor with the vacuum.</t>
  </si>
  <si>
    <t>v_ovTKJgSWMKQ</t>
  </si>
  <si>
    <t>Scores are shown on a screen in front of pool water.</t>
  </si>
  <si>
    <t>A man towels off in a room.</t>
  </si>
  <si>
    <t>He enters the competition, shaking hands after his dive.</t>
  </si>
  <si>
    <t>Between dives, the scoreboard is shown again.</t>
  </si>
  <si>
    <t>The final scene is of the man backflipping off the diving board.</t>
  </si>
  <si>
    <t>v_X2zoUDI1Gmc</t>
  </si>
  <si>
    <t>A woman is seen smiling to the camera holding up a blow dryer and various attachments.</t>
  </si>
  <si>
    <t>She is then seen again with wet hair and then sprays liquid into her hair and then blow dries her hair more.</t>
  </si>
  <si>
    <t>She then pins her hair up, attaches and attachment to the blow dryer, and dries her hair all around, spinning to the camera in the end.</t>
  </si>
  <si>
    <t>v_LFeoVokXAFY</t>
  </si>
  <si>
    <t>A man uses a large plastic blue bat.</t>
  </si>
  <si>
    <t>He swings it at a pinata shaped like spongebob squarepants.</t>
  </si>
  <si>
    <t>He misses several times, and keeps swinging.</t>
  </si>
  <si>
    <t>v_GvvmZ1Bi1xk</t>
  </si>
  <si>
    <t>We see a finger on the lens and a shoulder.</t>
  </si>
  <si>
    <t>A woman pushes a lawn mower through the grass.</t>
  </si>
  <si>
    <t>The lady lifts the mower and backs up.</t>
  </si>
  <si>
    <t>The lady turns the mower.</t>
  </si>
  <si>
    <t>v_lUX1nfb5rx0</t>
  </si>
  <si>
    <t>woman is standing in font of a counter and is talking to the camera.</t>
  </si>
  <si>
    <t>a clean sink is shown and a woman claing the surface of water and wine with a cloth and then with an sponge.</t>
  </si>
  <si>
    <t>the woman put a cleaner on a cloth and cleans the sink, then the woman is talking and a white table covers the sink.</t>
  </si>
  <si>
    <t>v_rBaR5xF8orE</t>
  </si>
  <si>
    <t>A large group of people are seen sitting around an auditorium with one man flying kites around in the middle.</t>
  </si>
  <si>
    <t>The person continues moving around with the kites and walks away in the end with a woman speaking to the crowd.</t>
  </si>
  <si>
    <t>v_lwXIgNoLGhM</t>
  </si>
  <si>
    <t>We see people in a field holding flags.</t>
  </si>
  <si>
    <t>We see people playing paintball in the woods.</t>
  </si>
  <si>
    <t>We see people in lines like soldiers.</t>
  </si>
  <si>
    <t>We see the people in the woods in paint ball gear.</t>
  </si>
  <si>
    <t>We see an empty metal tank.</t>
  </si>
  <si>
    <t>We see the people in the woods again.</t>
  </si>
  <si>
    <t>We see inside the tank.</t>
  </si>
  <si>
    <t>We see the people walking through the field.</t>
  </si>
  <si>
    <t>We see people running with smoke.</t>
  </si>
  <si>
    <t>We see a ending title screen.</t>
  </si>
  <si>
    <t>v_XORmEz1vOeQ</t>
  </si>
  <si>
    <t>A man kneels down by a tree in a yard.</t>
  </si>
  <si>
    <t>He talks as he digs with his hands.</t>
  </si>
  <si>
    <t>He shows and instructs on how to apply and pack mulching around the base of the tree.</t>
  </si>
  <si>
    <t>v_CYSyc4jy9-Q</t>
  </si>
  <si>
    <t>A person runs and jumps wearing bouncing shoes, and a man make a surprised face.</t>
  </si>
  <si>
    <t>People wearing bouncing shoes bounce and jumps in a gym, a presenter talks and also tries the bouncing shoes.</t>
  </si>
  <si>
    <t>A man bounce and jumps high in the beach, in the street.</t>
  </si>
  <si>
    <t>Then, men flip over wearing bouncing shoes, after a man plays basketball wearing bouncing shoes in a gym.</t>
  </si>
  <si>
    <t>A person rides a bike in the gym.</t>
  </si>
  <si>
    <t>Two men wearing bouncing shoes stand front to front in a TV set.</t>
  </si>
  <si>
    <t>v_U0HiAZCgmd8</t>
  </si>
  <si>
    <t>A woman is seen speaking to the camera and leads into her pouring ice into a glass followed by various liquids.</t>
  </si>
  <si>
    <t>She mixes the liquids back and fourth and ends by presenting the drink and putting in a lemon with straw.</t>
  </si>
  <si>
    <t>v_rLH89pN9I84</t>
  </si>
  <si>
    <t>A woman walks out onto the grass.</t>
  </si>
  <si>
    <t>Two small dogs follow her on leashes.</t>
  </si>
  <si>
    <t>She bends down and the dogs come up to her.</t>
  </si>
  <si>
    <t>v_e_y8_3siD0c</t>
  </si>
  <si>
    <t>A young child is seen standing ready before a game of hop scotch.</t>
  </si>
  <si>
    <t>The girl then begins hopping on the chalk.</t>
  </si>
  <si>
    <t>The girl hops all the way to the end and walks back to the screen.</t>
  </si>
  <si>
    <t>v_djgM0IWIBKc</t>
  </si>
  <si>
    <t>A group of men are in a kayak going down the river bank.</t>
  </si>
  <si>
    <t>The are paddling and looking at the trees in the distance enjoying their day.</t>
  </si>
  <si>
    <t>One of the men gets out of the boat to go swimming in the water, They all get in and start splashing water, swimming under and enjoying the day before getting back in to turn back.</t>
  </si>
  <si>
    <t>Once they start to head back to land and to get ready to get on the dock.</t>
  </si>
  <si>
    <t>v_dyvB6XCWPZs</t>
  </si>
  <si>
    <t>People are rafting in rafts down a choppy river.</t>
  </si>
  <si>
    <t>People are jumping off a rock into the water.</t>
  </si>
  <si>
    <t>People are doing flips off the front of the raft.</t>
  </si>
  <si>
    <t>People are sitting on a boat pulling the rafts.</t>
  </si>
  <si>
    <t>v_BSIV5tJ3bv4</t>
  </si>
  <si>
    <t>An athlete walks in front of a crowd rubbing his hands in powder and grabbing a weight set.</t>
  </si>
  <si>
    <t>He lifts the weights over his head and throws it down afterwards, raising his hands up with his coach.</t>
  </si>
  <si>
    <t>v_HHxPjC6T2e0</t>
  </si>
  <si>
    <t>A unicorn pinata sways in the wind from a line.</t>
  </si>
  <si>
    <t>A woman swings wildly at it with a bat, as she is blindfolded.</t>
  </si>
  <si>
    <t>v_fVg3StD8LL0</t>
  </si>
  <si>
    <t>A man is seen hosting a news segment and speaking to the camera.</t>
  </si>
  <si>
    <t>The man is then seen helping another lay down plaster.</t>
  </si>
  <si>
    <t>The host continues helping the men tear up floor as well as lay it down and speak to the camera.</t>
  </si>
  <si>
    <t>v_-Rv7tGWehRE</t>
  </si>
  <si>
    <t>We see a boy using jumpstilts on a residential street.</t>
  </si>
  <si>
    <t>The man stops jumping the first time.</t>
  </si>
  <si>
    <t>We see a person come outside then go inside.</t>
  </si>
  <si>
    <t>The jumping man faces and walks towards the camera.</t>
  </si>
  <si>
    <t>v_PD9e9MVHEyU</t>
  </si>
  <si>
    <t>We see the title screen on white A lady sits in a chair talking.</t>
  </si>
  <si>
    <t>The lady starts painting on her hand.</t>
  </si>
  <si>
    <t>We see the closing credits on a white screen.</t>
  </si>
  <si>
    <t>v_ZoKdN--u6TU</t>
  </si>
  <si>
    <t>A young man is seen pushing a puck down a table to another man standing on the other side.</t>
  </si>
  <si>
    <t>The other man then pushes a puck and the boys continue playing the game back and fourth.</t>
  </si>
  <si>
    <t>The camera zooms in on the men in the end as well as other people standing around the room.</t>
  </si>
  <si>
    <t>v_lQq_JPRFEMw</t>
  </si>
  <si>
    <t>People are playing a game of lacrosse on a field.</t>
  </si>
  <si>
    <t>The teams line up and shake hands.</t>
  </si>
  <si>
    <t>A woman in a blue coat is talking to the camera.</t>
  </si>
  <si>
    <t>A man in a tan suit is talking into a microphone.</t>
  </si>
  <si>
    <t>v_WYcTPQSXwRc</t>
  </si>
  <si>
    <t>A marching band plays in a parade while people watch stand on the sidewalk.</t>
  </si>
  <si>
    <t>The marching band pass on front a carnival and a green field.</t>
  </si>
  <si>
    <t>Then, the marching band arrives to a city.</t>
  </si>
  <si>
    <t>An old man holding a trophy walks on front the marching band.</t>
  </si>
  <si>
    <t>After, the marching band arrives to a bus station.</t>
  </si>
  <si>
    <t>A bond lady applaud, hug people and talks.</t>
  </si>
  <si>
    <t>v_KGIDKn3t2Qk</t>
  </si>
  <si>
    <t>An intro is shown with a drink being poured into a glass and a caption about drink mixing.</t>
  </si>
  <si>
    <t>A girl begins to make a drink called a Mai Tai.</t>
  </si>
  <si>
    <t>She takes out all the things she will need to make the drink.</t>
  </si>
  <si>
    <t>She gets some ice into a glass and into the shaker.</t>
  </si>
  <si>
    <t>She adds in the rum, triple sec, syrup, sour mix, and puts the lid on the shaker.</t>
  </si>
  <si>
    <t>She shakes the shaker for a bit until it gets cold and pours the drink into the glass over the ice.</t>
  </si>
  <si>
    <t>She tops it off with a bit of sour mix and cherries, as well as a straw.</t>
  </si>
  <si>
    <t>The video ends with the closing caption.</t>
  </si>
  <si>
    <t>v_r9OvUc28Qi8</t>
  </si>
  <si>
    <t>A large group of people are in an area walking, talking and hanging out.</t>
  </si>
  <si>
    <t>Two men with a referee in the middle appear on a stage and they are in an intense arm wrestling match.</t>
  </si>
  <si>
    <t>The man without a hat wins the match and is briefly interviewed where he's smiling and talking.</t>
  </si>
  <si>
    <t>Another match between two men begins and ones again the same man that won the first match wins again.</t>
  </si>
  <si>
    <t>He holds his right arm up flexing it while smiling and his name Allen Fisher pops up on the screen and a black screen with the words 25 Time World Champion ends the video.</t>
  </si>
  <si>
    <t>v_5O1ttcUIUKk</t>
  </si>
  <si>
    <t>men are standing in a large green field playing lacrosse.</t>
  </si>
  <si>
    <t>people is around the field watching the game.</t>
  </si>
  <si>
    <t>men are running side to side of the ield playing lacrosse trying to score.</t>
  </si>
  <si>
    <t>v_1JHqxhajh60</t>
  </si>
  <si>
    <t>A hand is holding a shower head close to a dog.</t>
  </si>
  <si>
    <t>The dog moves around the bathtub as he tries to bite the water being splashed on him.</t>
  </si>
  <si>
    <t>v_0dkIuFFlLRM</t>
  </si>
  <si>
    <t>A camera pans around a set of stairs and leads into people working out in a class.</t>
  </si>
  <si>
    <t>Several shots are shown of people working out together while a man speaks to the camera.</t>
  </si>
  <si>
    <t>The man continues speaking while more people are shown working out together.</t>
  </si>
  <si>
    <t>v_p5H5ZmAwdH8</t>
  </si>
  <si>
    <t>A woman is lifting wallpaper as she tries to smooth it down without bubbles with a tool.</t>
  </si>
  <si>
    <t>She applies the tool smoothly, making sure to repeel and correct any mistakes as she goes along.</t>
  </si>
  <si>
    <t>v_8HhihBmSS9s</t>
  </si>
  <si>
    <t>A small group of people are seen standing around a field that leads into a game of kickball.</t>
  </si>
  <si>
    <t>The people kick around the ball and cheer with one another as they score points on their side.</t>
  </si>
  <si>
    <t>Another team member scores a goal and their teammates run in with their arms up.</t>
  </si>
  <si>
    <t>v_FWPJWq-uhUw</t>
  </si>
  <si>
    <t>An athletic man wearing a track suit and a bib number 171 is walking on a track and warming himself up.</t>
  </si>
  <si>
    <t>The man then grabs his necklace, puts it in his mouth and begins clapping above his head and a name below appears and it say's IRVING SALADINO.</t>
  </si>
  <si>
    <t>The man drops the necklace from his mouth and immediately begins to run and does his hop, skip and jump.</t>
  </si>
  <si>
    <t>Replays of the man's run and jump play and the man is shown celebrating himself, and with others on the field.</t>
  </si>
  <si>
    <t>v_KFo88zRw5CM</t>
  </si>
  <si>
    <t>A man is waterskiing behind a boat while holding a rope.</t>
  </si>
  <si>
    <t>He tries to hold on as he zips to the side.</t>
  </si>
  <si>
    <t>He slips, splits, and falls into the water.</t>
  </si>
  <si>
    <t>v_YO8EY7miuk8</t>
  </si>
  <si>
    <t>A small group of people are seen standing together on a stage and lead into them playing the instruments and two men kneeling in front.</t>
  </si>
  <si>
    <t>The men then perform various martial arts around one another while the people stand around and watch.</t>
  </si>
  <si>
    <t>v_4k-F7EXpcrM</t>
  </si>
  <si>
    <t>A man is riding a rowing machine in a gym.</t>
  </si>
  <si>
    <t>A finger briefly covers part of the camera lens.</t>
  </si>
  <si>
    <t>The man continues to row as people walk by in the gym.</t>
  </si>
  <si>
    <t>v_gvhjtFg8A-c</t>
  </si>
  <si>
    <t>A person moves a tire towards the gate.</t>
  </si>
  <si>
    <t>The gates close in their lanes.</t>
  </si>
  <si>
    <t>People are sitting on tires behind gates.</t>
  </si>
  <si>
    <t>A person moves their feet.</t>
  </si>
  <si>
    <t>When the gate is released, people slide down the ice on tires.</t>
  </si>
  <si>
    <t>A person celebrates and raises their hands.</t>
  </si>
  <si>
    <t>v_avJNxcysMCk</t>
  </si>
  <si>
    <t>Many people are gathered at the finish line of a marathon, waiting for the runners to come in.</t>
  </si>
  <si>
    <t>Many runners start trickling in and slowing down stopping once they get to that point.</t>
  </si>
  <si>
    <t>There are many runners and some people on the sides but the stands are completely empty on that side.</t>
  </si>
  <si>
    <t>More and more men keep running in little by little.</t>
  </si>
  <si>
    <t>v_WVxP7f_OyEs</t>
  </si>
  <si>
    <t>Some people are seen on water skis in the lake.</t>
  </si>
  <si>
    <t>A man talks to the camera, demonstrating how to water ski.</t>
  </si>
  <si>
    <t>Several moves and positions are shown as he talks.</t>
  </si>
  <si>
    <t>v_qpeovDXc1cg</t>
  </si>
  <si>
    <t>A woman is drinking a cup of coffee.</t>
  </si>
  <si>
    <t>Coffee beans are shown in a cup.</t>
  </si>
  <si>
    <t>Web articles are being shown.</t>
  </si>
  <si>
    <t>A cup mug is being filled with coffee.</t>
  </si>
  <si>
    <t>People are riding bikes down the street.</t>
  </si>
  <si>
    <t>v_PveTDlMybvU</t>
  </si>
  <si>
    <t>Motorcycle riders race around a dirt track during a competition.</t>
  </si>
  <si>
    <t>One rider crashes over a jump and falls off his bike.</t>
  </si>
  <si>
    <t>The other rider slows down and pulls off the track.</t>
  </si>
  <si>
    <t>The crashed rider crawls on the ground and is helped by another.</t>
  </si>
  <si>
    <t>The rider waves his arms to signal the others and takes the crashed bike off the course.</t>
  </si>
  <si>
    <t>The rider is seen crashing in slow motion.</t>
  </si>
  <si>
    <t>v_qpyAkXLIJz0</t>
  </si>
  <si>
    <t>A group of people are seen standing around a room with some holding onto instruments.</t>
  </si>
  <si>
    <t>People are sitting at a table playing with cups.</t>
  </si>
  <si>
    <t>More people are seen drumming on the side while the people continue to play with cups.</t>
  </si>
  <si>
    <t>Eventually people play with a guitar and end by walking off the stage.</t>
  </si>
  <si>
    <t>v_gjfa7WGhM6U</t>
  </si>
  <si>
    <t>A young man is sitting in a chair with his head down shaving his leg with an electric razor.</t>
  </si>
  <si>
    <t>The man stops and cleans out the razor.</t>
  </si>
  <si>
    <t>The man shakes the razor when it stops working until it starts again and continues to shave his leg.</t>
  </si>
  <si>
    <t>v_eLeGJBfqURA</t>
  </si>
  <si>
    <t>A dog is outside in a large field and runs towards a man holding a yellow Frisbee.</t>
  </si>
  <si>
    <t>The man then begins walking and throws the frisbee for the dog to catch.</t>
  </si>
  <si>
    <t>He throws it several time and the dog catches each and every one.</t>
  </si>
  <si>
    <t>v_Pyf_5Bffu5A</t>
  </si>
  <si>
    <t>kids are playing beach soccer in a dusty field.</t>
  </si>
  <si>
    <t>people are standing around the field in stands.</t>
  </si>
  <si>
    <t>man makes a goal and the team and people in stands are celebrating.</t>
  </si>
  <si>
    <t>man is doing a corner and scores a goal and ruun to his teammates to celebrate.</t>
  </si>
  <si>
    <t>the game start te game and men keeps running and scores another goal and celebrates while theres a repetition.</t>
  </si>
  <si>
    <t>v_9uZoTZsTwv0</t>
  </si>
  <si>
    <t>A teenage boy on a horse spinning a rope in the air chases after a little cow.</t>
  </si>
  <si>
    <t>The cow is running and the boy throws the rope around its neck.</t>
  </si>
  <si>
    <t>It causes the cow to fall over after being pulled back by the rope.</t>
  </si>
  <si>
    <t>The boy goes running off the horse after it and pins the little cow down.</t>
  </si>
  <si>
    <t>v_VpfLfFtu0d8</t>
  </si>
  <si>
    <t>We see meat and cheese on a counter.</t>
  </si>
  <si>
    <t>A man talks to the camera in a kitchen.</t>
  </si>
  <si>
    <t>The man spreads mustard on bread.</t>
  </si>
  <si>
    <t>The man assembles the sandwich.</t>
  </si>
  <si>
    <t>The sandwich is pressed.</t>
  </si>
  <si>
    <t>The man cuts the sandwich.</t>
  </si>
  <si>
    <t>The man plates all of the food.</t>
  </si>
  <si>
    <t>v_9-yA1F4il_A</t>
  </si>
  <si>
    <t>A lady is blowing leaves off a roof.</t>
  </si>
  <si>
    <t>the lady walks to the right then towards the top.</t>
  </si>
  <si>
    <t>The camera pans down and we see a small boy on the ground below.</t>
  </si>
  <si>
    <t>v_dZ4y7J3ASEE</t>
  </si>
  <si>
    <t>A person throws a ball to a teen who runs and kick the ball.</t>
  </si>
  <si>
    <t>A teen grabs the ball in the air and throws to another girl.</t>
  </si>
  <si>
    <t>The falls on the ground an the girl takes it.</t>
  </si>
  <si>
    <t>v_sjE-hHKFghc</t>
  </si>
  <si>
    <t>A woman is seen wearing roller blades and speaking to the camera.</t>
  </si>
  <si>
    <t>She then rides around on her blades while looking over to the camera and speaking.</t>
  </si>
  <si>
    <t>She continues demonstrating how to properly use the blades and moving around.</t>
  </si>
  <si>
    <t>v_G6W6wen6n7w</t>
  </si>
  <si>
    <t>We see a man run and do a high jump 6'11 and see the replay.</t>
  </si>
  <si>
    <t>We then see the man jump at 6'9 and see the replay.</t>
  </si>
  <si>
    <t>The man jumps at 6'11 again and we see the replay.</t>
  </si>
  <si>
    <t>We see the man jump at 7'2 and we see the replay.</t>
  </si>
  <si>
    <t>We see the man jump at 8'3 using a springboard and we see the replay.</t>
  </si>
  <si>
    <t>v_ULZpTYSwlTs</t>
  </si>
  <si>
    <t>There are some weightlifters on stage participating in weightlifting events.</t>
  </si>
  <si>
    <t>There are several spectators watching the event.</t>
  </si>
  <si>
    <t>One of the weightlifters successfully lifts the weight bar high up and then drops it down.</t>
  </si>
  <si>
    <t>He raises his right hand feeling triumphant.</t>
  </si>
  <si>
    <t>v_k_gAGeXhmHo</t>
  </si>
  <si>
    <t>There is a close up of several men and boys who are sweating.</t>
  </si>
  <si>
    <t>They play rock paper scissors, and the loser becomes enraged.</t>
  </si>
  <si>
    <t>He runs through the building and outdoors, screaming and hitting the air.</t>
  </si>
  <si>
    <t>The man is shown sitting on a chair, talking.</t>
  </si>
  <si>
    <t>He shakes up a bottle and takes a drink before choking.</t>
  </si>
  <si>
    <t>They replay the game, ending with him again talking while sitting in the chair.</t>
  </si>
  <si>
    <t>v_4o7Abew2ExY</t>
  </si>
  <si>
    <t>A man is sitting on a bucket ice fishing.</t>
  </si>
  <si>
    <t>He stands up and pulls a fish out of the hole.</t>
  </si>
  <si>
    <t>He cuts the hook out of the fish and throws the fish on the ice.</t>
  </si>
  <si>
    <t>He sits back down on the bucket.</t>
  </si>
  <si>
    <t>v_Ed9xVend710</t>
  </si>
  <si>
    <t>A still shot of a man on water skis is shown.</t>
  </si>
  <si>
    <t>It then jumps to the same man water skiing very intently.</t>
  </si>
  <si>
    <t>He falls a few times and does his best to stay upright.</t>
  </si>
  <si>
    <t>The video then shows other people trying their best but falling each time.</t>
  </si>
  <si>
    <t>The video continues to show people falling again and again.</t>
  </si>
  <si>
    <t>At the end, credits are shown as to who filmed and starred in the video.</t>
  </si>
  <si>
    <t>v_agZNSscDJww</t>
  </si>
  <si>
    <t>A man is playing the bagpipes.</t>
  </si>
  <si>
    <t>People are playing a game of lacrosse outside.</t>
  </si>
  <si>
    <t>v_YZhNtSJMzq8</t>
  </si>
  <si>
    <t>A boy mows a backyard using a mower that has a collecting bag on back.</t>
  </si>
  <si>
    <t>The boy pass the sidewalk and turn to the yard to continue cutting the grass.</t>
  </si>
  <si>
    <t>v_e0a1lp4ZWu8</t>
  </si>
  <si>
    <t>People are riding on horses in a field.</t>
  </si>
  <si>
    <t>A person in a red shirt is standing next to the horse.</t>
  </si>
  <si>
    <t>A man in a black hat is next to the horse.</t>
  </si>
  <si>
    <t>v_dSsMVoPLQOk</t>
  </si>
  <si>
    <t>A woman is seen shaving down the fur of a dog while the camera shows many dogs sitting in crates.</t>
  </si>
  <si>
    <t>A woman is seen speaking to the camera and showing off several dogs with long hair and afterwards.</t>
  </si>
  <si>
    <t>The woman continues shaving down the sides of the dog while stopping to speak to the camera and showing off the shaved dog.</t>
  </si>
  <si>
    <t>v_ztnt2EYuK3I</t>
  </si>
  <si>
    <t>A person in a black coat is scraping ice off of a window.</t>
  </si>
  <si>
    <t>A kid in a yellow coat is smiling at the camera.</t>
  </si>
  <si>
    <t>A boy in a green jacket is scraping the ice off of another car.</t>
  </si>
  <si>
    <t>v_YtgiDWEY_1A</t>
  </si>
  <si>
    <t>The news shows a picture of a man name Albertinho Gazio, Meanwhile a woman walking out of her house in snow gear towards her parked car.</t>
  </si>
  <si>
    <t>The man behind the camera seems to be Albertinho, He is walking through the snow and talking, he and his wife and taking off the snow from the cars in the parking lot.</t>
  </si>
  <si>
    <t>His hands are extremely red from the snow but his wife is wearing gloves so she's unaffected.</t>
  </si>
  <si>
    <t>He takes a paper out of his pocket and reads through it, while his wife laughs at him before they start walking back inside.</t>
  </si>
  <si>
    <t>v_g0Cp28ElIMk</t>
  </si>
  <si>
    <t>A girl put her foot on a line and then pulls herself up .</t>
  </si>
  <si>
    <t>Her feet are dirty but she is trying to balance on the rope.</t>
  </si>
  <si>
    <t>A man gets up on the rope trying to balance himself also, he has trouble maintaining his balance causing himself to almost fall quite a bit.</t>
  </si>
  <si>
    <t>He tried this over water and then he watches a woman try to balance herself.</t>
  </si>
  <si>
    <t>v_jtyWcZGp4VA</t>
  </si>
  <si>
    <t>A person take on the hands a small and big brush and a com, and points a jug of detergent and a spray bottle.</t>
  </si>
  <si>
    <t>The person takes the big brush and brush the back leg of the dog from top to bottom.</t>
  </si>
  <si>
    <t>After, the person brushes the back leg of the dog using the big brush, then she small brush and the comb.</t>
  </si>
  <si>
    <t>Next, the person sprays the leg of the dog and combs.</t>
  </si>
  <si>
    <t>v_xI4LLnFt6Io</t>
  </si>
  <si>
    <t>A person plays bagpipes on the streets as people pass by.</t>
  </si>
  <si>
    <t>The crowd is shown and someone takes a picture with the woman.</t>
  </si>
  <si>
    <t>v_t5Br7yOUe4g</t>
  </si>
  <si>
    <t>There's a gymnast wearing red leotards performing gymnastics on a horse bar in a large stadium with spectators and a panel of judges.</t>
  </si>
  <si>
    <t>She begins by getting onto the horse bar and does a front flips and a couple back flips.</t>
  </si>
  <si>
    <t>Then she continues twisting her legs and does another side flips by twisting her body.</t>
  </si>
  <si>
    <t>She then gracefully does few more continuous back flips and jumps off the bar and walks away.</t>
  </si>
  <si>
    <t>v_d8MgSp3oCoA</t>
  </si>
  <si>
    <t>Two sumos stand face to face on front a woman.</t>
  </si>
  <si>
    <t>Then, the sumos push each other while the woman watch them.</t>
  </si>
  <si>
    <t>After, a sumo falls on the ground heavily, then he stands.</t>
  </si>
  <si>
    <t>A man wearing yellow clothes approach the ring.</t>
  </si>
  <si>
    <t>v_Fz1NCLAB8bA</t>
  </si>
  <si>
    <t>Five products are aligned on a table,illustrating the products needed to shave.</t>
  </si>
  <si>
    <t>A young white male walks into the bathroom,turns on the water and begins to rub his beard.</t>
  </si>
  <si>
    <t>A series of different forms of the product is shown and then the man prepares his skin with oil and puts it around his beard.</t>
  </si>
  <si>
    <t>Next comes the brush and he adds some white cream to it to lather up his hair.</t>
  </si>
  <si>
    <t>Finally,it is time to shave and the beard is taken completely down.</t>
  </si>
  <si>
    <t>For the finishing touches,lotion is added and the man is now dressed in a suit ready to go.</t>
  </si>
  <si>
    <t>v_ydJsJgdaEq4</t>
  </si>
  <si>
    <t>A man wearing a hat is seen speaking to the camera and holding up various cleaning products.</t>
  </si>
  <si>
    <t>He then holds up a bottle and rag and begins wiping down a class door.</t>
  </si>
  <si>
    <t>He continues wiping down a door and speaking to the camera.</t>
  </si>
  <si>
    <t>v_7_5VT6QCqNI</t>
  </si>
  <si>
    <t>A man is talking to the camera while styling a woman's hair.</t>
  </si>
  <si>
    <t>The man is showing various hair care products.</t>
  </si>
  <si>
    <t>The man is drying the woman's hair with a blow dryer.</t>
  </si>
  <si>
    <t>The man shows a hair brush.</t>
  </si>
  <si>
    <t>The man hands the woman the brush and blow dryer.</t>
  </si>
  <si>
    <t>The woman proceeds to dry her own hair.</t>
  </si>
  <si>
    <t>The man resumes blow drying the woman's hair.</t>
  </si>
  <si>
    <t>The man sprays the woman's hair with hairspray.</t>
  </si>
  <si>
    <t>A row of hair care products is shown.</t>
  </si>
  <si>
    <t>A logo for hair care products is shown.</t>
  </si>
  <si>
    <t>v_46l7dmH8pCg</t>
  </si>
  <si>
    <t>A group of people are in the backyard of a house, playing croquette.</t>
  </si>
  <si>
    <t>A woman uses the mallet to hit the ball, then others join in.</t>
  </si>
  <si>
    <t>A man holding a mallet and ball talks about the process of how to play the game, playing and hitting the ball and he explains it.</t>
  </si>
  <si>
    <t>He then puts his arms out at his sides.</t>
  </si>
  <si>
    <t>v_-Wmrg_0jxA8</t>
  </si>
  <si>
    <t>A circle is formed of several children who are talking and banging each other in the head with foam mallets.</t>
  </si>
  <si>
    <t>The other people laugh as they watch.</t>
  </si>
  <si>
    <t>v_3A26j50_awY</t>
  </si>
  <si>
    <t>We see a track with people standing around.</t>
  </si>
  <si>
    <t>We see a man with a javelin run.</t>
  </si>
  <si>
    <t>The man returns and we see another javelin thrower with him.</t>
  </si>
  <si>
    <t>A man in red and white runs down a track and performs a high jump.</t>
  </si>
  <si>
    <t>The camera is lowered and covered by a hand.</t>
  </si>
  <si>
    <t>v_FaDD5MyZj88</t>
  </si>
  <si>
    <t>A man is shown doing a jump in slow motion on a track several times back to back.</t>
  </si>
  <si>
    <t>The camera shows several different angles of the athlete jumping in a line as well as into the pit on sand.</t>
  </si>
  <si>
    <t>He performs several long jumps back to back and shows off his distance acquired.</t>
  </si>
  <si>
    <t>v_cxIfpBvuk0E</t>
  </si>
  <si>
    <t>A girl is lighting a cigarette and blowing smoke.</t>
  </si>
  <si>
    <t>An arm comes into view and the girl smells it.</t>
  </si>
  <si>
    <t>She smokes some more and blows smoke as she plays with her hair.</t>
  </si>
  <si>
    <t>She is saying something to the camera as she smokes.</t>
  </si>
  <si>
    <t>She thumps her ashes and continues to smoke.</t>
  </si>
  <si>
    <t>She turns around and then back to smoking.</t>
  </si>
  <si>
    <t>She sticks her tongue out.</t>
  </si>
  <si>
    <t>She pans over to a picture of a crazy looking woman and tries to imitate it.</t>
  </si>
  <si>
    <t>She continues to smoke and talk to the camera.</t>
  </si>
  <si>
    <t>She makes faces at the camera.</t>
  </si>
  <si>
    <t>She gets up close to the camera as someone walks behind her.</t>
  </si>
  <si>
    <t>v_uLT7PmD_AJA</t>
  </si>
  <si>
    <t>A person's hands are seen working on the head of a human and placing pieces of hair into the head.</t>
  </si>
  <si>
    <t>The person ties the hair into several braids and then transitions into pictures of the hair in an updo.</t>
  </si>
  <si>
    <t>v_a5R0qO5NynU</t>
  </si>
  <si>
    <t>A woman does hula hoops outside and then in the dark alternating.</t>
  </si>
  <si>
    <t>A man takes a hula hoop and describes it before cutting back to the woman.</t>
  </si>
  <si>
    <t>v_sC_hs-OXERg</t>
  </si>
  <si>
    <t>A man is seen bending over a block of wood and sanding it own.</t>
  </si>
  <si>
    <t>He pours out more liquids in front of a group of people and rubs it all along the block of wood.</t>
  </si>
  <si>
    <t>He continues rubbing it down while people on the sidelines watch.</t>
  </si>
  <si>
    <t>v_pcaPtKtS03E</t>
  </si>
  <si>
    <t>A close up of a christmas tree is shown followed by a young child hanging up ornaments.</t>
  </si>
  <si>
    <t>The girl walks back and fourth hanging up ornaments all over a tree.</t>
  </si>
  <si>
    <t>The girl continues to hang up ornaments while the camera captures her movements.</t>
  </si>
  <si>
    <t>v_z4_OuffZPAo</t>
  </si>
  <si>
    <t>A man peels a potato while blindfolded and two little girls watch.</t>
  </si>
  <si>
    <t>The man finishes and holds up the potato to the camera.</t>
  </si>
  <si>
    <t>The man picks up a peel off the table.</t>
  </si>
  <si>
    <t>the man removes his blindfold.</t>
  </si>
  <si>
    <t>v_VuEy38XdUgA</t>
  </si>
  <si>
    <t>The video starts with several people playing shuffleboard on a shuffleboard court.</t>
  </si>
  <si>
    <t>One person makes a shot with a black puck.</t>
  </si>
  <si>
    <t>The next person makes a shot with a yellow puck.</t>
  </si>
  <si>
    <t>The people continue to alternate shots between a yellow and a black puck.</t>
  </si>
  <si>
    <t>v_pOO6H6d5SXI</t>
  </si>
  <si>
    <t>An elderly man is seated in the living room.</t>
  </si>
  <si>
    <t>He is playing an accordian.</t>
  </si>
  <si>
    <t>He continues playing the accordian for the camera.</t>
  </si>
  <si>
    <t>v_6_XA3oKwwzU</t>
  </si>
  <si>
    <t>A woman is playing an acoustic guitar.</t>
  </si>
  <si>
    <t>A woman standing next to her is dancing and twirling a baton.</t>
  </si>
  <si>
    <t>v_9nh_6Hzg_aw</t>
  </si>
  <si>
    <t>A person is shown looking around a city and begins washing windows with his tools.</t>
  </si>
  <si>
    <t>He goes up and down the windows at a rapid pace and continues filming himself through the glass.</t>
  </si>
  <si>
    <t>He finishes the glass in record time and turns off the camera.</t>
  </si>
  <si>
    <t>v_o5j6N8O6HS4</t>
  </si>
  <si>
    <t>One man is explaining to another man how to use a rowing machine.</t>
  </si>
  <si>
    <t>One of the main starts to row on the rowing machine before the other.</t>
  </si>
  <si>
    <t>Next, the other man joins the first man and starts to row.</t>
  </si>
  <si>
    <t>v_GlAEgSWM2nQ</t>
  </si>
  <si>
    <t>A man in shorts is shown in front of some bushes and is trimming them with a manual trimmer.</t>
  </si>
  <si>
    <t>He is being very precise and going a very detailed job.</t>
  </si>
  <si>
    <t>He goes up and down the length of the bushes and is paying attention to every part of them.</t>
  </si>
  <si>
    <t>He then moves higher and higher getting the very top of the bush.</t>
  </si>
  <si>
    <t>v_3fg_CB3rBSk</t>
  </si>
  <si>
    <t>kids are in a park around a squarepants bob sponge piñata pulling threads.</t>
  </si>
  <si>
    <t>woman is behind playground holding a bag and watching the kids.</t>
  </si>
  <si>
    <t>woman holds the piñata while kids keep pulling from the piñata.</t>
  </si>
  <si>
    <t>kid pulls the thread and opn the piñata and kneel in the floor picking up candies.</t>
  </si>
  <si>
    <t>v_hV_Ud3zrAnA</t>
  </si>
  <si>
    <t>Several people are seen jumping roping with one another as well as on their own as others watch on the side.</t>
  </si>
  <si>
    <t>The people performing several jumps and spins with the jump rope as well as shots that are shown in slow motion.</t>
  </si>
  <si>
    <t>v_OeIQ0P0FCCg</t>
  </si>
  <si>
    <t>A person sitting on a bicycle is seen sitting before a track start with others and leads into him completing a race.</t>
  </si>
  <si>
    <t>Several more shots are shown of people racing all together as well as the man riding around and others recording him.</t>
  </si>
  <si>
    <t>v_0BXBfSWIR2k</t>
  </si>
  <si>
    <t>A wind surfer surfs against heavy waves.</t>
  </si>
  <si>
    <t>The surfer flings his board against a wave, flying high into the air.</t>
  </si>
  <si>
    <t>The surfer lands back on the waters and resumes his surf.</t>
  </si>
  <si>
    <t>v_PBZScfP9ynI</t>
  </si>
  <si>
    <t>A woman is doing kickboxing in front of a mirrored wall.</t>
  </si>
  <si>
    <t>She high kicks her legs into the air.</t>
  </si>
  <si>
    <t>She alternates the kicks with punches.</t>
  </si>
  <si>
    <t>v_PFYk8lhE7-0</t>
  </si>
  <si>
    <t>A man is outside with a large metal box.</t>
  </si>
  <si>
    <t>Another man is sanding a wall and ceiling inside a building.</t>
  </si>
  <si>
    <t>They then sand the floors.</t>
  </si>
  <si>
    <t>v__Z71mu4aQy4</t>
  </si>
  <si>
    <t>A cricket player hits a ball that is pitched.</t>
  </si>
  <si>
    <t>A player makes a diving catch in the outfield.</t>
  </si>
  <si>
    <t>The player smiles and is a good sport.</t>
  </si>
  <si>
    <t>v_-z0ZvJD9gY4</t>
  </si>
  <si>
    <t>A young man is seen spraying down a dog with water in the middle of an alleyway while the dog moves away from the water.</t>
  </si>
  <si>
    <t>The person continues spraying the dog with the hose and standing waiting for the dog.</t>
  </si>
  <si>
    <t>v_mQoYAZ2BLDM</t>
  </si>
  <si>
    <t>Two people arm wrestle in a competition.</t>
  </si>
  <si>
    <t>The losers arm is hurt.</t>
  </si>
  <si>
    <t>v_-y8LMGQt8uI</t>
  </si>
  <si>
    <t>A group of people are seen going up and down snowy mountains on skis and in ski cars.</t>
  </si>
  <si>
    <t>A view is then seen of the snowy mountains with a bridge in front.</t>
  </si>
  <si>
    <t>v_CBN0dqyWB7w</t>
  </si>
  <si>
    <t>A man is seen kneeling down next to a car while speaking to the camera.</t>
  </si>
  <si>
    <t>The camera pans all around the car as well as the tire while the man continues to speak to the camera.</t>
  </si>
  <si>
    <t>v_XkVicWlqTV4</t>
  </si>
  <si>
    <t>A man serves a ball in a beach volleyball game, then he run on front the net to receive the ball while people watch the game in a beach.</t>
  </si>
  <si>
    <t>A serves a ball and plays while people watch the game in a beach.</t>
  </si>
  <si>
    <t>v_u_G3ZPXU35A</t>
  </si>
  <si>
    <t>A pair of french doors is shown on a house.</t>
  </si>
  <si>
    <t>A man demonstrates how to clean the glass in the windows of the doors.</t>
  </si>
  <si>
    <t>He scrubs them with a cloth, wiping them clean.</t>
  </si>
  <si>
    <t>He continues going down one door, cleaning each individual window.</t>
  </si>
  <si>
    <t>v_aj1ole7T9hc</t>
  </si>
  <si>
    <t>A woman is mowing a lawn, pushing the mower back and forth.</t>
  </si>
  <si>
    <t>She covers half the lawn and driveway before the video ends.</t>
  </si>
  <si>
    <t>v_cK1ssoaX768</t>
  </si>
  <si>
    <t>A group of men plays soccer in a sand area.</t>
  </si>
  <si>
    <t>A crowd watches from the the stands.</t>
  </si>
  <si>
    <t>A goalie tries to block a ball and does the splits but misses the ball.</t>
  </si>
  <si>
    <t>v_br8Ao_UBEZA</t>
  </si>
  <si>
    <t>Two men enter the racquetball room.</t>
  </si>
  <si>
    <t>The two men start playing racquetball, running around the room trying to hit the ball.</t>
  </si>
  <si>
    <t>A man leaved the room and looks into the camera.</t>
  </si>
  <si>
    <t>v_iuEuMQUXLVw</t>
  </si>
  <si>
    <t>woman is standing in a kitchen and is eating a cake full of cream.</t>
  </si>
  <si>
    <t>a cake is in a pot on the counter, woman is speaking to the camera in the kitchen.</t>
  </si>
  <si>
    <t>cake mix is beat with a mixer, the woman keeps talking and mixing the cake.</t>
  </si>
  <si>
    <t>oil is in a pot.</t>
  </si>
  <si>
    <t>woman holds a green pot full of sand and its putted on the pressure cooker.</t>
  </si>
  <si>
    <t>put the mixer on the oily pot.</t>
  </si>
  <si>
    <t>the pression mix is open and then closed while the woman keeps talking in the kitchen, after a ime she open the pot and the cake is ready.</t>
  </si>
  <si>
    <t>a decorated cake is shown and the cakes along the pression pot.</t>
  </si>
  <si>
    <t>v_c7Rxe5IzUQw</t>
  </si>
  <si>
    <t>A black and white video shows two people in a bedroom, playing guitars.</t>
  </si>
  <si>
    <t>They continue throughout the video, shaking somewhat as they play.</t>
  </si>
  <si>
    <t>v_KU4twxFnX5Q</t>
  </si>
  <si>
    <t>A group of runners walk down a dirt path.</t>
  </si>
  <si>
    <t>They begin running, being passed by cars as they go.</t>
  </si>
  <si>
    <t>They continue running through the town together.</t>
  </si>
  <si>
    <t>v_AOBkrb8yYS4</t>
  </si>
  <si>
    <t>A close up of a ball is shown followed by a person hitting the ball in several locations.</t>
  </si>
  <si>
    <t>The man continues to demonstrate how to hit the ball in various angles as well as kneeling on the ground to shoot.</t>
  </si>
  <si>
    <t>v_ZlHaPkhGr_g</t>
  </si>
  <si>
    <t>There's a girl with long brown hair playing the harmonica in a hospital elevator.</t>
  </si>
  <si>
    <t>The elevator door opens and several people enter the elevator.</t>
  </si>
  <si>
    <t>She continues playing her harmonica.</t>
  </si>
  <si>
    <t>There's a young boy and his mother who smile at the lady as she plays.</t>
  </si>
  <si>
    <t>Then they get off the elevator when they reach their level.</t>
  </si>
  <si>
    <t>The lady continues playing the harmonica as the elevator moves further and stops at other levels and more people walk in.</t>
  </si>
  <si>
    <t>People continue to get on and off the elevator but she continues to play her harmonica.</t>
  </si>
  <si>
    <t>A person enters the elevator with a man on a stretcher along with some other people.</t>
  </si>
  <si>
    <t>They smile at her and compliment her.</t>
  </si>
  <si>
    <t>They get off the elevator when they reach their desired level in the hospital.</t>
  </si>
  <si>
    <t>v_An_CpsJkJMM</t>
  </si>
  <si>
    <t>A toddler wash his hands in the sink.</t>
  </si>
  <si>
    <t>Then, the toddler splash water on his face and smile.</t>
  </si>
  <si>
    <t>The toddled puts water on his face, and then moves his head.</t>
  </si>
  <si>
    <t>v_e07y3QI4Kbg</t>
  </si>
  <si>
    <t>Two people are seen arm wrestling with one another while one man holds their hands.</t>
  </si>
  <si>
    <t>The men then continue to wrestle with one slamming the other's hand down.</t>
  </si>
  <si>
    <t>v_tA4KrZHGoYQ</t>
  </si>
  <si>
    <t>A group of people are seen huddled around and leads into a group of them riding down a river with one man's help.</t>
  </si>
  <si>
    <t>The ride continuously down the river bumping into rocks along the way and leads to them walking out on the side.</t>
  </si>
  <si>
    <t>Finally a picture of them all together in shown in the end.</t>
  </si>
  <si>
    <t>v_-1CEVKeAyA8</t>
  </si>
  <si>
    <t>An older woman is seen sitting in a chair knitting while holding two needles and leads into her showing off her knitting basket and speaking to the camera.</t>
  </si>
  <si>
    <t>The woman continues speaking while holding the knitting tools and ends by fading to black.</t>
  </si>
  <si>
    <t>v_5aMigcn2cU8</t>
  </si>
  <si>
    <t>A group of two women and two men pose together.</t>
  </si>
  <si>
    <t>They are then shown performing an art exercise called zumba inside a building.</t>
  </si>
  <si>
    <t>They dance back and forth in unison, then are shown posing together at the end as musical notes float across the screen.</t>
  </si>
  <si>
    <t>v_IBkHS9Zl2z8</t>
  </si>
  <si>
    <t>A man in a brown coat and hat is shoveling the snow from his driveway.</t>
  </si>
  <si>
    <t>Pictures of the man are being shown.</t>
  </si>
  <si>
    <t>The man gets out a snowblower and starts snowblowing his driveway.</t>
  </si>
  <si>
    <t>A woman in a blue coat is talking.</t>
  </si>
  <si>
    <t>The man continues snowblowing before talking to the camera.</t>
  </si>
  <si>
    <t>v_-UfNSW7yeSo</t>
  </si>
  <si>
    <t>A person welds a seam of a large metal pipe wearing protective mask.</t>
  </si>
  <si>
    <t>The person peers through a tiny hole in a piece of metal.</t>
  </si>
  <si>
    <t>The man finishes the weld and the seam is seen glowing red hot.</t>
  </si>
  <si>
    <t>A man taps the finished welled with a metal file.</t>
  </si>
  <si>
    <t>v_vNzTWjEFr-Y</t>
  </si>
  <si>
    <t>The video shows a person's hand holding up an acoustic guitar.</t>
  </si>
  <si>
    <t>The Yamaha case of the guitar is also shown.</t>
  </si>
  <si>
    <t>A young man is seen playing his acoustic guitar.</t>
  </si>
  <si>
    <t>He is strumming his guitar to a tune.</t>
  </si>
  <si>
    <t>v_7e035QnLp0c</t>
  </si>
  <si>
    <t>A man is seen in several locations walking along a long rope tied to two trees.</t>
  </si>
  <si>
    <t>The man continues performing several variations on how to walk on the rope as well as jumping up and down and continuing to walk.</t>
  </si>
  <si>
    <t>v_99PtaOQbBIY</t>
  </si>
  <si>
    <t>Several cats are shown sitting around followed by a man speaking to the camera.</t>
  </si>
  <si>
    <t>More shots are shown of cars and leads into a woman cutting a cat's claws.</t>
  </si>
  <si>
    <t>Several products are shown laid out as well as several people holding cats and cutting their nails.</t>
  </si>
  <si>
    <t>v_VoQ2VhCqir0</t>
  </si>
  <si>
    <t>men is holding a bucket and is standing in the oof of a house and its working on it.</t>
  </si>
  <si>
    <t>man is doing the mix in a bucket in a floor and in the roof again.</t>
  </si>
  <si>
    <t>v_I-vi5EpjrFI</t>
  </si>
  <si>
    <t>Text is shown across the screen leading into two women speaking to one another.</t>
  </si>
  <si>
    <t>One takes a sip of mouth wash and spits it into the sink.</t>
  </si>
  <si>
    <t>She hands the container back to the woman who turns to speak to the camera.</t>
  </si>
  <si>
    <t>v_6eQuZddoEcI</t>
  </si>
  <si>
    <t>Three athletes perform hammer throws at a professional sports event in front of an audience in bleachers and score keepers.</t>
  </si>
  <si>
    <t>A man spins a hammer throw sports hammer around and around again at a professional sports event and then lets it go to fly into a field surrounded by an audience in bleachers.</t>
  </si>
  <si>
    <t>The athlete walks away and looks disappointed as a scoreboard reveals the score.</t>
  </si>
  <si>
    <t>Two more athletes perform the same sport in the same way both letting the hammer fly in the air.</t>
  </si>
  <si>
    <t>A final scoreboard displays showing hammer throw scores.</t>
  </si>
  <si>
    <t>v_4l8r_wBuJ6Y</t>
  </si>
  <si>
    <t>A man is wearing a yellow vest.</t>
  </si>
  <si>
    <t>He is standing in front of a building cleaning a window.</t>
  </si>
  <si>
    <t>A person is seen looking out one of the windows.</t>
  </si>
  <si>
    <t>v_g0RK-2ydod0</t>
  </si>
  <si>
    <t>A chef is seen standing before a table with various objects laid out and pulling a piece of food out of pot.</t>
  </si>
  <si>
    <t>He shows the object to the camera and begins peeling it out into a bowl.</t>
  </si>
  <si>
    <t>The person then cuts up the food and continues peeling more into a pot.</t>
  </si>
  <si>
    <t>v_TjDlEonao3s</t>
  </si>
  <si>
    <t>There's a woman doing a tutorial on how to use a curling iron on a model's hair.</t>
  </si>
  <si>
    <t>She takes sections of the model's hair one at time and puts it into the curling iron and then releases it gradually to pull out the curls.</t>
  </si>
  <si>
    <t>She continues the process till the entire head of hair is curled with the iron.</t>
  </si>
  <si>
    <t>The model then smiles and takes a selfie while looking in the mirror.</t>
  </si>
  <si>
    <t>v_wfSh2F8ymIg</t>
  </si>
  <si>
    <t>A camera shows a person's feet riding down a snow mountain while spinning around in circles.</t>
  </si>
  <si>
    <t>The person continues spinning down the hill while a large crowd watches on the side and a young boy jumps up at the bottom.</t>
  </si>
  <si>
    <t>v_1opIvQF0m_M</t>
  </si>
  <si>
    <t>A person on a skateboard moves over and ramp and up on a corner.</t>
  </si>
  <si>
    <t>The camera shows him doing various moves and interviewing the camera.</t>
  </si>
  <si>
    <t>Another man rides a wakeboard doing and tricks and eventually falls.</t>
  </si>
  <si>
    <t>Several other clips are shown of people kayaking doing several stunts while the camera records.</t>
  </si>
  <si>
    <t>v_soeRPsbkfas</t>
  </si>
  <si>
    <t>A man is shown doing several different long jumps back to back while the camera captures him.</t>
  </si>
  <si>
    <t>He swings his arms around to demonstrate a proper move followed by several more jumps.</t>
  </si>
  <si>
    <t>v_YonmpJvwmKM</t>
  </si>
  <si>
    <t>A man is pictured next to an ad for yoga.</t>
  </si>
  <si>
    <t>He is standing in a forest, making slow and graceful yoga moves.</t>
  </si>
  <si>
    <t>He stands on a platform, continuing the graceful movements.</t>
  </si>
  <si>
    <t>We then see him again in the woods, still performing yoga quietly.</t>
  </si>
  <si>
    <t>v_ComW-O6dMW4</t>
  </si>
  <si>
    <t>These two men are shown spraying the exterior of the black car with soap.</t>
  </si>
  <si>
    <t>Then they started hand washing the car using their hands and a towel.</t>
  </si>
  <si>
    <t>They scrubbed almost everywhere to make the black turn into shine.</t>
  </si>
  <si>
    <t>v_CIPSw35iF3k</t>
  </si>
  <si>
    <t>A person is slicing a potato.</t>
  </si>
  <si>
    <t>They stack up the potato slices and start chopping them into tiny pieces.</t>
  </si>
  <si>
    <t>He sets the pieces on a plate sitting in a sink.</t>
  </si>
  <si>
    <t>There is plates of food in the sink.</t>
  </si>
  <si>
    <t>He empties the plates into a pot.</t>
  </si>
  <si>
    <t>He stirs everything in the pot together.</t>
  </si>
  <si>
    <t>He then takes a scoop of that and puts it on a plate with vegetables on it.</t>
  </si>
  <si>
    <t>He tops it with garnishments.</t>
  </si>
  <si>
    <t>v_9wMEbyzxNHI</t>
  </si>
  <si>
    <t>men are talking to the camera sitting in a chair.</t>
  </si>
  <si>
    <t>men taking off their glasses and shave the half of their faces while a woman is putting some makeup on them, doing their eyebrows and putting some eyeliner and lashes.</t>
  </si>
  <si>
    <t>men look at them in the mirror with the half way of the face with makeup and the oher half without makeup and are talking to the camera.</t>
  </si>
  <si>
    <t>v_jCNaa108OhI</t>
  </si>
  <si>
    <t>People shovels the snow using a wheeled snow shovel.</t>
  </si>
  <si>
    <t>Then, a man demonstrates how to shovel the snow, the he uses a bag.</t>
  </si>
  <si>
    <t>v_dY2iZq5T0zo</t>
  </si>
  <si>
    <t>A group of people are riding horses and playing polo.</t>
  </si>
  <si>
    <t>They fight over the ball in front of the watching crowd.</t>
  </si>
  <si>
    <t>When it's over, they pose for pictures outside the rodeo and stadium.</t>
  </si>
  <si>
    <t>v_Qyruw9480BU</t>
  </si>
  <si>
    <t>A lady in a pink shirt stands in a laundry room talking to the camera.</t>
  </si>
  <si>
    <t>The camera zooms out to show us the whole room.</t>
  </si>
  <si>
    <t>The lady shows us a spray bottle and shakes it up.</t>
  </si>
  <si>
    <t>The lady then speaks to the camera.</t>
  </si>
  <si>
    <t>v_lEYr4d4vBWc</t>
  </si>
  <si>
    <t>A close up of a wall is shown followed by several clips of men opening a window.</t>
  </si>
  <si>
    <t>They're also seen working on a roof and putting tiles down on the side.</t>
  </si>
  <si>
    <t>They put in a window and end by closing up.</t>
  </si>
  <si>
    <t>v_3ZJQHfrfR2M</t>
  </si>
  <si>
    <t>A man is cleaning leaves off a sidewalk with a broom and a shovel.</t>
  </si>
  <si>
    <t>The man sweeps the leaves in a circle and puts them in the bin.</t>
  </si>
  <si>
    <t>A yellow bus rides past the man.</t>
  </si>
  <si>
    <t>The man sweeps again and puts the leaves in the bin.</t>
  </si>
  <si>
    <t>v_1ErQKcUju8o</t>
  </si>
  <si>
    <t>A tutorial is presented on how to do simple ballet moves.</t>
  </si>
  <si>
    <t>After showing the materials, the teacher touches the student to show perfect form.</t>
  </si>
  <si>
    <t>v_fBov3cwPEho</t>
  </si>
  <si>
    <t>We see a man and a baby decorating a Christmas tree.</t>
  </si>
  <si>
    <t>The baby takes a blue bulb off the tree.</t>
  </si>
  <si>
    <t>The dad puts it back and the baby takes it again.</t>
  </si>
  <si>
    <t>The child turns towards the camera and the dad walks to a counter.</t>
  </si>
  <si>
    <t>The child drops the blue bulb and goes for another.</t>
  </si>
  <si>
    <t>The child adds another blue bulb to the tree.</t>
  </si>
  <si>
    <t>The camera pans up to show the tree and then shows the stockings.</t>
  </si>
  <si>
    <t>v_jbSBQL08VHA</t>
  </si>
  <si>
    <t>A man is seen speaking to the camera and working on a bike followed by him pulling chains and spinning wheels on the bike.</t>
  </si>
  <si>
    <t>He peddles the bike and shows the tire spinning again, ending with him tightening the tire and spinning it once more.</t>
  </si>
  <si>
    <t>v_tS-MHCJKMgM</t>
  </si>
  <si>
    <t>A welding specialist from Tulsa Welding School is demonstrating how to weld.</t>
  </si>
  <si>
    <t>He explains the techniques of welding with the help of welder wearing protective gear and mask, using the blow torch.</t>
  </si>
  <si>
    <t>v_WVaYjd1F8kg</t>
  </si>
  <si>
    <t>A person cuts a pepper and put in a bowl.</t>
  </si>
  <si>
    <t>Also, the person cook noodles in a pot.</t>
  </si>
  <si>
    <t>Then, the person fry mushrooms in a pan, add salt, garlic, tomatoes and roots.</t>
  </si>
  <si>
    <t>After, the person add the pepper and the noodles, mix and serves.</t>
  </si>
  <si>
    <t>v_sCCJpFKVV8g</t>
  </si>
  <si>
    <t>A woman is seen bending over a table with a tattoo artist rubbing her back from behind and grabbing a tattoo needle.</t>
  </si>
  <si>
    <t>The woman then begins tattooing the back of the woman while the camera pans around from various angles.</t>
  </si>
  <si>
    <t>v_moqRG7uwZ4Q</t>
  </si>
  <si>
    <t>A view of a leaf blower lays on the ground in a yard.</t>
  </si>
  <si>
    <t>The leaf blower blows brown dried up leaves using the leaf blower.</t>
  </si>
  <si>
    <t>The leaves are blown away from some lawn furniture and blown towards the middle of the yard.</t>
  </si>
  <si>
    <t>v_B-lmXhRr6bE</t>
  </si>
  <si>
    <t>A large black item is drawn on a long sheet of white paper.</t>
  </si>
  <si>
    <t>A person uses a brush to continue the painting.</t>
  </si>
  <si>
    <t>They add leaves, creating a black plant.</t>
  </si>
  <si>
    <t>v_VLmZ3M3wSbo</t>
  </si>
  <si>
    <t>A young man is seen holding his eye open in front of a mirror and attempting to put a contact lens in.</t>
  </si>
  <si>
    <t>He drops the lens on the sink and again tries to put the contact into his eye.</t>
  </si>
  <si>
    <t>He drops the lens again and continues trying to put it into his eye and the camera moves around in the end.</t>
  </si>
  <si>
    <t>v_ti3EHJLR2mU</t>
  </si>
  <si>
    <t>The video is a tutorial on how to make Alfredo sauce pasta.</t>
  </si>
  <si>
    <t>A lady with blond hair wearing a maroon tank top is demonstrating how to boil water to make bow-tie pasta.</t>
  </si>
  <si>
    <t>She then strains the pasta out in a bowl by throwing out the excess water.</t>
  </si>
  <si>
    <t>Then she takes a stick of butter and cuts it and adds to a saucepan.</t>
  </si>
  <si>
    <t>then she adds some milk and cheese to it and stirs it in with the cooked pasta.</t>
  </si>
  <si>
    <t>She adds some more milk and cheese to the pasta to make the sauce.</t>
  </si>
  <si>
    <t>She continues stirring the pasta in the saucepan.</t>
  </si>
  <si>
    <t>She serves the pasta in a square brown plate and takes a spoonful of the pasta to taste it.</t>
  </si>
  <si>
    <t>She is happy with the way it turned out.</t>
  </si>
  <si>
    <t>v_LDjomH0-hYA</t>
  </si>
  <si>
    <t>A woman wearing a dress is dancing on a stage.</t>
  </si>
  <si>
    <t>Smoke is pumped out onto the stage behind her.</t>
  </si>
  <si>
    <t>She bows at the end and steps back.</t>
  </si>
  <si>
    <t>v_f9Bo4yVcnDE</t>
  </si>
  <si>
    <t>A man wearing a black coat is chopping a piece of wood with an ax.</t>
  </si>
  <si>
    <t>He tries again and chops it again.</t>
  </si>
  <si>
    <t>He moves the stump and tries to chop it again.</t>
  </si>
  <si>
    <t>He continues to chop the wood.</t>
  </si>
  <si>
    <t>v_I7Sole68Gag</t>
  </si>
  <si>
    <t>Swimmers are swimming to one side of the pool and then they stop briefly.</t>
  </si>
  <si>
    <t>Some swimmers on the side lines are watching them.</t>
  </si>
  <si>
    <t>They start throwing a ball back and forth around.</t>
  </si>
  <si>
    <t>A man in the corner of the pool tries to catch the ball and misses it.</t>
  </si>
  <si>
    <t>v_hSYfK-W2UJQ</t>
  </si>
  <si>
    <t>A woman talks, facing the camera while holding two dumbbells and then demonstrates a spin cycle exercise in front of a class in a gym.</t>
  </si>
  <si>
    <t>A woman stands and talks while facing the the camera, in a gym, with a wall of mirrors to her side and several people behind her standing near various pieces of gym equipment.</t>
  </si>
  <si>
    <t>The woman, now wearing a headset with a mic attached to the mouthpiece, starts cycling very fast on a spin cycle machine in front of a mirror with a class of people behind her who are also on spin cycle machines.</t>
  </si>
  <si>
    <t>The woman then lifts dumbbells with her arms while standing, lifts dumbbells while sitting on the floor and then returns to the spin cycle machine before the scene fades to black.</t>
  </si>
  <si>
    <t>v_MYzG-TsW8w8</t>
  </si>
  <si>
    <t>Four men are outside in a field throwing a baseball to each other.</t>
  </si>
  <si>
    <t>A ball then rolls into a pond and a little boy grabs it and throws it.</t>
  </si>
  <si>
    <t>The scene moves to a playground and the boys begin going down the slide.</t>
  </si>
  <si>
    <t>More kids are shown and they are doing various activities as they play such as the see saw,monkey bars and swings.</t>
  </si>
  <si>
    <t>On the side,a boy begins pumping his tire and a small baby is shown bathing in a basin.</t>
  </si>
  <si>
    <t>v_7rvrBulkd5c</t>
  </si>
  <si>
    <t>An exercise instructor is explaining the step.</t>
  </si>
  <si>
    <t>She steps up on it and begins to show the exercises.</t>
  </si>
  <si>
    <t>She goes in front of it and shows more exercises, stepping up and down and raising her arms as she steps.</t>
  </si>
  <si>
    <t>She stops and explains more.</t>
  </si>
  <si>
    <t>She turns back to the step and begins more advances steps.</t>
  </si>
  <si>
    <t>She stops for moment and shows the fast step again.</t>
  </si>
  <si>
    <t>v_upic9S0oEhg</t>
  </si>
  <si>
    <t>Two men play a song on a guitars together in a dimly lit room.</t>
  </si>
  <si>
    <t>Ones down to play the acoustic guitar.</t>
  </si>
  <si>
    <t>v_bOULU-0Nloc</t>
  </si>
  <si>
    <t>In a sped up mode an elderly man walks to the front of a house and grabs a blue snow plow.</t>
  </si>
  <si>
    <t>Continuing in the sped up mode, the man begins to plow snow to make a path.</t>
  </si>
  <si>
    <t>The man then moves the camera view and plows the snow in a different area that is fenced in.</t>
  </si>
  <si>
    <t>The man grabs the camera, points to the plow and then pans to the different areas of the yard.</t>
  </si>
  <si>
    <t>The man then goes indoors to show a messy and cluttered workshop filled with tools and supplies.</t>
  </si>
  <si>
    <t>The man goes back outside, shows his dog and walks around his yard, puts his dog down and the dog runs back to the workshop and pushes the door open.</t>
  </si>
  <si>
    <t>v_fllAtkXf7pw</t>
  </si>
  <si>
    <t>A lady sits back, talks, and drinks coffee.</t>
  </si>
  <si>
    <t>Credits of the clip are shown.</t>
  </si>
  <si>
    <t>v_QinlLV8QKBU</t>
  </si>
  <si>
    <t>A old man puts salt to bowling water in a pot, then he adds pasta and let cook for one minute.</t>
  </si>
  <si>
    <t>Then, the man turns off the stove and puts on the pot a cloth and a lid and let it for 10 min.</t>
  </si>
  <si>
    <t>After, the man drains the pasta in the sink.</t>
  </si>
  <si>
    <t>A woman comes and taste the cooked pasta and gives a thump up.</t>
  </si>
  <si>
    <t>v_ksvIIhvmSRM</t>
  </si>
  <si>
    <t>A man is seen sitting in a tube speaking and leads into people walking around carrying tubes.</t>
  </si>
  <si>
    <t>Shots of the water is shown followed by people riding down a river on the tubes.</t>
  </si>
  <si>
    <t>The people continue to ride down one after the other while people watch on the side.</t>
  </si>
  <si>
    <t>v_9RcCkU6dVD0</t>
  </si>
  <si>
    <t>A girl hits a pinata with an orange, toy bat.</t>
  </si>
  <si>
    <t>The bat falls and the girl picks it up.</t>
  </si>
  <si>
    <t>Behind her, a boy demonstrates how she should hit and cheers her on.</t>
  </si>
  <si>
    <t>v_TL7hwQauhFo</t>
  </si>
  <si>
    <t>In an indoor court teams of men are playing soccer while audience sits in the stadium.</t>
  </si>
  <si>
    <t>The team in black is trying to prevent the other team in red from scoring, the goalie blocks the score.</t>
  </si>
  <si>
    <t>They run up and down the court trying to score and keep the other from scoring.</t>
  </si>
  <si>
    <t>The red team scores and it's 1-1, they continue back on the court til the game is over.</t>
  </si>
  <si>
    <t>v_H2l7GraYFhI</t>
  </si>
  <si>
    <t>A band plays on a stage.</t>
  </si>
  <si>
    <t>A man in a suit plays the saxophone up front wearing sunglasses.</t>
  </si>
  <si>
    <t>v_BV4zqyN8hLs</t>
  </si>
  <si>
    <t>Various clips are shown of a man wake boarding and doing flips followed by him sitting on a boat and speaking to the camera.</t>
  </si>
  <si>
    <t>Several more shots of him riding and speaking are shown as well as a blonde woman also wake boarding.</t>
  </si>
  <si>
    <t>The two ride along the water together while the man continues to speak to the camera.</t>
  </si>
  <si>
    <t>v_ApH2nZIq2tU</t>
  </si>
  <si>
    <t>A band appears, walking down the street and across a field as they play for a crowd.</t>
  </si>
  <si>
    <t>Words appear on the screen talking about celebrating March 4th with a parade.</t>
  </si>
  <si>
    <t>v_d14twk9O2Vw</t>
  </si>
  <si>
    <t>An introduction comes onto the screen for a video about a tour for a band.</t>
  </si>
  <si>
    <t>They are shown getting haircuts in a barbershop and commentating about the haircut.</t>
  </si>
  <si>
    <t>They are also shown jamming out in a session with several people dancing around and having a good time.</t>
  </si>
  <si>
    <t>v_8OA30kYcAUQ</t>
  </si>
  <si>
    <t>A man rakes brown leaves in a lawn.</t>
  </si>
  <si>
    <t>The man puts the leaves in a trashcan.</t>
  </si>
  <si>
    <t>The man stops and moves the trashcan.</t>
  </si>
  <si>
    <t>The man pulls out a black object from his pocket and presents it.</t>
  </si>
  <si>
    <t>The man screws the black object at the end of the rake handle.</t>
  </si>
  <si>
    <t>The man moves the trashcan and rakes.</t>
  </si>
  <si>
    <t>The man stop raking, walks toward a tree, and hangs the rake on the tree.</t>
  </si>
  <si>
    <t>The man removes a pair of rakes for the tree and lifts it above his head.</t>
  </si>
  <si>
    <t>The man uses the dual rakes to pick up the leaves and put them into the trashcan.</t>
  </si>
  <si>
    <t>The man lifts the dual rakes above his head and then pairs them together.</t>
  </si>
  <si>
    <t>The man takes the paired rakes back to the tree where he hangs them on a branch.</t>
  </si>
  <si>
    <t>v_0vJfctL116Y</t>
  </si>
  <si>
    <t>A woman in a white apron is slicing lettuce on a board.</t>
  </si>
  <si>
    <t>She dries and cuts some cucumbers to put in a bowl of salad.</t>
  </si>
  <si>
    <t>She tosses the salad with her hands.</t>
  </si>
  <si>
    <t>She grabs a bottle of vinegar and pours it on top of the salad.</t>
  </si>
  <si>
    <t>She opens a bottle with her teeth and pours that onto the salad too.</t>
  </si>
  <si>
    <t>She puts more dressing on the salad.</t>
  </si>
  <si>
    <t>A lady in the background is pulling saran wrap out.</t>
  </si>
  <si>
    <t>She continues tossing the salad and mixing the dressing into it.</t>
  </si>
  <si>
    <t>A woman behind her pours seasoning onto the salad.</t>
  </si>
  <si>
    <t>A woman holds the bowl up and shows the salad while smiling.</t>
  </si>
  <si>
    <t>The woman who tossed the salad is washing her hands off on a towel.</t>
  </si>
  <si>
    <t>v_BiZF6o-AU64</t>
  </si>
  <si>
    <t>A graphic plays that says "StuntsAmazing" with a link to their facebook page.</t>
  </si>
  <si>
    <t>A man shows off a variety of pool tricks on his pool table in his house.</t>
  </si>
  <si>
    <t>A graphic plays that says "Subscribe" and the video ends.</t>
  </si>
  <si>
    <t>v_Ke29p3rcs1k</t>
  </si>
  <si>
    <t>a room with a table without painting is shown and a emery is on top of it.</t>
  </si>
  <si>
    <t>man walks into a room and use the emery on the top of the table.</t>
  </si>
  <si>
    <t>man take out the glasses and cleans the disc of the emery.</t>
  </si>
  <si>
    <t>v_H-hgVm5G54Y</t>
  </si>
  <si>
    <t>We see a persons hand on the camera.</t>
  </si>
  <si>
    <t>A girl then shows us her brush.</t>
  </si>
  <si>
    <t>The girl uses the brush to brush her hair.</t>
  </si>
  <si>
    <t>She shows us her brush again.</t>
  </si>
  <si>
    <t>Her hand then covers the camera.</t>
  </si>
  <si>
    <t>v_G4tUTpJV-so</t>
  </si>
  <si>
    <t>An asian woman is seen kneeling on the floor.</t>
  </si>
  <si>
    <t>She rises very slowly, arms first.</t>
  </si>
  <si>
    <t>She does several martial arts moves for the camera.</t>
  </si>
  <si>
    <t>v_ZW3SKczQzJU</t>
  </si>
  <si>
    <t>A man is seen walking into a bathroom and looking through dirty toothbrushes.</t>
  </si>
  <si>
    <t>The person pours toothpaste out onto a brush and continuously brushes his teeth.</t>
  </si>
  <si>
    <t>He then brushes more and ends by rinsing his mouth out with mouth wash and showing off the sink.</t>
  </si>
  <si>
    <t>v_kOVQPyzXkUY</t>
  </si>
  <si>
    <t>A guy type walks on a rope while holding a selfie stick recording him self.</t>
  </si>
  <si>
    <t>the guy type walks across water on a rope that has a short distance from the dock to a boat edge while people watch.</t>
  </si>
  <si>
    <t>guy's also bounce and do tricks on a pink type rope as well.</t>
  </si>
  <si>
    <t>guy's try to type walk across the water but falls in and some make it across.</t>
  </si>
  <si>
    <t>v__I8sqYLhRKM</t>
  </si>
  <si>
    <t>Two girls are shown raking up leaves in a yard while continuously talking to the camera.</t>
  </si>
  <si>
    <t>The older girl shows the younger one how to rake while another girl stands by and watches on a nearby slide.</t>
  </si>
  <si>
    <t>The camera zooms in on the younger girl and watches her rake up the leaves.</t>
  </si>
  <si>
    <t>v_gx6QvOXwetM</t>
  </si>
  <si>
    <t>Two boys are kneeling in the grass cutting the grass with a pair of scissors.</t>
  </si>
  <si>
    <t>They grab some pieces and use the scissors to cut it up.</t>
  </si>
  <si>
    <t>Then throw the grass they cut back behind them.</t>
  </si>
  <si>
    <t>They are going at it kind of quickly, they seem like very bored little kids with nothing else to do.</t>
  </si>
  <si>
    <t>v_3J_-uEjb8UE</t>
  </si>
  <si>
    <t>A red and blue triple-A logo is pictured on a white screen and then the screen flashes to a big snow truck.</t>
  </si>
  <si>
    <t>Once the truck is gone,there are various people plowing through the snow in attempt to get it off of the roads and to clear a walkway.</t>
  </si>
  <si>
    <t>After,a young Black male begins to talk and illustrate the snow on the cars as he represents the Public relations aspect of triple A.</t>
  </si>
  <si>
    <t>As the man continues to talk,a man with of bucket of water is shown and there is no longer any water on his car.</t>
  </si>
  <si>
    <t>After awhile, another man is pictured shoveling snow off of his car and then getting inside to adjust the radio,suddenly,the man is back outside and is scraping off snow from every aspect of the car including, windows,exhaust pipes, windshields,and tail lights then the black male comes back and continues to talk.</t>
  </si>
  <si>
    <t>v_Y7yGeNl7POk</t>
  </si>
  <si>
    <t>A little girl jumps hopscotch in the street.</t>
  </si>
  <si>
    <t>The little girl turns and jumps hopscotch.</t>
  </si>
  <si>
    <t>v_fxlTN3mCWDA</t>
  </si>
  <si>
    <t>There are several passengers traveling in a subway train.</t>
  </si>
  <si>
    <t>Two of the passengers are seated on folding chairs and they're playing drums on bongos.</t>
  </si>
  <si>
    <t>They continue to play the bongos while the other passengers are busy doing their own thing.</t>
  </si>
  <si>
    <t>One young boy who is seated near the players is watching them play.</t>
  </si>
  <si>
    <t>The players continue playing the bongos and drumming on them.</t>
  </si>
  <si>
    <t>After they stop playing, one person applauds them.</t>
  </si>
  <si>
    <t>v_N0DA6RpIf5Y</t>
  </si>
  <si>
    <t>A man is raking leaves in a large yard.</t>
  </si>
  <si>
    <t>He uses the rake to push the leaves into piles.</t>
  </si>
  <si>
    <t>He continues to rake, clearing a path of dirt underneath.</t>
  </si>
  <si>
    <t>v_1R25VGmqS9o</t>
  </si>
  <si>
    <t>A team on the field running around playing lacrosse.</t>
  </si>
  <si>
    <t>Everyone is running after each other trying to make the goal.</t>
  </si>
  <si>
    <t>Everyone is running a lot trying to prevent the other team from scoring.</t>
  </si>
  <si>
    <t>The girl in the red looks like she almost makes it before running off.</t>
  </si>
  <si>
    <t>v_73LZVxxlJV8</t>
  </si>
  <si>
    <t>big skyscraper with a great view.</t>
  </si>
  <si>
    <t>men is cleaning the window on the outside hanging on the Scaffolding.</t>
  </si>
  <si>
    <t>v_DrEsyzI2u4c</t>
  </si>
  <si>
    <t>An athletic man is seen holding onto a piece of exercise equipment and kneeling while speaking to the camera.</t>
  </si>
  <si>
    <t>He continues speaking and begins moving his arms and body back and fourth.</t>
  </si>
  <si>
    <t>v_oNYC_3fcGg0</t>
  </si>
  <si>
    <t>The man is surfing on the waves and fall in the water.</t>
  </si>
  <si>
    <t>The man is surfing while other surfers are behind him.</t>
  </si>
  <si>
    <t>The surfer is surfing over the water and fell near the rocks.</t>
  </si>
  <si>
    <t>v_hvCYwmaukDw</t>
  </si>
  <si>
    <t>Men are dressed in soccer gear that have the PEPSI logo on their shirts and they are playing on a grassy field.</t>
  </si>
  <si>
    <t>Very large sumos start walking on the field with their own soccer ball in hand, and the soccer men approach them and the sumo points over to the PEPSI cooler filled with soda.</t>
  </si>
  <si>
    <t>The men and sumos begin a soccer game against one another and when a man tries to make a goal a sumo blocks the entire goal and in various other moves the sumo wins including a goal when a sumo fell and the soccer ball flew into the net.</t>
  </si>
  <si>
    <t>A man grabs a pepsi can and throws it to a sumo and all the sumos run to the cooler, drinks a pepsi, then they're shown walking off with the pepsi cooler.</t>
  </si>
  <si>
    <t>v_lnvsb4-71BQ</t>
  </si>
  <si>
    <t>A man is seen speaking to the camera while holding up several game of ping pong are played.</t>
  </si>
  <si>
    <t>The man continues hitting the ball while speaking to the camera and holding up ping pong tools.</t>
  </si>
  <si>
    <t>The man demonstrates how to properly hit the ball and move his body around and still hitting the ball.</t>
  </si>
  <si>
    <t>v_q2VG0zzPJMw</t>
  </si>
  <si>
    <t>There's a welder in a blue shirt wearing a yellow protective helmet, welding a large metal pipe in a workshop.</t>
  </si>
  <si>
    <t>There's another welder wearing a blue protective suit and white helmet welding a metal piece on a workshop table.</t>
  </si>
  <si>
    <t>He is welding the metal piece with precision in a horizontal manner.</t>
  </si>
  <si>
    <t>There's a welding machine showing how it works on melting metal at high temperature.</t>
  </si>
  <si>
    <t>v_gYchIiLd9Uw</t>
  </si>
  <si>
    <t>A young girl is seen sitting on a bed speaking to the camera and leads into her performing gymnastic tricks on a trampoline.</t>
  </si>
  <si>
    <t>More shots are shown of several girls performing various flips and tricks on a gym floor and ending with a group of girl doing cheerleading lifts.</t>
  </si>
  <si>
    <t>v_7-RbxFePrmU</t>
  </si>
  <si>
    <t>A girl is holding a toothbrush up to the camera.</t>
  </si>
  <si>
    <t>She uses the brush to brush her teeth.</t>
  </si>
  <si>
    <t>She scrubs her teeth back and forth for a long time.</t>
  </si>
  <si>
    <t>v_ODx-nocNBos</t>
  </si>
  <si>
    <t>A person on the screen is showing a box containing sumo wrestling toys.</t>
  </si>
  <si>
    <t>The person gives a demonstration on how to use the toys.</t>
  </si>
  <si>
    <t>Next the person does several demonstrations of the sumo wrestling toy set using toys that they have made as well as toys from the set.</t>
  </si>
  <si>
    <t>v_bi_xkH87Rnw</t>
  </si>
  <si>
    <t>People watch a gymnast perform her routine.</t>
  </si>
  <si>
    <t>The gymnast stands on the side of the balance beam.</t>
  </si>
  <si>
    <t>The gyjmnast mounts the beam.</t>
  </si>
  <si>
    <t>The gymnast performs her routine on the beam.</t>
  </si>
  <si>
    <t>The gymnast almost falls, but catches herself.</t>
  </si>
  <si>
    <t>The gymnast dismounts and lands on the blue mat.</t>
  </si>
  <si>
    <t>v_L0arB1mOuSE</t>
  </si>
  <si>
    <t>Several clips of shown of people playing kickball against one another in a large field.</t>
  </si>
  <si>
    <t>Several clips are shown of people running around, catching and throwing the ball, as well as partying on the side.</t>
  </si>
  <si>
    <t>v_cdEBDjnH9xk</t>
  </si>
  <si>
    <t>A man is seen putting objects onto a wall and place a board along the wall.</t>
  </si>
  <si>
    <t>He continues moving the objects on the wall and then nails them down with a nail gun and presents the shelves he's made.</t>
  </si>
  <si>
    <t>v_G1LGXWN_9v4</t>
  </si>
  <si>
    <t>A man is seen playing a bongo drum quickly moving his hands all around the instrument.</t>
  </si>
  <si>
    <t>He continuously plays the drum while closing his eyes in concentration and ends by hitting his hands faster.</t>
  </si>
  <si>
    <t>v_sS1Zh8mqMOE</t>
  </si>
  <si>
    <t>A pair of shoes is displayed on a table while a man and a woman have a conversation.</t>
  </si>
  <si>
    <t>A woman challenges a man to arm wrestling.</t>
  </si>
  <si>
    <t>The man removes the shoes from the table.</t>
  </si>
  <si>
    <t>The woman and the man arm wrestle.</t>
  </si>
  <si>
    <t>The man beats the woman.</t>
  </si>
  <si>
    <t>He takes out the shoes and displays them back on the table.</t>
  </si>
  <si>
    <t>The woman and the man laugh as they carry on a conversation.</t>
  </si>
  <si>
    <t>v_5v9p5jBN_Hg</t>
  </si>
  <si>
    <t>A woman talks in a gym.</t>
  </si>
  <si>
    <t>The woman stands on a lane, then she runs to perform a long jump that lands in the sand.</t>
  </si>
  <si>
    <t>The jump of the woman is repeated several times.</t>
  </si>
  <si>
    <t>v_1AxGiLSmGZo</t>
  </si>
  <si>
    <t>Several people are seen kite surfing along the water and one performing tricks.</t>
  </si>
  <si>
    <t>More people perform tricks and one fall off the side, immediately climbing back on.</t>
  </si>
  <si>
    <t>v_9Rd8PpfRNmY</t>
  </si>
  <si>
    <t>A child paints her toenails with white nail polish on front a little child.</t>
  </si>
  <si>
    <t>A person enters the room and walk on front the children.</t>
  </si>
  <si>
    <t>Then, the child turns to listen somebody for a second and continues painting her toenails.</t>
  </si>
  <si>
    <t>After, a hand touches the back of the child twice who turns and then continues painting her toenails.</t>
  </si>
  <si>
    <t>v_O7SljQqahy8</t>
  </si>
  <si>
    <t>A person pours vinegar in a sink on a towel.</t>
  </si>
  <si>
    <t>The person then uses the towel to rub the surface of the sink.</t>
  </si>
  <si>
    <t>The person drops the towel and picks it up.</t>
  </si>
  <si>
    <t>v_xbA294b3Z5c</t>
  </si>
  <si>
    <t>A woman is seen speaking to the camera while showing off her nails and leads into her holding up a contact lens.</t>
  </si>
  <si>
    <t>The girl then pours liquid out into a container and them demonstrates how to properly put in and take on a contact lens.</t>
  </si>
  <si>
    <t>v_p2C4MeV02GU</t>
  </si>
  <si>
    <t>woman is talking to the camera holding a big cat on her legs that is sitting in a cat cushion and its caressing his head.</t>
  </si>
  <si>
    <t>woman is holding a nail clipper and cut the cat's nails explaining the right way to do it.</t>
  </si>
  <si>
    <t>v_CUtkQIV2eto</t>
  </si>
  <si>
    <t>A person water ski in the water holding a rope attached to a boat in the river.</t>
  </si>
  <si>
    <t>The person pass on front a boat in the river while waterskiing.</t>
  </si>
  <si>
    <t>Then, the person gives a thumb up while performing waterskii, after the person continues waterskiing.</t>
  </si>
  <si>
    <t>Then, the surfboard floats on front a metal structure.</t>
  </si>
  <si>
    <t>v_oSQNry_U7oA</t>
  </si>
  <si>
    <t>A trainer wearing a wet suit gives a walrus treats and the walrus nods his head up in town in excitement at the beginning of a show.</t>
  </si>
  <si>
    <t>The trainer plays a small saxophone and the walrus nods and is given a treat.</t>
  </si>
  <si>
    <t>The walrus is handed the saxophone and it plays it while the dancing with the trainer.</t>
  </si>
  <si>
    <t>v_Wq-eDa62BcI</t>
  </si>
  <si>
    <t>A person's hands demonstrates how to stye and comb a blonde haired doll.</t>
  </si>
  <si>
    <t>The person's hand begins to brush the doll's hair with a pink bristle brush before holding up a bottle of hair styling product.</t>
  </si>
  <si>
    <t>The hand sprays some of the hair style product on the doll's hair and then proceeds to brush the hair again.</t>
  </si>
  <si>
    <t>The hand then turns the doll around to showcase the finished style, the hand also gestures to areas around the dolls hair.</t>
  </si>
  <si>
    <t>v_6q7LQZLC_N8</t>
  </si>
  <si>
    <t>A sailboat with dark red plum colored sails is riding on the ocean.</t>
  </si>
  <si>
    <t>The boat turns and we see it from behind as we move to the left side.</t>
  </si>
  <si>
    <t>The camera zoom in and out then flashes to another angle.</t>
  </si>
  <si>
    <t>We see the credits run over the video.</t>
  </si>
  <si>
    <t>v_vMy5o7pvy4c</t>
  </si>
  <si>
    <t>A man swings his arms around over his head.</t>
  </si>
  <si>
    <t>He thin spins his whole body.</t>
  </si>
  <si>
    <t>The man releases the hammer and lowers his arms.</t>
  </si>
  <si>
    <t>v_MxYa4WTV8Zs</t>
  </si>
  <si>
    <t>A man and a woman decorate a Christmas tree from decorations around the room in sped-up video.</t>
  </si>
  <si>
    <t>A dog walks through the camera frame.</t>
  </si>
  <si>
    <t>The man leaves the camera frame.</t>
  </si>
  <si>
    <t>The man returns to decorating wearing a Santa hat.</t>
  </si>
  <si>
    <t>The man stands on a chair to put a decoration at the top of the tree.</t>
  </si>
  <si>
    <t>The completed tree is shown by itself.</t>
  </si>
  <si>
    <t>v_NTZ_mWvnHVY</t>
  </si>
  <si>
    <t>Two people are standing by the water one of the grabs some board.</t>
  </si>
  <si>
    <t>He puts it in the water and rides it, it goes pretty fast.</t>
  </si>
  <si>
    <t>He turns it a few times and passes by someone else on another one.</t>
  </si>
  <si>
    <t>He gets off and walks to a field with it above his head.</t>
  </si>
  <si>
    <t>v_G1aYtrFJqUc</t>
  </si>
  <si>
    <t>A man wearing gloves is inside a building.</t>
  </si>
  <si>
    <t>He rolls up a carpet and sets it aside.</t>
  </si>
  <si>
    <t>He then sweeps and mops the floors until they are clean.</t>
  </si>
  <si>
    <t>v_Z0oEaM7h6jM</t>
  </si>
  <si>
    <t>A logo appears on the screen briefly.</t>
  </si>
  <si>
    <t>A man talks to a group while standing in a raft.</t>
  </si>
  <si>
    <t>A group of people are rafting down rivers with rapids.</t>
  </si>
  <si>
    <t>They cheer by lifting their paddles.</t>
  </si>
  <si>
    <t>They continue to raft down the river.</t>
  </si>
  <si>
    <t>It cuts to the people on the bank at a campsite.</t>
  </si>
  <si>
    <t>People are once again rafting down the river.</t>
  </si>
  <si>
    <t>A person kayaks down the river.</t>
  </si>
  <si>
    <t>Another person kayaks down the river.</t>
  </si>
  <si>
    <t>Another group rafts down the river.</t>
  </si>
  <si>
    <t>It shows monkeys on the bank.</t>
  </si>
  <si>
    <t>People get splashed by a waterfall.</t>
  </si>
  <si>
    <t>It cuts to the logo and information.</t>
  </si>
  <si>
    <t>v_gdisMpHS668</t>
  </si>
  <si>
    <t>Two women are seen standing before a christmas tree with young children present as well.</t>
  </si>
  <si>
    <t>The people then all move around one another putting ornaments on the tree in fast motion.</t>
  </si>
  <si>
    <t>The girls continue putting items on the tree and end by smiling to the camera.</t>
  </si>
  <si>
    <t>v_0jvbBtMIA8k</t>
  </si>
  <si>
    <t>A man is sitting on a chair next to a talk show host.</t>
  </si>
  <si>
    <t>A woman is hosting a beer pong tournament, and the two men go over to the table.</t>
  </si>
  <si>
    <t>They drink and try to throw the balls into the cups.</t>
  </si>
  <si>
    <t>The band plays in the background as the men play.</t>
  </si>
  <si>
    <t>v_G2soQTiGL10</t>
  </si>
  <si>
    <t>A large group of people are seen standing around a table with one speaking to the camera.</t>
  </si>
  <si>
    <t>The people then assist one another putting ingredients into pans and flipping them around.</t>
  </si>
  <si>
    <t>The people continue mixing the food together and finish by presenting it onto a plate.</t>
  </si>
  <si>
    <t>v_tOEomEC1rY8</t>
  </si>
  <si>
    <t>A woman is sitting in a chair while a woman behind her is holding a hair dryer.</t>
  </si>
  <si>
    <t>She begins drying the woman's hair.</t>
  </si>
  <si>
    <t>The woman is talking to the camera pointing at a hair dryer.</t>
  </si>
  <si>
    <t>v_a370DDsJtBA</t>
  </si>
  <si>
    <t>A woman is seated behind a wooden table.</t>
  </si>
  <si>
    <t>She quickly moves color blocks on a puzzle, trying to solve it.</t>
  </si>
  <si>
    <t>She solves the puzzle and shows it to the camera.</t>
  </si>
  <si>
    <t>v_8olnQLX0hO8</t>
  </si>
  <si>
    <t>A small group of men are seen walking down a dirt road followed by several shots of them riding in tubes and laughing to the camera.</t>
  </si>
  <si>
    <t>They continue riding down the river under trees and has more people holding the camera.</t>
  </si>
  <si>
    <t>v_HhlWUEbHBUk</t>
  </si>
  <si>
    <t>A guy shows you how to make a drink,the guy pours ice in a tall glass,adds a half cup of a certain type of liquor and pour it in the cup with the ice.</t>
  </si>
  <si>
    <t>He then adds soda to the cup which makes the cup full to the top and starts to stir it up with a metal tool.</t>
  </si>
  <si>
    <t>the guy then squeezes three half limes into the cup and push the three lime to the bottom of the cup with the metal tool he use to stir the drink.</t>
  </si>
  <si>
    <t>finally he pours the drink from the tall glass to a shorter glass,adds a different type of liquor with a straw to finish it off.</t>
  </si>
  <si>
    <t>v_FJZTNJ0LuJ4</t>
  </si>
  <si>
    <t>Two people stand in front of a cake and they talk.</t>
  </si>
  <si>
    <t>Text appears on the screen as they talk.</t>
  </si>
  <si>
    <t>A woman mixes ingredients into a pot on the stove.</t>
  </si>
  <si>
    <t>A man pours in rum into the pot and stirs it.</t>
  </si>
  <si>
    <t>They poke holes in the cake with knives and pour the mixture on it.</t>
  </si>
  <si>
    <t>They stand in front of the cake again and talk.</t>
  </si>
  <si>
    <t>They eat the cake as they talk.</t>
  </si>
  <si>
    <t>v_0qTzoVjsMpQ</t>
  </si>
  <si>
    <t>A man fills a hookah with water and sets it on a table.</t>
  </si>
  <si>
    <t>He puts tobacco in a device and covers it with tin foil.</t>
  </si>
  <si>
    <t>He pokes a hole in the top of the tin foil several times.</t>
  </si>
  <si>
    <t>He puts that onto the top of the hookah.</t>
  </si>
  <si>
    <t>He takes a smoke off the hookah and blows the smoke.</t>
  </si>
  <si>
    <t>v_2O-TyeSMueg</t>
  </si>
  <si>
    <t>A group of people ride on a boat to Catalina Island.</t>
  </si>
  <si>
    <t>A man wearing a grey t-shirt films himself using a selfie stick while riding on a boat.</t>
  </si>
  <si>
    <t>The group of people on the boat are dressed in scuba diving gear.</t>
  </si>
  <si>
    <t>A man in scuba gear enters the water while filming himself while holding a selfie stick.</t>
  </si>
  <si>
    <t>The diver films himself while diving underwater.</t>
  </si>
  <si>
    <t>The ddiver films a school of fish a nd bright yellow tropical fish.</t>
  </si>
  <si>
    <t>The diver cameraman walks backwards onto steps leading out of the water.</t>
  </si>
  <si>
    <t>A group of divers dressed in street clothes ride in a golf cart.</t>
  </si>
  <si>
    <t>v_X1lLinc_yvo</t>
  </si>
  <si>
    <t>woman is standing in a kitchen in front of a camera and showing ingredients on top of table.</t>
  </si>
  <si>
    <t>woman is pouring the ingredients inside a kitchen aid and mixing them and explaining to the camera how to do the paste.</t>
  </si>
  <si>
    <t>v_VTwQgMELGVE</t>
  </si>
  <si>
    <t>A woman behind the bar talking, she has a bottle of corona.</t>
  </si>
  <si>
    <t>She sucks on the bottle of a few times.</t>
  </si>
  <si>
    <t>Then, she grabs it with just her mouth and holds it up chugging the beer.</t>
  </si>
  <si>
    <t>She chugs and chugs until it is completely empty.</t>
  </si>
  <si>
    <t>v_zD_wAe6Eoxc</t>
  </si>
  <si>
    <t>A Caucasian male is outside holding up a skateboard.</t>
  </si>
  <si>
    <t>He then goes down a winding road and comes down skateboarding and the picture is still until he slides into a trick and then it is paused again.</t>
  </si>
  <si>
    <t>The routine continues and then the player stands up as continue to go down the road.</t>
  </si>
  <si>
    <t>Once he is completely finished, he goes back to where he originally started and keeps talking to the camera as he holds his skateboard in his left hand.</t>
  </si>
  <si>
    <t>After, the man turns around and shows how his brown cargo shorts are patched up with duct tape.</t>
  </si>
  <si>
    <t>v_XKpx9fyNINg</t>
  </si>
  <si>
    <t>A close up of a person putting on a rack is shown followed by several women lifting up large amounts of weight.</t>
  </si>
  <si>
    <t>More people are seen lifting up the heavy weights over their head and throwing it down when they are done.</t>
  </si>
  <si>
    <t>v_BbJeZoks_c4</t>
  </si>
  <si>
    <t>Several people are seen sitting outside at a picnic table and leads into two people tying a rope around a tree.</t>
  </si>
  <si>
    <t>More people come to help and lead into a boy walking on the rope with a man's help.</t>
  </si>
  <si>
    <t>More people attempt to walk on the rope with other's help as well as by themselves.</t>
  </si>
  <si>
    <t>v_UvuXGKesWS0</t>
  </si>
  <si>
    <t>The words Freestyle Swimming float across the screen.</t>
  </si>
  <si>
    <t>A man jumps in the pool and swims freestyle.</t>
  </si>
  <si>
    <t>The words BackStroke Style float across the screen.</t>
  </si>
  <si>
    <t>The same man swims backstroke down the lane from where he came.</t>
  </si>
  <si>
    <t>The words BreastStroke show up on the screen.</t>
  </si>
  <si>
    <t>The man does the breaststroke back across the pool.</t>
  </si>
  <si>
    <t>v_8hkVzhEKqpY</t>
  </si>
  <si>
    <t>A man and woman news reporter are sitting in front of a tv screen as they talk.</t>
  </si>
  <si>
    <t>They then show clips from an outdoor volleyball game.</t>
  </si>
  <si>
    <t>The team mates hit the ball back and forth over the net.</t>
  </si>
  <si>
    <t>Afterward, they shake hands with their opponents.</t>
  </si>
  <si>
    <t>v_hIjOvSJf9c0</t>
  </si>
  <si>
    <t>Two people are seen speaking to the camera and leads into a ruler being shown and the woman holding a sponge.</t>
  </si>
  <si>
    <t>She wipes down a wall while the man sands it down and then are seen measuring the length of the wall.</t>
  </si>
  <si>
    <t>Then they lay paper down, cut the paper, and align it onto the wall.</t>
  </si>
  <si>
    <t>They rub in the paper, press it along the wall, and smile back at the camera.</t>
  </si>
  <si>
    <t>v_StM48dIvK-M</t>
  </si>
  <si>
    <t>People are participating in a tug of war match in a gym.</t>
  </si>
  <si>
    <t>The yellow team on the left side pulls the rope mostly to the left or wins.</t>
  </si>
  <si>
    <t>An adult grabs the arm of a blue team member.</t>
  </si>
  <si>
    <t>v_FofBEedm80o</t>
  </si>
  <si>
    <t>The words "Grandmaster Huang Sheng Shyan" and "Taiji Push Hands" appear on screen.</t>
  </si>
  <si>
    <t>Several students individually approach the Grandmaster attempting to fight him and are pushed back quickly.</t>
  </si>
  <si>
    <t>The Grandmaster taps a student on the head and he quickly falls to the ground.</t>
  </si>
  <si>
    <t>v_E6LJROCxQPA</t>
  </si>
  <si>
    <t>A person is seen walking across the yard leading into a long rope.</t>
  </si>
  <si>
    <t>The man jumps on the rope and attempts to walk across it.</t>
  </si>
  <si>
    <t>He continues walking and leads into him falling off.</t>
  </si>
  <si>
    <t>v_VVezUub0ocQ</t>
  </si>
  <si>
    <t>cat is sleeping in a furry table and a man holds him and shows a nail clipper and starts cutting the cat nails sitting in a couch.</t>
  </si>
  <si>
    <t>cat is sitting in a red carpet.</t>
  </si>
  <si>
    <t>v_1-nEQf-TJPE</t>
  </si>
  <si>
    <t>A video of vodka being poured into a martini glass is shown.</t>
  </si>
  <si>
    <t>A woman stands behind a bar with bottles and ingredients.</t>
  </si>
  <si>
    <t>She mixes the alcohols into a glass, then shakes them up before decorating and displaying the drink.</t>
  </si>
  <si>
    <t>v_M4db4WfqDoE</t>
  </si>
  <si>
    <t>A large snowy mountain is shown as well as people driving and people standing along a mountain.</t>
  </si>
  <si>
    <t>Several shots are shown of people on snowboards, performing tricks, and gesturing to the camera.</t>
  </si>
  <si>
    <t>The video continues on with impressive clips of people doing stunts as well as close ups of people riding.</t>
  </si>
  <si>
    <t>v_I9kOPQ3J5HA</t>
  </si>
  <si>
    <t>A woman puts a harness on.</t>
  </si>
  <si>
    <t>A man clips a rope to the front of the woman's harness.</t>
  </si>
  <si>
    <t>He ties the rope into a knot.</t>
  </si>
  <si>
    <t>v_ykdPTjsmfgY</t>
  </si>
  <si>
    <t>A person stands by a river.</t>
  </si>
  <si>
    <t>A group of people wearing vests kayak down a river.</t>
  </si>
  <si>
    <t>A person holds their paddle over their head.</t>
  </si>
  <si>
    <t>A couple of people are sitting by the river in a grassy area.</t>
  </si>
  <si>
    <t>The people kayaking approach a bridge.</t>
  </si>
  <si>
    <t>A couple of people sit near some cars next to the river.</t>
  </si>
  <si>
    <t>v_BD_ON66t6rM</t>
  </si>
  <si>
    <t>A man is kayaking on water and moving his arms back and fourth quickly.</t>
  </si>
  <si>
    <t>The camera follows him moving through the water and eventually works his way towards a bridge.</t>
  </si>
  <si>
    <t>v_hToIzZ3o6Ic</t>
  </si>
  <si>
    <t>The credits of the clip alongside a bucket of paint are shown.</t>
  </si>
  <si>
    <t>A hand paints a wardrobe white with a paintbrush.</t>
  </si>
  <si>
    <t>The hand picks up a white rug.</t>
  </si>
  <si>
    <t>The hand places two fingers inside the rug and proceeds to whip the painted wardrobe.</t>
  </si>
  <si>
    <t>The final product of the painted wardrobe is shown.</t>
  </si>
  <si>
    <t>v_cg0sa6wYA1U</t>
  </si>
  <si>
    <t>A person's arms are seen moving back and fourth in the water controlling a kayak under some tombs sticking out of the water.</t>
  </si>
  <si>
    <t>The man continues pushing his way along and ends with him sticking his pole into the water.</t>
  </si>
  <si>
    <t>v_0Gr4aKQzGYk</t>
  </si>
  <si>
    <t>Various shots of a tattoo shop are shown followed by a woman sitting in a chair and a man getting items ready.</t>
  </si>
  <si>
    <t>She takes a sip of water and the man then pierces her lip with a needle.</t>
  </si>
  <si>
    <t>She is shown again in a picture of her new piercing.</t>
  </si>
  <si>
    <t>v_eaFvnf8IF-I</t>
  </si>
  <si>
    <t>A man is playing an accordian while staring occasionally into the camera.</t>
  </si>
  <si>
    <t>The man changes his finger tips constantly and looks off into the distance while playing.</t>
  </si>
  <si>
    <t>The man continues his song and eventually finishes by smiling into the camera.</t>
  </si>
  <si>
    <t>v_o1bO6f-Uo8A</t>
  </si>
  <si>
    <t>A man in the front yard showing how to mow the lawn.</t>
  </si>
  <si>
    <t>He first moves all the debris out of the way so that nothing gets caught in the mower before mowing.</t>
  </si>
  <si>
    <t>Then he uses a stethoscope to listen to the mower while he puts oil in it.</t>
  </si>
  <si>
    <t>He suggest that you finish mowing by sunset and if you are using a pushing mower you should keep your back striaght and arms bent.</t>
  </si>
  <si>
    <t>v_m7vcstRI23E</t>
  </si>
  <si>
    <t>A little girl is standing in a kitchen in front of a bowl and sugar cookie mix.</t>
  </si>
  <si>
    <t>The girl starts showing the ingredients to her audience, before pouring the cookie mix into a bowl.</t>
  </si>
  <si>
    <t>She then adds butter and egg yolks, and stirs the whole thing up using a hand mixer.</t>
  </si>
  <si>
    <t>She rolls the dough in plastic wrap before spreading it back out and cutting into shapes with cookie cutters.</t>
  </si>
  <si>
    <t>The cookies are baked and ready to frost with sprinkles and frosting.</t>
  </si>
  <si>
    <t>v_FkWxS_5VxsM</t>
  </si>
  <si>
    <t>A polished hands takes a piece of tape.</t>
  </si>
  <si>
    <t>The polished hands puts a piece of tape at the edge of a brown object.</t>
  </si>
  <si>
    <t>The hand paints turquoise polish on the tape.</t>
  </si>
  <si>
    <t>The hand cuts the the polished tape in strips.</t>
  </si>
  <si>
    <t>The hand puts the strip on a polished nail.</t>
  </si>
  <si>
    <t>The hand paints the nail with clear nail polish.</t>
  </si>
  <si>
    <t>The hand rubs a soaked cotton ball on a fingernail so the polish is removed.</t>
  </si>
  <si>
    <t>v_Jp7KeCimrMI</t>
  </si>
  <si>
    <t>A man stretches out shirts on an ironing board in a workshop area and uses a flat iron to steam press it.</t>
  </si>
  <si>
    <t>The man removes the ironed shirt and places it on a hanger.</t>
  </si>
  <si>
    <t>The man gives the shirt one more quick ironing on a single spot then hangs the shirt on a rack.</t>
  </si>
  <si>
    <t>v_YotaXgC6Ee8</t>
  </si>
  <si>
    <t>A man jumps off a diving board into a pool several times.</t>
  </si>
  <si>
    <t>Another person is swimming in the pool.</t>
  </si>
  <si>
    <t>He does a flip and lands in the water before surfacing.</t>
  </si>
  <si>
    <t>v_Z_1Zoc6lINU</t>
  </si>
  <si>
    <t>We see a lady sitting at a table with shoes and supplies talking to the camera.</t>
  </si>
  <si>
    <t>We see screens with shoes on them.</t>
  </si>
  <si>
    <t>The lady shows us various shoes.</t>
  </si>
  <si>
    <t>The lady shows us the shoe supplies.</t>
  </si>
  <si>
    <t>The lady adds a product to the shoes.</t>
  </si>
  <si>
    <t>The lady then wipes the product off with a towel.</t>
  </si>
  <si>
    <t>The lady then adds shoes wax to the shoe and wipes it off.</t>
  </si>
  <si>
    <t>v_3UbQ0UDmbbw</t>
  </si>
  <si>
    <t>A man clears snow from a car in snow covered parking lot.</t>
  </si>
  <si>
    <t>A man in a narrow hallway holds and directs a camera in the hallway, presses a button in the hallway, then exits through the door in the hallway and goes outside.</t>
  </si>
  <si>
    <t>Once outside the camera picks up a snow covered parking lot filled with snow covered cars and one girl in pink pants.</t>
  </si>
  <si>
    <t>A man holding a long snow removing brush approaches a car and begins wiping snow off of the car at times gesturing wildly with his arms.</t>
  </si>
  <si>
    <t>The man clears the entire car with snow, with the brush and a shovel before the scene cuts to a vehicle driving down the street in the snow.</t>
  </si>
  <si>
    <t>v_szdKUpvx9Sk</t>
  </si>
  <si>
    <t>We see men standing around in a casino holding beers.</t>
  </si>
  <si>
    <t>We see a man and put money on the table.</t>
  </si>
  <si>
    <t>The dealer counts the money and gives the man chips.</t>
  </si>
  <si>
    <t>The dealer deals a hands of blackjack and the we see the men clapping and the dealer laughing.</t>
  </si>
  <si>
    <t>We see the dealer give the man chips and the man stands in his group showing his friends his stack of chips.</t>
  </si>
  <si>
    <t>Two men cheer and throw their fists in the air and the me laugh and cheer and walk.</t>
  </si>
  <si>
    <t>v_kHTcsP6nQdY</t>
  </si>
  <si>
    <t>He pauses as another slides down.</t>
  </si>
  <si>
    <t>He slides down as she stops.</t>
  </si>
  <si>
    <t>He runs up to her and she slides down to the end.</t>
  </si>
  <si>
    <t>v_G16xScfD5WM</t>
  </si>
  <si>
    <t>We see the title over a landscape.</t>
  </si>
  <si>
    <t>People are playing instruments in a field.</t>
  </si>
  <si>
    <t>We then see men practicing martial arts.</t>
  </si>
  <si>
    <t>A man kicks another man to the ground.</t>
  </si>
  <si>
    <t>We see a man toss another man over his back.</t>
  </si>
  <si>
    <t>A man does a flip, then does a back flip.</t>
  </si>
  <si>
    <t>We see the people playing instruments again.</t>
  </si>
  <si>
    <t>130 We see words appear on the screen, and the end credits appear.</t>
  </si>
  <si>
    <t>v_sMO2IlNgDuw</t>
  </si>
  <si>
    <t>A young child is seen playing with a toy and putting lip stick on her lips.</t>
  </si>
  <si>
    <t>The camera is then seen moving around a room, walking down stairs and following the young girl.</t>
  </si>
  <si>
    <t>The girl walks back into her room to play with her toy while the camera follows.</t>
  </si>
  <si>
    <t>v_klGP18026Ek</t>
  </si>
  <si>
    <t>Two men play games of rock paper scissors in front of a referee.</t>
  </si>
  <si>
    <t>A woman taps one of they on the back.</t>
  </si>
  <si>
    <t>They play a final game and a man celebrates his victory.</t>
  </si>
  <si>
    <t>v_gGs1qNxsFTg</t>
  </si>
  <si>
    <t>A man is sitting behind a table.</t>
  </si>
  <si>
    <t>He picks up a rubiks cube and completes it.</t>
  </si>
  <si>
    <t>A man stands next to him and writes something on a paper.</t>
  </si>
  <si>
    <t>v_Fh1LR3xB3zQ</t>
  </si>
  <si>
    <t>A man is seen speaking to the camera and begins holding up knives.</t>
  </si>
  <si>
    <t>He pans all around his tools and shows off a kit.</t>
  </si>
  <si>
    <t>He then leads into sharpening a knife with various boards and sticks while still speaking to the camera.</t>
  </si>
  <si>
    <t>v_r3dM-5cZ7e8</t>
  </si>
  <si>
    <t>A group of swimmers stand ready on a platform and bend down to their feet.</t>
  </si>
  <si>
    <t>Several men stand behind them when they all jump in at the same time.</t>
  </si>
  <si>
    <t>The men race back and fourth doing a butterfly movement back and fourth until they all reach the end.</t>
  </si>
  <si>
    <t>v_NbdAUGbrWrE</t>
  </si>
  <si>
    <t>A teenage girl brushes her hair.</t>
  </si>
  <si>
    <t>The girl looks down as if she is confused.</t>
  </si>
  <si>
    <t>v_LL_leiyIdVQ</t>
  </si>
  <si>
    <t>Various people are shown in the beginning in a large gymnasium performing several slips and tricks on a trampoline one at a time.</t>
  </si>
  <si>
    <t>The people continue jumping and flipping around the gym with one ending in a large pit in the end.</t>
  </si>
  <si>
    <t>v_JnP5FDtEPVE</t>
  </si>
  <si>
    <t>The groomer sprays the brown dog.</t>
  </si>
  <si>
    <t>The dog runs around the shop.</t>
  </si>
  <si>
    <t>The groomer bushes the brown dog.</t>
  </si>
  <si>
    <t>v_UvPUywSVy1k</t>
  </si>
  <si>
    <t>A person is seen holding up various food items while laughing and speaking with others.</t>
  </si>
  <si>
    <t>The men then begin cooking together by mixing various ingredients and presenting them onto a plate.</t>
  </si>
  <si>
    <t>The recipe is then shown for how to cook the food and leads into clips of the food being cooked and presented with the men eating together.</t>
  </si>
  <si>
    <t>v_8kNk_fzmTyI</t>
  </si>
  <si>
    <t>An intro leads into several shots of water steaming and a young woman swimming back and fourth in the water.</t>
  </si>
  <si>
    <t>She comes up to the surface and speaks to the camera while several more shots of water are shown.</t>
  </si>
  <si>
    <t>v_WmabLngcvas</t>
  </si>
  <si>
    <t>A man is seen sitting on a camel followed by getting off and another man climbing on.</t>
  </si>
  <si>
    <t>The man then leads the other around on the camel.</t>
  </si>
  <si>
    <t>The man stops the camel and gets the other person off while climbing back on.</t>
  </si>
  <si>
    <t>v_2SMmL6kIx-w</t>
  </si>
  <si>
    <t>Several performers walk out of a box and it ends up being one male and one female.</t>
  </si>
  <si>
    <t>The lady then begins moving in strange ways and continuing telling a story in ballerina form.</t>
  </si>
  <si>
    <t>After a few minutes,the male joins them and they continue dancing together with strong legs and firm arms.</t>
  </si>
  <si>
    <t>v_E4oP6Ex9IPo</t>
  </si>
  <si>
    <t>A man is holding a yellow iron sitting on top of a box.</t>
  </si>
  <si>
    <t>He melts a bar of was on the bottom of the hot iron.</t>
  </si>
  <si>
    <t>He then irons over the wax that dripped down onto a ski.</t>
  </si>
  <si>
    <t>He finishes and sets the iron down.</t>
  </si>
  <si>
    <t>v_Zfak-LkgQfQ</t>
  </si>
  <si>
    <t>A logo fro a company pops up on a black screen.</t>
  </si>
  <si>
    <t>A man in a yellow jacket and orange helmet is shown ocean kayaking.</t>
  </si>
  <si>
    <t>Other kayakers are shown battling through waves and riding them.</t>
  </si>
  <si>
    <t>A set of photos show the kayakers navigating the ocean and crashing into waves.</t>
  </si>
  <si>
    <t>v_Qq2vKc9hWUk</t>
  </si>
  <si>
    <t>A woman is standing inside a racquetball court.</t>
  </si>
  <si>
    <t>She starts hitting the ball, running after it.</t>
  </si>
  <si>
    <t>She trips and falls down, hitting the ground as a man rescues the ball.</t>
  </si>
  <si>
    <t>v_cxVbaN4GxxU</t>
  </si>
  <si>
    <t>A man stands outside a tent.</t>
  </si>
  <si>
    <t>He looks inside the tent at a group of kids playing cards and a woman sitting outside.</t>
  </si>
  <si>
    <t>A boy walks through parked cars, smiling.</t>
  </si>
  <si>
    <t>He is then shown on a kayak in a lake.</t>
  </si>
  <si>
    <t>The rest of the family soon joins him.</t>
  </si>
  <si>
    <t>v_MAZlsi4Bon8</t>
  </si>
  <si>
    <t>A young boy is at a party holding a stick and hitting a pinata.</t>
  </si>
  <si>
    <t>When the boy is done hitting it an adult walks towards the pinata.</t>
  </si>
  <si>
    <t>Another child standing with the adult also begins walking towards the pinata.</t>
  </si>
  <si>
    <t>v_eS7ENymCpZE</t>
  </si>
  <si>
    <t>A rough ocean has large white capped waves and a sailboat traversing through it.</t>
  </si>
  <si>
    <t>The sailboat goes over the top of large waves and lands with a splash.</t>
  </si>
  <si>
    <t>The boat maneuvers and is tilted sideways as it goes over waves.</t>
  </si>
  <si>
    <t>v_9Pun6fgAg8Q</t>
  </si>
  <si>
    <t>Two teams play beach volleyball on front a crowd.</t>
  </si>
  <si>
    <t>A woman holds a smart phone.</t>
  </si>
  <si>
    <t>A man serves a ball.</t>
  </si>
  <si>
    <t>A man wearing a cap and plaid shirt pass on front the players.</t>
  </si>
  <si>
    <t>v_THPFtlx3gXw</t>
  </si>
  <si>
    <t>A man is standing on a hill, celebrating before a crowd.</t>
  </si>
  <si>
    <t>He is shown on a bmx dirt bike, performing a plethora of stunts, wheelies, and spins for a crowd.</t>
  </si>
  <si>
    <t>Women are shown close up, dancing.</t>
  </si>
  <si>
    <t>v_UMUGmKRkaxo</t>
  </si>
  <si>
    <t>Two boys play ping pong in a gym and one of the boys use a Nunchaku as a racket t o play and make tricks.</t>
  </si>
  <si>
    <t>A man pass on front the ping pong table and stand near the table.</t>
  </si>
  <si>
    <t>Then, the man joint one of the players and start to play, after, Bruce Lee appears in the screen of a smart phone that flips around.</t>
  </si>
  <si>
    <t>A boy does martial arts moves and braks a board, then he fix the Nunchaku and after use it to light a match in the mouth of the other boy.</t>
  </si>
  <si>
    <t>v_lDriXPZt_Yg</t>
  </si>
  <si>
    <t>A woman is holding a bottle of purple nail polish up to the camera.</t>
  </si>
  <si>
    <t>She then applies it to her nails.</t>
  </si>
  <si>
    <t>When she is done, she shows off her nails and the polish one last time.</t>
  </si>
  <si>
    <t>v_qeyCTRqPCN4</t>
  </si>
  <si>
    <t>Bullfighting is being advertised on the screen.</t>
  </si>
  <si>
    <t>There are clips of bull fights and man is talking about his bull fighting experience.</t>
  </si>
  <si>
    <t>The bull rolls a barrel while the clown is behind it.</t>
  </si>
  <si>
    <t>A trophy is awarded to the bull fighter.</t>
  </si>
  <si>
    <t>v_V6s9eMtUnME</t>
  </si>
  <si>
    <t>A woman standing next to a vehicle talks to the camera while occasionally gesturing at the vehicle.</t>
  </si>
  <si>
    <t>The woman holds up a bottle of spray.</t>
  </si>
  <si>
    <t>The woman sprays the vehicle's window with the bottle.</t>
  </si>
  <si>
    <t>The woman uses a towel to clean the window.</t>
  </si>
  <si>
    <t>The woman talks to the camera again.</t>
  </si>
  <si>
    <t>The woman returns to cleaning the window.</t>
  </si>
  <si>
    <t>The woman talks to the camera once more.</t>
  </si>
  <si>
    <t>v_M0mLgp8VxpY</t>
  </si>
  <si>
    <t>A shuffleboard is shown in a room.</t>
  </si>
  <si>
    <t>A man in a blue sweater throws a ball down the shuffleboard.</t>
  </si>
  <si>
    <t>v_MoPg7NqyhLI</t>
  </si>
  <si>
    <t>A large group of people are seen sitting in a floor followed by people shooting bow and arrows and running around a course.</t>
  </si>
  <si>
    <t>The kids continue running around one another shooting the bow and arrows and ends with a woman holding up her hand and showing a picture.</t>
  </si>
  <si>
    <t>v_OZiArYAPXDo</t>
  </si>
  <si>
    <t>An older video of bad quality begins to play and there are white words on red blocks that read "Leichtathletik leicht gemacht Diskus".</t>
  </si>
  <si>
    <t>A disc is flying through the air and lands on a field, then a still shot picture of a naked man holding a disc briefly appears until another clip plays of a man on a large field throwing a disc.</t>
  </si>
  <si>
    <t>A man is now sitting on a field and the words on the screen say that he is "Lars Riedel" and under it the word "Olympiasieger", and it shows him talking while switching back and forth to clips of a man on a field is holding a disc on the field, swinging it and then throwing it.</t>
  </si>
  <si>
    <t>The still shot picture of the naked man holding the dickus shows up again and then goes back to clips of the man who is now just walking on the field.</t>
  </si>
  <si>
    <t>v_j3P7ttoKGeY</t>
  </si>
  <si>
    <t>A group of people begin to walk in a room and they begin to play a game of Foosball.</t>
  </si>
  <si>
    <t>The game begins to intensifies and the men begin to look at each other in the eye as they start to make goals.</t>
  </si>
  <si>
    <t>Once the first game is finished,another set of men begin to compete and starts to clip the ball over the people.</t>
  </si>
  <si>
    <t>Next,women join and starts to roll the ball on the edge of the table as they make goals.</t>
  </si>
  <si>
    <t>Finally,a man appears with a Nokia phone recording the game and shows video options of different tricks that were performed.</t>
  </si>
  <si>
    <t>v_87hjft6OBiU</t>
  </si>
  <si>
    <t>There is a man shown lifting a weight that weighs over 90 pounds.</t>
  </si>
  <si>
    <t>There is a woman who's running on the treadmill behind him.</t>
  </si>
  <si>
    <t>v_Tywf5EzWntY</t>
  </si>
  <si>
    <t>A skier is adjusting his shoes on the board.</t>
  </si>
  <si>
    <t>Then he is seen flying through the air on the water board.</t>
  </si>
  <si>
    <t>He is skiing while attached to the back of a boat.</t>
  </si>
  <si>
    <t>v_6Lh3yNFvskc</t>
  </si>
  <si>
    <t>A player holding a basketball dribbles the ball, run and jump to throw the ball in the basket several times.</t>
  </si>
  <si>
    <t>A man throw a basketball in the court and then leave.</t>
  </si>
  <si>
    <t>v_brY1jVHquE0</t>
  </si>
  <si>
    <t>A young child is seen holding onto a stick in a living room while pushing a ball around.</t>
  </si>
  <si>
    <t>The boy continues pushing the ball around while the camera captures his movements.</t>
  </si>
  <si>
    <t>He stops to speak to the camera and continues hitting the ball around.</t>
  </si>
  <si>
    <t>v_qtOP38458F4</t>
  </si>
  <si>
    <t>A male gymast prepares to mount a beam.</t>
  </si>
  <si>
    <t>He jumps up, doing an handstand on the bar.</t>
  </si>
  <si>
    <t>He then spins and flips several times.</t>
  </si>
  <si>
    <t>He dismounts, throwing his arms up in the air.</t>
  </si>
  <si>
    <t>v_aZfNeGBMU1Y</t>
  </si>
  <si>
    <t>A little girl is holding a stick and is gently hitting a large pinata that is ninja turtled theme.</t>
  </si>
  <si>
    <t>In the background a boy on a white chair is gently tossing a ball in the air above his lap.</t>
  </si>
  <si>
    <t>A taller boy is standing and walking near the boy sitting on the chair and he has a green plastic bag over his left hand that he's moving back and forth with a twist of his wrist.</t>
  </si>
  <si>
    <t>A little girl on the side begins to jump as she's waiting for her turn.</t>
  </si>
  <si>
    <t>v_iZlG0UOtImQ</t>
  </si>
  <si>
    <t>A blond boy holding a pool stick is hitting balls on a pool table that is sectioned off from yellow tape while a large crowd is gathered outside of the yellow tape.</t>
  </si>
  <si>
    <t>The boy grabs another stick from under the pool table, puts it on the table, chalks his stick,and then successfully hits the ball into the hole despite a woman trying to distract him.</t>
  </si>
  <si>
    <t>The boy goes around the table and continues to hit the remaining balls into the holes, the crowd cheers him on, and he goes around the crowd and gives everyone high fives.</t>
  </si>
  <si>
    <t>The boy hugs the woman who was trying to distract him the whole time, he puts his stick down, and she hugs him again.</t>
  </si>
  <si>
    <t>A black screen appears and white words on the screen say "The Black Widow Jeanette Lee Worlds Best Female Pool Player A Ron Hawks Video".</t>
  </si>
  <si>
    <t>v_Fp_uU-qMDSc</t>
  </si>
  <si>
    <t>A man dressed in all white is shown fighting different men outdoors and hitting them very hard.</t>
  </si>
  <si>
    <t>Tai Chi Combat along with his website and various other website icons are located on the bottom right.</t>
  </si>
  <si>
    <t>The man is then standing alone outdoors where he's still wearing the same white outfit and is talking very passionately using hand motions and lots of facial expressions.</t>
  </si>
  <si>
    <t>The man is once again shown to be fighting different men outdoors and he seems to be winning each fight.</t>
  </si>
  <si>
    <t>After this round of fights, the man is once again talking very passionately with a lot of hand movements and facial expressions.</t>
  </si>
  <si>
    <t>The man then goes back to more fighting with different men somewhere outdoors where he continues to win the fights by hitting and occasionally kicking.</t>
  </si>
  <si>
    <t>Lastly, the man is once again show talking very passionately with hand movements and a lot of facial expressions and around him are overlays on the screen advertising his youtube channel along with his website for TAI CHI COMBAT.</t>
  </si>
  <si>
    <t>v_jQgAdClKvDE</t>
  </si>
  <si>
    <t>A man in a neon coat is driving a car with the camera on a stick outside the window.</t>
  </si>
  <si>
    <t>He drives quickly on the snow, laughing as he records himself.</t>
  </si>
  <si>
    <t>He and his passengers stand on a snowy mound, spinning as they record themselves.</t>
  </si>
  <si>
    <t>They then use saws to cut a path in the snow.</t>
  </si>
  <si>
    <t>They water ski on the frozen water path.</t>
  </si>
  <si>
    <t>v_E33xUgVqEH0</t>
  </si>
  <si>
    <t>A person cleans an extremely dirty sink with a paper towel.</t>
  </si>
  <si>
    <t>The title, TubOTowels, appears on the screen.</t>
  </si>
  <si>
    <t>v_E_Z4BceegCQ</t>
  </si>
  <si>
    <t>A young man in white runs on the stage dancing.</t>
  </si>
  <si>
    <t>Other men are dancing in the background.</t>
  </si>
  <si>
    <t>A smaller boy runs on stage, confused.</t>
  </si>
  <si>
    <t>A man with a microphone talks to the young kid.</t>
  </si>
  <si>
    <t>The young boy starts dancing.</t>
  </si>
  <si>
    <t>Everyone on the stage stops dancing.</t>
  </si>
  <si>
    <t>The men point to the singer.</t>
  </si>
  <si>
    <t>The singer in red starts dancing.</t>
  </si>
  <si>
    <t>v_aTvt_fP243g</t>
  </si>
  <si>
    <t>A yellow cloth, yellow and green sponge, and a cif creme cleaner is placed on the counter next to a shallow sink with silver drainer.</t>
  </si>
  <si>
    <t>A hand pour a drop of Cif creme, wiped it with the green side of the sponge, wiped it in circular motion, then wipe the counter with yellow cloth.</t>
  </si>
  <si>
    <t>v_uWguPHhQON4</t>
  </si>
  <si>
    <t>A man prepares his supplies near a picnic table and then sets one down.</t>
  </si>
  <si>
    <t>The man pours lighter fluid in a camp fire ring.</t>
  </si>
  <si>
    <t>The man retrieves matches which drops onto the fire and it erupts in flames.</t>
  </si>
  <si>
    <t>v_VFvHqc5Bg-0</t>
  </si>
  <si>
    <t>A group of people in snow gear are shown snow boarding on snow covered snow slopes with visual emphasis shown to a particular snow boarder in a green coat.</t>
  </si>
  <si>
    <t>A man in a green coat snow sleds over many surfaces up and down slopes as he passes other snow sledders while surrounded by bare brown foliage and snow covered roofs and hills.</t>
  </si>
  <si>
    <t>As the man snowboards, one person he passes falls down and break his sled and several of the other skiers perform trick as they snowboard including snow boarding off of elevated platforms and doing jumps as they snow board.</t>
  </si>
  <si>
    <t>v_w9LRKWLmw0A</t>
  </si>
  <si>
    <t>A little boy mops a wooden ramp, barefoot,outdoors with a mini mop and bucket of water.</t>
  </si>
  <si>
    <t>A young boy stands outside, without a shirt, barefoot and jeans and mops a wooden ramp with a yellow mini mop.</t>
  </si>
  <si>
    <t>The boy dunks the mop in water after awhile and continues to mop the ramp.</t>
  </si>
  <si>
    <t>v_f--wWfsr0zA</t>
  </si>
  <si>
    <t>A news woman is speaking inside a news room.</t>
  </si>
  <si>
    <t>A couple of professional dancers are shown dancing and performing ballet on a stage, with the female occasionally shown speaking to the camera.</t>
  </si>
  <si>
    <t>She is seen walking out after a performance to see a room filled with people and do a press conference.</t>
  </si>
  <si>
    <t>A poster of three women is shown at the end.</t>
  </si>
  <si>
    <t>v_1GQARL4coRo</t>
  </si>
  <si>
    <t>A man paddles a surfboard with a baby on the board in front of him.</t>
  </si>
  <si>
    <t>He momentarily lifts the baby up to a standing position.</t>
  </si>
  <si>
    <t>A woman moves towards the man and the baby.</t>
  </si>
  <si>
    <t>The man momentarily lifts the baby up to a standing position again.</t>
  </si>
  <si>
    <t>The man momentarily lifts the baby up to a standing position once more.</t>
  </si>
  <si>
    <t>v_PcSnU_nGi5E</t>
  </si>
  <si>
    <t>The man in brown shirt is standing next to a pile of tennis ball while he is talking to the camera.</t>
  </si>
  <si>
    <t>He played tennis ball with another person.</t>
  </si>
  <si>
    <t>The man in purple shirt serve the ball while the black man hit the ball back.</t>
  </si>
  <si>
    <t>v_x03YF3JbWjs</t>
  </si>
  <si>
    <t>A woman gives a hair tutorial.</t>
  </si>
  <si>
    <t>The woman ties her hair and prepares it so that it looks better.</t>
  </si>
  <si>
    <t>v_zLbSEo4xhVY</t>
  </si>
  <si>
    <t>A special effect intro of a man airborn on a waterboard with the words MMXIV HYPERLITE COLLECTION is on the screen.</t>
  </si>
  <si>
    <t>A few men appear near the lake and then a series of different clips and men on water boards play one after another as they all waterboard quickly on the water and some are doing flips while holding onto the rope.</t>
  </si>
  <si>
    <t>A woman in pink shorts appears and she is briefly shown water boarding as well.</t>
  </si>
  <si>
    <t>Now a man is sitting on a boat while a large remote controlled airplane is flying towards him, and a standing man quickly grabs it before it hits the face of the sitting man, and the sitting man turns to the camera to give a shocked and relief look on his face.</t>
  </si>
  <si>
    <t>The clips of various people waterboarding shows up again and they are all still holding onto the rope while standing on the boards and doing jumps, flips and other tricks.</t>
  </si>
  <si>
    <t>The outro clip begins and it's similar to the intro.</t>
  </si>
  <si>
    <t>v_gEqT50dX-iY</t>
  </si>
  <si>
    <t>A man explains a procedure holdings cloths and cleaning materials while showing the cloths.</t>
  </si>
  <si>
    <t>After, the man approaches to a window and starts to clean for an instant, and then continues explaining.</t>
  </si>
  <si>
    <t>v_uavot-yVwhg</t>
  </si>
  <si>
    <t>A lady sits at a table with a shoe, water, salt, brush and towel.</t>
  </si>
  <si>
    <t>The lady puts salt it the water and dips the brush then brushes the shoe.</t>
  </si>
  <si>
    <t>The lady wipes the shoe with the towel and talks to the camera.</t>
  </si>
  <si>
    <t>We see an ending title screen.</t>
  </si>
  <si>
    <t>v_17ytsjuUCRA</t>
  </si>
  <si>
    <t>A dog is getting a bath outside.</t>
  </si>
  <si>
    <t>Soap is worked through the coat and then washed off.</t>
  </si>
  <si>
    <t>v_6hsOVkC7hxA</t>
  </si>
  <si>
    <t>There's a shirtless man wearing denim jeans out in a forest.</t>
  </si>
  <si>
    <t>He is chopping wood from a cut tree bark with a hammer.</t>
  </si>
  <si>
    <t>He he hitting the chopped log of wood with all his force.</t>
  </si>
  <si>
    <t>v_U-kPlTqXc_M</t>
  </si>
  <si>
    <t>A small group of people are seen standing around a table filled with solo cups and one catching a cup.</t>
  </si>
  <si>
    <t>The man then drinks from a cup and proceeds to collapse onto the table.</t>
  </si>
  <si>
    <t>v_Cf7xy_HQ9H0</t>
  </si>
  <si>
    <t>A man is rollerblading outside in a parking lot.</t>
  </si>
  <si>
    <t>He does several tricks on his rollerblades.</t>
  </si>
  <si>
    <t>He does a cart wheel on the ground.</t>
  </si>
  <si>
    <t>v_v1FHFQ1UZHw</t>
  </si>
  <si>
    <t>A man writing on the wall.</t>
  </si>
  <si>
    <t>Switches to a product being featured.</t>
  </si>
  <si>
    <t>The man writes on the wall again.</t>
  </si>
  <si>
    <t>He begins to apply product.</t>
  </si>
  <si>
    <t>Switches to the product again.</t>
  </si>
  <si>
    <t>He writes on the wall.</t>
  </si>
  <si>
    <t>He begins to lay out tools.</t>
  </si>
  <si>
    <t>Next he measures and levels the wall.</t>
  </si>
  <si>
    <t>He takes out the product and begins placing a coat on the crack in the wall.</t>
  </si>
  <si>
    <t>He then takes a roller and rolls it along the wall.</t>
  </si>
  <si>
    <t>Next he hangs and apply s a white sheet to the wall.</t>
  </si>
  <si>
    <t>He repeats the process in the different sections of the wall that need it.</t>
  </si>
  <si>
    <t>Now He writes on the wall again.</t>
  </si>
  <si>
    <t>Next a dog jumps in front of a wall.</t>
  </si>
  <si>
    <t>He writes again on the wall.</t>
  </si>
  <si>
    <t>Lettering appears on the screen for the product.</t>
  </si>
  <si>
    <t>v_x39KxoQHEp4</t>
  </si>
  <si>
    <t>Several people float down a river in tubes.</t>
  </si>
  <si>
    <t>They pass through several rocks.</t>
  </si>
  <si>
    <t>The water gets rough as the past through some rocks.</t>
  </si>
  <si>
    <t>Several people stand up in the river.</t>
  </si>
  <si>
    <t>v_C8fyaj592GA</t>
  </si>
  <si>
    <t>Individuals stand behind black platforms awaiting instructions.</t>
  </si>
  <si>
    <t>Individuals are using dance moves to exercise using the platform.</t>
  </si>
  <si>
    <t>The people do jumping jacks to the right of the platform.</t>
  </si>
  <si>
    <t>The individuals do jumping jacks at the left of the platform.</t>
  </si>
  <si>
    <t>The lady who had been instructing the group continuously claps her hands and begins to leave.</t>
  </si>
  <si>
    <t>v_z6g5QbIPatk</t>
  </si>
  <si>
    <t>A girl holds up a white piece of paper and it has a drawing on it that is done in black ink.</t>
  </si>
  <si>
    <t>The girl then turns around and the video is sped up to show her drawing on a pumpkin near a kitchen while multiple people are moving about around her.</t>
  </si>
  <si>
    <t>The girl finishes the drawing and she begins to carve the design out of the pumpkin while the video is still in a sped up mode.</t>
  </si>
  <si>
    <t>The pumpkin is now done being carved and it appears on a black screen with just the carved out area illuminating in an orange color.</t>
  </si>
  <si>
    <t>The girl appears again holding up the white paper, runs out of the room and the screen goes back to black with just the pumpkin illuminating.</t>
  </si>
  <si>
    <t>v_F12ga-do744</t>
  </si>
  <si>
    <t>A large man is seen standing on a large mat walking forward and screaming to the audience.</t>
  </si>
  <si>
    <t>The man then lifts the bar up then back down and screams out loud.</t>
  </si>
  <si>
    <t>The same clips is shown again immediately afterwards.</t>
  </si>
  <si>
    <t>v_YPNLMBhuDS8</t>
  </si>
  <si>
    <t>A man is seen speaking to the camera while holding up a shoe and polish and pointing to objects.</t>
  </si>
  <si>
    <t>The man then rubs down the shoe with a rag while the camera zooms in on more products and speaking to the camera.</t>
  </si>
  <si>
    <t>v_-ew9R4QppTk</t>
  </si>
  <si>
    <t>man is sitting in a white room playing congas a bongos.</t>
  </si>
  <si>
    <t>fat man wearing glasses is sitting on a chair in a white room.</t>
  </si>
  <si>
    <t>man is sitting in a room playing salsa music with the bongos.</t>
  </si>
  <si>
    <t>v_ePAc9xK9fac</t>
  </si>
  <si>
    <t>woman is climbing a rock wall in a gym and a man is pulling the ropes.</t>
  </si>
  <si>
    <t>woman start descending from the rock wall.</t>
  </si>
  <si>
    <t>v_SV-8M3HNk1s</t>
  </si>
  <si>
    <t>A clip is shown of a person on a wake board riding on some waves and crashing into the water.</t>
  </si>
  <si>
    <t>Several more clips are shown of people riding on the wake boards on the ocean waves gliding along.</t>
  </si>
  <si>
    <t>v_m12BPEN6Y3s</t>
  </si>
  <si>
    <t>A girl wearing a scarf is seen talking to the camera and begins mixing various ingredients into a bowl.</t>
  </si>
  <si>
    <t>She places the batter into circles on separate pans and shows the cookies she made after they are done.</t>
  </si>
  <si>
    <t>v_4DmsWE6byuw</t>
  </si>
  <si>
    <t>A man is walking in circles in the center of a crowd.</t>
  </si>
  <si>
    <t>He begins to break dance.</t>
  </si>
  <si>
    <t>Several clips of men break dancing in different venues are shown, as they flip, spin, and perform for crowds.</t>
  </si>
  <si>
    <t>v_vbLxVuLLPek</t>
  </si>
  <si>
    <t>There two men dressed Scottish kilts and attire standing in the courtyard.</t>
  </si>
  <si>
    <t>One of the men is playing the bagpipes and the other is playing the drums.</t>
  </si>
  <si>
    <t>A woman tourist walks past them as they continue to play.</t>
  </si>
  <si>
    <t>v_d_6BVfxlAsI</t>
  </si>
  <si>
    <t>An empty poker table is shown followed by a woman dealing cards and speaking to the camera.</t>
  </si>
  <si>
    <t>She instructs on how to play the game while still speaking to the camera and smiling.</t>
  </si>
  <si>
    <t>v_MINjkEBIIkA</t>
  </si>
  <si>
    <t>A man is standing in a room.</t>
  </si>
  <si>
    <t>They are throwing darts at a dartboard.</t>
  </si>
  <si>
    <t>A woman then comes and throws darts at a dartboard.</t>
  </si>
  <si>
    <t>v_AgocNx3-De0</t>
  </si>
  <si>
    <t>People raft in a muddy river, then they camping on the shore to rest and play.</t>
  </si>
  <si>
    <t>Then, the man continue rafting in the river, and a man falls in the water and his friends rescue him, then they continue rafting.</t>
  </si>
  <si>
    <t>A woman and a man stands next a helicopter, then the helicopter fly.</t>
  </si>
  <si>
    <t>v_yNHc-xADBm8</t>
  </si>
  <si>
    <t>A camp fire burns brightly in the night.</t>
  </si>
  <si>
    <t>The fire slowly grows in size.</t>
  </si>
  <si>
    <t>The scene becomes brighter and better lit.</t>
  </si>
  <si>
    <t>There are trees in the background.</t>
  </si>
  <si>
    <t>v_saShR7NwjMg</t>
  </si>
  <si>
    <t>A close up of a person leads into the person watching their hands and scrubbing it with soap.</t>
  </si>
  <si>
    <t>A man is shown scrubbing up his hands in a sink while demonstrating the proper way to wash hands and dip them under the water.</t>
  </si>
  <si>
    <t>The man dries it off with a rag in the end.</t>
  </si>
  <si>
    <t>v_sz1772O9AUM</t>
  </si>
  <si>
    <t>A car drives into a car wash bay.</t>
  </si>
  <si>
    <t>The driver gets out and inserts money into a machine.</t>
  </si>
  <si>
    <t>The person then washes their car with a pressure washer.</t>
  </si>
  <si>
    <t>We see another machine, and a vending machine.</t>
  </si>
  <si>
    <t>v_pK3OSevBqDw</t>
  </si>
  <si>
    <t>A man is seen standing next to a fence while the camera pans around the lake nearby.</t>
  </si>
  <si>
    <t>The man bends down and begins painting the fence while the camera focuses on a person walking down.</t>
  </si>
  <si>
    <t>Another man walks up with a bucket and helps the man paint while the cameraman continues to look around.</t>
  </si>
  <si>
    <t>v_wj_xmkHjItg</t>
  </si>
  <si>
    <t>A car is traveling through snow covered roads and trees before arriving at a cabin.</t>
  </si>
  <si>
    <t>The people put on skis and are shown going down the hills, skiing.</t>
  </si>
  <si>
    <t>They continue skiing, waving at the camera and showing a final panoramic view as the video ends.</t>
  </si>
  <si>
    <t>v_nVN1rP8H688</t>
  </si>
  <si>
    <t>Various title cards flash in front of the screen.</t>
  </si>
  <si>
    <t>We see a dog, and a man with a selfie stick carrying a snowboard.</t>
  </si>
  <si>
    <t>The man is snowboarding and holding the selfie stick.</t>
  </si>
  <si>
    <t>The man is playing with the dog, and we see the dog close up.</t>
  </si>
  <si>
    <t>The man is snowboarding downhill.</t>
  </si>
  <si>
    <t>He stops to pet his dog again before snowboarding again.</t>
  </si>
  <si>
    <t>the man and the dog are walking in an area with little snow.</t>
  </si>
  <si>
    <t>The man mounts the board and snowboards before putting it in his truck.</t>
  </si>
  <si>
    <t>We see the Gopro screen.</t>
  </si>
  <si>
    <t>v_kuPWb9E4aUQ</t>
  </si>
  <si>
    <t>A diver is swimming under the blue water.</t>
  </si>
  <si>
    <t>Two divers wearing their oxygen are under the water, they are holding onto the strong rope.</t>
  </si>
  <si>
    <t>The divers dive deeper to into the water, they swim towards a coral bed under the water.</t>
  </si>
  <si>
    <t>The people are riding the white boat towards the ocean.</t>
  </si>
  <si>
    <t>v_KSbIw1m2KoU</t>
  </si>
  <si>
    <t>A female gymnast prepares to mount the bar.</t>
  </si>
  <si>
    <t>She mounts, then does several hand springs, forward flips, and back flips.</t>
  </si>
  <si>
    <t>Then she dismounts, throwing her arms up in the air.</t>
  </si>
  <si>
    <t>v_5u-PL0wr3TU</t>
  </si>
  <si>
    <t>A toddler goes down on a slide in a playground full of people, when the toddler touches the floor, she stand and run.</t>
  </si>
  <si>
    <t>Suddenly, a man run behind the toddler.</t>
  </si>
  <si>
    <t>v_yrGietojx78</t>
  </si>
  <si>
    <t>A man in a white shirt is holding a tool in his hand.</t>
  </si>
  <si>
    <t>He starts chopping weeds down in a field.</t>
  </si>
  <si>
    <t>He stops and puts the tool against a fence.</t>
  </si>
  <si>
    <t>v_KEU4Sj6x1p4</t>
  </si>
  <si>
    <t>The race begins, one of the racer has a huge head start before the other even starts moving.</t>
  </si>
  <si>
    <t>They begin to run again but this time the man who had the head start takes his time and the man in the blue runs fast and jumps in the sand.</t>
  </si>
  <si>
    <t>He runs and jumps again, this time they show it again in slow motion.</t>
  </si>
  <si>
    <t>He just keeps practicing his run and jump over and over trying to get it perfect.</t>
  </si>
  <si>
    <t>v_iYdbam6e8cI</t>
  </si>
  <si>
    <t>People are roller blading down sets of stairs.</t>
  </si>
  <si>
    <t>A person falls into the street.</t>
  </si>
  <si>
    <t>A school bus is on the street behind them.</t>
  </si>
  <si>
    <t>v_XazKuBawFCM</t>
  </si>
  <si>
    <t>A woman is standing on a field in a circle.</t>
  </si>
  <si>
    <t>She spins while holding a disc.</t>
  </si>
  <si>
    <t>she accidentally lets go, and the disc flies out behind her.</t>
  </si>
  <si>
    <t>v__K88UOvtQPk</t>
  </si>
  <si>
    <t>A young girl is seen playing a saxophone while looking over to the camera and moving her hands up and down.</t>
  </si>
  <si>
    <t>The woman continues to play the instrument and ends by turning off the camera.</t>
  </si>
  <si>
    <t>v_G6FhQuR3_88</t>
  </si>
  <si>
    <t>We see men playing instruments in a plaza.</t>
  </si>
  <si>
    <t>The front man turns around to the men behind him.</t>
  </si>
  <si>
    <t>The man in front grabs the microphone.</t>
  </si>
  <si>
    <t>The band finishes playing their instruments.</t>
  </si>
  <si>
    <t>v_8liz3Fu7DGU</t>
  </si>
  <si>
    <t>On a a big field there is a lacrosse team playing a game , they are all moving around strategically.</t>
  </si>
  <si>
    <t>They throw the ball trying to make the goal while the other team tries to block them.</t>
  </si>
  <si>
    <t>They are running around you can see arrows to pointing to whats going on here and there.</t>
  </si>
  <si>
    <t>it is a very physical and hands on sport that requires stamina and energy.</t>
  </si>
  <si>
    <t>v_kB0h-fHb_WU</t>
  </si>
  <si>
    <t>A guy with with leg extensions enter.</t>
  </si>
  <si>
    <t>The guy hops and flips on a trampoline.</t>
  </si>
  <si>
    <t>A man and woman remove an attachment from a cable and attach another.</t>
  </si>
  <si>
    <t>The cables are lifted up.</t>
  </si>
  <si>
    <t>The man and woman remove what they removed from the trampoline and leave.</t>
  </si>
  <si>
    <t>The guy with leg extensions leaves.</t>
  </si>
  <si>
    <t>Two people enter with a chair and bucket.</t>
  </si>
  <si>
    <t>v_Ne8UzAInivM</t>
  </si>
  <si>
    <t>A scuba diver is swimming through the water on a video game.</t>
  </si>
  <si>
    <t>They are looking through rubble of an old ship.</t>
  </si>
  <si>
    <t>They get in their boat and drive.</t>
  </si>
  <si>
    <t>They jump under the water again.</t>
  </si>
  <si>
    <t>v_dZa5ir3baH4</t>
  </si>
  <si>
    <t>A man prepares to run along an indoor track.</t>
  </si>
  <si>
    <t>He runs, taking very large strides.</t>
  </si>
  <si>
    <t>He jumps awkwardly into the sand, landing on his face.</t>
  </si>
  <si>
    <t>v_d3Rx-nw5Zlw</t>
  </si>
  <si>
    <t>There's a young man wearing a blue jacket and a white shirt standing near a wall with white bathroom tiles.</t>
  </si>
  <si>
    <t>He is smoking a cigarette.</t>
  </si>
  <si>
    <t>He continues taking a several puffs of the cigarette as he empties the ashes of the burned cigarette on the side.</t>
  </si>
  <si>
    <t>He looks a bit confused as he continues smoking the cigarette.</t>
  </si>
  <si>
    <t>v_pajUG7Y6Gtk</t>
  </si>
  <si>
    <t>Three people are seen standing on a sandy field and lead into one scoring a goal.</t>
  </si>
  <si>
    <t>The men celebrate while his clip is shown again several times.</t>
  </si>
  <si>
    <t>The men continue to celebrate and begin playing the game again.</t>
  </si>
  <si>
    <t>v_avGe67wRvxA</t>
  </si>
  <si>
    <t>A lady wipes lipstick off her face.</t>
  </si>
  <si>
    <t>The lady then lines her lips with a pencil.</t>
  </si>
  <si>
    <t>The lady stops and adjusts the camera.</t>
  </si>
  <si>
    <t>the camera move and we see a man next to the lady.</t>
  </si>
  <si>
    <t>the lady fixes her hair in the camera.</t>
  </si>
  <si>
    <t>v_OZftVCeblMk</t>
  </si>
  <si>
    <t>A man is seen standing before a kitchen sink and washing dishes in his hands.</t>
  </si>
  <si>
    <t>The man then cleans the dishes and puts them away, then looking over upset to see more dishes.</t>
  </si>
  <si>
    <t>v___wPHayoMgw</t>
  </si>
  <si>
    <t>A young woman is dressed in a zebra onesie sitting on her bed smoking a hookah.</t>
  </si>
  <si>
    <t>She takes two puffs,exhales the smoke and a spark flies from the end of the tube.</t>
  </si>
  <si>
    <t>The man behind the camera switches and then begins to smoke the hookah as the girl begins to record.</t>
  </si>
  <si>
    <t>Once he is finished,the hookah is given back to the girl and she starts to smoke.</t>
  </si>
  <si>
    <t>v_t9UsqWspqZM</t>
  </si>
  <si>
    <t>A person dressed up as Darth Vader plays a violin on the sidewalk.</t>
  </si>
  <si>
    <t>People walk in front of him.</t>
  </si>
  <si>
    <t>v_LZleSe6Kovg</t>
  </si>
  <si>
    <t>A man is wearing a white robe with a black belt.</t>
  </si>
  <si>
    <t>He starts doing karate moves in a room.</t>
  </si>
  <si>
    <t>He stands up right at the end.</t>
  </si>
  <si>
    <t>v_bt4cH91_KPI</t>
  </si>
  <si>
    <t>An excited man is seen talking to the camera and transitions into several shots of men winning games, beer, and being interviewed by the host.</t>
  </si>
  <si>
    <t>The men are then seen playing a game of beer pong with several others around and showing off a shaved head.</t>
  </si>
  <si>
    <t>A man is seen talking on a phone and more shots of the men playing beer pong are shown.</t>
  </si>
  <si>
    <t>v_hJKX5ZulTgI</t>
  </si>
  <si>
    <t>A woman spins around, showing off her hair style.</t>
  </si>
  <si>
    <t>We see a black hair drying spinning on the screen.</t>
  </si>
  <si>
    <t>The woman is getting her hair styled in the background by another woman, while text covers the screen with instructions.</t>
  </si>
  <si>
    <t>The woman brushes and finalizes the style, and the client has a huge happy smile.</t>
  </si>
  <si>
    <t>v_8ZqRn0ovdAI</t>
  </si>
  <si>
    <t>A man is seen sitting on a park bench playing guitar with a small boy beside him.</t>
  </si>
  <si>
    <t>The boy then begins playing a set of drums next to the man playing guitar.</t>
  </si>
  <si>
    <t>The two continue playing with one another and stop to wave to the camera and speak to one another.</t>
  </si>
  <si>
    <t>v_ns8v94HCtlM</t>
  </si>
  <si>
    <t>A person is turning on a machine and watching a hose grow bigger while he spins the dial.</t>
  </si>
  <si>
    <t>He continues pressing buttons and begins grooming a dog.</t>
  </si>
  <si>
    <t>The person goes up and down on the dog and eventually makes him look good as new with different settings.</t>
  </si>
  <si>
    <t>v_tHFF0OaIHoE</t>
  </si>
  <si>
    <t>A young girl is sitting in an empty bath tub shaving a man's leg that is thrown over the tub.</t>
  </si>
  <si>
    <t>As she continues,the dog comes and she shows the hair on the razor to the camera.</t>
  </si>
  <si>
    <t>v_vvoqG7UQsdc</t>
  </si>
  <si>
    <t>There are two students, a boy and a girl in a pole vault runway.</t>
  </si>
  <si>
    <t>One of the students, a boy sprints with the pole on the runway while a person in blue the other student watch him perform.</t>
  </si>
  <si>
    <t>Then he jumps up high and lands a few feet away on the landing area.</t>
  </si>
  <si>
    <t>His actions are replayed in slow motion to capture his jump and landing.</t>
  </si>
  <si>
    <t>v_2bkQz8BcKZ4</t>
  </si>
  <si>
    <t>A small group of girls are seen walking onto a stage followed by more people following behind.</t>
  </si>
  <si>
    <t>More people continue walking out onto the stage with some holding signs and others watching on the side.</t>
  </si>
  <si>
    <t>v_tilmCzSf1oc</t>
  </si>
  <si>
    <t>A boy in karate class bows before a performance.</t>
  </si>
  <si>
    <t>The boy performs a karate routine with hand scythes.</t>
  </si>
  <si>
    <t>The boy ends his routine and bows.</t>
  </si>
  <si>
    <t>v_bUHE8XcPZgs</t>
  </si>
  <si>
    <t>We see a man walk to the parallel bars and jump on.</t>
  </si>
  <si>
    <t>We see the man perform a routine on the bars.</t>
  </si>
  <si>
    <t>The man does a handstand.</t>
  </si>
  <si>
    <t>The man flips and dismounts from the bars.</t>
  </si>
  <si>
    <t>The man raise his arms in the air.</t>
  </si>
  <si>
    <t>The man walks away and hugs another man.</t>
  </si>
  <si>
    <t>v_-AaOr1DI2no</t>
  </si>
  <si>
    <t>A lady stands in a living room and discusses.</t>
  </si>
  <si>
    <t>The lady easily pulls the wallpaper of the wall.</t>
  </si>
  <si>
    <t>A woman paints the wall with a liquid.</t>
  </si>
  <si>
    <t>The woman puts wallpaper on the area.</t>
  </si>
  <si>
    <t>The woman cuts the wallpaper with a box cutter.</t>
  </si>
  <si>
    <t>The woman paints the wallpaper with paint.</t>
  </si>
  <si>
    <t>v_1Uur858vdY8</t>
  </si>
  <si>
    <t>An athletic man is seen standing ready and begins running down a track and jumping into a pit.</t>
  </si>
  <si>
    <t>The man celebrates as his score is shown and his jump is shown again in slow motion.</t>
  </si>
  <si>
    <t>v_7Xl0K-revJc</t>
  </si>
  <si>
    <t>A man teaches the proper way to get a mouthpiece on a saxophone.</t>
  </si>
  <si>
    <t>He then describes how to properly play the horn.</t>
  </si>
  <si>
    <t>v_gHk4mjlJ5cg</t>
  </si>
  <si>
    <t>A shirtless man talks in a gym.</t>
  </si>
  <si>
    <t>A lady runs past both ways then jumps rope behind the man.</t>
  </si>
  <si>
    <t>We see title screens with instructions.</t>
  </si>
  <si>
    <t>We see a lady jumping rope eleven different ways.</t>
  </si>
  <si>
    <t>v_ajA_cE6b9AY</t>
  </si>
  <si>
    <t>a river is shown and a car is a dust path.</t>
  </si>
  <si>
    <t>men are rafting on a lake on the rapids.</t>
  </si>
  <si>
    <t>v_GPR8rtfZr4A</t>
  </si>
  <si>
    <t>A graphic logo is seen that is black and white in color with the letter "N".</t>
  </si>
  <si>
    <t>A tv host stands in front of a camouflaged background.</t>
  </si>
  <si>
    <t>Two girls are seen walking in a photograph in baseball uniforms.</t>
  </si>
  <si>
    <t>A large group of fans crowds on a baseball field and surrounds a famous singer doing a performance.</t>
  </si>
  <si>
    <t>A red handball is rolled to a kicker during a kickball match who kicks it into the outfield for a run.</t>
  </si>
  <si>
    <t>Another man in tshirt and black sweats kicks a ball and runs around the bases trying to avoid being tagged with the ball.</t>
  </si>
  <si>
    <t>The same man rides on a skateboard in the city.</t>
  </si>
  <si>
    <t>The man is seen again in an up close video in a room.</t>
  </si>
  <si>
    <t>v_E-6XZrDYRuM</t>
  </si>
  <si>
    <t>The title shows as a man ride a horse through an arena.</t>
  </si>
  <si>
    <t>There is then a showcase of horses jumping over obstacles.</t>
  </si>
  <si>
    <t>One of the pictures rotates around in a circle and the next video squeezes in on itself.</t>
  </si>
  <si>
    <t>It continues to show horse jumping over obstacles with video effects.</t>
  </si>
  <si>
    <t>A man walks side my side with with partner.</t>
  </si>
  <si>
    <t>The credits role with some praise.</t>
  </si>
  <si>
    <t>v_Jth2Zlpr1gQ</t>
  </si>
  <si>
    <t>The woman in red top is standing.</t>
  </si>
  <si>
    <t>The woman stretches her arms one side first then the next one.</t>
  </si>
  <si>
    <t>The woman put her arms in front of her, then stretch out and turned around.</t>
  </si>
  <si>
    <t>v_GKK32IWDlSE</t>
  </si>
  <si>
    <t>A man is outside on a track.</t>
  </si>
  <si>
    <t>He runs with a javelin in his hand.</t>
  </si>
  <si>
    <t>He throws it as far as he can, raising his arms in victory.</t>
  </si>
  <si>
    <t>v_fgFU8vdsA8k</t>
  </si>
  <si>
    <t>A girl and a man are inside a high structure wearing bungee jumping equipment.</t>
  </si>
  <si>
    <t>The girl get out and stand on the border of the structure, then while the man puts a rope behind the girl.</t>
  </si>
  <si>
    <t>After, the girl jumps from the structure for a moment and then she gets up on the structure.</t>
  </si>
  <si>
    <t>v_YDNEa5ZOf6c</t>
  </si>
  <si>
    <t>A man wearing a hood is opening a paper, then he went down the stair and walked to a pathway.</t>
  </si>
  <si>
    <t>The woman is talking to the camera and showing the ground covered with snow.</t>
  </si>
  <si>
    <t>The man is standing next to the van and began scooping off the snow on the roof of the car, while the other person is using a broom to get the snow off the car.</t>
  </si>
  <si>
    <t>v_Hub83eTB8mM</t>
  </si>
  <si>
    <t>A construction worker is standing and talking to the camera while holding a sprayer.</t>
  </si>
  <si>
    <t>He is very animated while he goes back to sanding and spraying.</t>
  </si>
  <si>
    <t>v_9ZQY-ZfimYo</t>
  </si>
  <si>
    <t>A man is shown speaking to the camera excitedly and shows several shots of the man climbing a rock wall and various locations.</t>
  </si>
  <si>
    <t>Then man then continues speaking to the camera and demonstrates how to properly climb the wall while still speaking.</t>
  </si>
  <si>
    <t>v_GwLhmYF7Wdw</t>
  </si>
  <si>
    <t>man is standing in front of a white cloth in a studio doing exercise in an elliptical machine showing the characteristics of the bike.</t>
  </si>
  <si>
    <t>woman is doing the same that the man, watching the elliptical and doing exercise.</t>
  </si>
  <si>
    <t>v_uA3dbKjT9rM</t>
  </si>
  <si>
    <t>A girl sitting int eh driver seat of a car is talking on her phone on speaker.</t>
  </si>
  <si>
    <t>She hangs up and starts talking out loud and then her and her friend are walking through a parking garage.</t>
  </si>
  <si>
    <t>The girls are walking and talking through the mall, then they go to Claires to get ears pierced.</t>
  </si>
  <si>
    <t>They continue walking around the mall for a while.</t>
  </si>
  <si>
    <t>v_Gn7Ha7l1uOk</t>
  </si>
  <si>
    <t>A man stands in a stair rail holding a knife.</t>
  </si>
  <si>
    <t>A guy prepare to play the drums.</t>
  </si>
  <si>
    <t>The guy plays a drum set.</t>
  </si>
  <si>
    <t>v_zryPDx9WL08</t>
  </si>
  <si>
    <t>Several shots are shown of a man warming up as well as performing martial arts tricks.</t>
  </si>
  <si>
    <t>A man speaks to the camera while several clips are shown of people flipping and doing tricks in various locations.</t>
  </si>
  <si>
    <t>The people jump and flip around one another and continue performing parkour.</t>
  </si>
  <si>
    <t>v_OjQHQptSXk0</t>
  </si>
  <si>
    <t>A large parade of people marching down a street is shown with several hundred people watching on the side.</t>
  </si>
  <si>
    <t>The people continue playing the instruments as the camera pans around the large group of people and following the parade.</t>
  </si>
  <si>
    <t>v_qm1dudWLlUg</t>
  </si>
  <si>
    <t>A man is drinking a beer during a game while others look on and smile.</t>
  </si>
  <si>
    <t>Several people are watching the match and the man drinking a beer looks at the camera and smiles.</t>
  </si>
  <si>
    <t>v_ZjHIN-M-dQY</t>
  </si>
  <si>
    <t>A group of people re riding stationary bikes in a big gym.</t>
  </si>
  <si>
    <t>One man moves a stationary bike.</t>
  </si>
  <si>
    <t>A woman adjusts the top hat she is wearing.</t>
  </si>
  <si>
    <t>v_ZEChBNpLCyU</t>
  </si>
  <si>
    <t>A man is seen speaking to the camera and begins laying out tarp next to a tree.</t>
  </si>
  <si>
    <t>The man cuts the tarp and begins putting mulch all around the tree.</t>
  </si>
  <si>
    <t>v_xAI1y9izXOM</t>
  </si>
  <si>
    <t>Two men sit across a table and begin an arm wrestling match.</t>
  </si>
  <si>
    <t>They both struggle a bit until the man on the left eventually wins.</t>
  </si>
  <si>
    <t>v_me4rMjlnTlI</t>
  </si>
  <si>
    <t>A small group of children are seen holding onto a rope with a man standing in front of them speaking to them.</t>
  </si>
  <si>
    <t>The kids continue pulling with adult's help and then cheer in the end.</t>
  </si>
  <si>
    <t>v_ZhPL4xb8JD0</t>
  </si>
  <si>
    <t>A horseman sits on a horse and a person stands on front a cattle squeeze chute.</t>
  </si>
  <si>
    <t>Suddenly, the horseman and a calf run to the the arena, while the horseman runs behind the calf spinning in the air a rope.</t>
  </si>
  <si>
    <t>After, the horseman throws the hoop and catch the calf, then quickly he lie the calf on the floor and tie the legs.</t>
  </si>
  <si>
    <t>v_5Ia1MCFut_8</t>
  </si>
  <si>
    <t>A young child is seen climbing into a slide and edging her way closer to the edge.</t>
  </si>
  <si>
    <t>The girl then rides down the slide smiling and walks away.</t>
  </si>
  <si>
    <t>v_X0IXZMr95TM</t>
  </si>
  <si>
    <t>A clear bottle pours a drink into a cocktail glass.</t>
  </si>
  <si>
    <t>A bartender picks up a stainless steel cup and scoops ice into it.</t>
  </si>
  <si>
    <t>The bartender pours liquors into a shot glass and dumps them into a cup.</t>
  </si>
  <si>
    <t>The bartender caps the cup and shakes vigorously.</t>
  </si>
  <si>
    <t>The contents of the mixing cup are poured into a martini glass.</t>
  </si>
  <si>
    <t>v_V4tqzi5uw9Y</t>
  </si>
  <si>
    <t>A man touches his faces and waves.</t>
  </si>
  <si>
    <t>The man walks a mower across very tall growing grass.</t>
  </si>
  <si>
    <t>v_eLVaojWbwHE</t>
  </si>
  <si>
    <t>A middle aged woman is standing in a room behind a table full of pain and various size brushes and an image of trees on a easel.</t>
  </si>
  <si>
    <t>In her left hand,she has a wheel of paint and begins to make stokes on the image to complete her picture.</t>
  </si>
  <si>
    <t>She goes back and forth from the paint to the board and shows how to make a tree and then cleans her brushes.</t>
  </si>
  <si>
    <t>v_BCsfauy69xM</t>
  </si>
  <si>
    <t>A person is carving a pumpkin.</t>
  </si>
  <si>
    <t>We see two people side by side carving pumpkins.</t>
  </si>
  <si>
    <t>We see from inside the pumpkin as they are being carved.</t>
  </si>
  <si>
    <t>We see five pumpkins on a couch and in the dark lit from the inside.</t>
  </si>
  <si>
    <t>v_Y82dz6aTwJ0</t>
  </si>
  <si>
    <t>A woman is sitting on the couch and is putting her feet in a python printed heels.</t>
  </si>
  <si>
    <t>Once they are on she stands up and walks around as the camera zooms in on her red painted toe nails.</t>
  </si>
  <si>
    <t>v_O2JUUFFdWpk</t>
  </si>
  <si>
    <t>A man in a blue costume throws something into the audience.</t>
  </si>
  <si>
    <t>He picks up a green can and takes a drink.</t>
  </si>
  <si>
    <t>He then plays rock paper scissors with another man across from him.</t>
  </si>
  <si>
    <t>v_B3fiiuk0EqE</t>
  </si>
  <si>
    <t>A man shovels snow from a driveway.</t>
  </si>
  <si>
    <t>The camera pans to show another man using an electric shoveling machine to clear show from his driveway.</t>
  </si>
  <si>
    <t>The man finishes clearing snow and turns to the camera.</t>
  </si>
  <si>
    <t>v_gYARGADLcmQ</t>
  </si>
  <si>
    <t>We see an aerial view of a beach with people all over.</t>
  </si>
  <si>
    <t>We see people building sand castles.</t>
  </si>
  <si>
    <t>We interview a judge, who then walks among the people.</t>
  </si>
  <si>
    <t>We see two men interviewed.</t>
  </si>
  <si>
    <t>We see an awning over the beach and canopies beyond that.</t>
  </si>
  <si>
    <t>v_VQPfRCsSmQk</t>
  </si>
  <si>
    <t>There's a woman in a red sweater and white shirt and blue pants sitting in her living room on a brown leather sofa.</t>
  </si>
  <si>
    <t>She is holding a spray can of furniture polish in her hand.</t>
  </si>
  <si>
    <t>She also has a paper towel in her other hand which she uses to wipe the table.</t>
  </si>
  <si>
    <t>She sprays the wooden table surface with the spray and then wipes it with the white paper towel.</t>
  </si>
  <si>
    <t>She explains how to use the spray and wipe the furniture.</t>
  </si>
  <si>
    <t>v_jYA_3BMF2d4</t>
  </si>
  <si>
    <t>We see a man standing in a room.</t>
  </si>
  <si>
    <t>The man starts performing tai chi.</t>
  </si>
  <si>
    <t>The man turns and faces left.</t>
  </si>
  <si>
    <t>The man turns to face right.</t>
  </si>
  <si>
    <t>The man makes his way to the right side of the room slowly.</t>
  </si>
  <si>
    <t>The screen then fades to black.</t>
  </si>
  <si>
    <t>v_QEaQzeB94N4</t>
  </si>
  <si>
    <t>A young man plays the violin on a sidewalk for people passing by in downtown area.</t>
  </si>
  <si>
    <t>Two students walk by behind the musician while he plays.</t>
  </si>
  <si>
    <t>The woman on the bench has turned to watch facing the man play the song.</t>
  </si>
  <si>
    <t>A man drops change in the musician's cup after he plays.</t>
  </si>
  <si>
    <t>v_dN14VPSHimI</t>
  </si>
  <si>
    <t>a man is riding a horse in a rodeo and catch a bull while in stands people are watching them andother man in a hse are on side of the court.</t>
  </si>
  <si>
    <t>men are riding a horse in a barn and throw a rope to catch a bull.</t>
  </si>
  <si>
    <t>v_TI3WqIauOYs</t>
  </si>
  <si>
    <t>A man takes off his shirt.</t>
  </si>
  <si>
    <t>He starts doing karate moves on a blue mat.</t>
  </si>
  <si>
    <t>He does several flips in the air.</t>
  </si>
  <si>
    <t>v_aAlbRFeu32E</t>
  </si>
  <si>
    <t>First the young woman is sleeping in her bed, but then she wakes up to say something.</t>
  </si>
  <si>
    <t>Next she is shown sitting at the restaurant eating fries and then she is shown in her room again, staring at the clothes on her bed and putting on her shoes.</t>
  </si>
  <si>
    <t>She is also shown doing fun things in the video and other girls are too.</t>
  </si>
  <si>
    <t>v_ICM-GjDa9QY</t>
  </si>
  <si>
    <t>A young man puts detergent in a blue bucket, then shows and explains how to clean a screen windows using a squeegee.</t>
  </si>
  <si>
    <t>After, the young man cleans the wet screen with a cloth.</t>
  </si>
  <si>
    <t>The young man compares a dirt screen with the clean one and gives a thump up.</t>
  </si>
  <si>
    <t>v_-HHybw--2XA</t>
  </si>
  <si>
    <t>A camera pans around a fenced in area and leads into a man and his dog performing tricks with a frisbee.</t>
  </si>
  <si>
    <t>The an continues to perform tricks with the dog using the toys and other dogs watching on the side.</t>
  </si>
  <si>
    <t>v_rgrzN8ELIxI</t>
  </si>
  <si>
    <t>A collage of drawings and logos are seen in black and white that make up a larger logo.</t>
  </si>
  <si>
    <t>A beach is seen from the distance and houses are seen on a hillside in a small beach town.</t>
  </si>
  <si>
    <t>A surfer walks down towards the beach.</t>
  </si>
  <si>
    <t>v_w3DvA9405_o</t>
  </si>
  <si>
    <t>A woman is seen looking off in the distance who holds onto a harmonica.</t>
  </si>
  <si>
    <t>She begins playing the harmonica while looking away from the camera.</t>
  </si>
  <si>
    <t>The continues playing the harmonica and stops to look down at the camera.</t>
  </si>
  <si>
    <t>v_5ytocb1ypRU</t>
  </si>
  <si>
    <t>A person using a chain saw is cutting down limbs off of a tree.</t>
  </si>
  <si>
    <t>The man uses an extension to cut a limb off the top of the tree.</t>
  </si>
  <si>
    <t>v_j5V7kD_HeMw</t>
  </si>
  <si>
    <t>A man descends from a steam slope on his snowboard.</t>
  </si>
  <si>
    <t>Another catches air as he flies over a snowy hill.</t>
  </si>
  <si>
    <t>Another snowboarder sharply slides down a steep hill to the base.</t>
  </si>
  <si>
    <t>A man in grey is shown performing some tricks in the air.</t>
  </si>
  <si>
    <t>First person perspective of a snowboarder going down a hill is shown.</t>
  </si>
  <si>
    <t>Another snowboarder flies down the hill, expertly cutting left and right.</t>
  </si>
  <si>
    <t>Various footage of snowboarders descending large slopes is shown.</t>
  </si>
  <si>
    <t>First person perspective of snowboarder with fellow rider in front of him closes the video.</t>
  </si>
  <si>
    <t>v_feUoPtDWe1Y</t>
  </si>
  <si>
    <t>The woman in white sweater is talking to the camera.</t>
  </si>
  <si>
    <t>The woman is holding a violin and stick.</t>
  </si>
  <si>
    <t>The woman put the violin between her neck and shoulder and began playing for few seconds then talked to the camera.</t>
  </si>
  <si>
    <t>v_pzZ4TGcMK1k</t>
  </si>
  <si>
    <t>People stand on the border of the diving boards and they dive while in the water.</t>
  </si>
  <si>
    <t>Swimmer stand on the diving boards, then they jump spinning in the air and diving in the water.</t>
  </si>
  <si>
    <t>Swimmers jump from the diving board, they spins three times in the air before to dive inn the water.</t>
  </si>
  <si>
    <t>v_NLpWaffN3XM</t>
  </si>
  <si>
    <t>A girl demonstrates playing an acoustic guitar using her hands to create percussion noise on the body of the guitar.</t>
  </si>
  <si>
    <t>A girl enters a room where an acoustic guitar is leaning against a sofa and sits down on the sofa and begins to play the guitar.</t>
  </si>
  <si>
    <t>The girl uses her right hand to make beats with the guitar and picks chords with the left hand while staring intently at the guitar.</t>
  </si>
  <si>
    <t>The girl continues to play intensely, occasionally nodding her head to the rhythm.</t>
  </si>
  <si>
    <t>v_xddZ9YjTGgo</t>
  </si>
  <si>
    <t>A young man in green shirt is standing at the goal, while the young player in blue kicked the ball to the goal, and the ball went inside the goal, the man in green shirt missed the ball.</t>
  </si>
  <si>
    <t>The man in red shirt run towards the ball, kicked the ball, and the goalkeeper wasn't able to block it, the player high five his teammates.</t>
  </si>
  <si>
    <t>The players are kicking the ball to the goal and the goalkeepers weren't able to block the ball.</t>
  </si>
  <si>
    <t>v_8btD4-N4stM</t>
  </si>
  <si>
    <t>We see scene of a bullfighting with matadors in the ring and see them stabbing the bulls.</t>
  </si>
  <si>
    <t>We see images of bloody bulls and carcasses being dragged on the ground.</t>
  </si>
  <si>
    <t>We see images of a bull in a slaughterhouse.</t>
  </si>
  <si>
    <t>Words go across the screen about torturing the bulls.</t>
  </si>
  <si>
    <t>We then see a PETA ending screen.</t>
  </si>
  <si>
    <t>v_3_hJrb_aDWU</t>
  </si>
  <si>
    <t>A kayak rider drifts in the bay of an ocean.</t>
  </si>
  <si>
    <t>Two kayak riders talk while sitting in their kayaks.</t>
  </si>
  <si>
    <t>The view of the surrounding mountains is seen.</t>
  </si>
  <si>
    <t>v_TZ5Vd9eL5WA</t>
  </si>
  <si>
    <t>Two people are standing in a kitchen.</t>
  </si>
  <si>
    <t>A man moves a glass bowl off the counter.</t>
  </si>
  <si>
    <t>A woman begins chopping a tomato on a board.</t>
  </si>
  <si>
    <t>v_unLrTQt07kI</t>
  </si>
  <si>
    <t>We a man washing dishes in a restaurant kitchen with two other men standing behind him on massaging his shoulder.</t>
  </si>
  <si>
    <t>Teh dishwasher shakes the man off his shoulders.</t>
  </si>
  <si>
    <t>The man in rear in blue walks out of the room.</t>
  </si>
  <si>
    <t>The other man pretends to wash dishes then washes his hands.</t>
  </si>
  <si>
    <t>v_2VYZeOa6804</t>
  </si>
  <si>
    <t>A reporter broadcast from a TV studio set.</t>
  </si>
  <si>
    <t>Then he reporter shows interviews a male an a female player next a swimming pool while a group of players jump into the water.</t>
  </si>
  <si>
    <t>Two teams play water polo in the swimming pool while the reporter continues to interview people.</t>
  </si>
  <si>
    <t>A woman and a man writes the scores on a the game, then people applauds.</t>
  </si>
  <si>
    <t>The winner team gets out the water and celebrates, and then the reporter interviews the team members.</t>
  </si>
  <si>
    <t>Again, the team gets in the water, and then the reporter broadcast from a studio set.</t>
  </si>
  <si>
    <t>v_0ivHmKR8cUw</t>
  </si>
  <si>
    <t>woman is standing in front of a counter talking to the camera and showing drinks.</t>
  </si>
  <si>
    <t>woman grabbs the juice and liquor and and serve it in a cup.</t>
  </si>
  <si>
    <t>woman is showing in a bar how to prepare a cocktail.</t>
  </si>
  <si>
    <t>v_4XfNexN6t04</t>
  </si>
  <si>
    <t>A man wearing a blue shirt walks to some congas and sit down.</t>
  </si>
  <si>
    <t>The musician begins to play the congas in a small room.</t>
  </si>
  <si>
    <t>The man then gets up and approaches the camera.</t>
  </si>
  <si>
    <t>v_YWu9gYCBAas</t>
  </si>
  <si>
    <t>We see shots of a sink.</t>
  </si>
  <si>
    <t>A person sprays the sink with a bottle then uses scrub brushes to scrub the sink.</t>
  </si>
  <si>
    <t>The person rinses the sink the wipes it with a blue towel.</t>
  </si>
  <si>
    <t>The person then rinses the sink again and wipes it down with the blue towel again.</t>
  </si>
  <si>
    <t>The person sprays the sink with a solution and uses a small roller paint brush to run the solution into the sink.</t>
  </si>
  <si>
    <t>We see before and after shots of the sink.</t>
  </si>
  <si>
    <t>v_QGY7zA03RkE</t>
  </si>
  <si>
    <t>A group of people play ping pong with automated machines and robots.</t>
  </si>
  <si>
    <t>One man plays ping pong with an orange machine with a red paddle attached to the end of a robotic arm.</t>
  </si>
  <si>
    <t>A man and a child play ping pong across a blue ping pong table as a man appears standing next to an orange automated machine and talks.</t>
  </si>
  <si>
    <t>Another man plays ping pong across a blue ping pong table with a white, metal, robot.</t>
  </si>
  <si>
    <t>A man in a suit and tie talks while a hand places an orange ball into the automated two prong hand of a white robot before going to an area in a room filled with orange robotic machines.</t>
  </si>
  <si>
    <t>v_in5XF1bbYr0</t>
  </si>
  <si>
    <t>We see a series of opening screens.</t>
  </si>
  <si>
    <t>A person throws a frisbee as a dog catches them.</t>
  </si>
  <si>
    <t>A man raises his hands in the air and walks off and another person walks past the camera.</t>
  </si>
  <si>
    <t>We see an image of the dog laying in the grass with words on the screen.</t>
  </si>
  <si>
    <t>v_pCEg_GoXoU4</t>
  </si>
  <si>
    <t>Several shots are shown of scuba divers moving along the water and fish moving around them.</t>
  </si>
  <si>
    <t>More people are seen moving along the ocean while gesturing to the camera and capturing all the wildlife around them.</t>
  </si>
  <si>
    <t>In the end they're seen riding a boat together and waving to the camera.</t>
  </si>
  <si>
    <t>v_J_ZY19xnhJU</t>
  </si>
  <si>
    <t>A little boy runs fast to his swing set and his dog runs after him.</t>
  </si>
  <si>
    <t>He climbs up the slide and and slide and his little brother comes up to play too.</t>
  </si>
  <si>
    <t>The mom comes over to play on the sea saw with one of the boys and he falls off.</t>
  </si>
  <si>
    <t>They play for a while going from one part of the set to the next.</t>
  </si>
  <si>
    <t>v_Aqq8S79ZAhk</t>
  </si>
  <si>
    <t>A camera pans around a room and leads into two women speaking and pulling out rock tiles.</t>
  </si>
  <si>
    <t>The women then put plaster down followed by the rock tiles and showing off the finished shower in the end and people reacting.</t>
  </si>
  <si>
    <t>v_69SYd5feEBQ</t>
  </si>
  <si>
    <t>An elderly lady sits in a chair knitting and talking to the camera.</t>
  </si>
  <si>
    <t>The lady shakes her head slightly while looking at the camera.</t>
  </si>
  <si>
    <t>The lady pauses and looks out the window.</t>
  </si>
  <si>
    <t>v_FBbN6FHC7L8</t>
  </si>
  <si>
    <t>A woman wearing a red leotard demonstrates a ballet move traveling toe move.</t>
  </si>
  <si>
    <t>The ballet instructor shimmies across the floor taking small little side steps.</t>
  </si>
  <si>
    <t>The instructor demonstrates a spot turn ballet turns.</t>
  </si>
  <si>
    <t>The instructor than combines the side toe step with the spot turning move.</t>
  </si>
  <si>
    <t>v_vZuy4OyWBsQ</t>
  </si>
  <si>
    <t>Two young teenage girls hold soapsuds in their hands in a kitchen.</t>
  </si>
  <si>
    <t>The girls throw the suds in each other's faces.</t>
  </si>
  <si>
    <t>One girl hops on the shoulders of the other.</t>
  </si>
  <si>
    <t>They begin to wash the dishes.</t>
  </si>
  <si>
    <t>v_e6r-A-LAe2E</t>
  </si>
  <si>
    <t>A young boy and a small boy are on a fenced field.</t>
  </si>
  <si>
    <t>They kick a ball, then try to chase it down.</t>
  </si>
  <si>
    <t>The kids continue playing as a man joins, fighting over the ball.</t>
  </si>
  <si>
    <t>v_4uwtqRBE4Kk</t>
  </si>
  <si>
    <t>a sea is shown with a green forest on seashore.</t>
  </si>
  <si>
    <t>blond man is standing in seashore and talking to the camera and surfing big waves on the sea.</t>
  </si>
  <si>
    <t>man is walking on seashore through a lot of people and talking to the camera and holding an award and talking about surfing the seashore.</t>
  </si>
  <si>
    <t>v_M1J3XjExaW4</t>
  </si>
  <si>
    <t>A man is seen speaking to the camera while holding onto a stick.</t>
  </si>
  <si>
    <t>He points down to balls in front of him as well as his body.</t>
  </si>
  <si>
    <t>He them demonstrates how to hit the ball properly while still speaking.</t>
  </si>
  <si>
    <t>v_FRjVP5r9rqc</t>
  </si>
  <si>
    <t>An elderly woman pans to the camera and does various hand movements on the floor.</t>
  </si>
  <si>
    <t>The woman grabs several items of clothing and shows how she washes them in the sink.</t>
  </si>
  <si>
    <t>She holds a bar of soap and rubs it all over the clothes and dips it into the water.</t>
  </si>
  <si>
    <t>She continues cleaning the clothes off in the water and showing how she cleans her clothes.</t>
  </si>
  <si>
    <t>v_ZBuPedt-oEE</t>
  </si>
  <si>
    <t>First the woman grabs some dishes to prepare something and puts them into a refrigerator.</t>
  </si>
  <si>
    <t>She then holds a cup under a foam dispenser and remove sit when it's filled up.</t>
  </si>
  <si>
    <t>She then tops it with crushed graham bears.</t>
  </si>
  <si>
    <t>next she gets a plate and a round stencil.</t>
  </si>
  <si>
    <t>she puts the plate under the dispenser and she removes it and slowly pulls the circle off of the cake once she is done smoothing the paste.</t>
  </si>
  <si>
    <t>Then she uses a knife to put lines on the sides of the cake.</t>
  </si>
  <si>
    <t>Next she puts cream on the edges from top to bottom.</t>
  </si>
  <si>
    <t>then she drizzles a little chocolate syrup on there.</t>
  </si>
  <si>
    <t>She is now done making the cake.</t>
  </si>
  <si>
    <t>v_SMUWOVJ3bzE</t>
  </si>
  <si>
    <t>A young child is seen sitting before a piano and playing a song while wearing a halloween costume.</t>
  </si>
  <si>
    <t>The boy continues playing the instrument and ends by pulling his mask down.</t>
  </si>
  <si>
    <t>v_PY4304sV5fY</t>
  </si>
  <si>
    <t>An young male Caucasian is sitting in a room behind a keyboard.</t>
  </si>
  <si>
    <t>Before he plays,he begins to talk and make movements across three black keys with his right hand as he continues to talk.</t>
  </si>
  <si>
    <t>He finally begins to play and you can see his hand moving rapidly across the keyboard on the left side of the screen.</t>
  </si>
  <si>
    <t>For his final chords,he takes his hand off the board and moves his head around in a circle.</t>
  </si>
  <si>
    <t>v_3ddoLUFrGsE</t>
  </si>
  <si>
    <t>A woman and a boy are making victory sign and smiling.</t>
  </si>
  <si>
    <t>The woman is putting make up to the boy's face, and then the boy shows his face.</t>
  </si>
  <si>
    <t>Then, the woman put make on a girl face.</t>
  </si>
  <si>
    <t>The boy and the girl look their faces on a mirror making funny faces and waving.</t>
  </si>
  <si>
    <t>v_9wtMJoqGTg0</t>
  </si>
  <si>
    <t>A girl performances some gymnastics stunts.</t>
  </si>
  <si>
    <t>A girl stands in place facing a lady.</t>
  </si>
  <si>
    <t>The girl holds up her hand.</t>
  </si>
  <si>
    <t>The girl turn around and climbs the gymnastic, wooden bar.</t>
  </si>
  <si>
    <t>With her hands on the bar, the girl lifts and splits her legs above her head.</t>
  </si>
  <si>
    <t>The lady moves a platform to the left side of the bar.</t>
  </si>
  <si>
    <t>The girl sits on the bar with her hand raised.</t>
  </si>
  <si>
    <t>The girl knees on the bar.</t>
  </si>
  <si>
    <t>The girl stands on the bar.</t>
  </si>
  <si>
    <t>The girl lifts off the bar and land on edge of the bar.</t>
  </si>
  <si>
    <t>The girl back flips three times.</t>
  </si>
  <si>
    <t>The girl takes two steps and front flips.</t>
  </si>
  <si>
    <t>The girl lifts of the bar and lands in the same position.</t>
  </si>
  <si>
    <t>The girl turns, jumps in place, and back flips.</t>
  </si>
  <si>
    <t>The girl turns and spins with hands raised.</t>
  </si>
  <si>
    <t>The girl steps forward, jumps and turns.</t>
  </si>
  <si>
    <t>The girls steps forward and front flips and lands at the edge.</t>
  </si>
  <si>
    <t>The girl back flips three times off the bar and lands on a blue mat.</t>
  </si>
  <si>
    <t>v_IbcBQFvcS9o</t>
  </si>
  <si>
    <t>a white house and a backyard full of snow appears a person is cleaning the fron entrance of the house.</t>
  </si>
  <si>
    <t>a car covered in snow appears and the person is cleaning the snow from the car and its open the road in front of the car.</t>
  </si>
  <si>
    <t>a red car appears covered in snow and a person is cleaning the snow .</t>
  </si>
  <si>
    <t>a black car is covered in snow.</t>
  </si>
  <si>
    <t>v_QDjaaUtepHo</t>
  </si>
  <si>
    <t>A pink and yellow logo with lips appears on screen.</t>
  </si>
  <si>
    <t>A male hairdresser works on the hair of a seated woman in a luxury beauty salon.</t>
  </si>
  <si>
    <t>The man dries and applies product to the woman's hair.</t>
  </si>
  <si>
    <t>v_dJVTlZWqYOs</t>
  </si>
  <si>
    <t>A man picks up a bowling ball and throws it down the lane at some pins.</t>
  </si>
  <si>
    <t>He falls onto the ground.</t>
  </si>
  <si>
    <t>The audience behind him applauds him.</t>
  </si>
  <si>
    <t>v_fsyMiHRW3z4</t>
  </si>
  <si>
    <t>A woman stands by a yellow hopscotch and talks to the camera.</t>
  </si>
  <si>
    <t>The woman plays hopscotch on the painted concrete.</t>
  </si>
  <si>
    <t>The woman talks to the camera once again.</t>
  </si>
  <si>
    <t>v_htKhaMfxxrM</t>
  </si>
  <si>
    <t>An opening scene with a child with a light saber deflecting lasers as they hit the wall to introduce a show.</t>
  </si>
  <si>
    <t>A man in a blue t-shirt and glasses is standing in front of an old telephone booth and explains to his followers on Youtube how he had gone to the hospital to fix a damaged knee from an arm wrestling match.</t>
  </si>
  <si>
    <t>Then a video is shown of the incident where he damaged his knee at an arm wrestling match as these two men sit at a table with a referee overlooking as the man in the glasses at the end of the match falls off his chair and walks off stage.</t>
  </si>
  <si>
    <t>v_wCGpPDYfs-s</t>
  </si>
  <si>
    <t>A band is playing music, while a woman in gray suit is singing, and behind her is a man in black suit is also singing, the guy in green shirt is playing the drum, the people in the big room are dancing and singing while others are sitting, two people are talking in one corner while the singing and dancing continue.</t>
  </si>
  <si>
    <t>The guy in green shirt plays the drums.</t>
  </si>
  <si>
    <t>v_mdJHGKABLhU</t>
  </si>
  <si>
    <t>A man and a woman are smiling in a picture.</t>
  </si>
  <si>
    <t>Someone holds a razor over a sink.</t>
  </si>
  <si>
    <t>A man with shaving cream on his beard starts shaving.</t>
  </si>
  <si>
    <t>The man continues shaving his beard.</t>
  </si>
  <si>
    <t>He wipes his face with a towel and smiles.</t>
  </si>
  <si>
    <t>v_m3AbqJNPn-o</t>
  </si>
  <si>
    <t>A young girl has her hair pulled back and glasses on as someone marks here cartilage.</t>
  </si>
  <si>
    <t>Once it is marked,she begins smiling at the camera.</t>
  </si>
  <si>
    <t>The man then grabs a pair of tweezers and clips the girl's ear.</t>
  </si>
  <si>
    <t>The earring is finally in and the girl begins to smile in approval and touches her other ear.</t>
  </si>
  <si>
    <t>v_nMK_jVy5ZuI</t>
  </si>
  <si>
    <t>Several clips are shown of athletes running down a large track into a pit of sand.</t>
  </si>
  <si>
    <t>More people are shown running down the track performing impressive jumps as well as celebrating afterwards.</t>
  </si>
  <si>
    <t>Several clips are shown of athletes running down the track as well as jumping over beams and waving to the audience.</t>
  </si>
  <si>
    <t>v_OMlpKhvmMpA</t>
  </si>
  <si>
    <t>A group of men are seen walking around a table filled with cups while laughing and smiling to one another.</t>
  </si>
  <si>
    <t>One man then jumps on the table and crashes it to the floor while others run around and laugh.</t>
  </si>
  <si>
    <t>v_IjFlVNAWQec</t>
  </si>
  <si>
    <t>A view is seen of people in the ocean.</t>
  </si>
  <si>
    <t>The waters are rough, splashing harshly against the rocks.</t>
  </si>
  <si>
    <t>The people are being knocked off their surfboards.</t>
  </si>
  <si>
    <t>v_ibIRzsC9NjY</t>
  </si>
  <si>
    <t>People are sitting on and riding camels outside.</t>
  </si>
  <si>
    <t>A person is walking and holding a string tied to the camel's face.</t>
  </si>
  <si>
    <t>A light brown liquid is being poured into small glasses.</t>
  </si>
  <si>
    <t>v_7wBrvMGZROQ</t>
  </si>
  <si>
    <t>A man is working out on bars.</t>
  </si>
  <si>
    <t>He has a weight attached to his belt.</t>
  </si>
  <si>
    <t>He goes up and down on the bars.</t>
  </si>
  <si>
    <t>v_g_cdSUwwk8Y</t>
  </si>
  <si>
    <t>We are shown the overgrown yard.</t>
  </si>
  <si>
    <t>A white truck is seen in a driveway.</t>
  </si>
  <si>
    <t>We see the cameraman's shadow.</t>
  </si>
  <si>
    <t>A person in blue is mowing the lawn.</t>
  </si>
  <si>
    <t>A person People are using leaf blowers.</t>
  </si>
  <si>
    <t>The camera pans to show the trees and the garden.</t>
  </si>
  <si>
    <t>v_xywGFiZ0hqs</t>
  </si>
  <si>
    <t>In introduction with show title and website is seen.</t>
  </si>
  <si>
    <t>A woman stands in bathroom and then places a contact lens into her eye.</t>
  </si>
  <si>
    <t>The woman then takes the contact lens back out of her eye.</t>
  </si>
  <si>
    <t>The woman shows a pair of tweezers and uses them to take the contact out of her eye instead.</t>
  </si>
  <si>
    <t>v_Amnp8434e90</t>
  </si>
  <si>
    <t>Various shots of windersurfers are shown on a large body of water with several people swimming off in the distance.</t>
  </si>
  <si>
    <t>The wake boarders ride back and fourth past each other and perform several tricks.</t>
  </si>
  <si>
    <t>The ride close to shore doing tricks one at a time.</t>
  </si>
  <si>
    <t>v_zTrI4pPFIlw</t>
  </si>
  <si>
    <t>He mounts, then proceeds to do many flips and handsprings.</t>
  </si>
  <si>
    <t>When he is finished, he dismounts.</t>
  </si>
  <si>
    <t>v_UtErFzrzcqk</t>
  </si>
  <si>
    <t>A girl hits a piñata blindfolded while the piñata goes up and down in a backyard.</t>
  </si>
  <si>
    <t>Then, the girl take off the cloth on her eyes and smile.</t>
  </si>
  <si>
    <t>v_pLJhoqTpAaI</t>
  </si>
  <si>
    <t>A tire for a bicycle spins, and a man catches it.</t>
  </si>
  <si>
    <t>We see a question written on paper, then a man in a bike shop as he talks.</t>
  </si>
  <si>
    <t>He demonstrates how to remove the rubber of a tire from the frame and replace it.</t>
  </si>
  <si>
    <t>He then talks to the camera a little longer.</t>
  </si>
  <si>
    <t>v_fMRgMeDs9Ck</t>
  </si>
  <si>
    <t>A mans hair is seen close up followed by a razor being used on the sides.</t>
  </si>
  <si>
    <t>A person is seen combing the person's hair while still using the trimmer.</t>
  </si>
  <si>
    <t>The man's head is also seen being shaven on the side.</t>
  </si>
  <si>
    <t>v_-zfOvigQLdA</t>
  </si>
  <si>
    <t>There's a lady swimmer diving into an indoor pool from a tall diving board while a small group of people are watching her perform.</t>
  </si>
  <si>
    <t>The diver stands in one position first to adjust her stance and then gradually steps forward on the diving board.</t>
  </si>
  <si>
    <t>She jumps up high and twists her body as she makes the jump.</t>
  </si>
  <si>
    <t>She ends up hurting herself on the back as she misjudges the distance from the diving board as she falls into the pool.</t>
  </si>
  <si>
    <t>v_Tcf9sOzU-7M</t>
  </si>
  <si>
    <t>Several different intros eventually leads into two men pointing on a field and getting ready for paintball.</t>
  </si>
  <si>
    <t>Then the men run throughout the field and attack each other with paintball guns.</t>
  </si>
  <si>
    <t>They run through the field quickly and attack one another using the paint gun.</t>
  </si>
  <si>
    <t>v_0kykNR9FUWU</t>
  </si>
  <si>
    <t>A girl gymnast in red sparkly leotard is doing gymnastics on a horse bar.</t>
  </si>
  <si>
    <t>She swiftly jumps and does handsprings and back flips on the horse bar.</t>
  </si>
  <si>
    <t>There is a panel of judges watching her in the stadium in Nanning, China.</t>
  </si>
  <si>
    <t>She continues to gracefully walk on the horse bar as she jumps and does a back flip right onto the ground and then walks away.</t>
  </si>
  <si>
    <t>v_sV8nkrbJIKE</t>
  </si>
  <si>
    <t>A close up of food is shown followed by a person putting various ingredients into a mug.</t>
  </si>
  <si>
    <t>They mix around the ingredients, put the mug in the microwave, and take it out in the end showing off the cake.</t>
  </si>
  <si>
    <t>v_79jhPh0PzWQ</t>
  </si>
  <si>
    <t>Someone hits a bat against two balls.</t>
  </si>
  <si>
    <t>The balls go to a loop in the ground.</t>
  </si>
  <si>
    <t>They split apart and go different distances.</t>
  </si>
  <si>
    <t>v_EoYvQ_pn8KE</t>
  </si>
  <si>
    <t>Two women sweep a floor together as a ball glides behind them.</t>
  </si>
  <si>
    <t>They sweep the floor again and one of the women stops for a second as her partner starts sweeping faster.</t>
  </si>
  <si>
    <t>They sweep the floor again with one woman furiously sweeping towards the end as her partner stops for a second and looks up.</t>
  </si>
  <si>
    <t>v_EAp9xQx2o6k</t>
  </si>
  <si>
    <t>People warm out raising the hands and bending.</t>
  </si>
  <si>
    <t>Then, people work out doing stepper workout putting a feet each time.</t>
  </si>
  <si>
    <t>After, people turn before step on the stepper.</t>
  </si>
  <si>
    <t>v_3zjhYw-TVQw</t>
  </si>
  <si>
    <t>There's a man in a blue shirt and beige pants sitting in front yard on brown mulch talking about lawn and garden care.</t>
  </si>
  <si>
    <t>He points to the brown mulch and the shrub near him as he explains the do's and don'ts about lawn care.</t>
  </si>
  <si>
    <t>v_Z3DhUZhoRDA</t>
  </si>
  <si>
    <t>Wall paper on a wall is shown.</t>
  </si>
  <si>
    <t>A person puts a piece of wax paper on the wall paper.</t>
  </si>
  <si>
    <t>They run a brush down the front of the paper.</t>
  </si>
  <si>
    <t>v_3HUoSa_3vpc</t>
  </si>
  <si>
    <t>We see a bartender behind a bar add ice to a glass.</t>
  </si>
  <si>
    <t>The man pours three liquors into a glass and shakes it up.</t>
  </si>
  <si>
    <t>The man pours it in a glass and adds soda.</t>
  </si>
  <si>
    <t>The man squeezes a lemon, stirs in the glass and transfers it to a smaller glass.</t>
  </si>
  <si>
    <t>The man adds a straw and presents the glass to us.</t>
  </si>
  <si>
    <t>v_uWWo9qZh3cU</t>
  </si>
  <si>
    <t>News anchors introduce a clip sitting at a desk in a newsroom.</t>
  </si>
  <si>
    <t>President Obama introduces and interviews a band playing on stage.</t>
  </si>
  <si>
    <t>President Clinton plays the saxophone on stage with a band.</t>
  </si>
  <si>
    <t>President George Bush dances with an African drum player and other diplomats.</t>
  </si>
  <si>
    <t>v_X5Dsemc20pg</t>
  </si>
  <si>
    <t>A man is seen speaking to the camera while presenting various liquids and ingredients.</t>
  </si>
  <si>
    <t>The man mixes ingredients into a glass with fruit for several drinks while stopping to have a drink.</t>
  </si>
  <si>
    <t>He continues making more drinks using different ingredients and speaking to the camera.</t>
  </si>
  <si>
    <t>v_6SFW4g4UVKI</t>
  </si>
  <si>
    <t>A man's face is moving back and forth.</t>
  </si>
  <si>
    <t>The man is shining a shoe.</t>
  </si>
  <si>
    <t>v_ys3NrLuOxMs</t>
  </si>
  <si>
    <t>Green text explains several rules of the game.</t>
  </si>
  <si>
    <t>A man and a boy practice lay ups together, and the coach shows his point of view.</t>
  </si>
  <si>
    <t>They demonstrate a couple of different moves.</t>
  </si>
  <si>
    <t>v_iPk4GeFFcTQ</t>
  </si>
  <si>
    <t>An athletic man is seen running down a long track and throwing a javelin off into the distance with others measuring his throw.</t>
  </si>
  <si>
    <t>The man walks away and high fives a man in the crowd while his score is shown and another steps up to the side.</t>
  </si>
  <si>
    <t>v_gdi_m9LjRAw</t>
  </si>
  <si>
    <t>A man is standing outside holding a chainsaw.</t>
  </si>
  <si>
    <t>He starts cutting down a tree next to him.</t>
  </si>
  <si>
    <t>He stands next to the tree talking.</t>
  </si>
  <si>
    <t>v_wUsmKmxxHYQ</t>
  </si>
  <si>
    <t>A woman is seen speaking to the camera while a woman swims back and fourth in the pool behind her.</t>
  </si>
  <si>
    <t>Clips are then shown close up on how to perform proper swimming techniques while the camera interments with the woman speaking.</t>
  </si>
  <si>
    <t>v_fhtNAMK0Vqk</t>
  </si>
  <si>
    <t>A man wearing a cowboy hat, sunglasses and yellow latex gloves is standing next to a horse in a stable.</t>
  </si>
  <si>
    <t>He is using a blow dryer to dry the horse's wet body.</t>
  </si>
  <si>
    <t>He moves the blow dryer back and forth all over the horse's back to dry it.</t>
  </si>
  <si>
    <t>He is also uses a scrubbing brush on the horse's back to clean the horse.</t>
  </si>
  <si>
    <t>v_o6lTgyb_AkM</t>
  </si>
  <si>
    <t>A painter demonstrates various art pieces in her studio.</t>
  </si>
  <si>
    <t>She sits in her studio, speaking.</t>
  </si>
  <si>
    <t>She grabs a paintbrush and dips it into black paint repeatedly, as she paints a black tree.</t>
  </si>
  <si>
    <t>She grabs a sponge and dips it into green and blue paint while painting the leaves on the tree.</t>
  </si>
  <si>
    <t>She moves on to grab the paintbrush and dips it into black paint repeatedly, and moves on to paint another tree.</t>
  </si>
  <si>
    <t>With the same paint brush, this time dipping it into green paint, she paints the pines of three.</t>
  </si>
  <si>
    <t>She finishes her painting and speaks for a bit.</t>
  </si>
  <si>
    <t>v_zCcUwVzaEac</t>
  </si>
  <si>
    <t>A man sits on a track and talks as he is interviewed.</t>
  </si>
  <si>
    <t>Two men in red walk up the bleachers and one stops to talk to someone.</t>
  </si>
  <si>
    <t>A group of women walk behind the man being interviewer.</t>
  </si>
  <si>
    <t>v_Bm6HrokioXU</t>
  </si>
  <si>
    <t>A man is seen standing around with a large group of kids and leads into the kids play dodgbeall in a large gymnasium.</t>
  </si>
  <si>
    <t>A woman is seen speaking to the camera while more shots of the game are shown and the man speaking to the kids.</t>
  </si>
  <si>
    <t>They are all seen sitting together and the man interviews the kids in a classroom.</t>
  </si>
  <si>
    <t>v_D5EgASje8MQ</t>
  </si>
  <si>
    <t>Lawrence Welk is playing an accordion and directing his band.</t>
  </si>
  <si>
    <t>He is joined by another accordion player.</t>
  </si>
  <si>
    <t>The band stands up to plan and the camera goes back and forth between the accordion players and the band.</t>
  </si>
  <si>
    <t>They continue to play the accordions with the band behind them.</t>
  </si>
  <si>
    <t>v_w6xH78z3l08</t>
  </si>
  <si>
    <t>A man is seen speaking to the camera in front of a car and begins taking a hubcap off.</t>
  </si>
  <si>
    <t>He slides the pieces off of the tire.</t>
  </si>
  <si>
    <t>Finally he puts the hubcap back in place.</t>
  </si>
  <si>
    <t>v_xdl0lyO9ub0</t>
  </si>
  <si>
    <t>A man ina shirt that says beast mode is making a video on what the best free workouts to do without a gym are.</t>
  </si>
  <si>
    <t>He has a weight bar with no weight and he bends over a certain way.</t>
  </si>
  <si>
    <t>He shows you how to use the weight bar for different weight lifting positions.</t>
  </si>
  <si>
    <t>Once he is done with the weight bar he stands back and talks about it all.</t>
  </si>
  <si>
    <t>v_vruB4ViPGuE</t>
  </si>
  <si>
    <t>People are sitting on a bench.</t>
  </si>
  <si>
    <t>A man is drinking from a coffee cup.</t>
  </si>
  <si>
    <t>A woman is drinking from a coffee cup.</t>
  </si>
  <si>
    <t>v_DF8nlagyN6k</t>
  </si>
  <si>
    <t>Two people are on a white slab and they begin fencing one another.</t>
  </si>
  <si>
    <t>There are constant stops and the boy closest to the camera keeps winning.</t>
  </si>
  <si>
    <t>Both of them keep being reset but the outcome is no different and the lady on the side keeps walking back and forth clicking a black button.</t>
  </si>
  <si>
    <t>v_2_Tgrk8iJpE</t>
  </si>
  <si>
    <t>An indoor court is filled with people wearing uniforms and playing dodgeball throwing the balls to either side of the team.</t>
  </si>
  <si>
    <t>A slow motion replay of a dodgeball being thrown and caught is replayed.</t>
  </si>
  <si>
    <t>A man quickly throws a ball and his target catches it, he turns around and walks with his right up straight up in the air while the rest of the players continue to play.</t>
  </si>
  <si>
    <t>A still shot picture of a man holding two balls and black words scrolling from the bottom to the top with the word and number "JARDINE 77" is at the top.</t>
  </si>
  <si>
    <t>v_K5_Rm4MfF9o</t>
  </si>
  <si>
    <t>A man is swimming backward in lake water.</t>
  </si>
  <si>
    <t>The two men shown begin water skiing.</t>
  </si>
  <si>
    <t>They lose their gopro device, and have to scuba to find it, taking more than two weeks to locate the still working device.</t>
  </si>
  <si>
    <t>v_sRMrtzg0nwU</t>
  </si>
  <si>
    <t>Various shots of strings are shown followed by knitting supplies and people knitting in a library.</t>
  </si>
  <si>
    <t>The woman give a small child knit wear and demonstrate how they properly knit to the young girl.</t>
  </si>
  <si>
    <t>v_9DVsv84awMg</t>
  </si>
  <si>
    <t>"EPBF Millennium Series" appears on screen.</t>
  </si>
  <si>
    <t>Opened end of vehicle appears with "www paint-supply net" printed on bumper while tools are placed inside.</t>
  </si>
  <si>
    <t>The car drives down a dark black road with photoshopped objects popping up on either side.</t>
  </si>
  <si>
    <t>The end of the road appears with the word "Paintball FAILs" above it and pictures of paintball below it.</t>
  </si>
  <si>
    <t>The words "Friendly Fire" appear.</t>
  </si>
  <si>
    <t>A group of people play paintball on a grassy field with inflatable obstacles.</t>
  </si>
  <si>
    <t>The words "Stupid Hopper" appear.</t>
  </si>
  <si>
    <t>People once again play paintball on the field.</t>
  </si>
  <si>
    <t>The words "1/3 Lauf" appear.</t>
  </si>
  <si>
    <t>People again play paintball on the field.</t>
  </si>
  <si>
    <t>The word "Fehlstart" appears on screen.</t>
  </si>
  <si>
    <t>People play paintball on the field.</t>
  </si>
  <si>
    <t>Contact information for Paint Supply GmbH appears.</t>
  </si>
  <si>
    <t>v_dRRht9vdYDE</t>
  </si>
  <si>
    <t>There are a few older gentlemen playing a game on ice.</t>
  </si>
  <si>
    <t>They have a coach to help them and he talks about how to curl.</t>
  </si>
  <si>
    <t>He talks about the steps and how to get in the hack, even demonstrating.</t>
  </si>
  <si>
    <t>He seems pretty professional walking on the ice with his shoes on while demonstrating.</t>
  </si>
  <si>
    <t>v_uhAIe9rcjSo</t>
  </si>
  <si>
    <t>A close up is seen of a metal double sink.</t>
  </si>
  <si>
    <t>Then we see two bowls with powder and a cut lime.</t>
  </si>
  <si>
    <t>A woman uses the lime dipped in powder to scrub and then rinse the sink before drying it off, showing off a perfecting clean sink.</t>
  </si>
  <si>
    <t>v_TCcopbAANQ0</t>
  </si>
  <si>
    <t>A person is assembling a bike on a white cloth.</t>
  </si>
  <si>
    <t>They put on a blue apron and gloves.</t>
  </si>
  <si>
    <t>They put handle bars on the bike.</t>
  </si>
  <si>
    <t>v_cAGABdvv5u8</t>
  </si>
  <si>
    <t>two men are riding a water bike in a sea while a big wave is behind them.</t>
  </si>
  <si>
    <t>a lot of scenes of people surfing on big waves on the sea and a city is in the background.</t>
  </si>
  <si>
    <t>v_KjbZvsu0OxE</t>
  </si>
  <si>
    <t>A dog is seen wandering around a yard as well as a man speaking to the camera.</t>
  </si>
  <si>
    <t>The dog moves around the area while the man continues to speak to the camera.</t>
  </si>
  <si>
    <t>The dog runs back and fourth while the camera zooms in on his face.</t>
  </si>
  <si>
    <t>v_YQiTt8b6N60</t>
  </si>
  <si>
    <t>A close up is shown of a woman's eyes.</t>
  </si>
  <si>
    <t>She is sitting on a rock, then biking, then adorning scuba gear.</t>
  </si>
  <si>
    <t>She dives, swimming alongside tropical fish and a nursing shark.</t>
  </si>
  <si>
    <t>She is finally shown wearing sunglasses, smiling and laughing.</t>
  </si>
  <si>
    <t>v_CoHVA7nr82A</t>
  </si>
  <si>
    <t>A man holds a welding device and adjusts it while showing his work area.</t>
  </si>
  <si>
    <t>The welder is held over a steel plate and moved slowly.</t>
  </si>
  <si>
    <t>The man pulls the welder over a copper colored piece of metal.</t>
  </si>
  <si>
    <t>The man puts down his face guard and welds a spot on a piece of metal.</t>
  </si>
  <si>
    <t>The man stops for a break.</t>
  </si>
  <si>
    <t>The man welds a line into a piece of material.</t>
  </si>
  <si>
    <t>The man holds up a hammer chisel over the bar of metal and chips off some pieces.</t>
  </si>
  <si>
    <t>the man uses a wire brush to clean the metal.</t>
  </si>
  <si>
    <t>v_bV_X5E1-T50</t>
  </si>
  <si>
    <t>A girl is sitting and smoking cigarettes.</t>
  </si>
  <si>
    <t>Johnny cash is playing in the background and she has a drink in her hand.</t>
  </si>
  <si>
    <t>She stares into the camera while taking puffs on her cigarette.</t>
  </si>
  <si>
    <t>She fixes her hair a bit while looking into the camera.</t>
  </si>
  <si>
    <t>She smiles into the camera and leans closer.</t>
  </si>
  <si>
    <t>v_G-fsWVYrAgc</t>
  </si>
  <si>
    <t>A woman stands on front a table with baby products, then the woman rolls up diapers and puts around a circular container with a ribbon.</t>
  </si>
  <si>
    <t>After, the woman puts diapers around a folded towel with a ribbon.</t>
  </si>
  <si>
    <t>Next, the woman fills the circular container with baby products and put on top the towel, a plush and a bottle.</t>
  </si>
  <si>
    <t>v_WW0Sm6oDc9M</t>
  </si>
  <si>
    <t>A boy picks up a bowling ball and runs down the lane.</t>
  </si>
  <si>
    <t>He dives into the pins at the end.</t>
  </si>
  <si>
    <t>He runs back and falls onto the lane.</t>
  </si>
  <si>
    <t>v_i0rC2mfp7mI</t>
  </si>
  <si>
    <t>A man dressed in all black and a mask on is outside in a public place playing and instrument with bags in the middle and small keyboard on the outside of it.</t>
  </si>
  <si>
    <t>As he plays,multiple people walk by continuing on with their life.</t>
  </si>
  <si>
    <t>None of them acknowledge him and the hat in front of hi remains empty.</t>
  </si>
  <si>
    <t>v_8w9pf_Ecm_U</t>
  </si>
  <si>
    <t>Two girls holding pom poms perform a dance routine in a gymnasium.</t>
  </si>
  <si>
    <t>Several people are shown watching in the background while the girls continue to do flexible moves.</t>
  </si>
  <si>
    <t>The grab canes and continue spinning the canes while doing splits and various other dance moves.</t>
  </si>
  <si>
    <t>v_LNKdVrX_0Fg</t>
  </si>
  <si>
    <t>A woman wearing overalls is talking to the camera.</t>
  </si>
  <si>
    <t>She lays out wrapping paper, showing how to wrap a toy in it.</t>
  </si>
  <si>
    <t>She wraps it around the toy, then tapes it up.</t>
  </si>
  <si>
    <t>v_I6gc2AjcYOY</t>
  </si>
  <si>
    <t>We see a lady washing a white towel in a sink.</t>
  </si>
  <si>
    <t>The lady lifts the towel up.</t>
  </si>
  <si>
    <t>The lady picks something up off the floor.</t>
  </si>
  <si>
    <t>The lady wrings out the towel in the sink.</t>
  </si>
  <si>
    <t>the lady then walks away.</t>
  </si>
  <si>
    <t>v_b87ec6jTm_M</t>
  </si>
  <si>
    <t>We see a black screen with the intro.</t>
  </si>
  <si>
    <t>We see people in blue playing drums.</t>
  </si>
  <si>
    <t>A title screen appears and we see another team.</t>
  </si>
  <si>
    <t>Another title screen and a team with a man jumping a ribbon.</t>
  </si>
  <si>
    <t>The title appears twice and we see a red team.</t>
  </si>
  <si>
    <t>The title screen returns and we see a team in purple.</t>
  </si>
  <si>
    <t>The title returns 3 times and people are outdoors practicing.</t>
  </si>
  <si>
    <t>We see people perform in front of a crowd.</t>
  </si>
  <si>
    <t>We see a bunch of quick shots of teams, then the ending screen.</t>
  </si>
  <si>
    <t>v_w9cJ3FNGw_U</t>
  </si>
  <si>
    <t>A cowboy on a horse is released from a gate.</t>
  </si>
  <si>
    <t>He lassos a little calf.</t>
  </si>
  <si>
    <t>He dismounts, then ties the calf.</t>
  </si>
  <si>
    <t>v_LxLvhGHwca8</t>
  </si>
  <si>
    <t>Several people are seen wandering around a dark city while wearing stilts on their feet to walk.</t>
  </si>
  <si>
    <t>The people continue walking and jumping around on the stilts while waving to the camera and sitting on the ground.</t>
  </si>
  <si>
    <t>v_27Pg4wHah2I</t>
  </si>
  <si>
    <t>A man is seated at a piano, looking confused as he plays and an elderly woman watches.</t>
  </si>
  <si>
    <t>He speeds his playing as she stands.</t>
  </si>
  <si>
    <t>The audience looks perplexed and amused, dancing in place.</t>
  </si>
  <si>
    <t>The people get up and dance to the music.</t>
  </si>
  <si>
    <t>He then walks away with his arm in a woman's.</t>
  </si>
  <si>
    <t>v_UzCeMCr0lM8</t>
  </si>
  <si>
    <t>A woman peels a potatoes in a rustic kitchen.</t>
  </si>
  <si>
    <t>Then, the woman takes another potatoes and peels it with a knife.</t>
  </si>
  <si>
    <t>After, the woman puts the potatoe on adish.</t>
  </si>
  <si>
    <t>v_YnG1Uhh2h5E</t>
  </si>
  <si>
    <t>Two young man and a man play pool hitting white balls with a cue stick.</t>
  </si>
  <si>
    <t>The young man hits balls that land in the pocket of the pool table.</t>
  </si>
  <si>
    <t>Then, the man puts the balls in a metal triangle and arrange others balls.</t>
  </si>
  <si>
    <t>After, the young man strikes the white ball but immidiately stop it with the cue sticks.</t>
  </si>
  <si>
    <t>Next, the young man strikes the balls and sends a white ball to a pocket.</t>
  </si>
  <si>
    <t>The man strikes a white ball and send balls in the pocket.</t>
  </si>
  <si>
    <t>At the end, the young man puts the ball inside a metal triangle.</t>
  </si>
  <si>
    <t>v_rDWa3Z2IaIw</t>
  </si>
  <si>
    <t>Three girls are standing together on a green floor talking with one another about a sport.</t>
  </si>
  <si>
    <t>One person is then shown playing Field hockey and then comes back to talk about what she has just done.</t>
  </si>
  <si>
    <t>Next,they go over the correct ways to defend the ball and then they all begin talking one by one about the sport again.</t>
  </si>
  <si>
    <t>After,a screen appears with the question,"What if the game is tied?"and the young lady goes into detail for the answer.</t>
  </si>
  <si>
    <t>Finally the questions are answered and they all come back together and close out the video.</t>
  </si>
  <si>
    <t>v_fo0gFCcKdtg</t>
  </si>
  <si>
    <t>People are paddling canoes in an indoor pool.</t>
  </si>
  <si>
    <t>A boy paddles a canoe.</t>
  </si>
  <si>
    <t>The boy leans to the side, and the canoe flips over.</t>
  </si>
  <si>
    <t>The boy swims to the surface of the water.</t>
  </si>
  <si>
    <t>v_B69Fkd_L9gA</t>
  </si>
  <si>
    <t>There's man standing on his deck that is covered with snow.</t>
  </si>
  <si>
    <t>He is getting ready to get into his hot tub on his deck.</t>
  </si>
  <si>
    <t>He walks bare foot through the snow to get into his hot tub.</t>
  </si>
  <si>
    <t>He begins to shovel the snow off the deck to make it easier for him to walk.</t>
  </si>
  <si>
    <t>He clears the snow from the deck to create a pathway to the hot tub.</t>
  </si>
  <si>
    <t>v_jTChoOFb05w</t>
  </si>
  <si>
    <t>Various shots of landscapes are shown as well as people driving and other's being interviewed.</t>
  </si>
  <si>
    <t>Several shots of people on the beach are shown and leads into people playing various sports on the beach.</t>
  </si>
  <si>
    <t>The people play back and fourth while others interview and many watch on the sides.</t>
  </si>
  <si>
    <t>v_Qp_zbvHLwLk</t>
  </si>
  <si>
    <t>A woman is seen pushing a lawn mower along a yard and stopping to pull the string and get it going.</t>
  </si>
  <si>
    <t>The woman continues pushing the mower along the lawn and moving back to where she started.</t>
  </si>
  <si>
    <t>v_Lr-FutvMXoA</t>
  </si>
  <si>
    <t>A person is pole volting over a beam followed by several more clips of people jumping.</t>
  </si>
  <si>
    <t>More people are shown using the bar to pole volt over a beam.</t>
  </si>
  <si>
    <t>v_wr2FC2P3hIs</t>
  </si>
  <si>
    <t>A row of clippers,brushes,and razors are being shown.</t>
  </si>
  <si>
    <t>Shortly after,the front of the building is shown and the name on the plaza is shown.</t>
  </si>
  <si>
    <t>A man with long curly hair is shown sitting in the barbershop getting his hair down and the barber is using a combination of scissors,brushes, and blow dryers to complete the look.</t>
  </si>
  <si>
    <t>Once done, a still image of the barber and his information is shown for advertisement.</t>
  </si>
  <si>
    <t>v_rMevLL0KHzc</t>
  </si>
  <si>
    <t>A person is seen riding on a horse around others while speaking to other people and kids holding up a sign.</t>
  </si>
  <si>
    <t>The kids continue to hold signs and look to the camera while more people ride around on horses.</t>
  </si>
  <si>
    <t>More clips are shown of people riding horses and kids wearing helmets.</t>
  </si>
  <si>
    <t>v_hEoASC7qC28</t>
  </si>
  <si>
    <t>A man is sitting in the water holding a rope.</t>
  </si>
  <si>
    <t>He gets up and starts wake boarding.</t>
  </si>
  <si>
    <t>He falls back into the water.</t>
  </si>
  <si>
    <t>v_vX0xxYxGj-4</t>
  </si>
  <si>
    <t>Two lines of people stand over a long rope.</t>
  </si>
  <si>
    <t>Each line picks up the rope and starts playing tug rope while a large crowd watches.</t>
  </si>
  <si>
    <t>The team wearing light blue shirts wins the round.</t>
  </si>
  <si>
    <t>v_JQ3mObvro1s</t>
  </si>
  <si>
    <t>A white intro screen appears with small circle pictures of a man at the upper left, a woman at the bottom right, and the words "HOOKED ON RUNNING Smart training for busy women" in the middle.</t>
  </si>
  <si>
    <t>A woman wearing a hat, glasses and a long sleeved hot pink top is standing in front of a brick wall and talking.</t>
  </si>
  <si>
    <t>The woman is now standing behind a table and is putting crumpled up papers into a running shoe and stuffing it as much as she can.</t>
  </si>
  <si>
    <t>The woman then grabs a pink sole from the shoe and pours baking soda all over the top.</t>
  </si>
  <si>
    <t>The woman then grabs a toothbrush and the show she just stuffed and motions scrubbing but doesn't really do it, then puts both the toothbrush and the shoe out of sight.</t>
  </si>
  <si>
    <t>The woman grabs another pair of shoes, the right shoe is unlaced and the left shoe is laced and she's holding onto them then puts them down.</t>
  </si>
  <si>
    <t>v_uXPm6SMQH1M</t>
  </si>
  <si>
    <t>A black horse is standing in a stable with several yellow things on his hair.</t>
  </si>
  <si>
    <t>A woman then appears and begin shaving off all of the horse's hair.</t>
  </si>
  <si>
    <t>The side is completely gone and when she moves from the back she goes underneath his body to remove that hair as well.</t>
  </si>
  <si>
    <t>v_Z8QrA66UVzI</t>
  </si>
  <si>
    <t>A man is seen standing in front of a window speaking to the camera while wearing a headpiece.</t>
  </si>
  <si>
    <t>The man then brushes along the sides of the window and points back and fourth to the window while speaking to the camera.</t>
  </si>
  <si>
    <t>v_f3spxjpfuxM</t>
  </si>
  <si>
    <t>A man is shown speaking to the camera then kneels down and presses carpet down with a tool.</t>
  </si>
  <si>
    <t>He then screws in the stairs and kneel down while still speaking to the camera.</t>
  </si>
  <si>
    <t>v_meMZuh8iNDs</t>
  </si>
  <si>
    <t>A woman talks and shows her long French braid.</t>
  </si>
  <si>
    <t>Then, the woman lie on the bed and brush her hair on the border of the bed.</t>
  </si>
  <si>
    <t>Then, the woman takes a lock of front hair and braid taking hair from sides.</t>
  </si>
  <si>
    <t>Then, the woman shows the braid while continues talking.</t>
  </si>
  <si>
    <t>v_L5nqeFWufrE</t>
  </si>
  <si>
    <t>There's a diver participating in an event in a large stadium in lots of spectators.</t>
  </si>
  <si>
    <t>He is jumping off the dash board and diving into the deep swimming pool.</t>
  </si>
  <si>
    <t>While diving he accidentally bumps his head on the diving board and injures himself.</t>
  </si>
  <si>
    <t>He expresses pain as he gets off the pool and his coach comes to help him.</t>
  </si>
  <si>
    <t>The second time when the diver dives, he manages to successfully make it into the swimming pool without injuries.</t>
  </si>
  <si>
    <t>Another historic diving event is shown where the diver accidentally hurts his head on the diving board while diving into the pool.</t>
  </si>
  <si>
    <t>v_oJCB2Zglcq4</t>
  </si>
  <si>
    <t>A small group of people are seen standing inside a fenced in area with a man sitting on a horse.</t>
  </si>
  <si>
    <t>The man rides into the pit and chases a calf with a rope.</t>
  </si>
  <si>
    <t>The man ties up the calf after it's caught and climbs back on the horse while another unties the calf.</t>
  </si>
  <si>
    <t>v_r4bI22hGTg4</t>
  </si>
  <si>
    <t>There are kids bouncing in trampolines.</t>
  </si>
  <si>
    <t>Several kids are jumping up and down.</t>
  </si>
  <si>
    <t>The camera is very shaky.</t>
  </si>
  <si>
    <t>v_ZsXJw0d3QbU</t>
  </si>
  <si>
    <t>They begin going and bumping into each other.</t>
  </si>
  <si>
    <t>People are standing behind the gate watching them.</t>
  </si>
  <si>
    <t>A man in a blue shirt is walking in front of them.</t>
  </si>
  <si>
    <t>v_STaS53CNlZI</t>
  </si>
  <si>
    <t>An intro that's a blue screen with white words that read "MegaZip Sentosa dot Singapore dot November 2010" appear on the screen.</t>
  </si>
  <si>
    <t>Four people appear near a railing where they are all attached to harnesses.</t>
  </si>
  <si>
    <t>A man puts his hand on the woman's shoulder and guides her to the opening where she is to leave but a blue screen appears with the white words say "yes",then it goes back to the woman getting ready to jump and she bends her knees and a blue screen appears and say's "no", and she shakes her head and backs away.</t>
  </si>
  <si>
    <t>A blue screen appears again and it says "OK Maybe"and the woman once again gets ready to jump at the opening and at the same time the other man who is attached to the harness is also ready to go.</t>
  </si>
  <si>
    <t>A blue screen appears that say's "no" but the woman and the man do let go and they go zip lining across the heavily tree green forest below and a blue screen appears again and say's "I Think She Said Yes?".</t>
  </si>
  <si>
    <t>A new group is now harnessed and they are filmed taking their turns going down the zip line and the man holding the camera turns it to himself to reveal a close up shot of his smiling face as well as the scenery around him which include the forest below them and the beach at the ending point.</t>
  </si>
  <si>
    <t>They reach the end of the zip line and the worker begins to pull them to the landing point where a close up of the worker appears and he also has a big smile on his face while he other zip liners are standing there and smiling as well.</t>
  </si>
  <si>
    <t>The view changes to ground view and it shows what the zip liners look like from the ground.</t>
  </si>
  <si>
    <t>The blue outro appears and the words "Sentosa MegaZip November 2010 The End" are displayed.</t>
  </si>
  <si>
    <t>v_goSGYjLTGnQ</t>
  </si>
  <si>
    <t>A young male dressed in an red jumpsuit is on the stage break dancing.</t>
  </si>
  <si>
    <t>Once he is finished,a group of guys swarm him and they all point to another boy so he can take the stage.</t>
  </si>
  <si>
    <t>The boy comes along and starts flipping and doing a variation of the robot.</t>
  </si>
  <si>
    <t>All of the men behind him then become his background dancers as the boy takes a microphone and begins singing.</t>
  </si>
  <si>
    <t>v_Ej_a4iCd45I</t>
  </si>
  <si>
    <t>We see the title cards on blue.</t>
  </si>
  <si>
    <t>We see men playing beach volleyball.</t>
  </si>
  <si>
    <t>We see an interview with a man.</t>
  </si>
  <si>
    <t>Two men high five each other the men all trade sides.</t>
  </si>
  <si>
    <t>The ball lands on the ground.</t>
  </si>
  <si>
    <t>A man kicks the ball to the other side.</t>
  </si>
  <si>
    <t>A man jumps and spins in the air.</t>
  </si>
  <si>
    <t>The man in gray daces as the other men jump around.</t>
  </si>
  <si>
    <t>The men pose for a photo.</t>
  </si>
  <si>
    <t>The title card is shown and we fade out.</t>
  </si>
  <si>
    <t>v_QfUTGmlNO1s</t>
  </si>
  <si>
    <t>A clip of an old tv show is shown with a woman washing dishes and a young girl stepping into frame.</t>
  </si>
  <si>
    <t>The woman hands the girl a glass of water and is shown again in various angles, ending with a woman washing clothes.</t>
  </si>
  <si>
    <t>v_JWb0-VdfZI4</t>
  </si>
  <si>
    <t>A small child is seen standing on the sidewalk and looking off into the distance.</t>
  </si>
  <si>
    <t>The girl then throws the rock and begins playing a game of hopscotch.</t>
  </si>
  <si>
    <t>She throws and hops several times while stopping to look to the camera.</t>
  </si>
  <si>
    <t>v_YFTQImGp_nY</t>
  </si>
  <si>
    <t>A television announcer claps on her legs while singing introducing a show.</t>
  </si>
  <si>
    <t>A group of dancers in colorful costumes do an dance act with hula hoops.</t>
  </si>
  <si>
    <t>The audience is seen and members clap for the group.</t>
  </si>
  <si>
    <t>The older members of the group hold up poles for the children dancing to swing from.</t>
  </si>
  <si>
    <t>The hula hoop dancers get even more hoops for the finale.</t>
  </si>
  <si>
    <t>Confetti rains from the air onto the performers.</t>
  </si>
  <si>
    <t>The announcer stands up and claps for the group.</t>
  </si>
  <si>
    <t>v_rCwolEeHY80</t>
  </si>
  <si>
    <t>A man sits with shears resting in hand in a rose garden.</t>
  </si>
  <si>
    <t>The man clips dead roses from a rose bush with shears.</t>
  </si>
  <si>
    <t>The man clips whole branches near the base of the rose bushes.</t>
  </si>
  <si>
    <t>Dying rose bush leaves a seen up close.</t>
  </si>
  <si>
    <t>Healthy rose bush leaves are seen up close.</t>
  </si>
  <si>
    <t>v_boqfpo3YAps</t>
  </si>
  <si>
    <t>Several pictures are shown of a woman standing by herself as well as with friends.</t>
  </si>
  <si>
    <t>Video footage is then shown of her running alongside a large group of people while many watch on the sides.</t>
  </si>
  <si>
    <t>More pictures are shown of her finishing the race as well as others.</t>
  </si>
  <si>
    <t>v_bEt8fGREAAA</t>
  </si>
  <si>
    <t>A man with a saxaphone around his neck talks to the camera in a dim room.</t>
  </si>
  <si>
    <t>The camera changes like a box spinning.</t>
  </si>
  <si>
    <t>The man looks around then he is playing his saxophone.</t>
  </si>
  <si>
    <t>A website a person the screen in the lower left corner and the screen fades.</t>
  </si>
  <si>
    <t>v_sYJgYpQknw0</t>
  </si>
  <si>
    <t>The front of a large brown building with snow in front of it is shown.</t>
  </si>
  <si>
    <t>In the inside,there is a ping pong table and two adult males begin walking towards each other.</t>
  </si>
  <si>
    <t>They then begin playing ping pong with nun-chucks and using their feet to hit the ball.</t>
  </si>
  <si>
    <t>As the game progresses,more balls are added and they continue to play without missing one ball.</t>
  </si>
  <si>
    <t>The game intensifies and the man on the right misses the ball and the man congratulates himself.</t>
  </si>
  <si>
    <t>v_3YDQ9wZtIgw</t>
  </si>
  <si>
    <t>A large group of people are seen running around a field playing a game of lacrosse with one another.</t>
  </si>
  <si>
    <t>The players run up and down the field while the camera captures their movements.</t>
  </si>
  <si>
    <t>The men continue playing around one another while people watch on the side and cheer them on.</t>
  </si>
  <si>
    <t>v_C9yUg3e1dEg</t>
  </si>
  <si>
    <t>A man is lifting a large weight over his head several times.</t>
  </si>
  <si>
    <t>A woman walks in front of him.</t>
  </si>
  <si>
    <t>A man in a black shirt stands behind him.</t>
  </si>
  <si>
    <t>v_ybcStSlBGPc</t>
  </si>
  <si>
    <t>A lighted jack-o-lantern comes into focus.</t>
  </si>
  <si>
    <t>The jack-o-lantern moves towards the camera.</t>
  </si>
  <si>
    <t>A young woman is talking very animatedly in front of a white wall.</t>
  </si>
  <si>
    <t>The woman holds a small pumpkin in her hand while talking.</t>
  </si>
  <si>
    <t>The woman holds up a piece of paper with some stickers on it.</t>
  </si>
  <si>
    <t>The pumpkin is seen moving on it's own on a table with a black tablecloth.</t>
  </si>
  <si>
    <t>The pumpkin spins around showing some cartoon faces.</t>
  </si>
  <si>
    <t>An animation of a knife stabs the pumpkin and a cat runs back and forth next to the table.</t>
  </si>
  <si>
    <t>The pumpkin is replaced with other objects one at a time, a knife, a spoon, a candle, etc.</t>
  </si>
  <si>
    <t>The woman is wearing a sticker of a mustache on her face and draws on the small pumpkin with a black felt pen.</t>
  </si>
  <si>
    <t>The woman holds a knife and begins carving the pumpkin along the lines she drew.</t>
  </si>
  <si>
    <t>The woman scoops out the pumpkin seeds with a spoon and puts the seeds in a Halloween themed paper cup.</t>
  </si>
  <si>
    <t>The woman continues carving the face of the pumpkin to turn it into a jack-o-lantern.</t>
  </si>
  <si>
    <t>The woman cleans up the face of the jack-o-lantern with a towel and places the top with the stem back on.</t>
  </si>
  <si>
    <t>The woman places the candle inside the jack-o-lantern.</t>
  </si>
  <si>
    <t>The woman flicks on a disposable lighter.</t>
  </si>
  <si>
    <t>The lighted jack-o-lantern is seen once again moving on it's own on the black table.</t>
  </si>
  <si>
    <t>The video ends and shows a split screen with samples from three other videos the woman has made, with a "Subscribe" button in the middle.</t>
  </si>
  <si>
    <t>v_weB3srg6o4c</t>
  </si>
  <si>
    <t>man is sitting in a handwash and another man enters in the bathrrom and start a conversation.</t>
  </si>
  <si>
    <t>man is spreading toothpaste in toothbrush and wash their tooth.</t>
  </si>
  <si>
    <t>v_EE1UoJSNyms</t>
  </si>
  <si>
    <t>A man rakes leaves from the yard into a pile and dumps them in a metal trash bin.</t>
  </si>
  <si>
    <t>The man puts his tools away in the shed and carries away a bag of leaves.</t>
  </si>
  <si>
    <t>v_w2zTEQMg_v0</t>
  </si>
  <si>
    <t>A group of men and women of various ages are working out on elliptical exercise machines.</t>
  </si>
  <si>
    <t>A man, wearing only work out shorts, wipes sweat from his brown and leans against a wall.</t>
  </si>
  <si>
    <t>A fit woman's body in a white bikini exhibits as a woman and a man in work out clothes appear working out on elliptical machines.</t>
  </si>
  <si>
    <t>The woman and man then appear dressed in full casual attire before returning to the elliptical machines in work out gear, and cycling backwards and forwards on the elliptical machines again and showcasing fit profiles both alone and on the machine.</t>
  </si>
  <si>
    <t>v_TN73eY7B208</t>
  </si>
  <si>
    <t>A group of female in a big studio are wearing black, they are in a formation, then the man in black vest and white pants walked at the center.</t>
  </si>
  <si>
    <t>The females and man started to march, then danced, putting their arms up, then down and then they go forward then backward, sideways, and move their arms side to side, they also shake their hips and body.</t>
  </si>
  <si>
    <t>v_rDGbxMgkt7w</t>
  </si>
  <si>
    <t>Several women are outside on a stage doing several exercises and working out as a group.</t>
  </si>
  <si>
    <t>As they continue,several people begin to walk by the stage and watch them perform.</t>
  </si>
  <si>
    <t>The instructors continue to dance and amp up the other teams to dance and they end by clapping it off together.</t>
  </si>
  <si>
    <t>v_obt6wudzHxY</t>
  </si>
  <si>
    <t>Instruction on how to braid your hair.</t>
  </si>
  <si>
    <t>A girl in a grey t-shirt demonstrates how to braid your hair and shows a step by step process.</t>
  </si>
  <si>
    <t>Some tips are displayed in print.</t>
  </si>
  <si>
    <t>The hair stylist shows the finished product while dresses in a black top and sunglasses.</t>
  </si>
  <si>
    <t>v_xfThpRE6bLc</t>
  </si>
  <si>
    <t>A few people attempt to surf in an ocean.</t>
  </si>
  <si>
    <t>Sometimes they fall, but often the surfers do a great job.</t>
  </si>
  <si>
    <t>v_g-Egl6eXlX4</t>
  </si>
  <si>
    <t>A man is sitting in a barber chair.</t>
  </si>
  <si>
    <t>Another man starts shaving the sides of his head.</t>
  </si>
  <si>
    <t>He blow dries his hair and styles it.</t>
  </si>
  <si>
    <t>He puts some gel in his hair.</t>
  </si>
  <si>
    <t>v_XLOhMBLYy2g</t>
  </si>
  <si>
    <t>A camera pans all around a lake and trees an leads into people pulling a rope along.</t>
  </si>
  <si>
    <t>A man ties the rope into place and shows several clips of people hanging on the rope as well as walking.</t>
  </si>
  <si>
    <t>More clips are shown of people walking along the rope as well as more landscapes.</t>
  </si>
  <si>
    <t>v_pVehZjbud_M</t>
  </si>
  <si>
    <t>A lady plays with her hair.</t>
  </si>
  <si>
    <t>The lady brushes the bottom of her hair by stretching her arm upwards she brushes the top then the ends and finishes.</t>
  </si>
  <si>
    <t>v_s9Q8SZbixV4</t>
  </si>
  <si>
    <t>A group of people are in a high school gym.</t>
  </si>
  <si>
    <t>Males are partnered with females and they are holding hands.</t>
  </si>
  <si>
    <t>Now they are all dancing the same dance.</t>
  </si>
  <si>
    <t>It appears to be some sort of tango dance.</t>
  </si>
  <si>
    <t>The men are twirling the girls around their hands.</t>
  </si>
  <si>
    <t>The men are leading the girls in the dance.</t>
  </si>
  <si>
    <t>The girls are twirling around the boys.</t>
  </si>
  <si>
    <t>The dancing continues for many more moments.</t>
  </si>
  <si>
    <t>The girls and boys separate.</t>
  </si>
  <si>
    <t>The girls twirl scarfs around, then the boys pick them up to finish.</t>
  </si>
  <si>
    <t>v_nm2sHNDN7Lo</t>
  </si>
  <si>
    <t>We see a man in a pink shirt throw a ball in a cup in a game of beer pong.</t>
  </si>
  <si>
    <t>The man on the left team blows the ball out of the cup.</t>
  </si>
  <si>
    <t>The man and the two ladies laugh and cheer and he high fives one lady.</t>
  </si>
  <si>
    <t>The man makes hand signs.</t>
  </si>
  <si>
    <t>v_Ig_AvatvYrk</t>
  </si>
  <si>
    <t>There is a young man dressed in a black shirt going round in circles to show his hair from the front and back.</t>
  </si>
  <si>
    <t>Then he takes a spray bottle and sprays his hair with water and combs it.</t>
  </si>
  <si>
    <t>He then takes a razor and begins shaving the sides and the back of his head.</t>
  </si>
  <si>
    <t>He takes a pair of scissors and starts trimming the top part of hair.</t>
  </si>
  <si>
    <t>He uses a black comb and scissors to point cut his hair.</t>
  </si>
  <si>
    <t>He holds the hair in his hand as he trims it.</t>
  </si>
  <si>
    <t>He takes the razor again and shaves the sides.</t>
  </si>
  <si>
    <t>He takes the scissors too and trims his hair.</t>
  </si>
  <si>
    <t>He then blow dries his hair.</t>
  </si>
  <si>
    <t>He takes a small amount of hair gel on his finger from the container and rubs it through the long section of his hair.</t>
  </si>
  <si>
    <t>He then combs the hair to style it.</t>
  </si>
  <si>
    <t>He runs his fingers through the hair to finish off the look.</t>
  </si>
  <si>
    <t>He rotates around to show his hairstyle from all angles.</t>
  </si>
  <si>
    <t>v_fL8Gzk7ALxQ</t>
  </si>
  <si>
    <t>A group of people is gathered in a circle.</t>
  </si>
  <si>
    <t>Two men are in the circle demonstrating a martial art.</t>
  </si>
  <si>
    <t>Several men in the circle play an instrument.</t>
  </si>
  <si>
    <t>v_pLcrLi5oAvU</t>
  </si>
  <si>
    <t>A hair dresser is cutting a mans hair, starting at the top.</t>
  </si>
  <si>
    <t>Then, he starts at the back cut and combing back there.</t>
  </si>
  <si>
    <t>After that he uses some clippers to clip some of the harder areas.</t>
  </si>
  <si>
    <t>Finally using the comb to style it a bit and give it finishing touches.</t>
  </si>
  <si>
    <t>v_mhsotF4wdG8</t>
  </si>
  <si>
    <t>two guys appears in a backyard and are speaking to the camera.</t>
  </si>
  <si>
    <t>guys are in a wood surface playing rock paper scissors and the loser is given a wooden hit in the nuts and fell to the floor.</t>
  </si>
  <si>
    <t>man is talking to camera and other guys are in the back adn then talking to the winner.</t>
  </si>
  <si>
    <t>they are playing round two o rock paper scissors and again the loser is fiven a wooden hit in the nuts and a man is talking to the camera.</t>
  </si>
  <si>
    <t>the guys make the final round of rock paper scissors and the winner is announced, one of the men gaves a hit in the nuts to both guys.</t>
  </si>
  <si>
    <t>v_JvFo4uTvmYs</t>
  </si>
  <si>
    <t>A person stands on a mat.</t>
  </si>
  <si>
    <t>They run down a runway holding a pole and vault over a bar.</t>
  </si>
  <si>
    <t>They land on their back on a mat.</t>
  </si>
  <si>
    <t>v_Ia3Aa4AO-_E</t>
  </si>
  <si>
    <t>two twins dressed in the same way and with the same hairstyle are in a room talking to the camera.</t>
  </si>
  <si>
    <t>the man in the back start putting some boxers above the pants and the man in front continue speaking to the camera.</t>
  </si>
  <si>
    <t>Man in front holds a brushteeth and put some toothpaste and clean his teeth, then the guy introduces the toothbrush into a honey pot and brush the teeth with it.</t>
  </si>
  <si>
    <t>man in front holds an hairbrush and the other guy drinks water, the other guy holds a toothbrush with jam and brush his teeth.</t>
  </si>
  <si>
    <t>v_2CfCDcCuOO4</t>
  </si>
  <si>
    <t>A small dog is playing with a pink frisbee.</t>
  </si>
  <si>
    <t>A man in a white shirt and red shorts lays down and puts his feet in the air.</t>
  </si>
  <si>
    <t>The dog stands on top of the mans feet.</t>
  </si>
  <si>
    <t>People are watching them on the sidelines.</t>
  </si>
  <si>
    <t>v_QPxiOzXkUFM</t>
  </si>
  <si>
    <t>man is sitting on a boat in a calm lake.</t>
  </si>
  <si>
    <t>car is being driven in a highway with cars standing on the sides.</t>
  </si>
  <si>
    <t>photo of a iver is shown and he car going through the haighway and arriving to a lake.</t>
  </si>
  <si>
    <t>people are in boat paddling in the river and arriving to a camp on pier.</t>
  </si>
  <si>
    <t>v_KQvqRh1mY8c</t>
  </si>
  <si>
    <t>A man runs holding a pole with both hands.</t>
  </si>
  <si>
    <t>Then, she jumps high with the pole to pass over an horizontal bar.</t>
  </si>
  <si>
    <t>The man falls on the mat.</t>
  </si>
  <si>
    <t>v_nSuPseBeQI0</t>
  </si>
  <si>
    <t>A couple of boys are riding skateboards.</t>
  </si>
  <si>
    <t>They watch another couple of men playing basketball.</t>
  </si>
  <si>
    <t>They argue, then the basketball players leave.</t>
  </si>
  <si>
    <t>v_1SXVKikAHdM</t>
  </si>
  <si>
    <t>a box of rollerbldes is shown and the lid is opened amd tje accesories are shown with the rollerblades.</t>
  </si>
  <si>
    <t>man is in street skating and showing pictures of the skates.</t>
  </si>
  <si>
    <t>v_erXZ0pZEtGE</t>
  </si>
  <si>
    <t>A woman in a parking lot is bouncing up and down with some kind of pogo stick attachments on her legs.</t>
  </si>
  <si>
    <t>The woman walks around the parking lot.</t>
  </si>
  <si>
    <t>The woman starts bouncing up and down while walking around.</t>
  </si>
  <si>
    <t>A man walks up and talks to the woman.</t>
  </si>
  <si>
    <t>The woman holds the man's hands for balance while bouncing.</t>
  </si>
  <si>
    <t>v_u2uoYvo8J5s</t>
  </si>
  <si>
    <t>A man is opening his back door to let a little girl outside.</t>
  </si>
  <si>
    <t>The man is following the little girl.</t>
  </si>
  <si>
    <t>A little girl walks and points toward the camera.</t>
  </si>
  <si>
    <t>A dog enters the scene and the little girl jumps with happiness.</t>
  </si>
  <si>
    <t>The little girl walks around her slide.</t>
  </si>
  <si>
    <t>The little girl starts to climb up the slide and the man helps her get to the top.</t>
  </si>
  <si>
    <t>The little girl begins to play with the wheel and gets on her knees.</t>
  </si>
  <si>
    <t>The man helps the little girl go down the slide.</t>
  </si>
  <si>
    <t>The little girl goes to the swing and the man helps her into it.</t>
  </si>
  <si>
    <t>The little girl points at the camera.</t>
  </si>
  <si>
    <t>The man pushes the little girl on the swing.</t>
  </si>
  <si>
    <t>v_wBy9_ZSfEVA</t>
  </si>
  <si>
    <t>People run dragging a large red kite through a field.</t>
  </si>
  <si>
    <t>The kite is in the air and the kids are standing under it watching it.</t>
  </si>
  <si>
    <t>The kite is in the air flying.</t>
  </si>
  <si>
    <t>A man and a little girl and a boy are flying the kite and holding the base of it.</t>
  </si>
  <si>
    <t>A little girl throws something on the ground.</t>
  </si>
  <si>
    <t>v_jmS3NFo4XCc</t>
  </si>
  <si>
    <t>We see a dart board swinging gently.</t>
  </si>
  <si>
    <t>Two darts, one red, one green hit the board.</t>
  </si>
  <si>
    <t>We change angle and two more darts hit the board.</t>
  </si>
  <si>
    <t>The screen fades to black and we see the end credits.</t>
  </si>
  <si>
    <t>v_DR0hc7lT0hE</t>
  </si>
  <si>
    <t>A man is seen backing away from the camera while speaking and holding a hula hoop.</t>
  </si>
  <si>
    <t>The man then swings the hula hoop all around himself while walking to the camera.</t>
  </si>
  <si>
    <t>Another man walks into frame and hula hoops with the man while still looking at the camera.</t>
  </si>
  <si>
    <t>v_PF0c0UIsG0E</t>
  </si>
  <si>
    <t>A man is seen sitting down and speaking to the camera while holding a hookah hose and another person is seen in frame.</t>
  </si>
  <si>
    <t>The man takes a puff from the pipe while speaking to the camera and hands it to the other man who also takes a hit.</t>
  </si>
  <si>
    <t>He blows the smoke out and the first man is still seen speaking to the camera.</t>
  </si>
  <si>
    <t>v_4QqoWbK2ELc</t>
  </si>
  <si>
    <t>A person prepares to bungee jump over a body of water while onlookers watch from the ground.</t>
  </si>
  <si>
    <t>The person is sitting down, first, strapped into bungee jumping gear.</t>
  </si>
  <si>
    <t>The person stands at the edge of a wooden jumping surface as onlookers watch from the ground.</t>
  </si>
  <si>
    <t>The person jumps off of the edge and falls down as the camera follows and reveals that this is a man who has jumped, and the man is smiling and laughing as he flails in the air just above the water.</t>
  </si>
  <si>
    <t>v_cKFARm4dsws</t>
  </si>
  <si>
    <t>A little boy is getting on the swinging closing his little safety guard.</t>
  </si>
  <si>
    <t>He closes it and builds up some momentum to start going fast.</t>
  </si>
  <si>
    <t>He kicks his feet back and forth getting pretty high.</t>
  </si>
  <si>
    <t>He just enjoys his time swinging back and forth outside enjoying the day.</t>
  </si>
  <si>
    <t>v_3WyJNIqDFQg</t>
  </si>
  <si>
    <t>A close up a chair is shown while the camera pans out backwards and text moves across the screen.</t>
  </si>
  <si>
    <t>The camera follows closely into the chair and leads into a woman sitting comfortable on the chair.</t>
  </si>
  <si>
    <t>The woman adjusts the seat and leads into several more close ups of the chair being shown.</t>
  </si>
  <si>
    <t>v_W_iKlOPSDos</t>
  </si>
  <si>
    <t>We see a speedboat speeding through a lake and a man jet skiing behind it.</t>
  </si>
  <si>
    <t>The screen flashes black and we see more jet skiing.</t>
  </si>
  <si>
    <t>v_zlXs92vjuSU</t>
  </si>
  <si>
    <t>A young man named Sean wearing a beanie hat and black earring studs.</t>
  </si>
  <si>
    <t>He is demonstrating how to pierce his ear with stud earrings.</t>
  </si>
  <si>
    <t>He expresses severe pain as he tries to pierce his ear lobe.</t>
  </si>
  <si>
    <t>He takes an ice cube to soothe his ear lobe.</t>
  </si>
  <si>
    <t>Then he uses a cigarette lighter to heat the earring to sanitize it.</t>
  </si>
  <si>
    <t>He tries using a thumbtack to help the piercing but ends up causing severe bleeding in his ear.</t>
  </si>
  <si>
    <t>He then tries a rubber mallet to force the earring in.</t>
  </si>
  <si>
    <t>He cries and sobs in pain at his unsuccessful attempt of piercing his own ear lobe.</t>
  </si>
  <si>
    <t>v_vu-3Zi94F0M</t>
  </si>
  <si>
    <t>A man is seen sitting in a kayak looking to the camera.</t>
  </si>
  <si>
    <t>He then sticks his paddle in the water and begins moving along.</t>
  </si>
  <si>
    <t>He continues riding around an area while moving the paddle.</t>
  </si>
  <si>
    <t>v_evXdygHVzNc</t>
  </si>
  <si>
    <t>A teen spins holding a disc in his right hand, then the girl throws the disc while competing in a stadium.</t>
  </si>
  <si>
    <t>Then, another young woman spins around an throws a disc.</t>
  </si>
  <si>
    <t>A female spins and throw a disc far and she wins the competition.</t>
  </si>
  <si>
    <t>A man in the track raise a white flag on his right arm.</t>
  </si>
  <si>
    <t>v_8LiO75NtXNw</t>
  </si>
  <si>
    <t>Gymnast from Ukraine performs long jump in a final competition.</t>
  </si>
  <si>
    <t>A man holds a white and a red flags.</t>
  </si>
  <si>
    <t>The gymnast runs in the track until a white line, and jumps to perform the long jump.</t>
  </si>
  <si>
    <t>Then, a woman from Germany performs the long jump, and after a girl from Australia jumps long on the sand box.</t>
  </si>
  <si>
    <t>The woman from Germany wins the competition, she runs and greats the public.</t>
  </si>
  <si>
    <t>v_PNQpC_FlE2M</t>
  </si>
  <si>
    <t>A man in a vest is sitting in a boat.</t>
  </si>
  <si>
    <t>Then the man is in the water, holding a stick and a line attached to the boat.</t>
  </si>
  <si>
    <t>The boat begins to pull him in the water as he begins water skiing.</t>
  </si>
  <si>
    <t>He skis for a long while.</t>
  </si>
  <si>
    <t>v_8xS6cDOq5do</t>
  </si>
  <si>
    <t>girls are sitting in a rom and boys are standing behind them boys starts comb the hair.</t>
  </si>
  <si>
    <t>woman wearing blue sweater crawl on all fours.</t>
  </si>
  <si>
    <t>boys keep combing the hair and putting some hair rolls on the girls.</t>
  </si>
  <si>
    <t>woman in the middle is irritated and stands and remove the rolls for th head and sits again and laugh a lot.</t>
  </si>
  <si>
    <t>v_shZRGB58YBU</t>
  </si>
  <si>
    <t>A man is seated on a stage.</t>
  </si>
  <si>
    <t>There is a room full of people watching him.</t>
  </si>
  <si>
    <t>He is playing a set of drums with his hands.</t>
  </si>
  <si>
    <t>v_OTMkyaTCpqM</t>
  </si>
  <si>
    <t>An overhead view of a pool match.</t>
  </si>
  <si>
    <t>A man in a funny blue vest is shown as the next player to take a shot.</t>
  </si>
  <si>
    <t>He pauses and studies the table before taking his shot.</t>
  </si>
  <si>
    <t>He shoots and hits the blue ball in the corner right pocket.</t>
  </si>
  <si>
    <t>v_eBEnQDNyzFk</t>
  </si>
  <si>
    <t>A close up of food is shown followed by two women speaking to the camera and presenting various ingredients.</t>
  </si>
  <si>
    <t>The women then mix the ingredients into a pot after the noodles are cooked and then mix everything together in a bowl.</t>
  </si>
  <si>
    <t>Finally the dish is shown on a plate in the end and the women eat the food.</t>
  </si>
  <si>
    <t>v_ZtfdFFYa8vY</t>
  </si>
  <si>
    <t>black dog is walking in a treadmill in a white room.</t>
  </si>
  <si>
    <t>dog is running in the treadmill that is next to a drawer.</t>
  </si>
  <si>
    <t>dog is wearing a red necklace and is doing exercise.</t>
  </si>
  <si>
    <t>v_yE0fDD_7FkM</t>
  </si>
  <si>
    <t>A girl is walking on a diving board.</t>
  </si>
  <si>
    <t>People are in the background watching.</t>
  </si>
  <si>
    <t>The girl jumps off the diving board into the swimming pool.</t>
  </si>
  <si>
    <t>There is a small splash in the water.</t>
  </si>
  <si>
    <t>v_5qBzjfW-sMs</t>
  </si>
  <si>
    <t>A young man is seen putting a piece of wood onto a bark and holds up an axe.</t>
  </si>
  <si>
    <t>He then swings the axe the bark breaking it in half, followed by him yelling into the air.</t>
  </si>
  <si>
    <t>v_N2nNkWXYAYw</t>
  </si>
  <si>
    <t>A woman sits on the floor next a vacuum.</t>
  </si>
  <si>
    <t>The woman vacuums dirt on a hard floor.</t>
  </si>
  <si>
    <t>Then, the woman cleans waste on a carpet.</t>
  </si>
  <si>
    <t>After, the woman vacuums over a pillow using a smaller nozzle.</t>
  </si>
  <si>
    <t>Next, then woman put a new nozzle to clean narrow surfaces.</t>
  </si>
  <si>
    <t>Also the woman measures the pressure of suction and shows the inside of the vacuum.</t>
  </si>
  <si>
    <t>v_yCqe0J1xgyc</t>
  </si>
  <si>
    <t>We see two girls representing China standing on diving boards above an Olympic size pool and dive in unison and we see their scores.</t>
  </si>
  <si>
    <t>We then see two girls representing the USA dive in unison and see their scores.</t>
  </si>
  <si>
    <t>Next are two girls representing Italy diving and scores are shown.</t>
  </si>
  <si>
    <t>Germany is the next team to dive and scores are shown for them.</t>
  </si>
  <si>
    <t>v_x75wqBUD3zo</t>
  </si>
  <si>
    <t>A man is seen speaking to the camera while holding up a harmonica.</t>
  </si>
  <si>
    <t>The man blows into the instrument while pausing to speak to the camera.</t>
  </si>
  <si>
    <t>He continues playing the instrument and stopping to speak to the camera.</t>
  </si>
  <si>
    <t>v___mIAEE03bE</t>
  </si>
  <si>
    <t>People are snowboarding down a large hill of snow.</t>
  </si>
  <si>
    <t>A person in a green jacket is snowboarding while holding a camera in front of them.</t>
  </si>
  <si>
    <t>The people get to the bottom and start taking their snowboards off.</t>
  </si>
  <si>
    <t>v_vV_d5bfNmBQ</t>
  </si>
  <si>
    <t>Men on the beach playing volleyball in the sand.</t>
  </si>
  <si>
    <t>One of the guys hits the ball over to the other side and they hit it back.</t>
  </si>
  <si>
    <t>Then on the other side of the beach there is a group of women also playing volleyball.</t>
  </si>
  <si>
    <t>They are playing a really good game, one of the girl lands right on her stomach.</t>
  </si>
  <si>
    <t>v_Djlmto9iibw</t>
  </si>
  <si>
    <t>A dog is swimming in a small pool.</t>
  </si>
  <si>
    <t>He is being rubbed with shampoo.</t>
  </si>
  <si>
    <t>He is back in the water getting cleaned.</t>
  </si>
  <si>
    <t>A person is spraying the dog with a hose.</t>
  </si>
  <si>
    <t>The dog is then put in a metal pen.</t>
  </si>
  <si>
    <t>v_jA-KApGlXyA</t>
  </si>
  <si>
    <t>A person explains how to play squash holding a racket and a blue ball.</t>
  </si>
  <si>
    <t>Then, he continues explaining showing how to hit the ball on the wall.</t>
  </si>
  <si>
    <t>v_EBhAGOXvPcA</t>
  </si>
  <si>
    <t>A bike is seen outside a building.</t>
  </si>
  <si>
    <t>A group of men are outside, drinking eer and talking while playing beer pong.</t>
  </si>
  <si>
    <t>They try to throw the ball into the glasses.</t>
  </si>
  <si>
    <t>They laugh and talk as they play.</t>
  </si>
  <si>
    <t>v_eTIaRqgQ4Qg</t>
  </si>
  <si>
    <t>A camera is seen panning around a large lake followed by a person riding by on skis behind a jet ski.</t>
  </si>
  <si>
    <t>Two people are seen riding behind the jet ski and continuing to move along the water.</t>
  </si>
  <si>
    <t>v_offWBoR4Ggg</t>
  </si>
  <si>
    <t>The player in yellow shirt kicked the ball towards the goal, and the goalkeeper was not able to catch it, another player in red shirt kicked the ball and the goalkeeper weren't able to catch it.</t>
  </si>
  <si>
    <t>The goalkeeper is standing in front of the net, the crowds are cheering.</t>
  </si>
  <si>
    <t>v_0rX2f0H3AaA</t>
  </si>
  <si>
    <t>A white screen is shown and several words are shown on the screen.</t>
  </si>
  <si>
    <t>Then a blue mat is shown and an individual begins sweeping and laying the blue mat against the mat.</t>
  </si>
  <si>
    <t>The man takes out a measuring tape and cuts off a piece of the blue mat and continues covering the floor.</t>
  </si>
  <si>
    <t>v_IRmk1AM-yJE</t>
  </si>
  <si>
    <t>Two people are seen playing a game of pool while others watch on the side and conversation.</t>
  </si>
  <si>
    <t>The men continue hitting the ball around the table and moving around.</t>
  </si>
  <si>
    <t>v_Fi0PQwhsGs4</t>
  </si>
  <si>
    <t>Two men are outside talking to one another and they begin doing arm stretches.</t>
  </si>
  <si>
    <t>They then stop and do a series of Rock,Paper,Scissors.</t>
  </si>
  <si>
    <t>v_3CO7fRiJOy4</t>
  </si>
  <si>
    <t>Several small children drive around in bumper cars.</t>
  </si>
  <si>
    <t>One of them continuously spins in circles.</t>
  </si>
  <si>
    <t>She rides alone after the others have left.</t>
  </si>
  <si>
    <t>v_5KEq4f4dGto</t>
  </si>
  <si>
    <t>We see a lady painting her fingernails.</t>
  </si>
  <si>
    <t>We see a titles screen.</t>
  </si>
  <si>
    <t>The lady files and puts on a clear coat.</t>
  </si>
  <si>
    <t>The lady paints her finger nails blue.</t>
  </si>
  <si>
    <t>The lady adds a top coat of clear polish.</t>
  </si>
  <si>
    <t>The lady puts oil on her cuticles and we see the finished product.</t>
  </si>
  <si>
    <t>v_nA9MM4baSdc</t>
  </si>
  <si>
    <t>This woman is shown playing the black harmonica.</t>
  </si>
  <si>
    <t>she stops for a little bit, but then she keeps going.</t>
  </si>
  <si>
    <t>v_cfhc7tf8vU4</t>
  </si>
  <si>
    <t>A tall Black male is standing outside clapping trying to gain the crowds participation.</t>
  </si>
  <si>
    <t>The athlete then takes off and does a triple jump into the pit.</t>
  </si>
  <si>
    <t>Once he gets out of the pit,he walks around and a replay is shown to make sure that he didn't scratch and the jump can be counted.</t>
  </si>
  <si>
    <t>Another man approaches the run way and repeats the same step but ends up scratching.</t>
  </si>
  <si>
    <t>v_VEwZJ-5u_Xs</t>
  </si>
  <si>
    <t>People fly kites from a rooftop holding kite string pools.</t>
  </si>
  <si>
    <t>Several kites fly in the sky.</t>
  </si>
  <si>
    <t>A man holds a kite string pool while flying a kite.</t>
  </si>
  <si>
    <t>v_IWXIEfaltJ4</t>
  </si>
  <si>
    <t>A man is shown holding up a piece of metal and places it along a wall.</t>
  </si>
  <si>
    <t>He then puts plaster along the metal and rubs the sander all over the wall while still looking back to the camera.</t>
  </si>
  <si>
    <t>v_TWhxFETOG8I</t>
  </si>
  <si>
    <t>Two teams play a game of indoor soccer.</t>
  </si>
  <si>
    <t>Players from the white team dribble and pass the ball all the way down field and make a goal.</t>
  </si>
  <si>
    <t>Players from the blue team dribble and pass all the way down field and make a goal.</t>
  </si>
  <si>
    <t>A member of the blue team battles two defenders near goal and makes a point.</t>
  </si>
  <si>
    <t>Players take corner kicks and assist a goals.</t>
  </si>
  <si>
    <t>v_CcKeoeSZVnE</t>
  </si>
  <si>
    <t>Two women are smoking a hookah while seated on a couch.</t>
  </si>
  <si>
    <t>They take turns taking hits and blowing smoke.</t>
  </si>
  <si>
    <t>They are blowing the smoke in rings toward the camera.</t>
  </si>
  <si>
    <t>v_uK0dxEMBXfY</t>
  </si>
  <si>
    <t>A man standing in a yard talks to the camera about his yard.</t>
  </si>
  <si>
    <t>The man motions he had across the yard.</t>
  </si>
  <si>
    <t>The man then mows his lawn with his mower.</t>
  </si>
  <si>
    <t>The man stops and shows the electrical cord on his mower.</t>
  </si>
  <si>
    <t>v_QRcwvzq7QUM</t>
  </si>
  <si>
    <t>We see a lady standing in a news studio talking to the camera.</t>
  </si>
  <si>
    <t>We then see people in a field on horses.</t>
  </si>
  <si>
    <t>The people are playing polo on the horses.</t>
  </si>
  <si>
    <t>We see a man talking to the camera.</t>
  </si>
  <si>
    <t>We then see the people playing again.</t>
  </si>
  <si>
    <t>The man is talking to the camera again.</t>
  </si>
  <si>
    <t>We see the polo players on their horses.</t>
  </si>
  <si>
    <t>A man holds liquor in front of a horses mouth, We see the newscaster again.</t>
  </si>
  <si>
    <t>v_PnY3FT_QqWo</t>
  </si>
  <si>
    <t>A woman is standing in a gated yard beside a girl on a horse.</t>
  </si>
  <si>
    <t>She walks away as the girl rides the horse carefully around the fence.</t>
  </si>
  <si>
    <t>She then takes the horse into a light trot as she rides.</t>
  </si>
  <si>
    <t>v_1QjVfj0S8qQ</t>
  </si>
  <si>
    <t>A shirtless man scrapes roofing gravel using a shovel.</t>
  </si>
  <si>
    <t>The man stops and leans on the shovel for a moment to look at the amount of work that is ahead of him.</t>
  </si>
  <si>
    <t>The man continues to scrape the gravel roof and turns with his back towards the camera.</t>
  </si>
  <si>
    <t>v_BrnUW2LSJDI</t>
  </si>
  <si>
    <t>Two men are seen standing around a shuffleboard table followed by the men hitting pucks across the board.</t>
  </si>
  <si>
    <t>The men continue hitting the pucks and zoom in on their faces in the end.</t>
  </si>
  <si>
    <t>v_m978SIFnHS8</t>
  </si>
  <si>
    <t>Dark nights are shown with lightning flashing through the sky.</t>
  </si>
  <si>
    <t>After,the video begins and several people are shown on a large boat sailing in the water.</t>
  </si>
  <si>
    <t>The weather begins to turn nasty and the people have to hold on for dear life so they won't die.</t>
  </si>
  <si>
    <t>In one instance,the boat begins to tip to the side and the people jump in joy that it didn't tip over as the horrid weather continues.</t>
  </si>
  <si>
    <t>v_W-poAYW1pb0</t>
  </si>
  <si>
    <t>A group of runners are on a street, and a boston marathoner who has broken a record is shown talking in an interview after celebrating.</t>
  </si>
  <si>
    <t>News casters are shown talking about the man and others as they reach the end of the marathon.</t>
  </si>
  <si>
    <t>The runners are shown as a group, as men dressed as british solders enact a play for the crowds.</t>
  </si>
  <si>
    <t>v_BGeB6KEQM94</t>
  </si>
  <si>
    <t>A man in peach sweater is skateboarding and then fell on the ground.</t>
  </si>
  <si>
    <t>A man in orange stop is skateboarding in the dark street and fell on the ground.</t>
  </si>
  <si>
    <t>A man in black shirt skateboard down the wide road and fell on the side of the road, the man showed his bleeding cuts in front of the camera.</t>
  </si>
  <si>
    <t>A the skateboarders are falling off their skateboards.</t>
  </si>
  <si>
    <t>v_p7VTBhv3OLY</t>
  </si>
  <si>
    <t>A man is talking in front of a net in a yard.</t>
  </si>
  <si>
    <t>Two boys are seen hitting a ball into the net.</t>
  </si>
  <si>
    <t>Then we see a game on a field with men hitting balls with nets into the goal.</t>
  </si>
  <si>
    <t>v_d0h_l9bE1o0</t>
  </si>
  <si>
    <t>A group of cheerleaders are shown practicing their routine in a gymnasium.</t>
  </si>
  <si>
    <t>The scene transitions to one cheerleader being interviewed while others stretch in the background, with occasional cheerleader-related clips interspersed.</t>
  </si>
  <si>
    <t>A man wearing blue is interviewed in the same setting, with occasional cheerleader-related clips interspersed.</t>
  </si>
  <si>
    <t>Another man is interviewed in the same setting, with occasional cheerleader-related clips interspersed.</t>
  </si>
  <si>
    <t>The camera returns to the man in blue being interviewed, with short cheerleader action sequences.</t>
  </si>
  <si>
    <t>The camera returns to the first individual interviewed, with short cheerleader action sequences.</t>
  </si>
  <si>
    <t>v_cqHWqXRkUfU</t>
  </si>
  <si>
    <t>Several people are standing outside in a snow with tubes in front of them.</t>
  </si>
  <si>
    <t>Two people then get in the tubes and are pushed down the slopes.</t>
  </si>
  <si>
    <t>They go down the snow slide and once they reach the bottom they get off.</t>
  </si>
  <si>
    <t>v_g0B_4IlLn3g</t>
  </si>
  <si>
    <t>A girl is standing in her bathroom making giggly faces while holding a cup.</t>
  </si>
  <si>
    <t>She finally takes whatever is in the cub and begins to gags as she spits it into the sink.</t>
  </si>
  <si>
    <t>After her mouth is empty,she shows off a bottle of Crest mouthwash.</t>
  </si>
  <si>
    <t>v_KAbo60mowhw</t>
  </si>
  <si>
    <t>A man plays catch with a dog in a dirt field while throwing a Frisbee.</t>
  </si>
  <si>
    <t>The man holds out the Frisbee in his hand to the dog.</t>
  </si>
  <si>
    <t>A woman plays catch with the dog throwing a Frisbee in a grassy park.</t>
  </si>
  <si>
    <t>v_faF9-lWmK3Y</t>
  </si>
  <si>
    <t>The camera man opens a door and watches a woman leaving forward in a tub.</t>
  </si>
  <si>
    <t>The woman talks to the camera man while washing several clothes in a tub filled with water.</t>
  </si>
  <si>
    <t>The woman learns down exhausted and turns back to the camera man quickly then back to the tub.</t>
  </si>
  <si>
    <t>v_vAzTt06gpgE</t>
  </si>
  <si>
    <t>A group of people are running down a road with various people cheering and clapping on the sides.</t>
  </si>
  <si>
    <t>A woman is high fiving the people as well other runners.</t>
  </si>
  <si>
    <t>More shots of people on the sides are shown while the runners continue running.</t>
  </si>
  <si>
    <t>v_Mw_AIqw6rfM</t>
  </si>
  <si>
    <t>A large group of people are seen standing around a horse track and leads into several men sitting on horses and one riding around swinging a stick.</t>
  </si>
  <si>
    <t>The men then begin playing a game on the horses and shaking each other's hands.</t>
  </si>
  <si>
    <t>The princess then hands a box to one of the players and stands near several others holding a trophy.</t>
  </si>
  <si>
    <t>v_16g-sBraeKE</t>
  </si>
  <si>
    <t>A woman is showing her finger nails to the camera.</t>
  </si>
  <si>
    <t>A woman in a black shirt is sitting in a room talking to a camera.</t>
  </si>
  <si>
    <t>A person is doing someone else's nails on a table.</t>
  </si>
  <si>
    <t>They are putting fake fingernails on them.</t>
  </si>
  <si>
    <t>They are cutting the nails down.</t>
  </si>
  <si>
    <t>They begin painting the nails.</t>
  </si>
  <si>
    <t>v__ao0UwSJHWA</t>
  </si>
  <si>
    <t>A man is seen sitting in a large gym while speaking to the camera and sitting on a medicine ball.</t>
  </si>
  <si>
    <t>The man then bends forward onto the ball while still speaking to the camera.</t>
  </si>
  <si>
    <t>The man continues to balance on the ball and sits himself up as well as catches a ball.</t>
  </si>
  <si>
    <t>v_kpE3q-Hmd7A</t>
  </si>
  <si>
    <t>A group of men are inside of a gym space stepping on aerobic steppers at a fast pace.</t>
  </si>
  <si>
    <t>They look to be having a great time and begin reaching out with their arms and varying their workout.</t>
  </si>
  <si>
    <t>They continue on performing another series of similar workout with their steppers.</t>
  </si>
  <si>
    <t>They move side to side, alternating their movements to a specific rhythm.</t>
  </si>
  <si>
    <t>Their last of their workouts seem to be a compilation of everything they have been doing thus far and they are varying their movements within it.</t>
  </si>
  <si>
    <t>v_NzRNlTfyYtI</t>
  </si>
  <si>
    <t>A woman uses a NordicTrack exercise machine.</t>
  </si>
  <si>
    <t>The exercise machine is shown by itself.</t>
  </si>
  <si>
    <t>The woman uses the machine again.</t>
  </si>
  <si>
    <t>The machine's digital display controls are shown.</t>
  </si>
  <si>
    <t>A splash screen of a woman and a show title are shown.</t>
  </si>
  <si>
    <t>The woman exercises on the machine again.</t>
  </si>
  <si>
    <t>v_Wdp8yduPUX4</t>
  </si>
  <si>
    <t>Four people prepare to skateboard down a slope.</t>
  </si>
  <si>
    <t>The four individuals skateboard down the slope together or alone as spectators watch.</t>
  </si>
  <si>
    <t>The camera pans over background scenery.</t>
  </si>
  <si>
    <t>One of the individuals tends to his skateboard.</t>
  </si>
  <si>
    <t>The four individuals engage in more skateboarding down the slope.</t>
  </si>
  <si>
    <t>One of the individuals is again shown tending to his skateboard.</t>
  </si>
  <si>
    <t>v_GTxmHim5JnY</t>
  </si>
  <si>
    <t>Two children twirl on a tire swing.</t>
  </si>
  <si>
    <t>Another child is swinging in another swing set.</t>
  </si>
  <si>
    <t>A very small child runs through the play area.</t>
  </si>
  <si>
    <t>v_1FKoT6uFsjY</t>
  </si>
  <si>
    <t>A kid is sitting on the bed and waves to the camera.</t>
  </si>
  <si>
    <t>He is explaining his daily routine to the camera.</t>
  </si>
  <si>
    <t>He is putting red contacts in his eyes.</t>
  </si>
  <si>
    <t>The contact falls out of his eye and he puts it back in, but it falls out over and over.</t>
  </si>
  <si>
    <t>Finally he gets it to stay and he gives the camera close up and some moves.</t>
  </si>
  <si>
    <t>v_znhZPUF6xQw</t>
  </si>
  <si>
    <t>Several clips are shown of various girls performing gymnastics tricks on a large mat.</t>
  </si>
  <si>
    <t>The girls continue jumping and flipping around the area while the camera continues to capture their movements.</t>
  </si>
  <si>
    <t>v_gMwjhe0Njkc</t>
  </si>
  <si>
    <t>A black and white image of a man is shown and then the man appears in a field throwing a discus.</t>
  </si>
  <si>
    <t>After,he continues throwing the discus and when he is finished,he is shown standing on a set of cubes as the winner.</t>
  </si>
  <si>
    <t>The participants shake each other hands and they both end up walking off.</t>
  </si>
  <si>
    <t>v_2mVwrM0qOGw</t>
  </si>
  <si>
    <t>man is standing in a room holding a bow and talking to another man.</t>
  </si>
  <si>
    <t>manis practicing shots with a bow to a board in a large field.</t>
  </si>
  <si>
    <t>v_6EKVtCJ2nrs</t>
  </si>
  <si>
    <t>A man in black jacket holds a friend in both arms.</t>
  </si>
  <si>
    <t>The friend wearing a rope puts out her arms in preparation.</t>
  </si>
  <si>
    <t>The friend is thrown from the building wearing a bungee cord and swings in a wide arc over the ground below then back and forth.</t>
  </si>
  <si>
    <t>A woman in black jacket sits on a ramp and is pushed down by friends.</t>
  </si>
  <si>
    <t>The woman falls off the building and swings from a rope above the ground below.</t>
  </si>
  <si>
    <t>v_fs2per3zoZQ</t>
  </si>
  <si>
    <t>Two men sit behind a table with a pumpkin on it.</t>
  </si>
  <si>
    <t>A man smashes the pumpkin with a hammer.</t>
  </si>
  <si>
    <t>He starts ripping out the seeds and handing them to the man next to him.</t>
  </si>
  <si>
    <t>v_NpfdyZntPbg</t>
  </si>
  <si>
    <t>A man wipes the bottom of a ski.</t>
  </si>
  <si>
    <t>He puts polish on the bottom of the ski and rubs it in.</t>
  </si>
  <si>
    <t>He takes a paper towel and wipes the bottom of the ski.</t>
  </si>
  <si>
    <t>v_aDBSNU2trmo</t>
  </si>
  <si>
    <t>A point of view of a person shows himself sitting in a sled holding hands of two children in sleds.</t>
  </si>
  <si>
    <t>A person pushes the three down a hill while still holding hands and lets go at the bottom to meet with the others.</t>
  </si>
  <si>
    <t>v_7rT8tqLyFa0</t>
  </si>
  <si>
    <t>A man is standing in a weight room with multiple screens on and computers on it.</t>
  </si>
  <si>
    <t>After he finishes talking,he gets on an ellipitacal and starts rowing.</t>
  </si>
  <si>
    <t>Next,he moves to another machine and does the same thing as well in a slightly different way.</t>
  </si>
  <si>
    <t>v_D9DdNf-TIO8</t>
  </si>
  <si>
    <t>A bird is sitting on a bar over a bath tub.</t>
  </si>
  <si>
    <t>A dog is in the bathtub getting a shower.</t>
  </si>
  <si>
    <t>A person is rubbing soap into the dogs fur.</t>
  </si>
  <si>
    <t>The dog shakes itself off.</t>
  </si>
  <si>
    <t>v_rv9jW-t3mT4</t>
  </si>
  <si>
    <t>An outdoor track and field meet is shown.</t>
  </si>
  <si>
    <t>Pole vaulters are shown in a competition.</t>
  </si>
  <si>
    <t>Some of them make their jumps while others do not.</t>
  </si>
  <si>
    <t>v_Prt07JFztMI</t>
  </si>
  <si>
    <t>Two men are in an alley.</t>
  </si>
  <si>
    <t>They are bouncing up and down on sticks.</t>
  </si>
  <si>
    <t>There is a van in the foreground.</t>
  </si>
  <si>
    <t>There are also several buildings.</t>
  </si>
  <si>
    <t>v_EmM2yXiiz5c</t>
  </si>
  <si>
    <t>A man rides a bicycle behind three men who are running in a professional race on a paved freeway lined with onlookers, spectators and participants.</t>
  </si>
  <si>
    <t>A man is riding a bicycle down a freeway wearing a helmet and sporting a paper tag on the front of the bicycle.</t>
  </si>
  <si>
    <t>Three men are running in front of the man on the bicycle with one of the men juggling three balls while running and one drinking water and waiving at the crowd.</t>
  </si>
  <si>
    <t>The men turn a bend while jogging and an onlooker starts clapping for them from behind.</t>
  </si>
  <si>
    <t>v_64vbnwtL7I8</t>
  </si>
  <si>
    <t>Groups of people bowl games in a bowling alley.</t>
  </si>
  <si>
    <t>People in recorded video of the bowling match.</t>
  </si>
  <si>
    <t>Spectators sit and stand behind the railing watching the event.</t>
  </si>
  <si>
    <t>A man bowls a his turns standing backwards.</t>
  </si>
  <si>
    <t>People in the stands cheer for the bowler.</t>
  </si>
  <si>
    <t>v_SSqVGeD2XaQ</t>
  </si>
  <si>
    <t>Three men are seen speaking and waving to the camera that leads into the men playing games with strangers on the street.</t>
  </si>
  <si>
    <t>The winner gets to kiss the man and the loser gets to slap him.</t>
  </si>
  <si>
    <t>Several shots are shown of him slapping and kissing girls as well as running around the area to find more people.</t>
  </si>
  <si>
    <t>v_3rqesp6F95Q</t>
  </si>
  <si>
    <t>A few people are seen standing around various fooseball tables playing games with one another.</t>
  </si>
  <si>
    <t>The people continue to push the ball around back and fourth while the camera focuses on one game.</t>
  </si>
  <si>
    <t>The people keep track of their scores and others watch them in the distance.</t>
  </si>
  <si>
    <t>v_k2U1lOpLqdk</t>
  </si>
  <si>
    <t>As a red cut scene passes a young man in a blue shirt is seen concentrating.</t>
  </si>
  <si>
    <t>Afterwards another man is seen on a curling rink releasing a rock stone as two other men use brooms to clear the way as the stone travels down the path.</t>
  </si>
  <si>
    <t>The act continues with the same men once more engaging in the same act.</t>
  </si>
  <si>
    <t>Afterwards another young man in a blue shirt repeats the same move as the white team looks on.</t>
  </si>
  <si>
    <t>Finally as spectators look on, a member of the white team releases a rock stone and two men from the team use brooms to clear the path.</t>
  </si>
  <si>
    <t>v_Y-SehqCvzME</t>
  </si>
  <si>
    <t>A man is seen speaking to the camera while holding a guitar in his hands.</t>
  </si>
  <si>
    <t>The man begins playing the guitar and singing into a microphone.</t>
  </si>
  <si>
    <t>The man continues singing and playing and stops in the end.</t>
  </si>
  <si>
    <t>v_mQ9e5RyHE_k</t>
  </si>
  <si>
    <t>A man is seen speaking to the camera as well as several shots of a bowling alley and him bowling a ball.</t>
  </si>
  <si>
    <t>He continues speaking to the camera while showing several videos of him throwing the bowling ball and hitting several pins.</t>
  </si>
  <si>
    <t>v_-V5_GMuMzc8</t>
  </si>
  <si>
    <t>Another man is giving him a hair cut.</t>
  </si>
  <si>
    <t>He then brushes off the mans neck.</t>
  </si>
  <si>
    <t>v_Q0UzDeDra3U</t>
  </si>
  <si>
    <t>A man demonstrates how to change the tire on a car.</t>
  </si>
  <si>
    <t>A car drives through a street and then shows as being parked at which a man approaches the car holding a lug nut removal tool.</t>
  </si>
  <si>
    <t>The man removes the lug nuts and then jacks the car up.</t>
  </si>
  <si>
    <t>The man then removes the tire and pulls a spare tire off of the back of the car.</t>
  </si>
  <si>
    <t>The man then puts the new tire on the car.</t>
  </si>
  <si>
    <t>v_PG0ao4HkF8M</t>
  </si>
  <si>
    <t>A man hangs wallpaper on a blank wall.</t>
  </si>
  <si>
    <t>Each frame is rolled down and put on the wall.</t>
  </si>
  <si>
    <t>v_R4M90w2zPVU</t>
  </si>
  <si>
    <t>A man in a red hockey helmet and with a long curling mustache is seen in a still shot standing next to a woman while leaning on a glass barrier in front of a hockey skate rink.</t>
  </si>
  <si>
    <t>The man is then shown entering a live hockey game and playing hockey with a floor filled with other players.</t>
  </si>
  <si>
    <t>Another man is shown sitting next to a snoopy doll before the camera changes back to the man in the mustache again in another still shot.</t>
  </si>
  <si>
    <t>v_85DumZo8-ik</t>
  </si>
  <si>
    <t>A woman claps her hands together.</t>
  </si>
  <si>
    <t>She sprints down a track.</t>
  </si>
  <si>
    <t>She jumps up in the air.</t>
  </si>
  <si>
    <t>v_uO2YgcdqoZg</t>
  </si>
  <si>
    <t>A man dressed in a black wife-beater is near a fluorescent wall glass and is talking.</t>
  </si>
  <si>
    <t>As he is talking,several clips appear in between him where he is in a room with three walls and glass as the fourth wall while playing wall ball.</t>
  </si>
  <si>
    <t>The final scene is shown,and the male comes back talking before finally flashing a url at then end.</t>
  </si>
  <si>
    <t>v_Mm6iYEyY9dI</t>
  </si>
  <si>
    <t>A young man is seen standing in the middle of a large field holding instruments and standing in front of others.</t>
  </si>
  <si>
    <t>The man then begins playing the instruments one by one.</t>
  </si>
  <si>
    <t>Several kids then walk into frame using hula hoops while the man joins in still singing and clapping his hands.</t>
  </si>
  <si>
    <t>v_wtQQ5I0QRuw</t>
  </si>
  <si>
    <t>A young women in her bra and underwear sits on a bed.</t>
  </si>
  <si>
    <t>She then applies lotion to her legs and hands.</t>
  </si>
  <si>
    <t>She is very thorough in her work making sure not to miss anything.</t>
  </si>
  <si>
    <t>She then starts the process of shaving her legs very intently.</t>
  </si>
  <si>
    <t>She continues this process with her other leg being very good at attention to detail.</t>
  </si>
  <si>
    <t>v_4eCKiA1czfk</t>
  </si>
  <si>
    <t>A person blows leaves using a leaf blower.</t>
  </si>
  <si>
    <t>Then, an area without leaves are shown next to the trees.</t>
  </si>
  <si>
    <t>v_zT6ITDwPi0w</t>
  </si>
  <si>
    <t>A girl stands and talks in a public restroom.</t>
  </si>
  <si>
    <t>The girl goes into a stall and closes the door.</t>
  </si>
  <si>
    <t>She emerges and washes her hands.</t>
  </si>
  <si>
    <t>She takes a paper and drys her hands.</t>
  </si>
  <si>
    <t>Another person is washing their hands.</t>
  </si>
  <si>
    <t>The girl throws away the papertowel.</t>
  </si>
  <si>
    <t>v_eOmL8f-yB40</t>
  </si>
  <si>
    <t>A man taps the top of a piano with a stick and talks to a large band sitting in front of him.</t>
  </si>
  <si>
    <t>He sits down at the piano and he and the band play.</t>
  </si>
  <si>
    <t>A large audience watches from near by.</t>
  </si>
  <si>
    <t>The man throws the stick behind the band.</t>
  </si>
  <si>
    <t>The man plays standing for a moment and then bows.</t>
  </si>
  <si>
    <t>v_83a5nOzZU1g</t>
  </si>
  <si>
    <t>A drink is being poured into a glass followed by a woman grabbing a glass and pouring mixtures into it.</t>
  </si>
  <si>
    <t>She creates an alcoholic drink by pouring several different mixes together and the camera zooming in on the drink.</t>
  </si>
  <si>
    <t>v_EqqqGf4wLH0</t>
  </si>
  <si>
    <t>A Mexican band is playing and singing.</t>
  </si>
  <si>
    <t>The camera does a closeup on each member.</t>
  </si>
  <si>
    <t>There is a crowd listening to them.</t>
  </si>
  <si>
    <t>The band name is on the back of their shirts.</t>
  </si>
  <si>
    <t>v_k6AzbT12a9c</t>
  </si>
  <si>
    <t>This man is on his hands and knees on the floor.</t>
  </si>
  <si>
    <t>This is being recorded from a tv screen and it's really loud.</t>
  </si>
  <si>
    <t>There's no one else in the room with this man and he looks like a woman who's being entered from behind.</t>
  </si>
  <si>
    <t>v_DaDHatB3RbM</t>
  </si>
  <si>
    <t>A close up of a canoe is seen moving along the water showing a person paddling in the front.</t>
  </si>
  <si>
    <t>Several more people are seen riding around in canoes and showing waterfalls as well as a fire.</t>
  </si>
  <si>
    <t>v_nj5dMUGvOWo</t>
  </si>
  <si>
    <t>A woman is doing a gymnastics routine on uneven bars.</t>
  </si>
  <si>
    <t>A woman does flips on the bar.</t>
  </si>
  <si>
    <t>She jumps off and lands on a mat.</t>
  </si>
  <si>
    <t>v_IDr50VT8BK8</t>
  </si>
  <si>
    <t>She picks up a red brush and begins brushing her hair.</t>
  </si>
  <si>
    <t>A Netflix advertisement is shown on the screen.</t>
  </si>
  <si>
    <t>v_iCkDtX_mTII</t>
  </si>
  <si>
    <t>A man is sitting on an exercise machine.</t>
  </si>
  <si>
    <t>He pulls a bar in front of him and starts working out.</t>
  </si>
  <si>
    <t>He drops the bar and finishes.</t>
  </si>
  <si>
    <t>v_lGvI5pyjpFg</t>
  </si>
  <si>
    <t>A young girl is seen standing behind a table squeezing limes while another washes dishes in the background.</t>
  </si>
  <si>
    <t>The girl continues juicing the fruit and walks towards the camera then back again.</t>
  </si>
  <si>
    <t>v_oZa-yum3mcU</t>
  </si>
  <si>
    <t>The Duggar mom and a little girl walks up to another woman at a horse ranch and the words on the bottom left say the woman's name is Morgan Brown and she's the Equestrian Instructor.</t>
  </si>
  <si>
    <t>The woman leads them into the barn and she puts a helmet on the little girls head, they walk to get horses and at some point the Duggar mom put a helmet on as well.</t>
  </si>
  <si>
    <t>In between interviews they show the Duggar mom and the little girl getting instructions about their horse and then getting on their horses and riding on them in an enclosed area.</t>
  </si>
  <si>
    <t>The red and white TLC logo remains on the bottom right area of the screen the whole time.</t>
  </si>
  <si>
    <t>v_B_heSKsoI9o</t>
  </si>
  <si>
    <t>A man is seen speaking to the camera and leads into several people holding and shooting bows.</t>
  </si>
  <si>
    <t>The instructors assists the students while speaking to the camera and shows several shots of the person shooting the arrows.</t>
  </si>
  <si>
    <t>v_c0Hix_5Vm8I</t>
  </si>
  <si>
    <t>A vans off the wall ad is shown.</t>
  </si>
  <si>
    <t>Multiple pictures flash across the screen.</t>
  </si>
  <si>
    <t>Men are shown drinking wine before performing numerous tricks on ski boards.</t>
  </si>
  <si>
    <t>Images of them in the air performing tricks and jumping are shown.</t>
  </si>
  <si>
    <t>v_h49mHiWjXBA</t>
  </si>
  <si>
    <t>man is standing in an icetrack talking to the camera.</t>
  </si>
  <si>
    <t>people are playing curling in an ice court.</t>
  </si>
  <si>
    <t>v_BIJK3xcjiKE</t>
  </si>
  <si>
    <t>Several clips are shown of people playing soccer in front of a large stadium.</t>
  </si>
  <si>
    <t>The people kick a ball all around the area as well as throw their hands up.</t>
  </si>
  <si>
    <t>More shots are shown of people playing against one another on different fields and celebrating.</t>
  </si>
  <si>
    <t>v__7AyUgKv3kU</t>
  </si>
  <si>
    <t>A kid is seen speaking to the camera and pans over to an older woman blowing leaves in yard.</t>
  </si>
  <si>
    <t>The woman speaks to the boy and he walks over to her while she still blows leaves around.</t>
  </si>
  <si>
    <t>In the end she's seen walking away past a fence.</t>
  </si>
  <si>
    <t>v_mhU_KzxJyr4</t>
  </si>
  <si>
    <t>A young male is sitting in the desert on top of a camel.</t>
  </si>
  <si>
    <t>The man begins talking to another male who has a red wrap on his head.</t>
  </si>
  <si>
    <t>The camel then lifts up and begins walking throughout the desert towards a group of kids and cars.</t>
  </si>
  <si>
    <t>v_1PTNnaEu8xo</t>
  </si>
  <si>
    <t>A man is tying a yellow belt around the waist of a taller man who shakes his hand and then shakes everyone else.</t>
  </si>
  <si>
    <t>The man and another begin to do some karate moves against one another but they rarely make physical contact.</t>
  </si>
  <si>
    <t>There is a group of men standing around them watching them.</t>
  </si>
  <si>
    <t>When they are finished, they take all take a group photo together.</t>
  </si>
  <si>
    <t>v_om1vXrpctVE</t>
  </si>
  <si>
    <t>Two large men are seen standing in a pit surrounded by others and one ref standing in the middle.</t>
  </si>
  <si>
    <t>The men then bow before one another as people continue to sweep the arena and lead into the men fighting.</t>
  </si>
  <si>
    <t>The men continuously wrestle one another while the ref moves around them and ends with them walking around then off stage.</t>
  </si>
  <si>
    <t>v_q9y-83399Ao</t>
  </si>
  <si>
    <t>A person in a yellow cap is swimming in a swimming pool.</t>
  </si>
  <si>
    <t>A person in a white shirt is talking.</t>
  </si>
  <si>
    <t>The person is out of the water moving their arms.</t>
  </si>
  <si>
    <t>v_NeUIHk1uCgA</t>
  </si>
  <si>
    <t>A woman mounts a beam with an audience in the background.</t>
  </si>
  <si>
    <t>The woman performs gymnastics on the beam.</t>
  </si>
  <si>
    <t>The woman dismounts from the beam.</t>
  </si>
  <si>
    <t>v_QY-2lN9zwho</t>
  </si>
  <si>
    <t>A young boy laughs while holding two toothbrushes.</t>
  </si>
  <si>
    <t>He uses an electric brush to brush his teeth.</t>
  </si>
  <si>
    <t>He shakes the brush, occasionally pouring water on it and putting it back in his mouth.</t>
  </si>
  <si>
    <t>v_A1SuSeqDTEI</t>
  </si>
  <si>
    <t>We see a man preparing to get in a kayak.</t>
  </si>
  <si>
    <t>We then see the man riding in his kayak on a rough river.</t>
  </si>
  <si>
    <t>The man goes over a rock.</t>
  </si>
  <si>
    <t>We see a mountain near the river.</t>
  </si>
  <si>
    <t>The kayak is overturned in the river.</t>
  </si>
  <si>
    <t>We see the man on the shore.</t>
  </si>
  <si>
    <t>We see the man go over a waterfall.</t>
  </si>
  <si>
    <t>We see the man pull his kayak onto the shore.</t>
  </si>
  <si>
    <t>We see the kayak overturned and we then see the river running.</t>
  </si>
  <si>
    <t>We see the ending screens.</t>
  </si>
  <si>
    <t>v_QCBaT1NJ32E</t>
  </si>
  <si>
    <t>A woman is seen laughing to the camera and begins smoking a cigarette.</t>
  </si>
  <si>
    <t>The woman takes puffs off of her cigarette while looking into the camera.</t>
  </si>
  <si>
    <t>The woman continues lifting up her cigarette and blowing smoke into the distance.</t>
  </si>
  <si>
    <t>v_g2uL6H3fP1c</t>
  </si>
  <si>
    <t>We see a man walking in a parking lot.</t>
  </si>
  <si>
    <t>The man starts performing martial arts moves.</t>
  </si>
  <si>
    <t>The man removes his shirt and necklace.</t>
  </si>
  <si>
    <t>The man flips around and does Capoeira moves.</t>
  </si>
  <si>
    <t>We see the man do a handstand on one hand.</t>
  </si>
  <si>
    <t>The man finishes, grabs his shirt, and walks off.</t>
  </si>
  <si>
    <t>We see video clips in the closing screen.</t>
  </si>
  <si>
    <t>v_p0O-EsMFcL4</t>
  </si>
  <si>
    <t>An individual rides on an inner tube down a river with rocks in it.</t>
  </si>
  <si>
    <t>A man pushes the individual downstream.</t>
  </si>
  <si>
    <t>Another man pushes the individual further downstream.</t>
  </si>
  <si>
    <t>v_kMYZWwZXx3E</t>
  </si>
  <si>
    <t>A camera pans all around a fence while text is being shown across.</t>
  </si>
  <si>
    <t>A person is shown in several shots spraying down the fence with a hose.</t>
  </si>
  <si>
    <t>In the end more clips are shown of the fence.</t>
  </si>
  <si>
    <t>v_lzQwtmUrSK4</t>
  </si>
  <si>
    <t>People are running around on dirt playing soccer.</t>
  </si>
  <si>
    <t>People are in an indoor arena playing soccer.</t>
  </si>
  <si>
    <t>People in the stands are applauding for them.</t>
  </si>
  <si>
    <t>v_c05oRliUOxk</t>
  </si>
  <si>
    <t>We see an opening title scene.</t>
  </si>
  <si>
    <t>We see people riding horses through the mountains.</t>
  </si>
  <si>
    <t>We turn and see the canyon and river.</t>
  </si>
  <si>
    <t>A person in blue turns around a few times.</t>
  </si>
  <si>
    <t>We see a large white mound of snow.</t>
  </si>
  <si>
    <t>The person in the blue shirt looks up the mountain.</t>
  </si>
  <si>
    <t>We see a blue bar at the bottom of the screen.</t>
  </si>
  <si>
    <t>v_wrf4MfW4MGg</t>
  </si>
  <si>
    <t>A man with long hair is seen brushing his face with a brush while holding his hand up and speaking to the camera.</t>
  </si>
  <si>
    <t>He then holds up the brush and grabs his hoodie while smiling at the camera.</t>
  </si>
  <si>
    <t>v_U_qCCwgS0OM</t>
  </si>
  <si>
    <t>Intro leads into A man mopping up dirt on a floor and showing the tools afterwards.</t>
  </si>
  <si>
    <t>Several shots of mops pushing around dirt is shown followed by the better mop being dipped into water and dripped on a table.</t>
  </si>
  <si>
    <t>A 3d mop shows how it works with a woman also moping up things on her floor.</t>
  </si>
  <si>
    <t>Several other shots of people mopping are shown as well as people shrugging and where to buy the mops.</t>
  </si>
  <si>
    <t>v_YrMrSXH8k6k</t>
  </si>
  <si>
    <t>A man is seen holding a blow torch and begins using it while pulling his mask down.</t>
  </si>
  <si>
    <t>The man continuously sparks with the machine on a piece of metal.</t>
  </si>
  <si>
    <t>He stops in the end while taking off his mask and looking into the camera.</t>
  </si>
  <si>
    <t>v_X4IE65LtDzQ</t>
  </si>
  <si>
    <t>A woman and young girl are seen speaking to the camera while holding together a toy.</t>
  </si>
  <si>
    <t>The two create a hop scotch game with the toy and lay it down on the ground and show off the foam.</t>
  </si>
  <si>
    <t>The woman speaks to the camera while the girl hops along the game.</t>
  </si>
  <si>
    <t>v_0bjHe_5nACw</t>
  </si>
  <si>
    <t>A woman is seen speaking to the camera while holding a violin and continues with her playing the violin and pausing.</t>
  </si>
  <si>
    <t>The woman continues playing the instrument and stopping to speak to the camera and demonstrate how to play.</t>
  </si>
  <si>
    <t>v_jwqotL-yNvE</t>
  </si>
  <si>
    <t>A video is shown of a first person view of someone exploring a large open field on the way to a track.</t>
  </si>
  <si>
    <t>Then, the person puts the camera down and begins working out on the track.</t>
  </si>
  <si>
    <t>The guys takes off his track suit and continues to work out.</t>
  </si>
  <si>
    <t>He flips himself over in the air and lands on a pile of sand.</t>
  </si>
  <si>
    <t>He proceeds to do some break dancing moves before the video ends.</t>
  </si>
  <si>
    <t>v_Wx-fRCjU9r0</t>
  </si>
  <si>
    <t>Teams are playing ice hockey in the center so everyone who's sitting down can watch them.</t>
  </si>
  <si>
    <t>The blue team scores a goal first and then people start clapping and cheering.</t>
  </si>
  <si>
    <t>Next the blue team scores another one again and the crowd goes wild.</t>
  </si>
  <si>
    <t>v_wt-PGxOkL_s</t>
  </si>
  <si>
    <t>A woman is seen bending down in front of the camera and turn on a faucet of water.</t>
  </si>
  <si>
    <t>The woman continues uses the water and begins scrubbing down a shirt and stepping in the buckets.</t>
  </si>
  <si>
    <t>More shots are shown of them cleaning the clothes and ends by hanging them up.</t>
  </si>
  <si>
    <t>v_Ls8ha6c0ye8</t>
  </si>
  <si>
    <t>a man is driving a car through a window.</t>
  </si>
  <si>
    <t>He gets a pass into a park area.</t>
  </si>
  <si>
    <t>He is shown driving, walking, and riding horses as he explores the area.</t>
  </si>
  <si>
    <t>v_c8iet_4ndU0</t>
  </si>
  <si>
    <t>A girl is jumping and swinging on balance bars.</t>
  </si>
  <si>
    <t>A woman in a black shirt is standing under her watching.</t>
  </si>
  <si>
    <t>She helps her jump off and land on a mat.</t>
  </si>
  <si>
    <t>v_9VGxxRNOdbM</t>
  </si>
  <si>
    <t>A gymnast put power chalk power on his hands and stands near the pommel horse.</t>
  </si>
  <si>
    <t>Then, the gymnast approach the pommel horse to spin around many times.</t>
  </si>
  <si>
    <t>Then, the gymnast stand on his hand and jumps to land on the floor, while people applaud.</t>
  </si>
  <si>
    <t>v_JSDZWq777Mc</t>
  </si>
  <si>
    <t>A man walks up to the side of a cabin.</t>
  </si>
  <si>
    <t>He uses a large knife to cut through the grass.</t>
  </si>
  <si>
    <t>He swings the knife back and forth, cutting the grass and weeds.</t>
  </si>
  <si>
    <t>v_xWY7A8Sf-HE</t>
  </si>
  <si>
    <t>A woman is standing on a field while people are gathered behind her.</t>
  </si>
  <si>
    <t>Several people run together, chasing each other.</t>
  </si>
  <si>
    <t>Kids are shown close up at the end.</t>
  </si>
  <si>
    <t>v_6z6iFou8nW0</t>
  </si>
  <si>
    <t>A boy in a green shirt steps on a stool to reach the sink.</t>
  </si>
  <si>
    <t>A woman stands next to him.</t>
  </si>
  <si>
    <t>The little boy washes his hands in the sink.</t>
  </si>
  <si>
    <t>She wipes the sink with a paper towel.</t>
  </si>
  <si>
    <t>The boy dries his hands with a towel.</t>
  </si>
  <si>
    <t>v_ctMcsGnutho</t>
  </si>
  <si>
    <t>A woman is seen speaking to the camera in a dealership and leads into several close ups of a car.</t>
  </si>
  <si>
    <t>The woman then presents various tools and begins taking off the tire off of the car.</t>
  </si>
  <si>
    <t>She pulls out a new tire and places it on the car, screwing it in place and showing where the tire is in the trunk.</t>
  </si>
  <si>
    <t>She closes the trunk and shows off the car while still speaking to the camera.</t>
  </si>
  <si>
    <t>v_wWOH-b4PTq4</t>
  </si>
  <si>
    <t>A large group of people are seen sitting on a beach that leads into several people sitting on sail boats and riding along.</t>
  </si>
  <si>
    <t>The various boats continue riding all along the water with the winner jumping in the water and standing proudly on the podium.</t>
  </si>
  <si>
    <t>v_h-N9TvaBax8</t>
  </si>
  <si>
    <t>woman is talking in news talking about a los angeles baseball player.</t>
  </si>
  <si>
    <t>me are in a street court playing dodgeball wearing dodgers uniform, people are watching the game and cars are passing by in the street.</t>
  </si>
  <si>
    <t>men wearing dodgers uniform are shown in pictures in a baseball field people on the terraces and the woman on the news talking about them.</t>
  </si>
  <si>
    <t>v_FrvK75jGdjE</t>
  </si>
  <si>
    <t>A child plays a violin on stage during a solo performance.</t>
  </si>
  <si>
    <t>A man watches with interest from the side of the stage.</t>
  </si>
  <si>
    <t>The girl pauses briefly then begins playing again.</t>
  </si>
  <si>
    <t>The girl lowers her violin and wand at the end of the performance.</t>
  </si>
  <si>
    <t>v_jqZg_FK2OlM</t>
  </si>
  <si>
    <t>A camera pans around a fenced in are and leads into a woman holding a paint brush.</t>
  </si>
  <si>
    <t>She brushes the side of the fence up and down while the camera continues looking around the side.</t>
  </si>
  <si>
    <t>v_DkouAjobzac</t>
  </si>
  <si>
    <t>An intro leads into a man talking and smiling into a camera and several shots of people preparing a boat and riding along the water.</t>
  </si>
  <si>
    <t>Another woman is seen talking to the camera followed by several more shots of the boat along the water and people riding and steering the boat.</t>
  </si>
  <si>
    <t>v_o1R8glzh0As</t>
  </si>
  <si>
    <t>Three men are seen walking in slow motion while another girl walks into frame and the group grab tubes from a pile.</t>
  </si>
  <si>
    <t>The people speak to the camera and are then seen sitting in the tubes and floating down a river.</t>
  </si>
  <si>
    <t>The people continuously ride down the river while bobbing back and fourth and are then seen sitting on a bus and speaking to one another.</t>
  </si>
  <si>
    <t>v_kzdRUWpBXd4</t>
  </si>
  <si>
    <t>A large group of people are seen dressed up in holiday gear and are seen throwing objects at one another.</t>
  </si>
  <si>
    <t>The people continue playing dodgeball against one another and end by dancing in the middle.</t>
  </si>
  <si>
    <t>v_6ffxjwTIZHk</t>
  </si>
  <si>
    <t>A man in a green shirt is holding some papers and talking outside.</t>
  </si>
  <si>
    <t>He starts moving some dirt next to a tree with his hand.</t>
  </si>
  <si>
    <t>He steps away from the tree and continues talking.</t>
  </si>
  <si>
    <t>v_Y53B2WdEbAg</t>
  </si>
  <si>
    <t>Several women are kneeling on the ground and working on preparing a soup.</t>
  </si>
  <si>
    <t>One of the women picks out some of the food from the grater.</t>
  </si>
  <si>
    <t>A woman slices some of the white vegetable into a yellow bowl.</t>
  </si>
  <si>
    <t>v_iFDr-o61ewo</t>
  </si>
  <si>
    <t>A little boy carries a bower on his back and blow dead leaves of a backyard.</t>
  </si>
  <si>
    <t>Then, the little boy goes to other place to blow leaves.</t>
  </si>
  <si>
    <t>After, the little boy blow leaves near a tree.</t>
  </si>
  <si>
    <t>v_Vf02ZDnbduk</t>
  </si>
  <si>
    <t>A piece of exercise equipment is put together through technology and then shown in real time.</t>
  </si>
  <si>
    <t>A person's hand turns a knob on the machine and begins running on the machine.</t>
  </si>
  <si>
    <t>Close ups of her feet are shown as well as several other angles of her running.</t>
  </si>
  <si>
    <t>v_AQSiBbhLBhs</t>
  </si>
  <si>
    <t>A woman with very long hair is standing on a balcony showing off the length of her hair.</t>
  </si>
  <si>
    <t>She turns around and faces the camera continuing to brush her hair and display its length.</t>
  </si>
  <si>
    <t>She begins to twirl and sway her hair with her back to the camera and that is when the video ends.</t>
  </si>
  <si>
    <t>v_2FcdD7WapJM</t>
  </si>
  <si>
    <t>A person is seen unscrewing a bottle of mouth wash and pouring it into a cup.</t>
  </si>
  <si>
    <t>The girl then drinks from it and swishes it around her mouth.</t>
  </si>
  <si>
    <t>She spits out the mixture and shows off pictures in the end.</t>
  </si>
  <si>
    <t>v_zLF5DSuDixg</t>
  </si>
  <si>
    <t>A compilation of shot put is put together, you see many different men getting prepared.</t>
  </si>
  <si>
    <t>They turn their bodies very quickly building up as much speed as they can before taking their shot.</t>
  </si>
  <si>
    <t>They practice and they do it professionally, it a serious sport that people really enjoy yo be a part of.</t>
  </si>
  <si>
    <t>They tend to get very excited when they do good on their throws.</t>
  </si>
  <si>
    <t>v__032TQam_mY</t>
  </si>
  <si>
    <t>A woman in a purple coat is talking.</t>
  </si>
  <si>
    <t>She starts brushing a horse with the brush.</t>
  </si>
  <si>
    <t>She cleans the bottom of the horse's foot.</t>
  </si>
  <si>
    <t>She sprays the horse's tail and starts brushing it.</t>
  </si>
  <si>
    <t>She finishes and continues talking to the camera.</t>
  </si>
  <si>
    <t>v_nfe_V3ei6ag</t>
  </si>
  <si>
    <t>A volleyball player throws the ball in the air.</t>
  </si>
  <si>
    <t>Her teammate catches it and throws it over the net.</t>
  </si>
  <si>
    <t>The volleyball player serves the ball.</t>
  </si>
  <si>
    <t>An opposing player dives to spike the ball.</t>
  </si>
  <si>
    <t>Her teammate throws the ball over the net.</t>
  </si>
  <si>
    <t>The volleyball player who dove earlier spikes the ball over the net.</t>
  </si>
  <si>
    <t>An opposing player hits the ball.</t>
  </si>
  <si>
    <t>Her teammate hits it back at her.</t>
  </si>
  <si>
    <t>The teammate spikes it over the net.</t>
  </si>
  <si>
    <t>The opposing player hits the ball.</t>
  </si>
  <si>
    <t>Her teammate throws the ball over the net to the opposing team.</t>
  </si>
  <si>
    <t>The opposing player hits the ball towards her teammate.</t>
  </si>
  <si>
    <t>Her teammate hits the ball.</t>
  </si>
  <si>
    <t>Her teammate hits the ball over the net.</t>
  </si>
  <si>
    <t>An opposing player dives and hits the ball.</t>
  </si>
  <si>
    <t>One of the teammates on the opposing team dives to catch and throw the out of bounds ball.</t>
  </si>
  <si>
    <t>v_dE1NAofn3ks</t>
  </si>
  <si>
    <t>A curler prepares to make a curling shot while being watch be other people in the arena.</t>
  </si>
  <si>
    <t>She makes the shot and lets go of the puck as the other team members chase it and sweep the ice.</t>
  </si>
  <si>
    <t>Another shot is made, and team members proceed to follow the shot and sweep the ice.</t>
  </si>
  <si>
    <t>A third shot is then made and the curlers allow the shot to knock out another puck.</t>
  </si>
  <si>
    <t>v_BII4aKnegaU</t>
  </si>
  <si>
    <t>A small group of people are seen taking a spin class together that leads into a man speaking to the camera.</t>
  </si>
  <si>
    <t>Shots of the gym are shown that lead into another cycling class with the man leading the group and still speaking to the camera.</t>
  </si>
  <si>
    <t>v_EjUMR9v_8Pg</t>
  </si>
  <si>
    <t>A man and a woman are sitting down talking on a bench in front of a wall with several rims.</t>
  </si>
  <si>
    <t>The two then stand up and begin talking and you can see that they are in a junk yard.</t>
  </si>
  <si>
    <t>Finally,they begin dancing together and do rugged hip hop dance moves suited for the environment.</t>
  </si>
  <si>
    <t>v_YPlsA_vTltk</t>
  </si>
  <si>
    <t>A girl walks in from the side and begins stomping in the room.</t>
  </si>
  <si>
    <t>The girl continues exercising and moves side to side and starts to put her foot up moving in a hip hop fashion.</t>
  </si>
  <si>
    <t>She then moves into a sort of squat of some sort and continues moving and then slides from left to right and continues dancing and crumping.</t>
  </si>
  <si>
    <t>v_DuU7OKTAmsY</t>
  </si>
  <si>
    <t>We see people floating in a lake in purple rafts.</t>
  </si>
  <si>
    <t>A person puts their feet on a rock.</t>
  </si>
  <si>
    <t>The people hit the rough water.</t>
  </si>
  <si>
    <t>We see a red canoe on the shore.</t>
  </si>
  <si>
    <t>We pan over the river.</t>
  </si>
  <si>
    <t>v_Cdmd9VB8tJI</t>
  </si>
  <si>
    <t>A man is shown washing a dog with a water hose in a backyard with several flowers.</t>
  </si>
  <si>
    <t>The camera pans around the wet dog as the man continues to wash him and he shakes off.</t>
  </si>
  <si>
    <t>He pours more shampoo on the dog and rubs the shampoo into it's fur.</t>
  </si>
  <si>
    <t>v_lKSWdEIuJtM</t>
  </si>
  <si>
    <t>A back yard area is seen that leads into several kids and older man working on a ladder.</t>
  </si>
  <si>
    <t>The group cuts hedges along the side as well as throw them into a bucket and help the older man.</t>
  </si>
  <si>
    <t>The kids continue to help the other man by gathering leaves as he pushing them back towards the front.</t>
  </si>
  <si>
    <t>v_opaWopwV74I</t>
  </si>
  <si>
    <t>A woman is sitting bent over and washing her laundry by hand in a bowl.</t>
  </si>
  <si>
    <t>Her friend comes by and talks to her and laugh before walking away again.</t>
  </si>
  <si>
    <t>She continues to scrub her clothes extensively, making sure its nice and clean before putting in another bucket.</t>
  </si>
  <si>
    <t>She washes and washes and throws them in the dry bucket when she is done.</t>
  </si>
  <si>
    <t>v_v8fS--GlXF4</t>
  </si>
  <si>
    <t>A man is seen kneeling down on the dirt when a bull comes running into the man.</t>
  </si>
  <si>
    <t>He knocks over the man and is dragged away, followed by his clip being shown again.</t>
  </si>
  <si>
    <t>Several more clips are shown of people chasing bulls and running away.</t>
  </si>
  <si>
    <t>v_v3tNh1and0U</t>
  </si>
  <si>
    <t>A swimmer swims inside of a pool.</t>
  </si>
  <si>
    <t>The swimmer is seen wearing a training snorkel.</t>
  </si>
  <si>
    <t>v_Gi55CA6ktE8</t>
  </si>
  <si>
    <t>A screen of fighters are shown and then two random images are selected.</t>
  </si>
  <si>
    <t>Once selected,the pictures move to the top corners of the screen and two people dressed in sumo uniforms stand in the middle of a round-about and begin fighting as cars travel around them.</t>
  </si>
  <si>
    <t>v_rhDxMg72ofo</t>
  </si>
  <si>
    <t>An intro begins then shows pictures of a girl standing in the bathroom with long, straight hair.</t>
  </si>
  <si>
    <t>She then begins talking to the camera while stroking her hair followed by blow drying and brushing her hair.</t>
  </si>
  <si>
    <t>She then puts lotion into her hair and breaking her hair into sections.</t>
  </si>
  <si>
    <t>She straightens each section of hair and smiles in the end.</t>
  </si>
  <si>
    <t>v_sYpC9oPhmY4</t>
  </si>
  <si>
    <t>A band is gathered outside a building.</t>
  </si>
  <si>
    <t>A leader is using a baton to instruct them.</t>
  </si>
  <si>
    <t>They are playing the drums for a small audience.</t>
  </si>
  <si>
    <t>v_V4BNtCtuSQQ</t>
  </si>
  <si>
    <t>A guy in the backyard is mowing the lawn on a hot and sunny day while a lady records and narrates.</t>
  </si>
  <si>
    <t>He starts to go in a back and forth motion as he moves the mower.</t>
  </si>
  <si>
    <t>The guy changes direction as he continues to mow.</t>
  </si>
  <si>
    <t>v_MnzVdvbvnMc</t>
  </si>
  <si>
    <t>A group of guards march down a driveway as they play the trumpets.</t>
  </si>
  <si>
    <t>A man heats a small pan with a flame.</t>
  </si>
  <si>
    <t>Three soldiers standing near watch him.</t>
  </si>
  <si>
    <t>The man grabs a paintbrush and moves it around in the pan.</t>
  </si>
  <si>
    <t>He takes the brush and brushes a shoe.</t>
  </si>
  <si>
    <t>He flames the shoe with the flame canister.</t>
  </si>
  <si>
    <t>He brushes the shoe again.</t>
  </si>
  <si>
    <t>He then flames the shoe some more.</t>
  </si>
  <si>
    <t>v_-DTxZliHCTE</t>
  </si>
  <si>
    <t>A man is mowing the lawn on a yard and laughing and making jokes with friends that are watching.</t>
  </si>
  <si>
    <t>He begins to run with the lawn mover and nearly runs into something as his friends laugh in enjoyment.</t>
  </si>
  <si>
    <t>One of his friends tries to help him as he is mowing the lawn.</t>
  </si>
  <si>
    <t>v_6aj1njn541k</t>
  </si>
  <si>
    <t>a girl is sitting in a chair talking.</t>
  </si>
  <si>
    <t>A woman walks up to the girl and wipes her earlobes.</t>
  </si>
  <si>
    <t>The woman then pierces the girl's ear.</t>
  </si>
  <si>
    <t>The girl puts her glasses on after her ears are pieced.</t>
  </si>
  <si>
    <t>v_q6bl7g5JGng</t>
  </si>
  <si>
    <t>A man is shown smiling in an image as words go over his face.</t>
  </si>
  <si>
    <t>He is in and indoor court, showing a little boy how to hit a tennis ball against the wall with a racket.</t>
  </si>
  <si>
    <t>The boy tries several times.</t>
  </si>
  <si>
    <t>v_AF8sbdPa4rE</t>
  </si>
  <si>
    <t>A man with no hands grabs a dart that is stuck to the board and walks backward.</t>
  </si>
  <si>
    <t>He then throws the dark up in the air to show it landed on the board.</t>
  </si>
  <si>
    <t>v_F5IWShcFIN4</t>
  </si>
  <si>
    <t>A storm trooper is seen speaking to the camera and leads into a camera panning around a neighbor and the man walking around.</t>
  </si>
  <si>
    <t>Many kids stop to speak to the man as well as cars stopping to speak.</t>
  </si>
  <si>
    <t>v_YBuNpnthXfE</t>
  </si>
  <si>
    <t>A large group of people are seen playing a game of tug of war with other people walking around.</t>
  </si>
  <si>
    <t>The people play back and fourth while others watching on the side.</t>
  </si>
  <si>
    <t>One group then pulls another down and ends by walking away.</t>
  </si>
  <si>
    <t>v_lsgB3WU-1r0</t>
  </si>
  <si>
    <t>A city skyline appears in front of a large river.</t>
  </si>
  <si>
    <t>Several businesses are shown from the outside.</t>
  </si>
  <si>
    <t>A fencing match commences inside a building.</t>
  </si>
  <si>
    <t>v_2fs09c8gFsk</t>
  </si>
  <si>
    <t>We see people riding bumper cars.</t>
  </si>
  <si>
    <t>The camera moves down the row to the right.</t>
  </si>
  <si>
    <t>The girl in black gets stuck the gets going.</t>
  </si>
  <si>
    <t>The cars then come to a stop.</t>
  </si>
  <si>
    <t>v_hv3tNd_6qB4</t>
  </si>
  <si>
    <t>A woman dances while another stands in the background.</t>
  </si>
  <si>
    <t>A third woman sweeps the floor.</t>
  </si>
  <si>
    <t>The second woman starts walking around with a towel under one foot.</t>
  </si>
  <si>
    <t>The first woman stops dancing and starts walking around with a towel under one foot.</t>
  </si>
  <si>
    <t>The sweeping woman stops, jumps, and waves before resuming.</t>
  </si>
  <si>
    <t>The first woman pulls items out of a cabinet and places them on the floor.</t>
  </si>
  <si>
    <t>A fourth individual is briefly shown in the doorway.</t>
  </si>
  <si>
    <t>v_rfWlK9njyzg</t>
  </si>
  <si>
    <t>The floor has a hopscotch on it.</t>
  </si>
  <si>
    <t>Someone is sitting with a lap top.</t>
  </si>
  <si>
    <t>There is a trashcan in the corner.</t>
  </si>
  <si>
    <t>A boy is playing hopscotch.</t>
  </si>
  <si>
    <t>v_3YdmY4oPE5s</t>
  </si>
  <si>
    <t>A small group of people are seen standing around a field when one lady hits a ball.</t>
  </si>
  <si>
    <t>The people continue playing crochet on the lawn while walking around.</t>
  </si>
  <si>
    <t>v_XhqFJNRt-5g</t>
  </si>
  <si>
    <t>People are walking in front of a white fence.</t>
  </si>
  <si>
    <t>Behind the fence a man is riding a horse.</t>
  </si>
  <si>
    <t>He ropes a calf and throws it down onto the ground.</t>
  </si>
  <si>
    <t>He ties the legs of the calf and stands up.</t>
  </si>
  <si>
    <t>He gets back on his horse.</t>
  </si>
  <si>
    <t>v_n-hsQkfdUk0</t>
  </si>
  <si>
    <t>A person plays tam-tam using three instruments.</t>
  </si>
  <si>
    <t>Other man plays the drums using two sticks.</t>
  </si>
  <si>
    <t>v_wSTU_jI-FRU</t>
  </si>
  <si>
    <t>A cartoon yellow character is shown running with bulls behind him.</t>
  </si>
  <si>
    <t>Several sumo wrestlers are then shown running down a track.</t>
  </si>
  <si>
    <t>A gun fires, and they run again.</t>
  </si>
  <si>
    <t>v_LSkcoamI3gw</t>
  </si>
  <si>
    <t>A man comes outside and starts shoveling the snow with his black shovel and many people drive past while he's doing it.</t>
  </si>
  <si>
    <t>In the end the camera zooms in to show what is written in the big pile of snow.</t>
  </si>
  <si>
    <t>The letters create this world known holiday phrase and that is Merry Christmas including the year 2013.</t>
  </si>
  <si>
    <t>v_ntYIITLp90k</t>
  </si>
  <si>
    <t>A man gets on his bike.</t>
  </si>
  <si>
    <t>The tire is flat and he feels it.</t>
  </si>
  <si>
    <t>He hooks the air pump up to the tire.</t>
  </si>
  <si>
    <t>Tools are sitting on a brick wall.</t>
  </si>
  <si>
    <t>He turns the bike upside down to look at the tire.</t>
  </si>
  <si>
    <t>He takes a nut off of the wheel to get the tire off.</t>
  </si>
  <si>
    <t>He uses a tool to get the tire off of the wheel.</t>
  </si>
  <si>
    <t>He pumps a pump and then fills it with water.</t>
  </si>
  <si>
    <t>He rubs chalk on the tire and puts glue on it.</t>
  </si>
  <si>
    <t>He puts the tire back on the wheel.</t>
  </si>
  <si>
    <t>He puts the air pump on and fills it with air.</t>
  </si>
  <si>
    <t>He gets on his bike and rides away.</t>
  </si>
  <si>
    <t>v_xMChLTVPzNI</t>
  </si>
  <si>
    <t>A woman is seen standing behind a counter speaking to the camera and pointing to various ingredients.</t>
  </si>
  <si>
    <t>She pours oil into a hot pan and begins mixing ingredients together in the pan.</t>
  </si>
  <si>
    <t>She boils noodles into a pot and mixes it together in the pan and serves it onto a plate.</t>
  </si>
  <si>
    <t>v_fJ7gcHxxJMM</t>
  </si>
  <si>
    <t>A girl in a one piece bathing suit begins walking on a diving board that's located in a large indoor pool area with a lot of people in the stands.</t>
  </si>
  <si>
    <t>When the girl gets to the end of the diving board she jumps and then flips and spins into the pool.</t>
  </si>
  <si>
    <t>When the girl hits the water she makes a small splash.</t>
  </si>
  <si>
    <t>v_YmVdnkDo0xQ</t>
  </si>
  <si>
    <t>A man is seen cleaning up a bathroom when a walks into frame and leads into a news article.</t>
  </si>
  <si>
    <t>A picture of a sign is shown followed by a person washing their hands as well as clips from tv shows.</t>
  </si>
  <si>
    <t>More shots are articles are shown and ends with people walking in a subway.</t>
  </si>
  <si>
    <t>v_oOYaw6-b4SY</t>
  </si>
  <si>
    <t>A blurry vision shows two people in a gym with one punching and kicking the other holding gloves.</t>
  </si>
  <si>
    <t>The two continue to move around the gym practicing their kicks and punches.</t>
  </si>
  <si>
    <t>v_9BR5LChbBLQ</t>
  </si>
  <si>
    <t>There's a black and red colored race car in a parking lot.</t>
  </si>
  <si>
    <t>A man wearing beige shorts begins cleaning the black race car with a cloth and a spray.</t>
  </si>
  <si>
    <t>He wipes the car down to make it shiny and clean.</t>
  </si>
  <si>
    <t>Both the cars are parked in the parking lot, looking clean and sparkly after a car wash.</t>
  </si>
  <si>
    <t>Information about Hand Job, mobile waterless car wash is shown on the screen.</t>
  </si>
  <si>
    <t>v_AQ2-EcbX4dE</t>
  </si>
  <si>
    <t>A small group of people are seen standing around a large horse in a barn full of hay.</t>
  </si>
  <si>
    <t>The people brush the horse all along the sides when a woman comes out back to speak to them.</t>
  </si>
  <si>
    <t>v_UB2GzjNzo3M</t>
  </si>
  <si>
    <t>A man is seen riding a bike in slow motion with a flag in the back and leads into several clips of people of all ages riding bikes.</t>
  </si>
  <si>
    <t>The people continuing riding around the dirt court while other stand ready on their bikes and interact with one another.</t>
  </si>
  <si>
    <t>v_tJcbG_HGZE8</t>
  </si>
  <si>
    <t>A glue stick is shown on a table.</t>
  </si>
  <si>
    <t>A pair of scissors is on a table.</t>
  </si>
  <si>
    <t>A person gets on a computer and prints something.</t>
  </si>
  <si>
    <t>They stick that to their door.</t>
  </si>
  <si>
    <t>v_zvXi08rTq3Y</t>
  </si>
  <si>
    <t>A man is in the car with a small boy.</t>
  </si>
  <si>
    <t>We see an orange car come into the screen followed by a gold car.</t>
  </si>
  <si>
    <t>v_vi8zTSA6bhY</t>
  </si>
  <si>
    <t>man is in a swinging make a kind of somervault on the air.</t>
  </si>
  <si>
    <t>the man makes the big jump in the air and lands in a bike and stat riding it.</t>
  </si>
  <si>
    <t>men iss swinging in a green grassy yard.</t>
  </si>
  <si>
    <t>v_ggw-70xi0dA</t>
  </si>
  <si>
    <t>A man with a red jacket and grey pants is walking across a slack line in the middle of the mountains.</t>
  </si>
  <si>
    <t>As he is trying to tight rope,he falls over and is never able to stand up.</t>
  </si>
  <si>
    <t>Although he isn't able to get up,he holds on and starts bouncing up and down upside down.</t>
  </si>
  <si>
    <t>v_65rZgGe7Zr4</t>
  </si>
  <si>
    <t>man is walking in a backyard shake the tree holds a broom and sweep the dry leaves on the floor.</t>
  </si>
  <si>
    <t>man go for a dustpan and a bag and pick up the leaves from the floor.</t>
  </si>
  <si>
    <t>v_PI_A4uJ_fsI</t>
  </si>
  <si>
    <t>A man is setting up cameras and lighting in the background for some video shoot.</t>
  </si>
  <si>
    <t>A man is on a machine standing and using only his arms and feet to move on it.</t>
  </si>
  <si>
    <t>Then a woman gets on it taking the mans place and she uses the machine.</t>
  </si>
  <si>
    <t>They are creating a commercial advertisment for television viewers.</t>
  </si>
  <si>
    <t>v_Gz0UlnBx6JU</t>
  </si>
  <si>
    <t>man is talking to the camera in a news studio and sart talking with a man that is part of a band.</t>
  </si>
  <si>
    <t>band is in a stage, men are playing drums.</t>
  </si>
  <si>
    <t>man is again in news studio with the band and man start laying drums.</t>
  </si>
  <si>
    <t>v_Ci__IRtoMOo</t>
  </si>
  <si>
    <t>We see people riding in bumper cars.</t>
  </si>
  <si>
    <t>A girl is waving frilly toy.</t>
  </si>
  <si>
    <t>A little boy in gray smiles a the camera.</t>
  </si>
  <si>
    <t>We see a man in a red hat with a boy laughing hard.</t>
  </si>
  <si>
    <t>We see a traffic jam on the right.</t>
  </si>
  <si>
    <t>We zoom in on a lady in a white shirt.</t>
  </si>
  <si>
    <t>The lady in white smiles at the camera.</t>
  </si>
  <si>
    <t>The ride ends and the people all stand up.</t>
  </si>
  <si>
    <t>v_w8lqIgJn09Y</t>
  </si>
  <si>
    <t>A man in an athletic uniform begins swinging a ball and a string around.</t>
  </si>
  <si>
    <t>He lets go and the ball hits the screen as he falls to the ground.</t>
  </si>
  <si>
    <t>The video is replayed at various speeds.</t>
  </si>
  <si>
    <t>v_Z-syOvXCc20</t>
  </si>
  <si>
    <t>A young child is seen sitting on a swing set when an older man steps behind him and pushes.</t>
  </si>
  <si>
    <t>The boy moves back and fourth on the swing and leads to the boy jumping off and the man looking surprised.</t>
  </si>
  <si>
    <t>v_dtvIQ9Pd-Bg</t>
  </si>
  <si>
    <t>We see a man and the intro scene.</t>
  </si>
  <si>
    <t>A man in a kitchen has knifes and a sharpening block.</t>
  </si>
  <si>
    <t>The man wets the block and runs a knife across two different blocks.</t>
  </si>
  <si>
    <t>The man grabs a pole and sharpens the knife on it.</t>
  </si>
  <si>
    <t>The man wipes the knife on a towel.</t>
  </si>
  <si>
    <t>The man grabs and removes a lemon.</t>
  </si>
  <si>
    <t>The man shows us an upside down pot.</t>
  </si>
  <si>
    <t>v_vPhAXENSjiw</t>
  </si>
  <si>
    <t>The cheerleading team comes out for a performance.</t>
  </si>
  <si>
    <t>A girl attempts multiple flips and sticks the landing.</t>
  </si>
  <si>
    <t>Another girls follows suit as the team works hard in the background.</t>
  </si>
  <si>
    <t>The team shows off some dance moves next and the crowd cheers.</t>
  </si>
  <si>
    <t>After some more team-flips the team poses and celebrates as the routine ends.</t>
  </si>
  <si>
    <t>Several members hug and talk.</t>
  </si>
  <si>
    <t>The judges submit their scores and the team anticipates the results.</t>
  </si>
  <si>
    <t>The team is crowned the winners of the competition.</t>
  </si>
  <si>
    <t>v_qTvZtsi-3KU</t>
  </si>
  <si>
    <t>Some women are swimming in a pool.</t>
  </si>
  <si>
    <t>They have babies in their arms as they swim.</t>
  </si>
  <si>
    <t>They are teaching the babies to go under water and hold their breaths.</t>
  </si>
  <si>
    <t>v_elW8E-9bCRQ</t>
  </si>
  <si>
    <t>Two very tall men in tuxedos are dancing outside of a store.</t>
  </si>
  <si>
    <t>People are standing back watching them do their dance.</t>
  </si>
  <si>
    <t>One of the men puts his foot out while the other turns him in circles.</t>
  </si>
  <si>
    <t>When the dance is finally over both men shake hands and wave to the crowd.</t>
  </si>
  <si>
    <t>v_nAkA1HfRwF8</t>
  </si>
  <si>
    <t>A man is seen doing flips on a soft floor while moving in slow motion.</t>
  </si>
  <si>
    <t>The man continues performing several tricks across the floor and ends with a title sequence across the screen.</t>
  </si>
  <si>
    <t>v_uXcCES4BsQ0</t>
  </si>
  <si>
    <t>Two people are seen sitting behind a counter when one moves back and fourth and prepares himself.</t>
  </si>
  <si>
    <t>The man then solves a rubix cube while a timer is going and he puts a blindfold over his eyes and a person puts paper in front.</t>
  </si>
  <si>
    <t>He solves the sube and then slams his hands down on the table.</t>
  </si>
  <si>
    <t>v_-Xl95IW5H_s</t>
  </si>
  <si>
    <t>This is a tutorial on how to start a campfire.</t>
  </si>
  <si>
    <t>It shows the campfire burning on the ground.</t>
  </si>
  <si>
    <t>It starts with the things you will need to begin with.</t>
  </si>
  <si>
    <t>A designated place and some rocks arranged in a circle to create a pit.</t>
  </si>
  <si>
    <t>Some crumpled newspaper and a lighter along with a bucket of water.</t>
  </si>
  <si>
    <t>A man begins demonstrating how to place the newspaper and twigs on top of that.</t>
  </si>
  <si>
    <t>He then creates a pyramid shaped structure.</t>
  </si>
  <si>
    <t>He takes his lighter and lights the newspaper in several places to start the fire.</t>
  </si>
  <si>
    <t>The bonfire starts burning and continues to burn.</t>
  </si>
  <si>
    <t>He adds a few more twigs to keep the flames burning.</t>
  </si>
  <si>
    <t>v_aIwFZCRFHx8</t>
  </si>
  <si>
    <t>First the people are all shown sitting in their cars in one long line.</t>
  </si>
  <si>
    <t>Then the cars get powered on and they are able to get driven.</t>
  </si>
  <si>
    <t>After the people are done driving they all get out of the cars.</t>
  </si>
  <si>
    <t>v_NpKBAtQ5M6I</t>
  </si>
  <si>
    <t>An older man with a long ponytail and a pair of glasses is outside kneeling near a bike.</t>
  </si>
  <si>
    <t>The man has a pair of blue pliers in his hand and begins fixing the chain on the bike.</t>
  </si>
  <si>
    <t>Once the chain is on,he begins moving the pedal and demonstrates how the chain is operating.</t>
  </si>
  <si>
    <t>After awhile,he stops the chain and begins to take two links out of the chain on the bike.</t>
  </si>
  <si>
    <t>As the chain begins to hang down,the man puts it back in the right place and begins to spin the back wheel and begins to talk when he is finished.</t>
  </si>
  <si>
    <t>v_5laHmakSAAg</t>
  </si>
  <si>
    <t>The video leads into several shots of people throwing impressive shots of balls landing into cups.</t>
  </si>
  <si>
    <t>Several people are shown throwing balls into a cup and the camera showing a close up.</t>
  </si>
  <si>
    <t>v_q3-S2tg4ULw</t>
  </si>
  <si>
    <t>Young boy talks to camera in front of drum set in a studio.</t>
  </si>
  <si>
    <t>Young boy plays on the drum set, and the cymbals, while intermittently speaking to the camera.</t>
  </si>
  <si>
    <t>The boy finishes up recording his drum session and returns to the camera.</t>
  </si>
  <si>
    <t>v_9PqYL4zTnxY</t>
  </si>
  <si>
    <t>A woman is in a driveway, doing tricks and stunts as she jumps rope.</t>
  </si>
  <si>
    <t>She increases speed, then stops as a man approaches her to discuss her technique.</t>
  </si>
  <si>
    <t>She then returns to demonstrating how to jump rope, and the various names of the moves.</t>
  </si>
  <si>
    <t>v_mDqiAEB4Ads</t>
  </si>
  <si>
    <t>A view from indoors show a nice ocean view then pans to a man on his knees on the ground as he grouts some tiles and the white words on the screen say "INSTALLING TILES WITH DITRA".</t>
  </si>
  <si>
    <t>The man is then shown putting spacers in between tiles and measuring.</t>
  </si>
  <si>
    <t>The man then goes to another part of the room with a white bucket and an orange cloth and is wiping down wooden floorboards.</t>
  </si>
  <si>
    <t>The man is then shown pouring powder into a large white bucket, pouring water into it then mixing the contents with a hand drill.</t>
  </si>
  <si>
    <t>The man is then in a corner of the room and he's applying the mixture onto the floorboards then puts down an orange material.</t>
  </si>
  <si>
    <t>The man is then shown cutting the tiles with a manual hand cutter while another man is helping him by holding it, the the man holding the tile takes it away and sands it.</t>
  </si>
  <si>
    <t>The man is shown once again on his hands and knees and is applying putty onto the ground or the tile, putting the tiles down, adding spacers, then measuring that it's all even with a white circular leveler.</t>
  </si>
  <si>
    <t>A low view of the tiles are shown and a man is grouting, wiping tiles down and various views of the tiled room are shown.</t>
  </si>
  <si>
    <t>v_Lfh5p8ReOYo</t>
  </si>
  <si>
    <t>A woman is seen sitting at the end of a bed taking her shoes off and then baby's feet walking.</t>
  </si>
  <si>
    <t>Shots of furniture is shown that leads into a woman speaking, followed by several people vacuuming and stepping onto the carpet.</t>
  </si>
  <si>
    <t>A person adjusts the vacuum and continues using it while the woman speaks, and leads into a man playing with a baby.</t>
  </si>
  <si>
    <t>v_vYxBAbbvSxc</t>
  </si>
  <si>
    <t>A GoPro camera is seen and then another screen appears showing that the camera has won awards.</t>
  </si>
  <si>
    <t>A camera is mounted on the helmet of a water skier and after he gets himself into position a man on a horse by a pond pull him for a ride.</t>
  </si>
  <si>
    <t>Near land he lets go and falls into the water, as he celebrates and points at the man on the horse as a dog runs by.</t>
  </si>
  <si>
    <t>A screen appears asking to submit footage to the GoPro awards.</t>
  </si>
  <si>
    <t>v__6fbXk6y8X0</t>
  </si>
  <si>
    <t>We see a man kite surfing.</t>
  </si>
  <si>
    <t>We pass a person on the beach.</t>
  </si>
  <si>
    <t>The rider falls in the water.</t>
  </si>
  <si>
    <t>Water splashes and covers the camera lens.</t>
  </si>
  <si>
    <t>The person is riding in the other direction.</t>
  </si>
  <si>
    <t>We see the sand blowing in the wind.</t>
  </si>
  <si>
    <t>v_nVk5nIE-6bM</t>
  </si>
  <si>
    <t>There are a lot of people gathered on the street to watch a parade or to be in the parade.</t>
  </si>
  <si>
    <t>There are 4 young people dressed in military attire carrying a red and white banner in a parade.</t>
  </si>
  <si>
    <t>They are then followed by a group of dancing girls that are all dressed in the same outfits that are red, white and black, but some are wearing white tops and the others are wearing red tops.</t>
  </si>
  <si>
    <t>They are then followed by a very large band that are playing different instruments and they are all in sync and one woman is enjoying it so much that she begins to dance while the band plays on.</t>
  </si>
  <si>
    <t>v_mHWQrZW6-0M</t>
  </si>
  <si>
    <t>Several people canoe down a lake interspersed with several still photos of the lake stats and features.</t>
  </si>
  <si>
    <t>Several still photos of the lake are shown which includes browned and dry weeds/marsh and calm blue water along with a shallow body of water heavy with rocks.</t>
  </si>
  <si>
    <t>Two canoes with people in them are shown in the lake.</t>
  </si>
  <si>
    <t>An art mural of a blue and yellow fish is shown along with more still shots and video of people on the lake.</t>
  </si>
  <si>
    <t>v_9GP266ETAuE</t>
  </si>
  <si>
    <t>A ball is shown swinging around followed by shots of scenery and people getting ready.</t>
  </si>
  <si>
    <t>A man records an athlete holding the ball and sitting on a bench.</t>
  </si>
  <si>
    <t>Various people are shown getting ready to perform followed by several people swinging the balls.</t>
  </si>
  <si>
    <t>Eventually several different women are shown performing the task while also warming up their throws.</t>
  </si>
  <si>
    <t>v_u0p_dBCEDs4</t>
  </si>
  <si>
    <t>We see an intro screen with arrows.</t>
  </si>
  <si>
    <t>A chef is talking while standing in front of a bow as she cooks spaghetti.</t>
  </si>
  <si>
    <t>The lady adds salt, and spaghetti to boiling water.</t>
  </si>
  <si>
    <t>The lady grabs a noodle to show how it should look when cooked.</t>
  </si>
  <si>
    <t>The lady drains the water, adds sauce, and adds some of the cook water.</t>
  </si>
  <si>
    <t>She puts it on a plate.</t>
  </si>
  <si>
    <t>We then see the black credits rolling.</t>
  </si>
  <si>
    <t>v_exhsUZg_xQA</t>
  </si>
  <si>
    <t>man is standing in a track in a roofed gym and runs to make big jumps in front of judges.</t>
  </si>
  <si>
    <t>people are in terraces watching the boy.</t>
  </si>
  <si>
    <t>man claps after the man make the jumps.</t>
  </si>
  <si>
    <t>v_4-_ZQGwppfI</t>
  </si>
  <si>
    <t>A woman is seen looking beyond the camera and showing the back of her head.</t>
  </si>
  <si>
    <t>She holds up various products and rubs them through her hair.</t>
  </si>
  <si>
    <t>She then pits up her hair while hairspraying it and feeling the texture afterwards.</t>
  </si>
  <si>
    <t>She finishes pinning up her hair and looking back at the camera.</t>
  </si>
  <si>
    <t>v_IQvSj-3BGPo</t>
  </si>
  <si>
    <t>A man and a dog are standing in the middle of the field playing while he is holding a group of Frisbees.</t>
  </si>
  <si>
    <t>The man then throws all of the frisbees and the dog runs after them several times and catches them.</t>
  </si>
  <si>
    <t>In the middle of the routine,he grabs several frisbees and gives them to the dog one by one as he kneels down in front of him.</t>
  </si>
  <si>
    <t>Several tricks are done,and then the dog appears jump roping in the field,they go back to their regular routines and the owner picks up the dog and waves to the crowd.</t>
  </si>
  <si>
    <t>v_qmar8pDP5co</t>
  </si>
  <si>
    <t>The video begins with two sumo wrestlers on a sumo stage.</t>
  </si>
  <si>
    <t>There is a large crowd spectating, and a man in the center of the ring acting as referee.</t>
  </si>
  <si>
    <t>The two sumo wrestlers throw a white powder into the ring.</t>
  </si>
  <si>
    <t>The squat and clap their hands together, while a group of men hold flags and walk around the ring.</t>
  </si>
  <si>
    <t>Two other men hold brooms as sweep up some of the powder.</t>
  </si>
  <si>
    <t>The two sumo wrestlers walk out of the ring and again throw more powder.</t>
  </si>
  <si>
    <t>They collide into one another and back away.</t>
  </si>
  <si>
    <t>They again collide into each other and begin wrestling.</t>
  </si>
  <si>
    <t>The man in black sumo shorts throws the other man out of the ring.</t>
  </si>
  <si>
    <t>They bow and the loser exits the ring.</t>
  </si>
  <si>
    <t>v_gjkK_eSIs2g</t>
  </si>
  <si>
    <t>A man is bending over picking up a heavy weight several times in a row and setting it down.</t>
  </si>
  <si>
    <t>A man is measuring another mans arm length.</t>
  </si>
  <si>
    <t>The man measures the length of the weight bar.</t>
  </si>
  <si>
    <t>v_b1D6v3kZrHM</t>
  </si>
  <si>
    <t>A man stands with a bow and arrow.</t>
  </si>
  <si>
    <t>A man shots an arrow from bow.</t>
  </si>
  <si>
    <t>The credit of the clip is shown.</t>
  </si>
  <si>
    <t>A guy talks with his mouth and hand.</t>
  </si>
  <si>
    <t>An extended hand holding a pen is shown on a split screen.</t>
  </si>
  <si>
    <t>Several arrows hit the target.</t>
  </si>
  <si>
    <t>An arrow goes through the hole of a donut.</t>
  </si>
  <si>
    <t>An arrow cuts the string holding an apple.</t>
  </si>
  <si>
    <t>An arrow goes through the hole of a CD.</t>
  </si>
  <si>
    <t>Credit of the clip is presented.</t>
  </si>
  <si>
    <t>Credits of the video are shown.</t>
  </si>
  <si>
    <t>v_QRdQ8KIVf40</t>
  </si>
  <si>
    <t>Two men play billiards while taking turns to hit the ball with a stick, while a man plays billiards alone on back.</t>
  </si>
  <si>
    <t>A man and a child walk in a living room on back the table pool.</t>
  </si>
  <si>
    <t>A woman walks with a stick next to the men.</t>
  </si>
  <si>
    <t>v_CZp3ZPTQrds</t>
  </si>
  <si>
    <t>A man is seen speaking to the camera followed by several pictures of bearded men.</t>
  </si>
  <si>
    <t>The man then begins using scissors on his face while holding up pieces of paper.</t>
  </si>
  <si>
    <t>The man continues to shave his face and ends by waving to the camera.</t>
  </si>
  <si>
    <t>v_sHx5UcQQ1kU</t>
  </si>
  <si>
    <t>A young boy is shown speaking to the camera and eventually shows his hands moving objects.</t>
  </si>
  <si>
    <t>He places the objects together and begins shaving the sides with a sharp knife.</t>
  </si>
  <si>
    <t>He continues sharpening the object and shows the knife running across his bare skin.</t>
  </si>
  <si>
    <t>v_R_EnlXwBvtA</t>
  </si>
  <si>
    <t>Two men in basketball shorts are playing racketball.</t>
  </si>
  <si>
    <t>The men continue to serve and then hit and return each other's serves.</t>
  </si>
  <si>
    <t>They take a short break after one man scores.</t>
  </si>
  <si>
    <t>They continue to play and serve.</t>
  </si>
  <si>
    <t>v_iqe_HmjojQ8</t>
  </si>
  <si>
    <t>A kickball player kicks the ball at home plate in a large arena.</t>
  </si>
  <si>
    <t>The player runs past the first base.</t>
  </si>
  <si>
    <t>The player then comes back to the first base and puts his foot on it.</t>
  </si>
  <si>
    <t>v_y-7ZKlq2UFw</t>
  </si>
  <si>
    <t>There's a guitarist in a green shirt demonstrating how to play an acoustic guitar.</t>
  </si>
  <si>
    <t>Various types of guitars made from a variety of wood are shown.</t>
  </si>
  <si>
    <t>The guitarist is strumming the guitar with his pick as he plays his music.</t>
  </si>
  <si>
    <t>There are images of the guitar store and the kinds of guitars sold scrolling through the bottom of the screen.</t>
  </si>
  <si>
    <t>The guitarist continues playing his guitar.</t>
  </si>
  <si>
    <t>v_ndET50Ccnr8</t>
  </si>
  <si>
    <t>A small group of people are seen swimming around a pool throwing a ball around while several people watch on the sides.</t>
  </si>
  <si>
    <t>The people continue throwing the ball around to one another while the camera captures the game going on.</t>
  </si>
  <si>
    <t>v_tl2RLYJUu3k</t>
  </si>
  <si>
    <t>Three martial artists with black belts do a demonstration for younger children.</t>
  </si>
  <si>
    <t>They jump and kick then bow to each other.</t>
  </si>
  <si>
    <t>v_nr34x_-K5c0</t>
  </si>
  <si>
    <t>An athletic man is swimming around on a paddle board while another man gets behind and assists him.</t>
  </si>
  <si>
    <t>He then flips the man forward and the man demonstrates how to flip yourself back over.</t>
  </si>
  <si>
    <t>They do this several more times to become more comfortable with the move.</t>
  </si>
  <si>
    <t>v_xSiT1pgUEm8</t>
  </si>
  <si>
    <t>There are six to eight people sailing down a turbulent water stream in a raft.</t>
  </si>
  <si>
    <t>They are all dressed in red gears and yellow helmets.</t>
  </si>
  <si>
    <t>They use the oars to sail themselves down the rapids.</t>
  </si>
  <si>
    <t>They are trying hard to stay afloat in the turbulent water as the boat gets bumpy sailing through the rapids.</t>
  </si>
  <si>
    <t>As they sail through they come across another group of rafters in the same rapids.</t>
  </si>
  <si>
    <t>They continue their journey through the rough water of the rapids.</t>
  </si>
  <si>
    <t>v_CKWWRS9CpTY</t>
  </si>
  <si>
    <t>A group of runners are running in a marathon.</t>
  </si>
  <si>
    <t>A man high fives a woman in a crowd.</t>
  </si>
  <si>
    <t>The crowd around them cheers.</t>
  </si>
  <si>
    <t>A woman in white hat starts walking strangely.</t>
  </si>
  <si>
    <t>Another woman in a white hat falls to the ground.</t>
  </si>
  <si>
    <t>The other woman in the hat also falls.</t>
  </si>
  <si>
    <t>They both try to get up but they keep falling down.</t>
  </si>
  <si>
    <t>One of the women starts to crawl to the finish line.</t>
  </si>
  <si>
    <t>The other woman follows her.</t>
  </si>
  <si>
    <t>A man lifts one of the women and hugs her.</t>
  </si>
  <si>
    <t>v_W3a7BIqWov4</t>
  </si>
  <si>
    <t>A person is seen laying down on a bowling alley on the floor.</t>
  </si>
  <si>
    <t>The man then begins break dancing on the floor.</t>
  </si>
  <si>
    <t>The man kics a ball down a lane and people celebrate.</t>
  </si>
  <si>
    <t>v_qCy-68g0oXw</t>
  </si>
  <si>
    <t>A man is seen standing before a ping pong table and throws a ball off into the distance.</t>
  </si>
  <si>
    <t>A man takes a drink and leads into the two playing more beer pong.</t>
  </si>
  <si>
    <t>The men throw the ball back and fourth to one another while smiling to the camera.</t>
  </si>
  <si>
    <t>v_metrvLaYO1w</t>
  </si>
  <si>
    <t>People are standing on a colorful mat.</t>
  </si>
  <si>
    <t>A woman does a karate move.</t>
  </si>
  <si>
    <t>A child standing behind her raises his hand.</t>
  </si>
  <si>
    <t>v_d40Tv56RrnA</t>
  </si>
  <si>
    <t>The camera man captures a view of a thatched roof house.</t>
  </si>
  <si>
    <t>A young girl in a black blouse and a girl in a white tank top stand in a thatched roof house watching two woman washing clothes Filipino style.</t>
  </si>
  <si>
    <t>A girl in a pink blouse and a girl in a white t-shirt wash clothes in large tubs just outside the thatched roof house.</t>
  </si>
  <si>
    <t>The camera man pans the front of the washing area while the girl in the white t-shirt rinses the clothes.</t>
  </si>
  <si>
    <t>v__ajGnJjNUX0</t>
  </si>
  <si>
    <t>An ad for Floorworks appears on the screen.</t>
  </si>
  <si>
    <t>A guest room is shown, displaying the dirty carpets.</t>
  </si>
  <si>
    <t>Men are shown replacing and repairing the floors with wooden slats that don't need glue to install.</t>
  </si>
  <si>
    <t>Final photos are shown of the new hardwood floors in the guest room.</t>
  </si>
  <si>
    <t>v_yVQBdK8VQ_I</t>
  </si>
  <si>
    <t>A girl stands at a kitchen sink and demonstrates rinsing her mouth out with Crest whitening mouthwash.</t>
  </si>
  <si>
    <t>A girl stands by a sink talking and using had gestures.</t>
  </si>
  <si>
    <t>The girl then picks up a bottle of Crest whiting mouth wash and rinses her mouth for 60 seconds.</t>
  </si>
  <si>
    <t>The woman then spits the rinse out in the sink, and proceeds to talk to the camera again.</t>
  </si>
  <si>
    <t>v_He7CDkVm_aE</t>
  </si>
  <si>
    <t>A woman stands with a child that is seated next to a counter.</t>
  </si>
  <si>
    <t>The woman applies a dry powder to the back of the girls hair and brushes in through.</t>
  </si>
  <si>
    <t>The woman get s a blow dryer and uses it while she brushes the girls hair to straighten it.</t>
  </si>
  <si>
    <t>v_tbKBKWCh6rs</t>
  </si>
  <si>
    <t>man is standing in front of a mirror spreading cream on his face.</t>
  </si>
  <si>
    <t>man is kneeling and wash her face.</t>
  </si>
  <si>
    <t>the man grabs a green towel and wipe his face.</t>
  </si>
  <si>
    <t>v_iEWe6IYVIuk</t>
  </si>
  <si>
    <t>A woman is adjusting her exercise machine.</t>
  </si>
  <si>
    <t>She adjusts the knobs and pushes the seat up.</t>
  </si>
  <si>
    <t>She then sits down on the seat and places her feet in the pedals.</t>
  </si>
  <si>
    <t>She begins to pedal slow then fast.</t>
  </si>
  <si>
    <t>v_Db6sq4DjW7E</t>
  </si>
  <si>
    <t>A coach instructs players in a basketball court.</t>
  </si>
  <si>
    <t>v_YJOoLvwqWCw</t>
  </si>
  <si>
    <t>two women are standing on a gym arm wrestling.</t>
  </si>
  <si>
    <t>in te background people are standingin the gym doing exercise.</t>
  </si>
  <si>
    <t>strong women are sitting in a chair arm wrestling.</t>
  </si>
  <si>
    <t>v_66-sCRx4QRI</t>
  </si>
  <si>
    <t>A man drives to the ocean and surfs on a surfboard, riding waves, before leaving the beach with his surfboard.</t>
  </si>
  <si>
    <t>A man gets in his truck, puts his surfboard in the back of his truck and drives.</t>
  </si>
  <si>
    <t>The man arrives at the beach, changes into a wets suit and begins to surf on a surfboard in the ocean, riding waves.</t>
  </si>
  <si>
    <t>The man then leaves the beach, in his wetsuit, with his surfboard under his arm.</t>
  </si>
  <si>
    <t>v_AIZWoAbhUTY</t>
  </si>
  <si>
    <t>a man is crouched next to a girl on the beach.</t>
  </si>
  <si>
    <t>They are putting sand into a pile.</t>
  </si>
  <si>
    <t>They are trying to build a sand castle.</t>
  </si>
  <si>
    <t>v_KOFXi1RYx_g</t>
  </si>
  <si>
    <t>An audience is sitting in the stands watching a game on the field.</t>
  </si>
  <si>
    <t>These riders get on their horses and start trying to score for their team.</t>
  </si>
  <si>
    <t>Someone makes it and one of the groups in the audience clap.</t>
  </si>
  <si>
    <t>When the game is over the riders all shake each others hands.</t>
  </si>
  <si>
    <t>v_K_AFdv3PKp0</t>
  </si>
  <si>
    <t>A man is seen using a large sander against a wall moving the machinery all along the wall.</t>
  </si>
  <si>
    <t>The man continues sanding the wall and ends with him keeping it steady.</t>
  </si>
  <si>
    <t>v_IJ2m8Bi3LVE</t>
  </si>
  <si>
    <t>Various shots are shown of a person close up wearing making and laughing at the camera.</t>
  </si>
  <si>
    <t>Various objects are then shown closely to the camera and the person pours liquid into a contact case.</t>
  </si>
  <si>
    <t>He then mixes the liquids with the contacts and puts them slowly into his eye while looking at the camera.</t>
  </si>
  <si>
    <t>He then takes his hands and pops out the contacts.</t>
  </si>
  <si>
    <t>v_3CImIarFM30</t>
  </si>
  <si>
    <t>A person's hands are seen playing in dirt while moving their hands all around the soil.</t>
  </si>
  <si>
    <t>The person continues to play around in the soil while the camera watches their hand movements.</t>
  </si>
  <si>
    <t>v_F_sbhegCsyg</t>
  </si>
  <si>
    <t>A group of people are gathered at an outdoor park.</t>
  </si>
  <si>
    <t>They are dressed up, and they get into a raft.</t>
  </si>
  <si>
    <t>They white water raft down a river together.</t>
  </si>
  <si>
    <t>v_mzxp9dHn0Rs</t>
  </si>
  <si>
    <t>A man is sitting in front of a goal blocking balls.</t>
  </si>
  <si>
    <t>People are in the stands watching the game.</t>
  </si>
  <si>
    <t>v_1KVxpHAC08g</t>
  </si>
  <si>
    <t>A young boy and girl sit next to each other.</t>
  </si>
  <si>
    <t>They are fed ice cream.</t>
  </si>
  <si>
    <t>The girl tries to eat the boys ice cream.</t>
  </si>
  <si>
    <t>The girl laughs at the end.</t>
  </si>
  <si>
    <t>v_i9Yxt2k2aWg</t>
  </si>
  <si>
    <t>Someone is sleeping on a white couch.</t>
  </si>
  <si>
    <t>They get up and do crunches on the floor.</t>
  </si>
  <si>
    <t>They stand up and walk out the door.</t>
  </si>
  <si>
    <t>v_cNvTm72aGcM</t>
  </si>
  <si>
    <t>A woman is on stage in front of a band.</t>
  </si>
  <si>
    <t>She is a belly dancer, and gyrates and shakes to the music.</t>
  </si>
  <si>
    <t>She dances slowly, dropping to the ground as she finishes.</t>
  </si>
  <si>
    <t>v_dF2p3CMDe_g</t>
  </si>
  <si>
    <t>A man wearing no shirt plays a hand drum.</t>
  </si>
  <si>
    <t>A solo man spins his body around on his hands and does cartwheels.</t>
  </si>
  <si>
    <t>Two men do a practice karate routine and dodge kicks from the other opponent.</t>
  </si>
  <si>
    <t>The men both do hand stands then come together and touch hands.</t>
  </si>
  <si>
    <t>The man does jumping flips by himself.</t>
  </si>
  <si>
    <t>The two men do jumping kicks while they spar in a karate dance.</t>
  </si>
  <si>
    <t>The man stands on his hands and bends backwards to a horizontal position.</t>
  </si>
  <si>
    <t>v__LmtW0w6ad4</t>
  </si>
  <si>
    <t>A man displays martial arts moves in a movie clip that shows the man fighting different people in several different locations in a city backdrop.</t>
  </si>
  <si>
    <t>A man is escorted into a room and left alone until he is attacked, violently, by a man who appears suddenly in the room with him, the two fight.</t>
  </si>
  <si>
    <t>The man is then shown in several other locations fighting with different men using martial arts skills until the clip fades to a marketing invitation to subscribe.</t>
  </si>
  <si>
    <t>v_wJV-kQRmaGc</t>
  </si>
  <si>
    <t>A black banner overlay with the word POWERCHALK written in white and green is across the banner.</t>
  </si>
  <si>
    <t>When the banner overlay goes away a man jumps to the end of a diving board and then does a forward front flip and flips 5 times before he dives straight into the water in the pool.</t>
  </si>
  <si>
    <t>There are a lot of spectators standing on the sidelines.</t>
  </si>
  <si>
    <t>v_SEebwJMNMQs</t>
  </si>
  <si>
    <t>A violinist is playing the violin in a music room.</t>
  </si>
  <si>
    <t>She adjusts the violin under her chin as she reads the music.</t>
  </si>
  <si>
    <t>At the end of her song she removes the violin and smiles.</t>
  </si>
  <si>
    <t>v_p4Bm_NB_QoI</t>
  </si>
  <si>
    <t>A small group of girls are first seen walking out on a gymnasium floor with several people watching on the sidelines.</t>
  </si>
  <si>
    <t>The girls then perform a routine using batons while spinning and twirling.</t>
  </si>
  <si>
    <t>They make an ending pose while the audience claps and run off to the side.</t>
  </si>
  <si>
    <t>v_hDpYoAAFwOA</t>
  </si>
  <si>
    <t>A man performs stunts on the back of a motorcycle, falls off, and injures himself at which point he falls to the ground and looks hurt.</t>
  </si>
  <si>
    <t>A man is hanging off of a moving bicycle on a down ramp.</t>
  </si>
  <si>
    <t>The man falls off of the bike and onto the ground with torn clothes.</t>
  </si>
  <si>
    <t>The camera pans the man's damaged clothes and helmet and his befallen face as he lays on the ground injured.</t>
  </si>
  <si>
    <t>v_ADbpTpH4U7s</t>
  </si>
  <si>
    <t>Various ingredients are shown laid out on a table and leads into a person putting items into a bowl.</t>
  </si>
  <si>
    <t>The person is then seen cutting up fruit and laying it into a bowl.</t>
  </si>
  <si>
    <t>She pours more liquid in and presents it to the camera.</t>
  </si>
  <si>
    <t>v_yEBiJguscMY</t>
  </si>
  <si>
    <t>Two men are playing wall ball in a room.</t>
  </si>
  <si>
    <t>There is an audience watching them play.</t>
  </si>
  <si>
    <t>The man pretends his racket is a guitar.</t>
  </si>
  <si>
    <t>v_bzZMUbtgZho</t>
  </si>
  <si>
    <t>A man is surf boarding in the ocean on a blue surf board.</t>
  </si>
  <si>
    <t>The water looks greenish blue as the surfer surfs through big waves.</t>
  </si>
  <si>
    <t>The man is surfing near a beach by some hotels.</t>
  </si>
  <si>
    <t>The surfer continues to surf through tall waves without falling off.</t>
  </si>
  <si>
    <t>v_Eo3PUIfZSJU</t>
  </si>
  <si>
    <t>A gymnast performs on the vault on front a crowd, she flips and falls from the vault.</t>
  </si>
  <si>
    <t>Then, the gymnast jumps, flips but staggers during her performance.</t>
  </si>
  <si>
    <t>The gymnast performs backward flips, then she continues with her routine.</t>
  </si>
  <si>
    <t>Next, the gymnast jumps and does a double flip and land stands on the mat.</t>
  </si>
  <si>
    <t>v_scBelfrnHoI</t>
  </si>
  <si>
    <t>A man runs and jumps in various public locations with springs on his legs while spectators watch.</t>
  </si>
  <si>
    <t>A cameraman films the man while lying on the ground.</t>
  </si>
  <si>
    <t>The man with springs jumps over another man.</t>
  </si>
  <si>
    <t>v_LWJzkihZUWA</t>
  </si>
  <si>
    <t>We see a little girl putting makeup on her face at a toy vanity.</t>
  </si>
  <si>
    <t>She closes the makeup case and opens it back up.</t>
  </si>
  <si>
    <t>She rubs the tip of the brush with her finger.</t>
  </si>
  <si>
    <t>v_uICwWvS_AOo</t>
  </si>
  <si>
    <t>Four men ride in a convertible car and drive along a desert highway.</t>
  </si>
  <si>
    <t>Two friends ride down an escalator.</t>
  </si>
  <si>
    <t>The friends stand at a card table in a casino and play hands.</t>
  </si>
  <si>
    <t>The man makes a large bet and sits down to play a few hands at the table.</t>
  </si>
  <si>
    <t>The man accumulates a large number of chips.</t>
  </si>
  <si>
    <t>The man's friends win a hand and the couple celebrates.</t>
  </si>
  <si>
    <t>The man is tracked by security personnel and cameras.</t>
  </si>
  <si>
    <t>The woman falls back if her chair to the ground and the men help her up.</t>
  </si>
  <si>
    <t>The friend playing is gone and the chair is empty.</t>
  </si>
  <si>
    <t>v_Hv3We5wjaJE</t>
  </si>
  <si>
    <t>A couple are in the flowing water of a river.</t>
  </si>
  <si>
    <t>They are sitting next to several buckets.</t>
  </si>
  <si>
    <t>They scrub clothing against the rocks, trying to clean them.</t>
  </si>
  <si>
    <t>v_GySHt3Z6Lt4</t>
  </si>
  <si>
    <t>A person light wood to make fire.</t>
  </si>
  <si>
    <t>Then, a man blow the fire, while the person puts sticks on the nascent fire.</t>
  </si>
  <si>
    <t>After, the fire starts to growth bigger and bigger while the men put sticks on top.</t>
  </si>
  <si>
    <t>v_b5GrYqt5tRQ</t>
  </si>
  <si>
    <t>A group of men are holding maracas in the their hands and playing to some Reggae music.</t>
  </si>
  <si>
    <t>One of the men begins singing in the microphone.</t>
  </si>
  <si>
    <t>The rest of the men join him in singing the chorus.</t>
  </si>
  <si>
    <t>They play the maracas as they sing the song.</t>
  </si>
  <si>
    <t>The men also dance as they sing and play the maracas The lead singer sings solo for some time while the others play their maracas.</t>
  </si>
  <si>
    <t>Then all the men join him in singing the song while playing their maracas.</t>
  </si>
  <si>
    <t>v_TiQ6P1NkPHU</t>
  </si>
  <si>
    <t>Two people are dancing in a dance studio.</t>
  </si>
  <si>
    <t>First the woman sways her hips a little bit and moves one foot behind the other.</t>
  </si>
  <si>
    <t>She also tells viewers to make eye contact with the person to make sure they're comfortable and at some point, the man spins her around in a circle and she comes back around for them to start dancing normal again.</t>
  </si>
  <si>
    <t>v_BCC6fxrmA9M</t>
  </si>
  <si>
    <t>Three men are interviewed, one of whom plays the piano and sings for the interviewer and his camera crew in a narrow hallway.</t>
  </si>
  <si>
    <t>Four men are in a room, three of whom are being interviewed by the fourth man who has blonde hair, is wearing glasses, and has a camera crew with him.</t>
  </si>
  <si>
    <t>The interviewer leads one of the men into the hallway to a piano, where the man has a seat.</t>
  </si>
  <si>
    <t>The man begins to play and sing as the camera crew, interviewer and onlookers watch, before the man ends the song, gets up and walks away.</t>
  </si>
  <si>
    <t>v_-DphPPTybSY</t>
  </si>
  <si>
    <t>We see men in a room playing pool in a tournament.</t>
  </si>
  <si>
    <t>The man in the blue shirt approaches to shoot.</t>
  </si>
  <si>
    <t>The man walks away to exchange his pool stick.</t>
  </si>
  <si>
    <t>The man in blue makes his shot.</t>
  </si>
  <si>
    <t>The man then takes another shot.</t>
  </si>
  <si>
    <t>The man takes his third shot.</t>
  </si>
  <si>
    <t>The man makes his fourth shot.</t>
  </si>
  <si>
    <t>The man makes his final shot.</t>
  </si>
  <si>
    <t>v_UkZiyYfO57g</t>
  </si>
  <si>
    <t>An intro leads into a woman speaking to the camera while several skiiers ride around her.</t>
  </si>
  <si>
    <t>The camera follows the girl riding down a snowy hill as well as riding up ski lifts and speaking again to the camera.</t>
  </si>
  <si>
    <t>Several more shots of her skiing are shown and ends with her waving to the camera and various pictures of skiers.</t>
  </si>
  <si>
    <t>v_Cu8lmHiXkUU</t>
  </si>
  <si>
    <t>Two people are seen playing a game of ping pong with one another.</t>
  </si>
  <si>
    <t>They hit the ball back and fourth across the table while people watch on the sides.</t>
  </si>
  <si>
    <t>The boys continue to play back and fourth while switching places and looking to the camera.</t>
  </si>
  <si>
    <t>v_9SiYS0SEKTw</t>
  </si>
  <si>
    <t>A person is seen standing behind a bike speaking to the camera and showing close ups of the bike.</t>
  </si>
  <si>
    <t>The person continues speaking while showing off his gear and leads into him adjusting settings on his bike.</t>
  </si>
  <si>
    <t>v_YMSMASHyl2Y</t>
  </si>
  <si>
    <t>A woman dressed in a black top is talking about American Grooming services for pets.</t>
  </si>
  <si>
    <t>She demonstrates all the various grooming services that her company provides for pets.</t>
  </si>
  <si>
    <t>There are several groomers working on dogs as they trim and shear pet hair and clip their nails.</t>
  </si>
  <si>
    <t>The groomers talk about where they have graduated from and how they got hired for the job.</t>
  </si>
  <si>
    <t>The video shows how different dogs are groomed by professional groomers that provide quality services.</t>
  </si>
  <si>
    <t>v_s_H9cTp2tT8</t>
  </si>
  <si>
    <t>Various shots of people walking around a snowy mountain are shown followed by person playing games on horses.</t>
  </si>
  <si>
    <t>Many upscale people are seen watching on the sidelines as the horse game carries on and a winner is chosen.</t>
  </si>
  <si>
    <t>The people then arrive late at night dressed up and posing for pictures.</t>
  </si>
  <si>
    <t>v_uDs0wOnwaAM</t>
  </si>
  <si>
    <t>A small group of people are all seen playing various matches of ping pong with one another down a line of tables.</t>
  </si>
  <si>
    <t>The people continuing hitting the ball back and fourth while the camera captures them from various angles and a close up of a young boy in the end.</t>
  </si>
  <si>
    <t>v_15vwVfNA99o</t>
  </si>
  <si>
    <t>a woman is sitting at a table in a fast food restaurant while eating.</t>
  </si>
  <si>
    <t>She continually speaks to nobody as she eats.</t>
  </si>
  <si>
    <t>She stands up and grabs her purse, continuing to talk and laugh as she leaves.</t>
  </si>
  <si>
    <t>v_4E89GQ2UnoQ</t>
  </si>
  <si>
    <t>We see a raft full of people in a rough river and see lots of stills.</t>
  </si>
  <si>
    <t>We see the people in shots.</t>
  </si>
  <si>
    <t>We see the title screen.</t>
  </si>
  <si>
    <t>We see a helicopter over a river.</t>
  </si>
  <si>
    <t>The raft turns over and a lady laughs.</t>
  </si>
  <si>
    <t>We see a bus driving on the street.</t>
  </si>
  <si>
    <t>We see the canyon from afar.</t>
  </si>
  <si>
    <t>We see a tunnel and a speedboat.</t>
  </si>
  <si>
    <t>We see still shots of the rafters.</t>
  </si>
  <si>
    <t>v_6d7oOG3dS-Y</t>
  </si>
  <si>
    <t>A man is seen pushing a board down into the floor to push the carpet down.</t>
  </si>
  <si>
    <t>He continues cutting around the carpet and pushing it down with a large beam.</t>
  </si>
  <si>
    <t>v_Yf49q7bGpkk</t>
  </si>
  <si>
    <t>A bull in a ring starts chasing two men.</t>
  </si>
  <si>
    <t>Several others run onto the ring, and the bull flips as they grab his horns and tail.</t>
  </si>
  <si>
    <t>They open the gate, but fail to get the bull back inside as he charges them.</t>
  </si>
  <si>
    <t>v_V9nOM1VWdnc</t>
  </si>
  <si>
    <t>A person shows and explains a lemon squeezer and shows the part were the lemon goes.</t>
  </si>
  <si>
    <t>Then, the person points to two jugs on a table.</t>
  </si>
  <si>
    <t>Next, the person puts ice in a cup, and then squeeze a lemon using the lemon squeezer, add syrup and water from jugs.</t>
  </si>
  <si>
    <t>Then, the person put a cover on the cup and shake the mix.</t>
  </si>
  <si>
    <t>v_f6NpnKJZJE0</t>
  </si>
  <si>
    <t>A woman is working out an elliptical machine.</t>
  </si>
  <si>
    <t>A person plugs a cell phone into the machine.</t>
  </si>
  <si>
    <t>v_XHuKkrKjnhQ</t>
  </si>
  <si>
    <t>city with buildings and skyscrapers are in the back and a woman holding a cake is walking and is written how to wrap gifts.</t>
  </si>
  <si>
    <t>wmoan is sitting in a table and have a box and a a gift wrap on top and its showing how to wrap the gift and talking about it.</t>
  </si>
  <si>
    <t>decoative tapes are used to make a ribbon aound the gift and is showing how to make ribbons with diferents clothes.</t>
  </si>
  <si>
    <t>v_N3xWCui6fNY</t>
  </si>
  <si>
    <t>A young girl plays an accordian.</t>
  </si>
  <si>
    <t>The girl turns her head to the right.</t>
  </si>
  <si>
    <t>The girl's playing slows.</t>
  </si>
  <si>
    <t>v_XFySa1Gc-yM</t>
  </si>
  <si>
    <t>A woman is seen curling her hair while speaking to the camera and leads into her speaking in front of judges.</t>
  </si>
  <si>
    <t>The judges critique her and she runs away happy and skipping out of the building.</t>
  </si>
  <si>
    <t>v_SjwFCog0amE</t>
  </si>
  <si>
    <t>Two men are sitting, with their shoes in view.</t>
  </si>
  <si>
    <t>A man picks up a shoe and puts it on his foot.</t>
  </si>
  <si>
    <t>He then applies the other shoe, then ties the laces.</t>
  </si>
  <si>
    <t>v_3tRTl23mhVQ</t>
  </si>
  <si>
    <t>man is chewing gum sitting on the grades.</t>
  </si>
  <si>
    <t>man is standing on ractrack holding a large pole and running to do a javelin throw.</t>
  </si>
  <si>
    <t>people is going down the stairs.</t>
  </si>
  <si>
    <t>v_UrPn5-8yNgA</t>
  </si>
  <si>
    <t>A person is shaving their legs.</t>
  </si>
  <si>
    <t>A polished hand gestures at the person shaving.</t>
  </si>
  <si>
    <t>The person lows their head to see under their leg.</t>
  </si>
  <si>
    <t>v_lidR3AK0ZzQ</t>
  </si>
  <si>
    <t>A woman is seen bending down in front of a large set of weights and begins lifting it to her shoulders.</t>
  </si>
  <si>
    <t>She then bends down and puts the weights back down to her feet.</t>
  </si>
  <si>
    <t>v_sVeC5VlDsjk</t>
  </si>
  <si>
    <t>Several pictures are shown of a beach and landscapes as well as people walking on the beach.</t>
  </si>
  <si>
    <t>Several clips are then shown of people riding along the water and surfing the waves.</t>
  </si>
  <si>
    <t>More shots are shown of people surfing in the water.</t>
  </si>
  <si>
    <t>v_s2cXljpR-xk</t>
  </si>
  <si>
    <t>A man is seen speaking to a woman outside that leads into a game of rock paper scissors.</t>
  </si>
  <si>
    <t>The girls slaps the man and he continues to play the game with several other girls on the street in various locations.</t>
  </si>
  <si>
    <t>When the man wins the girls kiss him on the cheek.</t>
  </si>
  <si>
    <t>v_306mYrvdzIk</t>
  </si>
  <si>
    <t>Four people are in a pool hitting the ball back and forth over the net.</t>
  </si>
  <si>
    <t>As they play,someone walks across the camera and then a set of boys are zoomed in on as they serve the ball.</t>
  </si>
  <si>
    <t>The ball goes out on both sides and they are forced to get out and go and get it.</t>
  </si>
  <si>
    <t>They get the large beach ball back and continue to hit it over the net to one another.</t>
  </si>
  <si>
    <t>v_M-bUoaIqtDk</t>
  </si>
  <si>
    <t>We see a person kitesufing in the sea.</t>
  </si>
  <si>
    <t>The person passes us and turns around.</t>
  </si>
  <si>
    <t>The person stops before taking off again.</t>
  </si>
  <si>
    <t>v_GehJuCIJ7AI</t>
  </si>
  <si>
    <t>five different people tosses a freebie in the air and a dog jumps and catch the freebie in his mouth, the dog then moves on to the next person and do the same thing as many people watch from a distances.</t>
  </si>
  <si>
    <t>there are two dogs now that are jumping the air catching freebies while doing tricks.</t>
  </si>
  <si>
    <t>Now there is one lady with one dog doing tricks and the dog catches the freebie as the lady toss it in the air.</t>
  </si>
  <si>
    <t>v_ruHRz56XGE4</t>
  </si>
  <si>
    <t>A man mows the grass around a tree.</t>
  </si>
  <si>
    <t>The man gets stuck and the mower turns off, and the man has to pull the igniter.</t>
  </si>
  <si>
    <t>Then, the man continues cutting the grass around the tree.</t>
  </si>
  <si>
    <t>v_Q684UQhx7yI</t>
  </si>
  <si>
    <t>A man is sitting on a bull in a gate.</t>
  </si>
  <si>
    <t>The bull is released and a man on a horse chases after it.</t>
  </si>
  <si>
    <t>The man jumps off the horse and ties the bull up.</t>
  </si>
  <si>
    <t>The man stands up and walks back to his horse.</t>
  </si>
  <si>
    <t>v_pzHDfjY-pFY</t>
  </si>
  <si>
    <t>A boy is floating in a raft as his father holds a rope attached to it.</t>
  </si>
  <si>
    <t>The boat floats away slowly, pulling the child as he stands in his raft.</t>
  </si>
  <si>
    <t>He is then pulled up toward the two men in the boat.</t>
  </si>
  <si>
    <t>v_deLpSUF1wio</t>
  </si>
  <si>
    <t>A boy is standing in the woods with another boy.</t>
  </si>
  <si>
    <t>He lights a fire, then throws it at a pile.</t>
  </si>
  <si>
    <t>The two boys stare at the pile while it burns.</t>
  </si>
  <si>
    <t>v_aqpeiIMe47Q</t>
  </si>
  <si>
    <t>chiopped vegetables are in a bowls on top of table.</t>
  </si>
  <si>
    <t>the ingredients are mixed inside a bowl together with oil, pepper and mayonnaise.</t>
  </si>
  <si>
    <t>v_6RdkwoTi-98</t>
  </si>
  <si>
    <t>A man performs a hammer throw in an outdoor area, caged in, surrounded by crowds of people watching.</t>
  </si>
  <si>
    <t>A man in a red t-shirt approaches a players circle on the ground inside of an enclosed metal fence area.</t>
  </si>
  <si>
    <t>The man spins a ball, attached to a rope, around and around.</t>
  </si>
  <si>
    <t>The man lets the ball goes and watches as it lands off screen.</t>
  </si>
  <si>
    <t>v_BTG82umu8Ug</t>
  </si>
  <si>
    <t>A young woman is practicing on a track and field track, sprinting and high jumping over a high bar and landing on her feet while three men in the background are watching her practice.</t>
  </si>
  <si>
    <t>The woman jumps again, this time sprinting a little bit faster.</t>
  </si>
  <si>
    <t>The woman jumps again with a longer run up.</t>
  </si>
  <si>
    <t>Another young woman in the background is jogging by.</t>
  </si>
  <si>
    <t>The woman jumps again with an even longer run up and adds a small skip/hop to her initial run.</t>
  </si>
  <si>
    <t>A man in the background is jogging on the field while another man stands and stretches his legs.</t>
  </si>
  <si>
    <t>The woman doesn't clear the bar perfectly and it falls off of it's poles.</t>
  </si>
  <si>
    <t>The woman jumps again with an even longer run up and a more powerful skip/hop to start her run.</t>
  </si>
  <si>
    <t>The woman jumps again with the long run up and powerful skip at the beginning.</t>
  </si>
  <si>
    <t>v_5g70tfGYWDk</t>
  </si>
  <si>
    <t>A couple of people are on an indoor tennis court.</t>
  </si>
  <si>
    <t>They lob the ball back and forth, playing a game of tennis.</t>
  </si>
  <si>
    <t>They continue playing, trying to win the game.</t>
  </si>
  <si>
    <t>v_jM0l31xZj8E</t>
  </si>
  <si>
    <t>The screen is full of white bubbles and words, while a pair of hands plays the piano.</t>
  </si>
  <si>
    <t>The bubbles and words disappear and it is just the hands moving over the keyboard.</t>
  </si>
  <si>
    <t>The hands disappear and it is just the keyboard.</t>
  </si>
  <si>
    <t>v__6TamBiyYWA</t>
  </si>
  <si>
    <t>A man appears before several targets on a back wall.</t>
  </si>
  <si>
    <t>He talks about the basics of archery.</t>
  </si>
  <si>
    <t>A woman is shown with an archery set.</t>
  </si>
  <si>
    <t>She pulls back the arrow, then shoots at her target as he talks.</t>
  </si>
  <si>
    <t>v_YAjqqbSsFTg</t>
  </si>
  <si>
    <t>A bunch of colorful flowers are shown, including their identification tags.</t>
  </si>
  <si>
    <t>A man shows bees and different breeds, including a tree.</t>
  </si>
  <si>
    <t>He teaches us how to mulch a tree properly.</t>
  </si>
  <si>
    <t>v_5wOmHw6Boj8</t>
  </si>
  <si>
    <t>A clear bottle of detergent is shown and a person begins cleaning a mug with a cloth.</t>
  </si>
  <si>
    <t>The person shows herself putting on the glove and goes back to washing the mug before finally showing her book on the product.</t>
  </si>
  <si>
    <t>v_oTKYejnHLtE</t>
  </si>
  <si>
    <t>A magazine about saxophones is shown just before a pair of hands are shown playing a saxophone.</t>
  </si>
  <si>
    <t>Multiple screens begin to appear, showing the hands playing various notes on the screen.</t>
  </si>
  <si>
    <t>The screen goes backwards until the video ends.</t>
  </si>
  <si>
    <t>v_QWFedtlPRYM</t>
  </si>
  <si>
    <t>Title screens show up on the video.</t>
  </si>
  <si>
    <t>A woman is holding a cloth in a kitchen.</t>
  </si>
  <si>
    <t>The woman begins running water in a bath tub and a sink.</t>
  </si>
  <si>
    <t>The woman washes a cloth in the sink.</t>
  </si>
  <si>
    <t>The woman lays the wet cloth on a dry one and dries it out.</t>
  </si>
  <si>
    <t>The woman puts the pair of pants on an ironing board.</t>
  </si>
  <si>
    <t>The ending credits appear.</t>
  </si>
  <si>
    <t>v_oXKrreio9hg</t>
  </si>
  <si>
    <t>A gymnast is seen standing ready with her arms up that leads into her running down and doing flips down a track into a pit.</t>
  </si>
  <si>
    <t>She puts her arms up to finish and her jumps are shown several more times in slow motion.</t>
  </si>
  <si>
    <t>v_P7bvD_CZH5M</t>
  </si>
  <si>
    <t>Several clips are shown of many people standing on a surf board and pushing themselves along the water with a paddle.</t>
  </si>
  <si>
    <t>The people continue to paddle around the water while many people are seen sitting.</t>
  </si>
  <si>
    <t>v_cSfs5ht9sro</t>
  </si>
  <si>
    <t>We see a person riding a ski lift.</t>
  </si>
  <si>
    <t>The person lifts the bar on the chair.</t>
  </si>
  <si>
    <t>The person hops off the lift and onto the slope.</t>
  </si>
  <si>
    <t>The person puts on their ski poles.</t>
  </si>
  <si>
    <t>The person skis swiftly down the ski slope.</t>
  </si>
  <si>
    <t>The person reaches the bottom of the slope and looks up.</t>
  </si>
  <si>
    <t>320 The person's hand comes to the screen to turn off the camera.</t>
  </si>
  <si>
    <t>v_8xsLp6lqijo</t>
  </si>
  <si>
    <t>A man is standing on a skateboard.</t>
  </si>
  <si>
    <t>He picks up the skateboard and holds it in his hand.</t>
  </si>
  <si>
    <t>He puts the skateboard back down and continues skateboarding.</t>
  </si>
  <si>
    <t>v_buBtMl9SUNk</t>
  </si>
  <si>
    <t>People dive in the water wearing diving suit, small and big fishes swim near the divers.</t>
  </si>
  <si>
    <t>The diver kneel on the sea floor waving their hands.</t>
  </si>
  <si>
    <t>Manta fish and a big fish swim in the water.</t>
  </si>
  <si>
    <t>The divers stands and continue swimming in the water.</t>
  </si>
  <si>
    <t>v_UZBHdQZc0ZM</t>
  </si>
  <si>
    <t>men are holding snowslides from a deposit.</t>
  </si>
  <si>
    <t>old woman is sitting on snowslide and its going down a snowy slope.</t>
  </si>
  <si>
    <t>old woman is in snowslide going down snow track.</t>
  </si>
  <si>
    <t>a man and a woman are grabing the old lady fom the back in a slide.</t>
  </si>
  <si>
    <t>different people are going down slope holding snowslides with a rope.</t>
  </si>
  <si>
    <t>old women are sitting on woodn bench talking to the camera.</t>
  </si>
  <si>
    <t>old people are sitting and standing in front of a camera posing for a picture.</t>
  </si>
  <si>
    <t>v_USaP2UCPBEc</t>
  </si>
  <si>
    <t>Text appears on the screen with a link.</t>
  </si>
  <si>
    <t>People in uniform march down the street.</t>
  </si>
  <si>
    <t>It cuts to the crowd looking on.</t>
  </si>
  <si>
    <t>A marchign band begins to walk down the street.</t>
  </si>
  <si>
    <t>Another set of uniformed people walk down the street.</t>
  </si>
  <si>
    <t>They stop and wave to the crowd.</t>
  </si>
  <si>
    <t>It goes back to the marching band.</t>
  </si>
  <si>
    <t>A horse and carriage walk down the street followed by the people in uniform.</t>
  </si>
  <si>
    <t>Two woman wave flags around.</t>
  </si>
  <si>
    <t>The rest of the people continue to march down the street.</t>
  </si>
  <si>
    <t>v_lVe-7FnfNz8</t>
  </si>
  <si>
    <t>A girl is going across monkey bars on a playground.</t>
  </si>
  <si>
    <t>She gets to the end and jumps onto the ground.</t>
  </si>
  <si>
    <t>She puts her hands up in the air.</t>
  </si>
  <si>
    <t>v_NNQQPZpzCOk</t>
  </si>
  <si>
    <t>Some women are on a boat attempting to figure out how to play shuffleboard.</t>
  </si>
  <si>
    <t>The girl makes a shuffleboard ahot and the girls all begin to celebrate.</t>
  </si>
  <si>
    <t>She continues to attempt make shots and act silly.</t>
  </si>
  <si>
    <t>She puts down the shuffleboard stick and the video ends.</t>
  </si>
  <si>
    <t>v_jqLFT1c8WS8</t>
  </si>
  <si>
    <t>Videos of several men throwing the discus are shown in turn, with the men being watched by audiences and judges, and the throws replayed in slow motion after.</t>
  </si>
  <si>
    <t>Judges are shown evaluating the distance of the one of the throws.</t>
  </si>
  <si>
    <t>Judges are once again shown evaluating the distance of one of the throws.</t>
  </si>
  <si>
    <t>v_bz9R-Xa5xqM</t>
  </si>
  <si>
    <t>A man wearing a black shirt stands in a living room with a red and black accordion.</t>
  </si>
  <si>
    <t>The musician sitting in a chair holding a black accordion and prepares to demonstrate how to play an accordion.</t>
  </si>
  <si>
    <t>The man then demonstrates playing an accordian using a brown accordion.</t>
  </si>
  <si>
    <t>v_0jeq5CeP2P0</t>
  </si>
  <si>
    <t>A kite is seen flying around the air with a person riding behind the kite on the sand.</t>
  </si>
  <si>
    <t>The camera continues to pan around the beach capturing the person flying a kite and him riding around and holding it.</t>
  </si>
  <si>
    <t>v_kOIj7AgonHM</t>
  </si>
  <si>
    <t>A person with crazy hair appears and leads into her on a space ship with gravity essentially turned off.</t>
  </si>
  <si>
    <t>She shows off the various items carried on a space craft and puts a lotion into her hair.</t>
  </si>
  <si>
    <t>She combs the lotion in thoroughly and dries off her head with a towel.</t>
  </si>
  <si>
    <t>She points to the camera and combs through her hair one last time.</t>
  </si>
  <si>
    <t>v_kXP1tgr476c</t>
  </si>
  <si>
    <t>This man is sitting outdoors polishing another man's shoes and neither one of their faces are shown.</t>
  </si>
  <si>
    <t>The man is sitting on the ground and he is using a brown towel to polish the man's shoes.</t>
  </si>
  <si>
    <t>He also puts liquid onto a small brush and he puts it on the man's shoes.</t>
  </si>
  <si>
    <t>v_5DBzvN5Qe_0</t>
  </si>
  <si>
    <t>A girl does flips in front of a room full of children.</t>
  </si>
  <si>
    <t>She uses a hula hoop to go in circles.</t>
  </si>
  <si>
    <t>She acts silly as she demonstrates how she can use the hula hoop.</t>
  </si>
  <si>
    <t>v_Ay6oxBYCSnU</t>
  </si>
  <si>
    <t>Several players are on an ice rink.</t>
  </si>
  <si>
    <t>They are playing hockey against each other.</t>
  </si>
  <si>
    <t>One team scores a goal.</t>
  </si>
  <si>
    <t>Everyone cheers about the goal.</t>
  </si>
  <si>
    <t>v_Mx-rOsiQTos</t>
  </si>
  <si>
    <t>We see a man get in riding leaf blower.</t>
  </si>
  <si>
    <t>We see the leaves being blown on the ground.</t>
  </si>
  <si>
    <t>We see a pipe on the machine.</t>
  </si>
  <si>
    <t>We return to seeing the leaves being blown.</t>
  </si>
  <si>
    <t>We see leaves blowing in the street.</t>
  </si>
  <si>
    <t>v_cy-RLevyo_8</t>
  </si>
  <si>
    <t>From the roof we see the street where a car is parked and a man standing on the room the man begins to pry up roof shingles.</t>
  </si>
  <si>
    <t>The man adds a fixed piece of shingles and nails hem down.</t>
  </si>
  <si>
    <t>The man finishes and walks away.</t>
  </si>
  <si>
    <t>We see the ruck on the street for the roofing company.</t>
  </si>
  <si>
    <t>v_KYN1NR7l2zQ</t>
  </si>
  <si>
    <t>This man is shown standing in the water wearing his pool cap and his goggles are on top of his forehead.</t>
  </si>
  <si>
    <t>He then puts on the goggles on and shows us a couple of swimming techniques in the water and he goes back to talking.</t>
  </si>
  <si>
    <t>v_m34BYRanODU</t>
  </si>
  <si>
    <t>A woman talks in a backyard wearing loose clothes.</t>
  </si>
  <si>
    <t>The woman exercise stepping on the mat.</t>
  </si>
  <si>
    <t>v_2DvHUEFc5VA</t>
  </si>
  <si>
    <t>two men are sitting in front of a counter in a kitchen.</t>
  </si>
  <si>
    <t>men start mixing a cake.</t>
  </si>
  <si>
    <t>man is in the kitchen and pour some ingredients inside a cooking pot and mix them while is boiling water and put the pot on top of the boiled water.</t>
  </si>
  <si>
    <t>man start mixing in a kitchen aid and create a white cream.</t>
  </si>
  <si>
    <t>v_6Ik0MQ53FBU</t>
  </si>
  <si>
    <t>A large group of people are seen standing around a beach as well as several shots of cars and people riding bulls.</t>
  </si>
  <si>
    <t>Various people ride the bulls and sit in the cars as well as end with a game of volleyball and celebrating.</t>
  </si>
  <si>
    <t>v_O_StqLLpAVI</t>
  </si>
  <si>
    <t>A bike with a deflated tire goes through the dirt.</t>
  </si>
  <si>
    <t>A man gets off the bike to look at it.</t>
  </si>
  <si>
    <t>He removes the tire from the bike.</t>
  </si>
  <si>
    <t>He replaces the tube of the tire and fixes the bike.</t>
  </si>
  <si>
    <t>v_Pu85El6jhao</t>
  </si>
  <si>
    <t>A man in a red wet suit is sitting on a float talking casually.</t>
  </si>
  <si>
    <t>Next to hime are many other people on their own floats, just relaxing.</t>
  </si>
  <si>
    <t>They are floating through the river passing all the green scenery.</t>
  </si>
  <si>
    <t>The man in the red wet suit is leading the way.</t>
  </si>
  <si>
    <t>v_B3ZVUyLeT84</t>
  </si>
  <si>
    <t>A boy surfs in a big wave.</t>
  </si>
  <si>
    <t>A group of people lye down on surfboards in a wave.</t>
  </si>
  <si>
    <t>Suddenly, a boy stands an surf below the wave.</t>
  </si>
  <si>
    <t>Men stand in the beach holding surfboards.</t>
  </si>
  <si>
    <t>v_UVxXr_mh5BM</t>
  </si>
  <si>
    <t>A picture of a young lady's bun is shown and then the lady then appears.</t>
  </si>
  <si>
    <t>She begins by braiding one side of her hair and then twists it down and does the same thing on the other side.</t>
  </si>
  <si>
    <t>With one twist,she pulls it up and bobby pins it together with the other side following.</t>
  </si>
  <si>
    <t>The hair style is then complete and she more pictures are shown again of the finish product.</t>
  </si>
  <si>
    <t>v_cwCNZAsvf8U</t>
  </si>
  <si>
    <t>A females left leg and foot is in a bathtub as the lady shaves her leg.</t>
  </si>
  <si>
    <t>Once she is done with the front,she turns her legs to the left and right and shaves the sides in an upward motion.</t>
  </si>
  <si>
    <t>v_8YTuNZ-mIaY</t>
  </si>
  <si>
    <t>A large group of men in uniform are gathered around to play some paintball.</t>
  </si>
  <si>
    <t>They start to run off and everyone is sneaking around trying to catch and shoot other people without getting caught.</t>
  </si>
  <si>
    <t>The field they are playing on is pretty cool, it has a lot of different hiding places.</t>
  </si>
  <si>
    <t>in the end they all take of most of their head gear and start walking back together.</t>
  </si>
  <si>
    <t>v_FZix27qFZTc</t>
  </si>
  <si>
    <t>A man paints a hose on front a fence in a backyard.</t>
  </si>
  <si>
    <t>The man paint the fence from up to down.</t>
  </si>
  <si>
    <t>v_VNROQWtYhlw</t>
  </si>
  <si>
    <t>There's a woman dressed in a sparkly golden dress is eating a Magnum chocolate truffle ice cream bar.</t>
  </si>
  <si>
    <t>She talks about her favorite flavor being chocolate.</t>
  </si>
  <si>
    <t>She takes a bite off the ice cream bar as she savors the rich flavor.</t>
  </si>
  <si>
    <t>She answers questions about needing to have down time as an actor and enjoying her favorite ice cream bar.</t>
  </si>
  <si>
    <t>The video ends with a decadent chocolate ice cream bar being drizzled with rich chocolate.</t>
  </si>
  <si>
    <t>v_b0QGh__f7lU</t>
  </si>
  <si>
    <t>An older man is seen laughing to the camera and playing a large set of bongo drums.</t>
  </si>
  <si>
    <t>He continues playing along faster and faster and finishes by slapping the drum one final time.</t>
  </si>
  <si>
    <t>v_aRdqcOaBvjk</t>
  </si>
  <si>
    <t>A person is seen close up riding on the back of a bike shooting a paint ball off into the distance.</t>
  </si>
  <si>
    <t>Several shots are shown of people riding around in cars shooting paint balls at one another.</t>
  </si>
  <si>
    <t>The people continue riding around on machines and jumping over obstacles.</t>
  </si>
  <si>
    <t>v_LQAFcEvifrU</t>
  </si>
  <si>
    <t>A camera pans around the inside of a car looking out showing other cars driving around.</t>
  </si>
  <si>
    <t>The car begins moving while looking around the sandy area and showing people inside the car.</t>
  </si>
  <si>
    <t>The camera leads into shots of people riding around on camels and leads into shots of people riding on the camels.</t>
  </si>
  <si>
    <t>v_mM6F8DppWcQ</t>
  </si>
  <si>
    <t>A person skateboard down to the ramp, a woman is shown in the phone's screen and then a man.</t>
  </si>
  <si>
    <t>A boy rollerskate down the white railings as two other men walked up to him to give him high five.</t>
  </si>
  <si>
    <t>A young man in blue top roller blades in the railing and give high fives to his peers.</t>
  </si>
  <si>
    <t>v_3w5xIOwFUXU</t>
  </si>
  <si>
    <t>A small group of people are seen standing around table speaking and laughing to one another.</t>
  </si>
  <si>
    <t>Two men then drink out of ice containers and lead into more people drinking out of the containers.</t>
  </si>
  <si>
    <t>One team finishes before the other and everyone celebrates.</t>
  </si>
  <si>
    <t>v_O1XzCrHZm34</t>
  </si>
  <si>
    <t>There are many women in a gym, wearing boxing gloves and athletic gear punching on hanging bags.</t>
  </si>
  <si>
    <t>The camera pans to show a wall and the words "iLoveKickboxing dot com" is on the wall along with a logo that includes a heart with wings and boxing gloves hanging from the bottom of the right wing.</t>
  </si>
  <si>
    <t>The room pans back to the rest of the room and continues to show many women still punching the hanging punching bags.</t>
  </si>
  <si>
    <t>v_RgeVltfPDXQ</t>
  </si>
  <si>
    <t>Children swings a broom handle at a pinata in a backyard.</t>
  </si>
  <si>
    <t>The boy breaks the pinata open and candy spills on the ground.</t>
  </si>
  <si>
    <t>A woman runs up and adjusts the pinata.</t>
  </si>
  <si>
    <t>A woman runs up to get the broom stick but dodges to not get hit by the blindfolded child.</t>
  </si>
  <si>
    <t>The woman guides the boy up who is blindfolded toward the tree.</t>
  </si>
  <si>
    <t>v_JvP1O8ZIL3A</t>
  </si>
  <si>
    <t>A woman is seen standing behind another woman sitting in a chair and begins styling her hair.</t>
  </si>
  <si>
    <t>The woman brushes and parts her hair ad begins braiding the hair and pinning it in several locations.</t>
  </si>
  <si>
    <t>The woman shows off her finished hair do while looking and smiling to the camera.</t>
  </si>
  <si>
    <t>v_jhiJUgDpwFw</t>
  </si>
  <si>
    <t>A young girl is at a park and grabbing and hanging on triangles that are hanging and makes her way going forward and across 7 triangles.</t>
  </si>
  <si>
    <t>As soon as she reaches the end she goes back 3 triangles without turning around and then turns herself around on the 4th triangle and continues back to where she started .</t>
  </si>
  <si>
    <t>The young girl jumps down on the platform, smiles and waves.</t>
  </si>
  <si>
    <t>v_dG8fhIBgx9k</t>
  </si>
  <si>
    <t>A girl with two braids going down her back is standing outside.</t>
  </si>
  <si>
    <t>She turns toward the camera, and her hair is now down.</t>
  </si>
  <si>
    <t>She lays in a stylist chair, showing how the style was done.</t>
  </si>
  <si>
    <t>v_ACki-MP9qdQ</t>
  </si>
  <si>
    <t>This woman is showing viewers how she makes a cheesecake shot.</t>
  </si>
  <si>
    <t>First she puts 3 quarters of an ounce of Baileys and the same amount of pineapple juice.</t>
  </si>
  <si>
    <t>Then she puts a quarter ounce of another liquid and she gets a 2 ounce shot glass and strains the drink from the ice in the shaker to put it into the glass.</t>
  </si>
  <si>
    <t>v_knHJztfWFrA</t>
  </si>
  <si>
    <t>Two men are shown standing in a recording studio playing instruments.</t>
  </si>
  <si>
    <t>One is playing the guitar while the other plays the flute together.</t>
  </si>
  <si>
    <t>They finish their song and one gives a hand gesture to the camera while the other smiles.</t>
  </si>
  <si>
    <t>v_SHZ9fsusMGc</t>
  </si>
  <si>
    <t>A man is holding a rubiks cube.</t>
  </si>
  <si>
    <t>He then starts to turn it.</t>
  </si>
  <si>
    <t>He stops and looks it over.</t>
  </si>
  <si>
    <t>Eventually he solves it and shows his time.</t>
  </si>
  <si>
    <t>v_xfNYfCAlkM4</t>
  </si>
  <si>
    <t>A boy shows up on the screen and gets a cup of water and gargles it.</t>
  </si>
  <si>
    <t>He smiles and walks off the screen for a moment.</t>
  </si>
  <si>
    <t>He returns and continues gragling and laughing.</t>
  </si>
  <si>
    <t>A man comes onto the screen and invites people to subscribe to his videos.</t>
  </si>
  <si>
    <t>v_IWHER8iS1B4</t>
  </si>
  <si>
    <t>woman is talking to the camera.</t>
  </si>
  <si>
    <t>kids are running in stage and jumping the rope.</t>
  </si>
  <si>
    <t>kids are siting on court watching the skipping rope competition.</t>
  </si>
  <si>
    <t>v_yqFdxxWgvh8</t>
  </si>
  <si>
    <t>A woman puts ice in a glass.</t>
  </si>
  <si>
    <t>She dumps a bottle into the glass and adds juice.</t>
  </si>
  <si>
    <t>She stirs the drink and sets it down on the counter.</t>
  </si>
  <si>
    <t>v_PAhJqXTzCOU</t>
  </si>
  <si>
    <t>A man wearing a green cap sits in a car holding a coffee cup talking.</t>
  </si>
  <si>
    <t>He sets the camera on his dashboard and continues talking.</t>
  </si>
  <si>
    <t>He holds the coffee and takes several sips.</t>
  </si>
  <si>
    <t>He continues talking while holding the cup in his hand.</t>
  </si>
  <si>
    <t>v_RP_PlV5Jzuc</t>
  </si>
  <si>
    <t>A close up of a horse is shown tied to a fence when a man walks in with a reef blower and pushing it towards the horses.</t>
  </si>
  <si>
    <t>He moves all around the animals flowing the air on their fur as the horses move around.</t>
  </si>
  <si>
    <t>v_toeGFZLoeHU</t>
  </si>
  <si>
    <t>A man, wearing a kilt and white t-shirt plays the bagpipes while standing outside of a shopping strip parking lot, as cars pass by.</t>
  </si>
  <si>
    <t>A man stands outside next to a yellow fire hydrant and plays the bagpipes as cars pass.</t>
  </si>
  <si>
    <t>The man moves closer to the cars or the edge of the sidewalk as he plays.</t>
  </si>
  <si>
    <t>The man continues to play bagpipes on the sidewalk until the scene fades to black.</t>
  </si>
  <si>
    <t>v_nypn_gYS8Ik</t>
  </si>
  <si>
    <t>A woman is combing her hair while looking into the camera.</t>
  </si>
  <si>
    <t>She then brushes her bangs straight.</t>
  </si>
  <si>
    <t>She continues brushing with the comb and her hand.</t>
  </si>
  <si>
    <t>v_PgS2F7NxNBg</t>
  </si>
  <si>
    <t>A man is standing outside of a wall with some sort of machine machine and begins talking.</t>
  </si>
  <si>
    <t>The man takes the hose and pressure washes the fence before caulking it.</t>
  </si>
  <si>
    <t>He then gets on his knees and adds spray paint to the machine and paints the wall.</t>
  </si>
  <si>
    <t>Finally,he goes back to the wall with his paint brush and fills in the missing spaces.</t>
  </si>
  <si>
    <t>v_8VPiqCCOPWg</t>
  </si>
  <si>
    <t>A woman is seen diving through colorful banners.</t>
  </si>
  <si>
    <t>The outside of a building is shown.</t>
  </si>
  <si>
    <t>We see a scoreboard, then women being prepped for swimming by their coaches.</t>
  </si>
  <si>
    <t>The women take turns diving off the high board, flipping as they go.</t>
  </si>
  <si>
    <t>The winner poses with a medal as everyone claps.</t>
  </si>
  <si>
    <t>v_Y_sVqGm8AyU</t>
  </si>
  <si>
    <t>A woman gets her belly button clamped with a white clamp.</t>
  </si>
  <si>
    <t>She then gets her belly button pierced.</t>
  </si>
  <si>
    <t>The person removes the clamp and wipes it with a towel.</t>
  </si>
  <si>
    <t>v_xJ3KAhVRr8c</t>
  </si>
  <si>
    <t>They are using steppers for exercising.</t>
  </si>
  <si>
    <t>They jumping and climb back and forth over the steppers.</t>
  </si>
  <si>
    <t>v_gvHcfC9snJA</t>
  </si>
  <si>
    <t>A woman in a white shirt is dancing.</t>
  </si>
  <si>
    <t>She holds a curling iron in her hair.</t>
  </si>
  <si>
    <t>She takes the curling iron out of her hair.</t>
  </si>
  <si>
    <t>v_sV4vBuWGJng</t>
  </si>
  <si>
    <t>The video shows a tutorial from Howcast on how to create volume in a haircut.</t>
  </si>
  <si>
    <t>A lady hair dresser wearing a green shirt and pants is demonstrating a haircut on a model wearing a black tank top.</t>
  </si>
  <si>
    <t>She shows how to section the lady's hair and cuts the hair in a slanting manner.</t>
  </si>
  <si>
    <t>She explains how this technique helps in creating extra volume in the crown of the head.</t>
  </si>
  <si>
    <t>v_cb5Xy7k7z1w</t>
  </si>
  <si>
    <t>A young girl and gymnast performs a gymnastic exercise on the balancing beam at a professional sports event in front of many photographers and an audience in the stands.</t>
  </si>
  <si>
    <t>A young gymnast in a blue outfit stands in front of a balance beam, jumps on it and begins to perform a routine involving flips.</t>
  </si>
  <si>
    <t>The girl performs several flips on the balance beam and high jumps using her arms to balance her stance before performing one final flip off of the beam and sticking the landing after which she walks hugs a coach before looking at the scoreboard and talking briefly with a man seated in a white chair.</t>
  </si>
  <si>
    <t>v_02WlEYafQ9Q</t>
  </si>
  <si>
    <t>Several people white water raft and kayak in large inflatable rafts and kayaks on a violent, narrow, body of water surrounded by large rocks.</t>
  </si>
  <si>
    <t>A group of people on a blue water raft paddle against a violent stream/body of water.</t>
  </si>
  <si>
    <t>Several lone people paddle in small kayaks against the same violent water.</t>
  </si>
  <si>
    <t>A person navigates the rocky waves in a large water raft.</t>
  </si>
  <si>
    <t>The rafters and kayakers continue to fight the force of the water as the scene face to a positivity mantra and then to black.</t>
  </si>
  <si>
    <t>v_OFn-c_XvIhU</t>
  </si>
  <si>
    <t>An suv full of friends drives out of a parking lot and onto a resort.</t>
  </si>
  <si>
    <t>A young girl who was in the car steps out of the car.</t>
  </si>
  <si>
    <t>The group of friends scuba dive among fishes in a large pool.</t>
  </si>
  <si>
    <t>They leave the pool excited and happy.</t>
  </si>
  <si>
    <t>One of the girls who was on the trip gives the trip a thumbs up.</t>
  </si>
  <si>
    <t>v_3j4OdbgaoAM</t>
  </si>
  <si>
    <t>A man is seen hosting a new segment that leads into a large group of people standing and marching around a field.</t>
  </si>
  <si>
    <t>People are then seen riding around on horses playing a game with one another.</t>
  </si>
  <si>
    <t>Players speak to the camera as well as the audience and ends with a team standing all together.</t>
  </si>
  <si>
    <t>v_k5wjc4OO1XM</t>
  </si>
  <si>
    <t>A man pours an egg into a small pan.</t>
  </si>
  <si>
    <t>He sets the pan onto a stove.</t>
  </si>
  <si>
    <t>He dumps the food out onto a plate.</t>
  </si>
  <si>
    <t>v_3osNjmYjTGg</t>
  </si>
  <si>
    <t>A man pole vaults over a rope on a track of a sporting field.</t>
  </si>
  <si>
    <t>The man just barely makes his body over the rope.</t>
  </si>
  <si>
    <t>v_rBGdFwbG118</t>
  </si>
  <si>
    <t>A man wearing glasses is talking in a parking lot.</t>
  </si>
  <si>
    <t>He walks into a car wash, where a green substance is being sprayed on the cars.</t>
  </si>
  <si>
    <t>The soap is then rinsed away with hoses.</t>
  </si>
  <si>
    <t>v_E7NTSqMgx44</t>
  </si>
  <si>
    <t>A large marching band is seen walking down a street with a large group of people standing around and watching.</t>
  </si>
  <si>
    <t>The people continue marching and the camera ends with a credit scene.</t>
  </si>
  <si>
    <t>v_uBT9n8wOKP4</t>
  </si>
  <si>
    <t>A young child is seen wearing ear pieces on his head and blowing around the grass.</t>
  </si>
  <si>
    <t>He is holding a large machine and is seen pushing it all around the yard.</t>
  </si>
  <si>
    <t>He pauses for a moment to play with the grass, followed by him working more.</t>
  </si>
  <si>
    <t>v_mnv-Qz4QDfU</t>
  </si>
  <si>
    <t>A group of girls are gathered in a room.</t>
  </si>
  <si>
    <t>They are shown in a series of images posing together.</t>
  </si>
  <si>
    <t>We also several several boys posing before playing a game of foosball.</t>
  </si>
  <si>
    <t>v_kk1Iqyox4c8</t>
  </si>
  <si>
    <t>A man walks up to a microphone while playing the sax.</t>
  </si>
  <si>
    <t>A group of baseball players wait on the field.</t>
  </si>
  <si>
    <t>The man continues to play the saxophone for the crowd.</t>
  </si>
  <si>
    <t>v_kUTDgJmoRE8</t>
  </si>
  <si>
    <t>There's a young main in a white tank top and beige shorts practicing dancing with a woman wearing a gray shirt and blue shorts.</t>
  </si>
  <si>
    <t>They are practicing dancing in their living room with a flat screen television hanging on the wall.</t>
  </si>
  <si>
    <t>They are holding hands as they twirl around and dance.</t>
  </si>
  <si>
    <t>v_2PBdNJcQcp4</t>
  </si>
  <si>
    <t>They are swinging their hips from side to side.</t>
  </si>
  <si>
    <t>The dance is supposed to be sexy.</t>
  </si>
  <si>
    <t>They form a line as they dance.</t>
  </si>
  <si>
    <t>They turn their backs to the audience and dance.</t>
  </si>
  <si>
    <t>The lights go down.</t>
  </si>
  <si>
    <t>The dance is over.</t>
  </si>
  <si>
    <t>v_Nh-RdjyfGNA</t>
  </si>
  <si>
    <t>People stand and talk at a tables.</t>
  </si>
  <si>
    <t>Teams of players play beach soccer.</t>
  </si>
  <si>
    <t>A player scores a goal with the soccer ball.</t>
  </si>
  <si>
    <t>v_YRp5nE0Hlsc</t>
  </si>
  <si>
    <t>The screen is black and we see a ballerina dance across the stage spilling feathers.</t>
  </si>
  <si>
    <t>The person moves it's head like a chicken.</t>
  </si>
  <si>
    <t>The person does a shuffle and dance then falls to the ground before getting up and dancing more.</t>
  </si>
  <si>
    <t>The person puts their hands in a prayer pose.</t>
  </si>
  <si>
    <t>The person picks up feathers off the ground and sprinkles them around then dances and falls to the ground and the scene ends.</t>
  </si>
  <si>
    <t>v_56McYSkE4uQ</t>
  </si>
  <si>
    <t>A person is seen sitting behind a table solving a rubix cube while a timer records her.</t>
  </si>
  <si>
    <t>Two men are seen standing around her and write things down when the girl eventually finishes.</t>
  </si>
  <si>
    <t>v_JJ0jtr07EGE</t>
  </si>
  <si>
    <t>People are sitting and driving in a bunch of bumper cards on a track.</t>
  </si>
  <si>
    <t>They slam and bump into each other, having fun.</t>
  </si>
  <si>
    <t>v_r8qq4rU0tPE</t>
  </si>
  <si>
    <t>A large mountain covered in snow with scarce trees is visible.</t>
  </si>
  <si>
    <t>Someone begins skiing and then a man in an orange snow suit begins talking.</t>
  </si>
  <si>
    <t>The person continues skiing and then two males appear talking to one another.</t>
  </si>
  <si>
    <t>The person skiing then goes from the top of the mountain to the bottom and then hides behind a boulder of ice.</t>
  </si>
  <si>
    <t>v_dTZZq23pYFY</t>
  </si>
  <si>
    <t>Two reporters report on a story about drinking too much coffee on a live news telecast.</t>
  </si>
  <si>
    <t>A dark haired woman reporter talks on camera before the camera cuts to a blonde haired reporter also talking on camera.</t>
  </si>
  <si>
    <t>The camera cuts to video of a coffee cup being filled with coffee while a written template explaining what the story is about appears beneath the cup.</t>
  </si>
  <si>
    <t>The camera then cuts to a four person news panel of people talking on camera.</t>
  </si>
  <si>
    <t>v_9eJgsiS3xH8</t>
  </si>
  <si>
    <t>sailboat is in open sea with some people standing on it.</t>
  </si>
  <si>
    <t>men are siting on te sailboat and are driving it and talking to each other.</t>
  </si>
  <si>
    <t>v_B7Q1egUKmZg</t>
  </si>
  <si>
    <t>A group of children play and practice basketball throws and techniques in an interior gym in front of coaches and other children.</t>
  </si>
  <si>
    <t>A group of children take turns throwing orange and white balls in the net and running up to the net as well.</t>
  </si>
  <si>
    <t>The coaches trail them as they play, at time, trying to block the throws using the hands.</t>
  </si>
  <si>
    <t>v_inbkDgHuRrY</t>
  </si>
  <si>
    <t>A man is seen speaking to the camera while it pans around the area and he climbs into a machine.</t>
  </si>
  <si>
    <t>He uses the machine to rip up the roof and ends with a close up of the machine.</t>
  </si>
  <si>
    <t>v_kFmOtf_Ew1w</t>
  </si>
  <si>
    <t>Several clips are shown of people swimming in the water leading into a woman looking at the camera and still moving around under the water.</t>
  </si>
  <si>
    <t>The woman continues floating in the water followed by grabbing a boogie board and performing various moves around the water.</t>
  </si>
  <si>
    <t>v_ZEgmWaMa9PU</t>
  </si>
  <si>
    <t>Several shots of landscapes are shown that pan back from people standing on a bridge.</t>
  </si>
  <si>
    <t>Shots are shown of people jumping off the side of the bridge while the camera captures more landscapes.</t>
  </si>
  <si>
    <t>Several more people are seen lined up watching that lead into more people jumping off the side.</t>
  </si>
  <si>
    <t>v_7aydawW3AfE</t>
  </si>
  <si>
    <t>A little girl is sitting on a bed with her eyes closed.</t>
  </si>
  <si>
    <t>A woman kneels down and puts eye liner on the girl.</t>
  </si>
  <si>
    <t>The girl opens her eye and smiles.</t>
  </si>
  <si>
    <t>v_tRgK4fFA8sE</t>
  </si>
  <si>
    <t>A person repairs a bike chain and installs the chain on a bike interspersed with an image of a woman talking.</t>
  </si>
  <si>
    <t>A woman looks into a camera and smiles while talking before the scene cuts away to a pair of hands working on a bike chain.</t>
  </si>
  <si>
    <t>A pair of hands work on a bike chain with tools and bolts.</t>
  </si>
  <si>
    <t>The hands install the chain on a blue bike on a dirt ground surface.</t>
  </si>
  <si>
    <t>v_Z0GbQKiufUE</t>
  </si>
  <si>
    <t>A woman holding towels talks to the camera.</t>
  </si>
  <si>
    <t>The woman wipes the window behind her with a towel.</t>
  </si>
  <si>
    <t>The woman sprays a liquid on the window.</t>
  </si>
  <si>
    <t>The woman resumes wiping the window.</t>
  </si>
  <si>
    <t>The woman returns to talking to the camera.</t>
  </si>
  <si>
    <t>v_bPw2rvCjXUE</t>
  </si>
  <si>
    <t>Two boys perform arm wrestling while people are watching, suddenly the boys free their hands.</t>
  </si>
  <si>
    <t>After, they continue competing, then the boy wearing purple t-shirt fold the hand of his rival.</t>
  </si>
  <si>
    <t>After, the continue performing arm wrestling and then free again the hands.</t>
  </si>
  <si>
    <t>v_XyZoiuga6vw</t>
  </si>
  <si>
    <t>A man in blue stands in an auditorium.</t>
  </si>
  <si>
    <t>He does gymnastics on some equipment.</t>
  </si>
  <si>
    <t>People are watching from the stands.</t>
  </si>
  <si>
    <t>He spins his body about.</t>
  </si>
  <si>
    <t>v_08afjR_3SwI</t>
  </si>
  <si>
    <t>Two people white water raft over a rocky, climactic, body of water in narrow canoes and with paddles.</t>
  </si>
  <si>
    <t>A person dressed in a red and black outfit stands in a red canoe and begins to put a piece of black equipment on.</t>
  </si>
  <si>
    <t>The person in the red and black outfit begins rafting in the red canoe over a tumultuous body of water filled with large rocks.</t>
  </si>
  <si>
    <t>The person in the red canoe approaches another canoe in the water, this one blue, the red canoe and blue canoe raft through the waters behind one another as the scene fades to black.</t>
  </si>
  <si>
    <t>v_YMbZ7RFRuYI</t>
  </si>
  <si>
    <t>People compete bike-cross on a bumpy road.</t>
  </si>
  <si>
    <t>A person sprays water on the bumpy road where the bikers pass.</t>
  </si>
  <si>
    <t>A group of bikers leave the start line to start the motocross competition, while other group start to run bike-cross.</t>
  </si>
  <si>
    <t>A person wearing white top take pictures to the bikers.</t>
  </si>
  <si>
    <t>New groups of bikers start to run on the bumpy road to compete bike-cross.</t>
  </si>
  <si>
    <t>v_3aQnQEL3USQ</t>
  </si>
  <si>
    <t>A boy wears jumping shoes to bounce in front a building and in a playground.</t>
  </si>
  <si>
    <t>Then, the boy gets up the steps of a building, and then take big steps and jump down high.</t>
  </si>
  <si>
    <t>A family of four wait the boy to pass the street.</t>
  </si>
  <si>
    <t>Then, the boy returns to the playground and jumps over a stone.</t>
  </si>
  <si>
    <t>After, the boy jumps high on the street until he arrives to a parking lot.</t>
  </si>
  <si>
    <t>v_R58R070r2GE</t>
  </si>
  <si>
    <t>She dismounts and lands on the mat with her arms up.</t>
  </si>
  <si>
    <t>v_afrMWrFkgDg</t>
  </si>
  <si>
    <t>We see a girl kick and sit down.</t>
  </si>
  <si>
    <t>A boy joins her and they eat ice cream.</t>
  </si>
  <si>
    <t>The boy puts his cone in front of the camera.</t>
  </si>
  <si>
    <t>The boy licks his ice cream wildly.</t>
  </si>
  <si>
    <t>A boy throws something at the boy with ice cream.</t>
  </si>
  <si>
    <t>v_K0e_DdvGP54</t>
  </si>
  <si>
    <t>A boy drinks something from a small cup in a bathroom.</t>
  </si>
  <si>
    <t>The boy runs into the room and jumps on the bed.</t>
  </si>
  <si>
    <t>The boy swallows the item in his mouth and covers his mouth with his hands.</t>
  </si>
  <si>
    <t>v_8-WiWyjqAv4</t>
  </si>
  <si>
    <t>A person is seen sitting along the water in a kayak holding a paddle.</t>
  </si>
  <si>
    <t>The person then begins moving along the water in the kayak.</t>
  </si>
  <si>
    <t>The person continues paddling and is then pulled back by a rope and his arms up cheering.</t>
  </si>
  <si>
    <t>v_USwMjvs45MU</t>
  </si>
  <si>
    <t>A large group of people are seen in various areas of a building while some are signing up for a race.</t>
  </si>
  <si>
    <t>People sit around a track and leads into small children performing several long jumps.</t>
  </si>
  <si>
    <t>An older man announces awards in the end and the winners stand by and get their ribbons.</t>
  </si>
  <si>
    <t>v_rSGgal9LtDk</t>
  </si>
  <si>
    <t>A white Breville toaster is sitting on a counter being plugged.</t>
  </si>
  <si>
    <t>In front of the toaster, a block of white cream and a banana is sitting on a white plate.</t>
  </si>
  <si>
    <t>Next,two slices of bread are in the toaster going up and down.</t>
  </si>
  <si>
    <t>Once the bread is finished,it is put on the plate and the spread is put on both slices of the brad then the banana is cut up and put on the bread is put on top of the bananas.</t>
  </si>
  <si>
    <t>Now,the sandwich is cut is half and the person begins to eating it.</t>
  </si>
  <si>
    <t>v_nPTq63WtemI</t>
  </si>
  <si>
    <t>An older man is seen kneeling in the middle of a gym with several people around him.</t>
  </si>
  <si>
    <t>The man pulls on a piece of exercise equipment working his upper arms back and fourth.</t>
  </si>
  <si>
    <t>v_gUFRtx51OJc</t>
  </si>
  <si>
    <t>A woman is seen sitting in a doctor's office with a doctor speaking to her and the camera.</t>
  </si>
  <si>
    <t>The doctor then holds an object up to the girl's lip.</t>
  </si>
  <si>
    <t>Finally the man pierces the girls lip and smiles down to her.</t>
  </si>
  <si>
    <t>v_1dFLeGRT0NQ</t>
  </si>
  <si>
    <t>A boy stands at a podium, talking into a microphone.</t>
  </si>
  <si>
    <t>A group of girls are on stage together.</t>
  </si>
  <si>
    <t>They start dancing while using hula hoops.</t>
  </si>
  <si>
    <t>When they finish, one girl gathers the hoops and the crowd claps as the curtain closes.</t>
  </si>
  <si>
    <t>v_AhsujXLZYWA</t>
  </si>
  <si>
    <t>A woman is seen sitting down on the floor while holding a cat and cutting it's claws.</t>
  </si>
  <si>
    <t>The woman continues to hold the cat cutting his claws and then gets up and runs away in the end.</t>
  </si>
  <si>
    <t>v_9Nj9WdaSQCs</t>
  </si>
  <si>
    <t>The words "Women's Artistic Gymnastics (WAG)" appear on a red screen.</t>
  </si>
  <si>
    <t>"Code of Points 2013-2016" appear briefly.</t>
  </si>
  <si>
    <t>Clips of Chellsie Memmel performing gymnastics olympic trials are shown.</t>
  </si>
  <si>
    <t>Various stats from her performance are shown on screen.</t>
  </si>
  <si>
    <t>v_E0dqgXVU6wA</t>
  </si>
  <si>
    <t>This woman is doing a nail tutorial of how to create nyan cat nails.</t>
  </si>
  <si>
    <t>First paint all of your nails blue and do a big white stripe across them and dot little stars.</t>
  </si>
  <si>
    <t>Then use a tiny paintbrush to put rainbow colors and then use a plastic sandwich bag to make nyan cat and she pushes it onto her nail.</t>
  </si>
  <si>
    <t>v_b8ftOk8tKxg</t>
  </si>
  <si>
    <t>A lady discusses and folds a towel.</t>
  </si>
  <si>
    <t>The lady washes her face with a powder from a box.</t>
  </si>
  <si>
    <t>The lady rinses her face and use a towel to dry up.</t>
  </si>
  <si>
    <t>v_9nE6C-efQdc</t>
  </si>
  <si>
    <t>A woman trying to instruct big bang theory's way of playing rock paper scissors lizard spock.</t>
  </si>
  <si>
    <t>It shows a quick clip of Sheldon from big bang theory actually doing it.</t>
  </si>
  <si>
    <t>Then, she tries to demonstrate it a few times for the viewers.</t>
  </si>
  <si>
    <t>At the end she smiles and ends it with another big bang theory picture.</t>
  </si>
  <si>
    <t>v_5n7NCViB5TU</t>
  </si>
  <si>
    <t>A man swings a metal object from hand to hand.</t>
  </si>
  <si>
    <t>The man spins and releases an object behind him, and the credits of the video are shown.</t>
  </si>
  <si>
    <t>v_JxN0fchWCNI</t>
  </si>
  <si>
    <t>A man and a woman are standing in a kitchen behind an island with fruits on them.</t>
  </si>
  <si>
    <t>Once the male finishes talking,the woman begins grating a vegetable and cutting an orange in half.</t>
  </si>
  <si>
    <t>She then squeezes the orange into a clear glass bowl and seasoning it and mixing it together with the previously cut up ingredients.</t>
  </si>
  <si>
    <t>v_uegTBtD59R0</t>
  </si>
  <si>
    <t>A person is seen looking to the camera in several shots as well as a close up of a dirt bike.</t>
  </si>
  <si>
    <t>People are then shown in several shots riding around a track and performing tricks.</t>
  </si>
  <si>
    <t>The men ride around wooded areas as well as tracks in many shots.</t>
  </si>
  <si>
    <t>v_uiCkFmebAZs</t>
  </si>
  <si>
    <t>There are many different people in the pool swimming and the words "speedo How to guide series How to 'breathe' during your open water swim" appear on the screen.</t>
  </si>
  <si>
    <t>A young lady in a bathing suit and a shower cap is sitting at the side of the pool talking while clips of her swimming are shown, and her name is Keri-anne Payne and is the 10km Open Water Silver Olympic Medalist.</t>
  </si>
  <si>
    <t>The outro appears and it's a black screen with a speedo logo and the word speedo.</t>
  </si>
  <si>
    <t>v_N88-LuWK_K0</t>
  </si>
  <si>
    <t>An intro leads into several clips of people riding in on horses throwing a rope and grabbing calf's in the middle of a pit.</t>
  </si>
  <si>
    <t>More clips are shown of people roping calf's in the pit and ending with pictures of people performing.</t>
  </si>
  <si>
    <t>v_D8dHEAYIawg</t>
  </si>
  <si>
    <t>A group of women and a man are playing volleyball in the sand on a beach.</t>
  </si>
  <si>
    <t>They lob the pink ball back and forth over the net.</t>
  </si>
  <si>
    <t>A woman goes behind a piece of equipment to grab the ball.</t>
  </si>
  <si>
    <t>v_RAQs7EkXLtE</t>
  </si>
  <si>
    <t>A large group of women are seen moving around a stage and begin with two women performing a belly dancing routine.</t>
  </si>
  <si>
    <t>The women continue dancing around the stage and end by holding a pose and bumping into one another.</t>
  </si>
  <si>
    <t>v_sYAAXumvtck</t>
  </si>
  <si>
    <t>Several bottles and nail tools sit on a table.</t>
  </si>
  <si>
    <t>A woman is filing her nails on the table with a white bar.</t>
  </si>
  <si>
    <t>She then paints her nails clear.</t>
  </si>
  <si>
    <t>She then places her finger nails into a white box that is lit up.</t>
  </si>
  <si>
    <t>The light turns off and she takes her hand out and lays it on the table.</t>
  </si>
  <si>
    <t>A nail polish bottle is shown on the screen.</t>
  </si>
  <si>
    <t>She paints her nails with that polish.</t>
  </si>
  <si>
    <t>She puts her hand back in the lit up box on the table.</t>
  </si>
  <si>
    <t>She does another coat of the nail polish.</t>
  </si>
  <si>
    <t>She puts her hand back in the lit up box.</t>
  </si>
  <si>
    <t>A bottle is shown on the table.</t>
  </si>
  <si>
    <t>She lays her hands flat on the table.</t>
  </si>
  <si>
    <t>v_MbCAiWBhAjo</t>
  </si>
  <si>
    <t>Lemons are thrown onto a counter and glasses of lemon-aid appear with ice in mason jars on the counter as well.</t>
  </si>
  <si>
    <t>Lemons are then rolled around against the counter back and forth evenly with the palm of a hand using firm pressure.</t>
  </si>
  <si>
    <t>The lemons are scraped back and forth against a metal food grater to get the zest off of them leaving the skin of the lemon in a bowl.</t>
  </si>
  <si>
    <t>Water is added into a saucepan along with sugar, and then the lemon zest that was extracted with the metal shredder is added to the water as well.</t>
  </si>
  <si>
    <t>The lemons are cut and juiced over a glass bowl and then the juice is poured through a strainer along with the sugar water with zest that was previously mixed in the saucepan.</t>
  </si>
  <si>
    <t>The mixture is stirred with added water and ice is then added.</t>
  </si>
  <si>
    <t>v_EHXpUlacN88</t>
  </si>
  <si>
    <t>A man is seen standing with one man in a bedroom.</t>
  </si>
  <si>
    <t>He bends down and begins picking up the other man.</t>
  </si>
  <si>
    <t>He finally throws the man down onto the bed.</t>
  </si>
  <si>
    <t>v_MNSzt39_UbE</t>
  </si>
  <si>
    <t>Two groups of boys compete tug of war rope, while a man supervise the game and other people watch.</t>
  </si>
  <si>
    <t>A person takes a picture.</t>
  </si>
  <si>
    <t>The team on the left wins the competition.</t>
  </si>
  <si>
    <t>v_w_wIOJrztdU</t>
  </si>
  <si>
    <t>The video leads into several shots of people standing on a beach as well as playing in the sand.</t>
  </si>
  <si>
    <t>Several more pictures are shown of people moving along the beach as well as helping others and shots of the scenery.</t>
  </si>
  <si>
    <t>v_gHhgZ0Bd4H4</t>
  </si>
  <si>
    <t>We see rolling credits rise up the screen.</t>
  </si>
  <si>
    <t>We see three people riding stationary bikes in a gym.</t>
  </si>
  <si>
    <t>The camera moves closer to the bikers.</t>
  </si>
  <si>
    <t>The lady stop and adjusts something on her bike.</t>
  </si>
  <si>
    <t>We wee the fourth rider in the scene.</t>
  </si>
  <si>
    <t>The lady is riding her bike slower.</t>
  </si>
  <si>
    <t>The lady is riding her bike slowly.</t>
  </si>
  <si>
    <t>We see the closing screen on a blue background.</t>
  </si>
  <si>
    <t>v_TmnVK-cYrzg</t>
  </si>
  <si>
    <t>There's a little boy sitting on a bed in the bedroom.</t>
  </si>
  <si>
    <t>There is a laundry basket and a lot of clothes on the bed.</t>
  </si>
  <si>
    <t>The mother of the boy who is filming the video shows a vacuum cleaner.</t>
  </si>
  <si>
    <t>Then she turns the vacuum cleaner on and begins vacuuming the bedroom floor.</t>
  </si>
  <si>
    <t>The boy watches his mom vacuum as he jumps on the bed.</t>
  </si>
  <si>
    <t>the boy then lays down on the bed as he sees his mother finish the job.</t>
  </si>
  <si>
    <t>Then the boy gets off the bed and jumps down to the ground to look under the bedside table.</t>
  </si>
  <si>
    <t>v_WwwfCw1dYlg</t>
  </si>
  <si>
    <t>A man is talking inside a pool gym.</t>
  </si>
  <si>
    <t>A view is shown under the water, then it cuts back to him talking.</t>
  </si>
  <si>
    <t>v_pElJ7U46XnQ</t>
  </si>
  <si>
    <t>A guy gets ready to lift weight.</t>
  </si>
  <si>
    <t>The guy lifts the weight.</t>
  </si>
  <si>
    <t>The guy dance around and then leaves the stage.</t>
  </si>
  <si>
    <t>A man carries a box into the stage.</t>
  </si>
  <si>
    <t>v_rxEQaswh_Uo</t>
  </si>
  <si>
    <t>A boy is smiling up at the man whose shoe he is shining.</t>
  </si>
  <si>
    <t>The man is looking down at the boy.</t>
  </si>
  <si>
    <t>The boy is shining the mans shoes.</t>
  </si>
  <si>
    <t>The boy is talking to passerbys and pointing.</t>
  </si>
  <si>
    <t>A small kid walks away from the wall.</t>
  </si>
  <si>
    <t>The boy is wiping the mans shoes with a towel.</t>
  </si>
  <si>
    <t>He has started to rub with block.</t>
  </si>
  <si>
    <t>The boy gives a peace sign and grins.</t>
  </si>
  <si>
    <t>v_MJpfymVwtGc</t>
  </si>
  <si>
    <t>A lady is lying down on a black bed, a woman in black sweater and wearing black gloves is rubbing a white cotton on the lady's belly button.</t>
  </si>
  <si>
    <t>Then the woman draw a dot on the belly button, piercing the navel with a thong, then the woman inserted a metal stick, then cleaned the pierce, then the woman inserted the belly button accessory, and tighten it then cleaned up the piercing.</t>
  </si>
  <si>
    <t>v_mTtBz5d83C4</t>
  </si>
  <si>
    <t>There are several people sledding down a snowy slope in round snow tubes.</t>
  </si>
  <si>
    <t>They are going down the steep snowy slope at high speed.</t>
  </si>
  <si>
    <t>One of the people going down the slope raises his hand to his friend as he goes downhill.</t>
  </si>
  <si>
    <t>v_g_65rfEiXPY</t>
  </si>
  <si>
    <t>A man cleans a large window using a long handle squeegee.</t>
  </si>
  <si>
    <t>Then, the man uses a long steel wiper to clean the window from right to left.</t>
  </si>
  <si>
    <t>After, the man takes a cloth and cleans the lower part of the window, then he continues cleaning the with a squeegee and a steel wipe.</t>
  </si>
  <si>
    <t>v_tA7cF5wA6ZU</t>
  </si>
  <si>
    <t>A bald man is leading an orchestra.</t>
  </si>
  <si>
    <t>Several female singers are singing while a choir of younger people sing backup.</t>
  </si>
  <si>
    <t>A young drummer and a man playing the piano are near each other as the young boy looks around.</t>
  </si>
  <si>
    <t>As the singers and musicians finish the song,the conductor waves his wand to end the music.</t>
  </si>
  <si>
    <t>v_NVtRGWuiEP4</t>
  </si>
  <si>
    <t>We see girls in a red costume gym performing a baton routine.</t>
  </si>
  <si>
    <t>Three girls walk past in the background.</t>
  </si>
  <si>
    <t>The girls next to them in pink perform their routine.</t>
  </si>
  <si>
    <t>The girls in the red uniforms finish and walk away.</t>
  </si>
  <si>
    <t>A team of girls in black and neon walk past behind the girls.</t>
  </si>
  <si>
    <t>The girls in pink finish their routine.</t>
  </si>
  <si>
    <t>v_KylUHdDXuCg</t>
  </si>
  <si>
    <t>An intro leads into several clips of people attempting to fight bulls from many generations.</t>
  </si>
  <si>
    <t>Several clips are shown of people interacting with the bulls as well as running around and people watching.</t>
  </si>
  <si>
    <t>v_eqm20MDaeRQ</t>
  </si>
  <si>
    <t>A woman is seen kneeling over a bucket on an old tv show.</t>
  </si>
  <si>
    <t>She is seen washing clothes in the bucket while looking off into the distance.</t>
  </si>
  <si>
    <t>She sighs to herself in exhaustion and continues washing the clothes when a shot of a washing machine is shown.</t>
  </si>
  <si>
    <t>v_KuyaO3brwBc</t>
  </si>
  <si>
    <t>A man stands behind a shoe counter and describes how to clean them.</t>
  </si>
  <si>
    <t>The man talks about the three step program and answers frequently asked questions.</t>
  </si>
  <si>
    <t>The man scrubs to shine the shoe and adds some polish then sprays them.</t>
  </si>
  <si>
    <t>v_AbzyaqyFI0Y</t>
  </si>
  <si>
    <t>A person is seen riding a kayak along a rough river and spinning himself around.</t>
  </si>
  <si>
    <t>More shots of him riding around shown and he continues to flip in the water.</t>
  </si>
  <si>
    <t>v_Hi4YiQO47EM</t>
  </si>
  <si>
    <t>A group of people are talking next to a table with red solo cups and beer cans.</t>
  </si>
  <si>
    <t>A woman puts a red solo cup under a man's nose.</t>
  </si>
  <si>
    <t>A man tosses a ping pong ball into a red solo cup.</t>
  </si>
  <si>
    <t>The floor is shown along with a person's foot.</t>
  </si>
  <si>
    <t>v_2mOQx0l1158</t>
  </si>
  <si>
    <t>A closeup of a bike is shown followed by a person unscrewing the handles on the bike and adjusting the sides.</t>
  </si>
  <si>
    <t>The person then screwed it a light in front of the handlebars and holds them in place.</t>
  </si>
  <si>
    <t>v_5-SbGVTPM1c</t>
  </si>
  <si>
    <t>Men run down a track and leap backwards over a bar.</t>
  </si>
  <si>
    <t>A man waves a white flag once the land.</t>
  </si>
  <si>
    <t>An audience is watching them jump.</t>
  </si>
  <si>
    <t>v_TrtuuE1K8pk</t>
  </si>
  <si>
    <t>A man put paint on the wall with a hose, while a person uses a flat mop to spread the paint.</t>
  </si>
  <si>
    <t>Then, the man puts paint around the window.</t>
  </si>
  <si>
    <t>v_Izr9-P7YIKw</t>
  </si>
  <si>
    <t>A woman removes a bolt from a tire.</t>
  </si>
  <si>
    <t>The woman removes a second bolt.</t>
  </si>
  <si>
    <t>The woman removes a third bolt.</t>
  </si>
  <si>
    <t>Lastly, the woman removes a fourth bolt.</t>
  </si>
  <si>
    <t>The woman takes the tire off the car.</t>
  </si>
  <si>
    <t>v_FiJi18WpPe8</t>
  </si>
  <si>
    <t>A girl in a blue and plaid school uniform stands in a school bathroom brushing her teeth and primping in the mirror.</t>
  </si>
  <si>
    <t>The girl begins facing the camera and brushing her teeth, leaning in to the camera at one point before leaning back to continue brushing teeth.</t>
  </si>
  <si>
    <t>The girl then turns towards the bathroom mirror and spits into the bathroom sink, then returns to brushing teeth and facing the camera again.</t>
  </si>
  <si>
    <t>The girl then moves to another sink that is further back in the bathroom, plays with her hair, primps in the mirror, all while another girl in a school uniform enters the bathroom and walks into a bathroom stall.</t>
  </si>
  <si>
    <t>v_WzSZJ-yJX48</t>
  </si>
  <si>
    <t>Two men talk heatedly until a man comes and separates them.</t>
  </si>
  <si>
    <t>Number 99 leaves then goes back to finish talking.</t>
  </si>
  <si>
    <t>Number 69 walks across the field.</t>
  </si>
  <si>
    <t>We see number 69 hit the ball.</t>
  </si>
  <si>
    <t>he then argues with the catcher.</t>
  </si>
  <si>
    <t>A pitcher begins to pitch.</t>
  </si>
  <si>
    <t>v_-fBTCykx4gM</t>
  </si>
  <si>
    <t>A little boy walk toward the sink.</t>
  </si>
  <si>
    <t>The boy stands on front the sink and puts toothpaste on the brush, and then brush the teeth.</t>
  </si>
  <si>
    <t>Then, the boy rinse his mouth and then show teeth and dry mouth.</t>
  </si>
  <si>
    <t>v_8PkoDfbK5Bc</t>
  </si>
  <si>
    <t>A person is doing flips on a stage in front of people.</t>
  </si>
  <si>
    <t>People are standing in the corner playing the drums.</t>
  </si>
  <si>
    <t>A man does a hand stand on the stage.</t>
  </si>
  <si>
    <t>v_6uhLrPgbpUA</t>
  </si>
  <si>
    <t>Several bicycle racers dressed in motocross suits and wearing helmets are lined up at the start line, waiting to race.</t>
  </si>
  <si>
    <t>The race begins, and all bikers race down a hill, toward a jump.</t>
  </si>
  <si>
    <t>The bikers jump off a hill, but one of the bikers, dressed in red and black, tumbles to the ground.</t>
  </si>
  <si>
    <t>The biker immediately behind him, dressed in red, white and blue, tries to avoid the fallen biker, and falls to the ground as well.</t>
  </si>
  <si>
    <t>The other bikers race off.</t>
  </si>
  <si>
    <t>The biker in black and red immediately trots off the track, while the biker in red, white and blue, is clearly injured and struggles to get to his knees.</t>
  </si>
  <si>
    <t>Three men dressed in black jackets come to the aid of the first biker.</t>
  </si>
  <si>
    <t>v_h-lKlgls9OI</t>
  </si>
  <si>
    <t>A recreation building is pictured and kids doing various activities ranging from basketball to swimming is shown.</t>
  </si>
  <si>
    <t>A set of young boys are picture din the water on their backs holding up a green ball and one throws it into the goal.</t>
  </si>
  <si>
    <t>The outside of the building is shown again and a flash of a car parked outside in the parking lot appears.</t>
  </si>
  <si>
    <t>v_mBHsAuDJmj4</t>
  </si>
  <si>
    <t>a man in overalls sits in front of a large wheel of metal.</t>
  </si>
  <si>
    <t>He picks up a torch, and begins welding.</t>
  </si>
  <si>
    <t>Sparks fly as he wears his mask, welding the equipment.</t>
  </si>
  <si>
    <t>v_sO7ZGxFwbm8</t>
  </si>
  <si>
    <t>The video leads into several shots of javelin athletes throwing poles down a large track.</t>
  </si>
  <si>
    <t>Many people are shown running down the track throwing the javelin and watching where their pole lands.</t>
  </si>
  <si>
    <t>v_ZLJJ5LxfE6o</t>
  </si>
  <si>
    <t>Men are doing karate moves in a gym.</t>
  </si>
  <si>
    <t>People are playing instruments next to them.</t>
  </si>
  <si>
    <t>A man in a white shirt is playing the drums in front of him.</t>
  </si>
  <si>
    <t>v_jqKK2KH6l4Q</t>
  </si>
  <si>
    <t>AN intro screen showing a man perform Brazilian martial arts appears on the screen.</t>
  </si>
  <si>
    <t>It then shows a man doing the same martial arts in slow motion on some grass in what looks like a park.</t>
  </si>
  <si>
    <t>The man spins and kicks continuously and is highly skilled.</t>
  </si>
  <si>
    <t>The video then shows another man indoors giving a thumbs up, before jumping to two other men performing on a stage.</t>
  </si>
  <si>
    <t>A bunch of other men are performing martial arts inside of a gymnasium and classroom, while another man speaks to the camera.</t>
  </si>
  <si>
    <t>v_gxuere-ofCU</t>
  </si>
  <si>
    <t>A man is seen sitting in front of a camera holding a harmonica in his hands.</t>
  </si>
  <si>
    <t>The man then begins playing several songs while pausing in between.</t>
  </si>
  <si>
    <t>He continues playing the instrument while looking off into the distance.</t>
  </si>
  <si>
    <t>v_CN0F45eLq1s</t>
  </si>
  <si>
    <t>A picture of a person jumping off of a boat into the water.</t>
  </si>
  <si>
    <t>A sail boat is in the water with people on it.</t>
  </si>
  <si>
    <t>People are sitting on the boat talking.</t>
  </si>
  <si>
    <t>A woman in a white bikini stands at the bow of the boat and a man stands behind her.</t>
  </si>
  <si>
    <t>People are sitting at the bow of the boat.</t>
  </si>
  <si>
    <t>A woman lies on her back wearing a bikini on the boat.</t>
  </si>
  <si>
    <t>People are walking in the sand in front of the camera.</t>
  </si>
  <si>
    <t>A view of the water and beach is shown.</t>
  </si>
  <si>
    <t>People are walking on the sand of the beach.</t>
  </si>
  <si>
    <t>A group of people are posing for a picture.</t>
  </si>
  <si>
    <t>People are taking pictures on the boat.</t>
  </si>
  <si>
    <t>v_8twDb4CdhE0</t>
  </si>
  <si>
    <t>A close up of a woman is shown speaking to the camera holding an ice cream in front of her face.</t>
  </si>
  <si>
    <t>She takes multiple bites of the ice cream while the camera pans around her body and several other people surround her.</t>
  </si>
  <si>
    <t>v_bscUMcCmyYw</t>
  </si>
  <si>
    <t>A girls hops across the pavement.</t>
  </si>
  <si>
    <t>A younger girl watches her.</t>
  </si>
  <si>
    <t>A mans arm is in the foreground.</t>
  </si>
  <si>
    <t>There is also a wooden deck.</t>
  </si>
  <si>
    <t>v_4L0AI0f-cMs</t>
  </si>
  <si>
    <t>White text says the video is about how to make a belly cake.</t>
  </si>
  <si>
    <t>Two pieces of wrapped chocolate cake are shown as a hand adjusts and touches them.</t>
  </si>
  <si>
    <t>Instructions appear at the bottom of the screen before fondant baby parts are shown being placed after the cake is frosted.</t>
  </si>
  <si>
    <t>The cake is complete as a woman's stomach with a baby foot protruding from her dress.</t>
  </si>
  <si>
    <t>v_ADy-2Y0jmXQ</t>
  </si>
  <si>
    <t>A woman is seen hosting a news segment that leads into several clips of people measuring themselves and speaking to the camera.</t>
  </si>
  <si>
    <t>Many shots are shown of people drinking coffee while holding up larger pants and showing off the weight they had lost.</t>
  </si>
  <si>
    <t>More people are seen speaking to the camera while more products are shown as well as food being presented and a woman showing off her closet.</t>
  </si>
  <si>
    <t>v_61iCOJ3Meus</t>
  </si>
  <si>
    <t>A boy in a white tshirt picks up his brother over head and body slams him onto the bed.</t>
  </si>
  <si>
    <t>The brother in army colored shirt gets up from bed.</t>
  </si>
  <si>
    <t>v_iJ6rHJf_Hgo</t>
  </si>
  <si>
    <t>We see a skateboarder walk with his board.</t>
  </si>
  <si>
    <t>the man then skateboards down a busy street.</t>
  </si>
  <si>
    <t>The boarder has his hand on the ground as he skates.</t>
  </si>
  <si>
    <t>The boarder takes a right turn.</t>
  </si>
  <si>
    <t>The cars drive by and the scene ends.</t>
  </si>
  <si>
    <t>v_Vq7Mm98I5Qs</t>
  </si>
  <si>
    <t>A motorbike race is shown on dirt.</t>
  </si>
  <si>
    <t>The preparations include scantily clad women.</t>
  </si>
  <si>
    <t>Motorbikes are then shown jumping and doing agility things.</t>
  </si>
  <si>
    <t>v_5FwNVOIGdVs</t>
  </si>
  <si>
    <t>A man gets on a red machine.</t>
  </si>
  <si>
    <t>He then backs up and begins to blow leaves with it.</t>
  </si>
  <si>
    <t>The leaves blow all over the driveway.</t>
  </si>
  <si>
    <t>Finally the driveway is cleared of the leaves.</t>
  </si>
  <si>
    <t>v_m8SFyH4vhik</t>
  </si>
  <si>
    <t>She dismounts and lands on the mat next to the beam.</t>
  </si>
  <si>
    <t>v_QlQrJ5WsWzo</t>
  </si>
  <si>
    <t>A man sits on top of a camel.</t>
  </si>
  <si>
    <t>The camel stands up and a man in front leads it.</t>
  </si>
  <si>
    <t>A red barn is seen behind them.</t>
  </si>
  <si>
    <t>The camel sits back down and the man gets off.</t>
  </si>
  <si>
    <t>v_hcRf6HmOAzo</t>
  </si>
  <si>
    <t>A woman is seen standing in front of buckets and speaking to the camera.</t>
  </si>
  <si>
    <t>She pours water into a bucket while dragging it over as well as mixing cleaning into it and beginning to dump clothes.</t>
  </si>
  <si>
    <t>The woman dips the clothes into the bucket and shows where she hangs them and waving to the camera.</t>
  </si>
  <si>
    <t>v_GcEutQTeAnA</t>
  </si>
  <si>
    <t>A man carefully washes the side of a car with a sponge.</t>
  </si>
  <si>
    <t>The man stands up and washes the windshield.</t>
  </si>
  <si>
    <t>He then moves along the back of the car washing the spoiler.</t>
  </si>
  <si>
    <t>v_fsSCNCY0iQY</t>
  </si>
  <si>
    <t>A standing Asian woman wearing makeup is talking to a bunch of sitting Asian women who have no make up on their faces.</t>
  </si>
  <si>
    <t>The Asian woman with the make up claps and then hits a clock that has a 10 second timer.</t>
  </si>
  <si>
    <t>The women with no makeup quickly begin to apply makeup before the time runs out.</t>
  </si>
  <si>
    <t>Two women quickly apply makeup to their faces, but when they are done they have upset looks on their faces.</t>
  </si>
  <si>
    <t>The third woman puts make up and fake eyelashes onto a tray in front of her and then slams her face into the tray and rolls it side to side.</t>
  </si>
  <si>
    <t>When she lifts her head up her makeup is perfect and at the same time she pulls her hair out of a ponytail and shakes her hair free.</t>
  </si>
  <si>
    <t>The outro video is a purple screen with white words that read "Beautiful and fast" and ends with a white screen that has purple words readings "Windows 8" and the microsoft logo.</t>
  </si>
  <si>
    <t>v_BbQ39yhaC54</t>
  </si>
  <si>
    <t>A man is talking in a racquetball court.</t>
  </si>
  <si>
    <t>He talks about how to pose and swing the racquet.</t>
  </si>
  <si>
    <t>He demonstrates by hitting the ball back and forth against the wall.</t>
  </si>
  <si>
    <t>v_ZkkTMR21XLc</t>
  </si>
  <si>
    <t>A man and woman biker are standing outside an event.</t>
  </si>
  <si>
    <t>They get into a raft and push it into a river.</t>
  </si>
  <si>
    <t>They ride the rapids, going over falls and paddling as they go.</t>
  </si>
  <si>
    <t>v_w5lQ5vNAksM</t>
  </si>
  <si>
    <t>man is standing in a room playing the flute.</t>
  </si>
  <si>
    <t>the man ends to play and laugh and thanks to the public.</t>
  </si>
  <si>
    <t>man is wearing a blue shirt and is sitting behind the man playing the flute.</t>
  </si>
  <si>
    <t>v_JouywOCeGHI</t>
  </si>
  <si>
    <t>A man talks to a camera from an outdoors scene by a slope.</t>
  </si>
  <si>
    <t>Several quick cuts are shown explaining the terms behind belaying in the context of climbing.</t>
  </si>
  <si>
    <t>More quick scenes are shown explaining the process behind belaying in the context of climbing.</t>
  </si>
  <si>
    <t>The man talks to the camera once more.</t>
  </si>
  <si>
    <t>v_p1_6T9d4ZuY</t>
  </si>
  <si>
    <t>The gymnast approaches the bar with a leap.</t>
  </si>
  <si>
    <t>She grasps the bar and begins to flip herself around the bar before leaping to the next bar and propelling herself up and over it repeatedly.</t>
  </si>
  <si>
    <t>She launches herself in the air and lands on the mat.</t>
  </si>
  <si>
    <t>v_4rvACiBclFI</t>
  </si>
  <si>
    <t>A bunch of cars are driving while tilted on one side.</t>
  </si>
  <si>
    <t>The tires are taken off one of the cars.</t>
  </si>
  <si>
    <t>v_bM5VpCdPOrw</t>
  </si>
  <si>
    <t>A man is seen speaking to he camera and leads into clip of his truck driving and people riding behind.</t>
  </si>
  <si>
    <t>A man speaks to the ground with a stick as they wander around a deserted area and showing off various plants and wildlife in the area.</t>
  </si>
  <si>
    <t>He puts white clothing all over his body and several others and leads into the people riding camels with others leading in front.</t>
  </si>
  <si>
    <t>v_yuxoNmlNcc8</t>
  </si>
  <si>
    <t>A flag is shown waving where it is stuck in the ground.</t>
  </si>
  <si>
    <t>A group of people are standing outside the building, some eating.</t>
  </si>
  <si>
    <t>A man shurgs at the camera as a game commences.</t>
  </si>
  <si>
    <t>v_Q_kqplOxytU</t>
  </si>
  <si>
    <t>A small boy is immersed into pool water as he looks around.</t>
  </si>
  <si>
    <t>He floats and swims with his mother's help.</t>
  </si>
  <si>
    <t>He blows bubbles, and she removes him from the water.</t>
  </si>
  <si>
    <t>v_hDf32SV0QN0</t>
  </si>
  <si>
    <t>A woman is sitting in front of a camera.</t>
  </si>
  <si>
    <t>She begins brushing her partially wet hair.</t>
  </si>
  <si>
    <t>She continues brushing, then stops and stares at the camera.</t>
  </si>
  <si>
    <t>v_Skz2tom_Ag0</t>
  </si>
  <si>
    <t>A man is seen standing on a tennis court on one side of the fence.</t>
  </si>
  <si>
    <t>Another person is seen standing on the other side and then hit a ball to one another.</t>
  </si>
  <si>
    <t>The person misses the birdie and walks over towards it.</t>
  </si>
  <si>
    <t>v_cMoy7UJtlyA</t>
  </si>
  <si>
    <t>A man stands on a dock wearing a green shirt.</t>
  </si>
  <si>
    <t>He then rides a boat with a sail.</t>
  </si>
  <si>
    <t>He steers it through the lake.</t>
  </si>
  <si>
    <t>He stands on the dock again at the end.</t>
  </si>
  <si>
    <t>v_W70Urhy8Yl4</t>
  </si>
  <si>
    <t>A couple are standing on a snowy hillside.</t>
  </si>
  <si>
    <t>A man walks over to a small red flag.</t>
  </si>
  <si>
    <t>He removes the flag, then pulls a line out of the ground.</t>
  </si>
  <si>
    <t>He pulls up a giant fish he caught.</t>
  </si>
  <si>
    <t>v_0T14tLwBafQ</t>
  </si>
  <si>
    <t>We see people playing volleyball in sand with a dog.</t>
  </si>
  <si>
    <t>We see a man laying in the sand.</t>
  </si>
  <si>
    <t>The dog runs for the ball.</t>
  </si>
  <si>
    <t>A person throws the ball back and the dog returns.</t>
  </si>
  <si>
    <t>The dog tries to get the ball.</t>
  </si>
  <si>
    <t>A man kicks sand at and shoos the dog.</t>
  </si>
  <si>
    <t>v_xIU6DO35R_c</t>
  </si>
  <si>
    <t>A man scuffs a shoe in the street while another person sits and watches.</t>
  </si>
  <si>
    <t>She talks to the man and moves her hands to follow his movement.</t>
  </si>
  <si>
    <t>v_Q3FkUH9kImU</t>
  </si>
  <si>
    <t>He is showing a shuffleboard.</t>
  </si>
  <si>
    <t>He walks to the end of the shuffleboard and another man is on the other side.</t>
  </si>
  <si>
    <t>He begins playing by throwing one down the board.</t>
  </si>
  <si>
    <t>v_oQ_gE5_0xyc</t>
  </si>
  <si>
    <t>We see a few opening screens.</t>
  </si>
  <si>
    <t>We see a lady performs a baton routine in a arena.</t>
  </si>
  <si>
    <t>The lady spins and catches her baton.</t>
  </si>
  <si>
    <t>The lady flips forwards and backwards and catches her baton.</t>
  </si>
  <si>
    <t>The lady spins and catches her baton again.</t>
  </si>
  <si>
    <t>The lady flips multiple times and catches her baton before posing.</t>
  </si>
  <si>
    <t>The crowd claps and the lady waves.</t>
  </si>
  <si>
    <t>v_S47vfJ9g3Mw</t>
  </si>
  <si>
    <t>The video begins with a title screen and an intro which shows various works of art.</t>
  </si>
  <si>
    <t>The topic is about Chinese paintings of waterfalls and rocks.</t>
  </si>
  <si>
    <t>An older Chinese man speaks to the camera.</t>
  </si>
  <si>
    <t>He then begins painting as the camera pans down to view how he does it.</t>
  </si>
  <si>
    <t>At one point, the camera focuses back to his face for a moment.</t>
  </si>
  <si>
    <t>The video ends with another title screen.</t>
  </si>
  <si>
    <t>v_GbvZWitR2_g</t>
  </si>
  <si>
    <t>A kite is flying above a beach.</t>
  </si>
  <si>
    <t>Several people sit on the beach.</t>
  </si>
  <si>
    <t>The kite soars through the sky.</t>
  </si>
  <si>
    <t>Several people are in the water.</t>
  </si>
  <si>
    <t>v_OHOi0ZSuDUg</t>
  </si>
  <si>
    <t>An old man plays the ukulele and a boy plays the tam-tams in the street.</t>
  </si>
  <si>
    <t>A person pass on front the players.</t>
  </si>
  <si>
    <t>v_5vk8OuKkttU</t>
  </si>
  <si>
    <t>A set of instructions are shown transitioning back and fourth between a man laying down carpet on a set of stairs.</t>
  </si>
  <si>
    <t>The text continues showing while the man lays out paper all down the stairs.</t>
  </si>
  <si>
    <t>v_JjRSGzdwtc0</t>
  </si>
  <si>
    <t>A woman is seen walking along a field and throwing a jump rope to another.</t>
  </si>
  <si>
    <t>Several clips are followed by people jump roping in various locations as well as with each other.</t>
  </si>
  <si>
    <t>The group continue dancing and jumping around public places and ends with a baby holding a rope.</t>
  </si>
  <si>
    <t>v_zpJ91CkCiyw</t>
  </si>
  <si>
    <t>We see two men on a city street and the title loads.</t>
  </si>
  <si>
    <t>A man takes off his hood and talks to the camera.</t>
  </si>
  <si>
    <t>We see men in roller blades fall then skate down a railing.</t>
  </si>
  <si>
    <t>A person flashes a light at the camera.</t>
  </si>
  <si>
    <t>A man falls on the railing.</t>
  </si>
  <si>
    <t>A person falls at the bottom of the stairs and then the light is flashing again.</t>
  </si>
  <si>
    <t>We see a man fall down the railing three times.</t>
  </si>
  <si>
    <t>We see the men talk and shake hands before seeing the end screen.</t>
  </si>
  <si>
    <t>v__5VJcnrEgbg</t>
  </si>
  <si>
    <t>A man hits a ball with a tennis racket.</t>
  </si>
  <si>
    <t>Another man joins him shortly after.</t>
  </si>
  <si>
    <t>Several different angles are shown as the group of four play before an audience, hitting the ball back and forth quickly.</t>
  </si>
  <si>
    <t>When they are done, the men walk away, patting each other on the backs.</t>
  </si>
  <si>
    <t>v_nStBfiFl6RU</t>
  </si>
  <si>
    <t>A group of women dance in an aerobic class in a group inside a gym studio.</t>
  </si>
  <si>
    <t>The women jump up and down on alternating feet.</t>
  </si>
  <si>
    <t>The woman walk one way taking a few steps then back the other way during the routine.</t>
  </si>
  <si>
    <t>v_FFCmoQp_xVA</t>
  </si>
  <si>
    <t>A man stands behind a bar talking to the camera.</t>
  </si>
  <si>
    <t>The man holds a drink up and puts it down.</t>
  </si>
  <si>
    <t>The man adds ice to a glass and two shots of a red liquor then another.</t>
  </si>
  <si>
    <t>The man puts a strainer on the glass and stirs the glass with a long metal stick.</t>
  </si>
  <si>
    <t>The man pours it into a martini glass.</t>
  </si>
  <si>
    <t>The man smiles and holds the drink in the air.</t>
  </si>
  <si>
    <t>v_9z_ylV5c9HA</t>
  </si>
  <si>
    <t>A girl demonstrates applying contact lenses to her eyes in an extreme close up video.</t>
  </si>
  <si>
    <t>A pink slide appears advising that the a person is not good at applying contact lenses.</t>
  </si>
  <si>
    <t>A girl with blonde hair and long pink nails proceeds to apply contact lenses to her eyes in a close up video which capture the lens and the eye before and after.</t>
  </si>
  <si>
    <t>v_6gZuc4umTPk</t>
  </si>
  <si>
    <t>Two young girls are seen speaking to the camera and playing with one another.</t>
  </si>
  <si>
    <t>One girl then pulls out a bottle of nail polish while the other waves to the camera.</t>
  </si>
  <si>
    <t>More clips are shown of one girl attempting to paint the nails of the other and ends by waving to the camera.</t>
  </si>
  <si>
    <t>v_cGtK7bs-TE8</t>
  </si>
  <si>
    <t>A fast motion video is shown of various people raking leaves around a yard.</t>
  </si>
  <si>
    <t>Two boys look around towards each other and continue raking the leaks until the yard is done.</t>
  </si>
  <si>
    <t>v_EoQgUlLb3U4</t>
  </si>
  <si>
    <t>A man turns his body around, preparing to throw his discus.</t>
  </si>
  <si>
    <t>The man throws the discus really hard.</t>
  </si>
  <si>
    <t>The man watches ahead after his discus.</t>
  </si>
  <si>
    <t>v_jsqD1NB63hk</t>
  </si>
  <si>
    <t>A young man is seen wearing goggles and speaking to the camera followed by him jumping into the pool.</t>
  </si>
  <si>
    <t>The boy gets out and is seen once again jumping into the pool and swimming to the side to present an object.</t>
  </si>
  <si>
    <t>v_p8h3G0Tblqc</t>
  </si>
  <si>
    <t>A man introduces the basketball concepts of the video to the camera.</t>
  </si>
  <si>
    <t>The player starts from one side of the court and runs up and lays up the basketball in the net.</t>
  </si>
  <si>
    <t>He repeats around the court from every angle.</t>
  </si>
  <si>
    <t>The man returns to go over the concepts again as the video closes.</t>
  </si>
  <si>
    <t>v_ySQBZ8hqBo4</t>
  </si>
  <si>
    <t>The athlete is balancing in the bean as the man took out the spring jumper.</t>
  </si>
  <si>
    <t>The athlete did cartwheel on the beam as the crowd applauded.</t>
  </si>
  <si>
    <t>When the female athlete finished her number, she jumped off the beam cartwheeling down the blue mat.</t>
  </si>
  <si>
    <t>v_T8wY9ZQv8vQ</t>
  </si>
  <si>
    <t>The video is showing clips of gymnastics players performing tricks along a padded area, while judges and spectators look on and cheer.</t>
  </si>
  <si>
    <t>The first player hits her head at the end of her performance.</t>
  </si>
  <si>
    <t>The video continues to show many other gymnasts competing, with the audience cheering after the completion of each performance.</t>
  </si>
  <si>
    <t>The video ends with a male performer.</t>
  </si>
  <si>
    <t>v_vDaDT1vUOfI</t>
  </si>
  <si>
    <t>A woman appears and disappears under the water as she swims in an olympic sized pool.</t>
  </si>
  <si>
    <t>She is seen swimming in a fishlike manner under the water.</t>
  </si>
  <si>
    <t>She displays several different swimming styles and moves.</t>
  </si>
  <si>
    <t>v_0e7-mNDgIXw</t>
  </si>
  <si>
    <t>A special effect intro that looks like a chalk board on wood appears and the words on it say SKI SCHOOL on the upper left, and the middle words say "Ski Tips: FOOT ROTATION" along with a website at the bottom and a blue circle icon on the upper right.</t>
  </si>
  <si>
    <t>A man skis into view and he's standing on a snowy mountain with a lot of trees and he's talking and looks like he's giving tips on how to ski as he physically demonstrates and continues to talk the whole time.</t>
  </si>
  <si>
    <t>The man is now back at his starting point where he was originally standing and he's talking again.</t>
  </si>
  <si>
    <t>The special affect screen appears with a wooden background and 4 different pictures on the screen with words under them.</t>
  </si>
  <si>
    <t>v_UwZbkuVsPno</t>
  </si>
  <si>
    <t>Two men are standing on a basketball goal.</t>
  </si>
  <si>
    <t>They start doing layups, then stand talking to the camera again.</t>
  </si>
  <si>
    <t>v_Xo4-GnduX8A</t>
  </si>
  <si>
    <t>Man talks to camera shooting video.</t>
  </si>
  <si>
    <t>Soccer players are shown practicing their moves.</t>
  </si>
  <si>
    <t>Soccer players take shots.</t>
  </si>
  <si>
    <t>Man is shoved off of the court.</t>
  </si>
  <si>
    <t>Man is congratulated for his goal.</t>
  </si>
  <si>
    <t>Man shakes his hand at the camera.</t>
  </si>
  <si>
    <t>v_q1jvfsKWY5c</t>
  </si>
  <si>
    <t>These people are playing tug of war against sumo wrestler who are more than 4 times their size and the small people win against them.</t>
  </si>
  <si>
    <t>In the end the people and sumo wrestlers take selfies and the sumo wrestlers open the fanta and throw it on each other.</t>
  </si>
  <si>
    <t>v_zOcXA1S_VPI</t>
  </si>
  <si>
    <t>A man wearing a black hat is talking.</t>
  </si>
  <si>
    <t>A man dribbles a basketball around some cones and shoots the ball.</t>
  </si>
  <si>
    <t>Two people are playing basketball.</t>
  </si>
  <si>
    <t>A man is dribbling a basketball on a court.</t>
  </si>
  <si>
    <t>v_mVC8DBsg1i0</t>
  </si>
  <si>
    <t>A man is sitting on a stool while the dog is in front of him, the dog is wearing a red leash.</t>
  </si>
  <si>
    <t>A white dog is hiding behind the wall.</t>
  </si>
  <si>
    <t>A man is brushing the dog's fur on his side first the at the back.</t>
  </si>
  <si>
    <t>The man started to shave the dog's front leg.</t>
  </si>
  <si>
    <t>A white dog is laying on the brown bed.</t>
  </si>
  <si>
    <t>The beige dog is laying on the rug while the man is shaving the beige.</t>
  </si>
  <si>
    <t>The white dog rubbing her face on the glass table, then the beige dog is standing on the glass sat then sat on the table, then the white dog is standing beside the beige dog.</t>
  </si>
  <si>
    <t>v_Qmo9D73hWXY</t>
  </si>
  <si>
    <t>We see a person in hockey gear skate onto the ice.</t>
  </si>
  <si>
    <t>Another person enters and we watch two people play hockey.</t>
  </si>
  <si>
    <t>We see the puck drop in front of the camera.</t>
  </si>
  <si>
    <t>The person knocks the goalie to the ground.</t>
  </si>
  <si>
    <t>The goalie skates up to the camera.</t>
  </si>
  <si>
    <t>v_TM_5fb15eXQ</t>
  </si>
  <si>
    <t>A guy is giving a lesson about snow boards he puts a big rub brand on the board to hold the foot placers in place.</t>
  </si>
  <si>
    <t>the guy shows the difference between snow boards and put them on a object to smoothing out the bottom of the board for better skiing.</t>
  </si>
  <si>
    <t>v_9tAyfaBGwyg</t>
  </si>
  <si>
    <t>A woman is drawing a hopscotch board on the ground in chalk.</t>
  </si>
  <si>
    <t>She stands up and walks to the front of the hopscotch board.</t>
  </si>
  <si>
    <t>She begins jumping on the board.</t>
  </si>
  <si>
    <t>v_SiBSwSu_REQ</t>
  </si>
  <si>
    <t>People are walking around the basketball court.</t>
  </si>
  <si>
    <t>A team of dancers walk onto the basketball court and stand at attention.</t>
  </si>
  <si>
    <t>As onlookers clap, the squad turns around in unison.</t>
  </si>
  <si>
    <t>The squad does their routine.</t>
  </si>
  <si>
    <t>The squad ends their routine and exits the floor.</t>
  </si>
  <si>
    <t>v_I6VBFfeBqF0</t>
  </si>
  <si>
    <t>A man props his leg on the side of a tub.</t>
  </si>
  <si>
    <t>He is shaving his leg with a razor, revealing a tattoo underneath.</t>
  </si>
  <si>
    <t>When he is done, he wipes off the hair and shows a tattoo of homer simpson as the grim reaper.</t>
  </si>
  <si>
    <t>v_tu6EkaMa9c8</t>
  </si>
  <si>
    <t>A tubing advertisement is on the screen.</t>
  </si>
  <si>
    <t>Tubers are going down the river.</t>
  </si>
  <si>
    <t>West Virginia advertisement is on the screen.</t>
  </si>
  <si>
    <t>A tuber goes under a plank with a dog on it.</t>
  </si>
  <si>
    <t>The camera is pointed towards the sky and trees.</t>
  </si>
  <si>
    <t>One tuber runs into branches, one stands up and falls over.</t>
  </si>
  <si>
    <t>the cameraman turns circles in his tube then has a snack.</t>
  </si>
  <si>
    <t>One guy gets his head tangled in branches.</t>
  </si>
  <si>
    <t>The video ends with advertisements.</t>
  </si>
  <si>
    <t>v_cGNkR-JvaJs</t>
  </si>
  <si>
    <t>A sports logo flashes on the screen.</t>
  </si>
  <si>
    <t>A woman talking into a microphone wearing a white shirt.</t>
  </si>
  <si>
    <t>A man is playing pool behind a blue pool table.</t>
  </si>
  <si>
    <t>The woman continues talking in front of the pool table.</t>
  </si>
  <si>
    <t>The woman and the man talk to each other.</t>
  </si>
  <si>
    <t>A trophy flashes on the screen.</t>
  </si>
  <si>
    <t>The man and the woman continue talking.</t>
  </si>
  <si>
    <t>The man plays pool again.</t>
  </si>
  <si>
    <t>The man and woman continue talking to each other.</t>
  </si>
  <si>
    <t>It flashes back to the pool table.</t>
  </si>
  <si>
    <t>The man and woman continue talking and the woman laughs at what the man is saying.</t>
  </si>
  <si>
    <t>The man is now teaching the woman how to shoot the pool ball while standing behind her.</t>
  </si>
  <si>
    <t>The woman makes the shot and they celebrate with a high five.</t>
  </si>
  <si>
    <t>The man is telling the woman how to make another shot.</t>
  </si>
  <si>
    <t>She attempts the shot and makes it and they high five again.</t>
  </si>
  <si>
    <t>They continue talking and laughing.</t>
  </si>
  <si>
    <t>The woman lays down on the pool table and he shoots a ball out of her mouth.</t>
  </si>
  <si>
    <t>The woman is sitting in a chair next to the pool table talking into the microphone.</t>
  </si>
  <si>
    <t>A Maxim logo flashes on the screen.</t>
  </si>
  <si>
    <t>v_S4GiCywMi38</t>
  </si>
  <si>
    <t>A man demonstrates how to apply make up to a face by applying make up to his own face in the camera.</t>
  </si>
  <si>
    <t>A man talks to the camera, close up, while standing in front of a mirror.</t>
  </si>
  <si>
    <t>The man begins to put on makeup blush using a brush and brushing across the apples of his cheeks.</t>
  </si>
  <si>
    <t>The man then runs a crayon like makeup tool across his cheeks before returning to apply blush to his cheeks and forehead.</t>
  </si>
  <si>
    <t>the man then uses a narrow and wide brush across his cheeks and then back to the regular brush for the same areas of his face.</t>
  </si>
  <si>
    <t>v_BKrUkWSo4Ig</t>
  </si>
  <si>
    <t>An intro leads into a man holding a violin and playing with his hands.</t>
  </si>
  <si>
    <t>The man continues to play and then pauses to speak to the camera while also demonstrating how to properly play.</t>
  </si>
  <si>
    <t>v_m_B1Jb6Wwn0</t>
  </si>
  <si>
    <t>A man is cleaning the soles of his sneakers with the thin, metal end of a hose.</t>
  </si>
  <si>
    <t>The man places the hose back and starts to leave.</t>
  </si>
  <si>
    <t>v_Z8xxgFpK-NM</t>
  </si>
  <si>
    <t>A man is dancing on a stage in white pants.</t>
  </si>
  <si>
    <t>Two people start dancing together on a stage.</t>
  </si>
  <si>
    <t>A man does several back flips on the stage.</t>
  </si>
  <si>
    <t>A person is playing a drum.</t>
  </si>
  <si>
    <t>v_wuHLveuf6PQ</t>
  </si>
  <si>
    <t>Several person are seen riding down a hill on roller blades while a person on a police bike rides in front.</t>
  </si>
  <si>
    <t>At one point several people fall and trip over one another but keep riding their blades on.</t>
  </si>
  <si>
    <t>v_KgGQ6dHKl8U</t>
  </si>
  <si>
    <t>A man mounted on a horse chases after a cow.</t>
  </si>
  <si>
    <t>He catches the cow with a rope.</t>
  </si>
  <si>
    <t>He mounts off the horse and hits the cow several times.</t>
  </si>
  <si>
    <t>v_PIJd7_6RGpY</t>
  </si>
  <si>
    <t>A man stands around a fire pit, talking.</t>
  </si>
  <si>
    <t>The man lights a torch.</t>
  </si>
  <si>
    <t>The man uses the torch to light the wood in the fire pit.</t>
  </si>
  <si>
    <t>The man sits by the fire pit, enjoying the warmth.</t>
  </si>
  <si>
    <t>v_Yb5b_xx1P9I</t>
  </si>
  <si>
    <t>A man in a black shirt is checking food in a sandwich shop.</t>
  </si>
  <si>
    <t>The man then moves fast to make a hoagie sandwich by adding ingredients from the bins.</t>
  </si>
  <si>
    <t>The man wraps the sandwich in paper and puts it in a plastic bag.</t>
  </si>
  <si>
    <t>We see on a phone the man made the sandwich in 41 seconds.</t>
  </si>
  <si>
    <t>The man then takes the sandwich apart in the back.</t>
  </si>
  <si>
    <t>v_0ysVELHeEyc</t>
  </si>
  <si>
    <t>The camera pans down the side of a fence.</t>
  </si>
  <si>
    <t>It stops at a broken section.</t>
  </si>
  <si>
    <t>It continues to pan down the fence.</t>
  </si>
  <si>
    <t>Nails are hammered into the fence.</t>
  </si>
  <si>
    <t>They continue down the fence and remove some dead plants.</t>
  </si>
  <si>
    <t>They show a product used to clean the fence.</t>
  </si>
  <si>
    <t>A man sprays the fence with the product.</t>
  </si>
  <si>
    <t>He drops it and gets some paint.</t>
  </si>
  <si>
    <t>A painted section of the fence is shown.</t>
  </si>
  <si>
    <t>v_IOmzDJjVUoQ</t>
  </si>
  <si>
    <t>A little in a pink shirt is going across the monkey bars.</t>
  </si>
  <si>
    <t>She hangs upside down from the bars.</t>
  </si>
  <si>
    <t>She smiles at the camera.</t>
  </si>
  <si>
    <t>v_bvBNoeCBDdg</t>
  </si>
  <si>
    <t>A title screen appears for a tutorial for hockey agility.</t>
  </si>
  <si>
    <t>A hockey player goes through several routines showing agility warm ups with a hockey stick and puck and drills with tires, small cones.</t>
  </si>
  <si>
    <t>Another title screen appear with a website just below it.</t>
  </si>
  <si>
    <t>v_IcDadC2tw5c</t>
  </si>
  <si>
    <t>A person watches another person using a leaf blower in a yard from an elevated window.</t>
  </si>
  <si>
    <t>A person in dark clothing blows leaves on a piece of property in front of two open garage doors.</t>
  </si>
  <si>
    <t>Another person moves with the camera as they watch from a window in an elevated room against a white window sill.</t>
  </si>
  <si>
    <t>The person blowing the leaves moves around the yard and continues to do lawn maintenance.</t>
  </si>
  <si>
    <t>v_pFh-8ICMTFY</t>
  </si>
  <si>
    <t>A woman talks while on a stair machine in a gym and shows proper footing.</t>
  </si>
  <si>
    <t>The woman walks on aerobic machine in the gym without the handles.</t>
  </si>
  <si>
    <t>The woman uses the arm bars while walking on the aerobic machine.</t>
  </si>
  <si>
    <t>The woman holds the arm grips to get off the machine.</t>
  </si>
  <si>
    <t>v_N_zbcVs419E</t>
  </si>
  <si>
    <t>A person's hand is seen holding a paint brush.</t>
  </si>
  <si>
    <t>The hand then puts drops of ink on paper.</t>
  </si>
  <si>
    <t>The person's hand is seen again with the paint brush.</t>
  </si>
  <si>
    <t>The hand returns with an ink dropper and creates pictures with ink.</t>
  </si>
  <si>
    <t>The hand gently touches the picture with a paper towel.</t>
  </si>
  <si>
    <t>v_G5ueYVLGtm8</t>
  </si>
  <si>
    <t>The woman in black shirt is bend over and hit the ball with mallet.</t>
  </si>
  <si>
    <t>The woman hit again the green ball causing it to hit the small pole.</t>
  </si>
  <si>
    <t>The woman in black cheered and began to walk.</t>
  </si>
  <si>
    <t>v_jfFnL_o8QS0</t>
  </si>
  <si>
    <t>A stopwatch is shown and a crowd gathers for a game of field hockey.</t>
  </si>
  <si>
    <t>The documentary features the voice of a former player as archival footage is shown in color.</t>
  </si>
  <si>
    <t>Photos and video in black and white depicts the history of the game.</t>
  </si>
  <si>
    <t>The documentary then focuses on a famous player.</t>
  </si>
  <si>
    <t>After that, a famous manager is highlighted and former players talk about him.</t>
  </si>
  <si>
    <t>v_p28XWij4U1c</t>
  </si>
  <si>
    <t>A woman talks to a camera and then demonstrates exercises that can be done from the playground using playground equipment including monkey bars.</t>
  </si>
  <si>
    <t>A woman in a red short sleeved shirt stands on the sand of a playground and talks facing the camera, while standing next to some monkey bars.</t>
  </si>
  <si>
    <t>The woman begins to use the monkey bars and pulls herself across the entire expanse of the bar without using feet for propulsion from bar to bar, using just upper arm and core strength to pull across the bars.</t>
  </si>
  <si>
    <t>The woman then climbs a wall and jumps off it in a gymnastic flip into the sand and begins to talk to the camera again.</t>
  </si>
  <si>
    <t>v_bJj66H_WsDA</t>
  </si>
  <si>
    <t>A man is seen sitting on the sidelines followed by a large group of people playing lacrosse.</t>
  </si>
  <si>
    <t>The players continue to move up and down the field past one another and many watching on the sides.</t>
  </si>
  <si>
    <t>The group continue to play and end by scoring a goal and the ref reacting.</t>
  </si>
  <si>
    <t>v_xT6ejzSmftg</t>
  </si>
  <si>
    <t>A marching group of cadets in dark clothing comes into view in what appears to be a downtown city square.</t>
  </si>
  <si>
    <t>A drum corp is heard drumming proudly as the cadets march down the street.</t>
  </si>
  <si>
    <t>The marchers begin waving to the crowd and greeting the onlookers.</t>
  </si>
  <si>
    <t>A long train whistle is heard as the cadets continue to wave to the crowd.</t>
  </si>
  <si>
    <t>Behind the cadets, a marching band comes into view, dressed in white.</t>
  </si>
  <si>
    <t>The band marches by while playing cadet songs.</t>
  </si>
  <si>
    <t>v_Er88I-NQkG4</t>
  </si>
  <si>
    <t>spanish letters are shown in the video.</t>
  </si>
  <si>
    <t>baby kid is dancing in the top of a table wearing a white diaper in the kitchen and a woman is filming it.</t>
  </si>
  <si>
    <t>v_vaqswUFfvMY</t>
  </si>
  <si>
    <t>A gymnast bend to rise weight above his head, while other men sit in the gym watch him.</t>
  </si>
  <si>
    <t>The gymnast drops the weight to the floor.</t>
  </si>
  <si>
    <t>v_72F30o9V8v0</t>
  </si>
  <si>
    <t>A man is shown sitting on a fence and talking to the camera while pointing out horses.</t>
  </si>
  <si>
    <t>A girl is shown riding a horse while three others hold onto the horse and help.</t>
  </si>
  <si>
    <t>These people help various people on and off the horses.</t>
  </si>
  <si>
    <t>The people also walk through obstacle courses with the horses and keep one hand on at all times.</t>
  </si>
  <si>
    <t>The man stands in the middle applauding the riders and giving the horses direction.</t>
  </si>
  <si>
    <t>A boy smiles when he gets off the horse and several people congratulate him.</t>
  </si>
  <si>
    <t>The man finishes by talking about his camp and why you should join.</t>
  </si>
  <si>
    <t>v_dKf46wUnn-s</t>
  </si>
  <si>
    <t>Two children are seen walking around a yard play crochet with one another and laughing on the side.</t>
  </si>
  <si>
    <t>the kids continue to play with each other while the camera pans all around their movements.</t>
  </si>
  <si>
    <t>v_AoyoL-921Ws</t>
  </si>
  <si>
    <t>A large yard is shown followed by a young child pushing a lawn mower around.</t>
  </si>
  <si>
    <t>The boy continues pushing the lawn mower around while the camera watches from the side.</t>
  </si>
  <si>
    <t>The boy moves the mower all along the yard.</t>
  </si>
  <si>
    <t>v_Tg3FU9Ro6KQ</t>
  </si>
  <si>
    <t>A woman is seen speaking to the camera and leads into her holding up various nail polishes and beginning to a set of fake nails.</t>
  </si>
  <si>
    <t>She continues painting on the nails use several different colors and presents the nail to the camera in the end.</t>
  </si>
  <si>
    <t>v_Hev5Vj0Jjuk</t>
  </si>
  <si>
    <t>A group of girls look up at an amusement park ride and wave there hands in fear and anticipation.</t>
  </si>
  <si>
    <t>The girls put on safety harnesses.</t>
  </si>
  <si>
    <t>The group climb up the stairs to the top of the platform.</t>
  </si>
  <si>
    <t>A girl stands on top of the platform with a rope and harness and prepares to jump.</t>
  </si>
  <si>
    <t>A pop band is seen singing a song and dancing.</t>
  </si>
  <si>
    <t>The girl jumps from the platform and bounces on the bungee cord in the air.</t>
  </si>
  <si>
    <t>The girl is met by the group members who congratulate her for the jump.</t>
  </si>
  <si>
    <t>v_ygmYkKbS-4U</t>
  </si>
  <si>
    <t>A man in a blue shirt is sweeping the floor in a gym.</t>
  </si>
  <si>
    <t>He flips the broom over and lays it flat on the floor.</t>
  </si>
  <si>
    <t>He starts vacuuming around the floor.</t>
  </si>
  <si>
    <t>He vacuums the bottom of the broom.</t>
  </si>
  <si>
    <t>v_sx5Q-JsaAAs</t>
  </si>
  <si>
    <t>Two men play ping pong on front a crowd.</t>
  </si>
  <si>
    <t>When the person with black jacket serves, the ball lands on net, also the young man fails to serve well and the ball lands outside the table.</t>
  </si>
  <si>
    <t>The young man wins and raise his hands, while his opponent hug him.</t>
  </si>
  <si>
    <t>People take picture to the men.</t>
  </si>
  <si>
    <t>v_sicaCRRCkiY</t>
  </si>
  <si>
    <t>A camera shows several different ingredients laid out on a table followed by someone mixing the ingredients together.</t>
  </si>
  <si>
    <t>They put the mixture on a pan to create cookies in the oven and show off the final results.</t>
  </si>
  <si>
    <t>v_BFrsZmuj4Ns</t>
  </si>
  <si>
    <t>Two men are seen running around a circle surrounded by people and performing martial arts moves.</t>
  </si>
  <si>
    <t>More people come in the circle and the people continue spinning around one another and fighting with each other.</t>
  </si>
  <si>
    <t>v_m1pNOYN-DoI</t>
  </si>
  <si>
    <t>Four guys are throwing golf balls across a table to hit plastic cups.</t>
  </si>
  <si>
    <t>Two guys high five after one guy gets the golf ball into the plastic cup.</t>
  </si>
  <si>
    <t>Guys point at the camera and laugh.</t>
  </si>
  <si>
    <t>A guy takes the golf ball out of the cup and attempts to drink the liquid.</t>
  </si>
  <si>
    <t>A guy throws a golf ball with his back toward the table, lands it inside the cup, and leaves the room.</t>
  </si>
  <si>
    <t>The guys celebrate and give high fives.</t>
  </si>
  <si>
    <t>v_UXX8k68S3_g</t>
  </si>
  <si>
    <t>A person is seen drawing on the side of a pumpkin and then leads into cutting out the outlines.</t>
  </si>
  <si>
    <t>The person then wipes a rag all over the pumpkin cleaning off its sides.</t>
  </si>
  <si>
    <t>v_DCyLmohIwkQ</t>
  </si>
  <si>
    <t>A man slowly walks over and takes some equipment off of the wall as some dramatic music plays.</t>
  </si>
  <si>
    <t>He sets up the bow and gets his arrows.</t>
  </si>
  <si>
    <t>Next we see him outdoors as he walks across some grass towards a target.</t>
  </si>
  <si>
    <t>He pulls out an arrow and and sets it in his bow.</t>
  </si>
  <si>
    <t>After a few tries he gets a bulls-eye.</t>
  </si>
  <si>
    <t>He sets his bow and his arrows down onto a wooden platform.</t>
  </si>
  <si>
    <t>v_Rx4gq8hrZ8s</t>
  </si>
  <si>
    <t>Four people plays soccer table indoors.</t>
  </si>
  <si>
    <t>A man shows a ball on a stick and demonstrates the movement of the ball on the soccer table.</t>
  </si>
  <si>
    <t>Then the mans shows the ball to the players, and one of them grab the ball and others play.</t>
  </si>
  <si>
    <t>v_ydRycaBjMVw</t>
  </si>
  <si>
    <t>A man is seen sitting on a bench with other wiping his ear down with cleaner.</t>
  </si>
  <si>
    <t>The man looks at his phone while the other then begins piercing his ears.</t>
  </si>
  <si>
    <t>The man puts an earring in each hole while still speaking to the man and shoving off his earring.</t>
  </si>
  <si>
    <t>v_jpGyplACWUg</t>
  </si>
  <si>
    <t>a man is celebrating with his arms in the air.</t>
  </si>
  <si>
    <t>He is shown spinning on a field.</t>
  </si>
  <si>
    <t>He then throws the ball far away and it is measured.</t>
  </si>
  <si>
    <t>v_-5h2E52tl4Q</t>
  </si>
  <si>
    <t>A middle aged female talks about a cleaning product.</t>
  </si>
  <si>
    <t>The female opens a container of cleaner and puts it on a rag.</t>
  </si>
  <si>
    <t>The female then uses the rag to rub the inside of the sink.</t>
  </si>
  <si>
    <t>The same female then uses a different rag to rub the sink surface.</t>
  </si>
  <si>
    <t>The female puts more cleaner on the rag and cleans the counter top.</t>
  </si>
  <si>
    <t>v_Anvhv9FFv1Q</t>
  </si>
  <si>
    <t>A man is seen speaking to the camera and leads into him presenting various objects and sharpening a knife on a board.</t>
  </si>
  <si>
    <t>The man demonstrates how to properly sharpen the knife using the tools and his hands while continuing to sharpen the knife on the board.</t>
  </si>
  <si>
    <t>v_KanNWuKvkxs</t>
  </si>
  <si>
    <t>A woman talks and shows a little bottle.</t>
  </si>
  <si>
    <t>Then, the woman put on her eyes white contact lenses and continues explaining.</t>
  </si>
  <si>
    <t>v_It-SVT1ICJM</t>
  </si>
  <si>
    <t>A couple of toys are wrestling on a table next to a stack of dvds.</t>
  </si>
  <si>
    <t>They kick and push each other down.</t>
  </si>
  <si>
    <t>A screen of stars in a black sky are shown.</t>
  </si>
  <si>
    <t>v_xKPF_SpZ1gQ</t>
  </si>
  <si>
    <t>A calf and horse run out of a gate.</t>
  </si>
  <si>
    <t>The man catches the calf and ties it up.</t>
  </si>
  <si>
    <t>v_5olJd75WWFw</t>
  </si>
  <si>
    <t>A man wearing a black shirt is demonstrating how to polish wood and other surfaces using liquid polish and a white soft cloth.</t>
  </si>
  <si>
    <t>He pours some of the polish from the bottle onto the cloth and uses it to gently scrub ad rub it over the furniture and tabletop.</t>
  </si>
  <si>
    <t>He uses it over various surfaces to clean and polish the surfaces of wood, vinyl and leather.</t>
  </si>
  <si>
    <t>v_y20J3BbydOk</t>
  </si>
  <si>
    <t>kids are gathered around a wooden table in a kitchen.</t>
  </si>
  <si>
    <t>woman is cutting oranges and showing it to kids and squeezing it in a glass in the table.</t>
  </si>
  <si>
    <t>v_AEQ9zIG9LqA</t>
  </si>
  <si>
    <t>A man does several back flips on a red mat.</t>
  </si>
  <si>
    <t>A woman in a black shirt watches him go by and claps.</t>
  </si>
  <si>
    <t>He stands up and walks away.</t>
  </si>
  <si>
    <t>v_1HWajOhmPVg</t>
  </si>
  <si>
    <t>Various text is shown across the screen that leads into a man hosting a news segment.</t>
  </si>
  <si>
    <t>An athlete is then seen spinning around in circles and throwing an object off into the distance.</t>
  </si>
  <si>
    <t>More text is shown across the screen.</t>
  </si>
  <si>
    <t>v_PyM_VG5KFa4</t>
  </si>
  <si>
    <t>A channel is displaying some cool and incredible videos.</t>
  </si>
  <si>
    <t>A young boy is sitting outdoors on a wooden bench and drumming on a drum set that is made out of steel plates, cans and pots.</t>
  </si>
  <si>
    <t>A man just walked past him while the boy was drumming loudly.</t>
  </si>
  <si>
    <t>He continues to drum on the handmade drum set rhythmically.</t>
  </si>
  <si>
    <t>He plays in a fast manner without stopping.</t>
  </si>
  <si>
    <t>The screen shows details of how to subscribe to the channel.</t>
  </si>
  <si>
    <t>v_O0nOzufJ_OM</t>
  </si>
  <si>
    <t>A compilation/tribute video for a Hungarian discus throwing Olympian begins with some pictures of him in action.</t>
  </si>
  <si>
    <t>An attempt with him twirling rapidly begins and the discus launches.</t>
  </si>
  <si>
    <t>More photos play, showing the competitor in different positions.</t>
  </si>
  <si>
    <t>Two straight attempts featuring a powerful spin result in the the discus flying far both times.</t>
  </si>
  <si>
    <t>This is followed by more photos.</t>
  </si>
  <si>
    <t>Another attempt plays, followed by another slate of photos.</t>
  </si>
  <si>
    <t>The next attempt occurs in front of a large green net, the discus is launched like a rocket and the thrower celebrates.</t>
  </si>
  <si>
    <t>Another set of photos close the montage.</t>
  </si>
  <si>
    <t>v_9o_SlEkq-L0</t>
  </si>
  <si>
    <t>A man is standing in a yard of green grass and is shown mowing the lawn and when he's done there is a short exchange of a hand handing his hand one dollar bill.</t>
  </si>
  <si>
    <t>The man is then shown moving the grass again and when he's done he's once again indoors and this time getting three one dollar bills handed to him.</t>
  </si>
  <si>
    <t>He is once again back in the yard but this time he has the container filled with cut grass and a special effect makes it look like the cut grass is jumping into his container.</t>
  </si>
  <si>
    <t>A special effect shows the man quickly in one place and then in another spot that varies a lot all throughout the yard.</t>
  </si>
  <si>
    <t>The man goes back to mowing the yard and then back indoors to get one more dollar handed to him.</t>
  </si>
  <si>
    <t>The man is very happy about this and he's back in the yard celebrating by jumping and mowing the yard a little more.</t>
  </si>
  <si>
    <t>The man is then back indoors and a special effect shows a bunch of money flying into the air and straight into his hands and ends with a the man holding a bunch of money in his hands as they move.</t>
  </si>
  <si>
    <t>v_PzeM5iOLQnk</t>
  </si>
  <si>
    <t>We see a man talking in a bike ship.</t>
  </si>
  <si>
    <t>the man points at a bike.</t>
  </si>
  <si>
    <t>The man takes off the handlebars on a bike and adjusts them.</t>
  </si>
  <si>
    <t>The man puts the handlebars back on.</t>
  </si>
  <si>
    <t>The man moves to the front of the bike to adjust the handlebars.</t>
  </si>
  <si>
    <t>The man then finishes tightening the bolt on the handlebar.</t>
  </si>
  <si>
    <t>The man steps back when finished.</t>
  </si>
  <si>
    <t>v_ozgrP6Znupc</t>
  </si>
  <si>
    <t>Two men talk to the camera, interspersed with action footage of them playing lacrosse.</t>
  </si>
  <si>
    <t>The man dressed in orange talks to the camera.</t>
  </si>
  <si>
    <t>The man in orange demonstrates passing the lacrosse ball against the wall.</t>
  </si>
  <si>
    <t>The man in orange talks to the camera again.</t>
  </si>
  <si>
    <t>Both men demonstrate passing the lacrosse ball against the wall.</t>
  </si>
  <si>
    <t>The man in orange talks to the camera a third time while demonstrating with his lacrosse stick.</t>
  </si>
  <si>
    <t>The man is briefly interrupted by a scene of him passing the ball against the wall.</t>
  </si>
  <si>
    <t>The two man practice passing the ball to each other with the wall.</t>
  </si>
  <si>
    <t>The man in orange talks to the camera a final time.</t>
  </si>
  <si>
    <t>v_uklYBuQDwIw</t>
  </si>
  <si>
    <t>A woman is seen sitting down on a string while others watch around her.</t>
  </si>
  <si>
    <t>A man is shown speaking to the camera while others take their turns balance on the rope.</t>
  </si>
  <si>
    <t>More shots are shown of the people walking along one another.</t>
  </si>
  <si>
    <t>v_zFUUBWJ58UA</t>
  </si>
  <si>
    <t>A woman is seen walking up to a door and smiling to the camera while hanging up her coat.</t>
  </si>
  <si>
    <t>She puts an apron on and pours paint into a bucket while speaking to the camera.</t>
  </si>
  <si>
    <t>She is shown painting various furniture as well as showing it off in the end.</t>
  </si>
  <si>
    <t>v_mEEovBtzwHc</t>
  </si>
  <si>
    <t>A woman is seen sitting in a chair while speaking to the camera and leads into a close up of a tree and the woman putting ornaments on.</t>
  </si>
  <si>
    <t>The woman ties string all along the tree while the camera pans around and ends with her showing off the end result and speaking to the camera.</t>
  </si>
  <si>
    <t>v_nlXavqvgf6A</t>
  </si>
  <si>
    <t>A boy is sitting on a ramp with the flaps up on his dirt bike waiting to go on the course.</t>
  </si>
  <si>
    <t>The boy then comes back and begins moving the pedals on the bicycle and then stands up on the bike.</t>
  </si>
  <si>
    <t>Another angle is shown and the ramps are let down and the boy begins riding down the pavement.</t>
  </si>
  <si>
    <t>v_W4tmb8RwzQM</t>
  </si>
  <si>
    <t>A teen sits in a chair talking.</t>
  </si>
  <si>
    <t>The boy stands and we see him bouncing on a slackline in various locations.</t>
  </si>
  <si>
    <t>There is a second boy on a different line who walks away.</t>
  </si>
  <si>
    <t>The boy almost falls and steadys himself.</t>
  </si>
  <si>
    <t>The boy gets off and walks away.</t>
  </si>
  <si>
    <t>The boy walks to the camera and gestures with his hands.</t>
  </si>
  <si>
    <t>v_nnWJGghixr0</t>
  </si>
  <si>
    <t>A black intro screen appears with white words and letters saying "Eric Bristow's unique TV 'Robin Hood' Darts shot 1983 vs J Wilson".</t>
  </si>
  <si>
    <t>An older looking video begins and two different men are throwing darts at a dartboard.</t>
  </si>
  <si>
    <t>When the men are done throwing darts, a dartboard is show and blue letters scroll up from the bottom to the top.</t>
  </si>
  <si>
    <t>v_xPyj6pmYyEk</t>
  </si>
  <si>
    <t>An introduction comes onto the screen for a video about how to make linguine with clam sauce.</t>
  </si>
  <si>
    <t>Water is brought to a boil in a pot and the pasta is added to the pot.</t>
  </si>
  <si>
    <t>Parsley is finely chopped along with some garlic, and the clams are drained into a bowl to separate them from the juice.</t>
  </si>
  <si>
    <t>Olive oil goes into the pan with the garlic, red pepper, parsley, white wine, basil, salt, and clam juice to simmer, and the clams are added to the mixture at the end.</t>
  </si>
  <si>
    <t>The pasta is drained and added into the pan with the sauce.</t>
  </si>
  <si>
    <t>The pasta is then served with shredded cheese on top.</t>
  </si>
  <si>
    <t>v_gWyBBQtsDhc</t>
  </si>
  <si>
    <t>A woman with long hair is seen speaking to the camera while moving her arms around and smiling while she speaks.</t>
  </si>
  <si>
    <t>She then begins brushing her long hair out and smiling back at the camera and waving.</t>
  </si>
  <si>
    <t>v_-od9zDziq9U</t>
  </si>
  <si>
    <t>A girl walks up the the center of the stage and messes with her feet and gets in position.</t>
  </si>
  <si>
    <t>She pauses in that position before she begins to dance around.</t>
  </si>
  <si>
    <t>She does a split and some poses all around.</t>
  </si>
  <si>
    <t>She does some cart wheels and more dancing all around the court and finally she finishes.</t>
  </si>
  <si>
    <t>v_MkouTZhtvEI</t>
  </si>
  <si>
    <t>A large group of people are shown walking in holding bows and arrows and one making a shot.</t>
  </si>
  <si>
    <t>Several more people are shown making shots with their bows and arrows and celebrating in the end and standing on a podium waving.</t>
  </si>
  <si>
    <t>v_AIxxMCcmIgM</t>
  </si>
  <si>
    <t>We see a man water skiing.</t>
  </si>
  <si>
    <t>We see the water spraying on the left.</t>
  </si>
  <si>
    <t>The man jumps over to the right.</t>
  </si>
  <si>
    <t>The man is bending down on the surfboard.</t>
  </si>
  <si>
    <t>The man performs a flip.</t>
  </si>
  <si>
    <t>v_BfsCKU69hHs</t>
  </si>
  <si>
    <t>A pair of female hands uses an iron on a piece of baby clothing.</t>
  </si>
  <si>
    <t>The woman sets the iron aside and flips the clothing.</t>
  </si>
  <si>
    <t>The woman uses the iron on the other side of the clothing.</t>
  </si>
  <si>
    <t>The woman sets the iron aside.</t>
  </si>
  <si>
    <t>v_MY6o5ZObFLE</t>
  </si>
  <si>
    <t>A man is sipping a drink on the beach.</t>
  </si>
  <si>
    <t>A girl is applying squirts of suntan lotion onto their bodies.</t>
  </si>
  <si>
    <t>Then then go into the water, swimming and walking in the surf.</t>
  </si>
  <si>
    <t>v_AjiCJiOIDtI</t>
  </si>
  <si>
    <t>A man is seen speaking to the camera while holding up a foam rubber mat.</t>
  </si>
  <si>
    <t>The camera pans around more mats laying out while the man still speaks to the camera.</t>
  </si>
  <si>
    <t>v_vtYbJD2J8Tw</t>
  </si>
  <si>
    <t>A woman begins talking to the camera smiling and leads into her coming another woman's hair.</t>
  </si>
  <si>
    <t>She parts the hair into sections and places rollers into the woman's hair and talking to the camera.</t>
  </si>
  <si>
    <t>v_GJz8FEFB70w</t>
  </si>
  <si>
    <t>Two people lift a large weight over their heads.</t>
  </si>
  <si>
    <t>They drop the weight to the ground.</t>
  </si>
  <si>
    <t>The weights are shown on each side.</t>
  </si>
  <si>
    <t>v__4oBeoCuU7M</t>
  </si>
  <si>
    <t>Two cars are seen parked outside of a garage as a man focuses his camera.</t>
  </si>
  <si>
    <t>Once the camera is sin position,a man is shown with a steel mask on as he beats a piece on a concrete.</t>
  </si>
  <si>
    <t>The piece is on the concrete and he puts the bottom of the mask on and begins burning the metal.</t>
  </si>
  <si>
    <t>v_USOc5S2-3zA</t>
  </si>
  <si>
    <t>A woman in a belly dancer outfit is on stage.</t>
  </si>
  <si>
    <t>She walks down the lane while dancing and singing.</t>
  </si>
  <si>
    <t>She gyrates her hips and arms as she performs.</t>
  </si>
  <si>
    <t>v_bNh4SQ2nR80</t>
  </si>
  <si>
    <t>A video is shown for how to do a frizz free blowout.</t>
  </si>
  <si>
    <t>After washing and conditioning, product is applied and blow dried.</t>
  </si>
  <si>
    <t>Then the rest of the procedure is completed.</t>
  </si>
  <si>
    <t>v_8kGiDHAnTqY</t>
  </si>
  <si>
    <t>A man is helping a little girl go down a slide.</t>
  </si>
  <si>
    <t>She goes down the slide on her belly.</t>
  </si>
  <si>
    <t>She climbs up the side of the playground and goes down the slide again.</t>
  </si>
  <si>
    <t>v_BWCMfPoKlMM</t>
  </si>
  <si>
    <t>A large group of athletes are seen standing around a track while some holding their arms up to clap.</t>
  </si>
  <si>
    <t>One runner makes his way down the track and jumps into a large sand pit and walks away.</t>
  </si>
  <si>
    <t>v_NyL7m4JV8vQ</t>
  </si>
  <si>
    <t>A man in red runs jumps and flips over an obstacle.</t>
  </si>
  <si>
    <t>It is done over and over in slow motion.</t>
  </si>
  <si>
    <t>He then does it again for one last time.</t>
  </si>
  <si>
    <t>Then finally, they begin a race on a field a man wearing black crosses the finish line first.</t>
  </si>
  <si>
    <t>v_tr1sNwRTMd8</t>
  </si>
  <si>
    <t>A woman wearing number 177 is standing in place, she crosses her heart and get prepared to run.</t>
  </si>
  <si>
    <t>She breathes in deeply and starts to run really fast down the field.</t>
  </si>
  <si>
    <t>She jumps up high and lands right in the sand on to her butt, they show mulitple replays of her performance.</t>
  </si>
  <si>
    <t>She bends over and fixes her uniform, dusting off her bottom as she walks away.</t>
  </si>
  <si>
    <t>v_2UJ4wqJt_Y8</t>
  </si>
  <si>
    <t>People are roller blading about in front of a building.</t>
  </si>
  <si>
    <t>A man roller blades fast.</t>
  </si>
  <si>
    <t>The man lifts his hands up in the air and starts to stop his roller blades.</t>
  </si>
  <si>
    <t>v_ycBFz2RdgoY</t>
  </si>
  <si>
    <t>People windsurf on a large body of water.</t>
  </si>
  <si>
    <t>A park sign that reads "Welcome to Kanaha Beach Park" is shown.</t>
  </si>
  <si>
    <t>More windsurfers are shown racing across the water.</t>
  </si>
  <si>
    <t>v_VkRjs03YEjE</t>
  </si>
  <si>
    <t>The man in the corner kicks the ball straight into the net.</t>
  </si>
  <si>
    <t>The team runs around the court celebrating.</t>
  </si>
  <si>
    <t>A man in the stands climbs over the railing and runs onto the court celebrating.</t>
  </si>
  <si>
    <t>The group is in a bunch celebrating on the court.</t>
  </si>
  <si>
    <t>One of the players kicks the ball into the stands and walks off with his head down.</t>
  </si>
  <si>
    <t>A few players are standing in the corner looking like they are arguing.</t>
  </si>
  <si>
    <t>A bunch of players and spectators run the court toward the melee.</t>
  </si>
  <si>
    <t>Men are running along the edge of the court.</t>
  </si>
  <si>
    <t>The small group is still arguing and holding back fights.</t>
  </si>
  <si>
    <t>A small group is having an animated discussion.</t>
  </si>
  <si>
    <t>The two men walk back on to the court as the group starts talking again around the court floor and edge.</t>
  </si>
  <si>
    <t>v_2tpwfPdSEVo</t>
  </si>
  <si>
    <t>A woman talks as she is seated on the ground.</t>
  </si>
  <si>
    <t>She shows off a pair of clipping scissors.</t>
  </si>
  <si>
    <t>She then uses them to gently but quickly trim a cat's nails while another woman assists her.</t>
  </si>
  <si>
    <t>v_NI-TZyAxJU0</t>
  </si>
  <si>
    <t>People raft down a narrow river between two mountains.</t>
  </si>
  <si>
    <t>People rafting passing troubled waters in the narrow river.</t>
  </si>
  <si>
    <t>People sail down the rocky river in an open space.</t>
  </si>
  <si>
    <t>v_5V47VQHzWHc</t>
  </si>
  <si>
    <t>A man is seated at the front of a church and plays a song on an accordion.</t>
  </si>
  <si>
    <t>The man goes all the way down the scale than back up at the end of the song.</t>
  </si>
  <si>
    <t>The man finishes the song and smiles.</t>
  </si>
  <si>
    <t>v_QgzpNg0Ponc</t>
  </si>
  <si>
    <t>A man is seen riding on a skateboard down a hill on his head.</t>
  </si>
  <si>
    <t>More shots are shown of people performing tricks on skateboards around an area.</t>
  </si>
  <si>
    <t>The people continue to perform tricks and ride around while other people watch on the side.</t>
  </si>
  <si>
    <t>v_ot4CuJqrN-Y</t>
  </si>
  <si>
    <t>A group of band mates are outside at a park.</t>
  </si>
  <si>
    <t>They are wearing revolutionary war era outfits.</t>
  </si>
  <si>
    <t>They play the drums in unison to a beat.</t>
  </si>
  <si>
    <t>v_mLijl36SjJU</t>
  </si>
  <si>
    <t>A man is seen kneeling onto a floor holding a bit of carpet and speaking to the camera.</t>
  </si>
  <si>
    <t>He peels off the layers and begins rubbing down the carpet.</t>
  </si>
  <si>
    <t>He pours liquid onto the carpet and pats it down with a paper towel.</t>
  </si>
  <si>
    <t>Finally the person vacuums up the carpet and is seen standing next to the vacuum.</t>
  </si>
  <si>
    <t>v_QeH6IOAjy-4</t>
  </si>
  <si>
    <t>Three people are in the gym,one of the males is kneeling down and jerking a bar while the other is giving a massage to a woman.</t>
  </si>
  <si>
    <t>The male with the bar lifts the weights,drops it and then jumps in joy that he has lifted the weight,drops his belt and walks off.</t>
  </si>
  <si>
    <t>v_CXSoih6nFME</t>
  </si>
  <si>
    <t>A young child is seen adjusting the camera and showing off her face.</t>
  </si>
  <si>
    <t>She grabs some makeup and begins putting it all over her face.</t>
  </si>
  <si>
    <t>She continues putting on more makeup and showing it off to the camera.</t>
  </si>
  <si>
    <t>v_uVHuVnv5XAk</t>
  </si>
  <si>
    <t>A man sprints down a track.</t>
  </si>
  <si>
    <t>The man jumps at the end of the track.</t>
  </si>
  <si>
    <t>The man's jump is shown from different angles an in slow motion.</t>
  </si>
  <si>
    <t>v_v-dxQNxdMrU</t>
  </si>
  <si>
    <t>A camera pans around large city buildings and leads into people riding motocross bikes.</t>
  </si>
  <si>
    <t>More clips are seen of people performing tricks on the bike while hundreds watch on the sidelines.</t>
  </si>
  <si>
    <t>More people are seen riding around and waving their hands up in the end.</t>
  </si>
  <si>
    <t>v_Nosx28FNB5E</t>
  </si>
  <si>
    <t>People start to play a game of pool.</t>
  </si>
  <si>
    <t>A man talks to the camera and laughs.</t>
  </si>
  <si>
    <t>v_x8yuq2i72eo</t>
  </si>
  <si>
    <t>Four people are doing situps on the ground.</t>
  </si>
  <si>
    <t>The third person is paused.</t>
  </si>
  <si>
    <t>The farthest person is barely visible.</t>
  </si>
  <si>
    <t>v_9hPFweZeIWs</t>
  </si>
  <si>
    <t>People are standing around an arena wearing cowboy hats.</t>
  </si>
  <si>
    <t>They release a calf from a box.</t>
  </si>
  <si>
    <t>A man on a horse runs after the calf.</t>
  </si>
  <si>
    <t>He ties the legs of the calf and gets up and walks away.</t>
  </si>
  <si>
    <t>v_dZSjgAYlpS0</t>
  </si>
  <si>
    <t>A man is standing over a sink and with his right hand he's holding a drill that has a potato attached to the end of it, and the right hand is holding the hand peeler as the drill moves the potato and the peeler peels it.</t>
  </si>
  <si>
    <t>The man temporarily stops the drill to pull off a small piece of potato and a long piece of metal is shown sticking out of the drill.</t>
  </si>
  <si>
    <t>The man then puts another potato onto the pointy metal piece and continues to peel the potato.</t>
  </si>
  <si>
    <t>Once again he stops and then cleans off his peeler and then returns back to peeling the rest of the potato.</t>
  </si>
  <si>
    <t>The man stops the drill for the last time,lets it go and cleans the peeler once more with both hands as he throws the contents into the sink and.</t>
  </si>
  <si>
    <t>v_eBITMlyTZhY</t>
  </si>
  <si>
    <t>A lady gets up from her seat and we see the orchestra playing music.</t>
  </si>
  <si>
    <t>The woman does a belly dancing routine on the stage.</t>
  </si>
  <si>
    <t>We see a camera enter the scene on the right.</t>
  </si>
  <si>
    <t>We see the back of the head of a man.</t>
  </si>
  <si>
    <t>We then see the woman next to the man.</t>
  </si>
  <si>
    <t>The woman finishes her dance and picks up her wrap.</t>
  </si>
  <si>
    <t>We see a somber lady holding a microphone.</t>
  </si>
  <si>
    <t>v_J98U-PGh1bQ</t>
  </si>
  <si>
    <t>A man is mopping a dirty public bathroom floor.</t>
  </si>
  <si>
    <t>He pushes the mop back and forth, making the floor clean and shiny.</t>
  </si>
  <si>
    <t>v_xVQkf_TrX7U</t>
  </si>
  <si>
    <t>A big man dressed as batman is running around doing weird nonsensical stuff.</t>
  </si>
  <si>
    <t>He runs inside of the house and begins to start giving instructions on how to make the perfect batman sandwich.</t>
  </si>
  <si>
    <t>He is cutting up cheese and adding ham to the sandwich.</t>
  </si>
  <si>
    <t>He even cuts the bread into a batman shape before finally doing being done.</t>
  </si>
  <si>
    <t>v_4VVIFV6XmKo</t>
  </si>
  <si>
    <t>Two men are in a small gym boxing and fighting one another.</t>
  </si>
  <si>
    <t>They continue fighting and hitting one another as a person stands in the corner showing them.</t>
  </si>
  <si>
    <t>After some time,they finish fighting and stand still across from one another in the gym.</t>
  </si>
  <si>
    <t>v_pOyP_kDaskY</t>
  </si>
  <si>
    <t>A man in a suit reads off of a paper.</t>
  </si>
  <si>
    <t>A woman then begins to report a news story.</t>
  </si>
  <si>
    <t>A young boy plays the harmonica on the street.</t>
  </si>
  <si>
    <t>He stands on a dock telling his story.</t>
  </si>
  <si>
    <t>v_ZFi592_m_NQ</t>
  </si>
  <si>
    <t>A man is shown on camera doing several moves with his arms and legs while smiling into the camera.</t>
  </si>
  <si>
    <t>He performs several more moves slowly and continues to speak and smile to the camera.</t>
  </si>
  <si>
    <t>v_v_Vg4a8igc0</t>
  </si>
  <si>
    <t>A woman is bathing a white and brown puppy dog in a bathtub.</t>
  </si>
  <si>
    <t>the woman is using a hand held shower to wash the dog.</t>
  </si>
  <si>
    <t>The woman is holding the dog with its two front legs.</t>
  </si>
  <si>
    <t>She continues to wash the dog with the shower.</t>
  </si>
  <si>
    <t>v_7knqgoHxuGE</t>
  </si>
  <si>
    <t>Several people are at a party.</t>
  </si>
  <si>
    <t>They are drinking and playing beer pong.</t>
  </si>
  <si>
    <t>There are people dancing and looking at their phones.</t>
  </si>
  <si>
    <t>v_tES39s-LJsQ</t>
  </si>
  <si>
    <t>The name Seppe Smits appears on screen followed by "Snow Boarding 2400 Hours A Day".</t>
  </si>
  <si>
    <t>Video of Smits starting his day is intermixed with shots of him snowboarding.</t>
  </si>
  <si>
    <t>Social media hashtags on are shown on screen.</t>
  </si>
  <si>
    <t>v_c3lo99rni-o</t>
  </si>
  <si>
    <t>woman is standing in a kitchen talking to the camera holding a bag of pasta.</t>
  </si>
  <si>
    <t>woman grab some pasta and put them in boiled water.</t>
  </si>
  <si>
    <t>woman grab one spaghetti and eats it to see if is cooked and explain how to know it.</t>
  </si>
  <si>
    <t>throw the water in the sink and grate cheese in pasta and a little oegano and serve it in a white plate.</t>
  </si>
  <si>
    <t>v_IGamNJ5yIh4</t>
  </si>
  <si>
    <t>A group of men are on a sandy beach playing soccer while a lot of people are looking on.</t>
  </si>
  <si>
    <t>A man kicks the ball very hard, makes it in the goal and he throws his two arms up in the air and gives a team mate a high five and they all run back to get into place for the next play.</t>
  </si>
  <si>
    <t>The replay of the goal that was kicked is replayed but in slow motion.</t>
  </si>
  <si>
    <t>v_YJxqF6aSs7s</t>
  </si>
  <si>
    <t>A man is holding a camera as he stands talking beside a lake.</t>
  </si>
  <si>
    <t>He goes through tunnels, walks along bridges, and stands over cliffs.</t>
  </si>
  <si>
    <t>He drives down a road and records rafting on a white water river.</t>
  </si>
  <si>
    <t>People are shown diving into deep waters off of cliffs before rafting again.</t>
  </si>
  <si>
    <t>v_jhuRtkqUSSI</t>
  </si>
  <si>
    <t>A camera pans out on a man's back followed by a man performing a flipping dive into a pool.</t>
  </si>
  <si>
    <t>He is shown twice more performing impressing dives off the diving board and into the pool.</t>
  </si>
  <si>
    <t>v_OhydQlKoSUw</t>
  </si>
  <si>
    <t>A person is seen getting out of a car and walking around to the trunk to grab a surf board.</t>
  </si>
  <si>
    <t>The person is then seen wearing a suit and running down a boardwalk followed by him surfing.</t>
  </si>
  <si>
    <t>The man glides along the water in slow motion and is then seen speaking to the camera.</t>
  </si>
  <si>
    <t>v_iJzt1rvGiOc</t>
  </si>
  <si>
    <t>A blond woman is sitting on a bed in a hotel room videotaping her self in a mirror with a white phone and talking to the camera.</t>
  </si>
  <si>
    <t>the woman stands up and points the camera to the door into the bathroom where a man is washing his sneakers in the sink with a brush.</t>
  </si>
  <si>
    <t>The blond woman walks back into the room and shows all the various pairs of sneakers the man has laying all over the hotel room.</t>
  </si>
  <si>
    <t>The blond woman walks back into the bathroom and video tapes the man holding the white sneakers.</t>
  </si>
  <si>
    <t>The man is now outside putting polish and plastic tape on the sneakers and he is detailing them with a toothbrush.</t>
  </si>
  <si>
    <t>There are various pictures of the end product of clean sneakers.</t>
  </si>
  <si>
    <t>v_GPl7nFwqSgk</t>
  </si>
  <si>
    <t>A large group of people are seen standing in a circle playing drums with one person in the middle instructing them.</t>
  </si>
  <si>
    <t>The camera pans around the group playing drums while people them on the side.</t>
  </si>
  <si>
    <t>v_zcDA0s8eWU4</t>
  </si>
  <si>
    <t>A woman chops wood on a block with an ax.</t>
  </si>
  <si>
    <t>She has a hard time getting the ax out of the wood.</t>
  </si>
  <si>
    <t>Someone else comes and tries to get it out but they can't.</t>
  </si>
  <si>
    <t>The first girl comes back and continues trying to pull the ax out of the wood.</t>
  </si>
  <si>
    <t>v_64oq7grVNVs</t>
  </si>
  <si>
    <t>A young man clips the hair of several older men in an outdoor barber chair.</t>
  </si>
  <si>
    <t>The man cutting hair is inside a barber shop talking.</t>
  </si>
  <si>
    <t>Some still shots of the man cutting hair are shown.</t>
  </si>
  <si>
    <t>The man is seen again cutting a mans hair in the outdoor barber chair.</t>
  </si>
  <si>
    <t>v_ntKbTDQUhDA</t>
  </si>
  <si>
    <t>A man is pouring shots of alcohol into a blender.</t>
  </si>
  <si>
    <t>He blends the drink together.</t>
  </si>
  <si>
    <t>He puts orange slices on two glasses.</t>
  </si>
  <si>
    <t>He pours the drink from the blender into the glasses and adds straws.</t>
  </si>
  <si>
    <t>v_TexMXN2yegk</t>
  </si>
  <si>
    <t>A man is carving a pumpkin.</t>
  </si>
  <si>
    <t>A man in a batman costume is shown.</t>
  </si>
  <si>
    <t>The man continues carving the pumpkin.</t>
  </si>
  <si>
    <t>A dog is chewing on a blue ball.</t>
  </si>
  <si>
    <t>v_RaYMOYWhba8</t>
  </si>
  <si>
    <t>A group of young boys are seen passing soccer balls to each along a large sandy beach.</t>
  </si>
  <si>
    <t>They continue running back and fourth on the sand and passing the ball to one another.</t>
  </si>
  <si>
    <t>v_9AqHhUuE9bE</t>
  </si>
  <si>
    <t>A man is sitting along side a road polishing a shoe.</t>
  </si>
  <si>
    <t>Some other people are seated nearby, and many individuals walk past him.</t>
  </si>
  <si>
    <t>A motorcycle drives by on the road.</t>
  </si>
  <si>
    <t>The man puts the shoe down and picks up another one to polish.</t>
  </si>
  <si>
    <t>v_yIIDIQDKVhI</t>
  </si>
  <si>
    <t>A man in a red polo shirt demonstrates the Kleva Sharp sharpener.</t>
  </si>
  <si>
    <t>He sharpens a dull butcher knife and cuts a tomato.</t>
  </si>
  <si>
    <t>The man in the red polo shirt then sharpens a dull steak knife and cuts a tomato into slices and then he cuts a cucumber into slices.</t>
  </si>
  <si>
    <t>The man demonstrating the Kleva Sharpener, he sharpens a garden clipper and slices a carrot.</t>
  </si>
  <si>
    <t>The demonstrator then sharpens a serated bread knife and slices a loaf of bread.</t>
  </si>
  <si>
    <t>A series of demonstrations of different knives cutting different foods.</t>
  </si>
  <si>
    <t>The Kleva Sharpener is dismounted from the table and stored in a cabinet drawer.</t>
  </si>
  <si>
    <t>The Kleva Sharpener is mounted on the refrigerator on a wall and on the table.</t>
  </si>
  <si>
    <t>He demonstrates the locking mechanism.</t>
  </si>
  <si>
    <t>v_eGLD-0b1LV0</t>
  </si>
  <si>
    <t>A woman is speaking while standing next to an elliptical trainer.</t>
  </si>
  <si>
    <t>The mechanics of the elliptical machine are shown.</t>
  </si>
  <si>
    <t>We then see the woman on the machine, demonstrating how it works.</t>
  </si>
  <si>
    <t>v_2mI7NL54yP8</t>
  </si>
  <si>
    <t>A man is shown on a bike riding across the snow.</t>
  </si>
  <si>
    <t>Then another group of people are riding in a cart through the snow.</t>
  </si>
  <si>
    <t>Three skiers are pictured on top of a mountain of a snow and they begin skiing.</t>
  </si>
  <si>
    <t>A skier is then panned up and down holding a set of skiis as well as people on mountain bikes and they begin racing.</t>
  </si>
  <si>
    <t>v_KTk1Rh8Lgdw</t>
  </si>
  <si>
    <t>A woman puts rollers to a young lady, combing a portion of the hair and then coil on a roller.</t>
  </si>
  <si>
    <t>The young lady raise her left hand to pass a roller to the woman while taking.</t>
  </si>
  <si>
    <t>The young lady put a towel on front her face.</t>
  </si>
  <si>
    <t>v_cC3dwwPPHKE</t>
  </si>
  <si>
    <t>Several views are shown of a machine from different angles.</t>
  </si>
  <si>
    <t>A woman uses an attachment to suck the wrinkles out of a shirt.</t>
  </si>
  <si>
    <t>She then hangs a pair of pants, and irons it smooth, creating a crease.</t>
  </si>
  <si>
    <t>v_b993qWuMRBA</t>
  </si>
  <si>
    <t>We see a man in the upper corner and out over the hood of a car while driving.</t>
  </si>
  <si>
    <t>The car stops at an intersection.</t>
  </si>
  <si>
    <t>The car makes a u-turn.</t>
  </si>
  <si>
    <t>The man drives into a car wash and gets out.</t>
  </si>
  <si>
    <t>The man pressure washes ice off his car and continues rinsing his car.</t>
  </si>
  <si>
    <t>The man shows his wet car.</t>
  </si>
  <si>
    <t>v_Zl6o69-R2DE</t>
  </si>
  <si>
    <t>man is talking to the camera is a snowy day outside a house.</t>
  </si>
  <si>
    <t>man is holding a shovel and cleaning the path from the snow.</t>
  </si>
  <si>
    <t>little kid is wearing red snow clothes and is standing nxt to a car.</t>
  </si>
  <si>
    <t>the man stops and is again talking to the camera with the shovel on his hands.</t>
  </si>
  <si>
    <t>v_9KNOOoIK0zw</t>
  </si>
  <si>
    <t>A lady in a black tank top gives instruction on how to blow dry a girl's hair wearing a blue t-shirt.</t>
  </si>
  <si>
    <t>The hair stylist first places a liquid in her hand and rubs it into the models hair and then brushes clients hair.</t>
  </si>
  <si>
    <t>The lady in the black tank top uses the blow drier while combing the hair with a brush.</t>
  </si>
  <si>
    <t>Scenes of the finished product showing side views and back vies of the models hair.</t>
  </si>
  <si>
    <t>v_M9og58TMAm0</t>
  </si>
  <si>
    <t>A woman is seen moving up and down on an exercise bar while several shots are shown of her exercising.</t>
  </si>
  <si>
    <t>She's shown again holding weights and doing exercises while standing on the beam as well as laying.</t>
  </si>
  <si>
    <t>v_WUdefl_j2-8</t>
  </si>
  <si>
    <t>man is sitting on a seat of the car watching by the window.</t>
  </si>
  <si>
    <t>man is snowboarding on snowy slope making high jumps.</t>
  </si>
  <si>
    <t>men are in a dark room with pots.</t>
  </si>
  <si>
    <t>v_BVhUKjJrEw8</t>
  </si>
  <si>
    <t>Guys play polo sport on a dirt arena.</t>
  </si>
  <si>
    <t>v_-c71seS8bWk</t>
  </si>
  <si>
    <t>An intro leads into a fox news segment with two anchors speaking.</t>
  </si>
  <si>
    <t>A woman is then interviewed followed by several pictures of mushrooms and people speaking with one another.</t>
  </si>
  <si>
    <t>A doctor examines a man and interviews the camera followed by people using household products and interviewing the reporter.</t>
  </si>
  <si>
    <t>v_or7N8oeI-SY</t>
  </si>
  <si>
    <t>We see a lady sitting on the floor with a shoe, bucket of water, brush and soap.</t>
  </si>
  <si>
    <t>The lady shows us the items one at a time.</t>
  </si>
  <si>
    <t>We see an illustration of a thermometer.</t>
  </si>
  <si>
    <t>We see an illustration of a washer.</t>
  </si>
  <si>
    <t>The lady puts her shoe in the bucket and scrubs it with a the brush.</t>
  </si>
  <si>
    <t>She shows us the already cleaned shoe.</t>
  </si>
  <si>
    <t>We see a radiator illustration.</t>
  </si>
  <si>
    <t>The lady picks up the soap and we see an illustration of a shelf.</t>
  </si>
  <si>
    <t>The ending title screen plays.</t>
  </si>
  <si>
    <t>v_zjAZ7m8TQ3E</t>
  </si>
  <si>
    <t>A woman and her child are outside of a cabin sitting on a wooden table talking to one another.</t>
  </si>
  <si>
    <t>The camera then pans the cabin and a large mountain of snow is shown.</t>
  </si>
  <si>
    <t>After,the woman and her daughter are seen on a flat standing ski lift with large donut tubes following behind them.</t>
  </si>
  <si>
    <t>Once they are at the top,they get into the tubes and race to the bottom along with several other people who are also at the place.</t>
  </si>
  <si>
    <t>v_HGk9BqOuxCE</t>
  </si>
  <si>
    <t>A man is seen standing in front of a chalk board holding a musical instrument and transitioning to the chalk board every now and then.</t>
  </si>
  <si>
    <t>A person's hand is seen using an ipod followed by more shots of the person talking and writing on a paper.</t>
  </si>
  <si>
    <t>The man then plays the instrument as the camera captures him from several angles while pausing to speak.</t>
  </si>
  <si>
    <t>v_EjRE-fbECtg</t>
  </si>
  <si>
    <t>A man in white shirt and gray shorts is standing at the center of the court, while young people in black tops and black shorts are standing behind him.</t>
  </si>
  <si>
    <t>The young people where standing in a triangle form, the young man at the center start to perform by having his arms up then jump and do it again and some of the girls followed what he is doing.</t>
  </si>
  <si>
    <t>v_1o-Fx2dGfpc</t>
  </si>
  <si>
    <t>A woman is sitting down holding a violin.</t>
  </si>
  <si>
    <t>She lifts the violin up and starts playing it.</t>
  </si>
  <si>
    <t>She finishes and lowers the violin.</t>
  </si>
  <si>
    <t>v_H_Spgfds1iY</t>
  </si>
  <si>
    <t>A large group of people are seen walking into an office and interviewing a man on television.</t>
  </si>
  <si>
    <t>Many people are watching the interview and one man speaks to a woman angrily.</t>
  </si>
  <si>
    <t>The woman strikes the man and more people are seen walking around and talking.</t>
  </si>
  <si>
    <t>The people walk into a bar and begin playing pool and speaking.</t>
  </si>
  <si>
    <t>v_GYkKMTl-0Os</t>
  </si>
  <si>
    <t>A small group of women are seen standing around a kitchen with one stirring ingredients into a large pot.</t>
  </si>
  <si>
    <t>Another woman walks into frame when one woman pours more into the bowl and mixing it around.</t>
  </si>
  <si>
    <t>She hands a spoonful for a girl to try and another takes the bowl away from the table.</t>
  </si>
  <si>
    <t>v_kee3-2cw7-E</t>
  </si>
  <si>
    <t>A man is seen blindfolded while holding a stick and two others around him.</t>
  </si>
  <si>
    <t>The man then swings violently at the pinata as someone moves it higher and then drops the pinata right above his head.</t>
  </si>
  <si>
    <t>v__dLbtK8_SHo</t>
  </si>
  <si>
    <t>The video is about a tennis tutorial and drill by Edgar Giffenig.</t>
  </si>
  <si>
    <t>There are two lady tennis players on a clay court who are demonstrating how to throw the ball up high to the partner.</t>
  </si>
  <si>
    <t>The player is shuffling behind the net and turning the racquet upside down in between the shots.</t>
  </si>
  <si>
    <t>Then the players demonstrate another drill as they shuffle on the tennis court in between shots and returning the balls.</t>
  </si>
  <si>
    <t>The player bounces the ball back with the tip of the racquet handle.</t>
  </si>
  <si>
    <t>They continue playing while demonstrating the tennis drill.</t>
  </si>
  <si>
    <t>v_h1d-jcsWap8</t>
  </si>
  <si>
    <t>A person is seen peeling off potatoes into a box with pausing for a bit to speak to the camera.</t>
  </si>
  <si>
    <t>The person peels several potatoes and shows of a bowl full of potatoes while peeling even more.</t>
  </si>
  <si>
    <t>v_QCcueK6xiZ4</t>
  </si>
  <si>
    <t>A man is crouching on the ground, cleaning something.</t>
  </si>
  <si>
    <t>Several cars are parked in a parking lot.</t>
  </si>
  <si>
    <t>People are seeing washing the cars with soap and water.</t>
  </si>
  <si>
    <t>v_pV1b0Fs6qW8</t>
  </si>
  <si>
    <t>Three people are seen flying a kite in a field and text appears on the screen.</t>
  </si>
  <si>
    <t>A scary girl appears then leads into pictures of kids flying kites.</t>
  </si>
  <si>
    <t>v_ZBZUrC4M5E8</t>
  </si>
  <si>
    <t>A buff man steps into a circle and puts the shot put on this shoulder.</t>
  </si>
  <si>
    <t>The man then spins around and throws the ball into the field.</t>
  </si>
  <si>
    <t>Once completed,he puts on a large neon shirt.</t>
  </si>
  <si>
    <t>Another man approaches the cirle and does the samething as someone comes to the field and measure how far the ball went.</t>
  </si>
  <si>
    <t>The contestants then come back and begin talking to each other before their scores are shown.</t>
  </si>
  <si>
    <t>An aerial view is then provided,then the camera pans the crowd.</t>
  </si>
  <si>
    <t>v_MKLwNTbEK4E</t>
  </si>
  <si>
    <t>A close up of a poker table is shown followed by the camera panning around to other tables in the area as well as people playing.</t>
  </si>
  <si>
    <t>Several clips are shown of people sitting at tables gambling as well as laughing to the camera.</t>
  </si>
  <si>
    <t>More pictures are shown of people at the casino as well as video of them wandering around the area.</t>
  </si>
  <si>
    <t>v_bWYIL4KG8kM</t>
  </si>
  <si>
    <t>This girl is shown zooming in on people's teeth, eyes and other things on their face.</t>
  </si>
  <si>
    <t>Then she shows us the game of dodge ball is going.</t>
  </si>
  <si>
    <t>v_soGmSXFO7wI</t>
  </si>
  <si>
    <t>A man walks onto a field before a crowd, holding a heavy ball into the air.</t>
  </si>
  <si>
    <t>He spins, then throws the ball as far as he can.</t>
  </si>
  <si>
    <t>A woman and several others follow, doing the same.</t>
  </si>
  <si>
    <t>The winners celebrate, holding up flags and hugging joyfully.</t>
  </si>
  <si>
    <t>v_fgBFlwM466w</t>
  </si>
  <si>
    <t>A man is seen swimming in a pool holding various objects in his hands and showing how to put them on.</t>
  </si>
  <si>
    <t>He then swims down the pool with a breast stroke to the end and works his way back.</t>
  </si>
  <si>
    <t>v_Y-CZasxVlx4</t>
  </si>
  <si>
    <t>A girl holding a guitar talks to the camera.</t>
  </si>
  <si>
    <t>The girl plays the guitar as she sits on the sofa.</t>
  </si>
  <si>
    <t>The girl stops playing and talks to the camera again while demonstrating.</t>
  </si>
  <si>
    <t>v_AG6Rpvxxetg</t>
  </si>
  <si>
    <t>The video takes place in a gymnastics arena.</t>
  </si>
  <si>
    <t>A man is performing gymnastics on a beam while several others are watching.</t>
  </si>
  <si>
    <t>The man begins on the beam upside down.</t>
  </si>
  <si>
    <t>He then does several flips.</t>
  </si>
  <si>
    <t>The video ends as he performs a final flip and hops off the beam.</t>
  </si>
  <si>
    <t>v_VHUC47iq1Wg</t>
  </si>
  <si>
    <t>Several clips of cricketers are shown.</t>
  </si>
  <si>
    <t>In them a someone throws a ball at a player.</t>
  </si>
  <si>
    <t>Another player hits the ball with his bat.</t>
  </si>
  <si>
    <t>Another player then catches the ball.</t>
  </si>
  <si>
    <t>v__JE5T2RKZvo</t>
  </si>
  <si>
    <t>A woman is seen speaking to the camera and leads into her sanding down a board in several locations.</t>
  </si>
  <si>
    <t>She then sands more objects and shows off a large selection of tools she has.</t>
  </si>
  <si>
    <t>She hammers down the sides of the board and ends with her painting the board.</t>
  </si>
  <si>
    <t>v_EVSuDXeNUYQ</t>
  </si>
  <si>
    <t>The cheer leading team walked towards the stage, while in the audience, their teammates, who are wearing red and white uniforms are cheering.</t>
  </si>
  <si>
    <t>The team started their cheer dance, where women are stood up on the the men's hands, they did pinwheels, jumped in the air, held some banners in the air, jumped high in the air and fell on their teammate's arms.</t>
  </si>
  <si>
    <t>v_W80KSM1I47Q</t>
  </si>
  <si>
    <t>Video from the 1980's is shown.</t>
  </si>
  <si>
    <t>Celebrities play a game of tug of war outdoors.</t>
  </si>
  <si>
    <t>The team with Lou Ferrigno playing on it wins the contest.</t>
  </si>
  <si>
    <t>Ferrigno and other celebrities are interviewed.</t>
  </si>
  <si>
    <t>v_Q9Fw56ZvXq4</t>
  </si>
  <si>
    <t>A group of girls are outside underneath a tent.</t>
  </si>
  <si>
    <t>A girl wipes off a yellow plate with a towel.</t>
  </si>
  <si>
    <t>Three girls are washing dishes in large tubs.</t>
  </si>
  <si>
    <t>v_uwQDvcWzBy0</t>
  </si>
  <si>
    <t>A woman is seen speaking to the camera and leads into her putting several ingredients inside a mason jar.</t>
  </si>
  <si>
    <t>The woman uses tongs to layer items into the jar and then puts a lid on top.</t>
  </si>
  <si>
    <t>The woman puts a ribbon around the side as well as a label and smiles to the camera.</t>
  </si>
  <si>
    <t>v_UBDcmeET6ys</t>
  </si>
  <si>
    <t>Individuals are exercising on various equipment.</t>
  </si>
  <si>
    <t>A male and a female move back and forth.</t>
  </si>
  <si>
    <t>v_gf3JIm2C59g</t>
  </si>
  <si>
    <t>There's a middle aged couple demonstrating how to do ball room dancing.</t>
  </si>
  <si>
    <t>They are in a room with large mirrors on a wall and hardwood floors.</t>
  </si>
  <si>
    <t>They are showing how to move the foot back and forth in rhythm while twirling their hips.</t>
  </si>
  <si>
    <t>v_Atdxx_Pxnd4</t>
  </si>
  <si>
    <t>A cowboy runs out of a gate on a horse.</t>
  </si>
  <si>
    <t>He uses a lasso to rope a calf.</t>
  </si>
  <si>
    <t>He tries to tie up the calf, losing his rope.</t>
  </si>
  <si>
    <t>v_yhWw7oJrUFo</t>
  </si>
  <si>
    <t>A girl wearing a black blouse describes how to bake in a kitchen.</t>
  </si>
  <si>
    <t>The baker pours flour into a clear bowl using a measuring cup.</t>
  </si>
  <si>
    <t>The baker then scoops out four level tablespoons from a yellow container of cornstarch and ads it to the bowl of flour.</t>
  </si>
  <si>
    <t>The baker pours the flour and cornstarch mixture into a sifter and begins sifting the ingredients three times.</t>
  </si>
  <si>
    <t>v_nbgE4MAR0pc</t>
  </si>
  <si>
    <t>A person is seen running down a long track while holding a pole.</t>
  </si>
  <si>
    <t>The person pole volts over the beam onto a mat and is shown again in slow motion.</t>
  </si>
  <si>
    <t>v_1Y1pKGFm-pQ</t>
  </si>
  <si>
    <t>A young man puts lipstick on his lips.</t>
  </si>
  <si>
    <t>Two reporters talk in a TV set with audience.</t>
  </si>
  <si>
    <t>Then, the young man brush his face, then people in the audience talk.</t>
  </si>
  <si>
    <t>After, the young men shows his face with make up.</t>
  </si>
  <si>
    <t>v_Xi68dag0iGo</t>
  </si>
  <si>
    <t>A man dressed in army fatigues is playing bagpipes while other people watch.</t>
  </si>
  <si>
    <t>A woman is shown in the background dancing around as he plays.</t>
  </si>
  <si>
    <t>When he is finished claim he laughs and jokes with the other people.</t>
  </si>
  <si>
    <t>v_W4LIBSfe6bc</t>
  </si>
  <si>
    <t>A man does a tattoo on the waist area of a woman using a needle.</t>
  </si>
  <si>
    <t>The man cleans the area of the tattoo with a tissue.</t>
  </si>
  <si>
    <t>The man continues doing the tattoo and cleaning.</t>
  </si>
  <si>
    <t>v_ZuuY0xffLYE</t>
  </si>
  <si>
    <t>The image and label of the presenter or stylist is shown.</t>
  </si>
  <si>
    <t>The presenter styles a female client's hair.</t>
  </si>
  <si>
    <t>The presenter speaks directly into the camera.</t>
  </si>
  <si>
    <t>The client spins slowly on a chair to present her hair.</t>
  </si>
  <si>
    <t>The stylist wets the client's hair.</t>
  </si>
  <si>
    <t>The stylist parts the clients hair.</t>
  </si>
  <si>
    <t>The stylist uses a brush and a blow dryer to add volume, texture and curl to the client's hair.</t>
  </si>
  <si>
    <t>The stylist sprays the clients hair.</t>
  </si>
  <si>
    <t>The stylist uses his hand to position the bangs.</t>
  </si>
  <si>
    <t>The stylist use his hand to add a gel product to the client hair.</t>
  </si>
  <si>
    <t>The client spins slowly on the chair to show of her hair style.</t>
  </si>
  <si>
    <t>The stylist name and credits are shown.</t>
  </si>
  <si>
    <t>v_yJezvcXU4YE</t>
  </si>
  <si>
    <t>A man in a black vest is standing in a room.</t>
  </si>
  <si>
    <t>He throws darts at a dart board on the wall.</t>
  </si>
  <si>
    <t>A woman stands next to him watching.</t>
  </si>
  <si>
    <t>A man walks up and pulls the dart out of the board.</t>
  </si>
  <si>
    <t>v_tl2hDYGBfqU</t>
  </si>
  <si>
    <t>A "Finale Coppa Italia" beach soccer title screen appears featuring Sambenedettese and Catania.</t>
  </si>
  <si>
    <t>Men play professional soccer on a beach near the water.</t>
  </si>
  <si>
    <t>Players on the field celebrate a victory and pose for a photo.</t>
  </si>
  <si>
    <t>v_1RYEOaCeV4k</t>
  </si>
  <si>
    <t>A lawn mower is shown on the ground.</t>
  </si>
  <si>
    <t>A man starts the lawn mower and begins mowing the lawn.</t>
  </si>
  <si>
    <t>They finish mowing the lawn and the lawn is shown.</t>
  </si>
  <si>
    <t>v_c1Gby2EHBzs</t>
  </si>
  <si>
    <t>A man is seen holding a stick in his hands and speaking to the camera.</t>
  </si>
  <si>
    <t>The man attempts several times to hit the ball followed by him picking it up and hitting it off into the distance.</t>
  </si>
  <si>
    <t>v_G5gvb71BB5I</t>
  </si>
  <si>
    <t>A group of males are standing in a room getting dressed.</t>
  </si>
  <si>
    <t>All of a sudden,plenty of women and beach activities including swimming,volleyball and drinking are shown.</t>
  </si>
  <si>
    <t>Next,the man reappears but he is joined by teammates playing a game of beach soccer in a stadium surrounded by people.</t>
  </si>
  <si>
    <t>One team wins and they are shown bringing home their trophy and cheering and then it goes back to showing the rest of the team competing.</t>
  </si>
  <si>
    <t>v_jml_hnhjltg</t>
  </si>
  <si>
    <t>A woman is seen carrying a snow blower and pushing it along a path.</t>
  </si>
  <si>
    <t>The woman continues pushing the snow blowing along the snow with the camera following her movements.</t>
  </si>
  <si>
    <t>She moves back and fourth while stopping to speak to the camera and continue moving.</t>
  </si>
  <si>
    <t>v_Bhz-WgJH8R0</t>
  </si>
  <si>
    <t>A group of skiers are riding down a hill.</t>
  </si>
  <si>
    <t>They split their line and create multiple lines.</t>
  </si>
  <si>
    <t>They split again to make 4 different lines.</t>
  </si>
  <si>
    <t>The all being and finish at the same time.</t>
  </si>
  <si>
    <t>v_DqHWMWY-r1o</t>
  </si>
  <si>
    <t>A person throw a heavy in an stadium full of people, then people measure where the ball landed.</t>
  </si>
  <si>
    <t>Then, the man walks while reporters and cameramen follow him on the field.</t>
  </si>
  <si>
    <t>After, the man puts on a long sleeve shirt while a cameraman film him.</t>
  </si>
  <si>
    <t>v_qHu0fz_anTQ</t>
  </si>
  <si>
    <t>A woman is standing at a table with a pile of scissors and supplies.</t>
  </si>
  <si>
    <t>She demonstrates how to cut cellophane and wrap it around a gift.</t>
  </si>
  <si>
    <t>She ties a string around the gift, showing off the final product.</t>
  </si>
  <si>
    <t>v_makIgB4X3q8</t>
  </si>
  <si>
    <t>A girl in a ponytail is speaking.</t>
  </si>
  <si>
    <t>The girl with her hair down is speaking in a bathroom and places her hand on the sink.</t>
  </si>
  <si>
    <t>The girl turns on the faucet to wet her toothbrush.</t>
  </si>
  <si>
    <t>The girl turns off the faucet, unscrews the toothpaste, and puts some toothpaste on her toothbrush.</t>
  </si>
  <si>
    <t>The girl brushes her teeth and spit in the sink.</t>
  </si>
  <si>
    <t>The girl rinse her toothbrush and places on the side of the sink.</t>
  </si>
  <si>
    <t>The credits of the video are shown on images of the video.</t>
  </si>
  <si>
    <t>v_I5QbY8vlR54</t>
  </si>
  <si>
    <t>People are surfing behind the giant wave.</t>
  </si>
  <si>
    <t>The surfer maintains his balance as he surfs and goes beneath a second wave.</t>
  </si>
  <si>
    <t>v_FNB1BMEtIvw</t>
  </si>
  <si>
    <t>We see the opening screen and we see landscapes and a sword.</t>
  </si>
  <si>
    <t>We see a lady talking, then a man.</t>
  </si>
  <si>
    <t>We see lots of people snowboarding.</t>
  </si>
  <si>
    <t>Two people shake hands on the landing.</t>
  </si>
  <si>
    <t>A man in a black room is interviewed then we see a man outside talking.</t>
  </si>
  <si>
    <t>People high five and we see a lady talking.</t>
  </si>
  <si>
    <t>A lady throws her arms in the air, people being sprayed, and a man with a sword.</t>
  </si>
  <si>
    <t>v_M7MDkkGdkas</t>
  </si>
  <si>
    <t>A woman is talking to a camera inside a kitchen.</t>
  </si>
  <si>
    <t>She turns on water, showing how to properly soap her hands.</t>
  </si>
  <si>
    <t>She then rinses and dries them.</t>
  </si>
  <si>
    <t>v_reEjJfSUGa8</t>
  </si>
  <si>
    <t>The biker is cycling and jumping over the big ramps.</t>
  </si>
  <si>
    <t>The biker jumps in the ramp with his bike in front up.</t>
  </si>
  <si>
    <t>Four bikers raced and jumped over the ramps, the biker in white is leading in the race.</t>
  </si>
  <si>
    <t>v_wvewX55VADs</t>
  </si>
  <si>
    <t>A man and a woman are standing in front of the camera and a woman shows how to properly perform the tango.</t>
  </si>
  <si>
    <t>She moves her feet in arms in a particular motion while the man does the same from a different angle.</t>
  </si>
  <si>
    <t>The man and woman finally piece together their instructions and perform the tango moves together.</t>
  </si>
  <si>
    <t>v_Lt6waJFJWI0</t>
  </si>
  <si>
    <t>The players are holding a flat bat and running towards the balls.</t>
  </si>
  <si>
    <t>The players bounced the balls on the bat, some of them picked up the balls from the ground using the bat.</t>
  </si>
  <si>
    <t>The girl in blue jacket bounced the ball on her bat and she walked forward, but the ball fall on the ground.</t>
  </si>
  <si>
    <t>A girl in the black vest is picking up the ball from the ground using her bat.</t>
  </si>
  <si>
    <t>Two girls walked normally without chasing the balls.</t>
  </si>
  <si>
    <t>A girl on the field is trying to pick up the ball.</t>
  </si>
  <si>
    <t>The players are lined up and ready to pick up the balls from the ground using their bats.</t>
  </si>
  <si>
    <t>The players started to bounce their balls on their bat while running forward, some of the balls fell down on the ground and the players have to pick them up using the bat.</t>
  </si>
  <si>
    <t>v_8CAvjawFn3w</t>
  </si>
  <si>
    <t>A man is on a galloping horse back riding for sport.</t>
  </si>
  <si>
    <t>Horse back riding is considered to be a sport, a fun one but still work.</t>
  </si>
  <si>
    <t>Like working with a team you have to work with a horse also, you have to communicate with a horse that doesn't speak.</t>
  </si>
  <si>
    <t>Make it know when you need to go faster, when it needs to jump and such.</t>
  </si>
  <si>
    <t>v_esZMkzlZiuY</t>
  </si>
  <si>
    <t>A small group of people are seen pushing a ball along the water and scoring into the goal.</t>
  </si>
  <si>
    <t>The people continue playing with the ball and swimming along the water.</t>
  </si>
  <si>
    <t>The ball is passed another to score a goal and then the game continues on.</t>
  </si>
  <si>
    <t>v_DOONG5zq1Yg</t>
  </si>
  <si>
    <t>A woman is seen kneeling down on a yoga mat while bending forward.</t>
  </si>
  <si>
    <t>The woman then moves her leg out in front of her and bends down further creating a stretch.</t>
  </si>
  <si>
    <t>v_pspJX3Lyys0</t>
  </si>
  <si>
    <t>An athlete is seen spinning around and throwing a discuss while men on the field run to track his score.</t>
  </si>
  <si>
    <t>The athlete walks away and another steps up and throws the discuss.</t>
  </si>
  <si>
    <t>Several more people step up to throw the object and ends with one athlete winning and walking away.</t>
  </si>
  <si>
    <t>v_A_Rh4tMM2xY</t>
  </si>
  <si>
    <t>There are two kids on the swing set while two old ladies standing beside them swinging them.</t>
  </si>
  <si>
    <t>The old lady in pink top went away, while the other old woman in purple continues to swing the boy.</t>
  </si>
  <si>
    <t>The old lady in pink shirt went back with a piece of paper to fan some air on her, while a little kid is walking towards the front of the bench.</t>
  </si>
  <si>
    <t>The old lady in purple continues to swing the boy, while the old lady in pink top stood and rest her back on the red bar of the swing.</t>
  </si>
  <si>
    <t>The lady in pink top came in front of the other boy with white shirt, and talked to him, started to push him on the swing, give him a kiss and continue to swing him from the side of the swing.</t>
  </si>
  <si>
    <t>The littler girl near the bench sat to pick up something from the blue ground.</t>
  </si>
  <si>
    <t>v_cjS2B52jBbU</t>
  </si>
  <si>
    <t>A man wearing glasses is on a stage.</t>
  </si>
  <si>
    <t>He throws darts at a board, trying to hit the target while the crowd claps.</t>
  </si>
  <si>
    <t>Another competitor appears, doing the same.</t>
  </si>
  <si>
    <t>The winner walks onto the stage as camera flash, celebrating.</t>
  </si>
  <si>
    <t>v_2wC0d2XUses</t>
  </si>
  <si>
    <t>Two kids are seen playing a game of shuffleboard on the side of a boat while the camera watches.</t>
  </si>
  <si>
    <t>The kids continue taking turns while running up and down the path on the boat.</t>
  </si>
  <si>
    <t>v_GkPmeXaNY0s</t>
  </si>
  <si>
    <t>A doctor is speaking while a nurse sits next to him in a medical office.</t>
  </si>
  <si>
    <t>He holds up a bottle of cleanser, and uses a rag to wipe it onto the woman's face, before wiping it clean again.</t>
  </si>
  <si>
    <t>It is also rubbed into her hands.</t>
  </si>
  <si>
    <t>v_9DIDpTlfBWs</t>
  </si>
  <si>
    <t>A chef is standing in front of a table and begins turning on a stove with a pan on it.</t>
  </si>
  <si>
    <t>The man then mixes various ingredients together and finally putting the ingredients on the stove top.</t>
  </si>
  <si>
    <t>He finishes the plate by making an omelette and serves it on a plate and cuts it up.</t>
  </si>
  <si>
    <t>v_InwY966XXBY</t>
  </si>
  <si>
    <t>people are in a camp with a lot of camels sitting on the floor.</t>
  </si>
  <si>
    <t>a men is riding a camel and starts walking in the dessert passing by the piramids while a man is leading them with a rope.</t>
  </si>
  <si>
    <t>the camels stops and a man is taking a picture.</t>
  </si>
  <si>
    <t>men are riding camels in the dessert.</t>
  </si>
  <si>
    <t>v_zJNYqTVWqyY</t>
  </si>
  <si>
    <t>We see a small dog in a bathtub with the title over the top.</t>
  </si>
  <si>
    <t>A person wets the dog and puts shampoo on it.</t>
  </si>
  <si>
    <t>The person washes the dog with their hands.</t>
  </si>
  <si>
    <t>They stand the dog up and wash him.</t>
  </si>
  <si>
    <t>They rinse the soap off the dog.</t>
  </si>
  <si>
    <t>We see the wet little dog from above.</t>
  </si>
  <si>
    <t>v_pi2AaadXnnI</t>
  </si>
  <si>
    <t>A woman is cleaning clothes on a table.</t>
  </si>
  <si>
    <t>She pours a bucket of water onto the clothing.</t>
  </si>
  <si>
    <t>She picks up a brush and scrubs the clothing.</t>
  </si>
  <si>
    <t>She pours more water onto the clothing.</t>
  </si>
  <si>
    <t>She picks up the clothing and sets it next to her.</t>
  </si>
  <si>
    <t>v_MinmayCk2Nk</t>
  </si>
  <si>
    <t>We see a male gymnast prepare to use the pommel horse.</t>
  </si>
  <si>
    <t>The man mounts the pommel horse and spins his legs around it.</t>
  </si>
  <si>
    <t>The man takes a bow and starts walking away.</t>
  </si>
  <si>
    <t>v_P06Slwn3JG0</t>
  </si>
  <si>
    <t>A girl stands in a yard holding a rake.</t>
  </si>
  <si>
    <t>The girl rakes the leaves in a pile.</t>
  </si>
  <si>
    <t>the girl walks to a trampoline and gets a different rake and rakes the leaves in a circle.</t>
  </si>
  <si>
    <t>the girl put the rake back on the trampoline and talks to the camera.</t>
  </si>
  <si>
    <t>the girl jumps in, rolls around and throws the leaves around before standing and talking to the camera.</t>
  </si>
  <si>
    <t>v_JB3h1trZ1cE</t>
  </si>
  <si>
    <t>A man in a suit is talking into a microphone.</t>
  </si>
  <si>
    <t>People are water skiing in the water.</t>
  </si>
  <si>
    <t>A man falls down and is dragged by the boat through the water.</t>
  </si>
  <si>
    <t>A man turns around while water skiing and holds the rope with his foot.</t>
  </si>
  <si>
    <t>He crashes and falls into the water.</t>
  </si>
  <si>
    <t>v_xootaiXcXZw</t>
  </si>
  <si>
    <t>Two men are doing Capoeira surrounded by a circle of people.</t>
  </si>
  <si>
    <t>The men take a break and being to perform for the people again.</t>
  </si>
  <si>
    <t>They shake hands and leave the circle allowing two other men to enter the circle.</t>
  </si>
  <si>
    <t>A man in blue and a man in grey greet each other in the middle of the circle.</t>
  </si>
  <si>
    <t>The other two men begin to perform Capoeira for the crowd.</t>
  </si>
  <si>
    <t>v_xwu60huH3ds</t>
  </si>
  <si>
    <t>We see people grooming various dogs.</t>
  </si>
  <si>
    <t>We see a man fluff the fur on a large dog.</t>
  </si>
  <si>
    <t>We see a man blow dry a dog.</t>
  </si>
  <si>
    <t>We see a large black dog being blow dried.</t>
  </si>
  <si>
    <t>A man combs a dogs hair straight up.</t>
  </si>
  <si>
    <t>We see two dark ending screens.</t>
  </si>
  <si>
    <t>v_2WKy0FvMtCM</t>
  </si>
  <si>
    <t>`A cookie is shown on a plate.</t>
  </si>
  <si>
    <t>Ingredients are being added to a glass bowl and being mixed together.</t>
  </si>
  <si>
    <t>Chocolate chips are added to the dough.</t>
  </si>
  <si>
    <t>The dough is flattened out onto a cookie sheet.</t>
  </si>
  <si>
    <t>Chocolate is drizzled over the top.</t>
  </si>
  <si>
    <t>Candies are placed on top of the cookie.</t>
  </si>
  <si>
    <t>The cookie is cut and placed on a plate.</t>
  </si>
  <si>
    <t>A fork is shown eating the cookie.</t>
  </si>
  <si>
    <t>v_wZZUcxhISyE</t>
  </si>
  <si>
    <t>A woman is sitting in a booth.</t>
  </si>
  <si>
    <t>Her little girl shoves a vanilla ice cream cone in her face and laughs.</t>
  </si>
  <si>
    <t>The girl continues doing it, and the woman has to wipes her mouth and nose several times.</t>
  </si>
  <si>
    <t>v_5rlLaok_U5M</t>
  </si>
  <si>
    <t>The player serves the birdie to start the match.</t>
  </si>
  <si>
    <t>Two teams compete in a badminton game in gymnasium.</t>
  </si>
  <si>
    <t>The teams have a long volley during the game.</t>
  </si>
  <si>
    <t>The player spikes the birdie down hard and scores a point.</t>
  </si>
  <si>
    <t>v_Z-UR8n33TWc</t>
  </si>
  <si>
    <t>A sumo warrior is shown holding a pager.</t>
  </si>
  <si>
    <t>A larger sumo warrior is shown holding another pager.</t>
  </si>
  <si>
    <t>The sumo warriors face off and the larger one sits on and makes the smaller one disappear.</t>
  </si>
  <si>
    <t>v_c7SweMMGQE8</t>
  </si>
  <si>
    <t>A camera pans around a picture of a horse followed by a person brushing and vacuuming hair off of a horse.</t>
  </si>
  <si>
    <t>The person continues brushing and vacuuming the hair and ending with the picture of the two together.</t>
  </si>
  <si>
    <t>v_vJkL_4niC4w</t>
  </si>
  <si>
    <t>a man and a woman are sitting in front of a piano playing it together.</t>
  </si>
  <si>
    <t>people are gathered around the piano watching the people sitting on the piano.</t>
  </si>
  <si>
    <t>people on the piano stands and change the position in fornt of the piano.</t>
  </si>
  <si>
    <t>v_6GIWY4-491k</t>
  </si>
  <si>
    <t>A man dressed in winter gear is sitting out in winter on a frozen lake.</t>
  </si>
  <si>
    <t>He is sitting there with fishing equipment fishing on the frozen lake.</t>
  </si>
  <si>
    <t>He uses a bait to fish and catches a mid size gray fish.</t>
  </si>
  <si>
    <t>He shows the two fish that he has caught.</t>
  </si>
  <si>
    <t>Then he puts his fishing net in a hole in the lake and continues fishing.</t>
  </si>
  <si>
    <t>He catches another dark gray fish and tosses it in his box.</t>
  </si>
  <si>
    <t>He continues fishing and catches more fish in that same hole.</t>
  </si>
  <si>
    <t>He collects the fish in a white bucket.</t>
  </si>
  <si>
    <t>v_BH9zsAu6OMQ</t>
  </si>
  <si>
    <t>A woman stands on a track.</t>
  </si>
  <si>
    <t>She bends over on the track.</t>
  </si>
  <si>
    <t>She then runs down the track.</t>
  </si>
  <si>
    <t>She jumps and lands in the sand.</t>
  </si>
  <si>
    <t>v_3oS_28utt2Y</t>
  </si>
  <si>
    <t>A man is sitting on a wave runner in the water.</t>
  </si>
  <si>
    <t>A person is surfing on a large wave in the water.</t>
  </si>
  <si>
    <t>The wave crashes over the surfer.</t>
  </si>
  <si>
    <t>v_HYYQ56oZSDM</t>
  </si>
  <si>
    <t>A woman and man dancing provocatively outside of a restaurant.</t>
  </si>
  <si>
    <t>She is wearing a very sexy short dress and kicking her legs up and down in heels.</t>
  </si>
  <si>
    <t>People are walking out od the restaurant.</t>
  </si>
  <si>
    <t>One of the workers is sitting on a stool smoking until they end their dance on the ground.</t>
  </si>
  <si>
    <t>v_5N-PfYLyCpI</t>
  </si>
  <si>
    <t>Several people are hitting an instrument with sticks.</t>
  </si>
  <si>
    <t>Two men do flips in front of each other.</t>
  </si>
  <si>
    <t>Several more groups of people appear to be doing some kind of martial arts dance.</t>
  </si>
  <si>
    <t>They are surronded by clapping onlookers.</t>
  </si>
  <si>
    <t>v_ZbfYwmb39H0</t>
  </si>
  <si>
    <t>A man is seen standing in front of a goal holding a stick and speaking to the camera.</t>
  </si>
  <si>
    <t>Several shots of him speaking are shown and he demonstrates how to properly be a goalie.</t>
  </si>
  <si>
    <t>He moves back and fourth a bit while moving the stick while still holding his arms up and speaking to the camera.</t>
  </si>
  <si>
    <t>v_oKdzcTnENks</t>
  </si>
  <si>
    <t>A little boy is playing hop scotch on the pavement.</t>
  </si>
  <si>
    <t>There is a truck behind him.</t>
  </si>
  <si>
    <t>He doesn't really play it right.</t>
  </si>
  <si>
    <t>He jumps on all of the numbers.</t>
  </si>
  <si>
    <t>He kind of runs through the game.</t>
  </si>
  <si>
    <t>v_opxLlaEPxqw</t>
  </si>
  <si>
    <t>An athlete is seen standing ready holding a javelin and throwing it off into the distance.</t>
  </si>
  <si>
    <t>Several more people are seen throwing a javelin with their throw being shown again afterwards.</t>
  </si>
  <si>
    <t>The camera pans around the woman in the end and shows off their score.</t>
  </si>
  <si>
    <t>v_VTbMcI6nw54</t>
  </si>
  <si>
    <t>A man talks about coaching gymnastics.</t>
  </si>
  <si>
    <t>A girl starts to do a routine on the uneven bars.</t>
  </si>
  <si>
    <t>v_Hs1fGDcU6Js</t>
  </si>
  <si>
    <t>A man is seen kneeling on the floor and speaking to the camera.</t>
  </si>
  <si>
    <t>The man then flips over and begins doing leg exercises.</t>
  </si>
  <si>
    <t>His moves his body all around demonstrating proper exercises while still looking over and speaking to the camera.</t>
  </si>
  <si>
    <t>v_xBGgX2PqAo8</t>
  </si>
  <si>
    <t>A man sets up a camera in a bar.</t>
  </si>
  <si>
    <t>The man then talks to the camera.</t>
  </si>
  <si>
    <t>The man shoots pool alone.</t>
  </si>
  <si>
    <t>The bearded man walks past the table.</t>
  </si>
  <si>
    <t>The man finishes and talks to the camera before turning it off.</t>
  </si>
  <si>
    <t>v_pvFviIF1VGc</t>
  </si>
  <si>
    <t>A person pours water to a cup.</t>
  </si>
  <si>
    <t>A woman talks in a bar showing liquor bottles.</t>
  </si>
  <si>
    <t>Then, the woman put ice in a glass, then she adds liquors from three bottles.</t>
  </si>
  <si>
    <t>After, the woman add soda and put a straw.</t>
  </si>
  <si>
    <t>v_OzAqwPQ-APY</t>
  </si>
  <si>
    <t>A diver is in the ocean in the keys of florida, he has a a pumpkin in his hand.</t>
  </si>
  <si>
    <t>He goes down with another diver and they begin carving the pumpkins underneath the water.</t>
  </si>
  <si>
    <t>They are craving about five or six of them making different faces.</t>
  </si>
  <si>
    <t>Then they line them up and put some light inside or something as fish swim around them casually.</t>
  </si>
  <si>
    <t>v_tjDOXnDswdA</t>
  </si>
  <si>
    <t>A person's hands are seen holding a rube and spinning it around.</t>
  </si>
  <si>
    <t>The person turns the cube all over it's sides while attempting to solve the puzzle.</t>
  </si>
  <si>
    <t>The man connects all the sides and shows it to the camera.</t>
  </si>
  <si>
    <t>v_pHq6Eb280uM</t>
  </si>
  <si>
    <t>A close up of a fooseball table is seen followed by people holding onto the sides.</t>
  </si>
  <si>
    <t>The people play the game back and fourth while the camera captures their movements.</t>
  </si>
  <si>
    <t>The men continue playing on the table and the video fades to white.</t>
  </si>
  <si>
    <t>v_l9XzNcLiMKc</t>
  </si>
  <si>
    <t>A man and a woman are standing at the counter of a kitchen.</t>
  </si>
  <si>
    <t>They pour ingredients into a large bowl and mix it together.</t>
  </si>
  <si>
    <t>They pour the mixture into two round pans.</t>
  </si>
  <si>
    <t>They then take the cakes and stack them together with frosting in between.</t>
  </si>
  <si>
    <t>They eat the cake at the end.</t>
  </si>
  <si>
    <t>v_JZ9mgVXPD-I</t>
  </si>
  <si>
    <t>A young man plays drums on a stage with lights dancing in the background.</t>
  </si>
  <si>
    <t>He finishes and stands up playing air drums.</t>
  </si>
  <si>
    <t>v_lSbbzsOjwno</t>
  </si>
  <si>
    <t>A young girl is seen scrubbing a small dog down with soap next to a tub full of water.</t>
  </si>
  <si>
    <t>She pours more soap onto the dog and drags him over and leads into pictures of the dog all cleaned.</t>
  </si>
  <si>
    <t>v_Vh8RINfopdk</t>
  </si>
  <si>
    <t>A person applies paint designs to a red fingernail on a plastic hand with a flexible black limb labeled "nail trainer".</t>
  </si>
  <si>
    <t>A brown plastic hand with a black plastic arm appears with white fingernail tips and red fingernails.</t>
  </si>
  <si>
    <t>A person's real hand appears and begins to apply white designs on one of the red fingernails on the plastic hand.</t>
  </si>
  <si>
    <t>The scene then fades to a closeup of one finished red fingernail with a complete white design from the plastic hand.</t>
  </si>
  <si>
    <t>v_vu65aIIJHtU</t>
  </si>
  <si>
    <t>Cars are driving on a road.</t>
  </si>
  <si>
    <t>People get back into their car and put the snowboard on top of the car.</t>
  </si>
  <si>
    <t>v_XuSWH1lfcvI</t>
  </si>
  <si>
    <t>A man is seen standing before a set of uneven bars with his arms up.</t>
  </si>
  <si>
    <t>He then jumps up on the beam and swings himself around.</t>
  </si>
  <si>
    <t>The man continues to swing around on the bars and ends by jumping off the side and walking away.</t>
  </si>
  <si>
    <t>v_nwpz-KGn46A</t>
  </si>
  <si>
    <t>She then is shown performing several different exercises as well as riding on a bicycle and leading a class.</t>
  </si>
  <si>
    <t>More shots of her are shown riding on the bike and wearing a headset to speak to others.</t>
  </si>
  <si>
    <t>v_a5WhYgyH_C0</t>
  </si>
  <si>
    <t>A man in a pink shirt is holding a cord in his hand.</t>
  </si>
  <si>
    <t>He starts vacuuming the carpet in front of him.</t>
  </si>
  <si>
    <t>v_y4Y8gD1mpTw</t>
  </si>
  <si>
    <t>A woman is doing a tutorial on how to do water marble nails using water.</t>
  </si>
  <si>
    <t>She uses a nail polish brush and dips it in water.</t>
  </si>
  <si>
    <t>She gives the instructions on how to start with a base coat of nail polish.</t>
  </si>
  <si>
    <t>Then she puts drops of different colored nail polish on the water surface.</t>
  </si>
  <si>
    <t>Then she dips her nail into that paint.</t>
  </si>
  <si>
    <t>She cleans off any excess nail polish that has smeared on the side of the nails with a paint brush and Q-tip.</t>
  </si>
  <si>
    <t>She finally shares information about herself and her social media accounts.</t>
  </si>
  <si>
    <t>v_ZoKode_Gexg</t>
  </si>
  <si>
    <t>A woman is in a kitchen, wearing a dress and pregnant.</t>
  </si>
  <si>
    <t>She is washing dishes in the sink and talking to the person with the camera.</t>
  </si>
  <si>
    <t>She smiles as the camera zooms in on her right eye.</t>
  </si>
  <si>
    <t>v_djQnCU5MNJg</t>
  </si>
  <si>
    <t>A woman swings on a swing set.</t>
  </si>
  <si>
    <t>A baby swings beside her.</t>
  </si>
  <si>
    <t>They are both wearing red.</t>
  </si>
  <si>
    <t>The woman looks happy to swing.</t>
  </si>
  <si>
    <t>v_xE43h7Kd9Oc</t>
  </si>
  <si>
    <t>Two boys are standing in a living room next to a tree and begin taking ornaments out of two plastic bins and decorating the tree.</t>
  </si>
  <si>
    <t>As the boys continue,the outside of the house is shown as rain comes thundering down.</t>
  </si>
  <si>
    <t>After,the boys receive help from a male and puts the tree topper on.</t>
  </si>
  <si>
    <t>Once that is finished,the young boys hug and kiss each other and the finish product of the tree is shown.</t>
  </si>
  <si>
    <t>v_wfc_R5VnoHU</t>
  </si>
  <si>
    <t>Several animated people are in the water.</t>
  </si>
  <si>
    <t>Two people in scuba gear stand on the ledge of a platform while two other people watch from a platform above.</t>
  </si>
  <si>
    <t>The two people in scuba gear jump in the water.</t>
  </si>
  <si>
    <t>One person in scuba gear holds on to the other person in scuba gear and does something to her tank.</t>
  </si>
  <si>
    <t>One person pushes the other one away.</t>
  </si>
  <si>
    <t>Several people in scuba gear gather with one person still in the background.</t>
  </si>
  <si>
    <t>The people in scuba gear struggle and one persons mask floats away.</t>
  </si>
  <si>
    <t>v_oEdRUyN6Kfo</t>
  </si>
  <si>
    <t>A large black dog and a little girl in a white blouse carries two hoolahoops in the living room.</t>
  </si>
  <si>
    <t>The little girl holds a hoola hoop in front of the dog and the dog walks through the hoolahoop.</t>
  </si>
  <si>
    <t>The little girl spins the other hoola hoop around her waste and spins it 10 or 12 times.</t>
  </si>
  <si>
    <t>The little girl walks up to the black dog and lets the dog lick her hand.</t>
  </si>
  <si>
    <t>v_SBJWn8AjK-4</t>
  </si>
  <si>
    <t>Five boys are shown walking in a playground.</t>
  </si>
  <si>
    <t>The boys get onto the swings and begin to show how to do tricks.</t>
  </si>
  <si>
    <t>For the finale, all five guys get onto the swings and perform a back flip.</t>
  </si>
  <si>
    <t>v_srSwfib_ogk</t>
  </si>
  <si>
    <t>A young woman gets in position to perform with a baton.</t>
  </si>
  <si>
    <t>She performs a gymnastics and twirling routine.</t>
  </si>
  <si>
    <t>She does cartwheels as part of her routine.</t>
  </si>
  <si>
    <t>She drops the baton, but picks it back up and continues with the routine.</t>
  </si>
  <si>
    <t>She loses her balance but is able to recover.</t>
  </si>
  <si>
    <t>v_mWj6lO9PZCs</t>
  </si>
  <si>
    <t>A woman is seen pushing a lawn mower across some grass while speaking to the camera.</t>
  </si>
  <si>
    <t>The camera zooms in on plants in the yard and continues to follow the woman around as she cuts the grass.</t>
  </si>
  <si>
    <t>The camera wanders through a bunch of plants and trees in the end.</t>
  </si>
  <si>
    <t>v_rVLkm3MLzns</t>
  </si>
  <si>
    <t>A man in ski gear is standing on a snowy hill.</t>
  </si>
  <si>
    <t>He and others begin skiing down the slopes, kicking up snow and traveling through tunnels.</t>
  </si>
  <si>
    <t>v_CvkyjR4yk60</t>
  </si>
  <si>
    <t>men are working in a tablein the background, a man in the center of the room start walking in circles and make break dance, a screen hanging is playing a rap video.</t>
  </si>
  <si>
    <t>the screen is playing a video and the credits are in the right side.</t>
  </si>
  <si>
    <t>v_0lYwrXV1R3A</t>
  </si>
  <si>
    <t>A hockey player is injured and is helped up from the ice by the coach.</t>
  </si>
  <si>
    <t>The hockey player is escorted from the ice by the coach.</t>
  </si>
  <si>
    <t>A replay shows the hockey player being hit in the face by the puck and he falls to the ice.</t>
  </si>
  <si>
    <t>The teams stand together around a circle and face off to start the match.</t>
  </si>
  <si>
    <t>Hockey player play a game and skate around the ice passing back and forth.</t>
  </si>
  <si>
    <t>v_P0A0rMgjXGQ</t>
  </si>
  <si>
    <t>We see water on an opening screen.</t>
  </si>
  <si>
    <t>A man is measuring and cutting carpet while kneeling.</t>
  </si>
  <si>
    <t>The man adds a strip and puts a tool in the seam.</t>
  </si>
  <si>
    <t>The man runs a black item over the seam repeatedly then stands.</t>
  </si>
  <si>
    <t>v_IYbnF7LM2II</t>
  </si>
  <si>
    <t>Two men are seen running around an enclosed room holding tennis rackets and hitting a ball around the room.</t>
  </si>
  <si>
    <t>The men continue hitting the ball around the room while the camera continues to follow their movements.</t>
  </si>
  <si>
    <t>v_pS-BoCsMcpQ</t>
  </si>
  <si>
    <t>Men are swimming more or less in sync with the volleyballs.</t>
  </si>
  <si>
    <t>They stop and get a in a circle in the pool and start throwing the ball between each other.</t>
  </si>
  <si>
    <t>After that they start to swim and throw for a little bit.</t>
  </si>
  <si>
    <t>After, they put it all together and every one joins in to play.</t>
  </si>
  <si>
    <t>v_ok6LTNirAPo</t>
  </si>
  <si>
    <t>A child sitting at restaurant table places his hands in a dessert.</t>
  </si>
  <si>
    <t>The child uses his hands to eat the food.</t>
  </si>
  <si>
    <t>The adult keeps the child from spilling the food on the floor and helps feed him.</t>
  </si>
  <si>
    <t>v_vWz90CichbM</t>
  </si>
  <si>
    <t>The video starts showing the company logo for a roofing company.</t>
  </si>
  <si>
    <t>A voice is heard reciting the steps to applying ridges on a roof.</t>
  </si>
  <si>
    <t>As the voice recites the steps, an older man is shown on video performing these steps to a roof.</t>
  </si>
  <si>
    <t>As the voice says the steps are complete, the final shot shows a close up of the completed ridges.</t>
  </si>
  <si>
    <t>The video ends with the company logo.</t>
  </si>
  <si>
    <t>v_UoX2xhYPD38</t>
  </si>
  <si>
    <t>A young man is washing clothes inside a bathroom sink as he talks to the camera.</t>
  </si>
  <si>
    <t>Initially he starts to wash the clothes with both hands.</t>
  </si>
  <si>
    <t>Afterwards he adds more soap using two different bottles to the sink.</t>
  </si>
  <si>
    <t>Subsequently he keeps washing the clothes as he talks to the camera.</t>
  </si>
  <si>
    <t>v_NKNgAE07TIQ</t>
  </si>
  <si>
    <t>A man wearing a black shirts with a graphic design is seated near a table with liquor bottles and a shaker.</t>
  </si>
  <si>
    <t>He is a demonstrating how to make a seasonal alcoholic drink.</t>
  </si>
  <si>
    <t>He picks up the liquor bottles that he will be using for the drinks.</t>
  </si>
  <si>
    <t>He uses the jigger to measure and then pour the necessary ingredients into the shaker.</t>
  </si>
  <si>
    <t>He then adds some cream to the mixture.</t>
  </si>
  <si>
    <t>He adds a few cubes of ice into the shaker.</t>
  </si>
  <si>
    <t>Then he shakes beverage vigorously and pours into a conical glass.</t>
  </si>
  <si>
    <t>He then tops the drink with whipped cream from a can and puts a cherry on the top.</t>
  </si>
  <si>
    <t>He gives information about his Facebook page and other details.</t>
  </si>
  <si>
    <t>v_3lla2AaJgNA</t>
  </si>
  <si>
    <t>A woman is using an iron on a board.</t>
  </si>
  <si>
    <t>She is showing how to iron baby clothes.</t>
  </si>
  <si>
    <t>She flips the clothing, buttoning it up as she goes.</t>
  </si>
  <si>
    <t>v_dsgQVrJi71g</t>
  </si>
  <si>
    <t>A man plugs a mowing machine, then he pushes the mower to cut the grass in a backyard.</t>
  </si>
  <si>
    <t>After, the man cuts the grass on the borders with garden scissors.</t>
  </si>
  <si>
    <t>v_lcwR7eA-VOY</t>
  </si>
  <si>
    <t>Two wrestlers are up on a ring arguing.</t>
  </si>
  <si>
    <t>The referee stands by, instructing them on what to do.</t>
  </si>
  <si>
    <t>They finally get to the arm wrestling.</t>
  </si>
  <si>
    <t>The crowd around them cheers on.</t>
  </si>
  <si>
    <t>A guy jumps onto the ring and begins to fight with one of the wrestlers.</t>
  </si>
  <si>
    <t>The man leaves the ring and the wrestler approaches the other wrestler and beats him to the ground.</t>
  </si>
  <si>
    <t>The wrestler celebrates his win.</t>
  </si>
  <si>
    <t>v_I2Ctmi7C56k</t>
  </si>
  <si>
    <t>Two little boys rake leaves in a backyard while a little girl watches and walks with them as they rake.</t>
  </si>
  <si>
    <t>The two little boys rake leaves with red handled rakes and a little girl watches them and hangs around while they rake.</t>
  </si>
  <si>
    <t>The two boys start raking to the right of the lawn and the little girl runs behind them.</t>
  </si>
  <si>
    <t>The boys then turn around and begin raking to the right side of the lawn.</t>
  </si>
  <si>
    <t>v_bz62JE0qMSk</t>
  </si>
  <si>
    <t>little kid is standing in a pool poining out a yellow bucket in the water and other peolpe is sitting in benches around the pool.</t>
  </si>
  <si>
    <t>woman is carrying the child on his back and then she is with a man and the kid riding bikes in the park.</t>
  </si>
  <si>
    <t>kid is running inside a roofed basket court.</t>
  </si>
  <si>
    <t>kid is laying with a tennis racket.</t>
  </si>
  <si>
    <t>v_lMYtmGRAn8k</t>
  </si>
  <si>
    <t>A boy is standing next to a playground jumping rope.</t>
  </si>
  <si>
    <t>A person is jumping rope on a white mat.</t>
  </si>
  <si>
    <t>A man is kneeling down on the ground in front of a red table.</t>
  </si>
  <si>
    <t>He gets up and starts jumping rope.</t>
  </si>
  <si>
    <t>v_i2e67kStfk4</t>
  </si>
  <si>
    <t>A child performs on the double uneven bars, while flipping around the bars.</t>
  </si>
  <si>
    <t>Then, the child flips and land stand on the floor, then walks.</t>
  </si>
  <si>
    <t>v_EBOT5e2xAoQ</t>
  </si>
  <si>
    <t>The video leads into several clips of track runners jumping over a bar with their jump being shown again in slow motion.</t>
  </si>
  <si>
    <t>Several more people are shown jumping over the bar with one hitting the bar and not jumping over.</t>
  </si>
  <si>
    <t>v_EkwX8Swnut8</t>
  </si>
  <si>
    <t>A boy sits behind the wheel of car, driving and talking to the other passengers in the car.</t>
  </si>
  <si>
    <t>The car travels down a winding highway as the camera pans between the people talking at the time.</t>
  </si>
  <si>
    <t>The people in the car eventually arrive at a snow covered slope where they don ski apparel and begin to ski on the slopesdoing flips, going down hills and jumping off of elevated platforms.</t>
  </si>
  <si>
    <t>At one point of the boys falls on the ground and huddles in the fetal position on the snow.</t>
  </si>
  <si>
    <t>The scene then cuts to the boys back at home in the kitchen peparing things with a final image of a boy standing in the snow covered woods talking to the camera.</t>
  </si>
  <si>
    <t>v_BfTjydFBQJU</t>
  </si>
  <si>
    <t>A small group of people are seen standing in a gym with a man leading in front.</t>
  </si>
  <si>
    <t>The man leads the group in an exercise class that involves a beam on the floor.</t>
  </si>
  <si>
    <t>The people move up and down the beam while the man claps and smiles at the group.</t>
  </si>
  <si>
    <t>v_Q159fj3M9NM</t>
  </si>
  <si>
    <t>A gymnast runs, then flips several times down an indoor track.</t>
  </si>
  <si>
    <t>Other girls follow suit, flipping quickly as they go.</t>
  </si>
  <si>
    <t>They dismount at the end, arms in the air.</t>
  </si>
  <si>
    <t>v_AZrI6X2XAUU</t>
  </si>
  <si>
    <t>a blond little kid with large hair sits in a table and holds a contact eye and put the contacts on his eyes.</t>
  </si>
  <si>
    <t>little kid is talking to the camera and is in a table wearnig a red uniform putting contact lenses on her eyes.</t>
  </si>
  <si>
    <t>v_GTV4XlxawgE</t>
  </si>
  <si>
    <t>man is running in a roofed gym and doing a high jump.</t>
  </si>
  <si>
    <t>man is doing a somersault in a roofed gym.</t>
  </si>
  <si>
    <t>two woman are standing in the gym by the jumping man.</t>
  </si>
  <si>
    <t>man is doing a somersault in a roofed gym in a racetrack.</t>
  </si>
  <si>
    <t>v_bRVazNYfpGE</t>
  </si>
  <si>
    <t>There's a girl gymnast dressed in purple leotards doing flips on a horse bar in a large indoor stadium filled with spectators.</t>
  </si>
  <si>
    <t>She continues doing front flips and twisting her body around on the horse bar.</t>
  </si>
  <si>
    <t>She walks the entire horse bar and then finally jumps off the horse bar to successfully end her round.</t>
  </si>
  <si>
    <t>As she jumps down and walks away, the crowd cheer and applaud loudly.</t>
  </si>
  <si>
    <t>v_WxefBZ7Iaow</t>
  </si>
  <si>
    <t>A blue raft is shown and a group of people are shown throwing them up in a pile.</t>
  </si>
  <si>
    <t>Finally,they are by the water and about eight of them are sitting on the raft traveling down the water.</t>
  </si>
  <si>
    <t>After a certain distance,they encounter a rock and a large wave and they all flip out of the raft.</t>
  </si>
  <si>
    <t>The rafting continues and eventually they are all shown standing outside in a field in a large circle talking and drinking about a job well done.</t>
  </si>
  <si>
    <t>v_lsIiSTG2pn4</t>
  </si>
  <si>
    <t>Ladies are playing volley ball outside.</t>
  </si>
  <si>
    <t>A female hits the ball twice.</t>
  </si>
  <si>
    <t>A lady touches a teammate's arm.</t>
  </si>
  <si>
    <t>v_js9SDSngI7A</t>
  </si>
  <si>
    <t>A coach align a group of teens in a basketball court, the teen on front holds a basketball ball.</t>
  </si>
  <si>
    <t>Three teens run and a boy throws the basketball to the basket, then the second teen grabs the ball and pass the ball to two teens disputing to have the ball.</t>
  </si>
  <si>
    <t>Then, three more boys run to practice the same steps.</t>
  </si>
  <si>
    <t>A young man wearing a yellow t-shirt practice basketball on the other basketball goal.</t>
  </si>
  <si>
    <t>After, a group of three boys runs to practice basketball shooting and blocking.</t>
  </si>
  <si>
    <t>v_YD7pb5-CZdI</t>
  </si>
  <si>
    <t>An athlete is standing on a field.</t>
  </si>
  <si>
    <t>He is holding a large steel ball.</t>
  </si>
  <si>
    <t>He spins and throws the ball, then walks around the track waiting for his next turn.</t>
  </si>
  <si>
    <t>v_UYUvjnlU9Ho</t>
  </si>
  <si>
    <t>There are some people playing croquet in their backyard that is covered with fall leaves.</t>
  </si>
  <si>
    <t>There's a teenage boy and a teenage girl playing croquet on some wooden boards.</t>
  </si>
  <si>
    <t>They use their wooden mallet to hit the ball down the wooden boards.</t>
  </si>
  <si>
    <t>Another group of young teenagers are also playing croquet in the yard.</t>
  </si>
  <si>
    <t>One of the teens wearing a yellow shirt pretends his mallet is a guitar and plays it.</t>
  </si>
  <si>
    <t>The teens continue playing croquet as they take turns to hit the ball with the mallet while another boy is playing with a black and white cat.</t>
  </si>
  <si>
    <t>The teens continue playing while the cat watches them.</t>
  </si>
  <si>
    <t>The teen in the yellow shirt plays with the black and white cat.</t>
  </si>
  <si>
    <t>One of the teen pose and aims to hit the ball with his mallet while the two other teens watch him.</t>
  </si>
  <si>
    <t>They continue playing croquet as they take turns to hit the balls one by one with the mallets.</t>
  </si>
  <si>
    <t>One of the teens then just drops his mallet down while the two other teens give each other high fives.</t>
  </si>
  <si>
    <t>v_Lh3dhueuKmQ</t>
  </si>
  <si>
    <t>A woman is putting wall paper on a wall.</t>
  </si>
  <si>
    <t>She smooths the wall paper with her hands.</t>
  </si>
  <si>
    <t>She is rolling the wall paper onto the wall.</t>
  </si>
  <si>
    <t>v_Wr69bnB86d0</t>
  </si>
  <si>
    <t>A man sits at a table and holds a screwdriver which he presses it against the tabletop.</t>
  </si>
  <si>
    <t>The man pretents to time himself and uses the screwdriver tool to pierce a hole in a full beer can that sprays some of its contents.</t>
  </si>
  <si>
    <t>The man holds up the can with the hole facing upwards.</t>
  </si>
  <si>
    <t>The man drinks the contents of the beer can from the hole after opening the top.</t>
  </si>
  <si>
    <t>v_aSFtL7YEbDE</t>
  </si>
  <si>
    <t>A group of people are on a neatly mown field.</t>
  </si>
  <si>
    <t>They are playing a game of croquette.</t>
  </si>
  <si>
    <t>They hit the balls through the hoops with mallets.</t>
  </si>
  <si>
    <t>v_bTlfN4vJkiY</t>
  </si>
  <si>
    <t>A young boy is wearing a bandana and mowing a large yard.</t>
  </si>
  <si>
    <t>He walks away from the camera as he pushes the mower.</t>
  </si>
  <si>
    <t>He then suddenly stops, chasing the person with the camera and knocking them over.</t>
  </si>
  <si>
    <t>v_2LzWCwYtUzs</t>
  </si>
  <si>
    <t>We see an animation on the opening title screen.</t>
  </si>
  <si>
    <t>A person washes and peels a potato.</t>
  </si>
  <si>
    <t>The person rinses the person rinses the peeled potato in a bowl.</t>
  </si>
  <si>
    <t>The person then dices the potato.</t>
  </si>
  <si>
    <t>v_T1T3UvwZcKU</t>
  </si>
  <si>
    <t>A young child is seen sitting a top of a slide with his tongue sticking out.</t>
  </si>
  <si>
    <t>He begins to go down the slide but falls off the side and is seen laying on the floor.</t>
  </si>
  <si>
    <t>v_4uitkT3dDIM</t>
  </si>
  <si>
    <t>General technique is shown for throwing javelins.</t>
  </si>
  <si>
    <t>He then shows how to do it with crossovers.</t>
  </si>
  <si>
    <t>v_ozkDsQ1UY1k</t>
  </si>
  <si>
    <t>A close up of a pool table is seen followed by a man hitting a ball.</t>
  </si>
  <si>
    <t>Another man steps up with the pool stick to aim his shot and hits the balls.</t>
  </si>
  <si>
    <t>The men take turns back and fourth playing pool until one wins and the camera pans to a man watching.</t>
  </si>
  <si>
    <t>v_F_-w_z4B3bg</t>
  </si>
  <si>
    <t>A young man is seen sitting before an instrument with another sitting on a drum set.</t>
  </si>
  <si>
    <t>The man moves sticks around while looking off into the distance and begins to play.</t>
  </si>
  <si>
    <t>Another boy walks in and out of frame and begins singing into a microphone.</t>
  </si>
  <si>
    <t>v_fGMZvLvAMK4</t>
  </si>
  <si>
    <t>A skier holds a ski stick in his left hand and a pole in his right hand.</t>
  </si>
  <si>
    <t>Then, the man ski down the hill covered with snow.</t>
  </si>
  <si>
    <t>The man stops in middle of the hill.</t>
  </si>
  <si>
    <t>Then, the man continues skiing until arrives to a city.</t>
  </si>
  <si>
    <t>v_OSndW3d2XxU</t>
  </si>
  <si>
    <t>a man is on a field in a circle.</t>
  </si>
  <si>
    <t>He starts spinning a ball around in circles.</t>
  </si>
  <si>
    <t>He then throws the ball as far as he can, but falls down.</t>
  </si>
  <si>
    <t>v_K8G5CBJtluY</t>
  </si>
  <si>
    <t>A young man lying prone on a tiled floor with this hands behind his head and his knees bent attempts to perform a sit-up in front of a few friends.</t>
  </si>
  <si>
    <t>As he brings his elbows towards his knees, a loud crack can be heard as the man laughs, "That hurt my ass.</t>
  </si>
  <si>
    <t>" He attempts a second sit-up and with another cracking sound, exclaims and grabs his buttocks.</t>
  </si>
  <si>
    <t>The man says, "one more" and attempts another time, after which he says, "that felt horrible.</t>
  </si>
  <si>
    <t>" The man struggles through nine more attempts before giving up to the amusement of his friends.</t>
  </si>
  <si>
    <t>v_I41kmlYZmt4</t>
  </si>
  <si>
    <t>A close up of a hedge is shown as well as a man using a tool to cut the hedge.</t>
  </si>
  <si>
    <t>The man speaks to the camera and continues using the tool on the hedge.</t>
  </si>
  <si>
    <t>Several shots are shown of his surroundings as well as other tools you can use and more grass being cut.</t>
  </si>
  <si>
    <t>v_7CeAzJF2z4o</t>
  </si>
  <si>
    <t>A intro leads to a young man wearing a backwards baseball cap playing the guitar on a bed.</t>
  </si>
  <si>
    <t>The man strokes his fingers up and down the neck of the guitar while strumming the string and looking down at the neck.</t>
  </si>
  <si>
    <t>v_erevt6avST0</t>
  </si>
  <si>
    <t>A man is standing at a counter.</t>
  </si>
  <si>
    <t>The store front is shown to the door.</t>
  </si>
  <si>
    <t>the man is still at the counter talking.</t>
  </si>
  <si>
    <t>A man is runnign around a course with a gun.</t>
  </si>
  <si>
    <t>The man is still talkign at the counter.</t>
  </si>
  <si>
    <t>A man in the course is aiming his gun.</t>
  </si>
  <si>
    <t>The man at the counter is showing a particular gun.</t>
  </si>
  <si>
    <t>A man at the course is running around aiming and shooting his gun.</t>
  </si>
  <si>
    <t>The man at the counter is still holding the gun talking.</t>
  </si>
  <si>
    <t>The man on the course runs around and shoots.</t>
  </si>
  <si>
    <t>The man at the counter continues to talk with the gun in his hand.</t>
  </si>
  <si>
    <t>The man at the course peers around a corner aiming his gun.</t>
  </si>
  <si>
    <t>The man at the counter is talking and motioning with the gun in his hand.</t>
  </si>
  <si>
    <t>v_-X7fBYN5fBc</t>
  </si>
  <si>
    <t>Men are standing against the fence, the gates are up and a rider is waiting to start.</t>
  </si>
  <si>
    <t>Once the gate opens a little cow comes running out and the horse chases after.</t>
  </si>
  <si>
    <t>The rider throws a rope at the cow trying to catch it and then jumps off the horse.</t>
  </si>
  <si>
    <t>After he jumps off the horse he starts to pin the cow down and tie the rope around its legs very roughly.</t>
  </si>
  <si>
    <t>v_0_IShglbOQ4</t>
  </si>
  <si>
    <t>A young boy is seen holding onto a lawn mower and pushing it along the yard.</t>
  </si>
  <si>
    <t>The boy continues to push the mower around while the camera captures his movements.</t>
  </si>
  <si>
    <t>He pushes the mower back where he started and looks back to the camera.</t>
  </si>
  <si>
    <t>v_I9_eKiGZPxc</t>
  </si>
  <si>
    <t>Vehicles are moving down a road.</t>
  </si>
  <si>
    <t>A lady stands and discusses.</t>
  </si>
  <si>
    <t>People are paddling down a rocky body of water.</t>
  </si>
  <si>
    <t>A person tries to lift an individual back into the inflated boat.</t>
  </si>
  <si>
    <t>A lady walks away from the inflated boat.</t>
  </si>
  <si>
    <t>The lady used her hands to over her face.</t>
  </si>
  <si>
    <t>People that are sitting on an inflated boat raise their paddles.</t>
  </si>
  <si>
    <t>An inflated boat flips over and the occupants falls overboard.</t>
  </si>
  <si>
    <t>The lady takes off her helmet.</t>
  </si>
  <si>
    <t>A guy gives the lady her white sandals.</t>
  </si>
  <si>
    <t>The lady blows a kiss.</t>
  </si>
  <si>
    <t>Guys are playing soccer outside.</t>
  </si>
  <si>
    <t>Two red team players chest bump.</t>
  </si>
  <si>
    <t>v_Z90-HZ_geSI</t>
  </si>
  <si>
    <t>An intro leads into shots outside a dog groomers and inside where several dogs are tied it.</t>
  </si>
  <si>
    <t>Many woman are shown brushing the dogs and trimming their fur while giving them head scratches in between.</t>
  </si>
  <si>
    <t>More dogs are seen sitting in crates and barking at the camera while the wind blows on them.</t>
  </si>
  <si>
    <t>v_kGxikShxkpQ</t>
  </si>
  <si>
    <t>Team mates are seen walking out onto a field surrounded by dozens of people and stand ready over a rope holding their arms up.</t>
  </si>
  <si>
    <t>The men then pull the rope against another team and end by falling down.</t>
  </si>
  <si>
    <t>v__MYAaRrTeMQ</t>
  </si>
  <si>
    <t>A man is seen holding an axe and looking back to smile at the camera.</t>
  </si>
  <si>
    <t>The man then swings the axe down and hits a log of wood still smiling at the camera.</t>
  </si>
  <si>
    <t>v_C7sabT8febk</t>
  </si>
  <si>
    <t>Paint is shown being mixed on a styrofoam plate.</t>
  </si>
  <si>
    <t>A hand draws on a piece of paper using a brush and the mixed paint.</t>
  </si>
  <si>
    <t>v_fZc3tkvUJe0</t>
  </si>
  <si>
    <t>A chef is seen speaking to a woman and leads into him holding knives and sharpening the sides.</t>
  </si>
  <si>
    <t>He then wipes the knife with a rag and continues sharpening the knives.</t>
  </si>
  <si>
    <t>v_S5kuckj4Ud4</t>
  </si>
  <si>
    <t>We see are driving down the street then we see the man in the car.</t>
  </si>
  <si>
    <t>The man gets out and grabs flat tire supplies.</t>
  </si>
  <si>
    <t>The man sits in the car and thinks about how to change a tire.</t>
  </si>
  <si>
    <t>The guy loosens bolts, jacks the car up and takes off the flat.</t>
  </si>
  <si>
    <t>The guy then puts the spare tire on the car.</t>
  </si>
  <si>
    <t>We see the bolts up close in a line.</t>
  </si>
  <si>
    <t>The man puts the spare tire in the car and gets in the car.</t>
  </si>
  <si>
    <t>He makes a call and turns on the radio.</t>
  </si>
  <si>
    <t>The man makes a u-turn and leaves.</t>
  </si>
  <si>
    <t>We see the ending title.</t>
  </si>
  <si>
    <t>v_IKTYMYu8FFs</t>
  </si>
  <si>
    <t>A container of hair styling cream is shown by a stylist.</t>
  </si>
  <si>
    <t>She applies it to a seated brunette's skin.</t>
  </si>
  <si>
    <t>She then demonstrates how it works.</t>
  </si>
  <si>
    <t>v_Iphl3YB-yYQ</t>
  </si>
  <si>
    <t>A man is seen speaking to the camera and pans over to a roof that is breaking apart.</t>
  </si>
  <si>
    <t>He points all over the roof and shows a man working on the roof while panning around again.</t>
  </si>
  <si>
    <t>v_feqYwvoENzk</t>
  </si>
  <si>
    <t>A woman is seen putting her hair up in a pony tail with a man watching her on the side.</t>
  </si>
  <si>
    <t>She then plays the piano while smiling and the man continuing to watch her.</t>
  </si>
  <si>
    <t>v_O8vPTn6Ho7w</t>
  </si>
  <si>
    <t>People are paddling in kayaks in a body of water.</t>
  </si>
  <si>
    <t>A man takes off in a green kayak.</t>
  </si>
  <si>
    <t>A man in a red jacket is talking to the camera.</t>
  </si>
  <si>
    <t>v_dyobp97TugE</t>
  </si>
  <si>
    <t>A woman and a dog are playing on the grass with a frisbee.</t>
  </si>
  <si>
    <t>The dog has the frisbee in its mouth.</t>
  </si>
  <si>
    <t>The woman and the dog are playing with a rope.</t>
  </si>
  <si>
    <t>v_qX7UMKN6ygM</t>
  </si>
  <si>
    <t>At the beach, a group of soccer balls lie next to a man who is kicking them at the goal, protected by a keeper.</t>
  </si>
  <si>
    <t>He boots them up and off his knee before shooting wide.</t>
  </si>
  <si>
    <t>He finally scores over the keeper.</t>
  </si>
  <si>
    <t>His final ball is saved once again by the keeper.</t>
  </si>
  <si>
    <t>v_r96PJ548pn8</t>
  </si>
  <si>
    <t>A woman wearing exercise equipment is shown talking to the camera and pointing to several areas on her body.</t>
  </si>
  <si>
    <t>She continues talking to the camera while performing several ab crunches to work your core.</t>
  </si>
  <si>
    <t>She then grabs a weight in both hands as well as a cat to use as a weight for the exercise.</t>
  </si>
  <si>
    <t>She bends forward and continues talking to the camera.</t>
  </si>
  <si>
    <t>v_N8otQdjR96s</t>
  </si>
  <si>
    <t>A man is sitting at a drum set.</t>
  </si>
  <si>
    <t>He is playing the drums and cymbals, and talking to the camera.</t>
  </si>
  <si>
    <t>He shows the mechanics of the pedals and the effects on the drums as he uses them.</t>
  </si>
  <si>
    <t>v_mTmcz5NWNQA</t>
  </si>
  <si>
    <t>A group of people riding bmx dirt bikes come down a path together.</t>
  </si>
  <si>
    <t>Then spin around, taking sharp turns and curves on the track.</t>
  </si>
  <si>
    <t>When the race is over, they walk around handing out medals and posing for photos.</t>
  </si>
  <si>
    <t>v_kF6tSW-ZOFg</t>
  </si>
  <si>
    <t>A lady stands at the end of a hopscotch court.</t>
  </si>
  <si>
    <t>The lady then jumps across the hopscotch court towards the right.</t>
  </si>
  <si>
    <t>The lady then hops back where she started.</t>
  </si>
  <si>
    <t>v_hP8wUI0qdaQ</t>
  </si>
  <si>
    <t>woman is talking to the camera in front of a large gym with a lot of estatic bikes in the background and people doing exercise.</t>
  </si>
  <si>
    <t>girl start doing exercise in the elliptical bike.</t>
  </si>
  <si>
    <t>v_2GSSuYAWFc8</t>
  </si>
  <si>
    <t>Several pieces of belly button jewelry are shown.</t>
  </si>
  <si>
    <t>This is followed by a man disinfecting a woman's belly button.</t>
  </si>
  <si>
    <t>He then inserts a piercing using a clamp and a rod.</t>
  </si>
  <si>
    <t>The woman watches as the final studs are in place.</t>
  </si>
  <si>
    <t>v_ufK2mbJI0to</t>
  </si>
  <si>
    <t>A large group of people are seen running around a soccer field playing a game of soccer.</t>
  </si>
  <si>
    <t>The kids continue to kick the ball around one another while others watch on the side.</t>
  </si>
  <si>
    <t>More shots are shown of the game as well as people playing with one another.</t>
  </si>
  <si>
    <t>v_jMQP5ePI4eQ</t>
  </si>
  <si>
    <t>A man in a white shirt is sitting down playing a guitar.</t>
  </si>
  <si>
    <t>Next to the man is a smaller screen of a black and white video of a man singing and a woman.</t>
  </si>
  <si>
    <t>v_LcmTBkWvV74</t>
  </si>
  <si>
    <t>A close up a girl smiling and pointing to her face is shown followed by a pair of pliers piercing her inner lip.</t>
  </si>
  <si>
    <t>The piercer pushes the scissor through her lip while she holds it up and presents the piercing in the end.</t>
  </si>
  <si>
    <t>v_BfnM0eyjB5Q</t>
  </si>
  <si>
    <t>A woman is giving instructions on how to install and adjust a saddle on a bike.</t>
  </si>
  <si>
    <t>She uses a Allen key wrench to loosen up the bolt.</t>
  </si>
  <si>
    <t>Then she demonstrates how she can move the saddle after she loosens it.</t>
  </si>
  <si>
    <t>She hits it with her hand to push the jammed saddle.</t>
  </si>
  <si>
    <t>Then she shows how to adjust the saddle by moving it back and forth.</t>
  </si>
  <si>
    <t>She later demonstrates how to remove the saddle off.</t>
  </si>
  <si>
    <t>She puts the new one on and then uses tools to tighten it back on.</t>
  </si>
  <si>
    <t>She uses a screwdriver to tighten the screws and adjust the level.</t>
  </si>
  <si>
    <t>She then shows another saddle and demonstrates how to tighten the bolts to adjust the level of the saddle.</t>
  </si>
  <si>
    <t>She shows how to tighten the bolt to make sure the saddle fits snugly.</t>
  </si>
  <si>
    <t>v_P1Ve5WrfTb8</t>
  </si>
  <si>
    <t>A boy in grey throws a ball at a a kid on the other side of the court.</t>
  </si>
  <si>
    <t>A boy in blue does an extraordinary flip in the air after catching the ball and lands.</t>
  </si>
  <si>
    <t>He throws the ball back at the other kid after landing.</t>
  </si>
  <si>
    <t>They are being watched by a group of kids standing behind them.</t>
  </si>
  <si>
    <t>v_Cj3W6CW3Zbc</t>
  </si>
  <si>
    <t>Four men are working on the roof of a house.</t>
  </si>
  <si>
    <t>They are scraping the shingles off with shovels, knocking debris to the ground as they work.</t>
  </si>
  <si>
    <t>v_pYYA4rARL1Y</t>
  </si>
  <si>
    <t>We then see men spinning on the pommel horse with title screens clipped in between.</t>
  </si>
  <si>
    <t>We see a man throwing his legs over the pommel horse.</t>
  </si>
  <si>
    <t>We see a man in red spinning himself around the pommel horse quickly.</t>
  </si>
  <si>
    <t>A man in red and yellow spins fast on the pommel.</t>
  </si>
  <si>
    <t>We see a man dismount the pommel and throw his arms in the air.</t>
  </si>
  <si>
    <t>We then see the closing scenes.</t>
  </si>
  <si>
    <t>v_ZO8ValsY3rE</t>
  </si>
  <si>
    <t>A woman holds a box with UV light to light the handle of the refrigerator, her hand, the microwave oven and utensils.</t>
  </si>
  <si>
    <t>Then, the woman wash and dry her hands and light a hand with the UV light.</t>
  </si>
  <si>
    <t>After, the woman takes off her ring and wash and wash her hands with soap and rinse with water.</t>
  </si>
  <si>
    <t>v_Yjkz62cLVdQ</t>
  </si>
  <si>
    <t>A man holds clips against a bracket placed on a wooden desk.</t>
  </si>
  <si>
    <t>He welds the metal bracket.</t>
  </si>
  <si>
    <t>The man finishes welding and picks up a stick from the wooden desk.</t>
  </si>
  <si>
    <t>v_YVbMt3qsB3o</t>
  </si>
  <si>
    <t>A chubby man is standing outside in a field and throws a yellow medicine ball demonstrating exercising to strengthen athletes for shot put.</t>
  </si>
  <si>
    <t>The man is then pictured in a gym doing reps with the bar and then begins throwing a ball up against the tree.</t>
  </si>
  <si>
    <t>Another boy then begins throwing a bag of sand before the previous man comes back and starts using elliptical machines.</t>
  </si>
  <si>
    <t>Once finished,he returns back to a field and begins pulling the chain across the field and throwing kettle balls.</t>
  </si>
  <si>
    <t>v_KiE-fFIz5ic</t>
  </si>
  <si>
    <t>A man in a hat is standing outside talking.</t>
  </si>
  <si>
    <t>People are practicing pole vaulting on a blue mat.</t>
  </si>
  <si>
    <t>A person is jumping over hurdles on a track.</t>
  </si>
  <si>
    <t>People are laying on a blue mat stretching.</t>
  </si>
  <si>
    <t>v_WJwLjPDvLrY</t>
  </si>
  <si>
    <t>A group is on the beach, playing volleyball.</t>
  </si>
  <si>
    <t>The crowd cheers them on as they continue the competition.</t>
  </si>
  <si>
    <t>v_PiDMuIRtgZo</t>
  </si>
  <si>
    <t>We see men playing hockey in an ice rink.</t>
  </si>
  <si>
    <t>A player in blue goes behind the goal close to the camera.</t>
  </si>
  <si>
    <t>The hockey puck slips past the goalie and into the goal net.</t>
  </si>
  <si>
    <t>The goalie gets up off the ground.</t>
  </si>
  <si>
    <t>v_-lJS58hyo1c</t>
  </si>
  <si>
    <t>A lady walks to a barbell.</t>
  </si>
  <si>
    <t>She bends down and grabs the pole.</t>
  </si>
  <si>
    <t>The lady stands and lifts the weight over her head.</t>
  </si>
  <si>
    <t>The lady drops the barbell and smiles.</t>
  </si>
  <si>
    <t>v_KpoH4pBp9fg</t>
  </si>
  <si>
    <t>a woman is standing inside a dark kitchen, talking.</t>
  </si>
  <si>
    <t>She shows a cake cooling on a metal rack.</t>
  </si>
  <si>
    <t>She demonstrates how to mix the ingredients in a mixer, then bake the cake.</t>
  </si>
  <si>
    <t>When it is done, she turns it onto the rack to cool.</t>
  </si>
  <si>
    <t>v_n04zQqQI3wQ</t>
  </si>
  <si>
    <t>woman is with two kids in snow in a open land and they are on a inflatable sliding down a mountain.</t>
  </si>
  <si>
    <t>kids walks with the inflatable on their hands through the field and run to the mountain again.</t>
  </si>
  <si>
    <t>v_ciS5DtShxA8</t>
  </si>
  <si>
    <t>A young boy has on a black and white soccer jersey and is sitting down on the floor next to a bed and begins putting on a long black soccer sock.</t>
  </si>
  <si>
    <t>The young boy then reaches for his shin guard and puts it over his right leg and then folds his sock down over it.</t>
  </si>
  <si>
    <t>Once that is finished,he reaches over for his other sock and begins to do the same thing on the left leg.</t>
  </si>
  <si>
    <t>Finally,he moves to his cleats and grabs a pair of orange Adidas soccer cleats and ties them up.</t>
  </si>
  <si>
    <t>Everything is completed and the child sits criss-cross and begins talking to the camera.</t>
  </si>
  <si>
    <t>v_BpiExjaNwvI</t>
  </si>
  <si>
    <t>A close up zooms in on a screen.</t>
  </si>
  <si>
    <t>Several adults and kids are outdoors.</t>
  </si>
  <si>
    <t>The kids are riding dirt bikes in a competition.</t>
  </si>
  <si>
    <t>They are shown racing around a course and over hills and taking sharp turns.</t>
  </si>
  <si>
    <t>A boy on a bike stops at the camera, looking intently.</t>
  </si>
  <si>
    <t>v_cHHVpBYfwdU</t>
  </si>
  <si>
    <t>A man leans over the camera he has placed on a dog.</t>
  </si>
  <si>
    <t>The dog runs through different rooms of the house, then to the door and outside.</t>
  </si>
  <si>
    <t>They go for a walk outside with the people and other dogs.</t>
  </si>
  <si>
    <t>He returns home, and looks in his water bowl.</t>
  </si>
  <si>
    <t>v_VN-BUL75x5Y</t>
  </si>
  <si>
    <t>A woman sitting on the floor talks to the camera while petting a dog.</t>
  </si>
  <si>
    <t>The woman holds up some sort of tool while talking to the camera.</t>
  </si>
  <si>
    <t>The woman uses the tool to brush the dog while talking.</t>
  </si>
  <si>
    <t>The woman sets down the tool and pets the dog while talking to the camera.</t>
  </si>
  <si>
    <t>The woman talks to the camera about the tool.</t>
  </si>
  <si>
    <t>The dog and women get up from the ground.</t>
  </si>
  <si>
    <t>A sped up process of drawing an owl emblem is shown.</t>
  </si>
  <si>
    <t>v_M1dEZrQWeRY</t>
  </si>
  <si>
    <t>A skier uses a wind drone to propel him across a flat slope.</t>
  </si>
  <si>
    <t>The skier uses the wind drone to do a few passes on a flat area of a ski resort.</t>
  </si>
  <si>
    <t>The camera pans across the ski area and views of the surrounding mountains.</t>
  </si>
  <si>
    <t>The skier does a pass by on a large flat area going very fast.</t>
  </si>
  <si>
    <t>v_qJfhu80Ldgo</t>
  </si>
  <si>
    <t>A man squats down and lifts a bar of weights in a gym.</t>
  </si>
  <si>
    <t>He throws the bar down and it crashes into the floor and takes a deep breath.</t>
  </si>
  <si>
    <t>v_5T7vTuJmYeQ</t>
  </si>
  <si>
    <t>A child swings on monkey bars.</t>
  </si>
  <si>
    <t>The child dismounts from the monkey bars.</t>
  </si>
  <si>
    <t>The child walks towards the camera.</t>
  </si>
  <si>
    <t>v_k3nRbFeancA</t>
  </si>
  <si>
    <t>The video shows various clips of sumo wrestlers fighting in a ring while a referee and audience looks on.</t>
  </si>
  <si>
    <t>In the first clip, a much bigger wrestler wrestles a smaller man who ends up winning.</t>
  </si>
  <si>
    <t>The video continues with several other clips of wrestlers and how each wrestler wins the round.</t>
  </si>
  <si>
    <t>The video ends with a comedy commercial where a smaller sumo wrestler crawls under another very large one, and ends up stuck in his sumo outfit.</t>
  </si>
  <si>
    <t>v_QsRW8dj-F7M</t>
  </si>
  <si>
    <t>A mascot is seen running around a field as the camera pans around a large audience.</t>
  </si>
  <si>
    <t>Several mascots are seen holing sticks on a field walking around one another and leads into them chasing a ball.</t>
  </si>
  <si>
    <t>The group continues running around the field as the mascots continue to chase the ball one after the other.</t>
  </si>
  <si>
    <t>v_W5cGKWhOTOU</t>
  </si>
  <si>
    <t>There are 3 people at a store in a shoe section and there are two people on the ground trying on boots.</t>
  </si>
  <si>
    <t>The man on the ground removes his pink boot, throws it on the side and stands up smiling.</t>
  </si>
  <si>
    <t>The girl grabs his pink boot, tries it on her right foot and sits there modeling it while talking to the people around her.</t>
  </si>
  <si>
    <t>The girl then grabs the left boot, removes the stuff in it, tries it on and stands up to model them.</t>
  </si>
  <si>
    <t>The girl stands next to the guy and they smile, she gives a thumbs up and he hugs her from behind.</t>
  </si>
  <si>
    <t>v_wLcpMJv83XY</t>
  </si>
  <si>
    <t>A still image of a man dressed in an Under Armour shirt and a pair of slacks is standing in one spot in a bowling alley.</t>
  </si>
  <si>
    <t>The man finally moves and throws the ball down the Alley.</t>
  </si>
  <si>
    <t>After,an instant replay is shown of the video being chopped and screwed with a circle highlighting the ball before it is thrown down the lane.</t>
  </si>
  <si>
    <t>v_-3Ss9jSRbKk</t>
  </si>
  <si>
    <t>A woman demonstrates how to do sit ups, in a gym room, using a woman who is simulating the exercise as an example.</t>
  </si>
  <si>
    <t>A woman kneels on the hardwood floors of a gym room and talks to the camera.</t>
  </si>
  <si>
    <t>The camera pans out and another woman is revealed lying on her back on a gym mat as the woman kneeling above her continues to talk.</t>
  </si>
  <si>
    <t>The woman lying down demonstrates how to do a sit up and the other woman continues to talk at times touching the other woman's stomach.</t>
  </si>
  <si>
    <t>v_iFwmJi-I5sg</t>
  </si>
  <si>
    <t>A person is seen standing in the middle of a circle throwing a discuss off into the distance.</t>
  </si>
  <si>
    <t>The man walks back several times and is shown continuing to throw the object.</t>
  </si>
  <si>
    <t>The man continues to spin around while throwing the object off into the distance.</t>
  </si>
  <si>
    <t>v_FayB7ZswnAw</t>
  </si>
  <si>
    <t>two men are standing in a court room playing squash.</t>
  </si>
  <si>
    <t>man is wearing white shirt standing in a court room.</t>
  </si>
  <si>
    <t>men are standing in a court room behind transparent doors.</t>
  </si>
  <si>
    <t>v_ZZImcxqa1_w</t>
  </si>
  <si>
    <t>A little boy is standing outside on the sidewalk he has his arms behind his back holding something.</t>
  </si>
  <si>
    <t>Then out of nowhere is starts to spin the thing in his hand, it looks really dangerous.</t>
  </si>
  <si>
    <t>He starts to turn along with it when he catches a lot of speed.</t>
  </si>
  <si>
    <t>Then he suddenly loses control of it and he ends up falling to the ground.</t>
  </si>
  <si>
    <t>v_bDkSq9T55RI</t>
  </si>
  <si>
    <t>A man wearing a red shirt is decorating a Christmas tree.</t>
  </si>
  <si>
    <t>He is using white lights to wrap the tree around to decorate it.</t>
  </si>
  <si>
    <t>He goes around the tree several times.</t>
  </si>
  <si>
    <t>Then he takes a gold colored garland and wraps the tree.</t>
  </si>
  <si>
    <t>Then he turns the lights on to light up the tree.</t>
  </si>
  <si>
    <t>He then stands besides the tree, pointing to it after the lights turn on.</t>
  </si>
  <si>
    <t>v_nXD-q814KjI</t>
  </si>
  <si>
    <t>A man uses a hose to spray something vertically on a wooden wall.</t>
  </si>
  <si>
    <t>The man changes to spraying horizontally on the wall.</t>
  </si>
  <si>
    <t>The man manipulates the tip of the spray nozzle.</t>
  </si>
  <si>
    <t>v_AA46-AbEGdk</t>
  </si>
  <si>
    <t>There's a girl gymnast dressed in shiny blue leotards performing gymnastics on a horse bar in front of many spectators in a large gymnasium.</t>
  </si>
  <si>
    <t>She gets on the horse bar and begins to do front flips and back flips.</t>
  </si>
  <si>
    <t>Then she does twisted backs flip while landing securely back on the horse bar.</t>
  </si>
  <si>
    <t>She continues her gymnastic moves and then securely jumps off the horse bar and lands on the ground.</t>
  </si>
  <si>
    <t>After she gets off the bar, she goes and hugs her coach.</t>
  </si>
  <si>
    <t>Slow motion actions of her gymnastic moves are replayed to show how she landed back on the ground from the horse bar.</t>
  </si>
  <si>
    <t>Then the gymnast walks past the where the panel of judges are seated.</t>
  </si>
  <si>
    <t>v_NVNUT5iwLtw</t>
  </si>
  <si>
    <t>A woman is seen sitting on a rock and grabbing laundry out of a bucket.</t>
  </si>
  <si>
    <t>She then rubs down the clothes with a rag while smiling to the camera.</t>
  </si>
  <si>
    <t>She continues cleaning the cloth by hitting it on cement and washing it down with water.</t>
  </si>
  <si>
    <t>v_p8tlnMtsTf8</t>
  </si>
  <si>
    <t>A helicopter is seen driving over an ocean where people are seen surfing.</t>
  </si>
  <si>
    <t>Several shots are shown of people riding along the water and others sitting.</t>
  </si>
  <si>
    <t>The people continue riding along the water while the helicopter rides around.</t>
  </si>
  <si>
    <t>v_M9uQCTr2-r0</t>
  </si>
  <si>
    <t>Young boys are shown playing ping pong with one another in a large gymnasium serving one after the other.</t>
  </si>
  <si>
    <t>Another boy walks up to the table and starts playing with the other boys, which then turns into a two versus two game of Ping Pong.</t>
  </si>
  <si>
    <t>The boys take turns serving back and forth scoring points at random.</t>
  </si>
  <si>
    <t>The boy that was first shown is playing a third game now that is being kept score of by an official and scores the first 4 points.</t>
  </si>
  <si>
    <t>The boy is playing yet another tournament with a different child in Ping Pong and seems to possibly be falling behind a little in points.</t>
  </si>
  <si>
    <t>v_aQQr1ad0v1I</t>
  </si>
  <si>
    <t>A man is showing off his motorbike.</t>
  </si>
  <si>
    <t>He gives a small talk about his bike first.</t>
  </si>
  <si>
    <t>Then he drives his bike on the track.</t>
  </si>
  <si>
    <t>He then does quick demonstrations on how his bike moves and how it sits.</t>
  </si>
  <si>
    <t>He then talks more about his bike while sitting on his bike.</t>
  </si>
  <si>
    <t>He then drives around a flat dirt track while cutting a few times to his talks describing his techniques.</t>
  </si>
  <si>
    <t>He ends by talking about his bike some more.</t>
  </si>
  <si>
    <t>v_Ye3u6ujLEl0</t>
  </si>
  <si>
    <t>A swimmer puts on a pair of goggles getting ready.</t>
  </si>
  <si>
    <t>The swimmer pulls a muscle in the pool and jumps up onto the pool deck and stretches out his leg.</t>
  </si>
  <si>
    <t>A swimmer dives off from a board into the water with a splash.</t>
  </si>
  <si>
    <t>The athlete swims in a lane and pulls himself along with the float line.</t>
  </si>
  <si>
    <t>The swimmer swims underwater and pushes off the pool floor.</t>
  </si>
  <si>
    <t>The swimmer does a butterfly stroke in the pool lane.</t>
  </si>
  <si>
    <t>v_V1ntLwOfkyE</t>
  </si>
  <si>
    <t>A gymnast jumps onto a pummel horse.</t>
  </si>
  <si>
    <t>The gymnast performs many spins around the horse as he holds onto the two bars on the pummel horse.</t>
  </si>
  <si>
    <t>A couple of judges look on.</t>
  </si>
  <si>
    <t>The gymnast jumps off the pummel horse.</t>
  </si>
  <si>
    <t>v_hkpYSfc5Ewc</t>
  </si>
  <si>
    <t>A gymnast is seen jumping onto a set of uneven bars and performs a gymnastics routine in front of a large crowd.</t>
  </si>
  <si>
    <t>The man flips around the beams and ends with him jumping down with his arms up and waving to the crowd.</t>
  </si>
  <si>
    <t>v_Xag8E74bkpw</t>
  </si>
  <si>
    <t>A woman wearing a hat is seen sitting behind a large set of bongo drums.</t>
  </si>
  <si>
    <t>The woman plays on the drums continuously.</t>
  </si>
  <si>
    <t>The woman continues hitting the drums and ends by pointing to the camera and standing up.</t>
  </si>
  <si>
    <t>v_UOkpGU7NAag</t>
  </si>
  <si>
    <t>A girl is going across a set of monkey bars.</t>
  </si>
  <si>
    <t>She gets to the end and stands on a wooden plank.</t>
  </si>
  <si>
    <t>She then goes back across the monkey bars in the other direction.</t>
  </si>
  <si>
    <t>She goes to another part of the playground and jumps up and down.</t>
  </si>
  <si>
    <t>v_b-ex8bAnl5U</t>
  </si>
  <si>
    <t>man is in front of an automaic cashier and take some money of it, and go talk with some men in a room full of people.</t>
  </si>
  <si>
    <t>men are sittig in a blackjack table and are gambling in a casino and talking to each other while people is looking the game and walking around the table.</t>
  </si>
  <si>
    <t>dealing is spreading the cards and men fire up a tobacco.</t>
  </si>
  <si>
    <t>v_Jb8YAhQ6EMk</t>
  </si>
  <si>
    <t>A woman washes a pot with soapy water while standing with her back to the camera at the kitchen sink.</t>
  </si>
  <si>
    <t>The woman turns and talks to the camera while washing the pot and smiles a bit as the camera shakily catches the activity.</t>
  </si>
  <si>
    <t>The woman rinses the pot off and then turns and holds it up in the air, dripping water, making a scary face, as if she is going to attack the camera man with it, but then turns away from the camera man and toward the sink counter.</t>
  </si>
  <si>
    <t>v_csxC5H5uDb4</t>
  </si>
  <si>
    <t>Two individuals are in room painting and doing redecorating.</t>
  </si>
  <si>
    <t>Two men alternate going up and down on a ladder putting paste on the wall for the wall paper.</t>
  </si>
  <si>
    <t>These actions continue to take place until the whole wall is covered in white wall paper with large blue flowers on them as a girl sits down behind a row of books.</t>
  </si>
  <si>
    <t>v_02yDi9BaDO8</t>
  </si>
  <si>
    <t>A woman in a red shirt is standing in a room.</t>
  </si>
  <si>
    <t>She starts working out on a blue mat.</t>
  </si>
  <si>
    <t>She stops and talks to the camera.</t>
  </si>
  <si>
    <t>v_wBv1tu74S2E</t>
  </si>
  <si>
    <t>A gymnast stretches out and climbs onto a set of parallel double bars.</t>
  </si>
  <si>
    <t>The gymnast does a routine in a competition on the double bars with flips and turns.</t>
  </si>
  <si>
    <t>The gymnast dismounts from the equipment and lands on the mat.</t>
  </si>
  <si>
    <t>v_hxQhQsl-N1k</t>
  </si>
  <si>
    <t>A guy is half kneeing on a gym floor.</t>
  </si>
  <si>
    <t>The guy starts pressing a weight in one hand.</t>
  </si>
  <si>
    <t>v_MYRsm8m9mk4</t>
  </si>
  <si>
    <t>There are several men playing tug of war on a sandy ground that is surrounded by mountains.</t>
  </si>
  <si>
    <t>They continue pulling the rope with force.</t>
  </si>
  <si>
    <t>Several spectators are watching them and cheering them as they continue to play.</t>
  </si>
  <si>
    <t>The players continue to pull the rope with concentration.</t>
  </si>
  <si>
    <t>Finally the victorious team raises their hands up and cheer and dance around in a circle.</t>
  </si>
  <si>
    <t>v_NdFbQ0l3R9k</t>
  </si>
  <si>
    <t>A young preteen female is standing in the corner of a room talking.</t>
  </si>
  <si>
    <t>The girl is then shown in a sparkly leotard inside of a gymnasium.</t>
  </si>
  <si>
    <t>After,she hops on the balance beam and begins to do tricks before she flips off of the balance beam.</t>
  </si>
  <si>
    <t>She then retreats back to the camera,says a few brief words and waves bye.</t>
  </si>
  <si>
    <t>v_mbGDPga031E</t>
  </si>
  <si>
    <t>People play shuffleboard indoors and outdoors.</t>
  </si>
  <si>
    <t>A person observes when people plays shuffleboard in the street.</t>
  </si>
  <si>
    <t>A couple of old people play outdoor.</t>
  </si>
  <si>
    <t>Other people play shuffleboard pushing the balls in the triangle.</t>
  </si>
  <si>
    <t>v_T-rV3KKFOgg</t>
  </si>
  <si>
    <t>A man demonstrates how to wash the underbody of a car.</t>
  </si>
  <si>
    <t>A car is shown going through a commercial wash.</t>
  </si>
  <si>
    <t>They advertise their expertise in washing cars.</t>
  </si>
  <si>
    <t>v_K-PpTJmmjhA</t>
  </si>
  <si>
    <t>An old woman talks in a costume shop.</t>
  </si>
  <si>
    <t>Then she puts a garment on the iron board, sprays water and iron the collar.</t>
  </si>
  <si>
    <t>After, the woman irons the sleeves of the garment and the body part.</t>
  </si>
  <si>
    <t>Next, the woman shows the ironed garment.</t>
  </si>
  <si>
    <t>v_I_6Ok72DnJA</t>
  </si>
  <si>
    <t>A man is hanging wallpaper on a wall.</t>
  </si>
  <si>
    <t>He peels the sticky side from the backing paper.</t>
  </si>
  <si>
    <t>He is now applying the sticky side of the paper to the wall.</t>
  </si>
  <si>
    <t>He repeats this several more times on different parts of the wall.</t>
  </si>
  <si>
    <t>v_GoVqtUSnshE</t>
  </si>
  <si>
    <t>A news woman is speaking from a news room.</t>
  </si>
  <si>
    <t>Then we see breaking news videos on the screen.</t>
  </si>
  <si>
    <t>A woman is shown drinking some kind of fluid on a dare, and the women take turns drinking the liquid.</t>
  </si>
  <si>
    <t>v_cHdZ_dBVgDE</t>
  </si>
  <si>
    <t>A man and a woman dressed in black and red stand in the middle of a room surrounded by a very large amount of people sitting and watching them.</t>
  </si>
  <si>
    <t>They dance and dance working very well together.</t>
  </si>
  <si>
    <t>They twist and turn and even do all kinds of nice moves together.</t>
  </si>
  <si>
    <t>The man bends down and swings the female across his back where she flips over and ends the dance.</t>
  </si>
  <si>
    <t>v_hGUUlFxygmw</t>
  </si>
  <si>
    <t>A girl is sitting talking the the camera.</t>
  </si>
  <si>
    <t>The girl points the camera to the ground.</t>
  </si>
  <si>
    <t>A half manicure hand of another girl is seen on the floor.</t>
  </si>
  <si>
    <t>The first girl proceeds to polish the second girl's fingernails.</t>
  </si>
  <si>
    <t>v_WvpiEwrWmWE</t>
  </si>
  <si>
    <t>A cheerleader perform graciously using a rod that spins in her right hand.</t>
  </si>
  <si>
    <t>Then, she takes another rod to perform and spins at the same time the rods.</t>
  </si>
  <si>
    <t>After, the cheerleader put one rod on the floor and continue performing only with one rod.</t>
  </si>
  <si>
    <t>v_Fk0z6MeCV0I</t>
  </si>
  <si>
    <t>A class of kids are at outside at school dressed in uniforms with their teacher standing next to them.</t>
  </si>
  <si>
    <t>As they are in line,one girl is in the middle of a game of hop scotch,turns around,finishes and gets back in line.</t>
  </si>
  <si>
    <t>Once she is finishes,all of the other kids takes their turn one by one.</t>
  </si>
  <si>
    <t>v_YmGXXV6ztUo</t>
  </si>
  <si>
    <t>An Asian man wearing glasses, a green shirt with yellow stripes is sitting down talking in a room.</t>
  </si>
  <si>
    <t>Still shot pictures of a book appear, and the man appears talking again, and then more black text on a white screen shows up.</t>
  </si>
  <si>
    <t>The man appears again but this time he's outdoors and he's holding a very large archery and is showing the right and the wrong way to draw his string back.</t>
  </si>
  <si>
    <t>The man then moves a plant and stands so that he's standing in between two of them on the ground and he begins holding his archery, and showing different ways to hold it.</t>
  </si>
  <si>
    <t>The man appears again back indoors and sitting down talking.</t>
  </si>
  <si>
    <t>v_8l7SuE4_lCk</t>
  </si>
  <si>
    <t>A young man is seen looking into the camera holding a toothbrush.</t>
  </si>
  <si>
    <t>The man then begins brushing his teeth in several shots.</t>
  </si>
  <si>
    <t>He continues brushing his teeth and showing off his mouth in the end.</t>
  </si>
  <si>
    <t>v_CYj2ltxPNDo</t>
  </si>
  <si>
    <t>An athlete stands eagerly awaiting his turn while the judges prepare for his routine.</t>
  </si>
  <si>
    <t>A foreign commentator comments on his routine while he flips himself through the air.</t>
  </si>
  <si>
    <t>The man continues twirling and flipping on the bars for his gymnastic routine while audience members cheer loudly.</t>
  </si>
  <si>
    <t>The video slows down and shows the highlights of the routine in slow motion.</t>
  </si>
  <si>
    <t>The athlete rests on the couch while the judges finish their critiques.</t>
  </si>
  <si>
    <t>Eventually the man hears his score and smiles pleasingly.</t>
  </si>
  <si>
    <t>v_E1b_DF716Q4</t>
  </si>
  <si>
    <t>A young girl is seen sitting in front of the camera with several objects being held in front of her face.</t>
  </si>
  <si>
    <t>Two hand pulls a tube through next to her and the woman then puts the tubes in the girl's hair.</t>
  </si>
  <si>
    <t>In the end the woman takes the tubes out and the girl continues to look at the camera.</t>
  </si>
  <si>
    <t>v_ucR3VztMyeE</t>
  </si>
  <si>
    <t>A girl starts to climb the monkey bars.</t>
  </si>
  <si>
    <t>She starts climbing forward to the end.</t>
  </si>
  <si>
    <t>She has difficulties in the middle of the bars.</t>
  </si>
  <si>
    <t>A woman appears looking to help.</t>
  </si>
  <si>
    <t>She finishes the climb very happy.</t>
  </si>
  <si>
    <t>v_7hRls13HJow</t>
  </si>
  <si>
    <t>A person is filming a house and a dog walking into frame.</t>
  </si>
  <si>
    <t>A small girl is washing the floor with a mop and talking to the camera man.</t>
  </si>
  <si>
    <t>The camera man talks to the girl about cleaning and why she likes it.</t>
  </si>
  <si>
    <t>The girl finishes washing the floor.</t>
  </si>
  <si>
    <t>v_Ax8GCogz6Yg</t>
  </si>
  <si>
    <t>An introduction comes onto the screen for a video about a jump rope competition.</t>
  </si>
  <si>
    <t>One person is shown doing a set of jump rope tricks.</t>
  </si>
  <si>
    <t>Two people are then shown doing more jump rope tricks.</t>
  </si>
  <si>
    <t>Next, four people are shown doing jump rope tricks in the gymnasium.</t>
  </si>
  <si>
    <t>Next a variety of tricks are being shown done by several different people on the floor in the gymnasium.</t>
  </si>
  <si>
    <t>The video then ends with the closing credits.</t>
  </si>
  <si>
    <t>v_ANuV_fDgI54</t>
  </si>
  <si>
    <t>We see a red opening screen.</t>
  </si>
  <si>
    <t>Men pole vault in an outdoor field.</t>
  </si>
  <si>
    <t>A mans's face on the left of the screen moves back and out of the shot.</t>
  </si>
  <si>
    <t>The camera angle changes and we continue to watch the men pole vault.</t>
  </si>
  <si>
    <t>v_dzsSiqXxfpw</t>
  </si>
  <si>
    <t>A man is seen lecturing a crowd while holding several green Frisbees in his hand.</t>
  </si>
  <si>
    <t>After talking to the crowd he calls out and a dog runs out on the stage to him.</t>
  </si>
  <si>
    <t>Initially he starts to play with the dog and the dog kept trying to grab the mans frisbees,than the man throws the Frisbees on the ground and starts to play fetch with the dog.</t>
  </si>
  <si>
    <t>At one point the dog starts to jump off the mans back as he chases after Frisbees.</t>
  </si>
  <si>
    <t>Also at another point the man grabs on to a Frisbee at one end and a dog at the other end and he starts to spin the dog around.</t>
  </si>
  <si>
    <t>In the end the man performs a trick with the dog and makes him do a back flip and grabs him and takes him off the stage .</t>
  </si>
  <si>
    <t>v_-uICMT1yOcM</t>
  </si>
  <si>
    <t>A baby is sitting in a high chair.</t>
  </si>
  <si>
    <t>An ice cream pop goes into her mouth, and she chews a bite from it.</t>
  </si>
  <si>
    <t>She sticks out her tongue after every bite, licking at the air.</t>
  </si>
  <si>
    <t>v_FI_1dsErIXE</t>
  </si>
  <si>
    <t>A man holds a yellow canister as he clears a wood board.</t>
  </si>
  <si>
    <t>He sprays the wood with the yellow canister.</t>
  </si>
  <si>
    <t>He takes a rag and cleans the wood.</t>
  </si>
  <si>
    <t>He speaks as he showcases the wood and presses his fingers on the board.</t>
  </si>
  <si>
    <t>v_c6Cbq-WNq9M</t>
  </si>
  <si>
    <t>The exterior of a building is shown, including a waving American flag near the front door.</t>
  </si>
  <si>
    <t>A man appears and talks about a tree near the front of the building.</t>
  </si>
  <si>
    <t>He then demonstrates how to trim the tree, picking off branches at eye level and using a tool for taller branches.</t>
  </si>
  <si>
    <t>The company hat is then shown on the step, surrounded by leaves.</t>
  </si>
  <si>
    <t>v_mb2fWzNSob0</t>
  </si>
  <si>
    <t>At the center of sandy field, has the cows fighting at the center, while the audience are watching on the sides, sitting on the ground.</t>
  </si>
  <si>
    <t>Three men are supervising the bullfighting, the bull push each other with their horns.</t>
  </si>
  <si>
    <t>A man got off from his truck, the other man pulled the bull off of his truck, the bull are tied on a poles.</t>
  </si>
  <si>
    <t>Two men are holding each end of the rope as the black bull stumped on the ground.</t>
  </si>
  <si>
    <t>The bulls are fighting at the center of the field, and the people are watching, one bull ran towards the audience.</t>
  </si>
  <si>
    <t>v_80spFFIdnC4</t>
  </si>
  <si>
    <t>A view of a wide ocean taken from a boat appears and various men are shown doing different things on the boat on both the inside and the outside and include steering the wheel up deck, or sitting at computers monitoring things.</t>
  </si>
  <si>
    <t>A man sitting on the deck of the boat is talking to the camera while a man behind him is standing and the man beside that standing man is controlling the steering wheel of the boat.</t>
  </si>
  <si>
    <t>The focus change to another man on the boat and he is talking to the camera as well.</t>
  </si>
  <si>
    <t>v_2OEc8kPVn_Y</t>
  </si>
  <si>
    <t>An Asian woman is standing outside in a large field wearing a pink loose linen like outfit.</t>
  </si>
  <si>
    <t>She then puts her legs and hands out and begins to move like a ninja throughout the field.</t>
  </si>
  <si>
    <t>After she has moved left and right across the field,she then comes back to the middle of the field and stands still to complete her routine.</t>
  </si>
  <si>
    <t>v_kRBqJhxfWHc</t>
  </si>
  <si>
    <t>A woman in an orange shirt is drinking a glass of beer.</t>
  </si>
  <si>
    <t>The beer is pouring down the front of her shirt.</t>
  </si>
  <si>
    <t>People behind her are dancing.</t>
  </si>
  <si>
    <t>She finishes the drink and sets it down.</t>
  </si>
  <si>
    <t>v_4ZyPBOe4P0U</t>
  </si>
  <si>
    <t>A man in a tan shirt is talking.</t>
  </si>
  <si>
    <t>He sets his tennis racket down on the ground.</t>
  </si>
  <si>
    <t>Another man runs around on a tennis court.</t>
  </si>
  <si>
    <t>v_bH7ORYDcI7A</t>
  </si>
  <si>
    <t>A black and white dog is standing near the main door of a house as he listens to the sound of helicopter.</t>
  </si>
  <si>
    <t>Then main door then opens and the dog steps back.</t>
  </si>
  <si>
    <t>There are two dog trainers in an enclosed room training a dog to jump and catch several Frisbee.</t>
  </si>
  <si>
    <t>the male trainer throws the Frisbee at the dog and the dog jumps and fetches it for him.</t>
  </si>
  <si>
    <t>The trainer continuously throws the Frisbee and dog jumps high up and grabs the Frisbee every time.</t>
  </si>
  <si>
    <t>There are several different trainers shown training and teaching their dogs tricks.</t>
  </si>
  <si>
    <t>v_rScqKu8Mwhk</t>
  </si>
  <si>
    <t>An introduction for a vacuum demo is shown on the screen.</t>
  </si>
  <si>
    <t>The video shows the vacuum being tested against several different challenges by a boy and his father.</t>
  </si>
  <si>
    <t>The video ends with a screen showing the logo for the vacuum company.</t>
  </si>
  <si>
    <t>v_7VbXyfF3kEw</t>
  </si>
  <si>
    <t>Two women wearing matching outfits are on their microphones and kind of half watching a boy play with a rubix cube.</t>
  </si>
  <si>
    <t>The boy is solving the cube pretty quickly the girl seems pretty shocked.</t>
  </si>
  <si>
    <t>Then a group of people start trying to a puzzle to see who is the fastest.</t>
  </si>
  <si>
    <t>Another boy in a blue shirt come up and starts to solve it and when he does the girls give hime a prize.</t>
  </si>
  <si>
    <t>v_7lwrP2ma2TU</t>
  </si>
  <si>
    <t>A person observes an old samurai temple.</t>
  </si>
  <si>
    <t>A man holds an arch and shoots arrows, while men sit on the road sorts arrows.</t>
  </si>
  <si>
    <t>Three small boards are fix on the ground, suddenly and arrow hits one board.</t>
  </si>
  <si>
    <t>People gather on a road, then a old man gives a white box to a man dressed in white clothes.</t>
  </si>
  <si>
    <t>v_gi0wjdtxaC4</t>
  </si>
  <si>
    <t>A boy does cartwheels and back hand springs on the grass as a friend watches and records.</t>
  </si>
  <si>
    <t>He stops for a moment and takes a break then continues to do more flips.</t>
  </si>
  <si>
    <t>Another guy comes onto the screen and attempts to do some flips on the grass.</t>
  </si>
  <si>
    <t>v_ru4NMIVZqrg</t>
  </si>
  <si>
    <t>A girl walks out of a room and down a hall.</t>
  </si>
  <si>
    <t>She puts down her duffel bag before lying down on a table.</t>
  </si>
  <si>
    <t>Someone hands her a cup and she drinks it, then they work on tattooing her tongue.</t>
  </si>
  <si>
    <t>A rod is inserted into her tonue and clipped, creating a piercing.</t>
  </si>
  <si>
    <t>She sticks out her tongue at the camera, showing off her piercing.</t>
  </si>
  <si>
    <t>v_r09mVf2dQnk</t>
  </si>
  <si>
    <t>A custodian sprays the counter of a sink with a spray bottle.</t>
  </si>
  <si>
    <t>The worker uses a brush to clean out the sink.</t>
  </si>
  <si>
    <t>The worker uses a hand towel to clean out the liquid in the sink.</t>
  </si>
  <si>
    <t>v_xww6n1FoJIM</t>
  </si>
  <si>
    <t>A man is talking about what is going on in the TV behind him as a news story.</t>
  </si>
  <si>
    <t>A group of people are in the field playing a game running all around.</t>
  </si>
  <si>
    <t>Many of the players are able to have a chance to speak about the team and stuff.</t>
  </si>
  <si>
    <t>They show the practice and the players and then they go back to the news anchors who continue to talk a little bit more about it.</t>
  </si>
  <si>
    <t>v_8TqqLqBb3sk</t>
  </si>
  <si>
    <t>A woman is standing in a kitchen while talking.</t>
  </si>
  <si>
    <t>She shows a bag, pushing on it with her fist.</t>
  </si>
  <si>
    <t>She closes it up, and shows how it stays in shape.</t>
  </si>
  <si>
    <t>v__cU5aISTDBo</t>
  </si>
  <si>
    <t>A man picks up a long pole and starts running down a track.</t>
  </si>
  <si>
    <t>He jumps over a high bar and lands on a mat.</t>
  </si>
  <si>
    <t>v_ij87GXkcdho</t>
  </si>
  <si>
    <t>Several people are seen riding on exercise equipment while speaking to the camera.</t>
  </si>
  <si>
    <t>A man is seen speaking to the camera while more shots of the equipment are shown.</t>
  </si>
  <si>
    <t>People move all around the machine and lead with the man speaking more and showing how to adjust the machine.</t>
  </si>
  <si>
    <t>v_3FUVKpQA6IY</t>
  </si>
  <si>
    <t>Some people are playing beer bong having a good time, the man throws fist and he makes it into the girls cup.</t>
  </si>
  <si>
    <t>She drinks her drink and then wets her ball in water before throwing her ball.</t>
  </si>
  <si>
    <t>Then, she takes a seat and the other guy takes his turn.</t>
  </si>
  <si>
    <t>Then it's the girl on the other teams turn, they keep taking their turns and drinking away, having a good time.</t>
  </si>
  <si>
    <t>v_IytPbGtfo14</t>
  </si>
  <si>
    <t>We see a lady behind a bar talking.</t>
  </si>
  <si>
    <t>The lady pours ice in glass.</t>
  </si>
  <si>
    <t>The lady pours three shots of liquor into a cup.</t>
  </si>
  <si>
    <t>The lady pours other stuff in and shakes it.</t>
  </si>
  <si>
    <t>The lady pours the pours the drink into a glass.</t>
  </si>
  <si>
    <t>The lady adds some red stuff.</t>
  </si>
  <si>
    <t>The lady holds the glass and smiles.</t>
  </si>
  <si>
    <t>v_hiz0rH1bO7k</t>
  </si>
  <si>
    <t>kids are playing hurling in a large green field.</t>
  </si>
  <si>
    <t>kids are sanding al in front of the goal to make a free shot.</t>
  </si>
  <si>
    <t>kids are posing for a picture in the green field.</t>
  </si>
  <si>
    <t>v_J7LhH4IKvnM</t>
  </si>
  <si>
    <t>A large dog is standing in a bath tub.</t>
  </si>
  <si>
    <t>A woman in a pink shirt is scrubbing the dog with soap.</t>
  </si>
  <si>
    <t>She then starts washing the dog with a hose.</t>
  </si>
  <si>
    <t>v_bW5HfDWUP3U</t>
  </si>
  <si>
    <t>A woman is sitting on the floor with her shoes off.</t>
  </si>
  <si>
    <t>The woman puts one shoe on.</t>
  </si>
  <si>
    <t>Something is thrown at the woman and she attempts to catch it.</t>
  </si>
  <si>
    <t>The camera briefly shifts right to show another individual.</t>
  </si>
  <si>
    <t>The camera returns to the woman still putting the shoe on.</t>
  </si>
  <si>
    <t>The camera shifts right to several individuals in the room, waiting for the woman to put her shoes on.</t>
  </si>
  <si>
    <t>The camera shifts back to the woman, still putting her shoe on.</t>
  </si>
  <si>
    <t>The woman begins putting the other shoe on.</t>
  </si>
  <si>
    <t>v_Z2b84JjYdtw</t>
  </si>
  <si>
    <t>A slide of pictures shows performing a marching band and girls moving around.</t>
  </si>
  <si>
    <t>Then, marching bands play and girls perform holding flags.</t>
  </si>
  <si>
    <t>v_uGVkH6PjXLs</t>
  </si>
  <si>
    <t>A young lady is standing in a field of dirt with an ax in her hand attempting to cut down a log.</t>
  </si>
  <si>
    <t>The girl is not successful in her first attempt so she picks the log back up and tries again.</t>
  </si>
  <si>
    <t>v_giN7cA0EmLs</t>
  </si>
  <si>
    <t>A group of people are seen riding around in tubes while pushing themselves down a diver.</t>
  </si>
  <si>
    <t>The people continue to ride in the tubes down the river while looking towards the camera as well as laughing and smiling.</t>
  </si>
  <si>
    <t>v_3LrLgh2rlAM</t>
  </si>
  <si>
    <t>A man wearing black is in a gym.</t>
  </si>
  <si>
    <t>He picks up some heavy barbells.</t>
  </si>
  <si>
    <t>He lifts the barbells over his head.</t>
  </si>
  <si>
    <t>He then drops the barbells onto the ground.</t>
  </si>
  <si>
    <t>v_iRp-pWnPoYw</t>
  </si>
  <si>
    <t>A man walks out of a building and starts skateboarding.</t>
  </si>
  <si>
    <t>He is skateboarding in between cars.</t>
  </si>
  <si>
    <t>He walks into a building and sits down at a computer.</t>
  </si>
  <si>
    <t>v_23-lat1nVJg</t>
  </si>
  <si>
    <t>We see a lady knitting and singing.</t>
  </si>
  <si>
    <t>We then see a ad for a beer.</t>
  </si>
  <si>
    <t>v_Vk-aKj0R65o</t>
  </si>
  <si>
    <t>Two people are in a room, wearing fencing equipment.</t>
  </si>
  <si>
    <t>They fight with swords, passing back and forth as they jab at each other.</t>
  </si>
  <si>
    <t>v_arfBwR8qgPw</t>
  </si>
  <si>
    <t>a camera shows a group of people sitting around a gymnasium floor with a few standing and one crossing his arms.</t>
  </si>
  <si>
    <t>Suddenly a student comes into frame and jumps over a pole into a mat.</t>
  </si>
  <si>
    <t>v_Cb_R59_-0zU</t>
  </si>
  <si>
    <t>A man starts doing different things such as sneezing,cooking,using the restroom,and washing his face indicating when to wash your hands.</t>
  </si>
  <si>
    <t>A female then comes along and walks to a sink in the kitchen and begins to lather her hands.</t>
  </si>
  <si>
    <t>She then turns on the faucet and rinses her hands,dries them,and puts the napkin in the trash can.</t>
  </si>
  <si>
    <t>v_jpSbO4LrEnc</t>
  </si>
  <si>
    <t>A person is seen wearing a back pack and riding away from the camera on roller blades.</t>
  </si>
  <si>
    <t>The person then rides back and hangs onto a sign swinging himself around then smiling at the camera.</t>
  </si>
  <si>
    <t>v_hhN1647pP88</t>
  </si>
  <si>
    <t>a man is wearing a safety vest.</t>
  </si>
  <si>
    <t>He is working with tools and sand.</t>
  </si>
  <si>
    <t>He uses the sand to spread evenly against the walls.</t>
  </si>
  <si>
    <t>v_FCYdwCXRNVI</t>
  </si>
  <si>
    <t>We see a person welding in the dark.</t>
  </si>
  <si>
    <t>The person pauses and adjusts his helmet.</t>
  </si>
  <si>
    <t>The man lifts his helmet briefly.</t>
  </si>
  <si>
    <t>The man lifts and lowers his helmet.</t>
  </si>
  <si>
    <t>the man looks out from under his helmet.</t>
  </si>
  <si>
    <t>The man finishes and lifts his helmet.</t>
  </si>
  <si>
    <t>v_QLVgy-1ydr0</t>
  </si>
  <si>
    <t>A male attaches a hollow stick on a bull whom chases him.</t>
  </si>
  <si>
    <t>A guy messes with a bull.</t>
  </si>
  <si>
    <t>A bull pushes a man down.</t>
  </si>
  <si>
    <t>The audience claps while standing.</t>
  </si>
  <si>
    <t>The bull is lured into a pen and the gates are close.</t>
  </si>
  <si>
    <t>The male gives a thumbs up and smiles.</t>
  </si>
  <si>
    <t>A male attaches two hollow sticks on a bull and runs off.</t>
  </si>
  <si>
    <t>The bull tackles the male.</t>
  </si>
  <si>
    <t>The male gets up and his face is bloody.</t>
  </si>
  <si>
    <t>People help the male and carry him away.</t>
  </si>
  <si>
    <t>The male leaves a black shoe behind.</t>
  </si>
  <si>
    <t>People discuss in a circle.</t>
  </si>
  <si>
    <t>The man nods his head.</t>
  </si>
  <si>
    <t>People walk off the rodeo dirt and the man covers his nose.</t>
  </si>
  <si>
    <t>v_fZ_CmvF-_No</t>
  </si>
  <si>
    <t>A team of competition cheerleaders come running out into the field and get into formation.</t>
  </si>
  <si>
    <t>The girls squat down and they begin to do their cheer which consists of several stunts,tricks,and jumps across the mat.</t>
  </si>
  <si>
    <t>Once they are finished,the girls end in a stunt and the stunt man runs out to the group.</t>
  </si>
  <si>
    <t>v_2cUJTeArPsI</t>
  </si>
  <si>
    <t>little kid is hanging from a pole in a playground.</t>
  </si>
  <si>
    <t>playground is shown in a dusty field in a big park.</t>
  </si>
  <si>
    <t>little kid is wearng pink shirt and is hanging from a side to side.</t>
  </si>
  <si>
    <t>v_0UcBldDI0RA</t>
  </si>
  <si>
    <t>Joe Morin from Titan alloy is talking about welding aluminum.</t>
  </si>
  <si>
    <t>He is doing a tutorial on how to fix aluminum.</t>
  </si>
  <si>
    <t>He shows a new product called Nova, which is an electrode for cleaning dirty aluminum.</t>
  </si>
  <si>
    <t>He shows two aluminum plates that are joined together for demonstration purposes.</t>
  </si>
  <si>
    <t>He takes the Nova rod and shows how he can weld the two pieces together.</t>
  </si>
  <si>
    <t>He begins welding the two plates of aluminum.</t>
  </si>
  <si>
    <t>Then he hits the plates with a hammer and scrubs off the dust.</t>
  </si>
  <si>
    <t>He shows the back side of the plates and how it is welded together.</t>
  </si>
  <si>
    <t>v_EzQL-i_MTdU</t>
  </si>
  <si>
    <t>A man at a professional sports event, lifts a large and heavy weight using knees, back and arm strength while a woman in a suit watches from the sidelines.</t>
  </si>
  <si>
    <t>A man wearing a "USA" shirt, or team uniform approaches a two sided weight as a woman watches from the side near a door.</t>
  </si>
  <si>
    <t>The man lifts the weight and the camera shows the process in slow motion.</t>
  </si>
  <si>
    <t>The man lifts the weight over his head and then drops it to mid body before letting it fall to the floor, at which he point he waives at an unseen audience, all while the woman on the sideline continues to observe.</t>
  </si>
  <si>
    <t>v_b1PAqOmflgI</t>
  </si>
  <si>
    <t>A boy in a blue t-shirt bounces two basketballs in a gym while blocking another basketball player and making a goal with the ball.</t>
  </si>
  <si>
    <t>A boy bounces two basketballs between his legs.</t>
  </si>
  <si>
    <t>Another basketball player approaches him and tries to take the ball from him.</t>
  </si>
  <si>
    <t>The player in the blue shirt blocks him and makes the goal, and then proceeds to do it again, twice.</t>
  </si>
  <si>
    <t>v_OLUOk4xfYWE</t>
  </si>
  <si>
    <t>man is playing piano with a lot of people gathered around him.</t>
  </si>
  <si>
    <t>man is holding a cellphone and is recording the man in the piano.</t>
  </si>
  <si>
    <t>v_HBJzxWj7CaY</t>
  </si>
  <si>
    <t>A man stands in front of the camera speaking and various trips of people and sites are shown.</t>
  </si>
  <si>
    <t>Another man is interviewed followed by several more shots of the area.</t>
  </si>
  <si>
    <t>A panel of people speak to one another and people get ready for a race.</t>
  </si>
  <si>
    <t>Dozens of people line up and begin swimming in the ocean to race.</t>
  </si>
  <si>
    <t>Many more people are interviewed while the race continues and many people watch and discuss the events.</t>
  </si>
  <si>
    <t>v_pf9u7M6vafU</t>
  </si>
  <si>
    <t>A young girl is seen sitting on a bed with two knitting needles and thread in her hands.</t>
  </si>
  <si>
    <t>The camera pans around her and watches her knit while she speaks and looks off into the distance.</t>
  </si>
  <si>
    <t>v_2U0vMYnC49c</t>
  </si>
  <si>
    <t>A boy in red jacket holds a window scraper tool and remove snow from a car windshield.</t>
  </si>
  <si>
    <t>The boy turns the tool and uses the edge corner edge briefly.</t>
  </si>
  <si>
    <t>The boy continues to scrape the windshield as before with the broad side of the tool.</t>
  </si>
  <si>
    <t>v_0GpNcvAVWVg</t>
  </si>
  <si>
    <t>We see the colorful title card.</t>
  </si>
  <si>
    <t>We see kids playing at the playground.</t>
  </si>
  <si>
    <t>The boy gets off the swing and we follow him to the slide.</t>
  </si>
  <si>
    <t>The boy finishes sliding and goes to a different part of the park and plays around.</t>
  </si>
  <si>
    <t>The boy slides and falls on the bridge before sliding down.</t>
  </si>
  <si>
    <t>He plays with the large swing with another kid.</t>
  </si>
  <si>
    <t>We see the end screen.</t>
  </si>
  <si>
    <t>v_hgpekgU915k</t>
  </si>
  <si>
    <t>A person is holding someone on their shoulders.</t>
  </si>
  <si>
    <t>They spin around several times and fall over onto the floor.</t>
  </si>
  <si>
    <t>The man gets up and sits on the bed.</t>
  </si>
  <si>
    <t>v_PvrozrgcGf0</t>
  </si>
  <si>
    <t>These girls are shown kneeling down on the floor and playing dress up One girl put's chap stick on her lips, cheeks, forehead, and under her eyes.</t>
  </si>
  <si>
    <t>Then another one puts a little makeup on the top of her eyes.</t>
  </si>
  <si>
    <t>v_e5XATG2IK6Q</t>
  </si>
  <si>
    <t>A young child is seen standing before a car holding a rag and looking at the camera.</t>
  </si>
  <si>
    <t>The boy uses the rag all over the car while the camera follows his movements.</t>
  </si>
  <si>
    <t>He continues moving around the car while another man sprays a hose and the boy wipes it down.</t>
  </si>
  <si>
    <t>v_JXucFXh58VE</t>
  </si>
  <si>
    <t>Several people are seen drilling holes into the ice while looking down and speaking to the camera.</t>
  </si>
  <si>
    <t>Many pictures are shown of the people fishing as well as pulling fish out of a hole.</t>
  </si>
  <si>
    <t>More people sit by the holes and continue to pull out fish.</t>
  </si>
  <si>
    <t>v_lV7tpgelpAY</t>
  </si>
  <si>
    <t>A group of people are on an obstacle course together.</t>
  </si>
  <si>
    <t>They are hiding behind the obstacles and shooting at each other with paint guns.</t>
  </si>
  <si>
    <t>They run around, then gather and hug when they are done.</t>
  </si>
  <si>
    <t>v_T8P52q1gCNA</t>
  </si>
  <si>
    <t>Ingredients are mixed together in a silver bowl.</t>
  </si>
  <si>
    <t>It is then placed on a cookie sheet.</t>
  </si>
  <si>
    <t>The cooked food is then shown and broken in half.</t>
  </si>
  <si>
    <t>v_kRVmpJILmjo</t>
  </si>
  <si>
    <t>A field is shown along with some mountains as a person begins driving down a road.</t>
  </si>
  <si>
    <t>After,men are shown and they get out and begin skateboarding down a road in the country.</t>
  </si>
  <si>
    <t>As the continue,a large hay stand is in the middle of the road and they all pass through it and they finish skating down the road.</t>
  </si>
  <si>
    <t>v_LihSTWbJZJo</t>
  </si>
  <si>
    <t>A pile of trees are shown blowing outside on a cobblestone path outside of a building.</t>
  </si>
  <si>
    <t>As the leaves continue to blow a young boy walks into the scene clearing the path with his leaf blower.</t>
  </si>
  <si>
    <t>v_LI3wIHFQkAk</t>
  </si>
  <si>
    <t>A man in a suit plays a flute on stage in front of a man playing a piano.</t>
  </si>
  <si>
    <t>They finish playing and the man playing the piano stands up.</t>
  </si>
  <si>
    <t>v_zc7_D9RiOY0</t>
  </si>
  <si>
    <t>A scuba diver is under the water wearing oxygen in he mouth.</t>
  </si>
  <si>
    <t>The diver is holding his eye mask, and put it on.</t>
  </si>
  <si>
    <t>Another scuba diver took off his eye masks, while behind him are other scuba divers swimming, then he put back is masked on and give an okay sign with his fingers.</t>
  </si>
  <si>
    <t>v_XgJ6iiK-gQo</t>
  </si>
  <si>
    <t>A man is hedging a bush in a yard.</t>
  </si>
  <si>
    <t>He cuts the thick brush up and down.</t>
  </si>
  <si>
    <t>He finishes the hedge, showing off his skills.</t>
  </si>
  <si>
    <t>v_LXH96dFBVYk</t>
  </si>
  <si>
    <t>A bulls runs in the street goring people and throwing them to the floor, while the bulls is attached to a rope.</t>
  </si>
  <si>
    <t>The bull enters a home, then the bull continues goring people in the street.</t>
  </si>
  <si>
    <t>The bull enters a corral and attack a person behind the fence, then the bull continues fiercely goring people in the street.</t>
  </si>
  <si>
    <t>A person pet the bull through a window, after the bull clash with another bull that falls on the ground.</t>
  </si>
  <si>
    <t>The bull attacks a dog sit on front a door.</t>
  </si>
  <si>
    <t>The bull gores people and also attacks people on the sidewalk.</t>
  </si>
  <si>
    <t>The bull continues goring people's behind.</t>
  </si>
  <si>
    <t>v__Ga4HoMl6yM</t>
  </si>
  <si>
    <t>First the man walks the blindfolded woman near the pinata and she starts swinging the broom to hit it.</t>
  </si>
  <si>
    <t>But she misses a few times because the pinata moves up and down in the air.</t>
  </si>
  <si>
    <t>After a while of trying, she hits the string the pinata is hanging from and knocks the pinata down, but has barely gotten any candy out.</t>
  </si>
  <si>
    <t>v_DHWmzuAWxLM</t>
  </si>
  <si>
    <t>A small group of people seen sitting in the water followed by one riding behind a helicopter on a board and a woman speaking to the camera.</t>
  </si>
  <si>
    <t>The man continues to ride and then is seen up in the air with the helicopter and the pilots waving.</t>
  </si>
  <si>
    <t>The man then lets go of the helicopter, riding down on a parachute and landing safely back into the water.</t>
  </si>
  <si>
    <t>The man then lays down while his shot is shown again and the woman speaks to him.</t>
  </si>
  <si>
    <t>v_5Vd6PEUWo64</t>
  </si>
  <si>
    <t>Two women are standing on a beach, wearing bikinis and holding a surf board.</t>
  </si>
  <si>
    <t>They are then shown walking onto the beach and posing for pictures in between surfing on the waves.</t>
  </si>
  <si>
    <t>They show how to do various surfing moves.</t>
  </si>
  <si>
    <t>They are then shown on the beach, sitting down as they talk.</t>
  </si>
  <si>
    <t>v_WVkOtMX9Gg8</t>
  </si>
  <si>
    <t>Several men are seen hosting a news segment that leads into clips of people playing a game together and arguing with one another.</t>
  </si>
  <si>
    <t>More shots of people playing are shown as well as people celebrating and walking away.</t>
  </si>
  <si>
    <t>More shots are shown of the hosts speaking to one another and people hitting the ball and walking away.</t>
  </si>
  <si>
    <t>v_2RxbcK90TeA</t>
  </si>
  <si>
    <t>A woman and one other person paddle in an orange canoe in a calm body of water surrounded by mountains, trees, and bushes.</t>
  </si>
  <si>
    <t>The woman is at the front of the canoe paddling and the other person, who is wearing a face covering hat, sits behind the woman.</t>
  </si>
  <si>
    <t>The two people paddle from the left and pass a line of bushes in front of a mountain.</t>
  </si>
  <si>
    <t>The two people then paddle further away from the mountain and closer to the middle of the body of water.</t>
  </si>
  <si>
    <t>v_vcE8e-fQBhs</t>
  </si>
  <si>
    <t>The video leads into several shots of people performing impressing jumps and flips off of a high dive.</t>
  </si>
  <si>
    <t>More and more people jump off the various heights of the dives and two are shown at the same time in the end.</t>
  </si>
  <si>
    <t>v_8O1cLqQrn4o</t>
  </si>
  <si>
    <t>A man is seen speaking to the camera while man people stand around behind him and practice.</t>
  </si>
  <si>
    <t>The men hit the badminton back and fourth while the older gentlemen continues to speak and point around the court.</t>
  </si>
  <si>
    <t>v_SmBEf-g82Ew</t>
  </si>
  <si>
    <t>A close up of tools and objects are shown laid out leading into several clips of a mean measuring a wall and laying plaster down on it.</t>
  </si>
  <si>
    <t>The man shows how to make plaster while transitioning with him making plaster and continues to show more clips of him laying it down.</t>
  </si>
  <si>
    <t>v_mTsEJFP3W1A</t>
  </si>
  <si>
    <t>A bicycle is shown in a room leaning up against a brown table.</t>
  </si>
  <si>
    <t>A person then walks into the room and starts to take pieces off of the bicycle.</t>
  </si>
  <si>
    <t>The pieces are then added back on the bike and tightened around the wheel.</t>
  </si>
  <si>
    <t>v_iHQ-Kg4Fms8</t>
  </si>
  <si>
    <t>A man stand in the porch of a house looks around and smile.</t>
  </si>
  <si>
    <t>Then, the man grabs a cup and drinks, after he leaves.</t>
  </si>
  <si>
    <t>v_i_Fs0Qrtu90</t>
  </si>
  <si>
    <t>A woman touched a black phone, and a screen of purple capsule like bacteria showed up.</t>
  </si>
  <si>
    <t>The person put back the phone, and started typing on the black keyboard.</t>
  </si>
  <si>
    <t>The bacteria shot is put in the scene.</t>
  </si>
  <si>
    <t>The woman put her hand on the mouse.</t>
  </si>
  <si>
    <t>She put her hand on the wooden desktop.</t>
  </si>
  <si>
    <t>The woman got up and walk towards the hallway.</t>
  </si>
  <si>
    <t>The woman saw a man and shake his hand.</t>
  </si>
  <si>
    <t>The woman went to the bathroom.</t>
  </si>
  <si>
    <t>The woman took off her ring, wash her hand, got home soap and rub it on her hand thoroughly and rinse it.</t>
  </si>
  <si>
    <t>The woman sneeze on her hand.</t>
  </si>
  <si>
    <t>She walks towards her office, put her hand on the desk and phone.</t>
  </si>
  <si>
    <t>v_qqLiKDMtps8</t>
  </si>
  <si>
    <t>These two people shown here are riding their bikes over snowy humps outside.</t>
  </si>
  <si>
    <t>They've rode over dirt humps.</t>
  </si>
  <si>
    <t>They've also rode over sand humps in the building and other humps in a race.</t>
  </si>
  <si>
    <t>v_V3Sz4WWJ2_M</t>
  </si>
  <si>
    <t>A man is seen holding up objects while speaking to a woman and rubbing the object along the wall.</t>
  </si>
  <si>
    <t>He then dips paper in water and begins hanging it up on the walls.</t>
  </si>
  <si>
    <t>He holds up a spray bottle to spray the walls while the others help.</t>
  </si>
  <si>
    <t>The people check the wall and take the paper off followed taking the actual wallpaper off and rubbing the wall.</t>
  </si>
  <si>
    <t>v_3I6LMFdA2lc</t>
  </si>
  <si>
    <t>A baby is shown laying in bed while a comb gently brushes it's hair.</t>
  </si>
  <si>
    <t>The baby eventually smiling while the hand continues to brush the baby's head.</t>
  </si>
  <si>
    <t>The baby gently closes it's eyes and yawns while the brush continues to comb.</t>
  </si>
  <si>
    <t>v_g4vyzwiJYWw</t>
  </si>
  <si>
    <t>A woman demonstrates how to wash the face by washing her face in sink.</t>
  </si>
  <si>
    <t>A woman stands over a sink and splashes water on her face.</t>
  </si>
  <si>
    <t>The woman then works up a lather with liquid soap she has poured onto her hands.</t>
  </si>
  <si>
    <t>The woman then washes her face in circular motions the woman then used a towel to dry her face.</t>
  </si>
  <si>
    <t>v_Ti14bsS3RtU</t>
  </si>
  <si>
    <t>A roofing commercial demonstrates how to fix a slate roof on a house.</t>
  </si>
  <si>
    <t>A man cuts parts on a folding table outside and then installs a slate on a roof using power tools and tools from his tool belt.</t>
  </si>
  <si>
    <t>The man installs copper pieces to the slate roof that protrude from the roof.</t>
  </si>
  <si>
    <t>The man then cuts a copper pipe and does some soldering to the edges of a hole in the copper pipe before the camera cuts again to the roof and then a marketing graphic.</t>
  </si>
  <si>
    <t>v_GBNj2k2OVGo</t>
  </si>
  <si>
    <t>A man with saxophone is playing at the center of the park while a woman is sitting by the fountain.</t>
  </si>
  <si>
    <t>The man is playing the saxophone.</t>
  </si>
  <si>
    <t>Behind him are people lining up at the atm.</t>
  </si>
  <si>
    <t>The camera came closer to the gold saxophone.</t>
  </si>
  <si>
    <t>The man continue playing while people walking past him.</t>
  </si>
  <si>
    <t>The man blow so hard on his saxophone.</t>
  </si>
  <si>
    <t>A white bird standing behind the man.</t>
  </si>
  <si>
    <t>v_7HKWppcWgeY</t>
  </si>
  <si>
    <t>A man is standing next to a bicycle.</t>
  </si>
  <si>
    <t>He is holding a new tube for a tire.</t>
  </si>
  <si>
    <t>He grabs an air pump and attaches it to the tire.</t>
  </si>
  <si>
    <t>He pumps the tire with air.</t>
  </si>
  <si>
    <t>He attaches the pump to the flat tire and pumps it up.</t>
  </si>
  <si>
    <t>v_OO3NO29L50U</t>
  </si>
  <si>
    <t>A person's hand is shown sticking a pen into some water followed by a bit of nail polish.</t>
  </si>
  <si>
    <t>The water changes colors as the various paints are shown and the person creates a swirling pattern into the water.</t>
  </si>
  <si>
    <t>v_RoHYo2x9gbc</t>
  </si>
  <si>
    <t>We see three men in a field cutting tall grass with a scythe.</t>
  </si>
  <si>
    <t>We see the man take a handful of grass and wipe the scythe head with it.</t>
  </si>
  <si>
    <t>The man pulls something from his pocket and rubs it on the scythe.</t>
  </si>
  <si>
    <t>The men then return to cutting the grass.</t>
  </si>
  <si>
    <t>v_1aNOjjLWjxc</t>
  </si>
  <si>
    <t>People are standing on a volleyball court.</t>
  </si>
  <si>
    <t>A man in a white hat is standing in the sand.</t>
  </si>
  <si>
    <t>A person in a black shirt serves the volleyball but it doesn't make it over the net.</t>
  </si>
  <si>
    <t>v_e4YsOfQR3sI</t>
  </si>
  <si>
    <t>A woman sits at a piano and plays in front of a small audience.</t>
  </si>
  <si>
    <t>The camera focuses on several men watching her.</t>
  </si>
  <si>
    <t>The woman sings with the piano.</t>
  </si>
  <si>
    <t>The camera captures the reaction of the members of the audience.</t>
  </si>
  <si>
    <t>The camera captures more reaction shots from the audience.</t>
  </si>
  <si>
    <t>v_QZi1yBFRZzc</t>
  </si>
  <si>
    <t>A pair of garden shears is shown.</t>
  </si>
  <si>
    <t>A woman is demonstrating how to use the garden shears in different situations.</t>
  </si>
  <si>
    <t>A younger girl demonstrates how to use the shears.</t>
  </si>
  <si>
    <t>An older man shows how he uses the shears.</t>
  </si>
  <si>
    <t>A young man is shown using the shears to reach something above his head.</t>
  </si>
  <si>
    <t>The original woman shown demonstrates using the shears on different plant types.</t>
  </si>
  <si>
    <t>The same woman shows how to use the telescoping handle of the shears and cutting plants that would be out of reach.</t>
  </si>
  <si>
    <t>The same woman walks down a path with the shears.</t>
  </si>
  <si>
    <t>The woman then shows how the shears work demonstrating on several other plants.</t>
  </si>
  <si>
    <t>A young woman is shown using the shears.</t>
  </si>
  <si>
    <t>An older man uses the shears.</t>
  </si>
  <si>
    <t>Another man is shown using the shears to reach tree limbs.</t>
  </si>
  <si>
    <t>The first woman shows additional features of the shears and the same examples of other people using the shears is shown again.</t>
  </si>
  <si>
    <t>The woman walks up a set of stairs with the shears.</t>
  </si>
  <si>
    <t>The same woman is shown in the store purchasing the shears.</t>
  </si>
  <si>
    <t>v_fFoYCI-Si6s</t>
  </si>
  <si>
    <t>Two men are inside a gym.</t>
  </si>
  <si>
    <t>One is in boxing gloves and the other is wearing arm guards.</t>
  </si>
  <si>
    <t>They show off the different moves in punching and kicking.</t>
  </si>
  <si>
    <t>v_6aHGUTy1iho</t>
  </si>
  <si>
    <t>A camera pans around an athletic field with various people warming up and holding sticks.</t>
  </si>
  <si>
    <t>A girl holding a stick is spoken to by an instructor and she runs through and throws the pole.</t>
  </si>
  <si>
    <t>She walks back while another grabs a rope to estimate her distance.</t>
  </si>
  <si>
    <t>v_n1JkJu0VjQk</t>
  </si>
  <si>
    <t>A young man in a white karate uniform practices some moves.</t>
  </si>
  <si>
    <t>He bows at the end and runs towards the camera.</t>
  </si>
  <si>
    <t>v_aDrjDISgmLU</t>
  </si>
  <si>
    <t>men are standing in a field playing throwing a small piece of food into another man's mouth.</t>
  </si>
  <si>
    <t>man is talking in front of the camera and the team is standing in a big green grassy field.</t>
  </si>
  <si>
    <t>man starts playing cricket in the field.</t>
  </si>
  <si>
    <t>woman is talking to the camera in news.</t>
  </si>
  <si>
    <t>v_xSpWBpHMxqY</t>
  </si>
  <si>
    <t>A girl is riding in the back seat of a car, playing lipstick to a baby girl in a car seat.</t>
  </si>
  <si>
    <t>The girl takes the wand, trying to put it on her own lips.</t>
  </si>
  <si>
    <t>She smiles broadly for the camera.</t>
  </si>
  <si>
    <t>v_bXJMw4gLmGM</t>
  </si>
  <si>
    <t>A man is talking inside a shop.</t>
  </si>
  <si>
    <t>He shows off an iron, then uses it to melt a piece of plastic.</t>
  </si>
  <si>
    <t>The man irons then brushes a long piece of metal.</t>
  </si>
  <si>
    <t>v_HXCLDIk4pgI</t>
  </si>
  <si>
    <t>A person is clearing snow with a red snow plow.</t>
  </si>
  <si>
    <t>They push the snow to the side in a pile.</t>
  </si>
  <si>
    <t>They finish plowing the driveway.</t>
  </si>
  <si>
    <t>v_B5Zi054Fa5k</t>
  </si>
  <si>
    <t>A man in a black sweater quickly performs a Rubik cube challenge as the timer ticks.</t>
  </si>
  <si>
    <t>A man sits next to him watching.</t>
  </si>
  <si>
    <t>The man in the black sweater finishes and jumps up in excitement.</t>
  </si>
  <si>
    <t>The man that was sitting next to him stands up and is joined by other young men.</t>
  </si>
  <si>
    <t>v_cXRWQa9tQLw</t>
  </si>
  <si>
    <t>A group of cheerleaders are posing on a stage.</t>
  </si>
  <si>
    <t>They break apart, going into an elaborate dance routine.</t>
  </si>
  <si>
    <t>They flip, toss, and throw each other, then jump up and down excitedly.</t>
  </si>
  <si>
    <t>v_A_g93uJD-_8</t>
  </si>
  <si>
    <t>Two men cook omelettes on long pans in the street.</t>
  </si>
  <si>
    <t>People pass on front the men.</t>
  </si>
  <si>
    <t>A man puts scrambles eggs in the hot pan using two stick to turn over the eggs.</t>
  </si>
  <si>
    <t>Then the man adds more scrambled eggs while turning the omelette to make it bigger.</t>
  </si>
  <si>
    <t>After, he man wraps the omelette.</t>
  </si>
  <si>
    <t>v_JKE9D1anR7I</t>
  </si>
  <si>
    <t>A man jumps onto parallel bars.</t>
  </si>
  <si>
    <t>He begins doing a gymnastic routine on the parallel bars.</t>
  </si>
  <si>
    <t>He does a jump off and lands on the mat.</t>
  </si>
  <si>
    <t>v_BLSycXOF3Ro</t>
  </si>
  <si>
    <t>A girl does hula hoop spinning a hula ring around her neck, body and hands.</t>
  </si>
  <si>
    <t>Then, a person gives a hula to the girl who spins simultaneously the two hula rings.</t>
  </si>
  <si>
    <t>After, a person gives another hula ring to the girl to do hula hooping with three rings.</t>
  </si>
  <si>
    <t>At the end the girl gives a hug to the person and a presenter talks.</t>
  </si>
  <si>
    <t>v_BR4dhPz42mQ</t>
  </si>
  <si>
    <t>A large crowd of people are seen standing in the middle of the street and lead into a dance performance as well as a music performance.</t>
  </si>
  <si>
    <t>The people continue moving around in the street and end with a finishing pose.</t>
  </si>
  <si>
    <t>v_CQtu83639js</t>
  </si>
  <si>
    <t>A camera pans outside of a building and looks into a dark room where a man is exercising and speaking to the camera.</t>
  </si>
  <si>
    <t>The man continues riding on the equipment while moving faster and slower and the camera pans around his movements.</t>
  </si>
  <si>
    <t>v_BnkUgUQBED0</t>
  </si>
  <si>
    <t>We see a chair with a pillow on it.</t>
  </si>
  <si>
    <t>A man holding a cat sits down on the chair.</t>
  </si>
  <si>
    <t>The man clips the cats fingernails.</t>
  </si>
  <si>
    <t>The man strokes the cat's head.</t>
  </si>
  <si>
    <t>The man plays with the cat rocking it back and forth.</t>
  </si>
  <si>
    <t>The man stops the camera.</t>
  </si>
  <si>
    <t>v_zHXpo62bCaQ</t>
  </si>
  <si>
    <t>A woman with blonde long hair is carrying a white hula hoops, the hula hoops has rainbow colored tape on parts of it.</t>
  </si>
  <si>
    <t>The girl walked towards the lake, she is walking barefoot on the grass.</t>
  </si>
  <si>
    <t>The camera turns towards her face, then she started swirling the hula hoops and put it on her.</t>
  </si>
  <si>
    <t>The girl started to do hula hoops tricks, first on her waist then up, then to her legs and arms.</t>
  </si>
  <si>
    <t>v_M3jMJB_t024</t>
  </si>
  <si>
    <t>A large group of people are seen standing around a foose ball table speaking to one another and leads into them playing the game.</t>
  </si>
  <si>
    <t>Many people continue to watch the game on the sidelines and look down at the game taking place.</t>
  </si>
  <si>
    <t>v_VssVjdgvHrQ</t>
  </si>
  <si>
    <t>A person is seen standing before a sink turning on the faucet and wetting their hands.</t>
  </si>
  <si>
    <t>They then put soap on their hands, scrub the soap in, and rinse their hands through the water.</t>
  </si>
  <si>
    <t>Finally they use paper towels to dry their hands and throw it into the trash.</t>
  </si>
  <si>
    <t>v_jLykQW_-IVw</t>
  </si>
  <si>
    <t>A woman is smoking a cigarette.</t>
  </si>
  <si>
    <t>She is sitting down and people are walking behind her.</t>
  </si>
  <si>
    <t>She continues to hold cigarette in one arm.</t>
  </si>
  <si>
    <t>People continue to walk behind her and in front.</t>
  </si>
  <si>
    <t>She continues to smoke and stare straight ahead.</t>
  </si>
  <si>
    <t>v_Koxtbgzexmw</t>
  </si>
  <si>
    <t>Two boys play ping pong across a large ping pong table outdoors while a third boy watches from the sidelines.</t>
  </si>
  <si>
    <t>A boy in a t shirt with a wing graphic on it hits the ball towards the other shirtless player.</t>
  </si>
  <si>
    <t>The shirtless player returns the serve and the boy with the t-shirt misses the ball and has to pick it up and throw it to the other player for a re-serve.</t>
  </si>
  <si>
    <t>The two begin playing again while the boy in the middle on the sidelines observes the game.</t>
  </si>
  <si>
    <t>v_F1MKU9-yXg0</t>
  </si>
  <si>
    <t>A young man in a green jacket is standing in front of a mound of dirt and is talking about his maintenance tasks.</t>
  </si>
  <si>
    <t>The man then comes in the back yard with a green wheelbarrow and dumps the dirt in the back yard.</t>
  </si>
  <si>
    <t>He then takes his rake and moves the dirt back and forth around the house evening it out.</t>
  </si>
  <si>
    <t>When complete,he disappears and a path of mulch is seen along the garage.</t>
  </si>
  <si>
    <t>v_lxtG6PbeaqY</t>
  </si>
  <si>
    <t>Two dodgeball teams play against each other in an interior gym surrounded by onlookers in bleachers.</t>
  </si>
  <si>
    <t>The game begins with a team of men against a team of women each taking turns throwing dodge balls at each other violently.</t>
  </si>
  <si>
    <t>The teams then change sides on the gym floor with the women on the left and the men on the right.</t>
  </si>
  <si>
    <t>The game ends and both teams meet in the middle of the floor and give each other high fives.</t>
  </si>
  <si>
    <t>v_sYPd_0tC318</t>
  </si>
  <si>
    <t>There's a woman skurfing where the woman is towed on a surf board behind a sailboat.</t>
  </si>
  <si>
    <t>The woman surfer jumps up high as the sailboat sails in the water.</t>
  </si>
  <si>
    <t>The woman twists and turns around while on the surf board.</t>
  </si>
  <si>
    <t>The sailboat continues to pull the woman and she balances perfectly on the surfs as she twists and turns and spins on the surfs.</t>
  </si>
  <si>
    <t>She goes in a zig zag pattern making foamy waves in the water as the boats speeds up.</t>
  </si>
  <si>
    <t>The same surfing is watched on television as a guy and a another woman put several medals around the surfer's neck.</t>
  </si>
  <si>
    <t>The surfer pretends to fall down with the sheer weight of the medals.</t>
  </si>
  <si>
    <t>v_6ZabZdqdLyA</t>
  </si>
  <si>
    <t>Two small children are playing on a swingset on a snow covered yard.</t>
  </si>
  <si>
    <t>One child runs over to a swingset, but decides to change over to a green swing.</t>
  </si>
  <si>
    <t>An adult helps the child onto the swing.</t>
  </si>
  <si>
    <t>The other child also wants to join the first child on the same swing, and holds the swing steady while the child climbs on.</t>
  </si>
  <si>
    <t>The child is able to climb on, and the two children enjoy swinging together as the adult pushes the swing forward.</t>
  </si>
  <si>
    <t>v_Kt1JpqwDvl8</t>
  </si>
  <si>
    <t>A person vacuum the inside of a car, while other men clean by hand the car with detergent and water.</t>
  </si>
  <si>
    <t>Then, a man dry the car with clothes.</t>
  </si>
  <si>
    <t>Other cars are washed in a automatic car machine.</t>
  </si>
  <si>
    <t>After, people cleans the car with cloths inside and outside by hand.</t>
  </si>
  <si>
    <t>v_YfWKbMPFmcU</t>
  </si>
  <si>
    <t>The outside of homes is shown by a woman in a pink shirt.</t>
  </si>
  <si>
    <t>She is painting one of the houses with blue paint.</t>
  </si>
  <si>
    <t>She is holding a bucket of paint.</t>
  </si>
  <si>
    <t>v_Eilil6FZhK8</t>
  </si>
  <si>
    <t>peolpe are running wearing stilts in an avenue.</t>
  </si>
  <si>
    <t>man is interviewing an old woman in the sreet.</t>
  </si>
  <si>
    <t>man is doing a high jump above a car in street.</t>
  </si>
  <si>
    <t>man is laying down in a wooden table and other man jumps above the table.</t>
  </si>
  <si>
    <t>men are jumping side to side wearing stilts.</t>
  </si>
  <si>
    <t>man is helping a woman wear the stilts and walks in a gym room playing basketball with oher players.</t>
  </si>
  <si>
    <t>people are in sreet wearing stilts and running and jumping .</t>
  </si>
  <si>
    <t>man are sitting around a bench in street outside a restaurant.</t>
  </si>
  <si>
    <t>team are jumping in stilts in the roofed gym.</t>
  </si>
  <si>
    <t>v_YfouQ4TJhmQ</t>
  </si>
  <si>
    <t>An old man in white shirt is brushing the the body of the brown horse.</t>
  </si>
  <si>
    <t>The girl in blue shirt standing beside the old man brushed the horse's fur, then the old man took over, brush the horse and the girl rub the horse's fur with her hands.</t>
  </si>
  <si>
    <t>v_kKxNVwk7Evc</t>
  </si>
  <si>
    <t>A marching band is walking down a track.</t>
  </si>
  <si>
    <t>People carrying flags follows behind them.</t>
  </si>
  <si>
    <t>The drummers at at the back playing their drums.</t>
  </si>
  <si>
    <t>v_7cpX1j9dwjA</t>
  </si>
  <si>
    <t>A colorful intro includes the white words that say "World's Most DANGEROUS SPORTS Events" and the green letters separately "SRP".</t>
  </si>
  <si>
    <t>Madrid Spain on a map appears and it quickly goes into various different clips of men in arenas holding red capes as they taunt angry bulls.</t>
  </si>
  <si>
    <t>Suddenly a bull doesn't go after the cape, and instead he goes after the man where the bull continues to attack him with his horns and throw him around on the dirt.</t>
  </si>
  <si>
    <t>People begin to run towards the bull and the man to help him and the injured man quickly gets carried and run out of the area of danger.</t>
  </si>
  <si>
    <t>The intro appears and it's a black screen with the green letters SRP, production credits along with the rights.</t>
  </si>
  <si>
    <t>v_AV8q7nnOtq4</t>
  </si>
  <si>
    <t>A young man is seen sitting in front of a drum kit and begins playing the set of drums for the camera.</t>
  </si>
  <si>
    <t>He continues playing the drums and finishes by hitting the cymbal one last time.</t>
  </si>
  <si>
    <t>v_701UoJ5pgeo</t>
  </si>
  <si>
    <t>A woman is in a kitchen talking.</t>
  </si>
  <si>
    <t>She pours cleaner in a sink and describes some cleaning tools.</t>
  </si>
  <si>
    <t>She puts a powder in the sink and squeezes a lemon over the powder.</t>
  </si>
  <si>
    <t>She pours a liquid over that and scrubs with a brush.</t>
  </si>
  <si>
    <t>She turns the water on for a second and then uses a stone on the sink before using the sprayer to rinse everything.</t>
  </si>
  <si>
    <t>v__K3Cpdks6NQ</t>
  </si>
  <si>
    <t>There is very large group of people outside on a basketball court after sunset.</t>
  </si>
  <si>
    <t>They are all jumping up and down on these new pogo stick things that you wear like shoes.</t>
  </si>
  <si>
    <t>There are many young kids just bouncing up and down on them enjoying the evening.</t>
  </si>
  <si>
    <t>There are even a few people standing by and watching.</t>
  </si>
  <si>
    <t>v_eksIn1NfWJg</t>
  </si>
  <si>
    <t>A person's eye is seen close up the camera holing a contact lens in their hands and holding their eye open.</t>
  </si>
  <si>
    <t>The person then puts the contact lens in their eye and rubs their eye while blinking multiple times.</t>
  </si>
  <si>
    <t>v_yCAsVc5Tb_0</t>
  </si>
  <si>
    <t>We see the title card over the screen.</t>
  </si>
  <si>
    <t>We see people standing on a blue stage.</t>
  </si>
  <si>
    <t>They then perform a cheer leading routine.</t>
  </si>
  <si>
    <t>The men lift the women who spin into their arms.</t>
  </si>
  <si>
    <t>They all flip backwards together.</t>
  </si>
  <si>
    <t>The men hold the women by one leg and almost drop a lady.</t>
  </si>
  <si>
    <t>A girl brings letters onto the field.</t>
  </si>
  <si>
    <t>They use the letter to spell a word while standing in the air.</t>
  </si>
  <si>
    <t>They have different cards with color names on them.</t>
  </si>
  <si>
    <t>The men yell out of horns.</t>
  </si>
  <si>
    <t>Two women flip out of a stance, and they end in the air.</t>
  </si>
  <si>
    <t>v_VufybWyvP98</t>
  </si>
  <si>
    <t>There are some swimmers playing water polo in an indoor swimming pool.</t>
  </si>
  <si>
    <t>One of the swimmers is underwater, trying to reach the ball.</t>
  </si>
  <si>
    <t>He throws the ball across to another swimmer who catches the ball.</t>
  </si>
  <si>
    <t>Two swimmers are under water trying to reach the ball.</t>
  </si>
  <si>
    <t>They pass the ball around as they swim through the water.</t>
  </si>
  <si>
    <t>Then the swimmers swim their way up and get out of the pool while some other swimmers are still inside the pool.</t>
  </si>
  <si>
    <t>One of the swimmers spits out water on the camera while still inside the pool.</t>
  </si>
  <si>
    <t>A few other swimmerd can be seen in the locker room drying themselves after the swim.</t>
  </si>
  <si>
    <t>v_67NwPB79MTo</t>
  </si>
  <si>
    <t>A small group of people are seen moving around a gym kicking a ball around.</t>
  </si>
  <si>
    <t>The boys yell to one another with their hands up and continue walking around the gym.</t>
  </si>
  <si>
    <t>v_kyMsxlpBjlY</t>
  </si>
  <si>
    <t>There's a person mowing the lawn in his yard with a lawn mower while carrying his child on his back.</t>
  </si>
  <si>
    <t>The man walks up and down, straight across the yard as he mows the lawn.</t>
  </si>
  <si>
    <t>The child watches calmly while resting on the man's back.</t>
  </si>
  <si>
    <t>The man continues to mow the lawn with his black lawn mower.</t>
  </si>
  <si>
    <t>v_zEdAxKm9SLA</t>
  </si>
  <si>
    <t>There's a person named Michael from the Wild flower Tool company who is doing a tutorial on telescopic head shears for gardening.</t>
  </si>
  <si>
    <t>He demonstrates the several features of the shears such as extendable handles.</t>
  </si>
  <si>
    <t>He is standing near a big hedge in a garden.</t>
  </si>
  <si>
    <t>He shows how to use the shears by cutting off some of the branches of the hedge.</t>
  </si>
  <si>
    <t>He then extends the handles of the shears to show how far he can reach hard to reach places on top of the hedge.</t>
  </si>
  <si>
    <t>v_qRFZMO_mTGU</t>
  </si>
  <si>
    <t>A woman walks forward talking to the camera and putting her hands on her hips.</t>
  </si>
  <si>
    <t>A girl is shown playing field hockey and presents various clips of herself doing moves.</t>
  </si>
  <si>
    <t>She later is talking to the camera about her experiences with the sport and who exactly she is and why other people love her.</t>
  </si>
  <si>
    <t>v_qwdavExYM_Y</t>
  </si>
  <si>
    <t>We see people walking with rafts up an escalator on a snowy field in a rafting park.</t>
  </si>
  <si>
    <t>A child almost falls on the left.</t>
  </si>
  <si>
    <t>We see the crowded escalator from a distance.</t>
  </si>
  <si>
    <t>We see a boy in a black coat running with his raft in tow.</t>
  </si>
  <si>
    <t>v_r9AepFEEfsQ</t>
  </si>
  <si>
    <t>A man with glasses playing an accordion and smiling.</t>
  </si>
  <si>
    <t>The camera zooms in on his fingers going up and down the neck of the instrument.</t>
  </si>
  <si>
    <t>The man continues to play his song and smiles to the camera while moving up and down.</t>
  </si>
  <si>
    <t>v_uuH0ieCzqkM</t>
  </si>
  <si>
    <t>A kid stands on a court as a group of judges watch him jump rope rapidly.</t>
  </si>
  <si>
    <t>Behind him, other competitors jump rope, too.</t>
  </si>
  <si>
    <t>v_qi5Oie047pQ</t>
  </si>
  <si>
    <t>A young boy is sitting up against the wall making a face as two people are standing in front of him.</t>
  </si>
  <si>
    <t>The girl on the left then takes a small tube of polish and begins to paints the boy's nail with red glitter.</t>
  </si>
  <si>
    <t>When she is finished,the boy is shown and he begins to laugh about the situation.</t>
  </si>
  <si>
    <t>v_twL4mmkCQ0s</t>
  </si>
  <si>
    <t>A backdrop screen with paws and dog bones appear and the words in red and black appear and read "TEG's CANINE CLIPPERY Dog &amp; Cat Grooming".</t>
  </si>
  <si>
    <t>Clips of different dogs are shown getting baths, haircuts, and brushed while still shots of pictures appear between clips and they all include company name, website and phone number.</t>
  </si>
  <si>
    <t>The very last screen is a picture of a dog with it's eyes closed and 2 pairs of hands blow drying it with a brush above it's head, the company name, website, phone number and address.</t>
  </si>
  <si>
    <t>v_TLJdzU44My4</t>
  </si>
  <si>
    <t>A young man is seen sitting in a chair holding a vacuum in his hands.</t>
  </si>
  <si>
    <t>The boy speaks to the camera while still pushing the vacuum back and fourth.</t>
  </si>
  <si>
    <t>The camera moves closer to the boy and zooms in on his face while vacuuming.</t>
  </si>
  <si>
    <t>v_InavXU3iWBE</t>
  </si>
  <si>
    <t>A man is standing on top of a truck.</t>
  </si>
  <si>
    <t>Two men jump onto a trampoline.</t>
  </si>
  <si>
    <t>One of the men lays down and the other man hits him.</t>
  </si>
  <si>
    <t>The man on the truck jumps onto the trampoline.</t>
  </si>
  <si>
    <t>v__wl0vFvb8Bc</t>
  </si>
  <si>
    <t>A person's foot is shown and then it moves up slowly to their face.</t>
  </si>
  <si>
    <t>The camera pans out and shows a silver car.</t>
  </si>
  <si>
    <t>The person is holding a stick in their hands.</t>
  </si>
  <si>
    <t>The person is holding a hose and washing the car.</t>
  </si>
  <si>
    <t>They dip the stick into a bucket of soapy water and continue washing the car.</t>
  </si>
  <si>
    <t>They hold the hose up and pour the water on their face.</t>
  </si>
  <si>
    <t>They take their sunglasses off at the end and wipe their face.</t>
  </si>
  <si>
    <t>v_7uhJ_0oKV6s</t>
  </si>
  <si>
    <t>Two people are standing in front of a street performance.</t>
  </si>
  <si>
    <t>We see a group of people as two use a jump rope.</t>
  </si>
  <si>
    <t>Several others jump in, jumping over the rope, flipping and doing stunts.</t>
  </si>
  <si>
    <t>v_qV8hycDJWto</t>
  </si>
  <si>
    <t>A man steps away from a desk.</t>
  </si>
  <si>
    <t>The man applies his glove to his left hand.</t>
  </si>
  <si>
    <t>The man taps a metal with a soldering iron.</t>
  </si>
  <si>
    <t>The man soldiers on the piece of metal.</t>
  </si>
  <si>
    <t>The man stops soldering the metal.</t>
  </si>
  <si>
    <t>The man removes his glove and blows smoke away from the metal piece.</t>
  </si>
  <si>
    <t>v_BNQPVf2Ia5Y</t>
  </si>
  <si>
    <t>A man wearing black pants, a plaid shirt and baseball cap trims a dark green hedge with an electric hedge trimmer.</t>
  </si>
  <si>
    <t>The man trims a smaller light green hedge with the trimmer.</t>
  </si>
  <si>
    <t>The man trims another hedge with trimmer.</t>
  </si>
  <si>
    <t>The scene is sped up and contains ambient noises.</t>
  </si>
  <si>
    <t>v_cDe2GlvMEQg</t>
  </si>
  <si>
    <t>A man is seen speaking to the camera indoors as well as outdoors.</t>
  </si>
  <si>
    <t>He points to several objects while leading into dirt being shown as well as plaster.</t>
  </si>
  <si>
    <t>People are seen putting plaster all over the walls while the man continues to speak.</t>
  </si>
  <si>
    <t>v_uokQq9Xrjf8</t>
  </si>
  <si>
    <t>There's a fitness trainer representing The FitCast fitness in a gym demonstrating how to do a tall kneeling palloff press.</t>
  </si>
  <si>
    <t>He is kneeling down on the floor in a black shirt and gray sweat pants.</t>
  </si>
  <si>
    <t>He is pulling the handles of the palloff press with both hands towards his chest while keeping his back and shoulders up straight.</t>
  </si>
  <si>
    <t>v_yOKDaH8Go0A</t>
  </si>
  <si>
    <t>A man in a garage stands over a plank of wood.</t>
  </si>
  <si>
    <t>The man takes some white paste out of a can, adds some coloring to it and mixes it.</t>
  </si>
  <si>
    <t>The man applies the brown colored paste to holes in the wood.</t>
  </si>
  <si>
    <t>v_9-U2WOLIqB8</t>
  </si>
  <si>
    <t>A shot of pins are shown sitting on a lane followed by a man walking into frame.</t>
  </si>
  <si>
    <t>The man spins a ball to go around the pins to hit more in the end.</t>
  </si>
  <si>
    <t>The person spins another ball that is followed shortly afterwards.</t>
  </si>
  <si>
    <t>v_M1_4oDuh2as</t>
  </si>
  <si>
    <t>A woman wearing an apron is talking and picks up a bucket with supplies in it.</t>
  </si>
  <si>
    <t>She grabs a brush and cleans a window.</t>
  </si>
  <si>
    <t>She grabs a squeegee and removes the excess water from the window.</t>
  </si>
  <si>
    <t>v_AFs_aK0DY7E</t>
  </si>
  <si>
    <t>He does a gymnastics routine on the beam.</t>
  </si>
  <si>
    <t>He does a hand stand before jumping off onto a mat.</t>
  </si>
  <si>
    <t>v__9e948mdwrs</t>
  </si>
  <si>
    <t>A man blows dead leaves of a backyard.</t>
  </si>
  <si>
    <t>A person makes a pile of dead leaves.</t>
  </si>
  <si>
    <t>v_AK34mhNU28s</t>
  </si>
  <si>
    <t>A man holds a huge kite in a big field.</t>
  </si>
  <si>
    <t>A dog chases the man as he runs and jumps.</t>
  </si>
  <si>
    <t>The man brings the kite to the ground.</t>
  </si>
  <si>
    <t>v_b1U1VmaZz7Y</t>
  </si>
  <si>
    <t>A man is pouring something onto a large camp fire.</t>
  </si>
  <si>
    <t>A dog walks around the camp site.</t>
  </si>
  <si>
    <t>A person in a yellow shirt holding a blanket walks around the fire.</t>
  </si>
  <si>
    <t>v_kxXoosv0iDg</t>
  </si>
  <si>
    <t>A girl in a sparkly outfit dances on a hardwood floor.</t>
  </si>
  <si>
    <t>She brings out batons and twirls them around while dancing.</t>
  </si>
  <si>
    <t>She sits on the ground after finishing her performance.</t>
  </si>
  <si>
    <t>v_6iSqTbL5WXY</t>
  </si>
  <si>
    <t>We see a man dunk a basketball wearing jump stilts.</t>
  </si>
  <si>
    <t>We see another man bounce the ball and the jump stilt man dunks again.</t>
  </si>
  <si>
    <t>We then see the opening screen for the closing.</t>
  </si>
  <si>
    <t>v_1AZxtWKkRlo</t>
  </si>
  <si>
    <t>A group of cheerleaders run onto a stage before a cheering audience.</t>
  </si>
  <si>
    <t>They get into formation, then begin dancing and flipping as male cheerleaders join them.</t>
  </si>
  <si>
    <t>They all continue dancing and flipping, doing hand springs.</t>
  </si>
  <si>
    <t>When they are finished, they jump up and down happily and walk off the stage, exhausted.</t>
  </si>
  <si>
    <t>v_sJK-NjgOB6g</t>
  </si>
  <si>
    <t>A man lifts a young girl up to reach the sink in a bathroom.</t>
  </si>
  <si>
    <t>Both the man and the girl reach for their toothbrush and add toothpaste at the same time.</t>
  </si>
  <si>
    <t>They look in the mirror together as the man shows the girl how to brush her teeth properly.</t>
  </si>
  <si>
    <t>They rinse and smile at their clean teeth in the mirror.</t>
  </si>
  <si>
    <t>The man then teaches the girl to floss.</t>
  </si>
  <si>
    <t>They put their toothbrushes away and the man helps the girl back to the floor.</t>
  </si>
  <si>
    <t>They walk away together and turn off the bathroom light.</t>
  </si>
  <si>
    <t>v_crxqFzslD0Y</t>
  </si>
  <si>
    <t>A man in a black shirt smiles at the camera.</t>
  </si>
  <si>
    <t>He pulls out a harmonica and begins to play it.</t>
  </si>
  <si>
    <t>He uses his hand to accentuate the notes.</t>
  </si>
  <si>
    <t>He finishes the song at the end.</t>
  </si>
  <si>
    <t>v_boRX-UKXzy8</t>
  </si>
  <si>
    <t>A bumper car arena is shown followed by people driving around and bumping into one another.</t>
  </si>
  <si>
    <t>Several shots are shown of people crashing into one another and a man speaking to the camera in the end.</t>
  </si>
  <si>
    <t>v_tvR1ovqyJZ8</t>
  </si>
  <si>
    <t>A person is riding inside a boat on the water.</t>
  </si>
  <si>
    <t>They are dragging a person on water skis.</t>
  </si>
  <si>
    <t>The person stays upright as they are pulled quickly through the water.</t>
  </si>
  <si>
    <t>v_uCdUm-lou7w</t>
  </si>
  <si>
    <t>A girl swings on monkey bars on an outdoor playground.</t>
  </si>
  <si>
    <t>The girl misses a monkey bar and then looses her grip and falls to the ground.</t>
  </si>
  <si>
    <t>v_WhhbKOSW7m0</t>
  </si>
  <si>
    <t>People are sitting in bleachers watching people.</t>
  </si>
  <si>
    <t>The people in the room are playing wall ball.</t>
  </si>
  <si>
    <t>A man in the stands puts his hands on his face.</t>
  </si>
  <si>
    <t>v_x0TiekqVMj0</t>
  </si>
  <si>
    <t>A woman is seen performing a belly dancing routine in a dark room with one single line shown on her.</t>
  </si>
  <si>
    <t>She continues dancing around the room and ends by the room going dark as she spins.</t>
  </si>
  <si>
    <t>v_uBCLX7hfZLQ</t>
  </si>
  <si>
    <t>A woman wearing a white shirt is sitting with her black and white cat on her lap.</t>
  </si>
  <si>
    <t>She is clipping the cats nails by holding the cat's paws in her hands.</t>
  </si>
  <si>
    <t>She continues clipping the cat's nails one by one.</t>
  </si>
  <si>
    <t>When she's done she kisses the cat.</t>
  </si>
  <si>
    <t>then she begins clipping a brown cat's nails.</t>
  </si>
  <si>
    <t>The cat sits calmly on her lap as she finishes clipping its nails.</t>
  </si>
  <si>
    <t>v_R4yz8nXO5hI</t>
  </si>
  <si>
    <t>A person paints flowers onto a white canvas with a fine brush.</t>
  </si>
  <si>
    <t>The person removes the painting from the table and shows the finished product.</t>
  </si>
  <si>
    <t>v_gGg-kio0dmU</t>
  </si>
  <si>
    <t>People are playing and swimming in a pool.</t>
  </si>
  <si>
    <t>a girl does a back flip off a board.</t>
  </si>
  <si>
    <t>v_WXaFTEWJThM</t>
  </si>
  <si>
    <t>A person is seen filling up a sink with water and holding a rag in the water.</t>
  </si>
  <si>
    <t>She scrubs down her face and washing it off with the rag and smiling into the mirror.</t>
  </si>
  <si>
    <t>v_QsfIM28uvHM</t>
  </si>
  <si>
    <t>A person hangs onto the handles of a kite flying overhead.</t>
  </si>
  <si>
    <t>The kite falls as the wind lessens.</t>
  </si>
  <si>
    <t>The kite blows hard in the air as the wind picks up again.</t>
  </si>
  <si>
    <t>v_FL9yhHtoc6c</t>
  </si>
  <si>
    <t>A man and a woman are dancing on a concrete ground at night under a street light.</t>
  </si>
  <si>
    <t>Both the man and the woman are wearing a black tank top and black shorts along with black shoes.</t>
  </si>
  <si>
    <t>They are dancing in a synchronized manner by following choreographed dance steps to a song.</t>
  </si>
  <si>
    <t>They move their hands as they lift their right leg up high while dancing.</t>
  </si>
  <si>
    <t>Then they shake their hips and their heads they lip sync to the song.</t>
  </si>
  <si>
    <t>when the music gets faster, they move their hands in a circular motion.</t>
  </si>
  <si>
    <t>They also lift their knees up high while shaking their bodies.</t>
  </si>
  <si>
    <t>They repeat the steps every time the chorus of the song plays.</t>
  </si>
  <si>
    <t>They lift their knees up high alternating between the two legs.</t>
  </si>
  <si>
    <t>They continue to dance as they hold up the palms of their hands straight up and move their hips.</t>
  </si>
  <si>
    <t>They repeat the steps as the chorus of the song repeats.</t>
  </si>
  <si>
    <t>Finally after the song ends, they both stand still with their hands on their hips.</t>
  </si>
  <si>
    <t>v_tVbrnWNOmFY</t>
  </si>
  <si>
    <t>A man takes a patch and put on a wheel while explaining and showing materials .</t>
  </si>
  <si>
    <t>Then, the man takes the wheel of a bike to fix the hole of the tube by applying a patch.</t>
  </si>
  <si>
    <t>After, the man put the tube on the wheel and pump air in the wheel.</t>
  </si>
  <si>
    <t>Then, the man put and fix the wheel in the bike.</t>
  </si>
  <si>
    <t>v_fLvPz8W00l4</t>
  </si>
  <si>
    <t>A man shows the proper way to lift a kettlebell.</t>
  </si>
  <si>
    <t>He shows with his hips how not to do it.</t>
  </si>
  <si>
    <t>v_W-pFUV2O1l0</t>
  </si>
  <si>
    <t>A man is cutting another mans hair.</t>
  </si>
  <si>
    <t>He is demonstrating the types of cuts.</t>
  </si>
  <si>
    <t>He combs and snips the front of the mans hair.</t>
  </si>
  <si>
    <t>He parts the hair and continues pulling and trimming the front flip.</t>
  </si>
  <si>
    <t>He then turns the mans head and works on the back.</t>
  </si>
  <si>
    <t>He finishes haircut on the man.</t>
  </si>
  <si>
    <t>v_rlH9RkelqHk</t>
  </si>
  <si>
    <t>A person's feet are show followed by a woman putting shoes over her socks and bending forward.</t>
  </si>
  <si>
    <t>She twirls around her feet and looking to the camera while showing her shoe completely on.</t>
  </si>
  <si>
    <t>v_N6HUPyM5m2o</t>
  </si>
  <si>
    <t>woman is wearing a purple shit lifting weight.</t>
  </si>
  <si>
    <t>woman is sitting in stairs tying the laces.</t>
  </si>
  <si>
    <t>two women are in a gym room doing exercise.</t>
  </si>
  <si>
    <t>v_CZveW9zX0s8</t>
  </si>
  <si>
    <t>A man is shown speaking to the camera and leads into a woman trimming the fur on a dog.</t>
  </si>
  <si>
    <t>The speaks more to the camera while other dogs are shown groomed and one woman walks away holding two excited dogs.</t>
  </si>
  <si>
    <t>More shots of dogs held are shown while the man speaks and the camera pans around the building.</t>
  </si>
  <si>
    <t>v_9fnmcyUz5jg</t>
  </si>
  <si>
    <t>A logo shows that this video is presented by Expert Village.</t>
  </si>
  <si>
    <t>A man in a small blue boat discusses the topic of hand surfing in a hole and gives hints on how to perform this activity.</t>
  </si>
  <si>
    <t>The man demonstrates tricks that can be done while performing this activity.</t>
  </si>
  <si>
    <t>v_ayDqRzRN8_M</t>
  </si>
  <si>
    <t>News hosts present a story seated at a desk in a news room.</t>
  </si>
  <si>
    <t>A news reporter interviews a man on an ice skating rink.</t>
  </si>
  <si>
    <t>An athlete glides a stone across the ice.</t>
  </si>
  <si>
    <t>The reporter and the man practice brushing the ice with brooms.</t>
  </si>
  <si>
    <t>A woman sits in a salon and has her hair curled.</t>
  </si>
  <si>
    <t>The curls are taken out of the woman's hair after the makeover.</t>
  </si>
  <si>
    <t>The news anchors close out the story.</t>
  </si>
  <si>
    <t>v_LHewj6shKGw</t>
  </si>
  <si>
    <t>A group of kids are on a track, and they practice jumping over a low beam.</t>
  </si>
  <si>
    <t>They perform the motion several times, portraying the act in slow motion.</t>
  </si>
  <si>
    <t>v_UxIXOCccW24</t>
  </si>
  <si>
    <t>Two people are seen speaking to the camera wearing costume when another person steps into frame.</t>
  </si>
  <si>
    <t>Two people then battle one another in the costumes and run into one another.</t>
  </si>
  <si>
    <t>One person knocks the other on the ground and shows off a wrestling move.</t>
  </si>
  <si>
    <t>v_1OmzECVyIww</t>
  </si>
  <si>
    <t>An athletic man is seen waving one arm up into the air and standing ready for a beam.</t>
  </si>
  <si>
    <t>The man then spins himself around the beam performing a gymnastics routine and ends with him jumping to the side and holding his arms up, smiling and waving to the crowd.</t>
  </si>
  <si>
    <t>v_-rwKyNnz89s</t>
  </si>
  <si>
    <t>A man is seen standing in a goal followed by a person kicking a boll.</t>
  </si>
  <si>
    <t>More clips are shown of people kicking a ball towards the goal while people watch on the sides.</t>
  </si>
  <si>
    <t>Several more people take their turn kicking a ball and end by running all together and cheering.</t>
  </si>
  <si>
    <t>v_gBTnWp9VLz4</t>
  </si>
  <si>
    <t>A car drives behind another while filming several snowy houses and trees shown.</t>
  </si>
  <si>
    <t>Eventually two snowboarding are shown doing jumps and tricks down a mountain.</t>
  </si>
  <si>
    <t>Another does several flips and tricks while another performs the same down the mountain.</t>
  </si>
  <si>
    <t>v_iMXdwkAGfM4</t>
  </si>
  <si>
    <t>A man sits in a chair while a standing man uses an electric razor on his beard.</t>
  </si>
  <si>
    <t>The man gently shaves the other man's beard until it is gone.</t>
  </si>
  <si>
    <t>The man sits in the chair, wiping himself off before standing up.</t>
  </si>
  <si>
    <t>v_yqzV0O139Yk</t>
  </si>
  <si>
    <t>Two people are seen standing on a field in front of ball when one bends over to balance on the ball.</t>
  </si>
  <si>
    <t>The woman then performs exercises on the ball with the man's assistance.</t>
  </si>
  <si>
    <t>v_leKf6Q87IYg</t>
  </si>
  <si>
    <t>Several pictures of seen of a man wakeboarding and leading into him speaking to the camera.</t>
  </si>
  <si>
    <t>He demonstrates how to properly perform moves while standing on the lawn.</t>
  </si>
  <si>
    <t>It follows into the man riding around on a wakeboard.</t>
  </si>
  <si>
    <t>v_PwbZimjxzps</t>
  </si>
  <si>
    <t>A man stands in front of a crowd pointing and speaking about the layout of a bullfighting ring.</t>
  </si>
  <si>
    <t>A demonstration of bullfighting is performed by a man with a pink cape and a man moving a fake bull object with a wheel.</t>
  </si>
  <si>
    <t>The bullfighter then demonstrates how to use his sword on the bull.</t>
  </si>
  <si>
    <t>Then the students wants to give it a try.</t>
  </si>
  <si>
    <t>v_J1LIG037WzE</t>
  </si>
  <si>
    <t>Two men are seen fighting back and fourth on a set of mats using boxing gloves and pads.</t>
  </si>
  <si>
    <t>The men continue punching and kicking back and fourth while the camera continues to follow them around.</t>
  </si>
  <si>
    <t>v_RrScnC2xQpw</t>
  </si>
  <si>
    <t>A girl is seen kneeling before the camera and leads into her walking around her house.</t>
  </si>
  <si>
    <t>She zooms in on an oven and is shown taking a pan out full of cookies.</t>
  </si>
  <si>
    <t>She lays out a plate to clean off follows by grabbing the cookies and laying them on the plate.</t>
  </si>
  <si>
    <t>v_ZeN0mrRQHg8</t>
  </si>
  <si>
    <t>A group of kids are riding in bumper cars.</t>
  </si>
  <si>
    <t>They spin and move, hitting each other.</t>
  </si>
  <si>
    <t>The kids smile and laugh at each other as they collide.</t>
  </si>
  <si>
    <t>v_3LyyqeVeYkI</t>
  </si>
  <si>
    <t>He lassos a young calf on the dirt.</t>
  </si>
  <si>
    <t>He jumps off his horse and ties the calf.</t>
  </si>
  <si>
    <t>v_UySzNwvkQKQ</t>
  </si>
  <si>
    <t>There are people standing in a large indoor court, on two different sides, with balls in the middle of the court.</t>
  </si>
  <si>
    <t>Suddenly people start running towards the balls and they begin to play dodge ball and pick them up and throw them at one another until one of the teams has only 1 person left standing.</t>
  </si>
  <si>
    <t>Only 1 guy remain standings and he attempts to hit someone else on the other team with a ball, and they in return do the same, they go back and forth doing this until a red ball finally hits the last guy standing on the team and he hits the floor.</t>
  </si>
  <si>
    <t>v_xzoquwJYEZw</t>
  </si>
  <si>
    <t>man is standing in a wooden court talking to the camera.</t>
  </si>
  <si>
    <t>men are playing squash in a room holding rackets on his hands.</t>
  </si>
  <si>
    <t>the man is holding a racket and is talking to the camera.</t>
  </si>
  <si>
    <t>v_v-xUwDARVb4</t>
  </si>
  <si>
    <t>A band is seen performing on stage while the camera pans around and captures them from several angles.</t>
  </si>
  <si>
    <t>The singer interacts with the band and continues playing while the audience cheers.</t>
  </si>
  <si>
    <t>v_YGBldj7DUq4</t>
  </si>
  <si>
    <t>A man is in a kayak in the water making turns with the help of an oar.</t>
  </si>
  <si>
    <t>Then, the man explains showing and moving the oar.</t>
  </si>
  <si>
    <t>After the man starts to row in the river and turning the kayak.</t>
  </si>
  <si>
    <t>v_wP0jr86MNOw</t>
  </si>
  <si>
    <t>man is standing nex to a van wearing stilts.</t>
  </si>
  <si>
    <t>another man is sitting on the back part of a van is putting the stilts on his feet.</t>
  </si>
  <si>
    <t>men wearing stilts are walking in a parking lot to street.</t>
  </si>
  <si>
    <t>men are kneeling on the street and start jumping going down the paved slope.</t>
  </si>
  <si>
    <t>v_X9CpU4ucYeg</t>
  </si>
  <si>
    <t>woman is standing in a kitchen talking to the camera and showing the lemons, jar and the bowl on the counter.</t>
  </si>
  <si>
    <t>woman is squeezing the lemon into a bowl and on the water.</t>
  </si>
  <si>
    <t>woman is ni front of the stove and pour sugar into water in a pan till boil.</t>
  </si>
  <si>
    <t>woman pour sugar in the jar with ice.</t>
  </si>
  <si>
    <t>v_rG-WlnAoc3M</t>
  </si>
  <si>
    <t>A person wet a car with water, then he puts detergent to the car using a long squeegee.</t>
  </si>
  <si>
    <t>The man rinses the car with water.</t>
  </si>
  <si>
    <t>Then, the man cleans again with soap and water the car for the second time.</t>
  </si>
  <si>
    <t>The man cleans with a cloth and rinse with water the rims of the car.</t>
  </si>
  <si>
    <t>After, the man dry the car manually with a cloth.</t>
  </si>
  <si>
    <t>Next, the man cleans inside the car, then drives the car.</t>
  </si>
  <si>
    <t>v_AA6nXQMyfhU</t>
  </si>
  <si>
    <t>A man sits at a table talking.</t>
  </si>
  <si>
    <t>The man, now standing, pours paint thinner n a rag and wipes the table with the rag.</t>
  </si>
  <si>
    <t>The man sits at the table again while talking.</t>
  </si>
  <si>
    <t>Now he is standing putting a polish on the table and shining it.</t>
  </si>
  <si>
    <t>He then cleans the table legs with a brush.</t>
  </si>
  <si>
    <t>He sits at the table talking for another moment.</t>
  </si>
  <si>
    <t>The scene changes and the man is seen standing in a garage.</t>
  </si>
  <si>
    <t>v_FAPMunnTNsE</t>
  </si>
  <si>
    <t>Two people are seen riding in a canoe pushing a paddle along the water and looking into the camera.</t>
  </si>
  <si>
    <t>More clips are shown of the scenery as well as the people riding around and meeting up with others.</t>
  </si>
  <si>
    <t>v_-5Yp-vToI2E</t>
  </si>
  <si>
    <t>A large group of people are seen standing around a ballet room and leads into four performing a dance.</t>
  </si>
  <si>
    <t>The four continuously move together while holding hands and doing the same moves.</t>
  </si>
  <si>
    <t>The girls laugh together and continue dancing and ending by holding a pose.</t>
  </si>
  <si>
    <t>v_zPl4spxrvg4</t>
  </si>
  <si>
    <t>A woman walks into frame speaking to the camera and pointing to a sign that leads into her speaking with a man in front of a bow and arrow.</t>
  </si>
  <si>
    <t>The man speaks to her and puts bowing equipment on the woman and holds out the bow for her.</t>
  </si>
  <si>
    <t>He teaches her how to properly hold the bow and the woman takes several turns shooting the bow and arrow.</t>
  </si>
  <si>
    <t>She cheers and continues shooting while the man speaks to her and shakes her hand as they walk away.</t>
  </si>
  <si>
    <t>v_svSM-UqjNWE</t>
  </si>
  <si>
    <t>A woman is seen sitting under an umbrella with a hookah stick in her mouth.</t>
  </si>
  <si>
    <t>She takes a couple puffs from the stick while blowing it into the camera and speaking to the camera.</t>
  </si>
  <si>
    <t>v_pu-2w-UxdYg</t>
  </si>
  <si>
    <t>The woman wipes down the furniture with acetone.</t>
  </si>
  <si>
    <t>Woman sprays silicone on table and wipes it off.</t>
  </si>
  <si>
    <t>Woman compares old section to cleaned section.</t>
  </si>
  <si>
    <t>v_f2LGG2ocbu8</t>
  </si>
  <si>
    <t>A large group of people are seen sitting around a pit with one man spinning around and throwing a ball off into the distance.</t>
  </si>
  <si>
    <t>People around him clap while more stand around and talk as well as watch the balls be thrown.</t>
  </si>
  <si>
    <t>The people grab the ball from the ground over and over again while occasionally looking over to the camera and panning back to the large crowd.</t>
  </si>
  <si>
    <t>v_NyNuB328oi0</t>
  </si>
  <si>
    <t>A ball is shown flying up in the sky while a large group of people stand around.</t>
  </si>
  <si>
    <t>A person is then seen grabbing the ball on the ground.</t>
  </si>
  <si>
    <t>The person catches the ball and the clip is shown again in slow motion.</t>
  </si>
  <si>
    <t>v_4avZ79LB5n4</t>
  </si>
  <si>
    <t>At an outdoor poor facility people are in the pool and others are outside standing by.</t>
  </si>
  <si>
    <t>There are two boys on the diving board preparing to jump down.</t>
  </si>
  <si>
    <t>They get in a unique position and then simultaneously dive in together.</t>
  </si>
  <si>
    <t>They make a huge splash as they land inside the water.</t>
  </si>
  <si>
    <t>v_InHt3sukfeg</t>
  </si>
  <si>
    <t>A picture of a patio set is shown followed by a woman scrubbing down the tables and chairs.</t>
  </si>
  <si>
    <t>She wipes them down with a rag and then shakes up a can and spray paints the furniture.</t>
  </si>
  <si>
    <t>More close ups are shown of the furniture while text instructions pan over the screen.</t>
  </si>
  <si>
    <t>v_5qh_gx81Bd8</t>
  </si>
  <si>
    <t>A man stands in a dance studio and shows how he sets up for different dance postures.</t>
  </si>
  <si>
    <t>The man in white tshirt does a spins while break dancing.</t>
  </si>
  <si>
    <t>v_Lk_Xe9yQ8Zc</t>
  </si>
  <si>
    <t>man is in stage in the news.</t>
  </si>
  <si>
    <t>people are in street jumping the rope and dancing while people gathered around them are watching them.</t>
  </si>
  <si>
    <t>an old chinese woman is being interviewed.</t>
  </si>
  <si>
    <t>old man is talking to the camera.</t>
  </si>
  <si>
    <t>woman is holding a microphone talking to the camera jumping the rope.</t>
  </si>
  <si>
    <t>woman is jumping the rope and doing somersaults.</t>
  </si>
  <si>
    <t>women are being interviewed and behind her people are jumping the rope.</t>
  </si>
  <si>
    <t>people are in stage in competition jumping the rope.</t>
  </si>
  <si>
    <t>women are in street being interviewed and people keep jumping the rope.</t>
  </si>
  <si>
    <t>v_of4bEaqQzOk</t>
  </si>
  <si>
    <t>The man in blue leotard raised the barbel, but he let go of the barbel and he fell on his back.</t>
  </si>
  <si>
    <t>The man in red leotard carried the barbel all the way up his head the crowd cheered.</t>
  </si>
  <si>
    <t>The athlete raised his barbel but wasn't able to go all the way up his head.</t>
  </si>
  <si>
    <t>The crowd is cheering while the athletes are able to raise the barbel all up his head.</t>
  </si>
  <si>
    <t>v_cC1nvRqyXWs</t>
  </si>
  <si>
    <t>A man in blue gym shorts iron his clothes on an ironing board at home.</t>
  </si>
  <si>
    <t>The man sits down on the floor and folds his clothes and stacks them up.</t>
  </si>
  <si>
    <t>The man leaves the room and the room goes dark.</t>
  </si>
  <si>
    <t>v_rbLCMaf3phk</t>
  </si>
  <si>
    <t>A man stands in a large arena.</t>
  </si>
  <si>
    <t>She throws a heavy ball really far.</t>
  </si>
  <si>
    <t>He does this again and again.</t>
  </si>
  <si>
    <t>He throws the balls really far.</t>
  </si>
  <si>
    <t>v_Pso333FAp2w</t>
  </si>
  <si>
    <t>Outside a dog is laying down on the pavement when a human picks up a frisbee and throws it.</t>
  </si>
  <si>
    <t>The dog excitedly runs after it and come running back with it, bringing it back to his human.</t>
  </si>
  <si>
    <t>He disappears for a little bit and then you see him excitedly get ready to run for it again.</t>
  </si>
  <si>
    <t>Once he see's the frisbee flying he starts to run for it and brings it back every time.</t>
  </si>
  <si>
    <t>v_t3Zg4mSksXk</t>
  </si>
  <si>
    <t>There are a few teenage boys skateboarding on a quiet streets in a neighborhood.</t>
  </si>
  <si>
    <t>They are going down the street, trying some stunts on the skateboard.</t>
  </si>
  <si>
    <t>There are a some leaves fallen on the curb.</t>
  </si>
  <si>
    <t>One of the boys bends down and skates in a seated position.</t>
  </si>
  <si>
    <t>The boys continue skateboarding through the streets, going past houses in the residential area.</t>
  </si>
  <si>
    <t>v_H6hb3SIqdL4</t>
  </si>
  <si>
    <t>A man in a striped shirt prepares to throw dart at a dart board.</t>
  </si>
  <si>
    <t>The man throws three darts at the dartboard.</t>
  </si>
  <si>
    <t>The camera man pans to the side of the dartboard and zooms in on the darts as the man in the striped shirt reaches for the dart board.</t>
  </si>
  <si>
    <t>v_S9QG5MAga68</t>
  </si>
  <si>
    <t>An ad for Vidal Sassoon appears.</t>
  </si>
  <si>
    <t>We then see their curling iron and hot roller set.</t>
  </si>
  <si>
    <t>A demonstration is shown for how to set and use the hot rollers and iron on a woman's hair.</t>
  </si>
  <si>
    <t>Her hair is shown in pretty curls all around her head.</t>
  </si>
  <si>
    <t>v_uRBE-ANigvs</t>
  </si>
  <si>
    <t>An intro shot of various athletes are shown.</t>
  </si>
  <si>
    <t>A man is then shown throwing a discus on a large field.</t>
  </si>
  <si>
    <t>Another man is also shown doing the same with a still shot of him afterwards showing his posture and his throw in slow motion.</t>
  </si>
  <si>
    <t>He is then shown walking away and feeling very confident about what he just accomplished.</t>
  </si>
  <si>
    <t>v_4kbtdUz2M3M</t>
  </si>
  <si>
    <t>Various people are seen wandering around a beach, followed by waves moving along the water and people sitting in the water.</t>
  </si>
  <si>
    <t>Several people surfing the waves while people on the sidelines watch the athletes move.</t>
  </si>
  <si>
    <t>v_00S8I27qDU4</t>
  </si>
  <si>
    <t>A lady holds a javelin on a track she puts it down.</t>
  </si>
  <si>
    <t>The scene starts over and we see a lady throw a javelin and walk away.</t>
  </si>
  <si>
    <t>We then see the throw measured and a man walks up as talks to the girl.</t>
  </si>
  <si>
    <t>v__8m1tlowwKM</t>
  </si>
  <si>
    <t>A man with long sideburns wearing a red colored robe is playing the piano.</t>
  </si>
  <si>
    <t>there's another man in a blue shirt standing near him, busy engaged in packing some bags.</t>
  </si>
  <si>
    <t>The main in red continues playing the piano as the other man carries two bags and leaves.</t>
  </si>
  <si>
    <t>The man stops playing the piano and waves to the other person as he gets up and leaves.</t>
  </si>
  <si>
    <t>v_TdZOfBHjU5g</t>
  </si>
  <si>
    <t>There's a person wearing blue latex gloves polishing a hexagonal wooden table to demonstrate French polishing technique.</t>
  </si>
  <si>
    <t>He is using a polishing sponge to polish the table top surface in circular motion.</t>
  </si>
  <si>
    <t>He then goes in up and down motion over the table surface to make it shiny.</t>
  </si>
  <si>
    <t>He meticulously goes over the entire surface making sure no part of the table is left untouched.</t>
  </si>
  <si>
    <t>He then starts polishing the surface of a dinning room buffet that has bamboo finish doors.</t>
  </si>
  <si>
    <t>He again polishes in circular motions on the top surface.</t>
  </si>
  <si>
    <t>v_cRpzDPS6zeY</t>
  </si>
  <si>
    <t>A man and a woman are performing a couple's dance routine while other couples dance around them.</t>
  </si>
  <si>
    <t>A group of onlookers watch the couples spin around and continue the dance routine.</t>
  </si>
  <si>
    <t>v_HGqaDftZe5s</t>
  </si>
  <si>
    <t>We see small kids ride BMX bikes on a dirt track in an arena.</t>
  </si>
  <si>
    <t>The kids ride past the camera.</t>
  </si>
  <si>
    <t>The kids start passing the finish line.</t>
  </si>
  <si>
    <t>v_p4MMyVArVc0</t>
  </si>
  <si>
    <t>A woman is balancing on a tight rope outdoors.</t>
  </si>
  <si>
    <t>The woman is showing various acrobatic moves.</t>
  </si>
  <si>
    <t>The woman is bouncing on the wire.</t>
  </si>
  <si>
    <t>An animal is in the field in the background.</t>
  </si>
  <si>
    <t>v_OT98MiVje0g</t>
  </si>
  <si>
    <t>A close up is seen of Christmas decorations.</t>
  </si>
  <si>
    <t>A man in Santa Claus costume plays a drum set in a home with a lit up Christmas tree.</t>
  </si>
  <si>
    <t>The man dressed up as Santa finishes playing the song on drums.</t>
  </si>
  <si>
    <t>v_DeHIqrMlsU8</t>
  </si>
  <si>
    <t>The video begins with several shots of a person riding down a hill on a skateboard and doing tricks.</t>
  </si>
  <si>
    <t>The boy continues to ride around on a skateboard doing flips and tricks and the camera capturing him from several angles.</t>
  </si>
  <si>
    <t>v_haUWdHvwpUo</t>
  </si>
  <si>
    <t>A man is giving instructions about playing the congo.</t>
  </si>
  <si>
    <t>He speaks with his hands and then he taps the top of the congo very lightly.</t>
  </si>
  <si>
    <t>He starts to tap lightly on the congo at a very slow tempo and after a little bit of doing that he stops to start talking again.</t>
  </si>
  <si>
    <t>Finally, he starts using both of his hands to build up an actual beat and talks some more about it.</t>
  </si>
  <si>
    <t>v_JQf_oSGY8q4</t>
  </si>
  <si>
    <t>There's a woman dressed in black playing billiards in front of some spectators.</t>
  </si>
  <si>
    <t>After she's done another lady takes her turn and hits a few shots.</t>
  </si>
  <si>
    <t>The second contestant aims and shoots the ball in the hole.</t>
  </si>
  <si>
    <t>She aims precisely and shoots the balls in the holes one by one, without missing a single shot.</t>
  </si>
  <si>
    <t>She continues to concentrate and shoots the balls till only one ball is left on the billiards table.</t>
  </si>
  <si>
    <t>v_cErtrZrWhiQ</t>
  </si>
  <si>
    <t>Two men dressed in suits are facing one another with a hand on each others back, and holding hands with the other one and they dance in one direction, then back in another and then laugh and separate.</t>
  </si>
  <si>
    <t>Right where the men separate from dancing there is an Asian woman that is now the focus as she plays on an accordion keyboard.</t>
  </si>
  <si>
    <t>The woman stops playing, laughs and looks and says something.</t>
  </si>
  <si>
    <t>v_gPjH9C9wdJw</t>
  </si>
  <si>
    <t>A man is holding a guitar and looks back and fourth between the camera and the guitar.</t>
  </si>
  <si>
    <t>He moves his hands up and down the neck of the guitar and sings softly to the camera.</t>
  </si>
  <si>
    <t>v_fBxpQxIqGN8</t>
  </si>
  <si>
    <t>A person in pink does tai chi.</t>
  </si>
  <si>
    <t>She moves around but is basically doing the same basic thing.</t>
  </si>
  <si>
    <t>She stops and is still at the end.</t>
  </si>
  <si>
    <t>v_IGXq7a7Jl7s</t>
  </si>
  <si>
    <t>Several athletes compete for the javelin world championships.</t>
  </si>
  <si>
    <t>The Russia Dimitri is 3rd bronze medal in the competition.</t>
  </si>
  <si>
    <t>the Japanese Jenki is silver medal.</t>
  </si>
  <si>
    <t>Till from Germany won the gold medal.</t>
  </si>
  <si>
    <t>v_nvFtFFJXxB0</t>
  </si>
  <si>
    <t>An intro leads into hands seen playing a musical instrument while pausing the point on the instrument.</t>
  </si>
  <si>
    <t>He continues moving his hands around to play and is then seen speaking to the camera.</t>
  </si>
  <si>
    <t>v_rZ8tVgFyY84</t>
  </si>
  <si>
    <t>A man wearing surgical clothes demonstrates the proper way to wash hands for surgical procedures and first removes jewelry.</t>
  </si>
  <si>
    <t>The surgeon then wets his hands and ads soap.</t>
  </si>
  <si>
    <t>The surgeon then rubs the palms together and builds a lather.</t>
  </si>
  <si>
    <t>He then rubs back of hand with palm.</t>
  </si>
  <si>
    <t>The surgeon then rubs the back of fingers with hands.</t>
  </si>
  <si>
    <t>He then rubs the thumbs with the palm clasping thumb.</t>
  </si>
  <si>
    <t>Then he rubs the tips of the fingers into palm.</t>
  </si>
  <si>
    <t>Then he rubs the wrists and rinses the hands in wter and fully dries his hands.</t>
  </si>
  <si>
    <t>v_VqeeqABnpQk</t>
  </si>
  <si>
    <t>A dancer stands up from a chair.</t>
  </si>
  <si>
    <t>He pushes the chair towards him female dance partner.</t>
  </si>
  <si>
    <t>She sits on the chair.</t>
  </si>
  <si>
    <t>He walks towards her, picking her up from the chair and they dance.</t>
  </si>
  <si>
    <t>People in the audience applaud.</t>
  </si>
  <si>
    <t>v_CAW0CEuyvZo</t>
  </si>
  <si>
    <t>A girl is in front of a camera.</t>
  </si>
  <si>
    <t>She applies light pink lip gloss to her lips.</t>
  </si>
  <si>
    <t>v_xS6elK6Khs4</t>
  </si>
  <si>
    <t>A man is seen sitting in front of a fence sitting on a skateboard and speaking to the camera.</t>
  </si>
  <si>
    <t>Several shots are then shown of him speaking to the camera and performing various skateboarding tricks around a park.</t>
  </si>
  <si>
    <t>v_QIkDYInr17A</t>
  </si>
  <si>
    <t>Two young children are seen standing behind a table with one peeling lemons and a boy watching on the side.</t>
  </si>
  <si>
    <t>Another child is seen squeezing lemons and zooms in on the kids working.</t>
  </si>
  <si>
    <t>The kids continue to squeeze the lemon while looking and waving to the camera and speaking on the side.</t>
  </si>
  <si>
    <t>v_IwViXKNNBEU</t>
  </si>
  <si>
    <t>A man prepares himself to throw a discus.</t>
  </si>
  <si>
    <t>Multiple people walk around and talk in the background.</t>
  </si>
  <si>
    <t>The man spins and throws the discus.</t>
  </si>
  <si>
    <t>v_vWULU8NttX8</t>
  </si>
  <si>
    <t>A group of bike riders are seen standing ready side by side with one another and speaking to a man in front.</t>
  </si>
  <si>
    <t>The camera continues to pan around the riders getting ready and finally jumping down and racing along the dirt path.</t>
  </si>
  <si>
    <t>v_cffsp2tCT5k</t>
  </si>
  <si>
    <t>A young girl is seen cutting a hole in the top of a pumpkin followed by her scooping out seeds and cutting out the sides.</t>
  </si>
  <si>
    <t>The girl wipes off the pumpkin and puts on the top and shows the pumpkin in the dark.</t>
  </si>
  <si>
    <t>v_APuN4vwgKJ4</t>
  </si>
  <si>
    <t>A woman standing at a counter speaking about making chocolate chip cookies.</t>
  </si>
  <si>
    <t>She combines and mixes the ingredients with a hand mixer.</t>
  </si>
  <si>
    <t>She then places flour into a bowl after she measures it along with baking soda.</t>
  </si>
  <si>
    <t>She adds it to the cookies dough and mixes it by hand then adds in the chocolate chips.</t>
  </si>
  <si>
    <t>She then measures out dough that is on a baking sheet for cooking.</t>
  </si>
  <si>
    <t>Placed in the oven and after they cool you have cookies.</t>
  </si>
  <si>
    <t>v_DXluU6_7OXQ</t>
  </si>
  <si>
    <t>A girl stands up from a table in a kitchen.</t>
  </si>
  <si>
    <t>She and another girl have glasses and spoons.</t>
  </si>
  <si>
    <t>They proceed to eat the substance as they sit on the floor.</t>
  </si>
  <si>
    <t>v_GldxuTsExZM</t>
  </si>
  <si>
    <t>A person holding a moose moves the puppet and leads into someone opening a box.</t>
  </si>
  <si>
    <t>The person pulls pumpkins out of the box and cuts a circle around the top.</t>
  </si>
  <si>
    <t>He scoops the seeds out of the pumpkin while using the moose and uses a marker to draw on its side.</t>
  </si>
  <si>
    <t>He cuts around the marker lines and puts a candle inside to make a jack o lantern.</t>
  </si>
  <si>
    <t>v_xBtydVn3MVI</t>
  </si>
  <si>
    <t>A man films himself standing in a bathroom while holding a razor close to his face.</t>
  </si>
  <si>
    <t>He begins gently shaving the sides of his face and moves down towards his beard.</t>
  </si>
  <si>
    <t>He continues shaving the beard from all angles and eventually leaves nothing but a five 0 lock shadow.</t>
  </si>
  <si>
    <t>v_YtFGG_7A_UU</t>
  </si>
  <si>
    <t>A middle aged white female is standing in a lobby of some sort next to a picture talking.</t>
  </si>
  <si>
    <t>She then reappears in another room of the same place and is talking in front of a mirror,vase,and plant.</t>
  </si>
  <si>
    <t>In her hand,she has a small circular container with shoe polish it and takes a rag and dips the rag in the container.</t>
  </si>
  <si>
    <t>The woman then proceeds to clean the male dress shoe with the cloth and polish.</t>
  </si>
  <si>
    <t>She then takes a brush and start going over the shoe with it and pauses briefly and begins talking.</t>
  </si>
  <si>
    <t>v_r5oPTDuHhoE</t>
  </si>
  <si>
    <t>A group of girls are shown standing around a field huddled up together.</t>
  </si>
  <si>
    <t>The next shots are of the girls running around the field passing the ball back and fourth.</t>
  </si>
  <si>
    <t>A girl shoots the ball into the goal and achieves a point.</t>
  </si>
  <si>
    <t>Another later tries to shoot a goal but is blocked by the goalie.</t>
  </si>
  <si>
    <t>v_A8q6beSMpEE</t>
  </si>
  <si>
    <t>A man is holding windex near his car door.</t>
  </si>
  <si>
    <t>The man then sprays the window with windex and wipes the window.</t>
  </si>
  <si>
    <t>The man rolls the window up.</t>
  </si>
  <si>
    <t>The man finishes and rolls the window down to wipe it some more.</t>
  </si>
  <si>
    <t>v_WX1TLuHXCd8</t>
  </si>
  <si>
    <t>Guys are playing lacrosse on a field.</t>
  </si>
  <si>
    <t>A guy pushes a male to the ground.</t>
  </si>
  <si>
    <t>v_FMtUqoxfR50</t>
  </si>
  <si>
    <t>A special effect intro screen appears, it's mainly red and contains words on it that say "How to Improve Your Volleyball Spike".</t>
  </si>
  <si>
    <t>In slow motion a man is on a volleyball court demonstrating moves as white text appears as he does certain movements.</t>
  </si>
  <si>
    <t>When he's done a red screen appears that include a website in white text that say's "AcuSpike dot com" and it includes a blue clip art going through it along with a white volleyball.</t>
  </si>
  <si>
    <t>v_SO67XxdevPw</t>
  </si>
  <si>
    <t>An African American male gymnast in a blue leotard steps under two bars and begins stretching.</t>
  </si>
  <si>
    <t>He grabs the bars and pulls himself up into a hand stand on the bars.</t>
  </si>
  <si>
    <t>He continues to do acrobatic flips and continuous flips.</t>
  </si>
  <si>
    <t>His next set of flips consists of splits over the bars,followed by hand stands.</t>
  </si>
  <si>
    <t>Finally, he flips off the bars and lands on the mat to complete his performance.</t>
  </si>
  <si>
    <t>v_hFtmkU7wdx4</t>
  </si>
  <si>
    <t>A sky with the sun is peeking through the clouds.</t>
  </si>
  <si>
    <t>A man is on a track in front of a crowd.</t>
  </si>
  <si>
    <t>He runs, doing a long jump in slow motion.</t>
  </si>
  <si>
    <t>He celebrates as he wins the medal.</t>
  </si>
  <si>
    <t>A man is shown talking about him.</t>
  </si>
  <si>
    <t>The credits appear at the end.</t>
  </si>
  <si>
    <t>v_t6vWMTMooDc</t>
  </si>
  <si>
    <t>A man and a woman are standing in a living room with large sumo costumes on.</t>
  </si>
  <si>
    <t>The girl jumps up and then the man tries it to see how heavy the uniform is.</t>
  </si>
  <si>
    <t>Next,the man holds up a bag of lemons and begin to talk before they put their head equipment on.</t>
  </si>
  <si>
    <t>Now,it is time for the match and they begin wrestling with one another.</t>
  </si>
  <si>
    <t>However,they've added a feature to the match and each person has to put lemons in the other's hat to gain points.</t>
  </si>
  <si>
    <t>After several attempts,the girl wins and the score is 4 to 0.</t>
  </si>
  <si>
    <t>Now begins round two and the outcome is the same as the girl cheats to win.</t>
  </si>
  <si>
    <t>v_FmugQfHQ4p0</t>
  </si>
  <si>
    <t>Two vacuums appear in a gray room.</t>
  </si>
  <si>
    <t>One of the vacuums disappears.</t>
  </si>
  <si>
    <t>A lady vacuums her house then empties the vacuum.</t>
  </si>
  <si>
    <t>The lady puts the vacuum in a closet.</t>
  </si>
  <si>
    <t>We see a room full of desks and engineers designing products.</t>
  </si>
  <si>
    <t>Three Dyson fans swivel toward the camera.</t>
  </si>
  <si>
    <t>v_pt6XC-p_CFE</t>
  </si>
  <si>
    <t>A woman is seen speaking to the camera and holding up a tin.</t>
  </si>
  <si>
    <t>She then folds a piece of paper into an airplane and rubs it along the pan.</t>
  </si>
  <si>
    <t>She then puts a container into the pan while speaking to the camera.</t>
  </si>
  <si>
    <t>v_0PyY_iHBZHk</t>
  </si>
  <si>
    <t>A man is seen speaking to the camera while showing shots of people playing water polo.</t>
  </si>
  <si>
    <t>More clips are shown of people hitting the ball as well as the host speaking to another man.</t>
  </si>
  <si>
    <t>More clips are shown of people playing in the pool and laughing with one another.</t>
  </si>
  <si>
    <t>v_J4FBxa5FWSo</t>
  </si>
  <si>
    <t>A man runs on a pair of stilts down an alley.</t>
  </si>
  <si>
    <t>He bounces over a bike as he runs.</t>
  </si>
  <si>
    <t>He then runs up the side trim of a building before disappearing around the corner.</t>
  </si>
  <si>
    <t>v_0O589B9zr84</t>
  </si>
  <si>
    <t>Cartoon buildings are shown, then a pair of angels.</t>
  </si>
  <si>
    <t>We see a bucket filled with laundry.</t>
  </si>
  <si>
    <t>The video explains how washing clothes should involve soaking and brushing, and hand washing.</t>
  </si>
  <si>
    <t>Then it talks about rinsing and hanging the clothing to dry.</t>
  </si>
  <si>
    <t>We finally see an empty dryer before an ad for Laundry Bin Heaven.</t>
  </si>
  <si>
    <t>v_smYAy6TYS3M</t>
  </si>
  <si>
    <t>A group of small children are on a playground.</t>
  </si>
  <si>
    <t>They take turns hopping across a game of hopscotch drawn on the sidewalk.</t>
  </si>
  <si>
    <t>They continue taking turns over and over.</t>
  </si>
  <si>
    <t>v_jE0XAclET5w</t>
  </si>
  <si>
    <t>A man is doing a rubiks cube behind a table.</t>
  </si>
  <si>
    <t>There is a timer on the table in front of him.</t>
  </si>
  <si>
    <t>He picks up another rubiks cube and starts completing it.</t>
  </si>
  <si>
    <t>v_drarkco9LfQ</t>
  </si>
  <si>
    <t>A man is about to do an arm wrestling match with an older gentlemen.</t>
  </si>
  <si>
    <t>The older man is struggling from the faces that he is making.</t>
  </si>
  <si>
    <t>The camera's are getting all in their faces basically.</t>
  </si>
  <si>
    <t>The older man wins the match and the referees and everyone start to talk.</t>
  </si>
  <si>
    <t>v_COeXmBZpLSE</t>
  </si>
  <si>
    <t>An intro to Dancing with the Stars shows followed by a man playing piano and a couple looking off into the distance.</t>
  </si>
  <si>
    <t>The woman begins playing the piano when the man standing plays and grabs her.</t>
  </si>
  <si>
    <t>They twirl around a large stage surrounded by hundreds of people watching them dance.</t>
  </si>
  <si>
    <t>The man picks her up and twirls her around the music and ends with audience clapping.</t>
  </si>
  <si>
    <t>v_800KXmqsK-w</t>
  </si>
  <si>
    <t>A group of people riding bumper cars.</t>
  </si>
  <si>
    <t>The attendant crosses the course dodging the bumper cars.</t>
  </si>
  <si>
    <t>The attendant hops onto a girls car and helps her maneuver the car.</t>
  </si>
  <si>
    <t>The attendant continues running across the course assisting drivers while the the other drivers continue to crash into each other.</t>
  </si>
  <si>
    <t>v_37siIMJNG9Y</t>
  </si>
  <si>
    <t>A young girl is sitting down in front of a screen and begins talking as she is holding a bottle of blue mouthwash.</t>
  </si>
  <si>
    <t>The girl then takes the mouthwash and starts to put it over head and playing with is while making funny faces.</t>
  </si>
  <si>
    <t>After taking about it,the girls takes a gulp of it and starts to gargle it and holds it in her mouth.</t>
  </si>
  <si>
    <t>Finally,she spits it out and takes a drink of water before the replay is shown.</t>
  </si>
  <si>
    <t>v_6uNhwOSZXco</t>
  </si>
  <si>
    <t>A man in a snow jacket is seated in a ski lift.</t>
  </si>
  <si>
    <t>A man in yellow jacket holds a rubber inter tube with a rope and a child in ski clothes sits down inside.</t>
  </si>
  <si>
    <t>The man pushes the child down a ski slope.</t>
  </si>
  <si>
    <t>The child goes down a set of hills on the intertube.</t>
  </si>
  <si>
    <t>A woman attempts to stop the child then retrieves his intertube.</t>
  </si>
  <si>
    <t>A group of young girls and boy pull intertubes up a hill.</t>
  </si>
  <si>
    <t>A child in green jacket gets into an intertube.</t>
  </si>
  <si>
    <t>The child is pushed down the ski slope and sleds to the bottom.</t>
  </si>
  <si>
    <t>A woman in grey sweatshirt retrieves the intertube at the bottom of the slope.</t>
  </si>
  <si>
    <t>A boy in green jacket is pushed down the ski slope.</t>
  </si>
  <si>
    <t>A woman an grey sweatshirt retrieves the intertube at the bottom of the slope.</t>
  </si>
  <si>
    <t>v_9vqOA8KVcME</t>
  </si>
  <si>
    <t>A lady talks to the camera.</t>
  </si>
  <si>
    <t>We see the lady hold up bottle of witch hazel and a cotton pad and talks.</t>
  </si>
  <si>
    <t>The lady holds up a bottle of lotion.</t>
  </si>
  <si>
    <t>We see the lady put lotion on her face and then hold a small bottle of serum she puts on her face.</t>
  </si>
  <si>
    <t>We see teh lady with makeup on talking to the camera.</t>
  </si>
  <si>
    <t>v_KYtV2vpwuVw</t>
  </si>
  <si>
    <t>1 A camera man watches men on bikes that are about to race.</t>
  </si>
  <si>
    <t>2 The race begins with the guys on bikes.</t>
  </si>
  <si>
    <t>3 One man wipes out.</t>
  </si>
  <si>
    <t>4 The race ends and the guys take their bikes.</t>
  </si>
  <si>
    <t>v_HRbBaePTCR8</t>
  </si>
  <si>
    <t>A man is driving a boat, then two men are sitting on the side of the boat, the man in black life vest is on the side of the boat then let go off the boat then start to wakeboard while he is holding on to the harness.</t>
  </si>
  <si>
    <t>The man continue to wake board, he flipped over and then wake board on the water.</t>
  </si>
  <si>
    <t>v_QjoEYtjPa3w</t>
  </si>
  <si>
    <t>We see an opening instruction screen.</t>
  </si>
  <si>
    <t>We see a person holding a contact lens.</t>
  </si>
  <si>
    <t>We see another instruction screen and see the person inserts the lens on the left.</t>
  </si>
  <si>
    <t>Another screen of instructions and the person inserts the right lens.</t>
  </si>
  <si>
    <t>Two sets of Instructions appear an the person removes the left and right lens.</t>
  </si>
  <si>
    <t>the person waves bye to the camera.</t>
  </si>
  <si>
    <t>v_5z6q_Ix3kWI</t>
  </si>
  <si>
    <t>A man is skiing very fast down a hillside and hops one for fun.</t>
  </si>
  <si>
    <t>He is now walking back up the mountain with difficulty.</t>
  </si>
  <si>
    <t>He skiis and walks up various hills.</t>
  </si>
  <si>
    <t>Skiis down a rather large hillside or mountain.</t>
  </si>
  <si>
    <t>He jumps off a hill and tries to do a 360 but falls.</t>
  </si>
  <si>
    <t>He skiis between some trees and on a path.</t>
  </si>
  <si>
    <t>v_32EWNGHBctI</t>
  </si>
  <si>
    <t>A professional tennis match is played during a tournament.</t>
  </si>
  <si>
    <t>The players talk on headsets during the match.</t>
  </si>
  <si>
    <t>A man prepares to serve the ball to start the match.</t>
  </si>
  <si>
    <t>The man serves the ball and scores a point.</t>
  </si>
  <si>
    <t>The opposing team has a turn to serve the ball.</t>
  </si>
  <si>
    <t>v_9SEc3QVBCo4</t>
  </si>
  <si>
    <t>A man is working outside a house.</t>
  </si>
  <si>
    <t>He uses a hammer and clamp on the shingles.</t>
  </si>
  <si>
    <t>He knocks each shingle off the house with the hammer.</t>
  </si>
  <si>
    <t>v_g5BPyMdlurg</t>
  </si>
  <si>
    <t>First this girl does a back bend and then another girl does a back walkover.</t>
  </si>
  <si>
    <t>Then someone else does a cartwheel and that same person does a round off.</t>
  </si>
  <si>
    <t>next someone does a front walkover and another girl does a standing back handspring along with other people who are doing gymnastic moves.</t>
  </si>
  <si>
    <t>v_bSBmunE-1KQ</t>
  </si>
  <si>
    <t>A man wearing a bag is seen speaking to the camera and leads into a group of people riding in a raft.</t>
  </si>
  <si>
    <t>One person paddles around and turns the ground around, leading back into the man speaking to the camera.</t>
  </si>
  <si>
    <t>v_gCuRcP4txc0</t>
  </si>
  <si>
    <t>A group of drummers dressed in all white outfits perform a song.</t>
  </si>
  <si>
    <t>An instructor stands in front of the group giving instructions.</t>
  </si>
  <si>
    <t>v_oBZ_oAUGO0E</t>
  </si>
  <si>
    <t>man is sitting in an ofice talking to the camera.</t>
  </si>
  <si>
    <t>a tattoo is shown in a back of a man and the man is tattoing him.</t>
  </si>
  <si>
    <t>man is standing laying no a stand getting a tatto on his back.</t>
  </si>
  <si>
    <t>v_eElKkhIJXCs</t>
  </si>
  <si>
    <t>A group of kids are playing on a field.</t>
  </si>
  <si>
    <t>The coaches talk to them as they run.</t>
  </si>
  <si>
    <t>They engage in a game of lacrosse together.</t>
  </si>
  <si>
    <t>v_oWaqaK58Tds</t>
  </si>
  <si>
    <t>A large group of people are seen standing on ice followed by various shots of curling tools and people playing the sport.</t>
  </si>
  <si>
    <t>A man is seen putting shoes on, walking along the ice while another helps him walk.</t>
  </si>
  <si>
    <t>The men continue to teach him how to glide along the ice and and use the brush to move the puck.</t>
  </si>
  <si>
    <t>v_tzbJ_CETeG8</t>
  </si>
  <si>
    <t>A group of men are in a sandy desert.</t>
  </si>
  <si>
    <t>They climb on top of camels and ride them.</t>
  </si>
  <si>
    <t>They ride the camels toward a set of pyramids.</t>
  </si>
  <si>
    <t>v_pwoy7UXdnAE</t>
  </si>
  <si>
    <t>We see a title screen fade in and out.</t>
  </si>
  <si>
    <t>A man and a dog walk in a training room.</t>
  </si>
  <si>
    <t>The man throws Frisbees for the dog to catch.</t>
  </si>
  <si>
    <t>The dog stands to catch the Frisbee the leans on the man.</t>
  </si>
  <si>
    <t>The dog jumps into the man's arms.</t>
  </si>
  <si>
    <t>v_L9dtiopWGe4</t>
  </si>
  <si>
    <t>A table of various cut fruits appear on screen with the title "Making Drinks".</t>
  </si>
  <si>
    <t>A person cuts and squeezes lemons followed by the title "Making Lemonade Is Easy and Fun".</t>
  </si>
  <si>
    <t>Different items needed to make lemonade are shown and titled followed by interviews.</t>
  </si>
  <si>
    <t>Each step of making lemonade is shown and titled.</t>
  </si>
  <si>
    <t>People are interviewed drinking the lemonade.</t>
  </si>
  <si>
    <t>A "Citrus Saturday" logo appears with various supporting organization logos beneath.</t>
  </si>
  <si>
    <t>v_wideKBXF-60</t>
  </si>
  <si>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t>
  </si>
  <si>
    <t>The polo match begins and the men are riding on hroses that are going very fast as they all attempt to hit the ball with their sticks.</t>
  </si>
  <si>
    <t>There are a lot of celebrities and even royalty at this polo event and every now and then they are shown, and sometimes they are also interviewed.</t>
  </si>
  <si>
    <t>Between matches the people all go out into the grass and put the patches of grass back into the holes that are missing them, and the polo game continues for another round.</t>
  </si>
  <si>
    <t>The polo match ends and Prince Harry and Prince William are seen separately receiving a white box from a man, while they talk and shake hands as people clap and take pictures.</t>
  </si>
  <si>
    <t>v_q3NOVbRyFfw</t>
  </si>
  <si>
    <t>People are seen walking in the forest carrying tubes and lead into them sitting in the water.</t>
  </si>
  <si>
    <t>More people climb into the water and sit on top of their tubes.</t>
  </si>
  <si>
    <t>Several close ups are seen of the people riding on the tubes as well as swimming in the water.</t>
  </si>
  <si>
    <t>v_uv7COBs24D8</t>
  </si>
  <si>
    <t>written instructions about how to makea hand lay down are in the screen.</t>
  </si>
  <si>
    <t>man is standing in a basket court dribbling the ball and doing shos to the basket.</t>
  </si>
  <si>
    <t>three basket players are doing shots and showing how to do a two steps technique.</t>
  </si>
  <si>
    <t>v_UaZcqOngDzo</t>
  </si>
  <si>
    <t>Two kids are seen riding in a truck moving down a road as well as shots of landscapes and the kids sitting on bikes.</t>
  </si>
  <si>
    <t>Several shots are shown of the kids riding around a dirt track with one another while the camera captures them all over.</t>
  </si>
  <si>
    <t>v_Taw5ILRt9hI</t>
  </si>
  <si>
    <t>There's a woman with red colored hair wearing a black tank top and printed black tights skating on roller blades through the streets of a city.</t>
  </si>
  <si>
    <t>The streets don't have any cars but people are riding bikes or skateboarding.</t>
  </si>
  <si>
    <t>The woman swiftly skates through the crowded streets as she passes by several tourists walking leisurely.</t>
  </si>
  <si>
    <t>v_8d7FyPzxzjg</t>
  </si>
  <si>
    <t>A man flies in the air with on a motorcycle.</t>
  </si>
  <si>
    <t>A man makes a motocross circuit using a heavy machine.</t>
  </si>
  <si>
    <t>People runs motocross on an bumpy road.</t>
  </si>
  <si>
    <t>people ride a motorcycle on ramps, and then flies and spin in the air.</t>
  </si>
  <si>
    <t>v_8ZPV7ySIcbM</t>
  </si>
  <si>
    <t>men are walking to a bike shop and talks with the man inside.</t>
  </si>
  <si>
    <t>they are assembling different pieces of the bike.</t>
  </si>
  <si>
    <t>man says goodbye and leaves the shop and get home where man carry the bike and put it in a living room.</t>
  </si>
  <si>
    <t>man is wriing on white papers and is fixing the bike on the garage.</t>
  </si>
  <si>
    <t>v_U0p4tW1LoPg</t>
  </si>
  <si>
    <t>A group of people wearing swim caps move around a pool and toss a ball around with a man on the sides waving a flag.</t>
  </si>
  <si>
    <t>They play a game of water polo and throw the ball around to each other.</t>
  </si>
  <si>
    <t>One throws the ball into the net and causes the people on the side to jump and cheer.</t>
  </si>
  <si>
    <t>A video of the event shows in slow motion followed by men on the sidelines watching.</t>
  </si>
  <si>
    <t>v_tJLm2D4J3X0</t>
  </si>
  <si>
    <t>People are running down a track and jumping into a sand pit.</t>
  </si>
  <si>
    <t>People are standing on the side of the track watching them.</t>
  </si>
  <si>
    <t>The man is posing in front of a sign.</t>
  </si>
  <si>
    <t>v_qxQWNu_MN94</t>
  </si>
  <si>
    <t>He jumps off into the pool below him.</t>
  </si>
  <si>
    <t>Another person steps onto the diving board.</t>
  </si>
  <si>
    <t>v_f-uRpjoKGLQ</t>
  </si>
  <si>
    <t>Two people are seen riding along on skis while speaking to one another and leads into them riding down a snowy hill.</t>
  </si>
  <si>
    <t>The people continuously push themselves quickly down a hill moving past several people and ending by stopping at the end.</t>
  </si>
  <si>
    <t>v_4pSWTD4vAz0</t>
  </si>
  <si>
    <t>A dog rides on a boat with his owners.</t>
  </si>
  <si>
    <t>A crab is seen crawling on the bottom of a lake.</t>
  </si>
  <si>
    <t>People water ski behind a boat on a calm lake.</t>
  </si>
  <si>
    <t>The person lets go of the tug rope and glides towards the shore of the lake.</t>
  </si>
  <si>
    <t>The group prepare a chair on a sled with a rope on shore.</t>
  </si>
  <si>
    <t>A man is pulled on a sled from the shore then on the lake.</t>
  </si>
  <si>
    <t>The group removes the sled from the water and lifts it to drain the water.</t>
  </si>
  <si>
    <t>v_rWHm1-o_zL0</t>
  </si>
  <si>
    <t>A shiny mopped floor is shown.</t>
  </si>
  <si>
    <t>A janitor is shown rolling rugs, scraping gum, putting out signs, and mopping floors.</t>
  </si>
  <si>
    <t>He goes into a closet and picks out the cleaner he uses while he talks about it.</t>
  </si>
  <si>
    <t>He sprays water and the cleaning solution into his mop cart.</t>
  </si>
  <si>
    <t>He is then shown mopping the floor with the solution.</t>
  </si>
  <si>
    <t>He takes everything apart and puts it away before washing his hands for the day.</t>
  </si>
  <si>
    <t>v_beASFdYJFUU</t>
  </si>
  <si>
    <t>Women are playing indoor hockey and competing.</t>
  </si>
  <si>
    <t>They begin fighting over the inflatable pucks.</t>
  </si>
  <si>
    <t>They are shown talking to the camera about the game.</t>
  </si>
  <si>
    <t>The women are again shown playing hockey in a competition with one another.</t>
  </si>
  <si>
    <t>A close up is shown of the puck.</t>
  </si>
  <si>
    <t>v_Vckc3ZOollk</t>
  </si>
  <si>
    <t>Several outside views of a casino are shown.</t>
  </si>
  <si>
    <t>Card players and the dealer at a table are shown engaging in a game inside the casino.</t>
  </si>
  <si>
    <t>The dealer deals cards to each player.</t>
  </si>
  <si>
    <t>The dealer reveals the dealer's hand.</t>
  </si>
  <si>
    <t>One man talks to the camera while another man stands nearby.</t>
  </si>
  <si>
    <t>v_ZC65qkYMy9Q</t>
  </si>
  <si>
    <t>Several people are seen standing around an arena while others stand to play shuffleboard.</t>
  </si>
  <si>
    <t>A man pushes a puck along several times while others do the same behind him.</t>
  </si>
  <si>
    <t>The people continue playing and end with a man speaking to the camera in the end.</t>
  </si>
  <si>
    <t>v_U_ZW0tTvf0k</t>
  </si>
  <si>
    <t>A girl is seen laying on a table with a man piercing her belly button below her.</t>
  </si>
  <si>
    <t>The girl screams in pain and the man finishes her piercing while she looks to the camera.</t>
  </si>
  <si>
    <t>v_95L-8JtlwRU</t>
  </si>
  <si>
    <t>A pair of white and red nike shoes are shown.</t>
  </si>
  <si>
    <t>A man is using inserts to prepare the shoes.</t>
  </si>
  <si>
    <t>He then uses a brush and cleaning solution to wash the shoes.</t>
  </si>
  <si>
    <t>v_bBXbFpJMveI</t>
  </si>
  <si>
    <t>We see men skateboarding near a parking lot.</t>
  </si>
  <si>
    <t>We see two men talking to each other.</t>
  </si>
  <si>
    <t>We see the man in khakis stumble and fail repeatedly.</t>
  </si>
  <si>
    <t>We see a man holding a cell phone and talking to the skater.</t>
  </si>
  <si>
    <t>The men shake hands and the cameraman points at the skater.</t>
  </si>
  <si>
    <t>We see the subscribe screen.</t>
  </si>
  <si>
    <t>We see people riding and see a man ride a red toy kids skateboard and the cameraman kicks it across the lot.</t>
  </si>
  <si>
    <t>v_99Mk5a8Tvyk</t>
  </si>
  <si>
    <t>There's a man wearing a red hat and a black shirt training and playing with his dog in a dog park.</t>
  </si>
  <si>
    <t>There are several other people in that park with their dogs, sitting under canopies.</t>
  </si>
  <si>
    <t>The man is throwing a Frisbee for the dog to fetch.</t>
  </si>
  <si>
    <t>The dog is running around and fetching the Frisbee for its owner.</t>
  </si>
  <si>
    <t>The dog jumps up high to catch the Frisbee.</t>
  </si>
  <si>
    <t>The man also throws a ball to the dog for him to fetch.</t>
  </si>
  <si>
    <t>The man lifts the dog up and walks away with it.</t>
  </si>
  <si>
    <t>v_fYIr-1aIHmA</t>
  </si>
  <si>
    <t>We see a black screen and the title.</t>
  </si>
  <si>
    <t>We see a boy holding onto to a pole being pulled by a boat.</t>
  </si>
  <si>
    <t>He gets on his feet and skis.</t>
  </si>
  <si>
    <t>The boy loses his balance and fall off the pole entirely.</t>
  </si>
  <si>
    <t>A girl is next to hold onto the bar of the boat.</t>
  </si>
  <si>
    <t>The girls looks at the camera before she looses her footing and falls off the bar.</t>
  </si>
  <si>
    <t>v_n9Fqjdwh-L8</t>
  </si>
  <si>
    <t>A woman in an orange shirt is doing various karate moves.</t>
  </si>
  <si>
    <t>She does a back flip on the mat.</t>
  </si>
  <si>
    <t>v_E0U3v4WLuEA</t>
  </si>
  <si>
    <t>A man demonstrates how to install some grips onto bicycle handles.</t>
  </si>
  <si>
    <t>First he installs some rings onto the grips themselves.</t>
  </si>
  <si>
    <t>Next he screws on some screws to have them ready.</t>
  </si>
  <si>
    <t>He then slides on the grips onto the handles of the bike.</t>
  </si>
  <si>
    <t>He completes the tightening of the grips with an Alan wrench.</t>
  </si>
  <si>
    <t>Last he inserts plugs into the end of the grips and the handle bars.</t>
  </si>
  <si>
    <t>v_1SdH6HFnOZA</t>
  </si>
  <si>
    <t>men are playing beach football in a empty court.</t>
  </si>
  <si>
    <t>man kick another player on the head and he holds his head.</t>
  </si>
  <si>
    <t>v_jPLJAYnjsBw</t>
  </si>
  <si>
    <t>Two woman are riding in a car.</t>
  </si>
  <si>
    <t>The passenger is talking to the camera.</t>
  </si>
  <si>
    <t>They are demonstrating dance moves.</t>
  </si>
  <si>
    <t>The driver is talking to the camera.</t>
  </si>
  <si>
    <t>The passenger is now talking to the camera.</t>
  </si>
  <si>
    <t>The driver is looking at the camera and smiling while driving.</t>
  </si>
  <si>
    <t>A girl is looking in a mirror holding a tattoo pattern on her shoulder.</t>
  </si>
  <si>
    <t>Another girl is lying on a bed while another girl gives her a tattoo.</t>
  </si>
  <si>
    <t>The other girl is sitting on a stool while a man gives her a tattoo her shoulder.</t>
  </si>
  <si>
    <t>A hand reaches out from behind the camera.</t>
  </si>
  <si>
    <t>A girl is talking to the camera with her hand on her shoulder.</t>
  </si>
  <si>
    <t>Another girl is talking to the camera and making hand gestures.</t>
  </si>
  <si>
    <t>Both girls are talking to the camera.</t>
  </si>
  <si>
    <t>v_lp_Rwbp8S1k</t>
  </si>
  <si>
    <t>A man in a black coat is shoveling snow with a shovel.</t>
  </si>
  <si>
    <t>He picks up a large shovel full of snow and tosses it next to him.</t>
  </si>
  <si>
    <t>He continues shoveling the driveway.</t>
  </si>
  <si>
    <t>v_1tRTSOnylOs</t>
  </si>
  <si>
    <t>A man is in an arena fighting a bull.</t>
  </si>
  <si>
    <t>He swings the cape and runs near other men, teasing the bull into chasing him.</t>
  </si>
  <si>
    <t>The bull slams into the side of a horse being ridden by a man before running back towards the man with the cape.</t>
  </si>
  <si>
    <t>The man on the horse rides away to the side.</t>
  </si>
  <si>
    <t>v_iL__89eDRzg</t>
  </si>
  <si>
    <t>An intro comes onto the screen introducing the video clip.</t>
  </si>
  <si>
    <t>Two people are shown frolicking around in the lake.</t>
  </si>
  <si>
    <t>After that, they take off in motion in the water connected by a cord to a speed boat.</t>
  </si>
  <si>
    <t>The video ends when they both fall int the water.</t>
  </si>
  <si>
    <t>v_THtDZ6g9csA</t>
  </si>
  <si>
    <t>A lady paints her fingernails a plum color.</t>
  </si>
  <si>
    <t>She then puts streaks and dots of black and silver on the nails to create a design.</t>
  </si>
  <si>
    <t>She finishes and shows her painted nails.</t>
  </si>
  <si>
    <t>v_lR4vyq1WbyU</t>
  </si>
  <si>
    <t>A man is seen speaking to others off in the distance and begins pushing a man around a room.</t>
  </si>
  <si>
    <t>He continues pushing the man while many watch on the side.</t>
  </si>
  <si>
    <t>The man stands up and looks surprised as he's continuously pushed down.</t>
  </si>
  <si>
    <t>v_RZpbFG3j-Bo</t>
  </si>
  <si>
    <t>A lady stands outside and talks.</t>
  </si>
  <si>
    <t>The lady is let in an office where she undergoes an eye exam.</t>
  </si>
  <si>
    <t>A eye contact is examined using a tool and a human hand.</t>
  </si>
  <si>
    <t>Several items associated with contacts lenses wear are displayed.</t>
  </si>
  <si>
    <t>A man washes his hand.</t>
  </si>
  <si>
    <t>A lady picks up a contact lens.</t>
  </si>
  <si>
    <t>A man writes the letter l on a paper.</t>
  </si>
  <si>
    <t>A hand bends a contact lens.</t>
  </si>
  <si>
    <t>A man puts a contact lens in.</t>
  </si>
  <si>
    <t>A lady puts each contact lens in.</t>
  </si>
  <si>
    <t>The lady shakes the man's hand.</t>
  </si>
  <si>
    <t>v_hPIHCG5n7RI</t>
  </si>
  <si>
    <t>A small group of people are seen playing a game of lacrosse on a field with a man walking towards them.</t>
  </si>
  <si>
    <t>The man yells to the players as they run up and down the field and continues to watch them as they play.</t>
  </si>
  <si>
    <t>v_Fpivz0Yie_Q</t>
  </si>
  <si>
    <t>A van towing a car drives by view of blue road signs are shown and in white letters they read "WALTON", "Ontario's West Coast" and "MOTORCROSS TOWN".</t>
  </si>
  <si>
    <t>A lot of people are now shown walking or riding bikes at a large gathering as other people are hanging out under tents.</t>
  </si>
  <si>
    <t>A group of men are at a starting line of a large motor cross track and they begin to go around and around while people watch on.</t>
  </si>
  <si>
    <t>When they are done going around the track various clips of people doing different things are shown again.</t>
  </si>
  <si>
    <t>v_iaqFvTpoceI</t>
  </si>
  <si>
    <t>Cheerleaders are standing on a blue mat.</t>
  </si>
  <si>
    <t>They start doing a routine on the mat.</t>
  </si>
  <si>
    <t>They hold up signs in the air.</t>
  </si>
  <si>
    <t>They finish their routine and wave at the audience.</t>
  </si>
  <si>
    <t>v_rYumFn7S1YA</t>
  </si>
  <si>
    <t>A woman is holding an athlete's ankle while sh is on the beam.</t>
  </si>
  <si>
    <t>The woman is making the athlete raiser her ankle a and walk to the beam, she guide the athlete as she walks.</t>
  </si>
  <si>
    <t>The athlete walked backwards with her ankle's up, then the woman guided her as she turns around.</t>
  </si>
  <si>
    <t>v_qK2iRSxxRQU</t>
  </si>
  <si>
    <t>A bellydancer in green begins her routine, smiling for the audience.</t>
  </si>
  <si>
    <t>She is joined by two more dancers who are in red and each does their own moves before coming together.</t>
  </si>
  <si>
    <t>They again break for solo performances, each dancer getting a moment to show off.</t>
  </si>
  <si>
    <t>They return to dancing together and the performance ends.</t>
  </si>
  <si>
    <t>v_RkBHHWFh2rk</t>
  </si>
  <si>
    <t>The video leads into several shots of people riding skateboards as well as riding on a tire and walking next to each other.</t>
  </si>
  <si>
    <t>They're seen looking and laughing to the camera while more shots of people riding down on skateboards are shown.</t>
  </si>
  <si>
    <t>v_u1upxlAgsqM</t>
  </si>
  <si>
    <t>Three people do a basketball drill of driving to the hoop.</t>
  </si>
  <si>
    <t>They take turns playing different positions and doing a layup.</t>
  </si>
  <si>
    <t>v_arTumJHoLB0</t>
  </si>
  <si>
    <t>A young man is seen looking off into the distance with lotion on his face.</t>
  </si>
  <si>
    <t>He continues rubbing the lotion in while looking away from the camera.</t>
  </si>
  <si>
    <t>He finishes putting in the sunscreen and looking away from the camera.</t>
  </si>
  <si>
    <t>v_bMDyOXygNPM</t>
  </si>
  <si>
    <t>Several men are seen standing around an indoor court kicking a ball around.</t>
  </si>
  <si>
    <t>People watch the game on the sidelines as the players continue to run up and down the field.</t>
  </si>
  <si>
    <t>Different games are shown in between and the group continues to play.</t>
  </si>
  <si>
    <t>v_GfSGZZSGH6g</t>
  </si>
  <si>
    <t>There are two roofers standing top of a building roof removing working on old roof removal.</t>
  </si>
  <si>
    <t>They are using roofing shovel to remove the shingles and tarp.</t>
  </si>
  <si>
    <t>One of the roofers is peeling off the tarp from the rooftop as he digs in the shovel underneath the tarp.</t>
  </si>
  <si>
    <t>The other roofer is helping him roll up the tarp as he peels it off.</t>
  </si>
  <si>
    <t>v_1p_HYu0EZAk</t>
  </si>
  <si>
    <t>A camera pans over a sink full of dishes followed by a woman jogging over.</t>
  </si>
  <si>
    <t>She dances with the dishes and looks into the camera while she does them.</t>
  </si>
  <si>
    <t>A timer counts down how many dishes she's washed and she smiles to the camera.</t>
  </si>
  <si>
    <t>v__N9LhaKnZv4</t>
  </si>
  <si>
    <t>A man talks in the woods holding a can and key chain.</t>
  </si>
  <si>
    <t>Then, the man takes the key chain and points the lower part of the can.</t>
  </si>
  <si>
    <t>After, the man pocks the lower part of the can and intermediately opens the can and drinks from the hole of the can.</t>
  </si>
  <si>
    <t>v_a2vaM_aRHv4</t>
  </si>
  <si>
    <t>A list of ingredients is shown written in a list.</t>
  </si>
  <si>
    <t>Glass bowls are set on a counter with various ingredients for a dish.</t>
  </si>
  <si>
    <t>A person measures and cuts parchment paper using a cooking tin as a guide.</t>
  </si>
  <si>
    <t>The person measures ingredients in a glass bowl then adds them to an electric mixer to blend.</t>
  </si>
  <si>
    <t>The person brushes on oil to the parchment paper then sets it into a cooking tin.</t>
  </si>
  <si>
    <t>The tins are added to an oven to cook.</t>
  </si>
  <si>
    <t>The tins are shown fully cooked and then flipped over to empty cake onto table.</t>
  </si>
  <si>
    <t>The parchment paper is peeled off the cake.</t>
  </si>
  <si>
    <t>The cake is sliced into loaves with a serrated knife.</t>
  </si>
  <si>
    <t>The cake is seen on plates for serving.</t>
  </si>
  <si>
    <t>v_6FPoGGaox4g</t>
  </si>
  <si>
    <t>A woman is helping a little boy slide down a slide.</t>
  </si>
  <si>
    <t>A woman is at the top of a slide helping a little boy slide down into the arms of another person in a red vest.</t>
  </si>
  <si>
    <t>A woman is helping the boy down a slide and the same person in the red vest catches them.</t>
  </si>
  <si>
    <t>The person in the red vest then kissed the child.</t>
  </si>
  <si>
    <t>v_KaicDn9WDUo</t>
  </si>
  <si>
    <t>They all come onto the stage and pose at the end.</t>
  </si>
  <si>
    <t>They bow and walk off the stage.</t>
  </si>
  <si>
    <t>v_srXhWAGzd-s</t>
  </si>
  <si>
    <t>A person is shown cleaning off the outside of a car.</t>
  </si>
  <si>
    <t>The car is then driven inside of a shop.</t>
  </si>
  <si>
    <t>Inside a man starts detailing the car once again and cleaning off the outside.</t>
  </si>
  <si>
    <t>He spray paints parts of the car.</t>
  </si>
  <si>
    <t>He sprays cleaner on the inside and outside of the car.</t>
  </si>
  <si>
    <t>He wipes down all surfaces from inside and outside the car.</t>
  </si>
  <si>
    <t>v_wott7JRSkOk</t>
  </si>
  <si>
    <t>Two men plays soccer table moving the players on the rods.</t>
  </si>
  <si>
    <t>A man wearing yellow shirt stroke the rod strong to hit the white ball.</t>
  </si>
  <si>
    <t>A person stands on front the soccer table.</t>
  </si>
  <si>
    <t>v_kO_4QDNExkY</t>
  </si>
  <si>
    <t>A hand is shown flipping a switch.</t>
  </si>
  <si>
    <t>A the hose of a leaf blower is shown.</t>
  </si>
  <si>
    <t>The hose begins forcefully blowing leaves away from the camera.</t>
  </si>
  <si>
    <t>The person holding the leaf blower repeatedly swings the hose left to ring blowing leaves into a pile.</t>
  </si>
  <si>
    <t>v_RTS4mOH3cFY</t>
  </si>
  <si>
    <t>A residential security video is playing and shows an empty yard and road.</t>
  </si>
  <si>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t>
  </si>
  <si>
    <t>The man kicks the attack dog away and tries to regain control of his two dogs while the man and the other dog is on the other side of the road.</t>
  </si>
  <si>
    <t>The man picks up one of his dogs and they resume walking.</t>
  </si>
  <si>
    <t>v_n6A8YtBAJX0</t>
  </si>
  <si>
    <t>We see a man and a boy playing by sliding a plastic thing around table.</t>
  </si>
  <si>
    <t>The camera shifts and we see more of the room.</t>
  </si>
  <si>
    <t>The camera angle changes and we see them playing the game from behind.</t>
  </si>
  <si>
    <t>A persons hand on the left enters the screen.</t>
  </si>
  <si>
    <t>The camera angle changes again and we are in front of the players.</t>
  </si>
  <si>
    <t>We see a boy in a sweater moving a chair to sit and join the game.</t>
  </si>
  <si>
    <t>v_V-Yz865cbn4</t>
  </si>
  <si>
    <t>A young child is seen smiling to the camera and then begins dancing around.</t>
  </si>
  <si>
    <t>The boy continues dancing while the camera captures him moving up and down.</t>
  </si>
  <si>
    <t>v_Hlc6FXX5kGs</t>
  </si>
  <si>
    <t>A baby girl is holding a compact, wiping the makeup pad against her cheek.</t>
  </si>
  <si>
    <t>She sits on the floor, continuing to play with the makeup, opening and closing the case, and wiping it onto her face.</t>
  </si>
  <si>
    <t>v_mdwbRGlPn3A</t>
  </si>
  <si>
    <t>Three men are walking with the stilts.</t>
  </si>
  <si>
    <t>One of the men with stilts splits at the center.</t>
  </si>
  <si>
    <t>One of the men jumped so high several time with his stilts.</t>
  </si>
  <si>
    <t>v_xwSeXFkTNlE</t>
  </si>
  <si>
    <t>A gymnast is patiently waiting to start his performance.</t>
  </si>
  <si>
    <t>He jumps on to the board and starts spinning really fast before he jumps off and walks around.</t>
  </si>
  <si>
    <t>He take a breath and the audience claps for him before he jumps back on it and starts spinning again.</t>
  </si>
  <si>
    <t>When he is done he walks down and shakes hands with all the team mates, before he gets on one last time.</t>
  </si>
  <si>
    <t>v_bbDWLOPnWOY</t>
  </si>
  <si>
    <t>A man in a blue shirt moves to take his shot.</t>
  </si>
  <si>
    <t>He then talks to the other men.</t>
  </si>
  <si>
    <t>The man in black moves out of the shot.</t>
  </si>
  <si>
    <t>The man in black and blue throw their hands in the air.</t>
  </si>
  <si>
    <t>All of the men break out and react wildly to the last shot.</t>
  </si>
  <si>
    <t>v_GnbyHdd-BjQ</t>
  </si>
  <si>
    <t>They are sitting down drinking coffee.</t>
  </si>
  <si>
    <t>They are standing next to a body of water.</t>
  </si>
  <si>
    <t>They are snowboarding down a hill again.</t>
  </si>
  <si>
    <t>A girl is laying down sleeping.</t>
  </si>
  <si>
    <t>They are eating dinner around a table.</t>
  </si>
  <si>
    <t>They leave their snowboards and walk into a cabin.</t>
  </si>
  <si>
    <t>v_mcDVNexy6Ps</t>
  </si>
  <si>
    <t>A woman is standing in front of a christmas tree, applying a wreath.</t>
  </si>
  <si>
    <t>She then hangs lights and ornaments.</t>
  </si>
  <si>
    <t>At the end, she adjusts the ornaments and adds a star to the top of the tree.</t>
  </si>
  <si>
    <t>v_FJnCSFPoWVU</t>
  </si>
  <si>
    <t>A man is sitting on the rock, then people are climbing the big rocks without harness.</t>
  </si>
  <si>
    <t>People are walking in a rope attached to two trees.</t>
  </si>
  <si>
    <t>v_MkL-tApJgXc</t>
  </si>
  <si>
    <t>Text appears on the screen with regards to coffee possibly being bad for your health.</t>
  </si>
  <si>
    <t>It is then mention with text on the screen that it can lead to high blood pressure It is then mentioned that it can hurt your hair growth and that it doesn't have any vital nutrients in it.</t>
  </si>
  <si>
    <t>It is then shown that there are benefits and that one should moderate their intake to keep a balance.</t>
  </si>
  <si>
    <t>A website is then shown to get more information on this topic.</t>
  </si>
  <si>
    <t>v_fxqzU9KGOsQ</t>
  </si>
  <si>
    <t>Several young kids are in a gym playing dodge wall with medium sized red balls.</t>
  </si>
  <si>
    <t>As they throw the balls,a little girl tries to join in on the action and begins following them and running from one side of the court to the other to chase the balls.</t>
  </si>
  <si>
    <t>v_0McanL-Gob8</t>
  </si>
  <si>
    <t>A woman is lying down, showing off a tattoo on her side.</t>
  </si>
  <si>
    <t>A man in a surgical mask is preparing her as he continues his work on the tattoo.</t>
  </si>
  <si>
    <t>He cleans and wipes down the tattoo.</t>
  </si>
  <si>
    <t>She is finished, showing off the final product.</t>
  </si>
  <si>
    <t>v_Oyi0X-rwUg8</t>
  </si>
  <si>
    <t>A man is holding another man on his shoulders in a wrestling ring as the crowd cheers and watches.</t>
  </si>
  <si>
    <t>the man throws the man on his shoulder to the ground.</t>
  </si>
  <si>
    <t>Both men lay on the ground int he ring.</t>
  </si>
  <si>
    <t>v_snUWwTH8eQg</t>
  </si>
  <si>
    <t>teams are playing fusal in a small court running side to side of the court.</t>
  </si>
  <si>
    <t>a lot of people are celebrating the vicory and hugging.</t>
  </si>
  <si>
    <t>v_ObOkhXGu7oY</t>
  </si>
  <si>
    <t>A person is seen walking into frame with a bar in her hands.</t>
  </si>
  <si>
    <t>She puts the bar down and begins exercising in a humerus way while speaking to the audience.</t>
  </si>
  <si>
    <t>The audience laughs at her movements while she continues to move and dance around the stage.</t>
  </si>
  <si>
    <t>v_hi07Rdf1r4Y</t>
  </si>
  <si>
    <t>A balded man is seen talking to the camera while another man stands above him and cuts his hair.</t>
  </si>
  <si>
    <t>The man sitting rubs his hand and holds his face into his hands.</t>
  </si>
  <si>
    <t>v_adUapXmi-xA</t>
  </si>
  <si>
    <t>A person is seen sitting behind a table with one holding a piece of paper around him.</t>
  </si>
  <si>
    <t>The man then attempts to solve a rubix cube while a timer catches his score.</t>
  </si>
  <si>
    <t>The man writes down his score and the man attempts to solve the cube several more times while the boy helps.</t>
  </si>
  <si>
    <t>v_dc9m-G9CKmQ</t>
  </si>
  <si>
    <t>A man speaking about how he will be sharpening knives today.</t>
  </si>
  <si>
    <t>He shows the tool that he will be using that is called chefs choice.</t>
  </si>
  <si>
    <t>He shows how to use it and how you can use it with either hand.</t>
  </si>
  <si>
    <t>Then he begins to sharpen one of his knives.</t>
  </si>
  <si>
    <t>After he is done sharpening it he demonstrates with a tomato how helpful it is.</t>
  </si>
  <si>
    <t>v_-ypKYhjrlXw</t>
  </si>
  <si>
    <t>A medical worker is sitting at a table with a woman and talking to the camera.</t>
  </si>
  <si>
    <t>He moves a can and touches two other cans.</t>
  </si>
  <si>
    <t>He picks up a can and sprays it on the woman's arm and rubs it.</t>
  </si>
  <si>
    <t>He picks up another can and talks about it then sprays her arm again and rubs the cream in.</t>
  </si>
  <si>
    <t>He picks up a third container and puts it on her arm and rubs it in as well.</t>
  </si>
  <si>
    <t>He picks up a fourth tube and puts the cream on her hand and rubs it in.</t>
  </si>
  <si>
    <t>He does this again with a fifth cream.</t>
  </si>
  <si>
    <t>He then takes a compact of brown powder, presents it to the camera and puts it back down.</t>
  </si>
  <si>
    <t>v_f-4PjtdFbP4</t>
  </si>
  <si>
    <t>A little girl is blowing leaves in fall outside of a house.</t>
  </si>
  <si>
    <t>She pauses for a moment to get a better grasp of the leaf blower.</t>
  </si>
  <si>
    <t>She walks by a little boy and continues to blow the leaves.</t>
  </si>
  <si>
    <t>v_JN1mex2vCjI</t>
  </si>
  <si>
    <t>A man with a pony tail is seen walking along a rope with another man watching him and smiling in the background.</t>
  </si>
  <si>
    <t>The man turns around, loses his balance, and falls off the rope.</t>
  </si>
  <si>
    <t>The man watches attempts to walk and falls off as well in the end.</t>
  </si>
  <si>
    <t>v_0IFJNGqjsUQ</t>
  </si>
  <si>
    <t>A man talks to the camera while holding a leash type of object with a bag in his hand.</t>
  </si>
  <si>
    <t>The scene transitions to the leash being use on a dog.</t>
  </si>
  <si>
    <t>The scene transitions to a closeup of the man disassembling and reassembling the leash.</t>
  </si>
  <si>
    <t>The scene transitions to the leash being used on a dog again.</t>
  </si>
  <si>
    <t>The man is shown in a closeup interacting with and petting the dog.</t>
  </si>
  <si>
    <t>v_b0LY869JBrE</t>
  </si>
  <si>
    <t>A woman is showing her fingernails.</t>
  </si>
  <si>
    <t>A bottle of acetone is shown.</t>
  </si>
  <si>
    <t>The acetone is being poured into a small glass.</t>
  </si>
  <si>
    <t>A woman is now holding a napkin.</t>
  </si>
  <si>
    <t>A makeup brush is being held.</t>
  </si>
  <si>
    <t>A bottle of nail polish is shown.</t>
  </si>
  <si>
    <t>A person starts painting their fingernails.</t>
  </si>
  <si>
    <t>Another bottle of nail polish is shown.</t>
  </si>
  <si>
    <t>The person continues painting their nails.</t>
  </si>
  <si>
    <t>They use the makeup brush and dip it in the acetone.</t>
  </si>
  <si>
    <t>They rub the brush on their fingernail.</t>
  </si>
  <si>
    <t>They use a wooden stick to clean the side of their nails.</t>
  </si>
  <si>
    <t>A clear bottle of nail polish is shown.</t>
  </si>
  <si>
    <t>She then paints that over her nails.</t>
  </si>
  <si>
    <t>v_6HyNydVIji4</t>
  </si>
  <si>
    <t>We see a lady holding a flute.</t>
  </si>
  <si>
    <t>We see the song title.</t>
  </si>
  <si>
    <t>We see a lady performing a song on a flute.</t>
  </si>
  <si>
    <t>The girl pauses and plays again.</t>
  </si>
  <si>
    <t>The girl finishes playing and smiles at the camera.</t>
  </si>
  <si>
    <t>v_QyTiHhG9qf0</t>
  </si>
  <si>
    <t>Teens drive electric bumper cars in an oval circuit while people watch behind the fence.</t>
  </si>
  <si>
    <t>Two girls in a yellow car get stuck,but then they continue driving.</t>
  </si>
  <si>
    <t>All the cars are stuck on the track, then one car gets out and the others get free to continue driving.</t>
  </si>
  <si>
    <t>Then, all cars stop and the teen get out the cars.</t>
  </si>
  <si>
    <t>v_A_4yI6vh03I</t>
  </si>
  <si>
    <t>Instructions of how to pole vault is presented.</t>
  </si>
  <si>
    <t>A person holds a elongated, hollow stick.</t>
  </si>
  <si>
    <t>A guy runs with a elongated stick and uses it to elevate himself over a heighten hurdle.</t>
  </si>
  <si>
    <t>The top of the hurdle falls apart.</t>
  </si>
  <si>
    <t>A man uses an elongated stick to elevate himself over a heighten hurdle.</t>
  </si>
  <si>
    <t>v_F53s94562zc</t>
  </si>
  <si>
    <t>There are two boys playing rock, paper, scissors.</t>
  </si>
  <si>
    <t>First they play one game and the boy who's shirtless loses and gets slapped.</t>
  </si>
  <si>
    <t>Next they play two more games, one person wins and the shirtless boy loses.</t>
  </si>
  <si>
    <t>Then the boy who's wearing a sweater loses and the other boy slaps him.</t>
  </si>
  <si>
    <t>v_uh-H5Gmt4PI</t>
  </si>
  <si>
    <t>A bald man is standing in an industrial building with a lot of glass on the ceiling.</t>
  </si>
  <si>
    <t>The male's friend then grabs a bar and begins lifting weights and jerking.</t>
  </si>
  <si>
    <t>All of the actions continue but with different people as various people step up to grab the bar.</t>
  </si>
  <si>
    <t>v_Bg-0ibLZrgg</t>
  </si>
  <si>
    <t>People surf in the ocean and a man pass under a huge wave.</t>
  </si>
  <si>
    <t>A man surfs in a small wave along the beach.</t>
  </si>
  <si>
    <t>Then, the man get out the water, after he takes surfboard and return to surf in a high wave.</t>
  </si>
  <si>
    <t>People swim in the beach.</t>
  </si>
  <si>
    <t>v_nlkmPF8TBdQ</t>
  </si>
  <si>
    <t>People gather in a restaurant, then a cooker shows pasta and ingredients while talking.</t>
  </si>
  <si>
    <t>The cooker cuts and fries squid in a pot, then he adds salt and vinegar.</t>
  </si>
  <si>
    <t>Then, the cooker cut tomatoes and add to the squid, also adds garlic, pepper and green vegetables.</t>
  </si>
  <si>
    <t>After, the cooker adds water and covers the pot with aluminum paper.</t>
  </si>
  <si>
    <t>Next, the cooker add the pasta to the squid and mix, then he and serves in a dish while talking.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</si>
</sst>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theme="1"/>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2" fillId="0" fontId="1" numFmtId="0" xfId="0" applyAlignment="1" applyBorder="1" applyFont="1">
      <alignment horizontal="center" readingOrder="0" vertical="top"/>
    </xf>
    <xf borderId="0" fillId="0" fontId="2" numFmtId="0" xfId="0" applyAlignment="1" applyFont="1">
      <alignment vertical="bottom"/>
    </xf>
    <xf borderId="0" fillId="0" fontId="3" numFmtId="0" xfId="0" applyFont="1"/>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63"/>
    <col customWidth="1" min="2" max="2" width="62.88"/>
    <col customWidth="1" min="3" max="3" width="56.75"/>
  </cols>
  <sheetData>
    <row r="1">
      <c r="A1" s="1" t="s">
        <v>0</v>
      </c>
      <c r="B1" s="2" t="s">
        <v>1</v>
      </c>
      <c r="C1" s="3" t="s">
        <v>2</v>
      </c>
    </row>
    <row r="2">
      <c r="A2" s="4" t="s">
        <v>3</v>
      </c>
      <c r="B2" s="4" t="s">
        <v>4</v>
      </c>
      <c r="C2" s="5" t="str">
        <f>IFERROR(__xludf.DUMMYFUNCTION("GOOGLETRANSLATE(B2,""en"",""fr"")"),"Une jeune femme est vue debout dans une pièce et mène à sa danse.")</f>
        <v>Une jeune femme est vue debout dans une pièce et mène à sa danse.</v>
      </c>
    </row>
    <row r="3">
      <c r="A3" s="4" t="s">
        <v>3</v>
      </c>
      <c r="B3" s="4" t="s">
        <v>5</v>
      </c>
      <c r="C3" s="5" t="str">
        <f>IFERROR(__xludf.DUMMYFUNCTION("GOOGLETRANSLATE(B3,""en"",""fr"")"),"La fille danse dans la pièce pendant que la caméra capture ses mouvements.")</f>
        <v>La fille danse dans la pièce pendant que la caméra capture ses mouvements.</v>
      </c>
    </row>
    <row r="4">
      <c r="A4" s="4" t="s">
        <v>3</v>
      </c>
      <c r="B4" s="4" t="s">
        <v>6</v>
      </c>
      <c r="C4" s="5" t="str">
        <f>IFERROR(__xludf.DUMMYFUNCTION("GOOGLETRANSLATE(B4,""en"",""fr"")"),"Elle continue de danser dans la pièce et se termine en allongé sur le sol.")</f>
        <v>Elle continue de danser dans la pièce et se termine en allongé sur le sol.</v>
      </c>
    </row>
    <row r="5">
      <c r="A5" s="4" t="s">
        <v>7</v>
      </c>
      <c r="B5" s="4" t="s">
        <v>8</v>
      </c>
      <c r="C5" s="5" t="str">
        <f>IFERROR(__xludf.DUMMYFUNCTION("GOOGLETRANSLATE(B5,""en"",""fr"")"),"La vidéo commence par une séquence de logo de titre.")</f>
        <v>La vidéo commence par une séquence de logo de titre.</v>
      </c>
    </row>
    <row r="6">
      <c r="A6" s="4" t="s">
        <v>7</v>
      </c>
      <c r="B6" s="4" t="s">
        <v>9</v>
      </c>
      <c r="C6" s="5" t="str">
        <f>IFERROR(__xludf.DUMMYFUNCTION("GOOGLETRANSLATE(B6,""en"",""fr"")"),"Un homme et une femme sont dans un salon présentant des exercices.")</f>
        <v>Un homme et une femme sont dans un salon présentant des exercices.</v>
      </c>
    </row>
    <row r="7">
      <c r="A7" s="4" t="s">
        <v>7</v>
      </c>
      <c r="B7" s="4" t="s">
        <v>10</v>
      </c>
      <c r="C7" s="5" t="str">
        <f>IFERROR(__xludf.DUMMYFUNCTION("GOOGLETRANSLATE(B7,""en"",""fr"")"),"La femme est allongée sur le sol.")</f>
        <v>La femme est allongée sur le sol.</v>
      </c>
    </row>
    <row r="8">
      <c r="A8" s="4" t="s">
        <v>7</v>
      </c>
      <c r="B8" s="4" t="s">
        <v>11</v>
      </c>
      <c r="C8" s="5" t="str">
        <f>IFERROR(__xludf.DUMMYFUNCTION("GOOGLETRANSLATE(B8,""en"",""fr"")"),"L'homme commence à pointer vers différentes zones du corps de la femme pendant qu'elle fait un exercice.")</f>
        <v>L'homme commence à pointer vers différentes zones du corps de la femme pendant qu'elle fait un exercice.</v>
      </c>
    </row>
    <row r="9">
      <c r="A9" s="4" t="s">
        <v>7</v>
      </c>
      <c r="B9" s="4" t="s">
        <v>12</v>
      </c>
      <c r="C9" s="5" t="str">
        <f>IFERROR(__xludf.DUMMYFUNCTION("GOOGLETRANSLATE(B9,""en"",""fr"")"),"La femme commence à faire de petites sit-reserses.")</f>
        <v>La femme commence à faire de petites sit-reserses.</v>
      </c>
    </row>
    <row r="10">
      <c r="A10" s="4" t="s">
        <v>7</v>
      </c>
      <c r="B10" s="4" t="s">
        <v>13</v>
      </c>
      <c r="C10" s="5" t="str">
        <f>IFERROR(__xludf.DUMMYFUNCTION("GOOGLETRANSLATE(B10,""en"",""fr"")"),"La femme se termine par une séquence de logo de titre final.")</f>
        <v>La femme se termine par une séquence de logo de titre final.</v>
      </c>
    </row>
    <row r="11">
      <c r="A11" s="4" t="s">
        <v>14</v>
      </c>
      <c r="B11" s="4" t="s">
        <v>15</v>
      </c>
      <c r="C11" s="5" t="str">
        <f>IFERROR(__xludf.DUMMYFUNCTION("GOOGLETRANSLATE(B11,""en"",""fr"")"),"On voit deux personnes se déplacer dans une cuisine effectuant rapidement diverses tâches et s'asseoir.")</f>
        <v>On voit deux personnes se déplacer dans une cuisine effectuant rapidement diverses tâches et s'asseoir.</v>
      </c>
    </row>
    <row r="12">
      <c r="A12" s="4" t="s">
        <v>14</v>
      </c>
      <c r="B12" s="4" t="s">
        <v>16</v>
      </c>
      <c r="C12" s="5" t="str">
        <f>IFERROR(__xludf.DUMMYFUNCTION("GOOGLETRANSLATE(B12,""en"",""fr"")"),"Ils civent ensuite un ski dans la cuisine tout en continuant à se déplacer.")</f>
        <v>Ils civent ensuite un ski dans la cuisine tout en continuant à se déplacer.</v>
      </c>
    </row>
    <row r="13">
      <c r="A13" s="4" t="s">
        <v>17</v>
      </c>
      <c r="B13" s="4" t="s">
        <v>18</v>
      </c>
      <c r="C13" s="5" t="str">
        <f>IFERROR(__xludf.DUMMYFUNCTION("GOOGLETRANSLATE(B13,""en"",""fr"")"),"Nous voyons un couloir avec un plancher en bois.")</f>
        <v>Nous voyons un couloir avec un plancher en bois.</v>
      </c>
    </row>
    <row r="14">
      <c r="A14" s="4" t="s">
        <v>17</v>
      </c>
      <c r="B14" s="4" t="s">
        <v>19</v>
      </c>
      <c r="C14" s="5" t="str">
        <f>IFERROR(__xludf.DUMMYFUNCTION("GOOGLETRANSLATE(B14,""en"",""fr"")"),"Un chien en chaussettes sort lentement sur le sol alors qu'une dame le filme.")</f>
        <v>Un chien en chaussettes sort lentement sur le sol alors qu'une dame le filme.</v>
      </c>
    </row>
    <row r="15">
      <c r="A15" s="4" t="s">
        <v>17</v>
      </c>
      <c r="B15" s="4" t="s">
        <v>20</v>
      </c>
      <c r="C15" s="5" t="str">
        <f>IFERROR(__xludf.DUMMYFUNCTION("GOOGLETRANSLATE(B15,""en"",""fr"")"),"Le chien se retourne et retourne dans l'autre pièce.")</f>
        <v>Le chien se retourne et retourne dans l'autre pièce.</v>
      </c>
    </row>
    <row r="16">
      <c r="A16" s="4" t="s">
        <v>21</v>
      </c>
      <c r="B16" s="4" t="s">
        <v>22</v>
      </c>
      <c r="C16" s="5" t="str">
        <f>IFERROR(__xludf.DUMMYFUNCTION("GOOGLETRANSLATE(B16,""en"",""fr"")"),"Une femme et un homme sont assis sur le trottoir en jouant de la musique.")</f>
        <v>Une femme et un homme sont assis sur le trottoir en jouant de la musique.</v>
      </c>
    </row>
    <row r="17">
      <c r="A17" s="4" t="s">
        <v>21</v>
      </c>
      <c r="B17" s="4" t="s">
        <v>23</v>
      </c>
      <c r="C17" s="5" t="str">
        <f>IFERROR(__xludf.DUMMYFUNCTION("GOOGLETRANSLATE(B17,""en"",""fr"")"),"Les gens se tiennent à côté d'eux et les regardent jouer.")</f>
        <v>Les gens se tiennent à côté d'eux et les regardent jouer.</v>
      </c>
    </row>
    <row r="18">
      <c r="A18" s="4" t="s">
        <v>21</v>
      </c>
      <c r="B18" s="4" t="s">
        <v>24</v>
      </c>
      <c r="C18" s="5" t="str">
        <f>IFERROR(__xludf.DUMMYFUNCTION("GOOGLETRANSLATE(B18,""en"",""fr"")"),"Un petit garçon tenant une balle jaune passe.")</f>
        <v>Un petit garçon tenant une balle jaune passe.</v>
      </c>
    </row>
    <row r="19">
      <c r="A19" s="4" t="s">
        <v>21</v>
      </c>
      <c r="B19" s="4" t="s">
        <v>25</v>
      </c>
      <c r="C19" s="5" t="str">
        <f>IFERROR(__xludf.DUMMYFUNCTION("GOOGLETRANSLATE(B19,""en"",""fr"")"),"Un homme pose pour une image devant eux.")</f>
        <v>Un homme pose pour une image devant eux.</v>
      </c>
    </row>
    <row r="20">
      <c r="A20" s="4" t="s">
        <v>26</v>
      </c>
      <c r="B20" s="4" t="s">
        <v>27</v>
      </c>
      <c r="C20" s="5" t="str">
        <f>IFERROR(__xludf.DUMMYFUNCTION("GOOGLETRANSLATE(B20,""en"",""fr"")"),"Une jeune fille est vue assise sur une chaise avec une personne debout à côté d'elle.")</f>
        <v>Une jeune fille est vue assise sur une chaise avec une personne debout à côté d'elle.</v>
      </c>
    </row>
    <row r="21">
      <c r="A21" s="4" t="s">
        <v>26</v>
      </c>
      <c r="B21" s="4" t="s">
        <v>28</v>
      </c>
      <c r="C21" s="5" t="str">
        <f>IFERROR(__xludf.DUMMYFUNCTION("GOOGLETRANSLATE(B21,""en"",""fr"")"),"La personne à côté d'elle perçant puis perçant une oreille suivie de l'autre.")</f>
        <v>La personne à côté d'elle perçant puis perçant une oreille suivie de l'autre.</v>
      </c>
    </row>
    <row r="22">
      <c r="A22" s="4" t="s">
        <v>26</v>
      </c>
      <c r="B22" s="4" t="s">
        <v>29</v>
      </c>
      <c r="C22" s="5" t="str">
        <f>IFERROR(__xludf.DUMMYFUNCTION("GOOGLETRANSLATE(B22,""en"",""fr"")"),"La personne frotte la lotion sur les piercings par la suite.")</f>
        <v>La personne frotte la lotion sur les piercings par la suite.</v>
      </c>
    </row>
    <row r="23">
      <c r="A23" s="4" t="s">
        <v>30</v>
      </c>
      <c r="B23" s="4" t="s">
        <v>31</v>
      </c>
      <c r="C23" s="5" t="str">
        <f>IFERROR(__xludf.DUMMYFUNCTION("GOOGLETRANSLATE(B23,""en"",""fr"")"),"Une femme est montrée en train de rouler sur des pyramides de chameau en Égypte.")</f>
        <v>Une femme est montrée en train de rouler sur des pyramides de chameau en Égypte.</v>
      </c>
    </row>
    <row r="24">
      <c r="A24" s="4" t="s">
        <v>30</v>
      </c>
      <c r="B24" s="4" t="s">
        <v>32</v>
      </c>
      <c r="C24" s="5" t="str">
        <f>IFERROR(__xludf.DUMMYFUNCTION("GOOGLETRANSLATE(B24,""en"",""fr"")"),"Le chameau marche alors que la femme se penche en avant.")</f>
        <v>Le chameau marche alors que la femme se penche en avant.</v>
      </c>
    </row>
    <row r="25">
      <c r="A25" s="4" t="s">
        <v>30</v>
      </c>
      <c r="B25" s="4" t="s">
        <v>33</v>
      </c>
      <c r="C25" s="5" t="str">
        <f>IFERROR(__xludf.DUMMYFUNCTION("GOOGLETRANSLATE(B25,""en"",""fr"")"),"Et la main couvre l'objectif lorsque le harnais est indiqué.")</f>
        <v>Et la main couvre l'objectif lorsque le harnais est indiqué.</v>
      </c>
    </row>
    <row r="26">
      <c r="A26" s="4" t="s">
        <v>34</v>
      </c>
      <c r="B26" s="4" t="s">
        <v>35</v>
      </c>
      <c r="C26" s="5" t="str">
        <f>IFERROR(__xludf.DUMMYFUNCTION("GOOGLETRANSLATE(B26,""en"",""fr"")"),"Un enfant mousse le sol d'un couloir dans une maison.")</f>
        <v>Un enfant mousse le sol d'un couloir dans une maison.</v>
      </c>
    </row>
    <row r="27">
      <c r="A27" s="4" t="s">
        <v>34</v>
      </c>
      <c r="B27" s="4" t="s">
        <v>36</v>
      </c>
      <c r="C27" s="5" t="str">
        <f>IFERROR(__xludf.DUMMYFUNCTION("GOOGLETRANSLATE(B27,""en"",""fr"")"),"L'enfant pose la vadrouille et joue avec son membre de sa famille.")</f>
        <v>L'enfant pose la vadrouille et joue avec son membre de sa famille.</v>
      </c>
    </row>
    <row r="28">
      <c r="A28" s="4" t="s">
        <v>34</v>
      </c>
      <c r="B28" s="4" t="s">
        <v>37</v>
      </c>
      <c r="C28" s="5" t="str">
        <f>IFERROR(__xludf.DUMMYFUNCTION("GOOGLETRANSLATE(B28,""en"",""fr"")"),"L'enfant entre dans la chambre et continue de nettoyer le sol.")</f>
        <v>L'enfant entre dans la chambre et continue de nettoyer le sol.</v>
      </c>
    </row>
    <row r="29">
      <c r="A29" s="4" t="s">
        <v>38</v>
      </c>
      <c r="B29" s="4" t="s">
        <v>39</v>
      </c>
      <c r="C29" s="5" t="str">
        <f>IFERROR(__xludf.DUMMYFUNCTION("GOOGLETRANSLATE(B29,""en"",""fr"")"),"Un homme est vu à genoux sur le sol en parlant à la caméra.")</f>
        <v>Un homme est vu à genoux sur le sol en parlant à la caméra.</v>
      </c>
    </row>
    <row r="30">
      <c r="A30" s="4" t="s">
        <v>38</v>
      </c>
      <c r="B30" s="4" t="s">
        <v>40</v>
      </c>
      <c r="C30" s="5" t="str">
        <f>IFERROR(__xludf.DUMMYFUNCTION("GOOGLETRANSLATE(B30,""en"",""fr"")"),"L'homme mélange divers ingrédients et commence à poser du plâtre sur le sol.")</f>
        <v>L'homme mélange divers ingrédients et commence à poser du plâtre sur le sol.</v>
      </c>
    </row>
    <row r="31">
      <c r="A31" s="4" t="s">
        <v>38</v>
      </c>
      <c r="B31" s="4" t="s">
        <v>41</v>
      </c>
      <c r="C31" s="5" t="str">
        <f>IFERROR(__xludf.DUMMYFUNCTION("GOOGLETRANSLATE(B31,""en"",""fr"")"),"Il mesure le sol et les carreaux et coupe un morceau de carreau pour s'allonger sur le sol.")</f>
        <v>Il mesure le sol et les carreaux et coupe un morceau de carreau pour s'allonger sur le sol.</v>
      </c>
    </row>
    <row r="32">
      <c r="A32" s="4" t="s">
        <v>38</v>
      </c>
      <c r="B32" s="4" t="s">
        <v>42</v>
      </c>
      <c r="C32" s="5" t="str">
        <f>IFERROR(__xludf.DUMMYFUNCTION("GOOGLETRANSLATE(B32,""en"",""fr"")"),"Il continue de poser des carreaux sur le sol tout en regardant en arrière pour parler à la caméra.")</f>
        <v>Il continue de poser des carreaux sur le sol tout en regardant en arrière pour parler à la caméra.</v>
      </c>
    </row>
    <row r="33">
      <c r="A33" s="4" t="s">
        <v>43</v>
      </c>
      <c r="B33" s="4" t="s">
        <v>44</v>
      </c>
      <c r="C33" s="5" t="str">
        <f>IFERROR(__xludf.DUMMYFUNCTION("GOOGLETRANSLATE(B33,""en"",""fr"")"),"Deux lignes de jeunes hommes marchent côte à côte sur une route.")</f>
        <v>Deux lignes de jeunes hommes marchent côte à côte sur une route.</v>
      </c>
    </row>
    <row r="34">
      <c r="A34" s="4" t="s">
        <v>43</v>
      </c>
      <c r="B34" s="4" t="s">
        <v>45</v>
      </c>
      <c r="C34" s="5" t="str">
        <f>IFERROR(__xludf.DUMMYFUNCTION("GOOGLETRANSLATE(B34,""en"",""fr"")"),"Puis un homme se tient dans un champ tenant un objet en bois et commence à le tordre.")</f>
        <v>Puis un homme se tient dans un champ tenant un objet en bois et commence à le tordre.</v>
      </c>
    </row>
    <row r="35">
      <c r="A35" s="4" t="s">
        <v>43</v>
      </c>
      <c r="B35" s="4" t="s">
        <v>46</v>
      </c>
      <c r="C35" s="5" t="str">
        <f>IFERROR(__xludf.DUMMYFUNCTION("GOOGLETRANSLATE(B35,""en"",""fr"")"),"Il se penche ensuite et attrape une balle.")</f>
        <v>Il se penche ensuite et attrape une balle.</v>
      </c>
    </row>
    <row r="36">
      <c r="A36" s="4" t="s">
        <v>43</v>
      </c>
      <c r="B36" s="4" t="s">
        <v>47</v>
      </c>
      <c r="C36" s="5" t="str">
        <f>IFERROR(__xludf.DUMMYFUNCTION("GOOGLETRANSLATE(B36,""en"",""fr"")"),"Après, le ballon est placé sur le sol et il le ramasse et le frappe comme s'il jouait au baseball.")</f>
        <v>Après, le ballon est placé sur le sol et il le ramasse et le frappe comme s'il jouait au baseball.</v>
      </c>
    </row>
    <row r="37">
      <c r="A37" s="4" t="s">
        <v>43</v>
      </c>
      <c r="B37" s="4" t="s">
        <v>48</v>
      </c>
      <c r="C37" s="5" t="str">
        <f>IFERROR(__xludf.DUMMYFUNCTION("GOOGLETRANSLATE(B37,""en"",""fr"")"),"Le ballon est rejeté et il lui est à nouveau.")</f>
        <v>Le ballon est rejeté et il lui est à nouveau.</v>
      </c>
    </row>
    <row r="38">
      <c r="A38" s="4" t="s">
        <v>43</v>
      </c>
      <c r="B38" s="4" t="s">
        <v>49</v>
      </c>
      <c r="C38" s="5" t="str">
        <f>IFERROR(__xludf.DUMMYFUNCTION("GOOGLETRANSLATE(B38,""en"",""fr"")"),"Peu de temps après, un champ d'hommes est montré et ils commencent à jouer un jeu les uns contre les autres.")</f>
        <v>Peu de temps après, un champ d'hommes est montré et ils commencent à jouer un jeu les uns contre les autres.</v>
      </c>
    </row>
    <row r="39">
      <c r="A39" s="4" t="s">
        <v>43</v>
      </c>
      <c r="B39" s="4" t="s">
        <v>50</v>
      </c>
      <c r="C39" s="5" t="str">
        <f>IFERROR(__xludf.DUMMYFUNCTION("GOOGLETRANSLATE(B39,""en"",""fr"")"),"Il y a eu une pénalité et un joueur tente de frapper le ballon dans le but de côté.")</f>
        <v>Il y a eu une pénalité et un joueur tente de frapper le ballon dans le but de côté.</v>
      </c>
    </row>
    <row r="40">
      <c r="A40" s="4" t="s">
        <v>43</v>
      </c>
      <c r="B40" s="6" t="s">
        <v>51</v>
      </c>
      <c r="C40" s="5" t="str">
        <f>IFERROR(__xludf.DUMMYFUNCTION("GOOGLETRANSLATE(B40,""en"",""fr"")"),"Après, tout le monde est photographié allongé sur le sol comme s'il était mort, mais une personne commence à s'asseoir mais est frappée dans la tête par le ballon et se repose.")</f>
        <v>Après, tout le monde est photographié allongé sur le sol comme s'il était mort, mais une personne commence à s'asseoir mais est frappée dans la tête par le ballon et se repose.</v>
      </c>
    </row>
    <row r="41">
      <c r="A41" s="4" t="s">
        <v>43</v>
      </c>
      <c r="B41" s="4" t="s">
        <v>52</v>
      </c>
      <c r="C41" s="5" t="str">
        <f>IFERROR(__xludf.DUMMYFUNCTION("GOOGLETRANSLATE(B41,""en"",""fr"")"),"Enfin, l'écran clignote sur un écran noir et les mots de la fin sont affichés.")</f>
        <v>Enfin, l'écran clignote sur un écran noir et les mots de la fin sont affichés.</v>
      </c>
    </row>
    <row r="42">
      <c r="A42" s="4" t="s">
        <v>53</v>
      </c>
      <c r="B42" s="4" t="s">
        <v>54</v>
      </c>
      <c r="C42" s="5" t="str">
        <f>IFERROR(__xludf.DUMMYFUNCTION("GOOGLETRANSLATE(B42,""en"",""fr"")"),"L'écran montre le titre de préparation d'un plat chilien de salade Hulte.")</f>
        <v>L'écran montre le titre de préparation d'un plat chilien de salade Hulte.</v>
      </c>
    </row>
    <row r="43">
      <c r="A43" s="4" t="s">
        <v>53</v>
      </c>
      <c r="B43" s="4" t="s">
        <v>55</v>
      </c>
      <c r="C43" s="5" t="str">
        <f>IFERROR(__xludf.DUMMYFUNCTION("GOOGLETRANSLATE(B43,""en"",""fr"")"),"Une personne mélange des ingrédients de salade dans un grand bol.")</f>
        <v>Une personne mélange des ingrédients de salade dans un grand bol.</v>
      </c>
    </row>
    <row r="44">
      <c r="A44" s="4" t="s">
        <v>53</v>
      </c>
      <c r="B44" s="4" t="s">
        <v>56</v>
      </c>
      <c r="C44" s="5" t="str">
        <f>IFERROR(__xludf.DUMMYFUNCTION("GOOGLETRANSLATE(B44,""en"",""fr"")"),"Il y a des informations indiquées sur le Dr")</f>
        <v>Il y a des informations indiquées sur le Dr</v>
      </c>
    </row>
    <row r="45">
      <c r="A45" s="4" t="s">
        <v>53</v>
      </c>
      <c r="B45" s="4" t="s">
        <v>57</v>
      </c>
      <c r="C45" s="5" t="str">
        <f>IFERROR(__xludf.DUMMYFUNCTION("GOOGLETRANSLATE(B45,""en"",""fr"")"),"Le voyage de Rachel Collin au Chili.")</f>
        <v>Le voyage de Rachel Collin au Chili.</v>
      </c>
    </row>
    <row r="46">
      <c r="A46" s="4" t="s">
        <v>53</v>
      </c>
      <c r="B46" s="4" t="s">
        <v>58</v>
      </c>
      <c r="C46" s="5" t="str">
        <f>IFERROR(__xludf.DUMMYFUNCTION("GOOGLETRANSLATE(B46,""en"",""fr"")"),"Plusieurs personnes se tenaient sous une canopée sur un marché alimentaire.")</f>
        <v>Plusieurs personnes se tenaient sous une canopée sur un marché alimentaire.</v>
      </c>
    </row>
    <row r="47">
      <c r="A47" s="4" t="s">
        <v>53</v>
      </c>
      <c r="B47" s="4" t="s">
        <v>59</v>
      </c>
      <c r="C47" s="5" t="str">
        <f>IFERROR(__xludf.DUMMYFUNCTION("GOOGLETRANSLATE(B47,""en"",""fr"")"),"Deux clients font un achat et donnent de l'argent au vendeur et donnent à la caméra un coup de pouce.")</f>
        <v>Deux clients font un achat et donnent de l'argent au vendeur et donnent à la caméra un coup de pouce.</v>
      </c>
    </row>
    <row r="48">
      <c r="A48" s="4" t="s">
        <v>53</v>
      </c>
      <c r="B48" s="4" t="s">
        <v>60</v>
      </c>
      <c r="C48" s="5" t="str">
        <f>IFERROR(__xludf.DUMMYFUNCTION("GOOGLETRANSLATE(B48,""en"",""fr"")"),"Le chef montre Hulte placé sur un comptoir de cuisine.")</f>
        <v>Le chef montre Hulte placé sur un comptoir de cuisine.</v>
      </c>
    </row>
    <row r="49">
      <c r="A49" s="4" t="s">
        <v>53</v>
      </c>
      <c r="B49" s="4" t="s">
        <v>61</v>
      </c>
      <c r="C49" s="5" t="str">
        <f>IFERROR(__xludf.DUMMYFUNCTION("GOOGLETRANSLATE(B49,""en"",""fr"")"),"Le chef coupe la Hulte en morceaux de taille de morsure circulaire.")</f>
        <v>Le chef coupe la Hulte en morceaux de taille de morsure circulaire.</v>
      </c>
    </row>
    <row r="50">
      <c r="A50" s="4" t="s">
        <v>53</v>
      </c>
      <c r="B50" s="4" t="s">
        <v>62</v>
      </c>
      <c r="C50" s="5" t="str">
        <f>IFERROR(__xludf.DUMMYFUNCTION("GOOGLETRANSLATE(B50,""en"",""fr"")"),"Une femme mange les morceaux coupés de Hulte.")</f>
        <v>Une femme mange les morceaux coupés de Hulte.</v>
      </c>
    </row>
    <row r="51">
      <c r="A51" s="4" t="s">
        <v>53</v>
      </c>
      <c r="B51" s="4" t="s">
        <v>63</v>
      </c>
      <c r="C51" s="5" t="str">
        <f>IFERROR(__xludf.DUMMYFUNCTION("GOOGLETRANSLATE(B51,""en"",""fr"")"),"Le chef coupe de la coriandre sur le comptoir de la cuisine.")</f>
        <v>Le chef coupe de la coriandre sur le comptoir de la cuisine.</v>
      </c>
    </row>
    <row r="52">
      <c r="A52" s="4" t="s">
        <v>53</v>
      </c>
      <c r="B52" s="4" t="s">
        <v>64</v>
      </c>
      <c r="C52" s="5" t="str">
        <f>IFERROR(__xludf.DUMMYFUNCTION("GOOGLETRANSLATE(B52,""en"",""fr"")"),"Ensuite, le chef place les ingrédients dans un salade.")</f>
        <v>Ensuite, le chef place les ingrédients dans un salade.</v>
      </c>
    </row>
    <row r="53">
      <c r="A53" s="4" t="s">
        <v>53</v>
      </c>
      <c r="B53" s="6" t="s">
        <v>65</v>
      </c>
      <c r="C53" s="5" t="str">
        <f>IFERROR(__xludf.DUMMYFUNCTION("GOOGLETRANSLATE(B53,""en"",""fr"")"),"Le produit fini est illustré à l'écran, suivi d'un groupe de personnes assises ensemble et appréciant la salade.")</f>
        <v>Le produit fini est illustré à l'écran, suivi d'un groupe de personnes assises ensemble et appréciant la salade.</v>
      </c>
    </row>
    <row r="54">
      <c r="A54" s="4" t="s">
        <v>53</v>
      </c>
      <c r="B54" s="4" t="s">
        <v>66</v>
      </c>
      <c r="C54" s="5" t="str">
        <f>IFERROR(__xludf.DUMMYFUNCTION("GOOGLETRANSLATE(B54,""en"",""fr"")"),"Les crédits finaux sont affichés à l'écran.")</f>
        <v>Les crédits finaux sont affichés à l'écran.</v>
      </c>
    </row>
    <row r="55">
      <c r="A55" s="4" t="s">
        <v>67</v>
      </c>
      <c r="B55" s="4" t="s">
        <v>68</v>
      </c>
      <c r="C55" s="5" t="str">
        <f>IFERROR(__xludf.DUMMYFUNCTION("GOOGLETRANSLATE(B55,""en"",""fr"")"),"Un homme en costume est assis derrière un bureau.")</f>
        <v>Un homme en costume est assis derrière un bureau.</v>
      </c>
    </row>
    <row r="56">
      <c r="A56" s="4" t="s">
        <v>67</v>
      </c>
      <c r="B56" s="4" t="s">
        <v>69</v>
      </c>
      <c r="C56" s="5" t="str">
        <f>IFERROR(__xludf.DUMMYFUNCTION("GOOGLETRANSLATE(B56,""en"",""fr"")"),"Les gens jouent à la crosse sur un champ d'herbe.")</f>
        <v>Les gens jouent à la crosse sur un champ d'herbe.</v>
      </c>
    </row>
    <row r="57">
      <c r="A57" s="4" t="s">
        <v>67</v>
      </c>
      <c r="B57" s="4" t="s">
        <v>70</v>
      </c>
      <c r="C57" s="5" t="str">
        <f>IFERROR(__xludf.DUMMYFUNCTION("GOOGLETRANSLATE(B57,""en"",""fr"")"),"Une personne en uniforme jaune se tient devant une boule de blocage de filet.")</f>
        <v>Une personne en uniforme jaune se tient devant une boule de blocage de filet.</v>
      </c>
    </row>
    <row r="58">
      <c r="A58" s="4" t="s">
        <v>71</v>
      </c>
      <c r="B58" s="4" t="s">
        <v>72</v>
      </c>
      <c r="C58" s="5" t="str">
        <f>IFERROR(__xludf.DUMMYFUNCTION("GOOGLETRANSLATE(B58,""en"",""fr"")"),"Une fille est vue grimper sur un ensemble de barres de singe suivie de son agitant vers la caméra.")</f>
        <v>Une fille est vue grimper sur un ensemble de barres de singe suivie de son agitant vers la caméra.</v>
      </c>
    </row>
    <row r="59">
      <c r="A59" s="4" t="s">
        <v>71</v>
      </c>
      <c r="B59" s="4" t="s">
        <v>73</v>
      </c>
      <c r="C59" s="5" t="str">
        <f>IFERROR(__xludf.DUMMYFUNCTION("GOOGLETRANSLATE(B59,""en"",""fr"")"),"Elle remonte sur les barreaux et saute à mi-chemin.")</f>
        <v>Elle remonte sur les barreaux et saute à mi-chemin.</v>
      </c>
    </row>
    <row r="60">
      <c r="A60" s="4" t="s">
        <v>74</v>
      </c>
      <c r="B60" s="6" t="s">
        <v>75</v>
      </c>
      <c r="C60" s="5" t="str">
        <f>IFERROR(__xludf.DUMMYFUNCTION("GOOGLETRANSLATE(B60,""en"",""fr"")"),"Une caméra se déroule sur une zone enneigée et mène à un homme debout sur un snowboard et descendant une montagne.")</f>
        <v>Une caméra se déroule sur une zone enneigée et mène à un homme debout sur un snowboard et descendant une montagne.</v>
      </c>
    </row>
    <row r="61">
      <c r="A61" s="4" t="s">
        <v>74</v>
      </c>
      <c r="B61" s="4" t="s">
        <v>76</v>
      </c>
      <c r="C61" s="5" t="str">
        <f>IFERROR(__xludf.DUMMYFUNCTION("GOOGLETRANSLATE(B61,""en"",""fr"")"),"L'homme zoome sur lui-même en descendant la colline et se termine avec lui éteindre la caméra.")</f>
        <v>L'homme zoome sur lui-même en descendant la colline et se termine avec lui éteindre la caméra.</v>
      </c>
    </row>
    <row r="62">
      <c r="A62" s="4" t="s">
        <v>77</v>
      </c>
      <c r="B62" s="4" t="s">
        <v>78</v>
      </c>
      <c r="C62" s="5" t="str">
        <f>IFERROR(__xludf.DUMMYFUNCTION("GOOGLETRANSLATE(B62,""en"",""fr"")"),"Une salle de jeux est vue suivie d'un jeune garçon glissant sur une glissière et remonte à nouveau.")</f>
        <v>Une salle de jeux est vue suivie d'un jeune garçon glissant sur une glissière et remonte à nouveau.</v>
      </c>
    </row>
    <row r="63">
      <c r="A63" s="4" t="s">
        <v>77</v>
      </c>
      <c r="B63" s="6" t="s">
        <v>79</v>
      </c>
      <c r="C63" s="5" t="str">
        <f>IFERROR(__xludf.DUMMYFUNCTION("GOOGLETRANSLATE(B63,""en"",""fr"")"),"Il glisse à nouveau, cette fois en atterrissant sur le dos et continue de glisser plusieurs fois.")</f>
        <v>Il glisse à nouveau, cette fois en atterrissant sur le dos et continue de glisser plusieurs fois.</v>
      </c>
    </row>
    <row r="64">
      <c r="A64" s="4" t="s">
        <v>80</v>
      </c>
      <c r="B64" s="6" t="s">
        <v>81</v>
      </c>
      <c r="C64" s="5" t="str">
        <f>IFERROR(__xludf.DUMMYFUNCTION("GOOGLETRANSLATE(B64,""en"",""fr"")"),"Un homme et une femme sont assis sur des canapés rouges avec des maillots de sport suspendus sur le mur et un écran bleu sur le mur derrière eux au milieu d'eux.")</f>
        <v>Un homme et une femme sont assis sur des canapés rouges avec des maillots de sport suspendus sur le mur et un écran bleu sur le mur derrière eux au milieu d'eux.</v>
      </c>
    </row>
    <row r="65">
      <c r="A65" s="4" t="s">
        <v>80</v>
      </c>
      <c r="B65" s="6" t="s">
        <v>82</v>
      </c>
      <c r="C65" s="5" t="str">
        <f>IFERROR(__xludf.DUMMYFUNCTION("GOOGLETRANSLATE(B65,""en"",""fr"")"),"La femme ramasse un presse-papiers à côté d'elle et lisse les papiers qui sont au-dessus en souriant, croisent ses jambes et s'assoient.")</f>
        <v>La femme ramasse un presse-papiers à côté d'elle et lisse les papiers qui sont au-dessus en souriant, croisent ses jambes et s'assoient.</v>
      </c>
    </row>
    <row r="66">
      <c r="A66" s="4" t="s">
        <v>80</v>
      </c>
      <c r="B66" s="6" t="s">
        <v>83</v>
      </c>
      <c r="C66" s="5" t="str">
        <f>IFERROR(__xludf.DUMMYFUNCTION("GOOGLETRANSLATE(B66,""en"",""fr"")"),"L'homme parle tout ce temps pendant que la femme se met à l'aise sur son canapé et que la femme parle brièvement.")</f>
        <v>L'homme parle tout ce temps pendant que la femme se met à l'aise sur son canapé et que la femme parle brièvement.</v>
      </c>
    </row>
    <row r="67">
      <c r="A67" s="4" t="s">
        <v>80</v>
      </c>
      <c r="B67" s="6" t="s">
        <v>84</v>
      </c>
      <c r="C67" s="5" t="str">
        <f>IFERROR(__xludf.DUMMYFUNCTION("GOOGLETRANSLATE(B67,""en"",""fr"")"),"Divers clips commencent à jouer et montre brièvement des parties d'une ville, puis la plupart sont des hommes à l'extérieur et jouent au foot .")</f>
        <v>Divers clips commencent à jouer et montre brièvement des parties d'une ville, puis la plupart sont des hommes à l'extérieur et jouent au foot .</v>
      </c>
    </row>
    <row r="68">
      <c r="A68" s="4" t="s">
        <v>80</v>
      </c>
      <c r="B68" s="6" t="s">
        <v>85</v>
      </c>
      <c r="C68" s="5" t="str">
        <f>IFERROR(__xludf.DUMMYFUNCTION("GOOGLETRANSLATE(B68,""en"",""fr"")"),"Lorsque les clips terminent l'homme et la femme sur le canapé commencent à parler et elle pose son presse-papiers.")</f>
        <v>Lorsque les clips terminent l'homme et la femme sur le canapé commencent à parler et elle pose son presse-papiers.</v>
      </c>
    </row>
    <row r="69">
      <c r="A69" s="4" t="s">
        <v>86</v>
      </c>
      <c r="B69" s="6" t="s">
        <v>87</v>
      </c>
      <c r="C69" s="5" t="str">
        <f>IFERROR(__xludf.DUMMYFUNCTION("GOOGLETRANSLATE(B69,""en"",""fr"")"),"L'ancien président est vu marcher dans un grand champ à côté d'une femme et entouré d'une grande foule.")</f>
        <v>L'ancien président est vu marcher dans un grand champ à côté d'une femme et entouré d'une grande foule.</v>
      </c>
    </row>
    <row r="70">
      <c r="A70" s="4" t="s">
        <v>86</v>
      </c>
      <c r="B70" s="4" t="s">
        <v>88</v>
      </c>
      <c r="C70" s="5" t="str">
        <f>IFERROR(__xludf.DUMMYFUNCTION("GOOGLETRANSLATE(B70,""en"",""fr"")"),"L'homme prononce un discours pendant que les gens applaudissent et il serre la main avec les autres.")</f>
        <v>L'homme prononce un discours pendant que les gens applaudissent et il serre la main avec les autres.</v>
      </c>
    </row>
    <row r="71">
      <c r="A71" s="4" t="s">
        <v>86</v>
      </c>
      <c r="B71" s="4" t="s">
        <v>89</v>
      </c>
      <c r="C71" s="5" t="str">
        <f>IFERROR(__xludf.DUMMYFUNCTION("GOOGLETRANSLATE(B71,""en"",""fr"")"),"L'homme partage ensuite une bière avec d'autres personnes autour de lui.")</f>
        <v>L'homme partage ensuite une bière avec d'autres personnes autour de lui.</v>
      </c>
    </row>
    <row r="72">
      <c r="A72" s="4" t="s">
        <v>90</v>
      </c>
      <c r="B72" s="6" t="s">
        <v>91</v>
      </c>
      <c r="C72" s="5" t="str">
        <f>IFERROR(__xludf.DUMMYFUNCTION("GOOGLETRANSLATE(B72,""en"",""fr"")"),"Quatre enfants sont à l'extérieur dans la plage jouant dans le sable, deux garçons à gauche et deux filles à droite.")</f>
        <v>Quatre enfants sont à l'extérieur dans la plage jouant dans le sable, deux garçons à gauche et deux filles à droite.</v>
      </c>
    </row>
    <row r="73">
      <c r="A73" s="4" t="s">
        <v>90</v>
      </c>
      <c r="B73" s="4" t="s">
        <v>92</v>
      </c>
      <c r="C73" s="5" t="str">
        <f>IFERROR(__xludf.DUMMYFUNCTION("GOOGLETRANSLATE(B73,""en"",""fr"")"),"Les filles ont environ six châteaux de sable et un grand cercle qui l'entoure rempli d'eau.")</f>
        <v>Les filles ont environ six châteaux de sable et un grand cercle qui l'entoure rempli d'eau.</v>
      </c>
    </row>
    <row r="74">
      <c r="A74" s="4" t="s">
        <v>90</v>
      </c>
      <c r="B74" s="6" t="s">
        <v>93</v>
      </c>
      <c r="C74" s="5" t="str">
        <f>IFERROR(__xludf.DUMMYFUNCTION("GOOGLETRANSLATE(B74,""en"",""fr"")"),"Ils décollent ensuite à la plage pour saisir plus d'eau pendant que le garçon vient et regarde leur travail.")</f>
        <v>Ils décollent ensuite à la plage pour saisir plus d'eau pendant que le garçon vient et regarde leur travail.</v>
      </c>
    </row>
    <row r="75">
      <c r="A75" s="4" t="s">
        <v>90</v>
      </c>
      <c r="B75" s="6" t="s">
        <v>94</v>
      </c>
      <c r="C75" s="5" t="str">
        <f>IFERROR(__xludf.DUMMYFUNCTION("GOOGLETRANSLATE(B75,""en"",""fr"")"),"Une fois qu'ils ont terminé, les deux filles décollent en courant à l'eau, mais s'arrêtent à mi-chemin pour revenir et obtenir leurs chars.")</f>
        <v>Une fois qu'ils ont terminé, les deux filles décollent en courant à l'eau, mais s'arrêtent à mi-chemin pour revenir et obtenir leurs chars.</v>
      </c>
    </row>
    <row r="76">
      <c r="A76" s="4" t="s">
        <v>95</v>
      </c>
      <c r="B76" s="4" t="s">
        <v>96</v>
      </c>
      <c r="C76" s="5" t="str">
        <f>IFERROR(__xludf.DUMMYFUNCTION("GOOGLETRANSLATE(B76,""en"",""fr"")"),"Un grand tas de feuilles est vu souffler avec des coups de ventilation montrés.")</f>
        <v>Un grand tas de feuilles est vu souffler avec des coups de ventilation montrés.</v>
      </c>
    </row>
    <row r="77">
      <c r="A77" s="4" t="s">
        <v>95</v>
      </c>
      <c r="B77" s="4" t="s">
        <v>97</v>
      </c>
      <c r="C77" s="5" t="str">
        <f>IFERROR(__xludf.DUMMYFUNCTION("GOOGLETRANSLATE(B77,""en"",""fr"")"),"Les feuilles continuent d'être montrées qui soufflent ainsi qu'une machine assise au loin.")</f>
        <v>Les feuilles continuent d'être montrées qui soufflent ainsi qu'une machine assise au loin.</v>
      </c>
    </row>
    <row r="78">
      <c r="A78" s="4" t="s">
        <v>98</v>
      </c>
      <c r="B78" s="6" t="s">
        <v>99</v>
      </c>
      <c r="C78" s="5" t="str">
        <f>IFERROR(__xludf.DUMMYFUNCTION("GOOGLETRANSLATE(B78,""en"",""fr"")"),"Un basketteur est vu dribbler une balle dans divers tirs pour la caméra et mène à la joueur de paniers encore et encore.")</f>
        <v>Un basketteur est vu dribbler une balle dans divers tirs pour la caméra et mène à la joueur de paniers encore et encore.</v>
      </c>
    </row>
    <row r="79">
      <c r="A79" s="4" t="s">
        <v>98</v>
      </c>
      <c r="B79" s="6" t="s">
        <v>100</v>
      </c>
      <c r="C79" s="5" t="str">
        <f>IFERROR(__xludf.DUMMYFUNCTION("GOOGLETRANSLATE(B79,""en"",""fr"")"),"L'homme est alors vu parler à la caméra et passer en lui marquant plusieurs autres paniers.")</f>
        <v>L'homme est alors vu parler à la caméra et passer en lui marquant plusieurs autres paniers.</v>
      </c>
    </row>
    <row r="80">
      <c r="A80" s="4" t="s">
        <v>101</v>
      </c>
      <c r="B80" s="4" t="s">
        <v>102</v>
      </c>
      <c r="C80" s="5" t="str">
        <f>IFERROR(__xludf.DUMMYFUNCTION("GOOGLETRANSLATE(B80,""en"",""fr"")"),"Les gens se tiennent dans une pièce qui s'entraîne.")</f>
        <v>Les gens se tiennent dans une pièce qui s'entraîne.</v>
      </c>
    </row>
    <row r="81">
      <c r="A81" s="4" t="s">
        <v>101</v>
      </c>
      <c r="B81" s="4" t="s">
        <v>103</v>
      </c>
      <c r="C81" s="5" t="str">
        <f>IFERROR(__xludf.DUMMYFUNCTION("GOOGLETRANSLATE(B81,""en"",""fr"")"),"Ils montent et descendent sur de petits tabourets de tremplin.")</f>
        <v>Ils montent et descendent sur de petits tabourets de tremplin.</v>
      </c>
    </row>
    <row r="82">
      <c r="A82" s="4" t="s">
        <v>101</v>
      </c>
      <c r="B82" s="4" t="s">
        <v>104</v>
      </c>
      <c r="C82" s="5" t="str">
        <f>IFERROR(__xludf.DUMMYFUNCTION("GOOGLETRANSLATE(B82,""en"",""fr"")"),"Ils continuent de travailler dans la salle.")</f>
        <v>Ils continuent de travailler dans la salle.</v>
      </c>
    </row>
    <row r="83">
      <c r="A83" s="4" t="s">
        <v>105</v>
      </c>
      <c r="B83" s="4" t="s">
        <v>106</v>
      </c>
      <c r="C83" s="5" t="str">
        <f>IFERROR(__xludf.DUMMYFUNCTION("GOOGLETRANSLATE(B83,""en"",""fr"")"),"Une vidéo en noir et blanc est jouée de personnes jouant de la crosse sur un terrain.")</f>
        <v>Une vidéo en noir et blanc est jouée de personnes jouant de la crosse sur un terrain.</v>
      </c>
    </row>
    <row r="84">
      <c r="A84" s="4" t="s">
        <v>105</v>
      </c>
      <c r="B84" s="4" t="s">
        <v>107</v>
      </c>
      <c r="C84" s="5" t="str">
        <f>IFERROR(__xludf.DUMMYFUNCTION("GOOGLETRANSLATE(B84,""en"",""fr"")"),"Il se transforme ensuite en couleur et se divise en plusieurs images et vitesses.")</f>
        <v>Il se transforme ensuite en couleur et se divise en plusieurs images et vitesses.</v>
      </c>
    </row>
    <row r="85">
      <c r="A85" s="4" t="s">
        <v>105</v>
      </c>
      <c r="B85" s="6" t="s">
        <v>108</v>
      </c>
      <c r="C85" s="5" t="str">
        <f>IFERROR(__xludf.DUMMYFUNCTION("GOOGLETRANSLATE(B85,""en"",""fr"")"),"La vidéo comprend de nombreux clips de joueurs dans les jeux de crosse, frappant le ballon vers des buts opposés.")</f>
        <v>La vidéo comprend de nombreux clips de joueurs dans les jeux de crosse, frappant le ballon vers des buts opposés.</v>
      </c>
    </row>
    <row r="86">
      <c r="A86" s="4" t="s">
        <v>109</v>
      </c>
      <c r="B86" s="4" t="s">
        <v>110</v>
      </c>
      <c r="C86" s="5" t="str">
        <f>IFERROR(__xludf.DUMMYFUNCTION("GOOGLETRANSLATE(B86,""en"",""fr"")"),"Un homme joue les cornemas qui devant les gens.")</f>
        <v>Un homme joue les cornemas qui devant les gens.</v>
      </c>
    </row>
    <row r="87">
      <c r="A87" s="4" t="s">
        <v>109</v>
      </c>
      <c r="B87" s="4" t="s">
        <v>111</v>
      </c>
      <c r="C87" s="5" t="str">
        <f>IFERROR(__xludf.DUMMYFUNCTION("GOOGLETRANSLATE(B87,""en"",""fr"")"),"Les gens sur le canapé devant lui commencent à rire.")</f>
        <v>Les gens sur le canapé devant lui commencent à rire.</v>
      </c>
    </row>
    <row r="88">
      <c r="A88" s="4" t="s">
        <v>112</v>
      </c>
      <c r="B88" s="6" t="s">
        <v>113</v>
      </c>
      <c r="C88" s="5" t="str">
        <f>IFERROR(__xludf.DUMMYFUNCTION("GOOGLETRANSLATE(B88,""en"",""fr"")"),"Un homme est vu rembourrer un canoë le long de l'eau tandis que la caméra le capture sous plusieurs angles.")</f>
        <v>Un homme est vu rembourrer un canoë le long de l'eau tandis que la caméra le capture sous plusieurs angles.</v>
      </c>
    </row>
    <row r="89">
      <c r="A89" s="4" t="s">
        <v>112</v>
      </c>
      <c r="B89" s="4" t="s">
        <v>114</v>
      </c>
      <c r="C89" s="5" t="str">
        <f>IFERROR(__xludf.DUMMYFUNCTION("GOOGLETRANSLATE(B89,""en"",""fr"")"),"L'homme continue de rouler, suivi par plusieurs façons de faire tourner le canoë.")</f>
        <v>L'homme continue de rouler, suivi par plusieurs façons de faire tourner le canoë.</v>
      </c>
    </row>
    <row r="90">
      <c r="A90" s="4" t="s">
        <v>115</v>
      </c>
      <c r="B90" s="4" t="s">
        <v>116</v>
      </c>
      <c r="C90" s="5" t="str">
        <f>IFERROR(__xludf.DUMMYFUNCTION("GOOGLETRANSLATE(B90,""en"",""fr"")"),"Un homme se tient sur la glace avec son poteau debout à côté de lui.")</f>
        <v>Un homme se tient sur la glace avec son poteau debout à côté de lui.</v>
      </c>
    </row>
    <row r="91">
      <c r="A91" s="4" t="s">
        <v>115</v>
      </c>
      <c r="B91" s="4" t="s">
        <v>117</v>
      </c>
      <c r="C91" s="5" t="str">
        <f>IFERROR(__xludf.DUMMYFUNCTION("GOOGLETRANSLATE(B91,""en"",""fr"")"),"L'homme attrape sa canne à pêche et commence à pêcher dans le trou dans la glace.")</f>
        <v>L'homme attrape sa canne à pêche et commence à pêcher dans le trou dans la glace.</v>
      </c>
    </row>
    <row r="92">
      <c r="A92" s="4" t="s">
        <v>115</v>
      </c>
      <c r="B92" s="4" t="s">
        <v>118</v>
      </c>
      <c r="C92" s="5" t="str">
        <f>IFERROR(__xludf.DUMMYFUNCTION("GOOGLETRANSLATE(B92,""en"",""fr"")"),"L'homme semble avoir attrapé quelque chose et s'agenouiller pour tirer sa ligne de pêche à la main.")</f>
        <v>L'homme semble avoir attrapé quelque chose et s'agenouiller pour tirer sa ligne de pêche à la main.</v>
      </c>
    </row>
    <row r="93">
      <c r="A93" s="4" t="s">
        <v>115</v>
      </c>
      <c r="B93" s="4" t="s">
        <v>119</v>
      </c>
      <c r="C93" s="5" t="str">
        <f>IFERROR(__xludf.DUMMYFUNCTION("GOOGLETRANSLATE(B93,""en"",""fr"")"),"L'homme sort un poisson hors de l'eau et pose avec.")</f>
        <v>L'homme sort un poisson hors de l'eau et pose avec.</v>
      </c>
    </row>
    <row r="94">
      <c r="A94" s="4" t="s">
        <v>115</v>
      </c>
      <c r="B94" s="4" t="s">
        <v>120</v>
      </c>
      <c r="C94" s="5" t="str">
        <f>IFERROR(__xludf.DUMMYFUNCTION("GOOGLETRANSLATE(B94,""en"",""fr"")"),"L'homme décroche le crochet de la bouche du poisson.")</f>
        <v>L'homme décroche le crochet de la bouche du poisson.</v>
      </c>
    </row>
    <row r="95">
      <c r="A95" s="4" t="s">
        <v>115</v>
      </c>
      <c r="B95" s="4" t="s">
        <v>121</v>
      </c>
      <c r="C95" s="5" t="str">
        <f>IFERROR(__xludf.DUMMYFUNCTION("GOOGLETRANSLATE(B95,""en"",""fr"")"),"L'homme embrasse le poisson et le libère dans le trou.")</f>
        <v>L'homme embrasse le poisson et le libère dans le trou.</v>
      </c>
    </row>
    <row r="96">
      <c r="A96" s="4" t="s">
        <v>122</v>
      </c>
      <c r="B96" s="4" t="s">
        <v>123</v>
      </c>
      <c r="C96" s="5" t="str">
        <f>IFERROR(__xludf.DUMMYFUNCTION("GOOGLETRANSLATE(B96,""en"",""fr"")"),"Un homme était assis à l'intérieur d'une pièce.")</f>
        <v>Un homme était assis à l'intérieur d'une pièce.</v>
      </c>
    </row>
    <row r="97">
      <c r="A97" s="4" t="s">
        <v>122</v>
      </c>
      <c r="B97" s="4" t="s">
        <v>124</v>
      </c>
      <c r="C97" s="5" t="str">
        <f>IFERROR(__xludf.DUMMYFUNCTION("GOOGLETRANSLATE(B97,""en"",""fr"")"),"Il tient un bol de nouilles et de bouillon.")</f>
        <v>Il tient un bol de nouilles et de bouillon.</v>
      </c>
    </row>
    <row r="98">
      <c r="A98" s="4" t="s">
        <v>122</v>
      </c>
      <c r="B98" s="4" t="s">
        <v>125</v>
      </c>
      <c r="C98" s="5" t="str">
        <f>IFERROR(__xludf.DUMMYFUNCTION("GOOGLETRANSLATE(B98,""en"",""fr"")"),"Il boit le bouillon d'un bol.")</f>
        <v>Il boit le bouillon d'un bol.</v>
      </c>
    </row>
    <row r="99">
      <c r="A99" s="4" t="s">
        <v>126</v>
      </c>
      <c r="B99" s="4" t="s">
        <v>127</v>
      </c>
      <c r="C99" s="5" t="str">
        <f>IFERROR(__xludf.DUMMYFUNCTION("GOOGLETRANSLATE(B99,""en"",""fr"")"),"Un petit garçon est allongé sur une balle d'exercice.")</f>
        <v>Un petit garçon est allongé sur une balle d'exercice.</v>
      </c>
    </row>
    <row r="100">
      <c r="A100" s="4" t="s">
        <v>126</v>
      </c>
      <c r="B100" s="4" t="s">
        <v>128</v>
      </c>
      <c r="C100" s="5" t="str">
        <f>IFERROR(__xludf.DUMMYFUNCTION("GOOGLETRANSLATE(B100,""en"",""fr"")"),"Le garçon tombe et revient sur le ballon avant qu'il ne tombe à nouveau.")</f>
        <v>Le garçon tombe et revient sur le ballon avant qu'il ne tombe à nouveau.</v>
      </c>
    </row>
    <row r="101">
      <c r="A101" s="4" t="s">
        <v>126</v>
      </c>
      <c r="B101" s="4" t="s">
        <v>129</v>
      </c>
      <c r="C101" s="5" t="str">
        <f>IFERROR(__xludf.DUMMYFUNCTION("GOOGLETRANSLATE(B101,""en"",""fr"")"),"Il essaie de s'asseoir sur le ballon mais le ballon se déroule.")</f>
        <v>Il essaie de s'asseoir sur le ballon mais le ballon se déroule.</v>
      </c>
    </row>
    <row r="102">
      <c r="A102" s="4" t="s">
        <v>126</v>
      </c>
      <c r="B102" s="4" t="s">
        <v>130</v>
      </c>
      <c r="C102" s="5" t="str">
        <f>IFERROR(__xludf.DUMMYFUNCTION("GOOGLETRANSLATE(B102,""en"",""fr"")"),"Il le récupère et continue de s'asseoir et de tomber du ballon.")</f>
        <v>Il le récupère et continue de s'asseoir et de tomber du ballon.</v>
      </c>
    </row>
    <row r="103">
      <c r="A103" s="4" t="s">
        <v>131</v>
      </c>
      <c r="B103" s="4" t="s">
        <v>132</v>
      </c>
      <c r="C103" s="5" t="str">
        <f>IFERROR(__xludf.DUMMYFUNCTION("GOOGLETRANSLATE(B103,""en"",""fr"")"),"Une femme met une paire de chaussures sur une chaise de bureau.")</f>
        <v>Une femme met une paire de chaussures sur une chaise de bureau.</v>
      </c>
    </row>
    <row r="104">
      <c r="A104" s="4" t="s">
        <v>131</v>
      </c>
      <c r="B104" s="4" t="s">
        <v>133</v>
      </c>
      <c r="C104" s="5" t="str">
        <f>IFERROR(__xludf.DUMMYFUNCTION("GOOGLETRANSLATE(B104,""en"",""fr"")"),"La femme boucle ses chaussures.")</f>
        <v>La femme boucle ses chaussures.</v>
      </c>
    </row>
    <row r="105">
      <c r="A105" s="4" t="s">
        <v>134</v>
      </c>
      <c r="B105" s="4" t="s">
        <v>135</v>
      </c>
      <c r="C105" s="5" t="str">
        <f>IFERROR(__xludf.DUMMYFUNCTION("GOOGLETRANSLATE(B105,""en"",""fr"")"),"Un gros plan d'une roue à vélo est visible qui mène entre les mains d'une personne qui pousse le pneu.")</f>
        <v>Un gros plan d'une roue à vélo est visible qui mène entre les mains d'une personne qui pousse le pneu.</v>
      </c>
    </row>
    <row r="106">
      <c r="A106" s="4" t="s">
        <v>134</v>
      </c>
      <c r="B106" s="4" t="s">
        <v>136</v>
      </c>
      <c r="C106" s="5" t="str">
        <f>IFERROR(__xludf.DUMMYFUNCTION("GOOGLETRANSLATE(B106,""en"",""fr"")"),"La personne utilise un outil le long du pneu pour aider à le déplacer.")</f>
        <v>La personne utilise un outil le long du pneu pour aider à le déplacer.</v>
      </c>
    </row>
    <row r="107">
      <c r="A107" s="4" t="s">
        <v>134</v>
      </c>
      <c r="B107" s="4" t="s">
        <v>137</v>
      </c>
      <c r="C107" s="5" t="str">
        <f>IFERROR(__xludf.DUMMYFUNCTION("GOOGLETRANSLATE(B107,""en"",""fr"")"),"La personne pousse enfin le pneu le long de ses côtés.")</f>
        <v>La personne pousse enfin le pneu le long de ses côtés.</v>
      </c>
    </row>
    <row r="108">
      <c r="A108" s="4" t="s">
        <v>138</v>
      </c>
      <c r="B108" s="4" t="s">
        <v>139</v>
      </c>
      <c r="C108" s="5" t="str">
        <f>IFERROR(__xludf.DUMMYFUNCTION("GOOGLETRANSLATE(B108,""en"",""fr"")"),"Une femme est vue agenouillée sur le sol et tirant sur un équipement d'exercice.")</f>
        <v>Une femme est vue agenouillée sur le sol et tirant sur un équipement d'exercice.</v>
      </c>
    </row>
    <row r="109">
      <c r="A109" s="4" t="s">
        <v>138</v>
      </c>
      <c r="B109" s="4" t="s">
        <v>140</v>
      </c>
      <c r="C109" s="5" t="str">
        <f>IFERROR(__xludf.DUMMYFUNCTION("GOOGLETRANSLATE(B109,""en"",""fr"")"),"La femme commence à tourner son corps avec l'équipement tout en parlant à la caméra.")</f>
        <v>La femme commence à tourner son corps avec l'équipement tout en parlant à la caméra.</v>
      </c>
    </row>
    <row r="110">
      <c r="A110" s="4" t="s">
        <v>138</v>
      </c>
      <c r="B110" s="4" t="s">
        <v>141</v>
      </c>
      <c r="C110" s="5" t="str">
        <f>IFERROR(__xludf.DUMMYFUNCTION("GOOGLETRANSLATE(B110,""en"",""fr"")"),"Elle continue de s'arrêter sur le levier tout en regardant la caméra.")</f>
        <v>Elle continue de s'arrêter sur le levier tout en regardant la caméra.</v>
      </c>
    </row>
    <row r="111">
      <c r="A111" s="4" t="s">
        <v>142</v>
      </c>
      <c r="B111" s="4" t="s">
        <v>143</v>
      </c>
      <c r="C111" s="5" t="str">
        <f>IFERROR(__xludf.DUMMYFUNCTION("GOOGLETRANSLATE(B111,""en"",""fr"")"),"Trois personnes restent au coin d'un bâtiment.")</f>
        <v>Trois personnes restent au coin d'un bâtiment.</v>
      </c>
    </row>
    <row r="112">
      <c r="A112" s="4" t="s">
        <v>142</v>
      </c>
      <c r="B112" s="4" t="s">
        <v>144</v>
      </c>
      <c r="C112" s="5" t="str">
        <f>IFERROR(__xludf.DUMMYFUNCTION("GOOGLETRANSLATE(B112,""en"",""fr"")"),"L'une des personnes, un jeune garçon, prend un nœud.")</f>
        <v>L'une des personnes, un jeune garçon, prend un nœud.</v>
      </c>
    </row>
    <row r="113">
      <c r="A113" s="4" t="s">
        <v>142</v>
      </c>
      <c r="B113" s="4" t="s">
        <v>145</v>
      </c>
      <c r="C113" s="5" t="str">
        <f>IFERROR(__xludf.DUMMYFUNCTION("GOOGLETRANSLATE(B113,""en"",""fr"")"),"Une foule de gens le regarde.")</f>
        <v>Une foule de gens le regarde.</v>
      </c>
    </row>
    <row r="114">
      <c r="A114" s="4" t="s">
        <v>142</v>
      </c>
      <c r="B114" s="4" t="s">
        <v>146</v>
      </c>
      <c r="C114" s="5" t="str">
        <f>IFERROR(__xludf.DUMMYFUNCTION("GOOGLETRANSLATE(B114,""en"",""fr"")"),"Il procède à divers mouvements de karaté, tels que l'inclinaison, les roues de charrette et les flips.")</f>
        <v>Il procède à divers mouvements de karaté, tels que l'inclinaison, les roues de charrette et les flips.</v>
      </c>
    </row>
    <row r="115">
      <c r="A115" s="4" t="s">
        <v>147</v>
      </c>
      <c r="B115" s="4" t="s">
        <v>148</v>
      </c>
      <c r="C115" s="5" t="str">
        <f>IFERROR(__xludf.DUMMYFUNCTION("GOOGLETRANSLATE(B115,""en"",""fr"")"),"Une personne tient une flûte.")</f>
        <v>Une personne tient une flûte.</v>
      </c>
    </row>
    <row r="116">
      <c r="A116" s="4" t="s">
        <v>147</v>
      </c>
      <c r="B116" s="4" t="s">
        <v>149</v>
      </c>
      <c r="C116" s="5" t="str">
        <f>IFERROR(__xludf.DUMMYFUNCTION("GOOGLETRANSLATE(B116,""en"",""fr"")"),"La personne montre un doigté pour la deuxième octave de la note.")</f>
        <v>La personne montre un doigté pour la deuxième octave de la note.</v>
      </c>
    </row>
    <row r="117">
      <c r="A117" s="4" t="s">
        <v>147</v>
      </c>
      <c r="B117" s="4" t="s">
        <v>150</v>
      </c>
      <c r="C117" s="5" t="str">
        <f>IFERROR(__xludf.DUMMYFUNCTION("GOOGLETRANSLATE(B117,""en"",""fr"")"),"La personne montre le doigté sur la troisième octave.")</f>
        <v>La personne montre le doigté sur la troisième octave.</v>
      </c>
    </row>
    <row r="118">
      <c r="A118" s="4" t="s">
        <v>147</v>
      </c>
      <c r="B118" s="4" t="s">
        <v>151</v>
      </c>
      <c r="C118" s="5" t="str">
        <f>IFERROR(__xludf.DUMMYFUNCTION("GOOGLETRANSLATE(B118,""en"",""fr"")"),"La femme parle directement à la caméra.")</f>
        <v>La femme parle directement à la caméra.</v>
      </c>
    </row>
    <row r="119">
      <c r="A119" s="4" t="s">
        <v>152</v>
      </c>
      <c r="B119" s="6" t="s">
        <v>153</v>
      </c>
      <c r="C119" s="5" t="str">
        <f>IFERROR(__xludf.DUMMYFUNCTION("GOOGLETRANSLATE(B119,""en"",""fr"")"),"Une intro mène à plusieurs photos d'un joueur de tennis et des leaders dans des séquences vidéo du joueur jouant des matchs.")</f>
        <v>Une intro mène à plusieurs photos d'un joueur de tennis et des leaders dans des séquences vidéo du joueur jouant des matchs.</v>
      </c>
    </row>
    <row r="120">
      <c r="A120" s="4" t="s">
        <v>152</v>
      </c>
      <c r="B120" s="6" t="s">
        <v>154</v>
      </c>
      <c r="C120" s="5" t="str">
        <f>IFERROR(__xludf.DUMMYFUNCTION("GOOGLETRANSLATE(B120,""en"",""fr"")"),"Le joueur de tennis est montré sur plusieurs plans de jeux effectuant des cascades incroyables et serrant ses poings pour célébrer à la fin.")</f>
        <v>Le joueur de tennis est montré sur plusieurs plans de jeux effectuant des cascades incroyables et serrant ses poings pour célébrer à la fin.</v>
      </c>
    </row>
    <row r="121">
      <c r="A121" s="4" t="s">
        <v>155</v>
      </c>
      <c r="B121" s="4" t="s">
        <v>156</v>
      </c>
      <c r="C121" s="5" t="str">
        <f>IFERROR(__xludf.DUMMYFUNCTION("GOOGLETRANSLATE(B121,""en"",""fr"")"),"Les danseurs de hiphop se produisent devant une foule.")</f>
        <v>Les danseurs de hiphop se produisent devant une foule.</v>
      </c>
    </row>
    <row r="122">
      <c r="A122" s="4" t="s">
        <v>155</v>
      </c>
      <c r="B122" s="4" t="s">
        <v>157</v>
      </c>
      <c r="C122" s="5" t="str">
        <f>IFERROR(__xludf.DUMMYFUNCTION("GOOGLETRANSLATE(B122,""en"",""fr"")"),"Ils font tous la même danse de base et ont des photos prises d'eux.")</f>
        <v>Ils font tous la même danse de base et ont des photos prises d'eux.</v>
      </c>
    </row>
    <row r="123">
      <c r="A123" s="4" t="s">
        <v>158</v>
      </c>
      <c r="B123" s="4" t="s">
        <v>159</v>
      </c>
      <c r="C123" s="5" t="str">
        <f>IFERROR(__xludf.DUMMYFUNCTION("GOOGLETRANSLATE(B123,""en"",""fr"")"),"Une rivière trouble est représentée à côté d'une rangée d'arbres.")</f>
        <v>Une rivière trouble est représentée à côté d'une rangée d'arbres.</v>
      </c>
    </row>
    <row r="124">
      <c r="A124" s="4" t="s">
        <v>158</v>
      </c>
      <c r="B124" s="4" t="s">
        <v>160</v>
      </c>
      <c r="C124" s="5" t="str">
        <f>IFERROR(__xludf.DUMMYFUNCTION("GOOGLETRANSLATE(B124,""en"",""fr"")"),"Un tas de personnes sur les intertubes passent lentement.")</f>
        <v>Un tas de personnes sur les intertubes passent lentement.</v>
      </c>
    </row>
    <row r="125">
      <c r="A125" s="4" t="s">
        <v>158</v>
      </c>
      <c r="B125" s="4" t="s">
        <v>161</v>
      </c>
      <c r="C125" s="5" t="str">
        <f>IFERROR(__xludf.DUMMYFUNCTION("GOOGLETRANSLATE(B125,""en"",""fr"")"),"Ensuite, nous voyons des eaux rapides lorsque les tubercules passent en revue de petites chutes.")</f>
        <v>Ensuite, nous voyons des eaux rapides lorsque les tubercules passent en revue de petites chutes.</v>
      </c>
    </row>
    <row r="126">
      <c r="A126" s="4" t="s">
        <v>162</v>
      </c>
      <c r="B126" s="4" t="s">
        <v>163</v>
      </c>
      <c r="C126" s="5" t="str">
        <f>IFERROR(__xludf.DUMMYFUNCTION("GOOGLETRANSLATE(B126,""en"",""fr"")"),"Trois filles sont sur la plage qui parlent.")</f>
        <v>Trois filles sont sur la plage qui parlent.</v>
      </c>
    </row>
    <row r="127">
      <c r="A127" s="4" t="s">
        <v>162</v>
      </c>
      <c r="B127" s="4" t="s">
        <v>164</v>
      </c>
      <c r="C127" s="5" t="str">
        <f>IFERROR(__xludf.DUMMYFUNCTION("GOOGLETRANSLATE(B127,""en"",""fr"")"),"Ils font plusieurs flips sur la plage.")</f>
        <v>Ils font plusieurs flips sur la plage.</v>
      </c>
    </row>
    <row r="128">
      <c r="A128" s="4" t="s">
        <v>162</v>
      </c>
      <c r="B128" s="4" t="s">
        <v>165</v>
      </c>
      <c r="C128" s="5" t="str">
        <f>IFERROR(__xludf.DUMMYFUNCTION("GOOGLETRANSLATE(B128,""en"",""fr"")"),"Ils soulèvent l'une des filles pour un coup.")</f>
        <v>Ils soulèvent l'une des filles pour un coup.</v>
      </c>
    </row>
    <row r="129">
      <c r="A129" s="4" t="s">
        <v>166</v>
      </c>
      <c r="B129" s="4" t="s">
        <v>167</v>
      </c>
      <c r="C129" s="5" t="str">
        <f>IFERROR(__xludf.DUMMYFUNCTION("GOOGLETRANSLATE(B129,""en"",""fr"")"),"La caméra se pavanée au-dessus du terrain luxuriant et vert sur ce qui ressemble à une chaîne de montagnes.")</f>
        <v>La caméra se pavanée au-dessus du terrain luxuriant et vert sur ce qui ressemble à une chaîne de montagnes.</v>
      </c>
    </row>
    <row r="130">
      <c r="A130" s="4" t="s">
        <v>166</v>
      </c>
      <c r="B130" s="6" t="s">
        <v>168</v>
      </c>
      <c r="C130" s="5" t="str">
        <f>IFERROR(__xludf.DUMMYFUNCTION("GOOGLETRANSLATE(B130,""en"",""fr"")"),"Un homme est montré couvert de sueur, puis sautant sur différentes collines effectuant des cascades sur un vélo de terre.")</f>
        <v>Un homme est montré couvert de sueur, puis sautant sur différentes collines effectuant des cascades sur un vélo de terre.</v>
      </c>
    </row>
    <row r="131">
      <c r="A131" s="4" t="s">
        <v>166</v>
      </c>
      <c r="B131" s="4" t="s">
        <v>169</v>
      </c>
      <c r="C131" s="5" t="str">
        <f>IFERROR(__xludf.DUMMYFUNCTION("GOOGLETRANSLATE(B131,""en"",""fr"")"),"Il tourne et retourne et effectue toutes sortes d'acrobaties.")</f>
        <v>Il tourne et retourne et effectue toutes sortes d'acrobaties.</v>
      </c>
    </row>
    <row r="132">
      <c r="A132" s="4" t="s">
        <v>166</v>
      </c>
      <c r="B132" s="4" t="s">
        <v>170</v>
      </c>
      <c r="C132" s="5" t="str">
        <f>IFERROR(__xludf.DUMMYFUNCTION("GOOGLETRANSLATE(B132,""en"",""fr"")"),"Il est hautement qualifié et saute sur tout.")</f>
        <v>Il est hautement qualifié et saute sur tout.</v>
      </c>
    </row>
    <row r="133">
      <c r="A133" s="4" t="s">
        <v>166</v>
      </c>
      <c r="B133" s="6" t="s">
        <v>171</v>
      </c>
      <c r="C133" s="5" t="str">
        <f>IFERROR(__xludf.DUMMYFUNCTION("GOOGLETRANSLATE(B133,""en"",""fr"")"),"La vidéo montre ensuite plusieurs hommes sur des vélos de saleté sautant à différents endroits et montre l'action sous divers angles.")</f>
        <v>La vidéo montre ensuite plusieurs hommes sur des vélos de saleté sautant à différents endroits et montre l'action sous divers angles.</v>
      </c>
    </row>
    <row r="134">
      <c r="A134" s="4" t="s">
        <v>166</v>
      </c>
      <c r="B134" s="4" t="s">
        <v>172</v>
      </c>
      <c r="C134" s="5" t="str">
        <f>IFERROR(__xludf.DUMMYFUNCTION("GOOGLETRANSLATE(B134,""en"",""fr"")"),"Les hommes continuent de faire leurs étourdissements dans divers autres paysages.")</f>
        <v>Les hommes continuent de faire leurs étourdissements dans divers autres paysages.</v>
      </c>
    </row>
    <row r="135">
      <c r="A135" s="4" t="s">
        <v>173</v>
      </c>
      <c r="B135" s="4" t="s">
        <v>174</v>
      </c>
      <c r="C135" s="5" t="str">
        <f>IFERROR(__xludf.DUMMYFUNCTION("GOOGLETRANSLATE(B135,""en"",""fr"")"),"Une femme marche le long d'une piste.")</f>
        <v>Une femme marche le long d'une piste.</v>
      </c>
    </row>
    <row r="136">
      <c r="A136" s="4" t="s">
        <v>173</v>
      </c>
      <c r="B136" s="4" t="s">
        <v>175</v>
      </c>
      <c r="C136" s="5" t="str">
        <f>IFERROR(__xludf.DUMMYFUNCTION("GOOGLETRANSLATE(B136,""en"",""fr"")"),"Elle décolle à une course rapide.")</f>
        <v>Elle décolle à une course rapide.</v>
      </c>
    </row>
    <row r="137">
      <c r="A137" s="4" t="s">
        <v>173</v>
      </c>
      <c r="B137" s="4" t="s">
        <v>176</v>
      </c>
      <c r="C137" s="5" t="str">
        <f>IFERROR(__xludf.DUMMYFUNCTION("GOOGLETRANSLATE(B137,""en"",""fr"")"),"Elle saute par-dessus un bar et sur un tapis.")</f>
        <v>Elle saute par-dessus un bar et sur un tapis.</v>
      </c>
    </row>
    <row r="138">
      <c r="A138" s="4" t="s">
        <v>177</v>
      </c>
      <c r="B138" s="4" t="s">
        <v>178</v>
      </c>
      <c r="C138" s="5" t="str">
        <f>IFERROR(__xludf.DUMMYFUNCTION("GOOGLETRANSLATE(B138,""en"",""fr"")"),"Une personne coupe des limes sur une planche.")</f>
        <v>Une personne coupe des limes sur une planche.</v>
      </c>
    </row>
    <row r="139">
      <c r="A139" s="4" t="s">
        <v>177</v>
      </c>
      <c r="B139" s="4" t="s">
        <v>179</v>
      </c>
      <c r="C139" s="5" t="str">
        <f>IFERROR(__xludf.DUMMYFUNCTION("GOOGLETRANSLATE(B139,""en"",""fr"")"),"Ils ont mis les limes et le sucre dans un mélangeur.")</f>
        <v>Ils ont mis les limes et le sucre dans un mélangeur.</v>
      </c>
    </row>
    <row r="140">
      <c r="A140" s="4" t="s">
        <v>177</v>
      </c>
      <c r="B140" s="4" t="s">
        <v>180</v>
      </c>
      <c r="C140" s="5" t="str">
        <f>IFERROR(__xludf.DUMMYFUNCTION("GOOGLETRANSLATE(B140,""en"",""fr"")"),"Ils filtrent le jus et le versent dans un bocal.")</f>
        <v>Ils filtrent le jus et le versent dans un bocal.</v>
      </c>
    </row>
    <row r="141">
      <c r="A141" s="4" t="s">
        <v>177</v>
      </c>
      <c r="B141" s="4" t="s">
        <v>181</v>
      </c>
      <c r="C141" s="5" t="str">
        <f>IFERROR(__xludf.DUMMYFUNCTION("GOOGLETRANSLATE(B141,""en"",""fr"")"),"Ils ont mis une paille et un coin de citron vert sur le bord du verre.")</f>
        <v>Ils ont mis une paille et un coin de citron vert sur le bord du verre.</v>
      </c>
    </row>
    <row r="142">
      <c r="A142" s="4" t="s">
        <v>182</v>
      </c>
      <c r="B142" s="4" t="s">
        <v>183</v>
      </c>
      <c r="C142" s="5" t="str">
        <f>IFERROR(__xludf.DUMMYFUNCTION("GOOGLETRANSLATE(B142,""en"",""fr"")"),"Un enfant frotte l'évier de la cuisine à l'aide d'une brosse.")</f>
        <v>Un enfant frotte l'évier de la cuisine à l'aide d'une brosse.</v>
      </c>
    </row>
    <row r="143">
      <c r="A143" s="4" t="s">
        <v>182</v>
      </c>
      <c r="B143" s="4" t="s">
        <v>184</v>
      </c>
      <c r="C143" s="5" t="str">
        <f>IFERROR(__xludf.DUMMYFUNCTION("GOOGLETRANSLATE(B143,""en"",""fr"")"),"Le garçon allume le robinet d'évier.")</f>
        <v>Le garçon allume le robinet d'évier.</v>
      </c>
    </row>
    <row r="144">
      <c r="A144" s="4" t="s">
        <v>182</v>
      </c>
      <c r="B144" s="4" t="s">
        <v>185</v>
      </c>
      <c r="C144" s="5" t="str">
        <f>IFERROR(__xludf.DUMMYFUNCTION("GOOGLETRANSLATE(B144,""en"",""fr"")"),"L'enfant utilise la buse du robinet pour rincer l'évier.")</f>
        <v>L'enfant utilise la buse du robinet pour rincer l'évier.</v>
      </c>
    </row>
    <row r="145">
      <c r="A145" s="4" t="s">
        <v>182</v>
      </c>
      <c r="B145" s="4" t="s">
        <v>186</v>
      </c>
      <c r="C145" s="5" t="str">
        <f>IFERROR(__xludf.DUMMYFUNCTION("GOOGLETRANSLATE(B145,""en"",""fr"")"),"Le garçon renvoie la buse de l'évier au robinet et éteint l'eau.")</f>
        <v>Le garçon renvoie la buse de l'évier au robinet et éteint l'eau.</v>
      </c>
    </row>
    <row r="146">
      <c r="A146" s="4" t="s">
        <v>187</v>
      </c>
      <c r="B146" s="4" t="s">
        <v>188</v>
      </c>
      <c r="C146" s="5" t="str">
        <f>IFERROR(__xludf.DUMMYFUNCTION("GOOGLETRANSLATE(B146,""en"",""fr"")"),"Un homme dans un studio nu présente une série de mouvements d'arts martiaux par lui-même devant une caméra.")</f>
        <v>Un homme dans un studio nu présente une série de mouvements d'arts martiaux par lui-même devant une caméra.</v>
      </c>
    </row>
    <row r="147">
      <c r="A147" s="4" t="s">
        <v>187</v>
      </c>
      <c r="B147" s="6" t="s">
        <v>189</v>
      </c>
      <c r="C147" s="5" t="str">
        <f>IFERROR(__xludf.DUMMYFUNCTION("GOOGLETRANSLATE(B147,""en"",""fr"")"),"Un homme apparaît dans un t-shirt blanc et un pantalon noir, pieds nus et commence à présenter des mouvements d'arts martiaux.")</f>
        <v>Un homme apparaît dans un t-shirt blanc et un pantalon noir, pieds nus et commence à présenter des mouvements d'arts martiaux.</v>
      </c>
    </row>
    <row r="148">
      <c r="A148" s="4" t="s">
        <v>187</v>
      </c>
      <c r="B148" s="4" t="s">
        <v>190</v>
      </c>
      <c r="C148" s="5" t="str">
        <f>IFERROR(__xludf.DUMMYFUNCTION("GOOGLETRANSLATE(B148,""en"",""fr"")"),"L'homme commence à utiliser des mouvements qui présentent des travaux de sol et des dégringols légers avec un frappeur.")</f>
        <v>L'homme commence à utiliser des mouvements qui présentent des travaux de sol et des dégringols légers avec un frappeur.</v>
      </c>
    </row>
    <row r="149">
      <c r="A149" s="4" t="s">
        <v>187</v>
      </c>
      <c r="B149" s="4" t="s">
        <v>191</v>
      </c>
      <c r="C149" s="5" t="str">
        <f>IFERROR(__xludf.DUMMYFUNCTION("GOOGLETRANSLATE(B149,""en"",""fr"")"),"L'homme progresse dans des somersauts contrôlés et des travaux côte à côte avec des coups de pied élevés.")</f>
        <v>L'homme progresse dans des somersauts contrôlés et des travaux côte à côte avec des coups de pied élevés.</v>
      </c>
    </row>
    <row r="150">
      <c r="A150" s="4" t="s">
        <v>192</v>
      </c>
      <c r="B150" s="4" t="s">
        <v>193</v>
      </c>
      <c r="C150" s="5" t="str">
        <f>IFERROR(__xludf.DUMMYFUNCTION("GOOGLETRANSLATE(B150,""en"",""fr"")"),"Un concessionnaire est montré en dispensant des cartes sur une table tandis que les mains des autres sont affichées sur le côté.")</f>
        <v>Un concessionnaire est montré en dispensant des cartes sur une table tandis que les mains des autres sont affichées sur le côté.</v>
      </c>
    </row>
    <row r="151">
      <c r="A151" s="4" t="s">
        <v>192</v>
      </c>
      <c r="B151" s="4" t="s">
        <v>194</v>
      </c>
      <c r="C151" s="5" t="str">
        <f>IFERROR(__xludf.DUMMYFUNCTION("GOOGLETRANSLATE(B151,""en"",""fr"")"),"La personne présente ensuite des cartes tandis qu'une autre personne présente ses jetons.")</f>
        <v>La personne présente ensuite des cartes tandis qu'une autre personne présente ses jetons.</v>
      </c>
    </row>
    <row r="152">
      <c r="A152" s="4" t="s">
        <v>195</v>
      </c>
      <c r="B152" s="6" t="s">
        <v>196</v>
      </c>
      <c r="C152" s="5" t="str">
        <f>IFERROR(__xludf.DUMMYFUNCTION("GOOGLETRANSLATE(B152,""en"",""fr"")"),"Plusieurs personnes sont à l'extérieur avec des équipements de course et des chiffres qui leur sont épinglés à faire du jogging à un rythme lent à ce que les coutures à être un marathon ou un 5K.")</f>
        <v>Plusieurs personnes sont à l'extérieur avec des équipements de course et des chiffres qui leur sont épinglés à faire du jogging à un rythme lent à ce que les coutures à être un marathon ou un 5K.</v>
      </c>
    </row>
    <row r="153">
      <c r="A153" s="4" t="s">
        <v>195</v>
      </c>
      <c r="B153" s="6" t="s">
        <v>197</v>
      </c>
      <c r="C153" s="5" t="str">
        <f>IFERROR(__xludf.DUMMYFUNCTION("GOOGLETRANSLATE(B153,""en"",""fr"")"),"Cependant, une dame vêtue de tout noir semble être le point focal tout au long de la vidéo et elle marche à un rythme extrêmement lent pendant tout le temps.")</f>
        <v>Cependant, une dame vêtue de tout noir semble être le point focal tout au long de la vidéo et elle marche à un rythme extrêmement lent pendant tout le temps.</v>
      </c>
    </row>
    <row r="154">
      <c r="A154" s="4" t="s">
        <v>195</v>
      </c>
      <c r="B154" s="6" t="s">
        <v>198</v>
      </c>
      <c r="C154" s="5" t="str">
        <f>IFERROR(__xludf.DUMMYFUNCTION("GOOGLETRANSLATE(B154,""en"",""fr"")"),"Une fois la foule montrée et que de plus en plus de gens courent dans la ville ou même participent à un fauteuil roulant alors que les gens sur le côté les encouragent.")</f>
        <v>Une fois la foule montrée et que de plus en plus de gens courent dans la ville ou même participent à un fauteuil roulant alors que les gens sur le côté les encouragent.</v>
      </c>
    </row>
    <row r="155">
      <c r="A155" s="4" t="s">
        <v>199</v>
      </c>
      <c r="B155" s="6" t="s">
        <v>200</v>
      </c>
      <c r="C155" s="5" t="str">
        <f>IFERROR(__xludf.DUMMYFUNCTION("GOOGLETRANSLATE(B155,""en"",""fr"")"),"Un homme est montré debout devant un fond bleu car de nombreux harmoniques sont montrés et il commence à les jouer.")</f>
        <v>Un homme est montré debout devant un fond bleu car de nombreux harmoniques sont montrés et il commence à les jouer.</v>
      </c>
    </row>
    <row r="156">
      <c r="A156" s="4" t="s">
        <v>199</v>
      </c>
      <c r="B156" s="6" t="s">
        <v>201</v>
      </c>
      <c r="C156" s="5" t="str">
        <f>IFERROR(__xludf.DUMMYFUNCTION("GOOGLETRANSLATE(B156,""en"",""fr"")"),"Il est ensuite montré à la parole dans la caméra et à entrer en détail en ce qui concerne les fonctionnalités des produits.")</f>
        <v>Il est ensuite montré à la parole dans la caméra et à entrer en détail en ce qui concerne les fonctionnalités des produits.</v>
      </c>
    </row>
    <row r="157">
      <c r="A157" s="4" t="s">
        <v>199</v>
      </c>
      <c r="B157" s="4" t="s">
        <v>202</v>
      </c>
      <c r="C157" s="5" t="str">
        <f>IFERROR(__xludf.DUMMYFUNCTION("GOOGLETRANSLATE(B157,""en"",""fr"")"),"Il montre combien il a dans son manteau et continue de parler.")</f>
        <v>Il montre combien il a dans son manteau et continue de parler.</v>
      </c>
    </row>
    <row r="158">
      <c r="A158" s="4" t="s">
        <v>199</v>
      </c>
      <c r="B158" s="4" t="s">
        <v>203</v>
      </c>
      <c r="C158" s="5" t="str">
        <f>IFERROR(__xludf.DUMMYFUNCTION("GOOGLETRANSLATE(B158,""en"",""fr"")"),"On lui montre ensuite jouer un autre harmonica car il lui donne des instructions.")</f>
        <v>On lui montre ensuite jouer un autre harmonica car il lui donne des instructions.</v>
      </c>
    </row>
    <row r="159">
      <c r="A159" s="4" t="s">
        <v>199</v>
      </c>
      <c r="B159" s="6" t="s">
        <v>204</v>
      </c>
      <c r="C159" s="5" t="str">
        <f>IFERROR(__xludf.DUMMYFUNCTION("GOOGLETRANSLATE(B159,""en"",""fr"")"),"Il en parle plus et montre à nouveau son harmonica alors que la vidéo passe à un écran de titre final qui lit Howcast Original "".")</f>
        <v>Il en parle plus et montre à nouveau son harmonica alors que la vidéo passe à un écran de titre final qui lit Howcast Original ".</v>
      </c>
    </row>
    <row r="160">
      <c r="A160" s="4" t="s">
        <v>205</v>
      </c>
      <c r="B160" s="4" t="s">
        <v>206</v>
      </c>
      <c r="C160" s="5" t="str">
        <f>IFERROR(__xludf.DUMMYFUNCTION("GOOGLETRANSLATE(B160,""en"",""fr"")"),"Un garçon portant un short blanc se tient dans une pièce.")</f>
        <v>Un garçon portant un short blanc se tient dans une pièce.</v>
      </c>
    </row>
    <row r="161">
      <c r="A161" s="4" t="s">
        <v>205</v>
      </c>
      <c r="B161" s="4" t="s">
        <v>207</v>
      </c>
      <c r="C161" s="5" t="str">
        <f>IFERROR(__xludf.DUMMYFUNCTION("GOOGLETRANSLATE(B161,""en"",""fr"")"),"Il met quelque chose dans sa bouche.")</f>
        <v>Il met quelque chose dans sa bouche.</v>
      </c>
    </row>
    <row r="162">
      <c r="A162" s="4" t="s">
        <v>205</v>
      </c>
      <c r="B162" s="4" t="s">
        <v>208</v>
      </c>
      <c r="C162" s="5" t="str">
        <f>IFERROR(__xludf.DUMMYFUNCTION("GOOGLETRANSLATE(B162,""en"",""fr"")"),"Il donne des coups de pied sur le côté.")</f>
        <v>Il donne des coups de pied sur le côté.</v>
      </c>
    </row>
    <row r="163">
      <c r="A163" s="4" t="s">
        <v>205</v>
      </c>
      <c r="B163" s="4" t="s">
        <v>209</v>
      </c>
      <c r="C163" s="5" t="str">
        <f>IFERROR(__xludf.DUMMYFUNCTION("GOOGLETRANSLATE(B163,""en"",""fr"")"),"Les genoux sur le sol.")</f>
        <v>Les genoux sur le sol.</v>
      </c>
    </row>
    <row r="164">
      <c r="A164" s="4" t="s">
        <v>210</v>
      </c>
      <c r="B164" s="4" t="s">
        <v>211</v>
      </c>
      <c r="C164" s="5" t="str">
        <f>IFERROR(__xludf.DUMMYFUNCTION("GOOGLETRANSLATE(B164,""en"",""fr"")"),"Un petit groupe de personnes est vue assise sur le côté et mène à deux personnes dansant ensemble.")</f>
        <v>Un petit groupe de personnes est vue assise sur le côté et mène à deux personnes dansant ensemble.</v>
      </c>
    </row>
    <row r="165">
      <c r="A165" s="4" t="s">
        <v>210</v>
      </c>
      <c r="B165" s="4" t="s">
        <v>212</v>
      </c>
      <c r="C165" s="5" t="str">
        <f>IFERROR(__xludf.DUMMYFUNCTION("GOOGLETRANSLATE(B165,""en"",""fr"")"),"Les gens continuent à danser le long du sol et à finir en applaudissant avec le groupe.")</f>
        <v>Les gens continuent à danser le long du sol et à finir en applaudissant avec le groupe.</v>
      </c>
    </row>
    <row r="166">
      <c r="A166" s="4" t="s">
        <v>213</v>
      </c>
      <c r="B166" s="4" t="s">
        <v>214</v>
      </c>
      <c r="C166" s="5" t="str">
        <f>IFERROR(__xludf.DUMMYFUNCTION("GOOGLETRANSLATE(B166,""en"",""fr"")"),"Un coureur teste une jambe prothétique dans une longue distance.")</f>
        <v>Un coureur teste une jambe prothétique dans une longue distance.</v>
      </c>
    </row>
    <row r="167">
      <c r="A167" s="4" t="s">
        <v>213</v>
      </c>
      <c r="B167" s="4" t="s">
        <v>215</v>
      </c>
      <c r="C167" s="5" t="str">
        <f>IFERROR(__xludf.DUMMYFUNCTION("GOOGLETRANSLATE(B167,""en"",""fr"")"),"Il court à l'intérieur puis court dehors.")</f>
        <v>Il court à l'intérieur puis court dehors.</v>
      </c>
    </row>
    <row r="168">
      <c r="A168" s="4" t="s">
        <v>216</v>
      </c>
      <c r="B168" s="4" t="s">
        <v>217</v>
      </c>
      <c r="C168" s="5" t="str">
        <f>IFERROR(__xludf.DUMMYFUNCTION("GOOGLETRANSLATE(B168,""en"",""fr"")"),"Un petit groupe de personnes est vu errant autour d'un court de tennis frappant une balle sur le filet.")</f>
        <v>Un petit groupe de personnes est vu errant autour d'un court de tennis frappant une balle sur le filet.</v>
      </c>
    </row>
    <row r="169">
      <c r="A169" s="4" t="s">
        <v>216</v>
      </c>
      <c r="B169" s="4" t="s">
        <v>218</v>
      </c>
      <c r="C169" s="5" t="str">
        <f>IFERROR(__xludf.DUMMYFUNCTION("GOOGLETRANSLATE(B169,""en"",""fr"")"),"Les gens ont frappé le ballon en arrière et quatrième tandis que d'autres regardent sur le côté.")</f>
        <v>Les gens ont frappé le ballon en arrière et quatrième tandis que d'autres regardent sur le côté.</v>
      </c>
    </row>
    <row r="170">
      <c r="A170" s="4" t="s">
        <v>216</v>
      </c>
      <c r="B170" s="4" t="s">
        <v>219</v>
      </c>
      <c r="C170" s="5" t="str">
        <f>IFERROR(__xludf.DUMMYFUNCTION("GOOGLETRANSLATE(B170,""en"",""fr"")"),"Ils continuent de jouer au jeu ainsi que les autres.")</f>
        <v>Ils continuent de jouer au jeu ainsi que les autres.</v>
      </c>
    </row>
    <row r="171">
      <c r="A171" s="4" t="s">
        <v>220</v>
      </c>
      <c r="B171" s="6" t="s">
        <v>221</v>
      </c>
      <c r="C171" s="5" t="str">
        <f>IFERROR(__xludf.DUMMYFUNCTION("GOOGLETRANSLATE(B171,""en"",""fr"")"),"Un jeune homme portant une chemise blanche et un casque et un pantalon noir tient une planche à roulettes dans ses mains pendant qu'il marche.")</f>
        <v>Un jeune homme portant une chemise blanche et un casque et un pantalon noir tient une planche à roulettes dans ses mains pendant qu'il marche.</v>
      </c>
    </row>
    <row r="172">
      <c r="A172" s="4" t="s">
        <v>220</v>
      </c>
      <c r="B172" s="4" t="s">
        <v>222</v>
      </c>
      <c r="C172" s="5" t="str">
        <f>IFERROR(__xludf.DUMMYFUNCTION("GOOGLETRANSLATE(B172,""en"",""fr"")"),"Il pose la planche à roulettes et commence à patiner sur une route d'asphalte.")</f>
        <v>Il pose la planche à roulettes et commence à patiner sur une route d'asphalte.</v>
      </c>
    </row>
    <row r="173">
      <c r="A173" s="4" t="s">
        <v>220</v>
      </c>
      <c r="B173" s="4" t="s">
        <v>223</v>
      </c>
      <c r="C173" s="5" t="str">
        <f>IFERROR(__xludf.DUMMYFUNCTION("GOOGLETRANSLATE(B173,""en"",""fr"")"),"Il retourne la planche à roulettes plusieurs fois et continue en rond.")</f>
        <v>Il retourne la planche à roulettes plusieurs fois et continue en rond.</v>
      </c>
    </row>
    <row r="174">
      <c r="A174" s="4" t="s">
        <v>220</v>
      </c>
      <c r="B174" s="4" t="s">
        <v>224</v>
      </c>
      <c r="C174" s="5" t="str">
        <f>IFERROR(__xludf.DUMMYFUNCTION("GOOGLETRANSLATE(B174,""en"",""fr"")"),"Deux personnes passent devant lui alors qu'il continue de skateboard.")</f>
        <v>Deux personnes passent devant lui alors qu'il continue de skateboard.</v>
      </c>
    </row>
    <row r="175">
      <c r="A175" s="4" t="s">
        <v>220</v>
      </c>
      <c r="B175" s="4" t="s">
        <v>225</v>
      </c>
      <c r="C175" s="5" t="str">
        <f>IFERROR(__xludf.DUMMYFUNCTION("GOOGLETRANSLATE(B175,""en"",""fr"")"),"L'homme commence à accélérer sur sa planche à roulettes alors qu'il descend sur la route.")</f>
        <v>L'homme commence à accélérer sur sa planche à roulettes alors qu'il descend sur la route.</v>
      </c>
    </row>
    <row r="176">
      <c r="A176" s="4" t="s">
        <v>220</v>
      </c>
      <c r="B176" s="4" t="s">
        <v>226</v>
      </c>
      <c r="C176" s="5" t="str">
        <f>IFERROR(__xludf.DUMMYFUNCTION("GOOGLETRANSLATE(B176,""en"",""fr"")"),"Il patine également devant un lac sur une longue route sinueuse.")</f>
        <v>Il patine également devant un lac sur une longue route sinueuse.</v>
      </c>
    </row>
    <row r="177">
      <c r="A177" s="4" t="s">
        <v>220</v>
      </c>
      <c r="B177" s="4" t="s">
        <v>227</v>
      </c>
      <c r="C177" s="5" t="str">
        <f>IFERROR(__xludf.DUMMYFUNCTION("GOOGLETRANSLATE(B177,""en"",""fr"")"),"Il patine devant un champ et des montagnes remplies de verdure.")</f>
        <v>Il patine devant un champ et des montagnes remplies de verdure.</v>
      </c>
    </row>
    <row r="178">
      <c r="A178" s="4" t="s">
        <v>220</v>
      </c>
      <c r="B178" s="4" t="s">
        <v>228</v>
      </c>
      <c r="C178" s="5" t="str">
        <f>IFERROR(__xludf.DUMMYFUNCTION("GOOGLETRANSLATE(B178,""en"",""fr"")"),"Il essaie diverses cascades et astuces sur sa planche à roulettes.")</f>
        <v>Il essaie diverses cascades et astuces sur sa planche à roulettes.</v>
      </c>
    </row>
    <row r="179">
      <c r="A179" s="4" t="s">
        <v>220</v>
      </c>
      <c r="B179" s="4" t="s">
        <v>229</v>
      </c>
      <c r="C179" s="5" t="str">
        <f>IFERROR(__xludf.DUMMYFUNCTION("GOOGLETRANSLATE(B179,""en"",""fr"")"),"Il continue de skateboard sur les routes.")</f>
        <v>Il continue de skateboard sur les routes.</v>
      </c>
    </row>
    <row r="180">
      <c r="A180" s="4" t="s">
        <v>220</v>
      </c>
      <c r="B180" s="4" t="s">
        <v>230</v>
      </c>
      <c r="C180" s="5" t="str">
        <f>IFERROR(__xludf.DUMMYFUNCTION("GOOGLETRANSLATE(B180,""en"",""fr"")"),"Il tombe du skateboard sur le bord de la route, mais remonte dessus et patine.")</f>
        <v>Il tombe du skateboard sur le bord de la route, mais remonte dessus et patine.</v>
      </c>
    </row>
    <row r="181">
      <c r="A181" s="4" t="s">
        <v>231</v>
      </c>
      <c r="B181" s="4" t="s">
        <v>232</v>
      </c>
      <c r="C181" s="5" t="str">
        <f>IFERROR(__xludf.DUMMYFUNCTION("GOOGLETRANSLATE(B181,""en"",""fr"")"),"Les athlètes jettent un javelot lors d'une compétition.")</f>
        <v>Les athlètes jettent un javelot lors d'une compétition.</v>
      </c>
    </row>
    <row r="182">
      <c r="A182" s="4" t="s">
        <v>231</v>
      </c>
      <c r="B182" s="4" t="s">
        <v>233</v>
      </c>
      <c r="C182" s="5" t="str">
        <f>IFERROR(__xludf.DUMMYFUNCTION("GOOGLETRANSLATE(B182,""en"",""fr"")"),"Un homme pratique sa position de lancement en marchant et en faisant des lancers à moitié sans javelot.")</f>
        <v>Un homme pratique sa position de lancement en marchant et en faisant des lancers à moitié sans javelot.</v>
      </c>
    </row>
    <row r="183">
      <c r="A183" s="4" t="s">
        <v>231</v>
      </c>
      <c r="B183" s="4" t="s">
        <v>234</v>
      </c>
      <c r="C183" s="5" t="str">
        <f>IFERROR(__xludf.DUMMYFUNCTION("GOOGLETRANSLATE(B183,""en"",""fr"")"),"Un homme pratique sa position de lancement en marchant et en faisant des lancers à moitié en tenant une javelot.")</f>
        <v>Un homme pratique sa position de lancement en marchant et en faisant des lancers à moitié en tenant une javelot.</v>
      </c>
    </row>
    <row r="184">
      <c r="A184" s="4" t="s">
        <v>231</v>
      </c>
      <c r="B184" s="4" t="s">
        <v>235</v>
      </c>
      <c r="C184" s="5" t="str">
        <f>IFERROR(__xludf.DUMMYFUNCTION("GOOGLETRANSLATE(B184,""en"",""fr"")"),"L'homme balance un marteau.")</f>
        <v>L'homme balance un marteau.</v>
      </c>
    </row>
    <row r="185">
      <c r="A185" s="4" t="s">
        <v>231</v>
      </c>
      <c r="B185" s="4" t="s">
        <v>236</v>
      </c>
      <c r="C185" s="5" t="str">
        <f>IFERROR(__xludf.DUMMYFUNCTION("GOOGLETRANSLATE(B185,""en"",""fr"")"),"L'homme lance une balle pondérée.")</f>
        <v>L'homme lance une balle pondérée.</v>
      </c>
    </row>
    <row r="186">
      <c r="A186" s="4" t="s">
        <v>231</v>
      </c>
      <c r="B186" s="4" t="s">
        <v>237</v>
      </c>
      <c r="C186" s="5" t="str">
        <f>IFERROR(__xludf.DUMMYFUNCTION("GOOGLETRANSLATE(B186,""en"",""fr"")"),"Les athlètes s'entraînent dans un gymnase faisant des mouvements de lancement sur des câbles pondérés.")</f>
        <v>Les athlètes s'entraînent dans un gymnase faisant des mouvements de lancement sur des câbles pondérés.</v>
      </c>
    </row>
    <row r="187">
      <c r="A187" s="4" t="s">
        <v>238</v>
      </c>
      <c r="B187" s="4" t="s">
        <v>239</v>
      </c>
      <c r="C187" s="5" t="str">
        <f>IFERROR(__xludf.DUMMYFUNCTION("GOOGLETRANSLATE(B187,""en"",""fr"")"),"Nous voyons une personne aiguiser un couteau sur un disque de ponçage.")</f>
        <v>Nous voyons une personne aiguiser un couteau sur un disque de ponçage.</v>
      </c>
    </row>
    <row r="188">
      <c r="A188" s="4" t="s">
        <v>238</v>
      </c>
      <c r="B188" s="4" t="s">
        <v>240</v>
      </c>
      <c r="C188" s="5" t="str">
        <f>IFERROR(__xludf.DUMMYFUNCTION("GOOGLETRANSLATE(B188,""en"",""fr"")"),"La personne le touche et l'éteint.")</f>
        <v>La personne le touche et l'éteint.</v>
      </c>
    </row>
    <row r="189">
      <c r="A189" s="4" t="s">
        <v>238</v>
      </c>
      <c r="B189" s="4" t="s">
        <v>241</v>
      </c>
      <c r="C189" s="5" t="str">
        <f>IFERROR(__xludf.DUMMYFUNCTION("GOOGLETRANSLATE(B189,""en"",""fr"")"),"La personne l'allume puis la sortie.")</f>
        <v>La personne l'allume puis la sortie.</v>
      </c>
    </row>
    <row r="190">
      <c r="A190" s="4" t="s">
        <v>238</v>
      </c>
      <c r="B190" s="4" t="s">
        <v>242</v>
      </c>
      <c r="C190" s="5" t="str">
        <f>IFERROR(__xludf.DUMMYFUNCTION("GOOGLETRANSLATE(B190,""en"",""fr"")"),"Nous voyons l'homme parler à la caméra.")</f>
        <v>Nous voyons l'homme parler à la caméra.</v>
      </c>
    </row>
    <row r="191">
      <c r="A191" s="4" t="s">
        <v>243</v>
      </c>
      <c r="B191" s="4" t="s">
        <v>244</v>
      </c>
      <c r="C191" s="5" t="str">
        <f>IFERROR(__xludf.DUMMYFUNCTION("GOOGLETRANSLATE(B191,""en"",""fr"")"),"Le texte est illustré à partir des Centers for Disease Control concernant le bon lavage des mains.")</f>
        <v>Le texte est illustré à partir des Centers for Disease Control concernant le bon lavage des mains.</v>
      </c>
    </row>
    <row r="192">
      <c r="A192" s="4" t="s">
        <v>243</v>
      </c>
      <c r="B192" s="4" t="s">
        <v>245</v>
      </c>
      <c r="C192" s="5" t="str">
        <f>IFERROR(__xludf.DUMMYFUNCTION("GOOGLETRANSLATE(B192,""en"",""fr"")"),"Une femme est montrée en train de savourer ses mains tandis que l'eau court dans un évier.")</f>
        <v>Une femme est montrée en train de savourer ses mains tandis que l'eau court dans un évier.</v>
      </c>
    </row>
    <row r="193">
      <c r="A193" s="4" t="s">
        <v>243</v>
      </c>
      <c r="B193" s="4" t="s">
        <v>246</v>
      </c>
      <c r="C193" s="5" t="str">
        <f>IFERROR(__xludf.DUMMYFUNCTION("GOOGLETRANSLATE(B193,""en"",""fr"")"),"Elle atteint une serviette puis tourne le robinet d'une main.")</f>
        <v>Elle atteint une serviette puis tourne le robinet d'une main.</v>
      </c>
    </row>
    <row r="194">
      <c r="A194" s="4" t="s">
        <v>243</v>
      </c>
      <c r="B194" s="6" t="s">
        <v>247</v>
      </c>
      <c r="C194" s="5" t="str">
        <f>IFERROR(__xludf.DUMMYFUNCTION("GOOGLETRANSLATE(B194,""en"",""fr"")"),"Elle savourt ses mains, puis rince avec l'eau avant de saisir une autre serviette pour éteindre le robinet et jeter la serviette.")</f>
        <v>Elle savourt ses mains, puis rince avec l'eau avant de saisir une autre serviette pour éteindre le robinet et jeter la serviette.</v>
      </c>
    </row>
    <row r="195">
      <c r="A195" s="4" t="s">
        <v>248</v>
      </c>
      <c r="B195" s="4" t="s">
        <v>249</v>
      </c>
      <c r="C195" s="5" t="str">
        <f>IFERROR(__xludf.DUMMYFUNCTION("GOOGLETRANSLATE(B195,""en"",""fr"")"),"Les gens font de l'exercice sur les machines de fitness tandis que les gens s'assoient à l'avant et regardent.")</f>
        <v>Les gens font de l'exercice sur les machines de fitness tandis que les gens s'assoient à l'avant et regardent.</v>
      </c>
    </row>
    <row r="196">
      <c r="A196" s="4" t="s">
        <v>248</v>
      </c>
      <c r="B196" s="4" t="s">
        <v>250</v>
      </c>
      <c r="C196" s="5" t="str">
        <f>IFERROR(__xludf.DUMMYFUNCTION("GOOGLETRANSLATE(B196,""en"",""fr"")"),"Un homme passe à l'avant tenant une veste et se tenir à côté d'un téléviseur.")</f>
        <v>Un homme passe à l'avant tenant une veste et se tenir à côté d'un téléviseur.</v>
      </c>
    </row>
    <row r="197">
      <c r="A197" s="4" t="s">
        <v>248</v>
      </c>
      <c r="B197" s="4" t="s">
        <v>251</v>
      </c>
      <c r="C197" s="5" t="str">
        <f>IFERROR(__xludf.DUMMYFUNCTION("GOOGLETRANSLATE(B197,""en"",""fr"")"),"Un groupe de femmes marche sur les gens de l'exercice.")</f>
        <v>Un groupe de femmes marche sur les gens de l'exercice.</v>
      </c>
    </row>
    <row r="198">
      <c r="A198" s="4" t="s">
        <v>252</v>
      </c>
      <c r="B198" s="6" t="s">
        <v>253</v>
      </c>
      <c r="C198" s="5" t="str">
        <f>IFERROR(__xludf.DUMMYFUNCTION("GOOGLETRANSLATE(B198,""en"",""fr"")"),"Un homme joue les cornemas au bas des escaliers dans le salon d'une maison, portant un bouton et des pantalons habillés, ainsi que des chaussettes.")</f>
        <v>Un homme joue les cornemas au bas des escaliers dans le salon d'une maison, portant un bouton et des pantalons habillés, ainsi que des chaussettes.</v>
      </c>
    </row>
    <row r="199">
      <c r="A199" s="4" t="s">
        <v>252</v>
      </c>
      <c r="B199" s="6" t="s">
        <v>254</v>
      </c>
      <c r="C199" s="5" t="str">
        <f>IFERROR(__xludf.DUMMYFUNCTION("GOOGLETRANSLATE(B199,""en"",""fr"")"),"Il commence à taper le pied avec le rythme de son air, il commence à taper son pied gauche dans un rythme de va-et-vient avec son pied droit.")</f>
        <v>Il commence à taper le pied avec le rythme de son air, il commence à taper son pied gauche dans un rythme de va-et-vient avec son pied droit.</v>
      </c>
    </row>
    <row r="200">
      <c r="A200" s="4" t="s">
        <v>252</v>
      </c>
      <c r="B200" s="4" t="s">
        <v>255</v>
      </c>
      <c r="C200" s="5" t="str">
        <f>IFERROR(__xludf.DUMMYFUNCTION("GOOGLETRANSLATE(B200,""en"",""fr"")"),"Il finit et sourit à la caméra.")</f>
        <v>Il finit et sourit à la caméra.</v>
      </c>
    </row>
    <row r="201">
      <c r="A201" s="4" t="s">
        <v>256</v>
      </c>
      <c r="B201" s="4" t="s">
        <v>257</v>
      </c>
      <c r="C201" s="5" t="str">
        <f>IFERROR(__xludf.DUMMYFUNCTION("GOOGLETRANSLATE(B201,""en"",""fr"")"),"Les gens travaillent dans une boutique de vélos qui répare un vélo.")</f>
        <v>Les gens travaillent dans une boutique de vélos qui répare un vélo.</v>
      </c>
    </row>
    <row r="202">
      <c r="A202" s="4" t="s">
        <v>256</v>
      </c>
      <c r="B202" s="4" t="s">
        <v>258</v>
      </c>
      <c r="C202" s="5" t="str">
        <f>IFERROR(__xludf.DUMMYFUNCTION("GOOGLETRANSLATE(B202,""en"",""fr"")"),"Ils ont remis les roues sur le vélo.")</f>
        <v>Ils ont remis les roues sur le vélo.</v>
      </c>
    </row>
    <row r="203">
      <c r="A203" s="4" t="s">
        <v>256</v>
      </c>
      <c r="B203" s="4" t="s">
        <v>259</v>
      </c>
      <c r="C203" s="5" t="str">
        <f>IFERROR(__xludf.DUMMYFUNCTION("GOOGLETRANSLATE(B203,""en"",""fr"")"),"Le siège sur le vélo.")</f>
        <v>Le siège sur le vélo.</v>
      </c>
    </row>
    <row r="204">
      <c r="A204" s="4" t="s">
        <v>256</v>
      </c>
      <c r="B204" s="4" t="s">
        <v>260</v>
      </c>
      <c r="C204" s="5" t="str">
        <f>IFERROR(__xludf.DUMMYFUNCTION("GOOGLETRANSLATE(B204,""en"",""fr"")"),"Le vélo est assemblé sur le sol.")</f>
        <v>Le vélo est assemblé sur le sol.</v>
      </c>
    </row>
    <row r="205">
      <c r="A205" s="4" t="s">
        <v>261</v>
      </c>
      <c r="B205" s="6" t="s">
        <v>262</v>
      </c>
      <c r="C205" s="5" t="str">
        <f>IFERROR(__xludf.DUMMYFUNCTION("GOOGLETRANSLATE(B205,""en"",""fr"")"),"Un homme donne des conseils sur les activités de plein air, en particulier les champignons et le gros plan sont montrés et l'homme en parle.")</f>
        <v>Un homme donne des conseils sur les activités de plein air, en particulier les champignons et le gros plan sont montrés et l'homme en parle.</v>
      </c>
    </row>
    <row r="206">
      <c r="A206" s="4" t="s">
        <v>261</v>
      </c>
      <c r="B206" s="4" t="s">
        <v>263</v>
      </c>
      <c r="C206" s="5" t="str">
        <f>IFERROR(__xludf.DUMMYFUNCTION("GOOGLETRANSLATE(B206,""en"",""fr"")"),"L'homme en coupe un puis le coupe en deux.")</f>
        <v>L'homme en coupe un puis le coupe en deux.</v>
      </c>
    </row>
    <row r="207">
      <c r="A207" s="4" t="s">
        <v>261</v>
      </c>
      <c r="B207" s="4" t="s">
        <v>264</v>
      </c>
      <c r="C207" s="5" t="str">
        <f>IFERROR(__xludf.DUMMYFUNCTION("GOOGLETRANSLATE(B207,""en"",""fr"")"),"Un autre homme parle de l'expérience.")</f>
        <v>Un autre homme parle de l'expérience.</v>
      </c>
    </row>
    <row r="208">
      <c r="A208" s="4" t="s">
        <v>265</v>
      </c>
      <c r="B208" s="4" t="s">
        <v>266</v>
      </c>
      <c r="C208" s="5" t="str">
        <f>IFERROR(__xludf.DUMMYFUNCTION("GOOGLETRANSLATE(B208,""en"",""fr"")"),"Un jeune homme portant un chapeau est vu à la caméra et en tenant un graphique.")</f>
        <v>Un jeune homme portant un chapeau est vu à la caméra et en tenant un graphique.</v>
      </c>
    </row>
    <row r="209">
      <c r="A209" s="4" t="s">
        <v>265</v>
      </c>
      <c r="B209" s="4" t="s">
        <v>267</v>
      </c>
      <c r="C209" s="5" t="str">
        <f>IFERROR(__xludf.DUMMYFUNCTION("GOOGLETRANSLATE(B209,""en"",""fr"")"),"Il continue de parler et commence à jouer un harmonica.")</f>
        <v>Il continue de parler et commence à jouer un harmonica.</v>
      </c>
    </row>
    <row r="210">
      <c r="A210" s="4" t="s">
        <v>265</v>
      </c>
      <c r="B210" s="4" t="s">
        <v>268</v>
      </c>
      <c r="C210" s="5" t="str">
        <f>IFERROR(__xludf.DUMMYFUNCTION("GOOGLETRANSLATE(B210,""en"",""fr"")"),"Il accueille davantage le signe tout en continuant à jouer et à parler à la caméra.")</f>
        <v>Il accueille davantage le signe tout en continuant à jouer et à parler à la caméra.</v>
      </c>
    </row>
    <row r="211">
      <c r="A211" s="4" t="s">
        <v>269</v>
      </c>
      <c r="B211" s="6" t="s">
        <v>270</v>
      </c>
      <c r="C211" s="5" t="str">
        <f>IFERROR(__xludf.DUMMYFUNCTION("GOOGLETRANSLATE(B211,""en"",""fr"")"),"Une personne marche sur le toit d'un équipement d'escalade, puis il descend le mur et atteint le sol et avance.")</f>
        <v>Une personne marche sur le toit d'un équipement d'escalade, puis il descend le mur et atteint le sol et avance.</v>
      </c>
    </row>
    <row r="212">
      <c r="A212" s="4" t="s">
        <v>269</v>
      </c>
      <c r="B212" s="6" t="s">
        <v>271</v>
      </c>
      <c r="C212" s="5" t="str">
        <f>IFERROR(__xludf.DUMMYFUNCTION("GOOGLETRANSLATE(B212,""en"",""fr"")"),"L'homme se tient avec les mains sur la frontière sur l'équipement et descendent la promenade avec les mains, puis il marche sur les mains à côté.")</f>
        <v>L'homme se tient avec les mains sur la frontière sur l'équipement et descendent la promenade avec les mains, puis il marche sur les mains à côté.</v>
      </c>
    </row>
    <row r="213">
      <c r="A213" s="4" t="s">
        <v>272</v>
      </c>
      <c r="B213" s="4" t="s">
        <v>273</v>
      </c>
      <c r="C213" s="5" t="str">
        <f>IFERROR(__xludf.DUMMYFUNCTION("GOOGLETRANSLATE(B213,""en"",""fr"")"),"Une femme est vue en tenant deux chiens en laisse et continue de les décrocher et de les laisser partir.")</f>
        <v>Une femme est vue en tenant deux chiens en laisse et continue de les décrocher et de les laisser partir.</v>
      </c>
    </row>
    <row r="214">
      <c r="A214" s="4" t="s">
        <v>272</v>
      </c>
      <c r="B214" s="4" t="s">
        <v>274</v>
      </c>
      <c r="C214" s="5" t="str">
        <f>IFERROR(__xludf.DUMMYFUNCTION("GOOGLETRANSLATE(B214,""en"",""fr"")"),"Un en bas fait alors son entreprise dans un sac attaché à lui et s'enfuit derrière des vélos.")</f>
        <v>Un en bas fait alors son entreprise dans un sac attaché à lui et s'enfuit derrière des vélos.</v>
      </c>
    </row>
    <row r="215">
      <c r="A215" s="4" t="s">
        <v>275</v>
      </c>
      <c r="B215" s="4" t="s">
        <v>276</v>
      </c>
      <c r="C215" s="5" t="str">
        <f>IFERROR(__xludf.DUMMYFUNCTION("GOOGLETRANSLATE(B215,""en"",""fr"")"),"Une jeune fille se tient sur un terrain avec une corde de saut.")</f>
        <v>Une jeune fille se tient sur un terrain avec une corde de saut.</v>
      </c>
    </row>
    <row r="216">
      <c r="A216" s="4" t="s">
        <v>275</v>
      </c>
      <c r="B216" s="4" t="s">
        <v>277</v>
      </c>
      <c r="C216" s="5" t="str">
        <f>IFERROR(__xludf.DUMMYFUNCTION("GOOGLETRANSLATE(B216,""en"",""fr"")"),"Elle commence à sauter devant une table de juges.")</f>
        <v>Elle commence à sauter devant une table de juges.</v>
      </c>
    </row>
    <row r="217">
      <c r="A217" s="4" t="s">
        <v>275</v>
      </c>
      <c r="B217" s="4" t="s">
        <v>278</v>
      </c>
      <c r="C217" s="5" t="str">
        <f>IFERROR(__xludf.DUMMYFUNCTION("GOOGLETRANSLATE(B217,""en"",""fr"")"),"Elle saute, tourne et tourne avec la corde.")</f>
        <v>Elle saute, tourne et tourne avec la corde.</v>
      </c>
    </row>
    <row r="218">
      <c r="A218" s="4" t="s">
        <v>279</v>
      </c>
      <c r="B218" s="6" t="s">
        <v>280</v>
      </c>
      <c r="C218" s="5" t="str">
        <f>IFERROR(__xludf.DUMMYFUNCTION("GOOGLETRANSLATE(B218,""en"",""fr"")"),"Deux hommes en train de travailler sur les vêtements sont contre le mur et ils commencent à parler de l'entraînement.")</f>
        <v>Deux hommes en train de travailler sur les vêtements sont contre le mur et ils commencent à parler de l'entraînement.</v>
      </c>
    </row>
    <row r="219">
      <c r="A219" s="4" t="s">
        <v>279</v>
      </c>
      <c r="B219" s="6" t="s">
        <v>281</v>
      </c>
      <c r="C219" s="5" t="str">
        <f>IFERROR(__xludf.DUMMYFUNCTION("GOOGLETRANSLATE(B219,""en"",""fr"")"),"Un homme est ensuite montré et il se penche et montre la bonne façon de soulever la barre avec du poids dessus.")</f>
        <v>Un homme est ensuite montré et il se penche et montre la bonne façon de soulever la barre avec du poids dessus.</v>
      </c>
    </row>
    <row r="220">
      <c r="A220" s="4" t="s">
        <v>279</v>
      </c>
      <c r="B220" s="6" t="s">
        <v>282</v>
      </c>
      <c r="C220" s="5" t="str">
        <f>IFERROR(__xludf.DUMMYFUNCTION("GOOGLETRANSLATE(B220,""en"",""fr"")"),"Une rediffusion est ensuite montrée et le garçon se penche des genoux puis retourne son poignet et le porte sur son épaule alors qu'il descend dans une position accroupie.")</f>
        <v>Une rediffusion est ensuite montrée et le garçon se penche des genoux puis retourne son poignet et le porte sur son épaule alors qu'il descend dans une position accroupie.</v>
      </c>
    </row>
    <row r="221">
      <c r="A221" s="4" t="s">
        <v>283</v>
      </c>
      <c r="B221" s="4" t="s">
        <v>284</v>
      </c>
      <c r="C221" s="5" t="str">
        <f>IFERROR(__xludf.DUMMYFUNCTION("GOOGLETRANSLATE(B221,""en"",""fr"")"),"Un homme est vu à genoux dans une salle de sport.")</f>
        <v>Un homme est vu à genoux dans une salle de sport.</v>
      </c>
    </row>
    <row r="222">
      <c r="A222" s="4" t="s">
        <v>283</v>
      </c>
      <c r="B222" s="4" t="s">
        <v>285</v>
      </c>
      <c r="C222" s="5" t="str">
        <f>IFERROR(__xludf.DUMMYFUNCTION("GOOGLETRANSLATE(B222,""en"",""fr"")"),"Il se penche plusieurs fois en avant.")</f>
        <v>Il se penche plusieurs fois en avant.</v>
      </c>
    </row>
    <row r="223">
      <c r="A223" s="4" t="s">
        <v>283</v>
      </c>
      <c r="B223" s="4" t="s">
        <v>286</v>
      </c>
      <c r="C223" s="5" t="str">
        <f>IFERROR(__xludf.DUMMYFUNCTION("GOOGLETRANSLATE(B223,""en"",""fr"")"),"Il effectue des mouvements lents.")</f>
        <v>Il effectue des mouvements lents.</v>
      </c>
    </row>
    <row r="224">
      <c r="A224" s="4" t="s">
        <v>287</v>
      </c>
      <c r="B224" s="4" t="s">
        <v>288</v>
      </c>
      <c r="C224" s="5" t="str">
        <f>IFERROR(__xludf.DUMMYFUNCTION("GOOGLETRANSLATE(B224,""en"",""fr"")"),"Une personne utilise un souffleur de feuilles pour souffler les feuilles dans un tas.")</f>
        <v>Une personne utilise un souffleur de feuilles pour souffler les feuilles dans un tas.</v>
      </c>
    </row>
    <row r="225">
      <c r="A225" s="4" t="s">
        <v>287</v>
      </c>
      <c r="B225" s="4" t="s">
        <v>289</v>
      </c>
      <c r="C225" s="5" t="str">
        <f>IFERROR(__xludf.DUMMYFUNCTION("GOOGLETRANSLATE(B225,""en"",""fr"")"),"Les feuilles soufflent sur une haie.")</f>
        <v>Les feuilles soufflent sur une haie.</v>
      </c>
    </row>
    <row r="226">
      <c r="A226" s="4" t="s">
        <v>287</v>
      </c>
      <c r="B226" s="4" t="s">
        <v>290</v>
      </c>
      <c r="C226" s="5" t="str">
        <f>IFERROR(__xludf.DUMMYFUNCTION("GOOGLETRANSLATE(B226,""en"",""fr"")"),"Ils marchent devant un arbre.")</f>
        <v>Ils marchent devant un arbre.</v>
      </c>
    </row>
    <row r="227">
      <c r="A227" s="4" t="s">
        <v>291</v>
      </c>
      <c r="B227" s="4" t="s">
        <v>292</v>
      </c>
      <c r="C227" s="5" t="str">
        <f>IFERROR(__xludf.DUMMYFUNCTION("GOOGLETRANSLATE(B227,""en"",""fr"")"),"Un groupe de personnes est assis au sommet d'une glissière de neige dans un tube.")</f>
        <v>Un groupe de personnes est assis au sommet d'une glissière de neige dans un tube.</v>
      </c>
    </row>
    <row r="228">
      <c r="A228" s="4" t="s">
        <v>291</v>
      </c>
      <c r="B228" s="4" t="s">
        <v>293</v>
      </c>
      <c r="C228" s="5" t="str">
        <f>IFERROR(__xludf.DUMMYFUNCTION("GOOGLETRANSLATE(B228,""en"",""fr"")"),"La personne qui tient la caméra commence son voyage et il est en panne sur les pentes de la neige.")</f>
        <v>La personne qui tient la caméra commence son voyage et il est en panne sur les pentes de la neige.</v>
      </c>
    </row>
    <row r="229">
      <c r="A229" s="4" t="s">
        <v>291</v>
      </c>
      <c r="B229" s="4" t="s">
        <v>294</v>
      </c>
      <c r="C229" s="5" t="str">
        <f>IFERROR(__xludf.DUMMYFUNCTION("GOOGLETRANSLATE(B229,""en"",""fr"")"),"Alors qu'il atteint le fond, plusieurs tapis noirs sont placés devant lui pour l'aider à ralentir.")</f>
        <v>Alors qu'il atteint le fond, plusieurs tapis noirs sont placés devant lui pour l'aider à ralentir.</v>
      </c>
    </row>
    <row r="230">
      <c r="A230" s="4" t="s">
        <v>295</v>
      </c>
      <c r="B230" s="4" t="s">
        <v>296</v>
      </c>
      <c r="C230" s="5" t="str">
        <f>IFERROR(__xludf.DUMMYFUNCTION("GOOGLETRANSLATE(B230,""en"",""fr"")"),"Divers plans d'une ville sont montrés suivis par une fille jouant du violon et de nombreuses autres observations.")</f>
        <v>Divers plans d'une ville sont montrés suivis par une fille jouant du violon et de nombreuses autres observations.</v>
      </c>
    </row>
    <row r="231">
      <c r="A231" s="4" t="s">
        <v>295</v>
      </c>
      <c r="B231" s="4" t="s">
        <v>297</v>
      </c>
      <c r="C231" s="5" t="str">
        <f>IFERROR(__xludf.DUMMYFUNCTION("GOOGLETRANSLATE(B231,""en"",""fr"")"),"Une autre fille intervient et la rejoint en chantant et plusieurs autres se joignent également à chanter.")</f>
        <v>Une autre fille intervient et la rejoint en chantant et plusieurs autres se joignent également à chanter.</v>
      </c>
    </row>
    <row r="232">
      <c r="A232" s="4" t="s">
        <v>295</v>
      </c>
      <c r="B232" s="6" t="s">
        <v>298</v>
      </c>
      <c r="C232" s="5" t="str">
        <f>IFERROR(__xludf.DUMMYFUNCTION("GOOGLETRANSLATE(B232,""en"",""fr"")"),"Un mime entre avec des feux d'artifice tandis que le groupe chante encore et beaucoup autour sont vus rire et souriant.")</f>
        <v>Un mime entre avec des feux d'artifice tandis que le groupe chante encore et beaucoup autour sont vus rire et souriant.</v>
      </c>
    </row>
    <row r="233">
      <c r="A233" s="4" t="s">
        <v>299</v>
      </c>
      <c r="B233" s="6" t="s">
        <v>300</v>
      </c>
      <c r="C233" s="5" t="str">
        <f>IFERROR(__xludf.DUMMYFUNCTION("GOOGLETRANSLATE(B233,""en"",""fr"")"),"Deux hommes font de l'exercice à l'intérieur d'une salle de sport, puis un homme saute la corde croisant les bras et aussi la corde déplacée à l'avant.")</f>
        <v>Deux hommes font de l'exercice à l'intérieur d'une salle de sport, puis un homme saute la corde croisant les bras et aussi la corde déplacée à l'avant.</v>
      </c>
    </row>
    <row r="234">
      <c r="A234" s="4" t="s">
        <v>299</v>
      </c>
      <c r="B234" s="4" t="s">
        <v>301</v>
      </c>
      <c r="C234" s="5" t="str">
        <f>IFERROR(__xludf.DUMMYFUNCTION("GOOGLETRANSLATE(B234,""en"",""fr"")"),"L'homme déplace la corde avec sa main droite, puis il bouge les deux mains tout en sautant.")</f>
        <v>L'homme déplace la corde avec sa main droite, puis il bouge les deux mains tout en sautant.</v>
      </c>
    </row>
    <row r="235">
      <c r="A235" s="4" t="s">
        <v>299</v>
      </c>
      <c r="B235" s="4" t="s">
        <v>302</v>
      </c>
      <c r="C235" s="5" t="str">
        <f>IFERROR(__xludf.DUMMYFUNCTION("GOOGLETRANSLATE(B235,""en"",""fr"")"),"Ensuite, l'homme saute en traversant les bras, après qu'il saute normalement pendant longtemps.")</f>
        <v>Ensuite, l'homme saute en traversant les bras, après qu'il saute normalement pendant longtemps.</v>
      </c>
    </row>
    <row r="236">
      <c r="A236" s="4" t="s">
        <v>299</v>
      </c>
      <c r="B236" s="4" t="s">
        <v>303</v>
      </c>
      <c r="C236" s="5" t="str">
        <f>IFERROR(__xludf.DUMMYFUNCTION("GOOGLETRANSLATE(B236,""en"",""fr"")"),"Ensuite, le jeune homme saute une corde élevant les pieds haut, puis il traverse ses bras sautant.")</f>
        <v>Ensuite, le jeune homme saute une corde élevant les pieds haut, puis il traverse ses bras sautant.</v>
      </c>
    </row>
    <row r="237">
      <c r="A237" s="4" t="s">
        <v>299</v>
      </c>
      <c r="B237" s="6" t="s">
        <v>304</v>
      </c>
      <c r="C237" s="5" t="str">
        <f>IFERROR(__xludf.DUMMYFUNCTION("GOOGLETRANSLATE(B237,""en"",""fr"")"),"Après, le jeune homme déplace la corde avec la main droite, puis il la déplace avec les deux mains et déplace également la corde à l'avant.")</f>
        <v>Après, le jeune homme déplace la corde avec la main droite, puis il la déplace avec les deux mains et déplace également la corde à l'avant.</v>
      </c>
    </row>
    <row r="238">
      <c r="A238" s="4" t="s">
        <v>299</v>
      </c>
      <c r="B238" s="4" t="s">
        <v>305</v>
      </c>
      <c r="C238" s="5" t="str">
        <f>IFERROR(__xludf.DUMMYFUNCTION("GOOGLETRANSLATE(B238,""en"",""fr"")"),"Après, le jeune homme saute en passant des bras, sautant et déplaçant la corde à l'avant.")</f>
        <v>Après, le jeune homme saute en passant des bras, sautant et déplaçant la corde à l'avant.</v>
      </c>
    </row>
    <row r="239">
      <c r="A239" s="4" t="s">
        <v>306</v>
      </c>
      <c r="B239" s="4" t="s">
        <v>307</v>
      </c>
      <c r="C239" s="5" t="str">
        <f>IFERROR(__xludf.DUMMYFUNCTION("GOOGLETRANSLATE(B239,""en"",""fr"")"),"Un homme est assis au sommet d'un cheval.")</f>
        <v>Un homme est assis au sommet d'un cheval.</v>
      </c>
    </row>
    <row r="240">
      <c r="A240" s="4" t="s">
        <v>306</v>
      </c>
      <c r="B240" s="4" t="s">
        <v>308</v>
      </c>
      <c r="C240" s="5" t="str">
        <f>IFERROR(__xludf.DUMMYFUNCTION("GOOGLETRANSLATE(B240,""en"",""fr"")"),"Il commence à se poursuivre dans l'arène par un homme poussant une brouette.")</f>
        <v>Il commence à se poursuivre dans l'arène par un homme poussant une brouette.</v>
      </c>
    </row>
    <row r="241">
      <c r="A241" s="4" t="s">
        <v>306</v>
      </c>
      <c r="B241" s="4" t="s">
        <v>309</v>
      </c>
      <c r="C241" s="5" t="str">
        <f>IFERROR(__xludf.DUMMYFUNCTION("GOOGLETRANSLATE(B241,""en"",""fr"")"),"Le cheval court de Bull dans le stylo.")</f>
        <v>Le cheval court de Bull dans le stylo.</v>
      </c>
    </row>
    <row r="242">
      <c r="A242" s="4" t="s">
        <v>310</v>
      </c>
      <c r="B242" s="4" t="s">
        <v>311</v>
      </c>
      <c r="C242" s="5" t="str">
        <f>IFERROR(__xludf.DUMMYFUNCTION("GOOGLETRANSLATE(B242,""en"",""fr"")"),"Un phare est montré sur la plage avant de voir un homme courir avec une planche de surf.")</f>
        <v>Un phare est montré sur la plage avant de voir un homme courir avec une planche de surf.</v>
      </c>
    </row>
    <row r="243">
      <c r="A243" s="4" t="s">
        <v>310</v>
      </c>
      <c r="B243" s="4" t="s">
        <v>312</v>
      </c>
      <c r="C243" s="5" t="str">
        <f>IFERROR(__xludf.DUMMYFUNCTION("GOOGLETRANSLATE(B243,""en"",""fr"")"),"L'homme monte une vague, puis à travers elle.")</f>
        <v>L'homme monte une vague, puis à travers elle.</v>
      </c>
    </row>
    <row r="244">
      <c r="A244" s="4" t="s">
        <v>310</v>
      </c>
      <c r="B244" s="4" t="s">
        <v>313</v>
      </c>
      <c r="C244" s="5" t="str">
        <f>IFERROR(__xludf.DUMMYFUNCTION("GOOGLETRANSLATE(B244,""en"",""fr"")"),"Il complète plusieurs cascades avant de marcher sur la plage avec la planche sous son bras.")</f>
        <v>Il complète plusieurs cascades avant de marcher sur la plage avec la planche sous son bras.</v>
      </c>
    </row>
    <row r="245">
      <c r="A245" s="4" t="s">
        <v>314</v>
      </c>
      <c r="B245" s="4" t="s">
        <v>315</v>
      </c>
      <c r="C245" s="5" t="str">
        <f>IFERROR(__xludf.DUMMYFUNCTION("GOOGLETRANSLATE(B245,""en"",""fr"")"),"Un homme est montré en retournant un violon dans ses mains, jouant une chanson populaire sur son violon.")</f>
        <v>Un homme est montré en retournant un violon dans ses mains, jouant une chanson populaire sur son violon.</v>
      </c>
    </row>
    <row r="246">
      <c r="A246" s="4" t="s">
        <v>314</v>
      </c>
      <c r="B246" s="6" t="s">
        <v>316</v>
      </c>
      <c r="C246" s="5" t="str">
        <f>IFERROR(__xludf.DUMMYFUNCTION("GOOGLETRANSLATE(B246,""en"",""fr"")"),"La caméra montre le violoniste sous différents angles jouant la chanson populaire et ne brisant pas la concentration.")</f>
        <v>La caméra montre le violoniste sous différents angles jouant la chanson populaire et ne brisant pas la concentration.</v>
      </c>
    </row>
    <row r="247">
      <c r="A247" s="4" t="s">
        <v>314</v>
      </c>
      <c r="B247" s="4" t="s">
        <v>317</v>
      </c>
      <c r="C247" s="5" t="str">
        <f>IFERROR(__xludf.DUMMYFUNCTION("GOOGLETRANSLATE(B247,""en"",""fr"")"),"La caméra se déroule tout autour du joueur et le montre en jouant la chanson complète.")</f>
        <v>La caméra se déroule tout autour du joueur et le montre en jouant la chanson complète.</v>
      </c>
    </row>
    <row r="248">
      <c r="A248" s="4" t="s">
        <v>318</v>
      </c>
      <c r="B248" s="4" t="s">
        <v>319</v>
      </c>
      <c r="C248" s="5" t="str">
        <f>IFERROR(__xludf.DUMMYFUNCTION("GOOGLETRANSLATE(B248,""en"",""fr"")"),"Une caméra zoome sur une personne qui roule dans un tube.")</f>
        <v>Une caméra zoome sur une personne qui roule dans un tube.</v>
      </c>
    </row>
    <row r="249">
      <c r="A249" s="4" t="s">
        <v>318</v>
      </c>
      <c r="B249" s="4" t="s">
        <v>320</v>
      </c>
      <c r="C249" s="5" t="str">
        <f>IFERROR(__xludf.DUMMYFUNCTION("GOOGLETRANSLATE(B249,""en"",""fr"")"),"Plus de gens sont vus monter dans des tubes derrière l'homme.")</f>
        <v>Plus de gens sont vus monter dans des tubes derrière l'homme.</v>
      </c>
    </row>
    <row r="250">
      <c r="A250" s="4" t="s">
        <v>318</v>
      </c>
      <c r="B250" s="4" t="s">
        <v>321</v>
      </c>
      <c r="C250" s="5" t="str">
        <f>IFERROR(__xludf.DUMMYFUNCTION("GOOGLETRANSLATE(B250,""en"",""fr"")"),"Les gens continuent de rouler dans la zone en bas de la rivière.")</f>
        <v>Les gens continuent de rouler dans la zone en bas de la rivière.</v>
      </c>
    </row>
    <row r="251">
      <c r="A251" s="4" t="s">
        <v>322</v>
      </c>
      <c r="B251" s="4" t="s">
        <v>323</v>
      </c>
      <c r="C251" s="5" t="str">
        <f>IFERROR(__xludf.DUMMYFUNCTION("GOOGLETRANSLATE(B251,""en"",""fr"")"),"Un homme entraîne une boîte de coup de pied de garçon tandis que deux hommes regardent assis dans la pièce.")</f>
        <v>Un homme entraîne une boîte de coup de pied de garçon tandis que deux hommes regardent assis dans la pièce.</v>
      </c>
    </row>
    <row r="252">
      <c r="A252" s="4" t="s">
        <v>322</v>
      </c>
      <c r="B252" s="4" t="s">
        <v>324</v>
      </c>
      <c r="C252" s="5" t="str">
        <f>IFERROR(__xludf.DUMMYFUNCTION("GOOGLETRANSLATE(B252,""en"",""fr"")"),"Ensuite, l'homme se lève et donne un coup de pied au garçon qui se retourne à l'époque.")</f>
        <v>Ensuite, l'homme se lève et donne un coup de pied au garçon qui se retourne à l'époque.</v>
      </c>
    </row>
    <row r="253">
      <c r="A253" s="4" t="s">
        <v>322</v>
      </c>
      <c r="B253" s="4" t="s">
        <v>325</v>
      </c>
      <c r="C253" s="5" t="str">
        <f>IFERROR(__xludf.DUMMYFUNCTION("GOOGLETRANSLATE(B253,""en"",""fr"")"),"Après, l'homme forme un autre enfant tout en montrant des mouvements.")</f>
        <v>Après, l'homme forme un autre enfant tout en montrant des mouvements.</v>
      </c>
    </row>
    <row r="254">
      <c r="A254" s="4" t="s">
        <v>322</v>
      </c>
      <c r="B254" s="6" t="s">
        <v>326</v>
      </c>
      <c r="C254" s="5" t="str">
        <f>IFERROR(__xludf.DUMMYFUNCTION("GOOGLETRANSLATE(B254,""en"",""fr"")"),"Après, l'homme se tient à pratiquer des coups de pied, puis l'homme se lève et étreint l'enfant qui continue de pratiquer le coup de pied.")</f>
        <v>Après, l'homme se tient à pratiquer des coups de pied, puis l'homme se lève et étreint l'enfant qui continue de pratiquer le coup de pied.</v>
      </c>
    </row>
    <row r="255">
      <c r="A255" s="4" t="s">
        <v>327</v>
      </c>
      <c r="B255" s="4" t="s">
        <v>328</v>
      </c>
      <c r="C255" s="5" t="str">
        <f>IFERROR(__xludf.DUMMYFUNCTION("GOOGLETRANSLATE(B255,""en"",""fr"")"),"Les gens sont montrés en marchant le long d'une plage.")</f>
        <v>Les gens sont montrés en marchant le long d'une plage.</v>
      </c>
    </row>
    <row r="256">
      <c r="A256" s="4" t="s">
        <v>327</v>
      </c>
      <c r="B256" s="4" t="s">
        <v>329</v>
      </c>
      <c r="C256" s="5" t="str">
        <f>IFERROR(__xludf.DUMMYFUNCTION("GOOGLETRANSLATE(B256,""en"",""fr"")"),"Plusieurs personnes en équipement de paintball traversent un parcours d'obstacles.")</f>
        <v>Plusieurs personnes en équipement de paintball traversent un parcours d'obstacles.</v>
      </c>
    </row>
    <row r="257">
      <c r="A257" s="4" t="s">
        <v>327</v>
      </c>
      <c r="B257" s="4" t="s">
        <v>330</v>
      </c>
      <c r="C257" s="5" t="str">
        <f>IFERROR(__xludf.DUMMYFUNCTION("GOOGLETRANSLATE(B257,""en"",""fr"")"),"Les gens se tirent dessus, se cachant derrière les obstacles.")</f>
        <v>Les gens se tirent dessus, se cachant derrière les obstacles.</v>
      </c>
    </row>
    <row r="258">
      <c r="A258" s="4" t="s">
        <v>327</v>
      </c>
      <c r="B258" s="4" t="s">
        <v>331</v>
      </c>
      <c r="C258" s="5" t="str">
        <f>IFERROR(__xludf.DUMMYFUNCTION("GOOGLETRANSLATE(B258,""en"",""fr"")"),"Le gagnant danse et court sur le terrain.")</f>
        <v>Le gagnant danse et court sur le terrain.</v>
      </c>
    </row>
    <row r="259">
      <c r="A259" s="4" t="s">
        <v>332</v>
      </c>
      <c r="B259" s="4" t="s">
        <v>333</v>
      </c>
      <c r="C259" s="5" t="str">
        <f>IFERROR(__xludf.DUMMYFUNCTION("GOOGLETRANSLATE(B259,""en"",""fr"")"),"Un jeune enfant est vu assis derrière un tambour jouant de la batterie.")</f>
        <v>Un jeune enfant est vu assis derrière un tambour jouant de la batterie.</v>
      </c>
    </row>
    <row r="260">
      <c r="A260" s="4" t="s">
        <v>332</v>
      </c>
      <c r="B260" s="4" t="s">
        <v>334</v>
      </c>
      <c r="C260" s="5" t="str">
        <f>IFERROR(__xludf.DUMMYFUNCTION("GOOGLETRANSLATE(B260,""en"",""fr"")"),"Le garçon continue de jouer de l'instrument tandis que la caméra zoome sur lui en jouant.")</f>
        <v>Le garçon continue de jouer de l'instrument tandis que la caméra zoome sur lui en jouant.</v>
      </c>
    </row>
    <row r="261">
      <c r="A261" s="4" t="s">
        <v>335</v>
      </c>
      <c r="B261" s="6" t="s">
        <v>336</v>
      </c>
      <c r="C261" s="5" t="str">
        <f>IFERROR(__xludf.DUMMYFUNCTION("GOOGLETRANSLATE(B261,""en"",""fr"")"),"Une famille a un pique-nique et fait des tubes sur des radeaux gonflables dans un plan d'eau étroit entouré d'arbres, un jour de pluie.")</f>
        <v>Une famille a un pique-nique et fait des tubes sur des radeaux gonflables dans un plan d'eau étroit entouré d'arbres, un jour de pluie.</v>
      </c>
    </row>
    <row r="262">
      <c r="A262" s="4" t="s">
        <v>335</v>
      </c>
      <c r="B262" s="4" t="s">
        <v>337</v>
      </c>
      <c r="C262" s="5" t="str">
        <f>IFERROR(__xludf.DUMMYFUNCTION("GOOGLETRANSLATE(B262,""en"",""fr"")"),"Une famille de personnes est assise à une table de pique-nique en bois extérieure, mangeant, renonçant à la caméra.")</f>
        <v>Une famille de personnes est assise à une table de pique-nique en bois extérieure, mangeant, renonçant à la caméra.</v>
      </c>
    </row>
    <row r="263">
      <c r="A263" s="4" t="s">
        <v>335</v>
      </c>
      <c r="B263" s="6" t="s">
        <v>338</v>
      </c>
      <c r="C263" s="5" t="str">
        <f>IFERROR(__xludf.DUMMYFUNCTION("GOOGLETRANSLATE(B263,""en"",""fr"")"),"La famille regarde le temps à l'extérieur alors qu'elle commence à pleuvoir et une petite fille s'enfuit sous la pluie et danse.")</f>
        <v>La famille regarde le temps à l'extérieur alors qu'elle commence à pleuvoir et une petite fille s'enfuit sous la pluie et danse.</v>
      </c>
    </row>
    <row r="264">
      <c r="A264" s="4" t="s">
        <v>335</v>
      </c>
      <c r="B264" s="6" t="s">
        <v>339</v>
      </c>
      <c r="C264" s="5" t="str">
        <f>IFERROR(__xludf.DUMMYFUNCTION("GOOGLETRANSLATE(B264,""en"",""fr"")"),"La famille apparaît ensuite, flottant, parlant et souriant sur des tubes gonflables sur un plan d'eau étroit.")</f>
        <v>La famille apparaît ensuite, flottant, parlant et souriant sur des tubes gonflables sur un plan d'eau étroit.</v>
      </c>
    </row>
    <row r="265">
      <c r="A265" s="4" t="s">
        <v>335</v>
      </c>
      <c r="B265" s="4" t="s">
        <v>340</v>
      </c>
      <c r="C265" s="5" t="str">
        <f>IFERROR(__xludf.DUMMYFUNCTION("GOOGLETRANSLATE(B265,""en"",""fr"")"),"L'événement se termine et la famille quitte une zone bordée par une clôture en bois.")</f>
        <v>L'événement se termine et la famille quitte une zone bordée par une clôture en bois.</v>
      </c>
    </row>
    <row r="266">
      <c r="A266" s="4" t="s">
        <v>341</v>
      </c>
      <c r="B266" s="4" t="s">
        <v>342</v>
      </c>
      <c r="C266" s="5" t="str">
        <f>IFERROR(__xludf.DUMMYFUNCTION("GOOGLETRANSLATE(B266,""en"",""fr"")"),"Un homme joue de la guitare et de l'harmonica en même temps.")</f>
        <v>Un homme joue de la guitare et de l'harmonica en même temps.</v>
      </c>
    </row>
    <row r="267">
      <c r="A267" s="4" t="s">
        <v>341</v>
      </c>
      <c r="B267" s="4" t="s">
        <v>343</v>
      </c>
      <c r="C267" s="5" t="str">
        <f>IFERROR(__xludf.DUMMYFUNCTION("GOOGLETRANSLATE(B267,""en"",""fr"")"),"Ensuite, l'homme chante en jouant de la guitare.")</f>
        <v>Ensuite, l'homme chante en jouant de la guitare.</v>
      </c>
    </row>
    <row r="268">
      <c r="A268" s="4" t="s">
        <v>341</v>
      </c>
      <c r="B268" s="4" t="s">
        <v>344</v>
      </c>
      <c r="C268" s="5" t="str">
        <f>IFERROR(__xludf.DUMMYFUNCTION("GOOGLETRANSLATE(B268,""en"",""fr"")"),"Après, l'homme continue de jouer à la fois la guitare et l'harmonica, puis chantent.")</f>
        <v>Après, l'homme continue de jouer à la fois la guitare et l'harmonica, puis chantent.</v>
      </c>
    </row>
    <row r="269">
      <c r="A269" s="4" t="s">
        <v>341</v>
      </c>
      <c r="B269" s="4" t="s">
        <v>345</v>
      </c>
      <c r="C269" s="5" t="str">
        <f>IFERROR(__xludf.DUMMYFUNCTION("GOOGLETRANSLATE(B269,""en"",""fr"")"),"Ensuite, l'homme joue ensemble l'harmonica et la guitare.")</f>
        <v>Ensuite, l'homme joue ensemble l'harmonica et la guitare.</v>
      </c>
    </row>
    <row r="270">
      <c r="A270" s="4" t="s">
        <v>346</v>
      </c>
      <c r="B270" s="4" t="s">
        <v>347</v>
      </c>
      <c r="C270" s="5" t="str">
        <f>IFERROR(__xludf.DUMMYFUNCTION("GOOGLETRANSLATE(B270,""en"",""fr"")"),"La vidéo parle de Wallwik et du système d'élimination du papier peint.")</f>
        <v>La vidéo parle de Wallwik et du système d'élimination du papier peint.</v>
      </c>
    </row>
    <row r="271">
      <c r="A271" s="4" t="s">
        <v>346</v>
      </c>
      <c r="B271" s="4" t="s">
        <v>348</v>
      </c>
      <c r="C271" s="5" t="str">
        <f>IFERROR(__xludf.DUMMYFUNCTION("GOOGLETRANSLATE(B271,""en"",""fr"")"),"Il montre une femme en retirant du papier peint du mur de manière pratique et facile.")</f>
        <v>Il montre une femme en retirant du papier peint du mur de manière pratique et facile.</v>
      </c>
    </row>
    <row r="272">
      <c r="A272" s="4" t="s">
        <v>346</v>
      </c>
      <c r="B272" s="4" t="s">
        <v>349</v>
      </c>
      <c r="C272" s="5" t="str">
        <f>IFERROR(__xludf.DUMMYFUNCTION("GOOGLETRANSLATE(B272,""en"",""fr"")"),"Elle utilise un outil de récurage pour gratter le papier peint du mur.")</f>
        <v>Elle utilise un outil de récurage pour gratter le papier peint du mur.</v>
      </c>
    </row>
    <row r="273">
      <c r="A273" s="4" t="s">
        <v>346</v>
      </c>
      <c r="B273" s="4" t="s">
        <v>350</v>
      </c>
      <c r="C273" s="5" t="str">
        <f>IFERROR(__xludf.DUMMYFUNCTION("GOOGLETRANSLATE(B273,""en"",""fr"")"),"Ensuite, elle utilise une solution de savon et plonge la feuille dans la solution.")</f>
        <v>Ensuite, elle utilise une solution de savon et plonge la feuille dans la solution.</v>
      </c>
    </row>
    <row r="274">
      <c r="A274" s="4" t="s">
        <v>346</v>
      </c>
      <c r="B274" s="4" t="s">
        <v>351</v>
      </c>
      <c r="C274" s="5" t="str">
        <f>IFERROR(__xludf.DUMMYFUNCTION("GOOGLETRANSLATE(B274,""en"",""fr"")"),"Il y a un homme suspendu les draps mouillés sur le mur.")</f>
        <v>Il y a un homme suspendu les draps mouillés sur le mur.</v>
      </c>
    </row>
    <row r="275">
      <c r="A275" s="4" t="s">
        <v>346</v>
      </c>
      <c r="B275" s="4" t="s">
        <v>352</v>
      </c>
      <c r="C275" s="5" t="str">
        <f>IFERROR(__xludf.DUMMYFUNCTION("GOOGLETRANSLATE(B275,""en"",""fr"")"),"Une femme utilise un pulvérisateur sur les draps humides et le pulvérise.")</f>
        <v>Une femme utilise un pulvérisateur sur les draps humides et le pulvérise.</v>
      </c>
    </row>
    <row r="276">
      <c r="A276" s="4" t="s">
        <v>346</v>
      </c>
      <c r="B276" s="4" t="s">
        <v>353</v>
      </c>
      <c r="C276" s="5" t="str">
        <f>IFERROR(__xludf.DUMMYFUNCTION("GOOGLETRANSLATE(B276,""en"",""fr"")"),"Puis un homme et une femme commencent à décoller le vieux papier peint du mur.")</f>
        <v>Puis un homme et une femme commencent à décoller le vieux papier peint du mur.</v>
      </c>
    </row>
    <row r="277">
      <c r="A277" s="4" t="s">
        <v>346</v>
      </c>
      <c r="B277" s="4" t="s">
        <v>354</v>
      </c>
      <c r="C277" s="5" t="str">
        <f>IFERROR(__xludf.DUMMYFUNCTION("GOOGLETRANSLATE(B277,""en"",""fr"")"),"La vidéo montre des instructions sur la façon d'utiliser les produits Wallwik.")</f>
        <v>La vidéo montre des instructions sur la façon d'utiliser les produits Wallwik.</v>
      </c>
    </row>
    <row r="278">
      <c r="A278" s="4" t="s">
        <v>355</v>
      </c>
      <c r="B278" s="4" t="s">
        <v>356</v>
      </c>
      <c r="C278" s="5" t="str">
        <f>IFERROR(__xludf.DUMMYFUNCTION("GOOGLETRANSLATE(B278,""en"",""fr"")"),"La vidéo commence par une séquence de titre.")</f>
        <v>La vidéo commence par une séquence de titre.</v>
      </c>
    </row>
    <row r="279">
      <c r="A279" s="4" t="s">
        <v>355</v>
      </c>
      <c r="B279" s="6" t="s">
        <v>357</v>
      </c>
      <c r="C279" s="5" t="str">
        <f>IFERROR(__xludf.DUMMYFUNCTION("GOOGLETRANSLATE(B279,""en"",""fr"")"),"Un jeune homme est montré dans un gymnase jouant des tours avec une corde de saut alors que la musique joue en arrière-plan.")</f>
        <v>Un jeune homme est montré dans un gymnase jouant des tours avec une corde de saut alors que la musique joue en arrière-plan.</v>
      </c>
    </row>
    <row r="280">
      <c r="A280" s="4" t="s">
        <v>355</v>
      </c>
      <c r="B280" s="4" t="s">
        <v>358</v>
      </c>
      <c r="C280" s="5" t="str">
        <f>IFERROR(__xludf.DUMMYFUNCTION("GOOGLETRANSLATE(B280,""en"",""fr"")"),"Il se couche ensuite et commence à faire des astuces sur le sol.")</f>
        <v>Il se couche ensuite et commence à faire des astuces sur le sol.</v>
      </c>
    </row>
    <row r="281">
      <c r="A281" s="4" t="s">
        <v>355</v>
      </c>
      <c r="B281" s="4" t="s">
        <v>359</v>
      </c>
      <c r="C281" s="5" t="str">
        <f>IFERROR(__xludf.DUMMYFUNCTION("GOOGLETRANSLATE(B281,""en"",""fr"")"),"Le jeune homme se lève à nouveau et fait plus de tours en se tenant debout.")</f>
        <v>Le jeune homme se lève à nouveau et fait plus de tours en se tenant debout.</v>
      </c>
    </row>
    <row r="282">
      <c r="A282" s="4" t="s">
        <v>355</v>
      </c>
      <c r="B282" s="4" t="s">
        <v>360</v>
      </c>
      <c r="C282" s="5" t="str">
        <f>IFERROR(__xludf.DUMMYFUNCTION("GOOGLETRANSLATE(B282,""en"",""fr"")"),"À un moment donné, ses amis aident les tours de corde à sauter.")</f>
        <v>À un moment donné, ses amis aident les tours de corde à sauter.</v>
      </c>
    </row>
    <row r="283">
      <c r="A283" s="4" t="s">
        <v>355</v>
      </c>
      <c r="B283" s="6" t="s">
        <v>361</v>
      </c>
      <c r="C283" s="5" t="str">
        <f>IFERROR(__xludf.DUMMYFUNCTION("GOOGLETRANSLATE(B283,""en"",""fr"")"),"La vidéo se termine par des crédits montrant le nom du jeune homme, ainsi que les noms de ceux qui l'ont aidé.")</f>
        <v>La vidéo se termine par des crédits montrant le nom du jeune homme, ainsi que les noms de ceux qui l'ont aidé.</v>
      </c>
    </row>
    <row r="284">
      <c r="A284" s="4" t="s">
        <v>362</v>
      </c>
      <c r="B284" s="4" t="s">
        <v>363</v>
      </c>
      <c r="C284" s="5" t="str">
        <f>IFERROR(__xludf.DUMMYFUNCTION("GOOGLETRANSLATE(B284,""en"",""fr"")"),"Une dame est vue mettre de la cire sur des chaussures d'homme.")</f>
        <v>Une dame est vue mettre de la cire sur des chaussures d'homme.</v>
      </c>
    </row>
    <row r="285">
      <c r="A285" s="4" t="s">
        <v>362</v>
      </c>
      <c r="B285" s="4" t="s">
        <v>364</v>
      </c>
      <c r="C285" s="5" t="str">
        <f>IFERROR(__xludf.DUMMYFUNCTION("GOOGLETRANSLATE(B285,""en"",""fr"")"),"Nous voyons le tissu accroché au mur.")</f>
        <v>Nous voyons le tissu accroché au mur.</v>
      </c>
    </row>
    <row r="286">
      <c r="A286" s="4" t="s">
        <v>362</v>
      </c>
      <c r="B286" s="4" t="s">
        <v>365</v>
      </c>
      <c r="C286" s="5" t="str">
        <f>IFERROR(__xludf.DUMMYFUNCTION("GOOGLETRANSLATE(B286,""en"",""fr"")"),"Nous voyons les empreintes de pas sur la plate-forme.")</f>
        <v>Nous voyons les empreintes de pas sur la plate-forme.</v>
      </c>
    </row>
    <row r="287">
      <c r="A287" s="4" t="s">
        <v>362</v>
      </c>
      <c r="B287" s="4" t="s">
        <v>366</v>
      </c>
      <c r="C287" s="5" t="str">
        <f>IFERROR(__xludf.DUMMYFUNCTION("GOOGLETRANSLATE(B287,""en"",""fr"")"),"La femme frotte les chaussures de l'homme avec un tissu.")</f>
        <v>La femme frotte les chaussures de l'homme avec un tissu.</v>
      </c>
    </row>
    <row r="288">
      <c r="A288" s="4" t="s">
        <v>362</v>
      </c>
      <c r="B288" s="4" t="s">
        <v>367</v>
      </c>
      <c r="C288" s="5" t="str">
        <f>IFERROR(__xludf.DUMMYFUNCTION("GOOGLETRANSLATE(B288,""en"",""fr"")"),"Nous voyons le tissu sur le mur, puis les lignes de tissu près du signe de la brillance des chaussures.")</f>
        <v>Nous voyons le tissu sur le mur, puis les lignes de tissu près du signe de la brillance des chaussures.</v>
      </c>
    </row>
    <row r="289">
      <c r="A289" s="4" t="s">
        <v>362</v>
      </c>
      <c r="B289" s="4" t="s">
        <v>368</v>
      </c>
      <c r="C289" s="5" t="str">
        <f>IFERROR(__xludf.DUMMYFUNCTION("GOOGLETRANSLATE(B289,""en"",""fr"")"),"Un homme se tient sur une plate-forme.")</f>
        <v>Un homme se tient sur une plate-forme.</v>
      </c>
    </row>
    <row r="290">
      <c r="A290" s="4" t="s">
        <v>362</v>
      </c>
      <c r="B290" s="4" t="s">
        <v>369</v>
      </c>
      <c r="C290" s="5" t="str">
        <f>IFERROR(__xludf.DUMMYFUNCTION("GOOGLETRANSLATE(B290,""en"",""fr"")"),"Nous voyons l'holographie sur le mur avec le papier.")</f>
        <v>Nous voyons l'holographie sur le mur avec le papier.</v>
      </c>
    </row>
    <row r="291">
      <c r="A291" s="4" t="s">
        <v>370</v>
      </c>
      <c r="B291" s="4" t="s">
        <v>371</v>
      </c>
      <c r="C291" s="5" t="str">
        <f>IFERROR(__xludf.DUMMYFUNCTION("GOOGLETRANSLATE(B291,""en"",""fr"")"),"Une Audi A3 noire à deux portes est affichée, puis la caméra zoome sur les pneus.")</f>
        <v>Une Audi A3 noire à deux portes est affichée, puis la caméra zoome sur les pneus.</v>
      </c>
    </row>
    <row r="292">
      <c r="A292" s="4" t="s">
        <v>370</v>
      </c>
      <c r="B292" s="4" t="s">
        <v>372</v>
      </c>
      <c r="C292" s="5" t="str">
        <f>IFERROR(__xludf.DUMMYFUNCTION("GOOGLETRANSLATE(B292,""en"",""fr"")"),"Un doigt touche ensuite la lumière d'urgence et les lumières de la voiture commencent à clignoter.")</f>
        <v>Un doigt touche ensuite la lumière d'urgence et les lumières de la voiture commencent à clignoter.</v>
      </c>
    </row>
    <row r="293">
      <c r="A293" s="4" t="s">
        <v>370</v>
      </c>
      <c r="B293" s="4" t="s">
        <v>373</v>
      </c>
      <c r="C293" s="5" t="str">
        <f>IFERROR(__xludf.DUMMYFUNCTION("GOOGLETRANSLATE(B293,""en"",""fr"")"),"Ensuite, le camion est ouvert et la personne retire le pneu de secours et le cric.")</f>
        <v>Ensuite, le camion est ouvert et la personne retire le pneu de secours et le cric.</v>
      </c>
    </row>
    <row r="294">
      <c r="A294" s="4" t="s">
        <v>370</v>
      </c>
      <c r="B294" s="4" t="s">
        <v>374</v>
      </c>
      <c r="C294" s="5" t="str">
        <f>IFERROR(__xludf.DUMMYFUNCTION("GOOGLETRANSLATE(B294,""en"",""fr"")"),"Il soulève ensuite la voiture et continue de desserrer les boulons sur la roue de la voiture.")</f>
        <v>Il soulève ensuite la voiture et continue de desserrer les boulons sur la roue de la voiture.</v>
      </c>
    </row>
    <row r="295">
      <c r="A295" s="4" t="s">
        <v>370</v>
      </c>
      <c r="B295" s="6" t="s">
        <v>375</v>
      </c>
      <c r="C295" s="5" t="str">
        <f>IFERROR(__xludf.DUMMYFUNCTION("GOOGLETRANSLATE(B295,""en"",""fr"")"),"Une fois lâche, la roue est retirée et la pièce de rechange est mise et les mêmes actions sont effectuées à l'envers.")</f>
        <v>Une fois lâche, la roue est retirée et la pièce de rechange est mise et les mêmes actions sont effectuées à l'envers.</v>
      </c>
    </row>
    <row r="296">
      <c r="A296" s="4" t="s">
        <v>376</v>
      </c>
      <c r="B296" s="4" t="s">
        <v>377</v>
      </c>
      <c r="C296" s="5" t="str">
        <f>IFERROR(__xludf.DUMMYFUNCTION("GOOGLETRANSLATE(B296,""en"",""fr"")"),"Une femme mélange les articles dans un bol.")</f>
        <v>Une femme mélange les articles dans un bol.</v>
      </c>
    </row>
    <row r="297">
      <c r="A297" s="4" t="s">
        <v>376</v>
      </c>
      <c r="B297" s="4" t="s">
        <v>378</v>
      </c>
      <c r="C297" s="5" t="str">
        <f>IFERROR(__xludf.DUMMYFUNCTION("GOOGLETRANSLATE(B297,""en"",""fr"")"),"Elle frotte ça sur une table en bois.")</f>
        <v>Elle frotte ça sur une table en bois.</v>
      </c>
    </row>
    <row r="298">
      <c r="A298" s="4" t="s">
        <v>376</v>
      </c>
      <c r="B298" s="4" t="s">
        <v>379</v>
      </c>
      <c r="C298" s="5" t="str">
        <f>IFERROR(__xludf.DUMMYFUNCTION("GOOGLETRANSLATE(B298,""en"",""fr"")"),"Elle rit et met ses mains en l'air.")</f>
        <v>Elle rit et met ses mains en l'air.</v>
      </c>
    </row>
    <row r="299">
      <c r="A299" s="4" t="s">
        <v>380</v>
      </c>
      <c r="B299" s="4" t="s">
        <v>381</v>
      </c>
      <c r="C299" s="5" t="str">
        <f>IFERROR(__xludf.DUMMYFUNCTION("GOOGLETRANSLATE(B299,""en"",""fr"")"),"Deux filles se tiennent entre une fille dans un tabouret de salon de coiffure et commencent à la brosser et à se séparer de ses cheveux.")</f>
        <v>Deux filles se tiennent entre une fille dans un tabouret de salon de coiffure et commencent à la brosser et à se séparer de ses cheveux.</v>
      </c>
    </row>
    <row r="300">
      <c r="A300" s="4" t="s">
        <v>380</v>
      </c>
      <c r="B300" s="4" t="s">
        <v>382</v>
      </c>
      <c r="C300" s="5" t="str">
        <f>IFERROR(__xludf.DUMMYFUNCTION("GOOGLETRANSLATE(B300,""en"",""fr"")"),"Une femme traite ses cheveux en continu pour éventuellement créer une tresse française.")</f>
        <v>Une femme traite ses cheveux en continu pour éventuellement créer une tresse française.</v>
      </c>
    </row>
    <row r="301">
      <c r="A301" s="4" t="s">
        <v>380</v>
      </c>
      <c r="B301" s="4" t="s">
        <v>383</v>
      </c>
      <c r="C301" s="5" t="str">
        <f>IFERROR(__xludf.DUMMYFUNCTION("GOOGLETRANSLATE(B301,""en"",""fr"")"),"Les deux femmes parlent à la caméra tout en présentant la tresse qui vient de faire.")</f>
        <v>Les deux femmes parlent à la caméra tout en présentant la tresse qui vient de faire.</v>
      </c>
    </row>
    <row r="302">
      <c r="A302" s="4" t="s">
        <v>384</v>
      </c>
      <c r="B302" s="4" t="s">
        <v>385</v>
      </c>
      <c r="C302" s="5" t="str">
        <f>IFERROR(__xludf.DUMMYFUNCTION("GOOGLETRANSLATE(B302,""en"",""fr"")"),"Nous voyons une scène d'ouverture colorée.")</f>
        <v>Nous voyons une scène d'ouverture colorée.</v>
      </c>
    </row>
    <row r="303">
      <c r="A303" s="4" t="s">
        <v>384</v>
      </c>
      <c r="B303" s="4" t="s">
        <v>386</v>
      </c>
      <c r="C303" s="5" t="str">
        <f>IFERROR(__xludf.DUMMYFUNCTION("GOOGLETRANSLATE(B303,""en"",""fr"")"),"Les enfants en vêtements colorés marchent sur une scène et se mettent en place.")</f>
        <v>Les enfants en vêtements colorés marchent sur une scène et se mettent en place.</v>
      </c>
    </row>
    <row r="304">
      <c r="A304" s="4" t="s">
        <v>384</v>
      </c>
      <c r="B304" s="4" t="s">
        <v>387</v>
      </c>
      <c r="C304" s="5" t="str">
        <f>IFERROR(__xludf.DUMMYFUNCTION("GOOGLETRANSLATE(B304,""en"",""fr"")"),"Les enfants interprètent Zumba sur une scène.")</f>
        <v>Les enfants interprètent Zumba sur une scène.</v>
      </c>
    </row>
    <row r="305">
      <c r="A305" s="4" t="s">
        <v>384</v>
      </c>
      <c r="B305" s="4" t="s">
        <v>388</v>
      </c>
      <c r="C305" s="5" t="str">
        <f>IFERROR(__xludf.DUMMYFUNCTION("GOOGLETRANSLATE(B305,""en"",""fr"")"),"La fille deuxième de gauche va dans la mauvaise direction et rencontre presque une autre fille.")</f>
        <v>La fille deuxième de gauche va dans la mauvaise direction et rencontre presque une autre fille.</v>
      </c>
    </row>
    <row r="306">
      <c r="A306" s="4" t="s">
        <v>384</v>
      </c>
      <c r="B306" s="4" t="s">
        <v>389</v>
      </c>
      <c r="C306" s="5" t="str">
        <f>IFERROR(__xludf.DUMMYFUNCTION("GOOGLETRANSLATE(B306,""en"",""fr"")"),"Nous voyons un écran de fin.")</f>
        <v>Nous voyons un écran de fin.</v>
      </c>
    </row>
    <row r="307">
      <c r="A307" s="4" t="s">
        <v>390</v>
      </c>
      <c r="B307" s="4" t="s">
        <v>391</v>
      </c>
      <c r="C307" s="5" t="str">
        <f>IFERROR(__xludf.DUMMYFUNCTION("GOOGLETRANSLATE(B307,""en"",""fr"")"),"Un homme portant une chemise rayée danse avec une fille dans un chemisier marron lors d'un festival de rue.")</f>
        <v>Un homme portant une chemise rayée danse avec une fille dans un chemisier marron lors d'un festival de rue.</v>
      </c>
    </row>
    <row r="308">
      <c r="A308" s="4" t="s">
        <v>390</v>
      </c>
      <c r="B308" s="4" t="s">
        <v>392</v>
      </c>
      <c r="C308" s="5" t="str">
        <f>IFERROR(__xludf.DUMMYFUNCTION("GOOGLETRANSLATE(B308,""en"",""fr"")"),"D'autres couples se joignent et dansent dans un festival de rue tandis que les artistes jouent sur une scène.")</f>
        <v>D'autres couples se joignent et dansent dans un festival de rue tandis que les artistes jouent sur une scène.</v>
      </c>
    </row>
    <row r="309">
      <c r="A309" s="4" t="s">
        <v>390</v>
      </c>
      <c r="B309" s="4" t="s">
        <v>393</v>
      </c>
      <c r="C309" s="5" t="str">
        <f>IFERROR(__xludf.DUMMYFUNCTION("GOOGLETRANSLATE(B309,""en"",""fr"")"),"Les spectateurs passent pendant que le groupe continue de danser.")</f>
        <v>Les spectateurs passent pendant que le groupe continue de danser.</v>
      </c>
    </row>
    <row r="310">
      <c r="A310" s="4" t="s">
        <v>394</v>
      </c>
      <c r="B310" s="4" t="s">
        <v>395</v>
      </c>
      <c r="C310" s="5" t="str">
        <f>IFERROR(__xludf.DUMMYFUNCTION("GOOGLETRANSLATE(B310,""en"",""fr"")"),"L'homme gratte un tambour.")</f>
        <v>L'homme gratte un tambour.</v>
      </c>
    </row>
    <row r="311">
      <c r="A311" s="4" t="s">
        <v>394</v>
      </c>
      <c r="B311" s="4" t="s">
        <v>396</v>
      </c>
      <c r="C311" s="5" t="str">
        <f>IFERROR(__xludf.DUMMYFUNCTION("GOOGLETRANSLATE(B311,""en"",""fr"")"),"L'homme gratte l'autre tambour tout en se déplaçant la jambe.")</f>
        <v>L'homme gratte l'autre tambour tout en se déplaçant la jambe.</v>
      </c>
    </row>
    <row r="312">
      <c r="A312" s="4" t="s">
        <v>394</v>
      </c>
      <c r="B312" s="4" t="s">
        <v>397</v>
      </c>
      <c r="C312" s="5" t="str">
        <f>IFERROR(__xludf.DUMMYFUNCTION("GOOGLETRANSLATE(B312,""en"",""fr"")"),"L'homme joue deux tambours en même temps.")</f>
        <v>L'homme joue deux tambours en même temps.</v>
      </c>
    </row>
    <row r="313">
      <c r="A313" s="4" t="s">
        <v>398</v>
      </c>
      <c r="B313" s="4" t="s">
        <v>399</v>
      </c>
      <c r="C313" s="5" t="str">
        <f>IFERROR(__xludf.DUMMYFUNCTION("GOOGLETRANSLATE(B313,""en"",""fr"")"),"La femme est assise près de la cheminée tenant un violon.")</f>
        <v>La femme est assise près de la cheminée tenant un violon.</v>
      </c>
    </row>
    <row r="314">
      <c r="A314" s="4" t="s">
        <v>398</v>
      </c>
      <c r="B314" s="6" t="s">
        <v>400</v>
      </c>
      <c r="C314" s="5" t="str">
        <f>IFERROR(__xludf.DUMMYFUNCTION("GOOGLETRANSLATE(B314,""en"",""fr"")"),"La femme a placé le violon entre son cou et son épaule et a commencé à gratter le violon avec le bâton.")</f>
        <v>La femme a placé le violon entre son cou et son épaule et a commencé à gratter le violon avec le bâton.</v>
      </c>
    </row>
    <row r="315">
      <c r="A315" s="4" t="s">
        <v>398</v>
      </c>
      <c r="B315" s="4" t="s">
        <v>401</v>
      </c>
      <c r="C315" s="5" t="str">
        <f>IFERROR(__xludf.DUMMYFUNCTION("GOOGLETRANSLATE(B315,""en"",""fr"")"),"La dame a mis le violon sur ses genoux et a parlé.")</f>
        <v>La dame a mis le violon sur ses genoux et a parlé.</v>
      </c>
    </row>
    <row r="316">
      <c r="A316" s="4" t="s">
        <v>402</v>
      </c>
      <c r="B316" s="4" t="s">
        <v>403</v>
      </c>
      <c r="C316" s="5" t="str">
        <f>IFERROR(__xludf.DUMMYFUNCTION("GOOGLETRANSLATE(B316,""en"",""fr"")"),"Un homme est assis sur une chaise alors qu'il se coupe les cheveux.")</f>
        <v>Un homme est assis sur une chaise alors qu'il se coupe les cheveux.</v>
      </c>
    </row>
    <row r="317">
      <c r="A317" s="4" t="s">
        <v>402</v>
      </c>
      <c r="B317" s="4" t="s">
        <v>404</v>
      </c>
      <c r="C317" s="5" t="str">
        <f>IFERROR(__xludf.DUMMYFUNCTION("GOOGLETRANSLATE(B317,""en"",""fr"")"),"Un homme en chemise noire se déplace autour.")</f>
        <v>Un homme en chemise noire se déplace autour.</v>
      </c>
    </row>
    <row r="318">
      <c r="A318" s="4" t="s">
        <v>402</v>
      </c>
      <c r="B318" s="4" t="s">
        <v>405</v>
      </c>
      <c r="C318" s="5" t="str">
        <f>IFERROR(__xludf.DUMMYFUNCTION("GOOGLETRANSLATE(B318,""en"",""fr"")"),"Les gens se bousculent derrière le coiffeur.")</f>
        <v>Les gens se bousculent derrière le coiffeur.</v>
      </c>
    </row>
    <row r="319">
      <c r="A319" s="4" t="s">
        <v>402</v>
      </c>
      <c r="B319" s="4" t="s">
        <v>406</v>
      </c>
      <c r="C319" s="5" t="str">
        <f>IFERROR(__xludf.DUMMYFUNCTION("GOOGLETRANSLATE(B319,""en"",""fr"")"),"Un coiffeur cache et coupe continuellement les cheveux de l'homme.")</f>
        <v>Un coiffeur cache et coupe continuellement les cheveux de l'homme.</v>
      </c>
    </row>
    <row r="320">
      <c r="A320" s="4" t="s">
        <v>402</v>
      </c>
      <c r="B320" s="4" t="s">
        <v>407</v>
      </c>
      <c r="C320" s="5" t="str">
        <f>IFERROR(__xludf.DUMMYFUNCTION("GOOGLETRANSLATE(B320,""en"",""fr"")"),"Les coiffures frotte une pommade sur les cheveux de l'homme.")</f>
        <v>Les coiffures frotte une pommade sur les cheveux de l'homme.</v>
      </c>
    </row>
    <row r="321">
      <c r="A321" s="4" t="s">
        <v>402</v>
      </c>
      <c r="B321" s="4" t="s">
        <v>408</v>
      </c>
      <c r="C321" s="5" t="str">
        <f>IFERROR(__xludf.DUMMYFUNCTION("GOOGLETRANSLATE(B321,""en"",""fr"")"),"L'homme est vu en posant.")</f>
        <v>L'homme est vu en posant.</v>
      </c>
    </row>
    <row r="322">
      <c r="A322" s="4" t="s">
        <v>409</v>
      </c>
      <c r="B322" s="4" t="s">
        <v>410</v>
      </c>
      <c r="C322" s="5" t="str">
        <f>IFERROR(__xludf.DUMMYFUNCTION("GOOGLETRANSLATE(B322,""en"",""fr"")"),"Une équipe de tête de la joie des adolescents se promène sur un tapis et entre en formation.")</f>
        <v>Une équipe de tête de la joie des adolescents se promène sur un tapis et entre en formation.</v>
      </c>
    </row>
    <row r="323">
      <c r="A323" s="4" t="s">
        <v>409</v>
      </c>
      <c r="B323" s="4" t="s">
        <v>411</v>
      </c>
      <c r="C323" s="5" t="str">
        <f>IFERROR(__xludf.DUMMYFUNCTION("GOOGLETRANSLATE(B323,""en"",""fr"")"),"La routine commence dans un défi du mannequin et ils commencent tous à faire un flip.")</f>
        <v>La routine commence dans un défi du mannequin et ils commencent tous à faire un flip.</v>
      </c>
    </row>
    <row r="324">
      <c r="A324" s="4" t="s">
        <v>409</v>
      </c>
      <c r="B324" s="4" t="s">
        <v>412</v>
      </c>
      <c r="C324" s="5" t="str">
        <f>IFERROR(__xludf.DUMMYFUNCTION("GOOGLETRANSLATE(B324,""en"",""fr"")"),"Après, ils font plusieurs sauts à cheval et commencent à jeter dans des stands.")</f>
        <v>Après, ils font plusieurs sauts à cheval et commencent à jeter dans des stands.</v>
      </c>
    </row>
    <row r="325">
      <c r="A325" s="4" t="s">
        <v>409</v>
      </c>
      <c r="B325" s="6" t="s">
        <v>413</v>
      </c>
      <c r="C325" s="5" t="str">
        <f>IFERROR(__xludf.DUMMYFUNCTION("GOOGLETRANSLATE(B325,""en"",""fr"")"),"Une fois les cascades terminées, la moitié de l'équipe commence à faire des roues de charrette et elles se réunissent toutes au milieu pour faire des cascades en l'air.")</f>
        <v>Une fois les cascades terminées, la moitié de l'équipe commence à faire des roues de charrette et elles se réunissent toutes au milieu pour faire des cascades en l'air.</v>
      </c>
    </row>
    <row r="326">
      <c r="A326" s="4" t="s">
        <v>409</v>
      </c>
      <c r="B326" s="6" t="s">
        <v>414</v>
      </c>
      <c r="C326" s="5" t="str">
        <f>IFERROR(__xludf.DUMMYFUNCTION("GOOGLETRANSLATE(B326,""en"",""fr"")"),"Plus de cascades sont terminées et les filles finissent en atterrissant dans une scission, elles se lèvent ensuite et s'embrassent au milieu du tapis.")</f>
        <v>Plus de cascades sont terminées et les filles finissent en atterrissant dans une scission, elles se lèvent ensuite et s'embrassent au milieu du tapis.</v>
      </c>
    </row>
    <row r="327">
      <c r="A327" s="4" t="s">
        <v>415</v>
      </c>
      <c r="B327" s="4" t="s">
        <v>416</v>
      </c>
      <c r="C327" s="5" t="str">
        <f>IFERROR(__xludf.DUMMYFUNCTION("GOOGLETRANSLATE(B327,""en"",""fr"")"),"Une femme portant un capot et des lunettes parle.")</f>
        <v>Une femme portant un capot et des lunettes parle.</v>
      </c>
    </row>
    <row r="328">
      <c r="A328" s="4" t="s">
        <v>415</v>
      </c>
      <c r="B328" s="4" t="s">
        <v>417</v>
      </c>
      <c r="C328" s="5" t="str">
        <f>IFERROR(__xludf.DUMMYFUNCTION("GOOGLETRANSLATE(B328,""en"",""fr"")"),"Elle tient un bâton et le tournoie dans ses mains.")</f>
        <v>Elle tient un bâton et le tournoie dans ses mains.</v>
      </c>
    </row>
    <row r="329">
      <c r="A329" s="4" t="s">
        <v>418</v>
      </c>
      <c r="B329" s="4" t="s">
        <v>419</v>
      </c>
      <c r="C329" s="5" t="str">
        <f>IFERROR(__xludf.DUMMYFUNCTION("GOOGLETRANSLATE(B329,""en"",""fr"")"),"Une femme est vue debout derrière un évier et laver la vaisselle tout en parlant à la caméra.")</f>
        <v>Une femme est vue debout derrière un évier et laver la vaisselle tout en parlant à la caméra.</v>
      </c>
    </row>
    <row r="330">
      <c r="A330" s="4" t="s">
        <v>418</v>
      </c>
      <c r="B330" s="4" t="s">
        <v>420</v>
      </c>
      <c r="C330" s="5" t="str">
        <f>IFERROR(__xludf.DUMMYFUNCTION("GOOGLETRANSLATE(B330,""en"",""fr"")"),"La femme continue de laver l'argenterie tout en regardant la caméra et en souriant.")</f>
        <v>La femme continue de laver l'argenterie tout en regardant la caméra et en souriant.</v>
      </c>
    </row>
    <row r="331">
      <c r="A331" s="4" t="s">
        <v>421</v>
      </c>
      <c r="B331" s="4" t="s">
        <v>422</v>
      </c>
      <c r="C331" s="5" t="str">
        <f>IFERROR(__xludf.DUMMYFUNCTION("GOOGLETRANSLATE(B331,""en"",""fr"")"),"Un homme dans un chapeau noir frappe une balle sur l'herbe avec un club.")</f>
        <v>Un homme dans un chapeau noir frappe une balle sur l'herbe avec un club.</v>
      </c>
    </row>
    <row r="332">
      <c r="A332" s="4" t="s">
        <v>421</v>
      </c>
      <c r="B332" s="4" t="s">
        <v>423</v>
      </c>
      <c r="C332" s="5" t="str">
        <f>IFERROR(__xludf.DUMMYFUNCTION("GOOGLETRANSLATE(B332,""en"",""fr"")"),"Il continue de parler à la caméra.")</f>
        <v>Il continue de parler à la caméra.</v>
      </c>
    </row>
    <row r="333">
      <c r="A333" s="4" t="s">
        <v>421</v>
      </c>
      <c r="B333" s="4" t="s">
        <v>424</v>
      </c>
      <c r="C333" s="5" t="str">
        <f>IFERROR(__xludf.DUMMYFUNCTION("GOOGLETRANSLATE(B333,""en"",""fr"")"),"Il tient un petit trophée.")</f>
        <v>Il tient un petit trophée.</v>
      </c>
    </row>
    <row r="334">
      <c r="A334" s="4" t="s">
        <v>425</v>
      </c>
      <c r="B334" s="4" t="s">
        <v>426</v>
      </c>
      <c r="C334" s="5" t="str">
        <f>IFERROR(__xludf.DUMMYFUNCTION("GOOGLETRANSLATE(B334,""en"",""fr"")"),"Un groupe de personnes est sur un terrain.")</f>
        <v>Un groupe de personnes est sur un terrain.</v>
      </c>
    </row>
    <row r="335">
      <c r="A335" s="4" t="s">
        <v>425</v>
      </c>
      <c r="B335" s="4" t="s">
        <v>427</v>
      </c>
      <c r="C335" s="5" t="str">
        <f>IFERROR(__xludf.DUMMYFUNCTION("GOOGLETRANSLATE(B335,""en"",""fr"")"),"Ils attachent une caméra à l'une des têtes du joueur.")</f>
        <v>Ils attachent une caméra à l'une des têtes du joueur.</v>
      </c>
    </row>
    <row r="336">
      <c r="A336" s="4" t="s">
        <v>425</v>
      </c>
      <c r="B336" s="6" t="s">
        <v>428</v>
      </c>
      <c r="C336" s="5" t="str">
        <f>IFERROR(__xludf.DUMMYFUNCTION("GOOGLETRANSLATE(B336,""en"",""fr"")"),"Ils se soulèvent les uns les autres sur la tête dans des cascades de cheerleading qui peuvent être vues de la vue de la caméra.")</f>
        <v>Ils se soulèvent les uns les autres sur la tête dans des cascades de cheerleading qui peuvent être vues de la vue de la caméra.</v>
      </c>
    </row>
    <row r="337">
      <c r="A337" s="4" t="s">
        <v>425</v>
      </c>
      <c r="B337" s="4" t="s">
        <v>429</v>
      </c>
      <c r="C337" s="5" t="str">
        <f>IFERROR(__xludf.DUMMYFUNCTION("GOOGLETRANSLATE(B337,""en"",""fr"")"),"Ils sourient et rient alors qu'ils continuent d'effectuer des cascades.")</f>
        <v>Ils sourient et rient alors qu'ils continuent d'effectuer des cascades.</v>
      </c>
    </row>
    <row r="338">
      <c r="A338" s="4" t="s">
        <v>430</v>
      </c>
      <c r="B338" s="6" t="s">
        <v>431</v>
      </c>
      <c r="C338" s="5" t="str">
        <f>IFERROR(__xludf.DUMMYFUNCTION("GOOGLETRANSLATE(B338,""en"",""fr"")"),"Un grand groupe de personnes est vue debout lorsque plusieurs clips sont représentés d'un homme qui tente de sauter par-dessus un bar.")</f>
        <v>Un grand groupe de personnes est vue debout lorsque plusieurs clips sont représentés d'un homme qui tente de sauter par-dessus un bar.</v>
      </c>
    </row>
    <row r="339">
      <c r="A339" s="4" t="s">
        <v>430</v>
      </c>
      <c r="B339" s="4" t="s">
        <v>432</v>
      </c>
      <c r="C339" s="5" t="str">
        <f>IFERROR(__xludf.DUMMYFUNCTION("GOOGLETRANSLATE(B339,""en"",""fr"")"),"L'homme termine le saut après un couple qui essaie et est à nouveau illustré au ralenti.")</f>
        <v>L'homme termine le saut après un couple qui essaie et est à nouveau illustré au ralenti.</v>
      </c>
    </row>
    <row r="340">
      <c r="A340" s="4" t="s">
        <v>430</v>
      </c>
      <c r="B340" s="6" t="s">
        <v>433</v>
      </c>
      <c r="C340" s="5" t="str">
        <f>IFERROR(__xludf.DUMMYFUNCTION("GOOGLETRANSLATE(B340,""en"",""fr"")"),"L'homme tente de sauter plus haut plusieurs fois et finit par abattre la barre à chaque fois.")</f>
        <v>L'homme tente de sauter plus haut plusieurs fois et finit par abattre la barre à chaque fois.</v>
      </c>
    </row>
    <row r="341">
      <c r="A341" s="4" t="s">
        <v>434</v>
      </c>
      <c r="B341" s="4" t="s">
        <v>435</v>
      </c>
      <c r="C341" s="5" t="str">
        <f>IFERROR(__xludf.DUMMYFUNCTION("GOOGLETRANSLATE(B341,""en"",""fr"")"),"Une femme rit alors qu'elle saute la corde dans une salle de sport.")</f>
        <v>Une femme rit alors qu'elle saute la corde dans une salle de sport.</v>
      </c>
    </row>
    <row r="342">
      <c r="A342" s="4" t="s">
        <v>434</v>
      </c>
      <c r="B342" s="6" t="s">
        <v>436</v>
      </c>
      <c r="C342" s="5" t="str">
        <f>IFERROR(__xludf.DUMMYFUNCTION("GOOGLETRANSLATE(B342,""en"",""fr"")"),"Elle continue de sauter pendant une longue période, accélérant et changeant de position alors que les hommes avec des caméras l'enregistrent.")</f>
        <v>Elle continue de sauter pendant une longue période, accélérant et changeant de position alors que les hommes avec des caméras l'enregistrent.</v>
      </c>
    </row>
    <row r="343">
      <c r="A343" s="4" t="s">
        <v>437</v>
      </c>
      <c r="B343" s="6" t="s">
        <v>438</v>
      </c>
      <c r="C343" s="5" t="str">
        <f>IFERROR(__xludf.DUMMYFUNCTION("GOOGLETRANSLATE(B343,""en"",""fr"")"),"Une femme portant une chemise à imprimé léopard et une veste en jean fait un tutoriel sur de faux ongles et comment les utiliser.")</f>
        <v>Une femme portant une chemise à imprimé léopard et une veste en jean fait un tutoriel sur de faux ongles et comment les utiliser.</v>
      </c>
    </row>
    <row r="344">
      <c r="A344" s="4" t="s">
        <v>437</v>
      </c>
      <c r="B344" s="4" t="s">
        <v>439</v>
      </c>
      <c r="C344" s="5" t="str">
        <f>IFERROR(__xludf.DUMMYFUNCTION("GOOGLETRANSLATE(B344,""en"",""fr"")"),"Elle tient un paquet de faux ongles à la main alors qu'elle explique le processus.")</f>
        <v>Elle tient un paquet de faux ongles à la main alors qu'elle explique le processus.</v>
      </c>
    </row>
    <row r="345">
      <c r="A345" s="4" t="s">
        <v>437</v>
      </c>
      <c r="B345" s="4" t="s">
        <v>440</v>
      </c>
      <c r="C345" s="5" t="str">
        <f>IFERROR(__xludf.DUMMYFUNCTION("GOOGLETRANSLATE(B345,""en"",""fr"")"),"Puis elle montre comment placer les faux ongles sur ses ongles.")</f>
        <v>Puis elle montre comment placer les faux ongles sur ses ongles.</v>
      </c>
    </row>
    <row r="346">
      <c r="A346" s="4" t="s">
        <v>437</v>
      </c>
      <c r="B346" s="4" t="s">
        <v>441</v>
      </c>
      <c r="C346" s="5" t="str">
        <f>IFERROR(__xludf.DUMMYFUNCTION("GOOGLETRANSLATE(B346,""en"",""fr"")"),"Ensuite, elle prend un fichier d'ongles et dépose les extrémités des ongles pour le lisser.")</f>
        <v>Ensuite, elle prend un fichier d'ongles et dépose les extrémités des ongles pour le lisser.</v>
      </c>
    </row>
    <row r="347">
      <c r="A347" s="4" t="s">
        <v>437</v>
      </c>
      <c r="B347" s="4" t="s">
        <v>442</v>
      </c>
      <c r="C347" s="5" t="str">
        <f>IFERROR(__xludf.DUMMYFUNCTION("GOOGLETRANSLATE(B347,""en"",""fr"")"),"Elle utilise ensuite de la colle pour coller les ongles sur ses ongles.")</f>
        <v>Elle utilise ensuite de la colle pour coller les ongles sur ses ongles.</v>
      </c>
    </row>
    <row r="348">
      <c r="A348" s="4" t="s">
        <v>437</v>
      </c>
      <c r="B348" s="4" t="s">
        <v>443</v>
      </c>
      <c r="C348" s="5" t="str">
        <f>IFERROR(__xludf.DUMMYFUNCTION("GOOGLETRANSLATE(B348,""en"",""fr"")"),"Ensuite, elle coupe l'excès pour raccourcir les ongles, suivi par le dépôt des ongles.")</f>
        <v>Ensuite, elle coupe l'excès pour raccourcir les ongles, suivi par le dépôt des ongles.</v>
      </c>
    </row>
    <row r="349">
      <c r="A349" s="4" t="s">
        <v>437</v>
      </c>
      <c r="B349" s="6" t="s">
        <v>444</v>
      </c>
      <c r="C349" s="5" t="str">
        <f>IFERROR(__xludf.DUMMYFUNCTION("GOOGLETRANSLATE(B349,""en"",""fr"")"),"Elle utilise également du vernis à ongles vert citron et peint les ongles pour terminer le processus et les rendre brillants.")</f>
        <v>Elle utilise également du vernis à ongles vert citron et peint les ongles pour terminer le processus et les rendre brillants.</v>
      </c>
    </row>
    <row r="350">
      <c r="A350" s="4" t="s">
        <v>445</v>
      </c>
      <c r="B350" s="4" t="s">
        <v>446</v>
      </c>
      <c r="C350" s="5" t="str">
        <f>IFERROR(__xludf.DUMMYFUNCTION("GOOGLETRANSLATE(B350,""en"",""fr"")"),"Un cuisinier se tient devant un grand poêle.")</f>
        <v>Un cuisinier se tient devant un grand poêle.</v>
      </c>
    </row>
    <row r="351">
      <c r="A351" s="4" t="s">
        <v>445</v>
      </c>
      <c r="B351" s="4" t="s">
        <v>447</v>
      </c>
      <c r="C351" s="5" t="str">
        <f>IFERROR(__xludf.DUMMYFUNCTION("GOOGLETRANSLATE(B351,""en"",""fr"")"),"Il est recouvert d'ingrédients et de casseroles sur les brûleurs.")</f>
        <v>Il est recouvert d'ingrédients et de casseroles sur les brûleurs.</v>
      </c>
    </row>
    <row r="352">
      <c r="A352" s="4" t="s">
        <v>445</v>
      </c>
      <c r="B352" s="4" t="s">
        <v>448</v>
      </c>
      <c r="C352" s="5" t="str">
        <f>IFERROR(__xludf.DUMMYFUNCTION("GOOGLETRANSLATE(B352,""en"",""fr"")"),"L'homme crée une omelette géante, la retournant enfin sur une assiette et la remettant à un mécène.")</f>
        <v>L'homme crée une omelette géante, la retournant enfin sur une assiette et la remettant à un mécène.</v>
      </c>
    </row>
    <row r="353">
      <c r="A353" s="4" t="s">
        <v>449</v>
      </c>
      <c r="B353" s="6" t="s">
        <v>450</v>
      </c>
      <c r="C353" s="5" t="str">
        <f>IFERROR(__xludf.DUMMYFUNCTION("GOOGLETRANSLATE(B353,""en"",""fr"")"),"Un vieil homme aux cheveux gris, portant une chemise rouge et un pantalon noir dribble le ballon dans un terrain intérieur, il a dribblé la balle côte à côte, entre ses jambes.")</f>
        <v>Un vieil homme aux cheveux gris, portant une chemise rouge et un pantalon noir dribble le ballon dans un terrain intérieur, il a dribblé la balle côte à côte, entre ses jambes.</v>
      </c>
    </row>
    <row r="354">
      <c r="A354" s="4" t="s">
        <v>449</v>
      </c>
      <c r="B354" s="6" t="s">
        <v>451</v>
      </c>
      <c r="C354" s="5" t="str">
        <f>IFERROR(__xludf.DUMMYFUNCTION("GOOGLETRANSLATE(B354,""en"",""fr"")"),"Il tire le ballon dans le ring, puis recommence à dribbler de côté à l'autre et entre ses jambes, et tire le ballon dans le ring.")</f>
        <v>Il tire le ballon dans le ring, puis recommence à dribbler de côté à l'autre et entre ses jambes, et tire le ballon dans le ring.</v>
      </c>
    </row>
    <row r="355">
      <c r="A355" s="4" t="s">
        <v>452</v>
      </c>
      <c r="B355" s="6" t="s">
        <v>453</v>
      </c>
      <c r="C355" s="5" t="str">
        <f>IFERROR(__xludf.DUMMYFUNCTION("GOOGLETRANSLATE(B355,""en"",""fr"")"),"Un groupe de pom-pom girls vient de la scène latérale et commence à sourire et à agiter la foule avant de s'installer dans leur formation.")</f>
        <v>Un groupe de pom-pom girls vient de la scène latérale et commence à sourire et à agiter la foule avant de s'installer dans leur formation.</v>
      </c>
    </row>
    <row r="356">
      <c r="A356" s="4" t="s">
        <v>452</v>
      </c>
      <c r="B356" s="6" t="s">
        <v>454</v>
      </c>
      <c r="C356" s="5" t="str">
        <f>IFERROR(__xludf.DUMMYFUNCTION("GOOGLETRANSLATE(B356,""en"",""fr"")"),"La routine commence et ils commencent à faire des hurkies, se jetant mutuellement dans les airs et se tiennent mutuellement.")</f>
        <v>La routine commence et ils commencent à faire des hurkies, se jetant mutuellement dans les airs et se tiennent mutuellement.</v>
      </c>
    </row>
    <row r="357">
      <c r="A357" s="4" t="s">
        <v>452</v>
      </c>
      <c r="B357" s="6" t="s">
        <v>455</v>
      </c>
      <c r="C357" s="5" t="str">
        <f>IFERROR(__xludf.DUMMYFUNCTION("GOOGLETRANSLATE(B357,""en"",""fr"")"),"Faisant le milieu de la routine, la moitié des filles sont assises dans le dos derrière le reste des pom-pom girls car elles font une partie de la routine.")</f>
        <v>Faisant le milieu de la routine, la moitié des filles sont assises dans le dos derrière le reste des pom-pom girls car elles font une partie de la routine.</v>
      </c>
    </row>
    <row r="358">
      <c r="A358" s="4" t="s">
        <v>452</v>
      </c>
      <c r="B358" s="4" t="s">
        <v>456</v>
      </c>
      <c r="C358" s="5" t="str">
        <f>IFERROR(__xludf.DUMMYFUNCTION("GOOGLETRANSLATE(B358,""en"",""fr"")"),"La routine se termine et ils traversent tous la scène avec des doigts spirituels avant de quitter la scène.")</f>
        <v>La routine se termine et ils traversent tous la scène avec des doigts spirituels avant de quitter la scène.</v>
      </c>
    </row>
    <row r="359">
      <c r="A359" s="4" t="s">
        <v>457</v>
      </c>
      <c r="B359" s="4" t="s">
        <v>458</v>
      </c>
      <c r="C359" s="5" t="str">
        <f>IFERROR(__xludf.DUMMYFUNCTION("GOOGLETRANSLATE(B359,""en"",""fr"")"),"La musique joue alors que les surfeurs montent sur les vagues.")</f>
        <v>La musique joue alors que les surfeurs montent sur les vagues.</v>
      </c>
    </row>
    <row r="360">
      <c r="A360" s="4" t="s">
        <v>457</v>
      </c>
      <c r="B360" s="4" t="s">
        <v>459</v>
      </c>
      <c r="C360" s="5" t="str">
        <f>IFERROR(__xludf.DUMMYFUNCTION("GOOGLETRANSLATE(B360,""en"",""fr"")"),"Quelques hommes se préparent à surfer, à préparer leur planche et à s'habiller.")</f>
        <v>Quelques hommes se préparent à surfer, à préparer leur planche et à s'habiller.</v>
      </c>
    </row>
    <row r="361">
      <c r="A361" s="4" t="s">
        <v>457</v>
      </c>
      <c r="B361" s="4" t="s">
        <v>460</v>
      </c>
      <c r="C361" s="5" t="str">
        <f>IFERROR(__xludf.DUMMYFUNCTION("GOOGLETRANSLATE(B361,""en"",""fr"")"),"Un hélicoptère monte sur le rivage où les surfeurs roulent.")</f>
        <v>Un hélicoptère monte sur le rivage où les surfeurs roulent.</v>
      </c>
    </row>
    <row r="362">
      <c r="A362" s="4" t="s">
        <v>457</v>
      </c>
      <c r="B362" s="4" t="s">
        <v>461</v>
      </c>
      <c r="C362" s="5" t="str">
        <f>IFERROR(__xludf.DUMMYFUNCTION("GOOGLETRANSLATE(B362,""en"",""fr"")"),"Un couple rit ensemble sur la plage dans une tente en attendant plus de surf.")</f>
        <v>Un couple rit ensemble sur la plage dans une tente en attendant plus de surf.</v>
      </c>
    </row>
    <row r="363">
      <c r="A363" s="4" t="s">
        <v>457</v>
      </c>
      <c r="B363" s="4" t="s">
        <v>462</v>
      </c>
      <c r="C363" s="5" t="str">
        <f>IFERROR(__xludf.DUMMYFUNCTION("GOOGLETRANSLATE(B363,""en"",""fr"")"),"Un homme est ensuite montré en préparant sa planche avec de la cire de surf.")</f>
        <v>Un homme est ensuite montré en préparant sa planche avec de la cire de surf.</v>
      </c>
    </row>
    <row r="364">
      <c r="A364" s="4" t="s">
        <v>457</v>
      </c>
      <c r="B364" s="4" t="s">
        <v>463</v>
      </c>
      <c r="C364" s="5" t="str">
        <f>IFERROR(__xludf.DUMMYFUNCTION("GOOGLETRANSLATE(B364,""en"",""fr"")"),"La foule regarde d'autres vagues de monter.")</f>
        <v>La foule regarde d'autres vagues de monter.</v>
      </c>
    </row>
    <row r="365">
      <c r="A365" s="4" t="s">
        <v>457</v>
      </c>
      <c r="B365" s="4" t="s">
        <v>464</v>
      </c>
      <c r="C365" s="5" t="str">
        <f>IFERROR(__xludf.DUMMYFUNCTION("GOOGLETRANSLATE(B365,""en"",""fr"")"),"La foule applaudit les multiples surf sur le surf.")</f>
        <v>La foule applaudit les multiples surf sur le surf.</v>
      </c>
    </row>
    <row r="366">
      <c r="A366" s="4" t="s">
        <v>457</v>
      </c>
      <c r="B366" s="4" t="s">
        <v>465</v>
      </c>
      <c r="C366" s="5" t="str">
        <f>IFERROR(__xludf.DUMMYFUNCTION("GOOGLETRANSLATE(B366,""en"",""fr"")"),"Kelly Slater est présentée sur une course réussie, suivie de plus de clips sur les vagues.")</f>
        <v>Kelly Slater est présentée sur une course réussie, suivie de plus de clips sur les vagues.</v>
      </c>
    </row>
    <row r="367">
      <c r="A367" s="4" t="s">
        <v>457</v>
      </c>
      <c r="B367" s="4" t="s">
        <v>466</v>
      </c>
      <c r="C367" s="5" t="str">
        <f>IFERROR(__xludf.DUMMYFUNCTION("GOOGLETRANSLATE(B367,""en"",""fr"")"),"Kelly Slater est interrompue pour conclure le scénario.")</f>
        <v>Kelly Slater est interrompue pour conclure le scénario.</v>
      </c>
    </row>
    <row r="368">
      <c r="A368" s="4" t="s">
        <v>457</v>
      </c>
      <c r="B368" s="4" t="s">
        <v>467</v>
      </c>
      <c r="C368" s="5" t="str">
        <f>IFERROR(__xludf.DUMMYFUNCTION("GOOGLETRANSLATE(B368,""en"",""fr"")"),"Les crédits de musique et de producteur sont ensuite montrés.")</f>
        <v>Les crédits de musique et de producteur sont ensuite montrés.</v>
      </c>
    </row>
    <row r="369">
      <c r="A369" s="4" t="s">
        <v>468</v>
      </c>
      <c r="B369" s="4" t="s">
        <v>469</v>
      </c>
      <c r="C369" s="5" t="str">
        <f>IFERROR(__xludf.DUMMYFUNCTION("GOOGLETRANSLATE(B369,""en"",""fr"")"),"Nous voyons un titre doré sur un écran noir.")</f>
        <v>Nous voyons un titre doré sur un écran noir.</v>
      </c>
    </row>
    <row r="370">
      <c r="A370" s="4" t="s">
        <v>468</v>
      </c>
      <c r="B370" s="4" t="s">
        <v>470</v>
      </c>
      <c r="C370" s="5" t="str">
        <f>IFERROR(__xludf.DUMMYFUNCTION("GOOGLETRANSLATE(B370,""en"",""fr"")"),"Un homme joue un harmonica alors que les flèches pointent vers des chiffres au-dessus de lui.")</f>
        <v>Un homme joue un harmonica alors que les flèches pointent vers des chiffres au-dessus de lui.</v>
      </c>
    </row>
    <row r="371">
      <c r="A371" s="4" t="s">
        <v>468</v>
      </c>
      <c r="B371" s="4" t="s">
        <v>471</v>
      </c>
      <c r="C371" s="5" t="str">
        <f>IFERROR(__xludf.DUMMYFUNCTION("GOOGLETRANSLATE(B371,""en"",""fr"")"),"Nous voyons un autre écran de titre et plus de flèches sur les numéros.")</f>
        <v>Nous voyons un autre écran de titre et plus de flèches sur les numéros.</v>
      </c>
    </row>
    <row r="372">
      <c r="A372" s="4" t="s">
        <v>468</v>
      </c>
      <c r="B372" s="4" t="s">
        <v>472</v>
      </c>
      <c r="C372" s="5" t="str">
        <f>IFERROR(__xludf.DUMMYFUNCTION("GOOGLETRANSLATE(B372,""en"",""fr"")"),"L'écran de titre revient et l'homme joue à nouveau avec les flèches au-dessus de lui.")</f>
        <v>L'écran de titre revient et l'homme joue à nouveau avec les flèches au-dessus de lui.</v>
      </c>
    </row>
    <row r="373">
      <c r="A373" s="4" t="s">
        <v>468</v>
      </c>
      <c r="B373" s="4" t="s">
        <v>473</v>
      </c>
      <c r="C373" s="5" t="str">
        <f>IFERROR(__xludf.DUMMYFUNCTION("GOOGLETRANSLATE(B373,""en"",""fr"")"),"Le quatrième écran de titre et l'homme joue avec les flèches ci-dessus.")</f>
        <v>Le quatrième écran de titre et l'homme joue avec les flèches ci-dessus.</v>
      </c>
    </row>
    <row r="374">
      <c r="A374" s="4" t="s">
        <v>468</v>
      </c>
      <c r="B374" s="4" t="s">
        <v>474</v>
      </c>
      <c r="C374" s="5" t="str">
        <f>IFERROR(__xludf.DUMMYFUNCTION("GOOGLETRANSLATE(B374,""en"",""fr"")"),"Le nom apparaît et la vidéo se termine.")</f>
        <v>Le nom apparaît et la vidéo se termine.</v>
      </c>
    </row>
    <row r="375">
      <c r="A375" s="4" t="s">
        <v>475</v>
      </c>
      <c r="B375" s="4" t="s">
        <v>476</v>
      </c>
      <c r="C375" s="5" t="str">
        <f>IFERROR(__xludf.DUMMYFUNCTION("GOOGLETRANSLATE(B375,""en"",""fr"")"),"Un homme met un casque avec une caméra montée dessus.")</f>
        <v>Un homme met un casque avec une caméra montée dessus.</v>
      </c>
    </row>
    <row r="376">
      <c r="A376" s="4" t="s">
        <v>475</v>
      </c>
      <c r="B376" s="4" t="s">
        <v>477</v>
      </c>
      <c r="C376" s="5" t="str">
        <f>IFERROR(__xludf.DUMMYFUNCTION("GOOGLETRANSLATE(B376,""en"",""fr"")"),"L'homme participe à un match de crosse avec l'enregistrement de la caméra dans la perspective à la première personne.")</f>
        <v>L'homme participe à un match de crosse avec l'enregistrement de la caméra dans la perspective à la première personne.</v>
      </c>
    </row>
    <row r="377">
      <c r="A377" s="4" t="s">
        <v>475</v>
      </c>
      <c r="B377" s="4" t="s">
        <v>478</v>
      </c>
      <c r="C377" s="5" t="str">
        <f>IFERROR(__xludf.DUMMYFUNCTION("GOOGLETRANSLATE(B377,""en"",""fr"")"),"L'homme fait un tir réussi sur le but et le high fives un coéquipier.")</f>
        <v>L'homme fait un tir réussi sur le but et le high fives un coéquipier.</v>
      </c>
    </row>
    <row r="378">
      <c r="A378" s="4" t="s">
        <v>475</v>
      </c>
      <c r="B378" s="4" t="s">
        <v>479</v>
      </c>
      <c r="C378" s="5" t="str">
        <f>IFERROR(__xludf.DUMMYFUNCTION("GOOGLETRANSLATE(B378,""en"",""fr"")"),"Les deux équipes se serrent la main après le match.")</f>
        <v>Les deux équipes se serrent la main après le match.</v>
      </c>
    </row>
    <row r="379">
      <c r="A379" s="4" t="s">
        <v>475</v>
      </c>
      <c r="B379" s="4" t="s">
        <v>480</v>
      </c>
      <c r="C379" s="5" t="str">
        <f>IFERROR(__xludf.DUMMYFUNCTION("GOOGLETRANSLATE(B379,""en"",""fr"")"),"L'homme se dirige vers un groupe de personnes vêtues de noir.")</f>
        <v>L'homme se dirige vers un groupe de personnes vêtues de noir.</v>
      </c>
    </row>
    <row r="380">
      <c r="A380" s="4" t="s">
        <v>481</v>
      </c>
      <c r="B380" s="4" t="s">
        <v>482</v>
      </c>
      <c r="C380" s="5" t="str">
        <f>IFERROR(__xludf.DUMMYFUNCTION("GOOGLETRANSLATE(B380,""en"",""fr"")"),"Un petit enfant est vu grimper sur un chameau ainsi qu'une femme devant lui.")</f>
        <v>Un petit enfant est vu grimper sur un chameau ainsi qu'une femme devant lui.</v>
      </c>
    </row>
    <row r="381">
      <c r="A381" s="4" t="s">
        <v>481</v>
      </c>
      <c r="B381" s="4" t="s">
        <v>483</v>
      </c>
      <c r="C381" s="5" t="str">
        <f>IFERROR(__xludf.DUMMYFUNCTION("GOOGLETRANSLATE(B381,""en"",""fr"")"),"Un homme se lève sur ses jambes et se promène dans la zone.")</f>
        <v>Un homme se lève sur ses jambes et se promène dans la zone.</v>
      </c>
    </row>
    <row r="382">
      <c r="A382" s="4" t="s">
        <v>481</v>
      </c>
      <c r="B382" s="4" t="s">
        <v>484</v>
      </c>
      <c r="C382" s="5" t="str">
        <f>IFERROR(__xludf.DUMMYFUNCTION("GOOGLETRANSLATE(B382,""en"",""fr"")"),"L'homme continue de se promener avec les chameaux tandis que la caméra se met à leurs mouvements.")</f>
        <v>L'homme continue de se promener avec les chameaux tandis que la caméra se met à leurs mouvements.</v>
      </c>
    </row>
    <row r="383">
      <c r="A383" s="4" t="s">
        <v>485</v>
      </c>
      <c r="B383" s="4" t="s">
        <v>486</v>
      </c>
      <c r="C383" s="5" t="str">
        <f>IFERROR(__xludf.DUMMYFUNCTION("GOOGLETRANSLATE(B383,""en"",""fr"")"),"Une intro mène à un homme dans des femmes assises à côté d'une piscine et parle.")</f>
        <v>Une intro mène à un homme dans des femmes assises à côté d'une piscine et parle.</v>
      </c>
    </row>
    <row r="384">
      <c r="A384" s="4" t="s">
        <v>485</v>
      </c>
      <c r="B384" s="6" t="s">
        <v>487</v>
      </c>
      <c r="C384" s="5" t="str">
        <f>IFERROR(__xludf.DUMMYFUNCTION("GOOGLETRANSLATE(B384,""en"",""fr"")"),"Les gens sont ensuite montrés sous l'eau portant du matériel de plongée et enseignent des signaux de main les uns les autres pendant que l'homme parle à la caméra au-dessus de la surface.")</f>
        <v>Les gens sont ensuite montrés sous l'eau portant du matériel de plongée et enseignent des signaux de main les uns les autres pendant que l'homme parle à la caméra au-dessus de la surface.</v>
      </c>
    </row>
    <row r="385">
      <c r="A385" s="4" t="s">
        <v>488</v>
      </c>
      <c r="B385" s="4" t="s">
        <v>489</v>
      </c>
      <c r="C385" s="5" t="str">
        <f>IFERROR(__xludf.DUMMYFUNCTION("GOOGLETRANSLATE(B385,""en"",""fr"")"),"Une personne est vue dans divers tirs roulant dans un canoë et souriant au loin.")</f>
        <v>Une personne est vue dans divers tirs roulant dans un canoë et souriant au loin.</v>
      </c>
    </row>
    <row r="386">
      <c r="A386" s="4" t="s">
        <v>488</v>
      </c>
      <c r="B386" s="4" t="s">
        <v>490</v>
      </c>
      <c r="C386" s="5" t="str">
        <f>IFERROR(__xludf.DUMMYFUNCTION("GOOGLETRANSLATE(B386,""en"",""fr"")"),"Une autre personne est vue assise dans un canoë et montre comment se retourner correctement.")</f>
        <v>Une autre personne est vue assise dans un canoë et montre comment se retourner correctement.</v>
      </c>
    </row>
    <row r="387">
      <c r="A387" s="4" t="s">
        <v>488</v>
      </c>
      <c r="B387" s="6" t="s">
        <v>491</v>
      </c>
      <c r="C387" s="5" t="str">
        <f>IFERROR(__xludf.DUMMYFUNCTION("GOOGLETRANSLATE(B387,""en"",""fr"")"),"L'homme continue de se déplacer le long de l'eau en déplaçant sa pagaie pendant que la caméra capture ses mouvements.")</f>
        <v>L'homme continue de se déplacer le long de l'eau en déplaçant sa pagaie pendant que la caméra capture ses mouvements.</v>
      </c>
    </row>
    <row r="388">
      <c r="A388" s="4" t="s">
        <v>492</v>
      </c>
      <c r="B388" s="4" t="s">
        <v>493</v>
      </c>
      <c r="C388" s="5" t="str">
        <f>IFERROR(__xludf.DUMMYFUNCTION("GOOGLETRANSLATE(B388,""en"",""fr"")"),"Un groupe d'hommes roule sur des chevaux tout en transportant de gros bâtons et les tenant en l'air.")</f>
        <v>Un groupe d'hommes roule sur des chevaux tout en transportant de gros bâtons et les tenant en l'air.</v>
      </c>
    </row>
    <row r="389">
      <c r="A389" s="4" t="s">
        <v>492</v>
      </c>
      <c r="B389" s="4" t="s">
        <v>494</v>
      </c>
      <c r="C389" s="5" t="str">
        <f>IFERROR(__xludf.DUMMYFUNCTION("GOOGLETRANSLATE(B389,""en"",""fr"")"),"Un homme s'approche de l'homme de la caméra et près de la foule pendant quelques instants.")</f>
        <v>Un homme s'approche de l'homme de la caméra et près de la foule pendant quelques instants.</v>
      </c>
    </row>
    <row r="390">
      <c r="A390" s="4" t="s">
        <v>492</v>
      </c>
      <c r="B390" s="6" t="s">
        <v>495</v>
      </c>
      <c r="C390" s="5" t="str">
        <f>IFERROR(__xludf.DUMMYFUNCTION("GOOGLETRANSLATE(B390,""en"",""fr"")"),"L'homme sur les chevaux retourne à l'écurie pour attendre leur retour et finalement revenir sur le ring.")</f>
        <v>L'homme sur les chevaux retourne à l'écurie pour attendre leur retour et finalement revenir sur le ring.</v>
      </c>
    </row>
    <row r="391">
      <c r="A391" s="4" t="s">
        <v>496</v>
      </c>
      <c r="B391" s="4" t="s">
        <v>497</v>
      </c>
      <c r="C391" s="5" t="str">
        <f>IFERROR(__xludf.DUMMYFUNCTION("GOOGLETRANSLATE(B391,""en"",""fr"")"),"Un homme monte sur le côté sur une pelouse et commence à déplacer ses bras et ses jambes.")</f>
        <v>Un homme monte sur le côté sur une pelouse et commence à déplacer ses bras et ses jambes.</v>
      </c>
    </row>
    <row r="392">
      <c r="A392" s="4" t="s">
        <v>496</v>
      </c>
      <c r="B392" s="4" t="s">
        <v>498</v>
      </c>
      <c r="C392" s="5" t="str">
        <f>IFERROR(__xludf.DUMMYFUNCTION("GOOGLETRANSLATE(B392,""en"",""fr"")"),"Il déplace lentement ses bras en divers mouvements tout en passant d'un côté à l'autre.")</f>
        <v>Il déplace lentement ses bras en divers mouvements tout en passant d'un côté à l'autre.</v>
      </c>
    </row>
    <row r="393">
      <c r="A393" s="4" t="s">
        <v>496</v>
      </c>
      <c r="B393" s="4" t="s">
        <v>499</v>
      </c>
      <c r="C393" s="5" t="str">
        <f>IFERROR(__xludf.DUMMYFUNCTION("GOOGLETRANSLATE(B393,""en"",""fr"")"),"Il remonte ses jambes et ses bras suivant continuellement jusqu'à ce qu'il termine la performance.")</f>
        <v>Il remonte ses jambes et ses bras suivant continuellement jusqu'à ce qu'il termine la performance.</v>
      </c>
    </row>
    <row r="394">
      <c r="A394" s="4" t="s">
        <v>500</v>
      </c>
      <c r="B394" s="4" t="s">
        <v>501</v>
      </c>
      <c r="C394" s="5" t="str">
        <f>IFERROR(__xludf.DUMMYFUNCTION("GOOGLETRANSLATE(B394,""en"",""fr"")"),"La personne en chemise noire joue de la batterie.")</f>
        <v>La personne en chemise noire joue de la batterie.</v>
      </c>
    </row>
    <row r="395">
      <c r="A395" s="4" t="s">
        <v>500</v>
      </c>
      <c r="B395" s="4" t="s">
        <v>502</v>
      </c>
      <c r="C395" s="5" t="str">
        <f>IFERROR(__xludf.DUMMYFUNCTION("GOOGLETRANSLATE(B395,""en"",""fr"")"),"La caméra a zoomé sur la batterie alors que la personne continue de jouer.")</f>
        <v>La caméra a zoomé sur la batterie alors que la personne continue de jouer.</v>
      </c>
    </row>
    <row r="396">
      <c r="A396" s="4" t="s">
        <v>500</v>
      </c>
      <c r="B396" s="4" t="s">
        <v>503</v>
      </c>
      <c r="C396" s="5" t="str">
        <f>IFERROR(__xludf.DUMMYFUNCTION("GOOGLETRANSLATE(B396,""en"",""fr"")"),"La caméra s'est déplacée vers la vue en regardant les tambours.")</f>
        <v>La caméra s'est déplacée vers la vue en regardant les tambours.</v>
      </c>
    </row>
    <row r="397">
      <c r="A397" s="4" t="s">
        <v>504</v>
      </c>
      <c r="B397" s="6" t="s">
        <v>505</v>
      </c>
      <c r="C397" s="5" t="str">
        <f>IFERROR(__xludf.DUMMYFUNCTION("GOOGLETRANSLATE(B397,""en"",""fr"")"),"Une personne jette un disque avec un bâton, le disque arrive à un triangle sur le sol où deux personnes se tiennent.")</f>
        <v>Une personne jette un disque avec un bâton, le disque arrive à un triangle sur le sol où deux personnes se tiennent.</v>
      </c>
    </row>
    <row r="398">
      <c r="A398" s="4" t="s">
        <v>504</v>
      </c>
      <c r="B398" s="4" t="s">
        <v>506</v>
      </c>
      <c r="C398" s="5" t="str">
        <f>IFERROR(__xludf.DUMMYFUNCTION("GOOGLETRANSLATE(B398,""en"",""fr"")"),"Ensuite, un autre disque glisse sur le sol pour s'arrêter à l'intérieur du triangle.")</f>
        <v>Ensuite, un autre disque glisse sur le sol pour s'arrêter à l'intérieur du triangle.</v>
      </c>
    </row>
    <row r="399">
      <c r="A399" s="4" t="s">
        <v>504</v>
      </c>
      <c r="B399" s="4" t="s">
        <v>507</v>
      </c>
      <c r="C399" s="5" t="str">
        <f>IFERROR(__xludf.DUMMYFUNCTION("GOOGLETRANSLATE(B399,""en"",""fr"")"),"Après, la personne jette un autre disque qui s'arrête à l'intérieur du triangle.")</f>
        <v>Après, la personne jette un autre disque qui s'arrête à l'intérieur du triangle.</v>
      </c>
    </row>
    <row r="400">
      <c r="A400" s="4" t="s">
        <v>504</v>
      </c>
      <c r="B400" s="4" t="s">
        <v>508</v>
      </c>
      <c r="C400" s="5" t="str">
        <f>IFERROR(__xludf.DUMMYFUNCTION("GOOGLETRANSLATE(B400,""en"",""fr"")"),"Les règles oh le jeu de swuffleboard s'affiche dans une planche.")</f>
        <v>Les règles oh le jeu de swuffleboard s'affiche dans une planche.</v>
      </c>
    </row>
    <row r="401">
      <c r="A401" s="4" t="s">
        <v>509</v>
      </c>
      <c r="B401" s="4" t="s">
        <v>510</v>
      </c>
      <c r="C401" s="5" t="str">
        <f>IFERROR(__xludf.DUMMYFUNCTION("GOOGLETRANSLATE(B401,""en"",""fr"")"),"Les balles de paint volent sur des hommes devant une tente.")</f>
        <v>Les balles de paint volent sur des hommes devant une tente.</v>
      </c>
    </row>
    <row r="402">
      <c r="A402" s="4" t="s">
        <v>509</v>
      </c>
      <c r="B402" s="4" t="s">
        <v>511</v>
      </c>
      <c r="C402" s="5" t="str">
        <f>IFERROR(__xludf.DUMMYFUNCTION("GOOGLETRANSLATE(B402,""en"",""fr"")"),"Les hommes reviennent dans la tente.")</f>
        <v>Les hommes reviennent dans la tente.</v>
      </c>
    </row>
    <row r="403">
      <c r="A403" s="4" t="s">
        <v>509</v>
      </c>
      <c r="B403" s="4" t="s">
        <v>512</v>
      </c>
      <c r="C403" s="5" t="str">
        <f>IFERROR(__xludf.DUMMYFUNCTION("GOOGLETRANSLATE(B403,""en"",""fr"")"),"Les gens se préparent pour la compétition de paintball.")</f>
        <v>Les gens se préparent pour la compétition de paintball.</v>
      </c>
    </row>
    <row r="404">
      <c r="A404" s="4" t="s">
        <v>509</v>
      </c>
      <c r="B404" s="4" t="s">
        <v>513</v>
      </c>
      <c r="C404" s="5" t="str">
        <f>IFERROR(__xludf.DUMMYFUNCTION("GOOGLETRANSLATE(B404,""en"",""fr"")"),"Les balles de paint sortent de la bouche d'un homme.")</f>
        <v>Les balles de paint sortent de la bouche d'un homme.</v>
      </c>
    </row>
    <row r="405">
      <c r="A405" s="4" t="s">
        <v>509</v>
      </c>
      <c r="B405" s="4" t="s">
        <v>514</v>
      </c>
      <c r="C405" s="5" t="str">
        <f>IFERROR(__xludf.DUMMYFUNCTION("GOOGLETRANSLATE(B405,""en"",""fr"")"),"Le soleil se couche.")</f>
        <v>Le soleil se couche.</v>
      </c>
    </row>
    <row r="406">
      <c r="A406" s="4" t="s">
        <v>515</v>
      </c>
      <c r="B406" s="6" t="s">
        <v>516</v>
      </c>
      <c r="C406" s="5" t="str">
        <f>IFERROR(__xludf.DUMMYFUNCTION("GOOGLETRANSLATE(B406,""en"",""fr"")"),"Une introduction mène à plusieurs clips d'une personne soulevant des poids lourds sur leurs épaules ainsi que leurs bras tout autour.")</f>
        <v>Une introduction mène à plusieurs clips d'une personne soulevant des poids lourds sur leurs épaules ainsi que leurs bras tout autour.</v>
      </c>
    </row>
    <row r="407">
      <c r="A407" s="4" t="s">
        <v>515</v>
      </c>
      <c r="B407" s="6" t="s">
        <v>517</v>
      </c>
      <c r="C407" s="5" t="str">
        <f>IFERROR(__xludf.DUMMYFUNCTION("GOOGLETRANSLATE(B407,""en"",""fr"")"),"Plus de coups de feu sont des athlètes effectuant des cascades impressionnantes tout en regardant au loin et les gens mesurant leurs lancers.")</f>
        <v>Plus de coups de feu sont des athlètes effectuant des cascades impressionnantes tout en regardant au loin et les gens mesurant leurs lancers.</v>
      </c>
    </row>
    <row r="408">
      <c r="A408" s="4" t="s">
        <v>518</v>
      </c>
      <c r="B408" s="4" t="s">
        <v>519</v>
      </c>
      <c r="C408" s="5" t="str">
        <f>IFERROR(__xludf.DUMMYFUNCTION("GOOGLETRANSLATE(B408,""en"",""fr"")"),"Un homme joue des cymbales sous une lumière vive sur une scène.")</f>
        <v>Un homme joue des cymbales sous une lumière vive sur une scène.</v>
      </c>
    </row>
    <row r="409">
      <c r="A409" s="4" t="s">
        <v>518</v>
      </c>
      <c r="B409" s="4" t="s">
        <v>520</v>
      </c>
      <c r="C409" s="5" t="str">
        <f>IFERROR(__xludf.DUMMYFUNCTION("GOOGLETRANSLATE(B409,""en"",""fr"")"),"Il est rejoint par une femme sur un tambour de basse.")</f>
        <v>Il est rejoint par une femme sur un tambour de basse.</v>
      </c>
    </row>
    <row r="410">
      <c r="A410" s="4" t="s">
        <v>518</v>
      </c>
      <c r="B410" s="4" t="s">
        <v>521</v>
      </c>
      <c r="C410" s="5" t="str">
        <f>IFERROR(__xludf.DUMMYFUNCTION("GOOGLETRANSLATE(B410,""en"",""fr"")"),"Ensuite, ils sont rejoints par d'autres batteurs et un homme sur un énorme ensemble en arrière-plan.")</f>
        <v>Ensuite, ils sont rejoints par d'autres batteurs et un homme sur un énorme ensemble en arrière-plan.</v>
      </c>
    </row>
    <row r="411">
      <c r="A411" s="4" t="s">
        <v>518</v>
      </c>
      <c r="B411" s="4" t="s">
        <v>522</v>
      </c>
      <c r="C411" s="5" t="str">
        <f>IFERROR(__xludf.DUMMYFUNCTION("GOOGLETRANSLATE(B411,""en"",""fr"")"),"Les lumières clignotent pendant qu'ils se produisent à l'unisson.")</f>
        <v>Les lumières clignotent pendant qu'ils se produisent à l'unisson.</v>
      </c>
    </row>
    <row r="412">
      <c r="A412" s="4" t="s">
        <v>523</v>
      </c>
      <c r="B412" s="4" t="s">
        <v>524</v>
      </c>
      <c r="C412" s="5" t="str">
        <f>IFERROR(__xludf.DUMMYFUNCTION("GOOGLETRANSLATE(B412,""en"",""fr"")"),"Un montage de corrida est montré.")</f>
        <v>Un montage de corrida est montré.</v>
      </c>
    </row>
    <row r="413">
      <c r="A413" s="4" t="s">
        <v>523</v>
      </c>
      <c r="B413" s="4" t="s">
        <v>525</v>
      </c>
      <c r="C413" s="5" t="str">
        <f>IFERROR(__xludf.DUMMYFUNCTION("GOOGLETRANSLATE(B413,""en"",""fr"")"),"Le matador est frappé par le taureau, tandis que d'autres matadors essaient de distraire le taureau.")</f>
        <v>Le matador est frappé par le taureau, tandis que d'autres matadors essaient de distraire le taureau.</v>
      </c>
    </row>
    <row r="414">
      <c r="A414" s="4" t="s">
        <v>526</v>
      </c>
      <c r="B414" s="4" t="s">
        <v>527</v>
      </c>
      <c r="C414" s="5" t="str">
        <f>IFERROR(__xludf.DUMMYFUNCTION("GOOGLETRANSLATE(B414,""en"",""fr"")"),"Une femme a les yeux bandés dans une cour et se balançant par une pinata déplacée.")</f>
        <v>Une femme a les yeux bandés dans une cour et se balançant par une pinata déplacée.</v>
      </c>
    </row>
    <row r="415">
      <c r="A415" s="4" t="s">
        <v>526</v>
      </c>
      <c r="B415" s="4" t="s">
        <v>528</v>
      </c>
      <c r="C415" s="5" t="str">
        <f>IFERROR(__xludf.DUMMYFUNCTION("GOOGLETRANSLATE(B415,""en"",""fr"")"),"Plusieurs personnes autour d'elle sont des montres et ne peuvent s'empêcher de rire.")</f>
        <v>Plusieurs personnes autour d'elle sont des montres et ne peuvent s'empêcher de rire.</v>
      </c>
    </row>
    <row r="416">
      <c r="A416" s="4" t="s">
        <v>526</v>
      </c>
      <c r="B416" s="4" t="s">
        <v>529</v>
      </c>
      <c r="C416" s="5" t="str">
        <f>IFERROR(__xludf.DUMMYFUNCTION("GOOGLETRANSLATE(B416,""en"",""fr"")"),"La femme rit aussi et frappe enfin la pinata pour que les enfants puissent saisir.")</f>
        <v>La femme rit aussi et frappe enfin la pinata pour que les enfants puissent saisir.</v>
      </c>
    </row>
    <row r="417">
      <c r="A417" s="4" t="s">
        <v>530</v>
      </c>
      <c r="B417" s="4" t="s">
        <v>531</v>
      </c>
      <c r="C417" s="5" t="str">
        <f>IFERROR(__xludf.DUMMYFUNCTION("GOOGLETRANSLATE(B417,""en"",""fr"")"),"Un homme parle à la caméra d'un parking.")</f>
        <v>Un homme parle à la caméra d'un parking.</v>
      </c>
    </row>
    <row r="418">
      <c r="A418" s="4" t="s">
        <v>530</v>
      </c>
      <c r="B418" s="4" t="s">
        <v>532</v>
      </c>
      <c r="C418" s="5" t="str">
        <f>IFERROR(__xludf.DUMMYFUNCTION("GOOGLETRANSLATE(B418,""en"",""fr"")"),"Il court dans la rue tout en continuant à parler.")</f>
        <v>Il court dans la rue tout en continuant à parler.</v>
      </c>
    </row>
    <row r="419">
      <c r="A419" s="4" t="s">
        <v>530</v>
      </c>
      <c r="B419" s="4" t="s">
        <v>533</v>
      </c>
      <c r="C419" s="5" t="str">
        <f>IFERROR(__xludf.DUMMYFUNCTION("GOOGLETRANSLATE(B419,""en"",""fr"")"),"Il court dans plusieurs rues de la ville, ne s'arrêtant pas.")</f>
        <v>Il court dans plusieurs rues de la ville, ne s'arrêtant pas.</v>
      </c>
    </row>
    <row r="420">
      <c r="A420" s="4" t="s">
        <v>534</v>
      </c>
      <c r="B420" s="4" t="s">
        <v>535</v>
      </c>
      <c r="C420" s="5" t="str">
        <f>IFERROR(__xludf.DUMMYFUNCTION("GOOGLETRANSLATE(B420,""en"",""fr"")"),"Un homme se tient à l'extérieur près du trottoir coupant un ensemble de haies.")</f>
        <v>Un homme se tient à l'extérieur près du trottoir coupant un ensemble de haies.</v>
      </c>
    </row>
    <row r="421">
      <c r="A421" s="4" t="s">
        <v>534</v>
      </c>
      <c r="B421" s="4" t="s">
        <v>536</v>
      </c>
      <c r="C421" s="5" t="str">
        <f>IFERROR(__xludf.DUMMYFUNCTION("GOOGLETRANSLATE(B421,""en"",""fr"")"),"Alors qu'il termine le côté, il se déplace vers l'avant de la plante et continue de couper la plante.")</f>
        <v>Alors qu'il termine le côté, il se déplace vers l'avant de la plante et continue de couper la plante.</v>
      </c>
    </row>
    <row r="422">
      <c r="A422" s="4" t="s">
        <v>534</v>
      </c>
      <c r="B422" s="4" t="s">
        <v>537</v>
      </c>
      <c r="C422" s="5" t="str">
        <f>IFERROR(__xludf.DUMMYFUNCTION("GOOGLETRANSLATE(B422,""en"",""fr"")"),"Une fois qu'une petite portion est montrée, il regarde la plante puis coupe l'objet à la main.")</f>
        <v>Une fois qu'une petite portion est montrée, il regarde la plante puis coupe l'objet à la main.</v>
      </c>
    </row>
    <row r="423">
      <c r="A423" s="4" t="s">
        <v>538</v>
      </c>
      <c r="B423" s="4" t="s">
        <v>539</v>
      </c>
      <c r="C423" s="5" t="str">
        <f>IFERROR(__xludf.DUMMYFUNCTION("GOOGLETRANSLATE(B423,""en"",""fr"")"),"Un homme parle à la caméra.")</f>
        <v>Un homme parle à la caméra.</v>
      </c>
    </row>
    <row r="424">
      <c r="A424" s="4" t="s">
        <v>538</v>
      </c>
      <c r="B424" s="4" t="s">
        <v>540</v>
      </c>
      <c r="C424" s="5" t="str">
        <f>IFERROR(__xludf.DUMMYFUNCTION("GOOGLETRANSLATE(B424,""en"",""fr"")"),"Un champ olympique est montré avec de nombreuses personnes qui se promènent dessus.")</f>
        <v>Un champ olympique est montré avec de nombreuses personnes qui se promènent dessus.</v>
      </c>
    </row>
    <row r="425">
      <c r="A425" s="4" t="s">
        <v>538</v>
      </c>
      <c r="B425" s="4" t="s">
        <v>541</v>
      </c>
      <c r="C425" s="5" t="str">
        <f>IFERROR(__xludf.DUMMYFUNCTION("GOOGLETRANSLATE(B425,""en"",""fr"")"),"L'homme descendit une bande de piste et saute dans un tas de sable.")</f>
        <v>L'homme descendit une bande de piste et saute dans un tas de sable.</v>
      </c>
    </row>
    <row r="426">
      <c r="A426" s="4" t="s">
        <v>538</v>
      </c>
      <c r="B426" s="4" t="s">
        <v>542</v>
      </c>
      <c r="C426" s="5" t="str">
        <f>IFERROR(__xludf.DUMMYFUNCTION("GOOGLETRANSLATE(B426,""en"",""fr"")"),"Il a un drapeau enroulé autour de lui et des vagues sur le public.")</f>
        <v>Il a un drapeau enroulé autour de lui et des vagues sur le public.</v>
      </c>
    </row>
    <row r="427">
      <c r="A427" s="4" t="s">
        <v>543</v>
      </c>
      <c r="B427" s="4" t="s">
        <v>544</v>
      </c>
      <c r="C427" s="5" t="str">
        <f>IFERROR(__xludf.DUMMYFUNCTION("GOOGLETRANSLATE(B427,""en"",""fr"")"),"Les gens sont dans une piscine jouant du water-polo.")</f>
        <v>Les gens sont dans une piscine jouant du water-polo.</v>
      </c>
    </row>
    <row r="428">
      <c r="A428" s="4" t="s">
        <v>543</v>
      </c>
      <c r="B428" s="4" t="s">
        <v>545</v>
      </c>
      <c r="C428" s="5" t="str">
        <f>IFERROR(__xludf.DUMMYFUNCTION("GOOGLETRANSLATE(B428,""en"",""fr"")"),"Un homme en chemise blanche marche le long de la piscine.")</f>
        <v>Un homme en chemise blanche marche le long de la piscine.</v>
      </c>
    </row>
    <row r="429">
      <c r="A429" s="4" t="s">
        <v>543</v>
      </c>
      <c r="B429" s="4" t="s">
        <v>546</v>
      </c>
      <c r="C429" s="5" t="str">
        <f>IFERROR(__xludf.DUMMYFUNCTION("GOOGLETRANSLATE(B429,""en"",""fr"")"),"Une femme tenant un chien se tient sur un quai.")</f>
        <v>Une femme tenant un chien se tient sur un quai.</v>
      </c>
    </row>
    <row r="430">
      <c r="A430" s="4" t="s">
        <v>547</v>
      </c>
      <c r="B430" s="6" t="s">
        <v>548</v>
      </c>
      <c r="C430" s="5" t="str">
        <f>IFERROR(__xludf.DUMMYFUNCTION("GOOGLETRANSLATE(B430,""en"",""fr"")"),"Une fille est vue parler à la caméra avec sa main sur sa hanche et l'amène en levant divers ingrédients.")</f>
        <v>Une fille est vue parler à la caméra avec sa main sur sa hanche et l'amène en levant divers ingrédients.</v>
      </c>
    </row>
    <row r="431">
      <c r="A431" s="4" t="s">
        <v>547</v>
      </c>
      <c r="B431" s="6" t="s">
        <v>549</v>
      </c>
      <c r="C431" s="5" t="str">
        <f>IFERROR(__xludf.DUMMYFUNCTION("GOOGLETRANSLATE(B431,""en"",""fr"")"),"Elle mélange ensuite les ingrédients ensemble sur une tranche de pain et crée un sandwich tout en versant des copeaux sur le côté.")</f>
        <v>Elle mélange ensuite les ingrédients ensemble sur une tranche de pain et crée un sandwich tout en versant des copeaux sur le côté.</v>
      </c>
    </row>
    <row r="432">
      <c r="A432" s="4" t="s">
        <v>547</v>
      </c>
      <c r="B432" s="4" t="s">
        <v>550</v>
      </c>
      <c r="C432" s="5" t="str">
        <f>IFERROR(__xludf.DUMMYFUNCTION("GOOGLETRANSLATE(B432,""en"",""fr"")"),"Elle présente ensuite l'assiette tout en parlant à la caméra et en tenant divers liquides.")</f>
        <v>Elle présente ensuite l'assiette tout en parlant à la caméra et en tenant divers liquides.</v>
      </c>
    </row>
    <row r="433">
      <c r="A433" s="4" t="s">
        <v>551</v>
      </c>
      <c r="B433" s="4" t="s">
        <v>552</v>
      </c>
      <c r="C433" s="5" t="str">
        <f>IFERROR(__xludf.DUMMYFUNCTION("GOOGLETRANSLATE(B433,""en"",""fr"")"),"Nous voyons deux hommes marcher et sauter sur des silts de saut.")</f>
        <v>Nous voyons deux hommes marcher et sauter sur des silts de saut.</v>
      </c>
    </row>
    <row r="434">
      <c r="A434" s="4" t="s">
        <v>551</v>
      </c>
      <c r="B434" s="4" t="s">
        <v>553</v>
      </c>
      <c r="C434" s="5" t="str">
        <f>IFERROR(__xludf.DUMMYFUNCTION("GOOGLETRANSLATE(B434,""en"",""fr"")"),"Un homme saute sur la route, l'autre en tant qu'homme les photographie.")</f>
        <v>Un homme saute sur la route, l'autre en tant qu'homme les photographie.</v>
      </c>
    </row>
    <row r="435">
      <c r="A435" s="4" t="s">
        <v>551</v>
      </c>
      <c r="B435" s="4" t="s">
        <v>554</v>
      </c>
      <c r="C435" s="5" t="str">
        <f>IFERROR(__xludf.DUMMYFUNCTION("GOOGLETRANSLATE(B435,""en"",""fr"")"),"Un homme sur un vélo passe devant les hommes.")</f>
        <v>Un homme sur un vélo passe devant les hommes.</v>
      </c>
    </row>
    <row r="436">
      <c r="A436" s="4" t="s">
        <v>551</v>
      </c>
      <c r="B436" s="4" t="s">
        <v>555</v>
      </c>
      <c r="C436" s="5" t="str">
        <f>IFERROR(__xludf.DUMMYFUNCTION("GOOGLETRANSLATE(B436,""en"",""fr"")"),"Quatre vélos passent devant les hommes.")</f>
        <v>Quatre vélos passent devant les hommes.</v>
      </c>
    </row>
    <row r="437">
      <c r="A437" s="4" t="s">
        <v>556</v>
      </c>
      <c r="B437" s="4" t="s">
        <v>557</v>
      </c>
      <c r="C437" s="5" t="str">
        <f>IFERROR(__xludf.DUMMYFUNCTION("GOOGLETRANSLATE(B437,""en"",""fr"")"),"Un garçon saute sur un trampoline tout en attrapant une poupée en peluche sur ses épaules en l'air.")</f>
        <v>Un garçon saute sur un trampoline tout en attrapant une poupée en peluche sur ses épaules en l'air.</v>
      </c>
    </row>
    <row r="438">
      <c r="A438" s="4" t="s">
        <v>556</v>
      </c>
      <c r="B438" s="4" t="s">
        <v>558</v>
      </c>
      <c r="C438" s="5" t="str">
        <f>IFERROR(__xludf.DUMMYFUNCTION("GOOGLETRANSLATE(B438,""en"",""fr"")"),"Le garçon se retourne et atterrit sur le dos sur le trampoline.")</f>
        <v>Le garçon se retourne et atterrit sur le dos sur le trampoline.</v>
      </c>
    </row>
    <row r="439">
      <c r="A439" s="4" t="s">
        <v>556</v>
      </c>
      <c r="B439" s="4" t="s">
        <v>559</v>
      </c>
      <c r="C439" s="5" t="str">
        <f>IFERROR(__xludf.DUMMYFUNCTION("GOOGLETRANSLATE(B439,""en"",""fr"")"),"Le garçon saute et attrape la poupée et le claque entre ses jambes sur le trampoline.")</f>
        <v>Le garçon saute et attrape la poupée et le claque entre ses jambes sur le trampoline.</v>
      </c>
    </row>
    <row r="440">
      <c r="A440" s="4" t="s">
        <v>556</v>
      </c>
      <c r="B440" s="4" t="s">
        <v>560</v>
      </c>
      <c r="C440" s="5" t="str">
        <f>IFERROR(__xludf.DUMMYFUNCTION("GOOGLETRANSLATE(B440,""en"",""fr"")"),"Le garçon manque en essayant d'attraper la poupée et tombe sur le trampoline.")</f>
        <v>Le garçon manque en essayant d'attraper la poupée et tombe sur le trampoline.</v>
      </c>
    </row>
    <row r="441">
      <c r="A441" s="4" t="s">
        <v>561</v>
      </c>
      <c r="B441" s="6" t="s">
        <v>562</v>
      </c>
      <c r="C441" s="5" t="str">
        <f>IFERROR(__xludf.DUMMYFUNCTION("GOOGLETRANSLATE(B441,""en"",""fr"")"),"Deux personnes sont vues les unes aux autres tout en se tenant sur les quais et en parlant à la caméra.")</f>
        <v>Deux personnes sont vues les unes aux autres tout en se tenant sur les quais et en parlant à la caméra.</v>
      </c>
    </row>
    <row r="442">
      <c r="A442" s="4" t="s">
        <v>561</v>
      </c>
      <c r="B442" s="6" t="s">
        <v>563</v>
      </c>
      <c r="C442" s="5" t="str">
        <f>IFERROR(__xludf.DUMMYFUNCTION("GOOGLETRANSLATE(B442,""en"",""fr"")"),"Les gens s'amusent en se faisant couper les cheveux, en mangeant de la nourriture et à l'homme qui prépare un bateau.")</f>
        <v>Les gens s'amusent en se faisant couper les cheveux, en mangeant de la nourriture et à l'homme qui prépare un bateau.</v>
      </c>
    </row>
    <row r="443">
      <c r="A443" s="4" t="s">
        <v>561</v>
      </c>
      <c r="B443" s="6" t="s">
        <v>564</v>
      </c>
      <c r="C443" s="5" t="str">
        <f>IFERROR(__xludf.DUMMYFUNCTION("GOOGLETRANSLATE(B443,""en"",""fr"")"),"Plusieurs plans sont représentés dans une cuisine ainsi que des personnes roulant sur le bateau et continuent de parler à la caméra.")</f>
        <v>Plusieurs plans sont représentés dans une cuisine ainsi que des personnes roulant sur le bateau et continuent de parler à la caméra.</v>
      </c>
    </row>
    <row r="444">
      <c r="A444" s="4" t="s">
        <v>565</v>
      </c>
      <c r="B444" s="4" t="s">
        <v>566</v>
      </c>
      <c r="C444" s="5" t="str">
        <f>IFERROR(__xludf.DUMMYFUNCTION("GOOGLETRANSLATE(B444,""en"",""fr"")"),"Le nom de l'entreprise est montré.")</f>
        <v>Le nom de l'entreprise est montré.</v>
      </c>
    </row>
    <row r="445">
      <c r="A445" s="4" t="s">
        <v>565</v>
      </c>
      <c r="B445" s="4" t="s">
        <v>567</v>
      </c>
      <c r="C445" s="5" t="str">
        <f>IFERROR(__xludf.DUMMYFUNCTION("GOOGLETRANSLATE(B445,""en"",""fr"")"),"Une personne tresse les cheveux d'un client.")</f>
        <v>Une personne tresse les cheveux d'un client.</v>
      </c>
    </row>
    <row r="446">
      <c r="A446" s="4" t="s">
        <v>565</v>
      </c>
      <c r="B446" s="4" t="s">
        <v>568</v>
      </c>
      <c r="C446" s="5" t="str">
        <f>IFERROR(__xludf.DUMMYFUNCTION("GOOGLETRANSLATE(B446,""en"",""fr"")"),"Une personne dirige des ciseaux à travers une tresse.")</f>
        <v>Une personne dirige des ciseaux à travers une tresse.</v>
      </c>
    </row>
    <row r="447">
      <c r="A447" s="4" t="s">
        <v>565</v>
      </c>
      <c r="B447" s="4" t="s">
        <v>569</v>
      </c>
      <c r="C447" s="5" t="str">
        <f>IFERROR(__xludf.DUMMYFUNCTION("GOOGLETRANSLATE(B447,""en"",""fr"")"),"Une personne applique des tiges aux tresses.")</f>
        <v>Une personne applique des tiges aux tresses.</v>
      </c>
    </row>
    <row r="448">
      <c r="A448" s="4" t="s">
        <v>565</v>
      </c>
      <c r="B448" s="4" t="s">
        <v>570</v>
      </c>
      <c r="C448" s="5" t="str">
        <f>IFERROR(__xludf.DUMMYFUNCTION("GOOGLETRANSLATE(B448,""en"",""fr"")"),"Une personne met des tresses avec des tiges dans l'eau.")</f>
        <v>Une personne met des tresses avec des tiges dans l'eau.</v>
      </c>
    </row>
    <row r="449">
      <c r="A449" s="4" t="s">
        <v>565</v>
      </c>
      <c r="B449" s="4" t="s">
        <v>571</v>
      </c>
      <c r="C449" s="5" t="str">
        <f>IFERROR(__xludf.DUMMYFUNCTION("GOOGLETRANSLATE(B449,""en"",""fr"")"),"Un client avec des lunettes de lecture parle.")</f>
        <v>Un client avec des lunettes de lecture parle.</v>
      </c>
    </row>
    <row r="450">
      <c r="A450" s="4" t="s">
        <v>565</v>
      </c>
      <c r="B450" s="4" t="s">
        <v>572</v>
      </c>
      <c r="C450" s="5" t="str">
        <f>IFERROR(__xludf.DUMMYFUNCTION("GOOGLETRANSLATE(B450,""en"",""fr"")"),"Un client part après les tresses terminées.")</f>
        <v>Un client part après les tresses terminées.</v>
      </c>
    </row>
    <row r="451">
      <c r="A451" s="4" t="s">
        <v>565</v>
      </c>
      <c r="B451" s="4" t="s">
        <v>573</v>
      </c>
      <c r="C451" s="5" t="str">
        <f>IFERROR(__xludf.DUMMYFUNCTION("GOOGLETRANSLATE(B451,""en"",""fr"")"),"Les crédits de la vidéo sont affichés.")</f>
        <v>Les crédits de la vidéo sont affichés.</v>
      </c>
    </row>
    <row r="452">
      <c r="A452" s="4" t="s">
        <v>574</v>
      </c>
      <c r="B452" s="4" t="s">
        <v>575</v>
      </c>
      <c r="C452" s="5" t="str">
        <f>IFERROR(__xludf.DUMMYFUNCTION("GOOGLETRANSLATE(B452,""en"",""fr"")"),"Une femme se tient avec une veste athlétique dans une cour couverte d'herbe et boisée.")</f>
        <v>Une femme se tient avec une veste athlétique dans une cour couverte d'herbe et boisée.</v>
      </c>
    </row>
    <row r="453">
      <c r="A453" s="4" t="s">
        <v>574</v>
      </c>
      <c r="B453" s="4" t="s">
        <v>576</v>
      </c>
      <c r="C453" s="5" t="str">
        <f>IFERROR(__xludf.DUMMYFUNCTION("GOOGLETRANSLATE(B453,""en"",""fr"")"),"La femme entre dans un atelier ouvert.")</f>
        <v>La femme entre dans un atelier ouvert.</v>
      </c>
    </row>
    <row r="454">
      <c r="A454" s="4" t="s">
        <v>574</v>
      </c>
      <c r="B454" s="4" t="s">
        <v>577</v>
      </c>
      <c r="C454" s="5" t="str">
        <f>IFERROR(__xludf.DUMMYFUNCTION("GOOGLETRANSLATE(B454,""en"",""fr"")"),"Les journaux sont empilés debout sur un bloc de coupe.")</f>
        <v>Les journaux sont empilés debout sur un bloc de coupe.</v>
      </c>
    </row>
    <row r="455">
      <c r="A455" s="4" t="s">
        <v>574</v>
      </c>
      <c r="B455" s="4" t="s">
        <v>578</v>
      </c>
      <c r="C455" s="5" t="str">
        <f>IFERROR(__xludf.DUMMYFUNCTION("GOOGLETRANSLATE(B455,""en"",""fr"")"),"La femme utilise une hache pour diviser les journaux en deux.")</f>
        <v>La femme utilise une hache pour diviser les journaux en deux.</v>
      </c>
    </row>
    <row r="456">
      <c r="A456" s="4" t="s">
        <v>579</v>
      </c>
      <c r="B456" s="4" t="s">
        <v>580</v>
      </c>
      <c r="C456" s="5" t="str">
        <f>IFERROR(__xludf.DUMMYFUNCTION("GOOGLETRANSLATE(B456,""en"",""fr"")"),"Les voitures roulent sur l'autoroute assez rapidement.")</f>
        <v>Les voitures roulent sur l'autoroute assez rapidement.</v>
      </c>
    </row>
    <row r="457">
      <c r="A457" s="4" t="s">
        <v>579</v>
      </c>
      <c r="B457" s="4" t="s">
        <v>581</v>
      </c>
      <c r="C457" s="5" t="str">
        <f>IFERROR(__xludf.DUMMYFUNCTION("GOOGLETRANSLATE(B457,""en"",""fr"")"),"Ils s'arrêtent, un homme sort et aide deux femmes à sortir.")</f>
        <v>Ils s'arrêtent, un homme sort et aide deux femmes à sortir.</v>
      </c>
    </row>
    <row r="458">
      <c r="A458" s="4" t="s">
        <v>579</v>
      </c>
      <c r="B458" s="4" t="s">
        <v>582</v>
      </c>
      <c r="C458" s="5" t="str">
        <f>IFERROR(__xludf.DUMMYFUNCTION("GOOGLETRANSLATE(B458,""en"",""fr"")"),"Ils entrent dans un bar et lancent une balle dans une fille boivent à partir d'une guerre de pong de bière.")</f>
        <v>Ils entrent dans un bar et lancent une balle dans une fille boivent à partir d'une guerre de pong de bière.</v>
      </c>
    </row>
    <row r="459">
      <c r="A459" s="4" t="s">
        <v>579</v>
      </c>
      <c r="B459" s="4" t="s">
        <v>583</v>
      </c>
      <c r="C459" s="5" t="str">
        <f>IFERROR(__xludf.DUMMYFUNCTION("GOOGLETRANSLATE(B459,""en"",""fr"")"),"Il se réveille dans son dortoir puis clique sur son iPad pour commencer un championnat de bière Pong.")</f>
        <v>Il se réveille dans son dortoir puis clique sur son iPad pour commencer un championnat de bière Pong.</v>
      </c>
    </row>
    <row r="460">
      <c r="A460" s="4" t="s">
        <v>584</v>
      </c>
      <c r="B460" s="4" t="s">
        <v>585</v>
      </c>
      <c r="C460" s="5" t="str">
        <f>IFERROR(__xludf.DUMMYFUNCTION("GOOGLETRANSLATE(B460,""en"",""fr"")"),"Une jeune femme avec une veste grise se tient devant un lavabo se cache ses mains.")</f>
        <v>Une jeune femme avec une veste grise se tient devant un lavabo se cache ses mains.</v>
      </c>
    </row>
    <row r="461">
      <c r="A461" s="4" t="s">
        <v>584</v>
      </c>
      <c r="B461" s="6" t="s">
        <v>586</v>
      </c>
      <c r="C461" s="5" t="str">
        <f>IFERROR(__xludf.DUMMYFUNCTION("GOOGLETRANSLATE(B461,""en"",""fr"")"),"Elle allume ensuite l'eau et commence à rincer ses mains et à fléchir ses doigts pour s'assurer que tout le savon est éteint.")</f>
        <v>Elle allume ensuite l'eau et commence à rincer ses mains et à fléchir ses doigts pour s'assurer que tout le savon est éteint.</v>
      </c>
    </row>
    <row r="462">
      <c r="A462" s="4" t="s">
        <v>584</v>
      </c>
      <c r="B462" s="4" t="s">
        <v>587</v>
      </c>
      <c r="C462" s="5" t="str">
        <f>IFERROR(__xludf.DUMMYFUNCTION("GOOGLETRANSLATE(B462,""en"",""fr"")"),"Après cela, elle attrape une serviette blanche, sèche ses mains et essuie sa bouche.")</f>
        <v>Après cela, elle attrape une serviette blanche, sèche ses mains et essuie sa bouche.</v>
      </c>
    </row>
    <row r="463">
      <c r="A463" s="4" t="s">
        <v>588</v>
      </c>
      <c r="B463" s="4" t="s">
        <v>589</v>
      </c>
      <c r="C463" s="5" t="str">
        <f>IFERROR(__xludf.DUMMYFUNCTION("GOOGLETRANSLATE(B463,""en"",""fr"")"),"Plusieurs percussionnistes se tiennent sur un terrain.")</f>
        <v>Plusieurs percussionnistes se tiennent sur un terrain.</v>
      </c>
    </row>
    <row r="464">
      <c r="A464" s="4" t="s">
        <v>588</v>
      </c>
      <c r="B464" s="4" t="s">
        <v>590</v>
      </c>
      <c r="C464" s="5" t="str">
        <f>IFERROR(__xludf.DUMMYFUNCTION("GOOGLETRANSLATE(B464,""en"",""fr"")"),"Ils marchent sur le terrain.")</f>
        <v>Ils marchent sur le terrain.</v>
      </c>
    </row>
    <row r="465">
      <c r="A465" s="4" t="s">
        <v>588</v>
      </c>
      <c r="B465" s="4" t="s">
        <v>591</v>
      </c>
      <c r="C465" s="5" t="str">
        <f>IFERROR(__xludf.DUMMYFUNCTION("GOOGLETRANSLATE(B465,""en"",""fr"")"),"Ils tambourinent en synchronisation.")</f>
        <v>Ils tambourinent en synchronisation.</v>
      </c>
    </row>
    <row r="466">
      <c r="A466" s="4" t="s">
        <v>588</v>
      </c>
      <c r="B466" s="4" t="s">
        <v>592</v>
      </c>
      <c r="C466" s="5" t="str">
        <f>IFERROR(__xludf.DUMMYFUNCTION("GOOGLETRANSLATE(B466,""en"",""fr"")"),"Une femme passe avec une caméra vidéo.")</f>
        <v>Une femme passe avec une caméra vidéo.</v>
      </c>
    </row>
    <row r="467">
      <c r="A467" s="4" t="s">
        <v>593</v>
      </c>
      <c r="B467" s="6" t="s">
        <v>594</v>
      </c>
      <c r="C467" s="5" t="str">
        <f>IFERROR(__xludf.DUMMYFUNCTION("GOOGLETRANSLATE(B467,""en"",""fr"")"),"Une fille avec plusieurs piercings faciaux, il a vu la lotion à frotter sur tout son visage et se poudrer ses joues et son visage.")</f>
        <v>Une fille avec plusieurs piercings faciaux, il a vu la lotion à frotter sur tout son visage et se poudrer ses joues et son visage.</v>
      </c>
    </row>
    <row r="468">
      <c r="A468" s="4" t="s">
        <v>593</v>
      </c>
      <c r="B468" s="4" t="s">
        <v>595</v>
      </c>
      <c r="C468" s="5" t="str">
        <f>IFERROR(__xludf.DUMMYFUNCTION("GOOGLETRANSLATE(B468,""en"",""fr"")"),"Elle met ensuite un eye-liner suivi du mascara et du crayon à lèvres.")</f>
        <v>Elle met ensuite un eye-liner suivi du mascara et du crayon à lèvres.</v>
      </c>
    </row>
    <row r="469">
      <c r="A469" s="4" t="s">
        <v>593</v>
      </c>
      <c r="B469" s="6" t="s">
        <v>596</v>
      </c>
      <c r="C469" s="5" t="str">
        <f>IFERROR(__xludf.DUMMYFUNCTION("GOOGLETRANSLATE(B469,""en"",""fr"")"),"Elle colore les sourcils et met les faux cils, puis frottant un peu de noir et plus de mascara.")</f>
        <v>Elle colore les sourcils et met les faux cils, puis frottant un peu de noir et plus de mascara.</v>
      </c>
    </row>
    <row r="470">
      <c r="A470" s="4" t="s">
        <v>593</v>
      </c>
      <c r="B470" s="4" t="s">
        <v>597</v>
      </c>
      <c r="C470" s="5" t="str">
        <f>IFERROR(__xludf.DUMMYFUNCTION("GOOGLETRANSLATE(B470,""en"",""fr"")"),"Elle met un peu de fard à joues sur ses joues puis sourit et vague à la caméra.")</f>
        <v>Elle met un peu de fard à joues sur ses joues puis sourit et vague à la caméra.</v>
      </c>
    </row>
    <row r="471">
      <c r="A471" s="4" t="s">
        <v>598</v>
      </c>
      <c r="B471" s="4" t="s">
        <v>599</v>
      </c>
      <c r="C471" s="5" t="str">
        <f>IFERROR(__xludf.DUMMYFUNCTION("GOOGLETRANSLATE(B471,""en"",""fr"")"),"L'homme regarde la caméra puis recommence à regarder ailleurs et à parler.")</f>
        <v>L'homme regarde la caméra puis recommence à regarder ailleurs et à parler.</v>
      </c>
    </row>
    <row r="472">
      <c r="A472" s="4" t="s">
        <v>598</v>
      </c>
      <c r="B472" s="6" t="s">
        <v>600</v>
      </c>
      <c r="C472" s="5" t="str">
        <f>IFERROR(__xludf.DUMMYFUNCTION("GOOGLETRANSLATE(B472,""en"",""fr"")"),"Ensuite, les tasses qu'ils tiennent tous les deux qui contiennent un liquide bleu est ensuite mis dans leur bouche et ils se gargarisent tous les deux jusqu'à ce qu'ils aient beaucoup de bulles formées dans leur bouche.")</f>
        <v>Ensuite, les tasses qu'ils tiennent tous les deux qui contiennent un liquide bleu est ensuite mis dans leur bouche et ils se gargarisent tous les deux jusqu'à ce qu'ils aient beaucoup de bulles formées dans leur bouche.</v>
      </c>
    </row>
    <row r="473">
      <c r="A473" s="4" t="s">
        <v>601</v>
      </c>
      <c r="B473" s="4" t="s">
        <v>602</v>
      </c>
      <c r="C473" s="5" t="str">
        <f>IFERROR(__xludf.DUMMYFUNCTION("GOOGLETRANSLATE(B473,""en"",""fr"")"),"Les gens skateboard dans une compétition sur la route tout en se penchant et en retenant ses bras.")</f>
        <v>Les gens skateboard dans une compétition sur la route tout en se penchant et en retenant ses bras.</v>
      </c>
    </row>
    <row r="474">
      <c r="A474" s="4" t="s">
        <v>601</v>
      </c>
      <c r="B474" s="4" t="s">
        <v>603</v>
      </c>
      <c r="C474" s="5" t="str">
        <f>IFERROR(__xludf.DUMMYFUNCTION("GOOGLETRANSLATE(B474,""en"",""fr"")"),"Ensuite, un skateur ouvre ses bras et signale aux autres d'avancer.")</f>
        <v>Ensuite, un skateur ouvre ses bras et signale aux autres d'avancer.</v>
      </c>
    </row>
    <row r="475">
      <c r="A475" s="4" t="s">
        <v>601</v>
      </c>
      <c r="B475" s="4" t="s">
        <v>604</v>
      </c>
      <c r="C475" s="5" t="str">
        <f>IFERROR(__xludf.DUMMYFUNCTION("GOOGLETRANSLATE(B475,""en"",""fr"")"),"Ensuite, les planchistes passent sur les spectateurs avant en regardant sur la route.")</f>
        <v>Ensuite, les planchistes passent sur les spectateurs avant en regardant sur la route.</v>
      </c>
    </row>
    <row r="476">
      <c r="A476" s="4" t="s">
        <v>601</v>
      </c>
      <c r="B476" s="4" t="s">
        <v>605</v>
      </c>
      <c r="C476" s="5" t="str">
        <f>IFERROR(__xludf.DUMMYFUNCTION("GOOGLETRANSLATE(B476,""en"",""fr"")"),"Les gens apportent une photo aux skateurs.")</f>
        <v>Les gens apportent une photo aux skateurs.</v>
      </c>
    </row>
    <row r="477">
      <c r="A477" s="4" t="s">
        <v>601</v>
      </c>
      <c r="B477" s="4" t="s">
        <v>606</v>
      </c>
      <c r="C477" s="5" t="str">
        <f>IFERROR(__xludf.DUMMYFUNCTION("GOOGLETRANSLATE(B477,""en"",""fr"")"),"Un skateur tombe sur la route.")</f>
        <v>Un skateur tombe sur la route.</v>
      </c>
    </row>
    <row r="478">
      <c r="A478" s="4" t="s">
        <v>601</v>
      </c>
      <c r="B478" s="4" t="s">
        <v>607</v>
      </c>
      <c r="C478" s="5" t="str">
        <f>IFERROR(__xludf.DUMMYFUNCTION("GOOGLETRANSLATE(B478,""en"",""fr"")"),"Les gens continuent de skateboard sur la route.")</f>
        <v>Les gens continuent de skateboard sur la route.</v>
      </c>
    </row>
    <row r="479">
      <c r="A479" s="4" t="s">
        <v>608</v>
      </c>
      <c r="B479" s="4" t="s">
        <v>609</v>
      </c>
      <c r="C479" s="5" t="str">
        <f>IFERROR(__xludf.DUMMYFUNCTION("GOOGLETRANSLATE(B479,""en"",""fr"")"),"Un groupe chevauche des chevaux jouant à un jeu de polo sur un terrain.")</f>
        <v>Un groupe chevauche des chevaux jouant à un jeu de polo sur un terrain.</v>
      </c>
    </row>
    <row r="480">
      <c r="A480" s="4" t="s">
        <v>608</v>
      </c>
      <c r="B480" s="4" t="s">
        <v>610</v>
      </c>
      <c r="C480" s="5" t="str">
        <f>IFERROR(__xludf.DUMMYFUNCTION("GOOGLETRANSLATE(B480,""en"",""fr"")"),"Le groupe se bat sur le ballon et roule dans une formation serrée.")</f>
        <v>Le groupe se bat sur le ballon et roule dans une formation serrée.</v>
      </c>
    </row>
    <row r="481">
      <c r="A481" s="4" t="s">
        <v>608</v>
      </c>
      <c r="B481" s="4" t="s">
        <v>611</v>
      </c>
      <c r="C481" s="5" t="str">
        <f>IFERROR(__xludf.DUMMYFUNCTION("GOOGLETRANSLATE(B481,""en"",""fr"")"),"Un membre de l'équipe se détache et se dirige vers le but de son cheval.")</f>
        <v>Un membre de l'équipe se détache et se dirige vers le but de son cheval.</v>
      </c>
    </row>
    <row r="482">
      <c r="A482" s="4" t="s">
        <v>612</v>
      </c>
      <c r="B482" s="4" t="s">
        <v>613</v>
      </c>
      <c r="C482" s="5" t="str">
        <f>IFERROR(__xludf.DUMMYFUNCTION("GOOGLETRANSLATE(B482,""en"",""fr"")"),"Un jeune homme est en rappel sur le côté d'une falaise.")</f>
        <v>Un jeune homme est en rappel sur le côté d'une falaise.</v>
      </c>
    </row>
    <row r="483">
      <c r="A483" s="4" t="s">
        <v>612</v>
      </c>
      <c r="B483" s="4" t="s">
        <v>614</v>
      </c>
      <c r="C483" s="5" t="str">
        <f>IFERROR(__xludf.DUMMYFUNCTION("GOOGLETRANSLATE(B483,""en"",""fr"")"),"Un autre homme regarde et aide par le bas.")</f>
        <v>Un autre homme regarde et aide par le bas.</v>
      </c>
    </row>
    <row r="484">
      <c r="A484" s="4" t="s">
        <v>612</v>
      </c>
      <c r="B484" s="4" t="s">
        <v>615</v>
      </c>
      <c r="C484" s="5" t="str">
        <f>IFERROR(__xludf.DUMMYFUNCTION("GOOGLETRANSLATE(B484,""en"",""fr"")"),"L'homme continue de grimper jusqu'à ce qu'il atteigne le sommet.")</f>
        <v>L'homme continue de grimper jusqu'à ce qu'il atteigne le sommet.</v>
      </c>
    </row>
    <row r="485">
      <c r="A485" s="4" t="s">
        <v>616</v>
      </c>
      <c r="B485" s="4" t="s">
        <v>617</v>
      </c>
      <c r="C485" s="5" t="str">
        <f>IFERROR(__xludf.DUMMYFUNCTION("GOOGLETRANSLATE(B485,""en"",""fr"")"),"Les gens jouent au cricket ensemble à l'extérieur.")</f>
        <v>Les gens jouent au cricket ensemble à l'extérieur.</v>
      </c>
    </row>
    <row r="486">
      <c r="A486" s="4" t="s">
        <v>616</v>
      </c>
      <c r="B486" s="4" t="s">
        <v>618</v>
      </c>
      <c r="C486" s="5" t="str">
        <f>IFERROR(__xludf.DUMMYFUNCTION("GOOGLETRANSLATE(B486,""en"",""fr"")"),"Un groupe de personnes occupe un trophée.")</f>
        <v>Un groupe de personnes occupe un trophée.</v>
      </c>
    </row>
    <row r="487">
      <c r="A487" s="4" t="s">
        <v>616</v>
      </c>
      <c r="B487" s="4" t="s">
        <v>619</v>
      </c>
      <c r="C487" s="5" t="str">
        <f>IFERROR(__xludf.DUMMYFUNCTION("GOOGLETRANSLATE(B487,""en"",""fr"")"),"Les gens se promènent à l'extérieur en jouant au cricket.")</f>
        <v>Les gens se promènent à l'extérieur en jouant au cricket.</v>
      </c>
    </row>
    <row r="488">
      <c r="A488" s="4" t="s">
        <v>620</v>
      </c>
      <c r="B488" s="4" t="s">
        <v>621</v>
      </c>
      <c r="C488" s="5" t="str">
        <f>IFERROR(__xludf.DUMMYFUNCTION("GOOGLETRANSLATE(B488,""en"",""fr"")"),"Une femme se tient près d'une toilette en bikini.")</f>
        <v>Une femme se tient près d'une toilette en bikini.</v>
      </c>
    </row>
    <row r="489">
      <c r="A489" s="4" t="s">
        <v>620</v>
      </c>
      <c r="B489" s="4" t="s">
        <v>622</v>
      </c>
      <c r="C489" s="5" t="str">
        <f>IFERROR(__xludf.DUMMYFUNCTION("GOOGLETRANSLATE(B489,""en"",""fr"")"),"Un homme frotte un écran solaire sur ses jambes.")</f>
        <v>Un homme frotte un écran solaire sur ses jambes.</v>
      </c>
    </row>
    <row r="490">
      <c r="A490" s="4" t="s">
        <v>620</v>
      </c>
      <c r="B490" s="4" t="s">
        <v>623</v>
      </c>
      <c r="C490" s="5" t="str">
        <f>IFERROR(__xludf.DUMMYFUNCTION("GOOGLETRANSLATE(B490,""en"",""fr"")"),"Elle commence à se frotter la jambe.")</f>
        <v>Elle commence à se frotter la jambe.</v>
      </c>
    </row>
    <row r="491">
      <c r="A491" s="4" t="s">
        <v>624</v>
      </c>
      <c r="B491" s="4" t="s">
        <v>625</v>
      </c>
      <c r="C491" s="5" t="str">
        <f>IFERROR(__xludf.DUMMYFUNCTION("GOOGLETRANSLATE(B491,""en"",""fr"")"),"Une femme est vue parler à la caméra tout en tenant divers objets.")</f>
        <v>Une femme est vue parler à la caméra tout en tenant divers objets.</v>
      </c>
    </row>
    <row r="492">
      <c r="A492" s="4" t="s">
        <v>624</v>
      </c>
      <c r="B492" s="4" t="s">
        <v>626</v>
      </c>
      <c r="C492" s="5" t="str">
        <f>IFERROR(__xludf.DUMMYFUNCTION("GOOGLETRANSLATE(B492,""en"",""fr"")"),"La ruban adhésif sur son œil et commence à mettre un eye-liner au-dessus de son œil.")</f>
        <v>La ruban adhésif sur son œil et commence à mettre un eye-liner au-dessus de son œil.</v>
      </c>
    </row>
    <row r="493">
      <c r="A493" s="4" t="s">
        <v>624</v>
      </c>
      <c r="B493" s="6" t="s">
        <v>627</v>
      </c>
      <c r="C493" s="5" t="str">
        <f>IFERROR(__xludf.DUMMYFUNCTION("GOOGLETRANSLATE(B493,""en"",""fr"")"),"Elle continue de se maquiller tout en parlant à l'appareil photo et enlève la bande à la fin.")</f>
        <v>Elle continue de se maquiller tout en parlant à l'appareil photo et enlève la bande à la fin.</v>
      </c>
    </row>
    <row r="494">
      <c r="A494" s="4" t="s">
        <v>628</v>
      </c>
      <c r="B494" s="4" t="s">
        <v>629</v>
      </c>
      <c r="C494" s="5" t="str">
        <f>IFERROR(__xludf.DUMMYFUNCTION("GOOGLETRANSLATE(B494,""en"",""fr"")"),"L'homme portant une chemise violette tient un tuyau à gaz.")</f>
        <v>L'homme portant une chemise violette tient un tuyau à gaz.</v>
      </c>
    </row>
    <row r="495">
      <c r="A495" s="4" t="s">
        <v>628</v>
      </c>
      <c r="B495" s="4" t="s">
        <v>630</v>
      </c>
      <c r="C495" s="5" t="str">
        <f>IFERROR(__xludf.DUMMYFUNCTION("GOOGLETRANSLATE(B495,""en"",""fr"")"),"L'homme utilise le tuyau pour éclairer le feu de bois.")</f>
        <v>L'homme utilise le tuyau pour éclairer le feu de bois.</v>
      </c>
    </row>
    <row r="496">
      <c r="A496" s="4" t="s">
        <v>628</v>
      </c>
      <c r="B496" s="4" t="s">
        <v>631</v>
      </c>
      <c r="C496" s="5" t="str">
        <f>IFERROR(__xludf.DUMMYFUNCTION("GOOGLETRANSLATE(B496,""en"",""fr"")"),"L'homme se tient devant une maison éclairant un feu de bois.")</f>
        <v>L'homme se tient devant une maison éclairant un feu de bois.</v>
      </c>
    </row>
    <row r="497">
      <c r="A497" s="4" t="s">
        <v>632</v>
      </c>
      <c r="B497" s="4" t="s">
        <v>633</v>
      </c>
      <c r="C497" s="5" t="str">
        <f>IFERROR(__xludf.DUMMYFUNCTION("GOOGLETRANSLATE(B497,""en"",""fr"")"),"Un homme est vu debout dans un champ avec un chien tout en tenant des jouets.")</f>
        <v>Un homme est vu debout dans un champ avec un chien tout en tenant des jouets.</v>
      </c>
    </row>
    <row r="498">
      <c r="A498" s="4" t="s">
        <v>632</v>
      </c>
      <c r="B498" s="4" t="s">
        <v>634</v>
      </c>
      <c r="C498" s="5" t="str">
        <f>IFERROR(__xludf.DUMMYFUNCTION("GOOGLETRANSLATE(B498,""en"",""fr"")"),"L'homme commence alors à lancer les jouets pendant que le chien les poursuit.")</f>
        <v>L'homme commence alors à lancer les jouets pendant que le chien les poursuit.</v>
      </c>
    </row>
    <row r="499">
      <c r="A499" s="4" t="s">
        <v>632</v>
      </c>
      <c r="B499" s="4" t="s">
        <v>635</v>
      </c>
      <c r="C499" s="5" t="str">
        <f>IFERROR(__xludf.DUMMYFUNCTION("GOOGLETRANSLATE(B499,""en"",""fr"")"),"Les hommes continuent de faire des astuces avec le chien et de terminer avec une photo.")</f>
        <v>Les hommes continuent de faire des astuces avec le chien et de terminer avec une photo.</v>
      </c>
    </row>
    <row r="500">
      <c r="A500" s="4" t="s">
        <v>636</v>
      </c>
      <c r="B500" s="4" t="s">
        <v>637</v>
      </c>
      <c r="C500" s="5" t="str">
        <f>IFERROR(__xludf.DUMMYFUNCTION("GOOGLETRANSLATE(B500,""en"",""fr"")"),"Une ancienne nouvelle blonde lit une histoire.")</f>
        <v>Une ancienne nouvelle blonde lit une histoire.</v>
      </c>
    </row>
    <row r="501">
      <c r="A501" s="4" t="s">
        <v>636</v>
      </c>
      <c r="B501" s="4" t="s">
        <v>638</v>
      </c>
      <c r="C501" s="5" t="str">
        <f>IFERROR(__xludf.DUMMYFUNCTION("GOOGLETRANSLATE(B501,""en"",""fr"")"),"Diverses images sont présentées sur l'histoire du jeu de palets.")</f>
        <v>Diverses images sont présentées sur l'histoire du jeu de palets.</v>
      </c>
    </row>
    <row r="502">
      <c r="A502" s="4" t="s">
        <v>636</v>
      </c>
      <c r="B502" s="4" t="s">
        <v>639</v>
      </c>
      <c r="C502" s="5" t="str">
        <f>IFERROR(__xludf.DUMMYFUNCTION("GOOGLETRANSLATE(B502,""en"",""fr"")"),"Un homme plus âgé est interviewé pour la caméra.")</f>
        <v>Un homme plus âgé est interviewé pour la caméra.</v>
      </c>
    </row>
    <row r="503">
      <c r="A503" s="4" t="s">
        <v>636</v>
      </c>
      <c r="B503" s="4" t="s">
        <v>640</v>
      </c>
      <c r="C503" s="5" t="str">
        <f>IFERROR(__xludf.DUMMYFUNCTION("GOOGLETRANSLATE(B503,""en"",""fr"")"),"Divers clips de personnes jouant au shuffleboard sont affichés.")</f>
        <v>Divers clips de personnes jouant au shuffleboard sont affichés.</v>
      </c>
    </row>
    <row r="504">
      <c r="A504" s="4" t="s">
        <v>636</v>
      </c>
      <c r="B504" s="4" t="s">
        <v>641</v>
      </c>
      <c r="C504" s="5" t="str">
        <f>IFERROR(__xludf.DUMMYFUNCTION("GOOGLETRANSLATE(B504,""en"",""fr"")"),"L'ancien journaliste blonde termine la nouvelle.")</f>
        <v>L'ancien journaliste blonde termine la nouvelle.</v>
      </c>
    </row>
    <row r="505">
      <c r="A505" s="4" t="s">
        <v>642</v>
      </c>
      <c r="B505" s="4" t="s">
        <v>643</v>
      </c>
      <c r="C505" s="5" t="str">
        <f>IFERROR(__xludf.DUMMYFUNCTION("GOOGLETRANSLATE(B505,""en"",""fr"")"),"Plusieurs plans de lutteurs sont montrés.")</f>
        <v>Plusieurs plans de lutteurs sont montrés.</v>
      </c>
    </row>
    <row r="506">
      <c r="A506" s="4" t="s">
        <v>642</v>
      </c>
      <c r="B506" s="4" t="s">
        <v>644</v>
      </c>
      <c r="C506" s="5" t="str">
        <f>IFERROR(__xludf.DUMMYFUNCTION("GOOGLETRANSLATE(B506,""en"",""fr"")"),"Ils font tous des flips au coin de la rue.")</f>
        <v>Ils font tous des flips au coin de la rue.</v>
      </c>
    </row>
    <row r="507">
      <c r="A507" s="4" t="s">
        <v>642</v>
      </c>
      <c r="B507" s="4" t="s">
        <v>645</v>
      </c>
      <c r="C507" s="5" t="str">
        <f>IFERROR(__xludf.DUMMYFUNCTION("GOOGLETRANSLATE(B507,""en"",""fr"")"),"La terre sur leur adversaire.")</f>
        <v>La terre sur leur adversaire.</v>
      </c>
    </row>
    <row r="508">
      <c r="A508" s="4" t="s">
        <v>642</v>
      </c>
      <c r="B508" s="4" t="s">
        <v>646</v>
      </c>
      <c r="C508" s="5" t="str">
        <f>IFERROR(__xludf.DUMMYFUNCTION("GOOGLETRANSLATE(B508,""en"",""fr"")"),"Ils les renversent au sol.")</f>
        <v>Ils les renversent au sol.</v>
      </c>
    </row>
    <row r="509">
      <c r="A509" s="4" t="s">
        <v>647</v>
      </c>
      <c r="B509" s="6" t="s">
        <v>648</v>
      </c>
      <c r="C509" s="5" t="str">
        <f>IFERROR(__xludf.DUMMYFUNCTION("GOOGLETRANSLATE(B509,""en"",""fr"")"),"Une personne invisible montre comment retirer et installer une vanne de pneu sur un pneu à l'aide d'un outil spécial.")</f>
        <v>Une personne invisible montre comment retirer et installer une vanne de pneu sur un pneu à l'aide d'un outil spécial.</v>
      </c>
    </row>
    <row r="510">
      <c r="A510" s="4" t="s">
        <v>647</v>
      </c>
      <c r="B510" s="4" t="s">
        <v>649</v>
      </c>
      <c r="C510" s="5" t="str">
        <f>IFERROR(__xludf.DUMMYFUNCTION("GOOGLETRANSLATE(B510,""en"",""fr"")"),"On voit une paire de mains produisant un outil métallique sur un pneu à parois jaune se trouvant sur une surface plane.")</f>
        <v>On voit une paire de mains produisant un outil métallique sur un pneu à parois jaune se trouvant sur une surface plane.</v>
      </c>
    </row>
    <row r="511">
      <c r="A511" s="4" t="s">
        <v>647</v>
      </c>
      <c r="B511" s="4" t="s">
        <v>650</v>
      </c>
      <c r="C511" s="5" t="str">
        <f>IFERROR(__xludf.DUMMYFUNCTION("GOOGLETRANSLATE(B511,""en"",""fr"")"),"La main utilise l'outil incurvé métallique pour arracher l'ancienne valve de pneu hors de son trou.")</f>
        <v>La main utilise l'outil incurvé métallique pour arracher l'ancienne valve de pneu hors de son trou.</v>
      </c>
    </row>
    <row r="512">
      <c r="A512" s="4" t="s">
        <v>647</v>
      </c>
      <c r="B512" s="4" t="s">
        <v>651</v>
      </c>
      <c r="C512" s="5" t="str">
        <f>IFERROR(__xludf.DUMMYFUNCTION("GOOGLETRANSLATE(B512,""en"",""fr"")"),"La main utilise ensuite un outil métal, noir pour insérer une nouvelle valve dans le pneu.")</f>
        <v>La main utilise ensuite un outil métal, noir pour insérer une nouvelle valve dans le pneu.</v>
      </c>
    </row>
    <row r="513">
      <c r="A513" s="4" t="s">
        <v>652</v>
      </c>
      <c r="B513" s="6" t="s">
        <v>653</v>
      </c>
      <c r="C513" s="5" t="str">
        <f>IFERROR(__xludf.DUMMYFUNCTION("GOOGLETRANSLATE(B513,""en"",""fr"")"),"On voit les mains d'une personne se déplacer autour d'un chat et couler ses griffes pendant que le chat se couche et regarde autour de lui.")</f>
        <v>On voit les mains d'une personne se déplacer autour d'un chat et couler ses griffes pendant que le chat se couche et regarde autour de lui.</v>
      </c>
    </row>
    <row r="514">
      <c r="A514" s="4" t="s">
        <v>652</v>
      </c>
      <c r="B514" s="4" t="s">
        <v>654</v>
      </c>
      <c r="C514" s="5" t="str">
        <f>IFERROR(__xludf.DUMMYFUNCTION("GOOGLETRANSLATE(B514,""en"",""fr"")"),"La personne dépose ensuite les ongles du chat et zoome sur le ventre du chat à la fin.")</f>
        <v>La personne dépose ensuite les ongles du chat et zoome sur le ventre du chat à la fin.</v>
      </c>
    </row>
    <row r="515">
      <c r="A515" s="4" t="s">
        <v>655</v>
      </c>
      <c r="B515" s="4" t="s">
        <v>656</v>
      </c>
      <c r="C515" s="5" t="str">
        <f>IFERROR(__xludf.DUMMYFUNCTION("GOOGLETRANSLATE(B515,""en"",""fr"")"),"Un homme est assis sur un tapis noir dans une salle de sport.")</f>
        <v>Un homme est assis sur un tapis noir dans une salle de sport.</v>
      </c>
    </row>
    <row r="516">
      <c r="A516" s="4" t="s">
        <v>655</v>
      </c>
      <c r="B516" s="4" t="s">
        <v>657</v>
      </c>
      <c r="C516" s="5" t="str">
        <f>IFERROR(__xludf.DUMMYFUNCTION("GOOGLETRANSLATE(B516,""en"",""fr"")"),"Il se repose et craque sur le tapis.")</f>
        <v>Il se repose et craque sur le tapis.</v>
      </c>
    </row>
    <row r="517">
      <c r="A517" s="4" t="s">
        <v>655</v>
      </c>
      <c r="B517" s="4" t="s">
        <v>658</v>
      </c>
      <c r="C517" s="5" t="str">
        <f>IFERROR(__xludf.DUMMYFUNCTION("GOOGLETRANSLATE(B517,""en"",""fr"")"),"Il s'assoit et continue de parler.")</f>
        <v>Il s'assoit et continue de parler.</v>
      </c>
    </row>
    <row r="518">
      <c r="A518" s="4" t="s">
        <v>659</v>
      </c>
      <c r="B518" s="6" t="s">
        <v>660</v>
      </c>
      <c r="C518" s="5" t="str">
        <f>IFERROR(__xludf.DUMMYFUNCTION("GOOGLETRANSLATE(B518,""en"",""fr"")"),"Une caméra se déroule autour d'un homme torse nu assis dans la neige suivi du snowboard et des hommes montant sur une colline.")</f>
        <v>Une caméra se déroule autour d'un homme torse nu assis dans la neige suivi du snowboard et des hommes montant sur une colline.</v>
      </c>
    </row>
    <row r="519">
      <c r="A519" s="4" t="s">
        <v>659</v>
      </c>
      <c r="B519" s="6" t="s">
        <v>661</v>
      </c>
      <c r="C519" s="5" t="str">
        <f>IFERROR(__xludf.DUMMYFUNCTION("GOOGLETRANSLATE(B519,""en"",""fr"")"),"Plusieurs plans sont représentés de personnes qui roulent sur la colline neigeuse et font des tours devant la caméra.")</f>
        <v>Plusieurs plans sont représentés de personnes qui roulent sur la colline neigeuse et font des tours devant la caméra.</v>
      </c>
    </row>
    <row r="520">
      <c r="A520" s="4" t="s">
        <v>662</v>
      </c>
      <c r="B520" s="4" t="s">
        <v>663</v>
      </c>
      <c r="C520" s="5" t="str">
        <f>IFERROR(__xludf.DUMMYFUNCTION("GOOGLETRANSLATE(B520,""en"",""fr"")"),"On voit un homme des cavernes promener un rocher violet.")</f>
        <v>On voit un homme des cavernes promener un rocher violet.</v>
      </c>
    </row>
    <row r="521">
      <c r="A521" s="4" t="s">
        <v>662</v>
      </c>
      <c r="B521" s="4" t="s">
        <v>664</v>
      </c>
      <c r="C521" s="5" t="str">
        <f>IFERROR(__xludf.DUMMYFUNCTION("GOOGLETRANSLATE(B521,""en"",""fr"")"),"Il rencontre un gros chien et le chien mange l'homme des cavernes.")</f>
        <v>Il rencontre un gros chien et le chien mange l'homme des cavernes.</v>
      </c>
    </row>
    <row r="522">
      <c r="A522" s="4" t="s">
        <v>662</v>
      </c>
      <c r="B522" s="4" t="s">
        <v>665</v>
      </c>
      <c r="C522" s="5" t="str">
        <f>IFERROR(__xludf.DUMMYFUNCTION("GOOGLETRANSLATE(B522,""en"",""fr"")"),"Un dieu marche un caniche.")</f>
        <v>Un dieu marche un caniche.</v>
      </c>
    </row>
    <row r="523">
      <c r="A523" s="4" t="s">
        <v>662</v>
      </c>
      <c r="B523" s="4" t="s">
        <v>666</v>
      </c>
      <c r="C523" s="5" t="str">
        <f>IFERROR(__xludf.DUMMYFUNCTION("GOOGLETRANSLATE(B523,""en"",""fr"")"),"Un cow-boy marche son chien et est abattu à l'extérieur d'un salon.")</f>
        <v>Un cow-boy marche son chien et est abattu à l'extérieur d'un salon.</v>
      </c>
    </row>
    <row r="524">
      <c r="A524" s="4" t="s">
        <v>662</v>
      </c>
      <c r="B524" s="4" t="s">
        <v>667</v>
      </c>
      <c r="C524" s="5" t="str">
        <f>IFERROR(__xludf.DUMMYFUNCTION("GOOGLETRANSLATE(B524,""en"",""fr"")"),"Chaplin est vu promener son chien.")</f>
        <v>Chaplin est vu promener son chien.</v>
      </c>
    </row>
    <row r="525">
      <c r="A525" s="4" t="s">
        <v>662</v>
      </c>
      <c r="B525" s="4" t="s">
        <v>668</v>
      </c>
      <c r="C525" s="5" t="str">
        <f>IFERROR(__xludf.DUMMYFUNCTION("GOOGLETRANSLATE(B525,""en"",""fr"")"),"Un chien hippie se trouve sur le sol et semble halluciner.")</f>
        <v>Un chien hippie se trouve sur le sol et semble halluciner.</v>
      </c>
    </row>
    <row r="526">
      <c r="A526" s="4" t="s">
        <v>662</v>
      </c>
      <c r="B526" s="4" t="s">
        <v>669</v>
      </c>
      <c r="C526" s="5" t="str">
        <f>IFERROR(__xludf.DUMMYFUNCTION("GOOGLETRANSLATE(B526,""en"",""fr"")"),"Les chiens et les vaisseaux spatiaux sont vus explorer l'espace.")</f>
        <v>Les chiens et les vaisseaux spatiaux sont vus explorer l'espace.</v>
      </c>
    </row>
    <row r="527">
      <c r="A527" s="4" t="s">
        <v>670</v>
      </c>
      <c r="B527" s="4" t="s">
        <v>671</v>
      </c>
      <c r="C527" s="5" t="str">
        <f>IFERROR(__xludf.DUMMYFUNCTION("GOOGLETRANSLATE(B527,""en"",""fr"")"),"Un homme portant des vêtements noirs aiguise le couteau sur une pierre.")</f>
        <v>Un homme portant des vêtements noirs aiguise le couteau sur une pierre.</v>
      </c>
    </row>
    <row r="528">
      <c r="A528" s="4" t="s">
        <v>670</v>
      </c>
      <c r="B528" s="4" t="s">
        <v>672</v>
      </c>
      <c r="C528" s="5" t="str">
        <f>IFERROR(__xludf.DUMMYFUNCTION("GOOGLETRANSLATE(B528,""en"",""fr"")"),"L'homme à côté de lui sur des manches longues bleues dessinant quelque chose sur la table avec son doigt.")</f>
        <v>L'homme à côté de lui sur des manches longues bleues dessinant quelque chose sur la table avec son doigt.</v>
      </c>
    </row>
    <row r="529">
      <c r="A529" s="4" t="s">
        <v>670</v>
      </c>
      <c r="B529" s="4" t="s">
        <v>673</v>
      </c>
      <c r="C529" s="5" t="str">
        <f>IFERROR(__xludf.DUMMYFUNCTION("GOOGLETRANSLATE(B529,""en"",""fr"")"),"L'homme tourne le couteau pour aiguiser l'autre côté, puis l'essuyer avec de la serviette en papier.")</f>
        <v>L'homme tourne le couteau pour aiguiser l'autre côté, puis l'essuyer avec de la serviette en papier.</v>
      </c>
    </row>
    <row r="530">
      <c r="A530" s="4" t="s">
        <v>670</v>
      </c>
      <c r="B530" s="6" t="s">
        <v>674</v>
      </c>
      <c r="C530" s="5" t="str">
        <f>IFERROR(__xludf.DUMMYFUNCTION("GOOGLETRANSLATE(B530,""en"",""fr"")"),"L'homme en chemise bleu marine pointe vers le couteau pendant que l'homme aiguisant le couteau essaie de l'affiner une main.")</f>
        <v>L'homme en chemise bleu marine pointe vers le couteau pendant que l'homme aiguisant le couteau essaie de l'affiner une main.</v>
      </c>
    </row>
    <row r="531">
      <c r="A531" s="4" t="s">
        <v>670</v>
      </c>
      <c r="B531" s="6" t="s">
        <v>675</v>
      </c>
      <c r="C531" s="5" t="str">
        <f>IFERROR(__xludf.DUMMYFUNCTION("GOOGLETRANSLATE(B531,""en"",""fr"")"),"Il continue à aiguiser le couteau, à le retourner pour aiguiser davantage l'autre côté et à l'essuyer avec une serviette en papier.")</f>
        <v>Il continue à aiguiser le couteau, à le retourner pour aiguiser davantage l'autre côté et à l'essuyer avec une serviette en papier.</v>
      </c>
    </row>
    <row r="532">
      <c r="A532" s="4" t="s">
        <v>670</v>
      </c>
      <c r="B532" s="4" t="s">
        <v>676</v>
      </c>
      <c r="C532" s="5" t="str">
        <f>IFERROR(__xludf.DUMMYFUNCTION("GOOGLETRANSLATE(B532,""en"",""fr"")"),"Jette la serviette en papier ancienne et sale et atteignez le rouleau de serviette en papier et nettoyez le couteau.")</f>
        <v>Jette la serviette en papier ancienne et sale et atteignez le rouleau de serviette en papier et nettoyez le couteau.</v>
      </c>
    </row>
    <row r="533">
      <c r="A533" s="4" t="s">
        <v>677</v>
      </c>
      <c r="B533" s="4" t="s">
        <v>678</v>
      </c>
      <c r="C533" s="5" t="str">
        <f>IFERROR(__xludf.DUMMYFUNCTION("GOOGLETRANSLATE(B533,""en"",""fr"")"),"Une caméra se déroule autour d'une zone enneigée et passe à plusieurs personnes dans des tubes en bas d'une colline.")</f>
        <v>Une caméra se déroule autour d'une zone enneigée et passe à plusieurs personnes dans des tubes en bas d'une colline.</v>
      </c>
    </row>
    <row r="534">
      <c r="A534" s="4" t="s">
        <v>677</v>
      </c>
      <c r="B534" s="6" t="s">
        <v>679</v>
      </c>
      <c r="C534" s="5" t="str">
        <f>IFERROR(__xludf.DUMMYFUNCTION("GOOGLETRANSLATE(B534,""en"",""fr"")"),"Les gens rient en descendant la colline quand une personne tombe et que la caméra se déroule autour des gens.")</f>
        <v>Les gens rient en descendant la colline quand une personne tombe et que la caméra se déroule autour des gens.</v>
      </c>
    </row>
    <row r="535">
      <c r="A535" s="4" t="s">
        <v>677</v>
      </c>
      <c r="B535" s="4" t="s">
        <v>680</v>
      </c>
      <c r="C535" s="5" t="str">
        <f>IFERROR(__xludf.DUMMYFUNCTION("GOOGLETRANSLATE(B535,""en"",""fr"")"),"La caméra montre un autre coup de gens qui roulent ensemble sur la longue colline.")</f>
        <v>La caméra montre un autre coup de gens qui roulent ensemble sur la longue colline.</v>
      </c>
    </row>
    <row r="536">
      <c r="A536" s="4" t="s">
        <v>681</v>
      </c>
      <c r="B536" s="4" t="s">
        <v>682</v>
      </c>
      <c r="C536" s="5" t="str">
        <f>IFERROR(__xludf.DUMMYFUNCTION("GOOGLETRANSLATE(B536,""en"",""fr"")"),"Un homme est assis sur un lac gelé, pêchant à travers un trou et entouré d'un équipement de pêche.")</f>
        <v>Un homme est assis sur un lac gelé, pêchant à travers un trou et entouré d'un équipement de pêche.</v>
      </c>
    </row>
    <row r="537">
      <c r="A537" s="4" t="s">
        <v>681</v>
      </c>
      <c r="B537" s="4" t="s">
        <v>683</v>
      </c>
      <c r="C537" s="5" t="str">
        <f>IFERROR(__xludf.DUMMYFUNCTION("GOOGLETRANSLATE(B537,""en"",""fr"")"),"Il s'éloigne de ses affaires et un poisson tire son poteau dans l'eau, disparaissant avec.")</f>
        <v>Il s'éloigne de ses affaires et un poisson tire son poteau dans l'eau, disparaissant avec.</v>
      </c>
    </row>
    <row r="538">
      <c r="A538" s="4" t="s">
        <v>681</v>
      </c>
      <c r="B538" s="4" t="s">
        <v>684</v>
      </c>
      <c r="C538" s="5" t="str">
        <f>IFERROR(__xludf.DUMMYFUNCTION("GOOGLETRANSLATE(B538,""en"",""fr"")"),"Il se tient avec colère avec ses mains sur ses hanches, puis obtient un autre poteau pour essayer de le récupérer.")</f>
        <v>Il se tient avec colère avec ses mains sur ses hanches, puis obtient un autre poteau pour essayer de le récupérer.</v>
      </c>
    </row>
    <row r="539">
      <c r="A539" s="4" t="s">
        <v>685</v>
      </c>
      <c r="B539" s="4" t="s">
        <v>686</v>
      </c>
      <c r="C539" s="5" t="str">
        <f>IFERROR(__xludf.DUMMYFUNCTION("GOOGLETRANSLATE(B539,""en"",""fr"")"),"Un homme se tient sur une scène effectuant différents mouvements.")</f>
        <v>Un homme se tient sur une scène effectuant différents mouvements.</v>
      </c>
    </row>
    <row r="540">
      <c r="A540" s="4" t="s">
        <v>685</v>
      </c>
      <c r="B540" s="4" t="s">
        <v>687</v>
      </c>
      <c r="C540" s="5" t="str">
        <f>IFERROR(__xludf.DUMMYFUNCTION("GOOGLETRANSLATE(B540,""en"",""fr"")"),"Il sort de la scène et quelqu'un d'autre monte sur la scène.")</f>
        <v>Il sort de la scène et quelqu'un d'autre monte sur la scène.</v>
      </c>
    </row>
    <row r="541">
      <c r="A541" s="4" t="s">
        <v>688</v>
      </c>
      <c r="B541" s="4" t="s">
        <v>689</v>
      </c>
      <c r="C541" s="5" t="str">
        <f>IFERROR(__xludf.DUMMYFUNCTION("GOOGLETRANSLATE(B541,""en"",""fr"")"),"Cette femme montre à ses téléspectateurs comment faire un Chambord Royale.")</f>
        <v>Cette femme montre à ses téléspectateurs comment faire un Chambord Royale.</v>
      </c>
    </row>
    <row r="542">
      <c r="A542" s="4" t="s">
        <v>688</v>
      </c>
      <c r="B542" s="6" t="s">
        <v>690</v>
      </c>
      <c r="C542" s="5" t="str">
        <f>IFERROR(__xludf.DUMMYFUNCTION("GOOGLETRANSLATE(B542,""en"",""fr"")"),"Elle remplit d'abord son shaker à mi-chemin de glace, puis elle ajoute de la vodka et de Chambord et elle en met une once, puis elle ajoute un peu de jus d'ananas et de jus de canneberge.")</f>
        <v>Elle remplit d'abord son shaker à mi-chemin de glace, puis elle ajoute de la vodka et de Chambord et elle en met une once, puis elle ajoute un peu de jus d'ananas et de jus de canneberge.</v>
      </c>
    </row>
    <row r="543">
      <c r="A543" s="4" t="s">
        <v>688</v>
      </c>
      <c r="B543" s="4" t="s">
        <v>691</v>
      </c>
      <c r="C543" s="5" t="str">
        <f>IFERROR(__xludf.DUMMYFUNCTION("GOOGLETRANSLATE(B543,""en"",""fr"")"),"Ensuite, elle secoue tout et attribue la boisson dans la tasse de cocktails.")</f>
        <v>Ensuite, elle secoue tout et attribue la boisson dans la tasse de cocktails.</v>
      </c>
    </row>
    <row r="544">
      <c r="A544" s="4" t="s">
        <v>692</v>
      </c>
      <c r="B544" s="4" t="s">
        <v>693</v>
      </c>
      <c r="C544" s="5" t="str">
        <f>IFERROR(__xludf.DUMMYFUNCTION("GOOGLETRANSLATE(B544,""en"",""fr"")"),"Ce perosn est montré en faisant un sandwich qui comprend la viande du déjeuner, le fromage suisse et la mayonnaise.")</f>
        <v>Ce perosn est montré en faisant un sandwich qui comprend la viande du déjeuner, le fromage suisse et la mayonnaise.</v>
      </c>
    </row>
    <row r="545">
      <c r="A545" s="4" t="s">
        <v>692</v>
      </c>
      <c r="B545" s="4" t="s">
        <v>694</v>
      </c>
      <c r="C545" s="5" t="str">
        <f>IFERROR(__xludf.DUMMYFUNCTION("GOOGLETRANSLATE(B545,""en"",""fr"")"),"Il mélange ensuite un œuf et du lait ensemble et met le sandwich dans le mélange.")</f>
        <v>Il mélange ensuite un œuf et du lait ensemble et met le sandwich dans le mélange.</v>
      </c>
    </row>
    <row r="546">
      <c r="A546" s="4" t="s">
        <v>692</v>
      </c>
      <c r="B546" s="6" t="s">
        <v>695</v>
      </c>
      <c r="C546" s="5" t="str">
        <f>IFERROR(__xludf.DUMMYFUNCTION("GOOGLETRANSLATE(B546,""en"",""fr"")"),"Il met le sandwich dans une poêle qui se trouve un peu sur le poêle, puis il met le sandwich sur une assiette en forme de carré blanche, que je suppose qu'il a mangé.")</f>
        <v>Il met le sandwich dans une poêle qui se trouve un peu sur le poêle, puis il met le sandwich sur une assiette en forme de carré blanche, que je suppose qu'il a mangé.</v>
      </c>
    </row>
    <row r="547">
      <c r="A547" s="4" t="s">
        <v>696</v>
      </c>
      <c r="B547" s="6" t="s">
        <v>697</v>
      </c>
      <c r="C547" s="5" t="str">
        <f>IFERROR(__xludf.DUMMYFUNCTION("GOOGLETRANSLATE(B547,""en"",""fr"")"),"Un très grand homme musclé est montré dans une salle de gym avec une barre de poids alors que la musique de piano joue en arrière-plan.")</f>
        <v>Un très grand homme musclé est montré dans une salle de gym avec une barre de poids alors que la musique de piano joue en arrière-plan.</v>
      </c>
    </row>
    <row r="548">
      <c r="A548" s="4" t="s">
        <v>696</v>
      </c>
      <c r="B548" s="4" t="s">
        <v>698</v>
      </c>
      <c r="C548" s="5" t="str">
        <f>IFERROR(__xludf.DUMMYFUNCTION("GOOGLETRANSLATE(B548,""en"",""fr"")"),"La vidéo commence par le poids sur le sol et l'homme s'apprête à le soulever.")</f>
        <v>La vidéo commence par le poids sur le sol et l'homme s'apprête à le soulever.</v>
      </c>
    </row>
    <row r="549">
      <c r="A549" s="4" t="s">
        <v>696</v>
      </c>
      <c r="B549" s="4" t="s">
        <v>699</v>
      </c>
      <c r="C549" s="5" t="str">
        <f>IFERROR(__xludf.DUMMYFUNCTION("GOOGLETRANSLATE(B549,""en"",""fr"")"),"Il soulève le poids et le porte d'abord parallèle à ses épaules.")</f>
        <v>Il soulève le poids et le porte d'abord parallèle à ses épaules.</v>
      </c>
    </row>
    <row r="550">
      <c r="A550" s="4" t="s">
        <v>696</v>
      </c>
      <c r="B550" s="4" t="s">
        <v>700</v>
      </c>
      <c r="C550" s="5" t="str">
        <f>IFERROR(__xludf.DUMMYFUNCTION("GOOGLETRANSLATE(B550,""en"",""fr"")"),"Il le soulève alors complètement au-dessus de sa tête, les bras étendus.")</f>
        <v>Il le soulève alors complètement au-dessus de sa tête, les bras étendus.</v>
      </c>
    </row>
    <row r="551">
      <c r="A551" s="4" t="s">
        <v>696</v>
      </c>
      <c r="B551" s="4" t="s">
        <v>701</v>
      </c>
      <c r="C551" s="5" t="str">
        <f>IFERROR(__xludf.DUMMYFUNCTION("GOOGLETRANSLATE(B551,""en"",""fr"")"),"Après avoir laissé ses bras pendant plusieurs secondes, il permet au poids de tomber par terre.")</f>
        <v>Après avoir laissé ses bras pendant plusieurs secondes, il permet au poids de tomber par terre.</v>
      </c>
    </row>
    <row r="552">
      <c r="A552" s="4" t="s">
        <v>702</v>
      </c>
      <c r="B552" s="4" t="s">
        <v>703</v>
      </c>
      <c r="C552" s="5" t="str">
        <f>IFERROR(__xludf.DUMMYFUNCTION("GOOGLETRANSLATE(B552,""en"",""fr"")"),"Une intro mène à une femme qui tire un seau et reconstituer une vadrouille.")</f>
        <v>Une intro mène à une femme qui tire un seau et reconstituer une vadrouille.</v>
      </c>
    </row>
    <row r="553">
      <c r="A553" s="4" t="s">
        <v>702</v>
      </c>
      <c r="B553" s="6" t="s">
        <v>704</v>
      </c>
      <c r="C553" s="5" t="str">
        <f>IFERROR(__xludf.DUMMYFUNCTION("GOOGLETRANSLATE(B553,""en"",""fr"")"),"La caméra se déroule autour du seau et la femme continue en utilisant la vadrouille à l'intérieur du seau et se déplaçant autour de l'objet.")</f>
        <v>La caméra se déroule autour du seau et la femme continue en utilisant la vadrouille à l'intérieur du seau et se déplaçant autour de l'objet.</v>
      </c>
    </row>
    <row r="554">
      <c r="A554" s="4" t="s">
        <v>705</v>
      </c>
      <c r="B554" s="4" t="s">
        <v>706</v>
      </c>
      <c r="C554" s="5" t="str">
        <f>IFERROR(__xludf.DUMMYFUNCTION("GOOGLETRANSLATE(B554,""en"",""fr"")"),"Un homme en chemise rouge est assis à un vélo d'exercice.")</f>
        <v>Un homme en chemise rouge est assis à un vélo d'exercice.</v>
      </c>
    </row>
    <row r="555">
      <c r="A555" s="4" t="s">
        <v>705</v>
      </c>
      <c r="B555" s="4" t="s">
        <v>707</v>
      </c>
      <c r="C555" s="5" t="str">
        <f>IFERROR(__xludf.DUMMYFUNCTION("GOOGLETRANSLATE(B555,""en"",""fr"")"),"Il bouge ses jambes sur les pédales.")</f>
        <v>Il bouge ses jambes sur les pédales.</v>
      </c>
    </row>
    <row r="556">
      <c r="A556" s="4" t="s">
        <v>705</v>
      </c>
      <c r="B556" s="4" t="s">
        <v>708</v>
      </c>
      <c r="C556" s="5" t="str">
        <f>IFERROR(__xludf.DUMMYFUNCTION("GOOGLETRANSLATE(B556,""en"",""fr"")"),"Il y a d'autres vélos à côté de lui.")</f>
        <v>Il y a d'autres vélos à côté de lui.</v>
      </c>
    </row>
    <row r="557">
      <c r="A557" s="4" t="s">
        <v>709</v>
      </c>
      <c r="B557" s="4" t="s">
        <v>710</v>
      </c>
      <c r="C557" s="5" t="str">
        <f>IFERROR(__xludf.DUMMYFUNCTION("GOOGLETRANSLATE(B557,""en"",""fr"")"),"Un homme est vu à genoux sur le sol en balançant ses bras en arrière et quatrième.")</f>
        <v>Un homme est vu à genoux sur le sol en balançant ses bras en arrière et quatrième.</v>
      </c>
    </row>
    <row r="558">
      <c r="A558" s="4" t="s">
        <v>709</v>
      </c>
      <c r="B558" s="4" t="s">
        <v>711</v>
      </c>
      <c r="C558" s="5" t="str">
        <f>IFERROR(__xludf.DUMMYFUNCTION("GOOGLETRANSLATE(B558,""en"",""fr"")"),"Le texte se déplace sur son visage alors qu'il balance ses bras.")</f>
        <v>Le texte se déplace sur son visage alors qu'il balance ses bras.</v>
      </c>
    </row>
    <row r="559">
      <c r="A559" s="4" t="s">
        <v>709</v>
      </c>
      <c r="B559" s="4" t="s">
        <v>712</v>
      </c>
      <c r="C559" s="5" t="str">
        <f>IFERROR(__xludf.DUMMYFUNCTION("GOOGLETRANSLATE(B559,""en"",""fr"")"),"L'homme continue de balancer ses bras et se termine avec des crédits roulant.")</f>
        <v>L'homme continue de balancer ses bras et se termine avec des crédits roulant.</v>
      </c>
    </row>
    <row r="560">
      <c r="A560" s="4" t="s">
        <v>713</v>
      </c>
      <c r="B560" s="4" t="s">
        <v>714</v>
      </c>
      <c r="C560" s="5" t="str">
        <f>IFERROR(__xludf.DUMMYFUNCTION("GOOGLETRANSLATE(B560,""en"",""fr"")"),"Un gros plan d'un banc en bois est vu suivi par une personne mélangeant des ingrédients.")</f>
        <v>Un gros plan d'un banc en bois est vu suivi par une personne mélangeant des ingrédients.</v>
      </c>
    </row>
    <row r="561">
      <c r="A561" s="4" t="s">
        <v>713</v>
      </c>
      <c r="B561" s="4" t="s">
        <v>715</v>
      </c>
      <c r="C561" s="5" t="str">
        <f>IFERROR(__xludf.DUMMYFUNCTION("GOOGLETRANSLATE(B561,""en"",""fr"")"),"Une personne est alors vue en tenant un chiffon et en essuyant le banc.")</f>
        <v>Une personne est alors vue en tenant un chiffon et en essuyant le banc.</v>
      </c>
    </row>
    <row r="562">
      <c r="A562" s="4" t="s">
        <v>713</v>
      </c>
      <c r="B562" s="4" t="s">
        <v>716</v>
      </c>
      <c r="C562" s="5" t="str">
        <f>IFERROR(__xludf.DUMMYFUNCTION("GOOGLETRANSLATE(B562,""en"",""fr"")"),"Plus d'ingrédients sont mélangés par la suite, ce qui mène à plus d'essuyage avec le chiffon.")</f>
        <v>Plus d'ingrédients sont mélangés par la suite, ce qui mène à plus d'essuyage avec le chiffon.</v>
      </c>
    </row>
    <row r="563">
      <c r="A563" s="4" t="s">
        <v>717</v>
      </c>
      <c r="B563" s="4" t="s">
        <v>718</v>
      </c>
      <c r="C563" s="5" t="str">
        <f>IFERROR(__xludf.DUMMYFUNCTION("GOOGLETRANSLATE(B563,""en"",""fr"")"),"Une fille pousse deux petits garçons sur une balançoire d'arrière-cour.")</f>
        <v>Une fille pousse deux petits garçons sur une balançoire d'arrière-cour.</v>
      </c>
    </row>
    <row r="564">
      <c r="A564" s="4" t="s">
        <v>717</v>
      </c>
      <c r="B564" s="4" t="s">
        <v>719</v>
      </c>
      <c r="C564" s="5" t="str">
        <f>IFERROR(__xludf.DUMMYFUNCTION("GOOGLETRANSLATE(B564,""en"",""fr"")"),"Elle sourit à la caméra alors qu'elle pousse les garçons d'avant en arrière.")</f>
        <v>Elle sourit à la caméra alors qu'elle pousse les garçons d'avant en arrière.</v>
      </c>
    </row>
    <row r="565">
      <c r="A565" s="4" t="s">
        <v>720</v>
      </c>
      <c r="B565" s="6" t="s">
        <v>721</v>
      </c>
      <c r="C565" s="5" t="str">
        <f>IFERROR(__xludf.DUMMYFUNCTION("GOOGLETRANSLATE(B565,""en"",""fr"")"),"Un groupe est vu assis sur scène avec un homme jouant de la batterie et une femme l'interviewant.")</f>
        <v>Un groupe est vu assis sur scène avec un homme jouant de la batterie et une femme l'interviewant.</v>
      </c>
    </row>
    <row r="566">
      <c r="A566" s="4" t="s">
        <v>720</v>
      </c>
      <c r="B566" s="4" t="s">
        <v>722</v>
      </c>
      <c r="C566" s="5" t="str">
        <f>IFERROR(__xludf.DUMMYFUNCTION("GOOGLETRANSLATE(B566,""en"",""fr"")"),"L'homme continue de jouer alors que les femmes parlent de la foule et chante pendant qu'elles jouent.")</f>
        <v>L'homme continue de jouer alors que les femmes parlent de la foule et chante pendant qu'elles jouent.</v>
      </c>
    </row>
    <row r="567">
      <c r="A567" s="4" t="s">
        <v>723</v>
      </c>
      <c r="B567" s="4" t="s">
        <v>724</v>
      </c>
      <c r="C567" s="5" t="str">
        <f>IFERROR(__xludf.DUMMYFUNCTION("GOOGLETRANSLATE(B567,""en"",""fr"")"),"Divers tirs sont représentés de selles de cheval et de diverses personnes sur ces selles sur des chevaux.")</f>
        <v>Divers tirs sont représentés de selles de cheval et de diverses personnes sur ces selles sur des chevaux.</v>
      </c>
    </row>
    <row r="568">
      <c r="A568" s="4" t="s">
        <v>723</v>
      </c>
      <c r="B568" s="4" t="s">
        <v>725</v>
      </c>
      <c r="C568" s="5" t="str">
        <f>IFERROR(__xludf.DUMMYFUNCTION("GOOGLETRANSLATE(B568,""en"",""fr"")"),"Une fille enroule la corde autour de sa selle tandis que les autres s'entraînent sur des selles placées.")</f>
        <v>Une fille enroule la corde autour de sa selle tandis que les autres s'entraînent sur des selles placées.</v>
      </c>
    </row>
    <row r="569">
      <c r="A569" s="4" t="s">
        <v>723</v>
      </c>
      <c r="B569" s="4" t="s">
        <v>726</v>
      </c>
      <c r="C569" s="5" t="str">
        <f>IFERROR(__xludf.DUMMYFUNCTION("GOOGLETRANSLATE(B569,""en"",""fr"")"),"Les gens roulent dans les selles et montrent divers caddies et comment les monter.")</f>
        <v>Les gens roulent dans les selles et montrent divers caddies et comment les monter.</v>
      </c>
    </row>
    <row r="570">
      <c r="A570" s="4" t="s">
        <v>723</v>
      </c>
      <c r="B570" s="6" t="s">
        <v>727</v>
      </c>
      <c r="C570" s="5" t="str">
        <f>IFERROR(__xludf.DUMMYFUNCTION("GOOGLETRANSLATE(B570,""en"",""fr"")"),"Un touriste est interviewé sur une expérience de conduite, mais elle a regardé d'autres rouler et se sentait confiante.")</f>
        <v>Un touriste est interviewé sur une expérience de conduite, mais elle a regardé d'autres rouler et se sentait confiante.</v>
      </c>
    </row>
    <row r="571">
      <c r="A571" s="4" t="s">
        <v>723</v>
      </c>
      <c r="B571" s="4" t="s">
        <v>728</v>
      </c>
      <c r="C571" s="5" t="str">
        <f>IFERROR(__xludf.DUMMYFUNCTION("GOOGLETRANSLATE(B571,""en"",""fr"")"),"Des orateurs d'hommes sur son expérience et divers plans des chevaux et de la faune sont montrés.")</f>
        <v>Des orateurs d'hommes sur son expérience et divers plans des chevaux et de la faune sont montrés.</v>
      </c>
    </row>
    <row r="572">
      <c r="A572" s="4" t="s">
        <v>729</v>
      </c>
      <c r="B572" s="4" t="s">
        <v>730</v>
      </c>
      <c r="C572" s="5" t="str">
        <f>IFERROR(__xludf.DUMMYFUNCTION("GOOGLETRANSLATE(B572,""en"",""fr"")"),"Un homme balance sa jambe dans l'air créant des lettres et nous voyons un écran d'ouverture.")</f>
        <v>Un homme balance sa jambe dans l'air créant des lettres et nous voyons un écran d'ouverture.</v>
      </c>
    </row>
    <row r="573">
      <c r="A573" s="4" t="s">
        <v>729</v>
      </c>
      <c r="B573" s="4" t="s">
        <v>731</v>
      </c>
      <c r="C573" s="5" t="str">
        <f>IFERROR(__xludf.DUMMYFUNCTION("GOOGLETRANSLATE(B573,""en"",""fr"")"),"Deux hommes sont dans deux pièces différentes effectuant des mouvements de capoeira.")</f>
        <v>Deux hommes sont dans deux pièces différentes effectuant des mouvements de capoeira.</v>
      </c>
    </row>
    <row r="574">
      <c r="A574" s="4" t="s">
        <v>729</v>
      </c>
      <c r="B574" s="4" t="s">
        <v>732</v>
      </c>
      <c r="C574" s="5" t="str">
        <f>IFERROR(__xludf.DUMMYFUNCTION("GOOGLETRANSLATE(B574,""en"",""fr"")"),"Un homme fait un mouvement de pointe.")</f>
        <v>Un homme fait un mouvement de pointe.</v>
      </c>
    </row>
    <row r="575">
      <c r="A575" s="4" t="s">
        <v>729</v>
      </c>
      <c r="B575" s="4" t="s">
        <v>733</v>
      </c>
      <c r="C575" s="5" t="str">
        <f>IFERROR(__xludf.DUMMYFUNCTION("GOOGLETRANSLATE(B575,""en"",""fr"")"),"L'homme fait une main et une pause.")</f>
        <v>L'homme fait une main et une pause.</v>
      </c>
    </row>
    <row r="576">
      <c r="A576" s="4" t="s">
        <v>729</v>
      </c>
      <c r="B576" s="4" t="s">
        <v>734</v>
      </c>
      <c r="C576" s="5" t="str">
        <f>IFERROR(__xludf.DUMMYFUNCTION("GOOGLETRANSLATE(B576,""en"",""fr"")"),"Nous voyons le site Web sur un écran noir.")</f>
        <v>Nous voyons le site Web sur un écran noir.</v>
      </c>
    </row>
    <row r="577">
      <c r="A577" s="4" t="s">
        <v>729</v>
      </c>
      <c r="B577" s="4" t="s">
        <v>735</v>
      </c>
      <c r="C577" s="5" t="str">
        <f>IFERROR(__xludf.DUMMYFUNCTION("GOOGLETRANSLATE(B577,""en"",""fr"")"),"Nous voyons quatre écrans avec des images d'hommes faisant de la capoeira.")</f>
        <v>Nous voyons quatre écrans avec des images d'hommes faisant de la capoeira.</v>
      </c>
    </row>
    <row r="578">
      <c r="A578" s="4" t="s">
        <v>736</v>
      </c>
      <c r="B578" s="4" t="s">
        <v>737</v>
      </c>
      <c r="C578" s="5" t="str">
        <f>IFERROR(__xludf.DUMMYFUNCTION("GOOGLETRANSLATE(B578,""en"",""fr"")"),"Quelqu'un se brosse les dents avec une brosse à dents électrique.")</f>
        <v>Quelqu'un se brosse les dents avec une brosse à dents électrique.</v>
      </c>
    </row>
    <row r="579">
      <c r="A579" s="4" t="s">
        <v>736</v>
      </c>
      <c r="B579" s="4" t="s">
        <v>738</v>
      </c>
      <c r="C579" s="5" t="str">
        <f>IFERROR(__xludf.DUMMYFUNCTION("GOOGLETRANSLATE(B579,""en"",""fr"")"),"Ils portent des accolades afin qu'ils s'assurent très bien frotter tout autour.")</f>
        <v>Ils portent des accolades afin qu'ils s'assurent très bien frotter tout autour.</v>
      </c>
    </row>
    <row r="580">
      <c r="A580" s="4" t="s">
        <v>736</v>
      </c>
      <c r="B580" s="4" t="s">
        <v>739</v>
      </c>
      <c r="C580" s="5" t="str">
        <f>IFERROR(__xludf.DUMMYFUNCTION("GOOGLETRANSLATE(B580,""en"",""fr"")"),"Vous pouvez voir la langue se déplacer jamais vraiment à l'aise à l'intérieur de la bouche.")</f>
        <v>Vous pouvez voir la langue se déplacer jamais vraiment à l'aise à l'intérieur de la bouche.</v>
      </c>
    </row>
    <row r="581">
      <c r="A581" s="4" t="s">
        <v>736</v>
      </c>
      <c r="B581" s="4" t="s">
        <v>740</v>
      </c>
      <c r="C581" s="5" t="str">
        <f>IFERROR(__xludf.DUMMYFUNCTION("GOOGLETRANSLATE(B581,""en"",""fr"")"),"L'homme continue de se brosser, le dentifrice crachant un peu ses lèvres.")</f>
        <v>L'homme continue de se brosser, le dentifrice crachant un peu ses lèvres.</v>
      </c>
    </row>
    <row r="582">
      <c r="A582" s="4" t="s">
        <v>741</v>
      </c>
      <c r="B582" s="4" t="s">
        <v>742</v>
      </c>
      <c r="C582" s="5" t="str">
        <f>IFERROR(__xludf.DUMMYFUNCTION("GOOGLETRANSLATE(B582,""en"",""fr"")"),"Une personne pulvérise un évier et l'essuie avec une serviette.")</f>
        <v>Une personne pulvérise un évier et l'essuie avec une serviette.</v>
      </c>
    </row>
    <row r="583">
      <c r="A583" s="4" t="s">
        <v>741</v>
      </c>
      <c r="B583" s="4" t="s">
        <v>743</v>
      </c>
      <c r="C583" s="5" t="str">
        <f>IFERROR(__xludf.DUMMYFUNCTION("GOOGLETRANSLATE(B583,""en"",""fr"")"),"Ils vaporisent une baignoire et l'essuient avec une serviette.")</f>
        <v>Ils vaporisent une baignoire et l'essuient avec une serviette.</v>
      </c>
    </row>
    <row r="584">
      <c r="A584" s="4" t="s">
        <v>741</v>
      </c>
      <c r="B584" s="4" t="s">
        <v>744</v>
      </c>
      <c r="C584" s="5" t="str">
        <f>IFERROR(__xludf.DUMMYFUNCTION("GOOGLETRANSLATE(B584,""en"",""fr"")"),"Ils vaporisent des toilettes et l'essuyent avec des toilettes.")</f>
        <v>Ils vaporisent des toilettes et l'essuyent avec des toilettes.</v>
      </c>
    </row>
    <row r="585">
      <c r="A585" s="4" t="s">
        <v>745</v>
      </c>
      <c r="B585" s="4" t="s">
        <v>746</v>
      </c>
      <c r="C585" s="5" t="str">
        <f>IFERROR(__xludf.DUMMYFUNCTION("GOOGLETRANSLATE(B585,""en"",""fr"")"),"Il y a plusieurs personnes rassemblées dans un parc de patinage avec des planches à roulettes.")</f>
        <v>Il y a plusieurs personnes rassemblées dans un parc de patinage avec des planches à roulettes.</v>
      </c>
    </row>
    <row r="586">
      <c r="A586" s="4" t="s">
        <v>745</v>
      </c>
      <c r="B586" s="6" t="s">
        <v>747</v>
      </c>
      <c r="C586" s="5" t="str">
        <f>IFERROR(__xludf.DUMMYFUNCTION("GOOGLETRANSLATE(B586,""en"",""fr"")"),"Là, un jeune homme portant un chapeau rouge parlant d'un événement de skateboard à Red Bull Skate Arcade.")</f>
        <v>Là, un jeune homme portant un chapeau rouge parlant d'un événement de skateboard à Red Bull Skate Arcade.</v>
      </c>
    </row>
    <row r="587">
      <c r="A587" s="4" t="s">
        <v>745</v>
      </c>
      <c r="B587" s="4" t="s">
        <v>748</v>
      </c>
      <c r="C587" s="5" t="str">
        <f>IFERROR(__xludf.DUMMYFUNCTION("GOOGLETRANSLATE(B587,""en"",""fr"")"),"Plusieurs spectateurs sont rassemblés dans l'arcade avec un panel de juges.")</f>
        <v>Plusieurs spectateurs sont rassemblés dans l'arcade avec un panel de juges.</v>
      </c>
    </row>
    <row r="588">
      <c r="A588" s="4" t="s">
        <v>745</v>
      </c>
      <c r="B588" s="4" t="s">
        <v>749</v>
      </c>
      <c r="C588" s="5" t="str">
        <f>IFERROR(__xludf.DUMMYFUNCTION("GOOGLETRANSLATE(B588,""en"",""fr"")"),"Certains participants battent la chaleur en éclaboussant de l'eau sur eux-mêmes.")</f>
        <v>Certains participants battent la chaleur en éclaboussant de l'eau sur eux-mêmes.</v>
      </c>
    </row>
    <row r="589">
      <c r="A589" s="4" t="s">
        <v>745</v>
      </c>
      <c r="B589" s="4" t="s">
        <v>750</v>
      </c>
      <c r="C589" s="5" t="str">
        <f>IFERROR(__xludf.DUMMYFUNCTION("GOOGLETRANSLATE(B589,""en"",""fr"")"),"Les participants commencent leurs cascades sur les planches à roulettes alors qu'ils passent en revue des rampes et des pentes raides.")</f>
        <v>Les participants commencent leurs cascades sur les planches à roulettes alors qu'ils passent en revue des rampes et des pentes raides.</v>
      </c>
    </row>
    <row r="590">
      <c r="A590" s="4" t="s">
        <v>745</v>
      </c>
      <c r="B590" s="4" t="s">
        <v>751</v>
      </c>
      <c r="C590" s="5" t="str">
        <f>IFERROR(__xludf.DUMMYFUNCTION("GOOGLETRANSLATE(B590,""en"",""fr"")"),"Plusieurs participants montrent leurs cascades alors que les spectateurs applaudissent et applaudissent pour eux.")</f>
        <v>Plusieurs participants montrent leurs cascades alors que les spectateurs applaudissent et applaudissent pour eux.</v>
      </c>
    </row>
    <row r="591">
      <c r="A591" s="4" t="s">
        <v>745</v>
      </c>
      <c r="B591" s="6" t="s">
        <v>752</v>
      </c>
      <c r="C591" s="5" t="str">
        <f>IFERROR(__xludf.DUMMYFUNCTION("GOOGLETRANSLATE(B591,""en"",""fr"")"),"Ils montrent leurs cascades effrayantes mais impressionnantes alors que les murs de montée et les rampes raides sans tomber.")</f>
        <v>Ils montrent leurs cascades effrayantes mais impressionnantes alors que les murs de montée et les rampes raides sans tomber.</v>
      </c>
    </row>
    <row r="592">
      <c r="A592" s="4" t="s">
        <v>745</v>
      </c>
      <c r="B592" s="4" t="s">
        <v>753</v>
      </c>
      <c r="C592" s="5" t="str">
        <f>IFERROR(__xludf.DUMMYFUNCTION("GOOGLETRANSLATE(B592,""en"",""fr"")"),"Les foules les encouragent et les applaudissent.")</f>
        <v>Les foules les encouragent et les applaudissent.</v>
      </c>
    </row>
    <row r="593">
      <c r="A593" s="4" t="s">
        <v>745</v>
      </c>
      <c r="B593" s="4" t="s">
        <v>754</v>
      </c>
      <c r="C593" s="5" t="str">
        <f>IFERROR(__xludf.DUMMYFUNCTION("GOOGLETRANSLATE(B593,""en"",""fr"")"),"Les gagnants reçoivent des certificats et des prix pour la victoire.")</f>
        <v>Les gagnants reçoivent des certificats et des prix pour la victoire.</v>
      </c>
    </row>
    <row r="594">
      <c r="A594" s="4" t="s">
        <v>755</v>
      </c>
      <c r="B594" s="4" t="s">
        <v>756</v>
      </c>
      <c r="C594" s="5" t="str">
        <f>IFERROR(__xludf.DUMMYFUNCTION("GOOGLETRANSLATE(B594,""en"",""fr"")"),"Une personne jette un frisbee pour son chien pour qu'un chien puisse récupérer lors d'un événement sur un terrain sportif.")</f>
        <v>Une personne jette un frisbee pour son chien pour qu'un chien puisse récupérer lors d'un événement sur un terrain sportif.</v>
      </c>
    </row>
    <row r="595">
      <c r="A595" s="4" t="s">
        <v>755</v>
      </c>
      <c r="B595" s="4" t="s">
        <v>757</v>
      </c>
      <c r="C595" s="5" t="str">
        <f>IFERROR(__xludf.DUMMYFUNCTION("GOOGLETRANSLATE(B595,""en"",""fr"")"),"Le chien attrape le frisbee et le ramène à l'entraîneur.")</f>
        <v>Le chien attrape le frisbee et le ramène à l'entraîneur.</v>
      </c>
    </row>
    <row r="596">
      <c r="A596" s="4" t="s">
        <v>758</v>
      </c>
      <c r="B596" s="4" t="s">
        <v>759</v>
      </c>
      <c r="C596" s="5" t="str">
        <f>IFERROR(__xludf.DUMMYFUNCTION("GOOGLETRANSLATE(B596,""en"",""fr"")"),"Il y a une femme représentant la Jamaïque participant à un événement de saut en longueur.")</f>
        <v>Il y a une femme représentant la Jamaïque participant à un événement de saut en longueur.</v>
      </c>
    </row>
    <row r="597">
      <c r="A597" s="4" t="s">
        <v>758</v>
      </c>
      <c r="B597" s="4" t="s">
        <v>760</v>
      </c>
      <c r="C597" s="5" t="str">
        <f>IFERROR(__xludf.DUMMYFUNCTION("GOOGLETRANSLATE(B597,""en"",""fr"")"),"Il y a une autre femme qui fait du saut en longueur d'un autre pays.")</f>
        <v>Il y a une autre femme qui fait du saut en longueur d'un autre pays.</v>
      </c>
    </row>
    <row r="598">
      <c r="A598" s="4" t="s">
        <v>758</v>
      </c>
      <c r="B598" s="4" t="s">
        <v>761</v>
      </c>
      <c r="C598" s="5" t="str">
        <f>IFERROR(__xludf.DUMMYFUNCTION("GOOGLETRANSLATE(B598,""en"",""fr"")"),"Plusieurs autres concurrents participent au même concours de saut en longueur.")</f>
        <v>Plusieurs autres concurrents participent au même concours de saut en longueur.</v>
      </c>
    </row>
    <row r="599">
      <c r="A599" s="4" t="s">
        <v>758</v>
      </c>
      <c r="B599" s="4" t="s">
        <v>762</v>
      </c>
      <c r="C599" s="5" t="str">
        <f>IFERROR(__xludf.DUMMYFUNCTION("GOOGLETRANSLATE(B599,""en"",""fr"")"),"Il y a des spectateurs les regardant pendant qu'ils rivalisent.")</f>
        <v>Il y a des spectateurs les regardant pendant qu'ils rivalisent.</v>
      </c>
    </row>
    <row r="600">
      <c r="A600" s="4" t="s">
        <v>758</v>
      </c>
      <c r="B600" s="4" t="s">
        <v>763</v>
      </c>
      <c r="C600" s="5" t="str">
        <f>IFERROR(__xludf.DUMMYFUNCTION("GOOGLETRANSLATE(B600,""en"",""fr"")"),"Le concurrent d'Istanbul fait un saut en longueur dans le puits de sable.")</f>
        <v>Le concurrent d'Istanbul fait un saut en longueur dans le puits de sable.</v>
      </c>
    </row>
    <row r="601">
      <c r="A601" s="4" t="s">
        <v>758</v>
      </c>
      <c r="B601" s="4" t="s">
        <v>764</v>
      </c>
      <c r="C601" s="5" t="str">
        <f>IFERROR(__xludf.DUMMYFUNCTION("GOOGLETRANSLATE(B601,""en"",""fr"")"),"Les candidats continuent de participer à l'événement sportif.")</f>
        <v>Les candidats continuent de participer à l'événement sportif.</v>
      </c>
    </row>
    <row r="602">
      <c r="A602" s="4" t="s">
        <v>765</v>
      </c>
      <c r="B602" s="4" t="s">
        <v>766</v>
      </c>
      <c r="C602" s="5" t="str">
        <f>IFERROR(__xludf.DUMMYFUNCTION("GOOGLETRANSLATE(B602,""en"",""fr"")"),"Un homme est vu assis sur un équipement d'exercice avec un entraîneur debout devant lui.")</f>
        <v>Un homme est vu assis sur un équipement d'exercice avec un entraîneur debout devant lui.</v>
      </c>
    </row>
    <row r="603">
      <c r="A603" s="4" t="s">
        <v>765</v>
      </c>
      <c r="B603" s="4" t="s">
        <v>767</v>
      </c>
      <c r="C603" s="5" t="str">
        <f>IFERROR(__xludf.DUMMYFUNCTION("GOOGLETRANSLATE(B603,""en"",""fr"")"),"L'homme recule ensuite et quatrième sur la machine pendant que l'autre homme aide.")</f>
        <v>L'homme recule ensuite et quatrième sur la machine pendant que l'autre homme aide.</v>
      </c>
    </row>
    <row r="604">
      <c r="A604" s="4" t="s">
        <v>765</v>
      </c>
      <c r="B604" s="4" t="s">
        <v>768</v>
      </c>
      <c r="C604" s="5" t="str">
        <f>IFERROR(__xludf.DUMMYFUNCTION("GOOGLETRANSLATE(B604,""en"",""fr"")"),"Il est à nouveau montré dans un autre clip qui se déplace et le formateur aidant.")</f>
        <v>Il est à nouveau montré dans un autre clip qui se déplace et le formateur aidant.</v>
      </c>
    </row>
    <row r="605">
      <c r="A605" s="4" t="s">
        <v>769</v>
      </c>
      <c r="B605" s="4" t="s">
        <v>770</v>
      </c>
      <c r="C605" s="5" t="str">
        <f>IFERROR(__xludf.DUMMYFUNCTION("GOOGLETRANSLATE(B605,""en"",""fr"")"),"Nous voyons les écrans de titre et de présentation.")</f>
        <v>Nous voyons les écrans de titre et de présentation.</v>
      </c>
    </row>
    <row r="606">
      <c r="A606" s="4" t="s">
        <v>769</v>
      </c>
      <c r="B606" s="4" t="s">
        <v>771</v>
      </c>
      <c r="C606" s="5" t="str">
        <f>IFERROR(__xludf.DUMMYFUNCTION("GOOGLETRANSLATE(B606,""en"",""fr"")"),"Nous voyons un bateau avec un homme dessus.")</f>
        <v>Nous voyons un bateau avec un homme dessus.</v>
      </c>
    </row>
    <row r="607">
      <c r="A607" s="4" t="s">
        <v>769</v>
      </c>
      <c r="B607" s="4" t="s">
        <v>772</v>
      </c>
      <c r="C607" s="5" t="str">
        <f>IFERROR(__xludf.DUMMYFUNCTION("GOOGLETRANSLATE(B607,""en"",""fr"")"),"Nous voyons des gens et l'intérieur du bateau.")</f>
        <v>Nous voyons des gens et l'intérieur du bateau.</v>
      </c>
    </row>
    <row r="608">
      <c r="A608" s="4" t="s">
        <v>769</v>
      </c>
      <c r="B608" s="4" t="s">
        <v>773</v>
      </c>
      <c r="C608" s="5" t="str">
        <f>IFERROR(__xludf.DUMMYFUNCTION("GOOGLETRANSLATE(B608,""en"",""fr"")"),"L'homme se réveille autour d'un lac.")</f>
        <v>L'homme se réveille autour d'un lac.</v>
      </c>
    </row>
    <row r="609">
      <c r="A609" s="4" t="s">
        <v>769</v>
      </c>
      <c r="B609" s="4" t="s">
        <v>774</v>
      </c>
      <c r="C609" s="5" t="str">
        <f>IFERROR(__xludf.DUMMYFUNCTION("GOOGLETRANSLATE(B609,""en"",""fr"")"),"Nous voyons le bateau avec des gens dedans.")</f>
        <v>Nous voyons le bateau avec des gens dedans.</v>
      </c>
    </row>
    <row r="610">
      <c r="A610" s="4" t="s">
        <v>769</v>
      </c>
      <c r="B610" s="6" t="s">
        <v>775</v>
      </c>
      <c r="C610" s="5" t="str">
        <f>IFERROR(__xludf.DUMMYFUNCTION("GOOGLETRANSLATE(B610,""en"",""fr"")"),"L'homme sort l'échelle et grimpe sur le bateau, puis nous voyons un bateau décoller et dans une salle d'exposition.")</f>
        <v>L'homme sort l'échelle et grimpe sur le bateau, puis nous voyons un bateau décoller et dans une salle d'exposition.</v>
      </c>
    </row>
    <row r="611">
      <c r="A611" s="4" t="s">
        <v>769</v>
      </c>
      <c r="B611" s="4" t="s">
        <v>776</v>
      </c>
      <c r="C611" s="5" t="str">
        <f>IFERROR(__xludf.DUMMYFUNCTION("GOOGLETRANSLATE(B611,""en"",""fr"")"),"L'homme tombe du wakeboard 2 fois.")</f>
        <v>L'homme tombe du wakeboard 2 fois.</v>
      </c>
    </row>
    <row r="612">
      <c r="A612" s="4" t="s">
        <v>769</v>
      </c>
      <c r="B612" s="4" t="s">
        <v>777</v>
      </c>
      <c r="C612" s="5" t="str">
        <f>IFERROR(__xludf.DUMMYFUNCTION("GOOGLETRANSLATE(B612,""en"",""fr"")"),"Nous voyons l'écran du titre de fin.")</f>
        <v>Nous voyons l'écran du titre de fin.</v>
      </c>
    </row>
    <row r="613">
      <c r="A613" s="4" t="s">
        <v>778</v>
      </c>
      <c r="B613" s="4" t="s">
        <v>779</v>
      </c>
      <c r="C613" s="5" t="str">
        <f>IFERROR(__xludf.DUMMYFUNCTION("GOOGLETRANSLATE(B613,""en"",""fr"")"),"Au début, l'homme est montré en train de tromper le taureau.")</f>
        <v>Au début, l'homme est montré en train de tromper le taureau.</v>
      </c>
    </row>
    <row r="614">
      <c r="A614" s="4" t="s">
        <v>778</v>
      </c>
      <c r="B614" s="4" t="s">
        <v>780</v>
      </c>
      <c r="C614" s="5" t="str">
        <f>IFERROR(__xludf.DUMMYFUNCTION("GOOGLETRANSLATE(B614,""en"",""fr"")"),"De nombreux autres hommes ont été montrés qui ont trompé des taureaux devant une grande foule.")</f>
        <v>De nombreux autres hommes ont été montrés qui ont trompé des taureaux devant une grande foule.</v>
      </c>
    </row>
    <row r="615">
      <c r="A615" s="4" t="s">
        <v>781</v>
      </c>
      <c r="B615" s="4" t="s">
        <v>782</v>
      </c>
      <c r="C615" s="5" t="str">
        <f>IFERROR(__xludf.DUMMYFUNCTION("GOOGLETRANSLATE(B615,""en"",""fr"")"),"Une jeune gymnaste masculine est une arène debout sur un tapis se préparant à faire sa routine.")</f>
        <v>Une jeune gymnaste masculine est une arène debout sur un tapis se préparant à faire sa routine.</v>
      </c>
    </row>
    <row r="616">
      <c r="A616" s="4" t="s">
        <v>781</v>
      </c>
      <c r="B616" s="4" t="s">
        <v>783</v>
      </c>
      <c r="C616" s="5" t="str">
        <f>IFERROR(__xludf.DUMMYFUNCTION("GOOGLETRANSLATE(B616,""en"",""fr"")"),"Le garçon s'est ensuite approché des barreaux et fait une série de balançoires et de main-d'œuvre dans les airs.")</f>
        <v>Le garçon s'est ensuite approché des barreaux et fait une série de balançoires et de main-d'œuvre dans les airs.</v>
      </c>
    </row>
    <row r="617">
      <c r="A617" s="4" t="s">
        <v>781</v>
      </c>
      <c r="B617" s="6" t="s">
        <v>784</v>
      </c>
      <c r="C617" s="5" t="str">
        <f>IFERROR(__xludf.DUMMYFUNCTION("GOOGLETRANSLATE(B617,""en"",""fr"")"),"Pendant qu'il se produit, il ajoute plusieurs flips et roule dans sa performance avant de finalement sauter des barreaux.")</f>
        <v>Pendant qu'il se produit, il ajoute plusieurs flips et roule dans sa performance avant de finalement sauter des barreaux.</v>
      </c>
    </row>
    <row r="618">
      <c r="A618" s="4" t="s">
        <v>785</v>
      </c>
      <c r="B618" s="4" t="s">
        <v>786</v>
      </c>
      <c r="C618" s="5" t="str">
        <f>IFERROR(__xludf.DUMMYFUNCTION("GOOGLETRANSLATE(B618,""en"",""fr"")"),"Les hommes jouent au badminton dans le sable.")</f>
        <v>Les hommes jouent au badminton dans le sable.</v>
      </c>
    </row>
    <row r="619">
      <c r="A619" s="4" t="s">
        <v>785</v>
      </c>
      <c r="B619" s="4" t="s">
        <v>787</v>
      </c>
      <c r="C619" s="5" t="str">
        <f>IFERROR(__xludf.DUMMYFUNCTION("GOOGLETRANSLATE(B619,""en"",""fr"")"),"Un homme à gauche sert le birdie les deux hommes à droite le manquent.")</f>
        <v>Un homme à gauche sert le birdie les deux hommes à droite le manquent.</v>
      </c>
    </row>
    <row r="620">
      <c r="A620" s="4" t="s">
        <v>785</v>
      </c>
      <c r="B620" s="4" t="s">
        <v>788</v>
      </c>
      <c r="C620" s="5" t="str">
        <f>IFERROR(__xludf.DUMMYFUNCTION("GOOGLETRANSLATE(B620,""en"",""fr"")"),"L'homme à droite sert et l'homme de gauche le frappe mais il frappe le filet.")</f>
        <v>L'homme à droite sert et l'homme de gauche le frappe mais il frappe le filet.</v>
      </c>
    </row>
    <row r="621">
      <c r="A621" s="4" t="s">
        <v>785</v>
      </c>
      <c r="B621" s="4" t="s">
        <v>789</v>
      </c>
      <c r="C621" s="5" t="str">
        <f>IFERROR(__xludf.DUMMYFUNCTION("GOOGLETRANSLATE(B621,""en"",""fr"")"),"Un homme se tient à gauche en regardant.")</f>
        <v>Un homme se tient à gauche en regardant.</v>
      </c>
    </row>
    <row r="622">
      <c r="A622" s="4" t="s">
        <v>790</v>
      </c>
      <c r="B622" s="4" t="s">
        <v>791</v>
      </c>
      <c r="C622" s="5" t="str">
        <f>IFERROR(__xludf.DUMMYFUNCTION("GOOGLETRANSLATE(B622,""en"",""fr"")"),"Un homme met du plâtre sur une base.")</f>
        <v>Un homme met du plâtre sur une base.</v>
      </c>
    </row>
    <row r="623">
      <c r="A623" s="4" t="s">
        <v>790</v>
      </c>
      <c r="B623" s="4" t="s">
        <v>792</v>
      </c>
      <c r="C623" s="5" t="str">
        <f>IFERROR(__xludf.DUMMYFUNCTION("GOOGLETRANSLATE(B623,""en"",""fr"")"),"L'homme marche et le frotte au plafond.")</f>
        <v>L'homme marche et le frotte au plafond.</v>
      </c>
    </row>
    <row r="624">
      <c r="A624" s="4" t="s">
        <v>790</v>
      </c>
      <c r="B624" s="4" t="s">
        <v>793</v>
      </c>
      <c r="C624" s="5" t="str">
        <f>IFERROR(__xludf.DUMMYFUNCTION("GOOGLETRANSLATE(B624,""en"",""fr"")"),"Nous voyons les échasses sur lesquelles l'homme marche.")</f>
        <v>Nous voyons les échasses sur lesquelles l'homme marche.</v>
      </c>
    </row>
    <row r="625">
      <c r="A625" s="4" t="s">
        <v>790</v>
      </c>
      <c r="B625" s="4" t="s">
        <v>794</v>
      </c>
      <c r="C625" s="5" t="str">
        <f>IFERROR(__xludf.DUMMYFUNCTION("GOOGLETRANSLATE(B625,""en"",""fr"")"),"La caméra devient bancale et floue.")</f>
        <v>La caméra devient bancale et floue.</v>
      </c>
    </row>
    <row r="626">
      <c r="A626" s="4" t="s">
        <v>790</v>
      </c>
      <c r="B626" s="4" t="s">
        <v>795</v>
      </c>
      <c r="C626" s="5" t="str">
        <f>IFERROR(__xludf.DUMMYFUNCTION("GOOGLETRANSLATE(B626,""en"",""fr"")"),"L'homme se penche pour saisir plus de plâtre.")</f>
        <v>L'homme se penche pour saisir plus de plâtre.</v>
      </c>
    </row>
    <row r="627">
      <c r="A627" s="4" t="s">
        <v>790</v>
      </c>
      <c r="B627" s="4" t="s">
        <v>796</v>
      </c>
      <c r="C627" s="5" t="str">
        <f>IFERROR(__xludf.DUMMYFUNCTION("GOOGLETRANSLATE(B627,""en"",""fr"")"),"L'homme sourit et la vidéo se termine.")</f>
        <v>L'homme sourit et la vidéo se termine.</v>
      </c>
    </row>
    <row r="628">
      <c r="A628" s="4" t="s">
        <v>797</v>
      </c>
      <c r="B628" s="4" t="s">
        <v>798</v>
      </c>
      <c r="C628" s="5" t="str">
        <f>IFERROR(__xludf.DUMMYFUNCTION("GOOGLETRANSLATE(B628,""en"",""fr"")"),"Il y a un homme qui hoche la tête dans la première image.")</f>
        <v>Il y a un homme qui hoche la tête dans la première image.</v>
      </c>
    </row>
    <row r="629">
      <c r="A629" s="4" t="s">
        <v>797</v>
      </c>
      <c r="B629" s="6" t="s">
        <v>799</v>
      </c>
      <c r="C629" s="5" t="str">
        <f>IFERROR(__xludf.DUMMYFUNCTION("GOOGLETRANSLATE(B629,""en"",""fr"")"),"Les films vidéo à l'homme mettant en place le papier peint en le mesurant d'abord, en alignant le motif et en le mettant sur le mur.")</f>
        <v>Les films vidéo à l'homme mettant en place le papier peint en le mesurant d'abord, en alignant le motif et en le mettant sur le mur.</v>
      </c>
    </row>
    <row r="630">
      <c r="A630" s="4" t="s">
        <v>797</v>
      </c>
      <c r="B630" s="6" t="s">
        <v>800</v>
      </c>
      <c r="C630" s="5" t="str">
        <f>IFERROR(__xludf.DUMMYFUNCTION("GOOGLETRANSLATE(B630,""en"",""fr"")"),"Il dévisse ensuite un interrupteur d'éclairage et le retire un peu, faisant des fentes dans le tissu ou le papier, puis remettant l'interrupteur d'éclairage sur le nouveau papier peint.")</f>
        <v>Il dévisse ensuite un interrupteur d'éclairage et le retire un peu, faisant des fentes dans le tissu ou le papier, puis remettant l'interrupteur d'éclairage sur le nouveau papier peint.</v>
      </c>
    </row>
    <row r="631">
      <c r="A631" s="4" t="s">
        <v>797</v>
      </c>
      <c r="B631" s="6" t="s">
        <v>801</v>
      </c>
      <c r="C631" s="5" t="str">
        <f>IFERROR(__xludf.DUMMYFUNCTION("GOOGLETRANSLATE(B631,""en"",""fr"")"),"La caméra montre du papier peint dans une pièce finie, passant sur différentes pièces avec différents papiers muraux.")</f>
        <v>La caméra montre du papier peint dans une pièce finie, passant sur différentes pièces avec différents papiers muraux.</v>
      </c>
    </row>
    <row r="632">
      <c r="A632" s="4" t="s">
        <v>797</v>
      </c>
      <c r="B632" s="6" t="s">
        <v>802</v>
      </c>
      <c r="C632" s="5" t="str">
        <f>IFERROR(__xludf.DUMMYFUNCTION("GOOGLETRANSLATE(B632,""en"",""fr"")"),"L'homme est vu plus tard en mesurant et en marquant le mur, en déroulant plus de papier peint et en le mettant sur le mur.")</f>
        <v>L'homme est vu plus tard en mesurant et en marquant le mur, en déroulant plus de papier peint et en le mettant sur le mur.</v>
      </c>
    </row>
    <row r="633">
      <c r="A633" s="4" t="s">
        <v>797</v>
      </c>
      <c r="B633" s="4" t="s">
        <v>803</v>
      </c>
      <c r="C633" s="5" t="str">
        <f>IFERROR(__xludf.DUMMYFUNCTION("GOOGLETRANSLATE(B633,""en"",""fr"")"),"Ensuite, il montre deux tables qui semblent également avoir été du mur.")</f>
        <v>Ensuite, il montre deux tables qui semblent également avoir été du mur.</v>
      </c>
    </row>
    <row r="634">
      <c r="A634" s="4" t="s">
        <v>804</v>
      </c>
      <c r="B634" s="4" t="s">
        <v>805</v>
      </c>
      <c r="C634" s="5" t="str">
        <f>IFERROR(__xludf.DUMMYFUNCTION("GOOGLETRANSLATE(B634,""en"",""fr"")"),"Une intro de texte mène à une photo d'un chien et du même chien qui longe la cour.")</f>
        <v>Une intro de texte mène à une photo d'un chien et du même chien qui longe la cour.</v>
      </c>
    </row>
    <row r="635">
      <c r="A635" s="4" t="s">
        <v>804</v>
      </c>
      <c r="B635" s="4" t="s">
        <v>806</v>
      </c>
      <c r="C635" s="5" t="str">
        <f>IFERROR(__xludf.DUMMYFUNCTION("GOOGLETRANSLATE(B635,""en"",""fr"")"),"Le chien est vu dans plusieurs clips chassant après un frisbee.")</f>
        <v>Le chien est vu dans plusieurs clips chassant après un frisbee.</v>
      </c>
    </row>
    <row r="636">
      <c r="A636" s="4" t="s">
        <v>804</v>
      </c>
      <c r="B636" s="4" t="s">
        <v>807</v>
      </c>
      <c r="C636" s="5" t="str">
        <f>IFERROR(__xludf.DUMMYFUNCTION("GOOGLETRANSLATE(B636,""en"",""fr"")"),"Un homme jette le frisbee au chien dans la cour qui continue de la poursuivre.")</f>
        <v>Un homme jette le frisbee au chien dans la cour qui continue de la poursuivre.</v>
      </c>
    </row>
    <row r="637">
      <c r="A637" s="4" t="s">
        <v>808</v>
      </c>
      <c r="B637" s="4" t="s">
        <v>809</v>
      </c>
      <c r="C637" s="5" t="str">
        <f>IFERROR(__xludf.DUMMYFUNCTION("GOOGLETRANSLATE(B637,""en"",""fr"")"),"Les individus courent avec un bâton allongé et l'utilisent pour élever leur corps sur un obstacle accru.")</f>
        <v>Les individus courent avec un bâton allongé et l'utilisent pour élever leur corps sur un obstacle accru.</v>
      </c>
    </row>
    <row r="638">
      <c r="A638" s="4" t="s">
        <v>808</v>
      </c>
      <c r="B638" s="4" t="s">
        <v>810</v>
      </c>
      <c r="C638" s="5" t="str">
        <f>IFERROR(__xludf.DUMMYFUNCTION("GOOGLETRANSLATE(B638,""en"",""fr"")"),"Un gars touche l'arrière de l'individu alors qu'il soulève son corps.")</f>
        <v>Un gars touche l'arrière de l'individu alors qu'il soulève son corps.</v>
      </c>
    </row>
    <row r="639">
      <c r="A639" s="4" t="s">
        <v>808</v>
      </c>
      <c r="B639" s="4" t="s">
        <v>811</v>
      </c>
      <c r="C639" s="5" t="str">
        <f>IFERROR(__xludf.DUMMYFUNCTION("GOOGLETRANSLATE(B639,""en"",""fr"")"),"Le gars semble tomber en arrière tout en essayant de soulever son corps parce que le clip est inversé.")</f>
        <v>Le gars semble tomber en arrière tout en essayant de soulever son corps parce que le clip est inversé.</v>
      </c>
    </row>
    <row r="640">
      <c r="A640" s="4" t="s">
        <v>808</v>
      </c>
      <c r="B640" s="4" t="s">
        <v>573</v>
      </c>
      <c r="C640" s="5" t="str">
        <f>IFERROR(__xludf.DUMMYFUNCTION("GOOGLETRANSLATE(B640,""en"",""fr"")"),"Les crédits de la vidéo sont affichés.")</f>
        <v>Les crédits de la vidéo sont affichés.</v>
      </c>
    </row>
    <row r="641">
      <c r="A641" s="4" t="s">
        <v>812</v>
      </c>
      <c r="B641" s="4" t="s">
        <v>813</v>
      </c>
      <c r="C641" s="5" t="str">
        <f>IFERROR(__xludf.DUMMYFUNCTION("GOOGLETRANSLATE(B641,""en"",""fr"")"),"Une caméra se met jusqu'à une personne debout dans une cuisine puis dansant sur le sol.")</f>
        <v>Une caméra se met jusqu'à une personne debout dans une cuisine puis dansant sur le sol.</v>
      </c>
    </row>
    <row r="642">
      <c r="A642" s="4" t="s">
        <v>812</v>
      </c>
      <c r="B642" s="4" t="s">
        <v>814</v>
      </c>
      <c r="C642" s="5" t="str">
        <f>IFERROR(__xludf.DUMMYFUNCTION("GOOGLETRANSLATE(B642,""en"",""fr"")"),"L'homme continue de danser tout en regardant la caméra et en chantant.")</f>
        <v>L'homme continue de danser tout en regardant la caméra et en chantant.</v>
      </c>
    </row>
    <row r="643">
      <c r="A643" s="4" t="s">
        <v>815</v>
      </c>
      <c r="B643" s="6" t="s">
        <v>816</v>
      </c>
      <c r="C643" s="5" t="str">
        <f>IFERROR(__xludf.DUMMYFUNCTION("GOOGLETRANSLATE(B643,""en"",""fr"")"),"Un grand groupe de pom-pom girls est vu courir dans une arène applaudissant et commençant à effectuer une routine les uns avec les autres.")</f>
        <v>Un grand groupe de pom-pom girls est vu courir dans une arène applaudissant et commençant à effectuer une routine les uns avec les autres.</v>
      </c>
    </row>
    <row r="644">
      <c r="A644" s="4" t="s">
        <v>815</v>
      </c>
      <c r="B644" s="6" t="s">
        <v>817</v>
      </c>
      <c r="C644" s="5" t="str">
        <f>IFERROR(__xludf.DUMMYFUNCTION("GOOGLETRANSLATE(B644,""en"",""fr"")"),"Les filles continuent d'encourager la scène tout en se soulevant et en effectuant des astuces et des casseroles au public à la fin.")</f>
        <v>Les filles continuent d'encourager la scène tout en se soulevant et en effectuant des astuces et des casseroles au public à la fin.</v>
      </c>
    </row>
    <row r="645">
      <c r="A645" s="4" t="s">
        <v>818</v>
      </c>
      <c r="B645" s="4" t="s">
        <v>819</v>
      </c>
      <c r="C645" s="5" t="str">
        <f>IFERROR(__xludf.DUMMYFUNCTION("GOOGLETRANSLATE(B645,""en"",""fr"")"),"Une femme est assise sur une chaise dans une salle à manger.")</f>
        <v>Une femme est assise sur une chaise dans une salle à manger.</v>
      </c>
    </row>
    <row r="646">
      <c r="A646" s="4" t="s">
        <v>818</v>
      </c>
      <c r="B646" s="4" t="s">
        <v>820</v>
      </c>
      <c r="C646" s="5" t="str">
        <f>IFERROR(__xludf.DUMMYFUNCTION("GOOGLETRANSLATE(B646,""en"",""fr"")"),"Elle montre ses pieds nus et leur forme.")</f>
        <v>Elle montre ses pieds nus et leur forme.</v>
      </c>
    </row>
    <row r="647">
      <c r="A647" s="4" t="s">
        <v>818</v>
      </c>
      <c r="B647" s="4" t="s">
        <v>821</v>
      </c>
      <c r="C647" s="5" t="str">
        <f>IFERROR(__xludf.DUMMYFUNCTION("GOOGLETRANSLATE(B647,""en"",""fr"")"),"Elle met ensuite et essaie de lacer ses chaussures autour des pieds enflés.")</f>
        <v>Elle met ensuite et essaie de lacer ses chaussures autour des pieds enflés.</v>
      </c>
    </row>
    <row r="648">
      <c r="A648" s="4" t="s">
        <v>822</v>
      </c>
      <c r="B648" s="4" t="s">
        <v>823</v>
      </c>
      <c r="C648" s="5" t="str">
        <f>IFERROR(__xludf.DUMMYFUNCTION("GOOGLETRANSLATE(B648,""en"",""fr"")"),"Deux enfants grimpent une paroi rocheuse.")</f>
        <v>Deux enfants grimpent une paroi rocheuse.</v>
      </c>
    </row>
    <row r="649">
      <c r="A649" s="4" t="s">
        <v>822</v>
      </c>
      <c r="B649" s="4" t="s">
        <v>824</v>
      </c>
      <c r="C649" s="5" t="str">
        <f>IFERROR(__xludf.DUMMYFUNCTION("GOOGLETRANSLATE(B649,""en"",""fr"")"),"Les adultes guident les lignes.")</f>
        <v>Les adultes guident les lignes.</v>
      </c>
    </row>
    <row r="650">
      <c r="A650" s="4" t="s">
        <v>822</v>
      </c>
      <c r="B650" s="4" t="s">
        <v>825</v>
      </c>
      <c r="C650" s="5" t="str">
        <f>IFERROR(__xludf.DUMMYFUNCTION("GOOGLETRANSLATE(B650,""en"",""fr"")"),"Les enfants continuent de grimper.")</f>
        <v>Les enfants continuent de grimper.</v>
      </c>
    </row>
    <row r="651">
      <c r="A651" s="4" t="s">
        <v>822</v>
      </c>
      <c r="B651" s="4" t="s">
        <v>826</v>
      </c>
      <c r="C651" s="5" t="str">
        <f>IFERROR(__xludf.DUMMYFUNCTION("GOOGLETRANSLATE(B651,""en"",""fr"")"),"Celui à droite arrivera d'abord au sommet.")</f>
        <v>Celui à droite arrivera d'abord au sommet.</v>
      </c>
    </row>
    <row r="652">
      <c r="A652" s="4" t="s">
        <v>822</v>
      </c>
      <c r="B652" s="4" t="s">
        <v>827</v>
      </c>
      <c r="C652" s="5" t="str">
        <f>IFERROR(__xludf.DUMMYFUNCTION("GOOGLETRANSLATE(B652,""en"",""fr"")"),"Celui de gauche ne s'est pas rendu au sommet, tous deux redescendre le mur.")</f>
        <v>Celui de gauche ne s'est pas rendu au sommet, tous deux redescendre le mur.</v>
      </c>
    </row>
    <row r="653">
      <c r="A653" s="4" t="s">
        <v>828</v>
      </c>
      <c r="B653" s="4" t="s">
        <v>829</v>
      </c>
      <c r="C653" s="5" t="str">
        <f>IFERROR(__xludf.DUMMYFUNCTION("GOOGLETRANSLATE(B653,""en"",""fr"")"),"Une femme et un homme font de l'exercice assis sur une machine à cardio.")</f>
        <v>Une femme et un homme font de l'exercice assis sur une machine à cardio.</v>
      </c>
    </row>
    <row r="654">
      <c r="A654" s="4" t="s">
        <v>828</v>
      </c>
      <c r="B654" s="4" t="s">
        <v>830</v>
      </c>
      <c r="C654" s="5" t="str">
        <f>IFERROR(__xludf.DUMMYFUNCTION("GOOGLETRANSLATE(B654,""en"",""fr"")"),"Une femme s'entraîne assis sur une machine à cardio.")</f>
        <v>Une femme s'entraîne assis sur une machine à cardio.</v>
      </c>
    </row>
    <row r="655">
      <c r="A655" s="4" t="s">
        <v>828</v>
      </c>
      <c r="B655" s="4" t="s">
        <v>831</v>
      </c>
      <c r="C655" s="5" t="str">
        <f>IFERROR(__xludf.DUMMYFUNCTION("GOOGLETRANSLATE(B655,""en"",""fr"")"),"Un homme est assis à côté d'une femme effectuant des séances d'entraînement cardio.")</f>
        <v>Un homme est assis à côté d'une femme effectuant des séances d'entraînement cardio.</v>
      </c>
    </row>
    <row r="656">
      <c r="A656" s="4" t="s">
        <v>832</v>
      </c>
      <c r="B656" s="4" t="s">
        <v>833</v>
      </c>
      <c r="C656" s="5" t="str">
        <f>IFERROR(__xludf.DUMMYFUNCTION("GOOGLETRANSLATE(B656,""en"",""fr"")"),"Une fille joue de la marelle sur un trottoir.")</f>
        <v>Une fille joue de la marelle sur un trottoir.</v>
      </c>
    </row>
    <row r="657">
      <c r="A657" s="4" t="s">
        <v>832</v>
      </c>
      <c r="B657" s="4" t="s">
        <v>834</v>
      </c>
      <c r="C657" s="5" t="str">
        <f>IFERROR(__xludf.DUMMYFUNCTION("GOOGLETRANSLATE(B657,""en"",""fr"")"),"Elle arrive à la fin et se retourne pour revenir en arrière.")</f>
        <v>Elle arrive à la fin et se retourne pour revenir en arrière.</v>
      </c>
    </row>
    <row r="658">
      <c r="A658" s="4" t="s">
        <v>832</v>
      </c>
      <c r="B658" s="4" t="s">
        <v>835</v>
      </c>
      <c r="C658" s="5" t="str">
        <f>IFERROR(__xludf.DUMMYFUNCTION("GOOGLETRANSLATE(B658,""en"",""fr"")"),"Une autre fille jette une rondelle sur le trottoir et commence à jouer à la marelle.")</f>
        <v>Une autre fille jette une rondelle sur le trottoir et commence à jouer à la marelle.</v>
      </c>
    </row>
    <row r="659">
      <c r="A659" s="4" t="s">
        <v>836</v>
      </c>
      <c r="B659" s="4" t="s">
        <v>837</v>
      </c>
      <c r="C659" s="5" t="str">
        <f>IFERROR(__xludf.DUMMYFUNCTION("GOOGLETRANSLATE(B659,""en"",""fr"")"),"Une personne résout un puzzle de cube qui retourne les pièces autour.")</f>
        <v>Une personne résout un puzzle de cube qui retourne les pièces autour.</v>
      </c>
    </row>
    <row r="660">
      <c r="A660" s="4" t="s">
        <v>836</v>
      </c>
      <c r="B660" s="4" t="s">
        <v>838</v>
      </c>
      <c r="C660" s="5" t="str">
        <f>IFERROR(__xludf.DUMMYFUNCTION("GOOGLETRANSLATE(B660,""en"",""fr"")"),"La personne résout le puzzle et montre un chronomètre.")</f>
        <v>La personne résout le puzzle et montre un chronomètre.</v>
      </c>
    </row>
    <row r="661">
      <c r="A661" s="4" t="s">
        <v>839</v>
      </c>
      <c r="B661" s="6" t="s">
        <v>840</v>
      </c>
      <c r="C661" s="5" t="str">
        <f>IFERROR(__xludf.DUMMYFUNCTION("GOOGLETRANSLATE(B661,""en"",""fr"")"),"Deux jeunes enfants sont vus monter sur un chameau devant un groupe de personnes et un homme qui les mène.")</f>
        <v>Deux jeunes enfants sont vus monter sur un chameau devant un groupe de personnes et un homme qui les mène.</v>
      </c>
    </row>
    <row r="662">
      <c r="A662" s="4" t="s">
        <v>839</v>
      </c>
      <c r="B662" s="6" t="s">
        <v>841</v>
      </c>
      <c r="C662" s="5" t="str">
        <f>IFERROR(__xludf.DUMMYFUNCTION("GOOGLETRANSLATE(B662,""en"",""fr"")"),"L'homme continue de diriger le chameau avec les enfants au sommet et se termine avec eux qui descendent et d'autres marchant.")</f>
        <v>L'homme continue de diriger le chameau avec les enfants au sommet et se termine avec eux qui descendent et d'autres marchant.</v>
      </c>
    </row>
    <row r="663">
      <c r="A663" s="4" t="s">
        <v>842</v>
      </c>
      <c r="B663" s="6" t="s">
        <v>843</v>
      </c>
      <c r="C663" s="5" t="str">
        <f>IFERROR(__xludf.DUMMYFUNCTION("GOOGLETRANSLATE(B663,""en"",""fr"")"),"Les jeunes enfants sont vus sauter sur un dossier de tapis et quatrième tandis que deux femmes plus âgées les regardent sur le côté.")</f>
        <v>Les jeunes enfants sont vus sauter sur un dossier de tapis et quatrième tandis que deux femmes plus âgées les regardent sur le côté.</v>
      </c>
    </row>
    <row r="664">
      <c r="A664" s="4" t="s">
        <v>842</v>
      </c>
      <c r="B664" s="4" t="s">
        <v>844</v>
      </c>
      <c r="C664" s="5" t="str">
        <f>IFERROR(__xludf.DUMMYFUNCTION("GOOGLETRANSLATE(B664,""en"",""fr"")"),"Le garçon fait alors un grand saut et la fille se tient devant lui.")</f>
        <v>Le garçon fait alors un grand saut et la fille se tient devant lui.</v>
      </c>
    </row>
    <row r="665">
      <c r="A665" s="4" t="s">
        <v>845</v>
      </c>
      <c r="B665" s="4" t="s">
        <v>846</v>
      </c>
      <c r="C665" s="5" t="str">
        <f>IFERROR(__xludf.DUMMYFUNCTION("GOOGLETRANSLATE(B665,""en"",""fr"")"),"Un homme se dirige vers un scoop de neige.")</f>
        <v>Un homme se dirige vers un scoop de neige.</v>
      </c>
    </row>
    <row r="666">
      <c r="A666" s="4" t="s">
        <v>845</v>
      </c>
      <c r="B666" s="4" t="s">
        <v>847</v>
      </c>
      <c r="C666" s="5" t="str">
        <f>IFERROR(__xludf.DUMMYFUNCTION("GOOGLETRANSLATE(B666,""en"",""fr"")"),"L'homme pelle la neige sur un toit pendant que le caméraman parle.")</f>
        <v>L'homme pelle la neige sur un toit pendant que le caméraman parle.</v>
      </c>
    </row>
    <row r="667">
      <c r="A667" s="4" t="s">
        <v>845</v>
      </c>
      <c r="B667" s="4" t="s">
        <v>848</v>
      </c>
      <c r="C667" s="5" t="str">
        <f>IFERROR(__xludf.DUMMYFUNCTION("GOOGLETRANSLATE(B667,""en"",""fr"")"),"L'homme cesse de ramasser la neige.")</f>
        <v>L'homme cesse de ramasser la neige.</v>
      </c>
    </row>
    <row r="668">
      <c r="A668" s="4" t="s">
        <v>849</v>
      </c>
      <c r="B668" s="6" t="s">
        <v>850</v>
      </c>
      <c r="C668" s="5" t="str">
        <f>IFERROR(__xludf.DUMMYFUNCTION("GOOGLETRANSLATE(B668,""en"",""fr"")"),"Un homme assis dans un souffleur de feuilles commence la machine et souffle un grand tas de feuilles dans la brosse à proximité.")</f>
        <v>Un homme assis dans un souffleur de feuilles commence la machine et souffle un grand tas de feuilles dans la brosse à proximité.</v>
      </c>
    </row>
    <row r="669">
      <c r="A669" s="4" t="s">
        <v>849</v>
      </c>
      <c r="B669" s="4" t="s">
        <v>851</v>
      </c>
      <c r="C669" s="5" t="str">
        <f>IFERROR(__xludf.DUMMYFUNCTION("GOOGLETRANSLATE(B669,""en"",""fr"")"),"Nous voyons le véhicule de retour et et allons aller et venir souffler les feuilles.")</f>
        <v>Nous voyons le véhicule de retour et et allons aller et venir souffler les feuilles.</v>
      </c>
    </row>
    <row r="670">
      <c r="A670" s="4" t="s">
        <v>849</v>
      </c>
      <c r="B670" s="4" t="s">
        <v>852</v>
      </c>
      <c r="C670" s="5" t="str">
        <f>IFERROR(__xludf.DUMMYFUNCTION("GOOGLETRANSLATE(B670,""en"",""fr"")"),"Le caméraman arrête le véhicule et sort.")</f>
        <v>Le caméraman arrête le véhicule et sort.</v>
      </c>
    </row>
    <row r="671">
      <c r="A671" s="4" t="s">
        <v>849</v>
      </c>
      <c r="B671" s="4" t="s">
        <v>853</v>
      </c>
      <c r="C671" s="5" t="str">
        <f>IFERROR(__xludf.DUMMYFUNCTION("GOOGLETRANSLATE(B671,""en"",""fr"")"),"Nous voyons le véhicule complet de l'avant et voyons le terrain.")</f>
        <v>Nous voyons le véhicule complet de l'avant et voyons le terrain.</v>
      </c>
    </row>
    <row r="672">
      <c r="A672" s="4" t="s">
        <v>854</v>
      </c>
      <c r="B672" s="4" t="s">
        <v>855</v>
      </c>
      <c r="C672" s="5" t="str">
        <f>IFERROR(__xludf.DUMMYFUNCTION("GOOGLETRANSLATE(B672,""en"",""fr"")"),"Nous voyons un homme lever les bras et se préparer à monter le cheval pommel.")</f>
        <v>Nous voyons un homme lever les bras et se préparer à monter le cheval pommel.</v>
      </c>
    </row>
    <row r="673">
      <c r="A673" s="4" t="s">
        <v>854</v>
      </c>
      <c r="B673" s="4" t="s">
        <v>856</v>
      </c>
      <c r="C673" s="5" t="str">
        <f>IFERROR(__xludf.DUMMYFUNCTION("GOOGLETRANSLATE(B673,""en"",""fr"")"),"L'homme monte le cheval pommel.")</f>
        <v>L'homme monte le cheval pommel.</v>
      </c>
    </row>
    <row r="674">
      <c r="A674" s="4" t="s">
        <v>854</v>
      </c>
      <c r="B674" s="4" t="s">
        <v>857</v>
      </c>
      <c r="C674" s="5" t="str">
        <f>IFERROR(__xludf.DUMMYFUNCTION("GOOGLETRANSLATE(B674,""en"",""fr"")"),"L'homme fait une main et jette ses jambes ouvertes sur le pommeau.")</f>
        <v>L'homme fait une main et jette ses jambes ouvertes sur le pommeau.</v>
      </c>
    </row>
    <row r="675">
      <c r="A675" s="4" t="s">
        <v>854</v>
      </c>
      <c r="B675" s="4" t="s">
        <v>858</v>
      </c>
      <c r="C675" s="5" t="str">
        <f>IFERROR(__xludf.DUMMYFUNCTION("GOOGLETRANSLATE(B675,""en"",""fr"")"),"L'homme tourne sur le cheval pommel.")</f>
        <v>L'homme tourne sur le cheval pommel.</v>
      </c>
    </row>
    <row r="676">
      <c r="A676" s="4" t="s">
        <v>854</v>
      </c>
      <c r="B676" s="4" t="s">
        <v>859</v>
      </c>
      <c r="C676" s="5" t="str">
        <f>IFERROR(__xludf.DUMMYFUNCTION("GOOGLETRANSLATE(B676,""en"",""fr"")"),"L'homme fait une main et démteille.")</f>
        <v>L'homme fait une main et démteille.</v>
      </c>
    </row>
    <row r="677">
      <c r="A677" s="4" t="s">
        <v>854</v>
      </c>
      <c r="B677" s="4" t="s">
        <v>860</v>
      </c>
      <c r="C677" s="5" t="str">
        <f>IFERROR(__xludf.DUMMYFUNCTION("GOOGLETRANSLATE(B677,""en"",""fr"")"),"L'homme lève les bras et s'éloigne.")</f>
        <v>L'homme lève les bras et s'éloigne.</v>
      </c>
    </row>
    <row r="678">
      <c r="A678" s="4" t="s">
        <v>854</v>
      </c>
      <c r="B678" s="4" t="s">
        <v>861</v>
      </c>
      <c r="C678" s="5" t="str">
        <f>IFERROR(__xludf.DUMMYFUNCTION("GOOGLETRANSLATE(B678,""en"",""fr"")"),"L'homme secoue la main d'un autre homme.")</f>
        <v>L'homme secoue la main d'un autre homme.</v>
      </c>
    </row>
    <row r="679">
      <c r="A679" s="4" t="s">
        <v>862</v>
      </c>
      <c r="B679" s="4" t="s">
        <v>863</v>
      </c>
      <c r="C679" s="5" t="str">
        <f>IFERROR(__xludf.DUMMYFUNCTION("GOOGLETRANSLATE(B679,""en"",""fr"")"),"Plusieurs personnes jouent dans une piscine publique.")</f>
        <v>Plusieurs personnes jouent dans une piscine publique.</v>
      </c>
    </row>
    <row r="680">
      <c r="A680" s="4" t="s">
        <v>862</v>
      </c>
      <c r="B680" s="4" t="s">
        <v>864</v>
      </c>
      <c r="C680" s="5" t="str">
        <f>IFERROR(__xludf.DUMMYFUNCTION("GOOGLETRANSLATE(B680,""en"",""fr"")"),"Ils nagent dans l'eau, jouant à un jeu avec une balle.")</f>
        <v>Ils nagent dans l'eau, jouant à un jeu avec une balle.</v>
      </c>
    </row>
    <row r="681">
      <c r="A681" s="4" t="s">
        <v>862</v>
      </c>
      <c r="B681" s="4" t="s">
        <v>865</v>
      </c>
      <c r="C681" s="5" t="str">
        <f>IFERROR(__xludf.DUMMYFUNCTION("GOOGLETRANSLATE(B681,""en"",""fr"")"),"Ils ont frappé le ballon d'avant en arrière, essayant de se garder les uns des autres.")</f>
        <v>Ils ont frappé le ballon d'avant en arrière, essayant de se garder les uns des autres.</v>
      </c>
    </row>
    <row r="682">
      <c r="A682" s="4" t="s">
        <v>866</v>
      </c>
      <c r="B682" s="4" t="s">
        <v>867</v>
      </c>
      <c r="C682" s="5" t="str">
        <f>IFERROR(__xludf.DUMMYFUNCTION("GOOGLETRANSLATE(B682,""en"",""fr"")"),"Une femme est vue parler à la caméra et présenter divers liquides à la caméra.")</f>
        <v>Une femme est vue parler à la caméra et présenter divers liquides à la caméra.</v>
      </c>
    </row>
    <row r="683">
      <c r="A683" s="4" t="s">
        <v>866</v>
      </c>
      <c r="B683" s="4" t="s">
        <v>868</v>
      </c>
      <c r="C683" s="5" t="str">
        <f>IFERROR(__xludf.DUMMYFUNCTION("GOOGLETRANSLATE(B683,""en"",""fr"")"),"Elle se prépare la pointe d'un verre et trempe le verre dans le sucre sur une assiette.")</f>
        <v>Elle se prépare la pointe d'un verre et trempe le verre dans le sucre sur une assiette.</v>
      </c>
    </row>
    <row r="684">
      <c r="A684" s="4" t="s">
        <v>866</v>
      </c>
      <c r="B684" s="4" t="s">
        <v>869</v>
      </c>
      <c r="C684" s="5" t="str">
        <f>IFERROR(__xludf.DUMMYFUNCTION("GOOGLETRANSLATE(B684,""en"",""fr"")"),"Elle verse divers liquides dans un mélangeur et secoue le mélange tous ensemble.")</f>
        <v>Elle verse divers liquides dans un mélangeur et secoue le mélange tous ensemble.</v>
      </c>
    </row>
    <row r="685">
      <c r="A685" s="4" t="s">
        <v>866</v>
      </c>
      <c r="B685" s="4" t="s">
        <v>870</v>
      </c>
      <c r="C685" s="5" t="str">
        <f>IFERROR(__xludf.DUMMYFUNCTION("GOOGLETRANSLATE(B685,""en"",""fr"")"),"Elle verse la boisson dans le verre tout en parlant à la caméra.")</f>
        <v>Elle verse la boisson dans le verre tout en parlant à la caméra.</v>
      </c>
    </row>
    <row r="686">
      <c r="A686" s="4" t="s">
        <v>871</v>
      </c>
      <c r="B686" s="4" t="s">
        <v>872</v>
      </c>
      <c r="C686" s="5" t="str">
        <f>IFERROR(__xludf.DUMMYFUNCTION("GOOGLETRANSLATE(B686,""en"",""fr"")"),"Un groupe de personnes est vu debout sur un champ de sable avec un jetant un ballon de football à un autre.")</f>
        <v>Un groupe de personnes est vu debout sur un champ de sable avec un jetant un ballon de football à un autre.</v>
      </c>
    </row>
    <row r="687">
      <c r="A687" s="4" t="s">
        <v>871</v>
      </c>
      <c r="B687" s="4" t="s">
        <v>873</v>
      </c>
      <c r="C687" s="5" t="str">
        <f>IFERROR(__xludf.DUMMYFUNCTION("GOOGLETRANSLATE(B687,""en"",""fr"")"),"L'autre personne marque un but et les autres joueurs le sautent sur lui et le félicitent.")</f>
        <v>L'autre personne marque un but et les autres joueurs le sautent sur lui et le félicitent.</v>
      </c>
    </row>
    <row r="688">
      <c r="A688" s="4" t="s">
        <v>871</v>
      </c>
      <c r="B688" s="4" t="s">
        <v>874</v>
      </c>
      <c r="C688" s="5" t="str">
        <f>IFERROR(__xludf.DUMMYFUNCTION("GOOGLETRANSLATE(B688,""en"",""fr"")"),"Le même objectif est montré plusieurs fois sous différents angles.")</f>
        <v>Le même objectif est montré plusieurs fois sous différents angles.</v>
      </c>
    </row>
    <row r="689">
      <c r="A689" s="4" t="s">
        <v>875</v>
      </c>
      <c r="B689" s="4" t="s">
        <v>876</v>
      </c>
      <c r="C689" s="5" t="str">
        <f>IFERROR(__xludf.DUMMYFUNCTION("GOOGLETRANSLATE(B689,""en"",""fr"")"),"L'homme se tient devant une moto et met un couvercle de toilettes dans le siège de Leathe noir.")</f>
        <v>L'homme se tient devant une moto et met un couvercle de toilettes dans le siège de Leathe noir.</v>
      </c>
    </row>
    <row r="690">
      <c r="A690" s="4" t="s">
        <v>875</v>
      </c>
      <c r="B690" s="4" t="s">
        <v>877</v>
      </c>
      <c r="C690" s="5" t="str">
        <f>IFERROR(__xludf.DUMMYFUNCTION("GOOGLETRANSLATE(B690,""en"",""fr"")"),"L'homme conduit la moto pendant la rue et un chien coure à côté de lui.")</f>
        <v>L'homme conduit la moto pendant la rue et un chien coure à côté de lui.</v>
      </c>
    </row>
    <row r="691">
      <c r="A691" s="4" t="s">
        <v>875</v>
      </c>
      <c r="B691" s="4" t="s">
        <v>878</v>
      </c>
      <c r="C691" s="5" t="str">
        <f>IFERROR(__xludf.DUMMYFUNCTION("GOOGLETRANSLATE(B691,""en"",""fr"")"),"L'homme ouvre le coffre à moto et le ferme.")</f>
        <v>L'homme ouvre le coffre à moto et le ferme.</v>
      </c>
    </row>
    <row r="692">
      <c r="A692" s="4" t="s">
        <v>879</v>
      </c>
      <c r="B692" s="4" t="s">
        <v>880</v>
      </c>
      <c r="C692" s="5" t="str">
        <f>IFERROR(__xludf.DUMMYFUNCTION("GOOGLETRANSLATE(B692,""en"",""fr"")"),"Un grand groupe de personnes est vu nager autour d'une piscine tandis qu'un entraîneur crie sur les côtés.")</f>
        <v>Un grand groupe de personnes est vu nager autour d'une piscine tandis qu'un entraîneur crie sur les côtés.</v>
      </c>
    </row>
    <row r="693">
      <c r="A693" s="4" t="s">
        <v>879</v>
      </c>
      <c r="B693" s="4" t="s">
        <v>881</v>
      </c>
      <c r="C693" s="5" t="str">
        <f>IFERROR(__xludf.DUMMYFUNCTION("GOOGLETRANSLATE(B693,""en"",""fr"")"),"Des photos de personnes qui jouent sont montrées lorsque l'une frappe l'autre.")</f>
        <v>Des photos de personnes qui jouent sont montrées lorsque l'une frappe l'autre.</v>
      </c>
    </row>
    <row r="694">
      <c r="A694" s="4" t="s">
        <v>879</v>
      </c>
      <c r="B694" s="4" t="s">
        <v>882</v>
      </c>
      <c r="C694" s="5" t="str">
        <f>IFERROR(__xludf.DUMMYFUNCTION("GOOGLETRANSLATE(B694,""en"",""fr"")"),"Les entraîneurs se crient pendant que les gens jouent encore au jeu.")</f>
        <v>Les entraîneurs se crient pendant que les gens jouent encore au jeu.</v>
      </c>
    </row>
    <row r="695">
      <c r="A695" s="4" t="s">
        <v>883</v>
      </c>
      <c r="B695" s="4" t="s">
        <v>884</v>
      </c>
      <c r="C695" s="5" t="str">
        <f>IFERROR(__xludf.DUMMYFUNCTION("GOOGLETRANSLATE(B695,""en"",""fr"")"),"Un petit garçon est debout en train de manger de la glace.")</f>
        <v>Un petit garçon est debout en train de manger de la glace.</v>
      </c>
    </row>
    <row r="696">
      <c r="A696" s="4" t="s">
        <v>883</v>
      </c>
      <c r="B696" s="4" t="s">
        <v>885</v>
      </c>
      <c r="C696" s="5" t="str">
        <f>IFERROR(__xludf.DUMMYFUNCTION("GOOGLETRANSLATE(B696,""en"",""fr"")"),"Il y a un chien sur le sol derrière lui.")</f>
        <v>Il y a un chien sur le sol derrière lui.</v>
      </c>
    </row>
    <row r="697">
      <c r="A697" s="4" t="s">
        <v>883</v>
      </c>
      <c r="B697" s="4" t="s">
        <v>886</v>
      </c>
      <c r="C697" s="5" t="str">
        <f>IFERROR(__xludf.DUMMYFUNCTION("GOOGLETRANSLATE(B697,""en"",""fr"")"),"Il rit et se retourne.")</f>
        <v>Il rit et se retourne.</v>
      </c>
    </row>
    <row r="698">
      <c r="A698" s="4" t="s">
        <v>887</v>
      </c>
      <c r="B698" s="4" t="s">
        <v>888</v>
      </c>
      <c r="C698" s="5" t="str">
        <f>IFERROR(__xludf.DUMMYFUNCTION("GOOGLETRANSLATE(B698,""en"",""fr"")"),"Une fille est assise sur une grande chaise avec deux filles à côté d'elle et un homme tatouant son pied.")</f>
        <v>Une fille est assise sur une grande chaise avec deux filles à côté d'elle et un homme tatouant son pied.</v>
      </c>
    </row>
    <row r="699">
      <c r="A699" s="4" t="s">
        <v>887</v>
      </c>
      <c r="B699" s="4" t="s">
        <v>889</v>
      </c>
      <c r="C699" s="5" t="str">
        <f>IFERROR(__xludf.DUMMYFUNCTION("GOOGLETRANSLATE(B699,""en"",""fr"")"),"Un autre homme entre dans le cadre et les filles continuent de se parler pendant que l'artiste.")</f>
        <v>Un autre homme entre dans le cadre et les filles continuent de se parler pendant que l'artiste.</v>
      </c>
    </row>
    <row r="700">
      <c r="A700" s="4" t="s">
        <v>890</v>
      </c>
      <c r="B700" s="4" t="s">
        <v>891</v>
      </c>
      <c r="C700" s="5" t="str">
        <f>IFERROR(__xludf.DUMMYFUNCTION("GOOGLETRANSLATE(B700,""en"",""fr"")"),"Une femme derrière un bar montre comment faire une boisson mélangée.")</f>
        <v>Une femme derrière un bar montre comment faire une boisson mélangée.</v>
      </c>
    </row>
    <row r="701">
      <c r="A701" s="4" t="s">
        <v>890</v>
      </c>
      <c r="B701" s="6" t="s">
        <v>892</v>
      </c>
      <c r="C701" s="5" t="str">
        <f>IFERROR(__xludf.DUMMYFUNCTION("GOOGLETRANSLATE(B701,""en"",""fr"")"),"Une série de coups apparaissent avec une personne versant de l'alcool dans un verre à martini, puis l'écran s'estompe dans l'écran du titre vidéo montrant un nom de site Web, le nom de la boisson qu'ils font et la personne qui le fera.")</f>
        <v>Une série de coups apparaissent avec une personne versant de l'alcool dans un verre à martini, puis l'écran s'estompe dans l'écran du titre vidéo montrant un nom de site Web, le nom de la boisson qu'ils font et la personne qui le fera.</v>
      </c>
    </row>
    <row r="702">
      <c r="A702" s="4" t="s">
        <v>890</v>
      </c>
      <c r="B702" s="4" t="s">
        <v>893</v>
      </c>
      <c r="C702" s="5" t="str">
        <f>IFERROR(__xludf.DUMMYFUNCTION("GOOGLETRANSLATE(B702,""en"",""fr"")"),"Une adresse de site Web est affichée en bas de l'écran.")</f>
        <v>Une adresse de site Web est affichée en bas de l'écran.</v>
      </c>
    </row>
    <row r="703">
      <c r="A703" s="4" t="s">
        <v>890</v>
      </c>
      <c r="B703" s="6" t="s">
        <v>894</v>
      </c>
      <c r="C703" s="5" t="str">
        <f>IFERROR(__xludf.DUMMYFUNCTION("GOOGLETRANSLATE(B703,""en"",""fr"")"),"Une fille debout derrière le bar explique quels ingrédients elle utilise pour la boisson, les quantités qu'elle utilise et les mélange toutes dans un verre et présente la boisson.")</f>
        <v>Une fille debout derrière le bar explique quels ingrédients elle utilise pour la boisson, les quantités qu'elle utilise et les mélange toutes dans un verre et présente la boisson.</v>
      </c>
    </row>
    <row r="704">
      <c r="A704" s="4" t="s">
        <v>890</v>
      </c>
      <c r="B704" s="4" t="s">
        <v>895</v>
      </c>
      <c r="C704" s="5" t="str">
        <f>IFERROR(__xludf.DUMMYFUNCTION("GOOGLETRANSLATE(B704,""en"",""fr"")"),"La caméra zoome sur la boisson et s'estompe en noir pour mettre fin à la vidéo.")</f>
        <v>La caméra zoome sur la boisson et s'estompe en noir pour mettre fin à la vidéo.</v>
      </c>
    </row>
    <row r="705">
      <c r="A705" s="4" t="s">
        <v>896</v>
      </c>
      <c r="B705" s="4" t="s">
        <v>897</v>
      </c>
      <c r="C705" s="5" t="str">
        <f>IFERROR(__xludf.DUMMYFUNCTION("GOOGLETRANSLATE(B705,""en"",""fr"")"),"Une femme debout à l'extérieur près d'un court de tennis qui parle de choses.")</f>
        <v>Une femme debout à l'extérieur près d'un court de tennis qui parle de choses.</v>
      </c>
    </row>
    <row r="706">
      <c r="A706" s="4" t="s">
        <v>896</v>
      </c>
      <c r="B706" s="4" t="s">
        <v>898</v>
      </c>
      <c r="C706" s="5" t="str">
        <f>IFERROR(__xludf.DUMMYFUNCTION("GOOGLETRANSLATE(B706,""en"",""fr"")"),"Une fille en tout noir avec un bâton pratiquant ses mouvements et danse à l'intérieur du studio.")</f>
        <v>Une fille en tout noir avec un bâton pratiquant ses mouvements et danse à l'intérieur du studio.</v>
      </c>
    </row>
    <row r="707">
      <c r="A707" s="4" t="s">
        <v>896</v>
      </c>
      <c r="B707" s="4" t="s">
        <v>899</v>
      </c>
      <c r="C707" s="5" t="str">
        <f>IFERROR(__xludf.DUMMYFUNCTION("GOOGLETRANSLATE(B707,""en"",""fr"")"),"Son entraîneur fait une interview en s'asseyant les mains tenues ensemble.")</f>
        <v>Son entraîneur fait une interview en s'asseyant les mains tenues ensemble.</v>
      </c>
    </row>
    <row r="708">
      <c r="A708" s="4" t="s">
        <v>896</v>
      </c>
      <c r="B708" s="4" t="s">
        <v>900</v>
      </c>
      <c r="C708" s="5" t="str">
        <f>IFERROR(__xludf.DUMMYFUNCTION("GOOGLETRANSLATE(B708,""en"",""fr"")"),"La fille continue de s'entraîner seule dans le studio.")</f>
        <v>La fille continue de s'entraîner seule dans le studio.</v>
      </c>
    </row>
    <row r="709">
      <c r="A709" s="4" t="s">
        <v>901</v>
      </c>
      <c r="B709" s="4" t="s">
        <v>902</v>
      </c>
      <c r="C709" s="5" t="str">
        <f>IFERROR(__xludf.DUMMYFUNCTION("GOOGLETRANSLATE(B709,""en"",""fr"")"),"Une jeune fille présente la vidéo et explique ce qu'elle fera à Wood.")</f>
        <v>Une jeune fille présente la vidéo et explique ce qu'elle fera à Wood.</v>
      </c>
    </row>
    <row r="710">
      <c r="A710" s="4" t="s">
        <v>901</v>
      </c>
      <c r="B710" s="4" t="s">
        <v>903</v>
      </c>
      <c r="C710" s="5" t="str">
        <f>IFERROR(__xludf.DUMMYFUNCTION("GOOGLETRANSLATE(B710,""en"",""fr"")"),"Elle place un morceau d'écriture de bulles et s'assure qu'elle couvre environ la moitié du bois.")</f>
        <v>Elle place un morceau d'écriture de bulles et s'assure qu'elle couvre environ la moitié du bois.</v>
      </c>
    </row>
    <row r="711">
      <c r="A711" s="4" t="s">
        <v>901</v>
      </c>
      <c r="B711" s="4" t="s">
        <v>904</v>
      </c>
      <c r="C711" s="5" t="str">
        <f>IFERROR(__xludf.DUMMYFUNCTION("GOOGLETRANSLATE(B711,""en"",""fr"")"),"Elle couvre ensuite le reste du bois et la traverse comme une planche.")</f>
        <v>Elle couvre ensuite le reste du bois et la traverse comme une planche.</v>
      </c>
    </row>
    <row r="712">
      <c r="A712" s="4" t="s">
        <v>905</v>
      </c>
      <c r="B712" s="4" t="s">
        <v>906</v>
      </c>
      <c r="C712" s="5" t="str">
        <f>IFERROR(__xludf.DUMMYFUNCTION("GOOGLETRANSLATE(B712,""en"",""fr"")"),"Les gens effectuent des cascades de gymnastique devant un public.")</f>
        <v>Les gens effectuent des cascades de gymnastique devant un public.</v>
      </c>
    </row>
    <row r="713">
      <c r="A713" s="4" t="s">
        <v>905</v>
      </c>
      <c r="B713" s="4" t="s">
        <v>907</v>
      </c>
      <c r="C713" s="5" t="str">
        <f>IFERROR(__xludf.DUMMYFUNCTION("GOOGLETRANSLATE(B713,""en"",""fr"")"),"Un gars verrouille ses bras autour des barreaux au-dessus de sa tête.")</f>
        <v>Un gars verrouille ses bras autour des barreaux au-dessus de sa tête.</v>
      </c>
    </row>
    <row r="714">
      <c r="A714" s="4" t="s">
        <v>905</v>
      </c>
      <c r="B714" s="4" t="s">
        <v>908</v>
      </c>
      <c r="C714" s="5" t="str">
        <f>IFERROR(__xludf.DUMMYFUNCTION("GOOGLETRANSLATE(B714,""en"",""fr"")"),"Le gars balance son corps tout en tenant les barreaux.")</f>
        <v>Le gars balance son corps tout en tenant les barreaux.</v>
      </c>
    </row>
    <row r="715">
      <c r="A715" s="4" t="s">
        <v>905</v>
      </c>
      <c r="B715" s="4" t="s">
        <v>909</v>
      </c>
      <c r="C715" s="5" t="str">
        <f>IFERROR(__xludf.DUMMYFUNCTION("GOOGLETRANSLATE(B715,""en"",""fr"")"),"Le gars se détache des barreaux et atterrit sur ses pieds, claque et commence à partir.")</f>
        <v>Le gars se détache des barreaux et atterrit sur ses pieds, claque et commence à partir.</v>
      </c>
    </row>
    <row r="716">
      <c r="A716" s="4" t="s">
        <v>905</v>
      </c>
      <c r="B716" s="4" t="s">
        <v>910</v>
      </c>
      <c r="C716" s="5" t="str">
        <f>IFERROR(__xludf.DUMMYFUNCTION("GOOGLETRANSLATE(B716,""en"",""fr"")"),"Un homme s'approche du gars applaudissant.")</f>
        <v>Un homme s'approche du gars applaudissant.</v>
      </c>
    </row>
    <row r="717">
      <c r="A717" s="4" t="s">
        <v>911</v>
      </c>
      <c r="B717" s="4" t="s">
        <v>912</v>
      </c>
      <c r="C717" s="5" t="str">
        <f>IFERROR(__xludf.DUMMYFUNCTION("GOOGLETRANSLATE(B717,""en"",""fr"")"),"Deux gymastes se produisent devant une foule.")</f>
        <v>Deux gymastes se produisent devant une foule.</v>
      </c>
    </row>
    <row r="718">
      <c r="A718" s="4" t="s">
        <v>911</v>
      </c>
      <c r="B718" s="4" t="s">
        <v>913</v>
      </c>
      <c r="C718" s="5" t="str">
        <f>IFERROR(__xludf.DUMMYFUNCTION("GOOGLETRANSLATE(B718,""en"",""fr"")"),"L'un tourne constamment sur une poutre.")</f>
        <v>L'un tourne constamment sur une poutre.</v>
      </c>
    </row>
    <row r="719">
      <c r="A719" s="4" t="s">
        <v>911</v>
      </c>
      <c r="B719" s="4" t="s">
        <v>914</v>
      </c>
      <c r="C719" s="5" t="str">
        <f>IFERROR(__xludf.DUMMYFUNCTION("GOOGLETRANSLATE(B719,""en"",""fr"")"),"L'homme en monture rouge et commence à tourner, effectuant plusieurs astuces.")</f>
        <v>L'homme en monture rouge et commence à tourner, effectuant plusieurs astuces.</v>
      </c>
    </row>
    <row r="720">
      <c r="A720" s="4" t="s">
        <v>911</v>
      </c>
      <c r="B720" s="4" t="s">
        <v>915</v>
      </c>
      <c r="C720" s="5" t="str">
        <f>IFERROR(__xludf.DUMMYFUNCTION("GOOGLETRANSLATE(B720,""en"",""fr"")"),"L'homme démonte et met un bras victorieux en l'air.")</f>
        <v>L'homme démonte et met un bras victorieux en l'air.</v>
      </c>
    </row>
    <row r="721">
      <c r="A721" s="4" t="s">
        <v>916</v>
      </c>
      <c r="B721" s="4" t="s">
        <v>917</v>
      </c>
      <c r="C721" s="5" t="str">
        <f>IFERROR(__xludf.DUMMYFUNCTION("GOOGLETRANSLATE(B721,""en"",""fr"")"),"Un garçon tire une chaîne d'une machine de fitness à domicile en parlant.")</f>
        <v>Un garçon tire une chaîne d'une machine de fitness à domicile en parlant.</v>
      </c>
    </row>
    <row r="722">
      <c r="A722" s="4" t="s">
        <v>916</v>
      </c>
      <c r="B722" s="4" t="s">
        <v>918</v>
      </c>
      <c r="C722" s="5" t="str">
        <f>IFERROR(__xludf.DUMMYFUNCTION("GOOGLETRANSLATE(B722,""en"",""fr"")"),"Ensuite, le garçon tombe sur le sol.")</f>
        <v>Ensuite, le garçon tombe sur le sol.</v>
      </c>
    </row>
    <row r="723">
      <c r="A723" s="4" t="s">
        <v>919</v>
      </c>
      <c r="B723" s="4" t="s">
        <v>920</v>
      </c>
      <c r="C723" s="5" t="str">
        <f>IFERROR(__xludf.DUMMYFUNCTION("GOOGLETRANSLATE(B723,""en"",""fr"")"),"Il y a une grande équipe de participants qui se préparent à se livrer à une activité de tubulings d'eau.")</f>
        <v>Il y a une grande équipe de participants qui se préparent à se livrer à une activité de tubulings d'eau.</v>
      </c>
    </row>
    <row r="724">
      <c r="A724" s="4" t="s">
        <v>919</v>
      </c>
      <c r="B724" s="4" t="s">
        <v>921</v>
      </c>
      <c r="C724" s="5" t="str">
        <f>IFERROR(__xludf.DUMMYFUNCTION("GOOGLETRANSLATE(B724,""en"",""fr"")"),"Ils marchent sur un terrain vallonné jusqu'à la rivière.")</f>
        <v>Ils marchent sur un terrain vallonné jusqu'à la rivière.</v>
      </c>
    </row>
    <row r="725">
      <c r="A725" s="4" t="s">
        <v>919</v>
      </c>
      <c r="B725" s="4" t="s">
        <v>922</v>
      </c>
      <c r="C725" s="5" t="str">
        <f>IFERROR(__xludf.DUMMYFUNCTION("GOOGLETRANSLATE(B725,""en"",""fr"")"),"Ils montent sur leurs tubes et commencent à descendre les rapides.")</f>
        <v>Ils montent sur leurs tubes et commencent à descendre les rapides.</v>
      </c>
    </row>
    <row r="726">
      <c r="A726" s="4" t="s">
        <v>919</v>
      </c>
      <c r="B726" s="4" t="s">
        <v>923</v>
      </c>
      <c r="C726" s="5" t="str">
        <f>IFERROR(__xludf.DUMMYFUNCTION("GOOGLETRANSLATE(B726,""en"",""fr"")"),"Les participants semblent très calmes et heureux lorsqu'ils saluent la caméra.")</f>
        <v>Les participants semblent très calmes et heureux lorsqu'ils saluent la caméra.</v>
      </c>
    </row>
    <row r="727">
      <c r="A727" s="4" t="s">
        <v>919</v>
      </c>
      <c r="B727" s="4" t="s">
        <v>924</v>
      </c>
      <c r="C727" s="5" t="str">
        <f>IFERROR(__xludf.DUMMYFUNCTION("GOOGLETRANSLATE(B727,""en"",""fr"")"),"Ils commencent tous leur voyage dans les rapides alors que l'eau commence à devenir plus turbulente.")</f>
        <v>Ils commencent tous leur voyage dans les rapides alors que l'eau commence à devenir plus turbulente.</v>
      </c>
    </row>
    <row r="728">
      <c r="A728" s="4" t="s">
        <v>919</v>
      </c>
      <c r="B728" s="4" t="s">
        <v>925</v>
      </c>
      <c r="C728" s="5" t="str">
        <f>IFERROR(__xludf.DUMMYFUNCTION("GOOGLETRANSLATE(B728,""en"",""fr"")"),"Ils continuent de suivre le courant d'eau alors qu'ils circulent régulièrement dans l'eau.")</f>
        <v>Ils continuent de suivre le courant d'eau alors qu'ils circulent régulièrement dans l'eau.</v>
      </c>
    </row>
    <row r="729">
      <c r="A729" s="4" t="s">
        <v>919</v>
      </c>
      <c r="B729" s="4" t="s">
        <v>926</v>
      </c>
      <c r="C729" s="5" t="str">
        <f>IFERROR(__xludf.DUMMYFUNCTION("GOOGLETRANSLATE(B729,""en"",""fr"")"),"Ensuite, ils arrivent tous sur les rives de la rivière où l'eau est calme et régulière.")</f>
        <v>Ensuite, ils arrivent tous sur les rives de la rivière où l'eau est calme et régulière.</v>
      </c>
    </row>
    <row r="730">
      <c r="A730" s="4" t="s">
        <v>927</v>
      </c>
      <c r="B730" s="6" t="s">
        <v>928</v>
      </c>
      <c r="C730" s="5" t="str">
        <f>IFERROR(__xludf.DUMMYFUNCTION("GOOGLETRANSLATE(B730,""en"",""fr"")"),"La vidéo est représentée par North Face and Cliff Bar où ils montrent des grimpeurs de montagne dans le parc national de Yosemite.")</f>
        <v>La vidéo est représentée par North Face and Cliff Bar où ils montrent des grimpeurs de montagne dans le parc national de Yosemite.</v>
      </c>
    </row>
    <row r="731">
      <c r="A731" s="4" t="s">
        <v>927</v>
      </c>
      <c r="B731" s="4" t="s">
        <v>929</v>
      </c>
      <c r="C731" s="5" t="str">
        <f>IFERROR(__xludf.DUMMYFUNCTION("GOOGLETRANSLATE(B731,""en"",""fr"")"),"Plusieurs personnes parlent de la fascination de l'escalade en montagne.")</f>
        <v>Plusieurs personnes parlent de la fascination de l'escalade en montagne.</v>
      </c>
    </row>
    <row r="732">
      <c r="A732" s="4" t="s">
        <v>927</v>
      </c>
      <c r="B732" s="4" t="s">
        <v>930</v>
      </c>
      <c r="C732" s="5" t="str">
        <f>IFERROR(__xludf.DUMMYFUNCTION("GOOGLETRANSLATE(B732,""en"",""fr"")"),"Il y a des photos de personnes portant des bandanas montrés assis sur les sommets de la montagne.")</f>
        <v>Il y a des photos de personnes portant des bandanas montrés assis sur les sommets de la montagne.</v>
      </c>
    </row>
    <row r="733">
      <c r="A733" s="4" t="s">
        <v>927</v>
      </c>
      <c r="B733" s="4" t="s">
        <v>931</v>
      </c>
      <c r="C733" s="5" t="str">
        <f>IFERROR(__xludf.DUMMYFUNCTION("GOOGLETRANSLATE(B733,""en"",""fr"")"),"Il y a un homme qui monte en montagne sur une pente raide.")</f>
        <v>Il y a un homme qui monte en montagne sur une pente raide.</v>
      </c>
    </row>
    <row r="734">
      <c r="A734" s="4" t="s">
        <v>927</v>
      </c>
      <c r="B734" s="6" t="s">
        <v>932</v>
      </c>
      <c r="C734" s="5" t="str">
        <f>IFERROR(__xludf.DUMMYFUNCTION("GOOGLETRANSLATE(B734,""en"",""fr"")"),"Un autre homme fait un saut du sommet de la montagne pour tenter de saut à l'éclairage de cette hauteur.")</f>
        <v>Un autre homme fait un saut du sommet de la montagne pour tenter de saut à l'éclairage de cette hauteur.</v>
      </c>
    </row>
    <row r="735">
      <c r="A735" s="4" t="s">
        <v>933</v>
      </c>
      <c r="B735" s="4" t="s">
        <v>934</v>
      </c>
      <c r="C735" s="5" t="str">
        <f>IFERROR(__xludf.DUMMYFUNCTION("GOOGLETRANSLATE(B735,""en"",""fr"")"),"Un groupe de jeunes garçons se trouvent dans un terrain de basket.")</f>
        <v>Un groupe de jeunes garçons se trouvent dans un terrain de basket.</v>
      </c>
    </row>
    <row r="736">
      <c r="A736" s="4" t="s">
        <v>933</v>
      </c>
      <c r="B736" s="4" t="s">
        <v>935</v>
      </c>
      <c r="C736" s="5" t="str">
        <f>IFERROR(__xludf.DUMMYFUNCTION("GOOGLETRANSLATE(B736,""en"",""fr"")"),"Ils jouent un jeu pendant que l'entraîneur les applaudit et les instruit.")</f>
        <v>Ils jouent un jeu pendant que l'entraîneur les applaudit et les instruit.</v>
      </c>
    </row>
    <row r="737">
      <c r="A737" s="4" t="s">
        <v>933</v>
      </c>
      <c r="B737" s="4" t="s">
        <v>936</v>
      </c>
      <c r="C737" s="5" t="str">
        <f>IFERROR(__xludf.DUMMYFUNCTION("GOOGLETRANSLATE(B737,""en"",""fr"")"),"Certains garçons regardent depuis la touche, attendant leur tour.")</f>
        <v>Certains garçons regardent depuis la touche, attendant leur tour.</v>
      </c>
    </row>
    <row r="738">
      <c r="A738" s="4" t="s">
        <v>937</v>
      </c>
      <c r="B738" s="4" t="s">
        <v>938</v>
      </c>
      <c r="C738" s="5" t="str">
        <f>IFERROR(__xludf.DUMMYFUNCTION("GOOGLETRANSLATE(B738,""en"",""fr"")"),"Des scènes d'hiver avec des véhicules et de la neige lourde sont représentées.")</f>
        <v>Des scènes d'hiver avec des véhicules et de la neige lourde sont représentées.</v>
      </c>
    </row>
    <row r="739">
      <c r="A739" s="4" t="s">
        <v>937</v>
      </c>
      <c r="B739" s="4" t="s">
        <v>939</v>
      </c>
      <c r="C739" s="5" t="str">
        <f>IFERROR(__xludf.DUMMYFUNCTION("GOOGLETRANSLATE(B739,""en"",""fr"")"),"Des scènes de l'intérieur d'un aéroport sont présentées, les gens se promenant ou attendent.")</f>
        <v>Des scènes de l'intérieur d'un aéroport sont présentées, les gens se promenant ou attendent.</v>
      </c>
    </row>
    <row r="740">
      <c r="A740" s="4" t="s">
        <v>937</v>
      </c>
      <c r="B740" s="4" t="s">
        <v>940</v>
      </c>
      <c r="C740" s="5" t="str">
        <f>IFERROR(__xludf.DUMMYFUNCTION("GOOGLETRANSLATE(B740,""en"",""fr"")"),"Une femme parle à la caméra.")</f>
        <v>Une femme parle à la caméra.</v>
      </c>
    </row>
    <row r="741">
      <c r="A741" s="4" t="s">
        <v>937</v>
      </c>
      <c r="B741" s="4" t="s">
        <v>941</v>
      </c>
      <c r="C741" s="5" t="str">
        <f>IFERROR(__xludf.DUMMYFUNCTION("GOOGLETRANSLATE(B741,""en"",""fr"")"),"Un homme nettoie la neige d'une voiture.")</f>
        <v>Un homme nettoie la neige d'une voiture.</v>
      </c>
    </row>
    <row r="742">
      <c r="A742" s="4" t="s">
        <v>937</v>
      </c>
      <c r="B742" s="4" t="s">
        <v>942</v>
      </c>
      <c r="C742" s="5" t="str">
        <f>IFERROR(__xludf.DUMMYFUNCTION("GOOGLETRANSLATE(B742,""en"",""fr"")"),"Plus de scènes d'une tempête hivernale sont montrées.")</f>
        <v>Plus de scènes d'une tempête hivernale sont montrées.</v>
      </c>
    </row>
    <row r="743">
      <c r="A743" s="4" t="s">
        <v>937</v>
      </c>
      <c r="B743" s="4" t="s">
        <v>943</v>
      </c>
      <c r="C743" s="5" t="str">
        <f>IFERROR(__xludf.DUMMYFUNCTION("GOOGLETRANSLATE(B743,""en"",""fr"")"),"Des scènes de personnes qui nettoient la neige de leurs véhicules sont présentées.")</f>
        <v>Des scènes de personnes qui nettoient la neige de leurs véhicules sont présentées.</v>
      </c>
    </row>
    <row r="744">
      <c r="A744" s="4" t="s">
        <v>937</v>
      </c>
      <c r="B744" s="4" t="s">
        <v>944</v>
      </c>
      <c r="C744" s="5" t="str">
        <f>IFERROR(__xludf.DUMMYFUNCTION("GOOGLETRANSLATE(B744,""en"",""fr"")"),"Une femme différente parle à la caméra.")</f>
        <v>Une femme différente parle à la caméra.</v>
      </c>
    </row>
    <row r="745">
      <c r="A745" s="4" t="s">
        <v>937</v>
      </c>
      <c r="B745" s="4" t="s">
        <v>945</v>
      </c>
      <c r="C745" s="5" t="str">
        <f>IFERROR(__xludf.DUMMYFUNCTION("GOOGLETRANSLATE(B745,""en"",""fr"")"),"Une voiture s'éloigne de la caméra.")</f>
        <v>Une voiture s'éloigne de la caméra.</v>
      </c>
    </row>
    <row r="746">
      <c r="A746" s="4" t="s">
        <v>937</v>
      </c>
      <c r="B746" s="4" t="s">
        <v>946</v>
      </c>
      <c r="C746" s="5" t="str">
        <f>IFERROR(__xludf.DUMMYFUNCTION("GOOGLETRANSLATE(B746,""en"",""fr"")"),"Deux personnes parlent à la caméra.")</f>
        <v>Deux personnes parlent à la caméra.</v>
      </c>
    </row>
    <row r="747">
      <c r="A747" s="4" t="s">
        <v>937</v>
      </c>
      <c r="B747" s="4" t="s">
        <v>947</v>
      </c>
      <c r="C747" s="5" t="str">
        <f>IFERROR(__xludf.DUMMYFUNCTION("GOOGLETRANSLATE(B747,""en"",""fr"")"),"Un camion s'éloigne de la caméra.")</f>
        <v>Un camion s'éloigne de la caméra.</v>
      </c>
    </row>
    <row r="748">
      <c r="A748" s="4" t="s">
        <v>948</v>
      </c>
      <c r="B748" s="4" t="s">
        <v>949</v>
      </c>
      <c r="C748" s="5" t="str">
        <f>IFERROR(__xludf.DUMMYFUNCTION("GOOGLETRANSLATE(B748,""en"",""fr"")"),"Une femme est représentée avec un pinceau et un morceau de toile.")</f>
        <v>Une femme est représentée avec un pinceau et un morceau de toile.</v>
      </c>
    </row>
    <row r="749">
      <c r="A749" s="4" t="s">
        <v>948</v>
      </c>
      <c r="B749" s="4" t="s">
        <v>950</v>
      </c>
      <c r="C749" s="5" t="str">
        <f>IFERROR(__xludf.DUMMYFUNCTION("GOOGLETRANSLATE(B749,""en"",""fr"")"),"Elle utilise de la peinture verte pour remplir un dessin d'une plante.")</f>
        <v>Elle utilise de la peinture verte pour remplir un dessin d'une plante.</v>
      </c>
    </row>
    <row r="750">
      <c r="A750" s="4" t="s">
        <v>948</v>
      </c>
      <c r="B750" s="4" t="s">
        <v>951</v>
      </c>
      <c r="C750" s="5" t="str">
        <f>IFERROR(__xludf.DUMMYFUNCTION("GOOGLETRANSLATE(B750,""en"",""fr"")"),"Elle fait le tour en rond, peignant l'image.")</f>
        <v>Elle fait le tour en rond, peignant l'image.</v>
      </c>
    </row>
    <row r="751">
      <c r="A751" s="4" t="s">
        <v>952</v>
      </c>
      <c r="B751" s="6" t="s">
        <v>953</v>
      </c>
      <c r="C751" s="5" t="str">
        <f>IFERROR(__xludf.DUMMYFUNCTION("GOOGLETRANSLATE(B751,""en"",""fr"")"),"Un homme blanc est habillé à l'extérieur en un uniforme écossais debout à l'extérieur au milieu d'un cimetière.")</f>
        <v>Un homme blanc est habillé à l'extérieur en un uniforme écossais debout à l'extérieur au milieu d'un cimetière.</v>
      </c>
    </row>
    <row r="752">
      <c r="A752" s="4" t="s">
        <v>952</v>
      </c>
      <c r="B752" s="4" t="s">
        <v>954</v>
      </c>
      <c r="C752" s="5" t="str">
        <f>IFERROR(__xludf.DUMMYFUNCTION("GOOGLETRANSLATE(B752,""en"",""fr"")"),"Alors qu'il est debout, il joue les tuyaux de sac avec le drapeau américain qui leur pendait.")</f>
        <v>Alors qu'il est debout, il joue les tuyaux de sac avec le drapeau américain qui leur pendait.</v>
      </c>
    </row>
    <row r="753">
      <c r="A753" s="4" t="s">
        <v>952</v>
      </c>
      <c r="B753" s="6" t="s">
        <v>955</v>
      </c>
      <c r="C753" s="5" t="str">
        <f>IFERROR(__xludf.DUMMYFUNCTION("GOOGLETRANSLATE(B753,""en"",""fr"")"),"Quand il a fini, il commence à regarder à sa droite, secoue la tête, reprend son souffle et continue de jouer.")</f>
        <v>Quand il a fini, il commence à regarder à sa droite, secoue la tête, reprend son souffle et continue de jouer.</v>
      </c>
    </row>
    <row r="754">
      <c r="A754" s="4" t="s">
        <v>956</v>
      </c>
      <c r="B754" s="4" t="s">
        <v>957</v>
      </c>
      <c r="C754" s="5" t="str">
        <f>IFERROR(__xludf.DUMMYFUNCTION("GOOGLETRANSLATE(B754,""en"",""fr"")"),"Un gros plan d'un panneau est vu suivi par un jeune couple qui regardait la caméra.")</f>
        <v>Un gros plan d'un panneau est vu suivi par un jeune couple qui regardait la caméra.</v>
      </c>
    </row>
    <row r="755">
      <c r="A755" s="4" t="s">
        <v>956</v>
      </c>
      <c r="B755" s="4" t="s">
        <v>958</v>
      </c>
      <c r="C755" s="5" t="str">
        <f>IFERROR(__xludf.DUMMYFUNCTION("GOOGLETRANSLATE(B755,""en"",""fr"")"),"D'autres personnes sont vues debout sur le côté et regardent les deux autres.")</f>
        <v>D'autres personnes sont vues debout sur le côté et regardent les deux autres.</v>
      </c>
    </row>
    <row r="756">
      <c r="A756" s="4" t="s">
        <v>956</v>
      </c>
      <c r="B756" s="4" t="s">
        <v>959</v>
      </c>
      <c r="C756" s="5" t="str">
        <f>IFERROR(__xludf.DUMMYFUNCTION("GOOGLETRANSLATE(B756,""en"",""fr"")"),"Le coupé maintient et saute du côté pendant que les autres se tiennent et regardent.")</f>
        <v>Le coupé maintient et saute du côté pendant que les autres se tiennent et regardent.</v>
      </c>
    </row>
    <row r="757">
      <c r="A757" s="4" t="s">
        <v>960</v>
      </c>
      <c r="B757" s="6" t="s">
        <v>961</v>
      </c>
      <c r="C757" s="5" t="str">
        <f>IFERROR(__xludf.DUMMYFUNCTION("GOOGLETRANSLATE(B757,""en"",""fr"")"),"Une personne est vue effectuer divers flips et astuces devant le public et mène à un jeune garçon debout au milieu.")</f>
        <v>Une personne est vue effectuer divers flips et astuces devant le public et mène à un jeune garçon debout au milieu.</v>
      </c>
    </row>
    <row r="758">
      <c r="A758" s="4" t="s">
        <v>960</v>
      </c>
      <c r="B758" s="6" t="s">
        <v>962</v>
      </c>
      <c r="C758" s="5" t="str">
        <f>IFERROR(__xludf.DUMMYFUNCTION("GOOGLETRANSLATE(B758,""en"",""fr"")"),"Le garçon et l'homme se battent ensuite les uns contre les autres en faisant plusieurs trucs et se termine avec le bras du garçon.")</f>
        <v>Le garçon et l'homme se battent ensuite les uns contre les autres en faisant plusieurs trucs et se termine avec le bras du garçon.</v>
      </c>
    </row>
    <row r="759">
      <c r="A759" s="4" t="s">
        <v>960</v>
      </c>
      <c r="B759" s="4" t="s">
        <v>963</v>
      </c>
      <c r="C759" s="5" t="str">
        <f>IFERROR(__xludf.DUMMYFUNCTION("GOOGLETRANSLATE(B759,""en"",""fr"")"),"Il applaudit ensuite le garçon et plusieurs personnes sur le côté applaudissent.")</f>
        <v>Il applaudit ensuite le garçon et plusieurs personnes sur le côté applaudissent.</v>
      </c>
    </row>
    <row r="760">
      <c r="A760" s="4" t="s">
        <v>964</v>
      </c>
      <c r="B760" s="4" t="s">
        <v>965</v>
      </c>
      <c r="C760" s="5" t="str">
        <f>IFERROR(__xludf.DUMMYFUNCTION("GOOGLETRANSLATE(B760,""en"",""fr"")"),"Un petit garçon qui fait du karaté crie les commandes.")</f>
        <v>Un petit garçon qui fait du karaté crie les commandes.</v>
      </c>
    </row>
    <row r="761">
      <c r="A761" s="4" t="s">
        <v>964</v>
      </c>
      <c r="B761" s="4" t="s">
        <v>966</v>
      </c>
      <c r="C761" s="5" t="str">
        <f>IFERROR(__xludf.DUMMYFUNCTION("GOOGLETRANSLATE(B761,""en"",""fr"")"),"Il commence à faire quelques-uns de ses mouvements de karaté, se déplaçant tout autour de la cour.")</f>
        <v>Il commence à faire quelques-uns de ses mouvements de karaté, se déplaçant tout autour de la cour.</v>
      </c>
    </row>
    <row r="762">
      <c r="A762" s="4" t="s">
        <v>964</v>
      </c>
      <c r="B762" s="4" t="s">
        <v>967</v>
      </c>
      <c r="C762" s="5" t="str">
        <f>IFERROR(__xludf.DUMMYFUNCTION("GOOGLETRANSLATE(B762,""en"",""fr"")"),"C'est une ceinture bleue jugée pour ses compétences.")</f>
        <v>C'est une ceinture bleue jugée pour ses compétences.</v>
      </c>
    </row>
    <row r="763">
      <c r="A763" s="4" t="s">
        <v>964</v>
      </c>
      <c r="B763" s="4" t="s">
        <v>968</v>
      </c>
      <c r="C763" s="5" t="str">
        <f>IFERROR(__xludf.DUMMYFUNCTION("GOOGLETRANSLATE(B763,""en"",""fr"")"),"Il s'incline gracieusement avant de s'éloigner et les juges jettent leurs drapeaux.")</f>
        <v>Il s'incline gracieusement avant de s'éloigner et les juges jettent leurs drapeaux.</v>
      </c>
    </row>
    <row r="764">
      <c r="A764" s="4" t="s">
        <v>969</v>
      </c>
      <c r="B764" s="6" t="s">
        <v>970</v>
      </c>
      <c r="C764" s="5" t="str">
        <f>IFERROR(__xludf.DUMMYFUNCTION("GOOGLETRANSLATE(B764,""en"",""fr"")"),"Un groupe d'hommes se tient sur un plongeon et ils prennent des termes qui sautaient du plongeon.")</f>
        <v>Un groupe d'hommes se tient sur un plongeon et ils prennent des termes qui sautaient du plongeon.</v>
      </c>
    </row>
    <row r="765">
      <c r="A765" s="4" t="s">
        <v>969</v>
      </c>
      <c r="B765" s="4" t="s">
        <v>971</v>
      </c>
      <c r="C765" s="5" t="str">
        <f>IFERROR(__xludf.DUMMYFUNCTION("GOOGLETRANSLATE(B765,""en"",""fr"")"),"Alors que la dernière personne saute du tableau, un groupe d'hommes est montré en marchant à travers la piscine.")</f>
        <v>Alors que la dernière personne saute du tableau, un groupe d'hommes est montré en marchant à travers la piscine.</v>
      </c>
    </row>
    <row r="766">
      <c r="A766" s="4" t="s">
        <v>972</v>
      </c>
      <c r="B766" s="4" t="s">
        <v>973</v>
      </c>
      <c r="C766" s="5" t="str">
        <f>IFERROR(__xludf.DUMMYFUNCTION("GOOGLETRANSLATE(B766,""en"",""fr"")"),"Une femme aux cheveux blonds, une veste violette et des gants noirs se tient près d'une conversation stable.")</f>
        <v>Une femme aux cheveux blonds, une veste violette et des gants noirs se tient près d'une conversation stable.</v>
      </c>
    </row>
    <row r="767">
      <c r="A767" s="4" t="s">
        <v>972</v>
      </c>
      <c r="B767" s="4" t="s">
        <v>974</v>
      </c>
      <c r="C767" s="5" t="str">
        <f>IFERROR(__xludf.DUMMYFUNCTION("GOOGLETRANSLATE(B767,""en"",""fr"")"),"Alors qu'elle continue de parler, sa selle est montrée et elle commence à en parler des détails.")</f>
        <v>Alors qu'elle continue de parler, sa selle est montrée et elle commence à en parler des détails.</v>
      </c>
    </row>
    <row r="768">
      <c r="A768" s="4" t="s">
        <v>972</v>
      </c>
      <c r="B768" s="4" t="s">
        <v>975</v>
      </c>
      <c r="C768" s="5" t="str">
        <f>IFERROR(__xludf.DUMMYFUNCTION("GOOGLETRANSLATE(B768,""en"",""fr"")"),"La dame la met ensuite sur le cheval et commence à frotter certaines parties de celle-ci pour s'assurer qu'elle est sécurisée.")</f>
        <v>La dame la met ensuite sur le cheval et commence à frotter certaines parties de celle-ci pour s'assurer qu'elle est sécurisée.</v>
      </c>
    </row>
    <row r="769">
      <c r="A769" s="4" t="s">
        <v>976</v>
      </c>
      <c r="B769" s="4" t="s">
        <v>977</v>
      </c>
      <c r="C769" s="5" t="str">
        <f>IFERROR(__xludf.DUMMYFUNCTION("GOOGLETRANSLATE(B769,""en"",""fr"")"),"Un gros plan d'un globe est montré avec une personne pointant un narguilé.")</f>
        <v>Un gros plan d'un globe est montré avec une personne pointant un narguilé.</v>
      </c>
    </row>
    <row r="770">
      <c r="A770" s="4" t="s">
        <v>976</v>
      </c>
      <c r="B770" s="4" t="s">
        <v>978</v>
      </c>
      <c r="C770" s="5" t="str">
        <f>IFERROR(__xludf.DUMMYFUNCTION("GOOGLETRANSLATE(B770,""en"",""fr"")"),"L'homme est alors vu en regardant attentivement la caméra.")</f>
        <v>L'homme est alors vu en regardant attentivement la caméra.</v>
      </c>
    </row>
    <row r="771">
      <c r="A771" s="4" t="s">
        <v>976</v>
      </c>
      <c r="B771" s="4" t="s">
        <v>979</v>
      </c>
      <c r="C771" s="5" t="str">
        <f>IFERROR(__xludf.DUMMYFUNCTION("GOOGLETRANSLATE(B771,""en"",""fr"")"),"Il souffle enfin de la fumée des anneaux de sa bouche.")</f>
        <v>Il souffle enfin de la fumée des anneaux de sa bouche.</v>
      </c>
    </row>
    <row r="772">
      <c r="A772" s="4" t="s">
        <v>980</v>
      </c>
      <c r="B772" s="4" t="s">
        <v>981</v>
      </c>
      <c r="C772" s="5" t="str">
        <f>IFERROR(__xludf.DUMMYFUNCTION("GOOGLETRANSLATE(B772,""en"",""fr"")"),"Le mot curling apparaît à plusieurs reprises sur l'écran.")</f>
        <v>Le mot curling apparaît à plusieurs reprises sur l'écran.</v>
      </c>
    </row>
    <row r="773">
      <c r="A773" s="4" t="s">
        <v>980</v>
      </c>
      <c r="B773" s="4" t="s">
        <v>982</v>
      </c>
      <c r="C773" s="5" t="str">
        <f>IFERROR(__xludf.DUMMYFUNCTION("GOOGLETRANSLATE(B773,""en"",""fr"")"),"Une femme est montrée avec les cheveux séchés, brossés et bouclés par un spécialiste.")</f>
        <v>Une femme est montrée avec les cheveux séchés, brossés et bouclés par un spécialiste.</v>
      </c>
    </row>
    <row r="774">
      <c r="A774" s="4" t="s">
        <v>980</v>
      </c>
      <c r="B774" s="4" t="s">
        <v>983</v>
      </c>
      <c r="C774" s="5" t="str">
        <f>IFERROR(__xludf.DUMMYFUNCTION("GOOGLETRANSLATE(B774,""en"",""fr"")"),"Il place ses cheveux est des rouleaux, puis les abat et les styles.")</f>
        <v>Il place ses cheveux est des rouleaux, puis les abat et les styles.</v>
      </c>
    </row>
    <row r="775">
      <c r="A775" s="4" t="s">
        <v>980</v>
      </c>
      <c r="B775" s="4" t="s">
        <v>984</v>
      </c>
      <c r="C775" s="5" t="str">
        <f>IFERROR(__xludf.DUMMYFUNCTION("GOOGLETRANSLATE(B775,""en"",""fr"")"),"Puis elle pose avec son nouveau coiffure.")</f>
        <v>Puis elle pose avec son nouveau coiffure.</v>
      </c>
    </row>
    <row r="776">
      <c r="A776" s="4" t="s">
        <v>985</v>
      </c>
      <c r="B776" s="4" t="s">
        <v>986</v>
      </c>
      <c r="C776" s="5" t="str">
        <f>IFERROR(__xludf.DUMMYFUNCTION("GOOGLETRANSLATE(B776,""en"",""fr"")"),"Plusieurs plans d'un bâtiment sont représentés ainsi qu'un lac entouré d'arbres.")</f>
        <v>Plusieurs plans d'un bâtiment sont représentés ainsi qu'un lac entouré d'arbres.</v>
      </c>
    </row>
    <row r="777">
      <c r="A777" s="4" t="s">
        <v>985</v>
      </c>
      <c r="B777" s="4" t="s">
        <v>987</v>
      </c>
      <c r="C777" s="5" t="str">
        <f>IFERROR(__xludf.DUMMYFUNCTION("GOOGLETRANSLATE(B777,""en"",""fr"")"),"Beaucoup de gens sont vus de monter des canoës et les pieds et les jambes d'une personne sont représentés.")</f>
        <v>Beaucoup de gens sont vus de monter des canoës et les pieds et les jambes d'une personne sont représentés.</v>
      </c>
    </row>
    <row r="778">
      <c r="A778" s="4" t="s">
        <v>985</v>
      </c>
      <c r="B778" s="4" t="s">
        <v>988</v>
      </c>
      <c r="C778" s="5" t="str">
        <f>IFERROR(__xludf.DUMMYFUNCTION("GOOGLETRANSLATE(B778,""en"",""fr"")"),"Les gens roulent sur la rivière pendant que la caméra se déroule dans plus de paysages et d'arbres.")</f>
        <v>Les gens roulent sur la rivière pendant que la caméra se déroule dans plus de paysages et d'arbres.</v>
      </c>
    </row>
    <row r="779">
      <c r="A779" s="4" t="s">
        <v>989</v>
      </c>
      <c r="B779" s="4" t="s">
        <v>990</v>
      </c>
      <c r="C779" s="5" t="str">
        <f>IFERROR(__xludf.DUMMYFUNCTION("GOOGLETRANSLATE(B779,""en"",""fr"")"),"Nous voyons un garçon accroupi dans la saleté.")</f>
        <v>Nous voyons un garçon accroupi dans la saleté.</v>
      </c>
    </row>
    <row r="780">
      <c r="A780" s="4" t="s">
        <v>989</v>
      </c>
      <c r="B780" s="4" t="s">
        <v>991</v>
      </c>
      <c r="C780" s="5" t="str">
        <f>IFERROR(__xludf.DUMMYFUNCTION("GOOGLETRANSLATE(B780,""en"",""fr"")"),"Nous voyons ensuite l'écran de titre.")</f>
        <v>Nous voyons ensuite l'écran de titre.</v>
      </c>
    </row>
    <row r="781">
      <c r="A781" s="4" t="s">
        <v>989</v>
      </c>
      <c r="B781" s="4" t="s">
        <v>992</v>
      </c>
      <c r="C781" s="5" t="str">
        <f>IFERROR(__xludf.DUMMYFUNCTION("GOOGLETRANSLATE(B781,""en"",""fr"")"),"Le petit garçon tente de faire un feu de camp en utilisant un silex.")</f>
        <v>Le petit garçon tente de faire un feu de camp en utilisant un silex.</v>
      </c>
    </row>
    <row r="782">
      <c r="A782" s="4" t="s">
        <v>989</v>
      </c>
      <c r="B782" s="4" t="s">
        <v>993</v>
      </c>
      <c r="C782" s="5" t="str">
        <f>IFERROR(__xludf.DUMMYFUNCTION("GOOGLETRANSLATE(B782,""en"",""fr"")"),"De petites flammes commencent et grandissent.")</f>
        <v>De petites flammes commencent et grandissent.</v>
      </c>
    </row>
    <row r="783">
      <c r="A783" s="4" t="s">
        <v>989</v>
      </c>
      <c r="B783" s="4" t="s">
        <v>994</v>
      </c>
      <c r="C783" s="5" t="str">
        <f>IFERROR(__xludf.DUMMYFUNCTION("GOOGLETRANSLATE(B783,""en"",""fr"")"),"Le garçon se lève à côté de son feu.")</f>
        <v>Le garçon se lève à côté de son feu.</v>
      </c>
    </row>
    <row r="784">
      <c r="A784" s="4" t="s">
        <v>989</v>
      </c>
      <c r="B784" s="6" t="s">
        <v>995</v>
      </c>
      <c r="C784" s="5" t="str">
        <f>IFERROR(__xludf.DUMMYFUNCTION("GOOGLETRANSLATE(B784,""en"",""fr"")"),"Nous voyons 2 cartes de titre sur le démarrage des incendies pour la survie et le site Web est affiché avant les écrans de fin.")</f>
        <v>Nous voyons 2 cartes de titre sur le démarrage des incendies pour la survie et le site Web est affiché avant les écrans de fin.</v>
      </c>
    </row>
    <row r="785">
      <c r="A785" s="4" t="s">
        <v>996</v>
      </c>
      <c r="B785" s="4" t="s">
        <v>997</v>
      </c>
      <c r="C785" s="5" t="str">
        <f>IFERROR(__xludf.DUMMYFUNCTION("GOOGLETRANSLATE(B785,""en"",""fr"")"),"Un groupe de personnes se tient dans un parking.")</f>
        <v>Un groupe de personnes se tient dans un parking.</v>
      </c>
    </row>
    <row r="786">
      <c r="A786" s="4" t="s">
        <v>996</v>
      </c>
      <c r="B786" s="4" t="s">
        <v>998</v>
      </c>
      <c r="C786" s="5" t="str">
        <f>IFERROR(__xludf.DUMMYFUNCTION("GOOGLETRANSLATE(B786,""en"",""fr"")"),"Les gens se déplacent dans plusieurs techniques d'arts martiaux.")</f>
        <v>Les gens se déplacent dans plusieurs techniques d'arts martiaux.</v>
      </c>
    </row>
    <row r="787">
      <c r="A787" s="4" t="s">
        <v>996</v>
      </c>
      <c r="B787" s="4" t="s">
        <v>999</v>
      </c>
      <c r="C787" s="5" t="str">
        <f>IFERROR(__xludf.DUMMYFUNCTION("GOOGLETRANSLATE(B787,""en"",""fr"")"),"Ils se lancent et frappent d'avant en arrière.")</f>
        <v>Ils se lancent et frappent d'avant en arrière.</v>
      </c>
    </row>
    <row r="788">
      <c r="A788" s="4" t="s">
        <v>1000</v>
      </c>
      <c r="B788" s="4" t="s">
        <v>1001</v>
      </c>
      <c r="C788" s="5" t="str">
        <f>IFERROR(__xludf.DUMMYFUNCTION("GOOGLETRANSLATE(B788,""en"",""fr"")"),"Nous voyons un pneu plat sur une voiture.")</f>
        <v>Nous voyons un pneu plat sur une voiture.</v>
      </c>
    </row>
    <row r="789">
      <c r="A789" s="4" t="s">
        <v>1000</v>
      </c>
      <c r="B789" s="4" t="s">
        <v>1002</v>
      </c>
      <c r="C789" s="5" t="str">
        <f>IFERROR(__xludf.DUMMYFUNCTION("GOOGLETRANSLATE(B789,""en"",""fr"")"),"Le propriétaire sort le pneu de secours et les outils.")</f>
        <v>Le propriétaire sort le pneu de secours et les outils.</v>
      </c>
    </row>
    <row r="790">
      <c r="A790" s="4" t="s">
        <v>1000</v>
      </c>
      <c r="B790" s="4" t="s">
        <v>1003</v>
      </c>
      <c r="C790" s="5" t="str">
        <f>IFERROR(__xludf.DUMMYFUNCTION("GOOGLETRANSLATE(B790,""en"",""fr"")"),"La personne reprend la voiture.")</f>
        <v>La personne reprend la voiture.</v>
      </c>
    </row>
    <row r="791">
      <c r="A791" s="4" t="s">
        <v>1000</v>
      </c>
      <c r="B791" s="4" t="s">
        <v>1004</v>
      </c>
      <c r="C791" s="5" t="str">
        <f>IFERROR(__xludf.DUMMYFUNCTION("GOOGLETRANSLATE(B791,""en"",""fr"")"),"La personne met la main sous le pneu levé.")</f>
        <v>La personne met la main sous le pneu levé.</v>
      </c>
    </row>
    <row r="792">
      <c r="A792" s="4" t="s">
        <v>1000</v>
      </c>
      <c r="B792" s="4" t="s">
        <v>1005</v>
      </c>
      <c r="C792" s="5" t="str">
        <f>IFERROR(__xludf.DUMMYFUNCTION("GOOGLETRANSLATE(B792,""en"",""fr"")"),"L'homme enlève le mauvais pneu.")</f>
        <v>L'homme enlève le mauvais pneu.</v>
      </c>
    </row>
    <row r="793">
      <c r="A793" s="4" t="s">
        <v>1000</v>
      </c>
      <c r="B793" s="4" t="s">
        <v>1006</v>
      </c>
      <c r="C793" s="5" t="str">
        <f>IFERROR(__xludf.DUMMYFUNCTION("GOOGLETRANSLATE(B793,""en"",""fr"")"),"L'homme montre une vis dans son pneu.")</f>
        <v>L'homme montre une vis dans son pneu.</v>
      </c>
    </row>
    <row r="794">
      <c r="A794" s="4" t="s">
        <v>1000</v>
      </c>
      <c r="B794" s="4" t="s">
        <v>1007</v>
      </c>
      <c r="C794" s="5" t="str">
        <f>IFERROR(__xludf.DUMMYFUNCTION("GOOGLETRANSLATE(B794,""en"",""fr"")"),"L'homme met le pneu de secours.")</f>
        <v>L'homme met le pneu de secours.</v>
      </c>
    </row>
    <row r="795">
      <c r="A795" s="4" t="s">
        <v>1000</v>
      </c>
      <c r="B795" s="4" t="s">
        <v>1008</v>
      </c>
      <c r="C795" s="5" t="str">
        <f>IFERROR(__xludf.DUMMYFUNCTION("GOOGLETRANSLATE(B795,""en"",""fr"")"),"L'homme abaisse la voiture sur la pièce de rechange.")</f>
        <v>L'homme abaisse la voiture sur la pièce de rechange.</v>
      </c>
    </row>
    <row r="796">
      <c r="A796" s="4" t="s">
        <v>1009</v>
      </c>
      <c r="B796" s="6" t="s">
        <v>1010</v>
      </c>
      <c r="C796" s="5" t="str">
        <f>IFERROR(__xludf.DUMMYFUNCTION("GOOGLETRANSLATE(B796,""en"",""fr"")"),"Un homme en canoë parle et pagaies dans un lac entouré de gros rochers, d'arbres, de feuillage, de kayaks errants et d'autres personnes en canoës.")</f>
        <v>Un homme en canoë parle et pagaies dans un lac entouré de gros rochers, d'arbres, de feuillage, de kayaks errants et d'autres personnes en canoës.</v>
      </c>
    </row>
    <row r="797">
      <c r="A797" s="4" t="s">
        <v>1009</v>
      </c>
      <c r="B797" s="6" t="s">
        <v>1011</v>
      </c>
      <c r="C797" s="5" t="str">
        <f>IFERROR(__xludf.DUMMYFUNCTION("GOOGLETRANSLATE(B797,""en"",""fr"")"),"L'homme commence à une vue de profil tenant une pagaie en s'asseyant dans un canoë et en parlant à une caméra pointant parfois vers un rivage à proximité avec la pagaie.")</f>
        <v>L'homme commence à une vue de profil tenant une pagaie en s'asseyant dans un canoë et en parlant à une caméra pointant parfois vers un rivage à proximité avec la pagaie.</v>
      </c>
    </row>
    <row r="798">
      <c r="A798" s="4" t="s">
        <v>1009</v>
      </c>
      <c r="B798" s="4" t="s">
        <v>1012</v>
      </c>
      <c r="C798" s="5" t="str">
        <f>IFERROR(__xludf.DUMMYFUNCTION("GOOGLETRANSLATE(B798,""en"",""fr"")"),"L'homme utilise ensuite la pagaie dans l'eau pour repousser le canoë plus profondément dans l'eau.")</f>
        <v>L'homme utilise ensuite la pagaie dans l'eau pour repousser le canoë plus profondément dans l'eau.</v>
      </c>
    </row>
    <row r="799">
      <c r="A799" s="4" t="s">
        <v>1009</v>
      </c>
      <c r="B799" s="6" t="s">
        <v>1013</v>
      </c>
      <c r="C799" s="5" t="str">
        <f>IFERROR(__xludf.DUMMYFUNCTION("GOOGLETRANSLATE(B799,""en"",""fr"")"),"L'homme commence à pagayer librement dans l'eau, passant le long du chemin, un groupe de personnes sur un canoë et plusieurs canoës et kayaks errants dans l'eau, avant de faire face à la caméra à nouveau en gros plan et à parler.")</f>
        <v>L'homme commence à pagayer librement dans l'eau, passant le long du chemin, un groupe de personnes sur un canoë et plusieurs canoës et kayaks errants dans l'eau, avant de faire face à la caméra à nouveau en gros plan et à parler.</v>
      </c>
    </row>
    <row r="800">
      <c r="A800" s="4" t="s">
        <v>1014</v>
      </c>
      <c r="B800" s="6" t="s">
        <v>1015</v>
      </c>
      <c r="C800" s="5" t="str">
        <f>IFERROR(__xludf.DUMMYFUNCTION("GOOGLETRANSLATE(B800,""en"",""fr"")"),"Les mots blancs apparaissent à l'écran et disent ""le rêve américain"" et un homme portant un casque saute sur le chemin de la colline de terre et continue de descendre, attrape sa planche à roulettes et commence à patiner sur la route au bout de la colli"&amp;"ne d'un très pittoresque Région.")</f>
        <v>Les mots blancs apparaissent à l'écran et disent "le rêve américain" et un homme portant un casque saute sur le chemin de la colline de terre et continue de descendre, attrape sa planche à roulettes et commence à patiner sur la route au bout de la colline d'un très pittoresque Région.</v>
      </c>
    </row>
    <row r="801">
      <c r="A801" s="4" t="s">
        <v>1014</v>
      </c>
      <c r="B801" s="6" t="s">
        <v>1016</v>
      </c>
      <c r="C801" s="5" t="str">
        <f>IFERROR(__xludf.DUMMYFUNCTION("GOOGLETRANSLATE(B801,""en"",""fr"")"),"L'homme patine maintenant sur une route dans un quartier résidentiel où il passe de nombreuses maisons avec des voitures garées sur les routes.")</f>
        <v>L'homme patine maintenant sur une route dans un quartier résidentiel où il passe de nombreuses maisons avec des voitures garées sur les routes.</v>
      </c>
    </row>
    <row r="802">
      <c r="A802" s="4" t="s">
        <v>1014</v>
      </c>
      <c r="B802" s="6" t="s">
        <v>1017</v>
      </c>
      <c r="C802" s="5" t="str">
        <f>IFERROR(__xludf.DUMMYFUNCTION("GOOGLETRANSLATE(B802,""en"",""fr"")"),"L'homme continue de patiner dans les zones résidentielles, les bords d'eau le long des parcs, des ports, des villes et etc.")</f>
        <v>L'homme continue de patiner dans les zones résidentielles, les bords d'eau le long des parcs, des ports, des villes et etc.</v>
      </c>
    </row>
    <row r="803">
      <c r="A803" s="4" t="s">
        <v>1014</v>
      </c>
      <c r="B803" s="4" t="s">
        <v>1018</v>
      </c>
      <c r="C803" s="5" t="str">
        <f>IFERROR(__xludf.DUMMYFUNCTION("GOOGLETRANSLATE(B803,""en"",""fr"")"),"L'homme se termine par une promenade le long d'une plage rocheuse et portant sa planche à roulettes sur son épaule droite.")</f>
        <v>L'homme se termine par une promenade le long d'une plage rocheuse et portant sa planche à roulettes sur son épaule droite.</v>
      </c>
    </row>
    <row r="804">
      <c r="A804" s="4" t="s">
        <v>1019</v>
      </c>
      <c r="B804" s="4" t="s">
        <v>1020</v>
      </c>
      <c r="C804" s="5" t="str">
        <f>IFERROR(__xludf.DUMMYFUNCTION("GOOGLETRANSLATE(B804,""en"",""fr"")"),"Une femme tient un microphone debout devant une pièce.")</f>
        <v>Une femme tient un microphone debout devant une pièce.</v>
      </c>
    </row>
    <row r="805">
      <c r="A805" s="4" t="s">
        <v>1019</v>
      </c>
      <c r="B805" s="4" t="s">
        <v>1021</v>
      </c>
      <c r="C805" s="5" t="str">
        <f>IFERROR(__xludf.DUMMYFUNCTION("GOOGLETRANSLATE(B805,""en"",""fr"")"),"Les gens jouent à une balle murale dans la pièce.")</f>
        <v>Les gens jouent à une balle murale dans la pièce.</v>
      </c>
    </row>
    <row r="806">
      <c r="A806" s="4" t="s">
        <v>1019</v>
      </c>
      <c r="B806" s="4" t="s">
        <v>1022</v>
      </c>
      <c r="C806" s="5" t="str">
        <f>IFERROR(__xludf.DUMMYFUNCTION("GOOGLETRANSLATE(B806,""en"",""fr"")"),"La femme tient un morceau de papier.")</f>
        <v>La femme tient un morceau de papier.</v>
      </c>
    </row>
    <row r="807">
      <c r="A807" s="4" t="s">
        <v>1023</v>
      </c>
      <c r="B807" s="4" t="s">
        <v>1024</v>
      </c>
      <c r="C807" s="5" t="str">
        <f>IFERROR(__xludf.DUMMYFUNCTION("GOOGLETRANSLATE(B807,""en"",""fr"")"),"Le logo ""LluMar"" apparaît à l'écran.")</f>
        <v>Le logo "LluMar" apparaît à l'écran.</v>
      </c>
    </row>
    <row r="808">
      <c r="A808" s="4" t="s">
        <v>1023</v>
      </c>
      <c r="B808" s="4" t="s">
        <v>1025</v>
      </c>
      <c r="C808" s="5" t="str">
        <f>IFERROR(__xludf.DUMMYFUNCTION("GOOGLETRANSLATE(B808,""en"",""fr"")"),"Une jeune fille avec un repère de piscine se rend à une table de billard, la caméra se concentre sur son haut à basse coupe.")</f>
        <v>Une jeune fille avec un repère de piscine se rend à une table de billard, la caméra se concentre sur son haut à basse coupe.</v>
      </c>
    </row>
    <row r="809">
      <c r="A809" s="4" t="s">
        <v>1023</v>
      </c>
      <c r="B809" s="4" t="s">
        <v>1026</v>
      </c>
      <c r="C809" s="5" t="str">
        <f>IFERROR(__xludf.DUMMYFUNCTION("GOOGLETRANSLATE(B809,""en"",""fr"")"),"Plusieurs femmes jouent au piscine à la table pour révéler les vêtements.")</f>
        <v>Plusieurs femmes jouent au piscine à la table pour révéler les vêtements.</v>
      </c>
    </row>
    <row r="810">
      <c r="A810" s="4" t="s">
        <v>1023</v>
      </c>
      <c r="B810" s="4" t="s">
        <v>1027</v>
      </c>
      <c r="C810" s="5" t="str">
        <f>IFERROR(__xludf.DUMMYFUNCTION("GOOGLETRANSLATE(B810,""en"",""fr"")"),"Le logo ""LluMar"" réapparaît à l'écran.")</f>
        <v>Le logo "LluMar" réapparaît à l'écran.</v>
      </c>
    </row>
    <row r="811">
      <c r="A811" s="4" t="s">
        <v>1028</v>
      </c>
      <c r="B811" s="4" t="s">
        <v>1029</v>
      </c>
      <c r="C811" s="5" t="str">
        <f>IFERROR(__xludf.DUMMYFUNCTION("GOOGLETRANSLATE(B811,""en"",""fr"")"),"Une jeune fille est vue debout sur un court de tennis tenant une raquette.")</f>
        <v>Une jeune fille est vue debout sur un court de tennis tenant une raquette.</v>
      </c>
    </row>
    <row r="812">
      <c r="A812" s="4" t="s">
        <v>1028</v>
      </c>
      <c r="B812" s="4" t="s">
        <v>1030</v>
      </c>
      <c r="C812" s="5" t="str">
        <f>IFERROR(__xludf.DUMMYFUNCTION("GOOGLETRANSLATE(B812,""en"",""fr"")"),"La femme commence à balancer la raquette tandis qu'un autre garçon se tient à côté d'elle.")</f>
        <v>La femme commence à balancer la raquette tandis qu'un autre garçon se tient à côté d'elle.</v>
      </c>
    </row>
    <row r="813">
      <c r="A813" s="4" t="s">
        <v>1028</v>
      </c>
      <c r="B813" s="4" t="s">
        <v>1031</v>
      </c>
      <c r="C813" s="5" t="str">
        <f>IFERROR(__xludf.DUMMYFUNCTION("GOOGLETRANSLATE(B813,""en"",""fr"")"),"La femme continue de se balancer et revient au garçon.")</f>
        <v>La femme continue de se balancer et revient au garçon.</v>
      </c>
    </row>
    <row r="814">
      <c r="A814" s="4" t="s">
        <v>1032</v>
      </c>
      <c r="B814" s="4" t="s">
        <v>1033</v>
      </c>
      <c r="C814" s="5" t="str">
        <f>IFERROR(__xludf.DUMMYFUNCTION("GOOGLETRANSLATE(B814,""en"",""fr"")"),"Plusieurs hommes jouent au football dans un gymnase.")</f>
        <v>Plusieurs hommes jouent au football dans un gymnase.</v>
      </c>
    </row>
    <row r="815">
      <c r="A815" s="4" t="s">
        <v>1032</v>
      </c>
      <c r="B815" s="4" t="s">
        <v>1034</v>
      </c>
      <c r="C815" s="5" t="str">
        <f>IFERROR(__xludf.DUMMYFUNCTION("GOOGLETRANSLATE(B815,""en"",""fr"")"),"Il y a des spectateurs en arrière-plan.")</f>
        <v>Il y a des spectateurs en arrière-plan.</v>
      </c>
    </row>
    <row r="816">
      <c r="A816" s="4" t="s">
        <v>1032</v>
      </c>
      <c r="B816" s="4" t="s">
        <v>1035</v>
      </c>
      <c r="C816" s="5" t="str">
        <f>IFERROR(__xludf.DUMMYFUNCTION("GOOGLETRANSLATE(B816,""en"",""fr"")"),"Un autre groupe d'hommes joue au football.")</f>
        <v>Un autre groupe d'hommes joue au football.</v>
      </c>
    </row>
    <row r="817">
      <c r="A817" s="4" t="s">
        <v>1032</v>
      </c>
      <c r="B817" s="4" t="s">
        <v>1036</v>
      </c>
      <c r="C817" s="5" t="str">
        <f>IFERROR(__xludf.DUMMYFUNCTION("GOOGLETRANSLATE(B817,""en"",""fr"")"),"Il y a des spectateurs en arrière-plan.")</f>
        <v>Il y a des spectateurs en arrière-plan.</v>
      </c>
    </row>
    <row r="818">
      <c r="A818" s="4" t="s">
        <v>1032</v>
      </c>
      <c r="B818" s="4" t="s">
        <v>1037</v>
      </c>
      <c r="C818" s="5" t="str">
        <f>IFERROR(__xludf.DUMMYFUNCTION("GOOGLETRANSLATE(B818,""en"",""fr"")"),"Diverses scènes de matchs de football sont indiquées avec des spectateurs.")</f>
        <v>Diverses scènes de matchs de football sont indiquées avec des spectateurs.</v>
      </c>
    </row>
    <row r="819">
      <c r="A819" s="4" t="s">
        <v>1038</v>
      </c>
      <c r="B819" s="4" t="s">
        <v>1039</v>
      </c>
      <c r="C819" s="5" t="str">
        <f>IFERROR(__xludf.DUMMYFUNCTION("GOOGLETRANSLATE(B819,""en"",""fr"")"),"Quelques filles sont vues descendre une longue diapositive au milieu d'un parc.")</f>
        <v>Quelques filles sont vues descendre une longue diapositive au milieu d'un parc.</v>
      </c>
    </row>
    <row r="820">
      <c r="A820" s="4" t="s">
        <v>1038</v>
      </c>
      <c r="B820" s="4" t="s">
        <v>1040</v>
      </c>
      <c r="C820" s="5" t="str">
        <f>IFERROR(__xludf.DUMMYFUNCTION("GOOGLETRANSLATE(B820,""en"",""fr"")"),"Plus d'enfants roulent sur la diapositive tandis qu'une mère aide les enfants au sommet.")</f>
        <v>Plus d'enfants roulent sur la diapositive tandis qu'une mère aide les enfants au sommet.</v>
      </c>
    </row>
    <row r="821">
      <c r="A821" s="4" t="s">
        <v>1041</v>
      </c>
      <c r="B821" s="4" t="s">
        <v>1042</v>
      </c>
      <c r="C821" s="5" t="str">
        <f>IFERROR(__xludf.DUMMYFUNCTION("GOOGLETRANSLATE(B821,""en"",""fr"")"),"Une femme est vue assise en tenant une glace tout en regardant la caméra.")</f>
        <v>Une femme est vue assise en tenant une glace tout en regardant la caméra.</v>
      </c>
    </row>
    <row r="822">
      <c r="A822" s="4" t="s">
        <v>1041</v>
      </c>
      <c r="B822" s="4" t="s">
        <v>1043</v>
      </c>
      <c r="C822" s="5" t="str">
        <f>IFERROR(__xludf.DUMMYFUNCTION("GOOGLETRANSLATE(B822,""en"",""fr"")"),"Elle continue de manger la glace alors que la caméra se déroule autour d'elle et la regardant manger.")</f>
        <v>Elle continue de manger la glace alors que la caméra se déroule autour d'elle et la regardant manger.</v>
      </c>
    </row>
    <row r="823">
      <c r="A823" s="4" t="s">
        <v>1044</v>
      </c>
      <c r="B823" s="4" t="s">
        <v>1045</v>
      </c>
      <c r="C823" s="5" t="str">
        <f>IFERROR(__xludf.DUMMYFUNCTION("GOOGLETRANSLATE(B823,""en"",""fr"")"),"Un homme est vu jouer un ensemble de cornemusettes tandis que les gens derrière lui poussent les vélos.")</f>
        <v>Un homme est vu jouer un ensemble de cornemusettes tandis que les gens derrière lui poussent les vélos.</v>
      </c>
    </row>
    <row r="824">
      <c r="A824" s="4" t="s">
        <v>1044</v>
      </c>
      <c r="B824" s="4" t="s">
        <v>1046</v>
      </c>
      <c r="C824" s="5" t="str">
        <f>IFERROR(__xludf.DUMMYFUNCTION("GOOGLETRANSLATE(B824,""en"",""fr"")"),"Il est vu jouer à nouveau tandis que plus de gens entrent et sortent du cadre avec des enfants et des chiens.")</f>
        <v>Il est vu jouer à nouveau tandis que plus de gens entrent et sortent du cadre avec des enfants et des chiens.</v>
      </c>
    </row>
    <row r="825">
      <c r="A825" s="4" t="s">
        <v>1044</v>
      </c>
      <c r="B825" s="4" t="s">
        <v>1047</v>
      </c>
      <c r="C825" s="5" t="str">
        <f>IFERROR(__xludf.DUMMYFUNCTION("GOOGLETRANSLATE(B825,""en"",""fr"")"),"Certaines personnes s'arrêtent pour l'entendre jouer et il s'arrête pour regarder la caméra.")</f>
        <v>Certaines personnes s'arrêtent pour l'entendre jouer et il s'arrête pour regarder la caméra.</v>
      </c>
    </row>
    <row r="826">
      <c r="A826" s="4" t="s">
        <v>1048</v>
      </c>
      <c r="B826" s="4" t="s">
        <v>1049</v>
      </c>
      <c r="C826" s="5" t="str">
        <f>IFERROR(__xludf.DUMMYFUNCTION("GOOGLETRANSLATE(B826,""en"",""fr"")"),"Une danseuse du ventre vêtue de rouge et de noir montre comment branler les cercles et shimmy.")</f>
        <v>Une danseuse du ventre vêtue de rouge et de noir montre comment branler les cercles et shimmy.</v>
      </c>
    </row>
    <row r="827">
      <c r="A827" s="4" t="s">
        <v>1048</v>
      </c>
      <c r="B827" s="4" t="s">
        <v>1050</v>
      </c>
      <c r="C827" s="5" t="str">
        <f>IFERROR(__xludf.DUMMYFUNCTION("GOOGLETRANSLATE(B827,""en"",""fr"")"),"Elle se tient la largeur de la hanche des pieds.")</f>
        <v>Elle se tient la largeur de la hanche des pieds.</v>
      </c>
    </row>
    <row r="828">
      <c r="A828" s="4" t="s">
        <v>1048</v>
      </c>
      <c r="B828" s="4" t="s">
        <v>1051</v>
      </c>
      <c r="C828" s="5" t="str">
        <f>IFERROR(__xludf.DUMMYFUNCTION("GOOGLETRANSLATE(B828,""en"",""fr"")"),"Puis elle montre comment faire le travail du pied alors qu'elle bouge ses hanches en rond.")</f>
        <v>Puis elle montre comment faire le travail du pied alors qu'elle bouge ses hanches en rond.</v>
      </c>
    </row>
    <row r="829">
      <c r="A829" s="4" t="s">
        <v>1048</v>
      </c>
      <c r="B829" s="4" t="s">
        <v>1052</v>
      </c>
      <c r="C829" s="5" t="str">
        <f>IFERROR(__xludf.DUMMYFUNCTION("GOOGLETRANSLATE(B829,""en"",""fr"")"),"Elle déplace simultanément ses hanches et alors qu'elle se déplace sur le côté.")</f>
        <v>Elle déplace simultanément ses hanches et alors qu'elle se déplace sur le côté.</v>
      </c>
    </row>
    <row r="830">
      <c r="A830" s="4" t="s">
        <v>1048</v>
      </c>
      <c r="B830" s="4" t="s">
        <v>1053</v>
      </c>
      <c r="C830" s="5" t="str">
        <f>IFERROR(__xludf.DUMMYFUNCTION("GOOGLETRANSLATE(B830,""en"",""fr"")"),"Puis elle étend ses mains et le long d'un côté alors qu'elle continue de se déplacer latéralement.")</f>
        <v>Puis elle étend ses mains et le long d'un côté alors qu'elle continue de se déplacer latéralement.</v>
      </c>
    </row>
    <row r="831">
      <c r="A831" s="4" t="s">
        <v>1048</v>
      </c>
      <c r="B831" s="4" t="s">
        <v>1054</v>
      </c>
      <c r="C831" s="5" t="str">
        <f>IFERROR(__xludf.DUMMYFUNCTION("GOOGLETRANSLATE(B831,""en"",""fr"")"),"Elle répète les étapes qui vont et viennent alors qu'elle tournoie ses hanches.")</f>
        <v>Elle répète les étapes qui vont et viennent alors qu'elle tournoie ses hanches.</v>
      </c>
    </row>
    <row r="832">
      <c r="A832" s="4" t="s">
        <v>1055</v>
      </c>
      <c r="B832" s="4" t="s">
        <v>1056</v>
      </c>
      <c r="C832" s="5" t="str">
        <f>IFERROR(__xludf.DUMMYFUNCTION("GOOGLETRANSLATE(B832,""en"",""fr"")"),"Un constructeur de carrosserie soulève lentement une haltère géante de poids dans les airs.")</f>
        <v>Un constructeur de carrosserie soulève lentement une haltère géante de poids dans les airs.</v>
      </c>
    </row>
    <row r="833">
      <c r="A833" s="4" t="s">
        <v>1055</v>
      </c>
      <c r="B833" s="4" t="s">
        <v>1057</v>
      </c>
      <c r="C833" s="5" t="str">
        <f>IFERROR(__xludf.DUMMYFUNCTION("GOOGLETRANSLATE(B833,""en"",""fr"")"),"Elle le soulève à sa poitrine, puis au-dessus de sa tête avant de se glisser en place.")</f>
        <v>Elle le soulève à sa poitrine, puis au-dessus de sa tête avant de se glisser en place.</v>
      </c>
    </row>
    <row r="834">
      <c r="A834" s="4" t="s">
        <v>1058</v>
      </c>
      <c r="B834" s="4" t="s">
        <v>1059</v>
      </c>
      <c r="C834" s="5" t="str">
        <f>IFERROR(__xludf.DUMMYFUNCTION("GOOGLETRANSLATE(B834,""en"",""fr"")"),"Une équipe de cheerleading se produit sur un tapis bleu.")</f>
        <v>Une équipe de cheerleading se produit sur un tapis bleu.</v>
      </c>
    </row>
    <row r="835">
      <c r="A835" s="4" t="s">
        <v>1058</v>
      </c>
      <c r="B835" s="4" t="s">
        <v>1060</v>
      </c>
      <c r="C835" s="5" t="str">
        <f>IFERROR(__xludf.DUMMYFUNCTION("GOOGLETRANSLATE(B835,""en"",""fr"")"),"Ils dansent et tombent pendant leur routine.")</f>
        <v>Ils dansent et tombent pendant leur routine.</v>
      </c>
    </row>
    <row r="836">
      <c r="A836" s="4" t="s">
        <v>1061</v>
      </c>
      <c r="B836" s="6" t="s">
        <v>1062</v>
      </c>
      <c r="C836" s="5" t="str">
        <f>IFERROR(__xludf.DUMMYFUNCTION("GOOGLETRANSLATE(B836,""en"",""fr"")"),"La chimie des gâteaux expliquant comment faire une expérience à la maison, ils donnent tous les ingrédients nécessaires et commencent à expliquer ce qu'ils feront.")</f>
        <v>La chimie des gâteaux expliquant comment faire une expérience à la maison, ils donnent tous les ingrédients nécessaires et commencent à expliquer ce qu'ils feront.</v>
      </c>
    </row>
    <row r="837">
      <c r="A837" s="4" t="s">
        <v>1061</v>
      </c>
      <c r="B837" s="4" t="s">
        <v>1063</v>
      </c>
      <c r="C837" s="5" t="str">
        <f>IFERROR(__xludf.DUMMYFUNCTION("GOOGLETRANSLATE(B837,""en"",""fr"")"),"Le début à donner des instructions étape par étape sur la façon de mélanger les ingrédients.")</f>
        <v>Le début à donner des instructions étape par étape sur la façon de mélanger les ingrédients.</v>
      </c>
    </row>
    <row r="838">
      <c r="A838" s="4" t="s">
        <v>1061</v>
      </c>
      <c r="B838" s="4" t="s">
        <v>1064</v>
      </c>
      <c r="C838" s="5" t="str">
        <f>IFERROR(__xludf.DUMMYFUNCTION("GOOGLETRANSLATE(B838,""en"",""fr"")"),"Ils donnent des informations très détaillées sur ce qu'il faut faire avant de les mettre dans le four.")</f>
        <v>Ils donnent des informations très détaillées sur ce qu'il faut faire avant de les mettre dans le four.</v>
      </c>
    </row>
    <row r="839">
      <c r="A839" s="4" t="s">
        <v>1061</v>
      </c>
      <c r="B839" s="6" t="s">
        <v>1065</v>
      </c>
      <c r="C839" s="5" t="str">
        <f>IFERROR(__xludf.DUMMYFUNCTION("GOOGLETRANSLATE(B839,""en"",""fr"")"),"Une fois, ils sortent du four, ils expliquent la différence entre tous les gâteaux et les différents ingrédients qu'ils n'ont pas mis pour voir pourquoi les résultats étaient différents.")</f>
        <v>Une fois, ils sortent du four, ils expliquent la différence entre tous les gâteaux et les différents ingrédients qu'ils n'ont pas mis pour voir pourquoi les résultats étaient différents.</v>
      </c>
    </row>
    <row r="840">
      <c r="A840" s="4" t="s">
        <v>1066</v>
      </c>
      <c r="B840" s="4" t="s">
        <v>1067</v>
      </c>
      <c r="C840" s="5" t="str">
        <f>IFERROR(__xludf.DUMMYFUNCTION("GOOGLETRANSLATE(B840,""en"",""fr"")"),"Un homme conduit une machine à tonte pour couper l'herbe d'une arrière-cour.")</f>
        <v>Un homme conduit une machine à tonte pour couper l'herbe d'une arrière-cour.</v>
      </c>
    </row>
    <row r="841">
      <c r="A841" s="4" t="s">
        <v>1066</v>
      </c>
      <c r="B841" s="4" t="s">
        <v>1068</v>
      </c>
      <c r="C841" s="5" t="str">
        <f>IFERROR(__xludf.DUMMYFUNCTION("GOOGLETRANSLATE(B841,""en"",""fr"")"),"L'homme passe devant la maison pour continuer à tondre les autres parties de la cour.")</f>
        <v>L'homme passe devant la maison pour continuer à tondre les autres parties de la cour.</v>
      </c>
    </row>
    <row r="842">
      <c r="A842" s="4" t="s">
        <v>1069</v>
      </c>
      <c r="B842" s="6" t="s">
        <v>1070</v>
      </c>
      <c r="C842" s="5" t="str">
        <f>IFERROR(__xludf.DUMMYFUNCTION("GOOGLETRANSLATE(B842,""en"",""fr"")"),"On voit deux personnes effectuant divers arts martiaux les uns avec les autres tandis qu'un grand groupe de personnes regarde sur les côtés.")</f>
        <v>On voit deux personnes effectuant divers arts martiaux les uns avec les autres tandis qu'un grand groupe de personnes regarde sur les côtés.</v>
      </c>
    </row>
    <row r="843">
      <c r="A843" s="4" t="s">
        <v>1069</v>
      </c>
      <c r="B843" s="6" t="s">
        <v>1071</v>
      </c>
      <c r="C843" s="5" t="str">
        <f>IFERROR(__xludf.DUMMYFUNCTION("GOOGLETRANSLATE(B843,""en"",""fr"")"),"Plus de gens se tiennent au milieu et se produisent les uns avec les autres et se terminent avec des gens qui se déplacent et se saisissaient.")</f>
        <v>Plus de gens se tiennent au milieu et se produisent les uns avec les autres et se terminent avec des gens qui se déplacent et se saisissaient.</v>
      </c>
    </row>
    <row r="844">
      <c r="A844" s="4" t="s">
        <v>1072</v>
      </c>
      <c r="B844" s="4" t="s">
        <v>1073</v>
      </c>
      <c r="C844" s="5" t="str">
        <f>IFERROR(__xludf.DUMMYFUNCTION("GOOGLETRANSLATE(B844,""en"",""fr"")"),"Deux jeunes hommes se tiennent à l'intérieur, parlant à la caméra.")</f>
        <v>Deux jeunes hommes se tiennent à l'intérieur, parlant à la caméra.</v>
      </c>
    </row>
    <row r="845">
      <c r="A845" s="4" t="s">
        <v>1072</v>
      </c>
      <c r="B845" s="4" t="s">
        <v>1074</v>
      </c>
      <c r="C845" s="5" t="str">
        <f>IFERROR(__xludf.DUMMYFUNCTION("GOOGLETRANSLATE(B845,""en"",""fr"")"),"Ils montrent comment ils courent sur une piste et font un saut en longueur dans le sable.")</f>
        <v>Ils montrent comment ils courent sur une piste et font un saut en longueur dans le sable.</v>
      </c>
    </row>
    <row r="846">
      <c r="A846" s="4" t="s">
        <v>1075</v>
      </c>
      <c r="B846" s="4" t="s">
        <v>1076</v>
      </c>
      <c r="C846" s="5" t="str">
        <f>IFERROR(__xludf.DUMMYFUNCTION("GOOGLETRANSLATE(B846,""en"",""fr"")"),"Une clôture devant une maison est montrée.")</f>
        <v>Une clôture devant une maison est montrée.</v>
      </c>
    </row>
    <row r="847">
      <c r="A847" s="4" t="s">
        <v>1075</v>
      </c>
      <c r="B847" s="4" t="s">
        <v>1077</v>
      </c>
      <c r="C847" s="5" t="str">
        <f>IFERROR(__xludf.DUMMYFUNCTION("GOOGLETRANSLATE(B847,""en"",""fr"")"),"Un homme portant du blanc commence à peindre la clôture.")</f>
        <v>Un homme portant du blanc commence à peindre la clôture.</v>
      </c>
    </row>
    <row r="848">
      <c r="A848" s="4" t="s">
        <v>1078</v>
      </c>
      <c r="B848" s="4" t="s">
        <v>1079</v>
      </c>
      <c r="C848" s="5" t="str">
        <f>IFERROR(__xludf.DUMMYFUNCTION("GOOGLETRANSLATE(B848,""en"",""fr"")"),"Une personne en pantalon bleu ratisse quelques feuilles tombées du sol.")</f>
        <v>Une personne en pantalon bleu ratisse quelques feuilles tombées du sol.</v>
      </c>
    </row>
    <row r="849">
      <c r="A849" s="4" t="s">
        <v>1078</v>
      </c>
      <c r="B849" s="4" t="s">
        <v>1080</v>
      </c>
      <c r="C849" s="5" t="str">
        <f>IFERROR(__xludf.DUMMYFUNCTION("GOOGLETRANSLATE(B849,""en"",""fr"")"),"Il y a un chien noir et un chien blanc sautant autour de la personne qui ratisse les feuilles.")</f>
        <v>Il y a un chien noir et un chien blanc sautant autour de la personne qui ratisse les feuilles.</v>
      </c>
    </row>
    <row r="850">
      <c r="A850" s="4" t="s">
        <v>1078</v>
      </c>
      <c r="B850" s="4" t="s">
        <v>1081</v>
      </c>
      <c r="C850" s="5" t="str">
        <f>IFERROR(__xludf.DUMMYFUNCTION("GOOGLETRANSLATE(B850,""en"",""fr"")"),"Le chien blanc essaie de mordre le râteau.")</f>
        <v>Le chien blanc essaie de mordre le râteau.</v>
      </c>
    </row>
    <row r="851">
      <c r="A851" s="4" t="s">
        <v>1078</v>
      </c>
      <c r="B851" s="4" t="s">
        <v>1082</v>
      </c>
      <c r="C851" s="5" t="str">
        <f>IFERROR(__xludf.DUMMYFUNCTION("GOOGLETRANSLATE(B851,""en"",""fr"")"),"Les deux chiens jouent autour de l'homme en ratissant les feuilles, essayant de mordre le râteau.")</f>
        <v>Les deux chiens jouent autour de l'homme en ratissant les feuilles, essayant de mordre le râteau.</v>
      </c>
    </row>
    <row r="852">
      <c r="A852" s="4" t="s">
        <v>1078</v>
      </c>
      <c r="B852" s="4" t="s">
        <v>1083</v>
      </c>
      <c r="C852" s="5" t="str">
        <f>IFERROR(__xludf.DUMMYFUNCTION("GOOGLETRANSLATE(B852,""en"",""fr"")"),"La personne déplace le râteau en rond alors que les chiens sautent autour de lui.")</f>
        <v>La personne déplace le râteau en rond alors que les chiens sautent autour de lui.</v>
      </c>
    </row>
    <row r="853">
      <c r="A853" s="4" t="s">
        <v>1084</v>
      </c>
      <c r="B853" s="4" t="s">
        <v>1085</v>
      </c>
      <c r="C853" s="5" t="str">
        <f>IFERROR(__xludf.DUMMYFUNCTION("GOOGLETRANSLATE(B853,""en"",""fr"")"),"Un papillon vole sur l'écran avec des mots sur les diapositives.")</f>
        <v>Un papillon vole sur l'écran avec des mots sur les diapositives.</v>
      </c>
    </row>
    <row r="854">
      <c r="A854" s="4" t="s">
        <v>1084</v>
      </c>
      <c r="B854" s="4" t="s">
        <v>1086</v>
      </c>
      <c r="C854" s="5" t="str">
        <f>IFERROR(__xludf.DUMMYFUNCTION("GOOGLETRANSLATE(B854,""en"",""fr"")"),"Une personne mélange des ingrédients dans un bol.")</f>
        <v>Une personne mélange des ingrédients dans un bol.</v>
      </c>
    </row>
    <row r="855">
      <c r="A855" s="4" t="s">
        <v>1084</v>
      </c>
      <c r="B855" s="4" t="s">
        <v>1087</v>
      </c>
      <c r="C855" s="5" t="str">
        <f>IFERROR(__xludf.DUMMYFUNCTION("GOOGLETRANSLATE(B855,""en"",""fr"")"),"Ils déposent la pâte sur une plaque à biscuits.")</f>
        <v>Ils déposent la pâte sur une plaque à biscuits.</v>
      </c>
    </row>
    <row r="856">
      <c r="A856" s="4" t="s">
        <v>1084</v>
      </c>
      <c r="B856" s="4" t="s">
        <v>1088</v>
      </c>
      <c r="C856" s="5" t="str">
        <f>IFERROR(__xludf.DUMMYFUNCTION("GOOGLETRANSLATE(B856,""en"",""fr"")"),"Les cookies de cuisson sont représentés empilés sur une assiette.")</f>
        <v>Les cookies de cuisson sont représentés empilés sur une assiette.</v>
      </c>
    </row>
    <row r="857">
      <c r="A857" s="4" t="s">
        <v>1089</v>
      </c>
      <c r="B857" s="4" t="s">
        <v>1090</v>
      </c>
      <c r="C857" s="5" t="str">
        <f>IFERROR(__xludf.DUMMYFUNCTION("GOOGLETRANSLATE(B857,""en"",""fr"")"),"Une personne est vue assise sur une chaise et l'emmène dans la pelage d'une pomme de terre avec un couteau.")</f>
        <v>Une personne est vue assise sur une chaise et l'emmène dans la pelage d'une pomme de terre avec un couteau.</v>
      </c>
    </row>
    <row r="858">
      <c r="A858" s="4" t="s">
        <v>1089</v>
      </c>
      <c r="B858" s="4" t="s">
        <v>1091</v>
      </c>
      <c r="C858" s="5" t="str">
        <f>IFERROR(__xludf.DUMMYFUNCTION("GOOGLETRANSLATE(B858,""en"",""fr"")"),"La personne finit ensuite de peler les pommes de terre et de la mettre en panne.")</f>
        <v>La personne finit ensuite de peler les pommes de terre et de la mettre en panne.</v>
      </c>
    </row>
    <row r="859">
      <c r="A859" s="4" t="s">
        <v>1092</v>
      </c>
      <c r="B859" s="4" t="s">
        <v>1093</v>
      </c>
      <c r="C859" s="5" t="str">
        <f>IFERROR(__xludf.DUMMYFUNCTION("GOOGLETRANSLATE(B859,""en"",""fr"")"),"Une personne est vue en train de couper divers fruits tout en étant vu en parlant à la caméra.")</f>
        <v>Une personne est vue en train de couper divers fruits tout en étant vu en parlant à la caméra.</v>
      </c>
    </row>
    <row r="860">
      <c r="A860" s="4" t="s">
        <v>1092</v>
      </c>
      <c r="B860" s="4" t="s">
        <v>1094</v>
      </c>
      <c r="C860" s="5" t="str">
        <f>IFERROR(__xludf.DUMMYFUNCTION("GOOGLETRANSLATE(B860,""en"",""fr"")"),"La personne mélange divers ingrédients dans un récipient d'eau.")</f>
        <v>La personne mélange divers ingrédients dans un récipient d'eau.</v>
      </c>
    </row>
    <row r="861">
      <c r="A861" s="4" t="s">
        <v>1092</v>
      </c>
      <c r="B861" s="4" t="s">
        <v>1095</v>
      </c>
      <c r="C861" s="5" t="str">
        <f>IFERROR(__xludf.DUMMYFUNCTION("GOOGLETRANSLATE(B861,""en"",""fr"")"),"La personne tourne autour du conteneur à la fin.")</f>
        <v>La personne tourne autour du conteneur à la fin.</v>
      </c>
    </row>
    <row r="862">
      <c r="A862" s="4" t="s">
        <v>1096</v>
      </c>
      <c r="B862" s="4" t="s">
        <v>1097</v>
      </c>
      <c r="C862" s="5" t="str">
        <f>IFERROR(__xludf.DUMMYFUNCTION("GOOGLETRANSLATE(B862,""en"",""fr"")"),"La main d'une personne lave un chat gris dans une baignoire blanche d'eau.")</f>
        <v>La main d'une personne lave un chat gris dans une baignoire blanche d'eau.</v>
      </c>
    </row>
    <row r="863">
      <c r="A863" s="4" t="s">
        <v>1096</v>
      </c>
      <c r="B863" s="4" t="s">
        <v>1098</v>
      </c>
      <c r="C863" s="5" t="str">
        <f>IFERROR(__xludf.DUMMYFUNCTION("GOOGLETRANSLATE(B863,""en"",""fr"")"),"Un chat gris est assis dans une baignoire blanche d'eau claire, trempée dans de l'eau.")</f>
        <v>Un chat gris est assis dans une baignoire blanche d'eau claire, trempée dans de l'eau.</v>
      </c>
    </row>
    <row r="864">
      <c r="A864" s="4" t="s">
        <v>1096</v>
      </c>
      <c r="B864" s="4" t="s">
        <v>1099</v>
      </c>
      <c r="C864" s="5" t="str">
        <f>IFERROR(__xludf.DUMMYFUNCTION("GOOGLETRANSLATE(B864,""en"",""fr"")"),"Une main avec un tatouage apparaît et essuie le dos du chat avec un chiffon rouge.")</f>
        <v>Une main avec un tatouage apparaît et essuie le dos du chat avec un chiffon rouge.</v>
      </c>
    </row>
    <row r="865">
      <c r="A865" s="4" t="s">
        <v>1096</v>
      </c>
      <c r="B865" s="4" t="s">
        <v>1100</v>
      </c>
      <c r="C865" s="5" t="str">
        <f>IFERROR(__xludf.DUMMYFUNCTION("GOOGLETRANSLATE(B865,""en"",""fr"")"),"La main essuie ensuite le cou du chat et l'arrière de sa tête avec le tissu rouge.")</f>
        <v>La main essuie ensuite le cou du chat et l'arrière de sa tête avec le tissu rouge.</v>
      </c>
    </row>
    <row r="866">
      <c r="A866" s="4" t="s">
        <v>1096</v>
      </c>
      <c r="B866" s="4" t="s">
        <v>1101</v>
      </c>
      <c r="C866" s="5" t="str">
        <f>IFERROR(__xludf.DUMMYFUNCTION("GOOGLETRANSLATE(B866,""en"",""fr"")"),"La main, enfin, laisse le tissu rouge tomber dans l'eau alors que la main se tient au nez du chat.")</f>
        <v>La main, enfin, laisse le tissu rouge tomber dans l'eau alors que la main se tient au nez du chat.</v>
      </c>
    </row>
    <row r="867">
      <c r="A867" s="4" t="s">
        <v>1102</v>
      </c>
      <c r="B867" s="4" t="s">
        <v>1103</v>
      </c>
      <c r="C867" s="5" t="str">
        <f>IFERROR(__xludf.DUMMYFUNCTION("GOOGLETRANSLATE(B867,""en"",""fr"")"),"Une fille est debout, le dos tourné sur un terrain.")</f>
        <v>Une fille est debout, le dos tourné sur un terrain.</v>
      </c>
    </row>
    <row r="868">
      <c r="A868" s="4" t="s">
        <v>1102</v>
      </c>
      <c r="B868" s="4" t="s">
        <v>1104</v>
      </c>
      <c r="C868" s="5" t="str">
        <f>IFERROR(__xludf.DUMMYFUNCTION("GOOGLETRANSLATE(B868,""en"",""fr"")"),"Elle se tourne, laissant tomber accidentellement une corde.")</f>
        <v>Elle se tourne, laissant tomber accidentellement une corde.</v>
      </c>
    </row>
    <row r="869">
      <c r="A869" s="4" t="s">
        <v>1102</v>
      </c>
      <c r="B869" s="4" t="s">
        <v>1105</v>
      </c>
      <c r="C869" s="5" t="str">
        <f>IFERROR(__xludf.DUMMYFUNCTION("GOOGLETRANSLATE(B869,""en"",""fr"")"),"Elle se produit ensuite, tournant et sautant avec la corde.")</f>
        <v>Elle se produit ensuite, tournant et sautant avec la corde.</v>
      </c>
    </row>
    <row r="870">
      <c r="A870" s="4" t="s">
        <v>1106</v>
      </c>
      <c r="B870" s="4" t="s">
        <v>1107</v>
      </c>
      <c r="C870" s="5" t="str">
        <f>IFERROR(__xludf.DUMMYFUNCTION("GOOGLETRANSLATE(B870,""en"",""fr"")"),"On voit une personne pelleter de la neige avec la caméra posée sur sa tête.")</f>
        <v>On voit une personne pelleter de la neige avec la caméra posée sur sa tête.</v>
      </c>
    </row>
    <row r="871">
      <c r="A871" s="4" t="s">
        <v>1106</v>
      </c>
      <c r="B871" s="6" t="s">
        <v>1108</v>
      </c>
      <c r="C871" s="5" t="str">
        <f>IFERROR(__xludf.DUMMYFUNCTION("GOOGLETRANSLATE(B871,""en"",""fr"")"),"Il montre plusieurs plans de lui pelleter la neige, un gros plan de son visage et se balançant dans la région.")</f>
        <v>Il montre plusieurs plans de lui pelleter la neige, un gros plan de son visage et se balançant dans la région.</v>
      </c>
    </row>
    <row r="872">
      <c r="A872" s="4" t="s">
        <v>1109</v>
      </c>
      <c r="B872" s="4" t="s">
        <v>1110</v>
      </c>
      <c r="C872" s="5" t="str">
        <f>IFERROR(__xludf.DUMMYFUNCTION("GOOGLETRANSLATE(B872,""en"",""fr"")"),"Un chef montre tous les ingrédients pour faire des pâtes.")</f>
        <v>Un chef montre tous les ingrédients pour faire des pâtes.</v>
      </c>
    </row>
    <row r="873">
      <c r="A873" s="4" t="s">
        <v>1109</v>
      </c>
      <c r="B873" s="4" t="s">
        <v>1111</v>
      </c>
      <c r="C873" s="5" t="str">
        <f>IFERROR(__xludf.DUMMYFUNCTION("GOOGLETRANSLATE(B873,""en"",""fr"")"),"Ensuite, le chef met les pâtes dans de l'eau chaude, puis verse de l'huile dans une casserole.")</f>
        <v>Ensuite, le chef met les pâtes dans de l'eau chaude, puis verse de l'huile dans une casserole.</v>
      </c>
    </row>
    <row r="874">
      <c r="A874" s="4" t="s">
        <v>1109</v>
      </c>
      <c r="B874" s="6" t="s">
        <v>1112</v>
      </c>
      <c r="C874" s="5" t="str">
        <f>IFERROR(__xludf.DUMMYFUNCTION("GOOGLETRANSLATE(B874,""en"",""fr"")"),"Ensuite, le chef ajoute à la casserole l'ail, les tomates, le basilic, le sel, le poivre et les pâtes cuites et le mélange.")</f>
        <v>Ensuite, le chef ajoute à la casserole l'ail, les tomates, le basilic, le sel, le poivre et les pâtes cuites et le mélange.</v>
      </c>
    </row>
    <row r="875">
      <c r="A875" s="4" t="s">
        <v>1109</v>
      </c>
      <c r="B875" s="4" t="s">
        <v>1113</v>
      </c>
      <c r="C875" s="5" t="str">
        <f>IFERROR(__xludf.DUMMYFUNCTION("GOOGLETRANSLATE(B875,""en"",""fr"")"),"Après, le chef ajoute le parmesan sur les pâtes et sert dans un plat.")</f>
        <v>Après, le chef ajoute le parmesan sur les pâtes et sert dans un plat.</v>
      </c>
    </row>
    <row r="876">
      <c r="A876" s="4" t="s">
        <v>1109</v>
      </c>
      <c r="B876" s="4" t="s">
        <v>1114</v>
      </c>
      <c r="C876" s="5" t="str">
        <f>IFERROR(__xludf.DUMMYFUNCTION("GOOGLETRANSLATE(B876,""en"",""fr"")"),"Le chef a mis du fromage et deux feuilles vertes sur les pâtes dans le plat.")</f>
        <v>Le chef a mis du fromage et deux feuilles vertes sur les pâtes dans le plat.</v>
      </c>
    </row>
    <row r="877">
      <c r="A877" s="4" t="s">
        <v>1115</v>
      </c>
      <c r="B877" s="4" t="s">
        <v>1116</v>
      </c>
      <c r="C877" s="5" t="str">
        <f>IFERROR(__xludf.DUMMYFUNCTION("GOOGLETRANSLATE(B877,""en"",""fr"")"),"Une personne installe un tapis à l'aide d'une machine.")</f>
        <v>Une personne installe un tapis à l'aide d'une machine.</v>
      </c>
    </row>
    <row r="878">
      <c r="A878" s="4" t="s">
        <v>1115</v>
      </c>
      <c r="B878" s="4" t="s">
        <v>1117</v>
      </c>
      <c r="C878" s="5" t="str">
        <f>IFERROR(__xludf.DUMMYFUNCTION("GOOGLETRANSLATE(B878,""en"",""fr"")"),"La personne coupe un morceau de tapis taché.")</f>
        <v>La personne coupe un morceau de tapis taché.</v>
      </c>
    </row>
    <row r="879">
      <c r="A879" s="4" t="s">
        <v>1115</v>
      </c>
      <c r="B879" s="4" t="s">
        <v>1118</v>
      </c>
      <c r="C879" s="5" t="str">
        <f>IFERROR(__xludf.DUMMYFUNCTION("GOOGLETRANSLATE(B879,""en"",""fr"")"),"Ensuite, la personne remplace par une nouvelle pièce et une nouvelle buisson.")</f>
        <v>Ensuite, la personne remplace par une nouvelle pièce et une nouvelle buisson.</v>
      </c>
    </row>
    <row r="880">
      <c r="A880" s="4" t="s">
        <v>1119</v>
      </c>
      <c r="B880" s="6" t="s">
        <v>1120</v>
      </c>
      <c r="C880" s="5" t="str">
        <f>IFERROR(__xludf.DUMMYFUNCTION("GOOGLETRANSLATE(B880,""en"",""fr"")"),"L'homme court sur une piste de course et fait un saut en longueur pendant que People In Stands le regarde.")</f>
        <v>L'homme court sur une piste de course et fait un saut en longueur pendant que People In Stands le regarde.</v>
      </c>
    </row>
    <row r="881">
      <c r="A881" s="4" t="s">
        <v>1119</v>
      </c>
      <c r="B881" s="4" t="s">
        <v>1121</v>
      </c>
      <c r="C881" s="5" t="str">
        <f>IFERROR(__xludf.DUMMYFUNCTION("GOOGLETRANSLATE(B881,""en"",""fr"")"),"Les gens du côté de l'hippodrome sont assis d'un côté.")</f>
        <v>Les gens du côté de l'hippodrome sont assis d'un côté.</v>
      </c>
    </row>
    <row r="882">
      <c r="A882" s="4" t="s">
        <v>1122</v>
      </c>
      <c r="B882" s="6" t="s">
        <v>1123</v>
      </c>
      <c r="C882" s="5" t="str">
        <f>IFERROR(__xludf.DUMMYFUNCTION("GOOGLETRANSLATE(B882,""en"",""fr"")"),"Une femme est vue assise derrière un ensemble de batterie de bongo et jouant tout en parlant à la caméra.")</f>
        <v>Une femme est vue assise derrière un ensemble de batterie de bongo et jouant tout en parlant à la caméra.</v>
      </c>
    </row>
    <row r="883">
      <c r="A883" s="4" t="s">
        <v>1122</v>
      </c>
      <c r="B883" s="4" t="s">
        <v>1124</v>
      </c>
      <c r="C883" s="5" t="str">
        <f>IFERROR(__xludf.DUMMYFUNCTION("GOOGLETRANSLATE(B883,""en"",""fr"")"),"La femme continue de frapper la batterie tout en parlant à la caméra et en chantant.")</f>
        <v>La femme continue de frapper la batterie tout en parlant à la caméra et en chantant.</v>
      </c>
    </row>
    <row r="884">
      <c r="A884" s="4" t="s">
        <v>1125</v>
      </c>
      <c r="B884" s="4" t="s">
        <v>1126</v>
      </c>
      <c r="C884" s="5" t="str">
        <f>IFERROR(__xludf.DUMMYFUNCTION("GOOGLETRANSLATE(B884,""en"",""fr"")"),"Une femme est allongée sur un lit avec ses cheveux écartés.")</f>
        <v>Une femme est allongée sur un lit avec ses cheveux écartés.</v>
      </c>
    </row>
    <row r="885">
      <c r="A885" s="4" t="s">
        <v>1125</v>
      </c>
      <c r="B885" s="4" t="s">
        <v>1127</v>
      </c>
      <c r="C885" s="5" t="str">
        <f>IFERROR(__xludf.DUMMYFUNCTION("GOOGLETRANSLATE(B885,""en"",""fr"")"),"Il y a plusieurs images d'elle par derrière avec des cheveux très longs.")</f>
        <v>Il y a plusieurs images d'elle par derrière avec des cheveux très longs.</v>
      </c>
    </row>
    <row r="886">
      <c r="A886" s="4" t="s">
        <v>1125</v>
      </c>
      <c r="B886" s="4" t="s">
        <v>1128</v>
      </c>
      <c r="C886" s="5" t="str">
        <f>IFERROR(__xludf.DUMMYFUNCTION("GOOGLETRANSLATE(B886,""en"",""fr"")"),"Nous voyons ensuite de nombreuses images d'elle avec ses cheveux coupés sur la longueur des épaules.")</f>
        <v>Nous voyons ensuite de nombreuses images d'elle avec ses cheveux coupés sur la longueur des épaules.</v>
      </c>
    </row>
    <row r="887">
      <c r="A887" s="4" t="s">
        <v>1129</v>
      </c>
      <c r="B887" s="4" t="s">
        <v>1130</v>
      </c>
      <c r="C887" s="5" t="str">
        <f>IFERROR(__xludf.DUMMYFUNCTION("GOOGLETRANSLATE(B887,""en"",""fr"")"),"Un homme en manteau rouge est à l'extérieur sur un snowboard.")</f>
        <v>Un homme en manteau rouge est à l'extérieur sur un snowboard.</v>
      </c>
    </row>
    <row r="888">
      <c r="A888" s="4" t="s">
        <v>1129</v>
      </c>
      <c r="B888" s="4" t="s">
        <v>1131</v>
      </c>
      <c r="C888" s="5" t="str">
        <f>IFERROR(__xludf.DUMMYFUNCTION("GOOGLETRANSLATE(B888,""en"",""fr"")"),"Il commence à descendre un cours et à faire des astuces vraiment cool tout en se déplaçant.")</f>
        <v>Il commence à descendre un cours et à faire des astuces vraiment cool tout en se déplaçant.</v>
      </c>
    </row>
    <row r="889">
      <c r="A889" s="4" t="s">
        <v>1129</v>
      </c>
      <c r="B889" s="6" t="s">
        <v>1132</v>
      </c>
      <c r="C889" s="5" t="str">
        <f>IFERROR(__xludf.DUMMYFUNCTION("GOOGLETRANSLATE(B889,""en"",""fr"")"),"Certains hommes frottent leurs planches et un autre monte sur le terrain et commence à faire des flips et des trucs dans les airs.")</f>
        <v>Certains hommes frottent leurs planches et un autre monte sur le terrain et commence à faire des flips et des trucs dans les airs.</v>
      </c>
    </row>
    <row r="890">
      <c r="A890" s="4" t="s">
        <v>1129</v>
      </c>
      <c r="B890" s="6" t="s">
        <v>1133</v>
      </c>
      <c r="C890" s="5" t="str">
        <f>IFERROR(__xludf.DUMMYFUNCTION("GOOGLETRANSLATE(B890,""en"",""fr"")"),"Ce sont tous des gens assez expérimentés sur les planches, ils montent même dans l'eau et passent un bon moment.")</f>
        <v>Ce sont tous des gens assez expérimentés sur les planches, ils montent même dans l'eau et passent un bon moment.</v>
      </c>
    </row>
    <row r="891">
      <c r="A891" s="4" t="s">
        <v>1134</v>
      </c>
      <c r="B891" s="6" t="s">
        <v>1135</v>
      </c>
      <c r="C891" s="5" t="str">
        <f>IFERROR(__xludf.DUMMYFUNCTION("GOOGLETRANSLATE(B891,""en"",""fr"")"),"Une femme se tient à parler à la caméra tenant un microphone et interviewe des joueurs de voleyball.")</f>
        <v>Une femme se tient à parler à la caméra tenant un microphone et interviewe des joueurs de voleyball.</v>
      </c>
    </row>
    <row r="892">
      <c r="A892" s="4" t="s">
        <v>1134</v>
      </c>
      <c r="B892" s="4" t="s">
        <v>1136</v>
      </c>
      <c r="C892" s="5" t="str">
        <f>IFERROR(__xludf.DUMMYFUNCTION("GOOGLETRANSLATE(B892,""en"",""fr"")"),"Les hommes se tiennent dans un champ sablonneux en cours d'interview.")</f>
        <v>Les hommes se tiennent dans un champ sablonneux en cours d'interview.</v>
      </c>
    </row>
    <row r="893">
      <c r="A893" s="4" t="s">
        <v>1134</v>
      </c>
      <c r="B893" s="4" t="s">
        <v>1137</v>
      </c>
      <c r="C893" s="5" t="str">
        <f>IFERROR(__xludf.DUMMYFUNCTION("GOOGLETRANSLATE(B893,""en"",""fr"")"),"Les hommes sont dans Sandy Field montrant sa fille comment jouer au football de plage.")</f>
        <v>Les hommes sont dans Sandy Field montrant sa fille comment jouer au football de plage.</v>
      </c>
    </row>
    <row r="894">
      <c r="A894" s="4" t="s">
        <v>1134</v>
      </c>
      <c r="B894" s="4" t="s">
        <v>1138</v>
      </c>
      <c r="C894" s="5" t="str">
        <f>IFERROR(__xludf.DUMMYFUNCTION("GOOGLETRANSLATE(B894,""en"",""fr"")"),"La femme est le péché avant du filet pour parler à la caméra.")</f>
        <v>La femme est le péché avant du filet pour parler à la caméra.</v>
      </c>
    </row>
    <row r="895">
      <c r="A895" s="4" t="s">
        <v>1139</v>
      </c>
      <c r="B895" s="4" t="s">
        <v>1140</v>
      </c>
      <c r="C895" s="5" t="str">
        <f>IFERROR(__xludf.DUMMYFUNCTION("GOOGLETRANSLATE(B895,""en"",""fr"")"),"Un homme est pompé pour faire un saut en longueur, puis le fait.")</f>
        <v>Un homme est pompé pour faire un saut en longueur, puis le fait.</v>
      </c>
    </row>
    <row r="896">
      <c r="A896" s="4" t="s">
        <v>1139</v>
      </c>
      <c r="B896" s="4" t="s">
        <v>1141</v>
      </c>
      <c r="C896" s="5" t="str">
        <f>IFERROR(__xludf.DUMMYFUNCTION("GOOGLETRANSLATE(B896,""en"",""fr"")"),"D'autres vont ensuite et essaient de faire pomper la foule pour leurs sauts en longueur respectifs.")</f>
        <v>D'autres vont ensuite et essaient de faire pomper la foule pour leurs sauts en longueur respectifs.</v>
      </c>
    </row>
    <row r="897">
      <c r="A897" s="4" t="s">
        <v>1142</v>
      </c>
      <c r="B897" s="4" t="s">
        <v>1143</v>
      </c>
      <c r="C897" s="5" t="str">
        <f>IFERROR(__xludf.DUMMYFUNCTION("GOOGLETRANSLATE(B897,""en"",""fr"")"),"Une femme noire parle à l'écran avec de longs cheveux bouclés blonds et un pull noir.")</f>
        <v>Une femme noire parle à l'écran avec de longs cheveux bouclés blonds et un pull noir.</v>
      </c>
    </row>
    <row r="898">
      <c r="A898" s="4" t="s">
        <v>1142</v>
      </c>
      <c r="B898" s="4" t="s">
        <v>1144</v>
      </c>
      <c r="C898" s="5" t="str">
        <f>IFERROR(__xludf.DUMMYFUNCTION("GOOGLETRANSLATE(B898,""en"",""fr"")"),"Un sèche-linge est montré et la dame commence alors à sécher les cheveux d'une fille.")</f>
        <v>Un sèche-linge est montré et la dame commence alors à sécher les cheveux d'une fille.</v>
      </c>
    </row>
    <row r="899">
      <c r="A899" s="4" t="s">
        <v>1142</v>
      </c>
      <c r="B899" s="4" t="s">
        <v>1145</v>
      </c>
      <c r="C899" s="5" t="str">
        <f>IFERROR(__xludf.DUMMYFUNCTION("GOOGLETRANSLATE(B899,""en"",""fr"")"),"Les cheveux des filles sont ensuite montrés extrêmement bouclés et la jeune femme a du mal à sécher ses cheveux.")</f>
        <v>Les cheveux des filles sont ensuite montrés extrêmement bouclés et la jeune femme a du mal à sécher ses cheveux.</v>
      </c>
    </row>
    <row r="900">
      <c r="A900" s="4" t="s">
        <v>1142</v>
      </c>
      <c r="B900" s="4" t="s">
        <v>1146</v>
      </c>
      <c r="C900" s="5" t="str">
        <f>IFERROR(__xludf.DUMMYFUNCTION("GOOGLETRANSLATE(B900,""en"",""fr"")"),"Le sèche-linge rouge par baiser est à nouveau montré et la dame continue de sécher les cheveux de la jeune femme.")</f>
        <v>Le sèche-linge rouge par baiser est à nouveau montré et la dame continue de sécher les cheveux de la jeune femme.</v>
      </c>
    </row>
    <row r="901">
      <c r="A901" s="4" t="s">
        <v>1147</v>
      </c>
      <c r="B901" s="4" t="s">
        <v>1148</v>
      </c>
      <c r="C901" s="5" t="str">
        <f>IFERROR(__xludf.DUMMYFUNCTION("GOOGLETRANSLATE(B901,""en"",""fr"")"),"L'homme met les ascenseurs sur un poteau.")</f>
        <v>L'homme met les ascenseurs sur un poteau.</v>
      </c>
    </row>
    <row r="902">
      <c r="A902" s="4" t="s">
        <v>1147</v>
      </c>
      <c r="B902" s="4" t="s">
        <v>1149</v>
      </c>
      <c r="C902" s="5" t="str">
        <f>IFERROR(__xludf.DUMMYFUNCTION("GOOGLETRANSLATE(B902,""en"",""fr"")"),"L'homme se tient au milieu d'une pièce dans un gymnase soulevant du poids.")</f>
        <v>L'homme se tient au milieu d'une pièce dans un gymnase soulevant du poids.</v>
      </c>
    </row>
    <row r="903">
      <c r="A903" s="4" t="s">
        <v>1147</v>
      </c>
      <c r="B903" s="4" t="s">
        <v>1150</v>
      </c>
      <c r="C903" s="5" t="str">
        <f>IFERROR(__xludf.DUMMYFUNCTION("GOOGLETRANSLATE(B903,""en"",""fr"")"),"De nombreux ascenseurs différents sont empilés dans le gymnase.")</f>
        <v>De nombreux ascenseurs différents sont empilés dans le gymnase.</v>
      </c>
    </row>
    <row r="904">
      <c r="A904" s="4" t="s">
        <v>1151</v>
      </c>
      <c r="B904" s="4" t="s">
        <v>1152</v>
      </c>
      <c r="C904" s="5" t="str">
        <f>IFERROR(__xludf.DUMMYFUNCTION("GOOGLETRANSLATE(B904,""en"",""fr"")"),"Une personne est vue courir le long de la route avec de l'équipement et parler à la caméra.")</f>
        <v>Une personne est vue courir le long de la route avec de l'équipement et parler à la caméra.</v>
      </c>
    </row>
    <row r="905">
      <c r="A905" s="4" t="s">
        <v>1151</v>
      </c>
      <c r="B905" s="4" t="s">
        <v>1153</v>
      </c>
      <c r="C905" s="5" t="str">
        <f>IFERROR(__xludf.DUMMYFUNCTION("GOOGLETRANSLATE(B905,""en"",""fr"")"),"L'homme court en utilisant des chaînes ainsi que de parler à la caméra.")</f>
        <v>L'homme court en utilisant des chaînes ainsi que de parler à la caméra.</v>
      </c>
    </row>
    <row r="906">
      <c r="A906" s="4" t="s">
        <v>1151</v>
      </c>
      <c r="B906" s="4" t="s">
        <v>1154</v>
      </c>
      <c r="C906" s="5" t="str">
        <f>IFERROR(__xludf.DUMMYFUNCTION("GOOGLETRANSLATE(B906,""en"",""fr"")"),"L'homme continue de parler tandis que plus de coups de feu sont montrés de sa course.")</f>
        <v>L'homme continue de parler tandis que plus de coups de feu sont montrés de sa course.</v>
      </c>
    </row>
    <row r="907">
      <c r="A907" s="4" t="s">
        <v>1155</v>
      </c>
      <c r="B907" s="4" t="s">
        <v>1156</v>
      </c>
      <c r="C907" s="5" t="str">
        <f>IFERROR(__xludf.DUMMYFUNCTION("GOOGLETRANSLATE(B907,""en"",""fr"")"),"Les gens sont assis dans des stands en regardant des gens.")</f>
        <v>Les gens sont assis dans des stands en regardant des gens.</v>
      </c>
    </row>
    <row r="908">
      <c r="A908" s="4" t="s">
        <v>1155</v>
      </c>
      <c r="B908" s="4" t="s">
        <v>1157</v>
      </c>
      <c r="C908" s="5" t="str">
        <f>IFERROR(__xludf.DUMMYFUNCTION("GOOGLETRANSLATE(B908,""en"",""fr"")"),"Les gens sont en robe.")</f>
        <v>Les gens sont en robe.</v>
      </c>
    </row>
    <row r="909">
      <c r="A909" s="4" t="s">
        <v>1155</v>
      </c>
      <c r="B909" s="4" t="s">
        <v>1158</v>
      </c>
      <c r="C909" s="5" t="str">
        <f>IFERROR(__xludf.DUMMYFUNCTION("GOOGLETRANSLATE(B909,""en"",""fr"")"),"Ils font des mouvements de karaté sur le sol.")</f>
        <v>Ils font des mouvements de karaté sur le sol.</v>
      </c>
    </row>
    <row r="910">
      <c r="A910" s="4" t="s">
        <v>1159</v>
      </c>
      <c r="B910" s="4" t="s">
        <v>1160</v>
      </c>
      <c r="C910" s="5" t="str">
        <f>IFERROR(__xludf.DUMMYFUNCTION("GOOGLETRANSLATE(B910,""en"",""fr"")"),"Un homme parle d'un arc qu'il utilise devant un champ ouvert.")</f>
        <v>Un homme parle d'un arc qu'il utilise devant un champ ouvert.</v>
      </c>
    </row>
    <row r="911">
      <c r="A911" s="4" t="s">
        <v>1159</v>
      </c>
      <c r="B911" s="4" t="s">
        <v>1161</v>
      </c>
      <c r="C911" s="5" t="str">
        <f>IFERROR(__xludf.DUMMYFUNCTION("GOOGLETRANSLATE(B911,""en"",""fr"")"),"L'homme montre comment utiliser l'arc en atteignant une cible sur le terrain.")</f>
        <v>L'homme montre comment utiliser l'arc en atteignant une cible sur le terrain.</v>
      </c>
    </row>
    <row r="912">
      <c r="A912" s="4" t="s">
        <v>1159</v>
      </c>
      <c r="B912" s="4" t="s">
        <v>1162</v>
      </c>
      <c r="C912" s="5" t="str">
        <f>IFERROR(__xludf.DUMMYFUNCTION("GOOGLETRANSLATE(B912,""en"",""fr"")"),"Plusieurs véhicules roulent sur une route derrière le terrain.")</f>
        <v>Plusieurs véhicules roulent sur une route derrière le terrain.</v>
      </c>
    </row>
    <row r="913">
      <c r="A913" s="4" t="s">
        <v>1159</v>
      </c>
      <c r="B913" s="4" t="s">
        <v>1163</v>
      </c>
      <c r="C913" s="5" t="str">
        <f>IFERROR(__xludf.DUMMYFUNCTION("GOOGLETRANSLATE(B913,""en"",""fr"")"),"Les vaches paissent derrière la route.")</f>
        <v>Les vaches paissent derrière la route.</v>
      </c>
    </row>
    <row r="914">
      <c r="A914" s="4" t="s">
        <v>1159</v>
      </c>
      <c r="B914" s="4" t="s">
        <v>1164</v>
      </c>
      <c r="C914" s="5" t="str">
        <f>IFERROR(__xludf.DUMMYFUNCTION("GOOGLETRANSLATE(B914,""en"",""fr"")"),"L'homme atteint sa dernière cible et s'éloigne.")</f>
        <v>L'homme atteint sa dernière cible et s'éloigne.</v>
      </c>
    </row>
    <row r="915">
      <c r="A915" s="4" t="s">
        <v>1165</v>
      </c>
      <c r="B915" s="4" t="s">
        <v>1166</v>
      </c>
      <c r="C915" s="5" t="str">
        <f>IFERROR(__xludf.DUMMYFUNCTION("GOOGLETRANSLATE(B915,""en"",""fr"")"),"Un barman mâle se tient derrière un bar devant des boissons et des tasses à mélanger.")</f>
        <v>Un barman mâle se tient derrière un bar devant des boissons et des tasses à mélanger.</v>
      </c>
    </row>
    <row r="916">
      <c r="A916" s="4" t="s">
        <v>1165</v>
      </c>
      <c r="B916" s="4" t="s">
        <v>1167</v>
      </c>
      <c r="C916" s="5" t="str">
        <f>IFERROR(__xludf.DUMMYFUNCTION("GOOGLETRANSLATE(B916,""en"",""fr"")"),"L'homme ramasse un sup en acier et verse son contenu de glace dans un verre qu'il tient dans la main opposée.")</f>
        <v>L'homme ramasse un sup en acier et verse son contenu de glace dans un verre qu'il tient dans la main opposée.</v>
      </c>
    </row>
    <row r="917">
      <c r="A917" s="4" t="s">
        <v>1165</v>
      </c>
      <c r="B917" s="4" t="s">
        <v>1168</v>
      </c>
      <c r="C917" s="5" t="str">
        <f>IFERROR(__xludf.DUMMYFUNCTION("GOOGLETRANSLATE(B917,""en"",""fr"")"),"L'homme ramasse ensuite un petit verre de tir en acier et le remplit de liquide.")</f>
        <v>L'homme ramasse ensuite un petit verre de tir en acier et le remplit de liquide.</v>
      </c>
    </row>
    <row r="918">
      <c r="A918" s="4" t="s">
        <v>1165</v>
      </c>
      <c r="B918" s="4" t="s">
        <v>1169</v>
      </c>
      <c r="C918" s="5" t="str">
        <f>IFERROR(__xludf.DUMMYFUNCTION("GOOGLETRANSLATE(B918,""en"",""fr"")"),"L'homme verse ensuite le liquide à partir du verre de coup dans la tasse de verre avec de la glace.")</f>
        <v>L'homme verse ensuite le liquide à partir du verre de coup dans la tasse de verre avec de la glace.</v>
      </c>
    </row>
    <row r="919">
      <c r="A919" s="4" t="s">
        <v>1165</v>
      </c>
      <c r="B919" s="6" t="s">
        <v>1170</v>
      </c>
      <c r="C919" s="5" t="str">
        <f>IFERROR(__xludf.DUMMYFUNCTION("GOOGLETRANSLATE(B919,""en"",""fr"")"),"L'homme ramasse un autre verre avec du jus rouge à l'intérieur et le verse dans le verre avec de la glace avant de reculer.")</f>
        <v>L'homme ramasse un autre verre avec du jus rouge à l'intérieur et le verse dans le verre avec de la glace avant de reculer.</v>
      </c>
    </row>
    <row r="920">
      <c r="A920" s="4" t="s">
        <v>1165</v>
      </c>
      <c r="B920" s="6" t="s">
        <v>1171</v>
      </c>
      <c r="C920" s="5" t="str">
        <f>IFERROR(__xludf.DUMMYFUNCTION("GOOGLETRANSLATE(B920,""en"",""fr"")"),"L'homme verse la tasse avec tous les liquides dans une tasse de mélange puis l'utilise pour plafonner et secouer le mélangeur.")</f>
        <v>L'homme verse la tasse avec tous les liquides dans une tasse de mélange puis l'utilise pour plafonner et secouer le mélangeur.</v>
      </c>
    </row>
    <row r="921">
      <c r="A921" s="4" t="s">
        <v>1165</v>
      </c>
      <c r="B921" s="4" t="s">
        <v>1172</v>
      </c>
      <c r="C921" s="5" t="str">
        <f>IFERROR(__xludf.DUMMYFUNCTION("GOOGLETRANSLATE(B921,""en"",""fr"")"),"L'homme arrête de trembler et sépère les deux tasses, les plaçant sur le comptoir.")</f>
        <v>L'homme arrête de trembler et sépère les deux tasses, les plaçant sur le comptoir.</v>
      </c>
    </row>
    <row r="922">
      <c r="A922" s="4" t="s">
        <v>1165</v>
      </c>
      <c r="B922" s="4" t="s">
        <v>1173</v>
      </c>
      <c r="C922" s="5" t="str">
        <f>IFERROR(__xludf.DUMMYFUNCTION("GOOGLETRANSLATE(B922,""en"",""fr"")"),"L'homme attrape un troisième verre vide et le déplace vers le côté opposé du comptoir.")</f>
        <v>L'homme attrape un troisième verre vide et le déplace vers le côté opposé du comptoir.</v>
      </c>
    </row>
    <row r="923">
      <c r="A923" s="4" t="s">
        <v>1165</v>
      </c>
      <c r="B923" s="6" t="s">
        <v>1174</v>
      </c>
      <c r="C923" s="5" t="str">
        <f>IFERROR(__xludf.DUMMYFUNCTION("GOOGLETRANSLATE(B923,""en"",""fr"")"),"L'homme ramasse le mélangeur et verse son contenu dans le verre vide avant de le remettre.")</f>
        <v>L'homme ramasse le mélangeur et verse son contenu dans le verre vide avant de le remettre.</v>
      </c>
    </row>
    <row r="924">
      <c r="A924" s="4" t="s">
        <v>1165</v>
      </c>
      <c r="B924" s="6" t="s">
        <v>1175</v>
      </c>
      <c r="C924" s="5" t="str">
        <f>IFERROR(__xludf.DUMMYFUNCTION("GOOGLETRANSLATE(B924,""en"",""fr"")"),"L'homme ajoute ensuite un parapluie Staw et Miniature dans la boisson pour la décoration avant de tenir le verre.")</f>
        <v>L'homme ajoute ensuite un parapluie Staw et Miniature dans la boisson pour la décoration avant de tenir le verre.</v>
      </c>
    </row>
    <row r="925">
      <c r="A925" s="4" t="s">
        <v>1176</v>
      </c>
      <c r="B925" s="4" t="s">
        <v>1177</v>
      </c>
      <c r="C925" s="5" t="str">
        <f>IFERROR(__xludf.DUMMYFUNCTION("GOOGLETRANSLATE(B925,""en"",""fr"")"),"Une femme soulève un chat de la table et s'assoit avec elle sur ses genoux.")</f>
        <v>Une femme soulève un chat de la table et s'assoit avec elle sur ses genoux.</v>
      </c>
    </row>
    <row r="926">
      <c r="A926" s="4" t="s">
        <v>1176</v>
      </c>
      <c r="B926" s="4" t="s">
        <v>1178</v>
      </c>
      <c r="C926" s="5" t="str">
        <f>IFERROR(__xludf.DUMMYFUNCTION("GOOGLETRANSLATE(B926,""en"",""fr"")"),"La femme utilise des ciseaux de coupe pour couper les griffes des chats.")</f>
        <v>La femme utilise des ciseaux de coupe pour couper les griffes des chats.</v>
      </c>
    </row>
    <row r="927">
      <c r="A927" s="4" t="s">
        <v>1179</v>
      </c>
      <c r="B927" s="4" t="s">
        <v>1180</v>
      </c>
      <c r="C927" s="5" t="str">
        <f>IFERROR(__xludf.DUMMYFUNCTION("GOOGLETRANSLATE(B927,""en"",""fr"")"),"Une personne invisible navigue sur plusieurs pages Amazon Dot COM sur l'équipement d'exercice.")</f>
        <v>Une personne invisible navigue sur plusieurs pages Amazon Dot COM sur l'équipement d'exercice.</v>
      </c>
    </row>
    <row r="928">
      <c r="A928" s="4" t="s">
        <v>1179</v>
      </c>
      <c r="B928" s="6" t="s">
        <v>1181</v>
      </c>
      <c r="C928" s="5" t="str">
        <f>IFERROR(__xludf.DUMMYFUNCTION("GOOGLETRANSLATE(B928,""en"",""fr"")"),"Une page Amazon montrant une machine d'exercice seule est montrée, suivie d'une autre image d'une page Amazon montrant une femme utilisant une machine d'exercice avec un prix et des informations sur l'équipement.")</f>
        <v>Une page Amazon montrant une machine d'exercice seule est montrée, suivie d'une autre image d'une page Amazon montrant une femme utilisant une machine d'exercice avec un prix et des informations sur l'équipement.</v>
      </c>
    </row>
    <row r="929">
      <c r="A929" s="4" t="s">
        <v>1179</v>
      </c>
      <c r="B929" s="6" t="s">
        <v>1182</v>
      </c>
      <c r="C929" s="5" t="str">
        <f>IFERROR(__xludf.DUMMYFUNCTION("GOOGLETRANSLATE(B929,""en"",""fr"")"),"Une autre page montrant un entraîneur éliptique est montrée dans laquelle une souris d'ordinateur active navigue dans l'examen de l'article à quel point un autre entraîneur elliptique sur une autre page est indiqué.")</f>
        <v>Une autre page montrant un entraîneur éliptique est montrée dans laquelle une souris d'ordinateur active navigue dans l'examen de l'article à quel point un autre entraîneur elliptique sur une autre page est indiqué.</v>
      </c>
    </row>
    <row r="930">
      <c r="A930" s="4" t="s">
        <v>1183</v>
      </c>
      <c r="B930" s="4" t="s">
        <v>1184</v>
      </c>
      <c r="C930" s="5" t="str">
        <f>IFERROR(__xludf.DUMMYFUNCTION("GOOGLETRANSLATE(B930,""en"",""fr"")"),"Une femme répand la crème à raser sur les jambes d'une autre femme.")</f>
        <v>Une femme répand la crème à raser sur les jambes d'une autre femme.</v>
      </c>
    </row>
    <row r="931">
      <c r="A931" s="4" t="s">
        <v>1183</v>
      </c>
      <c r="B931" s="4" t="s">
        <v>1185</v>
      </c>
      <c r="C931" s="5" t="str">
        <f>IFERROR(__xludf.DUMMYFUNCTION("GOOGLETRANSLATE(B931,""en"",""fr"")"),"Elle met ses mains sous l'eau et commence à raser les jambes de la femme pour elle.")</f>
        <v>Elle met ses mains sous l'eau et commence à raser les jambes de la femme pour elle.</v>
      </c>
    </row>
    <row r="932">
      <c r="A932" s="4" t="s">
        <v>1183</v>
      </c>
      <c r="B932" s="4" t="s">
        <v>1186</v>
      </c>
      <c r="C932" s="5" t="str">
        <f>IFERROR(__xludf.DUMMYFUNCTION("GOOGLETRANSLATE(B932,""en"",""fr"")"),"Elle commence du bas en haut de la jambe et continue ce mouvement.")</f>
        <v>Elle commence du bas en haut de la jambe et continue ce mouvement.</v>
      </c>
    </row>
    <row r="933">
      <c r="A933" s="4" t="s">
        <v>1183</v>
      </c>
      <c r="B933" s="4" t="s">
        <v>1187</v>
      </c>
      <c r="C933" s="5" t="str">
        <f>IFERROR(__xludf.DUMMYFUNCTION("GOOGLETRANSLATE(B933,""en"",""fr"")"),"La vidéo est très instable, mais la femme continue de raser la jambe de ses amis.")</f>
        <v>La vidéo est très instable, mais la femme continue de raser la jambe de ses amis.</v>
      </c>
    </row>
    <row r="934">
      <c r="A934" s="4" t="s">
        <v>1188</v>
      </c>
      <c r="B934" s="4" t="s">
        <v>1189</v>
      </c>
      <c r="C934" s="5" t="str">
        <f>IFERROR(__xludf.DUMMYFUNCTION("GOOGLETRANSLATE(B934,""en"",""fr"")"),"Une pinata est suspendue à un arbre, car un groupe de filles se tiendra devant lui.")</f>
        <v>Une pinata est suspendue à un arbre, car un groupe de filles se tiendra devant lui.</v>
      </c>
    </row>
    <row r="935">
      <c r="A935" s="4" t="s">
        <v>1188</v>
      </c>
      <c r="B935" s="4" t="s">
        <v>1190</v>
      </c>
      <c r="C935" s="5" t="str">
        <f>IFERROR(__xludf.DUMMYFUNCTION("GOOGLETRANSLATE(B935,""en"",""fr"")"),"On a un bâton et est les yeux bandés.")</f>
        <v>On a un bâton et est les yeux bandés.</v>
      </c>
    </row>
    <row r="936">
      <c r="A936" s="4" t="s">
        <v>1188</v>
      </c>
      <c r="B936" s="4" t="s">
        <v>1191</v>
      </c>
      <c r="C936" s="5" t="str">
        <f>IFERROR(__xludf.DUMMYFUNCTION("GOOGLETRANSLATE(B936,""en"",""fr"")"),"Elle frappe la pinata, puis s'éloigne.")</f>
        <v>Elle frappe la pinata, puis s'éloigne.</v>
      </c>
    </row>
    <row r="937">
      <c r="A937" s="4" t="s">
        <v>1192</v>
      </c>
      <c r="B937" s="4" t="s">
        <v>1193</v>
      </c>
      <c r="C937" s="5" t="str">
        <f>IFERROR(__xludf.DUMMYFUNCTION("GOOGLETRANSLATE(B937,""en"",""fr"")"),"Une femme en chemise rose roule à vélo.")</f>
        <v>Une femme en chemise rose roule à vélo.</v>
      </c>
    </row>
    <row r="938">
      <c r="A938" s="4" t="s">
        <v>1192</v>
      </c>
      <c r="B938" s="4" t="s">
        <v>1194</v>
      </c>
      <c r="C938" s="5" t="str">
        <f>IFERROR(__xludf.DUMMYFUNCTION("GOOGLETRANSLATE(B938,""en"",""fr"")"),"Elle fait ensuite des pompes sur le sol.")</f>
        <v>Elle fait ensuite des pompes sur le sol.</v>
      </c>
    </row>
    <row r="939">
      <c r="A939" s="4" t="s">
        <v>1192</v>
      </c>
      <c r="B939" s="4" t="s">
        <v>1195</v>
      </c>
      <c r="C939" s="5" t="str">
        <f>IFERROR(__xludf.DUMMYFUNCTION("GOOGLETRANSLATE(B939,""en"",""fr"")"),"Elle est assise sur le sol.")</f>
        <v>Elle est assise sur le sol.</v>
      </c>
    </row>
    <row r="940">
      <c r="A940" s="4" t="s">
        <v>1196</v>
      </c>
      <c r="B940" s="4" t="s">
        <v>1197</v>
      </c>
      <c r="C940" s="5" t="str">
        <f>IFERROR(__xludf.DUMMYFUNCTION("GOOGLETRANSLATE(B940,""en"",""fr"")"),"Un homme est assis, parlant à un animateur de talk-show.")</f>
        <v>Un homme est assis, parlant à un animateur de talk-show.</v>
      </c>
    </row>
    <row r="941">
      <c r="A941" s="4" t="s">
        <v>1196</v>
      </c>
      <c r="B941" s="4" t="s">
        <v>1198</v>
      </c>
      <c r="C941" s="5" t="str">
        <f>IFERROR(__xludf.DUMMYFUNCTION("GOOGLETRANSLATE(B941,""en"",""fr"")"),"Ils sont animés comme ils se parlent.")</f>
        <v>Ils sont animés comme ils se parlent.</v>
      </c>
    </row>
    <row r="942">
      <c r="A942" s="4" t="s">
        <v>1196</v>
      </c>
      <c r="B942" s="4" t="s">
        <v>1199</v>
      </c>
      <c r="C942" s="5" t="str">
        <f>IFERROR(__xludf.DUMMYFUNCTION("GOOGLETRANSLATE(B942,""en"",""fr"")"),"Ils continuent de parler, puis l'hôte présente à l'homme un cadeau.")</f>
        <v>Ils continuent de parler, puis l'hôte présente à l'homme un cadeau.</v>
      </c>
    </row>
    <row r="943">
      <c r="A943" s="4" t="s">
        <v>1200</v>
      </c>
      <c r="B943" s="4" t="s">
        <v>1201</v>
      </c>
      <c r="C943" s="5" t="str">
        <f>IFERROR(__xludf.DUMMYFUNCTION("GOOGLETRANSLATE(B943,""en"",""fr"")"),"Un homme est assis à l'intérieur sur une chaise inspirant d'une pipe qui semblait être un hautbois.")</f>
        <v>Un homme est assis à l'intérieur sur une chaise inspirant d'une pipe qui semblait être un hautbois.</v>
      </c>
    </row>
    <row r="944">
      <c r="A944" s="4" t="s">
        <v>1200</v>
      </c>
      <c r="B944" s="4" t="s">
        <v>1202</v>
      </c>
      <c r="C944" s="5" t="str">
        <f>IFERROR(__xludf.DUMMYFUNCTION("GOOGLETRANSLATE(B944,""en"",""fr"")"),"Il sort le tuyau de sa bouche et commence à expirer en formant des O.")</f>
        <v>Il sort le tuyau de sa bouche et commence à expirer en formant des O.</v>
      </c>
    </row>
    <row r="945">
      <c r="A945" s="4" t="s">
        <v>1200</v>
      </c>
      <c r="B945" s="6" t="s">
        <v>1203</v>
      </c>
      <c r="C945" s="5" t="str">
        <f>IFERROR(__xludf.DUMMYFUNCTION("GOOGLETRANSLATE(B945,""en"",""fr"")"),"Il commence à souffler sa fumée dans un récipient et fait des cercles vraiment cool que je n'ai jamais rien vu de tel.")</f>
        <v>Il commence à souffler sa fumée dans un récipient et fait des cercles vraiment cool que je n'ai jamais rien vu de tel.</v>
      </c>
    </row>
    <row r="946">
      <c r="A946" s="4" t="s">
        <v>1200</v>
      </c>
      <c r="B946" s="4" t="s">
        <v>1204</v>
      </c>
      <c r="C946" s="5" t="str">
        <f>IFERROR(__xludf.DUMMYFUNCTION("GOOGLETRANSLATE(B946,""en"",""fr"")"),"C'est plutôt cool de voir comment il forme les O, juste se détendre et profiter du plaisir simple.")</f>
        <v>C'est plutôt cool de voir comment il forme les O, juste se détendre et profiter du plaisir simple.</v>
      </c>
    </row>
    <row r="947">
      <c r="A947" s="4" t="s">
        <v>1205</v>
      </c>
      <c r="B947" s="4" t="s">
        <v>1206</v>
      </c>
      <c r="C947" s="5" t="str">
        <f>IFERROR(__xludf.DUMMYFUNCTION("GOOGLETRANSLATE(B947,""en"",""fr"")"),"Un homme se tient à l'avant de sa mini-fourgonnette et le montre.")</f>
        <v>Un homme se tient à l'avant de sa mini-fourgonnette et le montre.</v>
      </c>
    </row>
    <row r="948">
      <c r="A948" s="4" t="s">
        <v>1205</v>
      </c>
      <c r="B948" s="4" t="s">
        <v>1207</v>
      </c>
      <c r="C948" s="5" t="str">
        <f>IFERROR(__xludf.DUMMYFUNCTION("GOOGLETRANSLATE(B948,""en"",""fr"")"),"L'homme s'appuie sur le hayon de sa camionnette et montre des caractéristiques de cargaison de stockage à l'intérieur.")</f>
        <v>L'homme s'appuie sur le hayon de sa camionnette et montre des caractéristiques de cargaison de stockage à l'intérieur.</v>
      </c>
    </row>
    <row r="949">
      <c r="A949" s="4" t="s">
        <v>1205</v>
      </c>
      <c r="B949" s="4" t="s">
        <v>1208</v>
      </c>
      <c r="C949" s="5" t="str">
        <f>IFERROR(__xludf.DUMMYFUNCTION("GOOGLETRANSLATE(B949,""en"",""fr"")"),"L'homme se rassemble des pôles.")</f>
        <v>L'homme se rassemble des pôles.</v>
      </c>
    </row>
    <row r="950">
      <c r="A950" s="4" t="s">
        <v>1205</v>
      </c>
      <c r="B950" s="6" t="s">
        <v>1209</v>
      </c>
      <c r="C950" s="5" t="str">
        <f>IFERROR(__xludf.DUMMYFUNCTION("GOOGLETRANSLATE(B950,""en"",""fr"")"),"L'homme est assis dans le siège des conducteurs de la camionnette et place le cadre de la tige dans une douille et le tord.")</f>
        <v>L'homme est assis dans le siège des conducteurs de la camionnette et place le cadre de la tige dans une douille et le tord.</v>
      </c>
    </row>
    <row r="951">
      <c r="A951" s="4" t="s">
        <v>1205</v>
      </c>
      <c r="B951" s="4" t="s">
        <v>1210</v>
      </c>
      <c r="C951" s="5" t="str">
        <f>IFERROR(__xludf.DUMMYFUNCTION("GOOGLETRANSLATE(B951,""en"",""fr"")"),"L'homme ajuste la tige et atteint sous la camionnette pour retirer un pneu de rechange.")</f>
        <v>L'homme ajuste la tige et atteint sous la camionnette pour retirer un pneu de rechange.</v>
      </c>
    </row>
    <row r="952">
      <c r="A952" s="4" t="s">
        <v>1205</v>
      </c>
      <c r="B952" s="4" t="s">
        <v>1211</v>
      </c>
      <c r="C952" s="5" t="str">
        <f>IFERROR(__xludf.DUMMYFUNCTION("GOOGLETRANSLATE(B952,""en"",""fr"")"),"L'homme retire le pneu de secours de son enceinte.")</f>
        <v>L'homme retire le pneu de secours de son enceinte.</v>
      </c>
    </row>
    <row r="953">
      <c r="A953" s="4" t="s">
        <v>1205</v>
      </c>
      <c r="B953" s="4" t="s">
        <v>1212</v>
      </c>
      <c r="C953" s="5" t="str">
        <f>IFERROR(__xludf.DUMMYFUNCTION("GOOGLETRANSLATE(B953,""en"",""fr"")"),"L'homme travaille sur l'installation du nouveau pneu.")</f>
        <v>L'homme travaille sur l'installation du nouveau pneu.</v>
      </c>
    </row>
    <row r="954">
      <c r="A954" s="4" t="s">
        <v>1213</v>
      </c>
      <c r="B954" s="4" t="s">
        <v>1214</v>
      </c>
      <c r="C954" s="5" t="str">
        <f>IFERROR(__xludf.DUMMYFUNCTION("GOOGLETRANSLATE(B954,""en"",""fr"")"),"Une jeune femme est vue assise dans un kayak regardant vers la caméra.")</f>
        <v>Une jeune femme est vue assise dans un kayak regardant vers la caméra.</v>
      </c>
    </row>
    <row r="955">
      <c r="A955" s="4" t="s">
        <v>1213</v>
      </c>
      <c r="B955" s="4" t="s">
        <v>1215</v>
      </c>
      <c r="C955" s="5" t="str">
        <f>IFERROR(__xludf.DUMMYFUNCTION("GOOGLETRANSLATE(B955,""en"",""fr"")"),"La fille commence alors à déplacer la pagaie et la quatrième.")</f>
        <v>La fille commence alors à déplacer la pagaie et la quatrième.</v>
      </c>
    </row>
    <row r="956">
      <c r="A956" s="4" t="s">
        <v>1213</v>
      </c>
      <c r="B956" s="4" t="s">
        <v>1216</v>
      </c>
      <c r="C956" s="5" t="str">
        <f>IFERROR(__xludf.DUMMYFUNCTION("GOOGLETRANSLATE(B956,""en"",""fr"")"),"Elle fait une pause pour rire au loin.")</f>
        <v>Elle fait une pause pour rire au loin.</v>
      </c>
    </row>
    <row r="957">
      <c r="A957" s="4" t="s">
        <v>1217</v>
      </c>
      <c r="B957" s="4" t="s">
        <v>1218</v>
      </c>
      <c r="C957" s="5" t="str">
        <f>IFERROR(__xludf.DUMMYFUNCTION("GOOGLETRANSLATE(B957,""en"",""fr"")"),"Il y a deux adolescents jouant et résolvant le cube du rubic.")</f>
        <v>Il y a deux adolescents jouant et résolvant le cube du rubic.</v>
      </c>
    </row>
    <row r="958">
      <c r="A958" s="4" t="s">
        <v>1217</v>
      </c>
      <c r="B958" s="4" t="s">
        <v>1219</v>
      </c>
      <c r="C958" s="5" t="str">
        <f>IFERROR(__xludf.DUMMYFUNCTION("GOOGLETRANSLATE(B958,""en"",""fr"")"),"Un autre petit garçon arrive là-bas et jette un œil à la caméra.")</f>
        <v>Un autre petit garçon arrive là-bas et jette un œil à la caméra.</v>
      </c>
    </row>
    <row r="959">
      <c r="A959" s="4" t="s">
        <v>1217</v>
      </c>
      <c r="B959" s="4" t="s">
        <v>1220</v>
      </c>
      <c r="C959" s="5" t="str">
        <f>IFERROR(__xludf.DUMMYFUNCTION("GOOGLETRANSLATE(B959,""en"",""fr"")"),"Les adolescents se sont affrontés les uns contre les autres pour résoudre le cube.")</f>
        <v>Les adolescents se sont affrontés les uns contre les autres pour résoudre le cube.</v>
      </c>
    </row>
    <row r="960">
      <c r="A960" s="4" t="s">
        <v>1217</v>
      </c>
      <c r="B960" s="4" t="s">
        <v>1221</v>
      </c>
      <c r="C960" s="5" t="str">
        <f>IFERROR(__xludf.DUMMYFUNCTION("GOOGLETRANSLATE(B960,""en"",""fr"")"),"Ils finissent tous les deux presque en même temps et résolvent le cube du rubic.")</f>
        <v>Ils finissent tous les deux presque en même temps et résolvent le cube du rubic.</v>
      </c>
    </row>
    <row r="961">
      <c r="A961" s="4" t="s">
        <v>1217</v>
      </c>
      <c r="B961" s="4" t="s">
        <v>1222</v>
      </c>
      <c r="C961" s="5" t="str">
        <f>IFERROR(__xludf.DUMMYFUNCTION("GOOGLETRANSLATE(B961,""en"",""fr"")"),"Ils montrent fièrement leurs compétences dans la caméra.")</f>
        <v>Ils montrent fièrement leurs compétences dans la caméra.</v>
      </c>
    </row>
    <row r="962">
      <c r="A962" s="4" t="s">
        <v>1223</v>
      </c>
      <c r="B962" s="6" t="s">
        <v>1224</v>
      </c>
      <c r="C962" s="5" t="str">
        <f>IFERROR(__xludf.DUMMYFUNCTION("GOOGLETRANSLATE(B962,""en"",""fr"")"),"L'athlète masculin se tient près des deux poteaux, leva les bras, puis sauta sur les poteaux avec ses bras, tandis que sous lui, un homme sort un faisceau rouge.")</f>
        <v>L'athlète masculin se tient près des deux poteaux, leva les bras, puis sauta sur les poteaux avec ses bras, tandis que sous lui, un homme sort un faisceau rouge.</v>
      </c>
    </row>
    <row r="963">
      <c r="A963" s="4" t="s">
        <v>1223</v>
      </c>
      <c r="B963" s="6" t="s">
        <v>1225</v>
      </c>
      <c r="C963" s="5" t="str">
        <f>IFERROR(__xludf.DUMMYFUNCTION("GOOGLETRANSLATE(B963,""en"",""fr"")"),"L'athlète interprète son exposition sur les poteaux, il se tient sur ses bras tandis que ses pieds et ses jambes sont étendus directement dans les airs, il se retourne, tourbillonne, saute et se tourne puis sauté sur le tapis, se tenant droit.")</f>
        <v>L'athlète interprète son exposition sur les poteaux, il se tient sur ses bras tandis que ses pieds et ses jambes sont étendus directement dans les airs, il se retourne, tourbillonne, saute et se tourne puis sauté sur le tapis, se tenant droit.</v>
      </c>
    </row>
    <row r="964">
      <c r="A964" s="4" t="s">
        <v>1226</v>
      </c>
      <c r="B964" s="4" t="s">
        <v>1227</v>
      </c>
      <c r="C964" s="5" t="str">
        <f>IFERROR(__xludf.DUMMYFUNCTION("GOOGLETRANSLATE(B964,""en"",""fr"")"),"Maria montre comment faire un cocktail nyquil.")</f>
        <v>Maria montre comment faire un cocktail nyquil.</v>
      </c>
    </row>
    <row r="965">
      <c r="A965" s="4" t="s">
        <v>1226</v>
      </c>
      <c r="B965" s="4" t="s">
        <v>1228</v>
      </c>
      <c r="C965" s="5" t="str">
        <f>IFERROR(__xludf.DUMMYFUNCTION("GOOGLETRANSLATE(B965,""en"",""fr"")"),"Elle montre les ingrédients nécessaires à la boisson.")</f>
        <v>Elle montre les ingrédients nécessaires à la boisson.</v>
      </c>
    </row>
    <row r="966">
      <c r="A966" s="4" t="s">
        <v>1226</v>
      </c>
      <c r="B966" s="4" t="s">
        <v>1229</v>
      </c>
      <c r="C966" s="5" t="str">
        <f>IFERROR(__xludf.DUMMYFUNCTION("GOOGLETRANSLATE(B966,""en"",""fr"")"),"Elle pointe vers la vodka, le jagermeister et le colorant alimentaire.")</f>
        <v>Elle pointe vers la vodka, le jagermeister et le colorant alimentaire.</v>
      </c>
    </row>
    <row r="967">
      <c r="A967" s="4" t="s">
        <v>1226</v>
      </c>
      <c r="B967" s="4" t="s">
        <v>1230</v>
      </c>
      <c r="C967" s="5" t="str">
        <f>IFERROR(__xludf.DUMMYFUNCTION("GOOGLETRANSLATE(B967,""en"",""fr"")"),"Elle prend ensuite un shaker, verse et la vodka et le Jagermeister.")</f>
        <v>Elle prend ensuite un shaker, verse et la vodka et le Jagermeister.</v>
      </c>
    </row>
    <row r="968">
      <c r="A968" s="4" t="s">
        <v>1226</v>
      </c>
      <c r="B968" s="4" t="s">
        <v>1231</v>
      </c>
      <c r="C968" s="5" t="str">
        <f>IFERROR(__xludf.DUMMYFUNCTION("GOOGLETRANSLATE(B968,""en"",""fr"")"),"Puis ajoute de la glace et le secoue.")</f>
        <v>Puis ajoute de la glace et le secoue.</v>
      </c>
    </row>
    <row r="969">
      <c r="A969" s="4" t="s">
        <v>1226</v>
      </c>
      <c r="B969" s="4" t="s">
        <v>1232</v>
      </c>
      <c r="C969" s="5" t="str">
        <f>IFERROR(__xludf.DUMMYFUNCTION("GOOGLETRANSLATE(B969,""en"",""fr"")"),"Elle utilise une passoire pour filtrer la boisson dans un verre à cocktail et place le verre sur la table.")</f>
        <v>Elle utilise une passoire pour filtrer la boisson dans un verre à cocktail et place le verre sur la table.</v>
      </c>
    </row>
    <row r="970">
      <c r="A970" s="4" t="s">
        <v>1233</v>
      </c>
      <c r="B970" s="4" t="s">
        <v>1234</v>
      </c>
      <c r="C970" s="5" t="str">
        <f>IFERROR(__xludf.DUMMYFUNCTION("GOOGLETRANSLATE(B970,""en"",""fr"")"),"Il y a des hommes qui se rasent avec du gel de rasage Gillette.")</f>
        <v>Il y a des hommes qui se rasent avec du gel de rasage Gillette.</v>
      </c>
    </row>
    <row r="971">
      <c r="A971" s="4" t="s">
        <v>1233</v>
      </c>
      <c r="B971" s="6" t="s">
        <v>1235</v>
      </c>
      <c r="C971" s="5" t="str">
        <f>IFERROR(__xludf.DUMMYFUNCTION("GOOGLETRANSLATE(B971,""en"",""fr"")"),"Il y a un modèle dont le visage est complètement mousu avec du gel de rasage et il utilise un rasoir bleu pour se raser le visage.")</f>
        <v>Il y a un modèle dont le visage est complètement mousu avec du gel de rasage et il utilise un rasoir bleu pour se raser le visage.</v>
      </c>
    </row>
    <row r="972">
      <c r="A972" s="4" t="s">
        <v>1233</v>
      </c>
      <c r="B972" s="4" t="s">
        <v>1236</v>
      </c>
      <c r="C972" s="5" t="str">
        <f>IFERROR(__xludf.DUMMYFUNCTION("GOOGLETRANSLATE(B972,""en"",""fr"")"),"Un autre modèle masculin a également tout son visage mousu avec du gel à raser.")</f>
        <v>Un autre modèle masculin a également tout son visage mousu avec du gel à raser.</v>
      </c>
    </row>
    <row r="973">
      <c r="A973" s="4" t="s">
        <v>1233</v>
      </c>
      <c r="B973" s="4" t="s">
        <v>1237</v>
      </c>
      <c r="C973" s="5" t="str">
        <f>IFERROR(__xludf.DUMMYFUNCTION("GOOGLETRANSLATE(B973,""en"",""fr"")"),"Il se rasait également le visage avec un rasoir bleu.")</f>
        <v>Il se rasait également le visage avec un rasoir bleu.</v>
      </c>
    </row>
    <row r="974">
      <c r="A974" s="4" t="s">
        <v>1233</v>
      </c>
      <c r="B974" s="4" t="s">
        <v>1238</v>
      </c>
      <c r="C974" s="5" t="str">
        <f>IFERROR(__xludf.DUMMYFUNCTION("GOOGLETRANSLATE(B974,""en"",""fr"")"),"Il rasage ses joues et ses moustaches.")</f>
        <v>Il rasage ses joues et ses moustaches.</v>
      </c>
    </row>
    <row r="975">
      <c r="A975" s="4" t="s">
        <v>1233</v>
      </c>
      <c r="B975" s="4" t="s">
        <v>1239</v>
      </c>
      <c r="C975" s="5" t="str">
        <f>IFERROR(__xludf.DUMMYFUNCTION("GOOGLETRANSLATE(B975,""en"",""fr"")"),"Il pompe une petite quantité de gel sur ses mains.")</f>
        <v>Il pompe une petite quantité de gel sur ses mains.</v>
      </c>
    </row>
    <row r="976">
      <c r="A976" s="4" t="s">
        <v>1233</v>
      </c>
      <c r="B976" s="6" t="s">
        <v>1240</v>
      </c>
      <c r="C976" s="5" t="str">
        <f>IFERROR(__xludf.DUMMYFUNCTION("GOOGLETRANSLATE(B976,""en"",""fr"")"),"Montre ensuite la différence entre la crème en mousse ordinaire et la crème de rasage de gel et continue.")</f>
        <v>Montre ensuite la différence entre la crème en mousse ordinaire et la crème de rasage de gel et continue.</v>
      </c>
    </row>
    <row r="977">
      <c r="A977" s="4" t="s">
        <v>1233</v>
      </c>
      <c r="B977" s="4" t="s">
        <v>1241</v>
      </c>
      <c r="C977" s="5" t="str">
        <f>IFERROR(__xludf.DUMMYFUNCTION("GOOGLETRANSLATE(B977,""en"",""fr"")"),"Il pose ensuite avec un modèle de dame qui touche son visage pour sentir sa peau lisse.")</f>
        <v>Il pose ensuite avec un modèle de dame qui touche son visage pour sentir sa peau lisse.</v>
      </c>
    </row>
    <row r="978">
      <c r="A978" s="4" t="s">
        <v>1233</v>
      </c>
      <c r="B978" s="4" t="s">
        <v>1242</v>
      </c>
      <c r="C978" s="5" t="str">
        <f>IFERROR(__xludf.DUMMYFUNCTION("GOOGLETRANSLATE(B978,""en"",""fr"")"),"L'ensemble du rasage Gillette est illustré.")</f>
        <v>L'ensemble du rasage Gillette est illustré.</v>
      </c>
    </row>
    <row r="979">
      <c r="A979" s="4" t="s">
        <v>1243</v>
      </c>
      <c r="B979" s="4" t="s">
        <v>1244</v>
      </c>
      <c r="C979" s="5" t="str">
        <f>IFERROR(__xludf.DUMMYFUNCTION("GOOGLETRANSLATE(B979,""en"",""fr"")"),"Une introduction pour une marque sportive de canoë apparaît à l'écran.")</f>
        <v>Une introduction pour une marque sportive de canoë apparaît à l'écran.</v>
      </c>
    </row>
    <row r="980">
      <c r="A980" s="4" t="s">
        <v>1243</v>
      </c>
      <c r="B980" s="4" t="s">
        <v>1245</v>
      </c>
      <c r="C980" s="5" t="str">
        <f>IFERROR(__xludf.DUMMYFUNCTION("GOOGLETRANSLATE(B980,""en"",""fr"")"),"Plusieurs personnes se préparent à mettre leurs canots dans l'eau par une journée enneigée.")</f>
        <v>Plusieurs personnes se préparent à mettre leurs canots dans l'eau par une journée enneigée.</v>
      </c>
    </row>
    <row r="981">
      <c r="A981" s="4" t="s">
        <v>1243</v>
      </c>
      <c r="B981" s="4" t="s">
        <v>1246</v>
      </c>
      <c r="C981" s="5" t="str">
        <f>IFERROR(__xludf.DUMMYFUNCTION("GOOGLETRANSLATE(B981,""en"",""fr"")"),"Plusieurs autres personnes quittent un bus et se dirigent vers l'eau.")</f>
        <v>Plusieurs autres personnes quittent un bus et se dirigent vers l'eau.</v>
      </c>
    </row>
    <row r="982">
      <c r="A982" s="4" t="s">
        <v>1243</v>
      </c>
      <c r="B982" s="4" t="s">
        <v>1247</v>
      </c>
      <c r="C982" s="5" t="str">
        <f>IFERROR(__xludf.DUMMYFUNCTION("GOOGLETRANSLATE(B982,""en"",""fr"")"),"On montre ensuite que les gens font plusieurs exercices d'entraînement en canoë.")</f>
        <v>On montre ensuite que les gens font plusieurs exercices d'entraînement en canoë.</v>
      </c>
    </row>
    <row r="983">
      <c r="A983" s="4" t="s">
        <v>1243</v>
      </c>
      <c r="B983" s="4" t="s">
        <v>1248</v>
      </c>
      <c r="C983" s="5" t="str">
        <f>IFERROR(__xludf.DUMMYFUNCTION("GOOGLETRANSLATE(B983,""en"",""fr"")"),"Ensuite, dans l'eau, les gens sont montrés en canoë et s'amusent.")</f>
        <v>Ensuite, dans l'eau, les gens sont montrés en canoë et s'amusent.</v>
      </c>
    </row>
    <row r="984">
      <c r="A984" s="4" t="s">
        <v>1243</v>
      </c>
      <c r="B984" s="4" t="s">
        <v>1249</v>
      </c>
      <c r="C984" s="5" t="str">
        <f>IFERROR(__xludf.DUMMYFUNCTION("GOOGLETRANSLATE(B984,""en"",""fr"")"),"La vidéo se termine par le site Web de canooesport affiché.")</f>
        <v>La vidéo se termine par le site Web de canooesport affiché.</v>
      </c>
    </row>
    <row r="985">
      <c r="A985" s="4" t="s">
        <v>1250</v>
      </c>
      <c r="B985" s="4" t="s">
        <v>1251</v>
      </c>
      <c r="C985" s="5" t="str">
        <f>IFERROR(__xludf.DUMMYFUNCTION("GOOGLETRANSLATE(B985,""en"",""fr"")"),"Les crédits du clip sont affichés.")</f>
        <v>Les crédits du clip sont affichés.</v>
      </c>
    </row>
    <row r="986">
      <c r="A986" s="4" t="s">
        <v>1250</v>
      </c>
      <c r="B986" s="4" t="s">
        <v>1252</v>
      </c>
      <c r="C986" s="5" t="str">
        <f>IFERROR(__xludf.DUMMYFUNCTION("GOOGLETRANSLATE(B986,""en"",""fr"")"),"Une personne repose ses mains au sommet des tambours.")</f>
        <v>Une personne repose ses mains au sommet des tambours.</v>
      </c>
    </row>
    <row r="987">
      <c r="A987" s="4" t="s">
        <v>1250</v>
      </c>
      <c r="B987" s="4" t="s">
        <v>1253</v>
      </c>
      <c r="C987" s="5" t="str">
        <f>IFERROR(__xludf.DUMMYFUNCTION("GOOGLETRANSLATE(B987,""en"",""fr"")"),"La personne joue de la batterie.")</f>
        <v>La personne joue de la batterie.</v>
      </c>
    </row>
    <row r="988">
      <c r="A988" s="4" t="s">
        <v>1250</v>
      </c>
      <c r="B988" s="4" t="s">
        <v>1254</v>
      </c>
      <c r="C988" s="5" t="str">
        <f>IFERROR(__xludf.DUMMYFUNCTION("GOOGLETRANSLATE(B988,""en"",""fr"")"),"La personne applaudie les mains.")</f>
        <v>La personne applaudie les mains.</v>
      </c>
    </row>
    <row r="989">
      <c r="A989" s="4" t="s">
        <v>1250</v>
      </c>
      <c r="B989" s="4" t="s">
        <v>1255</v>
      </c>
      <c r="C989" s="5" t="str">
        <f>IFERROR(__xludf.DUMMYFUNCTION("GOOGLETRANSLATE(B989,""en"",""fr"")"),"La personne rassemble ses doigts.")</f>
        <v>La personne rassemble ses doigts.</v>
      </c>
    </row>
    <row r="990">
      <c r="A990" s="4" t="s">
        <v>1250</v>
      </c>
      <c r="B990" s="4" t="s">
        <v>1251</v>
      </c>
      <c r="C990" s="5" t="str">
        <f>IFERROR(__xludf.DUMMYFUNCTION("GOOGLETRANSLATE(B990,""en"",""fr"")"),"Les crédits du clip sont affichés.")</f>
        <v>Les crédits du clip sont affichés.</v>
      </c>
    </row>
    <row r="991">
      <c r="A991" s="4" t="s">
        <v>1256</v>
      </c>
      <c r="B991" s="4" t="s">
        <v>1257</v>
      </c>
      <c r="C991" s="5" t="str">
        <f>IFERROR(__xludf.DUMMYFUNCTION("GOOGLETRANSLATE(B991,""en"",""fr"")"),"Une femme tient une balle jaune derrière son cou.")</f>
        <v>Une femme tient une balle jaune derrière son cou.</v>
      </c>
    </row>
    <row r="992">
      <c r="A992" s="4" t="s">
        <v>1256</v>
      </c>
      <c r="B992" s="4" t="s">
        <v>1258</v>
      </c>
      <c r="C992" s="5" t="str">
        <f>IFERROR(__xludf.DUMMYFUNCTION("GOOGLETRANSLATE(B992,""en"",""fr"")"),"Elle se retourne et lance le ballon sur un champ.")</f>
        <v>Elle se retourne et lance le ballon sur un champ.</v>
      </c>
    </row>
    <row r="993">
      <c r="A993" s="4" t="s">
        <v>1256</v>
      </c>
      <c r="B993" s="4" t="s">
        <v>1259</v>
      </c>
      <c r="C993" s="5" t="str">
        <f>IFERROR(__xludf.DUMMYFUNCTION("GOOGLETRANSLATE(B993,""en"",""fr"")"),"Les gens courent pour mesurer la distance.")</f>
        <v>Les gens courent pour mesurer la distance.</v>
      </c>
    </row>
    <row r="994">
      <c r="A994" s="4" t="s">
        <v>1256</v>
      </c>
      <c r="B994" s="4" t="s">
        <v>1260</v>
      </c>
      <c r="C994" s="5" t="str">
        <f>IFERROR(__xludf.DUMMYFUNCTION("GOOGLETRANSLATE(B994,""en"",""fr"")"),"Un homme en chemise rouge tient une balle derrière son cou.")</f>
        <v>Un homme en chemise rouge tient une balle derrière son cou.</v>
      </c>
    </row>
    <row r="995">
      <c r="A995" s="4" t="s">
        <v>1256</v>
      </c>
      <c r="B995" s="4" t="s">
        <v>1261</v>
      </c>
      <c r="C995" s="5" t="str">
        <f>IFERROR(__xludf.DUMMYFUNCTION("GOOGLETRANSLATE(B995,""en"",""fr"")"),"Il se retourne et lance le ballon sur le terrain.")</f>
        <v>Il se retourne et lance le ballon sur le terrain.</v>
      </c>
    </row>
    <row r="996">
      <c r="A996" s="4" t="s">
        <v>1256</v>
      </c>
      <c r="B996" s="4" t="s">
        <v>1262</v>
      </c>
      <c r="C996" s="5" t="str">
        <f>IFERROR(__xludf.DUMMYFUNCTION("GOOGLETRANSLATE(B996,""en"",""fr"")"),"Les gens courent pour mesurer la distance.")</f>
        <v>Les gens courent pour mesurer la distance.</v>
      </c>
    </row>
    <row r="997">
      <c r="A997" s="4" t="s">
        <v>1256</v>
      </c>
      <c r="B997" s="4" t="s">
        <v>1263</v>
      </c>
      <c r="C997" s="5" t="str">
        <f>IFERROR(__xludf.DUMMYFUNCTION("GOOGLETRANSLATE(B997,""en"",""fr"")"),"Une autre femme tient une balle derrière son cou.")</f>
        <v>Une autre femme tient une balle derrière son cou.</v>
      </c>
    </row>
    <row r="998">
      <c r="A998" s="4" t="s">
        <v>1256</v>
      </c>
      <c r="B998" s="4" t="s">
        <v>1264</v>
      </c>
      <c r="C998" s="5" t="str">
        <f>IFERROR(__xludf.DUMMYFUNCTION("GOOGLETRANSLATE(B998,""en"",""fr"")"),"Elle se retourne également et lance le ballon sur le terrain.")</f>
        <v>Elle se retourne également et lance le ballon sur le terrain.</v>
      </c>
    </row>
    <row r="999">
      <c r="A999" s="4" t="s">
        <v>1256</v>
      </c>
      <c r="B999" s="4" t="s">
        <v>1265</v>
      </c>
      <c r="C999" s="5" t="str">
        <f>IFERROR(__xludf.DUMMYFUNCTION("GOOGLETRANSLATE(B999,""en"",""fr"")"),"Les gens courent ensuite pour mesurer la distance.")</f>
        <v>Les gens courent ensuite pour mesurer la distance.</v>
      </c>
    </row>
    <row r="1000">
      <c r="A1000" s="4" t="s">
        <v>1256</v>
      </c>
      <c r="B1000" s="4" t="s">
        <v>1266</v>
      </c>
      <c r="C1000" s="5" t="str">
        <f>IFERROR(__xludf.DUMMYFUNCTION("GOOGLETRANSLATE(B1000,""en"",""fr"")"),"Elle fait signe à la foule.")</f>
        <v>Elle fait signe à la foule.</v>
      </c>
    </row>
    <row r="1001">
      <c r="A1001" s="4" t="s">
        <v>1256</v>
      </c>
      <c r="B1001" s="4" t="s">
        <v>1267</v>
      </c>
      <c r="C1001" s="5" t="str">
        <f>IFERROR(__xludf.DUMMYFUNCTION("GOOGLETRANSLATE(B1001,""en"",""fr"")"),"Elle lance ensuite le ballon à nouveau.")</f>
        <v>Elle lance ensuite le ballon à nouveau.</v>
      </c>
    </row>
    <row r="1002">
      <c r="A1002" s="4" t="s">
        <v>1256</v>
      </c>
      <c r="B1002" s="4" t="s">
        <v>1268</v>
      </c>
      <c r="C1002" s="5" t="str">
        <f>IFERROR(__xludf.DUMMYFUNCTION("GOOGLETRANSLATE(B1002,""en"",""fr"")"),"Les résultats clignotent ensuite à l'écran.")</f>
        <v>Les résultats clignotent ensuite à l'écran.</v>
      </c>
    </row>
    <row r="1003">
      <c r="A1003" s="4" t="s">
        <v>1269</v>
      </c>
      <c r="B1003" s="4" t="s">
        <v>1270</v>
      </c>
      <c r="C1003" s="5" t="str">
        <f>IFERROR(__xludf.DUMMYFUNCTION("GOOGLETRANSLATE(B1003,""en"",""fr"")"),"Une intro commence et commence à montrer un groupe de personnes.")</f>
        <v>Une intro commence et commence à montrer un groupe de personnes.</v>
      </c>
    </row>
    <row r="1004">
      <c r="A1004" s="4" t="s">
        <v>1269</v>
      </c>
      <c r="B1004" s="4" t="s">
        <v>1271</v>
      </c>
      <c r="C1004" s="5" t="str">
        <f>IFERROR(__xludf.DUMMYFUNCTION("GOOGLETRANSLATE(B1004,""en"",""fr"")"),"Diverses personnes effectuent une routine de danse avec un instructeur se produisant avant et au centre.")</f>
        <v>Diverses personnes effectuent une routine de danse avec un instructeur se produisant avant et au centre.</v>
      </c>
    </row>
    <row r="1005">
      <c r="A1005" s="4" t="s">
        <v>1269</v>
      </c>
      <c r="B1005" s="6" t="s">
        <v>1272</v>
      </c>
      <c r="C1005" s="5" t="str">
        <f>IFERROR(__xludf.DUMMYFUNCTION("GOOGLETRANSLATE(B1005,""en"",""fr"")"),"La routine se poursuit avec les gens et l'instructeur se déplaçant avec leurs bras et leurs jambes faisant divers mouvements de la musique.")</f>
        <v>La routine se poursuit avec les gens et l'instructeur se déplaçant avec leurs bras et leurs jambes faisant divers mouvements de la musique.</v>
      </c>
    </row>
    <row r="1006">
      <c r="A1006" s="4" t="s">
        <v>1273</v>
      </c>
      <c r="B1006" s="4" t="s">
        <v>1274</v>
      </c>
      <c r="C1006" s="5" t="str">
        <f>IFERROR(__xludf.DUMMYFUNCTION("GOOGLETRANSLATE(B1006,""en"",""fr"")"),"Un garçon et une fille sont assis derrière une table.")</f>
        <v>Un garçon et une fille sont assis derrière une table.</v>
      </c>
    </row>
    <row r="1007">
      <c r="A1007" s="4" t="s">
        <v>1273</v>
      </c>
      <c r="B1007" s="4" t="s">
        <v>1275</v>
      </c>
      <c r="C1007" s="5" t="str">
        <f>IFERROR(__xludf.DUMMYFUNCTION("GOOGLETRANSLATE(B1007,""en"",""fr"")"),"Ils commencent à s'arrêter sur la table.")</f>
        <v>Ils commencent à s'arrêter sur la table.</v>
      </c>
    </row>
    <row r="1008">
      <c r="A1008" s="4" t="s">
        <v>1273</v>
      </c>
      <c r="B1008" s="4" t="s">
        <v>1276</v>
      </c>
      <c r="C1008" s="5" t="str">
        <f>IFERROR(__xludf.DUMMYFUNCTION("GOOGLETRANSLATE(B1008,""en"",""fr"")"),"L'homme gagne et sourit.")</f>
        <v>L'homme gagne et sourit.</v>
      </c>
    </row>
    <row r="1009">
      <c r="A1009" s="4" t="s">
        <v>1277</v>
      </c>
      <c r="B1009" s="4" t="s">
        <v>1278</v>
      </c>
      <c r="C1009" s="5" t="str">
        <f>IFERROR(__xludf.DUMMYFUNCTION("GOOGLETRANSLATE(B1009,""en"",""fr"")"),"Nous voyons quelques écrans de titre d'ouverture.")</f>
        <v>Nous voyons quelques écrans de titre d'ouverture.</v>
      </c>
    </row>
    <row r="1010">
      <c r="A1010" s="4" t="s">
        <v>1277</v>
      </c>
      <c r="B1010" s="4" t="s">
        <v>1279</v>
      </c>
      <c r="C1010" s="5" t="str">
        <f>IFERROR(__xludf.DUMMYFUNCTION("GOOGLETRANSLATE(B1010,""en"",""fr"")"),"Un homme se rasage avec un rasoir droit.")</f>
        <v>Un homme se rasage avec un rasoir droit.</v>
      </c>
    </row>
    <row r="1011">
      <c r="A1011" s="4" t="s">
        <v>1277</v>
      </c>
      <c r="B1011" s="4" t="s">
        <v>1280</v>
      </c>
      <c r="C1011" s="5" t="str">
        <f>IFERROR(__xludf.DUMMYFUNCTION("GOOGLETRANSLATE(B1011,""en"",""fr"")"),"Nous voyons l'homme derrière lui et les hommes s'embrassent et parlent.")</f>
        <v>Nous voyons l'homme derrière lui et les hommes s'embrassent et parlent.</v>
      </c>
    </row>
    <row r="1012">
      <c r="A1012" s="4" t="s">
        <v>1277</v>
      </c>
      <c r="B1012" s="4" t="s">
        <v>1281</v>
      </c>
      <c r="C1012" s="5" t="str">
        <f>IFERROR(__xludf.DUMMYFUNCTION("GOOGLETRANSLATE(B1012,""en"",""fr"")"),"L'homme revient à se raser le visage.")</f>
        <v>L'homme revient à se raser le visage.</v>
      </c>
    </row>
    <row r="1013">
      <c r="A1013" s="4" t="s">
        <v>1277</v>
      </c>
      <c r="B1013" s="4" t="s">
        <v>1282</v>
      </c>
      <c r="C1013" s="5" t="str">
        <f>IFERROR(__xludf.DUMMYFUNCTION("GOOGLETRANSLATE(B1013,""en"",""fr"")"),"Nous voyons à nouveau l'homme à l'arrière.")</f>
        <v>Nous voyons à nouveau l'homme à l'arrière.</v>
      </c>
    </row>
    <row r="1014">
      <c r="A1014" s="4" t="s">
        <v>1277</v>
      </c>
      <c r="B1014" s="4" t="s">
        <v>1283</v>
      </c>
      <c r="C1014" s="5" t="str">
        <f>IFERROR(__xludf.DUMMYFUNCTION("GOOGLETRANSLATE(B1014,""en"",""fr"")"),"L'homme à raser parle et nous voyons les écrans de titre de fin.")</f>
        <v>L'homme à raser parle et nous voyons les écrans de titre de fin.</v>
      </c>
    </row>
    <row r="1015">
      <c r="A1015" s="4" t="s">
        <v>1284</v>
      </c>
      <c r="B1015" s="4" t="s">
        <v>1285</v>
      </c>
      <c r="C1015" s="5" t="str">
        <f>IFERROR(__xludf.DUMMYFUNCTION("GOOGLETRANSLATE(B1015,""en"",""fr"")"),"Un gros plan de produits est montré suivi par une femme ouverte l'emballage devant un miroir.")</f>
        <v>Un gros plan de produits est montré suivi par une femme ouverte l'emballage devant un miroir.</v>
      </c>
    </row>
    <row r="1016">
      <c r="A1016" s="4" t="s">
        <v>1284</v>
      </c>
      <c r="B1016" s="4" t="s">
        <v>1286</v>
      </c>
      <c r="C1016" s="5" t="str">
        <f>IFERROR(__xludf.DUMMYFUNCTION("GOOGLETRANSLATE(B1016,""en"",""fr"")"),"La femme met le paquet dans sa bouche, le fait passer à part, puis le crache.")</f>
        <v>La femme met le paquet dans sa bouche, le fait passer à part, puis le crache.</v>
      </c>
    </row>
    <row r="1017">
      <c r="A1017" s="4" t="s">
        <v>1287</v>
      </c>
      <c r="B1017" s="4" t="s">
        <v>1288</v>
      </c>
      <c r="C1017" s="5" t="str">
        <f>IFERROR(__xludf.DUMMYFUNCTION("GOOGLETRANSLATE(B1017,""en"",""fr"")"),"Un homme est vu debout sur scène tenant des instruments dans ses mains.")</f>
        <v>Un homme est vu debout sur scène tenant des instruments dans ses mains.</v>
      </c>
    </row>
    <row r="1018">
      <c r="A1018" s="4" t="s">
        <v>1287</v>
      </c>
      <c r="B1018" s="4" t="s">
        <v>1289</v>
      </c>
      <c r="C1018" s="5" t="str">
        <f>IFERROR(__xludf.DUMMYFUNCTION("GOOGLETRANSLATE(B1018,""en"",""fr"")"),"Il ramasse ensuite l'instrument et commence à jouer sur scène.")</f>
        <v>Il ramasse ensuite l'instrument et commence à jouer sur scène.</v>
      </c>
    </row>
    <row r="1019">
      <c r="A1019" s="4" t="s">
        <v>1287</v>
      </c>
      <c r="B1019" s="4" t="s">
        <v>1290</v>
      </c>
      <c r="C1019" s="5" t="str">
        <f>IFERROR(__xludf.DUMMYFUNCTION("GOOGLETRANSLATE(B1019,""en"",""fr"")"),"L'homme continue de jouer et se termine en détournant les yeux.")</f>
        <v>L'homme continue de jouer et se termine en détournant les yeux.</v>
      </c>
    </row>
    <row r="1020">
      <c r="A1020" s="4" t="s">
        <v>1291</v>
      </c>
      <c r="B1020" s="6" t="s">
        <v>1292</v>
      </c>
      <c r="C1020" s="5" t="str">
        <f>IFERROR(__xludf.DUMMYFUNCTION("GOOGLETRANSLATE(B1020,""en"",""fr"")"),"La vidéo commence par une toile de fond d'une zone enneigée et présente les noms des personnes dans la vidéo et que c'est le ""Wisp Snowboard Trip 2014.")</f>
        <v>La vidéo commence par une toile de fond d'une zone enneigée et présente les noms des personnes dans la vidéo et que c'est le "Wisp Snowboard Trip 2014.</v>
      </c>
    </row>
    <row r="1021">
      <c r="A1021" s="4" t="s">
        <v>1291</v>
      </c>
      <c r="B1021" s="6" t="s">
        <v>1293</v>
      </c>
      <c r="C1021" s="5" t="str">
        <f>IFERROR(__xludf.DUMMYFUNCTION("GOOGLETRANSLATE(B1021,""en"",""fr"")"),"La vidéo va ensuite dans de nombreux segments différents d'un tas de personnes différentes de snowboard tout en faisant des astuces pendant la journée ou la nuit et à différents endroits.")</f>
        <v>La vidéo va ensuite dans de nombreux segments différents d'un tas de personnes différentes de snowboard tout en faisant des astuces pendant la journée ou la nuit et à différents endroits.</v>
      </c>
    </row>
    <row r="1022">
      <c r="A1022" s="4" t="s">
        <v>1291</v>
      </c>
      <c r="B1022" s="4" t="s">
        <v>1294</v>
      </c>
      <c r="C1022" s="5" t="str">
        <f>IFERROR(__xludf.DUMMYFUNCTION("GOOGLETRANSLATE(B1022,""en"",""fr"")"),"L'Outro va à Gray puis s'estompe en noir.")</f>
        <v>L'Outro va à Gray puis s'estompe en noir.</v>
      </c>
    </row>
    <row r="1023">
      <c r="A1023" s="4" t="s">
        <v>1295</v>
      </c>
      <c r="B1023" s="4" t="s">
        <v>1296</v>
      </c>
      <c r="C1023" s="5" t="str">
        <f>IFERROR(__xludf.DUMMYFUNCTION("GOOGLETRANSLATE(B1023,""en"",""fr"")"),"Une grande intertube est affichée à l'écran.")</f>
        <v>Une grande intertube est affichée à l'écran.</v>
      </c>
    </row>
    <row r="1024">
      <c r="A1024" s="4" t="s">
        <v>1295</v>
      </c>
      <c r="B1024" s="4" t="s">
        <v>1297</v>
      </c>
      <c r="C1024" s="5" t="str">
        <f>IFERROR(__xludf.DUMMYFUNCTION("GOOGLETRANSLATE(B1024,""en"",""fr"")"),"Un tas de traîneaux montent sur les tubes.")</f>
        <v>Un tas de traîneaux montent sur les tubes.</v>
      </c>
    </row>
    <row r="1025">
      <c r="A1025" s="4" t="s">
        <v>1295</v>
      </c>
      <c r="B1025" s="4" t="s">
        <v>1298</v>
      </c>
      <c r="C1025" s="5" t="str">
        <f>IFERROR(__xludf.DUMMYFUNCTION("GOOGLETRANSLATE(B1025,""en"",""fr"")"),"Ils les montent sur une colline escarpée ensemble.")</f>
        <v>Ils les montent sur une colline escarpée ensemble.</v>
      </c>
    </row>
    <row r="1026">
      <c r="A1026" s="4" t="s">
        <v>1299</v>
      </c>
      <c r="B1026" s="4" t="s">
        <v>1300</v>
      </c>
      <c r="C1026" s="5" t="str">
        <f>IFERROR(__xludf.DUMMYFUNCTION("GOOGLETRANSLATE(B1026,""en"",""fr"")"),"Une présentatrice de nouvelles féminines présente une histoire.")</f>
        <v>Une présentatrice de nouvelles féminines présente une histoire.</v>
      </c>
    </row>
    <row r="1027">
      <c r="A1027" s="4" t="s">
        <v>1299</v>
      </c>
      <c r="B1027" s="6" t="s">
        <v>1301</v>
      </c>
      <c r="C1027" s="5" t="str">
        <f>IFERROR(__xludf.DUMMYFUNCTION("GOOGLETRANSLATE(B1027,""en"",""fr"")"),"Une journaliste de presse parle d'un instructeur de fitness à l'intérieur d'un gymnase, où les cyclistes roulent de vélos de fitness.")</f>
        <v>Une journaliste de presse parle d'un instructeur de fitness à l'intérieur d'un gymnase, où les cyclistes roulent de vélos de fitness.</v>
      </c>
    </row>
    <row r="1028">
      <c r="A1028" s="4" t="s">
        <v>1299</v>
      </c>
      <c r="B1028" s="4" t="s">
        <v>1302</v>
      </c>
      <c r="C1028" s="5" t="str">
        <f>IFERROR(__xludf.DUMMYFUNCTION("GOOGLETRANSLATE(B1028,""en"",""fr"")"),"Des exercices tels que le yoga et le vélo sont démontrés par ceux du gymnase.")</f>
        <v>Des exercices tels que le yoga et le vélo sont démontrés par ceux du gymnase.</v>
      </c>
    </row>
    <row r="1029">
      <c r="A1029" s="4" t="s">
        <v>1299</v>
      </c>
      <c r="B1029" s="4" t="s">
        <v>1303</v>
      </c>
      <c r="C1029" s="5" t="str">
        <f>IFERROR(__xludf.DUMMYFUNCTION("GOOGLETRANSLATE(B1029,""en"",""fr"")"),"La journaliste de News continue de parler à l'instructeur de fitness.")</f>
        <v>La journaliste de News continue de parler à l'instructeur de fitness.</v>
      </c>
    </row>
    <row r="1030">
      <c r="A1030" s="4" t="s">
        <v>1299</v>
      </c>
      <c r="B1030" s="4" t="s">
        <v>1304</v>
      </c>
      <c r="C1030" s="5" t="str">
        <f>IFERROR(__xludf.DUMMYFUNCTION("GOOGLETRANSLATE(B1030,""en"",""fr"")"),"Elle parle à l'ancre dans le studio.")</f>
        <v>Elle parle à l'ancre dans le studio.</v>
      </c>
    </row>
    <row r="1031">
      <c r="A1031" s="4" t="s">
        <v>1305</v>
      </c>
      <c r="B1031" s="4" t="s">
        <v>1306</v>
      </c>
      <c r="C1031" s="5" t="str">
        <f>IFERROR(__xludf.DUMMYFUNCTION("GOOGLETRANSLATE(B1031,""en"",""fr"")"),"Un vélo se tient sur une route cahoteuse non pavée.")</f>
        <v>Un vélo se tient sur une route cahoteuse non pavée.</v>
      </c>
    </row>
    <row r="1032">
      <c r="A1032" s="4" t="s">
        <v>1305</v>
      </c>
      <c r="B1032" s="6" t="s">
        <v>1307</v>
      </c>
      <c r="C1032" s="5" t="str">
        <f>IFERROR(__xludf.DUMMYFUNCTION("GOOGLETRANSLATE(B1032,""en"",""fr"")"),"Les gens font des vélos très rapidement sur la route et donnent des sauts en hauteur en passant la partie cahoteuse de la route.")</f>
        <v>Les gens font des vélos très rapidement sur la route et donnent des sauts en hauteur en passant la partie cahoteuse de la route.</v>
      </c>
    </row>
    <row r="1033">
      <c r="A1033" s="4" t="s">
        <v>1305</v>
      </c>
      <c r="B1033" s="4" t="s">
        <v>1308</v>
      </c>
      <c r="C1033" s="5" t="str">
        <f>IFERROR(__xludf.DUMMYFUNCTION("GOOGLETRANSLATE(B1033,""en"",""fr"")"),"Les ombres d'un motard coulé sur la route cahoteuse.")</f>
        <v>Les ombres d'un motard coulé sur la route cahoteuse.</v>
      </c>
    </row>
    <row r="1034">
      <c r="A1034" s="4" t="s">
        <v>1309</v>
      </c>
      <c r="B1034" s="4" t="s">
        <v>1310</v>
      </c>
      <c r="C1034" s="5" t="str">
        <f>IFERROR(__xludf.DUMMYFUNCTION("GOOGLETRANSLATE(B1034,""en"",""fr"")"),"Un enfant est vu remettre à un ensemble de barres de singe pendant que les enfants courent.")</f>
        <v>Un enfant est vu remettre à un ensemble de barres de singe pendant que les enfants courent.</v>
      </c>
    </row>
    <row r="1035">
      <c r="A1035" s="4" t="s">
        <v>1309</v>
      </c>
      <c r="B1035" s="4" t="s">
        <v>1311</v>
      </c>
      <c r="C1035" s="5" t="str">
        <f>IFERROR(__xludf.DUMMYFUNCTION("GOOGLETRANSLATE(B1035,""en"",""fr"")"),"La fille commence alors à grimper à travers le plateau des barres de singe.")</f>
        <v>La fille commence alors à grimper à travers le plateau des barres de singe.</v>
      </c>
    </row>
    <row r="1036">
      <c r="A1036" s="4" t="s">
        <v>1309</v>
      </c>
      <c r="B1036" s="4" t="s">
        <v>1312</v>
      </c>
      <c r="C1036" s="5" t="str">
        <f>IFERROR(__xludf.DUMMYFUNCTION("GOOGLETRANSLATE(B1036,""en"",""fr"")"),"Elle grimpe jusqu'à la fin et saute du côté.")</f>
        <v>Elle grimpe jusqu'à la fin et saute du côté.</v>
      </c>
    </row>
    <row r="1037">
      <c r="A1037" s="4" t="s">
        <v>1313</v>
      </c>
      <c r="B1037" s="4" t="s">
        <v>1314</v>
      </c>
      <c r="C1037" s="5" t="str">
        <f>IFERROR(__xludf.DUMMYFUNCTION("GOOGLETRANSLATE(B1037,""en"",""fr"")"),"Un gros plan d'un arbre de vitesses est vu par quelqu'un qui ouvrant un coffre et tirant un pneu.")</f>
        <v>Un gros plan d'un arbre de vitesses est vu par quelqu'un qui ouvrant un coffre et tirant un pneu.</v>
      </c>
    </row>
    <row r="1038">
      <c r="A1038" s="4" t="s">
        <v>1313</v>
      </c>
      <c r="B1038" s="4" t="s">
        <v>1315</v>
      </c>
      <c r="C1038" s="5" t="str">
        <f>IFERROR(__xludf.DUMMYFUNCTION("GOOGLETRANSLATE(B1038,""en"",""fr"")"),"La personne met un cric sous la voiture et commence à dévisser le pneu et à le retirer.")</f>
        <v>La personne met un cric sous la voiture et commence à dévisser le pneu et à le retirer.</v>
      </c>
    </row>
    <row r="1039">
      <c r="A1039" s="4" t="s">
        <v>1313</v>
      </c>
      <c r="B1039" s="6" t="s">
        <v>1316</v>
      </c>
      <c r="C1039" s="5" t="str">
        <f>IFERROR(__xludf.DUMMYFUNCTION("GOOGLETRANSLATE(B1039,""en"",""fr"")"),"La personne met un nouveau pneu et le visse en retirant la prise et en remettant le co-cap.")</f>
        <v>La personne met un nouveau pneu et le visse en retirant la prise et en remettant le co-cap.</v>
      </c>
    </row>
    <row r="1040">
      <c r="A1040" s="4" t="s">
        <v>1317</v>
      </c>
      <c r="B1040" s="4" t="s">
        <v>1318</v>
      </c>
      <c r="C1040" s="5" t="str">
        <f>IFERROR(__xludf.DUMMYFUNCTION("GOOGLETRANSLATE(B1040,""en"",""fr"")"),"Les crédits d'ouverture sont affichés pour une vidéo sur le bowling.")</f>
        <v>Les crédits d'ouverture sont affichés pour une vidéo sur le bowling.</v>
      </c>
    </row>
    <row r="1041">
      <c r="A1041" s="4" t="s">
        <v>1317</v>
      </c>
      <c r="B1041" s="4" t="s">
        <v>1319</v>
      </c>
      <c r="C1041" s="5" t="str">
        <f>IFERROR(__xludf.DUMMYFUNCTION("GOOGLETRANSLATE(B1041,""en"",""fr"")"),"La vidéo montre ensuite plusieurs quilleurs faisant des tours de bowling dans un bowling.")</f>
        <v>La vidéo montre ensuite plusieurs quilleurs faisant des tours de bowling dans un bowling.</v>
      </c>
    </row>
    <row r="1042">
      <c r="A1042" s="4" t="s">
        <v>1317</v>
      </c>
      <c r="B1042" s="4" t="s">
        <v>1320</v>
      </c>
      <c r="C1042" s="5" t="str">
        <f>IFERROR(__xludf.DUMMYFUNCTION("GOOGLETRANSLATE(B1042,""en"",""fr"")"),"Un crédit arrive sur l'écran en introduisant l'astuce finale des diplômés.")</f>
        <v>Un crédit arrive sur l'écran en introduisant l'astuce finale des diplômés.</v>
      </c>
    </row>
    <row r="1043">
      <c r="A1043" s="4" t="s">
        <v>1317</v>
      </c>
      <c r="B1043" s="4" t="s">
        <v>1321</v>
      </c>
      <c r="C1043" s="5" t="str">
        <f>IFERROR(__xludf.DUMMYFUNCTION("GOOGLETRANSLATE(B1043,""en"",""fr"")"),"Un homme lance le ballon et se jette simultanément dans l'allée également.")</f>
        <v>Un homme lance le ballon et se jette simultanément dans l'allée également.</v>
      </c>
    </row>
    <row r="1044">
      <c r="A1044" s="4" t="s">
        <v>1317</v>
      </c>
      <c r="B1044" s="4" t="s">
        <v>1322</v>
      </c>
      <c r="C1044" s="5" t="str">
        <f>IFERROR(__xludf.DUMMYFUNCTION("GOOGLETRANSLATE(B1044,""en"",""fr"")"),"Les crédits de clôture sont ensuite sur l'écran pour mettre fin à la vidéo.")</f>
        <v>Les crédits de clôture sont ensuite sur l'écran pour mettre fin à la vidéo.</v>
      </c>
    </row>
    <row r="1045">
      <c r="A1045" s="4" t="s">
        <v>1323</v>
      </c>
      <c r="B1045" s="4" t="s">
        <v>1324</v>
      </c>
      <c r="C1045" s="5" t="str">
        <f>IFERROR(__xludf.DUMMYFUNCTION("GOOGLETRANSLATE(B1045,""en"",""fr"")"),"Un petit enfant peint les ongles d'un autre individu.")</f>
        <v>Un petit enfant peint les ongles d'un autre individu.</v>
      </c>
    </row>
    <row r="1046">
      <c r="A1046" s="4" t="s">
        <v>1323</v>
      </c>
      <c r="B1046" s="4" t="s">
        <v>1325</v>
      </c>
      <c r="C1046" s="5" t="str">
        <f>IFERROR(__xludf.DUMMYFUNCTION("GOOGLETRANSLATE(B1046,""en"",""fr"")"),"L'autre individu examine les ongles.")</f>
        <v>L'autre individu examine les ongles.</v>
      </c>
    </row>
    <row r="1047">
      <c r="A1047" s="4" t="s">
        <v>1326</v>
      </c>
      <c r="B1047" s="4" t="s">
        <v>1327</v>
      </c>
      <c r="C1047" s="5" t="str">
        <f>IFERROR(__xludf.DUMMYFUNCTION("GOOGLETRANSLATE(B1047,""en"",""fr"")"),"Un homme monte une poutre devant une foule.")</f>
        <v>Un homme monte une poutre devant une foule.</v>
      </c>
    </row>
    <row r="1048">
      <c r="A1048" s="4" t="s">
        <v>1326</v>
      </c>
      <c r="B1048" s="4" t="s">
        <v>1328</v>
      </c>
      <c r="C1048" s="5" t="str">
        <f>IFERROR(__xludf.DUMMYFUNCTION("GOOGLETRANSLATE(B1048,""en"",""fr"")"),"La gymnaste commence à tomber, soulever, tenir et tourner en rond sur les feux de route pour la foule.")</f>
        <v>La gymnaste commence à tomber, soulever, tenir et tourner en rond sur les feux de route pour la foule.</v>
      </c>
    </row>
    <row r="1049">
      <c r="A1049" s="4" t="s">
        <v>1326</v>
      </c>
      <c r="B1049" s="4" t="s">
        <v>1329</v>
      </c>
      <c r="C1049" s="5" t="str">
        <f>IFERROR(__xludf.DUMMYFUNCTION("GOOGLETRANSLATE(B1049,""en"",""fr"")"),"Il démonte gracieusement, levant les bras vers la foule avant de s'éloigner.")</f>
        <v>Il démonte gracieusement, levant les bras vers la foule avant de s'éloigner.</v>
      </c>
    </row>
    <row r="1050">
      <c r="A1050" s="4" t="s">
        <v>1330</v>
      </c>
      <c r="B1050" s="6" t="s">
        <v>1331</v>
      </c>
      <c r="C1050" s="5" t="str">
        <f>IFERROR(__xludf.DUMMYFUNCTION("GOOGLETRANSLATE(B1050,""en"",""fr"")"),"Plusieurs jeunes, parlent et rient en se tenant autour d'une table recouverte de canettes de bière et de tasses en plastique bleu.")</f>
        <v>Plusieurs jeunes, parlent et rient en se tenant autour d'une table recouverte de canettes de bière et de tasses en plastique bleu.</v>
      </c>
    </row>
    <row r="1051">
      <c r="A1051" s="4" t="s">
        <v>1330</v>
      </c>
      <c r="B1051" s="6" t="s">
        <v>1332</v>
      </c>
      <c r="C1051" s="5" t="str">
        <f>IFERROR(__xludf.DUMMYFUNCTION("GOOGLETRANSLATE(B1051,""en"",""fr"")"),"Un jeune homme se tient autour d'une table dans une pièce en parlant à deux femmes et quelques autres hommes, riant parfois et souriant.")</f>
        <v>Un jeune homme se tient autour d'une table dans une pièce en parlant à deux femmes et quelques autres hommes, riant parfois et souriant.</v>
      </c>
    </row>
    <row r="1052">
      <c r="A1052" s="4" t="s">
        <v>1330</v>
      </c>
      <c r="B1052" s="6" t="s">
        <v>1333</v>
      </c>
      <c r="C1052" s="5" t="str">
        <f>IFERROR(__xludf.DUMMYFUNCTION("GOOGLETRANSLATE(B1052,""en"",""fr"")"),"Une petite boule blanche est jetée à travers la table alors que les gens tentent de jeter les balles dans les tasses bleues de l'autre côté de la table.")</f>
        <v>Une petite boule blanche est jetée à travers la table alors que les gens tentent de jeter les balles dans les tasses bleues de l'autre côté de la table.</v>
      </c>
    </row>
    <row r="1053">
      <c r="A1053" s="4" t="s">
        <v>1330</v>
      </c>
      <c r="B1053" s="6" t="s">
        <v>1334</v>
      </c>
      <c r="C1053" s="5" t="str">
        <f>IFERROR(__xludf.DUMMYFUNCTION("GOOGLETRANSLATE(B1053,""en"",""fr"")"),"Dans les derniers instants du clip, une balle vole à travers la table et les hommes réagissent de manière triomphante jetant les bras en l'air pour célébrer.")</f>
        <v>Dans les derniers instants du clip, une balle vole à travers la table et les hommes réagissent de manière triomphante jetant les bras en l'air pour célébrer.</v>
      </c>
    </row>
    <row r="1054">
      <c r="A1054" s="4" t="s">
        <v>1335</v>
      </c>
      <c r="B1054" s="4" t="s">
        <v>1336</v>
      </c>
      <c r="C1054" s="5" t="str">
        <f>IFERROR(__xludf.DUMMYFUNCTION("GOOGLETRANSLATE(B1054,""en"",""fr"")"),"Un groupe de jeunes hommes pose et gaffait devant une table pleine de tasses rouges.")</f>
        <v>Un groupe de jeunes hommes pose et gaffait devant une table pleine de tasses rouges.</v>
      </c>
    </row>
    <row r="1055">
      <c r="A1055" s="4" t="s">
        <v>1335</v>
      </c>
      <c r="B1055" s="4" t="s">
        <v>1337</v>
      </c>
      <c r="C1055" s="5" t="str">
        <f>IFERROR(__xludf.DUMMYFUNCTION("GOOGLETRANSLATE(B1055,""en"",""fr"")"),"Un jeune homme en noir met deux lunettes de tir sur la table.")</f>
        <v>Un jeune homme en noir met deux lunettes de tir sur la table.</v>
      </c>
    </row>
    <row r="1056">
      <c r="A1056" s="4" t="s">
        <v>1335</v>
      </c>
      <c r="B1056" s="4" t="s">
        <v>1338</v>
      </c>
      <c r="C1056" s="5" t="str">
        <f>IFERROR(__xludf.DUMMYFUNCTION("GOOGLETRANSLATE(B1056,""en"",""fr"")"),"Un autre groupe de jeunes hommes est assis en chaises à l'extérieur.")</f>
        <v>Un autre groupe de jeunes hommes est assis en chaises à l'extérieur.</v>
      </c>
    </row>
    <row r="1057">
      <c r="A1057" s="4" t="s">
        <v>1335</v>
      </c>
      <c r="B1057" s="6" t="s">
        <v>1339</v>
      </c>
      <c r="C1057" s="5" t="str">
        <f>IFERROR(__xludf.DUMMYFUNCTION("GOOGLETRANSLATE(B1057,""en"",""fr"")"),"Un jeune homme en gris fait rebondir une balle sur la table et dans l'une des tasses et célèbre avec le jeune homme à côté de lui.")</f>
        <v>Un jeune homme en gris fait rebondir une balle sur la table et dans l'une des tasses et célèbre avec le jeune homme à côté de lui.</v>
      </c>
    </row>
    <row r="1058">
      <c r="A1058" s="4" t="s">
        <v>1335</v>
      </c>
      <c r="B1058" s="4" t="s">
        <v>1340</v>
      </c>
      <c r="C1058" s="5" t="str">
        <f>IFERROR(__xludf.DUMMYFUNCTION("GOOGLETRANSLATE(B1058,""en"",""fr"")"),"Un jeune homme en noir rebondit une balle vers les tasses mais manque.")</f>
        <v>Un jeune homme en noir rebondit une balle vers les tasses mais manque.</v>
      </c>
    </row>
    <row r="1059">
      <c r="A1059" s="4" t="s">
        <v>1335</v>
      </c>
      <c r="B1059" s="4" t="s">
        <v>1341</v>
      </c>
      <c r="C1059" s="5" t="str">
        <f>IFERROR(__xludf.DUMMYFUNCTION("GOOGLETRANSLATE(B1059,""en"",""fr"")"),"Un autre homme tient sa main à côté des tasses.")</f>
        <v>Un autre homme tient sa main à côté des tasses.</v>
      </c>
    </row>
    <row r="1060">
      <c r="A1060" s="4" t="s">
        <v>1335</v>
      </c>
      <c r="B1060" s="6" t="s">
        <v>1342</v>
      </c>
      <c r="C1060" s="5" t="str">
        <f>IFERROR(__xludf.DUMMYFUNCTION("GOOGLETRANSLATE(B1060,""en"",""fr"")"),"Les deux hommes qui ont rebondi les balles sur les tasses tintent les verres de tir ensemble puis boivent le coup.")</f>
        <v>Les deux hommes qui ont rebondi les balles sur les tasses tintent les verres de tir ensemble puis boivent le coup.</v>
      </c>
    </row>
    <row r="1061">
      <c r="A1061" s="4" t="s">
        <v>1335</v>
      </c>
      <c r="B1061" s="4" t="s">
        <v>1343</v>
      </c>
      <c r="C1061" s="5" t="str">
        <f>IFERROR(__xludf.DUMMYFUNCTION("GOOGLETRANSLATE(B1061,""en"",""fr"")"),"Un jeune homme en noir tape l'arrière du jeune homme en gris.")</f>
        <v>Un jeune homme en noir tape l'arrière du jeune homme en gris.</v>
      </c>
    </row>
    <row r="1062">
      <c r="A1062" s="4" t="s">
        <v>1335</v>
      </c>
      <c r="B1062" s="6" t="s">
        <v>1344</v>
      </c>
      <c r="C1062" s="5" t="str">
        <f>IFERROR(__xludf.DUMMYFUNCTION("GOOGLETRANSLATE(B1062,""en"",""fr"")"),"Le jeune homme en gris boit de l'une des tasses rouges sur la table tandis que le jeune homme en noir fait semblant de le frapper.")</f>
        <v>Le jeune homme en gris boit de l'une des tasses rouges sur la table tandis que le jeune homme en noir fait semblant de le frapper.</v>
      </c>
    </row>
    <row r="1063">
      <c r="A1063" s="4" t="s">
        <v>1335</v>
      </c>
      <c r="B1063" s="4" t="s">
        <v>1345</v>
      </c>
      <c r="C1063" s="5" t="str">
        <f>IFERROR(__xludf.DUMMYFUNCTION("GOOGLETRANSLATE(B1063,""en"",""fr"")"),"Un autre jeune homme réorganise les tasses restantes sur la table.")</f>
        <v>Un autre jeune homme réorganise les tasses restantes sur la table.</v>
      </c>
    </row>
    <row r="1064">
      <c r="A1064" s="4" t="s">
        <v>1335</v>
      </c>
      <c r="B1064" s="4" t="s">
        <v>1346</v>
      </c>
      <c r="C1064" s="5" t="str">
        <f>IFERROR(__xludf.DUMMYFUNCTION("GOOGLETRANSLATE(B1064,""en"",""fr"")"),"Le jeune homme en gris et le jeune homme en coup de poing noir.")</f>
        <v>Le jeune homme en gris et le jeune homme en coup de poing noir.</v>
      </c>
    </row>
    <row r="1065">
      <c r="A1065" s="4" t="s">
        <v>1347</v>
      </c>
      <c r="B1065" s="4" t="s">
        <v>1348</v>
      </c>
      <c r="C1065" s="5" t="str">
        <f>IFERROR(__xludf.DUMMYFUNCTION("GOOGLETRANSLATE(B1065,""en"",""fr"")"),"Un jeu de volleyball se joue entre l'équipe bleue et jaune.")</f>
        <v>Un jeu de volleyball se joue entre l'équipe bleue et jaune.</v>
      </c>
    </row>
    <row r="1066">
      <c r="A1066" s="4" t="s">
        <v>1347</v>
      </c>
      <c r="B1066" s="6" t="s">
        <v>1349</v>
      </c>
      <c r="C1066" s="5" t="str">
        <f>IFERROR(__xludf.DUMMYFUNCTION("GOOGLETRANSLATE(B1066,""en"",""fr"")"),"L'équipe jaune sert le ballon et elle est frappée en continu jusqu'à ce que l'équipe jaune marque un point.")</f>
        <v>L'équipe jaune sert le ballon et elle est frappée en continu jusqu'à ce que l'équipe jaune marque un point.</v>
      </c>
    </row>
    <row r="1067">
      <c r="A1067" s="4" t="s">
        <v>1347</v>
      </c>
      <c r="B1067" s="4" t="s">
        <v>1350</v>
      </c>
      <c r="C1067" s="5" t="str">
        <f>IFERROR(__xludf.DUMMYFUNCTION("GOOGLETRANSLATE(B1067,""en"",""fr"")"),"Un joueur de l'équipe jaune tombe et les joueurs de chaque équipe l'aident.")</f>
        <v>Un joueur de l'équipe jaune tombe et les joueurs de chaque équipe l'aident.</v>
      </c>
    </row>
    <row r="1068">
      <c r="A1068" s="4" t="s">
        <v>1347</v>
      </c>
      <c r="B1068" s="4" t="s">
        <v>1351</v>
      </c>
      <c r="C1068" s="5" t="str">
        <f>IFERROR(__xludf.DUMMYFUNCTION("GOOGLETRANSLATE(B1068,""en"",""fr"")"),"Ils enlèvent sa chaussure et sa chaussette et se massent sa jambe.")</f>
        <v>Ils enlèvent sa chaussure et sa chaussette et se massent sa jambe.</v>
      </c>
    </row>
    <row r="1069">
      <c r="A1069" s="4" t="s">
        <v>1347</v>
      </c>
      <c r="B1069" s="6" t="s">
        <v>1352</v>
      </c>
      <c r="C1069" s="5" t="str">
        <f>IFERROR(__xludf.DUMMYFUNCTION("GOOGLETRANSLATE(B1069,""en"",""fr"")"),"Deux personnes procèdent à la récupération avec l'aide d'un tiers et l'ont enlevée du terrain et l'ont déposée sur le côté pour continuer les soins.")</f>
        <v>Deux personnes procèdent à la récupération avec l'aide d'un tiers et l'ont enlevée du terrain et l'ont déposée sur le côté pour continuer les soins.</v>
      </c>
    </row>
    <row r="1070">
      <c r="A1070" s="4" t="s">
        <v>1353</v>
      </c>
      <c r="B1070" s="4" t="s">
        <v>1354</v>
      </c>
      <c r="C1070" s="5" t="str">
        <f>IFERROR(__xludf.DUMMYFUNCTION("GOOGLETRANSLATE(B1070,""en"",""fr"")"),"Un homme en chemise rouge fonctionne une machine d'exercice.")</f>
        <v>Un homme en chemise rouge fonctionne une machine d'exercice.</v>
      </c>
    </row>
    <row r="1071">
      <c r="A1071" s="4" t="s">
        <v>1353</v>
      </c>
      <c r="B1071" s="4" t="s">
        <v>1355</v>
      </c>
      <c r="C1071" s="5" t="str">
        <f>IFERROR(__xludf.DUMMYFUNCTION("GOOGLETRANSLATE(B1071,""en"",""fr"")"),"Une femme en chemise violette marche derrière lui.")</f>
        <v>Une femme en chemise violette marche derrière lui.</v>
      </c>
    </row>
    <row r="1072">
      <c r="A1072" s="4" t="s">
        <v>1353</v>
      </c>
      <c r="B1072" s="4" t="s">
        <v>1356</v>
      </c>
      <c r="C1072" s="5" t="str">
        <f>IFERROR(__xludf.DUMMYFUNCTION("GOOGLETRANSLATE(B1072,""en"",""fr"")"),"Deux personnes se parlent derrière lui.")</f>
        <v>Deux personnes se parlent derrière lui.</v>
      </c>
    </row>
    <row r="1073">
      <c r="A1073" s="4" t="s">
        <v>1357</v>
      </c>
      <c r="B1073" s="6" t="s">
        <v>1358</v>
      </c>
      <c r="C1073" s="5" t="str">
        <f>IFERROR(__xludf.DUMMYFUNCTION("GOOGLETRANSLATE(B1073,""en"",""fr"")"),"Un grand groupe de personnes est vu en tenant des drapeaux et marchant en cercle tandis que beaucoup d'autres regardent sur les côtés.")</f>
        <v>Un grand groupe de personnes est vu en tenant des drapeaux et marchant en cercle tandis que beaucoup d'autres regardent sur les côtés.</v>
      </c>
    </row>
    <row r="1074">
      <c r="A1074" s="4" t="s">
        <v>1357</v>
      </c>
      <c r="B1074" s="6" t="s">
        <v>1359</v>
      </c>
      <c r="C1074" s="5" t="str">
        <f>IFERROR(__xludf.DUMMYFUNCTION("GOOGLETRANSLATE(B1074,""en"",""fr"")"),"On voit alors deux personnes se diriger vers le cercle et mener dans un match de lutte entre les deux.")</f>
        <v>On voit alors deux personnes se diriger vers le cercle et mener dans un match de lutte entre les deux.</v>
      </c>
    </row>
    <row r="1075">
      <c r="A1075" s="4" t="s">
        <v>1357</v>
      </c>
      <c r="B1075" s="4" t="s">
        <v>1360</v>
      </c>
      <c r="C1075" s="5" t="str">
        <f>IFERROR(__xludf.DUMMYFUNCTION("GOOGLETRANSLATE(B1075,""en"",""fr"")"),"Un homme s'incline à l'autre et le vainqueur s'éloigne de la scène.")</f>
        <v>Un homme s'incline à l'autre et le vainqueur s'éloigne de la scène.</v>
      </c>
    </row>
    <row r="1076">
      <c r="A1076" s="4" t="s">
        <v>1361</v>
      </c>
      <c r="B1076" s="4" t="s">
        <v>1362</v>
      </c>
      <c r="C1076" s="5" t="str">
        <f>IFERROR(__xludf.DUMMYFUNCTION("GOOGLETRANSLATE(B1076,""en"",""fr"")"),"Il y a un homme assis dans une rue animée en ville portant un turban et fumant une cigarette.")</f>
        <v>Il y a un homme assis dans une rue animée en ville portant un turban et fumant une cigarette.</v>
      </c>
    </row>
    <row r="1077">
      <c r="A1077" s="4" t="s">
        <v>1361</v>
      </c>
      <c r="B1077" s="4" t="s">
        <v>1363</v>
      </c>
      <c r="C1077" s="5" t="str">
        <f>IFERROR(__xludf.DUMMYFUNCTION("GOOGLETRANSLATE(B1077,""en"",""fr"")"),"Il y a plusieurs personnes qui passent devant lui.")</f>
        <v>Il y a plusieurs personnes qui passent devant lui.</v>
      </c>
    </row>
    <row r="1078">
      <c r="A1078" s="4" t="s">
        <v>1361</v>
      </c>
      <c r="B1078" s="4" t="s">
        <v>1364</v>
      </c>
      <c r="C1078" s="5" t="str">
        <f>IFERROR(__xludf.DUMMYFUNCTION("GOOGLETRANSLATE(B1078,""en"",""fr"")"),"Il continue de fumer la cigarette alors qu'il inhale et expire la fumée.")</f>
        <v>Il continue de fumer la cigarette alors qu'il inhale et expire la fumée.</v>
      </c>
    </row>
    <row r="1079">
      <c r="A1079" s="4" t="s">
        <v>1361</v>
      </c>
      <c r="B1079" s="4" t="s">
        <v>1365</v>
      </c>
      <c r="C1079" s="5" t="str">
        <f>IFERROR(__xludf.DUMMYFUNCTION("GOOGLETRANSLATE(B1079,""en"",""fr"")"),"Il y a beaucoup de trafic dans la rue ainsi que de nombreuses personnes qui marchent dans la rue.")</f>
        <v>Il y a beaucoup de trafic dans la rue ainsi que de nombreuses personnes qui marchent dans la rue.</v>
      </c>
    </row>
    <row r="1080">
      <c r="A1080" s="4" t="s">
        <v>1366</v>
      </c>
      <c r="B1080" s="4" t="s">
        <v>1367</v>
      </c>
      <c r="C1080" s="5" t="str">
        <f>IFERROR(__xludf.DUMMYFUNCTION("GOOGLETRANSLATE(B1080,""en"",""fr"")"),"Deux personnes sont présentées parassiant ensemble dans l'eau de l'océan.")</f>
        <v>Deux personnes sont présentées parassiant ensemble dans l'eau de l'océan.</v>
      </c>
    </row>
    <row r="1081">
      <c r="A1081" s="4" t="s">
        <v>1366</v>
      </c>
      <c r="B1081" s="4" t="s">
        <v>1368</v>
      </c>
      <c r="C1081" s="5" t="str">
        <f>IFERROR(__xludf.DUMMYFUNCTION("GOOGLETRANSLATE(B1081,""en"",""fr"")"),"Ils bougent leurs voiles au fur et à mesure.")</f>
        <v>Ils bougent leurs voiles au fur et à mesure.</v>
      </c>
    </row>
    <row r="1082">
      <c r="A1082" s="4" t="s">
        <v>1369</v>
      </c>
      <c r="B1082" s="6" t="s">
        <v>1370</v>
      </c>
      <c r="C1082" s="5" t="str">
        <f>IFERROR(__xludf.DUMMYFUNCTION("GOOGLETRANSLATE(B1082,""en"",""fr"")"),"Deux personnes sont vues monter sur des skis derrière un bateau avec une personne ayant un enfant sur les épaules.")</f>
        <v>Deux personnes sont vues monter sur des skis derrière un bateau avec une personne ayant un enfant sur les épaules.</v>
      </c>
    </row>
    <row r="1083">
      <c r="A1083" s="4" t="s">
        <v>1369</v>
      </c>
      <c r="B1083" s="6" t="s">
        <v>1371</v>
      </c>
      <c r="C1083" s="5" t="str">
        <f>IFERROR(__xludf.DUMMYFUNCTION("GOOGLETRANSLATE(B1083,""en"",""fr"")"),"Les gens s'accrochent tous les uns aux autres pendant que le jeune enfant grimpe sur eux et tombe à la fin.")</f>
        <v>Les gens s'accrochent tous les uns aux autres pendant que le jeune enfant grimpe sur eux et tombe à la fin.</v>
      </c>
    </row>
    <row r="1084">
      <c r="A1084" s="4" t="s">
        <v>1372</v>
      </c>
      <c r="B1084" s="4" t="s">
        <v>1373</v>
      </c>
      <c r="C1084" s="5" t="str">
        <f>IFERROR(__xludf.DUMMYFUNCTION("GOOGLETRANSLATE(B1084,""en"",""fr"")"),"Nous voyons un écran d'ouverture et un homme court et fait un saut en hauteur à quinze pieds.")</f>
        <v>Nous voyons un écran d'ouverture et un homme court et fait un saut en hauteur à quinze pieds.</v>
      </c>
    </row>
    <row r="1085">
      <c r="A1085" s="4" t="s">
        <v>1372</v>
      </c>
      <c r="B1085" s="4" t="s">
        <v>1374</v>
      </c>
      <c r="C1085" s="5" t="str">
        <f>IFERROR(__xludf.DUMMYFUNCTION("GOOGLETRANSLATE(B1085,""en"",""fr"")"),"Nous voyons un homme sauter le saut en hauteur sur une piste à différentes hauteurs avec beaucoup de scènes coupées.")</f>
        <v>Nous voyons un homme sauter le saut en hauteur sur une piste à différentes hauteurs avec beaucoup de scènes coupées.</v>
      </c>
    </row>
    <row r="1086">
      <c r="A1086" s="4" t="s">
        <v>1372</v>
      </c>
      <c r="B1086" s="4" t="s">
        <v>1375</v>
      </c>
      <c r="C1086" s="5" t="str">
        <f>IFERROR(__xludf.DUMMYFUNCTION("GOOGLETRANSLATE(B1086,""en"",""fr"")"),"Nous voyons dix-sept ans et un calme de l'homme.")</f>
        <v>Nous voyons dix-sept ans et un calme de l'homme.</v>
      </c>
    </row>
    <row r="1087">
      <c r="A1087" s="4" t="s">
        <v>1372</v>
      </c>
      <c r="B1087" s="4" t="s">
        <v>1376</v>
      </c>
      <c r="C1087" s="5" t="str">
        <f>IFERROR(__xludf.DUMMYFUNCTION("GOOGLETRANSLATE(B1087,""en"",""fr"")"),"Nous voyons quinze neuf défilements à travers l'écran.")</f>
        <v>Nous voyons quinze neuf défilements à travers l'écran.</v>
      </c>
    </row>
    <row r="1088">
      <c r="A1088" s="4" t="s">
        <v>1372</v>
      </c>
      <c r="B1088" s="4" t="s">
        <v>1377</v>
      </c>
      <c r="C1088" s="5" t="str">
        <f>IFERROR(__xludf.DUMMYFUNCTION("GOOGLETRANSLATE(B1088,""en"",""fr"")"),"Nous voyons une série de l'image de l'homme et de seize six.")</f>
        <v>Nous voyons une série de l'image de l'homme et de seize six.</v>
      </c>
    </row>
    <row r="1089">
      <c r="A1089" s="4" t="s">
        <v>1372</v>
      </c>
      <c r="B1089" s="4" t="s">
        <v>1378</v>
      </c>
      <c r="C1089" s="5" t="str">
        <f>IFERROR(__xludf.DUMMYFUNCTION("GOOGLETRANSLATE(B1089,""en"",""fr"")"),"Dix-sept deux rouleaux à travers l'écran.")</f>
        <v>Dix-sept deux rouleaux à travers l'écran.</v>
      </c>
    </row>
    <row r="1090">
      <c r="A1090" s="4" t="s">
        <v>1372</v>
      </c>
      <c r="B1090" s="4" t="s">
        <v>1379</v>
      </c>
      <c r="C1090" s="5" t="str">
        <f>IFERROR(__xludf.DUMMYFUNCTION("GOOGLETRANSLATE(B1090,""en"",""fr"")"),"Nous voyons dix-sept neuf défilements à travers l'écran.")</f>
        <v>Nous voyons dix-sept neuf défilements à travers l'écran.</v>
      </c>
    </row>
    <row r="1091">
      <c r="A1091" s="4" t="s">
        <v>1372</v>
      </c>
      <c r="B1091" s="4" t="s">
        <v>1380</v>
      </c>
      <c r="C1091" s="5" t="str">
        <f>IFERROR(__xludf.DUMMYFUNCTION("GOOGLETRANSLATE(B1091,""en"",""fr"")"),"Nous voyons ensuite les crédits de fin.")</f>
        <v>Nous voyons ensuite les crédits de fin.</v>
      </c>
    </row>
    <row r="1092">
      <c r="A1092" s="4" t="s">
        <v>1381</v>
      </c>
      <c r="B1092" s="4" t="s">
        <v>1382</v>
      </c>
      <c r="C1092" s="5" t="str">
        <f>IFERROR(__xludf.DUMMYFUNCTION("GOOGLETRANSLATE(B1092,""en"",""fr"")"),"Un homme dans une toge patine sur des rollerlades dans un parking.")</f>
        <v>Un homme dans une toge patine sur des rollerlades dans un parking.</v>
      </c>
    </row>
    <row r="1093">
      <c r="A1093" s="4" t="s">
        <v>1381</v>
      </c>
      <c r="B1093" s="4" t="s">
        <v>1383</v>
      </c>
      <c r="C1093" s="5" t="str">
        <f>IFERROR(__xludf.DUMMYFUNCTION("GOOGLETRANSLATE(B1093,""en"",""fr"")"),"Une personne tenant une caméra est debout sur le côté en regardant l'homme sur les rollers.")</f>
        <v>Une personne tenant une caméra est debout sur le côté en regardant l'homme sur les rollers.</v>
      </c>
    </row>
    <row r="1094">
      <c r="A1094" s="4" t="s">
        <v>1384</v>
      </c>
      <c r="B1094" s="4" t="s">
        <v>1385</v>
      </c>
      <c r="C1094" s="5" t="str">
        <f>IFERROR(__xludf.DUMMYFUNCTION("GOOGLETRANSLATE(B1094,""en"",""fr"")"),"Un petit enfant est vu en regardant la caméra tenant une tasse de café.")</f>
        <v>Un petit enfant est vu en regardant la caméra tenant une tasse de café.</v>
      </c>
    </row>
    <row r="1095">
      <c r="A1095" s="4" t="s">
        <v>1384</v>
      </c>
      <c r="B1095" s="4" t="s">
        <v>1386</v>
      </c>
      <c r="C1095" s="5" t="str">
        <f>IFERROR(__xludf.DUMMYFUNCTION("GOOGLETRANSLATE(B1095,""en"",""fr"")"),"La fille prend un verre de la tasse et la remet.")</f>
        <v>La fille prend un verre de la tasse et la remet.</v>
      </c>
    </row>
    <row r="1096">
      <c r="A1096" s="4" t="s">
        <v>1384</v>
      </c>
      <c r="B1096" s="4" t="s">
        <v>1387</v>
      </c>
      <c r="C1096" s="5" t="str">
        <f>IFERROR(__xludf.DUMMYFUNCTION("GOOGLETRANSLATE(B1096,""en"",""fr"")"),"Elle continue de boire dans le conteneur et admire la caméra.")</f>
        <v>Elle continue de boire dans le conteneur et admire la caméra.</v>
      </c>
    </row>
    <row r="1097">
      <c r="A1097" s="4" t="s">
        <v>1388</v>
      </c>
      <c r="B1097" s="4" t="s">
        <v>1389</v>
      </c>
      <c r="C1097" s="5" t="str">
        <f>IFERROR(__xludf.DUMMYFUNCTION("GOOGLETRANSLATE(B1097,""en"",""fr"")"),"Deux hommes sont vus debout devant un jeu de fléchettes et commencent à jeter des fléchettes sur le plateau.")</f>
        <v>Deux hommes sont vus debout devant un jeu de fléchettes et commencent à jeter des fléchettes sur le plateau.</v>
      </c>
    </row>
    <row r="1098">
      <c r="A1098" s="4" t="s">
        <v>1388</v>
      </c>
      <c r="B1098" s="4" t="s">
        <v>1390</v>
      </c>
      <c r="C1098" s="5" t="str">
        <f>IFERROR(__xludf.DUMMYFUNCTION("GOOGLETRANSLATE(B1098,""en"",""fr"")"),"Les hommes regardent en arrière et rient les uns avec les autres tout en jouant.")</f>
        <v>Les hommes regardent en arrière et rient les uns avec les autres tout en jouant.</v>
      </c>
    </row>
    <row r="1099">
      <c r="A1099" s="4" t="s">
        <v>1388</v>
      </c>
      <c r="B1099" s="4" t="s">
        <v>1391</v>
      </c>
      <c r="C1099" s="5" t="str">
        <f>IFERROR(__xludf.DUMMYFUNCTION("GOOGLETRANSLATE(B1099,""en"",""fr"")"),"Le continue de jouer avec les autres autour d'eux et de terminer en serrant la main avec un autre.")</f>
        <v>Le continue de jouer avec les autres autour d'eux et de terminer en serrant la main avec un autre.</v>
      </c>
    </row>
    <row r="1100">
      <c r="A1100" s="4" t="s">
        <v>1392</v>
      </c>
      <c r="B1100" s="4" t="s">
        <v>1393</v>
      </c>
      <c r="C1100" s="5" t="str">
        <f>IFERROR(__xludf.DUMMYFUNCTION("GOOGLETRANSLATE(B1100,""en"",""fr"")"),"La femme en uniforme noir a lancé la boule de javelot.")</f>
        <v>La femme en uniforme noir a lancé la boule de javelot.</v>
      </c>
    </row>
    <row r="1101">
      <c r="A1101" s="4" t="s">
        <v>1392</v>
      </c>
      <c r="B1101" s="4" t="s">
        <v>1394</v>
      </c>
      <c r="C1101" s="5" t="str">
        <f>IFERROR(__xludf.DUMMYFUNCTION("GOOGLETRANSLATE(B1101,""en"",""fr"")"),"La petite femme avec une chemise jaune et des manches noires a lancé le ballon.")</f>
        <v>La petite femme avec une chemise jaune et des manches noires a lancé le ballon.</v>
      </c>
    </row>
    <row r="1102">
      <c r="A1102" s="4" t="s">
        <v>1392</v>
      </c>
      <c r="B1102" s="4" t="s">
        <v>1395</v>
      </c>
      <c r="C1102" s="5" t="str">
        <f>IFERROR(__xludf.DUMMYFUNCTION("GOOGLETRANSLATE(B1102,""en"",""fr"")"),"La femme en chemise blanche et un pantalon noir s'étendait un peu puis jeta le ballon.")</f>
        <v>La femme en chemise blanche et un pantalon noir s'étendait un peu puis jeta le ballon.</v>
      </c>
    </row>
    <row r="1103">
      <c r="A1103" s="4" t="s">
        <v>1392</v>
      </c>
      <c r="B1103" s="6" t="s">
        <v>1396</v>
      </c>
      <c r="C1103" s="5" t="str">
        <f>IFERROR(__xludf.DUMMYFUNCTION("GOOGLETRANSLATE(B1103,""en"",""fr"")"),"Les athlètes un par un ont lancé la balle de javelot tandis que sur les côtés sont des gens qui mesurent jusqu'où il a été lancé.")</f>
        <v>Les athlètes un par un ont lancé la balle de javelot tandis que sur les côtés sont des gens qui mesurent jusqu'où il a été lancé.</v>
      </c>
    </row>
    <row r="1104">
      <c r="A1104" s="4" t="s">
        <v>1397</v>
      </c>
      <c r="B1104" s="4" t="s">
        <v>1398</v>
      </c>
      <c r="C1104" s="5" t="str">
        <f>IFERROR(__xludf.DUMMYFUNCTION("GOOGLETRANSLATE(B1104,""en"",""fr"")"),"Il y a un homme qui sort de son garage avec un souffleur de feuilles électriques.")</f>
        <v>Il y a un homme qui sort de son garage avec un souffleur de feuilles électriques.</v>
      </c>
    </row>
    <row r="1105">
      <c r="A1105" s="4" t="s">
        <v>1397</v>
      </c>
      <c r="B1105" s="4" t="s">
        <v>1399</v>
      </c>
      <c r="C1105" s="5" t="str">
        <f>IFERROR(__xludf.DUMMYFUNCTION("GOOGLETRANSLATE(B1105,""en"",""fr"")"),"Il commence à souffler les feuilles de sa cour pour le nettoyage d'automne.")</f>
        <v>Il commence à souffler les feuilles de sa cour pour le nettoyage d'automne.</v>
      </c>
    </row>
    <row r="1106">
      <c r="A1106" s="4" t="s">
        <v>1397</v>
      </c>
      <c r="B1106" s="4" t="s">
        <v>1400</v>
      </c>
      <c r="C1106" s="5" t="str">
        <f>IFERROR(__xludf.DUMMYFUNCTION("GOOGLETRANSLATE(B1106,""en"",""fr"")"),"Il se promène dans sa cour avec le ventilateur alors qu'il nettoie les feuilles.")</f>
        <v>Il se promène dans sa cour avec le ventilateur alors qu'il nettoie les feuilles.</v>
      </c>
    </row>
    <row r="1107">
      <c r="A1107" s="4" t="s">
        <v>1401</v>
      </c>
      <c r="B1107" s="4" t="s">
        <v>1402</v>
      </c>
      <c r="C1107" s="5" t="str">
        <f>IFERROR(__xludf.DUMMYFUNCTION("GOOGLETRANSLATE(B1107,""en"",""fr"")"),"Un plongeur de plongée tient un rocher alors qu'il jette un signe de paix dans l'air.")</f>
        <v>Un plongeur de plongée tient un rocher alors qu'il jette un signe de paix dans l'air.</v>
      </c>
    </row>
    <row r="1108">
      <c r="A1108" s="4" t="s">
        <v>1401</v>
      </c>
      <c r="B1108" s="4" t="s">
        <v>1403</v>
      </c>
      <c r="C1108" s="5" t="str">
        <f>IFERROR(__xludf.DUMMYFUNCTION("GOOGLETRANSLATE(B1108,""en"",""fr"")"),"L'homme lâche le rocher et met en place deux panneaux de paix dans les airs.")</f>
        <v>L'homme lâche le rocher et met en place deux panneaux de paix dans les airs.</v>
      </c>
    </row>
    <row r="1109">
      <c r="A1109" s="4" t="s">
        <v>1401</v>
      </c>
      <c r="B1109" s="4" t="s">
        <v>1404</v>
      </c>
      <c r="C1109" s="5" t="str">
        <f>IFERROR(__xludf.DUMMYFUNCTION("GOOGLETRANSLATE(B1109,""en"",""fr"")"),"L'homme répare son tuba et ses lunettes.")</f>
        <v>L'homme répare son tuba et ses lunettes.</v>
      </c>
    </row>
    <row r="1110">
      <c r="A1110" s="4" t="s">
        <v>1405</v>
      </c>
      <c r="B1110" s="4" t="s">
        <v>1406</v>
      </c>
      <c r="C1110" s="5" t="str">
        <f>IFERROR(__xludf.DUMMYFUNCTION("GOOGLETRANSLATE(B1110,""en"",""fr"")"),"Les lumières bleues allument une scène.")</f>
        <v>Les lumières bleues allument une scène.</v>
      </c>
    </row>
    <row r="1111">
      <c r="A1111" s="4" t="s">
        <v>1405</v>
      </c>
      <c r="B1111" s="4" t="s">
        <v>1407</v>
      </c>
      <c r="C1111" s="5" t="str">
        <f>IFERROR(__xludf.DUMMYFUNCTION("GOOGLETRANSLATE(B1111,""en"",""fr"")"),"La silhouette d'un homme est visible et nous voyons l'arène en lumière bleue.")</f>
        <v>La silhouette d'un homme est visible et nous voyons l'arène en lumière bleue.</v>
      </c>
    </row>
    <row r="1112">
      <c r="A1112" s="4" t="s">
        <v>1405</v>
      </c>
      <c r="B1112" s="4" t="s">
        <v>1408</v>
      </c>
      <c r="C1112" s="5" t="str">
        <f>IFERROR(__xludf.DUMMYFUNCTION("GOOGLETRANSLATE(B1112,""en"",""fr"")"),"L'homme sur la scène des pièces allumées dans un feu rouge.")</f>
        <v>L'homme sur la scène des pièces allumées dans un feu rouge.</v>
      </c>
    </row>
    <row r="1113">
      <c r="A1113" s="4" t="s">
        <v>1405</v>
      </c>
      <c r="B1113" s="4" t="s">
        <v>1409</v>
      </c>
      <c r="C1113" s="5" t="str">
        <f>IFERROR(__xludf.DUMMYFUNCTION("GOOGLETRANSLATE(B1113,""en"",""fr"")"),"Nous voyons l'arène en bleu et le saxophone en rouge.")</f>
        <v>Nous voyons l'arène en bleu et le saxophone en rouge.</v>
      </c>
    </row>
    <row r="1114">
      <c r="A1114" s="4" t="s">
        <v>1405</v>
      </c>
      <c r="B1114" s="4" t="s">
        <v>1410</v>
      </c>
      <c r="C1114" s="5" t="str">
        <f>IFERROR(__xludf.DUMMYFUNCTION("GOOGLETRANSLATE(B1114,""en"",""fr"")"),"Nous voyons un autre membre du groupe.")</f>
        <v>Nous voyons un autre membre du groupe.</v>
      </c>
    </row>
    <row r="1115">
      <c r="A1115" s="4" t="s">
        <v>1405</v>
      </c>
      <c r="B1115" s="4" t="s">
        <v>1411</v>
      </c>
      <c r="C1115" s="5" t="str">
        <f>IFERROR(__xludf.DUMMYFUNCTION("GOOGLETRANSLATE(B1115,""en"",""fr"")"),"Nous voyons l'homme sur le saxophone jouer de près et loin.")</f>
        <v>Nous voyons l'homme sur le saxophone jouer de près et loin.</v>
      </c>
    </row>
    <row r="1116">
      <c r="A1116" s="4" t="s">
        <v>1405</v>
      </c>
      <c r="B1116" s="4" t="s">
        <v>1412</v>
      </c>
      <c r="C1116" s="5" t="str">
        <f>IFERROR(__xludf.DUMMYFUNCTION("GOOGLETRANSLATE(B1116,""en"",""fr"")"),"Nous voyons toute l'arène et l'homme qui joue près.")</f>
        <v>Nous voyons toute l'arène et l'homme qui joue près.</v>
      </c>
    </row>
    <row r="1117">
      <c r="A1117" s="4" t="s">
        <v>1405</v>
      </c>
      <c r="B1117" s="4" t="s">
        <v>1413</v>
      </c>
      <c r="C1117" s="5" t="str">
        <f>IFERROR(__xludf.DUMMYFUNCTION("GOOGLETRANSLATE(B1117,""en"",""fr"")"),"Nous pana de l'homme au public.")</f>
        <v>Nous pana de l'homme au public.</v>
      </c>
    </row>
    <row r="1118">
      <c r="A1118" s="4" t="s">
        <v>1414</v>
      </c>
      <c r="B1118" s="4" t="s">
        <v>1415</v>
      </c>
      <c r="C1118" s="5" t="str">
        <f>IFERROR(__xludf.DUMMYFUNCTION("GOOGLETRANSLATE(B1118,""en"",""fr"")"),"Une personne est vue nager les profondeurs d'un plancher de piscine.")</f>
        <v>Une personne est vue nager les profondeurs d'un plancher de piscine.</v>
      </c>
    </row>
    <row r="1119">
      <c r="A1119" s="4" t="s">
        <v>1414</v>
      </c>
      <c r="B1119" s="4" t="s">
        <v>1416</v>
      </c>
      <c r="C1119" s="5" t="str">
        <f>IFERROR(__xludf.DUMMYFUNCTION("GOOGLETRANSLATE(B1119,""en"",""fr"")"),"L'homme arrive devant la caméra, son visage se manifeste.")</f>
        <v>L'homme arrive devant la caméra, son visage se manifeste.</v>
      </c>
    </row>
    <row r="1120">
      <c r="A1120" s="4" t="s">
        <v>1414</v>
      </c>
      <c r="B1120" s="4" t="s">
        <v>1417</v>
      </c>
      <c r="C1120" s="5" t="str">
        <f>IFERROR(__xludf.DUMMYFUNCTION("GOOGLETRANSLATE(B1120,""en"",""fr"")"),"Il nage ensuite lentement vers la surface.")</f>
        <v>Il nage ensuite lentement vers la surface.</v>
      </c>
    </row>
    <row r="1121">
      <c r="A1121" s="4" t="s">
        <v>1418</v>
      </c>
      <c r="B1121" s="4" t="s">
        <v>1419</v>
      </c>
      <c r="C1121" s="5" t="str">
        <f>IFERROR(__xludf.DUMMYFUNCTION("GOOGLETRANSLATE(B1121,""en"",""fr"")"),"Un ensemble d'instructions est vu avec des diagrammes.")</f>
        <v>Un ensemble d'instructions est vu avec des diagrammes.</v>
      </c>
    </row>
    <row r="1122">
      <c r="A1122" s="4" t="s">
        <v>1418</v>
      </c>
      <c r="B1122" s="4" t="s">
        <v>1420</v>
      </c>
      <c r="C1122" s="5" t="str">
        <f>IFERROR(__xludf.DUMMYFUNCTION("GOOGLETRANSLATE(B1122,""en"",""fr"")"),"Un homme utilise un outil pour réparer les liens individuels d'une chaîne de vélos.")</f>
        <v>Un homme utilise un outil pour réparer les liens individuels d'une chaîne de vélos.</v>
      </c>
    </row>
    <row r="1123">
      <c r="A1123" s="4" t="s">
        <v>1418</v>
      </c>
      <c r="B1123" s="4" t="s">
        <v>1421</v>
      </c>
      <c r="C1123" s="5" t="str">
        <f>IFERROR(__xludf.DUMMYFUNCTION("GOOGLETRANSLATE(B1123,""en"",""fr"")"),"La chaîne de vélos est fixée ensemble sur les engrenages de vélo à l'aide d'un outil spécialisé.")</f>
        <v>La chaîne de vélos est fixée ensemble sur les engrenages de vélo à l'aide d'un outil spécialisé.</v>
      </c>
    </row>
    <row r="1124">
      <c r="A1124" s="4" t="s">
        <v>1418</v>
      </c>
      <c r="B1124" s="4" t="s">
        <v>1422</v>
      </c>
      <c r="C1124" s="5" t="str">
        <f>IFERROR(__xludf.DUMMYFUNCTION("GOOGLETRANSLATE(B1124,""en"",""fr"")"),"La personne inspecte la chaîne nouvellement remplacée à la main.")</f>
        <v>La personne inspecte la chaîne nouvellement remplacée à la main.</v>
      </c>
    </row>
    <row r="1125">
      <c r="A1125" s="4" t="s">
        <v>1418</v>
      </c>
      <c r="B1125" s="6" t="s">
        <v>1423</v>
      </c>
      <c r="C1125" s="5" t="str">
        <f>IFERROR(__xludf.DUMMYFUNCTION("GOOGLETRANSLATE(B1125,""en"",""fr"")"),"La personne pointe vers différentes zones sur le vélo en train de se préparer avec le vélo sur le rack une fois le travail terminé.")</f>
        <v>La personne pointe vers différentes zones sur le vélo en train de se préparer avec le vélo sur le rack une fois le travail terminé.</v>
      </c>
    </row>
    <row r="1126">
      <c r="A1126" s="4" t="s">
        <v>1424</v>
      </c>
      <c r="B1126" s="4" t="s">
        <v>1425</v>
      </c>
      <c r="C1126" s="5" t="str">
        <f>IFERROR(__xludf.DUMMYFUNCTION("GOOGLETRANSLATE(B1126,""en"",""fr"")"),"Un chef est vu parler à la caméra en tenant un couteau ainsi qu'un aiguillon.")</f>
        <v>Un chef est vu parler à la caméra en tenant un couteau ainsi qu'un aiguillon.</v>
      </c>
    </row>
    <row r="1127">
      <c r="A1127" s="4" t="s">
        <v>1424</v>
      </c>
      <c r="B1127" s="4" t="s">
        <v>1426</v>
      </c>
      <c r="C1127" s="5" t="str">
        <f>IFERROR(__xludf.DUMMYFUNCTION("GOOGLETRANSLATE(B1127,""en"",""fr"")"),"L'homme aiguise ensuite le couteau sur une planche sur la table ainsi que sur l'affûte.")</f>
        <v>L'homme aiguise ensuite le couteau sur une planche sur la table ainsi que sur l'affûte.</v>
      </c>
    </row>
    <row r="1128">
      <c r="A1128" s="4" t="s">
        <v>1427</v>
      </c>
      <c r="B1128" s="6" t="s">
        <v>1428</v>
      </c>
      <c r="C1128" s="5" t="str">
        <f>IFERROR(__xludf.DUMMYFUNCTION("GOOGLETRANSLATE(B1128,""en"",""fr"")"),"Une jeune femme aux yeux bandés balance un bâton sauvagement alors qu'un homme tient une piñata au-dessus de sa tête sur une ficelle lors d'une fête d'anniversaire.")</f>
        <v>Une jeune femme aux yeux bandés balance un bâton sauvagement alors qu'un homme tient une piñata au-dessus de sa tête sur une ficelle lors d'une fête d'anniversaire.</v>
      </c>
    </row>
    <row r="1129">
      <c r="A1129" s="4" t="s">
        <v>1427</v>
      </c>
      <c r="B1129" s="6" t="s">
        <v>1429</v>
      </c>
      <c r="C1129" s="5" t="str">
        <f>IFERROR(__xludf.DUMMYFUNCTION("GOOGLETRANSLATE(B1129,""en"",""fr"")"),"Ensuite, une femme balance quelques fois de plus alors que l'homme fait monter et descendre la piñata avec la corde attachée et comme elle fait, cela fait tomber un morceau de piñata et quelques enfants se rassemblent autour d'elle pour voir si des bonbon"&amp;"s tombaient.")</f>
        <v>Ensuite, une femme balance quelques fois de plus alors que l'homme fait monter et descendre la piñata avec la corde attachée et comme elle fait, cela fait tomber un morceau de piñata et quelques enfants se rassemblent autour d'elle pour voir si des bonbons tombaient.</v>
      </c>
    </row>
    <row r="1130">
      <c r="A1130" s="4" t="s">
        <v>1427</v>
      </c>
      <c r="B1130" s="6" t="s">
        <v>1430</v>
      </c>
      <c r="C1130" s="5" t="str">
        <f>IFERROR(__xludf.DUMMYFUNCTION("GOOGLETRANSLATE(B1130,""en"",""fr"")"),"La femme se sent à quelques reprises pour la piñata avec le bâton, mais ne se balance pas alors que les enfants continuent de chercher avec étonnement.")</f>
        <v>La femme se sent à quelques reprises pour la piñata avec le bâton, mais ne se balance pas alors que les enfants continuent de chercher avec étonnement.</v>
      </c>
    </row>
    <row r="1131">
      <c r="A1131" s="4" t="s">
        <v>1431</v>
      </c>
      <c r="B1131" s="6" t="s">
        <v>1432</v>
      </c>
      <c r="C1131" s="5" t="str">
        <f>IFERROR(__xludf.DUMMYFUNCTION("GOOGLETRANSLATE(B1131,""en"",""fr"")"),"Divers tirs sont montrés des femmes qui se mettent sur une plage sur une plage pendant que la caméra se déroule de plusieurs côtés.")</f>
        <v>Divers tirs sont montrés des femmes qui se mettent sur une plage sur une plage pendant que la caméra se déroule de plusieurs côtés.</v>
      </c>
    </row>
    <row r="1132">
      <c r="A1132" s="4" t="s">
        <v>1431</v>
      </c>
      <c r="B1132" s="6" t="s">
        <v>1433</v>
      </c>
      <c r="C1132" s="5" t="str">
        <f>IFERROR(__xludf.DUMMYFUNCTION("GOOGLETRANSLATE(B1132,""en"",""fr"")"),"Plus de coups de feu sont montrés des femmes sous différents angles qui frottent la lotion sur tout le corps et regardent la distance de manière séduisante.")</f>
        <v>Plus de coups de feu sont montrés des femmes sous différents angles qui frottent la lotion sur tout le corps et regardent la distance de manière séduisante.</v>
      </c>
    </row>
    <row r="1133">
      <c r="A1133" s="4" t="s">
        <v>1434</v>
      </c>
      <c r="B1133" s="4" t="s">
        <v>1435</v>
      </c>
      <c r="C1133" s="5" t="str">
        <f>IFERROR(__xludf.DUMMYFUNCTION("GOOGLETRANSLATE(B1133,""en"",""fr"")"),"Une équipe de joie commence à retenir des affiches alors que leur mascotte coule derrière eux.")</f>
        <v>Une équipe de joie commence à retenir des affiches alors que leur mascotte coule derrière eux.</v>
      </c>
    </row>
    <row r="1134">
      <c r="A1134" s="4" t="s">
        <v>1434</v>
      </c>
      <c r="B1134" s="6" t="s">
        <v>1436</v>
      </c>
      <c r="C1134" s="5" t="str">
        <f>IFERROR(__xludf.DUMMYFUNCTION("GOOGLETRANSLATE(B1134,""en"",""fr"")"),"Ils commencent alors à faire une routine et certaines filles courent avec des banderoles alors que les autres tiennent les filles pour leur cascade.")</f>
        <v>Ils commencent alors à faire une routine et certaines filles courent avec des banderoles alors que les autres tiennent les filles pour leur cascade.</v>
      </c>
    </row>
    <row r="1135">
      <c r="A1135" s="4" t="s">
        <v>1434</v>
      </c>
      <c r="B1135" s="6" t="s">
        <v>1437</v>
      </c>
      <c r="C1135" s="5" t="str">
        <f>IFERROR(__xludf.DUMMYFUNCTION("GOOGLETRANSLATE(B1135,""en"",""fr"")"),"La cascade est terminée et la retraite à leur position d'origine et commence à faire des roues de charrette et d'autres astuces et cascades avec leur mascotte.")</f>
        <v>La cascade est terminée et la retraite à leur position d'origine et commence à faire des roues de charrette et d'autres astuces et cascades avec leur mascotte.</v>
      </c>
    </row>
    <row r="1136">
      <c r="A1136" s="4" t="s">
        <v>1434</v>
      </c>
      <c r="B1136" s="6" t="s">
        <v>1438</v>
      </c>
      <c r="C1136" s="5" t="str">
        <f>IFERROR(__xludf.DUMMYFUNCTION("GOOGLETRANSLATE(B1136,""en"",""fr"")"),"Alors que la routine se poursuit, plus de cascades sont effectuées et la mascotte Tiger continue de réjouir avec les filles.")</f>
        <v>Alors que la routine se poursuit, plus de cascades sont effectuées et la mascotte Tiger continue de réjouir avec les filles.</v>
      </c>
    </row>
    <row r="1137">
      <c r="A1137" s="4" t="s">
        <v>1439</v>
      </c>
      <c r="B1137" s="4" t="s">
        <v>1440</v>
      </c>
      <c r="C1137" s="5" t="str">
        <f>IFERROR(__xludf.DUMMYFUNCTION("GOOGLETRANSLATE(B1137,""en"",""fr"")"),"Un garçon et un homme jouent à tour de rôle dans le billard pendant qu'une foule regarde.")</f>
        <v>Un garçon et un homme jouent à tour de rôle dans le billard pendant qu'une foule regarde.</v>
      </c>
    </row>
    <row r="1138">
      <c r="A1138" s="4" t="s">
        <v>1439</v>
      </c>
      <c r="B1138" s="4" t="s">
        <v>1441</v>
      </c>
      <c r="C1138" s="5" t="str">
        <f>IFERROR(__xludf.DUMMYFUNCTION("GOOGLETRANSLATE(B1138,""en"",""fr"")"),"L'homme essuie son visage avec une serviette.")</f>
        <v>L'homme essuie son visage avec une serviette.</v>
      </c>
    </row>
    <row r="1139">
      <c r="A1139" s="4" t="s">
        <v>1439</v>
      </c>
      <c r="B1139" s="4" t="s">
        <v>1442</v>
      </c>
      <c r="C1139" s="5" t="str">
        <f>IFERROR(__xludf.DUMMYFUNCTION("GOOGLETRANSLATE(B1139,""en"",""fr"")"),"Le garçon gagne et la foule applaudit.")</f>
        <v>Le garçon gagne et la foule applaudit.</v>
      </c>
    </row>
    <row r="1140">
      <c r="A1140" s="4" t="s">
        <v>1439</v>
      </c>
      <c r="B1140" s="4" t="s">
        <v>1443</v>
      </c>
      <c r="C1140" s="5" t="str">
        <f>IFERROR(__xludf.DUMMYFUNCTION("GOOGLETRANSLATE(B1140,""en"",""fr"")"),"Plusieurs hommes prennent le garçon pour célébrer.")</f>
        <v>Plusieurs hommes prennent le garçon pour célébrer.</v>
      </c>
    </row>
    <row r="1141">
      <c r="A1141" s="4" t="s">
        <v>1439</v>
      </c>
      <c r="B1141" s="4" t="s">
        <v>1444</v>
      </c>
      <c r="C1141" s="5" t="str">
        <f>IFERROR(__xludf.DUMMYFUNCTION("GOOGLETRANSLATE(B1141,""en"",""fr"")"),"Le tir gagnant est rejoué au ralenti.")</f>
        <v>Le tir gagnant est rejoué au ralenti.</v>
      </c>
    </row>
    <row r="1142">
      <c r="A1142" s="4" t="s">
        <v>1445</v>
      </c>
      <c r="B1142" s="6" t="s">
        <v>1446</v>
      </c>
      <c r="C1142" s="5" t="str">
        <f>IFERROR(__xludf.DUMMYFUNCTION("GOOGLETRANSLATE(B1142,""en"",""fr"")"),"Une femme est vue tenant un fil de ficelle dans ses mains et commence à tricoter la ficelle avec ses mains.")</f>
        <v>Une femme est vue tenant un fil de ficelle dans ses mains et commence à tricoter la ficelle avec ses mains.</v>
      </c>
    </row>
    <row r="1143">
      <c r="A1143" s="4" t="s">
        <v>1445</v>
      </c>
      <c r="B1143" s="4" t="s">
        <v>1447</v>
      </c>
      <c r="C1143" s="5" t="str">
        <f>IFERROR(__xludf.DUMMYFUNCTION("GOOGLETRANSLATE(B1143,""en"",""fr"")"),"Elle continue de filmer la corde avec ses mains et se termine en tenant le fil pour afficher.")</f>
        <v>Elle continue de filmer la corde avec ses mains et se termine en tenant le fil pour afficher.</v>
      </c>
    </row>
    <row r="1144">
      <c r="A1144" s="4" t="s">
        <v>1448</v>
      </c>
      <c r="B1144" s="4" t="s">
        <v>1449</v>
      </c>
      <c r="C1144" s="5" t="str">
        <f>IFERROR(__xludf.DUMMYFUNCTION("GOOGLETRANSLATE(B1144,""en"",""fr"")"),"Un homme assis dans un radeau dans l'eau parle de la caméra.")</f>
        <v>Un homme assis dans un radeau dans l'eau parle de la caméra.</v>
      </c>
    </row>
    <row r="1145">
      <c r="A1145" s="4" t="s">
        <v>1448</v>
      </c>
      <c r="B1145" s="4" t="s">
        <v>1450</v>
      </c>
      <c r="C1145" s="5" t="str">
        <f>IFERROR(__xludf.DUMMYFUNCTION("GOOGLETRANSLATE(B1145,""en"",""fr"")"),"L'homme démontre des techniques tout en parlant à la caméra.")</f>
        <v>L'homme démontre des techniques tout en parlant à la caméra.</v>
      </c>
    </row>
    <row r="1146">
      <c r="A1146" s="4" t="s">
        <v>1448</v>
      </c>
      <c r="B1146" s="4" t="s">
        <v>1451</v>
      </c>
      <c r="C1146" s="5" t="str">
        <f>IFERROR(__xludf.DUMMYFUNCTION("GOOGLETRANSLATE(B1146,""en"",""fr"")"),"L'homme rade en aval en pagayant.")</f>
        <v>L'homme rade en aval en pagayant.</v>
      </c>
    </row>
    <row r="1147">
      <c r="A1147" s="4" t="s">
        <v>1452</v>
      </c>
      <c r="B1147" s="6" t="s">
        <v>1453</v>
      </c>
      <c r="C1147" s="5" t="str">
        <f>IFERROR(__xludf.DUMMYFUNCTION("GOOGLETRANSLATE(B1147,""en"",""fr"")"),"Alexandra Raisman du Massachusetts est vue portant des justaucorps violets, se préparant à faire de la gymnastique sur le Horse Bar.")</f>
        <v>Alexandra Raisman du Massachusetts est vue portant des justaucorps violets, se préparant à faire de la gymnastique sur le Horse Bar.</v>
      </c>
    </row>
    <row r="1148">
      <c r="A1148" s="4" t="s">
        <v>1452</v>
      </c>
      <c r="B1148" s="4" t="s">
        <v>1454</v>
      </c>
      <c r="C1148" s="5" t="str">
        <f>IFERROR(__xludf.DUMMYFUNCTION("GOOGLETRANSLATE(B1148,""en"",""fr"")"),"Elle saute à droite sur la barre de cheval et fait des flips avant et arrière.")</f>
        <v>Elle saute à droite sur la barre de cheval et fait des flips avant et arrière.</v>
      </c>
    </row>
    <row r="1149">
      <c r="A1149" s="4" t="s">
        <v>1452</v>
      </c>
      <c r="B1149" s="4" t="s">
        <v>1455</v>
      </c>
      <c r="C1149" s="5" t="str">
        <f>IFERROR(__xludf.DUMMYFUNCTION("GOOGLETRANSLATE(B1149,""en"",""fr"")"),"Ensuite, elle fait des ressorts arrière sur le bar à cheval.")</f>
        <v>Ensuite, elle fait des ressorts arrière sur le bar à cheval.</v>
      </c>
    </row>
    <row r="1150">
      <c r="A1150" s="4" t="s">
        <v>1452</v>
      </c>
      <c r="B1150" s="4" t="s">
        <v>1456</v>
      </c>
      <c r="C1150" s="5" t="str">
        <f>IFERROR(__xludf.DUMMYFUNCTION("GOOGLETRANSLATE(B1150,""en"",""fr"")"),"Elle saute rapidement sur la barre de chevaux tout en maintenant un contrôle total sur le corps et l'équilibre.")</f>
        <v>Elle saute rapidement sur la barre de chevaux tout en maintenant un contrôle total sur le corps et l'équilibre.</v>
      </c>
    </row>
    <row r="1151">
      <c r="A1151" s="4" t="s">
        <v>1452</v>
      </c>
      <c r="B1151" s="4" t="s">
        <v>1457</v>
      </c>
      <c r="C1151" s="5" t="str">
        <f>IFERROR(__xludf.DUMMYFUNCTION("GOOGLETRANSLATE(B1151,""en"",""fr"")"),"Elle fait un dernier retournement du dos et un flip avant, puis, quitte le Horse Bar.")</f>
        <v>Elle fait un dernier retournement du dos et un flip avant, puis, quitte le Horse Bar.</v>
      </c>
    </row>
    <row r="1152">
      <c r="A1152" s="4" t="s">
        <v>1452</v>
      </c>
      <c r="B1152" s="4" t="s">
        <v>1458</v>
      </c>
      <c r="C1152" s="5" t="str">
        <f>IFERROR(__xludf.DUMMYFUNCTION("GOOGLETRANSLATE(B1152,""en"",""fr"")"),"Les spectateurs la encouragent alors qu'elle s'éloigne.")</f>
        <v>Les spectateurs la encouragent alors qu'elle s'éloigne.</v>
      </c>
    </row>
    <row r="1153">
      <c r="A1153" s="4" t="s">
        <v>1459</v>
      </c>
      <c r="B1153" s="4" t="s">
        <v>1460</v>
      </c>
      <c r="C1153" s="5" t="str">
        <f>IFERROR(__xludf.DUMMYFUNCTION("GOOGLETRANSLATE(B1153,""en"",""fr"")"),"Un homme est vu se plier au-dessus d'un coup au milieu des batteurs.")</f>
        <v>Un homme est vu se plier au-dessus d'un coup au milieu des batteurs.</v>
      </c>
    </row>
    <row r="1154">
      <c r="A1154" s="4" t="s">
        <v>1459</v>
      </c>
      <c r="B1154" s="4" t="s">
        <v>1461</v>
      </c>
      <c r="C1154" s="5" t="str">
        <f>IFERROR(__xludf.DUMMYFUNCTION("GOOGLETRANSLATE(B1154,""en"",""fr"")"),"Les gens frappent la batterie en continu pendant que la caméra se déroule.")</f>
        <v>Les gens frappent la batterie en continu pendant que la caméra se déroule.</v>
      </c>
    </row>
    <row r="1155">
      <c r="A1155" s="4" t="s">
        <v>1459</v>
      </c>
      <c r="B1155" s="4" t="s">
        <v>1462</v>
      </c>
      <c r="C1155" s="5" t="str">
        <f>IFERROR(__xludf.DUMMYFUNCTION("GOOGLETRANSLATE(B1155,""en"",""fr"")"),"Les hommes devraient tambour tandis que la caméra passe autour d'eux.")</f>
        <v>Les hommes devraient tambour tandis que la caméra passe autour d'eux.</v>
      </c>
    </row>
    <row r="1156">
      <c r="A1156" s="4" t="s">
        <v>1463</v>
      </c>
      <c r="B1156" s="4" t="s">
        <v>1464</v>
      </c>
      <c r="C1156" s="5" t="str">
        <f>IFERROR(__xludf.DUMMYFUNCTION("GOOGLETRANSLATE(B1156,""en"",""fr"")"),"Un journal parle devant un groupe de personnes.")</f>
        <v>Un journal parle devant un groupe de personnes.</v>
      </c>
    </row>
    <row r="1157">
      <c r="A1157" s="4" t="s">
        <v>1463</v>
      </c>
      <c r="B1157" s="4" t="s">
        <v>1465</v>
      </c>
      <c r="C1157" s="5" t="str">
        <f>IFERROR(__xludf.DUMMYFUNCTION("GOOGLETRANSLATE(B1157,""en"",""fr"")"),"Un homme est montré sur un bord de plongée au sommet d'une falaise.")</f>
        <v>Un homme est montré sur un bord de plongée au sommet d'une falaise.</v>
      </c>
    </row>
    <row r="1158">
      <c r="A1158" s="4" t="s">
        <v>1463</v>
      </c>
      <c r="B1158" s="4" t="s">
        <v>1466</v>
      </c>
      <c r="C1158" s="5" t="str">
        <f>IFERROR(__xludf.DUMMYFUNCTION("GOOGLETRANSLATE(B1158,""en"",""fr"")"),"Il plonge, sautant dans les eaux peu profondes en dessous.")</f>
        <v>Il plonge, sautant dans les eaux peu profondes en dessous.</v>
      </c>
    </row>
    <row r="1159">
      <c r="A1159" s="4" t="s">
        <v>1467</v>
      </c>
      <c r="B1159" s="4" t="s">
        <v>1468</v>
      </c>
      <c r="C1159" s="5" t="str">
        <f>IFERROR(__xludf.DUMMYFUNCTION("GOOGLETRANSLATE(B1159,""en"",""fr"")"),"L'homme plâtra le mur.")</f>
        <v>L'homme plâtra le mur.</v>
      </c>
    </row>
    <row r="1160">
      <c r="A1160" s="4" t="s">
        <v>1467</v>
      </c>
      <c r="B1160" s="4" t="s">
        <v>1469</v>
      </c>
      <c r="C1160" s="5" t="str">
        <f>IFERROR(__xludf.DUMMYFUNCTION("GOOGLETRANSLATE(B1160,""en"",""fr"")"),"L'homme se penche puis continue de plâtrer le mur.")</f>
        <v>L'homme se penche puis continue de plâtrer le mur.</v>
      </c>
    </row>
    <row r="1161">
      <c r="A1161" s="4" t="s">
        <v>1467</v>
      </c>
      <c r="B1161" s="4" t="s">
        <v>1470</v>
      </c>
      <c r="C1161" s="5" t="str">
        <f>IFERROR(__xludf.DUMMYFUNCTION("GOOGLETRANSLATE(B1161,""en"",""fr"")"),"L'homme couvre le mur de plâtre rose jusqu'à ce que tout le mur soit couvert.")</f>
        <v>L'homme couvre le mur de plâtre rose jusqu'à ce que tout le mur soit couvert.</v>
      </c>
    </row>
    <row r="1162">
      <c r="A1162" s="4" t="s">
        <v>1471</v>
      </c>
      <c r="B1162" s="4" t="s">
        <v>1472</v>
      </c>
      <c r="C1162" s="5" t="str">
        <f>IFERROR(__xludf.DUMMYFUNCTION("GOOGLETRANSLATE(B1162,""en"",""fr"")"),"Un homme avec une chemise orange et des gants bleus est représenté en fonction d'une machine à torche de feu.")</f>
        <v>Un homme avec une chemise orange et des gants bleus est représenté en fonction d'une machine à torche de feu.</v>
      </c>
    </row>
    <row r="1163">
      <c r="A1163" s="4" t="s">
        <v>1471</v>
      </c>
      <c r="B1163" s="4" t="s">
        <v>1473</v>
      </c>
      <c r="C1163" s="5" t="str">
        <f>IFERROR(__xludf.DUMMYFUNCTION("GOOGLETRANSLATE(B1163,""en"",""fr"")"),"Deux autres personnes sont montrées et un gros plan est représenté.")</f>
        <v>Deux autres personnes sont montrées et un gros plan est représenté.</v>
      </c>
    </row>
    <row r="1164">
      <c r="A1164" s="4" t="s">
        <v>1471</v>
      </c>
      <c r="B1164" s="4" t="s">
        <v>1474</v>
      </c>
      <c r="C1164" s="5" t="str">
        <f>IFERROR(__xludf.DUMMYFUNCTION("GOOGLETRANSLATE(B1164,""en"",""fr"")"),"Enfin, la caméra se déroule sur un homme debout en se précipitant sur une machine.")</f>
        <v>Enfin, la caméra se déroule sur un homme debout en se précipitant sur une machine.</v>
      </c>
    </row>
    <row r="1165">
      <c r="A1165" s="4" t="s">
        <v>1475</v>
      </c>
      <c r="B1165" s="4" t="s">
        <v>1476</v>
      </c>
      <c r="C1165" s="5" t="str">
        <f>IFERROR(__xludf.DUMMYFUNCTION("GOOGLETRANSLATE(B1165,""en"",""fr"")"),"On voit un gros plan d'une main qui se déroule à un homme qui met des gants.")</f>
        <v>On voit un gros plan d'une main qui se déroule à un homme qui met des gants.</v>
      </c>
    </row>
    <row r="1166">
      <c r="A1166" s="4" t="s">
        <v>1475</v>
      </c>
      <c r="B1166" s="4" t="s">
        <v>1477</v>
      </c>
      <c r="C1166" s="5" t="str">
        <f>IFERROR(__xludf.DUMMYFUNCTION("GOOGLETRANSLATE(B1166,""en"",""fr"")"),"L'homme assemble alors une torche et commence à brûler un morceau de métal devant lui.")</f>
        <v>L'homme assemble alors une torche et commence à brûler un morceau de métal devant lui.</v>
      </c>
    </row>
    <row r="1167">
      <c r="A1167" s="4" t="s">
        <v>1475</v>
      </c>
      <c r="B1167" s="4" t="s">
        <v>1478</v>
      </c>
      <c r="C1167" s="5" t="str">
        <f>IFERROR(__xludf.DUMMYFUNCTION("GOOGLETRANSLATE(B1167,""en"",""fr"")"),"L'homme continue de travailler et de marteler des objets ainsi que de le poncer sur le côté.")</f>
        <v>L'homme continue de travailler et de marteler des objets ainsi que de le poncer sur le côté.</v>
      </c>
    </row>
    <row r="1168">
      <c r="A1168" s="4" t="s">
        <v>1479</v>
      </c>
      <c r="B1168" s="4" t="s">
        <v>1480</v>
      </c>
      <c r="C1168" s="5" t="str">
        <f>IFERROR(__xludf.DUMMYFUNCTION("GOOGLETRANSLATE(B1168,""en"",""fr"")"),"Deux hommes se tiennent sur le côté du tribunal en tenant du basket.")</f>
        <v>Deux hommes se tiennent sur le côté du tribunal en tenant du basket.</v>
      </c>
    </row>
    <row r="1169">
      <c r="A1169" s="4" t="s">
        <v>1479</v>
      </c>
      <c r="B1169" s="6" t="s">
        <v>1481</v>
      </c>
      <c r="C1169" s="5" t="str">
        <f>IFERROR(__xludf.DUMMYFUNCTION("GOOGLETRANSLATE(B1169,""en"",""fr"")"),"Les hommes donnent une interview, parle à la caméra, tandis qu'un homme parle que l'autre homme écoute, puis vice versa.")</f>
        <v>Les hommes donnent une interview, parle à la caméra, tandis qu'un homme parle que l'autre homme écoute, puis vice versa.</v>
      </c>
    </row>
    <row r="1170">
      <c r="A1170" s="4" t="s">
        <v>1479</v>
      </c>
      <c r="B1170" s="4" t="s">
        <v>1482</v>
      </c>
      <c r="C1170" s="5" t="str">
        <f>IFERROR(__xludf.DUMMYFUNCTION("GOOGLETRANSLATE(B1170,""en"",""fr"")"),"L'homme est allé au panier dribble au ballon, les hommes ont couru vers le panier et ont tiré sur le ballon.")</f>
        <v>L'homme est allé au panier dribble au ballon, les hommes ont couru vers le panier et ont tiré sur le ballon.</v>
      </c>
    </row>
    <row r="1171">
      <c r="A1171" s="4" t="s">
        <v>1483</v>
      </c>
      <c r="B1171" s="6" t="s">
        <v>1484</v>
      </c>
      <c r="C1171" s="5" t="str">
        <f>IFERROR(__xludf.DUMMYFUNCTION("GOOGLETRANSLATE(B1171,""en"",""fr"")"),"Un homme en chemise et capuchon gris est assis à côté d'un moteur de bateau, tandis que derrière lui se trouve une femme sur une planche de surf et tenant un harnais attaché au bateau.")</f>
        <v>Un homme en chemise et capuchon gris est assis à côté d'un moteur de bateau, tandis que derrière lui se trouve une femme sur une planche de surf et tenant un harnais attaché au bateau.</v>
      </c>
    </row>
    <row r="1172">
      <c r="A1172" s="4" t="s">
        <v>1483</v>
      </c>
      <c r="B1172" s="6" t="s">
        <v>1485</v>
      </c>
      <c r="C1172" s="5" t="str">
        <f>IFERROR(__xludf.DUMMYFUNCTION("GOOGLETRANSLATE(B1172,""en"",""fr"")"),"Alors que la femme se déplaçant, les Dolphins ont commencé à nager avec elle, les nageoires des Dolphins sont visibles alors qu'ils nagent de haut en bas.")</f>
        <v>Alors que la femme se déplaçant, les Dolphins ont commencé à nager avec elle, les nageoires des Dolphins sont visibles alors qu'ils nagent de haut en bas.</v>
      </c>
    </row>
    <row r="1173">
      <c r="A1173" s="4" t="s">
        <v>1486</v>
      </c>
      <c r="B1173" s="4" t="s">
        <v>1487</v>
      </c>
      <c r="C1173" s="5" t="str">
        <f>IFERROR(__xludf.DUMMYFUNCTION("GOOGLETRANSLATE(B1173,""en"",""fr"")"),"Nous voyons un écran de titre d'ouverture.")</f>
        <v>Nous voyons un écran de titre d'ouverture.</v>
      </c>
    </row>
    <row r="1174">
      <c r="A1174" s="4" t="s">
        <v>1486</v>
      </c>
      <c r="B1174" s="4" t="s">
        <v>1488</v>
      </c>
      <c r="C1174" s="5" t="str">
        <f>IFERROR(__xludf.DUMMYFUNCTION("GOOGLETRANSLATE(B1174,""en"",""fr"")"),"Nous voyons une dame mettre un écran solaire dans une salle de bain et sur la plage.")</f>
        <v>Nous voyons une dame mettre un écran solaire dans une salle de bain et sur la plage.</v>
      </c>
    </row>
    <row r="1175">
      <c r="A1175" s="4" t="s">
        <v>1486</v>
      </c>
      <c r="B1175" s="4" t="s">
        <v>1489</v>
      </c>
      <c r="C1175" s="5" t="str">
        <f>IFERROR(__xludf.DUMMYFUNCTION("GOOGLETRANSLATE(B1175,""en"",""fr"")"),"Nous voyons un écran de titre et voyons la dame acheter son écran solaire et un autre écran de titre.")</f>
        <v>Nous voyons un écran de titre et voyons la dame acheter son écran solaire et un autre écran de titre.</v>
      </c>
    </row>
    <row r="1176">
      <c r="A1176" s="4" t="s">
        <v>1486</v>
      </c>
      <c r="B1176" s="6" t="s">
        <v>1490</v>
      </c>
      <c r="C1176" s="5" t="str">
        <f>IFERROR(__xludf.DUMMYFUNCTION("GOOGLETRANSLATE(B1176,""en"",""fr"")"),"La dame jette une bouteille et regarde son téléphone avant d'aller aux toilettes et de mettre un écran solaire.")</f>
        <v>La dame jette une bouteille et regarde son téléphone avant d'aller aux toilettes et de mettre un écran solaire.</v>
      </c>
    </row>
    <row r="1177">
      <c r="A1177" s="4" t="s">
        <v>1486</v>
      </c>
      <c r="B1177" s="4" t="s">
        <v>1491</v>
      </c>
      <c r="C1177" s="5" t="str">
        <f>IFERROR(__xludf.DUMMYFUNCTION("GOOGLETRANSLATE(B1177,""en"",""fr"")"),"Nous voyons un écran de titre et la dame applique un écran solaire et une amie en met sur le dos.")</f>
        <v>Nous voyons un écran de titre et la dame applique un écran solaire et une amie en met sur le dos.</v>
      </c>
    </row>
    <row r="1178">
      <c r="A1178" s="4" t="s">
        <v>1486</v>
      </c>
      <c r="B1178" s="4" t="s">
        <v>1492</v>
      </c>
      <c r="C1178" s="5" t="str">
        <f>IFERROR(__xludf.DUMMYFUNCTION("GOOGLETRANSLATE(B1178,""en"",""fr"")"),"La dame met un écran solaire sur la plage et son amie court sur la plage.")</f>
        <v>La dame met un écran solaire sur la plage et son amie court sur la plage.</v>
      </c>
    </row>
    <row r="1179">
      <c r="A1179" s="4" t="s">
        <v>1486</v>
      </c>
      <c r="B1179" s="4" t="s">
        <v>1493</v>
      </c>
      <c r="C1179" s="5" t="str">
        <f>IFERROR(__xludf.DUMMYFUNCTION("GOOGLETRANSLATE(B1179,""en"",""fr"")"),"Nous voyons un écran de titre et l'écran de fin.")</f>
        <v>Nous voyons un écran de titre et l'écran de fin.</v>
      </c>
    </row>
    <row r="1180">
      <c r="A1180" s="4" t="s">
        <v>1494</v>
      </c>
      <c r="B1180" s="4" t="s">
        <v>1495</v>
      </c>
      <c r="C1180" s="5" t="str">
        <f>IFERROR(__xludf.DUMMYFUNCTION("GOOGLETRANSLATE(B1180,""en"",""fr"")"),"Un groupe d'enfants se trouve dans un bâtiment.")</f>
        <v>Un groupe d'enfants se trouve dans un bâtiment.</v>
      </c>
    </row>
    <row r="1181">
      <c r="A1181" s="4" t="s">
        <v>1494</v>
      </c>
      <c r="B1181" s="4" t="s">
        <v>1496</v>
      </c>
      <c r="C1181" s="5" t="str">
        <f>IFERROR(__xludf.DUMMYFUNCTION("GOOGLETRANSLATE(B1181,""en"",""fr"")"),"Ce sont tous des voitures tamponneuses autour d'une piste.")</f>
        <v>Ce sont tous des voitures tamponneuses autour d'une piste.</v>
      </c>
    </row>
    <row r="1182">
      <c r="A1182" s="4" t="s">
        <v>1494</v>
      </c>
      <c r="B1182" s="4" t="s">
        <v>1497</v>
      </c>
      <c r="C1182" s="5" t="str">
        <f>IFERROR(__xludf.DUMMYFUNCTION("GOOGLETRANSLATE(B1182,""en"",""fr"")"),"Ils se cognent et se claquent.")</f>
        <v>Ils se cognent et se claquent.</v>
      </c>
    </row>
    <row r="1183">
      <c r="A1183" s="4" t="s">
        <v>1498</v>
      </c>
      <c r="B1183" s="4" t="s">
        <v>1499</v>
      </c>
      <c r="C1183" s="5" t="str">
        <f>IFERROR(__xludf.DUMMYFUNCTION("GOOGLETRANSLATE(B1183,""en"",""fr"")"),"Une personne résout un puzzle de cube tournant les pièces pour correspondre aux couleurs.")</f>
        <v>Une personne résout un puzzle de cube tournant les pièces pour correspondre aux couleurs.</v>
      </c>
    </row>
    <row r="1184">
      <c r="A1184" s="4" t="s">
        <v>1498</v>
      </c>
      <c r="B1184" s="4" t="s">
        <v>1500</v>
      </c>
      <c r="C1184" s="5" t="str">
        <f>IFERROR(__xludf.DUMMYFUNCTION("GOOGLETRANSLATE(B1184,""en"",""fr"")"),"Quand, la personne correspond à toutes les couleurs, pointe la table et met le puzzle du cube dessus.")</f>
        <v>Quand, la personne correspond à toutes les couleurs, pointe la table et met le puzzle du cube dessus.</v>
      </c>
    </row>
    <row r="1185">
      <c r="A1185" s="4" t="s">
        <v>1501</v>
      </c>
      <c r="B1185" s="4" t="s">
        <v>1502</v>
      </c>
      <c r="C1185" s="5" t="str">
        <f>IFERROR(__xludf.DUMMYFUNCTION("GOOGLETRANSLATE(B1185,""en"",""fr"")"),"Nous voyons un écran d'ouverture de GoPro.")</f>
        <v>Nous voyons un écran d'ouverture de GoPro.</v>
      </c>
    </row>
    <row r="1186">
      <c r="A1186" s="4" t="s">
        <v>1501</v>
      </c>
      <c r="B1186" s="4" t="s">
        <v>1503</v>
      </c>
      <c r="C1186" s="5" t="str">
        <f>IFERROR(__xludf.DUMMYFUNCTION("GOOGLETRANSLATE(B1186,""en"",""fr"")"),"Nous voyons une dame marcher avec un radeau dans une rivière.")</f>
        <v>Nous voyons une dame marcher avec un radeau dans une rivière.</v>
      </c>
    </row>
    <row r="1187">
      <c r="A1187" s="4" t="s">
        <v>1501</v>
      </c>
      <c r="B1187" s="4" t="s">
        <v>1504</v>
      </c>
      <c r="C1187" s="5" t="str">
        <f>IFERROR(__xludf.DUMMYFUNCTION("GOOGLETRANSLATE(B1187,""en"",""fr"")"),"Nous voyons des gens rouler de radeaux dans la rivière.")</f>
        <v>Nous voyons des gens rouler de radeaux dans la rivière.</v>
      </c>
    </row>
    <row r="1188">
      <c r="A1188" s="4" t="s">
        <v>1501</v>
      </c>
      <c r="B1188" s="4" t="s">
        <v>1505</v>
      </c>
      <c r="C1188" s="5" t="str">
        <f>IFERROR(__xludf.DUMMYFUNCTION("GOOGLETRANSLATE(B1188,""en"",""fr"")"),"Nous voyons les jambes d'un homme et la dame passe.")</f>
        <v>Nous voyons les jambes d'un homme et la dame passe.</v>
      </c>
    </row>
    <row r="1189">
      <c r="A1189" s="4" t="s">
        <v>1501</v>
      </c>
      <c r="B1189" s="4" t="s">
        <v>1506</v>
      </c>
      <c r="C1189" s="5" t="str">
        <f>IFERROR(__xludf.DUMMYFUNCTION("GOOGLETRANSLATE(B1189,""en"",""fr"")"),"Nous voyons la dame remettre une boisson dans une boîte au caméraman.")</f>
        <v>Nous voyons la dame remettre une boisson dans une boîte au caméraman.</v>
      </c>
    </row>
    <row r="1190">
      <c r="A1190" s="4" t="s">
        <v>1501</v>
      </c>
      <c r="B1190" s="4" t="s">
        <v>1507</v>
      </c>
      <c r="C1190" s="5" t="str">
        <f>IFERROR(__xludf.DUMMYFUNCTION("GOOGLETRANSLATE(B1190,""en"",""fr"")"),"Le caméraman passe sous une branche qui se trouve à travers l'eau.")</f>
        <v>Le caméraman passe sous une branche qui se trouve à travers l'eau.</v>
      </c>
    </row>
    <row r="1191">
      <c r="A1191" s="4" t="s">
        <v>1501</v>
      </c>
      <c r="B1191" s="4" t="s">
        <v>1508</v>
      </c>
      <c r="C1191" s="5" t="str">
        <f>IFERROR(__xludf.DUMMYFUNCTION("GOOGLETRANSLATE(B1191,""en"",""fr"")"),"Nous voyons ensuite la scène finale de GoPro.")</f>
        <v>Nous voyons ensuite la scène finale de GoPro.</v>
      </c>
    </row>
    <row r="1192">
      <c r="A1192" s="4" t="s">
        <v>1509</v>
      </c>
      <c r="B1192" s="6" t="s">
        <v>1510</v>
      </c>
      <c r="C1192" s="5" t="str">
        <f>IFERROR(__xludf.DUMMYFUNCTION("GOOGLETRANSLATE(B1192,""en"",""fr"")"),"Plusieurs personnes sont vues courir sur la route autour d'un taureau avec des bâtons qui tiennent des bâtons dans leurs mains.")</f>
        <v>Plusieurs personnes sont vues courir sur la route autour d'un taureau avec des bâtons qui tiennent des bâtons dans leurs mains.</v>
      </c>
    </row>
    <row r="1193">
      <c r="A1193" s="4" t="s">
        <v>1509</v>
      </c>
      <c r="B1193" s="4" t="s">
        <v>1511</v>
      </c>
      <c r="C1193" s="5" t="str">
        <f>IFERROR(__xludf.DUMMYFUNCTION("GOOGLETRANSLATE(B1193,""en"",""fr"")"),"Les gens se pressent autour du taureau agitant des bâtons et suivent le taureau alors qu'il se met en colère.")</f>
        <v>Les gens se pressent autour du taureau agitant des bâtons et suivent le taureau alors qu'il se met en colère.</v>
      </c>
    </row>
    <row r="1194">
      <c r="A1194" s="4" t="s">
        <v>1509</v>
      </c>
      <c r="B1194" s="4" t="s">
        <v>1512</v>
      </c>
      <c r="C1194" s="5" t="str">
        <f>IFERROR(__xludf.DUMMYFUNCTION("GOOGLETRANSLATE(B1194,""en"",""fr"")"),"Un autre taureau est montré et les deux se battent pendant que les gens se tiennent et encouragent les côtés.")</f>
        <v>Un autre taureau est montré et les deux se battent pendant que les gens se tiennent et encouragent les côtés.</v>
      </c>
    </row>
    <row r="1195">
      <c r="A1195" s="4" t="s">
        <v>1513</v>
      </c>
      <c r="B1195" s="4" t="s">
        <v>1514</v>
      </c>
      <c r="C1195" s="5" t="str">
        <f>IFERROR(__xludf.DUMMYFUNCTION("GOOGLETRANSLATE(B1195,""en"",""fr"")"),"Les gens sont assis dans des bateaux en rangée dans l'eau.")</f>
        <v>Les gens sont assis dans des bateaux en rangée dans l'eau.</v>
      </c>
    </row>
    <row r="1196">
      <c r="A1196" s="4" t="s">
        <v>1513</v>
      </c>
      <c r="B1196" s="4" t="s">
        <v>1515</v>
      </c>
      <c r="C1196" s="5" t="str">
        <f>IFERROR(__xludf.DUMMYFUNCTION("GOOGLETRANSLATE(B1196,""en"",""fr"")"),"Un homme se tient debout dans un bateau Red Row.")</f>
        <v>Un homme se tient debout dans un bateau Red Row.</v>
      </c>
    </row>
    <row r="1197">
      <c r="A1197" s="4" t="s">
        <v>1513</v>
      </c>
      <c r="B1197" s="4" t="s">
        <v>1516</v>
      </c>
      <c r="C1197" s="5" t="str">
        <f>IFERROR(__xludf.DUMMYFUNCTION("GOOGLETRANSLATE(B1197,""en"",""fr"")"),"Un bateau se retourne et la caméra entre dans l'eau.")</f>
        <v>Un bateau se retourne et la caméra entre dans l'eau.</v>
      </c>
    </row>
    <row r="1198">
      <c r="A1198" s="4" t="s">
        <v>1513</v>
      </c>
      <c r="B1198" s="4" t="s">
        <v>1517</v>
      </c>
      <c r="C1198" s="5" t="str">
        <f>IFERROR(__xludf.DUMMYFUNCTION("GOOGLETRANSLATE(B1198,""en"",""fr"")"),"Deux personnes debout sur un quai soulèvent leur bateau hors de l'eau.")</f>
        <v>Deux personnes debout sur un quai soulèvent leur bateau hors de l'eau.</v>
      </c>
    </row>
    <row r="1199">
      <c r="A1199" s="4" t="s">
        <v>1518</v>
      </c>
      <c r="B1199" s="4" t="s">
        <v>1519</v>
      </c>
      <c r="C1199" s="5" t="str">
        <f>IFERROR(__xludf.DUMMYFUNCTION("GOOGLETRANSLATE(B1199,""en"",""fr"")"),"Un peintre applique du plâtre à un mur à l'aide d'un large outil de bord plat.")</f>
        <v>Un peintre applique du plâtre à un mur à l'aide d'un large outil de bord plat.</v>
      </c>
    </row>
    <row r="1200">
      <c r="A1200" s="4" t="s">
        <v>1518</v>
      </c>
      <c r="B1200" s="4" t="s">
        <v>1520</v>
      </c>
      <c r="C1200" s="5" t="str">
        <f>IFERROR(__xludf.DUMMYFUNCTION("GOOGLETRANSLATE(B1200,""en"",""fr"")"),"L'homme déplace un fil électrique sur le temps pour le plâtre autour de lui.")</f>
        <v>L'homme déplace un fil électrique sur le temps pour le plâtre autour de lui.</v>
      </c>
    </row>
    <row r="1201">
      <c r="A1201" s="4" t="s">
        <v>1518</v>
      </c>
      <c r="B1201" s="4" t="s">
        <v>1521</v>
      </c>
      <c r="C1201" s="5" t="str">
        <f>IFERROR(__xludf.DUMMYFUNCTION("GOOGLETRANSLATE(B1201,""en"",""fr"")"),"D'autres pièces de la maison sont visibles à différents stades de l'exhaustivité.")</f>
        <v>D'autres pièces de la maison sont visibles à différents stades de l'exhaustivité.</v>
      </c>
    </row>
    <row r="1202">
      <c r="A1202" s="4" t="s">
        <v>1522</v>
      </c>
      <c r="B1202" s="6" t="s">
        <v>1523</v>
      </c>
      <c r="C1202" s="5" t="str">
        <f>IFERROR(__xludf.DUMMYFUNCTION("GOOGLETRANSLATE(B1202,""en"",""fr"")"),"Un homme saute sur un camion signé avec des lignes blanches, quand il arrive à la troisième ligne saute et atterrit dans le bac à sable.")</f>
        <v>Un homme saute sur un camion signé avec des lignes blanches, quand il arrive à la troisième ligne saute et atterrit dans le bac à sable.</v>
      </c>
    </row>
    <row r="1203">
      <c r="A1203" s="4" t="s">
        <v>1522</v>
      </c>
      <c r="B1203" s="4" t="s">
        <v>1524</v>
      </c>
      <c r="C1203" s="5" t="str">
        <f>IFERROR(__xludf.DUMMYFUNCTION("GOOGLETRANSLATE(B1203,""en"",""fr"")"),"La lecture d'un homme interprétant le saut en longueur est spectaculaire à plusieurs reprises.")</f>
        <v>La lecture d'un homme interprétant le saut en longueur est spectaculaire à plusieurs reprises.</v>
      </c>
    </row>
    <row r="1204">
      <c r="A1204" s="4" t="s">
        <v>1525</v>
      </c>
      <c r="B1204" s="4" t="s">
        <v>1526</v>
      </c>
      <c r="C1204" s="5" t="str">
        <f>IFERROR(__xludf.DUMMYFUNCTION("GOOGLETRANSLATE(B1204,""en"",""fr"")"),"Une pom-pom girl se tient dans l'herbe.")</f>
        <v>Une pom-pom girl se tient dans l'herbe.</v>
      </c>
    </row>
    <row r="1205">
      <c r="A1205" s="4" t="s">
        <v>1525</v>
      </c>
      <c r="B1205" s="4" t="s">
        <v>1527</v>
      </c>
      <c r="C1205" s="5" t="str">
        <f>IFERROR(__xludf.DUMMYFUNCTION("GOOGLETRANSLATE(B1205,""en"",""fr"")"),"Un jeune homme portant un chapeau de baseball la grande avec une tarte et des blagues avec elle.")</f>
        <v>Un jeune homme portant un chapeau de baseball la grande avec une tarte et des blagues avec elle.</v>
      </c>
    </row>
    <row r="1206">
      <c r="A1206" s="4" t="s">
        <v>1525</v>
      </c>
      <c r="B1206" s="4" t="s">
        <v>1528</v>
      </c>
      <c r="C1206" s="5" t="str">
        <f>IFERROR(__xludf.DUMMYFUNCTION("GOOGLETRANSLATE(B1206,""en"",""fr"")"),"L'homme pousse une tarte au visage des filles comme une blague la mettant très désordonnée.")</f>
        <v>L'homme pousse une tarte au visage des filles comme une blague la mettant très désordonnée.</v>
      </c>
    </row>
    <row r="1207">
      <c r="A1207" s="4" t="s">
        <v>1525</v>
      </c>
      <c r="B1207" s="4" t="s">
        <v>1529</v>
      </c>
      <c r="C1207" s="5" t="str">
        <f>IFERROR(__xludf.DUMMYFUNCTION("GOOGLETRANSLATE(B1207,""en"",""fr"")"),"Une fille en cours de gymnastique tombe sur un tapis rouge avec l'équipe qui regarde.")</f>
        <v>Une fille en cours de gymnastique tombe sur un tapis rouge avec l'équipe qui regarde.</v>
      </c>
    </row>
    <row r="1208">
      <c r="A1208" s="4" t="s">
        <v>1525</v>
      </c>
      <c r="B1208" s="4" t="s">
        <v>1530</v>
      </c>
      <c r="C1208" s="5" t="str">
        <f>IFERROR(__xludf.DUMMYFUNCTION("GOOGLETRANSLATE(B1208,""en"",""fr"")"),"Une pom-pom girl avec une mascotte lors d'un match de football.")</f>
        <v>Une pom-pom girl avec une mascotte lors d'un match de football.</v>
      </c>
    </row>
    <row r="1209">
      <c r="A1209" s="4" t="s">
        <v>1525</v>
      </c>
      <c r="B1209" s="4" t="s">
        <v>1531</v>
      </c>
      <c r="C1209" s="5" t="str">
        <f>IFERROR(__xludf.DUMMYFUNCTION("GOOGLETRANSLATE(B1209,""en"",""fr"")"),"La mascotte engloutit la fille et la tire dans son uniforme.")</f>
        <v>La mascotte engloutit la fille et la tire dans son uniforme.</v>
      </c>
    </row>
    <row r="1210">
      <c r="A1210" s="4" t="s">
        <v>1525</v>
      </c>
      <c r="B1210" s="6" t="s">
        <v>1532</v>
      </c>
      <c r="C1210" s="5" t="str">
        <f>IFERROR(__xludf.DUMMYFUNCTION("GOOGLETRANSLATE(B1210,""en"",""fr"")"),"Un groupe de tête de joie se réunit dans un cercle se tenant la main et flip les membres de l'équipe quand on tombe au sol.")</f>
        <v>Un groupe de tête de joie se réunit dans un cercle se tenant la main et flip les membres de l'équipe quand on tombe au sol.</v>
      </c>
    </row>
    <row r="1211">
      <c r="A1211" s="4" t="s">
        <v>1525</v>
      </c>
      <c r="B1211" s="4" t="s">
        <v>1533</v>
      </c>
      <c r="C1211" s="5" t="str">
        <f>IFERROR(__xludf.DUMMYFUNCTION("GOOGLETRANSLATE(B1211,""en"",""fr"")"),"Un groupe de pom-pom girls en noir pour les retourner sur une piste du terrain de football.")</f>
        <v>Un groupe de pom-pom girls en noir pour les retourner sur une piste du terrain de football.</v>
      </c>
    </row>
    <row r="1212">
      <c r="A1212" s="4" t="s">
        <v>1525</v>
      </c>
      <c r="B1212" s="4" t="s">
        <v>1534</v>
      </c>
      <c r="C1212" s="5" t="str">
        <f>IFERROR(__xludf.DUMMYFUNCTION("GOOGLETRANSLATE(B1212,""en"",""fr"")"),"Un groupe de filles hissent [un coéquipier pour faire une pyramide humaine.")</f>
        <v>Un groupe de filles hissent [un coéquipier pour faire une pyramide humaine.</v>
      </c>
    </row>
    <row r="1213">
      <c r="A1213" s="4" t="s">
        <v>1525</v>
      </c>
      <c r="B1213" s="4" t="s">
        <v>1535</v>
      </c>
      <c r="C1213" s="5" t="str">
        <f>IFERROR(__xludf.DUMMYFUNCTION("GOOGLETRANSLATE(B1213,""en"",""fr"")"),"Le coéquipier tombe au sol et atterrit au-dessus des autres.")</f>
        <v>Le coéquipier tombe au sol et atterrit au-dessus des autres.</v>
      </c>
    </row>
    <row r="1214">
      <c r="A1214" s="4" t="s">
        <v>1525</v>
      </c>
      <c r="B1214" s="4" t="s">
        <v>1536</v>
      </c>
      <c r="C1214" s="5" t="str">
        <f>IFERROR(__xludf.DUMMYFUNCTION("GOOGLETRANSLATE(B1214,""en"",""fr"")"),"Un homme en chemise hawaïenne installe un trampoline lors d'une compétition de basket-ball.")</f>
        <v>Un homme en chemise hawaïenne installe un trampoline lors d'une compétition de basket-ball.</v>
      </c>
    </row>
    <row r="1215">
      <c r="A1215" s="4" t="s">
        <v>1525</v>
      </c>
      <c r="B1215" s="4" t="s">
        <v>1537</v>
      </c>
      <c r="C1215" s="5" t="str">
        <f>IFERROR(__xludf.DUMMYFUNCTION("GOOGLETRANSLATE(B1215,""en"",""fr"")"),"Un groupe de pom-pom girls tient une femme ensemble devant le trampoline.")</f>
        <v>Un groupe de pom-pom girls tient une femme ensemble devant le trampoline.</v>
      </c>
    </row>
    <row r="1216">
      <c r="A1216" s="4" t="s">
        <v>1525</v>
      </c>
      <c r="B1216" s="6" t="s">
        <v>1538</v>
      </c>
      <c r="C1216" s="5" t="str">
        <f>IFERROR(__xludf.DUMMYFUNCTION("GOOGLETRANSLATE(B1216,""en"",""fr"")"),"L'homme revient en courant et saute sur le trampoline mais renverse la fille tout en effectuant son coup.")</f>
        <v>L'homme revient en courant et saute sur le trampoline mais renverse la fille tout en effectuant son coup.</v>
      </c>
    </row>
    <row r="1217">
      <c r="A1217" s="4" t="s">
        <v>1525</v>
      </c>
      <c r="B1217" s="4" t="s">
        <v>1539</v>
      </c>
      <c r="C1217" s="5" t="str">
        <f>IFERROR(__xludf.DUMMYFUNCTION("GOOGLETRANSLATE(B1217,""en"",""fr"")"),"Un groupe de pom-pom girls en rouge fait des saut périls sur le terrain quand on tombe.")</f>
        <v>Un groupe de pom-pom girls en rouge fait des saut périls sur le terrain quand on tombe.</v>
      </c>
    </row>
    <row r="1218">
      <c r="A1218" s="4" t="s">
        <v>1525</v>
      </c>
      <c r="B1218" s="4" t="s">
        <v>1540</v>
      </c>
      <c r="C1218" s="5" t="str">
        <f>IFERROR(__xludf.DUMMYFUNCTION("GOOGLETRANSLATE(B1218,""en"",""fr"")"),"Une pom-pom girl en noir fait un ressort de dos et tombe au sol.")</f>
        <v>Une pom-pom girl en noir fait un ressort de dos et tombe au sol.</v>
      </c>
    </row>
    <row r="1219">
      <c r="A1219" s="4" t="s">
        <v>1525</v>
      </c>
      <c r="B1219" s="4" t="s">
        <v>1541</v>
      </c>
      <c r="C1219" s="5" t="str">
        <f>IFERROR(__xludf.DUMMYFUNCTION("GOOGLETRANSLATE(B1219,""en"",""fr"")"),"Un groupe de pom-pom girls danse avec Pom Poms.")</f>
        <v>Un groupe de pom-pom girls danse avec Pom Poms.</v>
      </c>
    </row>
    <row r="1220">
      <c r="A1220" s="4" t="s">
        <v>1525</v>
      </c>
      <c r="B1220" s="4" t="s">
        <v>1542</v>
      </c>
      <c r="C1220" s="5" t="str">
        <f>IFERROR(__xludf.DUMMYFUNCTION("GOOGLETRANSLATE(B1220,""en"",""fr"")"),"Un autre groupe de pom-pom girls en arrière-plan élève des coéquipiers quand on tombe.")</f>
        <v>Un autre groupe de pom-pom girls en arrière-plan élève des coéquipiers quand on tombe.</v>
      </c>
    </row>
    <row r="1221">
      <c r="A1221" s="4" t="s">
        <v>1525</v>
      </c>
      <c r="B1221" s="4" t="s">
        <v>1543</v>
      </c>
      <c r="C1221" s="5" t="str">
        <f>IFERROR(__xludf.DUMMYFUNCTION("GOOGLETRANSLATE(B1221,""en"",""fr"")"),"Un groupe de pom-pom girls en coéquipiers Blue Lift Up en compétition quand on tombe au sol.")</f>
        <v>Un groupe de pom-pom girls en coéquipiers Blue Lift Up en compétition quand on tombe au sol.</v>
      </c>
    </row>
    <row r="1222">
      <c r="A1222" s="4" t="s">
        <v>1525</v>
      </c>
      <c r="B1222" s="4" t="s">
        <v>1544</v>
      </c>
      <c r="C1222" s="5" t="str">
        <f>IFERROR(__xludf.DUMMYFUNCTION("GOOGLETRANSLATE(B1222,""en"",""fr"")"),"Une fille en chemise blanche parle à la caméra.")</f>
        <v>Une fille en chemise blanche parle à la caméra.</v>
      </c>
    </row>
    <row r="1223">
      <c r="A1223" s="4" t="s">
        <v>1525</v>
      </c>
      <c r="B1223" s="4" t="s">
        <v>1545</v>
      </c>
      <c r="C1223" s="5" t="str">
        <f>IFERROR(__xludf.DUMMYFUNCTION("GOOGLETRANSLATE(B1223,""en"",""fr"")"),"La fille fait un Summersault mais tombe au sol.")</f>
        <v>La fille fait un Summersault mais tombe au sol.</v>
      </c>
    </row>
    <row r="1224">
      <c r="A1224" s="4" t="s">
        <v>1525</v>
      </c>
      <c r="B1224" s="4" t="s">
        <v>1546</v>
      </c>
      <c r="C1224" s="5" t="str">
        <f>IFERROR(__xludf.DUMMYFUNCTION("GOOGLETRANSLATE(B1224,""en"",""fr"")"),"Une fille en chemise verte avec des amis fait un coup de pied haut sur un terrain mais tombe au sol.")</f>
        <v>Une fille en chemise verte avec des amis fait un coup de pied haut sur un terrain mais tombe au sol.</v>
      </c>
    </row>
    <row r="1225">
      <c r="A1225" s="4" t="s">
        <v>1525</v>
      </c>
      <c r="B1225" s="4" t="s">
        <v>1547</v>
      </c>
      <c r="C1225" s="5" t="str">
        <f>IFERROR(__xludf.DUMMYFUNCTION("GOOGLETRANSLATE(B1225,""en"",""fr"")"),"Une pom-pom girl tombe au sol tout en dansant avec le groupe.")</f>
        <v>Une pom-pom girl tombe au sol tout en dansant avec le groupe.</v>
      </c>
    </row>
    <row r="1226">
      <c r="A1226" s="4" t="s">
        <v>1525</v>
      </c>
      <c r="B1226" s="4" t="s">
        <v>1548</v>
      </c>
      <c r="C1226" s="5" t="str">
        <f>IFERROR(__xludf.DUMMYFUNCTION("GOOGLETRANSLATE(B1226,""en"",""fr"")"),"Une pom-pom girl est soulevée entre les mains de l'équipe lorsqu'elle tombe au sol.")</f>
        <v>Une pom-pom girl est soulevée entre les mains de l'équipe lorsqu'elle tombe au sol.</v>
      </c>
    </row>
    <row r="1227">
      <c r="A1227" s="4" t="s">
        <v>1525</v>
      </c>
      <c r="B1227" s="4" t="s">
        <v>1549</v>
      </c>
      <c r="C1227" s="5" t="str">
        <f>IFERROR(__xludf.DUMMYFUNCTION("GOOGLETRANSLATE(B1227,""en"",""fr"")"),"Un groupe de pom-pom girls en Yellow Lift Temmate dans une pyramide mais laisse tomber.")</f>
        <v>Un groupe de pom-pom girls en Yellow Lift Temmate dans une pyramide mais laisse tomber.</v>
      </c>
    </row>
    <row r="1228">
      <c r="A1228" s="4" t="s">
        <v>1525</v>
      </c>
      <c r="B1228" s="4" t="s">
        <v>1550</v>
      </c>
      <c r="C1228" s="5" t="str">
        <f>IFERROR(__xludf.DUMMYFUNCTION("GOOGLETRANSLATE(B1228,""en"",""fr"")"),"Un groupe de femmes saute d'un trampoline et fait des dunks slam lors de la compétition de basket-ball.")</f>
        <v>Un groupe de femmes saute d'un trampoline et fait des dunks slam lors de la compétition de basket-ball.</v>
      </c>
    </row>
    <row r="1229">
      <c r="A1229" s="4" t="s">
        <v>1525</v>
      </c>
      <c r="B1229" s="4" t="s">
        <v>1551</v>
      </c>
      <c r="C1229" s="5" t="str">
        <f>IFERROR(__xludf.DUMMYFUNCTION("GOOGLETRANSLATE(B1229,""en"",""fr"")"),"Une fille manque le trampoline et rencontre le tapis.")</f>
        <v>Une fille manque le trampoline et rencontre le tapis.</v>
      </c>
    </row>
    <row r="1230">
      <c r="A1230" s="4" t="s">
        <v>1525</v>
      </c>
      <c r="B1230" s="4" t="s">
        <v>1552</v>
      </c>
      <c r="C1230" s="5" t="str">
        <f>IFERROR(__xludf.DUMMYFUNCTION("GOOGLETRANSLATE(B1230,""en"",""fr"")"),"Des hommes de l'équipe de basket-ball se précipitent pour la vérifier.")</f>
        <v>Des hommes de l'équipe de basket-ball se précipitent pour la vérifier.</v>
      </c>
    </row>
    <row r="1231">
      <c r="A1231" s="4" t="s">
        <v>1553</v>
      </c>
      <c r="B1231" s="4" t="s">
        <v>1554</v>
      </c>
      <c r="C1231" s="5" t="str">
        <f>IFERROR(__xludf.DUMMYFUNCTION("GOOGLETRANSLATE(B1231,""en"",""fr"")"),"Un groupe d'hommes dans des masques est recueilli autour des cibles.")</f>
        <v>Un groupe d'hommes dans des masques est recueilli autour des cibles.</v>
      </c>
    </row>
    <row r="1232">
      <c r="A1232" s="4" t="s">
        <v>1553</v>
      </c>
      <c r="B1232" s="4" t="s">
        <v>1555</v>
      </c>
      <c r="C1232" s="5" t="str">
        <f>IFERROR(__xludf.DUMMYFUNCTION("GOOGLETRANSLATE(B1232,""en"",""fr"")"),"Ils tiennent des pistolets de peinture pendant qu'ils traversent le terrain.")</f>
        <v>Ils tiennent des pistolets de peinture pendant qu'ils traversent le terrain.</v>
      </c>
    </row>
    <row r="1233">
      <c r="A1233" s="4" t="s">
        <v>1553</v>
      </c>
      <c r="B1233" s="4" t="s">
        <v>1556</v>
      </c>
      <c r="C1233" s="5" t="str">
        <f>IFERROR(__xludf.DUMMYFUNCTION("GOOGLETRANSLATE(B1233,""en"",""fr"")"),"Ils se cachent derrière des obstacles, se tirant les uns sur les autres.")</f>
        <v>Ils se cachent derrière des obstacles, se tirant les uns sur les autres.</v>
      </c>
    </row>
    <row r="1234">
      <c r="A1234" s="4" t="s">
        <v>1557</v>
      </c>
      <c r="B1234" s="4" t="s">
        <v>1558</v>
      </c>
      <c r="C1234" s="5" t="str">
        <f>IFERROR(__xludf.DUMMYFUNCTION("GOOGLETRANSLATE(B1234,""en"",""fr"")"),"Un homme est vu courir dans la rue en tenant une boîte et en parlant à un autre.")</f>
        <v>Un homme est vu courir dans la rue en tenant une boîte et en parlant à un autre.</v>
      </c>
    </row>
    <row r="1235">
      <c r="A1235" s="4" t="s">
        <v>1557</v>
      </c>
      <c r="B1235" s="4" t="s">
        <v>1559</v>
      </c>
      <c r="C1235" s="5" t="str">
        <f>IFERROR(__xludf.DUMMYFUNCTION("GOOGLETRANSLATE(B1235,""en"",""fr"")"),"L'homme joue ensuite à un jeu avec une petite fille et a des arcs après chaque match.")</f>
        <v>L'homme joue ensuite à un jeu avec une petite fille et a des arcs après chaque match.</v>
      </c>
    </row>
    <row r="1236">
      <c r="A1236" s="4" t="s">
        <v>1557</v>
      </c>
      <c r="B1236" s="6" t="s">
        <v>1560</v>
      </c>
      <c r="C1236" s="5" t="str">
        <f>IFERROR(__xludf.DUMMYFUNCTION("GOOGLETRANSLATE(B1236,""en"",""fr"")"),"Les deux continuent de jouer avec l'homme en riant de la caméra et lui lui donnant un baiser à la fin.")</f>
        <v>Les deux continuent de jouer avec l'homme en riant de la caméra et lui lui donnant un baiser à la fin.</v>
      </c>
    </row>
    <row r="1237">
      <c r="A1237" s="4" t="s">
        <v>1561</v>
      </c>
      <c r="B1237" s="4" t="s">
        <v>1562</v>
      </c>
      <c r="C1237" s="5" t="str">
        <f>IFERROR(__xludf.DUMMYFUNCTION("GOOGLETRANSLATE(B1237,""en"",""fr"")"),"Un homme prend une balle et le met derrière son cou et le jette sur le terrain.")</f>
        <v>Un homme prend une balle et le met derrière son cou et le jette sur le terrain.</v>
      </c>
    </row>
    <row r="1238">
      <c r="A1238" s="4" t="s">
        <v>1561</v>
      </c>
      <c r="B1238" s="4" t="s">
        <v>1563</v>
      </c>
      <c r="C1238" s="5" t="str">
        <f>IFERROR(__xludf.DUMMYFUNCTION("GOOGLETRANSLATE(B1238,""en"",""fr"")"),"Un autre homme dans une chemise bleue ramasse une balle et la met derrière son oreille et la jette sur le terrain.")</f>
        <v>Un autre homme dans une chemise bleue ramasse une balle et la met derrière son oreille et la jette sur le terrain.</v>
      </c>
    </row>
    <row r="1239">
      <c r="A1239" s="4" t="s">
        <v>1561</v>
      </c>
      <c r="B1239" s="4" t="s">
        <v>1564</v>
      </c>
      <c r="C1239" s="5" t="str">
        <f>IFERROR(__xludf.DUMMYFUNCTION("GOOGLETRANSLATE(B1239,""en"",""fr"")"),"Les gens mesurent la distance sur le terrain.")</f>
        <v>Les gens mesurent la distance sur le terrain.</v>
      </c>
    </row>
    <row r="1240">
      <c r="A1240" s="4" t="s">
        <v>1561</v>
      </c>
      <c r="B1240" s="4" t="s">
        <v>1565</v>
      </c>
      <c r="C1240" s="5" t="str">
        <f>IFERROR(__xludf.DUMMYFUNCTION("GOOGLETRANSLATE(B1240,""en"",""fr"")"),"L'homme met un t-shirt blanc et met ses bras en l'air.")</f>
        <v>L'homme met un t-shirt blanc et met ses bras en l'air.</v>
      </c>
    </row>
    <row r="1241">
      <c r="A1241" s="4" t="s">
        <v>1561</v>
      </c>
      <c r="B1241" s="4" t="s">
        <v>1566</v>
      </c>
      <c r="C1241" s="5" t="str">
        <f>IFERROR(__xludf.DUMMYFUNCTION("GOOGLETRANSLATE(B1241,""en"",""fr"")"),"Un autre homme lance une balle sur le terrain.")</f>
        <v>Un autre homme lance une balle sur le terrain.</v>
      </c>
    </row>
    <row r="1242">
      <c r="A1242" s="4" t="s">
        <v>1567</v>
      </c>
      <c r="B1242" s="4" t="s">
        <v>1568</v>
      </c>
      <c r="C1242" s="5" t="str">
        <f>IFERROR(__xludf.DUMMYFUNCTION("GOOGLETRANSLATE(B1242,""en"",""fr"")"),"Une femme tient la section arrière des cheveux des filles pendant qu'elle s'apprête à la coiffer.")</f>
        <v>Une femme tient la section arrière des cheveux des filles pendant qu'elle s'apprête à la coiffer.</v>
      </c>
    </row>
    <row r="1243">
      <c r="A1243" s="4" t="s">
        <v>1567</v>
      </c>
      <c r="B1243" s="4" t="s">
        <v>1569</v>
      </c>
      <c r="C1243" s="5" t="str">
        <f>IFERROR(__xludf.DUMMYFUNCTION("GOOGLETRANSLATE(B1243,""en"",""fr"")"),"La femme utilise un seul peigne pour séparer les mèches de cheveux.")</f>
        <v>La femme utilise un seul peigne pour séparer les mèches de cheveux.</v>
      </c>
    </row>
    <row r="1244">
      <c r="A1244" s="4" t="s">
        <v>1567</v>
      </c>
      <c r="B1244" s="4" t="s">
        <v>1570</v>
      </c>
      <c r="C1244" s="5" t="str">
        <f>IFERROR(__xludf.DUMMYFUNCTION("GOOGLETRANSLATE(B1244,""en"",""fr"")"),"La femme coupe des sections de cheveux.")</f>
        <v>La femme coupe des sections de cheveux.</v>
      </c>
    </row>
    <row r="1245">
      <c r="A1245" s="4" t="s">
        <v>1567</v>
      </c>
      <c r="B1245" s="4" t="s">
        <v>1571</v>
      </c>
      <c r="C1245" s="5" t="str">
        <f>IFERROR(__xludf.DUMMYFUNCTION("GOOGLETRANSLATE(B1245,""en"",""fr"")"),"La femme tire sur des mèches de poils pour les redresser.")</f>
        <v>La femme tire sur des mèches de poils pour les redresser.</v>
      </c>
    </row>
    <row r="1246">
      <c r="A1246" s="4" t="s">
        <v>1567</v>
      </c>
      <c r="B1246" s="4" t="s">
        <v>1572</v>
      </c>
      <c r="C1246" s="5" t="str">
        <f>IFERROR(__xludf.DUMMYFUNCTION("GOOGLETRANSLATE(B1246,""en"",""fr"")"),"La femme leur tresse les mèches de cheveux ensemble.")</f>
        <v>La femme leur tresse les mèches de cheveux ensemble.</v>
      </c>
    </row>
    <row r="1247">
      <c r="A1247" s="4" t="s">
        <v>1573</v>
      </c>
      <c r="B1247" s="4" t="s">
        <v>1574</v>
      </c>
      <c r="C1247" s="5" t="str">
        <f>IFERROR(__xludf.DUMMYFUNCTION("GOOGLETRANSLATE(B1247,""en"",""fr"")"),"Une image est montrée d'un homme posant avec des trophées et fléchissant ses biceps.")</f>
        <v>Une image est montrée d'un homme posant avec des trophées et fléchissant ses biceps.</v>
      </c>
    </row>
    <row r="1248">
      <c r="A1248" s="4" t="s">
        <v>1573</v>
      </c>
      <c r="B1248" s="4" t="s">
        <v>1575</v>
      </c>
      <c r="C1248" s="5" t="str">
        <f>IFERROR(__xludf.DUMMYFUNCTION("GOOGLETRANSLATE(B1248,""en"",""fr"")"),"Les images sont passées aux vidéos, car il gagne plusieurs matchs de lutte et trophées de bras.")</f>
        <v>Les images sont passées aux vidéos, car il gagne plusieurs matchs de lutte et trophées de bras.</v>
      </c>
    </row>
    <row r="1249">
      <c r="A1249" s="4" t="s">
        <v>1573</v>
      </c>
      <c r="B1249" s="4" t="s">
        <v>1576</v>
      </c>
      <c r="C1249" s="5" t="str">
        <f>IFERROR(__xludf.DUMMYFUNCTION("GOOGLETRANSLATE(B1249,""en"",""fr"")"),"Dans les scènes finales, un vaste public parle alors qu'ils le regardent gagner à nouveau.")</f>
        <v>Dans les scènes finales, un vaste public parle alors qu'ils le regardent gagner à nouveau.</v>
      </c>
    </row>
    <row r="1250">
      <c r="A1250" s="4" t="s">
        <v>1577</v>
      </c>
      <c r="B1250" s="4" t="s">
        <v>1578</v>
      </c>
      <c r="C1250" s="5" t="str">
        <f>IFERROR(__xludf.DUMMYFUNCTION("GOOGLETRANSLATE(B1250,""en"",""fr"")"),"L'homme se tient dans une patinoire à pratiquer le hockey.")</f>
        <v>L'homme se tient dans une patinoire à pratiquer le hockey.</v>
      </c>
    </row>
    <row r="1251">
      <c r="A1251" s="4" t="s">
        <v>1577</v>
      </c>
      <c r="B1251" s="4" t="s">
        <v>1579</v>
      </c>
      <c r="C1251" s="5" t="str">
        <f>IFERROR(__xludf.DUMMYFUNCTION("GOOGLETRANSLATE(B1251,""en"",""fr"")"),"L'homme met un uniforme de hockey.")</f>
        <v>L'homme met un uniforme de hockey.</v>
      </c>
    </row>
    <row r="1252">
      <c r="A1252" s="4" t="s">
        <v>1580</v>
      </c>
      <c r="B1252" s="4" t="s">
        <v>1581</v>
      </c>
      <c r="C1252" s="5" t="str">
        <f>IFERROR(__xludf.DUMMYFUNCTION("GOOGLETRANSLATE(B1252,""en"",""fr"")"),"Il y a plusieurs personnes rassemblées dans la rue où la musique live joue.")</f>
        <v>Il y a plusieurs personnes rassemblées dans la rue où la musique live joue.</v>
      </c>
    </row>
    <row r="1253">
      <c r="A1253" s="4" t="s">
        <v>1580</v>
      </c>
      <c r="B1253" s="4" t="s">
        <v>1582</v>
      </c>
      <c r="C1253" s="5" t="str">
        <f>IFERROR(__xludf.DUMMYFUNCTION("GOOGLETRANSLATE(B1253,""en"",""fr"")"),"Il y a des couples qui dansent ensemble à la musique faisant le style de danse de salsa.")</f>
        <v>Il y a des couples qui dansent ensemble à la musique faisant le style de danse de salsa.</v>
      </c>
    </row>
    <row r="1254">
      <c r="A1254" s="4" t="s">
        <v>1580</v>
      </c>
      <c r="B1254" s="6" t="s">
        <v>1583</v>
      </c>
      <c r="C1254" s="5" t="str">
        <f>IFERROR(__xludf.DUMMYFUNCTION("GOOGLETRANSLATE(B1254,""en"",""fr"")"),"Il y a beaucoup de restaurants et de magasins dans cette place de la ville où les gens sont rassemblés pour voir les couples danser.")</f>
        <v>Il y a beaucoup de restaurants et de magasins dans cette place de la ville où les gens sont rassemblés pour voir les couples danser.</v>
      </c>
    </row>
    <row r="1255">
      <c r="A1255" s="4" t="s">
        <v>1580</v>
      </c>
      <c r="B1255" s="4" t="s">
        <v>1584</v>
      </c>
      <c r="C1255" s="5" t="str">
        <f>IFERROR(__xludf.DUMMYFUNCTION("GOOGLETRANSLATE(B1255,""en"",""fr"")"),"Certains des passants sont une vidéo enregistrée sur les danseurs.")</f>
        <v>Certains des passants sont une vidéo enregistrée sur les danseurs.</v>
      </c>
    </row>
    <row r="1256">
      <c r="A1256" s="4" t="s">
        <v>1580</v>
      </c>
      <c r="B1256" s="4" t="s">
        <v>1585</v>
      </c>
      <c r="C1256" s="5" t="str">
        <f>IFERROR(__xludf.DUMMYFUNCTION("GOOGLETRANSLATE(B1256,""en"",""fr"")"),"Les couples continuent de danser jusqu'à la fin de la musique.")</f>
        <v>Les couples continuent de danser jusqu'à la fin de la musique.</v>
      </c>
    </row>
    <row r="1257">
      <c r="A1257" s="4" t="s">
        <v>1580</v>
      </c>
      <c r="B1257" s="4" t="s">
        <v>1586</v>
      </c>
      <c r="C1257" s="5" t="str">
        <f>IFERROR(__xludf.DUMMYFUNCTION("GOOGLETRANSLATE(B1257,""en"",""fr"")"),"Un gars embrasse sa petite amie sur la joue après la fin de la danse.")</f>
        <v>Un gars embrasse sa petite amie sur la joue après la fin de la danse.</v>
      </c>
    </row>
    <row r="1258">
      <c r="A1258" s="4" t="s">
        <v>1587</v>
      </c>
      <c r="B1258" s="4" t="s">
        <v>1588</v>
      </c>
      <c r="C1258" s="5" t="str">
        <f>IFERROR(__xludf.DUMMYFUNCTION("GOOGLETRANSLATE(B1258,""en"",""fr"")"),"Un homme est vu en tenant un bâton et mène à des clips de hockey sur le terrain.")</f>
        <v>Un homme est vu en tenant un bâton et mène à des clips de hockey sur le terrain.</v>
      </c>
    </row>
    <row r="1259">
      <c r="A1259" s="4" t="s">
        <v>1587</v>
      </c>
      <c r="B1259" s="4" t="s">
        <v>1589</v>
      </c>
      <c r="C1259" s="5" t="str">
        <f>IFERROR(__xludf.DUMMYFUNCTION("GOOGLETRANSLATE(B1259,""en"",""fr"")"),"Les hommes sont vus monter et descendre un terrain en poursuivant après une balle et marquant un but.")</f>
        <v>Les hommes sont vus monter et descendre un terrain en poursuivant après une balle et marquant un but.</v>
      </c>
    </row>
    <row r="1260">
      <c r="A1260" s="4" t="s">
        <v>1587</v>
      </c>
      <c r="B1260" s="4" t="s">
        <v>1590</v>
      </c>
      <c r="C1260" s="5" t="str">
        <f>IFERROR(__xludf.DUMMYFUNCTION("GOOGLETRANSLATE(B1260,""en"",""fr"")"),"Plusieurs clips sont montrés de personnes jouant à ce jeu et célébrant avec des coéquipiers.")</f>
        <v>Plusieurs clips sont montrés de personnes jouant à ce jeu et célébrant avec des coéquipiers.</v>
      </c>
    </row>
    <row r="1261">
      <c r="A1261" s="4" t="s">
        <v>1591</v>
      </c>
      <c r="B1261" s="6" t="s">
        <v>1592</v>
      </c>
      <c r="C1261" s="5" t="str">
        <f>IFERROR(__xludf.DUMMYFUNCTION("GOOGLETRANSLATE(B1261,""en"",""fr"")"),"Une introduction mène à une caméra qui suit un match de crosse et une pause pour montrer les mouvements des joueurs.")</f>
        <v>Une introduction mène à une caméra qui suit un match de crosse et une pause pour montrer les mouvements des joueurs.</v>
      </c>
    </row>
    <row r="1262">
      <c r="A1262" s="4" t="s">
        <v>1591</v>
      </c>
      <c r="B1262" s="4" t="s">
        <v>1593</v>
      </c>
      <c r="C1262" s="5" t="str">
        <f>IFERROR(__xludf.DUMMYFUNCTION("GOOGLETRANSLATE(B1262,""en"",""fr"")"),"Le jeu continue alors que les gens jouent et courent autour d'une balle.")</f>
        <v>Le jeu continue alors que les gens jouent et courent autour d'une balle.</v>
      </c>
    </row>
    <row r="1263">
      <c r="A1263" s="4" t="s">
        <v>1594</v>
      </c>
      <c r="B1263" s="4" t="s">
        <v>1595</v>
      </c>
      <c r="C1263" s="5" t="str">
        <f>IFERROR(__xludf.DUMMYFUNCTION("GOOGLETRANSLATE(B1263,""en"",""fr"")"),"La chemise Man in Stripes a couru vers le chemin étroit et a sauté et a sauté sur le sol sablonneux.")</f>
        <v>La chemise Man in Stripes a couru vers le chemin étroit et a sauté et a sauté sur le sol sablonneux.</v>
      </c>
    </row>
    <row r="1264">
      <c r="A1264" s="4" t="s">
        <v>1594</v>
      </c>
      <c r="B1264" s="6" t="s">
        <v>1596</v>
      </c>
      <c r="C1264" s="5" t="str">
        <f>IFERROR(__xludf.DUMMYFUNCTION("GOOGLETRANSLATE(B1264,""en"",""fr"")"),"Les hommes sont sautés un par un sur le sol sablonneux pendant qu'un homme et une femme tiennent un râteau et lisse le sol.")</f>
        <v>Les hommes sont sautés un par un sur le sol sablonneux pendant qu'un homme et une femme tiennent un râteau et lisse le sol.</v>
      </c>
    </row>
    <row r="1265">
      <c r="A1265" s="4" t="s">
        <v>1594</v>
      </c>
      <c r="B1265" s="4" t="s">
        <v>1597</v>
      </c>
      <c r="C1265" s="5" t="str">
        <f>IFERROR(__xludf.DUMMYFUNCTION("GOOGLETRANSLATE(B1265,""en"",""fr"")"),"Deux personnes tiennent un ruban à mesurer et mesurent le saut.")</f>
        <v>Deux personnes tiennent un ruban à mesurer et mesurent le saut.</v>
      </c>
    </row>
    <row r="1266">
      <c r="A1266" s="4" t="s">
        <v>1598</v>
      </c>
      <c r="B1266" s="4" t="s">
        <v>1599</v>
      </c>
      <c r="C1266" s="5" t="str">
        <f>IFERROR(__xludf.DUMMYFUNCTION("GOOGLETRANSLATE(B1266,""en"",""fr"")"),"Les mots sont affichés à l'écran.")</f>
        <v>Les mots sont affichés à l'écran.</v>
      </c>
    </row>
    <row r="1267">
      <c r="A1267" s="4" t="s">
        <v>1598</v>
      </c>
      <c r="B1267" s="4" t="s">
        <v>1600</v>
      </c>
      <c r="C1267" s="5" t="str">
        <f>IFERROR(__xludf.DUMMYFUNCTION("GOOGLETRANSLATE(B1267,""en"",""fr"")"),"Un homme parle en se tenant à l'extérieur devant une colline.")</f>
        <v>Un homme parle en se tenant à l'extérieur devant une colline.</v>
      </c>
    </row>
    <row r="1268">
      <c r="A1268" s="4" t="s">
        <v>1598</v>
      </c>
      <c r="B1268" s="4" t="s">
        <v>1601</v>
      </c>
      <c r="C1268" s="5" t="str">
        <f>IFERROR(__xludf.DUMMYFUNCTION("GOOGLETRANSLATE(B1268,""en"",""fr"")"),"L'homme tient une pelle debout devant un petit arbre.")</f>
        <v>L'homme tient une pelle debout devant un petit arbre.</v>
      </c>
    </row>
    <row r="1269">
      <c r="A1269" s="4" t="s">
        <v>1598</v>
      </c>
      <c r="B1269" s="4" t="s">
        <v>1602</v>
      </c>
      <c r="C1269" s="5" t="str">
        <f>IFERROR(__xludf.DUMMYFUNCTION("GOOGLETRANSLATE(B1269,""en"",""fr"")"),"L'homme continue de parler puis pelle quelques mauvaises herbes et de la saleté autour de l'arbre.")</f>
        <v>L'homme continue de parler puis pelle quelques mauvaises herbes et de la saleté autour de l'arbre.</v>
      </c>
    </row>
    <row r="1270">
      <c r="A1270" s="4" t="s">
        <v>1598</v>
      </c>
      <c r="B1270" s="4" t="s">
        <v>1603</v>
      </c>
      <c r="C1270" s="5" t="str">
        <f>IFERROR(__xludf.DUMMYFUNCTION("GOOGLETRANSLATE(B1270,""en"",""fr"")"),"Il ramasse des rochers autour de l'arbre.")</f>
        <v>Il ramasse des rochers autour de l'arbre.</v>
      </c>
    </row>
    <row r="1271">
      <c r="A1271" s="4" t="s">
        <v>1598</v>
      </c>
      <c r="B1271" s="4" t="s">
        <v>1604</v>
      </c>
      <c r="C1271" s="5" t="str">
        <f>IFERROR(__xludf.DUMMYFUNCTION("GOOGLETRANSLATE(B1271,""en"",""fr"")"),"Il y a un seau blanc devant lui d'écorce qu'il met autour de l'arbre.")</f>
        <v>Il y a un seau blanc devant lui d'écorce qu'il met autour de l'arbre.</v>
      </c>
    </row>
    <row r="1272">
      <c r="A1272" s="4" t="s">
        <v>1605</v>
      </c>
      <c r="B1272" s="4" t="s">
        <v>1606</v>
      </c>
      <c r="C1272" s="5" t="str">
        <f>IFERROR(__xludf.DUMMYFUNCTION("GOOGLETRANSLATE(B1272,""en"",""fr"")"),"Deux filles sont assises sur le porche d'une maison tout en se rasant les jambes.")</f>
        <v>Deux filles sont assises sur le porche d'une maison tout en se rasant les jambes.</v>
      </c>
    </row>
    <row r="1273">
      <c r="A1273" s="4" t="s">
        <v>1605</v>
      </c>
      <c r="B1273" s="4" t="s">
        <v>1607</v>
      </c>
      <c r="C1273" s="5" t="str">
        <f>IFERROR(__xludf.DUMMYFUNCTION("GOOGLETRANSLATE(B1273,""en"",""fr"")"),"Un garçon sort et regarde avant de s'éloigner.")</f>
        <v>Un garçon sort et regarde avant de s'éloigner.</v>
      </c>
    </row>
    <row r="1274">
      <c r="A1274" s="4" t="s">
        <v>1605</v>
      </c>
      <c r="B1274" s="4" t="s">
        <v>1608</v>
      </c>
      <c r="C1274" s="5" t="str">
        <f>IFERROR(__xludf.DUMMYFUNCTION("GOOGLETRANSLATE(B1274,""en"",""fr"")"),"Les filles continuent de savonner et de se raser.")</f>
        <v>Les filles continuent de savonner et de se raser.</v>
      </c>
    </row>
    <row r="1275">
      <c r="A1275" s="4" t="s">
        <v>1609</v>
      </c>
      <c r="B1275" s="6" t="s">
        <v>1610</v>
      </c>
      <c r="C1275" s="5" t="str">
        <f>IFERROR(__xludf.DUMMYFUNCTION("GOOGLETRANSLATE(B1275,""en"",""fr"")"),"Un homme utilise un maillet pour découper la glace d'une voiture pendant qu'il neige dehors et un homme le vide par derrière.")</f>
        <v>Un homme utilise un maillet pour découper la glace d'une voiture pendant qu'il neige dehors et un homme le vide par derrière.</v>
      </c>
    </row>
    <row r="1276">
      <c r="A1276" s="4" t="s">
        <v>1609</v>
      </c>
      <c r="B1276" s="6" t="s">
        <v>1611</v>
      </c>
      <c r="C1276" s="5" t="str">
        <f>IFERROR(__xludf.DUMMYFUNCTION("GOOGLETRANSLATE(B1276,""en"",""fr"")"),"Un homme en manteau d'hiver noir et des gants utilise un maillet pour couper la glace d'une voiture couverte de glace dans la neige.")</f>
        <v>Un homme en manteau d'hiver noir et des gants utilise un maillet pour couper la glace d'une voiture couverte de glace dans la neige.</v>
      </c>
    </row>
    <row r="1277">
      <c r="A1277" s="4" t="s">
        <v>1609</v>
      </c>
      <c r="B1277" s="6" t="s">
        <v>1612</v>
      </c>
      <c r="C1277" s="5" t="str">
        <f>IFERROR(__xludf.DUMMYFUNCTION("GOOGLETRANSLATE(B1277,""en"",""fr"")"),"L'homme prend ensuite ses clés de voiture et essaie d'ouvrir le coffre qui est gelé et nécessite de tirer pour s'ouvrir.")</f>
        <v>L'homme prend ensuite ses clés de voiture et essaie d'ouvrir le coffre qui est gelé et nécessite de tirer pour s'ouvrir.</v>
      </c>
    </row>
    <row r="1278">
      <c r="A1278" s="4" t="s">
        <v>1609</v>
      </c>
      <c r="B1278" s="4" t="s">
        <v>1613</v>
      </c>
      <c r="C1278" s="5" t="str">
        <f>IFERROR(__xludf.DUMMYFUNCTION("GOOGLETRANSLATE(B1278,""en"",""fr"")"),"L'homme continue de claquer sur la glace sur la voiture avec le maillet alors que la glace s'écoule en morceaux.")</f>
        <v>L'homme continue de claquer sur la glace sur la voiture avec le maillet alors que la glace s'écoule en morceaux.</v>
      </c>
    </row>
    <row r="1279">
      <c r="A1279" s="4" t="s">
        <v>1609</v>
      </c>
      <c r="B1279" s="6" t="s">
        <v>1614</v>
      </c>
      <c r="C1279" s="5" t="str">
        <f>IFERROR(__xludf.DUMMYFUNCTION("GOOGLETRANSLATE(B1279,""en"",""fr"")"),"L'homme essaie d'ouvrir son coffre, cette fois l'ouverture est plus facile et l'homme grimpe dans le coffre de la voiture à l'avant de la voiture pour ouvrir la porte du conducteur depuis le siège des conducteurs.")</f>
        <v>L'homme essaie d'ouvrir son coffre, cette fois l'ouverture est plus facile et l'homme grimpe dans le coffre de la voiture à l'avant de la voiture pour ouvrir la porte du conducteur depuis le siège des conducteurs.</v>
      </c>
    </row>
    <row r="1280">
      <c r="A1280" s="4" t="s">
        <v>1615</v>
      </c>
      <c r="B1280" s="4" t="s">
        <v>1616</v>
      </c>
      <c r="C1280" s="5" t="str">
        <f>IFERROR(__xludf.DUMMYFUNCTION("GOOGLETRANSLATE(B1280,""en"",""fr"")"),"Un grand tapis est vu avec un bar sur le dessus et deux personnes qui regardent sur les côtés.")</f>
        <v>Un grand tapis est vu avec un bar sur le dessus et deux personnes qui regardent sur les côtés.</v>
      </c>
    </row>
    <row r="1281">
      <c r="A1281" s="4" t="s">
        <v>1615</v>
      </c>
      <c r="B1281" s="4" t="s">
        <v>1617</v>
      </c>
      <c r="C1281" s="5" t="str">
        <f>IFERROR(__xludf.DUMMYFUNCTION("GOOGLETRANSLATE(B1281,""en"",""fr"")"),"Un homme est alors vu courir de côté.")</f>
        <v>Un homme est alors vu courir de côté.</v>
      </c>
    </row>
    <row r="1282">
      <c r="A1282" s="4" t="s">
        <v>1615</v>
      </c>
      <c r="B1282" s="4" t="s">
        <v>1618</v>
      </c>
      <c r="C1282" s="5" t="str">
        <f>IFERROR(__xludf.DUMMYFUNCTION("GOOGLETRANSLATE(B1282,""en"",""fr"")"),"L'homme saute par-dessus la poutre et se lève sur le tapis.")</f>
        <v>L'homme saute par-dessus la poutre et se lève sur le tapis.</v>
      </c>
    </row>
    <row r="1283">
      <c r="A1283" s="4" t="s">
        <v>1619</v>
      </c>
      <c r="B1283" s="4" t="s">
        <v>1620</v>
      </c>
      <c r="C1283" s="5" t="str">
        <f>IFERROR(__xludf.DUMMYFUNCTION("GOOGLETRANSLATE(B1283,""en"",""fr"")"),"Une personne est montrée à l'extérieur de la neige en neigeuse d'une voiture avec des lumières allumées.")</f>
        <v>Une personne est montrée à l'extérieur de la neige en neigeuse d'une voiture avec des lumières allumées.</v>
      </c>
    </row>
    <row r="1284">
      <c r="A1284" s="4" t="s">
        <v>1619</v>
      </c>
      <c r="B1284" s="4" t="s">
        <v>1621</v>
      </c>
      <c r="C1284" s="5" t="str">
        <f>IFERROR(__xludf.DUMMYFUNCTION("GOOGLETRANSLATE(B1284,""en"",""fr"")"),"L'homme se promène dans la voiture en poussant plus de neige et en fermant la porte.")</f>
        <v>L'homme se promène dans la voiture en poussant plus de neige et en fermant la porte.</v>
      </c>
    </row>
    <row r="1285">
      <c r="A1285" s="4" t="s">
        <v>1622</v>
      </c>
      <c r="B1285" s="4" t="s">
        <v>1623</v>
      </c>
      <c r="C1285" s="5" t="str">
        <f>IFERROR(__xludf.DUMMYFUNCTION("GOOGLETRANSLATE(B1285,""en"",""fr"")"),"Un écran noir avec un titre blanc apparaît.")</f>
        <v>Un écran noir avec un titre blanc apparaît.</v>
      </c>
    </row>
    <row r="1286">
      <c r="A1286" s="4" t="s">
        <v>1622</v>
      </c>
      <c r="B1286" s="6" t="s">
        <v>1624</v>
      </c>
      <c r="C1286" s="5" t="str">
        <f>IFERROR(__xludf.DUMMYFUNCTION("GOOGLETRANSLATE(B1286,""en"",""fr"")"),"Un cuisinier est devant un poêle professionnel mettant l'assaisonnement dans une casserole en métal et réchauffant une casserole sur une flamme bleue allumée à gaz.")</f>
        <v>Un cuisinier est devant un poêle professionnel mettant l'assaisonnement dans une casserole en métal et réchauffant une casserole sur une flamme bleue allumée à gaz.</v>
      </c>
    </row>
    <row r="1287">
      <c r="A1287" s="4" t="s">
        <v>1622</v>
      </c>
      <c r="B1287" s="6" t="s">
        <v>1625</v>
      </c>
      <c r="C1287" s="5" t="str">
        <f>IFERROR(__xludf.DUMMYFUNCTION("GOOGLETRANSLATE(B1287,""en"",""fr"")"),"Le cuisinier ramasse maintenant une grande partie d'oeuf mélangé d'un grand pot en métal dans la petite casserole en métal.")</f>
        <v>Le cuisinier ramasse maintenant une grande partie d'oeuf mélangé d'un grand pot en métal dans la petite casserole en métal.</v>
      </c>
    </row>
    <row r="1288">
      <c r="A1288" s="4" t="s">
        <v>1622</v>
      </c>
      <c r="B1288" s="4" t="s">
        <v>1626</v>
      </c>
      <c r="C1288" s="5" t="str">
        <f>IFERROR(__xludf.DUMMYFUNCTION("GOOGLETRANSLATE(B1288,""en"",""fr"")"),"Il commence à fouetter le mélange d'oeufs avec deux bâtons en bois, tenant la casserole sur le brûleur.")</f>
        <v>Il commence à fouetter le mélange d'oeufs avec deux bâtons en bois, tenant la casserole sur le brûleur.</v>
      </c>
    </row>
    <row r="1289">
      <c r="A1289" s="4" t="s">
        <v>1622</v>
      </c>
      <c r="B1289" s="6" t="s">
        <v>1627</v>
      </c>
      <c r="C1289" s="5" t="str">
        <f>IFERROR(__xludf.DUMMYFUNCTION("GOOGLETRANSLATE(B1289,""en"",""fr"")"),"Lorsque l'œuf est presque entièrement cuit, l'homme commence à façonner l'œuf à l'intérieur de la casserole avec les bâtons en bois en forme d'une omelette.")</f>
        <v>Lorsque l'œuf est presque entièrement cuit, l'homme commence à façonner l'œuf à l'intérieur de la casserole avec les bâtons en bois en forme d'une omelette.</v>
      </c>
    </row>
    <row r="1290">
      <c r="A1290" s="4" t="s">
        <v>1622</v>
      </c>
      <c r="B1290" s="4" t="s">
        <v>1628</v>
      </c>
      <c r="C1290" s="5" t="str">
        <f>IFERROR(__xludf.DUMMYFUNCTION("GOOGLETRANSLATE(B1290,""en"",""fr"")"),"Il roule l'omelette d'avant en arrière dans la casserole.")</f>
        <v>Il roule l'omelette d'avant en arrière dans la casserole.</v>
      </c>
    </row>
    <row r="1291">
      <c r="A1291" s="4" t="s">
        <v>1622</v>
      </c>
      <c r="B1291" s="4" t="s">
        <v>1629</v>
      </c>
      <c r="C1291" s="5" t="str">
        <f>IFERROR(__xludf.DUMMYFUNCTION("GOOGLETRANSLATE(B1291,""en"",""fr"")"),"Terminer l'écran noir et un mot bleu.")</f>
        <v>Terminer l'écran noir et un mot bleu.</v>
      </c>
    </row>
    <row r="1292">
      <c r="A1292" s="4" t="s">
        <v>1630</v>
      </c>
      <c r="B1292" s="6" t="s">
        <v>1631</v>
      </c>
      <c r="C1292" s="5" t="str">
        <f>IFERROR(__xludf.DUMMYFUNCTION("GOOGLETRANSLATE(B1292,""en"",""fr"")"),"Un gros plan de chaussures de ballet est montré suivi par une femme les mettant et se déplace dans une chambre.")</f>
        <v>Un gros plan de chaussures de ballet est montré suivi par une femme les mettant et se déplace dans une chambre.</v>
      </c>
    </row>
    <row r="1293">
      <c r="A1293" s="4" t="s">
        <v>1630</v>
      </c>
      <c r="B1293" s="4" t="s">
        <v>1632</v>
      </c>
      <c r="C1293" s="5" t="str">
        <f>IFERROR(__xludf.DUMMYFUNCTION("GOOGLETRANSLATE(B1293,""en"",""fr"")"),"Elle déplace ses bras et ses pieds dans les chaussures de point et fouette ses cheveux tout autour de la pièce.")</f>
        <v>Elle déplace ses bras et ses pieds dans les chaussures de point et fouette ses cheveux tout autour de la pièce.</v>
      </c>
    </row>
    <row r="1294">
      <c r="A1294" s="4" t="s">
        <v>1633</v>
      </c>
      <c r="B1294" s="6" t="s">
        <v>1634</v>
      </c>
      <c r="C1294" s="5" t="str">
        <f>IFERROR(__xludf.DUMMYFUNCTION("GOOGLETRANSLATE(B1294,""en"",""fr"")"),"Une personne est vue en mélangeant divers ingrédients dans un mélangeur et en roulant rugueux dans une balle et en parlant à la caméra.")</f>
        <v>Une personne est vue en mélangeant divers ingrédients dans un mélangeur et en roulant rugueux dans une balle et en parlant à la caméra.</v>
      </c>
    </row>
    <row r="1295">
      <c r="A1295" s="4" t="s">
        <v>1633</v>
      </c>
      <c r="B1295" s="4" t="s">
        <v>1635</v>
      </c>
      <c r="C1295" s="5" t="str">
        <f>IFERROR(__xludf.DUMMYFUNCTION("GOOGLETRANSLATE(B1295,""en"",""fr"")"),"L'homme parle à d'autres chefs et les informe sur la façon de faire rouler une boule de rugueuse.")</f>
        <v>L'homme parle à d'autres chefs et les informe sur la façon de faire rouler une boule de rugueuse.</v>
      </c>
    </row>
    <row r="1296">
      <c r="A1296" s="4" t="s">
        <v>1633</v>
      </c>
      <c r="B1296" s="4" t="s">
        <v>1636</v>
      </c>
      <c r="C1296" s="5" t="str">
        <f>IFERROR(__xludf.DUMMYFUNCTION("GOOGLETRANSLATE(B1296,""en"",""fr"")"),"Il met ensuite la pâte dans une machine pour faire des spaghettis, puis les met dans une assiette à présenter.")</f>
        <v>Il met ensuite la pâte dans une machine pour faire des spaghettis, puis les met dans une assiette à présenter.</v>
      </c>
    </row>
    <row r="1297">
      <c r="A1297" s="4" t="s">
        <v>1637</v>
      </c>
      <c r="B1297" s="6" t="s">
        <v>1638</v>
      </c>
      <c r="C1297" s="5" t="str">
        <f>IFERROR(__xludf.DUMMYFUNCTION("GOOGLETRANSLATE(B1297,""en"",""fr"")"),"Une personne est vue se pencher en avant sur un faisceau de gymnastique tout en déplaçant ses mains vers le haut pour garder l'équilibre.")</f>
        <v>Une personne est vue se pencher en avant sur un faisceau de gymnastique tout en déplaçant ses mains vers le haut pour garder l'équilibre.</v>
      </c>
    </row>
    <row r="1298">
      <c r="A1298" s="4" t="s">
        <v>1637</v>
      </c>
      <c r="B1298" s="6" t="s">
        <v>1639</v>
      </c>
      <c r="C1298" s="5" t="str">
        <f>IFERROR(__xludf.DUMMYFUNCTION("GOOGLETRANSLATE(B1298,""en"",""fr"")"),"L'homme tente alors un flip mais atterrit sur le ventre et tombe, s'éloignant de douleur et son saut illustré à nouveau au ralenti.")</f>
        <v>L'homme tente alors un flip mais atterrit sur le ventre et tombe, s'éloignant de douleur et son saut illustré à nouveau au ralenti.</v>
      </c>
    </row>
    <row r="1299">
      <c r="A1299" s="4" t="s">
        <v>1640</v>
      </c>
      <c r="B1299" s="4" t="s">
        <v>1641</v>
      </c>
      <c r="C1299" s="5" t="str">
        <f>IFERROR(__xludf.DUMMYFUNCTION("GOOGLETRANSLATE(B1299,""en"",""fr"")"),"Quatre personnes jouent au baby-foot à une table de baby-foot.")</f>
        <v>Quatre personnes jouent au baby-foot à une table de baby-foot.</v>
      </c>
    </row>
    <row r="1300">
      <c r="A1300" s="4" t="s">
        <v>1640</v>
      </c>
      <c r="B1300" s="4" t="s">
        <v>1642</v>
      </c>
      <c r="C1300" s="5" t="str">
        <f>IFERROR(__xludf.DUMMYFUNCTION("GOOGLETRANSLATE(B1300,""en"",""fr"")"),"L'une des filles jouant sort un bras à sa place sur la table.")</f>
        <v>L'une des filles jouant sort un bras à sa place sur la table.</v>
      </c>
    </row>
    <row r="1301">
      <c r="A1301" s="4" t="s">
        <v>1640</v>
      </c>
      <c r="B1301" s="4" t="s">
        <v>1643</v>
      </c>
      <c r="C1301" s="5" t="str">
        <f>IFERROR(__xludf.DUMMYFUNCTION("GOOGLETRANSLATE(B1301,""en"",""fr"")"),"La même fille atteint la table pour contrôler un bras de l'autre côté.")</f>
        <v>La même fille atteint la table pour contrôler un bras de l'autre côté.</v>
      </c>
    </row>
    <row r="1302">
      <c r="A1302" s="4" t="s">
        <v>1640</v>
      </c>
      <c r="B1302" s="4" t="s">
        <v>1644</v>
      </c>
      <c r="C1302" s="5" t="str">
        <f>IFERROR(__xludf.DUMMYFUNCTION("GOOGLETRANSLATE(B1302,""en"",""fr"")"),"La fille de l'autre côté essaie de l'arrêter.")</f>
        <v>La fille de l'autre côté essaie de l'arrêter.</v>
      </c>
    </row>
    <row r="1303">
      <c r="A1303" s="4" t="s">
        <v>1640</v>
      </c>
      <c r="B1303" s="4" t="s">
        <v>1645</v>
      </c>
      <c r="C1303" s="5" t="str">
        <f>IFERROR(__xludf.DUMMYFUNCTION("GOOGLETRANSLATE(B1303,""en"",""fr"")"),"Une cinquième personne est assise dans une chaise à regarder.")</f>
        <v>Une cinquième personne est assise dans une chaise à regarder.</v>
      </c>
    </row>
    <row r="1304">
      <c r="A1304" s="4" t="s">
        <v>1646</v>
      </c>
      <c r="B1304" s="4" t="s">
        <v>1647</v>
      </c>
      <c r="C1304" s="5" t="str">
        <f>IFERROR(__xludf.DUMMYFUNCTION("GOOGLETRANSLATE(B1304,""en"",""fr"")"),"Une gymnaste masculine portant un justaucorps bleu fait de la gymnastique sur un bar à cheval.")</f>
        <v>Une gymnaste masculine portant un justaucorps bleu fait de la gymnastique sur un bar à cheval.</v>
      </c>
    </row>
    <row r="1305">
      <c r="A1305" s="4" t="s">
        <v>1646</v>
      </c>
      <c r="B1305" s="4" t="s">
        <v>1648</v>
      </c>
      <c r="C1305" s="5" t="str">
        <f>IFERROR(__xludf.DUMMYFUNCTION("GOOGLETRANSLATE(B1305,""en"",""fr"")"),"Il se produit dans un stade intérieur plein de spectateurs.")</f>
        <v>Il se produit dans un stade intérieur plein de spectateurs.</v>
      </c>
    </row>
    <row r="1306">
      <c r="A1306" s="4" t="s">
        <v>1646</v>
      </c>
      <c r="B1306" s="4" t="s">
        <v>1649</v>
      </c>
      <c r="C1306" s="5" t="str">
        <f>IFERROR(__xludf.DUMMYFUNCTION("GOOGLETRANSLATE(B1306,""en"",""fr"")"),"Il continue d'exceller en faisant ses mouvements régulièrement sur la barre de cheval.")</f>
        <v>Il continue d'exceller en faisant ses mouvements régulièrement sur la barre de cheval.</v>
      </c>
    </row>
    <row r="1307">
      <c r="A1307" s="4" t="s">
        <v>1646</v>
      </c>
      <c r="B1307" s="4" t="s">
        <v>1650</v>
      </c>
      <c r="C1307" s="5" t="str">
        <f>IFERROR(__xludf.DUMMYFUNCTION("GOOGLETRANSLATE(B1307,""en"",""fr"")"),"Après avoir terminé, il sort du bar et l'un des entraîneurs le serre dans ses bras alors que la foule lui applaudit.")</f>
        <v>Après avoir terminé, il sort du bar et l'un des entraîneurs le serre dans ses bras alors que la foule lui applaudit.</v>
      </c>
    </row>
    <row r="1308">
      <c r="A1308" s="4" t="s">
        <v>1651</v>
      </c>
      <c r="B1308" s="4" t="s">
        <v>1652</v>
      </c>
      <c r="C1308" s="5" t="str">
        <f>IFERROR(__xludf.DUMMYFUNCTION("GOOGLETRANSLATE(B1308,""en"",""fr"")"),"Une ballerine est montrée en classe réchauffant ses pieds et s'éloignant en pleurant.")</f>
        <v>Une ballerine est montrée en classe réchauffant ses pieds et s'éloignant en pleurant.</v>
      </c>
    </row>
    <row r="1309">
      <c r="A1309" s="4" t="s">
        <v>1651</v>
      </c>
      <c r="B1309" s="4" t="s">
        <v>1653</v>
      </c>
      <c r="C1309" s="5" t="str">
        <f>IFERROR(__xludf.DUMMYFUNCTION("GOOGLETRANSLATE(B1309,""en"",""fr"")"),"Divers acteurs parlent à la caméra du tournage d'un film sur le ballet et les mouvements qu'ils ont appris.")</f>
        <v>Divers acteurs parlent à la caméra du tournage d'un film sur le ballet et les mouvements qu'ils ont appris.</v>
      </c>
    </row>
    <row r="1310">
      <c r="A1310" s="4" t="s">
        <v>1651</v>
      </c>
      <c r="B1310" s="4" t="s">
        <v>1654</v>
      </c>
      <c r="C1310" s="5" t="str">
        <f>IFERROR(__xludf.DUMMYFUNCTION("GOOGLETRANSLATE(B1310,""en"",""fr"")"),"Les ballerines se déplacent autour de l'ensemble pendant que la caméra roule.")</f>
        <v>Les ballerines se déplacent autour de l'ensemble pendant que la caméra roule.</v>
      </c>
    </row>
    <row r="1311">
      <c r="A1311" s="4" t="s">
        <v>1651</v>
      </c>
      <c r="B1311" s="4" t="s">
        <v>1655</v>
      </c>
      <c r="C1311" s="5" t="str">
        <f>IFERROR(__xludf.DUMMYFUNCTION("GOOGLETRANSLATE(B1311,""en"",""fr"")"),"Les acteurs continuent de parler de trucs et de ce qu'ils ont appris.")</f>
        <v>Les acteurs continuent de parler de trucs et de ce qu'ils ont appris.</v>
      </c>
    </row>
    <row r="1312">
      <c r="A1312" s="4" t="s">
        <v>1651</v>
      </c>
      <c r="B1312" s="4" t="s">
        <v>1656</v>
      </c>
      <c r="C1312" s="5" t="str">
        <f>IFERROR(__xludf.DUMMYFUNCTION("GOOGLETRANSLATE(B1312,""en"",""fr"")"),"Un homme joue le violon pendant que la scène finale est filmée et que tout le monde danse.")</f>
        <v>Un homme joue le violon pendant que la scène finale est filmée et que tout le monde danse.</v>
      </c>
    </row>
    <row r="1313">
      <c r="A1313" s="4" t="s">
        <v>1657</v>
      </c>
      <c r="B1313" s="6" t="s">
        <v>1658</v>
      </c>
      <c r="C1313" s="5" t="str">
        <f>IFERROR(__xludf.DUMMYFUNCTION("GOOGLETRANSLATE(B1313,""en"",""fr"")"),"Divers articles sont indiqués sur un étage et mène à une femme qui tient les produits et parlant à la caméra.")</f>
        <v>Divers articles sont indiqués sur un étage et mène à une femme qui tient les produits et parlant à la caméra.</v>
      </c>
    </row>
    <row r="1314">
      <c r="A1314" s="4" t="s">
        <v>1657</v>
      </c>
      <c r="B1314" s="4" t="s">
        <v>1659</v>
      </c>
      <c r="C1314" s="5" t="str">
        <f>IFERROR(__xludf.DUMMYFUNCTION("GOOGLETRANSLATE(B1314,""en"",""fr"")"),"Elle tient sa chaussure et allume un match sur le vernis.")</f>
        <v>Elle tient sa chaussure et allume un match sur le vernis.</v>
      </c>
    </row>
    <row r="1315">
      <c r="A1315" s="4" t="s">
        <v>1657</v>
      </c>
      <c r="B1315" s="4" t="s">
        <v>1660</v>
      </c>
      <c r="C1315" s="5" t="str">
        <f>IFERROR(__xludf.DUMMYFUNCTION("GOOGLETRANSLATE(B1315,""en"",""fr"")"),"Elle prend ensuite un chiffon et passe sur la botte avec le vernis en petits cercles.")</f>
        <v>Elle prend ensuite un chiffon et passe sur la botte avec le vernis en petits cercles.</v>
      </c>
    </row>
    <row r="1316">
      <c r="A1316" s="4" t="s">
        <v>1661</v>
      </c>
      <c r="B1316" s="4" t="s">
        <v>1662</v>
      </c>
      <c r="C1316" s="5" t="str">
        <f>IFERROR(__xludf.DUMMYFUNCTION("GOOGLETRANSLATE(B1316,""en"",""fr"")"),"Une image immobile du dos d'un individu est montrée.")</f>
        <v>Une image immobile du dos d'un individu est montrée.</v>
      </c>
    </row>
    <row r="1317">
      <c r="A1317" s="4" t="s">
        <v>1661</v>
      </c>
      <c r="B1317" s="4" t="s">
        <v>1663</v>
      </c>
      <c r="C1317" s="5" t="str">
        <f>IFERROR(__xludf.DUMMYFUNCTION("GOOGLETRANSLATE(B1317,""en"",""fr"")"),"Une sorte d'élément est affichée en gros plan.")</f>
        <v>Une sorte d'élément est affichée en gros plan.</v>
      </c>
    </row>
    <row r="1318">
      <c r="A1318" s="4" t="s">
        <v>1661</v>
      </c>
      <c r="B1318" s="4" t="s">
        <v>1664</v>
      </c>
      <c r="C1318" s="5" t="str">
        <f>IFERROR(__xludf.DUMMYFUNCTION("GOOGLETRANSLATE(B1318,""en"",""fr"")"),"Un homme et une femme parlent à la caméra dans un paramètre de télévision.")</f>
        <v>Un homme et une femme parlent à la caméra dans un paramètre de télévision.</v>
      </c>
    </row>
    <row r="1319">
      <c r="A1319" s="4" t="s">
        <v>1661</v>
      </c>
      <c r="B1319" s="4" t="s">
        <v>1665</v>
      </c>
      <c r="C1319" s="5" t="str">
        <f>IFERROR(__xludf.DUMMYFUNCTION("GOOGLETRANSLATE(B1319,""en"",""fr"")"),"Des scènes de amateurs de plage d'été sont présentées dans un contexte de reportage.")</f>
        <v>Des scènes de amateurs de plage d'été sont présentées dans un contexte de reportage.</v>
      </c>
    </row>
    <row r="1320">
      <c r="A1320" s="4" t="s">
        <v>1661</v>
      </c>
      <c r="B1320" s="4" t="s">
        <v>1666</v>
      </c>
      <c r="C1320" s="5" t="str">
        <f>IFERROR(__xludf.DUMMYFUNCTION("GOOGLETRANSLATE(B1320,""en"",""fr"")"),"Un homme est montré marchant près d'un bateau avec des chiens.")</f>
        <v>Un homme est montré marchant près d'un bateau avec des chiens.</v>
      </c>
    </row>
    <row r="1321">
      <c r="A1321" s="4" t="s">
        <v>1661</v>
      </c>
      <c r="B1321" s="4" t="s">
        <v>1667</v>
      </c>
      <c r="C1321" s="5" t="str">
        <f>IFERROR(__xludf.DUMMYFUNCTION("GOOGLETRANSLATE(B1321,""en"",""fr"")"),"L'homme est représenté près d'un gril.")</f>
        <v>L'homme est représenté près d'un gril.</v>
      </c>
    </row>
    <row r="1322">
      <c r="A1322" s="4" t="s">
        <v>1661</v>
      </c>
      <c r="B1322" s="4" t="s">
        <v>1668</v>
      </c>
      <c r="C1322" s="5" t="str">
        <f>IFERROR(__xludf.DUMMYFUNCTION("GOOGLETRANSLATE(B1322,""en"",""fr"")"),"Une coupe rapide d'un élément d'avant est affichée de près.")</f>
        <v>Une coupe rapide d'un élément d'avant est affichée de près.</v>
      </c>
    </row>
    <row r="1323">
      <c r="A1323" s="4" t="s">
        <v>1661</v>
      </c>
      <c r="B1323" s="4" t="s">
        <v>1669</v>
      </c>
      <c r="C1323" s="5" t="str">
        <f>IFERROR(__xludf.DUMMYFUNCTION("GOOGLETRANSLATE(B1323,""en"",""fr"")"),"L'homme est interviewé alors qu'il était assis, avec une coupe rapide de lui en marchant.")</f>
        <v>L'homme est interviewé alors qu'il était assis, avec une coupe rapide de lui en marchant.</v>
      </c>
    </row>
    <row r="1324">
      <c r="A1324" s="4" t="s">
        <v>1661</v>
      </c>
      <c r="B1324" s="4" t="s">
        <v>1670</v>
      </c>
      <c r="C1324" s="5" t="str">
        <f>IFERROR(__xludf.DUMMYFUNCTION("GOOGLETRANSLATE(B1324,""en"",""fr"")"),"L'homme enlève sa chemise.")</f>
        <v>L'homme enlève sa chemise.</v>
      </c>
    </row>
    <row r="1325">
      <c r="A1325" s="4" t="s">
        <v>1661</v>
      </c>
      <c r="B1325" s="4" t="s">
        <v>1671</v>
      </c>
      <c r="C1325" s="5" t="str">
        <f>IFERROR(__xludf.DUMMYFUNCTION("GOOGLETRANSLATE(B1325,""en"",""fr"")"),"Des scènes plus rapprochées de l'élément sont affichées.")</f>
        <v>Des scènes plus rapprochées de l'élément sont affichées.</v>
      </c>
    </row>
    <row r="1326">
      <c r="A1326" s="4" t="s">
        <v>1661</v>
      </c>
      <c r="B1326" s="4" t="s">
        <v>1672</v>
      </c>
      <c r="C1326" s="5" t="str">
        <f>IFERROR(__xludf.DUMMYFUNCTION("GOOGLETRANSLATE(B1326,""en"",""fr"")"),"Des images fixes et des vidéos de dommages cutanées sont affichées.")</f>
        <v>Des images fixes et des vidéos de dommages cutanées sont affichées.</v>
      </c>
    </row>
    <row r="1327">
      <c r="A1327" s="4" t="s">
        <v>1661</v>
      </c>
      <c r="B1327" s="4" t="s">
        <v>1673</v>
      </c>
      <c r="C1327" s="5" t="str">
        <f>IFERROR(__xludf.DUMMYFUNCTION("GOOGLETRANSLATE(B1327,""en"",""fr"")"),"L'homme parle dans un environnement intérieur.")</f>
        <v>L'homme parle dans un environnement intérieur.</v>
      </c>
    </row>
    <row r="1328">
      <c r="A1328" s="4" t="s">
        <v>1661</v>
      </c>
      <c r="B1328" s="4" t="s">
        <v>1674</v>
      </c>
      <c r="C1328" s="5" t="str">
        <f>IFERROR(__xludf.DUMMYFUNCTION("GOOGLETRANSLATE(B1328,""en"",""fr"")"),"Une autre image immobile de l'élément est affichée.")</f>
        <v>Une autre image immobile de l'élément est affichée.</v>
      </c>
    </row>
    <row r="1329">
      <c r="A1329" s="4" t="s">
        <v>1661</v>
      </c>
      <c r="B1329" s="4" t="s">
        <v>1675</v>
      </c>
      <c r="C1329" s="5" t="str">
        <f>IFERROR(__xludf.DUMMYFUNCTION("GOOGLETRANSLATE(B1329,""en"",""fr"")"),"L'homme est à nouveau interrogé assis.")</f>
        <v>L'homme est à nouveau interrogé assis.</v>
      </c>
    </row>
    <row r="1330">
      <c r="A1330" s="4" t="s">
        <v>1661</v>
      </c>
      <c r="B1330" s="4" t="s">
        <v>1676</v>
      </c>
      <c r="C1330" s="5" t="str">
        <f>IFERROR(__xludf.DUMMYFUNCTION("GOOGLETRANSLATE(B1330,""en"",""fr"")"),"Un écran immobile de texte est affiché.")</f>
        <v>Un écran immobile de texte est affiché.</v>
      </c>
    </row>
    <row r="1331">
      <c r="A1331" s="4" t="s">
        <v>1661</v>
      </c>
      <c r="B1331" s="4" t="s">
        <v>1677</v>
      </c>
      <c r="C1331" s="5" t="str">
        <f>IFERROR(__xludf.DUMMYFUNCTION("GOOGLETRANSLATE(B1331,""en"",""fr"")"),"Un homme différent parle à la caméra tandis qu'un logo est montré à côté de lui.")</f>
        <v>Un homme différent parle à la caméra tandis qu'un logo est montré à côté de lui.</v>
      </c>
    </row>
    <row r="1332">
      <c r="A1332" s="4" t="s">
        <v>1661</v>
      </c>
      <c r="B1332" s="4" t="s">
        <v>1678</v>
      </c>
      <c r="C1332" s="5" t="str">
        <f>IFERROR(__xludf.DUMMYFUNCTION("GOOGLETRANSLATE(B1332,""en"",""fr"")"),"Une page Web sur le premier homme est montrée.")</f>
        <v>Une page Web sur le premier homme est montrée.</v>
      </c>
    </row>
    <row r="1333">
      <c r="A1333" s="4" t="s">
        <v>1679</v>
      </c>
      <c r="B1333" s="4" t="s">
        <v>1680</v>
      </c>
      <c r="C1333" s="5" t="str">
        <f>IFERROR(__xludf.DUMMYFUNCTION("GOOGLETRANSLATE(B1333,""en"",""fr"")"),"Un homme danse sur une scène dans une chemise jaune.")</f>
        <v>Un homme danse sur une scène dans une chemise jaune.</v>
      </c>
    </row>
    <row r="1334">
      <c r="A1334" s="4" t="s">
        <v>1679</v>
      </c>
      <c r="B1334" s="4" t="s">
        <v>1681</v>
      </c>
      <c r="C1334" s="5" t="str">
        <f>IFERROR(__xludf.DUMMYFUNCTION("GOOGLETRANSLATE(B1334,""en"",""fr"")"),"Les gens du public qui le regardent dansent avec lui.")</f>
        <v>Les gens du public qui le regardent dansent avec lui.</v>
      </c>
    </row>
    <row r="1335">
      <c r="A1335" s="4" t="s">
        <v>1679</v>
      </c>
      <c r="B1335" s="4" t="s">
        <v>1682</v>
      </c>
      <c r="C1335" s="5" t="str">
        <f>IFERROR(__xludf.DUMMYFUNCTION("GOOGLETRANSLATE(B1335,""en"",""fr"")"),"Un homme marche devant la foule.")</f>
        <v>Un homme marche devant la foule.</v>
      </c>
    </row>
    <row r="1336">
      <c r="A1336" s="4" t="s">
        <v>1683</v>
      </c>
      <c r="B1336" s="4" t="s">
        <v>1684</v>
      </c>
      <c r="C1336" s="5" t="str">
        <f>IFERROR(__xludf.DUMMYFUNCTION("GOOGLETRANSLATE(B1336,""en"",""fr"")"),"Un cheval donne un coup de pied à un homme dans une chemise rouge.")</f>
        <v>Un cheval donne un coup de pied à un homme dans une chemise rouge.</v>
      </c>
    </row>
    <row r="1337">
      <c r="A1337" s="4" t="s">
        <v>1683</v>
      </c>
      <c r="B1337" s="4" t="s">
        <v>1685</v>
      </c>
      <c r="C1337" s="5" t="str">
        <f>IFERROR(__xludf.DUMMYFUNCTION("GOOGLETRANSLATE(B1337,""en"",""fr"")"),"Une fille en chemise grise est jetée d'un cheval.")</f>
        <v>Une fille en chemise grise est jetée d'un cheval.</v>
      </c>
    </row>
    <row r="1338">
      <c r="A1338" s="4" t="s">
        <v>1683</v>
      </c>
      <c r="B1338" s="4" t="s">
        <v>1686</v>
      </c>
      <c r="C1338" s="5" t="str">
        <f>IFERROR(__xludf.DUMMYFUNCTION("GOOGLETRANSLATE(B1338,""en"",""fr"")"),"Un homme chevauchant un cheval se retire.")</f>
        <v>Un homme chevauchant un cheval se retire.</v>
      </c>
    </row>
    <row r="1339">
      <c r="A1339" s="4" t="s">
        <v>1683</v>
      </c>
      <c r="B1339" s="4" t="s">
        <v>1687</v>
      </c>
      <c r="C1339" s="5" t="str">
        <f>IFERROR(__xludf.DUMMYFUNCTION("GOOGLETRANSLATE(B1339,""en"",""fr"")"),"Un cheval bascule en arrière avec une personne dessus.")</f>
        <v>Un cheval bascule en arrière avec une personne dessus.</v>
      </c>
    </row>
    <row r="1340">
      <c r="A1340" s="4" t="s">
        <v>1683</v>
      </c>
      <c r="B1340" s="4" t="s">
        <v>1688</v>
      </c>
      <c r="C1340" s="5" t="str">
        <f>IFERROR(__xludf.DUMMYFUNCTION("GOOGLETRANSLATE(B1340,""en"",""fr"")"),"Un homme monte sur un cheval et s'envole.")</f>
        <v>Un homme monte sur un cheval et s'envole.</v>
      </c>
    </row>
    <row r="1341">
      <c r="A1341" s="4" t="s">
        <v>1683</v>
      </c>
      <c r="B1341" s="4" t="s">
        <v>1689</v>
      </c>
      <c r="C1341" s="5" t="str">
        <f>IFERROR(__xludf.DUMMYFUNCTION("GOOGLETRANSLATE(B1341,""en"",""fr"")"),"Un cheval blanc manque un saut et la personne tombe.")</f>
        <v>Un cheval blanc manque un saut et la personne tombe.</v>
      </c>
    </row>
    <row r="1342">
      <c r="A1342" s="4" t="s">
        <v>1683</v>
      </c>
      <c r="B1342" s="4" t="s">
        <v>1690</v>
      </c>
      <c r="C1342" s="5" t="str">
        <f>IFERROR(__xludf.DUMMYFUNCTION("GOOGLETRANSLATE(B1342,""en"",""fr"")"),"Un homme est touché par une corde tout en poursuivant un mollet.")</f>
        <v>Un homme est touché par une corde tout en poursuivant un mollet.</v>
      </c>
    </row>
    <row r="1343">
      <c r="A1343" s="4" t="s">
        <v>1683</v>
      </c>
      <c r="B1343" s="4" t="s">
        <v>1691</v>
      </c>
      <c r="C1343" s="5" t="str">
        <f>IFERROR(__xludf.DUMMYFUNCTION("GOOGLETRANSLATE(B1343,""en"",""fr"")"),"Un cheval se fait coincer la tête dans une poubelle.")</f>
        <v>Un cheval se fait coincer la tête dans une poubelle.</v>
      </c>
    </row>
    <row r="1344">
      <c r="A1344" s="4" t="s">
        <v>1692</v>
      </c>
      <c r="B1344" s="4" t="s">
        <v>1693</v>
      </c>
      <c r="C1344" s="5" t="str">
        <f>IFERROR(__xludf.DUMMYFUNCTION("GOOGLETRANSLATE(B1344,""en"",""fr"")"),"Les mots ""comment piloter un cerf-volant sans vent"" apparaissent sur un écran noir.")</f>
        <v>Les mots "comment piloter un cerf-volant sans vent" apparaissent sur un écran noir.</v>
      </c>
    </row>
    <row r="1345">
      <c r="A1345" s="4" t="s">
        <v>1692</v>
      </c>
      <c r="B1345" s="4" t="s">
        <v>1694</v>
      </c>
      <c r="C1345" s="5" t="str">
        <f>IFERROR(__xludf.DUMMYFUNCTION("GOOGLETRANSLATE(B1345,""en"",""fr"")"),"L'homme portant un t-shirt jaune apparaît dans un grand champ de banlieue.")</f>
        <v>L'homme portant un t-shirt jaune apparaît dans un grand champ de banlieue.</v>
      </c>
    </row>
    <row r="1346">
      <c r="A1346" s="4" t="s">
        <v>1692</v>
      </c>
      <c r="B1346" s="4" t="s">
        <v>1695</v>
      </c>
      <c r="C1346" s="5" t="str">
        <f>IFERROR(__xludf.DUMMYFUNCTION("GOOGLETRANSLATE(B1346,""en"",""fr"")"),"L'homme rassemble un cerf-volant de couleur arc-en-ciel avec de longues queues jaunes.")</f>
        <v>L'homme rassemble un cerf-volant de couleur arc-en-ciel avec de longues queues jaunes.</v>
      </c>
    </row>
    <row r="1347">
      <c r="A1347" s="4" t="s">
        <v>1692</v>
      </c>
      <c r="B1347" s="4" t="s">
        <v>1696</v>
      </c>
      <c r="C1347" s="5" t="str">
        <f>IFERROR(__xludf.DUMMYFUNCTION("GOOGLETRANSLATE(B1347,""en"",""fr"")"),"L'homme entraîne un petit tracteur de tonte vert tout en tenant la corde du cerf-volant alors qu'elle vole au-dessus.")</f>
        <v>L'homme entraîne un petit tracteur de tonte vert tout en tenant la corde du cerf-volant alors qu'elle vole au-dessus.</v>
      </c>
    </row>
    <row r="1348">
      <c r="A1348" s="4" t="s">
        <v>1692</v>
      </c>
      <c r="B1348" s="4" t="s">
        <v>1697</v>
      </c>
      <c r="C1348" s="5" t="str">
        <f>IFERROR(__xludf.DUMMYFUNCTION("GOOGLETRANSLATE(B1348,""en"",""fr"")"),"Une jeune femme parle à l'écran puis conduit le tracteur tout en tenant le cerf-volant volant.")</f>
        <v>Une jeune femme parle à l'écran puis conduit le tracteur tout en tenant le cerf-volant volant.</v>
      </c>
    </row>
    <row r="1349">
      <c r="A1349" s="4" t="s">
        <v>1698</v>
      </c>
      <c r="B1349" s="6" t="s">
        <v>1699</v>
      </c>
      <c r="C1349" s="5" t="str">
        <f>IFERROR(__xludf.DUMMYFUNCTION("GOOGLETRANSLATE(B1349,""en"",""fr"")"),"Une petite fille est montrée en jouant au tennis de table, frappant le ballon extrêmement rapidement d'avant en arrière sur le filet.")</f>
        <v>Une petite fille est montrée en jouant au tennis de table, frappant le ballon extrêmement rapidement d'avant en arrière sur le filet.</v>
      </c>
    </row>
    <row r="1350">
      <c r="A1350" s="4" t="s">
        <v>1698</v>
      </c>
      <c r="B1350" s="4" t="s">
        <v>1700</v>
      </c>
      <c r="C1350" s="5" t="str">
        <f>IFERROR(__xludf.DUMMYFUNCTION("GOOGLETRANSLATE(B1350,""en"",""fr"")"),"Certaines balles passent devant elle, mais elle continue de frapper de nouvelles balles sans s'arrêter.")</f>
        <v>Certaines balles passent devant elle, mais elle continue de frapper de nouvelles balles sans s'arrêter.</v>
      </c>
    </row>
    <row r="1351">
      <c r="A1351" s="4" t="s">
        <v>1701</v>
      </c>
      <c r="B1351" s="4" t="s">
        <v>1702</v>
      </c>
      <c r="C1351" s="5" t="str">
        <f>IFERROR(__xludf.DUMMYFUNCTION("GOOGLETRANSLATE(B1351,""en"",""fr"")"),"Un homme marche et se blâme les mains.")</f>
        <v>Un homme marche et se blâme les mains.</v>
      </c>
    </row>
    <row r="1352">
      <c r="A1352" s="4" t="s">
        <v>1701</v>
      </c>
      <c r="B1352" s="4" t="s">
        <v>1703</v>
      </c>
      <c r="C1352" s="5" t="str">
        <f>IFERROR(__xludf.DUMMYFUNCTION("GOOGLETRANSLATE(B1352,""en"",""fr"")"),"L'homme marche les barreaux, s'étire et se tient là.")</f>
        <v>L'homme marche les barreaux, s'étire et se tient là.</v>
      </c>
    </row>
    <row r="1353">
      <c r="A1353" s="4" t="s">
        <v>1701</v>
      </c>
      <c r="B1353" s="4" t="s">
        <v>1704</v>
      </c>
      <c r="C1353" s="5" t="str">
        <f>IFERROR(__xludf.DUMMYFUNCTION("GOOGLETRANSLATE(B1353,""en"",""fr"")"),"L'homme monte les barres et commence à tourner.")</f>
        <v>L'homme monte les barres et commence à tourner.</v>
      </c>
    </row>
    <row r="1354">
      <c r="A1354" s="4" t="s">
        <v>1701</v>
      </c>
      <c r="B1354" s="4" t="s">
        <v>1705</v>
      </c>
      <c r="C1354" s="5" t="str">
        <f>IFERROR(__xludf.DUMMYFUNCTION("GOOGLETRANSLATE(B1354,""en"",""fr"")"),"L'homme se retourne et démonte.")</f>
        <v>L'homme se retourne et démonte.</v>
      </c>
    </row>
    <row r="1355">
      <c r="A1355" s="4" t="s">
        <v>1701</v>
      </c>
      <c r="B1355" s="4" t="s">
        <v>1706</v>
      </c>
      <c r="C1355" s="5" t="str">
        <f>IFERROR(__xludf.DUMMYFUNCTION("GOOGLETRANSLATE(B1355,""en"",""fr"")"),"L'homme s'éloigne des bars.")</f>
        <v>L'homme s'éloigne des bars.</v>
      </c>
    </row>
    <row r="1356">
      <c r="A1356" s="4" t="s">
        <v>1707</v>
      </c>
      <c r="B1356" s="4" t="s">
        <v>1708</v>
      </c>
      <c r="C1356" s="5" t="str">
        <f>IFERROR(__xludf.DUMMYFUNCTION("GOOGLETRANSLATE(B1356,""en"",""fr"")"),"Une femme parle, puis elle tient le tube d'un vide et pointe la buse.")</f>
        <v>Une femme parle, puis elle tient le tube d'un vide et pointe la buse.</v>
      </c>
    </row>
    <row r="1357">
      <c r="A1357" s="4" t="s">
        <v>1707</v>
      </c>
      <c r="B1357" s="4" t="s">
        <v>1709</v>
      </c>
      <c r="C1357" s="5" t="str">
        <f>IFERROR(__xludf.DUMMYFUNCTION("GOOGLETRANSLATE(B1357,""en"",""fr"")"),"La femme aspire la saleté sur un tapis, puis elle étend le tube tout en expliquant.")</f>
        <v>La femme aspire la saleté sur un tapis, puis elle étend le tube tout en expliquant.</v>
      </c>
    </row>
    <row r="1358">
      <c r="A1358" s="4" t="s">
        <v>1707</v>
      </c>
      <c r="B1358" s="6" t="s">
        <v>1710</v>
      </c>
      <c r="C1358" s="5" t="str">
        <f>IFERROR(__xludf.DUMMYFUNCTION("GOOGLETRANSLATE(B1358,""en"",""fr"")"),"Ensuite, la femme met une petite buse et aspirez un canapé, puis elle explique comment retirer le récipient de poussière.")</f>
        <v>Ensuite, la femme met une petite buse et aspirez un canapé, puis elle explique comment retirer le récipient de poussière.</v>
      </c>
    </row>
    <row r="1359">
      <c r="A1359" s="4" t="s">
        <v>1707</v>
      </c>
      <c r="B1359" s="4" t="s">
        <v>1711</v>
      </c>
      <c r="C1359" s="5" t="str">
        <f>IFERROR(__xludf.DUMMYFUNCTION("GOOGLETRANSLATE(B1359,""en"",""fr"")"),"La femme continue à expliquer à côté du vide.")</f>
        <v>La femme continue à expliquer à côté du vide.</v>
      </c>
    </row>
    <row r="1360">
      <c r="A1360" s="4" t="s">
        <v>1712</v>
      </c>
      <c r="B1360" s="4" t="s">
        <v>1713</v>
      </c>
      <c r="C1360" s="5" t="str">
        <f>IFERROR(__xludf.DUMMYFUNCTION("GOOGLETRANSLATE(B1360,""en"",""fr"")"),"Deux hommes chevauchent des chevaux dans un champ poussiéreux dans les montagnes.")</f>
        <v>Deux hommes chevauchent des chevaux dans un champ poussiéreux dans les montagnes.</v>
      </c>
    </row>
    <row r="1361">
      <c r="A1361" s="4" t="s">
        <v>1712</v>
      </c>
      <c r="B1361" s="4" t="s">
        <v>1714</v>
      </c>
      <c r="C1361" s="5" t="str">
        <f>IFERROR(__xludf.DUMMYFUNCTION("GOOGLETRANSLATE(B1361,""en"",""fr"")"),"Des hommes et une femme portant des kufiyyas sur la tête se tiennent sur le dessert à côté des chevaux.")</f>
        <v>Des hommes et une femme portant des kufiyyas sur la tête se tiennent sur le dessert à côté des chevaux.</v>
      </c>
    </row>
    <row r="1362">
      <c r="A1362" s="4" t="s">
        <v>1712</v>
      </c>
      <c r="B1362" s="6" t="s">
        <v>1715</v>
      </c>
      <c r="C1362" s="5" t="str">
        <f>IFERROR(__xludf.DUMMYFUNCTION("GOOGLETRANSLATE(B1362,""en"",""fr"")"),"Le dessert avec des montagnes au loin est montré et les hommes se tiennent à côté d'un enfant à rouler les chevaux, Adn va dans le désert.")</f>
        <v>Le dessert avec des montagnes au loin est montré et les hommes se tiennent à côté d'un enfant à rouler les chevaux, Adn va dans le désert.</v>
      </c>
    </row>
    <row r="1363">
      <c r="A1363" s="4" t="s">
        <v>1716</v>
      </c>
      <c r="B1363" s="4" t="s">
        <v>1717</v>
      </c>
      <c r="C1363" s="5" t="str">
        <f>IFERROR(__xludf.DUMMYFUNCTION("GOOGLETRANSLATE(B1363,""en"",""fr"")"),"Un homme et une femme se tiennent dans un bar.")</f>
        <v>Un homme et une femme se tiennent dans un bar.</v>
      </c>
    </row>
    <row r="1364">
      <c r="A1364" s="4" t="s">
        <v>1716</v>
      </c>
      <c r="B1364" s="4" t="s">
        <v>1718</v>
      </c>
      <c r="C1364" s="5" t="str">
        <f>IFERROR(__xludf.DUMMYFUNCTION("GOOGLETRANSLATE(B1364,""en"",""fr"")"),"Nous voyons l'homme et une femme dansant danser.")</f>
        <v>Nous voyons l'homme et une femme dansant danser.</v>
      </c>
    </row>
    <row r="1365">
      <c r="A1365" s="4" t="s">
        <v>1716</v>
      </c>
      <c r="B1365" s="4" t="s">
        <v>1719</v>
      </c>
      <c r="C1365" s="5" t="str">
        <f>IFERROR(__xludf.DUMMYFUNCTION("GOOGLETRANSLATE(B1365,""en"",""fr"")"),"La dame donne un coup de pied à sa jambe derrière et devant elle.")</f>
        <v>La dame donne un coup de pied à sa jambe derrière et devant elle.</v>
      </c>
    </row>
    <row r="1366">
      <c r="A1366" s="4" t="s">
        <v>1716</v>
      </c>
      <c r="B1366" s="4" t="s">
        <v>1720</v>
      </c>
      <c r="C1366" s="5" t="str">
        <f>IFERROR(__xludf.DUMMYFUNCTION("GOOGLETRANSLATE(B1366,""en"",""fr"")"),"Nous faisons un zoom sur les jambes des danseurs.")</f>
        <v>Nous faisons un zoom sur les jambes des danseurs.</v>
      </c>
    </row>
    <row r="1367">
      <c r="A1367" s="4" t="s">
        <v>1716</v>
      </c>
      <c r="B1367" s="4" t="s">
        <v>1721</v>
      </c>
      <c r="C1367" s="5" t="str">
        <f>IFERROR(__xludf.DUMMYFUNCTION("GOOGLETRANSLATE(B1367,""en"",""fr"")"),"La caméra devient floue et la scène se termine.")</f>
        <v>La caméra devient floue et la scène se termine.</v>
      </c>
    </row>
    <row r="1368">
      <c r="A1368" s="4" t="s">
        <v>1722</v>
      </c>
      <c r="B1368" s="4" t="s">
        <v>1723</v>
      </c>
      <c r="C1368" s="5" t="str">
        <f>IFERROR(__xludf.DUMMYFUNCTION("GOOGLETRANSLATE(B1368,""en"",""fr"")"),"Un tas de femelles sont montrées jouant un match de water-polo dans une piscine intérieure.")</f>
        <v>Un tas de femelles sont montrées jouant un match de water-polo dans une piscine intérieure.</v>
      </c>
    </row>
    <row r="1369">
      <c r="A1369" s="4" t="s">
        <v>1722</v>
      </c>
      <c r="B1369" s="4" t="s">
        <v>1724</v>
      </c>
      <c r="C1369" s="5" t="str">
        <f>IFERROR(__xludf.DUMMYFUNCTION("GOOGLETRANSLATE(B1369,""en"",""fr"")"),"Il semble que ce soit un tournoi car ils sont très compétitifs et que tout va tout.")</f>
        <v>Il semble que ce soit un tournoi car ils sont très compétitifs et que tout va tout.</v>
      </c>
    </row>
    <row r="1370">
      <c r="A1370" s="4" t="s">
        <v>1722</v>
      </c>
      <c r="B1370" s="4" t="s">
        <v>1725</v>
      </c>
      <c r="C1370" s="5" t="str">
        <f>IFERROR(__xludf.DUMMYFUNCTION("GOOGLETRANSLATE(B1370,""en"",""fr"")"),"Diverses plans de l'action sont indiqués en mouvement normal et au ralenti.")</f>
        <v>Diverses plans de l'action sont indiqués en mouvement normal et au ralenti.</v>
      </c>
    </row>
    <row r="1371">
      <c r="A1371" s="4" t="s">
        <v>1722</v>
      </c>
      <c r="B1371" s="6" t="s">
        <v>1726</v>
      </c>
      <c r="C1371" s="5" t="str">
        <f>IFERROR(__xludf.DUMMYFUNCTION("GOOGLETRANSLATE(B1371,""en"",""fr"")"),"Le match semble devenir très tendu car les deux équipes font de leur mieux pour marquer et les deux gardiens ont mis en place une grande défense.")</f>
        <v>Le match semble devenir très tendu car les deux équipes font de leur mieux pour marquer et les deux gardiens ont mis en place une grande défense.</v>
      </c>
    </row>
    <row r="1372">
      <c r="A1372" s="4" t="s">
        <v>1722</v>
      </c>
      <c r="B1372" s="4" t="s">
        <v>1727</v>
      </c>
      <c r="C1372" s="5" t="str">
        <f>IFERROR(__xludf.DUMMYFUNCTION("GOOGLETRANSLATE(B1372,""en"",""fr"")"),"Une jeune fille qui a joué dans le match est ensuite montrée avec toute sa famille alors qu'ils prennent une photo.")</f>
        <v>Une jeune fille qui a joué dans le match est ensuite montrée avec toute sa famille alors qu'ils prennent une photo.</v>
      </c>
    </row>
    <row r="1373">
      <c r="A1373" s="4" t="s">
        <v>1728</v>
      </c>
      <c r="B1373" s="4" t="s">
        <v>1729</v>
      </c>
      <c r="C1373" s="5" t="str">
        <f>IFERROR(__xludf.DUMMYFUNCTION("GOOGLETRANSLATE(B1373,""en"",""fr"")"),"Un homme s'approche d'un coffre debout près de la saleté.")</f>
        <v>Un homme s'approche d'un coffre debout près de la saleté.</v>
      </c>
    </row>
    <row r="1374">
      <c r="A1374" s="4" t="s">
        <v>1728</v>
      </c>
      <c r="B1374" s="4" t="s">
        <v>1730</v>
      </c>
      <c r="C1374" s="5" t="str">
        <f>IFERROR(__xludf.DUMMYFUNCTION("GOOGLETRANSLATE(B1374,""en"",""fr"")"),"Il attrape une hache assise sur la saleté.")</f>
        <v>Il attrape une hache assise sur la saleté.</v>
      </c>
    </row>
    <row r="1375">
      <c r="A1375" s="4" t="s">
        <v>1728</v>
      </c>
      <c r="B1375" s="4" t="s">
        <v>1731</v>
      </c>
      <c r="C1375" s="5" t="str">
        <f>IFERROR(__xludf.DUMMYFUNCTION("GOOGLETRANSLATE(B1375,""en"",""fr"")"),"Il prend la hache et coupe le coffre en deux.")</f>
        <v>Il prend la hache et coupe le coffre en deux.</v>
      </c>
    </row>
    <row r="1376">
      <c r="A1376" s="4" t="s">
        <v>1728</v>
      </c>
      <c r="B1376" s="4" t="s">
        <v>1732</v>
      </c>
      <c r="C1376" s="5" t="str">
        <f>IFERROR(__xludf.DUMMYFUNCTION("GOOGLETRANSLATE(B1376,""en"",""fr"")"),"Le coffre tombe et il ramasse l'une des moitiés.")</f>
        <v>Le coffre tombe et il ramasse l'une des moitiés.</v>
      </c>
    </row>
    <row r="1377">
      <c r="A1377" s="4" t="s">
        <v>1728</v>
      </c>
      <c r="B1377" s="4" t="s">
        <v>1733</v>
      </c>
      <c r="C1377" s="5" t="str">
        <f>IFERROR(__xludf.DUMMYFUNCTION("GOOGLETRANSLATE(B1377,""en"",""fr"")"),"Il emmène la hache sur le coffre et le coupe en deux.")</f>
        <v>Il emmène la hache sur le coffre et le coupe en deux.</v>
      </c>
    </row>
    <row r="1378">
      <c r="A1378" s="4" t="s">
        <v>1728</v>
      </c>
      <c r="B1378" s="4" t="s">
        <v>1734</v>
      </c>
      <c r="C1378" s="5" t="str">
        <f>IFERROR(__xludf.DUMMYFUNCTION("GOOGLETRANSLATE(B1378,""en"",""fr"")"),"Il se dresse l'autre tronc et le coupe en deux.")</f>
        <v>Il se dresse l'autre tronc et le coupe en deux.</v>
      </c>
    </row>
    <row r="1379">
      <c r="A1379" s="4" t="s">
        <v>1735</v>
      </c>
      <c r="B1379" s="4" t="s">
        <v>1736</v>
      </c>
      <c r="C1379" s="5" t="str">
        <f>IFERROR(__xludf.DUMMYFUNCTION("GOOGLETRANSLATE(B1379,""en"",""fr"")"),"Deux hommes se tiennent à la table en position de lutte des bras.")</f>
        <v>Deux hommes se tiennent à la table en position de lutte des bras.</v>
      </c>
    </row>
    <row r="1380">
      <c r="A1380" s="4" t="s">
        <v>1735</v>
      </c>
      <c r="B1380" s="4" t="s">
        <v>1737</v>
      </c>
      <c r="C1380" s="5" t="str">
        <f>IFERROR(__xludf.DUMMYFUNCTION("GOOGLETRANSLATE(B1380,""en"",""fr"")"),"Une femme positionne les hommes, se tenant la main.")</f>
        <v>Une femme positionne les hommes, se tenant la main.</v>
      </c>
    </row>
    <row r="1381">
      <c r="A1381" s="4" t="s">
        <v>1735</v>
      </c>
      <c r="B1381" s="4" t="s">
        <v>1738</v>
      </c>
      <c r="C1381" s="5" t="str">
        <f>IFERROR(__xludf.DUMMYFUNCTION("GOOGLETRANSLATE(B1381,""en"",""fr"")"),"Un homme sans lunettes se penche sur le côté avec son poids.")</f>
        <v>Un homme sans lunettes se penche sur le côté avec son poids.</v>
      </c>
    </row>
    <row r="1382">
      <c r="A1382" s="4" t="s">
        <v>1735</v>
      </c>
      <c r="B1382" s="4" t="s">
        <v>1739</v>
      </c>
      <c r="C1382" s="5" t="str">
        <f>IFERROR(__xludf.DUMMYFUNCTION("GOOGLETRANSLATE(B1382,""en"",""fr"")"),"L'homme au verre a posé la main de l'autre homme et a gagné.")</f>
        <v>L'homme au verre a posé la main de l'autre homme et a gagné.</v>
      </c>
    </row>
    <row r="1383">
      <c r="A1383" s="4" t="s">
        <v>1740</v>
      </c>
      <c r="B1383" s="4" t="s">
        <v>1741</v>
      </c>
      <c r="C1383" s="5" t="str">
        <f>IFERROR(__xludf.DUMMYFUNCTION("GOOGLETRANSLATE(B1383,""en"",""fr"")"),"Les dames se tiennent dans une salle d'entraînement.")</f>
        <v>Les dames se tiennent dans une salle d'entraînement.</v>
      </c>
    </row>
    <row r="1384">
      <c r="A1384" s="4" t="s">
        <v>1740</v>
      </c>
      <c r="B1384" s="4" t="s">
        <v>1742</v>
      </c>
      <c r="C1384" s="5" t="str">
        <f>IFERROR(__xludf.DUMMYFUNCTION("GOOGLETRANSLATE(B1384,""en"",""fr"")"),"Les dames dansaient le ventre.")</f>
        <v>Les dames dansaient le ventre.</v>
      </c>
    </row>
    <row r="1385">
      <c r="A1385" s="4" t="s">
        <v>1740</v>
      </c>
      <c r="B1385" s="4" t="s">
        <v>1743</v>
      </c>
      <c r="C1385" s="5" t="str">
        <f>IFERROR(__xludf.DUMMYFUNCTION("GOOGLETRANSLATE(B1385,""en"",""fr"")"),"Les dames plongent et jettent leurs cheveux en arrière.")</f>
        <v>Les dames plongent et jettent leurs cheveux en arrière.</v>
      </c>
    </row>
    <row r="1386">
      <c r="A1386" s="4" t="s">
        <v>1740</v>
      </c>
      <c r="B1386" s="4" t="s">
        <v>1744</v>
      </c>
      <c r="C1386" s="5" t="str">
        <f>IFERROR(__xludf.DUMMYFUNCTION("GOOGLETRANSLATE(B1386,""en"",""fr"")"),"Ils balancent leurs corps trempés.")</f>
        <v>Ils balancent leurs corps trempés.</v>
      </c>
    </row>
    <row r="1387">
      <c r="A1387" s="4" t="s">
        <v>1740</v>
      </c>
      <c r="B1387" s="4" t="s">
        <v>1745</v>
      </c>
      <c r="C1387" s="5" t="str">
        <f>IFERROR(__xludf.DUMMYFUNCTION("GOOGLETRANSLATE(B1387,""en"",""fr"")"),"Les dames plongent et se penchent vers l'arrière.")</f>
        <v>Les dames plongent et se penchent vers l'arrière.</v>
      </c>
    </row>
    <row r="1388">
      <c r="A1388" s="4" t="s">
        <v>1740</v>
      </c>
      <c r="B1388" s="4" t="s">
        <v>1746</v>
      </c>
      <c r="C1388" s="5" t="str">
        <f>IFERROR(__xludf.DUMMYFUNCTION("GOOGLETRANSLATE(B1388,""en"",""fr"")"),"Les dames jettent leurs cheveux d'avant en arrière.")</f>
        <v>Les dames jettent leurs cheveux d'avant en arrière.</v>
      </c>
    </row>
    <row r="1389">
      <c r="A1389" s="4" t="s">
        <v>1740</v>
      </c>
      <c r="B1389" s="4" t="s">
        <v>1747</v>
      </c>
      <c r="C1389" s="5" t="str">
        <f>IFERROR(__xludf.DUMMYFUNCTION("GOOGLETRANSLATE(B1389,""en"",""fr"")"),"2:43 Un homme est dans la pièce à l'arrière et se penche.")</f>
        <v>2:43 Un homme est dans la pièce à l'arrière et se penche.</v>
      </c>
    </row>
    <row r="1390">
      <c r="A1390" s="4" t="s">
        <v>1740</v>
      </c>
      <c r="B1390" s="4" t="s">
        <v>1748</v>
      </c>
      <c r="C1390" s="5" t="str">
        <f>IFERROR(__xludf.DUMMYFUNCTION("GOOGLETRANSLATE(B1390,""en"",""fr"")"),"Les dames finissent de danser et prennent un arc.")</f>
        <v>Les dames finissent de danser et prennent un arc.</v>
      </c>
    </row>
    <row r="1391">
      <c r="A1391" s="4" t="s">
        <v>1749</v>
      </c>
      <c r="B1391" s="4" t="s">
        <v>1750</v>
      </c>
      <c r="C1391" s="5" t="str">
        <f>IFERROR(__xludf.DUMMYFUNCTION("GOOGLETRANSLATE(B1391,""en"",""fr"")"),"C'est une nuit à l'extérieur dans un ranch à cheval et beaucoup de gens se tiennent.")</f>
        <v>C'est une nuit à l'extérieur dans un ranch à cheval et beaucoup de gens se tiennent.</v>
      </c>
    </row>
    <row r="1392">
      <c r="A1392" s="4" t="s">
        <v>1749</v>
      </c>
      <c r="B1392" s="6" t="s">
        <v>1751</v>
      </c>
      <c r="C1392" s="5" t="str">
        <f>IFERROR(__xludf.DUMMYFUNCTION("GOOGLETRANSLATE(B1392,""en"",""fr"")"),"Soudain, un cheval avec un homme qui monte sur lui commence rapidement à courir et il y a un mollet en corde au cheval qui court devant eux.")</f>
        <v>Soudain, un cheval avec un homme qui monte sur lui commence rapidement à courir et il y a un mollet en corde au cheval qui court devant eux.</v>
      </c>
    </row>
    <row r="1393">
      <c r="A1393" s="4" t="s">
        <v>1749</v>
      </c>
      <c r="B1393" s="4" t="s">
        <v>1752</v>
      </c>
      <c r="C1393" s="5" t="str">
        <f>IFERROR(__xludf.DUMMYFUNCTION("GOOGLETRANSLATE(B1393,""en"",""fr"")"),"L'homme lassos le veau, saute du cheval, jette le mollet sur le côté et l'attache rapidement.")</f>
        <v>L'homme lassos le veau, saute du cheval, jette le mollet sur le côté et l'attache rapidement.</v>
      </c>
    </row>
    <row r="1394">
      <c r="A1394" s="4" t="s">
        <v>1749</v>
      </c>
      <c r="B1394" s="6" t="s">
        <v>1753</v>
      </c>
      <c r="C1394" s="5" t="str">
        <f>IFERROR(__xludf.DUMMYFUNCTION("GOOGLETRANSLATE(B1394,""en"",""fr"")"),"L'homme se lève, revient à son cheval, saute et le cheval commence lentement à marcher alors que le veau essaie de se lever.")</f>
        <v>L'homme se lève, revient à son cheval, saute et le cheval commence lentement à marcher alors que le veau essaie de se lever.</v>
      </c>
    </row>
    <row r="1395">
      <c r="A1395" s="4" t="s">
        <v>1754</v>
      </c>
      <c r="B1395" s="4" t="s">
        <v>1755</v>
      </c>
      <c r="C1395" s="5" t="str">
        <f>IFERROR(__xludf.DUMMYFUNCTION("GOOGLETRANSLATE(B1395,""en"",""fr"")"),"Nous voyons un écran d'ouverture avec une lune.")</f>
        <v>Nous voyons un écran d'ouverture avec une lune.</v>
      </c>
    </row>
    <row r="1396">
      <c r="A1396" s="4" t="s">
        <v>1754</v>
      </c>
      <c r="B1396" s="4" t="s">
        <v>1756</v>
      </c>
      <c r="C1396" s="5" t="str">
        <f>IFERROR(__xludf.DUMMYFUNCTION("GOOGLETRANSLATE(B1396,""en"",""fr"")"),"Une dame apparaît tenant une citrouille.")</f>
        <v>Une dame apparaît tenant une citrouille.</v>
      </c>
    </row>
    <row r="1397">
      <c r="A1397" s="4" t="s">
        <v>1754</v>
      </c>
      <c r="B1397" s="4" t="s">
        <v>1757</v>
      </c>
      <c r="C1397" s="5" t="str">
        <f>IFERROR(__xludf.DUMMYFUNCTION("GOOGLETRANSLATE(B1397,""en"",""fr"")"),"Nous voyons la dame en bas à gauche de l'écran parler.")</f>
        <v>Nous voyons la dame en bas à gauche de l'écran parler.</v>
      </c>
    </row>
    <row r="1398">
      <c r="A1398" s="4" t="s">
        <v>1754</v>
      </c>
      <c r="B1398" s="4" t="s">
        <v>1758</v>
      </c>
      <c r="C1398" s="5" t="str">
        <f>IFERROR(__xludf.DUMMYFUNCTION("GOOGLETRANSLATE(B1398,""en"",""fr"")"),"Nous voyons une personne ouvrir et nettoyer une citrouille.")</f>
        <v>Nous voyons une personne ouvrir et nettoyer une citrouille.</v>
      </c>
    </row>
    <row r="1399">
      <c r="A1399" s="4" t="s">
        <v>1754</v>
      </c>
      <c r="B1399" s="4" t="s">
        <v>1759</v>
      </c>
      <c r="C1399" s="5" t="str">
        <f>IFERROR(__xludf.DUMMYFUNCTION("GOOGLETRANSLATE(B1399,""en"",""fr"")"),"Nous voyons que la personne se sculpte un dessin sur une citrouille.")</f>
        <v>Nous voyons que la personne se sculpte un dessin sur une citrouille.</v>
      </c>
    </row>
    <row r="1400">
      <c r="A1400" s="4" t="s">
        <v>1754</v>
      </c>
      <c r="B1400" s="4" t="s">
        <v>1760</v>
      </c>
      <c r="C1400" s="5" t="str">
        <f>IFERROR(__xludf.DUMMYFUNCTION("GOOGLETRANSLATE(B1400,""en"",""fr"")"),"Nous voyons une personne s'appuyer sur la citrouille avec un marqueur noir.")</f>
        <v>Nous voyons une personne s'appuyer sur la citrouille avec un marqueur noir.</v>
      </c>
    </row>
    <row r="1401">
      <c r="A1401" s="4" t="s">
        <v>1754</v>
      </c>
      <c r="B1401" s="4" t="s">
        <v>1761</v>
      </c>
      <c r="C1401" s="5" t="str">
        <f>IFERROR(__xludf.DUMMYFUNCTION("GOOGLETRANSLATE(B1401,""en"",""fr"")"),"Nous voyons la lanterne Jack O finie avec une bougie.")</f>
        <v>Nous voyons la lanterne Jack O finie avec une bougie.</v>
      </c>
    </row>
    <row r="1402">
      <c r="A1402" s="4" t="s">
        <v>1762</v>
      </c>
      <c r="B1402" s="4" t="s">
        <v>1763</v>
      </c>
      <c r="C1402" s="5" t="str">
        <f>IFERROR(__xludf.DUMMYFUNCTION("GOOGLETRANSLATE(B1402,""en"",""fr"")"),"Une fille gymnastique effectue un faisceau d'équilibre.")</f>
        <v>Une fille gymnastique effectue un faisceau d'équilibre.</v>
      </c>
    </row>
    <row r="1403">
      <c r="A1403" s="4" t="s">
        <v>1762</v>
      </c>
      <c r="B1403" s="4" t="s">
        <v>1764</v>
      </c>
      <c r="C1403" s="5" t="str">
        <f>IFERROR(__xludf.DUMMYFUNCTION("GOOGLETRANSLATE(B1403,""en"",""fr"")"),"La fille s'apprête à monter sur le faisceau à partir d'un coussin de saut.")</f>
        <v>La fille s'apprête à monter sur le faisceau à partir d'un coussin de saut.</v>
      </c>
    </row>
    <row r="1404">
      <c r="A1404" s="4" t="s">
        <v>1762</v>
      </c>
      <c r="B1404" s="4" t="s">
        <v>1765</v>
      </c>
      <c r="C1404" s="5" t="str">
        <f>IFERROR(__xludf.DUMMYFUNCTION("GOOGLETRANSLATE(B1404,""en"",""fr"")"),"La fille se produit parfaitement sur le faisceau.")</f>
        <v>La fille se produit parfaitement sur le faisceau.</v>
      </c>
    </row>
    <row r="1405">
      <c r="A1405" s="4" t="s">
        <v>1762</v>
      </c>
      <c r="B1405" s="4" t="s">
        <v>1766</v>
      </c>
      <c r="C1405" s="5" t="str">
        <f>IFERROR(__xludf.DUMMYFUNCTION("GOOGLETRANSLATE(B1405,""en"",""fr"")"),"La fille atterrit parfaitement au sol avec un grand sourire.")</f>
        <v>La fille atterrit parfaitement au sol avec un grand sourire.</v>
      </c>
    </row>
    <row r="1406">
      <c r="A1406" s="4" t="s">
        <v>1767</v>
      </c>
      <c r="B1406" s="6" t="s">
        <v>1768</v>
      </c>
      <c r="C1406" s="5" t="str">
        <f>IFERROR(__xludf.DUMMYFUNCTION("GOOGLETRANSLATE(B1406,""en"",""fr"")"),"Un homme est vu en utilisant une machine sur une longue étendue de feuilles tout en se déplaçant de haut en bas de la pelouse.")</f>
        <v>Un homme est vu en utilisant une machine sur une longue étendue de feuilles tout en se déplaçant de haut en bas de la pelouse.</v>
      </c>
    </row>
    <row r="1407">
      <c r="A1407" s="4" t="s">
        <v>1767</v>
      </c>
      <c r="B1407" s="4" t="s">
        <v>1769</v>
      </c>
      <c r="C1407" s="5" t="str">
        <f>IFERROR(__xludf.DUMMYFUNCTION("GOOGLETRANSLATE(B1407,""en"",""fr"")"),"Il continue de pousser les feuilles autour de la zone et de monter et descendre la pelouse.")</f>
        <v>Il continue de pousser les feuilles autour de la zone et de monter et descendre la pelouse.</v>
      </c>
    </row>
    <row r="1408">
      <c r="A1408" s="4" t="s">
        <v>1770</v>
      </c>
      <c r="B1408" s="4" t="s">
        <v>1771</v>
      </c>
      <c r="C1408" s="5" t="str">
        <f>IFERROR(__xludf.DUMMYFUNCTION("GOOGLETRANSLATE(B1408,""en"",""fr"")"),"Un homme présente le sujet de la vidéo, qui est de savoir comment faire un coup de feu dans le badminton.")</f>
        <v>Un homme présente le sujet de la vidéo, qui est de savoir comment faire un coup de feu dans le badminton.</v>
      </c>
    </row>
    <row r="1409">
      <c r="A1409" s="4" t="s">
        <v>1770</v>
      </c>
      <c r="B1409" s="4" t="s">
        <v>1772</v>
      </c>
      <c r="C1409" s="5" t="str">
        <f>IFERROR(__xludf.DUMMYFUNCTION("GOOGLETRANSLATE(B1409,""en"",""fr"")"),"Il démontre lentement l'approche et la forme nécessaire du tir.")</f>
        <v>Il démontre lentement l'approche et la forme nécessaire du tir.</v>
      </c>
    </row>
    <row r="1410">
      <c r="A1410" s="4" t="s">
        <v>1770</v>
      </c>
      <c r="B1410" s="4" t="s">
        <v>1773</v>
      </c>
      <c r="C1410" s="5" t="str">
        <f>IFERROR(__xludf.DUMMYFUNCTION("GOOGLETRANSLATE(B1410,""en"",""fr"")"),"Nous voyons ensuite un joueur effectuer le tir à plusieurs reprises alors qu'une autre personne le met en place.")</f>
        <v>Nous voyons ensuite un joueur effectuer le tir à plusieurs reprises alors qu'une autre personne le met en place.</v>
      </c>
    </row>
    <row r="1411">
      <c r="A1411" s="4" t="s">
        <v>1774</v>
      </c>
      <c r="B1411" s="4" t="s">
        <v>1775</v>
      </c>
      <c r="C1411" s="5" t="str">
        <f>IFERROR(__xludf.DUMMYFUNCTION("GOOGLETRANSLATE(B1411,""en"",""fr"")"),"Une gymnaste masculine dans une tenue bleue applique de la poussière de craie à ses mains.")</f>
        <v>Une gymnaste masculine dans une tenue bleue applique de la poussière de craie à ses mains.</v>
      </c>
    </row>
    <row r="1412">
      <c r="A1412" s="4" t="s">
        <v>1774</v>
      </c>
      <c r="B1412" s="4" t="s">
        <v>1776</v>
      </c>
      <c r="C1412" s="5" t="str">
        <f>IFERROR(__xludf.DUMMYFUNCTION("GOOGLETRANSLATE(B1412,""en"",""fr"")"),"Une infographie apparaît, montrant que son nom est Danell Leyva des États-Unis.")</f>
        <v>Une infographie apparaît, montrant que son nom est Danell Leyva des États-Unis.</v>
      </c>
    </row>
    <row r="1413">
      <c r="A1413" s="4" t="s">
        <v>1774</v>
      </c>
      <c r="B1413" s="4" t="s">
        <v>1777</v>
      </c>
      <c r="C1413" s="5" t="str">
        <f>IFERROR(__xludf.DUMMYFUNCTION("GOOGLETRANSLATE(B1413,""en"",""fr"")"),"Il monte vers des barreaux et des vagues parallèles.")</f>
        <v>Il monte vers des barreaux et des vagues parallèles.</v>
      </c>
    </row>
    <row r="1414">
      <c r="A1414" s="4" t="s">
        <v>1774</v>
      </c>
      <c r="B1414" s="4" t="s">
        <v>1778</v>
      </c>
      <c r="C1414" s="5" t="str">
        <f>IFERROR(__xludf.DUMMYFUNCTION("GOOGLETRANSLATE(B1414,""en"",""fr"")"),"Il effectue sa routine, exécutant de nombreux flips et mains.")</f>
        <v>Il effectue sa routine, exécutant de nombreux flips et mains.</v>
      </c>
    </row>
    <row r="1415">
      <c r="A1415" s="4" t="s">
        <v>1774</v>
      </c>
      <c r="B1415" s="4" t="s">
        <v>1779</v>
      </c>
      <c r="C1415" s="5" t="str">
        <f>IFERROR(__xludf.DUMMYFUNCTION("GOOGLETRANSLATE(B1415,""en"",""fr"")"),"Il démonte mal, tombant et atterrissant sur le dos à côté du tapis.")</f>
        <v>Il démonte mal, tombant et atterrissant sur le dos à côté du tapis.</v>
      </c>
    </row>
    <row r="1416">
      <c r="A1416" s="4" t="s">
        <v>1774</v>
      </c>
      <c r="B1416" s="4" t="s">
        <v>1780</v>
      </c>
      <c r="C1416" s="5" t="str">
        <f>IFERROR(__xludf.DUMMYFUNCTION("GOOGLETRANSLATE(B1416,""en"",""fr"")"),"Il recule sur le tapis et lève brièvement les bras.")</f>
        <v>Il recule sur le tapis et lève brièvement les bras.</v>
      </c>
    </row>
    <row r="1417">
      <c r="A1417" s="4" t="s">
        <v>1781</v>
      </c>
      <c r="B1417" s="4" t="s">
        <v>1782</v>
      </c>
      <c r="C1417" s="5" t="str">
        <f>IFERROR(__xludf.DUMMYFUNCTION("GOOGLETRANSLATE(B1417,""en"",""fr"")"),"Les joueurs de hockey sortent sur la glace, se saluant.")</f>
        <v>Les joueurs de hockey sortent sur la glace, se saluant.</v>
      </c>
    </row>
    <row r="1418">
      <c r="A1418" s="4" t="s">
        <v>1781</v>
      </c>
      <c r="B1418" s="4" t="s">
        <v>1783</v>
      </c>
      <c r="C1418" s="5" t="str">
        <f>IFERROR(__xludf.DUMMYFUNCTION("GOOGLETRANSLATE(B1418,""en"",""fr"")"),"Ils jouent au jeu, essayant de faire passer la rondelle devant leurs adversaires dans le but.")</f>
        <v>Ils jouent au jeu, essayant de faire passer la rondelle devant leurs adversaires dans le but.</v>
      </c>
    </row>
    <row r="1419">
      <c r="A1419" s="4" t="s">
        <v>1781</v>
      </c>
      <c r="B1419" s="4" t="s">
        <v>1784</v>
      </c>
      <c r="C1419" s="5" t="str">
        <f>IFERROR(__xludf.DUMMYFUNCTION("GOOGLETRANSLATE(B1419,""en"",""fr"")"),"Ils roulent lentement sur la glace.")</f>
        <v>Ils roulent lentement sur la glace.</v>
      </c>
    </row>
    <row r="1420">
      <c r="A1420" s="4" t="s">
        <v>1785</v>
      </c>
      <c r="B1420" s="4" t="s">
        <v>1786</v>
      </c>
      <c r="C1420" s="5" t="str">
        <f>IFERROR(__xludf.DUMMYFUNCTION("GOOGLETRANSLATE(B1420,""en"",""fr"")"),"Une femme athlétique s'étire avec une balle et balance ses jambes en arrière et quatrième.")</f>
        <v>Une femme athlétique s'étire avec une balle et balance ses jambes en arrière et quatrième.</v>
      </c>
    </row>
    <row r="1421">
      <c r="A1421" s="4" t="s">
        <v>1785</v>
      </c>
      <c r="B1421" s="4" t="s">
        <v>1787</v>
      </c>
      <c r="C1421" s="5" t="str">
        <f>IFERROR(__xludf.DUMMYFUNCTION("GOOGLETRANSLATE(B1421,""en"",""fr"")"),"Elle lance le ballon et se prépare à nouveau pour un autre lancer.")</f>
        <v>Elle lance le ballon et se prépare à nouveau pour un autre lancer.</v>
      </c>
    </row>
    <row r="1422">
      <c r="A1422" s="4" t="s">
        <v>1785</v>
      </c>
      <c r="B1422" s="4" t="s">
        <v>1788</v>
      </c>
      <c r="C1422" s="5" t="str">
        <f>IFERROR(__xludf.DUMMYFUNCTION("GOOGLETRANSLATE(B1422,""en"",""fr"")"),"Elle tourne à nouveau en lançant le ballon avec un troisième lancer suivi peu de temps après.")</f>
        <v>Elle tourne à nouveau en lançant le ballon avec un troisième lancer suivi peu de temps après.</v>
      </c>
    </row>
    <row r="1423">
      <c r="A1423" s="4" t="s">
        <v>1785</v>
      </c>
      <c r="B1423" s="4" t="s">
        <v>1789</v>
      </c>
      <c r="C1423" s="5" t="str">
        <f>IFERROR(__xludf.DUMMYFUNCTION("GOOGLETRANSLATE(B1423,""en"",""fr"")"),"Elle effectue un dernier lancer et se tourne à nouveau.")</f>
        <v>Elle effectue un dernier lancer et se tourne à nouveau.</v>
      </c>
    </row>
    <row r="1424">
      <c r="A1424" s="4" t="s">
        <v>1790</v>
      </c>
      <c r="B1424" s="4" t="s">
        <v>1791</v>
      </c>
      <c r="C1424" s="5" t="str">
        <f>IFERROR(__xludf.DUMMYFUNCTION("GOOGLETRANSLATE(B1424,""en"",""fr"")"),"Les boules de coton sont incendiées et éteintes de diverses manières.")</f>
        <v>Les boules de coton sont incendiées et éteintes de diverses manières.</v>
      </c>
    </row>
    <row r="1425">
      <c r="A1425" s="4" t="s">
        <v>1790</v>
      </c>
      <c r="B1425" s="4" t="s">
        <v>1792</v>
      </c>
      <c r="C1425" s="5" t="str">
        <f>IFERROR(__xludf.DUMMYFUNCTION("GOOGLETRANSLATE(B1425,""en"",""fr"")"),"Une hache est utilisée pour éteindre le feu.")</f>
        <v>Une hache est utilisée pour éteindre le feu.</v>
      </c>
    </row>
    <row r="1426">
      <c r="A1426" s="4" t="s">
        <v>1790</v>
      </c>
      <c r="B1426" s="4" t="s">
        <v>1793</v>
      </c>
      <c r="C1426" s="5" t="str">
        <f>IFERROR(__xludf.DUMMYFUNCTION("GOOGLETRANSLATE(B1426,""en"",""fr"")"),"Un morceau de bois est utilisé pour éteindre le feu.")</f>
        <v>Un morceau de bois est utilisé pour éteindre le feu.</v>
      </c>
    </row>
    <row r="1427">
      <c r="A1427" s="4" t="s">
        <v>1794</v>
      </c>
      <c r="B1427" s="6" t="s">
        <v>1795</v>
      </c>
      <c r="C1427" s="5" t="str">
        <f>IFERROR(__xludf.DUMMYFUNCTION("GOOGLETRANSLATE(B1427,""en"",""fr"")"),"Une femme lave la tête d'un homme et se coupe les cheveux, puis la femme se tient deux hommes suivants et touche la tête du jeune homme.")</f>
        <v>Une femme lave la tête d'un homme et se coupe les cheveux, puis la femme se tient deux hommes suivants et touche la tête du jeune homme.</v>
      </c>
    </row>
    <row r="1428">
      <c r="A1428" s="4" t="s">
        <v>1794</v>
      </c>
      <c r="B1428" s="4" t="s">
        <v>1796</v>
      </c>
      <c r="C1428" s="5" t="str">
        <f>IFERROR(__xludf.DUMMYFUNCTION("GOOGLETRANSLATE(B1428,""en"",""fr"")"),"La femme coupe les cheveux d'un jeune homme en utilisant d'abord une machine, puis un peigne et des ciseaux.")</f>
        <v>La femme coupe les cheveux d'un jeune homme en utilisant d'abord une machine, puis un peigne et des ciseaux.</v>
      </c>
    </row>
    <row r="1429">
      <c r="A1429" s="4" t="s">
        <v>1794</v>
      </c>
      <c r="B1429" s="4" t="s">
        <v>1797</v>
      </c>
      <c r="C1429" s="5" t="str">
        <f>IFERROR(__xludf.DUMMYFUNCTION("GOOGLETRANSLATE(B1429,""en"",""fr"")"),"Ensuite, la femme sèche les cheveux avec une sécheuse et brosser la tête.")</f>
        <v>Ensuite, la femme sèche les cheveux avec une sécheuse et brosser la tête.</v>
      </c>
    </row>
    <row r="1430">
      <c r="A1430" s="4" t="s">
        <v>1794</v>
      </c>
      <c r="B1430" s="6" t="s">
        <v>1798</v>
      </c>
      <c r="C1430" s="5" t="str">
        <f>IFERROR(__xludf.DUMMYFUNCTION("GOOGLETRANSLATE(B1430,""en"",""fr"")"),"Après, la femme prend de la crème sur ses mains et peigne la tête de l'homme avec ses doigts pour donner une forme aux cheveux.")</f>
        <v>Après, la femme prend de la crème sur ses mains et peigne la tête de l'homme avec ses doigts pour donner une forme aux cheveux.</v>
      </c>
    </row>
    <row r="1431">
      <c r="A1431" s="4" t="s">
        <v>1794</v>
      </c>
      <c r="B1431" s="4" t="s">
        <v>1799</v>
      </c>
      <c r="C1431" s="5" t="str">
        <f>IFERROR(__xludf.DUMMYFUNCTION("GOOGLETRANSLATE(B1431,""en"",""fr"")"),"Ensuite, la femme explique la coiffure.")</f>
        <v>Ensuite, la femme explique la coiffure.</v>
      </c>
    </row>
    <row r="1432">
      <c r="A1432" s="4" t="s">
        <v>1800</v>
      </c>
      <c r="B1432" s="6" t="s">
        <v>1801</v>
      </c>
      <c r="C1432" s="5" t="str">
        <f>IFERROR(__xludf.DUMMYFUNCTION("GOOGLETRANSLATE(B1432,""en"",""fr"")"),"Les gens marchent dans les couloirs d'un hôpital, puis un médecin passe en revue la jambe blessée d'un homme laissant des scintillement verts sur la jambe et une machine.")</f>
        <v>Les gens marchent dans les couloirs d'un hôpital, puis un médecin passe en revue la jambe blessée d'un homme laissant des scintillement verts sur la jambe et une machine.</v>
      </c>
    </row>
    <row r="1433">
      <c r="A1433" s="4" t="s">
        <v>1800</v>
      </c>
      <c r="B1433" s="6" t="s">
        <v>1802</v>
      </c>
      <c r="C1433" s="5" t="str">
        <f>IFERROR(__xludf.DUMMYFUNCTION("GOOGLETRANSLATE(B1433,""en"",""fr"")"),"Ensuite, l'homme passe et laisse des scintillement verts sur le téléphone qu'il passe à la main d'une infirmière qui attrape le téléphone.")</f>
        <v>Ensuite, l'homme passe et laisse des scintillement verts sur le téléphone qu'il passe à la main d'une infirmière qui attrape le téléphone.</v>
      </c>
    </row>
    <row r="1434">
      <c r="A1434" s="4" t="s">
        <v>1800</v>
      </c>
      <c r="B1434" s="6" t="s">
        <v>1803</v>
      </c>
      <c r="C1434" s="5" t="str">
        <f>IFERROR(__xludf.DUMMYFUNCTION("GOOGLETRANSLATE(B1434,""en"",""fr"")"),"Après que l'infirmière entre en visite pour un homme malade ainsi que deux médecins qui portent des étincelles vertes sur leurs mains qui laissent sur le malade.")</f>
        <v>Après que l'infirmière entre en visite pour un homme malade ainsi que deux médecins qui portent des étincelles vertes sur leurs mains qui laissent sur le malade.</v>
      </c>
    </row>
    <row r="1435">
      <c r="A1435" s="4" t="s">
        <v>1800</v>
      </c>
      <c r="B1435" s="4" t="s">
        <v>1804</v>
      </c>
      <c r="C1435" s="5" t="str">
        <f>IFERROR(__xludf.DUMMYFUNCTION("GOOGLETRANSLATE(B1435,""en"",""fr"")"),"Une personne lave la main, utilise la main désinfectue et nettoie un stéthoscope pour se débarrasser des microbes.")</f>
        <v>Une personne lave la main, utilise la main désinfectue et nettoie un stéthoscope pour se débarrasser des microbes.</v>
      </c>
    </row>
    <row r="1436">
      <c r="A1436" s="4" t="s">
        <v>1805</v>
      </c>
      <c r="B1436" s="6" t="s">
        <v>1806</v>
      </c>
      <c r="C1436" s="5" t="str">
        <f>IFERROR(__xludf.DUMMYFUNCTION("GOOGLETRANSLATE(B1436,""en"",""fr"")"),"Un athlète se prépare à effectuer un saut en longueur dans un stade plein de gens, puis un homme blanc court et saute haut pour atterrir dans le sable.")</f>
        <v>Un athlète se prépare à effectuer un saut en longueur dans un stade plein de gens, puis un homme blanc court et saute haut pour atterrir dans le sable.</v>
      </c>
    </row>
    <row r="1437">
      <c r="A1437" s="4" t="s">
        <v>1805</v>
      </c>
      <c r="B1437" s="4" t="s">
        <v>1807</v>
      </c>
      <c r="C1437" s="5" t="str">
        <f>IFERROR(__xludf.DUMMYFUNCTION("GOOGLETRANSLATE(B1437,""en"",""fr"")"),"De plus, trois hommes noirs courent rapidement et sautent haut pour effectuer un saut en longueur.")</f>
        <v>De plus, trois hommes noirs courent rapidement et sautent haut pour effectuer un saut en longueur.</v>
      </c>
    </row>
    <row r="1438">
      <c r="A1438" s="4" t="s">
        <v>1805</v>
      </c>
      <c r="B1438" s="4" t="s">
        <v>1808</v>
      </c>
      <c r="C1438" s="5" t="str">
        <f>IFERROR(__xludf.DUMMYFUNCTION("GOOGLETRANSLATE(B1438,""en"",""fr"")"),"En outre, un homme blanc effectue un saut en longueur, ainsi que deux hommes noirs font des sauts en longueur.")</f>
        <v>En outre, un homme blanc effectue un saut en longueur, ainsi que deux hommes noirs font des sauts en longueur.</v>
      </c>
    </row>
    <row r="1439">
      <c r="A1439" s="4" t="s">
        <v>1805</v>
      </c>
      <c r="B1439" s="4" t="s">
        <v>1809</v>
      </c>
      <c r="C1439" s="5" t="str">
        <f>IFERROR(__xludf.DUMMYFUNCTION("GOOGLETRANSLATE(B1439,""en"",""fr"")"),"Un tableau de score montre et marque, tandis qu'une personne se tient à partir et enlève son doux pull.")</f>
        <v>Un tableau de score montre et marque, tandis qu'une personne se tient à partir et enlève son doux pull.</v>
      </c>
    </row>
    <row r="1440">
      <c r="A1440" s="4" t="s">
        <v>1805</v>
      </c>
      <c r="B1440" s="4" t="s">
        <v>1810</v>
      </c>
      <c r="C1440" s="5" t="str">
        <f>IFERROR(__xludf.DUMMYFUNCTION("GOOGLETRANSLATE(B1440,""en"",""fr"")"),"Un homme noir saute en haut de Happy A Runs célébrant son triomphe.")</f>
        <v>Un homme noir saute en haut de Happy A Runs célébrant son triomphe.</v>
      </c>
    </row>
    <row r="1441">
      <c r="A1441" s="4" t="s">
        <v>1811</v>
      </c>
      <c r="B1441" s="4" t="s">
        <v>1812</v>
      </c>
      <c r="C1441" s="5" t="str">
        <f>IFERROR(__xludf.DUMMYFUNCTION("GOOGLETRANSLATE(B1441,""en"",""fr"")"),"Un écran apparaît avec des instructions sur la façon de fixer une bande-annonce de vélo insttep.")</f>
        <v>Un écran apparaît avec des instructions sur la façon de fixer une bande-annonce de vélo insttep.</v>
      </c>
    </row>
    <row r="1442">
      <c r="A1442" s="4" t="s">
        <v>1811</v>
      </c>
      <c r="B1442" s="4" t="s">
        <v>1813</v>
      </c>
      <c r="C1442" s="5" t="str">
        <f>IFERROR(__xludf.DUMMYFUNCTION("GOOGLETRANSLATE(B1442,""en"",""fr"")"),"Un homme montre comment attacher une remorque à vélo insttep sur la roue arrière d'un vélo.")</f>
        <v>Un homme montre comment attacher une remorque à vélo insttep sur la roue arrière d'un vélo.</v>
      </c>
    </row>
    <row r="1443">
      <c r="A1443" s="4" t="s">
        <v>1811</v>
      </c>
      <c r="B1443" s="4" t="s">
        <v>1814</v>
      </c>
      <c r="C1443" s="5" t="str">
        <f>IFERROR(__xludf.DUMMYFUNCTION("GOOGLETRANSLATE(B1443,""en"",""fr"")"),"Ensuite, l'homme continue d'expliquer le processus assis dans la salle à manger.")</f>
        <v>Ensuite, l'homme continue d'expliquer le processus assis dans la salle à manger.</v>
      </c>
    </row>
    <row r="1444">
      <c r="A1444" s="4" t="s">
        <v>1811</v>
      </c>
      <c r="B1444" s="4" t="s">
        <v>1815</v>
      </c>
      <c r="C1444" s="5" t="str">
        <f>IFERROR(__xludf.DUMMYFUNCTION("GOOGLETRANSLATE(B1444,""en"",""fr"")"),"Deux tout-petits sont assis dans une remorque à vélo, tandis que l'homme attache les ceintures de sécurité.")</f>
        <v>Deux tout-petits sont assis dans une remorque à vélo, tandis que l'homme attache les ceintures de sécurité.</v>
      </c>
    </row>
    <row r="1445">
      <c r="A1445" s="4" t="s">
        <v>1816</v>
      </c>
      <c r="B1445" s="4" t="s">
        <v>1817</v>
      </c>
      <c r="C1445" s="5" t="str">
        <f>IFERROR(__xludf.DUMMYFUNCTION("GOOGLETRANSLATE(B1445,""en"",""fr"")"),"Un filtre en noir et blanc se déroule sur un match de football en cours dans un champ intérieur.")</f>
        <v>Un filtre en noir et blanc se déroule sur un match de football en cours dans un champ intérieur.</v>
      </c>
    </row>
    <row r="1446">
      <c r="A1446" s="4" t="s">
        <v>1816</v>
      </c>
      <c r="B1446" s="4" t="s">
        <v>1818</v>
      </c>
      <c r="C1446" s="5" t="str">
        <f>IFERROR(__xludf.DUMMYFUNCTION("GOOGLETRANSLATE(B1446,""en"",""fr"")"),"La couleur est ensuite indiquée alors que de plus en plus de personnes jouent en arrière du football et quatrième sur plusieurs plans.")</f>
        <v>La couleur est ensuite indiquée alors que de plus en plus de personnes jouent en arrière du football et quatrième sur plusieurs plans.</v>
      </c>
    </row>
    <row r="1447">
      <c r="A1447" s="4" t="s">
        <v>1819</v>
      </c>
      <c r="B1447" s="4" t="s">
        <v>1820</v>
      </c>
      <c r="C1447" s="5" t="str">
        <f>IFERROR(__xludf.DUMMYFUNCTION("GOOGLETRANSLATE(B1447,""en"",""fr"")"),"Un grand groupe de personnes coule sur un terrain jouant à la crosse tandis que d'autres regardent.")</f>
        <v>Un grand groupe de personnes coule sur un terrain jouant à la crosse tandis que d'autres regardent.</v>
      </c>
    </row>
    <row r="1448">
      <c r="A1448" s="4" t="s">
        <v>1819</v>
      </c>
      <c r="B1448" s="4" t="s">
        <v>1821</v>
      </c>
      <c r="C1448" s="5" t="str">
        <f>IFERROR(__xludf.DUMMYFUNCTION("GOOGLETRANSLATE(B1448,""en"",""fr"")"),"Le jeu continue alors que les gens les regardent encore sur les côtés.")</f>
        <v>Le jeu continue alors que les gens les regardent encore sur les côtés.</v>
      </c>
    </row>
    <row r="1449">
      <c r="A1449" s="4" t="s">
        <v>1819</v>
      </c>
      <c r="B1449" s="4" t="s">
        <v>1822</v>
      </c>
      <c r="C1449" s="5" t="str">
        <f>IFERROR(__xludf.DUMMYFUNCTION("GOOGLETRANSLATE(B1449,""en"",""fr"")"),"Ils s'arrêtent à plusieurs reprises pour se parler et continuer à jouer au jeu.")</f>
        <v>Ils s'arrêtent à plusieurs reprises pour se parler et continuer à jouer au jeu.</v>
      </c>
    </row>
    <row r="1450">
      <c r="A1450" s="4" t="s">
        <v>1823</v>
      </c>
      <c r="B1450" s="4" t="s">
        <v>1824</v>
      </c>
      <c r="C1450" s="5" t="str">
        <f>IFERROR(__xludf.DUMMYFUNCTION("GOOGLETRANSLATE(B1450,""en"",""fr"")"),"On voit une personne sur des vagues sur l'eau ainsi que des gens faisant la fête dans une maison.")</f>
        <v>On voit une personne sur des vagues sur l'eau ainsi que des gens faisant la fête dans une maison.</v>
      </c>
    </row>
    <row r="1451">
      <c r="A1451" s="4" t="s">
        <v>1823</v>
      </c>
      <c r="B1451" s="4" t="s">
        <v>1825</v>
      </c>
      <c r="C1451" s="5" t="str">
        <f>IFERROR(__xludf.DUMMYFUNCTION("GOOGLETRANSLATE(B1451,""en"",""fr"")"),"Un DJ est montré en train de jouer de la musique ainsi que des gens qui dansent et des surfeurs surfent.")</f>
        <v>Un DJ est montré en train de jouer de la musique ainsi que des gens qui dansent et des surfeurs surfent.</v>
      </c>
    </row>
    <row r="1452">
      <c r="A1452" s="4" t="s">
        <v>1823</v>
      </c>
      <c r="B1452" s="4" t="s">
        <v>1826</v>
      </c>
      <c r="C1452" s="5" t="str">
        <f>IFERROR(__xludf.DUMMYFUNCTION("GOOGLETRANSLATE(B1452,""en"",""fr"")"),"Plus de coups sont montrés des personnes surfant et s'amusent à la maison.")</f>
        <v>Plus de coups sont montrés des personnes surfant et s'amusent à la maison.</v>
      </c>
    </row>
    <row r="1453">
      <c r="A1453" s="4" t="s">
        <v>1827</v>
      </c>
      <c r="B1453" s="4" t="s">
        <v>1828</v>
      </c>
      <c r="C1453" s="5" t="str">
        <f>IFERROR(__xludf.DUMMYFUNCTION("GOOGLETRANSLATE(B1453,""en"",""fr"")"),"Nous voyons un écran d'ouverture sur blanc.")</f>
        <v>Nous voyons un écran d'ouverture sur blanc.</v>
      </c>
    </row>
    <row r="1454">
      <c r="A1454" s="4" t="s">
        <v>1827</v>
      </c>
      <c r="B1454" s="4" t="s">
        <v>1829</v>
      </c>
      <c r="C1454" s="5" t="str">
        <f>IFERROR(__xludf.DUMMYFUNCTION("GOOGLETRANSLATE(B1454,""en"",""fr"")"),"Nous voyons ensuite des gens sur tube jouer dans une rivière.")</f>
        <v>Nous voyons ensuite des gens sur tube jouer dans une rivière.</v>
      </c>
    </row>
    <row r="1455">
      <c r="A1455" s="4" t="s">
        <v>1827</v>
      </c>
      <c r="B1455" s="4" t="s">
        <v>1830</v>
      </c>
      <c r="C1455" s="5" t="str">
        <f>IFERROR(__xludf.DUMMYFUNCTION("GOOGLETRANSLATE(B1455,""en"",""fr"")"),"Un garçon en lunettes de soleil flotte devant la caméra.")</f>
        <v>Un garçon en lunettes de soleil flotte devant la caméra.</v>
      </c>
    </row>
    <row r="1456">
      <c r="A1456" s="4" t="s">
        <v>1827</v>
      </c>
      <c r="B1456" s="4" t="s">
        <v>1831</v>
      </c>
      <c r="C1456" s="5" t="str">
        <f>IFERROR(__xludf.DUMMYFUNCTION("GOOGLETRANSLATE(B1456,""en"",""fr"")"),"Un garçon jette un panneau de paix à la caméra.")</f>
        <v>Un garçon jette un panneau de paix à la caméra.</v>
      </c>
    </row>
    <row r="1457">
      <c r="A1457" s="4" t="s">
        <v>1827</v>
      </c>
      <c r="B1457" s="4" t="s">
        <v>1832</v>
      </c>
      <c r="C1457" s="5" t="str">
        <f>IFERROR(__xludf.DUMMYFUNCTION("GOOGLETRANSLATE(B1457,""en"",""fr"")"),"Les gens passent en revue une cascade dans leurs radeaux.")</f>
        <v>Les gens passent en revue une cascade dans leurs radeaux.</v>
      </c>
    </row>
    <row r="1458">
      <c r="A1458" s="4" t="s">
        <v>1827</v>
      </c>
      <c r="B1458" s="4" t="s">
        <v>1833</v>
      </c>
      <c r="C1458" s="5" t="str">
        <f>IFERROR(__xludf.DUMMYFUNCTION("GOOGLETRANSLATE(B1458,""en"",""fr"")"),"Nous voyons un tas de gens sauter dans l'eau.")</f>
        <v>Nous voyons un tas de gens sauter dans l'eau.</v>
      </c>
    </row>
    <row r="1459">
      <c r="A1459" s="4" t="s">
        <v>1834</v>
      </c>
      <c r="B1459" s="4" t="s">
        <v>1835</v>
      </c>
      <c r="C1459" s="5" t="str">
        <f>IFERROR(__xludf.DUMMYFUNCTION("GOOGLETRANSLATE(B1459,""en"",""fr"")"),"Un enfant joue une flûte chromée à l'intérieur de la maison.")</f>
        <v>Un enfant joue une flûte chromée à l'intérieur de la maison.</v>
      </c>
    </row>
    <row r="1460">
      <c r="A1460" s="4" t="s">
        <v>1834</v>
      </c>
      <c r="B1460" s="4" t="s">
        <v>1836</v>
      </c>
      <c r="C1460" s="5" t="str">
        <f>IFERROR(__xludf.DUMMYFUNCTION("GOOGLETRANSLATE(B1460,""en"",""fr"")"),"La fille termine la chanson et abaisse la flûte.")</f>
        <v>La fille termine la chanson et abaisse la flûte.</v>
      </c>
    </row>
    <row r="1461">
      <c r="A1461" s="4" t="s">
        <v>1837</v>
      </c>
      <c r="B1461" s="4" t="s">
        <v>1838</v>
      </c>
      <c r="C1461" s="5" t="str">
        <f>IFERROR(__xludf.DUMMYFUNCTION("GOOGLETRANSLATE(B1461,""en"",""fr"")"),"Deux hommes jouent au football dans une arène avec deux arbitres debout près de la renommée.")</f>
        <v>Deux hommes jouent au football dans une arène avec deux arbitres debout près de la renommée.</v>
      </c>
    </row>
    <row r="1462">
      <c r="A1462" s="4" t="s">
        <v>1837</v>
      </c>
      <c r="B1462" s="4" t="s">
        <v>1839</v>
      </c>
      <c r="C1462" s="5" t="str">
        <f>IFERROR(__xludf.DUMMYFUNCTION("GOOGLETRANSLATE(B1462,""en"",""fr"")"),"Nous voyons le gradin un spectateur.")</f>
        <v>Nous voyons le gradin un spectateur.</v>
      </c>
    </row>
    <row r="1463">
      <c r="A1463" s="4" t="s">
        <v>1837</v>
      </c>
      <c r="B1463" s="4" t="s">
        <v>1840</v>
      </c>
      <c r="C1463" s="5" t="str">
        <f>IFERROR(__xludf.DUMMYFUNCTION("GOOGLETRANSLATE(B1463,""en"",""fr"")"),"Un point est marqué et voir les gens applaudir et une relecture et un écran de titre.")</f>
        <v>Un point est marqué et voir les gens applaudir et une relecture et un écran de titre.</v>
      </c>
    </row>
    <row r="1464">
      <c r="A1464" s="4" t="s">
        <v>1837</v>
      </c>
      <c r="B1464" s="4" t="s">
        <v>1841</v>
      </c>
      <c r="C1464" s="5" t="str">
        <f>IFERROR(__xludf.DUMMYFUNCTION("GOOGLETRANSLATE(B1464,""en"",""fr"")"),"L'homme en gris recule et essuie.")</f>
        <v>L'homme en gris recule et essuie.</v>
      </c>
    </row>
    <row r="1465">
      <c r="A1465" s="4" t="s">
        <v>1837</v>
      </c>
      <c r="B1465" s="6" t="s">
        <v>1842</v>
      </c>
      <c r="C1465" s="5" t="str">
        <f>IFERROR(__xludf.DUMMYFUNCTION("GOOGLETRANSLATE(B1465,""en"",""fr"")"),"Nous voyons l'homme en noir parler avec les gens derrière lui avant que les hommes ne reviennent au jeu.")</f>
        <v>Nous voyons l'homme en noir parler avec les gens derrière lui avant que les hommes ne reviennent au jeu.</v>
      </c>
    </row>
    <row r="1466">
      <c r="A1466" s="4" t="s">
        <v>1837</v>
      </c>
      <c r="B1466" s="4" t="s">
        <v>777</v>
      </c>
      <c r="C1466" s="5" t="str">
        <f>IFERROR(__xludf.DUMMYFUNCTION("GOOGLETRANSLATE(B1466,""en"",""fr"")"),"Nous voyons l'écran du titre de fin.")</f>
        <v>Nous voyons l'écran du titre de fin.</v>
      </c>
    </row>
    <row r="1467">
      <c r="A1467" s="4" t="s">
        <v>1843</v>
      </c>
      <c r="B1467" s="6" t="s">
        <v>1844</v>
      </c>
      <c r="C1467" s="5" t="str">
        <f>IFERROR(__xludf.DUMMYFUNCTION("GOOGLETRANSLATE(B1467,""en"",""fr"")"),"Deux personnes grimpent un mur d'escalade la nuit devant une étroite piscine d'eau entourée d'une foule de spectateurs.")</f>
        <v>Deux personnes grimpent un mur d'escalade la nuit devant une étroite piscine d'eau entourée d'une foule de spectateurs.</v>
      </c>
    </row>
    <row r="1468">
      <c r="A1468" s="4" t="s">
        <v>1843</v>
      </c>
      <c r="B1468" s="6" t="s">
        <v>1845</v>
      </c>
      <c r="C1468" s="5" t="str">
        <f>IFERROR(__xludf.DUMMYFUNCTION("GOOGLETRANSLATE(B1468,""en"",""fr"")"),"Les deux personnes grimpent lentement le mur, à mi-chemin, la personne à gauche tombe du mur et dans l'eau en dessous.")</f>
        <v>Les deux personnes grimpent lentement le mur, à mi-chemin, la personne à gauche tombe du mur et dans l'eau en dessous.</v>
      </c>
    </row>
    <row r="1469">
      <c r="A1469" s="4" t="s">
        <v>1843</v>
      </c>
      <c r="B1469" s="6" t="s">
        <v>1846</v>
      </c>
      <c r="C1469" s="5" t="str">
        <f>IFERROR(__xludf.DUMMYFUNCTION("GOOGLETRANSLATE(B1469,""en"",""fr"")"),"Une autre course sur le mur commence dans laquelle la personne à droite tombe et la personne à gauche grimpe au sommet du mur, puis saute du mur dans l'eau.")</f>
        <v>Une autre course sur le mur commence dans laquelle la personne à droite tombe et la personne à gauche grimpe au sommet du mur, puis saute du mur dans l'eau.</v>
      </c>
    </row>
    <row r="1470">
      <c r="A1470" s="4" t="s">
        <v>1843</v>
      </c>
      <c r="B1470" s="6" t="s">
        <v>1847</v>
      </c>
      <c r="C1470" s="5" t="str">
        <f>IFERROR(__xludf.DUMMYFUNCTION("GOOGLETRANSLATE(B1470,""en"",""fr"")"),"Dans le même cadre, mais maintenant pendant la journée, une personne seule portant des catapultes de skis dans l'air devant le mur d'escalade et atterrit dans l'eau en dessous.")</f>
        <v>Dans le même cadre, mais maintenant pendant la journée, une personne seule portant des catapultes de skis dans l'air devant le mur d'escalade et atterrit dans l'eau en dessous.</v>
      </c>
    </row>
    <row r="1471">
      <c r="A1471" s="4" t="s">
        <v>1848</v>
      </c>
      <c r="B1471" s="4" t="s">
        <v>1849</v>
      </c>
      <c r="C1471" s="5" t="str">
        <f>IFERROR(__xludf.DUMMYFUNCTION("GOOGLETRANSLATE(B1471,""en"",""fr"")"),"Un public qui regarde des casseroles sur une grande piste et des athlètes qui courent dans une fosse.")</f>
        <v>Un public qui regarde des casseroles sur une grande piste et des athlètes qui courent dans une fosse.</v>
      </c>
    </row>
    <row r="1472">
      <c r="A1472" s="4" t="s">
        <v>1848</v>
      </c>
      <c r="B1472" s="6" t="s">
        <v>1850</v>
      </c>
      <c r="C1472" s="5" t="str">
        <f>IFERROR(__xludf.DUMMYFUNCTION("GOOGLETRANSLATE(B1472,""en"",""fr"")"),"Plusieurs personnes sont montrées en train de courir sur la piste pendant que le public applaudisse et que les gens parlent à la caméra.")</f>
        <v>Plusieurs personnes sont montrées en train de courir sur la piste pendant que le public applaudisse et que les gens parlent à la caméra.</v>
      </c>
    </row>
    <row r="1473">
      <c r="A1473" s="4" t="s">
        <v>1851</v>
      </c>
      <c r="B1473" s="4" t="s">
        <v>1852</v>
      </c>
      <c r="C1473" s="5" t="str">
        <f>IFERROR(__xludf.DUMMYFUNCTION("GOOGLETRANSLATE(B1473,""en"",""fr"")"),"Un jeune homme sort une roue et montre la structure appropriée d'une roue.")</f>
        <v>Un jeune homme sort une roue et montre la structure appropriée d'une roue.</v>
      </c>
    </row>
    <row r="1474">
      <c r="A1474" s="4" t="s">
        <v>1851</v>
      </c>
      <c r="B1474" s="4" t="s">
        <v>1853</v>
      </c>
      <c r="C1474" s="5" t="str">
        <f>IFERROR(__xludf.DUMMYFUNCTION("GOOGLETRANSLATE(B1474,""en"",""fr"")"),"Il vérifie la pression actuelle du pneu et commence à pomper de l'air dans le pneu.")</f>
        <v>Il vérifie la pression actuelle du pneu et commence à pomper de l'air dans le pneu.</v>
      </c>
    </row>
    <row r="1475">
      <c r="A1475" s="4" t="s">
        <v>1851</v>
      </c>
      <c r="B1475" s="6" t="s">
        <v>1854</v>
      </c>
      <c r="C1475" s="5" t="str">
        <f>IFERROR(__xludf.DUMMYFUNCTION("GOOGLETRANSLATE(B1475,""en"",""fr"")"),"Il montre la différence entre la bonne bande de roulement et la mauvaise bande de roulement ainsi que quand savoir quand remplacer vos pneus.")</f>
        <v>Il montre la différence entre la bonne bande de roulement et la mauvaise bande de roulement ainsi que quand savoir quand remplacer vos pneus.</v>
      </c>
    </row>
    <row r="1476">
      <c r="A1476" s="4" t="s">
        <v>1855</v>
      </c>
      <c r="B1476" s="4" t="s">
        <v>1856</v>
      </c>
      <c r="C1476" s="5" t="str">
        <f>IFERROR(__xludf.DUMMYFUNCTION("GOOGLETRANSLATE(B1476,""en"",""fr"")"),"Un gros plan d'un évier est montré suivi par une personne qui le frotte avec un chiffon sous différents angles.")</f>
        <v>Un gros plan d'un évier est montré suivi par une personne qui le frotte avec un chiffon sous différents angles.</v>
      </c>
    </row>
    <row r="1477">
      <c r="A1477" s="4" t="s">
        <v>1855</v>
      </c>
      <c r="B1477" s="4" t="s">
        <v>1857</v>
      </c>
      <c r="C1477" s="5" t="str">
        <f>IFERROR(__xludf.DUMMYFUNCTION("GOOGLETRANSLATE(B1477,""en"",""fr"")"),"L'évier est à nouveau illustré par lui-même suivi d'eau dégoulinant.")</f>
        <v>L'évier est à nouveau illustré par lui-même suivi d'eau dégoulinant.</v>
      </c>
    </row>
    <row r="1478">
      <c r="A1478" s="4" t="s">
        <v>1858</v>
      </c>
      <c r="B1478" s="4" t="s">
        <v>1859</v>
      </c>
      <c r="C1478" s="5" t="str">
        <f>IFERROR(__xludf.DUMMYFUNCTION("GOOGLETRANSLATE(B1478,""en"",""fr"")"),"Nous voyons une dame prendre une pièce et toucher ses cheveux.")</f>
        <v>Nous voyons une dame prendre une pièce et toucher ses cheveux.</v>
      </c>
    </row>
    <row r="1479">
      <c r="A1479" s="4" t="s">
        <v>1858</v>
      </c>
      <c r="B1479" s="4" t="s">
        <v>1860</v>
      </c>
      <c r="C1479" s="5" t="str">
        <f>IFERROR(__xludf.DUMMYFUNCTION("GOOGLETRANSLATE(B1479,""en"",""fr"")"),"Il y a un écran de titre.")</f>
        <v>Il y a un écran de titre.</v>
      </c>
    </row>
    <row r="1480">
      <c r="A1480" s="4" t="s">
        <v>1858</v>
      </c>
      <c r="B1480" s="4" t="s">
        <v>1861</v>
      </c>
      <c r="C1480" s="5" t="str">
        <f>IFERROR(__xludf.DUMMYFUNCTION("GOOGLETRANSLATE(B1480,""en"",""fr"")"),"La dame nous montre les produits et les outils qu'elle utilise sur ses cheveux.")</f>
        <v>La dame nous montre les produits et les outils qu'elle utilise sur ses cheveux.</v>
      </c>
    </row>
    <row r="1481">
      <c r="A1481" s="4" t="s">
        <v>1858</v>
      </c>
      <c r="B1481" s="4" t="s">
        <v>1862</v>
      </c>
      <c r="C1481" s="5" t="str">
        <f>IFERROR(__xludf.DUMMYFUNCTION("GOOGLETRANSLATE(B1481,""en"",""fr"")"),"Nous voyons la dame se coiffer.")</f>
        <v>Nous voyons la dame se coiffer.</v>
      </c>
    </row>
    <row r="1482">
      <c r="A1482" s="4" t="s">
        <v>1858</v>
      </c>
      <c r="B1482" s="4" t="s">
        <v>1863</v>
      </c>
      <c r="C1482" s="5" t="str">
        <f>IFERROR(__xludf.DUMMYFUNCTION("GOOGLETRANSLATE(B1482,""en"",""fr"")"),"La dame sections ses cheveux et ajoute du produit.")</f>
        <v>La dame sections ses cheveux et ajoute du produit.</v>
      </c>
    </row>
    <row r="1483">
      <c r="A1483" s="4" t="s">
        <v>1858</v>
      </c>
      <c r="B1483" s="4" t="s">
        <v>1864</v>
      </c>
      <c r="C1483" s="5" t="str">
        <f>IFERROR(__xludf.DUMMYFUNCTION("GOOGLETRANSLATE(B1483,""en"",""fr"")"),"La dame tord ses cheveux autour de son doigt.")</f>
        <v>La dame tord ses cheveux autour de son doigt.</v>
      </c>
    </row>
    <row r="1484">
      <c r="A1484" s="4" t="s">
        <v>1858</v>
      </c>
      <c r="B1484" s="4" t="s">
        <v>1865</v>
      </c>
      <c r="C1484" s="5" t="str">
        <f>IFERROR(__xludf.DUMMYFUNCTION("GOOGLETRANSLATE(B1484,""en"",""fr"")"),"La dame commence à souffler ses cheveux.")</f>
        <v>La dame commence à souffler ses cheveux.</v>
      </c>
    </row>
    <row r="1485">
      <c r="A1485" s="4" t="s">
        <v>1858</v>
      </c>
      <c r="B1485" s="4" t="s">
        <v>1866</v>
      </c>
      <c r="C1485" s="5" t="str">
        <f>IFERROR(__xludf.DUMMYFUNCTION("GOOGLETRANSLATE(B1485,""en"",""fr"")"),"Nous voyons des images des cheveux finis aux dames.")</f>
        <v>Nous voyons des images des cheveux finis aux dames.</v>
      </c>
    </row>
    <row r="1486">
      <c r="A1486" s="4" t="s">
        <v>1867</v>
      </c>
      <c r="B1486" s="4" t="s">
        <v>1868</v>
      </c>
      <c r="C1486" s="5" t="str">
        <f>IFERROR(__xludf.DUMMYFUNCTION("GOOGLETRANSLATE(B1486,""en"",""fr"")"),"Un plan d'eau est montré.")</f>
        <v>Un plan d'eau est montré.</v>
      </c>
    </row>
    <row r="1487">
      <c r="A1487" s="4" t="s">
        <v>1867</v>
      </c>
      <c r="B1487" s="4" t="s">
        <v>1869</v>
      </c>
      <c r="C1487" s="5" t="str">
        <f>IFERROR(__xludf.DUMMYFUNCTION("GOOGLETRANSLATE(B1487,""en"",""fr"")"),"Une personne enlève un couvercle d'un pot.")</f>
        <v>Une personne enlève un couvercle d'un pot.</v>
      </c>
    </row>
    <row r="1488">
      <c r="A1488" s="4" t="s">
        <v>1867</v>
      </c>
      <c r="B1488" s="4" t="s">
        <v>1870</v>
      </c>
      <c r="C1488" s="5" t="str">
        <f>IFERROR(__xludf.DUMMYFUNCTION("GOOGLETRANSLATE(B1488,""en"",""fr"")"),"Ils montrent un camping avec une tente.")</f>
        <v>Ils montrent un camping avec une tente.</v>
      </c>
    </row>
    <row r="1489">
      <c r="A1489" s="4" t="s">
        <v>1867</v>
      </c>
      <c r="B1489" s="4" t="s">
        <v>1871</v>
      </c>
      <c r="C1489" s="5" t="str">
        <f>IFERROR(__xludf.DUMMYFUNCTION("GOOGLETRANSLATE(B1489,""en"",""fr"")"),"Ils ont mis un chiffon dans le seau.")</f>
        <v>Ils ont mis un chiffon dans le seau.</v>
      </c>
    </row>
    <row r="1490">
      <c r="A1490" s="4" t="s">
        <v>1872</v>
      </c>
      <c r="B1490" s="4" t="s">
        <v>1873</v>
      </c>
      <c r="C1490" s="5" t="str">
        <f>IFERROR(__xludf.DUMMYFUNCTION("GOOGLETRANSLATE(B1490,""en"",""fr"")"),"Il y a deux hommes jouant au tennis de table dans un stade intérieur.")</f>
        <v>Il y a deux hommes jouant au tennis de table dans un stade intérieur.</v>
      </c>
    </row>
    <row r="1491">
      <c r="A1491" s="4" t="s">
        <v>1872</v>
      </c>
      <c r="B1491" s="4" t="s">
        <v>1874</v>
      </c>
      <c r="C1491" s="5" t="str">
        <f>IFERROR(__xludf.DUMMYFUNCTION("GOOGLETRANSLATE(B1491,""en"",""fr"")"),"L'un des joueurs porte du bleu et l'autre joueur est dans une chemise rouge.")</f>
        <v>L'un des joueurs porte du bleu et l'autre joueur est dans une chemise rouge.</v>
      </c>
    </row>
    <row r="1492">
      <c r="A1492" s="4" t="s">
        <v>1872</v>
      </c>
      <c r="B1492" s="4" t="s">
        <v>1875</v>
      </c>
      <c r="C1492" s="5" t="str">
        <f>IFERROR(__xludf.DUMMYFUNCTION("GOOGLETRANSLATE(B1492,""en"",""fr"")"),"Il y a une personne vêtue d'une chemise noire assise près des joueurs.")</f>
        <v>Il y a une personne vêtue d'une chemise noire assise près des joueurs.</v>
      </c>
    </row>
    <row r="1493">
      <c r="A1493" s="4" t="s">
        <v>1872</v>
      </c>
      <c r="B1493" s="4" t="s">
        <v>1876</v>
      </c>
      <c r="C1493" s="5" t="str">
        <f>IFERROR(__xludf.DUMMYFUNCTION("GOOGLETRANSLATE(B1493,""en"",""fr"")"),"Il y a plusieurs spectateurs assis dans le stade.")</f>
        <v>Il y a plusieurs spectateurs assis dans le stade.</v>
      </c>
    </row>
    <row r="1494">
      <c r="A1494" s="4" t="s">
        <v>1872</v>
      </c>
      <c r="B1494" s="4" t="s">
        <v>1877</v>
      </c>
      <c r="C1494" s="5" t="str">
        <f>IFERROR(__xludf.DUMMYFUNCTION("GOOGLETRANSLATE(B1494,""en"",""fr"")"),"Ils continuent de jouer un rallye pendant un certain temps.")</f>
        <v>Ils continuent de jouer un rallye pendant un certain temps.</v>
      </c>
    </row>
    <row r="1495">
      <c r="A1495" s="4" t="s">
        <v>1872</v>
      </c>
      <c r="B1495" s="4" t="s">
        <v>1878</v>
      </c>
      <c r="C1495" s="5" t="str">
        <f>IFERROR(__xludf.DUMMYFUNCTION("GOOGLETRANSLATE(B1495,""en"",""fr"")"),"Le joueur de la chemise rouge manque le ballon et donne à son adversaire un point gagnant.")</f>
        <v>Le joueur de la chemise rouge manque le ballon et donne à son adversaire un point gagnant.</v>
      </c>
    </row>
    <row r="1496">
      <c r="A1496" s="4" t="s">
        <v>1872</v>
      </c>
      <c r="B1496" s="4" t="s">
        <v>1879</v>
      </c>
      <c r="C1496" s="5" t="str">
        <f>IFERROR(__xludf.DUMMYFUNCTION("GOOGLETRANSLATE(B1496,""en"",""fr"")"),"Le joueur en bleu applaudie bruyamment après son point de victoire et se fait entrer dans une danse.")</f>
        <v>Le joueur en bleu applaudie bruyamment après son point de victoire et se fait entrer dans une danse.</v>
      </c>
    </row>
    <row r="1497">
      <c r="A1497" s="4" t="s">
        <v>1872</v>
      </c>
      <c r="B1497" s="4" t="s">
        <v>1880</v>
      </c>
      <c r="C1497" s="5" t="str">
        <f>IFERROR(__xludf.DUMMYFUNCTION("GOOGLETRANSLATE(B1497,""en"",""fr"")"),"Il continue de danser et se dirige vers son adversaire pour se moquer de lui.")</f>
        <v>Il continue de danser et se dirige vers son adversaire pour se moquer de lui.</v>
      </c>
    </row>
    <row r="1498">
      <c r="A1498" s="4" t="s">
        <v>1872</v>
      </c>
      <c r="B1498" s="4" t="s">
        <v>1881</v>
      </c>
      <c r="C1498" s="5" t="str">
        <f>IFERROR(__xludf.DUMMYFUNCTION("GOOGLETRANSLATE(B1498,""en"",""fr"")"),"Il retourne ensuite à la table de tennis de table.")</f>
        <v>Il retourne ensuite à la table de tennis de table.</v>
      </c>
    </row>
    <row r="1499">
      <c r="A1499" s="4" t="s">
        <v>1872</v>
      </c>
      <c r="B1499" s="4" t="s">
        <v>1882</v>
      </c>
      <c r="C1499" s="5" t="str">
        <f>IFERROR(__xludf.DUMMYFUNCTION("GOOGLETRANSLATE(B1499,""en"",""fr"")"),"L'homme habillé sur le noir montre la partition.")</f>
        <v>L'homme habillé sur le noir montre la partition.</v>
      </c>
    </row>
    <row r="1500">
      <c r="A1500" s="4" t="s">
        <v>1883</v>
      </c>
      <c r="B1500" s="4" t="s">
        <v>1884</v>
      </c>
      <c r="C1500" s="5" t="str">
        <f>IFERROR(__xludf.DUMMYFUNCTION("GOOGLETRANSLATE(B1500,""en"",""fr"")"),"Un gros plan de livrets est montré avec une personne qui les renvoie ouverts et lisant.")</f>
        <v>Un gros plan de livrets est montré avec une personne qui les renvoie ouverts et lisant.</v>
      </c>
    </row>
    <row r="1501">
      <c r="A1501" s="4" t="s">
        <v>1883</v>
      </c>
      <c r="B1501" s="4" t="s">
        <v>1885</v>
      </c>
      <c r="C1501" s="5" t="str">
        <f>IFERROR(__xludf.DUMMYFUNCTION("GOOGLETRANSLATE(B1501,""en"",""fr"")"),"La femme marque un nom et le fait décoller pour mettre une chaussette.")</f>
        <v>La femme marque un nom et le fait décoller pour mettre une chaussette.</v>
      </c>
    </row>
    <row r="1502">
      <c r="A1502" s="4" t="s">
        <v>1883</v>
      </c>
      <c r="B1502" s="6" t="s">
        <v>1886</v>
      </c>
      <c r="C1502" s="5" t="str">
        <f>IFERROR(__xludf.DUMMYFUNCTION("GOOGLETRANSLATE(B1502,""en"",""fr"")"),"La femme jette ensuite un fer sur le nom et décolle le papier pour montrer comment étiqueter correctement un cadeau.")</f>
        <v>La femme jette ensuite un fer sur le nom et décolle le papier pour montrer comment étiqueter correctement un cadeau.</v>
      </c>
    </row>
    <row r="1503">
      <c r="A1503" s="4" t="s">
        <v>1887</v>
      </c>
      <c r="B1503" s="4" t="s">
        <v>1888</v>
      </c>
      <c r="C1503" s="5" t="str">
        <f>IFERROR(__xludf.DUMMYFUNCTION("GOOGLETRANSLATE(B1503,""en"",""fr"")"),"Un haltérophile féminin soulève une haltère avec ses jambes.")</f>
        <v>Un haltérophile féminin soulève une haltère avec ses jambes.</v>
      </c>
    </row>
    <row r="1504">
      <c r="A1504" s="4" t="s">
        <v>1887</v>
      </c>
      <c r="B1504" s="4" t="s">
        <v>1889</v>
      </c>
      <c r="C1504" s="5" t="str">
        <f>IFERROR(__xludf.DUMMYFUNCTION("GOOGLETRANSLATE(B1504,""en"",""fr"")"),"Elle le prend au ventre, puis tire.")</f>
        <v>Elle le prend au ventre, puis tire.</v>
      </c>
    </row>
    <row r="1505">
      <c r="A1505" s="4" t="s">
        <v>1887</v>
      </c>
      <c r="B1505" s="4" t="s">
        <v>1890</v>
      </c>
      <c r="C1505" s="5" t="str">
        <f>IFERROR(__xludf.DUMMYFUNCTION("GOOGLETRANSLATE(B1505,""en"",""fr"")"),"Elle monte et descend, travaillant ses abdominaux.")</f>
        <v>Elle monte et descend, travaillant ses abdominaux.</v>
      </c>
    </row>
    <row r="1506">
      <c r="A1506" s="4" t="s">
        <v>1891</v>
      </c>
      <c r="B1506" s="4" t="s">
        <v>1892</v>
      </c>
      <c r="C1506" s="5" t="str">
        <f>IFERROR(__xludf.DUMMYFUNCTION("GOOGLETRANSLATE(B1506,""en"",""fr"")"),"Informations sur le site de blackjack IIS fournie.")</f>
        <v>Informations sur le site de blackjack IIS fournie.</v>
      </c>
    </row>
    <row r="1507">
      <c r="A1507" s="4" t="s">
        <v>1891</v>
      </c>
      <c r="B1507" s="4" t="s">
        <v>1893</v>
      </c>
      <c r="C1507" s="5" t="str">
        <f>IFERROR(__xludf.DUMMYFUNCTION("GOOGLETRANSLATE(B1507,""en"",""fr"")"),"Il y a deux personnes qui jouent dans un casino.")</f>
        <v>Il y a deux personnes qui jouent dans un casino.</v>
      </c>
    </row>
    <row r="1508">
      <c r="A1508" s="4" t="s">
        <v>1891</v>
      </c>
      <c r="B1508" s="4" t="s">
        <v>1894</v>
      </c>
      <c r="C1508" s="5" t="str">
        <f>IFERROR(__xludf.DUMMYFUNCTION("GOOGLETRANSLATE(B1508,""en"",""fr"")"),"Un représentant de Blackjack montre un jeu de jeu de casino.")</f>
        <v>Un représentant de Blackjack montre un jeu de jeu de casino.</v>
      </c>
    </row>
    <row r="1509">
      <c r="A1509" s="4" t="s">
        <v>1891</v>
      </c>
      <c r="B1509" s="4" t="s">
        <v>1895</v>
      </c>
      <c r="C1509" s="5" t="str">
        <f>IFERROR(__xludf.DUMMYFUNCTION("GOOGLETRANSLATE(B1509,""en"",""fr"")"),"Il pose des cartes sur la table contre les jetons.")</f>
        <v>Il pose des cartes sur la table contre les jetons.</v>
      </c>
    </row>
    <row r="1510">
      <c r="A1510" s="4" t="s">
        <v>1891</v>
      </c>
      <c r="B1510" s="4" t="s">
        <v>1896</v>
      </c>
      <c r="C1510" s="5" t="str">
        <f>IFERROR(__xludf.DUMMYFUNCTION("GOOGLETRANSLATE(B1510,""en"",""fr"")"),"Il y a plusieurs jetons empilés sur la table.")</f>
        <v>Il y a plusieurs jetons empilés sur la table.</v>
      </c>
    </row>
    <row r="1511">
      <c r="A1511" s="4" t="s">
        <v>1891</v>
      </c>
      <c r="B1511" s="4" t="s">
        <v>1897</v>
      </c>
      <c r="C1511" s="5" t="str">
        <f>IFERROR(__xludf.DUMMYFUNCTION("GOOGLETRANSLATE(B1511,""en"",""fr"")"),"Il explique comment jouer au jeu de jeu pour maximiser son argent.")</f>
        <v>Il explique comment jouer au jeu de jeu pour maximiser son argent.</v>
      </c>
    </row>
    <row r="1512">
      <c r="A1512" s="4" t="s">
        <v>1891</v>
      </c>
      <c r="B1512" s="4" t="s">
        <v>1898</v>
      </c>
      <c r="C1512" s="5" t="str">
        <f>IFERROR(__xludf.DUMMYFUNCTION("GOOGLETRANSLATE(B1512,""en"",""fr"")"),"Il met plus de cartes sur la table et prend la main pour gagner plus de jetons.")</f>
        <v>Il met plus de cartes sur la table et prend la main pour gagner plus de jetons.</v>
      </c>
    </row>
    <row r="1513">
      <c r="A1513" s="4" t="s">
        <v>1891</v>
      </c>
      <c r="B1513" s="4" t="s">
        <v>1899</v>
      </c>
      <c r="C1513" s="5" t="str">
        <f>IFERROR(__xludf.DUMMYFUNCTION("GOOGLETRANSLATE(B1513,""en"",""fr"")"),"Des informations sur la façon de télécharger l'application sont fournies à l'écran.")</f>
        <v>Des informations sur la façon de télécharger l'application sont fournies à l'écran.</v>
      </c>
    </row>
    <row r="1514">
      <c r="A1514" s="4" t="s">
        <v>1900</v>
      </c>
      <c r="B1514" s="6" t="s">
        <v>1901</v>
      </c>
      <c r="C1514" s="5" t="str">
        <f>IFERROR(__xludf.DUMMYFUNCTION("GOOGLETRANSLATE(B1514,""en"",""fr"")"),"Alors que la caméra marche, elle montrait les haies bien entretenues, au centre de deux haies est un chemin étroit menant à un champ plus large entouré de plus de haies.")</f>
        <v>Alors que la caméra marche, elle montrait les haies bien entretenues, au centre de deux haies est un chemin étroit menant à un champ plus large entouré de plus de haies.</v>
      </c>
    </row>
    <row r="1515">
      <c r="A1515" s="4" t="s">
        <v>1900</v>
      </c>
      <c r="B1515" s="6" t="s">
        <v>1902</v>
      </c>
      <c r="C1515" s="5" t="str">
        <f>IFERROR(__xludf.DUMMYFUNCTION("GOOGLETRANSLATE(B1515,""en"",""fr"")"),"D'un côté de la haie se trouve un homme en chemise noire, il se tient sur une échelle, il coupe les haies.")</f>
        <v>D'un côté de la haie se trouve un homme en chemise noire, il se tient sur une échelle, il coupe les haies.</v>
      </c>
    </row>
    <row r="1516">
      <c r="A1516" s="4" t="s">
        <v>1900</v>
      </c>
      <c r="B1516" s="4" t="s">
        <v>1903</v>
      </c>
      <c r="C1516" s="5" t="str">
        <f>IFERROR(__xludf.DUMMYFUNCTION("GOOGLETRANSLATE(B1516,""en"",""fr"")"),"Près de l'homme se trouve un banc vide, sur le côté se trouvent des haies plus bien coupées.")</f>
        <v>Près de l'homme se trouve un banc vide, sur le côté se trouvent des haies plus bien coupées.</v>
      </c>
    </row>
    <row r="1517">
      <c r="A1517" s="4" t="s">
        <v>1904</v>
      </c>
      <c r="B1517" s="4" t="s">
        <v>1905</v>
      </c>
      <c r="C1517" s="5" t="str">
        <f>IFERROR(__xludf.DUMMYFUNCTION("GOOGLETRANSLATE(B1517,""en"",""fr"")"),"Un homme est vu parler à la caméra tout en tenant une boîte pour montrer un instrument à l'intérieur.")</f>
        <v>Un homme est vu parler à la caméra tout en tenant une boîte pour montrer un instrument à l'intérieur.</v>
      </c>
    </row>
    <row r="1518">
      <c r="A1518" s="4" t="s">
        <v>1904</v>
      </c>
      <c r="B1518" s="4" t="s">
        <v>1906</v>
      </c>
      <c r="C1518" s="5" t="str">
        <f>IFERROR(__xludf.DUMMYFUNCTION("GOOGLETRANSLATE(B1518,""en"",""fr"")"),"L'homme sort l'harmonica et continue de le montrer à la caméra.")</f>
        <v>L'homme sort l'harmonica et continue de le montrer à la caméra.</v>
      </c>
    </row>
    <row r="1519">
      <c r="A1519" s="4" t="s">
        <v>1904</v>
      </c>
      <c r="B1519" s="4" t="s">
        <v>1907</v>
      </c>
      <c r="C1519" s="5" t="str">
        <f>IFERROR(__xludf.DUMMYFUNCTION("GOOGLETRANSLATE(B1519,""en"",""fr"")"),"L'homme joue l'harmonica et les pauses pour le tenir à l'écran ainsi qu'une image.")</f>
        <v>L'homme joue l'harmonica et les pauses pour le tenir à l'écran ainsi qu'une image.</v>
      </c>
    </row>
    <row r="1520">
      <c r="A1520" s="4" t="s">
        <v>1908</v>
      </c>
      <c r="B1520" s="4" t="s">
        <v>1909</v>
      </c>
      <c r="C1520" s="5" t="str">
        <f>IFERROR(__xludf.DUMMYFUNCTION("GOOGLETRANSLATE(B1520,""en"",""fr"")"),"Il y a une femme qui mange de la glace dans une baignoire et parle à l'homme de la caméra.")</f>
        <v>Il y a une femme qui mange de la glace dans une baignoire et parle à l'homme de la caméra.</v>
      </c>
    </row>
    <row r="1521">
      <c r="A1521" s="4" t="s">
        <v>1908</v>
      </c>
      <c r="B1521" s="4" t="s">
        <v>1910</v>
      </c>
      <c r="C1521" s="5" t="str">
        <f>IFERROR(__xludf.DUMMYFUNCTION("GOOGLETRANSLATE(B1521,""en"",""fr"")"),"Et il essaie de regarder dans la baignoire, mais elle le retire.")</f>
        <v>Et il essaie de regarder dans la baignoire, mais elle le retire.</v>
      </c>
    </row>
    <row r="1522">
      <c r="A1522" s="4" t="s">
        <v>1908</v>
      </c>
      <c r="B1522" s="4" t="s">
        <v>1911</v>
      </c>
      <c r="C1522" s="5" t="str">
        <f>IFERROR(__xludf.DUMMYFUNCTION("GOOGLETRANSLATE(B1522,""en"",""fr"")"),"La personne de la caméra s'assoit pour continuer à parler à la femme.")</f>
        <v>La personne de la caméra s'assoit pour continuer à parler à la femme.</v>
      </c>
    </row>
    <row r="1523">
      <c r="A1523" s="4" t="s">
        <v>1908</v>
      </c>
      <c r="B1523" s="4" t="s">
        <v>1912</v>
      </c>
      <c r="C1523" s="5" t="str">
        <f>IFERROR(__xludf.DUMMYFUNCTION("GOOGLETRANSLATE(B1523,""en"",""fr"")"),"Elle se lève et il la suit à travers la maison alors qu'elle entre dans la cuisine.")</f>
        <v>Elle se lève et il la suit à travers la maison alors qu'elle entre dans la cuisine.</v>
      </c>
    </row>
    <row r="1524">
      <c r="A1524" s="4" t="s">
        <v>1908</v>
      </c>
      <c r="B1524" s="4" t="s">
        <v>1913</v>
      </c>
      <c r="C1524" s="5" t="str">
        <f>IFERROR(__xludf.DUMMYFUNCTION("GOOGLETRANSLATE(B1524,""en"",""fr"")"),"Elle met le reste de la glace au congélateur et rince la cuillère.")</f>
        <v>Elle met le reste de la glace au congélateur et rince la cuillère.</v>
      </c>
    </row>
    <row r="1525">
      <c r="A1525" s="4" t="s">
        <v>1914</v>
      </c>
      <c r="B1525" s="4" t="s">
        <v>1915</v>
      </c>
      <c r="C1525" s="5" t="str">
        <f>IFERROR(__xludf.DUMMYFUNCTION("GOOGLETRANSLATE(B1525,""en"",""fr"")"),"Un homme athlétique est vu en train de se diriger vers un cercle et de lancer une discussion au loin.")</f>
        <v>Un homme athlétique est vu en train de se diriger vers un cercle et de lancer une discussion au loin.</v>
      </c>
    </row>
    <row r="1526">
      <c r="A1526" s="4" t="s">
        <v>1914</v>
      </c>
      <c r="B1526" s="4" t="s">
        <v>1916</v>
      </c>
      <c r="C1526" s="5" t="str">
        <f>IFERROR(__xludf.DUMMYFUNCTION("GOOGLETRANSLATE(B1526,""en"",""fr"")"),"Il court ensuite avec enthousiasme pendant que les caméras le suivent et ont montré que d'autres athlètes faisaient tourner le disque.")</f>
        <v>Il court ensuite avec enthousiasme pendant que les caméras le suivent et ont montré que d'autres athlètes faisaient tourner le disque.</v>
      </c>
    </row>
    <row r="1527">
      <c r="A1527" s="4" t="s">
        <v>1914</v>
      </c>
      <c r="B1527" s="4" t="s">
        <v>1917</v>
      </c>
      <c r="C1527" s="5" t="str">
        <f>IFERROR(__xludf.DUMMYFUNCTION("GOOGLETRANSLATE(B1527,""en"",""fr"")"),"Plus de coups sont montrés des personnes célébrant et l'athlète se heurte aux tribunes.")</f>
        <v>Plus de coups sont montrés des personnes célébrant et l'athlète se heurte aux tribunes.</v>
      </c>
    </row>
    <row r="1528">
      <c r="A1528" s="4" t="s">
        <v>1918</v>
      </c>
      <c r="B1528" s="6" t="s">
        <v>1919</v>
      </c>
      <c r="C1528" s="5" t="str">
        <f>IFERROR(__xludf.DUMMYFUNCTION("GOOGLETRANSLATE(B1528,""en"",""fr"")"),"Une femme est assise à une table à l'aide d'un narguilé tandis qu'une autre femme fait des visages idiots et des gestes derrière elle.")</f>
        <v>Une femme est assise à une table à l'aide d'un narguilé tandis qu'une autre femme fait des visages idiots et des gestes derrière elle.</v>
      </c>
    </row>
    <row r="1529">
      <c r="A1529" s="4" t="s">
        <v>1918</v>
      </c>
      <c r="B1529" s="4" t="s">
        <v>1920</v>
      </c>
      <c r="C1529" s="5" t="str">
        <f>IFERROR(__xludf.DUMMYFUNCTION("GOOGLETRANSLATE(B1529,""en"",""fr"")"),"Ils parlent avec animation avec la personne derrière la caméra.")</f>
        <v>Ils parlent avec animation avec la personne derrière la caméra.</v>
      </c>
    </row>
    <row r="1530">
      <c r="A1530" s="4" t="s">
        <v>1918</v>
      </c>
      <c r="B1530" s="4" t="s">
        <v>1921</v>
      </c>
      <c r="C1530" s="5" t="str">
        <f>IFERROR(__xludf.DUMMYFUNCTION("GOOGLETRANSLATE(B1530,""en"",""fr"")"),"Il y a un gros plan des articles sur la table devant eux.")</f>
        <v>Il y a un gros plan des articles sur la table devant eux.</v>
      </c>
    </row>
    <row r="1531">
      <c r="A1531" s="4" t="s">
        <v>1918</v>
      </c>
      <c r="B1531" s="6" t="s">
        <v>1922</v>
      </c>
      <c r="C1531" s="5" t="str">
        <f>IFERROR(__xludf.DUMMYFUNCTION("GOOGLETRANSLATE(B1531,""en"",""fr"")"),"La femme avec la caméra se tourne pour se faire face avant de le remettre vers les autres femmes.")</f>
        <v>La femme avec la caméra se tourne pour se faire face avant de le remettre vers les autres femmes.</v>
      </c>
    </row>
    <row r="1532">
      <c r="A1532" s="4" t="s">
        <v>1918</v>
      </c>
      <c r="B1532" s="4" t="s">
        <v>1923</v>
      </c>
      <c r="C1532" s="5" t="str">
        <f>IFERROR(__xludf.DUMMYFUNCTION("GOOGLETRANSLATE(B1532,""en"",""fr"")"),"Une des femmes tousse comme un nuage de fumée la frappe au visage.")</f>
        <v>Une des femmes tousse comme un nuage de fumée la frappe au visage.</v>
      </c>
    </row>
    <row r="1533">
      <c r="A1533" s="4" t="s">
        <v>1924</v>
      </c>
      <c r="B1533" s="4" t="s">
        <v>1925</v>
      </c>
      <c r="C1533" s="5" t="str">
        <f>IFERROR(__xludf.DUMMYFUNCTION("GOOGLETRANSLATE(B1533,""en"",""fr"")"),"L'homme saute avec des échasses sur un trottoir.")</f>
        <v>L'homme saute avec des échasses sur un trottoir.</v>
      </c>
    </row>
    <row r="1534">
      <c r="A1534" s="4" t="s">
        <v>1924</v>
      </c>
      <c r="B1534" s="4" t="s">
        <v>1926</v>
      </c>
      <c r="C1534" s="5" t="str">
        <f>IFERROR(__xludf.DUMMYFUNCTION("GOOGLETRANSLATE(B1534,""en"",""fr"")"),"Un champ herbeux vert calme est derrière l'homme qui porte des empiètes.")</f>
        <v>Un champ herbeux vert calme est derrière l'homme qui porte des empiètes.</v>
      </c>
    </row>
    <row r="1535">
      <c r="A1535" s="4" t="s">
        <v>1924</v>
      </c>
      <c r="B1535" s="4" t="s">
        <v>1927</v>
      </c>
      <c r="C1535" s="5" t="str">
        <f>IFERROR(__xludf.DUMMYFUNCTION("GOOGLETRANSLATE(B1535,""en"",""fr"")"),"L'homme porte un pull blanc et échoue et se trouve dans un parc herbeux vert.")</f>
        <v>L'homme porte un pull blanc et échoue et se trouve dans un parc herbeux vert.</v>
      </c>
    </row>
    <row r="1536">
      <c r="A1536" s="4" t="s">
        <v>1928</v>
      </c>
      <c r="B1536" s="6" t="s">
        <v>1929</v>
      </c>
      <c r="C1536" s="5" t="str">
        <f>IFERROR(__xludf.DUMMYFUNCTION("GOOGLETRANSLATE(B1536,""en"",""fr"")"),"Un hôte est vu parler à la caméra et mène à un entraîneur en parlant avec d'autres exerçant derrière elle.")</f>
        <v>Un hôte est vu parler à la caméra et mène à un entraîneur en parlant avec d'autres exerçant derrière elle.</v>
      </c>
    </row>
    <row r="1537">
      <c r="A1537" s="4" t="s">
        <v>1928</v>
      </c>
      <c r="B1537" s="6" t="s">
        <v>1930</v>
      </c>
      <c r="C1537" s="5" t="str">
        <f>IFERROR(__xludf.DUMMYFUNCTION("GOOGLETRANSLATE(B1537,""en"",""fr"")"),"Plus de photos de personnes qui exercent sur des vélos sont montrées et se termine avec l'entraîneur qui traverse et parle.")</f>
        <v>Plus de photos de personnes qui exercent sur des vélos sont montrées et se termine avec l'entraîneur qui traverse et parle.</v>
      </c>
    </row>
    <row r="1538">
      <c r="A1538" s="4" t="s">
        <v>1931</v>
      </c>
      <c r="B1538" s="4" t="s">
        <v>1932</v>
      </c>
      <c r="C1538" s="5" t="str">
        <f>IFERROR(__xludf.DUMMYFUNCTION("GOOGLETRANSLATE(B1538,""en"",""fr"")"),"Une femme se tient sur un court de tennis qui parle.")</f>
        <v>Une femme se tient sur un court de tennis qui parle.</v>
      </c>
    </row>
    <row r="1539">
      <c r="A1539" s="4" t="s">
        <v>1931</v>
      </c>
      <c r="B1539" s="4" t="s">
        <v>1933</v>
      </c>
      <c r="C1539" s="5" t="str">
        <f>IFERROR(__xludf.DUMMYFUNCTION("GOOGLETRANSLATE(B1539,""en"",""fr"")"),"Elle commence à jouer au tennis sur le terrain.")</f>
        <v>Elle commence à jouer au tennis sur le terrain.</v>
      </c>
    </row>
    <row r="1540">
      <c r="A1540" s="4" t="s">
        <v>1931</v>
      </c>
      <c r="B1540" s="4" t="s">
        <v>1934</v>
      </c>
      <c r="C1540" s="5" t="str">
        <f>IFERROR(__xludf.DUMMYFUNCTION("GOOGLETRANSLATE(B1540,""en"",""fr"")"),"Elle sert plusieurs fois un ballon de tennis sur le terrain.")</f>
        <v>Elle sert plusieurs fois un ballon de tennis sur le terrain.</v>
      </c>
    </row>
    <row r="1541">
      <c r="A1541" s="4" t="s">
        <v>1935</v>
      </c>
      <c r="B1541" s="4" t="s">
        <v>1936</v>
      </c>
      <c r="C1541" s="5" t="str">
        <f>IFERROR(__xludf.DUMMYFUNCTION("GOOGLETRANSLATE(B1541,""en"",""fr"")"),"Plusieurs personnes sont à l'extérieur dans une station de ski assise sur les tubes.")</f>
        <v>Plusieurs personnes sont à l'extérieur dans une station de ski assise sur les tubes.</v>
      </c>
    </row>
    <row r="1542">
      <c r="A1542" s="4" t="s">
        <v>1935</v>
      </c>
      <c r="B1542" s="4" t="s">
        <v>1937</v>
      </c>
      <c r="C1542" s="5" t="str">
        <f>IFERROR(__xludf.DUMMYFUNCTION("GOOGLETRANSLATE(B1542,""en"",""fr"")"),"Après, les trois individus à l'avant sont abattus sur la pente et ils commencent à glisser.")</f>
        <v>Après, les trois individus à l'avant sont abattus sur la pente et ils commencent à glisser.</v>
      </c>
    </row>
    <row r="1543">
      <c r="A1543" s="4" t="s">
        <v>1935</v>
      </c>
      <c r="B1543" s="4" t="s">
        <v>1938</v>
      </c>
      <c r="C1543" s="5" t="str">
        <f>IFERROR(__xludf.DUMMYFUNCTION("GOOGLETRANSLATE(B1543,""en"",""fr"")"),"Une fois qu'ils sont partis, l'homme qui l'a repoussé s'éloigne et plus de gens commencent à descendre.")</f>
        <v>Une fois qu'ils sont partis, l'homme qui l'a repoussé s'éloigne et plus de gens commencent à descendre.</v>
      </c>
    </row>
    <row r="1544">
      <c r="A1544" s="4" t="s">
        <v>1939</v>
      </c>
      <c r="B1544" s="6" t="s">
        <v>1940</v>
      </c>
      <c r="C1544" s="5" t="str">
        <f>IFERROR(__xludf.DUMMYFUNCTION("GOOGLETRANSLATE(B1544,""en"",""fr"")"),"Un homme est vu tenant un verre en parlant à la caméra quand un autre homme entre et commence à peindre le mur.")</f>
        <v>Un homme est vu tenant un verre en parlant à la caméra quand un autre homme entre et commence à peindre le mur.</v>
      </c>
    </row>
    <row r="1545">
      <c r="A1545" s="4" t="s">
        <v>1939</v>
      </c>
      <c r="B1545" s="6" t="s">
        <v>1941</v>
      </c>
      <c r="C1545" s="5" t="str">
        <f>IFERROR(__xludf.DUMMYFUNCTION("GOOGLETRANSLATE(B1545,""en"",""fr"")"),"L'homme continue de peindre de haut en bas du mur pendant que la caméra le capture et l'autre s'éloigne.")</f>
        <v>L'homme continue de peindre de haut en bas du mur pendant que la caméra le capture et l'autre s'éloigne.</v>
      </c>
    </row>
    <row r="1546">
      <c r="A1546" s="4" t="s">
        <v>1942</v>
      </c>
      <c r="B1546" s="4" t="s">
        <v>1943</v>
      </c>
      <c r="C1546" s="5" t="str">
        <f>IFERROR(__xludf.DUMMYFUNCTION("GOOGLETRANSLATE(B1546,""en"",""fr"")"),"Une animation démontrant la longueur d'arc d'un outil de type de soudage émettait la chaleur.")</f>
        <v>Une animation démontrant la longueur d'arc d'un outil de type de soudage émettait la chaleur.</v>
      </c>
    </row>
    <row r="1547">
      <c r="A1547" s="4" t="s">
        <v>1942</v>
      </c>
      <c r="B1547" s="4" t="s">
        <v>1944</v>
      </c>
      <c r="C1547" s="5" t="str">
        <f>IFERROR(__xludf.DUMMYFUNCTION("GOOGLETRANSLATE(B1547,""en"",""fr"")"),"Une démonstration de l'outil émettant de la chaleur en temps réel.")</f>
        <v>Une démonstration de l'outil émettant de la chaleur en temps réel.</v>
      </c>
    </row>
    <row r="1548">
      <c r="A1548" s="4" t="s">
        <v>1942</v>
      </c>
      <c r="B1548" s="4" t="s">
        <v>1945</v>
      </c>
      <c r="C1548" s="5" t="str">
        <f>IFERROR(__xludf.DUMMYFUNCTION("GOOGLETRANSLATE(B1548,""en"",""fr"")"),"Un graphique illustrant l'arc long de l'outil documentant la tension et l'ampérage.")</f>
        <v>Un graphique illustrant l'arc long de l'outil documentant la tension et l'ampérage.</v>
      </c>
    </row>
    <row r="1549">
      <c r="A1549" s="4" t="s">
        <v>1942</v>
      </c>
      <c r="B1549" s="4" t="s">
        <v>1946</v>
      </c>
      <c r="C1549" s="5" t="str">
        <f>IFERROR(__xludf.DUMMYFUNCTION("GOOGLETRANSLATE(B1549,""en"",""fr"")"),"L'outil est illustré en temps réel en émettant de la chaleur avec une photo d'un matériau soudé.")</f>
        <v>L'outil est illustré en temps réel en émettant de la chaleur avec une photo d'un matériau soudé.</v>
      </c>
    </row>
    <row r="1550">
      <c r="A1550" s="4" t="s">
        <v>1942</v>
      </c>
      <c r="B1550" s="4" t="s">
        <v>1947</v>
      </c>
      <c r="C1550" s="5" t="str">
        <f>IFERROR(__xludf.DUMMYFUNCTION("GOOGLETRANSLATE(B1550,""en"",""fr"")"),"Un graphique illustre un arc court avec la tension et l'ampérage documentés.")</f>
        <v>Un graphique illustre un arc court avec la tension et l'ampérage documentés.</v>
      </c>
    </row>
    <row r="1551">
      <c r="A1551" s="4" t="s">
        <v>1942</v>
      </c>
      <c r="B1551" s="4" t="s">
        <v>1948</v>
      </c>
      <c r="C1551" s="5" t="str">
        <f>IFERROR(__xludf.DUMMYFUNCTION("GOOGLETRANSLATE(B1551,""en"",""fr"")"),"Un homme en manteau bleu et gants orange utilise l'outil d'arc.")</f>
        <v>Un homme en manteau bleu et gants orange utilise l'outil d'arc.</v>
      </c>
    </row>
    <row r="1552">
      <c r="A1552" s="4" t="s">
        <v>1949</v>
      </c>
      <c r="B1552" s="4" t="s">
        <v>1950</v>
      </c>
      <c r="C1552" s="5" t="str">
        <f>IFERROR(__xludf.DUMMYFUNCTION("GOOGLETRANSLATE(B1552,""en"",""fr"")"),"Un homme place des carreaux sur le sol.")</f>
        <v>Un homme place des carreaux sur le sol.</v>
      </c>
    </row>
    <row r="1553">
      <c r="A1553" s="4" t="s">
        <v>1949</v>
      </c>
      <c r="B1553" s="4" t="s">
        <v>1951</v>
      </c>
      <c r="C1553" s="5" t="str">
        <f>IFERROR(__xludf.DUMMYFUNCTION("GOOGLETRANSLATE(B1553,""en"",""fr"")"),"Une femme apparaît, en retirant des carreaux d'une boîte et en parlant d'eux.")</f>
        <v>Une femme apparaît, en retirant des carreaux d'une boîte et en parlant d'eux.</v>
      </c>
    </row>
    <row r="1554">
      <c r="A1554" s="4" t="s">
        <v>1949</v>
      </c>
      <c r="B1554" s="4" t="s">
        <v>1952</v>
      </c>
      <c r="C1554" s="5" t="str">
        <f>IFERROR(__xludf.DUMMYFUNCTION("GOOGLETRANSLATE(B1554,""en"",""fr"")"),"La femme s'agenouille sur le sol, coupant et appliquant des carreaux.")</f>
        <v>La femme s'agenouille sur le sol, coupant et appliquant des carreaux.</v>
      </c>
    </row>
    <row r="1555">
      <c r="A1555" s="4" t="s">
        <v>1949</v>
      </c>
      <c r="B1555" s="6" t="s">
        <v>1953</v>
      </c>
      <c r="C1555" s="5" t="str">
        <f>IFERROR(__xludf.DUMMYFUNCTION("GOOGLETRANSLATE(B1555,""en"",""fr"")"),"Un homme roule un rouleau de pression sur le sol fini avant le retour de la femme, parlant du produit fini.")</f>
        <v>Un homme roule un rouleau de pression sur le sol fini avant le retour de la femme, parlant du produit fini.</v>
      </c>
    </row>
    <row r="1556">
      <c r="A1556" s="4" t="s">
        <v>1954</v>
      </c>
      <c r="B1556" s="4" t="s">
        <v>1955</v>
      </c>
      <c r="C1556" s="5" t="str">
        <f>IFERROR(__xludf.DUMMYFUNCTION("GOOGLETRANSLATE(B1556,""en"",""fr"")"),"Une fille donne un petit chien à un petit chien.")</f>
        <v>Une fille donne un petit chien à un petit chien.</v>
      </c>
    </row>
    <row r="1557">
      <c r="A1557" s="4" t="s">
        <v>1954</v>
      </c>
      <c r="B1557" s="4" t="s">
        <v>1956</v>
      </c>
      <c r="C1557" s="5" t="str">
        <f>IFERROR(__xludf.DUMMYFUNCTION("GOOGLETRANSLATE(B1557,""en"",""fr"")"),"Elle a une bouteille d'orange à la main.")</f>
        <v>Elle a une bouteille d'orange à la main.</v>
      </c>
    </row>
    <row r="1558">
      <c r="A1558" s="4" t="s">
        <v>1957</v>
      </c>
      <c r="B1558" s="6" t="s">
        <v>1958</v>
      </c>
      <c r="C1558" s="5" t="str">
        <f>IFERROR(__xludf.DUMMYFUNCTION("GOOGLETRANSLATE(B1558,""en"",""fr"")"),"Un écran d'intro blanc apparaît avec un tourbillon d'art rouge, blanc et noir sur le côté gauche des mots rouges et noirs à droite qui disent ""Angleterre Squash &amp; Racketball"" et le site Web en noir en bas.")</f>
        <v>Un écran d'intro blanc apparaît avec un tourbillon d'art rouge, blanc et noir sur le côté gauche des mots rouges et noirs à droite qui disent "Angleterre Squash &amp; Racketball" et le site Web en noir en bas.</v>
      </c>
    </row>
    <row r="1559">
      <c r="A1559" s="4" t="s">
        <v>1957</v>
      </c>
      <c r="B1559" s="6" t="s">
        <v>1959</v>
      </c>
      <c r="C1559" s="5" t="str">
        <f>IFERROR(__xludf.DUMMYFUNCTION("GOOGLETRANSLATE(B1559,""en"",""fr"")"),"Un homme apparaît avec une raquette et il parle à la caméra alors qu'il frappe un ballon de raquette, puis divers petits clips jouent ensuite qui l'incluent en frappant le ballon ainsi que diverses autres personnes jouant également.")</f>
        <v>Un homme apparaît avec une raquette et il parle à la caméra alors qu'il frappe un ballon de raquette, puis divers petits clips jouent ensuite qui l'incluent en frappant le ballon ainsi que diverses autres personnes jouant également.</v>
      </c>
    </row>
    <row r="1560">
      <c r="A1560" s="4" t="s">
        <v>1957</v>
      </c>
      <c r="B1560" s="4" t="s">
        <v>1960</v>
      </c>
      <c r="C1560" s="5" t="str">
        <f>IFERROR(__xludf.DUMMYFUNCTION("GOOGLETRANSLATE(B1560,""en"",""fr"")"),"L'écran outro apparaît et c'est exactement comme l'écran d'intro blanc.")</f>
        <v>L'écran outro apparaît et c'est exactement comme l'écran d'intro blanc.</v>
      </c>
    </row>
    <row r="1561">
      <c r="A1561" s="4" t="s">
        <v>1961</v>
      </c>
      <c r="B1561" s="4" t="s">
        <v>1962</v>
      </c>
      <c r="C1561" s="5" t="str">
        <f>IFERROR(__xludf.DUMMYFUNCTION("GOOGLETRANSLATE(B1561,""en"",""fr"")"),"Il y a des gens qui se jettent des balles dans la piscine.")</f>
        <v>Il y a des gens qui se jettent des balles dans la piscine.</v>
      </c>
    </row>
    <row r="1562">
      <c r="A1562" s="4" t="s">
        <v>1961</v>
      </c>
      <c r="B1562" s="4" t="s">
        <v>1963</v>
      </c>
      <c r="C1562" s="5" t="str">
        <f>IFERROR(__xludf.DUMMYFUNCTION("GOOGLETRANSLATE(B1562,""en"",""fr"")"),"Il y a des gens qui nagent de l'autre côté de la piscine.")</f>
        <v>Il y a des gens qui nagent de l'autre côté de la piscine.</v>
      </c>
    </row>
    <row r="1563">
      <c r="A1563" s="4" t="s">
        <v>1964</v>
      </c>
      <c r="B1563" s="4" t="s">
        <v>1965</v>
      </c>
      <c r="C1563" s="5" t="str">
        <f>IFERROR(__xludf.DUMMYFUNCTION("GOOGLETRANSLATE(B1563,""en"",""fr"")"),"La femme marche avec un bikini et manger un chocolat est une journée enneigée.")</f>
        <v>La femme marche avec un bikini et manger un chocolat est une journée enneigée.</v>
      </c>
    </row>
    <row r="1564">
      <c r="A1564" s="4" t="s">
        <v>1964</v>
      </c>
      <c r="B1564" s="4" t="s">
        <v>1966</v>
      </c>
      <c r="C1564" s="5" t="str">
        <f>IFERROR(__xludf.DUMMYFUNCTION("GOOGLETRANSLATE(B1564,""en"",""fr"")"),"Les gens sont dans le trottoir en regardant la fille marcher.")</f>
        <v>Les gens sont dans le trottoir en regardant la fille marcher.</v>
      </c>
    </row>
    <row r="1565">
      <c r="A1565" s="4" t="s">
        <v>1964</v>
      </c>
      <c r="B1565" s="4" t="s">
        <v>1967</v>
      </c>
      <c r="C1565" s="5" t="str">
        <f>IFERROR(__xludf.DUMMYFUNCTION("GOOGLETRANSLATE(B1565,""en"",""fr"")"),"La femme est dans un restaurant portant un bikini et deux Aiter la regardent.")</f>
        <v>La femme est dans un restaurant portant un bikini et deux Aiter la regardent.</v>
      </c>
    </row>
    <row r="1566">
      <c r="A1566" s="4" t="s">
        <v>1964</v>
      </c>
      <c r="B1566" s="4" t="s">
        <v>1968</v>
      </c>
      <c r="C1566" s="5" t="str">
        <f>IFERROR(__xludf.DUMMYFUNCTION("GOOGLETRANSLATE(B1566,""en"",""fr"")"),"Une femme marche dans un aéroport en train de manger un restaurant.")</f>
        <v>Une femme marche dans un aéroport en train de manger un restaurant.</v>
      </c>
    </row>
    <row r="1567">
      <c r="A1567" s="4" t="s">
        <v>1969</v>
      </c>
      <c r="B1567" s="4" t="s">
        <v>1970</v>
      </c>
      <c r="C1567" s="5" t="str">
        <f>IFERROR(__xludf.DUMMYFUNCTION("GOOGLETRANSLATE(B1567,""en"",""fr"")"),"Une petite fille se maquille sur son visage.")</f>
        <v>Une petite fille se maquille sur son visage.</v>
      </c>
    </row>
    <row r="1568">
      <c r="A1568" s="4" t="s">
        <v>1969</v>
      </c>
      <c r="B1568" s="4" t="s">
        <v>1971</v>
      </c>
      <c r="C1568" s="5" t="str">
        <f>IFERROR(__xludf.DUMMYFUNCTION("GOOGLETRANSLATE(B1568,""en"",""fr"")"),"Elle met le rouge à lèvres sur ses lèvres.")</f>
        <v>Elle met le rouge à lèvres sur ses lèvres.</v>
      </c>
    </row>
    <row r="1569">
      <c r="A1569" s="4" t="s">
        <v>1969</v>
      </c>
      <c r="B1569" s="4" t="s">
        <v>1972</v>
      </c>
      <c r="C1569" s="5" t="str">
        <f>IFERROR(__xludf.DUMMYFUNCTION("GOOGLETRANSLATE(B1569,""en"",""fr"")"),"Elle met du mascara sur ses cils.")</f>
        <v>Elle met du mascara sur ses cils.</v>
      </c>
    </row>
    <row r="1570">
      <c r="A1570" s="4" t="s">
        <v>1969</v>
      </c>
      <c r="B1570" s="4" t="s">
        <v>1973</v>
      </c>
      <c r="C1570" s="5" t="str">
        <f>IFERROR(__xludf.DUMMYFUNCTION("GOOGLETRANSLATE(B1570,""en"",""fr"")"),"Elle pulvérise le spray corporel sur sa chemise.")</f>
        <v>Elle pulvérise le spray corporel sur sa chemise.</v>
      </c>
    </row>
    <row r="1571">
      <c r="A1571" s="4" t="s">
        <v>1969</v>
      </c>
      <c r="B1571" s="4" t="s">
        <v>1974</v>
      </c>
      <c r="C1571" s="5" t="str">
        <f>IFERROR(__xludf.DUMMYFUNCTION("GOOGLETRANSLATE(B1571,""en"",""fr"")"),"Elle met un ombre à paupières sur ses yeux.")</f>
        <v>Elle met un ombre à paupières sur ses yeux.</v>
      </c>
    </row>
    <row r="1572">
      <c r="A1572" s="4" t="s">
        <v>1975</v>
      </c>
      <c r="B1572" s="4" t="s">
        <v>1976</v>
      </c>
      <c r="C1572" s="5" t="str">
        <f>IFERROR(__xludf.DUMMYFUNCTION("GOOGLETRANSLATE(B1572,""en"",""fr"")"),"Une gymnaste est vue debout avant une poutre, puis saute pour effectuer une routine.")</f>
        <v>Une gymnaste est vue debout avant une poutre, puis saute pour effectuer une routine.</v>
      </c>
    </row>
    <row r="1573">
      <c r="A1573" s="4" t="s">
        <v>1975</v>
      </c>
      <c r="B1573" s="6" t="s">
        <v>1977</v>
      </c>
      <c r="C1573" s="5" t="str">
        <f>IFERROR(__xludf.DUMMYFUNCTION("GOOGLETRANSLATE(B1573,""en"",""fr"")"),"La fille effectue ensuite plusieurs flips et tours sur le faisceau, se terminant avec elle sautant du côté les jambes ensemble et levant ses bras.")</f>
        <v>La fille effectue ensuite plusieurs flips et tours sur le faisceau, se terminant avec elle sautant du côté les jambes ensemble et levant ses bras.</v>
      </c>
    </row>
    <row r="1574">
      <c r="A1574" s="4" t="s">
        <v>1978</v>
      </c>
      <c r="B1574" s="4" t="s">
        <v>1979</v>
      </c>
      <c r="C1574" s="5" t="str">
        <f>IFERROR(__xludf.DUMMYFUNCTION("GOOGLETRANSLATE(B1574,""en"",""fr"")"),"Une fille est assise devant une table, jouant un accordéan.")</f>
        <v>Une fille est assise devant une table, jouant un accordéan.</v>
      </c>
    </row>
    <row r="1575">
      <c r="A1575" s="4" t="s">
        <v>1978</v>
      </c>
      <c r="B1575" s="4" t="s">
        <v>1980</v>
      </c>
      <c r="C1575" s="5" t="str">
        <f>IFERROR(__xludf.DUMMYFUNCTION("GOOGLETRANSLATE(B1575,""en"",""fr"")"),"Elle regarde la caméra alors qu'elle joue le clavier et attire l'accordéien dans et hors dedans.")</f>
        <v>Elle regarde la caméra alors qu'elle joue le clavier et attire l'accordéien dans et hors dedans.</v>
      </c>
    </row>
    <row r="1576">
      <c r="A1576" s="4" t="s">
        <v>1981</v>
      </c>
      <c r="B1576" s="4" t="s">
        <v>1982</v>
      </c>
      <c r="C1576" s="5" t="str">
        <f>IFERROR(__xludf.DUMMYFUNCTION("GOOGLETRANSLATE(B1576,""en"",""fr"")"),"Une dame tire et répare sa tenue.")</f>
        <v>Une dame tire et répare sa tenue.</v>
      </c>
    </row>
    <row r="1577">
      <c r="A1577" s="4" t="s">
        <v>1981</v>
      </c>
      <c r="B1577" s="4" t="s">
        <v>1983</v>
      </c>
      <c r="C1577" s="5" t="str">
        <f>IFERROR(__xludf.DUMMYFUNCTION("GOOGLETRANSLATE(B1577,""en"",""fr"")"),"La dame dérange ses cheveux.")</f>
        <v>La dame dérange ses cheveux.</v>
      </c>
    </row>
    <row r="1578">
      <c r="A1578" s="4" t="s">
        <v>1981</v>
      </c>
      <c r="B1578" s="4" t="s">
        <v>1984</v>
      </c>
      <c r="C1578" s="5" t="str">
        <f>IFERROR(__xludf.DUMMYFUNCTION("GOOGLETRANSLATE(B1578,""en"",""fr"")"),"La dame essaie des chaussures en se tenant debout et en s'asseyant.")</f>
        <v>La dame essaie des chaussures en se tenant debout et en s'asseyant.</v>
      </c>
    </row>
    <row r="1579">
      <c r="A1579" s="4" t="s">
        <v>1985</v>
      </c>
      <c r="B1579" s="4" t="s">
        <v>1986</v>
      </c>
      <c r="C1579" s="5" t="str">
        <f>IFERROR(__xludf.DUMMYFUNCTION("GOOGLETRANSLATE(B1579,""en"",""fr"")"),"Une intro est montrée sur les cartes et une maison de près.")</f>
        <v>Une intro est montrée sur les cartes et une maison de près.</v>
      </c>
    </row>
    <row r="1580">
      <c r="A1580" s="4" t="s">
        <v>1985</v>
      </c>
      <c r="B1580" s="4" t="s">
        <v>1987</v>
      </c>
      <c r="C1580" s="5" t="str">
        <f>IFERROR(__xludf.DUMMYFUNCTION("GOOGLETRANSLATE(B1580,""en"",""fr"")"),"Ensuite, un gros plan d'un toit est indiqué ainsi que des logos.")</f>
        <v>Ensuite, un gros plan d'un toit est indiqué ainsi que des logos.</v>
      </c>
    </row>
    <row r="1581">
      <c r="A1581" s="4" t="s">
        <v>1985</v>
      </c>
      <c r="B1581" s="4" t="s">
        <v>1988</v>
      </c>
      <c r="C1581" s="5" t="str">
        <f>IFERROR(__xludf.DUMMYFUNCTION("GOOGLETRANSLATE(B1581,""en"",""fr"")"),"Plus de photos sont présentées sur des camions stationnés ainsi que des logos.")</f>
        <v>Plus de photos sont présentées sur des camions stationnés ainsi que des logos.</v>
      </c>
    </row>
    <row r="1582">
      <c r="A1582" s="4" t="s">
        <v>1989</v>
      </c>
      <c r="B1582" s="4" t="s">
        <v>1990</v>
      </c>
      <c r="C1582" s="5" t="str">
        <f>IFERROR(__xludf.DUMMYFUNCTION("GOOGLETRANSLATE(B1582,""en"",""fr"")"),"Greats de saut à la perche est à l'écran.")</f>
        <v>Greats de saut à la perche est à l'écran.</v>
      </c>
    </row>
    <row r="1583">
      <c r="A1583" s="4" t="s">
        <v>1989</v>
      </c>
      <c r="B1583" s="4" t="s">
        <v>1991</v>
      </c>
      <c r="C1583" s="5" t="str">
        <f>IFERROR(__xludf.DUMMYFUNCTION("GOOGLETRANSLATE(B1583,""en"",""fr"")"),"Il y a plusieurs scènes de saut à la perche des hommes et des femmes.")</f>
        <v>Il y a plusieurs scènes de saut à la perche des hommes et des femmes.</v>
      </c>
    </row>
    <row r="1584">
      <c r="A1584" s="4" t="s">
        <v>1992</v>
      </c>
      <c r="B1584" s="4" t="s">
        <v>1487</v>
      </c>
      <c r="C1584" s="5" t="str">
        <f>IFERROR(__xludf.DUMMYFUNCTION("GOOGLETRANSLATE(B1584,""en"",""fr"")"),"Nous voyons un écran de titre d'ouverture.")</f>
        <v>Nous voyons un écran de titre d'ouverture.</v>
      </c>
    </row>
    <row r="1585">
      <c r="A1585" s="4" t="s">
        <v>1992</v>
      </c>
      <c r="B1585" s="4" t="s">
        <v>1993</v>
      </c>
      <c r="C1585" s="5" t="str">
        <f>IFERROR(__xludf.DUMMYFUNCTION("GOOGLETRANSLATE(B1585,""en"",""fr"")"),"Les outils sont assis sur une table et nous voyons une personne déballer un vélo et l'assembler.")</f>
        <v>Les outils sont assis sur une table et nous voyons une personne déballer un vélo et l'assembler.</v>
      </c>
    </row>
    <row r="1586">
      <c r="A1586" s="4" t="s">
        <v>1992</v>
      </c>
      <c r="B1586" s="4" t="s">
        <v>1994</v>
      </c>
      <c r="C1586" s="5" t="str">
        <f>IFERROR(__xludf.DUMMYFUNCTION("GOOGLETRANSLATE(B1586,""en"",""fr"")"),"Nous voyons l'homme mettre un pneu sur le vélo.")</f>
        <v>Nous voyons l'homme mettre un pneu sur le vélo.</v>
      </c>
    </row>
    <row r="1587">
      <c r="A1587" s="4" t="s">
        <v>1992</v>
      </c>
      <c r="B1587" s="4" t="s">
        <v>1995</v>
      </c>
      <c r="C1587" s="5" t="str">
        <f>IFERROR(__xludf.DUMMYFUNCTION("GOOGLETRANSLATE(B1587,""en"",""fr"")"),"Une personne resserre les prises sur le guidon.")</f>
        <v>Une personne resserre les prises sur le guidon.</v>
      </c>
    </row>
    <row r="1588">
      <c r="A1588" s="4" t="s">
        <v>1992</v>
      </c>
      <c r="B1588" s="4" t="s">
        <v>1996</v>
      </c>
      <c r="C1588" s="5" t="str">
        <f>IFERROR(__xludf.DUMMYFUNCTION("GOOGLETRANSLATE(B1588,""en"",""fr"")"),"L'homme met de la graisse sur les pagaies et les installe avant d'aérer les pneus.")</f>
        <v>L'homme met de la graisse sur les pagaies et les installe avant d'aérer les pneus.</v>
      </c>
    </row>
    <row r="1589">
      <c r="A1589" s="4" t="s">
        <v>1992</v>
      </c>
      <c r="B1589" s="4" t="s">
        <v>1997</v>
      </c>
      <c r="C1589" s="5" t="str">
        <f>IFERROR(__xludf.DUMMYFUNCTION("GOOGLETRANSLATE(B1589,""en"",""fr"")"),"Nous voyons ensuite le vélo fini.")</f>
        <v>Nous voyons ensuite le vélo fini.</v>
      </c>
    </row>
    <row r="1590">
      <c r="A1590" s="4" t="s">
        <v>1992</v>
      </c>
      <c r="B1590" s="4" t="s">
        <v>1998</v>
      </c>
      <c r="C1590" s="5" t="str">
        <f>IFERROR(__xludf.DUMMYFUNCTION("GOOGLETRANSLATE(B1590,""en"",""fr"")"),"L'écran du titre de fin est affiché.")</f>
        <v>L'écran du titre de fin est affiché.</v>
      </c>
    </row>
    <row r="1591">
      <c r="A1591" s="4" t="s">
        <v>1999</v>
      </c>
      <c r="B1591" s="4" t="s">
        <v>2000</v>
      </c>
      <c r="C1591" s="5" t="str">
        <f>IFERROR(__xludf.DUMMYFUNCTION("GOOGLETRANSLATE(B1591,""en"",""fr"")"),"Un homme est vu en train de retirer les nuances d'une fenêtre et de retirer les barres sur les côtés.")</f>
        <v>Un homme est vu en train de retirer les nuances d'une fenêtre et de retirer les barres sur les côtés.</v>
      </c>
    </row>
    <row r="1592">
      <c r="A1592" s="4" t="s">
        <v>1999</v>
      </c>
      <c r="B1592" s="6" t="s">
        <v>2001</v>
      </c>
      <c r="C1592" s="5" t="str">
        <f>IFERROR(__xludf.DUMMYFUNCTION("GOOGLETRANSLATE(B1592,""en"",""fr"")"),"Un autre homme l'assiste en mettant des barres plus récentes dans la fenêtre et en coupant les planches afin qu'elles s'adaptent.")</f>
        <v>Un autre homme l'assiste en mettant des barres plus récentes dans la fenêtre et en coupant les planches afin qu'elles s'adaptent.</v>
      </c>
    </row>
    <row r="1593">
      <c r="A1593" s="4" t="s">
        <v>1999</v>
      </c>
      <c r="B1593" s="4" t="s">
        <v>2002</v>
      </c>
      <c r="C1593" s="5" t="str">
        <f>IFERROR(__xludf.DUMMYFUNCTION("GOOGLETRANSLATE(B1593,""en"",""fr"")"),"À la fin, la caméra se déroule autour du nouveau toit montrant ses excellents résultats.")</f>
        <v>À la fin, la caméra se déroule autour du nouveau toit montrant ses excellents résultats.</v>
      </c>
    </row>
    <row r="1594">
      <c r="A1594" s="4" t="s">
        <v>2003</v>
      </c>
      <c r="B1594" s="4" t="s">
        <v>2004</v>
      </c>
      <c r="C1594" s="5" t="str">
        <f>IFERROR(__xludf.DUMMYFUNCTION("GOOGLETRANSLATE(B1594,""en"",""fr"")"),"Les gens dirigent du motocross sur une route cahoteuse dans le bois.")</f>
        <v>Les gens dirigent du motocross sur une route cahoteuse dans le bois.</v>
      </c>
    </row>
    <row r="1595">
      <c r="A1595" s="4" t="s">
        <v>2003</v>
      </c>
      <c r="B1595" s="4" t="s">
        <v>2005</v>
      </c>
      <c r="C1595" s="5" t="str">
        <f>IFERROR(__xludf.DUMMYFUNCTION("GOOGLETRANSLATE(B1595,""en"",""fr"")"),"Une personne grimpe une bosse avec une moto.")</f>
        <v>Une personne grimpe une bosse avec une moto.</v>
      </c>
    </row>
    <row r="1596">
      <c r="A1596" s="4" t="s">
        <v>2003</v>
      </c>
      <c r="B1596" s="4" t="s">
        <v>2006</v>
      </c>
      <c r="C1596" s="5" t="str">
        <f>IFERROR(__xludf.DUMMYFUNCTION("GOOGLETRANSLATE(B1596,""en"",""fr"")"),"Les gens conduisent également des motos sur une surface plate non pavée.")</f>
        <v>Les gens conduisent également des motos sur une surface plate non pavée.</v>
      </c>
    </row>
    <row r="1597">
      <c r="A1597" s="4" t="s">
        <v>2007</v>
      </c>
      <c r="B1597" s="4" t="s">
        <v>2008</v>
      </c>
      <c r="C1597" s="5" t="str">
        <f>IFERROR(__xludf.DUMMYFUNCTION("GOOGLETRANSLATE(B1597,""en"",""fr"")"),"Une petite fille se tient sur une plongée.")</f>
        <v>Une petite fille se tient sur une plongée.</v>
      </c>
    </row>
    <row r="1598">
      <c r="A1598" s="4" t="s">
        <v>2007</v>
      </c>
      <c r="B1598" s="4" t="s">
        <v>2009</v>
      </c>
      <c r="C1598" s="5" t="str">
        <f>IFERROR(__xludf.DUMMYFUNCTION("GOOGLETRANSLATE(B1598,""en"",""fr"")"),"Ensuite, la petite fille saute, se retourne et plonge dans la piscine.")</f>
        <v>Ensuite, la petite fille saute, se retourne et plonge dans la piscine.</v>
      </c>
    </row>
    <row r="1599">
      <c r="A1599" s="4" t="s">
        <v>2007</v>
      </c>
      <c r="B1599" s="4" t="s">
        <v>2010</v>
      </c>
      <c r="C1599" s="5" t="str">
        <f>IFERROR(__xludf.DUMMYFUNCTION("GOOGLETRANSLATE(B1599,""en"",""fr"")"),"Les gens sont dans la piscine.")</f>
        <v>Les gens sont dans la piscine.</v>
      </c>
    </row>
    <row r="1600">
      <c r="A1600" s="4" t="s">
        <v>2011</v>
      </c>
      <c r="B1600" s="4" t="s">
        <v>2012</v>
      </c>
      <c r="C1600" s="5" t="str">
        <f>IFERROR(__xludf.DUMMYFUNCTION("GOOGLETRANSLATE(B1600,""en"",""fr"")"),"Kid se balance sur une aire de jeux.")</f>
        <v>Kid se balance sur une aire de jeux.</v>
      </c>
    </row>
    <row r="1601">
      <c r="A1601" s="4" t="s">
        <v>2011</v>
      </c>
      <c r="B1601" s="4" t="s">
        <v>2013</v>
      </c>
      <c r="C1601" s="5" t="str">
        <f>IFERROR(__xludf.DUMMYFUNCTION("GOOGLETRANSLATE(B1601,""en"",""fr"")"),"La femme court vers les balançoires et s'assoit.")</f>
        <v>La femme court vers les balançoires et s'assoit.</v>
      </c>
    </row>
    <row r="1602">
      <c r="A1602" s="4" t="s">
        <v>2011</v>
      </c>
      <c r="B1602" s="4" t="s">
        <v>2014</v>
      </c>
      <c r="C1602" s="5" t="str">
        <f>IFERROR(__xludf.DUMMYFUNCTION("GOOGLETRANSLATE(B1602,""en"",""fr"")"),"Une femme se tient et se lève.")</f>
        <v>Une femme se tient et se lève.</v>
      </c>
    </row>
    <row r="1603">
      <c r="A1603" s="4" t="s">
        <v>2015</v>
      </c>
      <c r="B1603" s="4" t="s">
        <v>2016</v>
      </c>
      <c r="C1603" s="5" t="str">
        <f>IFERROR(__xludf.DUMMYFUNCTION("GOOGLETRANSLATE(B1603,""en"",""fr"")"),"Un homme est assis dans les escaliers en jouant une harmonique.")</f>
        <v>Un homme est assis dans les escaliers en jouant une harmonique.</v>
      </c>
    </row>
    <row r="1604">
      <c r="A1604" s="4" t="s">
        <v>2015</v>
      </c>
      <c r="B1604" s="4" t="s">
        <v>2017</v>
      </c>
      <c r="C1604" s="5" t="str">
        <f>IFERROR(__xludf.DUMMYFUNCTION("GOOGLETRANSLATE(B1604,""en"",""fr"")"),"Il se lève et continue de jouer.")</f>
        <v>Il se lève et continue de jouer.</v>
      </c>
    </row>
    <row r="1605">
      <c r="A1605" s="4" t="s">
        <v>2015</v>
      </c>
      <c r="B1605" s="4" t="s">
        <v>2018</v>
      </c>
      <c r="C1605" s="5" t="str">
        <f>IFERROR(__xludf.DUMMYFUNCTION("GOOGLETRANSLATE(B1605,""en"",""fr"")"),"Les mots arrivent à l'écran.")</f>
        <v>Les mots arrivent à l'écran.</v>
      </c>
    </row>
    <row r="1606">
      <c r="A1606" s="4" t="s">
        <v>2019</v>
      </c>
      <c r="B1606" s="4" t="s">
        <v>2020</v>
      </c>
      <c r="C1606" s="5" t="str">
        <f>IFERROR(__xludf.DUMMYFUNCTION("GOOGLETRANSLATE(B1606,""en"",""fr"")"),"Un gros plan d'un sac de mélange de ciment est montré.")</f>
        <v>Un gros plan d'un sac de mélange de ciment est montré.</v>
      </c>
    </row>
    <row r="1607">
      <c r="A1607" s="4" t="s">
        <v>2019</v>
      </c>
      <c r="B1607" s="4" t="s">
        <v>2021</v>
      </c>
      <c r="C1607" s="5" t="str">
        <f>IFERROR(__xludf.DUMMYFUNCTION("GOOGLETRANSLATE(B1607,""en"",""fr"")"),"Un homme ajoute de l'eau dans un récipient tandis qu'une autre regarde.")</f>
        <v>Un homme ajoute de l'eau dans un récipient tandis qu'une autre regarde.</v>
      </c>
    </row>
    <row r="1608">
      <c r="A1608" s="4" t="s">
        <v>2019</v>
      </c>
      <c r="B1608" s="4" t="s">
        <v>2022</v>
      </c>
      <c r="C1608" s="5" t="str">
        <f>IFERROR(__xludf.DUMMYFUNCTION("GOOGLETRANSLATE(B1608,""en"",""fr"")"),"Le premier homme verse le mélange de ciment dans le récipient.")</f>
        <v>Le premier homme verse le mélange de ciment dans le récipient.</v>
      </c>
    </row>
    <row r="1609">
      <c r="A1609" s="4" t="s">
        <v>2019</v>
      </c>
      <c r="B1609" s="4" t="s">
        <v>2023</v>
      </c>
      <c r="C1609" s="5" t="str">
        <f>IFERROR(__xludf.DUMMYFUNCTION("GOOGLETRANSLATE(B1609,""en"",""fr"")"),"Le deuxième homme utilise un mélangeur sur le conteneur.")</f>
        <v>Le deuxième homme utilise un mélangeur sur le conteneur.</v>
      </c>
    </row>
    <row r="1610">
      <c r="A1610" s="4" t="s">
        <v>2019</v>
      </c>
      <c r="B1610" s="4" t="s">
        <v>2024</v>
      </c>
      <c r="C1610" s="5" t="str">
        <f>IFERROR(__xludf.DUMMYFUNCTION("GOOGLETRANSLATE(B1610,""en"",""fr"")"),"L'un des hommes applique le mélange à un mur.")</f>
        <v>L'un des hommes applique le mélange à un mur.</v>
      </c>
    </row>
    <row r="1611">
      <c r="A1611" s="4" t="s">
        <v>2025</v>
      </c>
      <c r="B1611" s="4" t="s">
        <v>2026</v>
      </c>
      <c r="C1611" s="5" t="str">
        <f>IFERROR(__xludf.DUMMYFUNCTION("GOOGLETRANSLATE(B1611,""en"",""fr"")"),"Les crédits d'ouverture montrent la description de la vidéo.")</f>
        <v>Les crédits d'ouverture montrent la description de la vidéo.</v>
      </c>
    </row>
    <row r="1612">
      <c r="A1612" s="4" t="s">
        <v>2025</v>
      </c>
      <c r="B1612" s="4" t="s">
        <v>2027</v>
      </c>
      <c r="C1612" s="5" t="str">
        <f>IFERROR(__xludf.DUMMYFUNCTION("GOOGLETRANSLATE(B1612,""en"",""fr"")"),"Une femme agite la main et reconnaît ses cheveux et son visage alors qu'elle continue de parler.")</f>
        <v>Une femme agite la main et reconnaît ses cheveux et son visage alors qu'elle continue de parler.</v>
      </c>
    </row>
    <row r="1613">
      <c r="A1613" s="4" t="s">
        <v>2025</v>
      </c>
      <c r="B1613" s="4" t="s">
        <v>2028</v>
      </c>
      <c r="C1613" s="5" t="str">
        <f>IFERROR(__xludf.DUMMYFUNCTION("GOOGLETRANSLATE(B1613,""en"",""fr"")"),"La femme a les cheveux et commence à coiffer ses cheveux.")</f>
        <v>La femme a les cheveux et commence à coiffer ses cheveux.</v>
      </c>
    </row>
    <row r="1614">
      <c r="A1614" s="4" t="s">
        <v>2025</v>
      </c>
      <c r="B1614" s="4" t="s">
        <v>2029</v>
      </c>
      <c r="C1614" s="5" t="str">
        <f>IFERROR(__xludf.DUMMYFUNCTION("GOOGLETRANSLATE(B1614,""en"",""fr"")"),"Elle complète coiffer ses cheveux et continue de parler.")</f>
        <v>Elle complète coiffer ses cheveux et continue de parler.</v>
      </c>
    </row>
    <row r="1615">
      <c r="A1615" s="4" t="s">
        <v>2030</v>
      </c>
      <c r="B1615" s="6" t="s">
        <v>2031</v>
      </c>
      <c r="C1615" s="5" t="str">
        <f>IFERROR(__xludf.DUMMYFUNCTION("GOOGLETRANSLATE(B1615,""en"",""fr"")"),"Il y a un homme dans une chemise blanche debout dans un domaine ouvert en faisant un tutoriel pour un village expert sur la façon de jouer à la crosse.")</f>
        <v>Il y a un homme dans une chemise blanche debout dans un domaine ouvert en faisant un tutoriel pour un village expert sur la façon de jouer à la crosse.</v>
      </c>
    </row>
    <row r="1616">
      <c r="A1616" s="4" t="s">
        <v>2030</v>
      </c>
      <c r="B1616" s="4" t="s">
        <v>2032</v>
      </c>
      <c r="C1616" s="5" t="str">
        <f>IFERROR(__xludf.DUMMYFUNCTION("GOOGLETRANSLATE(B1616,""en"",""fr"")"),"Il tient un bâton de crosse dans ses mains alors qu'il explique les techniques du jeu.")</f>
        <v>Il tient un bâton de crosse dans ses mains alors qu'il explique les techniques du jeu.</v>
      </c>
    </row>
    <row r="1617">
      <c r="A1617" s="4" t="s">
        <v>2030</v>
      </c>
      <c r="B1617" s="6" t="s">
        <v>2033</v>
      </c>
      <c r="C1617" s="5" t="str">
        <f>IFERROR(__xludf.DUMMYFUNCTION("GOOGLETRANSLATE(B1617,""en"",""fr"")"),"Il fait des gestes de la main pour démontrer la méthode correcte pour tenir le bâton de crosse pour une technique de jeu efficace.")</f>
        <v>Il fait des gestes de la main pour démontrer la méthode correcte pour tenir le bâton de crosse pour une technique de jeu efficace.</v>
      </c>
    </row>
    <row r="1618">
      <c r="A1618" s="4" t="s">
        <v>2034</v>
      </c>
      <c r="B1618" s="6" t="s">
        <v>2035</v>
      </c>
      <c r="C1618" s="5" t="str">
        <f>IFERROR(__xludf.DUMMYFUNCTION("GOOGLETRANSLATE(B1618,""en"",""fr"")"),"Un grand groupe de personnes est à un carnaval jouant dans leurs propres voitures tamponneuses et quelques-unes d'entre elles se heurtent et s'arrêtent.")</f>
        <v>Un grand groupe de personnes est à un carnaval jouant dans leurs propres voitures tamponneuses et quelques-unes d'entre elles se heurtent et s'arrêtent.</v>
      </c>
    </row>
    <row r="1619">
      <c r="A1619" s="4" t="s">
        <v>2034</v>
      </c>
      <c r="B1619" s="4" t="s">
        <v>2036</v>
      </c>
      <c r="C1619" s="5" t="str">
        <f>IFERROR(__xludf.DUMMYFUNCTION("GOOGLETRANSLATE(B1619,""en"",""fr"")"),"Ils rient et commencent à retirer leurs tamponneurs les uns des autres.")</f>
        <v>Ils rient et commencent à retirer leurs tamponneurs les uns des autres.</v>
      </c>
    </row>
    <row r="1620">
      <c r="A1620" s="4" t="s">
        <v>2034</v>
      </c>
      <c r="B1620" s="6" t="s">
        <v>2037</v>
      </c>
      <c r="C1620" s="5" t="str">
        <f>IFERROR(__xludf.DUMMYFUNCTION("GOOGLETRANSLATE(B1620,""en"",""fr"")"),"Les gens recommencent à conduire où ils continuent tous à se cogner ou à conduire.")</f>
        <v>Les gens recommencent à conduire où ils continuent tous à se cogner ou à conduire.</v>
      </c>
    </row>
    <row r="1621">
      <c r="A1621" s="4" t="s">
        <v>2034</v>
      </c>
      <c r="B1621" s="4" t="s">
        <v>2038</v>
      </c>
      <c r="C1621" s="5" t="str">
        <f>IFERROR(__xludf.DUMMYFUNCTION("GOOGLETRANSLATE(B1621,""en"",""fr"")"),"Finalement, toutes les voitures tamponneuses s'arrêtent complètes et le trajet est terminé.")</f>
        <v>Finalement, toutes les voitures tamponneuses s'arrêtent complètes et le trajet est terminé.</v>
      </c>
    </row>
    <row r="1622">
      <c r="A1622" s="4" t="s">
        <v>2039</v>
      </c>
      <c r="B1622" s="4" t="s">
        <v>2040</v>
      </c>
      <c r="C1622" s="5" t="str">
        <f>IFERROR(__xludf.DUMMYFUNCTION("GOOGLETRANSLATE(B1622,""en"",""fr"")"),"Les ingrédients sont assis sur un bloc en bois.")</f>
        <v>Les ingrédients sont assis sur un bloc en bois.</v>
      </c>
    </row>
    <row r="1623">
      <c r="A1623" s="4" t="s">
        <v>2039</v>
      </c>
      <c r="B1623" s="4" t="s">
        <v>2041</v>
      </c>
      <c r="C1623" s="5" t="str">
        <f>IFERROR(__xludf.DUMMYFUNCTION("GOOGLETRANSLATE(B1623,""en"",""fr"")"),"Une personne commence à mélanger les ingrédients ensemble.")</f>
        <v>Une personne commence à mélanger les ingrédients ensemble.</v>
      </c>
    </row>
    <row r="1624">
      <c r="A1624" s="4" t="s">
        <v>2039</v>
      </c>
      <c r="B1624" s="4" t="s">
        <v>2042</v>
      </c>
      <c r="C1624" s="5" t="str">
        <f>IFERROR(__xludf.DUMMYFUNCTION("GOOGLETRANSLATE(B1624,""en"",""fr"")"),"Les mots viennent sur l'écran à la fin.")</f>
        <v>Les mots viennent sur l'écran à la fin.</v>
      </c>
    </row>
    <row r="1625">
      <c r="A1625" s="4" t="s">
        <v>2043</v>
      </c>
      <c r="B1625" s="4" t="s">
        <v>2044</v>
      </c>
      <c r="C1625" s="5" t="str">
        <f>IFERROR(__xludf.DUMMYFUNCTION("GOOGLETRANSLATE(B1625,""en"",""fr"")"),"Un logo avec des pistons de moteur est vu et un avertissement est montré.")</f>
        <v>Un logo avec des pistons de moteur est vu et un avertissement est montré.</v>
      </c>
    </row>
    <row r="1626">
      <c r="A1626" s="4" t="s">
        <v>2043</v>
      </c>
      <c r="B1626" s="4" t="s">
        <v>2045</v>
      </c>
      <c r="C1626" s="5" t="str">
        <f>IFERROR(__xludf.DUMMYFUNCTION("GOOGLETRANSLATE(B1626,""en"",""fr"")"),"Deux femmes en pantalon d'exercice de gym roulent ensemble sur des vélos stationnaires dans un gymnase.")</f>
        <v>Deux femmes en pantalon d'exercice de gym roulent ensemble sur des vélos stationnaires dans un gymnase.</v>
      </c>
    </row>
    <row r="1627">
      <c r="A1627" s="4" t="s">
        <v>2046</v>
      </c>
      <c r="B1627" s="4" t="s">
        <v>2047</v>
      </c>
      <c r="C1627" s="5" t="str">
        <f>IFERROR(__xludf.DUMMYFUNCTION("GOOGLETRANSLATE(B1627,""en"",""fr"")"),"Une femme est vue en parlant à la caméra et mène aux nouvelles interviewant un homme.")</f>
        <v>Une femme est vue en parlant à la caméra et mène aux nouvelles interviewant un homme.</v>
      </c>
    </row>
    <row r="1628">
      <c r="A1628" s="4" t="s">
        <v>2046</v>
      </c>
      <c r="B1628" s="6" t="s">
        <v>2048</v>
      </c>
      <c r="C1628" s="5" t="str">
        <f>IFERROR(__xludf.DUMMYFUNCTION("GOOGLETRANSLATE(B1628,""en"",""fr"")"),"Plusieurs plans sont ensuite montrés de deux taureaux qui se battent d'autres tandis que d'autres regardent et parlent à la caméra.")</f>
        <v>Plusieurs plans sont ensuite montrés de deux taureaux qui se battent d'autres tandis que d'autres regardent et parlent à la caméra.</v>
      </c>
    </row>
    <row r="1629">
      <c r="A1629" s="4" t="s">
        <v>2049</v>
      </c>
      <c r="B1629" s="4" t="s">
        <v>2050</v>
      </c>
      <c r="C1629" s="5" t="str">
        <f>IFERROR(__xludf.DUMMYFUNCTION("GOOGLETRANSLATE(B1629,""en"",""fr"")"),"Une personne est vue portant des pantoufles et tenant un bâton dans leurs mains.")</f>
        <v>Une personne est vue portant des pantoufles et tenant un bâton dans leurs mains.</v>
      </c>
    </row>
    <row r="1630">
      <c r="A1630" s="4" t="s">
        <v>2049</v>
      </c>
      <c r="B1630" s="4" t="s">
        <v>2051</v>
      </c>
      <c r="C1630" s="5" t="str">
        <f>IFERROR(__xludf.DUMMYFUNCTION("GOOGLETRANSLATE(B1630,""en"",""fr"")"),"La personne commence alors à se promener dans une pièce en poussant le ballon avec le bâton.")</f>
        <v>La personne commence alors à se promener dans une pièce en poussant le ballon avec le bâton.</v>
      </c>
    </row>
    <row r="1631">
      <c r="A1631" s="4" t="s">
        <v>2049</v>
      </c>
      <c r="B1631" s="4" t="s">
        <v>2052</v>
      </c>
      <c r="C1631" s="5" t="str">
        <f>IFERROR(__xludf.DUMMYFUNCTION("GOOGLETRANSLATE(B1631,""en"",""fr"")"),"La personne continue de frapper le ballon en se promenant dans la pièce.")</f>
        <v>La personne continue de frapper le ballon en se promenant dans la pièce.</v>
      </c>
    </row>
    <row r="1632">
      <c r="A1632" s="4" t="s">
        <v>2053</v>
      </c>
      <c r="B1632" s="4" t="s">
        <v>2054</v>
      </c>
      <c r="C1632" s="5" t="str">
        <f>IFERROR(__xludf.DUMMYFUNCTION("GOOGLETRANSLATE(B1632,""en"",""fr"")"),"Un jeune enfant est vu rouler sur une planche à roulettes sur une route à la suite d'un groupe de garçons plus âgés.")</f>
        <v>Un jeune enfant est vu rouler sur une planche à roulettes sur une route à la suite d'un groupe de garçons plus âgés.</v>
      </c>
    </row>
    <row r="1633">
      <c r="A1633" s="4" t="s">
        <v>2053</v>
      </c>
      <c r="B1633" s="4" t="s">
        <v>2055</v>
      </c>
      <c r="C1633" s="5" t="str">
        <f>IFERROR(__xludf.DUMMYFUNCTION("GOOGLETRANSLATE(B1633,""en"",""fr"")"),"Plusieurs plans de lui roulant sont montrés ainsi que lui échouant et roulant davantage.")</f>
        <v>Plusieurs plans de lui roulant sont montrés ainsi que lui échouant et roulant davantage.</v>
      </c>
    </row>
    <row r="1634">
      <c r="A1634" s="4" t="s">
        <v>2053</v>
      </c>
      <c r="B1634" s="4" t="s">
        <v>2056</v>
      </c>
      <c r="C1634" s="5" t="str">
        <f>IFERROR(__xludf.DUMMYFUNCTION("GOOGLETRANSLATE(B1634,""en"",""fr"")"),"Le poing baisse l'homme de la caméra et d'autres coups sont montrés de lui en train de rouler.")</f>
        <v>Le poing baisse l'homme de la caméra et d'autres coups sont montrés de lui en train de rouler.</v>
      </c>
    </row>
    <row r="1635">
      <c r="A1635" s="4" t="s">
        <v>2057</v>
      </c>
      <c r="B1635" s="4" t="s">
        <v>2058</v>
      </c>
      <c r="C1635" s="5" t="str">
        <f>IFERROR(__xludf.DUMMYFUNCTION("GOOGLETRANSLATE(B1635,""en"",""fr"")"),"Une fille est assise au bas des escaliers tout en essayant de mettre ses chaussures.")</f>
        <v>Une fille est assise au bas des escaliers tout en essayant de mettre ses chaussures.</v>
      </c>
    </row>
    <row r="1636">
      <c r="A1636" s="4" t="s">
        <v>2057</v>
      </c>
      <c r="B1636" s="4" t="s">
        <v>2059</v>
      </c>
      <c r="C1636" s="5" t="str">
        <f>IFERROR(__xludf.DUMMYFUNCTION("GOOGLETRANSLATE(B1636,""en"",""fr"")"),"Elle regarde au loin dans un manoir dégoûté, apparaissant en même temps assez distrait.")</f>
        <v>Elle regarde au loin dans un manoir dégoûté, apparaissant en même temps assez distrait.</v>
      </c>
    </row>
    <row r="1637">
      <c r="A1637" s="4" t="s">
        <v>2057</v>
      </c>
      <c r="B1637" s="4" t="s">
        <v>2060</v>
      </c>
      <c r="C1637" s="5" t="str">
        <f>IFERROR(__xludf.DUMMYFUNCTION("GOOGLETRANSLATE(B1637,""en"",""fr"")"),"Elle finit en attachant ses lacets de chaussures et en riant pour elle-même et la personne qui la filme.")</f>
        <v>Elle finit en attachant ses lacets de chaussures et en riant pour elle-même et la personne qui la filme.</v>
      </c>
    </row>
    <row r="1638">
      <c r="A1638" s="4" t="s">
        <v>2061</v>
      </c>
      <c r="B1638" s="4" t="s">
        <v>2062</v>
      </c>
      <c r="C1638" s="5" t="str">
        <f>IFERROR(__xludf.DUMMYFUNCTION("GOOGLETRANSLATE(B1638,""en"",""fr"")"),"Une femme vêtue de vêtements de gym fait un tutoriel sur la rotation dans une salle de sport.")</f>
        <v>Une femme vêtue de vêtements de gym fait un tutoriel sur la rotation dans une salle de sport.</v>
      </c>
    </row>
    <row r="1639">
      <c r="A1639" s="4" t="s">
        <v>2061</v>
      </c>
      <c r="B1639" s="4" t="s">
        <v>2063</v>
      </c>
      <c r="C1639" s="5" t="str">
        <f>IFERROR(__xludf.DUMMYFUNCTION("GOOGLETRANSLATE(B1639,""en"",""fr"")"),"Elle démontre les haltères qu'elle utilisera.")</f>
        <v>Elle démontre les haltères qu'elle utilisera.</v>
      </c>
    </row>
    <row r="1640">
      <c r="A1640" s="4" t="s">
        <v>2061</v>
      </c>
      <c r="B1640" s="6" t="s">
        <v>2064</v>
      </c>
      <c r="C1640" s="5" t="str">
        <f>IFERROR(__xludf.DUMMYFUNCTION("GOOGLETRANSLATE(B1640,""en"",""fr"")"),"Elle démontre ensuite le vélo d'exercice et continue de faire du vélo avec d'autres femmes au gymnase.")</f>
        <v>Elle démontre ensuite le vélo d'exercice et continue de faire du vélo avec d'autres femmes au gymnase.</v>
      </c>
    </row>
    <row r="1641">
      <c r="A1641" s="4" t="s">
        <v>2061</v>
      </c>
      <c r="B1641" s="4" t="s">
        <v>2065</v>
      </c>
      <c r="C1641" s="5" t="str">
        <f>IFERROR(__xludf.DUMMYFUNCTION("GOOGLETRANSLATE(B1641,""en"",""fr"")"),"Elle explique comment faire un exercice rigoureux sur le vélo.")</f>
        <v>Elle explique comment faire un exercice rigoureux sur le vélo.</v>
      </c>
    </row>
    <row r="1642">
      <c r="A1642" s="4" t="s">
        <v>2061</v>
      </c>
      <c r="B1642" s="4" t="s">
        <v>2066</v>
      </c>
      <c r="C1642" s="5" t="str">
        <f>IFERROR(__xludf.DUMMYFUNCTION("GOOGLETRANSLATE(B1642,""en"",""fr"")"),"Il y a plusieurs autres femmes qui font également du vélo sur le vélo d'exercice avec elle.")</f>
        <v>Il y a plusieurs autres femmes qui font également du vélo sur le vélo d'exercice avec elle.</v>
      </c>
    </row>
    <row r="1643">
      <c r="A1643" s="4" t="s">
        <v>2067</v>
      </c>
      <c r="B1643" s="4" t="s">
        <v>2068</v>
      </c>
      <c r="C1643" s="5" t="str">
        <f>IFERROR(__xludf.DUMMYFUNCTION("GOOGLETRANSLATE(B1643,""en"",""fr"")"),"Nous voyons une petite fille skiable.")</f>
        <v>Nous voyons une petite fille skiable.</v>
      </c>
    </row>
    <row r="1644">
      <c r="A1644" s="4" t="s">
        <v>2067</v>
      </c>
      <c r="B1644" s="4" t="s">
        <v>2069</v>
      </c>
      <c r="C1644" s="5" t="str">
        <f>IFERROR(__xludf.DUMMYFUNCTION("GOOGLETRANSLATE(B1644,""en"",""fr"")"),"Nous voyons un homme tenant un ski pour l'eau pour enfants.")</f>
        <v>Nous voyons un homme tenant un ski pour l'eau pour enfants.</v>
      </c>
    </row>
    <row r="1645">
      <c r="A1645" s="4" t="s">
        <v>2067</v>
      </c>
      <c r="B1645" s="4" t="s">
        <v>2070</v>
      </c>
      <c r="C1645" s="5" t="str">
        <f>IFERROR(__xludf.DUMMYFUNCTION("GOOGLETRANSLATE(B1645,""en"",""fr"")"),"L'homme lâche et attrape à nouveau sa veste.")</f>
        <v>L'homme lâche et attrape à nouveau sa veste.</v>
      </c>
    </row>
    <row r="1646">
      <c r="A1646" s="4" t="s">
        <v>2067</v>
      </c>
      <c r="B1646" s="4" t="s">
        <v>2071</v>
      </c>
      <c r="C1646" s="5" t="str">
        <f>IFERROR(__xludf.DUMMYFUNCTION("GOOGLETRANSLATE(B1646,""en"",""fr"")"),"L'homme pointe les skis.")</f>
        <v>L'homme pointe les skis.</v>
      </c>
    </row>
    <row r="1647">
      <c r="A1647" s="4" t="s">
        <v>2067</v>
      </c>
      <c r="B1647" s="4" t="s">
        <v>2072</v>
      </c>
      <c r="C1647" s="5" t="str">
        <f>IFERROR(__xludf.DUMMYFUNCTION("GOOGLETRANSLATE(B1647,""en"",""fr"")"),"L'homme gauche va et attrape à nouveau la veste.")</f>
        <v>L'homme gauche va et attrape à nouveau la veste.</v>
      </c>
    </row>
    <row r="1648">
      <c r="A1648" s="4" t="s">
        <v>2073</v>
      </c>
      <c r="B1648" s="4" t="s">
        <v>2074</v>
      </c>
      <c r="C1648" s="5" t="str">
        <f>IFERROR(__xludf.DUMMYFUNCTION("GOOGLETRANSLATE(B1648,""en"",""fr"")"),"Un homme sourit à la caméra.")</f>
        <v>Un homme sourit à la caméra.</v>
      </c>
    </row>
    <row r="1649">
      <c r="A1649" s="4" t="s">
        <v>2073</v>
      </c>
      <c r="B1649" s="4" t="s">
        <v>2075</v>
      </c>
      <c r="C1649" s="5" t="str">
        <f>IFERROR(__xludf.DUMMYFUNCTION("GOOGLETRANSLATE(B1649,""en"",""fr"")"),"Il repasse des vêtements sur une planche à repasser.")</f>
        <v>Il repasse des vêtements sur une planche à repasser.</v>
      </c>
    </row>
    <row r="1650">
      <c r="A1650" s="4" t="s">
        <v>2073</v>
      </c>
      <c r="B1650" s="4" t="s">
        <v>2076</v>
      </c>
      <c r="C1650" s="5" t="str">
        <f>IFERROR(__xludf.DUMMYFUNCTION("GOOGLETRANSLATE(B1650,""en"",""fr"")"),"Il retourne les vêtements et les fers de l'autre côté.")</f>
        <v>Il retourne les vêtements et les fers de l'autre côté.</v>
      </c>
    </row>
    <row r="1651">
      <c r="A1651" s="4" t="s">
        <v>2077</v>
      </c>
      <c r="B1651" s="4" t="s">
        <v>2078</v>
      </c>
      <c r="C1651" s="5" t="str">
        <f>IFERROR(__xludf.DUMMYFUNCTION("GOOGLETRANSLATE(B1651,""en"",""fr"")"),"Un garçon dans une chemise orange se tient dans une pièce.")</f>
        <v>Un garçon dans une chemise orange se tient dans une pièce.</v>
      </c>
    </row>
    <row r="1652">
      <c r="A1652" s="4" t="s">
        <v>2077</v>
      </c>
      <c r="B1652" s="4" t="s">
        <v>2079</v>
      </c>
      <c r="C1652" s="5" t="str">
        <f>IFERROR(__xludf.DUMMYFUNCTION("GOOGLETRANSLATE(B1652,""en"",""fr"")"),"Il commence à frapper un sac de coup de poing.")</f>
        <v>Il commence à frapper un sac de coup de poing.</v>
      </c>
    </row>
    <row r="1653">
      <c r="A1653" s="4" t="s">
        <v>2077</v>
      </c>
      <c r="B1653" s="4" t="s">
        <v>2080</v>
      </c>
      <c r="C1653" s="5" t="str">
        <f>IFERROR(__xludf.DUMMYFUNCTION("GOOGLETRANSLATE(B1653,""en"",""fr"")"),"Le sac de poinçonnage se déplace dans les airs.")</f>
        <v>Le sac de poinçonnage se déplace dans les airs.</v>
      </c>
    </row>
    <row r="1654">
      <c r="A1654" s="4" t="s">
        <v>2081</v>
      </c>
      <c r="B1654" s="4" t="s">
        <v>1251</v>
      </c>
      <c r="C1654" s="5" t="str">
        <f>IFERROR(__xludf.DUMMYFUNCTION("GOOGLETRANSLATE(B1654,""en"",""fr"")"),"Les crédits du clip sont affichés.")</f>
        <v>Les crédits du clip sont affichés.</v>
      </c>
    </row>
    <row r="1655">
      <c r="A1655" s="4" t="s">
        <v>2081</v>
      </c>
      <c r="B1655" s="4" t="s">
        <v>2082</v>
      </c>
      <c r="C1655" s="5" t="str">
        <f>IFERROR(__xludf.DUMMYFUNCTION("GOOGLETRANSLATE(B1655,""en"",""fr"")"),"Un garçon palette un bateau.")</f>
        <v>Un garçon palette un bateau.</v>
      </c>
    </row>
    <row r="1656">
      <c r="A1656" s="4" t="s">
        <v>2081</v>
      </c>
      <c r="B1656" s="4" t="s">
        <v>573</v>
      </c>
      <c r="C1656" s="5" t="str">
        <f>IFERROR(__xludf.DUMMYFUNCTION("GOOGLETRANSLATE(B1656,""en"",""fr"")"),"Les crédits de la vidéo sont affichés.")</f>
        <v>Les crédits de la vidéo sont affichés.</v>
      </c>
    </row>
    <row r="1657">
      <c r="A1657" s="4" t="s">
        <v>2083</v>
      </c>
      <c r="B1657" s="4" t="s">
        <v>2084</v>
      </c>
      <c r="C1657" s="5" t="str">
        <f>IFERROR(__xludf.DUMMYFUNCTION("GOOGLETRANSLATE(B1657,""en"",""fr"")"),"Un homme est vu à l'extérieur dansant pour lui-même tout en essuyant un chiffon sur la voiture.")</f>
        <v>Un homme est vu à l'extérieur dansant pour lui-même tout en essuyant un chiffon sur la voiture.</v>
      </c>
    </row>
    <row r="1658">
      <c r="A1658" s="4" t="s">
        <v>2083</v>
      </c>
      <c r="B1658" s="4" t="s">
        <v>2085</v>
      </c>
      <c r="C1658" s="5" t="str">
        <f>IFERROR(__xludf.DUMMYFUNCTION("GOOGLETRANSLATE(B1658,""en"",""fr"")"),"Le temps pleut et l'homme continue de danser autour de la voiture en tenant un chiffon.")</f>
        <v>Le temps pleut et l'homme continue de danser autour de la voiture en tenant un chiffon.</v>
      </c>
    </row>
    <row r="1659">
      <c r="A1659" s="4" t="s">
        <v>2083</v>
      </c>
      <c r="B1659" s="4" t="s">
        <v>2086</v>
      </c>
      <c r="C1659" s="5" t="str">
        <f>IFERROR(__xludf.DUMMYFUNCTION("GOOGLETRANSLATE(B1659,""en"",""fr"")"),"L'homme se déplace vers l'avant de la voiture suivi en enlevant sa chemise et en agitant vers la caméra.")</f>
        <v>L'homme se déplace vers l'avant de la voiture suivi en enlevant sa chemise et en agitant vers la caméra.</v>
      </c>
    </row>
    <row r="1660">
      <c r="A1660" s="4" t="s">
        <v>2087</v>
      </c>
      <c r="B1660" s="4" t="s">
        <v>2088</v>
      </c>
      <c r="C1660" s="5" t="str">
        <f>IFERROR(__xludf.DUMMYFUNCTION("GOOGLETRANSLATE(B1660,""en"",""fr"")"),"Il y a une grande foule montrée en applaudissant et deux hôtes qui parlent au début.")</f>
        <v>Il y a une grande foule montrée en applaudissant et deux hôtes qui parlent au début.</v>
      </c>
    </row>
    <row r="1661">
      <c r="A1661" s="4" t="s">
        <v>2087</v>
      </c>
      <c r="B1661" s="4" t="s">
        <v>2089</v>
      </c>
      <c r="C1661" s="5" t="str">
        <f>IFERROR(__xludf.DUMMYFUNCTION("GOOGLETRANSLATE(B1661,""en"",""fr"")"),"Une ligne d'hommes est ensuite montrée portant des tenues de lutte de sumo.")</f>
        <v>Une ligne d'hommes est ensuite montrée portant des tenues de lutte de sumo.</v>
      </c>
    </row>
    <row r="1662">
      <c r="A1662" s="4" t="s">
        <v>2087</v>
      </c>
      <c r="B1662" s="4" t="s">
        <v>2090</v>
      </c>
      <c r="C1662" s="5" t="str">
        <f>IFERROR(__xludf.DUMMYFUNCTION("GOOGLETRANSLATE(B1662,""en"",""fr"")"),"Deux personnes entrent à l'intérieur du ring et commencent à se battre.")</f>
        <v>Deux personnes entrent à l'intérieur du ring et commencent à se battre.</v>
      </c>
    </row>
    <row r="1663">
      <c r="A1663" s="4" t="s">
        <v>2087</v>
      </c>
      <c r="B1663" s="4" t="s">
        <v>2091</v>
      </c>
      <c r="C1663" s="5" t="str">
        <f>IFERROR(__xludf.DUMMYFUNCTION("GOOGLETRANSLATE(B1663,""en"",""fr"")"),"Les deux personnes se saisissent le cou et essaient de renverser leur adversaire au sol.")</f>
        <v>Les deux personnes se saisissent le cou et essaient de renverser leur adversaire au sol.</v>
      </c>
    </row>
    <row r="1664">
      <c r="A1664" s="4" t="s">
        <v>2092</v>
      </c>
      <c r="B1664" s="6" t="s">
        <v>2093</v>
      </c>
      <c r="C1664" s="5" t="str">
        <f>IFERROR(__xludf.DUMMYFUNCTION("GOOGLETRANSLATE(B1664,""en"",""fr"")"),"La caméra capture un gros plan d'une femme plus âgée se maquillant et frappant ses lèvres à la caméra.")</f>
        <v>La caméra capture un gros plan d'une femme plus âgée se maquillant et frappant ses lèvres à la caméra.</v>
      </c>
    </row>
    <row r="1665">
      <c r="A1665" s="4" t="s">
        <v>2092</v>
      </c>
      <c r="B1665" s="4" t="s">
        <v>2094</v>
      </c>
      <c r="C1665" s="5" t="str">
        <f>IFERROR(__xludf.DUMMYFUNCTION("GOOGLETRANSLATE(B1665,""en"",""fr"")"),"Elle met ensuite le mascara ainsi que plus de rouge à lèvres et hoche la tête en arrière en arrière et quatrième souriant.")</f>
        <v>Elle met ensuite le mascara ainsi que plus de rouge à lèvres et hoche la tête en arrière en arrière et quatrième souriant.</v>
      </c>
    </row>
    <row r="1666">
      <c r="A1666" s="4" t="s">
        <v>2095</v>
      </c>
      <c r="B1666" s="4" t="s">
        <v>2096</v>
      </c>
      <c r="C1666" s="5" t="str">
        <f>IFERROR(__xludf.DUMMYFUNCTION("GOOGLETRANSLATE(B1666,""en"",""fr"")"),"Un homme portant un chapeau blanc montre comment faire une boisson des Caraïbes.")</f>
        <v>Un homme portant un chapeau blanc montre comment faire une boisson des Caraïbes.</v>
      </c>
    </row>
    <row r="1667">
      <c r="A1667" s="4" t="s">
        <v>2095</v>
      </c>
      <c r="B1667" s="4" t="s">
        <v>2097</v>
      </c>
      <c r="C1667" s="5" t="str">
        <f>IFERROR(__xludf.DUMMYFUNCTION("GOOGLETRANSLATE(B1667,""en"",""fr"")"),"Il montre un bol rempli d'agrumes.")</f>
        <v>Il montre un bol rempli d'agrumes.</v>
      </c>
    </row>
    <row r="1668">
      <c r="A1668" s="4" t="s">
        <v>2095</v>
      </c>
      <c r="B1668" s="4" t="s">
        <v>2098</v>
      </c>
      <c r="C1668" s="5" t="str">
        <f>IFERROR(__xludf.DUMMYFUNCTION("GOOGLETRANSLATE(B1668,""en"",""fr"")"),"Il prend un presse-agrumes au citron et quelques citrons et limes et oranges.")</f>
        <v>Il prend un presse-agrumes au citron et quelques citrons et limes et oranges.</v>
      </c>
    </row>
    <row r="1669">
      <c r="A1669" s="4" t="s">
        <v>2095</v>
      </c>
      <c r="B1669" s="4" t="s">
        <v>2099</v>
      </c>
      <c r="C1669" s="5" t="str">
        <f>IFERROR(__xludf.DUMMYFUNCTION("GOOGLETRANSLATE(B1669,""en"",""fr"")"),"Il fait ensuite du jus les oranges et le citron sur le presse-agrumes.")</f>
        <v>Il fait ensuite du jus les oranges et le citron sur le presse-agrumes.</v>
      </c>
    </row>
    <row r="1670">
      <c r="A1670" s="4" t="s">
        <v>2095</v>
      </c>
      <c r="B1670" s="4" t="s">
        <v>2100</v>
      </c>
      <c r="C1670" s="5" t="str">
        <f>IFERROR(__xludf.DUMMYFUNCTION("GOOGLETRANSLATE(B1670,""en"",""fr"")"),"Il vide ensuite le jus dans un grand cocktail.")</f>
        <v>Il vide ensuite le jus dans un grand cocktail.</v>
      </c>
    </row>
    <row r="1671">
      <c r="A1671" s="4" t="s">
        <v>2095</v>
      </c>
      <c r="B1671" s="4" t="s">
        <v>2101</v>
      </c>
      <c r="C1671" s="5" t="str">
        <f>IFERROR(__xludf.DUMMYFUNCTION("GOOGLETRANSLATE(B1671,""en"",""fr"")"),"Il ajoute du rhum au jus avec un extrait de vanille.")</f>
        <v>Il ajoute du rhum au jus avec un extrait de vanille.</v>
      </c>
    </row>
    <row r="1672">
      <c r="A1672" s="4" t="s">
        <v>2095</v>
      </c>
      <c r="B1672" s="4" t="s">
        <v>2102</v>
      </c>
      <c r="C1672" s="5" t="str">
        <f>IFERROR(__xludf.DUMMYFUNCTION("GOOGLETRANSLATE(B1672,""en"",""fr"")"),"Il mélange également du sucre et du rhum et fouet la boisson.")</f>
        <v>Il mélange également du sucre et du rhum et fouet la boisson.</v>
      </c>
    </row>
    <row r="1673">
      <c r="A1673" s="4" t="s">
        <v>2095</v>
      </c>
      <c r="B1673" s="4" t="s">
        <v>2103</v>
      </c>
      <c r="C1673" s="5" t="str">
        <f>IFERROR(__xludf.DUMMYFUNCTION("GOOGLETRANSLATE(B1673,""en"",""fr"")"),"Il ajoute enfin un bol plein d'eau et le remue bien.")</f>
        <v>Il ajoute enfin un bol plein d'eau et le remue bien.</v>
      </c>
    </row>
    <row r="1674">
      <c r="A1674" s="4" t="s">
        <v>2095</v>
      </c>
      <c r="B1674" s="4" t="s">
        <v>2104</v>
      </c>
      <c r="C1674" s="5" t="str">
        <f>IFERROR(__xludf.DUMMYFUNCTION("GOOGLETRANSLATE(B1674,""en"",""fr"")"),"Il verse la boisson dans des verres à cocktails et le place sur le comptoir de la cuisine.")</f>
        <v>Il verse la boisson dans des verres à cocktails et le place sur le comptoir de la cuisine.</v>
      </c>
    </row>
    <row r="1675">
      <c r="A1675" s="4" t="s">
        <v>2105</v>
      </c>
      <c r="B1675" s="4" t="s">
        <v>2106</v>
      </c>
      <c r="C1675" s="5" t="str">
        <f>IFERROR(__xludf.DUMMYFUNCTION("GOOGLETRANSLATE(B1675,""en"",""fr"")"),"Un grand bateau est représenté dans l'eau de l'océan.")</f>
        <v>Un grand bateau est représenté dans l'eau de l'océan.</v>
      </c>
    </row>
    <row r="1676">
      <c r="A1676" s="4" t="s">
        <v>2105</v>
      </c>
      <c r="B1676" s="4" t="s">
        <v>2107</v>
      </c>
      <c r="C1676" s="5" t="str">
        <f>IFERROR(__xludf.DUMMYFUNCTION("GOOGLETRANSLATE(B1676,""en"",""fr"")"),"Un homme en équipement de plongée grimpe sur le côté.")</f>
        <v>Un homme en équipement de plongée grimpe sur le côté.</v>
      </c>
    </row>
    <row r="1677">
      <c r="A1677" s="4" t="s">
        <v>2105</v>
      </c>
      <c r="B1677" s="4" t="s">
        <v>2108</v>
      </c>
      <c r="C1677" s="5" t="str">
        <f>IFERROR(__xludf.DUMMYFUNCTION("GOOGLETRANSLATE(B1677,""en"",""fr"")"),"Il travaille à tirer un grand sac dans le bateau, essayant de ne pas chavirer.")</f>
        <v>Il travaille à tirer un grand sac dans le bateau, essayant de ne pas chavirer.</v>
      </c>
    </row>
    <row r="1678">
      <c r="A1678" s="4" t="s">
        <v>2109</v>
      </c>
      <c r="B1678" s="6" t="s">
        <v>2110</v>
      </c>
      <c r="C1678" s="5" t="str">
        <f>IFERROR(__xludf.DUMMYFUNCTION("GOOGLETRANSLATE(B1678,""en"",""fr"")"),"Un homme vêtu d'équipement de neige est debout sur un plan d'eau gelé et se penche alors qu'il regarde dans un trou de poisson dans lequel se trouve sa canne à pêche.")</f>
        <v>Un homme vêtu d'équipement de neige est debout sur un plan d'eau gelé et se penche alors qu'il regarde dans un trou de poisson dans lequel se trouve sa canne à pêche.</v>
      </c>
    </row>
    <row r="1679">
      <c r="A1679" s="4" t="s">
        <v>2109</v>
      </c>
      <c r="B1679" s="6" t="s">
        <v>2111</v>
      </c>
      <c r="C1679" s="5" t="str">
        <f>IFERROR(__xludf.DUMMYFUNCTION("GOOGLETRANSLATE(B1679,""en"",""fr"")"),"L'homme tire sur sa canne à pêche, se met à genoux et continue de tirer lentement la canne à pêche et l'homme de la caméra qui avait déjà posé la caméra dans les plis et attrape le poisson et le place sur la glace.")</f>
        <v>L'homme tire sur sa canne à pêche, se met à genoux et continue de tirer lentement la canne à pêche et l'homme de la caméra qui avait déjà posé la caméra dans les plis et attrape le poisson et le place sur la glace.</v>
      </c>
    </row>
    <row r="1680">
      <c r="A1680" s="4" t="s">
        <v>2109</v>
      </c>
      <c r="B1680" s="6" t="s">
        <v>2112</v>
      </c>
      <c r="C1680" s="5" t="str">
        <f>IFERROR(__xludf.DUMMYFUNCTION("GOOGLETRANSLATE(B1680,""en"",""fr"")"),"L'homme prend la caméra et angle la caméra vers le poisson sur la glace et l'homme qui pêchait souriant, décroche le poisson puis le tient dans les airs.")</f>
        <v>L'homme prend la caméra et angle la caméra vers le poisson sur la glace et l'homme qui pêchait souriant, décroche le poisson puis le tient dans les airs.</v>
      </c>
    </row>
    <row r="1681">
      <c r="A1681" s="4" t="s">
        <v>2113</v>
      </c>
      <c r="B1681" s="4" t="s">
        <v>2114</v>
      </c>
      <c r="C1681" s="5" t="str">
        <f>IFERROR(__xludf.DUMMYFUNCTION("GOOGLETRANSLATE(B1681,""en"",""fr"")"),"Les gens gèrent des taureaux dans un ring de rodéo, un homme jette les airs par un taureau.")</f>
        <v>Les gens gèrent des taureaux dans un ring de rodéo, un homme jette les airs par un taureau.</v>
      </c>
    </row>
    <row r="1682">
      <c r="A1682" s="4" t="s">
        <v>2113</v>
      </c>
      <c r="B1682" s="6" t="s">
        <v>2115</v>
      </c>
      <c r="C1682" s="5" t="str">
        <f>IFERROR(__xludf.DUMMYFUNCTION("GOOGLETRANSLATE(B1682,""en"",""fr"")"),"Les gens sont jetés par des taureaux au sol tout en sautant et en coupant avec les jambes arrière pendant que les gens regardent le rodéo.")</f>
        <v>Les gens sont jetés par des taureaux au sol tout en sautant et en coupant avec les jambes arrière pendant que les gens regardent le rodéo.</v>
      </c>
    </row>
    <row r="1683">
      <c r="A1683" s="4" t="s">
        <v>2113</v>
      </c>
      <c r="B1683" s="6" t="s">
        <v>2116</v>
      </c>
      <c r="C1683" s="5" t="str">
        <f>IFERROR(__xludf.DUMMYFUNCTION("GOOGLETRANSLATE(B1683,""en"",""fr"")"),"Plusieurs personnes chevauchant des taureaux sont jetées au sol tandis que d'autres personnes distraient les taureaux qui sautent et donnent des coups de pied.")</f>
        <v>Plusieurs personnes chevauchant des taureaux sont jetées au sol tandis que d'autres personnes distraient les taureaux qui sautent et donnent des coups de pied.</v>
      </c>
    </row>
    <row r="1684">
      <c r="A1684" s="4" t="s">
        <v>2117</v>
      </c>
      <c r="B1684" s="6" t="s">
        <v>2118</v>
      </c>
      <c r="C1684" s="5" t="str">
        <f>IFERROR(__xludf.DUMMYFUNCTION("GOOGLETRANSLATE(B1684,""en"",""fr"")"),"Deux très grands sumos sont dans un cercle surélevé en faisant des échauffements de jambes et en squattant tandis qu'un autre homme au milieu vêtu d'arbitres japonais.")</f>
        <v>Deux très grands sumos sont dans un cercle surélevé en faisant des échauffements de jambes et en squattant tandis qu'un autre homme au milieu vêtu d'arbitres japonais.</v>
      </c>
    </row>
    <row r="1685">
      <c r="A1685" s="4" t="s">
        <v>2117</v>
      </c>
      <c r="B1685" s="6" t="s">
        <v>2119</v>
      </c>
      <c r="C1685" s="5" t="str">
        <f>IFERROR(__xludf.DUMMYFUNCTION("GOOGLETRANSLATE(B1685,""en"",""fr"")"),"L'arbitre leur fait savoir quand commencer et le Sumos lutte pendant que l'arbitre se promène sur l'anneau et les surveille.")</f>
        <v>L'arbitre leur fait savoir quand commencer et le Sumos lutte pendant que l'arbitre se promène sur l'anneau et les surveille.</v>
      </c>
    </row>
    <row r="1686">
      <c r="A1686" s="4" t="s">
        <v>2117</v>
      </c>
      <c r="B1686" s="6" t="s">
        <v>2120</v>
      </c>
      <c r="C1686" s="5" t="str">
        <f>IFERROR(__xludf.DUMMYFUNCTION("GOOGLETRANSLATE(B1686,""en"",""fr"")"),"Enfin, l'un des hommes est capable de pousser un autre homme hors du ring, ils arrêtent de lutter, le perdant se promène jusqu'à son côté et ils s'inclinent les uns contre les autres et quittent le ring.")</f>
        <v>Enfin, l'un des hommes est capable de pousser un autre homme hors du ring, ils arrêtent de lutter, le perdant se promène jusqu'à son côté et ils s'inclinent les uns contre les autres et quittent le ring.</v>
      </c>
    </row>
    <row r="1687">
      <c r="A1687" s="4" t="s">
        <v>2121</v>
      </c>
      <c r="B1687" s="4" t="s">
        <v>2122</v>
      </c>
      <c r="C1687" s="5" t="str">
        <f>IFERROR(__xludf.DUMMYFUNCTION("GOOGLETRANSLATE(B1687,""en"",""fr"")"),"Une fille verse quelque chose dans un évier.")</f>
        <v>Une fille verse quelque chose dans un évier.</v>
      </c>
    </row>
    <row r="1688">
      <c r="A1688" s="4" t="s">
        <v>2121</v>
      </c>
      <c r="B1688" s="4" t="s">
        <v>2123</v>
      </c>
      <c r="C1688" s="5" t="str">
        <f>IFERROR(__xludf.DUMMYFUNCTION("GOOGLETRANSLATE(B1688,""en"",""fr"")"),"Elle s'éloigne et essuie ses mains sur une serviette.")</f>
        <v>Elle s'éloigne et essuie ses mains sur une serviette.</v>
      </c>
    </row>
    <row r="1689">
      <c r="A1689" s="4" t="s">
        <v>2121</v>
      </c>
      <c r="B1689" s="4" t="s">
        <v>2124</v>
      </c>
      <c r="C1689" s="5" t="str">
        <f>IFERROR(__xludf.DUMMYFUNCTION("GOOGLETRANSLATE(B1689,""en"",""fr"")"),"Elle verse le bol dans un seau sur le sol.")</f>
        <v>Elle verse le bol dans un seau sur le sol.</v>
      </c>
    </row>
    <row r="1690">
      <c r="A1690" s="4" t="s">
        <v>2121</v>
      </c>
      <c r="B1690" s="4" t="s">
        <v>2125</v>
      </c>
      <c r="C1690" s="5" t="str">
        <f>IFERROR(__xludf.DUMMYFUNCTION("GOOGLETRANSLATE(B1690,""en"",""fr"")"),"Elle commence à essuyer le sol avec une serviette.")</f>
        <v>Elle commence à essuyer le sol avec une serviette.</v>
      </c>
    </row>
    <row r="1691">
      <c r="A1691" s="4" t="s">
        <v>2121</v>
      </c>
      <c r="B1691" s="4" t="s">
        <v>2126</v>
      </c>
      <c r="C1691" s="5" t="str">
        <f>IFERROR(__xludf.DUMMYFUNCTION("GOOGLETRANSLATE(B1691,""en"",""fr"")"),"Elle déplace le seau vers l'avant de la salle de classe et le jette.")</f>
        <v>Elle déplace le seau vers l'avant de la salle de classe et le jette.</v>
      </c>
    </row>
    <row r="1692">
      <c r="A1692" s="4" t="s">
        <v>2127</v>
      </c>
      <c r="B1692" s="4" t="s">
        <v>2128</v>
      </c>
      <c r="C1692" s="5" t="str">
        <f>IFERROR(__xludf.DUMMYFUNCTION("GOOGLETRANSLATE(B1692,""en"",""fr"")"),"Nous voyons l'écran de titre de la vidéo.")</f>
        <v>Nous voyons l'écran de titre de la vidéo.</v>
      </c>
    </row>
    <row r="1693">
      <c r="A1693" s="4" t="s">
        <v>2127</v>
      </c>
      <c r="B1693" s="4" t="s">
        <v>2129</v>
      </c>
      <c r="C1693" s="5" t="str">
        <f>IFERROR(__xludf.DUMMYFUNCTION("GOOGLETRANSLATE(B1693,""en"",""fr"")"),"Nous passons à une femme en mettant ses vêtements froids.")</f>
        <v>Nous passons à une femme en mettant ses vêtements froids.</v>
      </c>
    </row>
    <row r="1694">
      <c r="A1694" s="4" t="s">
        <v>2127</v>
      </c>
      <c r="B1694" s="4" t="s">
        <v>2130</v>
      </c>
      <c r="C1694" s="5" t="str">
        <f>IFERROR(__xludf.DUMMYFUNCTION("GOOGLETRANSLATE(B1694,""en"",""fr"")"),"Elle attrape une pelle et s'éloigne.")</f>
        <v>Elle attrape une pelle et s'éloigne.</v>
      </c>
    </row>
    <row r="1695">
      <c r="A1695" s="4" t="s">
        <v>2127</v>
      </c>
      <c r="B1695" s="4" t="s">
        <v>2131</v>
      </c>
      <c r="C1695" s="5" t="str">
        <f>IFERROR(__xludf.DUMMYFUNCTION("GOOGLETRANSLATE(B1695,""en"",""fr"")"),"Nous voyons la dame assise et allongée sur une chaise et lisant.")</f>
        <v>Nous voyons la dame assise et allongée sur une chaise et lisant.</v>
      </c>
    </row>
    <row r="1696">
      <c r="A1696" s="4" t="s">
        <v>2127</v>
      </c>
      <c r="B1696" s="4" t="s">
        <v>2132</v>
      </c>
      <c r="C1696" s="5" t="str">
        <f>IFERROR(__xludf.DUMMYFUNCTION("GOOGLETRANSLATE(B1696,""en"",""fr"")"),"La dame est à l'extérieur de pelleter la neige et de parler.")</f>
        <v>La dame est à l'extérieur de pelleter la neige et de parler.</v>
      </c>
    </row>
    <row r="1697">
      <c r="A1697" s="4" t="s">
        <v>2127</v>
      </c>
      <c r="B1697" s="4" t="s">
        <v>2133</v>
      </c>
      <c r="C1697" s="5" t="str">
        <f>IFERROR(__xludf.DUMMYFUNCTION("GOOGLETRANSLATE(B1697,""en"",""fr"")"),"Nous voyons des articles en ligne sur le pelletage.")</f>
        <v>Nous voyons des articles en ligne sur le pelletage.</v>
      </c>
    </row>
    <row r="1698">
      <c r="A1698" s="4" t="s">
        <v>2127</v>
      </c>
      <c r="B1698" s="4" t="s">
        <v>2134</v>
      </c>
      <c r="C1698" s="5" t="str">
        <f>IFERROR(__xludf.DUMMYFUNCTION("GOOGLETRANSLATE(B1698,""en"",""fr"")"),"La dame saute et se réchauffe.")</f>
        <v>La dame saute et se réchauffe.</v>
      </c>
    </row>
    <row r="1699">
      <c r="A1699" s="4" t="s">
        <v>2127</v>
      </c>
      <c r="B1699" s="4" t="s">
        <v>2135</v>
      </c>
      <c r="C1699" s="5" t="str">
        <f>IFERROR(__xludf.DUMMYFUNCTION("GOOGLETRANSLATE(B1699,""en"",""fr"")"),"Nous voyons une ville enneigée puis des gens pelleter la neige.")</f>
        <v>Nous voyons une ville enneigée puis des gens pelleter la neige.</v>
      </c>
    </row>
    <row r="1700">
      <c r="A1700" s="4" t="s">
        <v>2136</v>
      </c>
      <c r="B1700" s="4" t="s">
        <v>2137</v>
      </c>
      <c r="C1700" s="5" t="str">
        <f>IFERROR(__xludf.DUMMYFUNCTION("GOOGLETRANSLATE(B1700,""en"",""fr"")"),"Une personne est vue debout sur un tribunal tenant une raquette de tennis.")</f>
        <v>Une personne est vue debout sur un tribunal tenant une raquette de tennis.</v>
      </c>
    </row>
    <row r="1701">
      <c r="A1701" s="4" t="s">
        <v>2136</v>
      </c>
      <c r="B1701" s="4" t="s">
        <v>2138</v>
      </c>
      <c r="C1701" s="5" t="str">
        <f>IFERROR(__xludf.DUMMYFUNCTION("GOOGLETRANSLATE(B1701,""en"",""fr"")"),"L'homme démontre ensuite plusieurs mouvements avec la raquette de tennis et frappant le ballon à un autre.")</f>
        <v>L'homme démontre ensuite plusieurs mouvements avec la raquette de tennis et frappant le ballon à un autre.</v>
      </c>
    </row>
    <row r="1702">
      <c r="A1702" s="4" t="s">
        <v>2136</v>
      </c>
      <c r="B1702" s="4" t="s">
        <v>2139</v>
      </c>
      <c r="C1702" s="5" t="str">
        <f>IFERROR(__xludf.DUMMYFUNCTION("GOOGLETRANSLATE(B1702,""en"",""fr"")"),"Les deux ont continué en continu le ballon en arrière et quatrième l'un contre l'autre.")</f>
        <v>Les deux ont continué en continu le ballon en arrière et quatrième l'un contre l'autre.</v>
      </c>
    </row>
    <row r="1703">
      <c r="A1703" s="4" t="s">
        <v>2140</v>
      </c>
      <c r="B1703" s="4" t="s">
        <v>2141</v>
      </c>
      <c r="C1703" s="5" t="str">
        <f>IFERROR(__xludf.DUMMYFUNCTION("GOOGLETRANSLATE(B1703,""en"",""fr"")"),"Une femme est assise avec des lunettes de soleil vertes.")</f>
        <v>Une femme est assise avec des lunettes de soleil vertes.</v>
      </c>
    </row>
    <row r="1704">
      <c r="A1704" s="4" t="s">
        <v>2140</v>
      </c>
      <c r="B1704" s="4" t="s">
        <v>2142</v>
      </c>
      <c r="C1704" s="5" t="str">
        <f>IFERROR(__xludf.DUMMYFUNCTION("GOOGLETRANSLATE(B1704,""en"",""fr"")"),"Elle parle sur le téléphone portable.")</f>
        <v>Elle parle sur le téléphone portable.</v>
      </c>
    </row>
    <row r="1705">
      <c r="A1705" s="4" t="s">
        <v>2140</v>
      </c>
      <c r="B1705" s="4" t="s">
        <v>2143</v>
      </c>
      <c r="C1705" s="5" t="str">
        <f>IFERROR(__xludf.DUMMYFUNCTION("GOOGLETRANSLATE(B1705,""en"",""fr"")"),"Elle roule dans une voiture.")</f>
        <v>Elle roule dans une voiture.</v>
      </c>
    </row>
    <row r="1706">
      <c r="A1706" s="4" t="s">
        <v>2140</v>
      </c>
      <c r="B1706" s="4" t="s">
        <v>2144</v>
      </c>
      <c r="C1706" s="5" t="str">
        <f>IFERROR(__xludf.DUMMYFUNCTION("GOOGLETRANSLATE(B1706,""en"",""fr"")"),"Elle est allongée sur une chaise se faisant tatouer le pied.")</f>
        <v>Elle est allongée sur une chaise se faisant tatouer le pied.</v>
      </c>
    </row>
    <row r="1707">
      <c r="A1707" s="4" t="s">
        <v>2140</v>
      </c>
      <c r="B1707" s="4" t="s">
        <v>2145</v>
      </c>
      <c r="C1707" s="5" t="str">
        <f>IFERROR(__xludf.DUMMYFUNCTION("GOOGLETRANSLATE(B1707,""en"",""fr"")"),"Elle montre son tatouage à pied.")</f>
        <v>Elle montre son tatouage à pied.</v>
      </c>
    </row>
    <row r="1708">
      <c r="A1708" s="4" t="s">
        <v>2140</v>
      </c>
      <c r="B1708" s="4" t="s">
        <v>2146</v>
      </c>
      <c r="C1708" s="5" t="str">
        <f>IFERROR(__xludf.DUMMYFUNCTION("GOOGLETRANSLATE(B1708,""en"",""fr"")"),"Elle est assise à l'extérieur en train de parler.")</f>
        <v>Elle est assise à l'extérieur en train de parler.</v>
      </c>
    </row>
    <row r="1709">
      <c r="A1709" s="4" t="s">
        <v>2147</v>
      </c>
      <c r="B1709" s="4" t="s">
        <v>2148</v>
      </c>
      <c r="C1709" s="5" t="str">
        <f>IFERROR(__xludf.DUMMYFUNCTION("GOOGLETRANSLATE(B1709,""en"",""fr"")"),"Une femme est vue en serrant une lotion dans une bouteille sur sa peau et en la frottant dans ses bras.")</f>
        <v>Une femme est vue en serrant une lotion dans une bouteille sur sa peau et en la frottant dans ses bras.</v>
      </c>
    </row>
    <row r="1710">
      <c r="A1710" s="4" t="s">
        <v>2147</v>
      </c>
      <c r="B1710" s="6" t="s">
        <v>2149</v>
      </c>
      <c r="C1710" s="5" t="str">
        <f>IFERROR(__xludf.DUMMYFUNCTION("GOOGLETRANSLATE(B1710,""en"",""fr"")"),"Plus d'images sont affichées sur l'écran des personnes et des lotions ainsi que des étapes sur la façon de l'utiliser correctement.")</f>
        <v>Plus d'images sont affichées sur l'écran des personnes et des lotions ainsi que des étapes sur la façon de l'utiliser correctement.</v>
      </c>
    </row>
    <row r="1711">
      <c r="A1711" s="4" t="s">
        <v>2150</v>
      </c>
      <c r="B1711" s="4" t="s">
        <v>2151</v>
      </c>
      <c r="C1711" s="5" t="str">
        <f>IFERROR(__xludf.DUMMYFUNCTION("GOOGLETRANSLATE(B1711,""en"",""fr"")"),"Les hommes tirent une corde dans un jeu de remorqueur.")</f>
        <v>Les hommes tirent une corde dans un jeu de remorqueur.</v>
      </c>
    </row>
    <row r="1712">
      <c r="A1712" s="4" t="s">
        <v>2150</v>
      </c>
      <c r="B1712" s="4" t="s">
        <v>2152</v>
      </c>
      <c r="C1712" s="5" t="str">
        <f>IFERROR(__xludf.DUMMYFUNCTION("GOOGLETRANSLATE(B1712,""en"",""fr"")"),"Une dame se penche pour prendre une photo et une dame marche et filme le pair.")</f>
        <v>Une dame se penche pour prendre une photo et une dame marche et filme le pair.</v>
      </c>
    </row>
    <row r="1713">
      <c r="A1713" s="4" t="s">
        <v>2150</v>
      </c>
      <c r="B1713" s="4" t="s">
        <v>2153</v>
      </c>
      <c r="C1713" s="5" t="str">
        <f>IFERROR(__xludf.DUMMYFUNCTION("GOOGLETRANSLATE(B1713,""en"",""fr"")"),"Nous voyons une tour sur le terrain.")</f>
        <v>Nous voyons une tour sur le terrain.</v>
      </c>
    </row>
    <row r="1714">
      <c r="A1714" s="4" t="s">
        <v>2150</v>
      </c>
      <c r="B1714" s="4" t="s">
        <v>2154</v>
      </c>
      <c r="C1714" s="5" t="str">
        <f>IFERROR(__xludf.DUMMYFUNCTION("GOOGLETRANSLATE(B1714,""en"",""fr"")"),"Les hommes lâchent la corde, un homme tombe et applaudit.")</f>
        <v>Les hommes lâchent la corde, un homme tombe et applaudit.</v>
      </c>
    </row>
    <row r="1715">
      <c r="A1715" s="4" t="s">
        <v>2150</v>
      </c>
      <c r="B1715" s="4" t="s">
        <v>2155</v>
      </c>
      <c r="C1715" s="5" t="str">
        <f>IFERROR(__xludf.DUMMYFUNCTION("GOOGLETRANSLATE(B1715,""en"",""fr"")"),"Un homme sourit et donne un coup de pouce à la caméra.")</f>
        <v>Un homme sourit et donne un coup de pouce à la caméra.</v>
      </c>
    </row>
    <row r="1716">
      <c r="A1716" s="4" t="s">
        <v>2156</v>
      </c>
      <c r="B1716" s="4" t="s">
        <v>2157</v>
      </c>
      <c r="C1716" s="5" t="str">
        <f>IFERROR(__xludf.DUMMYFUNCTION("GOOGLETRANSLATE(B1716,""en"",""fr"")"),"Les gens jouent à un jeu dans un champ.")</f>
        <v>Les gens jouent à un jeu dans un champ.</v>
      </c>
    </row>
    <row r="1717">
      <c r="A1717" s="4" t="s">
        <v>2156</v>
      </c>
      <c r="B1717" s="4" t="s">
        <v>2158</v>
      </c>
      <c r="C1717" s="5" t="str">
        <f>IFERROR(__xludf.DUMMYFUNCTION("GOOGLETRANSLATE(B1717,""en"",""fr"")"),"L'homme avec le maillet et l'homme avec le chapeau rouge font des allers-retours.")</f>
        <v>L'homme avec le maillet et l'homme avec le chapeau rouge font des allers-retours.</v>
      </c>
    </row>
    <row r="1718">
      <c r="A1718" s="4" t="s">
        <v>2156</v>
      </c>
      <c r="B1718" s="4" t="s">
        <v>2159</v>
      </c>
      <c r="C1718" s="5" t="str">
        <f>IFERROR(__xludf.DUMMYFUNCTION("GOOGLETRANSLATE(B1718,""en"",""fr"")"),"Un homme avec une chemise bleue coule vers le marbre.")</f>
        <v>Un homme avec une chemise bleue coule vers le marbre.</v>
      </c>
    </row>
    <row r="1719">
      <c r="A1719" s="4" t="s">
        <v>2156</v>
      </c>
      <c r="B1719" s="4" t="s">
        <v>2160</v>
      </c>
      <c r="C1719" s="5" t="str">
        <f>IFERROR(__xludf.DUMMYFUNCTION("GOOGLETRANSLATE(B1719,""en"",""fr"")"),"L'homme avec le maillet est montré se faire frapper au ralenti.")</f>
        <v>L'homme avec le maillet est montré se faire frapper au ralenti.</v>
      </c>
    </row>
    <row r="1720">
      <c r="A1720" s="4" t="s">
        <v>2156</v>
      </c>
      <c r="B1720" s="4" t="s">
        <v>2161</v>
      </c>
      <c r="C1720" s="5" t="str">
        <f>IFERROR(__xludf.DUMMYFUNCTION("GOOGLETRANSLATE(B1720,""en"",""fr"")"),"Une femme est à la hauteur et est montrée en marche après avoir obtenu un coup.")</f>
        <v>Une femme est à la hauteur et est montrée en marche après avoir obtenu un coup.</v>
      </c>
    </row>
    <row r="1721">
      <c r="A1721" s="4" t="s">
        <v>2162</v>
      </c>
      <c r="B1721" s="4" t="s">
        <v>2163</v>
      </c>
      <c r="C1721" s="5" t="str">
        <f>IFERROR(__xludf.DUMMYFUNCTION("GOOGLETRANSLATE(B1721,""en"",""fr"")"),"Un homme est en train de parase sur l'océan.")</f>
        <v>Un homme est en train de parase sur l'océan.</v>
      </c>
    </row>
    <row r="1722">
      <c r="A1722" s="4" t="s">
        <v>2162</v>
      </c>
      <c r="B1722" s="4" t="s">
        <v>2164</v>
      </c>
      <c r="C1722" s="5" t="str">
        <f>IFERROR(__xludf.DUMMYFUNCTION("GOOGLETRANSLATE(B1722,""en"",""fr"")"),"D'autres personnes commencent également à naviguer dans l'eau, certaines tombant.")</f>
        <v>D'autres personnes commencent également à naviguer dans l'eau, certaines tombant.</v>
      </c>
    </row>
    <row r="1723">
      <c r="A1723" s="4" t="s">
        <v>2165</v>
      </c>
      <c r="B1723" s="4" t="s">
        <v>2166</v>
      </c>
      <c r="C1723" s="5" t="str">
        <f>IFERROR(__xludf.DUMMYFUNCTION("GOOGLETRANSLATE(B1723,""en"",""fr"")"),"Nous voyons un homme décorer un arbre de Noël.")</f>
        <v>Nous voyons un homme décorer un arbre de Noël.</v>
      </c>
    </row>
    <row r="1724">
      <c r="A1724" s="4" t="s">
        <v>2165</v>
      </c>
      <c r="B1724" s="4" t="s">
        <v>2167</v>
      </c>
      <c r="C1724" s="5" t="str">
        <f>IFERROR(__xludf.DUMMYFUNCTION("GOOGLETRANSLATE(B1724,""en"",""fr"")"),"L'homme ajoute une chaîne de lumières.")</f>
        <v>L'homme ajoute une chaîne de lumières.</v>
      </c>
    </row>
    <row r="1725">
      <c r="A1725" s="4" t="s">
        <v>2165</v>
      </c>
      <c r="B1725" s="4" t="s">
        <v>2168</v>
      </c>
      <c r="C1725" s="5" t="str">
        <f>IFERROR(__xludf.DUMMYFUNCTION("GOOGLETRANSLATE(B1725,""en"",""fr"")"),"Une petite fille annonce des bulbes de l'arbre.")</f>
        <v>Une petite fille annonce des bulbes de l'arbre.</v>
      </c>
    </row>
    <row r="1726">
      <c r="A1726" s="4" t="s">
        <v>2165</v>
      </c>
      <c r="B1726" s="4" t="s">
        <v>2169</v>
      </c>
      <c r="C1726" s="5" t="str">
        <f>IFERROR(__xludf.DUMMYFUNCTION("GOOGLETRANSLATE(B1726,""en"",""fr"")"),"L'homme allume les lumières.")</f>
        <v>L'homme allume les lumières.</v>
      </c>
    </row>
    <row r="1727">
      <c r="A1727" s="4" t="s">
        <v>2165</v>
      </c>
      <c r="B1727" s="4" t="s">
        <v>2170</v>
      </c>
      <c r="C1727" s="5" t="str">
        <f>IFERROR(__xludf.DUMMYFUNCTION("GOOGLETRANSLATE(B1727,""en"",""fr"")"),"L'homme et la fille ajoutent des ampoules à l'arbre.")</f>
        <v>L'homme et la fille ajoutent des ampoules à l'arbre.</v>
      </c>
    </row>
    <row r="1728">
      <c r="A1728" s="4" t="s">
        <v>2165</v>
      </c>
      <c r="B1728" s="4" t="s">
        <v>2171</v>
      </c>
      <c r="C1728" s="5" t="str">
        <f>IFERROR(__xludf.DUMMYFUNCTION("GOOGLETRANSLATE(B1728,""en"",""fr"")"),"La dame monte et possède les escaliers.")</f>
        <v>La dame monte et possède les escaliers.</v>
      </c>
    </row>
    <row r="1729">
      <c r="A1729" s="4" t="s">
        <v>2165</v>
      </c>
      <c r="B1729" s="4" t="s">
        <v>2172</v>
      </c>
      <c r="C1729" s="5" t="str">
        <f>IFERROR(__xludf.DUMMYFUNCTION("GOOGLETRANSLATE(B1729,""en"",""fr"")"),"La dame ajoute des ornements à l'arbre.")</f>
        <v>La dame ajoute des ornements à l'arbre.</v>
      </c>
    </row>
    <row r="1730">
      <c r="A1730" s="4" t="s">
        <v>2165</v>
      </c>
      <c r="B1730" s="4" t="s">
        <v>2173</v>
      </c>
      <c r="C1730" s="5" t="str">
        <f>IFERROR(__xludf.DUMMYFUNCTION("GOOGLETRANSLATE(B1730,""en"",""fr"")"),"L'homme se tient sur une échelle et ajoute des ornements.")</f>
        <v>L'homme se tient sur une échelle et ajoute des ornements.</v>
      </c>
    </row>
    <row r="1731">
      <c r="A1731" s="4" t="s">
        <v>2165</v>
      </c>
      <c r="B1731" s="4" t="s">
        <v>2174</v>
      </c>
      <c r="C1731" s="5" t="str">
        <f>IFERROR(__xludf.DUMMYFUNCTION("GOOGLETRANSLATE(B1731,""en"",""fr"")"),"La dame éteint les lumières et la famille regarde l'arbre ensemble.")</f>
        <v>La dame éteint les lumières et la famille regarde l'arbre ensemble.</v>
      </c>
    </row>
    <row r="1732">
      <c r="A1732" s="4" t="s">
        <v>2165</v>
      </c>
      <c r="B1732" s="4" t="s">
        <v>2175</v>
      </c>
      <c r="C1732" s="5" t="str">
        <f>IFERROR(__xludf.DUMMYFUNCTION("GOOGLETRANSLATE(B1732,""en"",""fr"")"),"L'homme et la femme s'embrassent.")</f>
        <v>L'homme et la femme s'embrassent.</v>
      </c>
    </row>
    <row r="1733">
      <c r="A1733" s="4" t="s">
        <v>2176</v>
      </c>
      <c r="B1733" s="4" t="s">
        <v>2177</v>
      </c>
      <c r="C1733" s="5" t="str">
        <f>IFERROR(__xludf.DUMMYFUNCTION("GOOGLETRANSLATE(B1733,""en"",""fr"")"),"Deux hommes se tiennent sur un champ derrière une rangée de maisons.")</f>
        <v>Deux hommes se tiennent sur un champ derrière une rangée de maisons.</v>
      </c>
    </row>
    <row r="1734">
      <c r="A1734" s="4" t="s">
        <v>2176</v>
      </c>
      <c r="B1734" s="4" t="s">
        <v>2178</v>
      </c>
      <c r="C1734" s="5" t="str">
        <f>IFERROR(__xludf.DUMMYFUNCTION("GOOGLETRANSLATE(B1734,""en"",""fr"")"),"On balance une chauve-souris et court sur le terrain, pour poursuivre une balle.")</f>
        <v>On balance une chauve-souris et court sur le terrain, pour poursuivre une balle.</v>
      </c>
    </row>
    <row r="1735">
      <c r="A1735" s="4" t="s">
        <v>2176</v>
      </c>
      <c r="B1735" s="4" t="s">
        <v>2179</v>
      </c>
      <c r="C1735" s="5" t="str">
        <f>IFERROR(__xludf.DUMMYFUNCTION("GOOGLETRANSLATE(B1735,""en"",""fr"")"),"Le ballon est renvoyé au frappeur, et il continue le jeu de cricket avec ses coéquipiers.")</f>
        <v>Le ballon est renvoyé au frappeur, et il continue le jeu de cricket avec ses coéquipiers.</v>
      </c>
    </row>
    <row r="1736">
      <c r="A1736" s="4" t="s">
        <v>2180</v>
      </c>
      <c r="B1736" s="6" t="s">
        <v>2181</v>
      </c>
      <c r="C1736" s="5" t="str">
        <f>IFERROR(__xludf.DUMMYFUNCTION("GOOGLETRANSLATE(B1736,""en"",""fr"")"),"Un homme est vu debout dans un grand champ et mène en lui déplaçant ses bras et ses jambes autour de la zone.")</f>
        <v>Un homme est vu debout dans un grand champ et mène en lui déplaçant ses bras et ses jambes autour de la zone.</v>
      </c>
    </row>
    <row r="1737">
      <c r="A1737" s="4" t="s">
        <v>2180</v>
      </c>
      <c r="B1737" s="6" t="s">
        <v>2182</v>
      </c>
      <c r="C1737" s="5" t="str">
        <f>IFERROR(__xludf.DUMMYFUNCTION("GOOGLETRANSLATE(B1737,""en"",""fr"")"),"L'homme continue de se déplacer dans la zone en se déplaçant les mains de haut en bas et en regardant au loin.")</f>
        <v>L'homme continue de se déplacer dans la zone en se déplaçant les mains de haut en bas et en regardant au loin.</v>
      </c>
    </row>
    <row r="1738">
      <c r="A1738" s="4" t="s">
        <v>2183</v>
      </c>
      <c r="B1738" s="6" t="s">
        <v>2184</v>
      </c>
      <c r="C1738" s="5" t="str">
        <f>IFERROR(__xludf.DUMMYFUNCTION("GOOGLETRANSLATE(B1738,""en"",""fr"")"),"Deux personnes sont vues faire une danse de ballet sur scène, suivie d'une femme faisant une danse tandis que d'autres regardent sur le côté.")</f>
        <v>Deux personnes sont vues faire une danse de ballet sur scène, suivie d'une femme faisant une danse tandis que d'autres regardent sur le côté.</v>
      </c>
    </row>
    <row r="1739">
      <c r="A1739" s="4" t="s">
        <v>2183</v>
      </c>
      <c r="B1739" s="6" t="s">
        <v>2185</v>
      </c>
      <c r="C1739" s="5" t="str">
        <f>IFERROR(__xludf.DUMMYFUNCTION("GOOGLETRANSLATE(B1739,""en"",""fr"")"),"La femme continue de tourner avec l'homme marchant dans et hors du cadre et se termine avec elle s'inclinant devant le public.")</f>
        <v>La femme continue de tourner avec l'homme marchant dans et hors du cadre et se termine avec elle s'inclinant devant le public.</v>
      </c>
    </row>
    <row r="1740">
      <c r="A1740" s="4" t="s">
        <v>2186</v>
      </c>
      <c r="B1740" s="4" t="s">
        <v>2187</v>
      </c>
      <c r="C1740" s="5" t="str">
        <f>IFERROR(__xludf.DUMMYFUNCTION("GOOGLETRANSLATE(B1740,""en"",""fr"")"),"Un chien noir marche sur une pelouse.")</f>
        <v>Un chien noir marche sur une pelouse.</v>
      </c>
    </row>
    <row r="1741">
      <c r="A1741" s="4" t="s">
        <v>2186</v>
      </c>
      <c r="B1741" s="4" t="s">
        <v>2188</v>
      </c>
      <c r="C1741" s="5" t="str">
        <f>IFERROR(__xludf.DUMMYFUNCTION("GOOGLETRANSLATE(B1741,""en"",""fr"")"),"Une dame ratisse quitte la pelouse sur le trottoir de la chaussée.")</f>
        <v>Une dame ratisse quitte la pelouse sur le trottoir de la chaussée.</v>
      </c>
    </row>
    <row r="1742">
      <c r="A1742" s="4" t="s">
        <v>2186</v>
      </c>
      <c r="B1742" s="4" t="s">
        <v>2189</v>
      </c>
      <c r="C1742" s="5" t="str">
        <f>IFERROR(__xludf.DUMMYFUNCTION("GOOGLETRANSLATE(B1742,""en"",""fr"")"),"La dame cesse de ratir, se retourne et parle de gestes.")</f>
        <v>La dame cesse de ratir, se retourne et parle de gestes.</v>
      </c>
    </row>
    <row r="1743">
      <c r="A1743" s="4" t="s">
        <v>2186</v>
      </c>
      <c r="B1743" s="4" t="s">
        <v>2190</v>
      </c>
      <c r="C1743" s="5" t="str">
        <f>IFERROR(__xludf.DUMMYFUNCTION("GOOGLETRANSLATE(B1743,""en"",""fr"")"),"Une balle blanche roule sur une voiture garée.")</f>
        <v>Une balle blanche roule sur une voiture garée.</v>
      </c>
    </row>
    <row r="1744">
      <c r="A1744" s="4" t="s">
        <v>2191</v>
      </c>
      <c r="B1744" s="4" t="s">
        <v>2192</v>
      </c>
      <c r="C1744" s="5" t="str">
        <f>IFERROR(__xludf.DUMMYFUNCTION("GOOGLETRANSLATE(B1744,""en"",""fr"")"),"Une femme est vue agenouillée dans le cadre à côté d'un ensemble de terrasse.")</f>
        <v>Une femme est vue agenouillée dans le cadre à côté d'un ensemble de terrasse.</v>
      </c>
    </row>
    <row r="1745">
      <c r="A1745" s="4" t="s">
        <v>2191</v>
      </c>
      <c r="B1745" s="4" t="s">
        <v>2193</v>
      </c>
      <c r="C1745" s="5" t="str">
        <f>IFERROR(__xludf.DUMMYFUNCTION("GOOGLETRANSLATE(B1745,""en"",""fr"")"),"Elle montre ensuite divers outils de nettoyage et les frotte le long d'une chaise.")</f>
        <v>Elle montre ensuite divers outils de nettoyage et les frotte le long d'une chaise.</v>
      </c>
    </row>
    <row r="1746">
      <c r="A1746" s="4" t="s">
        <v>2191</v>
      </c>
      <c r="B1746" s="4" t="s">
        <v>2194</v>
      </c>
      <c r="C1746" s="5" t="str">
        <f>IFERROR(__xludf.DUMMYFUNCTION("GOOGLETRANSLATE(B1746,""en"",""fr"")"),"Elle amène la chaise à l'intérieur et verse de la peinture dans un seau et peint sur le côté.")</f>
        <v>Elle amène la chaise à l'intérieur et verse de la peinture dans un seau et peint sur le côté.</v>
      </c>
    </row>
    <row r="1747">
      <c r="A1747" s="4" t="s">
        <v>2191</v>
      </c>
      <c r="B1747" s="4" t="s">
        <v>2195</v>
      </c>
      <c r="C1747" s="5" t="str">
        <f>IFERROR(__xludf.DUMMYFUNCTION("GOOGLETRANSLATE(B1747,""en"",""fr"")"),"Elle montre à nouveau la chaise à l'extérieur tout en parlant à la caméra.")</f>
        <v>Elle montre à nouveau la chaise à l'extérieur tout en parlant à la caméra.</v>
      </c>
    </row>
    <row r="1748">
      <c r="A1748" s="4" t="s">
        <v>2196</v>
      </c>
      <c r="B1748" s="6" t="s">
        <v>2197</v>
      </c>
      <c r="C1748" s="5" t="str">
        <f>IFERROR(__xludf.DUMMYFUNCTION("GOOGLETRANSLATE(B1748,""en"",""fr"")"),"Une femme de presse brune porte une chemise blanche et un blazer bleu royal et parle de la caméra.")</f>
        <v>Une femme de presse brune porte une chemise blanche et un blazer bleu royal et parle de la caméra.</v>
      </c>
    </row>
    <row r="1749">
      <c r="A1749" s="4" t="s">
        <v>2196</v>
      </c>
      <c r="B1749" s="6" t="s">
        <v>2198</v>
      </c>
      <c r="C1749" s="5" t="str">
        <f>IFERROR(__xludf.DUMMYFUNCTION("GOOGLETRANSLATE(B1749,""en"",""fr"")"),"Un clip commence et il présente des gens qui courent et les mots à l'écran disent que ce sont des novices qui s'entraînent pour courir un marathon à Tel Aviv, en Israël.")</f>
        <v>Un clip commence et il présente des gens qui courent et les mots à l'écran disent que ce sont des novices qui s'entraînent pour courir un marathon à Tel Aviv, en Israël.</v>
      </c>
    </row>
    <row r="1750">
      <c r="A1750" s="4" t="s">
        <v>2196</v>
      </c>
      <c r="B1750" s="6" t="s">
        <v>2199</v>
      </c>
      <c r="C1750" s="5" t="str">
        <f>IFERROR(__xludf.DUMMYFUNCTION("GOOGLETRANSLATE(B1750,""en"",""fr"")"),"Un homme semble les former et différents marathoniens à la formation à tour de rôle interrogés pendant qu'ils continuent de passer des allers-retours à tous ceux qui suivent la formation.")</f>
        <v>Un homme semble les former et différents marathoniens à la formation à tour de rôle interrogés pendant qu'ils continuent de passer des allers-retours à tous ceux qui suivent la formation.</v>
      </c>
    </row>
    <row r="1751">
      <c r="A1751" s="4" t="s">
        <v>2196</v>
      </c>
      <c r="B1751" s="6" t="s">
        <v>2200</v>
      </c>
      <c r="C1751" s="5" t="str">
        <f>IFERROR(__xludf.DUMMYFUNCTION("GOOGLETRANSLATE(B1751,""en"",""fr"")"),"Le dernier clip est la vue depuis le début d'un marathon et des centaines de personnes commencent à courir en quittent la ligne de départ.")</f>
        <v>Le dernier clip est la vue depuis le début d'un marathon et des centaines de personnes commencent à courir en quittent la ligne de départ.</v>
      </c>
    </row>
    <row r="1752">
      <c r="A1752" s="4" t="s">
        <v>2201</v>
      </c>
      <c r="B1752" s="4" t="s">
        <v>2202</v>
      </c>
      <c r="C1752" s="5" t="str">
        <f>IFERROR(__xludf.DUMMYFUNCTION("GOOGLETRANSLATE(B1752,""en"",""fr"")"),"Il y a une jeune fille debout dans sa salle de bain pour faire un tutoriel sur la façon d'appliquer le rouge à lèvres.")</f>
        <v>Il y a une jeune fille debout dans sa salle de bain pour faire un tutoriel sur la façon d'appliquer le rouge à lèvres.</v>
      </c>
    </row>
    <row r="1753">
      <c r="A1753" s="4" t="s">
        <v>2201</v>
      </c>
      <c r="B1753" s="4" t="s">
        <v>2203</v>
      </c>
      <c r="C1753" s="5" t="str">
        <f>IFERROR(__xludf.DUMMYFUNCTION("GOOGLETRANSLATE(B1753,""en"",""fr"")"),"Elle ouvre son armoire miroir et sort son rouge à lèvres.")</f>
        <v>Elle ouvre son armoire miroir et sort son rouge à lèvres.</v>
      </c>
    </row>
    <row r="1754">
      <c r="A1754" s="4" t="s">
        <v>2201</v>
      </c>
      <c r="B1754" s="4" t="s">
        <v>2204</v>
      </c>
      <c r="C1754" s="5" t="str">
        <f>IFERROR(__xludf.DUMMYFUNCTION("GOOGLETRANSLATE(B1754,""en"",""fr"")"),"Elle commence à appliquer le rouge à lèvres sur ses lèvres.")</f>
        <v>Elle commence à appliquer le rouge à lèvres sur ses lèvres.</v>
      </c>
    </row>
    <row r="1755">
      <c r="A1755" s="4" t="s">
        <v>2201</v>
      </c>
      <c r="B1755" s="4" t="s">
        <v>2205</v>
      </c>
      <c r="C1755" s="5" t="str">
        <f>IFERROR(__xludf.DUMMYFUNCTION("GOOGLETRANSLATE(B1755,""en"",""fr"")"),"Ensuite, elle utilise le même rouge à lèvres et le tamponne sur ses joues.")</f>
        <v>Ensuite, elle utilise le même rouge à lèvres et le tamponne sur ses joues.</v>
      </c>
    </row>
    <row r="1756">
      <c r="A1756" s="4" t="s">
        <v>2201</v>
      </c>
      <c r="B1756" s="4" t="s">
        <v>2206</v>
      </c>
      <c r="C1756" s="5" t="str">
        <f>IFERROR(__xludf.DUMMYFUNCTION("GOOGLETRANSLATE(B1756,""en"",""fr"")"),"Elle utilise ses doigts pour salir uniformément le rouge à lèvres sur ses os de la joue.")</f>
        <v>Elle utilise ses doigts pour salir uniformément le rouge à lèvres sur ses os de la joue.</v>
      </c>
    </row>
    <row r="1757">
      <c r="A1757" s="4" t="s">
        <v>2201</v>
      </c>
      <c r="B1757" s="4" t="s">
        <v>2207</v>
      </c>
      <c r="C1757" s="5" t="str">
        <f>IFERROR(__xludf.DUMMYFUNCTION("GOOGLETRANSLATE(B1757,""en"",""fr"")"),"Puis elle fait la moue et sourit pour la caméra, frappant une pose.")</f>
        <v>Puis elle fait la moue et sourit pour la caméra, frappant une pose.</v>
      </c>
    </row>
    <row r="1758">
      <c r="A1758" s="4" t="s">
        <v>2208</v>
      </c>
      <c r="B1758" s="4" t="s">
        <v>2209</v>
      </c>
      <c r="C1758" s="5" t="str">
        <f>IFERROR(__xludf.DUMMYFUNCTION("GOOGLETRANSLATE(B1758,""en"",""fr"")"),"Un tout-petit tient un souffleur de feuilles.")</f>
        <v>Un tout-petit tient un souffleur de feuilles.</v>
      </c>
    </row>
    <row r="1759">
      <c r="A1759" s="4" t="s">
        <v>2208</v>
      </c>
      <c r="B1759" s="4" t="s">
        <v>2210</v>
      </c>
      <c r="C1759" s="5" t="str">
        <f>IFERROR(__xludf.DUMMYFUNCTION("GOOGLETRANSLATE(B1759,""en"",""fr"")"),"Un adolescent ratisse la pelouse.")</f>
        <v>Un adolescent ratisse la pelouse.</v>
      </c>
    </row>
    <row r="1760">
      <c r="A1760" s="4" t="s">
        <v>2208</v>
      </c>
      <c r="B1760" s="4" t="s">
        <v>2211</v>
      </c>
      <c r="C1760" s="5" t="str">
        <f>IFERROR(__xludf.DUMMYFUNCTION("GOOGLETRANSLATE(B1760,""en"",""fr"")"),"Un adolescent jette un râteau plein de feuilles sur le tout-petit.")</f>
        <v>Un adolescent jette un râteau plein de feuilles sur le tout-petit.</v>
      </c>
    </row>
    <row r="1761">
      <c r="A1761" s="4" t="s">
        <v>2212</v>
      </c>
      <c r="B1761" s="6" t="s">
        <v>2213</v>
      </c>
      <c r="C1761" s="5" t="str">
        <f>IFERROR(__xludf.DUMMYFUNCTION("GOOGLETRANSLATE(B1761,""en"",""fr"")"),"Une image encore prise d'un homme apparaît tandis que beaucoup de mots blancs vont faire défiler du bas vers le haut.")</f>
        <v>Une image encore prise d'un homme apparaît tandis que beaucoup de mots blancs vont faire défiler du bas vers le haut.</v>
      </c>
    </row>
    <row r="1762">
      <c r="A1762" s="4" t="s">
        <v>2212</v>
      </c>
      <c r="B1762" s="6" t="s">
        <v>2214</v>
      </c>
      <c r="C1762" s="5" t="str">
        <f>IFERROR(__xludf.DUMMYFUNCTION("GOOGLETRANSLATE(B1762,""en"",""fr"")"),"L'homme est maintenant dans une petite zone ci-jointe de la cour de racquetball et il passe par les mouvements de frapper une balle avec sa raquette avec les mots ""non recommandés"" dans le coin supérieur gauche.")</f>
        <v>L'homme est maintenant dans une petite zone ci-jointe de la cour de racquetball et il passe par les mouvements de frapper une balle avec sa raquette avec les mots "non recommandés" dans le coin supérieur gauche.</v>
      </c>
    </row>
    <row r="1763">
      <c r="A1763" s="4" t="s">
        <v>2212</v>
      </c>
      <c r="B1763" s="6" t="s">
        <v>2215</v>
      </c>
      <c r="C1763" s="5" t="str">
        <f>IFERROR(__xludf.DUMMYFUNCTION("GOOGLETRANSLATE(B1763,""en"",""fr"")"),"Un écran apparaît rapidement et il a un texte blanc qui dit ""Veuillez vous abonner à cette chaîne YouTube"".")</f>
        <v>Un écran apparaît rapidement et il a un texte blanc qui dit "Veuillez vous abonner à cette chaîne YouTube".</v>
      </c>
    </row>
    <row r="1764">
      <c r="A1764" s="4" t="s">
        <v>2212</v>
      </c>
      <c r="B1764" s="6" t="s">
        <v>2216</v>
      </c>
      <c r="C1764" s="5" t="str">
        <f>IFERROR(__xludf.DUMMYFUNCTION("GOOGLETRANSLATE(B1764,""en"",""fr"")"),"L'homme est ensuite montré à nouveau en jouant au racquetball sur le terrain jusqu'à ce que l'écran outro apparaisse et qu'il comprend beaucoup de libellé blanc qui fait défiler du bas vers le haut.")</f>
        <v>L'homme est ensuite montré à nouveau en jouant au racquetball sur le terrain jusqu'à ce que l'écran outro apparaisse et qu'il comprend beaucoup de libellé blanc qui fait défiler du bas vers le haut.</v>
      </c>
    </row>
    <row r="1765">
      <c r="A1765" s="4" t="s">
        <v>2217</v>
      </c>
      <c r="B1765" s="4" t="s">
        <v>2218</v>
      </c>
      <c r="C1765" s="5" t="str">
        <f>IFERROR(__xludf.DUMMYFUNCTION("GOOGLETRANSLATE(B1765,""en"",""fr"")"),"Quelques enfants sont vus debout sur une scène, suivis par les enfants poussant une rondelle le long de la glace.")</f>
        <v>Quelques enfants sont vus debout sur une scène, suivis par les enfants poussant une rondelle le long de la glace.</v>
      </c>
    </row>
    <row r="1766">
      <c r="A1766" s="4" t="s">
        <v>2217</v>
      </c>
      <c r="B1766" s="6" t="s">
        <v>2219</v>
      </c>
      <c r="C1766" s="5" t="str">
        <f>IFERROR(__xludf.DUMMYFUNCTION("GOOGLETRANSLATE(B1766,""en"",""fr"")"),"Plusieurs personnes sont montrées en jouant au jeu autour d'eux et en se disputant le public réagissant ainsi que des gens debout sur les côtés.")</f>
        <v>Plusieurs personnes sont montrées en jouant au jeu autour d'eux et en se disputant le public réagissant ainsi que des gens debout sur les côtés.</v>
      </c>
    </row>
    <row r="1767">
      <c r="A1767" s="4" t="s">
        <v>2220</v>
      </c>
      <c r="B1767" s="4" t="s">
        <v>2221</v>
      </c>
      <c r="C1767" s="5" t="str">
        <f>IFERROR(__xludf.DUMMYFUNCTION("GOOGLETRANSLATE(B1767,""en"",""fr"")"),"Un homme sort d'une porte sur un cheval.")</f>
        <v>Un homme sort d'une porte sur un cheval.</v>
      </c>
    </row>
    <row r="1768">
      <c r="A1768" s="4" t="s">
        <v>2220</v>
      </c>
      <c r="B1768" s="4" t="s">
        <v>2222</v>
      </c>
      <c r="C1768" s="5" t="str">
        <f>IFERROR(__xludf.DUMMYFUNCTION("GOOGLETRANSLATE(B1768,""en"",""fr"")"),"Il lassos et corde un mollet.")</f>
        <v>Il lassos et corde un mollet.</v>
      </c>
    </row>
    <row r="1769">
      <c r="A1769" s="4" t="s">
        <v>2220</v>
      </c>
      <c r="B1769" s="4" t="s">
        <v>2223</v>
      </c>
      <c r="C1769" s="5" t="str">
        <f>IFERROR(__xludf.DUMMYFUNCTION("GOOGLETRANSLATE(B1769,""en"",""fr"")"),"Il saute ensuite et attache le veau.")</f>
        <v>Il saute ensuite et attache le veau.</v>
      </c>
    </row>
    <row r="1770">
      <c r="A1770" s="4" t="s">
        <v>2224</v>
      </c>
      <c r="B1770" s="4" t="s">
        <v>2225</v>
      </c>
      <c r="C1770" s="5" t="str">
        <f>IFERROR(__xludf.DUMMYFUNCTION("GOOGLETRANSLATE(B1770,""en"",""fr"")"),"Une personne joue un violon devant une énorme foule de gens.")</f>
        <v>Une personne joue un violon devant une énorme foule de gens.</v>
      </c>
    </row>
    <row r="1771">
      <c r="A1771" s="4" t="s">
        <v>2224</v>
      </c>
      <c r="B1771" s="4" t="s">
        <v>2226</v>
      </c>
      <c r="C1771" s="5" t="str">
        <f>IFERROR(__xludf.DUMMYFUNCTION("GOOGLETRANSLATE(B1771,""en"",""fr"")"),"Les gens lui donnent une ovation debout à la fin.")</f>
        <v>Les gens lui donnent une ovation debout à la fin.</v>
      </c>
    </row>
    <row r="1772">
      <c r="A1772" s="4" t="s">
        <v>2227</v>
      </c>
      <c r="B1772" s="4" t="s">
        <v>2228</v>
      </c>
      <c r="C1772" s="5" t="str">
        <f>IFERROR(__xludf.DUMMYFUNCTION("GOOGLETRANSLATE(B1772,""en"",""fr"")"),"Un homme sur une plongée se promène jusqu'au bout.")</f>
        <v>Un homme sur une plongée se promène jusqu'au bout.</v>
      </c>
    </row>
    <row r="1773">
      <c r="A1773" s="4" t="s">
        <v>2227</v>
      </c>
      <c r="B1773" s="4" t="s">
        <v>2229</v>
      </c>
      <c r="C1773" s="5" t="str">
        <f>IFERROR(__xludf.DUMMYFUNCTION("GOOGLETRANSLATE(B1773,""en"",""fr"")"),"L'homme rebondit à la planche deux fois puis plonge dans l'eau.")</f>
        <v>L'homme rebondit à la planche deux fois puis plonge dans l'eau.</v>
      </c>
    </row>
    <row r="1774">
      <c r="A1774" s="4" t="s">
        <v>2227</v>
      </c>
      <c r="B1774" s="4" t="s">
        <v>2230</v>
      </c>
      <c r="C1774" s="5" t="str">
        <f>IFERROR(__xludf.DUMMYFUNCTION("GOOGLETRANSLATE(B1774,""en"",""fr"")"),"L'homme fait surface et nage vers le bord de la piscine.")</f>
        <v>L'homme fait surface et nage vers le bord de la piscine.</v>
      </c>
    </row>
    <row r="1775">
      <c r="A1775" s="4" t="s">
        <v>2231</v>
      </c>
      <c r="B1775" s="4" t="s">
        <v>2232</v>
      </c>
      <c r="C1775" s="5" t="str">
        <f>IFERROR(__xludf.DUMMYFUNCTION("GOOGLETRANSLATE(B1775,""en"",""fr"")"),"Une femme aux cheveux roses pose pour la caméra.")</f>
        <v>Une femme aux cheveux roses pose pour la caméra.</v>
      </c>
    </row>
    <row r="1776">
      <c r="A1776" s="4" t="s">
        <v>2231</v>
      </c>
      <c r="B1776" s="4" t="s">
        <v>2233</v>
      </c>
      <c r="C1776" s="5" t="str">
        <f>IFERROR(__xludf.DUMMYFUNCTION("GOOGLETRANSLATE(B1776,""en"",""fr"")"),"Elle brosse ses cheveux avec ses mains avant de les séparer en sections.")</f>
        <v>Elle brosse ses cheveux avec ses mains avant de les séparer en sections.</v>
      </c>
    </row>
    <row r="1777">
      <c r="A1777" s="4" t="s">
        <v>2231</v>
      </c>
      <c r="B1777" s="4" t="s">
        <v>2234</v>
      </c>
      <c r="C1777" s="5" t="str">
        <f>IFERROR(__xludf.DUMMYFUNCTION("GOOGLETRANSLATE(B1777,""en"",""fr"")"),"Elle tresse ensuite les cheveux sur le côté de sa tête.")</f>
        <v>Elle tresse ensuite les cheveux sur le côté de sa tête.</v>
      </c>
    </row>
    <row r="1778">
      <c r="A1778" s="4" t="s">
        <v>2235</v>
      </c>
      <c r="B1778" s="4" t="s">
        <v>2236</v>
      </c>
      <c r="C1778" s="5" t="str">
        <f>IFERROR(__xludf.DUMMYFUNCTION("GOOGLETRANSLATE(B1778,""en"",""fr"")"),"Un petit garçon traverse une marelle sur le sol.")</f>
        <v>Un petit garçon traverse une marelle sur le sol.</v>
      </c>
    </row>
    <row r="1779">
      <c r="A1779" s="4" t="s">
        <v>2235</v>
      </c>
      <c r="B1779" s="4" t="s">
        <v>2237</v>
      </c>
      <c r="C1779" s="5" t="str">
        <f>IFERROR(__xludf.DUMMYFUNCTION("GOOGLETRANSLATE(B1779,""en"",""fr"")"),"Il revient au début et essaie de sauter.")</f>
        <v>Il revient au début et essaie de sauter.</v>
      </c>
    </row>
    <row r="1780">
      <c r="A1780" s="4" t="s">
        <v>2235</v>
      </c>
      <c r="B1780" s="4" t="s">
        <v>2238</v>
      </c>
      <c r="C1780" s="5" t="str">
        <f>IFERROR(__xludf.DUMMYFUNCTION("GOOGLETRANSLATE(B1780,""en"",""fr"")"),"Il saute jusqu'à la fin.")</f>
        <v>Il saute jusqu'à la fin.</v>
      </c>
    </row>
    <row r="1781">
      <c r="A1781" s="4" t="s">
        <v>2239</v>
      </c>
      <c r="B1781" s="4" t="s">
        <v>2240</v>
      </c>
      <c r="C1781" s="5" t="str">
        <f>IFERROR(__xludf.DUMMYFUNCTION("GOOGLETRANSLATE(B1781,""en"",""fr"")"),"Un homme est vu debout dans un grand champ derrière un morceau de machines lourdes.")</f>
        <v>Un homme est vu debout dans un grand champ derrière un morceau de machines lourdes.</v>
      </c>
    </row>
    <row r="1782">
      <c r="A1782" s="4" t="s">
        <v>2239</v>
      </c>
      <c r="B1782" s="4" t="s">
        <v>2241</v>
      </c>
      <c r="C1782" s="5" t="str">
        <f>IFERROR(__xludf.DUMMYFUNCTION("GOOGLETRANSLATE(B1782,""en"",""fr"")"),"L'homme pousse la machine le long de l'herbe haute tandis que la caméra suit ses mouvements.")</f>
        <v>L'homme pousse la machine le long de l'herbe haute tandis que la caméra suit ses mouvements.</v>
      </c>
    </row>
    <row r="1783">
      <c r="A1783" s="4" t="s">
        <v>2239</v>
      </c>
      <c r="B1783" s="4" t="s">
        <v>2242</v>
      </c>
      <c r="C1783" s="5" t="str">
        <f>IFERROR(__xludf.DUMMYFUNCTION("GOOGLETRANSLATE(B1783,""en"",""fr"")"),"L'homme continue de pousser le long de l'herbe haute.")</f>
        <v>L'homme continue de pousser le long de l'herbe haute.</v>
      </c>
    </row>
    <row r="1784">
      <c r="A1784" s="4" t="s">
        <v>2243</v>
      </c>
      <c r="B1784" s="4" t="s">
        <v>2244</v>
      </c>
      <c r="C1784" s="5" t="str">
        <f>IFERROR(__xludf.DUMMYFUNCTION("GOOGLETRANSLATE(B1784,""en"",""fr"")"),"Le lapin blanc est dans la cage.")</f>
        <v>Le lapin blanc est dans la cage.</v>
      </c>
    </row>
    <row r="1785">
      <c r="A1785" s="4" t="s">
        <v>2243</v>
      </c>
      <c r="B1785" s="4" t="s">
        <v>2245</v>
      </c>
      <c r="C1785" s="5" t="str">
        <f>IFERROR(__xludf.DUMMYFUNCTION("GOOGLETRANSLATE(B1785,""en"",""fr"")"),"Le lapin nettoie ses mains en le léchant.")</f>
        <v>Le lapin nettoie ses mains en le léchant.</v>
      </c>
    </row>
    <row r="1786">
      <c r="A1786" s="4" t="s">
        <v>2243</v>
      </c>
      <c r="B1786" s="4" t="s">
        <v>2246</v>
      </c>
      <c r="C1786" s="5" t="str">
        <f>IFERROR(__xludf.DUMMYFUNCTION("GOOGLETRANSLATE(B1786,""en"",""fr"")"),"Le lapin a nettoyé son dos puis se rend jusqu'au premier étage de sa cage.")</f>
        <v>Le lapin a nettoyé son dos puis se rend jusqu'au premier étage de sa cage.</v>
      </c>
    </row>
    <row r="1787">
      <c r="A1787" s="4" t="s">
        <v>2247</v>
      </c>
      <c r="B1787" s="4" t="s">
        <v>2248</v>
      </c>
      <c r="C1787" s="5" t="str">
        <f>IFERROR(__xludf.DUMMYFUNCTION("GOOGLETRANSLATE(B1787,""en"",""fr"")"),"Deux équipes jouant des balles lancées pour frapper un adversaire.")</f>
        <v>Deux équipes jouant des balles lancées pour frapper un adversaire.</v>
      </c>
    </row>
    <row r="1788">
      <c r="A1788" s="4" t="s">
        <v>2247</v>
      </c>
      <c r="B1788" s="4" t="s">
        <v>2249</v>
      </c>
      <c r="C1788" s="5" t="str">
        <f>IFERROR(__xludf.DUMMYFUNCTION("GOOGLETRANSLATE(B1788,""en"",""fr"")"),"Les joueurs tiennent deux balles et se jettent pour frapper et l'adversaire.")</f>
        <v>Les joueurs tiennent deux balles et se jettent pour frapper et l'adversaire.</v>
      </c>
    </row>
    <row r="1789">
      <c r="A1789" s="4" t="s">
        <v>2247</v>
      </c>
      <c r="B1789" s="4" t="s">
        <v>2250</v>
      </c>
      <c r="C1789" s="5" t="str">
        <f>IFERROR(__xludf.DUMMYFUNCTION("GOOGLETRANSLATE(B1789,""en"",""fr"")"),"Un garçon tenant un ballon à un autre joueur et les adversaires lancent également une balle.")</f>
        <v>Un garçon tenant un ballon à un autre joueur et les adversaires lancent également une balle.</v>
      </c>
    </row>
    <row r="1790">
      <c r="A1790" s="4" t="s">
        <v>2251</v>
      </c>
      <c r="B1790" s="6" t="s">
        <v>2252</v>
      </c>
      <c r="C1790" s="5" t="str">
        <f>IFERROR(__xludf.DUMMYFUNCTION("GOOGLETRANSLATE(B1790,""en"",""fr"")"),"Une femme commence à marcher sur un trottoir de pierre pavé avec des bottes brunes, puis elle est vue en faisant tournoyer un cerceau.")</f>
        <v>Une femme commence à marcher sur un trottoir de pierre pavé avec des bottes brunes, puis elle est vue en faisant tournoyer un cerceau.</v>
      </c>
    </row>
    <row r="1791">
      <c r="A1791" s="4" t="s">
        <v>2251</v>
      </c>
      <c r="B1791" s="4" t="s">
        <v>2253</v>
      </c>
      <c r="C1791" s="5" t="str">
        <f>IFERROR(__xludf.DUMMYFUNCTION("GOOGLETRANSLATE(B1791,""en"",""fr"")"),"Avec le cerceau Hula, la fille commence à se retourner et à danser avec elle entre ses jambes.")</f>
        <v>Avec le cerceau Hula, la fille commence à se retourner et à danser avec elle entre ses jambes.</v>
      </c>
    </row>
    <row r="1792">
      <c r="A1792" s="4" t="s">
        <v>2251</v>
      </c>
      <c r="B1792" s="4" t="s">
        <v>2254</v>
      </c>
      <c r="C1792" s="5" t="str">
        <f>IFERROR(__xludf.DUMMYFUNCTION("GOOGLETRANSLATE(B1792,""en"",""fr"")"),"Elle progresse et ajoute une autre hanche de hula et les deux continuent en même temps.")</f>
        <v>Elle progresse et ajoute une autre hanche de hula et les deux continuent en même temps.</v>
      </c>
    </row>
    <row r="1793">
      <c r="A1793" s="4" t="s">
        <v>2251</v>
      </c>
      <c r="B1793" s="4" t="s">
        <v>2255</v>
      </c>
      <c r="C1793" s="5" t="str">
        <f>IFERROR(__xludf.DUMMYFUNCTION("GOOGLETRANSLATE(B1793,""en"",""fr"")"),"Dans son prochain cadre, elle en a environ cinq autour de son corps et continue de danser.")</f>
        <v>Dans son prochain cadre, elle en a environ cinq autour de son corps et continue de danser.</v>
      </c>
    </row>
    <row r="1794">
      <c r="A1794" s="4" t="s">
        <v>2251</v>
      </c>
      <c r="B1794" s="6" t="s">
        <v>2256</v>
      </c>
      <c r="C1794" s="5" t="str">
        <f>IFERROR(__xludf.DUMMYFUNCTION("GOOGLETRANSLATE(B1794,""en"",""fr"")"),"Elle continue de faire la même chose avec différentes quantités et avec d'autres parties du corps alors que les gens viennent prendre des photos d'elle affichant son talent.")</f>
        <v>Elle continue de faire la même chose avec différentes quantités et avec d'autres parties du corps alors que les gens viennent prendre des photos d'elle affichant son talent.</v>
      </c>
    </row>
    <row r="1795">
      <c r="A1795" s="4" t="s">
        <v>2251</v>
      </c>
      <c r="B1795" s="6" t="s">
        <v>2257</v>
      </c>
      <c r="C1795" s="5" t="str">
        <f>IFERROR(__xludf.DUMMYFUNCTION("GOOGLETRANSLATE(B1795,""en"",""fr"")"),"Enfin, une autre petite vidéos apparaît affichant des publicités pour la page YouTube des sœurs de corde Jump.")</f>
        <v>Enfin, une autre petite vidéos apparaît affichant des publicités pour la page YouTube des sœurs de corde Jump.</v>
      </c>
    </row>
    <row r="1796">
      <c r="A1796" s="4" t="s">
        <v>2258</v>
      </c>
      <c r="B1796" s="6" t="s">
        <v>2259</v>
      </c>
      <c r="C1796" s="5" t="str">
        <f>IFERROR(__xludf.DUMMYFUNCTION("GOOGLETRANSLATE(B1796,""en"",""fr"")"),"Deux équipes jouent au football dans un terrain de football en salle, l'équipe portant un t-shirt blanc remporte la compétition.")</f>
        <v>Deux équipes jouent au football dans un terrain de football en salle, l'équipe portant un t-shirt blanc remporte la compétition.</v>
      </c>
    </row>
    <row r="1797">
      <c r="A1797" s="4" t="s">
        <v>2258</v>
      </c>
      <c r="B1797" s="4" t="s">
        <v>2260</v>
      </c>
      <c r="C1797" s="5" t="str">
        <f>IFERROR(__xludf.DUMMYFUNCTION("GOOGLETRANSLATE(B1797,""en"",""fr"")"),"Le joueur marque et célèbre avec un coéquipier.")</f>
        <v>Le joueur marque et célèbre avec un coéquipier.</v>
      </c>
    </row>
    <row r="1798">
      <c r="A1798" s="4" t="s">
        <v>2258</v>
      </c>
      <c r="B1798" s="4" t="s">
        <v>2261</v>
      </c>
      <c r="C1798" s="5" t="str">
        <f>IFERROR(__xludf.DUMMYFUNCTION("GOOGLETRANSLATE(B1798,""en"",""fr"")"),"D'autres équipes jouent au football, un joueur avec un uniforme blanc reçoit une balle et un score.")</f>
        <v>D'autres équipes jouent au football, un joueur avec un uniforme blanc reçoit une balle et un score.</v>
      </c>
    </row>
    <row r="1799">
      <c r="A1799" s="4" t="s">
        <v>2258</v>
      </c>
      <c r="B1799" s="4" t="s">
        <v>2262</v>
      </c>
      <c r="C1799" s="5" t="str">
        <f>IFERROR(__xludf.DUMMYFUNCTION("GOOGLETRANSLATE(B1799,""en"",""fr"")"),"Deux équipes jouent au football et le joueur avec les scores uniformes jaunes.")</f>
        <v>Deux équipes jouent au football et le joueur avec les scores uniformes jaunes.</v>
      </c>
    </row>
    <row r="1800">
      <c r="A1800" s="4" t="s">
        <v>2258</v>
      </c>
      <c r="B1800" s="4" t="s">
        <v>2263</v>
      </c>
      <c r="C1800" s="5" t="str">
        <f>IFERROR(__xludf.DUMMYFUNCTION("GOOGLETRANSLATE(B1800,""en"",""fr"")"),"Deux équipes de filles rivalisent, une fille avec des scores d'uniforme rouge et l'équipe gagne.")</f>
        <v>Deux équipes de filles rivalisent, une fille avec des scores d'uniforme rouge et l'équipe gagne.</v>
      </c>
    </row>
    <row r="1801">
      <c r="A1801" s="4" t="s">
        <v>2258</v>
      </c>
      <c r="B1801" s="4" t="s">
        <v>2264</v>
      </c>
      <c r="C1801" s="5" t="str">
        <f>IFERROR(__xludf.DUMMYFUNCTION("GOOGLETRANSLATE(B1801,""en"",""fr"")"),"Ensuite, un joueur avec un uniforme blanc marque avec un mouvement spectaculaire.")</f>
        <v>Ensuite, un joueur avec un uniforme blanc marque avec un mouvement spectaculaire.</v>
      </c>
    </row>
    <row r="1802">
      <c r="A1802" s="4" t="s">
        <v>2265</v>
      </c>
      <c r="B1802" s="6" t="s">
        <v>2266</v>
      </c>
      <c r="C1802" s="5" t="str">
        <f>IFERROR(__xludf.DUMMYFUNCTION("GOOGLETRANSLATE(B1802,""en"",""fr"")"),"Une intro à effet spécial apparaît et un mot bleu apparaît au milieu de l'écran et ""Howcast"" de Say.")</f>
        <v>Une intro à effet spécial apparaît et un mot bleu apparaît au milieu de l'écran et "Howcast" de Say.</v>
      </c>
    </row>
    <row r="1803">
      <c r="A1803" s="4" t="s">
        <v>2265</v>
      </c>
      <c r="B1803" s="6" t="s">
        <v>2267</v>
      </c>
      <c r="C1803" s="5" t="str">
        <f>IFERROR(__xludf.DUMMYFUNCTION("GOOGLETRANSLATE(B1803,""en"",""fr"")"),"Une femme est allongée sur un lit dans une entreprise avec un homme assis à côté d'elle et une liste de choses apparaît à l'écran sous les mots ""Vous aurez besoin"" d'apparaître à l'écran.")</f>
        <v>Une femme est allongée sur un lit dans une entreprise avec un homme assis à côté d'elle et une liste de choses apparaît à l'écran sous les mots "Vous aurez besoin" d'apparaître à l'écran.</v>
      </c>
    </row>
    <row r="1804">
      <c r="A1804" s="4" t="s">
        <v>2265</v>
      </c>
      <c r="B1804" s="6" t="s">
        <v>2268</v>
      </c>
      <c r="C1804" s="5" t="str">
        <f>IFERROR(__xludf.DUMMYFUNCTION("GOOGLETRANSLATE(B1804,""en"",""fr"")"),"La femme est montrée en faisant diverses choses alors que les étapes apparaissent sous chaque action qu'elle fait, et même des conseils apparaissent sur l'écran qui mènent à la femme allongée sur le lit alors qu'un homme la tatoue.")</f>
        <v>La femme est montrée en faisant diverses choses alors que les étapes apparaissent sous chaque action qu'elle fait, et même des conseils apparaissent sur l'écran qui mènent à la femme allongée sur le lit alors qu'un homme la tatoue.</v>
      </c>
    </row>
    <row r="1805">
      <c r="A1805" s="4" t="s">
        <v>2265</v>
      </c>
      <c r="B1805" s="6" t="s">
        <v>2269</v>
      </c>
      <c r="C1805" s="5" t="str">
        <f>IFERROR(__xludf.DUMMYFUNCTION("GOOGLETRANSLATE(B1805,""en"",""fr"")"),"Quand il a fini de la tatouer, il tient une bouteille blanche avec une casquette verte et lui parle tout en le montrant et des mots blancs apparaissent à l'écran en donnant un avertissement que ""appliquer trop d'anesthésie topique, puis couvrir le tatoua"&amp;"ge peut provoquer des crises"".")</f>
        <v>Quand il a fini de la tatouer, il tient une bouteille blanche avec une casquette verte et lui parle tout en le montrant et des mots blancs apparaissent à l'écran en donnant un avertissement que "appliquer trop d'anesthésie topique, puis couvrir le tatouage peut provoquer des crises".</v>
      </c>
    </row>
    <row r="1806">
      <c r="A1806" s="4" t="s">
        <v>2265</v>
      </c>
      <c r="B1806" s="6" t="s">
        <v>2270</v>
      </c>
      <c r="C1806" s="5" t="str">
        <f>IFERROR(__xludf.DUMMYFUNCTION("GOOGLETRANSLATE(B1806,""en"",""fr"")"),"La femme se lève pour montrer son tatouage et la femme se voit brièvement bronzé avec le tatouage recouvert.")</f>
        <v>La femme se lève pour montrer son tatouage et la femme se voit brièvement bronzé avec le tatouage recouvert.</v>
      </c>
    </row>
    <row r="1807">
      <c r="A1807" s="4" t="s">
        <v>2265</v>
      </c>
      <c r="B1807" s="6" t="s">
        <v>2271</v>
      </c>
      <c r="C1807" s="5" t="str">
        <f>IFERROR(__xludf.DUMMYFUNCTION("GOOGLETRANSLATE(B1807,""en"",""fr"")"),"Un gros plan de son tatouage est montré et des mots apparaissent sur les ""démocrates de Say sont plus susceptibles d'avoir des tatouages"", puis un écran blanc apparaît avec les mots bleus au milieu qui disent ""Howcast"".")</f>
        <v>Un gros plan de son tatouage est montré et des mots apparaissent sur les "démocrates de Say sont plus susceptibles d'avoir des tatouages", puis un écran blanc apparaît avec les mots bleus au milieu qui disent "Howcast".</v>
      </c>
    </row>
    <row r="1808">
      <c r="A1808" s="4" t="s">
        <v>2272</v>
      </c>
      <c r="B1808" s="4" t="s">
        <v>2273</v>
      </c>
      <c r="C1808" s="5" t="str">
        <f>IFERROR(__xludf.DUMMYFUNCTION("GOOGLETRANSLATE(B1808,""en"",""fr"")"),"Un homme est assis tandis que quelqu'un émousse ses chaussures.")</f>
        <v>Un homme est assis tandis que quelqu'un émousse ses chaussures.</v>
      </c>
    </row>
    <row r="1809">
      <c r="A1809" s="4" t="s">
        <v>2272</v>
      </c>
      <c r="B1809" s="4" t="s">
        <v>2274</v>
      </c>
      <c r="C1809" s="5" t="str">
        <f>IFERROR(__xludf.DUMMYFUNCTION("GOOGLETRANSLATE(B1809,""en"",""fr"")"),"La personne utilise une brosse pour nettoyer ses chaussures thorougly.")</f>
        <v>La personne utilise une brosse pour nettoyer ses chaussures thorougly.</v>
      </c>
    </row>
    <row r="1810">
      <c r="A1810" s="4" t="s">
        <v>2272</v>
      </c>
      <c r="B1810" s="4" t="s">
        <v>2275</v>
      </c>
      <c r="C1810" s="5" t="str">
        <f>IFERROR(__xludf.DUMMYFUNCTION("GOOGLETRANSLATE(B1810,""en"",""fr"")"),"Ensuite, ils utilisent le vernis pour les briller.")</f>
        <v>Ensuite, ils utilisent le vernis pour les briller.</v>
      </c>
    </row>
    <row r="1811">
      <c r="A1811" s="4" t="s">
        <v>2276</v>
      </c>
      <c r="B1811" s="4" t="s">
        <v>2277</v>
      </c>
      <c r="C1811" s="5" t="str">
        <f>IFERROR(__xludf.DUMMYFUNCTION("GOOGLETRANSLATE(B1811,""en"",""fr"")"),"Une jeune fille est vue marcher jusqu'à la fin d'un plongeon avec plusieurs autres personnes autour d'elle.")</f>
        <v>Une jeune fille est vue marcher jusqu'à la fin d'un plongeon avec plusieurs autres personnes autour d'elle.</v>
      </c>
    </row>
    <row r="1812">
      <c r="A1812" s="4" t="s">
        <v>2276</v>
      </c>
      <c r="B1812" s="4" t="s">
        <v>2278</v>
      </c>
      <c r="C1812" s="5" t="str">
        <f>IFERROR(__xludf.DUMMYFUNCTION("GOOGLETRANSLATE(B1812,""en"",""fr"")"),"La fille met ses bras puis plonge dans la piscine.")</f>
        <v>La fille met ses bras puis plonge dans la piscine.</v>
      </c>
    </row>
    <row r="1813">
      <c r="A1813" s="4" t="s">
        <v>2276</v>
      </c>
      <c r="B1813" s="4" t="s">
        <v>2279</v>
      </c>
      <c r="C1813" s="5" t="str">
        <f>IFERROR(__xludf.DUMMYFUNCTION("GOOGLETRANSLATE(B1813,""en"",""fr"")"),"Elle a vu à nouveau remonter à la surface dans la piscine et nager jusqu'au bord.")</f>
        <v>Elle a vu à nouveau remonter à la surface dans la piscine et nager jusqu'au bord.</v>
      </c>
    </row>
    <row r="1814">
      <c r="A1814" s="4" t="s">
        <v>2280</v>
      </c>
      <c r="B1814" s="6" t="s">
        <v>2281</v>
      </c>
      <c r="C1814" s="5" t="str">
        <f>IFERROR(__xludf.DUMMYFUNCTION("GOOGLETRANSLATE(B1814,""en"",""fr"")"),"Une gymnaste féminine tourne et saute sur une paire de feux de route alors que son entraîneur regarde, préparé à l'attraper.")</f>
        <v>Une gymnaste féminine tourne et saute sur une paire de feux de route alors que son entraîneur regarde, préparé à l'attraper.</v>
      </c>
    </row>
    <row r="1815">
      <c r="A1815" s="4" t="s">
        <v>2280</v>
      </c>
      <c r="B1815" s="4" t="s">
        <v>2282</v>
      </c>
      <c r="C1815" s="5" t="str">
        <f>IFERROR(__xludf.DUMMYFUNCTION("GOOGLETRANSLATE(B1815,""en"",""fr"")"),"Il monte sur le faisceau alors qu'elle démonte, les bras en l'air.")</f>
        <v>Il monte sur le faisceau alors qu'elle démonte, les bras en l'air.</v>
      </c>
    </row>
    <row r="1816">
      <c r="A1816" s="4" t="s">
        <v>2283</v>
      </c>
      <c r="B1816" s="4" t="s">
        <v>2284</v>
      </c>
      <c r="C1816" s="5" t="str">
        <f>IFERROR(__xludf.DUMMYFUNCTION("GOOGLETRANSLATE(B1816,""en"",""fr"")"),"Deux hommes font des manœuvres sur un canoë pivotant le canoë aidant avec les pagayeurs.")</f>
        <v>Deux hommes font des manœuvres sur un canoë pivotant le canoë aidant avec les pagayeurs.</v>
      </c>
    </row>
    <row r="1817">
      <c r="A1817" s="4" t="s">
        <v>2283</v>
      </c>
      <c r="B1817" s="4" t="s">
        <v>2285</v>
      </c>
      <c r="C1817" s="5" t="str">
        <f>IFERROR(__xludf.DUMMYFUNCTION("GOOGLETRANSLATE(B1817,""en"",""fr"")"),"Ensuite, les hommes pivotent le canoë loin des pagayeurs d'arc tout en pagayant je jettent les rames.")</f>
        <v>Ensuite, les hommes pivotent le canoë loin des pagayeurs d'arc tout en pagayant je jettent les rames.</v>
      </c>
    </row>
    <row r="1818">
      <c r="A1818" s="4" t="s">
        <v>2283</v>
      </c>
      <c r="B1818" s="4" t="s">
        <v>2286</v>
      </c>
      <c r="C1818" s="5" t="str">
        <f>IFERROR(__xludf.DUMMYFUNCTION("GOOGLETRANSLATE(B1818,""en"",""fr"")"),"Après, les hommes glissent le canoë vers l'avant en utilisant les rames pour avancer.")</f>
        <v>Après, les hommes glissent le canoë vers l'avant en utilisant les rames pour avancer.</v>
      </c>
    </row>
    <row r="1819">
      <c r="A1819" s="4" t="s">
        <v>2283</v>
      </c>
      <c r="B1819" s="4" t="s">
        <v>2287</v>
      </c>
      <c r="C1819" s="5" t="str">
        <f>IFERROR(__xludf.DUMMYFUNCTION("GOOGLETRANSLATE(B1819,""en"",""fr"")"),"Ensuite, les hommes naviguent sur la rivière jusqu'à arriver à la rive de la rivière.")</f>
        <v>Ensuite, les hommes naviguent sur la rivière jusqu'à arriver à la rive de la rivière.</v>
      </c>
    </row>
    <row r="1820">
      <c r="A1820" s="4" t="s">
        <v>2288</v>
      </c>
      <c r="B1820" s="4" t="s">
        <v>2289</v>
      </c>
      <c r="C1820" s="5" t="str">
        <f>IFERROR(__xludf.DUMMYFUNCTION("GOOGLETRANSLATE(B1820,""en"",""fr"")"),"Nous voyons un homme à BMX Bike Arena parler.")</f>
        <v>Nous voyons un homme à BMX Bike Arena parler.</v>
      </c>
    </row>
    <row r="1821">
      <c r="A1821" s="4" t="s">
        <v>2288</v>
      </c>
      <c r="B1821" s="4" t="s">
        <v>2290</v>
      </c>
      <c r="C1821" s="5" t="str">
        <f>IFERROR(__xludf.DUMMYFUNCTION("GOOGLETRANSLATE(B1821,""en"",""fr"")"),"Nous voyons que les gens soulèvent des vélos sur une rampe.")</f>
        <v>Nous voyons que les gens soulèvent des vélos sur une rampe.</v>
      </c>
    </row>
    <row r="1822">
      <c r="A1822" s="4" t="s">
        <v>2288</v>
      </c>
      <c r="B1822" s="4" t="s">
        <v>2291</v>
      </c>
      <c r="C1822" s="5" t="str">
        <f>IFERROR(__xludf.DUMMYFUNCTION("GOOGLETRANSLATE(B1822,""en"",""fr"")"),"Nous voyons des gens commencer lorsque la porte s'ouvre.")</f>
        <v>Nous voyons des gens commencer lorsque la porte s'ouvre.</v>
      </c>
    </row>
    <row r="1823">
      <c r="A1823" s="4" t="s">
        <v>2288</v>
      </c>
      <c r="B1823" s="4" t="s">
        <v>2292</v>
      </c>
      <c r="C1823" s="5" t="str">
        <f>IFERROR(__xludf.DUMMYFUNCTION("GOOGLETRANSLATE(B1823,""en"",""fr"")"),"Nous voyons ensuite des gens faire du vélo.")</f>
        <v>Nous voyons ensuite des gens faire du vélo.</v>
      </c>
    </row>
    <row r="1824">
      <c r="A1824" s="4" t="s">
        <v>2288</v>
      </c>
      <c r="B1824" s="4" t="s">
        <v>2293</v>
      </c>
      <c r="C1824" s="5" t="str">
        <f>IFERROR(__xludf.DUMMYFUNCTION("GOOGLETRANSLATE(B1824,""en"",""fr"")"),"Nous voyons un homme essuyer la saleté de ses cheveux et éteindre la caméra.")</f>
        <v>Nous voyons un homme essuyer la saleté de ses cheveux et éteindre la caméra.</v>
      </c>
    </row>
    <row r="1825">
      <c r="A1825" s="4" t="s">
        <v>2294</v>
      </c>
      <c r="B1825" s="4" t="s">
        <v>2295</v>
      </c>
      <c r="C1825" s="5" t="str">
        <f>IFERROR(__xludf.DUMMYFUNCTION("GOOGLETRANSLATE(B1825,""en"",""fr"")"),"Un homme est vu tenir une machine à peinture et le vaporiser autour de tous les meubles.")</f>
        <v>Un homme est vu tenir une machine à peinture et le vaporiser autour de tous les meubles.</v>
      </c>
    </row>
    <row r="1826">
      <c r="A1826" s="4" t="s">
        <v>2294</v>
      </c>
      <c r="B1826" s="4" t="s">
        <v>2296</v>
      </c>
      <c r="C1826" s="5" t="str">
        <f>IFERROR(__xludf.DUMMYFUNCTION("GOOGLETRANSLATE(B1826,""en"",""fr"")"),"Il continue de peindre dans la région pendant que la caméra se déroule autour de ses mouvements.")</f>
        <v>Il continue de peindre dans la région pendant que la caméra se déroule autour de ses mouvements.</v>
      </c>
    </row>
    <row r="1827">
      <c r="A1827" s="4" t="s">
        <v>2294</v>
      </c>
      <c r="B1827" s="4" t="s">
        <v>2297</v>
      </c>
      <c r="C1827" s="5" t="str">
        <f>IFERROR(__xludf.DUMMYFUNCTION("GOOGLETRANSLATE(B1827,""en"",""fr"")"),"Il termine la peinture et la caméra se déroule autour des meubles.")</f>
        <v>Il termine la peinture et la caméra se déroule autour des meubles.</v>
      </c>
    </row>
    <row r="1828">
      <c r="A1828" s="4" t="s">
        <v>2298</v>
      </c>
      <c r="B1828" s="4" t="s">
        <v>2299</v>
      </c>
      <c r="C1828" s="5" t="str">
        <f>IFERROR(__xludf.DUMMYFUNCTION("GOOGLETRANSLATE(B1828,""en"",""fr"")"),"Une femme est vue parler à la caméra alors qu'elle était assise sur une chaise.")</f>
        <v>Une femme est vue parler à la caméra alors qu'elle était assise sur une chaise.</v>
      </c>
    </row>
    <row r="1829">
      <c r="A1829" s="4" t="s">
        <v>2298</v>
      </c>
      <c r="B1829" s="4" t="s">
        <v>2300</v>
      </c>
      <c r="C1829" s="5" t="str">
        <f>IFERROR(__xludf.DUMMYFUNCTION("GOOGLETRANSLATE(B1829,""en"",""fr"")"),"Elle accueille ensuite une lentille de contact et en met une dans ses yeux.")</f>
        <v>Elle accueille ensuite une lentille de contact et en met une dans ses yeux.</v>
      </c>
    </row>
    <row r="1830">
      <c r="A1830" s="4" t="s">
        <v>2298</v>
      </c>
      <c r="B1830" s="4" t="s">
        <v>2301</v>
      </c>
      <c r="C1830" s="5" t="str">
        <f>IFERROR(__xludf.DUMMYFUNCTION("GOOGLETRANSLATE(B1830,""en"",""fr"")"),"Elle met un autre contact dans ses yeux et sourit à la caméra.")</f>
        <v>Elle met un autre contact dans ses yeux et sourit à la caméra.</v>
      </c>
    </row>
    <row r="1831">
      <c r="A1831" s="4" t="s">
        <v>2302</v>
      </c>
      <c r="B1831" s="6" t="s">
        <v>2303</v>
      </c>
      <c r="C1831" s="5" t="str">
        <f>IFERROR(__xludf.DUMMYFUNCTION("GOOGLETRANSLATE(B1831,""en"",""fr"")"),"On voit un grand groupe de personnes jouer autour d'un gymnase se jetant des balles et rebondissent.")</f>
        <v>On voit un grand groupe de personnes jouer autour d'un gymnase se jetant des balles et rebondissent.</v>
      </c>
    </row>
    <row r="1832">
      <c r="A1832" s="4" t="s">
        <v>2302</v>
      </c>
      <c r="B1832" s="4" t="s">
        <v>2304</v>
      </c>
      <c r="C1832" s="5" t="str">
        <f>IFERROR(__xludf.DUMMYFUNCTION("GOOGLETRANSLATE(B1832,""en"",""fr"")"),"Les gens continuent de lancer des balles quand on frappe la caméra et montre un visage de personnes.")</f>
        <v>Les gens continuent de lancer des balles quand on frappe la caméra et montre un visage de personnes.</v>
      </c>
    </row>
    <row r="1833">
      <c r="A1833" s="4" t="s">
        <v>2302</v>
      </c>
      <c r="B1833" s="4" t="s">
        <v>2305</v>
      </c>
      <c r="C1833" s="5" t="str">
        <f>IFERROR(__xludf.DUMMYFUNCTION("GOOGLETRANSLATE(B1833,""en"",""fr"")"),"Le jeu continue avec les gens qui lancent des balles et les gens qui regardent sur les côtés.")</f>
        <v>Le jeu continue avec les gens qui lancent des balles et les gens qui regardent sur les côtés.</v>
      </c>
    </row>
    <row r="1834">
      <c r="A1834" s="4" t="s">
        <v>2306</v>
      </c>
      <c r="B1834" s="4" t="s">
        <v>2307</v>
      </c>
      <c r="C1834" s="5" t="str">
        <f>IFERROR(__xludf.DUMMYFUNCTION("GOOGLETRANSLATE(B1834,""en"",""fr"")"),"Un groupe de personnes est sous une couverture.")</f>
        <v>Un groupe de personnes est sous une couverture.</v>
      </c>
    </row>
    <row r="1835">
      <c r="A1835" s="4" t="s">
        <v>2306</v>
      </c>
      <c r="B1835" s="4" t="s">
        <v>2308</v>
      </c>
      <c r="C1835" s="5" t="str">
        <f>IFERROR(__xludf.DUMMYFUNCTION("GOOGLETRANSLATE(B1835,""en"",""fr"")"),"Ils roulent dans une série de voitures tamponneuses.")</f>
        <v>Ils roulent dans une série de voitures tamponneuses.</v>
      </c>
    </row>
    <row r="1836">
      <c r="A1836" s="4" t="s">
        <v>2306</v>
      </c>
      <c r="B1836" s="4" t="s">
        <v>2309</v>
      </c>
      <c r="C1836" s="5" t="str">
        <f>IFERROR(__xludf.DUMMYFUNCTION("GOOGLETRANSLATE(B1836,""en"",""fr"")"),"Les voitures se heurtent pendant qu'ils conduisent.")</f>
        <v>Les voitures se heurtent pendant qu'ils conduisent.</v>
      </c>
    </row>
    <row r="1837">
      <c r="A1837" s="4" t="s">
        <v>2310</v>
      </c>
      <c r="B1837" s="4" t="s">
        <v>2311</v>
      </c>
      <c r="C1837" s="5" t="str">
        <f>IFERROR(__xludf.DUMMYFUNCTION("GOOGLETRANSLATE(B1837,""en"",""fr"")"),"Un sac d'absorbant maître de déversement est illustré à l'écran.")</f>
        <v>Un sac d'absorbant maître de déversement est illustré à l'écran.</v>
      </c>
    </row>
    <row r="1838">
      <c r="A1838" s="4" t="s">
        <v>2310</v>
      </c>
      <c r="B1838" s="4" t="s">
        <v>2312</v>
      </c>
      <c r="C1838" s="5" t="str">
        <f>IFERROR(__xludf.DUMMYFUNCTION("GOOGLETRANSLATE(B1838,""en"",""fr"")"),"Un homme se tient dans un entrepôt pour parler à la caméra et verser du liquide au sol.")</f>
        <v>Un homme se tient dans un entrepôt pour parler à la caméra et verser du liquide au sol.</v>
      </c>
    </row>
    <row r="1839">
      <c r="A1839" s="4" t="s">
        <v>2310</v>
      </c>
      <c r="B1839" s="4" t="s">
        <v>2313</v>
      </c>
      <c r="C1839" s="5" t="str">
        <f>IFERROR(__xludf.DUMMYFUNCTION("GOOGLETRANSLATE(B1839,""en"",""fr"")"),"Il prend un bol de matériau et l'a saupoudré sur les déversements.")</f>
        <v>Il prend un bol de matériau et l'a saupoudré sur les déversements.</v>
      </c>
    </row>
    <row r="1840">
      <c r="A1840" s="4" t="s">
        <v>2310</v>
      </c>
      <c r="B1840" s="4" t="s">
        <v>2314</v>
      </c>
      <c r="C1840" s="5" t="str">
        <f>IFERROR(__xludf.DUMMYFUNCTION("GOOGLETRANSLATE(B1840,""en"",""fr"")"),"Il balaie ensuite le matériau avec un balai et une casserole.")</f>
        <v>Il balaie ensuite le matériau avec un balai et une casserole.</v>
      </c>
    </row>
    <row r="1841">
      <c r="A1841" s="4" t="s">
        <v>2315</v>
      </c>
      <c r="B1841" s="4" t="s">
        <v>2316</v>
      </c>
      <c r="C1841" s="5" t="str">
        <f>IFERROR(__xludf.DUMMYFUNCTION("GOOGLETRANSLATE(B1841,""en"",""fr"")"),"Une femme est une vidéo enregistrée certains hommes dans un salon qui obtiennent des vestes.")</f>
        <v>Une femme est une vidéo enregistrée certains hommes dans un salon qui obtiennent des vestes.</v>
      </c>
    </row>
    <row r="1842">
      <c r="A1842" s="4" t="s">
        <v>2315</v>
      </c>
      <c r="B1842" s="6" t="s">
        <v>2317</v>
      </c>
      <c r="C1842" s="5" t="str">
        <f>IFERROR(__xludf.DUMMYFUNCTION("GOOGLETRANSLATE(B1842,""en"",""fr"")"),"L'un des hommes met en place la personne de la caméra à le suivre alors qu'il attrape un balai et marche dans une salle et sort d'une porte vers un parking couvert de neige.")</f>
        <v>L'un des hommes met en place la personne de la caméra à le suivre alors qu'il attrape un balai et marche dans une salle et sort d'une porte vers un parking couvert de neige.</v>
      </c>
    </row>
    <row r="1843">
      <c r="A1843" s="4" t="s">
        <v>2315</v>
      </c>
      <c r="B1843" s="4" t="s">
        <v>2318</v>
      </c>
      <c r="C1843" s="5" t="str">
        <f>IFERROR(__xludf.DUMMYFUNCTION("GOOGLETRANSLATE(B1843,""en"",""fr"")"),"Ils sortent dans le parking alors qu'un autre homme sort.")</f>
        <v>Ils sortent dans le parking alors qu'un autre homme sort.</v>
      </c>
    </row>
    <row r="1844">
      <c r="A1844" s="4" t="s">
        <v>2315</v>
      </c>
      <c r="B1844" s="6" t="s">
        <v>2319</v>
      </c>
      <c r="C1844" s="5" t="str">
        <f>IFERROR(__xludf.DUMMYFUNCTION("GOOGLETRANSLATE(B1844,""en"",""fr"")"),"L'homme avec le balai brosse neigeuse d'un SUV car un autre homme fait de même dans une voiture à côté de lui.")</f>
        <v>L'homme avec le balai brosse neigeuse d'un SUV car un autre homme fait de même dans une voiture à côté de lui.</v>
      </c>
    </row>
    <row r="1845">
      <c r="A1845" s="4" t="s">
        <v>2320</v>
      </c>
      <c r="B1845" s="4" t="s">
        <v>2321</v>
      </c>
      <c r="C1845" s="5" t="str">
        <f>IFERROR(__xludf.DUMMYFUNCTION("GOOGLETRANSLATE(B1845,""en"",""fr"")"),"Une fille tient un pinceau et se dirige vers le cheval.")</f>
        <v>Une fille tient un pinceau et se dirige vers le cheval.</v>
      </c>
    </row>
    <row r="1846">
      <c r="A1846" s="4" t="s">
        <v>2320</v>
      </c>
      <c r="B1846" s="4" t="s">
        <v>2322</v>
      </c>
      <c r="C1846" s="5" t="str">
        <f>IFERROR(__xludf.DUMMYFUNCTION("GOOGLETRANSLATE(B1846,""en"",""fr"")"),"La fille brosse le manteau du cheval dans une écurie.")</f>
        <v>La fille brosse le manteau du cheval dans une écurie.</v>
      </c>
    </row>
    <row r="1847">
      <c r="A1847" s="4" t="s">
        <v>2320</v>
      </c>
      <c r="B1847" s="4" t="s">
        <v>2323</v>
      </c>
      <c r="C1847" s="5" t="str">
        <f>IFERROR(__xludf.DUMMYFUNCTION("GOOGLETRANSLATE(B1847,""en"",""fr"")"),"La fille retire les accolades de la cheville du cheval.")</f>
        <v>La fille retire les accolades de la cheville du cheval.</v>
      </c>
    </row>
    <row r="1848">
      <c r="A1848" s="4" t="s">
        <v>2320</v>
      </c>
      <c r="B1848" s="4" t="s">
        <v>2324</v>
      </c>
      <c r="C1848" s="5" t="str">
        <f>IFERROR(__xludf.DUMMYFUNCTION("GOOGLETRANSLATE(B1848,""en"",""fr"")"),"La fille enroule les accolades ensemble et les range.")</f>
        <v>La fille enroule les accolades ensemble et les range.</v>
      </c>
    </row>
    <row r="1849">
      <c r="A1849" s="4" t="s">
        <v>2320</v>
      </c>
      <c r="B1849" s="4" t="s">
        <v>2325</v>
      </c>
      <c r="C1849" s="5" t="str">
        <f>IFERROR(__xludf.DUMMYFUNCTION("GOOGLETRANSLATE(B1849,""en"",""fr"")"),"Un cheval sort la tête d'une écurie et un homme regarde.")</f>
        <v>Un cheval sort la tête d'une écurie et un homme regarde.</v>
      </c>
    </row>
    <row r="1850">
      <c r="A1850" s="4" t="s">
        <v>2326</v>
      </c>
      <c r="B1850" s="4" t="s">
        <v>2327</v>
      </c>
      <c r="C1850" s="5" t="str">
        <f>IFERROR(__xludf.DUMMYFUNCTION("GOOGLETRANSLATE(B1850,""en"",""fr"")"),"Plusieurs types de lancers de poids et de terminologie sont démontrés.")</f>
        <v>Plusieurs types de lancers de poids et de terminologie sont démontrés.</v>
      </c>
    </row>
    <row r="1851">
      <c r="A1851" s="4" t="s">
        <v>2326</v>
      </c>
      <c r="B1851" s="4" t="s">
        <v>2328</v>
      </c>
      <c r="C1851" s="5" t="str">
        <f>IFERROR(__xludf.DUMMYFUNCTION("GOOGLETRANSLATE(B1851,""en"",""fr"")"),"Les différents lancers montrent différents types de blocs.")</f>
        <v>Les différents lancers montrent différents types de blocs.</v>
      </c>
    </row>
    <row r="1852">
      <c r="A1852" s="4" t="s">
        <v>2326</v>
      </c>
      <c r="B1852" s="4" t="s">
        <v>2329</v>
      </c>
      <c r="C1852" s="5" t="str">
        <f>IFERROR(__xludf.DUMMYFUNCTION("GOOGLETRANSLATE(B1852,""en"",""fr"")"),"Ceux-ci sont utilisés dans divers types d'élingue.")</f>
        <v>Ceux-ci sont utilisés dans divers types d'élingue.</v>
      </c>
    </row>
    <row r="1853">
      <c r="A1853" s="4" t="s">
        <v>2326</v>
      </c>
      <c r="B1853" s="4" t="s">
        <v>2330</v>
      </c>
      <c r="C1853" s="5" t="str">
        <f>IFERROR(__xludf.DUMMYFUNCTION("GOOGLETRANSLATE(B1853,""en"",""fr"")"),"Certains noms de certains lancers sont le coup de glissage, le coup de spin et le stand.")</f>
        <v>Certains noms de certains lancers sont le coup de glissage, le coup de spin et le stand.</v>
      </c>
    </row>
    <row r="1854">
      <c r="A1854" s="4" t="s">
        <v>2331</v>
      </c>
      <c r="B1854" s="6" t="s">
        <v>2332</v>
      </c>
      <c r="C1854" s="5" t="str">
        <f>IFERROR(__xludf.DUMMYFUNCTION("GOOGLETRANSLATE(B1854,""en"",""fr"")"),"Un petit chien est vu portant une tenue et marchant sur deux jambes pendant que les gens se tiennent autour de lui et regardent.")</f>
        <v>Un petit chien est vu portant une tenue et marchant sur deux jambes pendant que les gens se tiennent autour de lui et regardent.</v>
      </c>
    </row>
    <row r="1855">
      <c r="A1855" s="4" t="s">
        <v>2331</v>
      </c>
      <c r="B1855" s="4" t="s">
        <v>2333</v>
      </c>
      <c r="C1855" s="5" t="str">
        <f>IFERROR(__xludf.DUMMYFUNCTION("GOOGLETRANSLATE(B1855,""en"",""fr"")"),"Le chien continue de se promener et de regarder autour de lui pendant que les gens regardent.")</f>
        <v>Le chien continue de se promener et de regarder autour de lui pendant que les gens regardent.</v>
      </c>
    </row>
    <row r="1856">
      <c r="A1856" s="4" t="s">
        <v>2334</v>
      </c>
      <c r="B1856" s="4" t="s">
        <v>2335</v>
      </c>
      <c r="C1856" s="5" t="str">
        <f>IFERROR(__xludf.DUMMYFUNCTION("GOOGLETRANSLATE(B1856,""en"",""fr"")"),"Une montagne pleine de neige apparaît et un homme commence à skier sur les pistes.")</f>
        <v>Une montagne pleine de neige apparaît et un homme commence à skier sur les pistes.</v>
      </c>
    </row>
    <row r="1857">
      <c r="A1857" s="4" t="s">
        <v>2334</v>
      </c>
      <c r="B1857" s="4" t="s">
        <v>2336</v>
      </c>
      <c r="C1857" s="5" t="str">
        <f>IFERROR(__xludf.DUMMYFUNCTION("GOOGLETRANSLATE(B1857,""en"",""fr"")"),"Alors qu'il skis, plus d'hommes apparaissent avant de réapparaître seul.")</f>
        <v>Alors qu'il skis, plus d'hommes apparaissent avant de réapparaître seul.</v>
      </c>
    </row>
    <row r="1858">
      <c r="A1858" s="4" t="s">
        <v>2334</v>
      </c>
      <c r="B1858" s="4" t="s">
        <v>2337</v>
      </c>
      <c r="C1858" s="5" t="str">
        <f>IFERROR(__xludf.DUMMYFUNCTION("GOOGLETRANSLATE(B1858,""en"",""fr"")"),"Une fois seul, l'homme skie rapidement sur les pistes et tourne et s'agenouille pendant qu'il skie.")</f>
        <v>Une fois seul, l'homme skie rapidement sur les pistes et tourne et s'agenouille pendant qu'il skie.</v>
      </c>
    </row>
    <row r="1859">
      <c r="A1859" s="4" t="s">
        <v>2334</v>
      </c>
      <c r="B1859" s="4" t="s">
        <v>2338</v>
      </c>
      <c r="C1859" s="5" t="str">
        <f>IFERROR(__xludf.DUMMYFUNCTION("GOOGLETRANSLATE(B1859,""en"",""fr"")"),"Finalement, il va vite et finit par se retourner dans un tas de neige.")</f>
        <v>Finalement, il va vite et finit par se retourner dans un tas de neige.</v>
      </c>
    </row>
    <row r="1860">
      <c r="A1860" s="4" t="s">
        <v>2339</v>
      </c>
      <c r="B1860" s="6" t="s">
        <v>2340</v>
      </c>
      <c r="C1860" s="5" t="str">
        <f>IFERROR(__xludf.DUMMYFUNCTION("GOOGLETRANSLATE(B1860,""en"",""fr"")"),"Un homme et une femme sont assis dans deux beignets flottants séparés, l'homme en bleu, la femme dans le vert, et les deux sourirent alors l'homme lève son bras gauche pour saluer.")</f>
        <v>Un homme et une femme sont assis dans deux beignets flottants séparés, l'homme en bleu, la femme dans le vert, et les deux sourirent alors l'homme lève son bras gauche pour saluer.</v>
      </c>
    </row>
    <row r="1861">
      <c r="A1861" s="4" t="s">
        <v>2339</v>
      </c>
      <c r="B1861" s="6" t="s">
        <v>2341</v>
      </c>
      <c r="C1861" s="5" t="str">
        <f>IFERROR(__xludf.DUMMYFUNCTION("GOOGLETRANSLATE(B1861,""en"",""fr"")"),"Un groupe de personnes est également sur des beignets flottants de différentes couleurs, jouant, tombant dans l'eau et passe un bon moment.")</f>
        <v>Un groupe de personnes est également sur des beignets flottants de différentes couleurs, jouant, tombant dans l'eau et passe un bon moment.</v>
      </c>
    </row>
    <row r="1862">
      <c r="A1862" s="4" t="s">
        <v>2339</v>
      </c>
      <c r="B1862" s="6" t="s">
        <v>2342</v>
      </c>
      <c r="C1862" s="5" t="str">
        <f>IFERROR(__xludf.DUMMYFUNCTION("GOOGLETRANSLATE(B1862,""en"",""fr"")"),"Une femme aux cheveux bruns debout dans un tas de beignets flottants tient un micro et parle, et d'autres clips commencent à jouer qui incluent le paysage du lac, interviewant diverses personnes d'âge et les deux sexes, des gens marchant avec leurs beigne"&amp;"ts flottants, des panneaux à la Lac, les gens qui s'amusent et etc.")</f>
        <v>Une femme aux cheveux bruns debout dans un tas de beignets flottants tient un micro et parle, et d'autres clips commencent à jouer qui incluent le paysage du lac, interviewant diverses personnes d'âge et les deux sexes, des gens marchant avec leurs beignets flottants, des panneaux à la Lac, les gens qui s'amusent et etc.</v>
      </c>
    </row>
    <row r="1863">
      <c r="A1863" s="4" t="s">
        <v>2339</v>
      </c>
      <c r="B1863" s="4" t="s">
        <v>2343</v>
      </c>
      <c r="C1863" s="5" t="str">
        <f>IFERROR(__xludf.DUMMYFUNCTION("GOOGLETRANSLATE(B1863,""en"",""fr"")"),"La femme est maintenant assise dans un beignet flottant vert, tenant toujours le micro et parle toujours.")</f>
        <v>La femme est maintenant assise dans un beignet flottant vert, tenant toujours le micro et parle toujours.</v>
      </c>
    </row>
    <row r="1864">
      <c r="A1864" s="4" t="s">
        <v>2339</v>
      </c>
      <c r="B1864" s="6" t="s">
        <v>2344</v>
      </c>
      <c r="C1864" s="5" t="str">
        <f>IFERROR(__xludf.DUMMYFUNCTION("GOOGLETRANSLATE(B1864,""en"",""fr"")"),"Un écran blanc apparaît apparaît avec un logo marron et blanc, puis il passe à un autre écran blanc qui a un site Web bleu au milieu.")</f>
        <v>Un écran blanc apparaît apparaît avec un logo marron et blanc, puis il passe à un autre écran blanc qui a un site Web bleu au milieu.</v>
      </c>
    </row>
    <row r="1865">
      <c r="A1865" s="4" t="s">
        <v>2345</v>
      </c>
      <c r="B1865" s="4" t="s">
        <v>2346</v>
      </c>
      <c r="C1865" s="5" t="str">
        <f>IFERROR(__xludf.DUMMYFUNCTION("GOOGLETRANSLATE(B1865,""en"",""fr"")"),"Les hommes voyagent dans un avion et arrivent au sommet d'une montagne.")</f>
        <v>Les hommes voyagent dans un avion et arrivent au sommet d'une montagne.</v>
      </c>
    </row>
    <row r="1866">
      <c r="A1866" s="4" t="s">
        <v>2345</v>
      </c>
      <c r="B1866" s="4" t="s">
        <v>2347</v>
      </c>
      <c r="C1866" s="5" t="str">
        <f>IFERROR(__xludf.DUMMYFUNCTION("GOOGLETRANSLATE(B1866,""en"",""fr"")"),"Ensuite, les hommes descendent dans l'avion et skieraient en bas de la colline.")</f>
        <v>Ensuite, les hommes descendent dans l'avion et skieraient en bas de la colline.</v>
      </c>
    </row>
    <row r="1867">
      <c r="A1867" s="4" t="s">
        <v>2345</v>
      </c>
      <c r="B1867" s="4" t="s">
        <v>2348</v>
      </c>
      <c r="C1867" s="5" t="str">
        <f>IFERROR(__xludf.DUMMYFUNCTION("GOOGLETRANSLATE(B1867,""en"",""fr"")"),"Une personne skie derrière un homme sur la pente de la montagne.")</f>
        <v>Une personne skie derrière un homme sur la pente de la montagne.</v>
      </c>
    </row>
    <row r="1868">
      <c r="A1868" s="4" t="s">
        <v>2345</v>
      </c>
      <c r="B1868" s="4" t="s">
        <v>2349</v>
      </c>
      <c r="C1868" s="5" t="str">
        <f>IFERROR(__xludf.DUMMYFUNCTION("GOOGLETRANSLATE(B1868,""en"",""fr"")"),"Un déneigement dégage la neige de la route.")</f>
        <v>Un déneigement dégage la neige de la route.</v>
      </c>
    </row>
    <row r="1869">
      <c r="A1869" s="4" t="s">
        <v>2345</v>
      </c>
      <c r="B1869" s="4" t="s">
        <v>2350</v>
      </c>
      <c r="C1869" s="5" t="str">
        <f>IFERROR(__xludf.DUMMYFUNCTION("GOOGLETRANSLATE(B1869,""en"",""fr"")"),"Après, les hommes skient en bas de la colline au milieu des arbres.")</f>
        <v>Après, les hommes skient en bas de la colline au milieu des arbres.</v>
      </c>
    </row>
    <row r="1870">
      <c r="A1870" s="4" t="s">
        <v>2345</v>
      </c>
      <c r="B1870" s="4" t="s">
        <v>2351</v>
      </c>
      <c r="C1870" s="5" t="str">
        <f>IFERROR(__xludf.DUMMYFUNCTION("GOOGLETRANSLATE(B1870,""en"",""fr"")"),"Les hommes skient dans une zone en bois inégale.")</f>
        <v>Les hommes skient dans une zone en bois inégale.</v>
      </c>
    </row>
    <row r="1871">
      <c r="A1871" s="4" t="s">
        <v>2352</v>
      </c>
      <c r="B1871" s="6" t="s">
        <v>2353</v>
      </c>
      <c r="C1871" s="5" t="str">
        <f>IFERROR(__xludf.DUMMYFUNCTION("GOOGLETRANSLATE(B1871,""en"",""fr"")"),"Une gymnaste portant un climat de tenue bleue sur le faisceau A Balance et exécute un support de main avec une scission en compétition devant un énorme drapeau américain.")</f>
        <v>Une gymnaste portant un climat de tenue bleue sur le faisceau A Balance et exécute un support de main avec une scission en compétition devant un énorme drapeau américain.</v>
      </c>
    </row>
    <row r="1872">
      <c r="A1872" s="4" t="s">
        <v>2352</v>
      </c>
      <c r="B1872" s="6" t="s">
        <v>2354</v>
      </c>
      <c r="C1872" s="5" t="str">
        <f>IFERROR(__xludf.DUMMYFUNCTION("GOOGLETRANSLATE(B1872,""en"",""fr"")"),"Le gymnaste se déroule sur le faisceau d'équilibre et effectue un saut périlleux de front, puis trois somersauts consécutifs en arrière consécutifs.")</f>
        <v>Le gymnaste se déroule sur le faisceau d'équilibre et effectue un saut périlleux de front, puis trois somersauts consécutifs en arrière consécutifs.</v>
      </c>
    </row>
    <row r="1873">
      <c r="A1873" s="4" t="s">
        <v>2352</v>
      </c>
      <c r="B1873" s="6" t="s">
        <v>2355</v>
      </c>
      <c r="C1873" s="5" t="str">
        <f>IFERROR(__xludf.DUMMYFUNCTION("GOOGLETRANSLATE(B1873,""en"",""fr"")"),"La gymnaste continue avec sa performance sur le bar parallèle avec des mouvements de spin, des mouvements de saut et des mouvements de danse.")</f>
        <v>La gymnaste continue avec sa performance sur le bar parallèle avec des mouvements de spin, des mouvements de saut et des mouvements de danse.</v>
      </c>
    </row>
    <row r="1874">
      <c r="A1874" s="4" t="s">
        <v>2352</v>
      </c>
      <c r="B1874" s="6" t="s">
        <v>2356</v>
      </c>
      <c r="C1874" s="5" t="str">
        <f>IFERROR(__xludf.DUMMYFUNCTION("GOOGLETRANSLATE(B1874,""en"",""fr"")"),"La gymnaste se prépare à la démonstration à une extrémité de la barre parallèle fait un saut périlleux vers l'avant sur la barre parallèle et un somersault avec une rotation et atterrit parfaitement le démontage.")</f>
        <v>La gymnaste se prépare à la démonstration à une extrémité de la barre parallèle fait un saut périlleux vers l'avant sur la barre parallèle et un somersault avec une rotation et atterrit parfaitement le démontage.</v>
      </c>
    </row>
    <row r="1875">
      <c r="A1875" s="4" t="s">
        <v>2357</v>
      </c>
      <c r="B1875" s="4" t="s">
        <v>2358</v>
      </c>
      <c r="C1875" s="5" t="str">
        <f>IFERROR(__xludf.DUMMYFUNCTION("GOOGLETRANSLATE(B1875,""en"",""fr"")"),"Un groupe d'hommes est rassemblé en cercle dans une pièce.")</f>
        <v>Un groupe d'hommes est rassemblé en cercle dans une pièce.</v>
      </c>
    </row>
    <row r="1876">
      <c r="A1876" s="4" t="s">
        <v>2357</v>
      </c>
      <c r="B1876" s="4" t="s">
        <v>2359</v>
      </c>
      <c r="C1876" s="5" t="str">
        <f>IFERROR(__xludf.DUMMYFUNCTION("GOOGLETRANSLATE(B1876,""en"",""fr"")"),"Ils se serrent les mains, puis commencent à se battre dans le ring des gens.")</f>
        <v>Ils se serrent les mains, puis commencent à se battre dans le ring des gens.</v>
      </c>
    </row>
    <row r="1877">
      <c r="A1877" s="4" t="s">
        <v>2357</v>
      </c>
      <c r="B1877" s="4" t="s">
        <v>2360</v>
      </c>
      <c r="C1877" s="5" t="str">
        <f>IFERROR(__xludf.DUMMYFUNCTION("GOOGLETRANSLATE(B1877,""en"",""fr"")"),"Ils tournent et donnent des coups de pied, ne se frappant jamais.")</f>
        <v>Ils tournent et donnent des coups de pied, ne se frappant jamais.</v>
      </c>
    </row>
    <row r="1878">
      <c r="A1878" s="4" t="s">
        <v>2357</v>
      </c>
      <c r="B1878" s="4" t="s">
        <v>2361</v>
      </c>
      <c r="C1878" s="5" t="str">
        <f>IFERROR(__xludf.DUMMYFUNCTION("GOOGLETRANSLATE(B1878,""en"",""fr"")"),"Quand ils terminent le groupe se réunissent, applaudir en groupe.")</f>
        <v>Quand ils terminent le groupe se réunissent, applaudir en groupe.</v>
      </c>
    </row>
    <row r="1879">
      <c r="A1879" s="4" t="s">
        <v>2362</v>
      </c>
      <c r="B1879" s="4" t="s">
        <v>2363</v>
      </c>
      <c r="C1879" s="5" t="str">
        <f>IFERROR(__xludf.DUMMYFUNCTION("GOOGLETRANSLATE(B1879,""en"",""fr"")"),"Une personne met des matériaux d'étanchéité autour des planches d'acier et un toit.")</f>
        <v>Une personne met des matériaux d'étanchéité autour des planches d'acier et un toit.</v>
      </c>
    </row>
    <row r="1880">
      <c r="A1880" s="4" t="s">
        <v>2362</v>
      </c>
      <c r="B1880" s="4" t="s">
        <v>2364</v>
      </c>
      <c r="C1880" s="5" t="str">
        <f>IFERROR(__xludf.DUMMYFUNCTION("GOOGLETRANSLATE(B1880,""en"",""fr"")"),"Ensuite, l'homme peint un toit avec de la peinture noire.")</f>
        <v>Ensuite, l'homme peint un toit avec de la peinture noire.</v>
      </c>
    </row>
    <row r="1881">
      <c r="A1881" s="4" t="s">
        <v>2365</v>
      </c>
      <c r="B1881" s="4" t="s">
        <v>2366</v>
      </c>
      <c r="C1881" s="5" t="str">
        <f>IFERROR(__xludf.DUMMYFUNCTION("GOOGLETRANSLATE(B1881,""en"",""fr"")"),"Un garçon se tient sur une piscine de plongée dans une compétition olympique.")</f>
        <v>Un garçon se tient sur une piscine de plongée dans une compétition olympique.</v>
      </c>
    </row>
    <row r="1882">
      <c r="A1882" s="4" t="s">
        <v>2365</v>
      </c>
      <c r="B1882" s="4" t="s">
        <v>2367</v>
      </c>
      <c r="C1882" s="5" t="str">
        <f>IFERROR(__xludf.DUMMYFUNCTION("GOOGLETRANSLATE(B1882,""en"",""fr"")"),"Ensuite, le garçon saute et fait quatre flips dans l'air et tombe dans l'eau.")</f>
        <v>Ensuite, le garçon saute et fait quatre flips dans l'air et tombe dans l'eau.</v>
      </c>
    </row>
    <row r="1883">
      <c r="A1883" s="4" t="s">
        <v>2365</v>
      </c>
      <c r="B1883" s="4" t="s">
        <v>2368</v>
      </c>
      <c r="C1883" s="5" t="str">
        <f>IFERROR(__xludf.DUMMYFUNCTION("GOOGLETRANSLATE(B1883,""en"",""fr"")"),"La foule applaudie le garçon tenant des drapeaux britanniques.")</f>
        <v>La foule applaudie le garçon tenant des drapeaux britanniques.</v>
      </c>
    </row>
    <row r="1884">
      <c r="A1884" s="4" t="s">
        <v>2365</v>
      </c>
      <c r="B1884" s="4" t="s">
        <v>2369</v>
      </c>
      <c r="C1884" s="5" t="str">
        <f>IFERROR(__xludf.DUMMYFUNCTION("GOOGLETRANSLATE(B1884,""en"",""fr"")"),"Un homme embrasse le garçon qui a l'air heureux et le garçon se promène.")</f>
        <v>Un homme embrasse le garçon qui a l'air heureux et le garçon se promène.</v>
      </c>
    </row>
    <row r="1885">
      <c r="A1885" s="4" t="s">
        <v>2365</v>
      </c>
      <c r="B1885" s="4" t="s">
        <v>2370</v>
      </c>
      <c r="C1885" s="5" t="str">
        <f>IFERROR(__xludf.DUMMYFUNCTION("GOOGLETRANSLATE(B1885,""en"",""fr"")"),"Le garçon saute d'une plongée et fait quatre flips dans les airs avant de monter dans l'eau.")</f>
        <v>Le garçon saute d'une plongée et fait quatre flips dans les airs avant de monter dans l'eau.</v>
      </c>
    </row>
    <row r="1886">
      <c r="A1886" s="4" t="s">
        <v>2371</v>
      </c>
      <c r="B1886" s="6" t="s">
        <v>2372</v>
      </c>
      <c r="C1886" s="5" t="str">
        <f>IFERROR(__xludf.DUMMYFUNCTION("GOOGLETRANSLATE(B1886,""en"",""fr"")"),"La vidéo commence par plusieurs plans de personnes qui roulent sur de longues routes sur des planches à roulettes en mouvement rapide ainsi que lent.")</f>
        <v>La vidéo commence par plusieurs plans de personnes qui roulent sur de longues routes sur des planches à roulettes en mouvement rapide ainsi que lent.</v>
      </c>
    </row>
    <row r="1887">
      <c r="A1887" s="4" t="s">
        <v>2371</v>
      </c>
      <c r="B1887" s="6" t="s">
        <v>2373</v>
      </c>
      <c r="C1887" s="5" t="str">
        <f>IFERROR(__xludf.DUMMYFUNCTION("GOOGLETRANSLATE(B1887,""en"",""fr"")"),"Les gens effectuent divers sauts et tours sur ces routes longues et sinueuses et montrent le pensionnaire parlant de la caméra.")</f>
        <v>Les gens effectuent divers sauts et tours sur ces routes longues et sinueuses et montrent le pensionnaire parlant de la caméra.</v>
      </c>
    </row>
    <row r="1888">
      <c r="A1888" s="4" t="s">
        <v>2374</v>
      </c>
      <c r="B1888" s="4" t="s">
        <v>2375</v>
      </c>
      <c r="C1888" s="5" t="str">
        <f>IFERROR(__xludf.DUMMYFUNCTION("GOOGLETRANSLATE(B1888,""en"",""fr"")"),"Un groupe de poissons nage dans le fond de l'océan.")</f>
        <v>Un groupe de poissons nage dans le fond de l'océan.</v>
      </c>
    </row>
    <row r="1889">
      <c r="A1889" s="4" t="s">
        <v>2374</v>
      </c>
      <c r="B1889" s="4" t="s">
        <v>2376</v>
      </c>
      <c r="C1889" s="5" t="str">
        <f>IFERROR(__xludf.DUMMYFUNCTION("GOOGLETRANSLATE(B1889,""en"",""fr"")"),"Un long poisson jaune passe la caméra.")</f>
        <v>Un long poisson jaune passe la caméra.</v>
      </c>
    </row>
    <row r="1890">
      <c r="A1890" s="4" t="s">
        <v>2374</v>
      </c>
      <c r="B1890" s="4" t="s">
        <v>2377</v>
      </c>
      <c r="C1890" s="5" t="str">
        <f>IFERROR(__xludf.DUMMYFUNCTION("GOOGLETRANSLATE(B1890,""en"",""fr"")"),"Les plongeurs de plongée se réunissent sur un bateau alors qu'un homme parle.")</f>
        <v>Les plongeurs de plongée se réunissent sur un bateau alors qu'un homme parle.</v>
      </c>
    </row>
    <row r="1891">
      <c r="A1891" s="4" t="s">
        <v>2374</v>
      </c>
      <c r="B1891" s="4" t="s">
        <v>2378</v>
      </c>
      <c r="C1891" s="5" t="str">
        <f>IFERROR(__xludf.DUMMYFUNCTION("GOOGLETRANSLATE(B1891,""en"",""fr"")"),"Nous voyons plusieurs poissons et un requin.")</f>
        <v>Nous voyons plusieurs poissons et un requin.</v>
      </c>
    </row>
    <row r="1892">
      <c r="A1892" s="4" t="s">
        <v>2374</v>
      </c>
      <c r="B1892" s="4" t="s">
        <v>2379</v>
      </c>
      <c r="C1892" s="5" t="str">
        <f>IFERROR(__xludf.DUMMYFUNCTION("GOOGLETRANSLATE(B1892,""en"",""fr"")"),"Les plongeurs plongeaient, regardant le poisson et agitant la caméra.")</f>
        <v>Les plongeurs plongeaient, regardant le poisson et agitant la caméra.</v>
      </c>
    </row>
    <row r="1893">
      <c r="A1893" s="4" t="s">
        <v>2380</v>
      </c>
      <c r="B1893" s="6" t="s">
        <v>2381</v>
      </c>
      <c r="C1893" s="5" t="str">
        <f>IFERROR(__xludf.DUMMYFUNCTION("GOOGLETRANSLATE(B1893,""en"",""fr"")"),"Un garçon fait des réparations à un vélo démonté avec l'utilisation d'une soudure dans une cour près des marches d'une maison.")</f>
        <v>Un garçon fait des réparations à un vélo démonté avec l'utilisation d'une soudure dans une cour près des marches d'une maison.</v>
      </c>
    </row>
    <row r="1894">
      <c r="A1894" s="4" t="s">
        <v>2380</v>
      </c>
      <c r="B1894" s="6" t="s">
        <v>2382</v>
      </c>
      <c r="C1894" s="5" t="str">
        <f>IFERROR(__xludf.DUMMYFUNCTION("GOOGLETRANSLATE(B1894,""en"",""fr"")"),"Un garçon entre dans la scène et tire une paire de gants tout en portant un masque de protection sportive, allume une machine bleue sur les marches arrière et ramasse une soudure.")</f>
        <v>Un garçon entre dans la scène et tire une paire de gants tout en portant un masque de protection sportive, allume une machine bleue sur les marches arrière et ramasse une soudure.</v>
      </c>
    </row>
    <row r="1895">
      <c r="A1895" s="4" t="s">
        <v>2380</v>
      </c>
      <c r="B1895" s="4" t="s">
        <v>2383</v>
      </c>
      <c r="C1895" s="5" t="str">
        <f>IFERROR(__xludf.DUMMYFUNCTION("GOOGLETRANSLATE(B1895,""en"",""fr"")"),"Le garçon commence alors à souder un vélo démonté sur le sol dans une cour.")</f>
        <v>Le garçon commence alors à souder un vélo démonté sur le sol dans une cour.</v>
      </c>
    </row>
    <row r="1896">
      <c r="A1896" s="4" t="s">
        <v>2380</v>
      </c>
      <c r="B1896" s="4" t="s">
        <v>2384</v>
      </c>
      <c r="C1896" s="5" t="str">
        <f>IFERROR(__xludf.DUMMYFUNCTION("GOOGLETRANSLATE(B1896,""en"",""fr"")"),"Le garçon se lève ensuite et sort de la scène après avoir soulevé le couvercle sur son masque.")</f>
        <v>Le garçon se lève ensuite et sort de la scène après avoir soulevé le couvercle sur son masque.</v>
      </c>
    </row>
    <row r="1897">
      <c r="A1897" s="4" t="s">
        <v>2385</v>
      </c>
      <c r="B1897" s="4" t="s">
        <v>2386</v>
      </c>
      <c r="C1897" s="5" t="str">
        <f>IFERROR(__xludf.DUMMYFUNCTION("GOOGLETRANSLATE(B1897,""en"",""fr"")"),"L'équipe de cricket du Sri Lanka joue contre un autre pays.")</f>
        <v>L'équipe de cricket du Sri Lanka joue contre un autre pays.</v>
      </c>
    </row>
    <row r="1898">
      <c r="A1898" s="4" t="s">
        <v>2385</v>
      </c>
      <c r="B1898" s="4" t="s">
        <v>2387</v>
      </c>
      <c r="C1898" s="5" t="str">
        <f>IFERROR(__xludf.DUMMYFUNCTION("GOOGLETRANSLATE(B1898,""en"",""fr"")"),"Les joueurs de cricket jouent un jeu compétitif sur le terrain.")</f>
        <v>Les joueurs de cricket jouent un jeu compétitif sur le terrain.</v>
      </c>
    </row>
    <row r="1899">
      <c r="A1899" s="4" t="s">
        <v>2385</v>
      </c>
      <c r="B1899" s="4" t="s">
        <v>2388</v>
      </c>
      <c r="C1899" s="5" t="str">
        <f>IFERROR(__xludf.DUMMYFUNCTION("GOOGLETRANSLATE(B1899,""en"",""fr"")"),"L'équipe du Sri Lanka est représentée par l'uniforme bleu.")</f>
        <v>L'équipe du Sri Lanka est représentée par l'uniforme bleu.</v>
      </c>
    </row>
    <row r="1900">
      <c r="A1900" s="4" t="s">
        <v>2385</v>
      </c>
      <c r="B1900" s="4" t="s">
        <v>2389</v>
      </c>
      <c r="C1900" s="5" t="str">
        <f>IFERROR(__xludf.DUMMYFUNCTION("GOOGLETRANSLATE(B1900,""en"",""fr"")"),"Le batteur marque quatre points alors que le joueur de bowler lance une balle.")</f>
        <v>Le batteur marque quatre points alors que le joueur de bowler lance une balle.</v>
      </c>
    </row>
    <row r="1901">
      <c r="A1901" s="4" t="s">
        <v>2385</v>
      </c>
      <c r="B1901" s="6" t="s">
        <v>2390</v>
      </c>
      <c r="C1901" s="5" t="str">
        <f>IFERROR(__xludf.DUMMYFUNCTION("GOOGLETRANSLATE(B1901,""en"",""fr"")"),"La vidéo montre différents matchs de cricket qui se déroulent où le Sri Lanka joue contre des équipes de différents pays.")</f>
        <v>La vidéo montre différents matchs de cricket qui se déroulent où le Sri Lanka joue contre des équipes de différents pays.</v>
      </c>
    </row>
    <row r="1902">
      <c r="A1902" s="4" t="s">
        <v>2385</v>
      </c>
      <c r="B1902" s="4" t="s">
        <v>2391</v>
      </c>
      <c r="C1902" s="5" t="str">
        <f>IFERROR(__xludf.DUMMYFUNCTION("GOOGLETRANSLATE(B1902,""en"",""fr"")"),"Le stade est rempli de spectateurs applaudissant les joueurs de cricket.")</f>
        <v>Le stade est rempli de spectateurs applaudissant les joueurs de cricket.</v>
      </c>
    </row>
    <row r="1903">
      <c r="A1903" s="4" t="s">
        <v>2385</v>
      </c>
      <c r="B1903" s="4" t="s">
        <v>2392</v>
      </c>
      <c r="C1903" s="5" t="str">
        <f>IFERROR(__xludf.DUMMYFUNCTION("GOOGLETRANSLATE(B1903,""en"",""fr"")"),"Le match est en plein essor alors que les batteurs marquent quatre points.")</f>
        <v>Le match est en plein essor alors que les batteurs marquent quatre points.</v>
      </c>
    </row>
    <row r="1904">
      <c r="A1904" s="4" t="s">
        <v>2385</v>
      </c>
      <c r="B1904" s="6" t="s">
        <v>2393</v>
      </c>
      <c r="C1904" s="5" t="str">
        <f>IFERROR(__xludf.DUMMYFUNCTION("GOOGLETRANSLATE(B1904,""en"",""fr"")"),"Le joueur défensif court pour attraper le ballon après que le batteur le frappe haut, attrapant presque le ballon pour le rendre audacieux.")</f>
        <v>Le joueur défensif court pour attraper le ballon après que le batteur le frappe haut, attrapant presque le ballon pour le rendre audacieux.</v>
      </c>
    </row>
    <row r="1905">
      <c r="A1905" s="4" t="s">
        <v>2394</v>
      </c>
      <c r="B1905" s="4" t="s">
        <v>2395</v>
      </c>
      <c r="C1905" s="5" t="str">
        <f>IFERROR(__xludf.DUMMYFUNCTION("GOOGLETRANSLATE(B1905,""en"",""fr"")"),"Une caméra est maintenue par quelqu'un sous l'eau et nage dans l'océan.")</f>
        <v>Une caméra est maintenue par quelqu'un sous l'eau et nage dans l'océan.</v>
      </c>
    </row>
    <row r="1906">
      <c r="A1906" s="4" t="s">
        <v>2394</v>
      </c>
      <c r="B1906" s="4" t="s">
        <v>2396</v>
      </c>
      <c r="C1906" s="5" t="str">
        <f>IFERROR(__xludf.DUMMYFUNCTION("GOOGLETRANSLATE(B1906,""en"",""fr"")"),"Il passe à plusieurs plans d'hommes jouant au football sur une plage et donne un coup de pied au ballon.")</f>
        <v>Il passe à plusieurs plans d'hommes jouant au football sur une plage et donne un coup de pied au ballon.</v>
      </c>
    </row>
    <row r="1907">
      <c r="A1907" s="4" t="s">
        <v>2394</v>
      </c>
      <c r="B1907" s="4" t="s">
        <v>2397</v>
      </c>
      <c r="C1907" s="5" t="str">
        <f>IFERROR(__xludf.DUMMYFUNCTION("GOOGLETRANSLATE(B1907,""en"",""fr"")"),"La caméra se déroule sur le ballon suivie de plusieurs autres coups de l'homme jouant.")</f>
        <v>La caméra se déroule sur le ballon suivie de plusieurs autres coups de l'homme jouant.</v>
      </c>
    </row>
    <row r="1908">
      <c r="A1908" s="4" t="s">
        <v>2398</v>
      </c>
      <c r="B1908" s="4" t="s">
        <v>2399</v>
      </c>
      <c r="C1908" s="5" t="str">
        <f>IFERROR(__xludf.DUMMYFUNCTION("GOOGLETRANSLATE(B1908,""en"",""fr"")"),"Un gros rocher est montré suivi par des gens se déplaçant autour d'objets et menant à un nouveau segment.")</f>
        <v>Un gros rocher est montré suivi par des gens se déplaçant autour d'objets et menant à un nouveau segment.</v>
      </c>
    </row>
    <row r="1909">
      <c r="A1909" s="4" t="s">
        <v>2398</v>
      </c>
      <c r="B1909" s="4" t="s">
        <v>2400</v>
      </c>
      <c r="C1909" s="5" t="str">
        <f>IFERROR(__xludf.DUMMYFUNCTION("GOOGLETRANSLATE(B1909,""en"",""fr"")"),"Un homme est ensuite vu coupant une citrouille pendant qu'une femme parle et mène à un rapport météo.")</f>
        <v>Un homme est ensuite vu coupant une citrouille pendant qu'une femme parle et mène à un rapport météo.</v>
      </c>
    </row>
    <row r="1910">
      <c r="A1910" s="4" t="s">
        <v>2398</v>
      </c>
      <c r="B1910" s="4" t="s">
        <v>2401</v>
      </c>
      <c r="C1910" s="5" t="str">
        <f>IFERROR(__xludf.DUMMYFUNCTION("GOOGLETRANSLATE(B1910,""en"",""fr"")"),"L'homme montre ensuite la citrouille autour d'un groupe de personnes ainsi que de gros plan.")</f>
        <v>L'homme montre ensuite la citrouille autour d'un groupe de personnes ainsi que de gros plan.</v>
      </c>
    </row>
    <row r="1911">
      <c r="A1911" s="4" t="s">
        <v>2402</v>
      </c>
      <c r="B1911" s="6" t="s">
        <v>2403</v>
      </c>
      <c r="C1911" s="5" t="str">
        <f>IFERROR(__xludf.DUMMYFUNCTION("GOOGLETRANSLATE(B1911,""en"",""fr"")"),"Un skateur masculin patient, il a sauté sur la balustrade, puis s'est glissé et est tombé sur le dos et une main l'a aidé.")</f>
        <v>Un skateur masculin patient, il a sauté sur la balustrade, puis s'est glissé et est tombé sur le dos et une main l'a aidé.</v>
      </c>
    </row>
    <row r="1912">
      <c r="A1912" s="4" t="s">
        <v>2402</v>
      </c>
      <c r="B1912" s="4" t="s">
        <v>2404</v>
      </c>
      <c r="C1912" s="5" t="str">
        <f>IFERROR(__xludf.DUMMYFUNCTION("GOOGLETRANSLATE(B1912,""en"",""fr"")"),"Un garçon a sauté sur une plate-forme avec sa planche à roulettes et a glissé et est tombé.")</f>
        <v>Un garçon a sauté sur une plate-forme avec sa planche à roulettes et a glissé et est tombé.</v>
      </c>
    </row>
    <row r="1913">
      <c r="A1913" s="4" t="s">
        <v>2402</v>
      </c>
      <c r="B1913" s="4" t="s">
        <v>2405</v>
      </c>
      <c r="C1913" s="5" t="str">
        <f>IFERROR(__xludf.DUMMYFUNCTION("GOOGLETRANSLATE(B1913,""en"",""fr"")"),"Les skateurs ont sauté sur la plate-forme ou les garde-corps et ont glissé et sont tombés sur le sol.")</f>
        <v>Les skateurs ont sauté sur la plate-forme ou les garde-corps et ont glissé et sont tombés sur le sol.</v>
      </c>
    </row>
    <row r="1914">
      <c r="A1914" s="4" t="s">
        <v>2406</v>
      </c>
      <c r="B1914" s="4" t="s">
        <v>2407</v>
      </c>
      <c r="C1914" s="5" t="str">
        <f>IFERROR(__xludf.DUMMYFUNCTION("GOOGLETRANSLATE(B1914,""en"",""fr"")"),"Une famille parle de fabriquer des aliments sains.")</f>
        <v>Une famille parle de fabriquer des aliments sains.</v>
      </c>
    </row>
    <row r="1915">
      <c r="A1915" s="4" t="s">
        <v>2406</v>
      </c>
      <c r="B1915" s="4" t="s">
        <v>2408</v>
      </c>
      <c r="C1915" s="5" t="str">
        <f>IFERROR(__xludf.DUMMYFUNCTION("GOOGLETRANSLATE(B1915,""en"",""fr"")"),"Ils commencent par faire des smoothies et lire les ingrédients du sucre de coco.")</f>
        <v>Ils commencent par faire des smoothies et lire les ingrédients du sucre de coco.</v>
      </c>
    </row>
    <row r="1916">
      <c r="A1916" s="4" t="s">
        <v>2406</v>
      </c>
      <c r="B1916" s="4" t="s">
        <v>2409</v>
      </c>
      <c r="C1916" s="5" t="str">
        <f>IFERROR(__xludf.DUMMYFUNCTION("GOOGLETRANSLATE(B1916,""en"",""fr"")"),"Ils mélangent de la nourriture et préparent la nourriture puis mélangent le smoothie.")</f>
        <v>Ils mélangent de la nourriture et préparent la nourriture puis mélangent le smoothie.</v>
      </c>
    </row>
    <row r="1917">
      <c r="A1917" s="4" t="s">
        <v>2410</v>
      </c>
      <c r="B1917" s="4" t="s">
        <v>2411</v>
      </c>
      <c r="C1917" s="5" t="str">
        <f>IFERROR(__xludf.DUMMYFUNCTION("GOOGLETRANSLATE(B1917,""en"",""fr"")"),"Un homme et une femme boivent du café à l'extérieur à côté d'un camping-car.")</f>
        <v>Un homme et une femme boivent du café à l'extérieur à côté d'un camping-car.</v>
      </c>
    </row>
    <row r="1918">
      <c r="A1918" s="4" t="s">
        <v>2410</v>
      </c>
      <c r="B1918" s="4" t="s">
        <v>2412</v>
      </c>
      <c r="C1918" s="5" t="str">
        <f>IFERROR(__xludf.DUMMYFUNCTION("GOOGLETRANSLATE(B1918,""en"",""fr"")"),"L'homme joue de la guitare.")</f>
        <v>L'homme joue de la guitare.</v>
      </c>
    </row>
    <row r="1919">
      <c r="A1919" s="4" t="s">
        <v>2410</v>
      </c>
      <c r="B1919" s="4" t="s">
        <v>2413</v>
      </c>
      <c r="C1919" s="5" t="str">
        <f>IFERROR(__xludf.DUMMYFUNCTION("GOOGLETRANSLATE(B1919,""en"",""fr"")"),"La femme se dirige vers la caméra et commence à montrer des documents papier.")</f>
        <v>La femme se dirige vers la caméra et commence à montrer des documents papier.</v>
      </c>
    </row>
    <row r="1920">
      <c r="A1920" s="4" t="s">
        <v>2410</v>
      </c>
      <c r="B1920" s="4" t="s">
        <v>2414</v>
      </c>
      <c r="C1920" s="5" t="str">
        <f>IFERROR(__xludf.DUMMYFUNCTION("GOOGLETRANSLATE(B1920,""en"",""fr"")"),"Elle jette les papiers et revient à l'homme.")</f>
        <v>Elle jette les papiers et revient à l'homme.</v>
      </c>
    </row>
    <row r="1921">
      <c r="A1921" s="4" t="s">
        <v>2415</v>
      </c>
      <c r="B1921" s="4" t="s">
        <v>2416</v>
      </c>
      <c r="C1921" s="5" t="str">
        <f>IFERROR(__xludf.DUMMYFUNCTION("GOOGLETRANSLATE(B1921,""en"",""fr"")"),"Un garçon d'une équipe jette un ballon de basket aux autres membres de l'équipe.")</f>
        <v>Un garçon d'une équipe jette un ballon de basket aux autres membres de l'équipe.</v>
      </c>
    </row>
    <row r="1922">
      <c r="A1922" s="4" t="s">
        <v>2415</v>
      </c>
      <c r="B1922" s="4" t="s">
        <v>2417</v>
      </c>
      <c r="C1922" s="5" t="str">
        <f>IFERROR(__xludf.DUMMYFUNCTION("GOOGLETRANSLATE(B1922,""en"",""fr"")"),"D'autres se joignent à eux, certains tombant alors qu'ils sont touchés par le ballon.")</f>
        <v>D'autres se joignent à eux, certains tombant alors qu'ils sont touchés par le ballon.</v>
      </c>
    </row>
    <row r="1923">
      <c r="A1923" s="4" t="s">
        <v>2418</v>
      </c>
      <c r="B1923" s="6" t="s">
        <v>2419</v>
      </c>
      <c r="C1923" s="5" t="str">
        <f>IFERROR(__xludf.DUMMYFUNCTION("GOOGLETRANSLATE(B1923,""en"",""fr"")"),"Un homme est vu à genoux à côté d'un chien qui se frottait le dos pendant qu'un autre homme verse de l'eau sur le corps du chien.")</f>
        <v>Un homme est vu à genoux à côté d'un chien qui se frottait le dos pendant qu'un autre homme verse de l'eau sur le corps du chien.</v>
      </c>
    </row>
    <row r="1924">
      <c r="A1924" s="4" t="s">
        <v>2418</v>
      </c>
      <c r="B1924" s="4" t="s">
        <v>2420</v>
      </c>
      <c r="C1924" s="5" t="str">
        <f>IFERROR(__xludf.DUMMYFUNCTION("GOOGLETRANSLATE(B1924,""en"",""fr"")"),"L'homme continue de se frotter alors que l'autre verse de l'eau et se termine avec le chien qui s'enfuit.")</f>
        <v>L'homme continue de se frotter alors que l'autre verse de l'eau et se termine avec le chien qui s'enfuit.</v>
      </c>
    </row>
    <row r="1925">
      <c r="A1925" s="4" t="s">
        <v>2421</v>
      </c>
      <c r="B1925" s="4" t="s">
        <v>2422</v>
      </c>
      <c r="C1925" s="5" t="str">
        <f>IFERROR(__xludf.DUMMYFUNCTION("GOOGLETRANSLATE(B1925,""en"",""fr"")"),"Une femme se brosse ses longs cheveux à la maison.")</f>
        <v>Une femme se brosse ses longs cheveux à la maison.</v>
      </c>
    </row>
    <row r="1926">
      <c r="A1926" s="4" t="s">
        <v>2421</v>
      </c>
      <c r="B1926" s="4" t="s">
        <v>2423</v>
      </c>
      <c r="C1926" s="5" t="str">
        <f>IFERROR(__xludf.DUMMYFUNCTION("GOOGLETRANSLATE(B1926,""en"",""fr"")"),"La femme s'assoit sur le canapé.")</f>
        <v>La femme s'assoit sur le canapé.</v>
      </c>
    </row>
    <row r="1927">
      <c r="A1927" s="4" t="s">
        <v>2421</v>
      </c>
      <c r="B1927" s="4" t="s">
        <v>2424</v>
      </c>
      <c r="C1927" s="5" t="str">
        <f>IFERROR(__xludf.DUMMYFUNCTION("GOOGLETRANSLATE(B1927,""en"",""fr"")"),"La femme se lève et se détourne.")</f>
        <v>La femme se lève et se détourne.</v>
      </c>
    </row>
    <row r="1928">
      <c r="A1928" s="4" t="s">
        <v>2421</v>
      </c>
      <c r="B1928" s="4" t="s">
        <v>2425</v>
      </c>
      <c r="C1928" s="5" t="str">
        <f>IFERROR(__xludf.DUMMYFUNCTION("GOOGLETRANSLATE(B1928,""en"",""fr"")"),"La personne se détourne de la vue.")</f>
        <v>La personne se détourne de la vue.</v>
      </c>
    </row>
    <row r="1929">
      <c r="A1929" s="4" t="s">
        <v>2426</v>
      </c>
      <c r="B1929" s="4" t="s">
        <v>2427</v>
      </c>
      <c r="C1929" s="5" t="str">
        <f>IFERROR(__xludf.DUMMYFUNCTION("GOOGLETRANSLATE(B1929,""en"",""fr"")"),"Beaucoup de desserts sont dans une ceinture coulissante dans un comptoir.")</f>
        <v>Beaucoup de desserts sont dans une ceinture coulissante dans un comptoir.</v>
      </c>
    </row>
    <row r="1930">
      <c r="A1930" s="4" t="s">
        <v>2426</v>
      </c>
      <c r="B1930" s="4" t="s">
        <v>2428</v>
      </c>
      <c r="C1930" s="5" t="str">
        <f>IFERROR(__xludf.DUMMYFUNCTION("GOOGLETRANSLATE(B1930,""en"",""fr"")"),"Un coucher de soleil dans une plage et dans un lac est montré.")</f>
        <v>Un coucher de soleil dans une plage et dans un lac est montré.</v>
      </c>
    </row>
    <row r="1931">
      <c r="A1931" s="4" t="s">
        <v>2426</v>
      </c>
      <c r="B1931" s="4" t="s">
        <v>2429</v>
      </c>
      <c r="C1931" s="5" t="str">
        <f>IFERROR(__xludf.DUMMYFUNCTION("GOOGLETRANSLATE(B1931,""en"",""fr"")"),"Les gens font du kayak dans un lac qui passe le lac avec une grande végétation gren.")</f>
        <v>Les gens font du kayak dans un lac qui passe le lac avec une grande végétation gren.</v>
      </c>
    </row>
    <row r="1932">
      <c r="A1932" s="4" t="s">
        <v>2430</v>
      </c>
      <c r="B1932" s="4" t="s">
        <v>2431</v>
      </c>
      <c r="C1932" s="5" t="str">
        <f>IFERROR(__xludf.DUMMYFUNCTION("GOOGLETRANSLATE(B1932,""en"",""fr"")"),"Deux jeunes hommes sont montrés en courant et quatrième sur un tribunal frappant une balle de tennis.")</f>
        <v>Deux jeunes hommes sont montrés en courant et quatrième sur un tribunal frappant une balle de tennis.</v>
      </c>
    </row>
    <row r="1933">
      <c r="A1933" s="4" t="s">
        <v>2430</v>
      </c>
      <c r="B1933" s="4" t="s">
        <v>2432</v>
      </c>
      <c r="C1933" s="5" t="str">
        <f>IFERROR(__xludf.DUMMYFUNCTION("GOOGLETRANSLATE(B1933,""en"",""fr"")"),"Ils continuent de frapper le ballon contre le mur et de poursuivre le ballon.")</f>
        <v>Ils continuent de frapper le ballon contre le mur et de poursuivre le ballon.</v>
      </c>
    </row>
    <row r="1934">
      <c r="A1934" s="4" t="s">
        <v>2430</v>
      </c>
      <c r="B1934" s="4" t="s">
        <v>2433</v>
      </c>
      <c r="C1934" s="5" t="str">
        <f>IFERROR(__xludf.DUMMYFUNCTION("GOOGLETRANSLATE(B1934,""en"",""fr"")"),"On s'arrête et frappe le ballon sur sa raquette et le jette à nouveau pour que les garçons jouent.")</f>
        <v>On s'arrête et frappe le ballon sur sa raquette et le jette à nouveau pour que les garçons jouent.</v>
      </c>
    </row>
    <row r="1935">
      <c r="A1935" s="4" t="s">
        <v>2430</v>
      </c>
      <c r="B1935" s="4" t="s">
        <v>2434</v>
      </c>
      <c r="C1935" s="5" t="str">
        <f>IFERROR(__xludf.DUMMYFUNCTION("GOOGLETRANSLATE(B1935,""en"",""fr"")"),"L'un tombe sur le sol vers la fin et l'autre l'aide.")</f>
        <v>L'un tombe sur le sol vers la fin et l'autre l'aide.</v>
      </c>
    </row>
    <row r="1936">
      <c r="A1936" s="4" t="s">
        <v>2435</v>
      </c>
      <c r="B1936" s="4" t="s">
        <v>2436</v>
      </c>
      <c r="C1936" s="5" t="str">
        <f>IFERROR(__xludf.DUMMYFUNCTION("GOOGLETRANSLATE(B1936,""en"",""fr"")"),"Une femme parle à la caméra tout en baignant un bébé dans la baignoire.")</f>
        <v>Une femme parle à la caméra tout en baignant un bébé dans la baignoire.</v>
      </c>
    </row>
    <row r="1937">
      <c r="A1937" s="4" t="s">
        <v>2435</v>
      </c>
      <c r="B1937" s="4" t="s">
        <v>2437</v>
      </c>
      <c r="C1937" s="5" t="str">
        <f>IFERROR(__xludf.DUMMYFUNCTION("GOOGLETRANSLATE(B1937,""en"",""fr"")"),"La femme démontre un petit coussin de nettoyage à la caméra.")</f>
        <v>La femme démontre un petit coussin de nettoyage à la caméra.</v>
      </c>
    </row>
    <row r="1938">
      <c r="A1938" s="4" t="s">
        <v>2435</v>
      </c>
      <c r="B1938" s="4" t="s">
        <v>2438</v>
      </c>
      <c r="C1938" s="5" t="str">
        <f>IFERROR(__xludf.DUMMYFUNCTION("GOOGLETRANSLATE(B1938,""en"",""fr"")"),"La femme utilise le pad sur le bébé.")</f>
        <v>La femme utilise le pad sur le bébé.</v>
      </c>
    </row>
    <row r="1939">
      <c r="A1939" s="4" t="s">
        <v>2439</v>
      </c>
      <c r="B1939" s="4" t="s">
        <v>2440</v>
      </c>
      <c r="C1939" s="5" t="str">
        <f>IFERROR(__xludf.DUMMYFUNCTION("GOOGLETRANSLATE(B1939,""en"",""fr"")"),"Certaines personnes flottent sur l'océan sur un radeau jaune.")</f>
        <v>Certaines personnes flottent sur l'océan sur un radeau jaune.</v>
      </c>
    </row>
    <row r="1940">
      <c r="A1940" s="4" t="s">
        <v>2439</v>
      </c>
      <c r="B1940" s="4" t="s">
        <v>2441</v>
      </c>
      <c r="C1940" s="5" t="str">
        <f>IFERROR(__xludf.DUMMYFUNCTION("GOOGLETRANSLATE(B1940,""en"",""fr"")"),"Ils flottent par de gros rochers et des falaises.")</f>
        <v>Ils flottent par de gros rochers et des falaises.</v>
      </c>
    </row>
    <row r="1941">
      <c r="A1941" s="4" t="s">
        <v>2442</v>
      </c>
      <c r="B1941" s="4" t="s">
        <v>2443</v>
      </c>
      <c r="C1941" s="5" t="str">
        <f>IFERROR(__xludf.DUMMYFUNCTION("GOOGLETRANSLATE(B1941,""en"",""fr"")"),"Un homme est penché sur un tapis.")</f>
        <v>Un homme est penché sur un tapis.</v>
      </c>
    </row>
    <row r="1942">
      <c r="A1942" s="4" t="s">
        <v>2442</v>
      </c>
      <c r="B1942" s="4" t="s">
        <v>2444</v>
      </c>
      <c r="C1942" s="5" t="str">
        <f>IFERROR(__xludf.DUMMYFUNCTION("GOOGLETRANSLATE(B1942,""en"",""fr"")"),"Il prend un gros poids et le soulève au-dessus de sa tête.")</f>
        <v>Il prend un gros poids et le soulève au-dessus de sa tête.</v>
      </c>
    </row>
    <row r="1943">
      <c r="A1943" s="4" t="s">
        <v>2442</v>
      </c>
      <c r="B1943" s="4" t="s">
        <v>2445</v>
      </c>
      <c r="C1943" s="5" t="str">
        <f>IFERROR(__xludf.DUMMYFUNCTION("GOOGLETRANSLATE(B1943,""en"",""fr"")"),"Il laisse tomber le poids sur le sol.")</f>
        <v>Il laisse tomber le poids sur le sol.</v>
      </c>
    </row>
    <row r="1944">
      <c r="A1944" s="4" t="s">
        <v>2442</v>
      </c>
      <c r="B1944" s="4" t="s">
        <v>2446</v>
      </c>
      <c r="C1944" s="5" t="str">
        <f>IFERROR(__xludf.DUMMYFUNCTION("GOOGLETRANSLATE(B1944,""en"",""fr"")"),"Un homme en chemise bleue applaudie.")</f>
        <v>Un homme en chemise bleue applaudie.</v>
      </c>
    </row>
    <row r="1945">
      <c r="A1945" s="4" t="s">
        <v>2447</v>
      </c>
      <c r="B1945" s="4" t="s">
        <v>2448</v>
      </c>
      <c r="C1945" s="5" t="str">
        <f>IFERROR(__xludf.DUMMYFUNCTION("GOOGLETRANSLATE(B1945,""en"",""fr"")"),"Ce bébé frappe le ballon et tombe.")</f>
        <v>Ce bébé frappe le ballon et tombe.</v>
      </c>
    </row>
    <row r="1946">
      <c r="A1946" s="4" t="s">
        <v>2447</v>
      </c>
      <c r="B1946" s="4" t="s">
        <v>2449</v>
      </c>
      <c r="C1946" s="5" t="str">
        <f>IFERROR(__xludf.DUMMYFUNCTION("GOOGLETRANSLATE(B1946,""en"",""fr"")"),"Ensuite, il se relève et attrape le bâton pour tenter de frapper à nouveau le ballon.")</f>
        <v>Ensuite, il se relève et attrape le bâton pour tenter de frapper à nouveau le ballon.</v>
      </c>
    </row>
    <row r="1947">
      <c r="A1947" s="4" t="s">
        <v>2447</v>
      </c>
      <c r="B1947" s="6" t="s">
        <v>2450</v>
      </c>
      <c r="C1947" s="5" t="str">
        <f>IFERROR(__xludf.DUMMYFUNCTION("GOOGLETRANSLATE(B1947,""en"",""fr"")"),"Ensuite, il tombe à nouveau et se relève en tenant le bâton et il attrape le ballon en le frappant très loin.")</f>
        <v>Ensuite, il tombe à nouveau et se relève en tenant le bâton et il attrape le ballon en le frappant très loin.</v>
      </c>
    </row>
    <row r="1948">
      <c r="A1948" s="4" t="s">
        <v>2451</v>
      </c>
      <c r="B1948" s="4" t="s">
        <v>2452</v>
      </c>
      <c r="C1948" s="5" t="str">
        <f>IFERROR(__xludf.DUMMYFUNCTION("GOOGLETRANSLATE(B1948,""en"",""fr"")"),"Un parent tatouage son très petit enfant qui semble avoir environ 3 ans.")</f>
        <v>Un parent tatouage son très petit enfant qui semble avoir environ 3 ans.</v>
      </c>
    </row>
    <row r="1949">
      <c r="A1949" s="4" t="s">
        <v>2451</v>
      </c>
      <c r="B1949" s="6" t="s">
        <v>2453</v>
      </c>
      <c r="C1949" s="5" t="str">
        <f>IFERROR(__xludf.DUMMYFUNCTION("GOOGLETRANSLATE(B1949,""en"",""fr"")"),"Il pleure parce que ça fait mal et sa mère méchante le maintient retenu pendant qu'ils tatouent son bras.")</f>
        <v>Il pleure parce que ça fait mal et sa mère méchante le maintient retenu pendant qu'ils tatouent son bras.</v>
      </c>
    </row>
    <row r="1950">
      <c r="A1950" s="4" t="s">
        <v>2451</v>
      </c>
      <c r="B1950" s="4" t="s">
        <v>2454</v>
      </c>
      <c r="C1950" s="5" t="str">
        <f>IFERROR(__xludf.DUMMYFUNCTION("GOOGLETRANSLATE(B1950,""en"",""fr"")"),"Ils continuent avec le tatouage, c'est sur son bras, mais vous ne pouvez pas dire ce qu'ils tatouent.")</f>
        <v>Ils continuent avec le tatouage, c'est sur son bras, mais vous ne pouvez pas dire ce qu'ils tatouent.</v>
      </c>
    </row>
    <row r="1951">
      <c r="A1951" s="4" t="s">
        <v>2451</v>
      </c>
      <c r="B1951" s="4" t="s">
        <v>2455</v>
      </c>
      <c r="C1951" s="5" t="str">
        <f>IFERROR(__xludf.DUMMYFUNCTION("GOOGLETRANSLATE(B1951,""en"",""fr"")"),"L'artiste attrape quelque chose de vert et commence à le secouer.")</f>
        <v>L'artiste attrape quelque chose de vert et commence à le secouer.</v>
      </c>
    </row>
    <row r="1952">
      <c r="A1952" s="4" t="s">
        <v>2456</v>
      </c>
      <c r="B1952" s="6" t="s">
        <v>2457</v>
      </c>
      <c r="C1952" s="5" t="str">
        <f>IFERROR(__xludf.DUMMYFUNCTION("GOOGLETRANSLATE(B1952,""en"",""fr"")"),"Plusieurs personnes dans une piscine intérieure sautent d'une plongée dans l'eau de piscine en dessous présentant un mélange de techniques de plongée avancées et de mésaventures de techniques de plongée.")</f>
        <v>Plusieurs personnes dans une piscine intérieure sautent d'une plongée dans l'eau de piscine en dessous présentant un mélange de techniques de plongée avancées et de mésaventures de techniques de plongée.</v>
      </c>
    </row>
    <row r="1953">
      <c r="A1953" s="4" t="s">
        <v>2456</v>
      </c>
      <c r="B1953" s="6" t="s">
        <v>2458</v>
      </c>
      <c r="C1953" s="5" t="str">
        <f>IFERROR(__xludf.DUMMYFUNCTION("GOOGLETRANSLATE(B1953,""en"",""fr"")"),"Plusieurs plongeurs sautent de la plongée dans l'eau en dessous d'effectuer de nombreuses techniques, y compris des flips.")</f>
        <v>Plusieurs plongeurs sautent de la plongée dans l'eau en dessous d'effectuer de nombreuses techniques, y compris des flips.</v>
      </c>
    </row>
    <row r="1954">
      <c r="A1954" s="4" t="s">
        <v>2456</v>
      </c>
      <c r="B1954" s="4" t="s">
        <v>2459</v>
      </c>
      <c r="C1954" s="5" t="str">
        <f>IFERROR(__xludf.DUMMYFUNCTION("GOOGLETRANSLATE(B1954,""en"",""fr"")"),"De plus, des plongées moins réussies sont montrées vers la fin du clip avant que la scène ne se fanage de noir.")</f>
        <v>De plus, des plongées moins réussies sont montrées vers la fin du clip avant que la scène ne se fanage de noir.</v>
      </c>
    </row>
    <row r="1955">
      <c r="A1955" s="4" t="s">
        <v>2460</v>
      </c>
      <c r="B1955" s="6" t="s">
        <v>2461</v>
      </c>
      <c r="C1955" s="5" t="str">
        <f>IFERROR(__xludf.DUMMYFUNCTION("GOOGLETRANSLATE(B1955,""en"",""fr"")"),"Un homme est vu à genoux sur un tapis et démontrant comment faire un bon exercice mais déplacer ses bras et ses jambes.")</f>
        <v>Un homme est vu à genoux sur un tapis et démontrant comment faire un bon exercice mais déplacer ses bras et ses jambes.</v>
      </c>
    </row>
    <row r="1956">
      <c r="A1956" s="4" t="s">
        <v>2460</v>
      </c>
      <c r="B1956" s="4" t="s">
        <v>2462</v>
      </c>
      <c r="C1956" s="5" t="str">
        <f>IFERROR(__xludf.DUMMYFUNCTION("GOOGLETRANSLATE(B1956,""en"",""fr"")"),"L'homme recule et quatrième tout en déplaçant ses bras et ses jambes et parlant à la caméra.")</f>
        <v>L'homme recule et quatrième tout en déplaçant ses bras et ses jambes et parlant à la caméra.</v>
      </c>
    </row>
    <row r="1957">
      <c r="A1957" s="4" t="s">
        <v>2463</v>
      </c>
      <c r="B1957" s="4" t="s">
        <v>2464</v>
      </c>
      <c r="C1957" s="5" t="str">
        <f>IFERROR(__xludf.DUMMYFUNCTION("GOOGLETRANSLATE(B1957,""en"",""fr"")"),"Les gens font du vélo autour d'un piste de terre.")</f>
        <v>Les gens font du vélo autour d'un piste de terre.</v>
      </c>
    </row>
    <row r="1958">
      <c r="A1958" s="4" t="s">
        <v>2463</v>
      </c>
      <c r="B1958" s="4" t="s">
        <v>2465</v>
      </c>
      <c r="C1958" s="5" t="str">
        <f>IFERROR(__xludf.DUMMYFUNCTION("GOOGLETRANSLATE(B1958,""en"",""fr"")"),"Deux hommes s'écrasent et tombent.")</f>
        <v>Deux hommes s'écrasent et tombent.</v>
      </c>
    </row>
    <row r="1959">
      <c r="A1959" s="4" t="s">
        <v>2463</v>
      </c>
      <c r="B1959" s="4" t="s">
        <v>2466</v>
      </c>
      <c r="C1959" s="5" t="str">
        <f>IFERROR(__xludf.DUMMYFUNCTION("GOOGLETRANSLATE(B1959,""en"",""fr"")"),"Plusieurs personnes s'écrasent et tombent sur la piste.")</f>
        <v>Plusieurs personnes s'écrasent et tombent sur la piste.</v>
      </c>
    </row>
    <row r="1960">
      <c r="A1960" s="4" t="s">
        <v>2467</v>
      </c>
      <c r="B1960" s="4" t="s">
        <v>2468</v>
      </c>
      <c r="C1960" s="5" t="str">
        <f>IFERROR(__xludf.DUMMYFUNCTION("GOOGLETRANSLATE(B1960,""en"",""fr"")"),"Les gens interagissent dans un champ de piste.")</f>
        <v>Les gens interagissent dans un champ de piste.</v>
      </c>
    </row>
    <row r="1961">
      <c r="A1961" s="4" t="s">
        <v>2467</v>
      </c>
      <c r="B1961" s="4" t="s">
        <v>2469</v>
      </c>
      <c r="C1961" s="5" t="str">
        <f>IFERROR(__xludf.DUMMYFUNCTION("GOOGLETRANSLATE(B1961,""en"",""fr"")"),"La fanfare marche avec leurs instruments sur une piste.")</f>
        <v>La fanfare marche avec leurs instruments sur une piste.</v>
      </c>
    </row>
    <row r="1962">
      <c r="A1962" s="4" t="s">
        <v>2467</v>
      </c>
      <c r="B1962" s="4" t="s">
        <v>2470</v>
      </c>
      <c r="C1962" s="5" t="str">
        <f>IFERROR(__xludf.DUMMYFUNCTION("GOOGLETRANSLATE(B1962,""en"",""fr"")"),"Les batteurs se produisent pendant qu'ils marchent.")</f>
        <v>Les batteurs se produisent pendant qu'ils marchent.</v>
      </c>
    </row>
    <row r="1963">
      <c r="A1963" s="4" t="s">
        <v>2471</v>
      </c>
      <c r="B1963" s="4" t="s">
        <v>2472</v>
      </c>
      <c r="C1963" s="5" t="str">
        <f>IFERROR(__xludf.DUMMYFUNCTION("GOOGLETRANSLATE(B1963,""en"",""fr"")"),"Une femme est assise sur un lit dans une chambre.")</f>
        <v>Une femme est assise sur un lit dans une chambre.</v>
      </c>
    </row>
    <row r="1964">
      <c r="A1964" s="4" t="s">
        <v>2471</v>
      </c>
      <c r="B1964" s="4" t="s">
        <v>2473</v>
      </c>
      <c r="C1964" s="5" t="str">
        <f>IFERROR(__xludf.DUMMYFUNCTION("GOOGLETRANSLATE(B1964,""en"",""fr"")"),"Elle passe ses mains dans ses cheveux pendant qu'elle parle.")</f>
        <v>Elle passe ses mains dans ses cheveux pendant qu'elle parle.</v>
      </c>
    </row>
    <row r="1965">
      <c r="A1965" s="4" t="s">
        <v>2471</v>
      </c>
      <c r="B1965" s="4" t="s">
        <v>2474</v>
      </c>
      <c r="C1965" s="5" t="str">
        <f>IFERROR(__xludf.DUMMYFUNCTION("GOOGLETRANSLATE(B1965,""en"",""fr"")"),"Elle ouvre un boîtier de cigarettes et fume une cigarette pendant qu'elle parle.")</f>
        <v>Elle ouvre un boîtier de cigarettes et fume une cigarette pendant qu'elle parle.</v>
      </c>
    </row>
    <row r="1966">
      <c r="A1966" s="4" t="s">
        <v>2475</v>
      </c>
      <c r="B1966" s="4" t="s">
        <v>2476</v>
      </c>
      <c r="C1966" s="5" t="str">
        <f>IFERROR(__xludf.DUMMYFUNCTION("GOOGLETRANSLATE(B1966,""en"",""fr"")"),"Les femmes en bikinis jouent au volleyball sur la plage.")</f>
        <v>Les femmes en bikinis jouent au volleyball sur la plage.</v>
      </c>
    </row>
    <row r="1967">
      <c r="A1967" s="4" t="s">
        <v>2475</v>
      </c>
      <c r="B1967" s="4" t="s">
        <v>2477</v>
      </c>
      <c r="C1967" s="5" t="str">
        <f>IFERROR(__xludf.DUMMYFUNCTION("GOOGLETRANSLATE(B1967,""en"",""fr"")"),"L'une des femmes tombe sur le sable.")</f>
        <v>L'une des femmes tombe sur le sable.</v>
      </c>
    </row>
    <row r="1968">
      <c r="A1968" s="4" t="s">
        <v>2475</v>
      </c>
      <c r="B1968" s="4" t="s">
        <v>2478</v>
      </c>
      <c r="C1968" s="5" t="str">
        <f>IFERROR(__xludf.DUMMYFUNCTION("GOOGLETRANSLATE(B1968,""en"",""fr"")"),"Ils posent pour une photo sur la plage.")</f>
        <v>Ils posent pour une photo sur la plage.</v>
      </c>
    </row>
    <row r="1969">
      <c r="A1969" s="4" t="s">
        <v>2479</v>
      </c>
      <c r="B1969" s="4" t="s">
        <v>2480</v>
      </c>
      <c r="C1969" s="5" t="str">
        <f>IFERROR(__xludf.DUMMYFUNCTION("GOOGLETRANSLATE(B1969,""en"",""fr"")"),"Nous voyons deux écrans de titre d'ouverture.")</f>
        <v>Nous voyons deux écrans de titre d'ouverture.</v>
      </c>
    </row>
    <row r="1970">
      <c r="A1970" s="4" t="s">
        <v>2479</v>
      </c>
      <c r="B1970" s="4" t="s">
        <v>2481</v>
      </c>
      <c r="C1970" s="5" t="str">
        <f>IFERROR(__xludf.DUMMYFUNCTION("GOOGLETRANSLATE(B1970,""en"",""fr"")"),"Nous voyons un homme derrière un bar parler.")</f>
        <v>Nous voyons un homme derrière un bar parler.</v>
      </c>
    </row>
    <row r="1971">
      <c r="A1971" s="4" t="s">
        <v>2479</v>
      </c>
      <c r="B1971" s="4" t="s">
        <v>2482</v>
      </c>
      <c r="C1971" s="5" t="str">
        <f>IFERROR(__xludf.DUMMYFUNCTION("GOOGLETRANSLATE(B1971,""en"",""fr"")"),"L'homme ajoute de la glace à un verre Martin et à un grand verre.")</f>
        <v>L'homme ajoute de la glace à un verre Martin et à un grand verre.</v>
      </c>
    </row>
    <row r="1972">
      <c r="A1972" s="4" t="s">
        <v>2479</v>
      </c>
      <c r="B1972" s="4" t="s">
        <v>2483</v>
      </c>
      <c r="C1972" s="5" t="str">
        <f>IFERROR(__xludf.DUMMYFUNCTION("GOOGLETRANSLATE(B1972,""en"",""fr"")"),"L'homme ajoute trois coups au verre et le secoue.")</f>
        <v>L'homme ajoute trois coups au verre et le secoue.</v>
      </c>
    </row>
    <row r="1973">
      <c r="A1973" s="4" t="s">
        <v>2479</v>
      </c>
      <c r="B1973" s="4" t="s">
        <v>2484</v>
      </c>
      <c r="C1973" s="5" t="str">
        <f>IFERROR(__xludf.DUMMYFUNCTION("GOOGLETRANSLATE(B1973,""en"",""fr"")"),"L'homme met une passoire sur le verre et verse la glace du verre martini.")</f>
        <v>L'homme met une passoire sur le verre et verse la glace du verre martini.</v>
      </c>
    </row>
    <row r="1974">
      <c r="A1974" s="4" t="s">
        <v>2479</v>
      </c>
      <c r="B1974" s="4" t="s">
        <v>2485</v>
      </c>
      <c r="C1974" s="5" t="str">
        <f>IFERROR(__xludf.DUMMYFUNCTION("GOOGLETRANSLATE(B1974,""en"",""fr"")"),"L'homme verse la boisson verte de citron vert dans le verre martini et ajoute une cerise et une paille.")</f>
        <v>L'homme verse la boisson verte de citron vert dans le verre martini et ajoute une cerise et une paille.</v>
      </c>
    </row>
    <row r="1975">
      <c r="A1975" s="4" t="s">
        <v>2479</v>
      </c>
      <c r="B1975" s="4" t="s">
        <v>2486</v>
      </c>
      <c r="C1975" s="5" t="str">
        <f>IFERROR(__xludf.DUMMYFUNCTION("GOOGLETRANSLATE(B1975,""en"",""fr"")"),"Nous voyons l'écran de clôture.")</f>
        <v>Nous voyons l'écran de clôture.</v>
      </c>
    </row>
    <row r="1976">
      <c r="A1976" s="4" t="s">
        <v>2487</v>
      </c>
      <c r="B1976" s="4" t="s">
        <v>2488</v>
      </c>
      <c r="C1976" s="5" t="str">
        <f>IFERROR(__xludf.DUMMYFUNCTION("GOOGLETRANSLATE(B1976,""en"",""fr"")"),"Un homme âgé met en place son appareil photo, puis part pour monter sur sa tondeuse d'équitation.")</f>
        <v>Un homme âgé met en place son appareil photo, puis part pour monter sur sa tondeuse d'équitation.</v>
      </c>
    </row>
    <row r="1977">
      <c r="A1977" s="4" t="s">
        <v>2487</v>
      </c>
      <c r="B1977" s="4" t="s">
        <v>2489</v>
      </c>
      <c r="C1977" s="5" t="str">
        <f>IFERROR(__xludf.DUMMYFUNCTION("GOOGLETRANSLATE(B1977,""en"",""fr"")"),"Il apparaît sur le côté gauche qui roule sur le trottoir jusqu'à ce qu'il atteigne sa pelouse.")</f>
        <v>Il apparaît sur le côté gauche qui roule sur le trottoir jusqu'à ce qu'il atteigne sa pelouse.</v>
      </c>
    </row>
    <row r="1978">
      <c r="A1978" s="4" t="s">
        <v>2487</v>
      </c>
      <c r="B1978" s="6" t="s">
        <v>2490</v>
      </c>
      <c r="C1978" s="5" t="str">
        <f>IFERROR(__xludf.DUMMYFUNCTION("GOOGLETRANSLATE(B1978,""en"",""fr"")"),"Il fait un virage et commence à travailler à travers l'herbe, en allant en rond jusqu'à ce qu'il atteigne le centre de la pelouse.")</f>
        <v>Il fait un virage et commence à travailler à travers l'herbe, en allant en rond jusqu'à ce qu'il atteigne le centre de la pelouse.</v>
      </c>
    </row>
    <row r="1979">
      <c r="A1979" s="4" t="s">
        <v>2487</v>
      </c>
      <c r="B1979" s="4" t="s">
        <v>2491</v>
      </c>
      <c r="C1979" s="5" t="str">
        <f>IFERROR(__xludf.DUMMYFUNCTION("GOOGLETRANSLATE(B1979,""en"",""fr"")"),"Il remonte ensuite et atteint une petite parcelle d'herbe qu'il a ratée la première fois.")</f>
        <v>Il remonte ensuite et atteint une petite parcelle d'herbe qu'il a ratée la première fois.</v>
      </c>
    </row>
    <row r="1980">
      <c r="A1980" s="4" t="s">
        <v>2487</v>
      </c>
      <c r="B1980" s="6" t="s">
        <v>2492</v>
      </c>
      <c r="C1980" s="5" t="str">
        <f>IFERROR(__xludf.DUMMYFUNCTION("GOOGLETRANSLATE(B1980,""en"",""fr"")"),"Il remonte à une fois de plus en s'assurant qu'il n'a manqué aucun point et sort de sa tondeuse à gazon pour éteindre la caméra.")</f>
        <v>Il remonte à une fois de plus en s'assurant qu'il n'a manqué aucun point et sort de sa tondeuse à gazon pour éteindre la caméra.</v>
      </c>
    </row>
    <row r="1981">
      <c r="A1981" s="4" t="s">
        <v>2493</v>
      </c>
      <c r="B1981" s="4" t="s">
        <v>2494</v>
      </c>
      <c r="C1981" s="5" t="str">
        <f>IFERROR(__xludf.DUMMYFUNCTION("GOOGLETRANSLATE(B1981,""en"",""fr"")"),"Les flocons de neige sont représentés tombant sur l'écran avant de voir un arbre de Noël.")</f>
        <v>Les flocons de neige sont représentés tombant sur l'écran avant de voir un arbre de Noël.</v>
      </c>
    </row>
    <row r="1982">
      <c r="A1982" s="4" t="s">
        <v>2493</v>
      </c>
      <c r="B1982" s="4" t="s">
        <v>2495</v>
      </c>
      <c r="C1982" s="5" t="str">
        <f>IFERROR(__xludf.DUMMYFUNCTION("GOOGLETRANSLATE(B1982,""en"",""fr"")"),"Une femme parle avant de commencer à préparer et à décorer l'arbre.")</f>
        <v>Une femme parle avant de commencer à préparer et à décorer l'arbre.</v>
      </c>
    </row>
    <row r="1983">
      <c r="A1983" s="4" t="s">
        <v>2493</v>
      </c>
      <c r="B1983" s="6" t="s">
        <v>2496</v>
      </c>
      <c r="C1983" s="5" t="str">
        <f>IFERROR(__xludf.DUMMYFUNCTION("GOOGLETRANSLATE(B1983,""en"",""fr"")"),"Elle applique une pléthore d'ornements et de lumières, et l'arbre est montré plusieurs états de décoration différents.")</f>
        <v>Elle applique une pléthore d'ornements et de lumières, et l'arbre est montré plusieurs états de décoration différents.</v>
      </c>
    </row>
    <row r="1984">
      <c r="A1984" s="4" t="s">
        <v>2497</v>
      </c>
      <c r="B1984" s="4" t="s">
        <v>2498</v>
      </c>
      <c r="C1984" s="5" t="str">
        <f>IFERROR(__xludf.DUMMYFUNCTION("GOOGLETRANSLATE(B1984,""en"",""fr"")"),"Deux personnes sont vues debout autour d'une salle de sport frappant un birdie les unes aux autres.")</f>
        <v>Deux personnes sont vues debout autour d'une salle de sport frappant un birdie les unes aux autres.</v>
      </c>
    </row>
    <row r="1985">
      <c r="A1985" s="4" t="s">
        <v>2497</v>
      </c>
      <c r="B1985" s="4" t="s">
        <v>2499</v>
      </c>
      <c r="C1985" s="5" t="str">
        <f>IFERROR(__xludf.DUMMYFUNCTION("GOOGLETRANSLATE(B1985,""en"",""fr"")"),"Les hommes ont frappé l'objet en arrière et quatrième tandis que d'autres regardent sur le côté.")</f>
        <v>Les hommes ont frappé l'objet en arrière et quatrième tandis que d'autres regardent sur le côté.</v>
      </c>
    </row>
    <row r="1986">
      <c r="A1986" s="4" t="s">
        <v>2497</v>
      </c>
      <c r="B1986" s="4" t="s">
        <v>2500</v>
      </c>
      <c r="C1986" s="5" t="str">
        <f>IFERROR(__xludf.DUMMYFUNCTION("GOOGLETRANSLATE(B1986,""en"",""fr"")"),"Les gens continuent de regarder les deux jouer et un sur le côté enlève sa chemise.")</f>
        <v>Les gens continuent de regarder les deux jouer et un sur le côté enlève sa chemise.</v>
      </c>
    </row>
    <row r="1987">
      <c r="A1987" s="4" t="s">
        <v>2501</v>
      </c>
      <c r="B1987" s="4" t="s">
        <v>2502</v>
      </c>
      <c r="C1987" s="5" t="str">
        <f>IFERROR(__xludf.DUMMYFUNCTION("GOOGLETRANSLATE(B1987,""en"",""fr"")"),"Un groupe de personnes est à l'extérieur de jouer à un jeu de croquet dans la cour.")</f>
        <v>Un groupe de personnes est à l'extérieur de jouer à un jeu de croquet dans la cour.</v>
      </c>
    </row>
    <row r="1988">
      <c r="A1988" s="4" t="s">
        <v>2501</v>
      </c>
      <c r="B1988" s="4" t="s">
        <v>2503</v>
      </c>
      <c r="C1988" s="5" t="str">
        <f>IFERROR(__xludf.DUMMYFUNCTION("GOOGLETRANSLATE(B1988,""en"",""fr"")"),"L'une des femmes en kirt a sa main derrière son dos juste en les regardant jouer.")</f>
        <v>L'une des femmes en kirt a sa main derrière son dos juste en les regardant jouer.</v>
      </c>
    </row>
    <row r="1989">
      <c r="A1989" s="4" t="s">
        <v>2501</v>
      </c>
      <c r="B1989" s="4" t="s">
        <v>2504</v>
      </c>
      <c r="C1989" s="5" t="str">
        <f>IFERROR(__xludf.DUMMYFUNCTION("GOOGLETRANSLATE(B1989,""en"",""fr"")"),"L'autre femme est la seule femme à jouer, elle prend son tour, puis elle est de retour aux hommes.")</f>
        <v>L'autre femme est la seule femme à jouer, elle prend son tour, puis elle est de retour aux hommes.</v>
      </c>
    </row>
    <row r="1990">
      <c r="A1990" s="4" t="s">
        <v>2501</v>
      </c>
      <c r="B1990" s="4" t="s">
        <v>2505</v>
      </c>
      <c r="C1990" s="5" t="str">
        <f>IFERROR(__xludf.DUMMYFUNCTION("GOOGLETRANSLATE(B1990,""en"",""fr"")"),"L'homme en sandales a frappé la balle noire, puis c'est une fois de plus le tour de la femme.")</f>
        <v>L'homme en sandales a frappé la balle noire, puis c'est une fois de plus le tour de la femme.</v>
      </c>
    </row>
    <row r="1991">
      <c r="A1991" s="4" t="s">
        <v>2506</v>
      </c>
      <c r="B1991" s="4" t="s">
        <v>2507</v>
      </c>
      <c r="C1991" s="5" t="str">
        <f>IFERROR(__xludf.DUMMYFUNCTION("GOOGLETRANSLATE(B1991,""en"",""fr"")"),"Un homme s'approche et prend un poids.")</f>
        <v>Un homme s'approche et prend un poids.</v>
      </c>
    </row>
    <row r="1992">
      <c r="A1992" s="4" t="s">
        <v>2506</v>
      </c>
      <c r="B1992" s="4" t="s">
        <v>2508</v>
      </c>
      <c r="C1992" s="5" t="str">
        <f>IFERROR(__xludf.DUMMYFUNCTION("GOOGLETRANSLATE(B1992,""en"",""fr"")"),"Il le soulève jusqu'à ses épaules puis au-dessus de sa tête.")</f>
        <v>Il le soulève jusqu'à ses épaules puis au-dessus de sa tête.</v>
      </c>
    </row>
    <row r="1993">
      <c r="A1993" s="4" t="s">
        <v>2506</v>
      </c>
      <c r="B1993" s="4" t="s">
        <v>2509</v>
      </c>
      <c r="C1993" s="5" t="str">
        <f>IFERROR(__xludf.DUMMYFUNCTION("GOOGLETRANSLATE(B1993,""en"",""fr"")"),"Une personne se lève et met son poing en l'air.")</f>
        <v>Une personne se lève et met son poing en l'air.</v>
      </c>
    </row>
    <row r="1994">
      <c r="A1994" s="4" t="s">
        <v>2506</v>
      </c>
      <c r="B1994" s="4" t="s">
        <v>2510</v>
      </c>
      <c r="C1994" s="5" t="str">
        <f>IFERROR(__xludf.DUMMYFUNCTION("GOOGLETRANSLATE(B1994,""en"",""fr"")"),"Un autre homme à côté de lui prend un poids et le soulève au-dessus de sa tête.")</f>
        <v>Un autre homme à côté de lui prend un poids et le soulève au-dessus de sa tête.</v>
      </c>
    </row>
    <row r="1995">
      <c r="A1995" s="4" t="s">
        <v>2506</v>
      </c>
      <c r="B1995" s="4" t="s">
        <v>2511</v>
      </c>
      <c r="C1995" s="5" t="str">
        <f>IFERROR(__xludf.DUMMYFUNCTION("GOOGLETRANSLATE(B1995,""en"",""fr"")"),"Les hommes se serrent la main avant de s'éloigner.")</f>
        <v>Les hommes se serrent la main avant de s'éloigner.</v>
      </c>
    </row>
    <row r="1996">
      <c r="A1996" s="4" t="s">
        <v>2512</v>
      </c>
      <c r="B1996" s="4" t="s">
        <v>2513</v>
      </c>
      <c r="C1996" s="5" t="str">
        <f>IFERROR(__xludf.DUMMYFUNCTION("GOOGLETRANSLATE(B1996,""en"",""fr"")"),"Un homme est vu debout dans un sable et commence à tourner et à lancer l'objet.")</f>
        <v>Un homme est vu debout dans un sable et commence à tourner et à lancer l'objet.</v>
      </c>
    </row>
    <row r="1997">
      <c r="A1997" s="4" t="s">
        <v>2512</v>
      </c>
      <c r="B1997" s="4" t="s">
        <v>2514</v>
      </c>
      <c r="C1997" s="5" t="str">
        <f>IFERROR(__xludf.DUMMYFUNCTION("GOOGLETRANSLATE(B1997,""en"",""fr"")"),"L'homme est montré plusieurs fois en tournant et en jetant l'objet au loin.")</f>
        <v>L'homme est montré plusieurs fois en tournant et en jetant l'objet au loin.</v>
      </c>
    </row>
    <row r="1998">
      <c r="A1998" s="4" t="s">
        <v>2515</v>
      </c>
      <c r="B1998" s="4" t="s">
        <v>2516</v>
      </c>
      <c r="C1998" s="5" t="str">
        <f>IFERROR(__xludf.DUMMYFUNCTION("GOOGLETRANSLATE(B1998,""en"",""fr"")"),"Une entreprise de vélo montre ses vélos et comment les réparer.")</f>
        <v>Une entreprise de vélo montre ses vélos et comment les réparer.</v>
      </c>
    </row>
    <row r="1999">
      <c r="A1999" s="4" t="s">
        <v>2515</v>
      </c>
      <c r="B1999" s="4" t="s">
        <v>2517</v>
      </c>
      <c r="C1999" s="5" t="str">
        <f>IFERROR(__xludf.DUMMYFUNCTION("GOOGLETRANSLATE(B1999,""en"",""fr"")"),"Il y a une intro du logo de la compagnie de vélo.")</f>
        <v>Il y a une intro du logo de la compagnie de vélo.</v>
      </c>
    </row>
    <row r="2000">
      <c r="A2000" s="4" t="s">
        <v>2515</v>
      </c>
      <c r="B2000" s="4" t="s">
        <v>2518</v>
      </c>
      <c r="C2000" s="5" t="str">
        <f>IFERROR(__xludf.DUMMYFUNCTION("GOOGLETRANSLATE(B2000,""en"",""fr"")"),"Ensuite, un homme donne un rapide coup de main sur les vélos.")</f>
        <v>Ensuite, un homme donne un rapide coup de main sur les vélos.</v>
      </c>
    </row>
    <row r="2001">
      <c r="A2001" s="4" t="s">
        <v>2515</v>
      </c>
      <c r="B2001" s="4" t="s">
        <v>2519</v>
      </c>
      <c r="C2001" s="5" t="str">
        <f>IFERROR(__xludf.DUMMYFUNCTION("GOOGLETRANSLATE(B2001,""en"",""fr"")"),"Une personne avec des gants montre ensuite certains outils et coller.")</f>
        <v>Une personne avec des gants montre ensuite certains outils et coller.</v>
      </c>
    </row>
    <row r="2002">
      <c r="A2002" s="4" t="s">
        <v>2515</v>
      </c>
      <c r="B2002" s="4" t="s">
        <v>2520</v>
      </c>
      <c r="C2002" s="5" t="str">
        <f>IFERROR(__xludf.DUMMYFUNCTION("GOOGLETRANSLATE(B2002,""en"",""fr"")"),"Il utilise ensuite les outils et coller pour réparer la poignée du vélo.")</f>
        <v>Il utilise ensuite les outils et coller pour réparer la poignée du vélo.</v>
      </c>
    </row>
    <row r="2003">
      <c r="A2003" s="4" t="s">
        <v>2515</v>
      </c>
      <c r="B2003" s="4" t="s">
        <v>2521</v>
      </c>
      <c r="C2003" s="5" t="str">
        <f>IFERROR(__xludf.DUMMYFUNCTION("GOOGLETRANSLATE(B2003,""en"",""fr"")"),"La personne montre ensuite le produit fini d'une poignée entièrement réglable.")</f>
        <v>La personne montre ensuite le produit fini d'une poignée entièrement réglable.</v>
      </c>
    </row>
    <row r="2004">
      <c r="A2004" s="4" t="s">
        <v>2515</v>
      </c>
      <c r="B2004" s="4" t="s">
        <v>2522</v>
      </c>
      <c r="C2004" s="5" t="str">
        <f>IFERROR(__xludf.DUMMYFUNCTION("GOOGLETRANSLATE(B2004,""en"",""fr"")"),"L'écran de fin montre à nouveau le logo de la compagnie de vélo.")</f>
        <v>L'écran de fin montre à nouveau le logo de la compagnie de vélo.</v>
      </c>
    </row>
    <row r="2005">
      <c r="A2005" s="4" t="s">
        <v>2523</v>
      </c>
      <c r="B2005" s="4" t="s">
        <v>2524</v>
      </c>
      <c r="C2005" s="5" t="str">
        <f>IFERROR(__xludf.DUMMYFUNCTION("GOOGLETRANSLATE(B2005,""en"",""fr"")"),"Une personne en pantalon bleu tente d'empiler un gars en costume rose.")</f>
        <v>Une personne en pantalon bleu tente d'empiler un gars en costume rose.</v>
      </c>
    </row>
    <row r="2006">
      <c r="A2006" s="4" t="s">
        <v>2523</v>
      </c>
      <c r="B2006" s="4" t="s">
        <v>2525</v>
      </c>
      <c r="C2006" s="5" t="str">
        <f>IFERROR(__xludf.DUMMYFUNCTION("GOOGLETRANSLATE(B2006,""en"",""fr"")"),"Le gars en costume rose se venge.")</f>
        <v>Le gars en costume rose se venge.</v>
      </c>
    </row>
    <row r="2007">
      <c r="A2007" s="4" t="s">
        <v>2526</v>
      </c>
      <c r="B2007" s="4" t="s">
        <v>2527</v>
      </c>
      <c r="C2007" s="5" t="str">
        <f>IFERROR(__xludf.DUMMYFUNCTION("GOOGLETRANSLATE(B2007,""en"",""fr"")"),"Un grand groupe de personnes est vu rouler le long de l'eau sur des bateaux.")</f>
        <v>Un grand groupe de personnes est vu rouler le long de l'eau sur des bateaux.</v>
      </c>
    </row>
    <row r="2008">
      <c r="A2008" s="4" t="s">
        <v>2526</v>
      </c>
      <c r="B2008" s="4" t="s">
        <v>2528</v>
      </c>
      <c r="C2008" s="5" t="str">
        <f>IFERROR(__xludf.DUMMYFUNCTION("GOOGLETRANSLATE(B2008,""en"",""fr"")"),"Une personne s'écrase dans une autre et montre une personne s'adressant à la caméra.")</f>
        <v>Une personne s'écrase dans une autre et montre une personne s'adressant à la caméra.</v>
      </c>
    </row>
    <row r="2009">
      <c r="A2009" s="4" t="s">
        <v>2526</v>
      </c>
      <c r="B2009" s="4" t="s">
        <v>2529</v>
      </c>
      <c r="C2009" s="5" t="str">
        <f>IFERROR(__xludf.DUMMYFUNCTION("GOOGLETRANSLATE(B2009,""en"",""fr"")"),"Plus de clips sont montrés des bateaux ensemble et les logos sont affichés.")</f>
        <v>Plus de clips sont montrés des bateaux ensemble et les logos sont affichés.</v>
      </c>
    </row>
    <row r="2010">
      <c r="A2010" s="4" t="s">
        <v>2530</v>
      </c>
      <c r="B2010" s="6" t="s">
        <v>2531</v>
      </c>
      <c r="C2010" s="5" t="str">
        <f>IFERROR(__xludf.DUMMYFUNCTION("GOOGLETRANSLATE(B2010,""en"",""fr"")"),"Un grand groupe de personnes est vue debout autour d'une piste menant à plusieurs personnes qui courent sur la route.")</f>
        <v>Un grand groupe de personnes est vue debout autour d'une piste menant à plusieurs personnes qui courent sur la route.</v>
      </c>
    </row>
    <row r="2011">
      <c r="A2011" s="4" t="s">
        <v>2530</v>
      </c>
      <c r="B2011" s="6" t="s">
        <v>2532</v>
      </c>
      <c r="C2011" s="5" t="str">
        <f>IFERROR(__xludf.DUMMYFUNCTION("GOOGLETRANSLATE(B2011,""en"",""fr"")"),"Une femme est vue en parlant à la caméra tandis que plusieurs personnes sont vues courir et boire de l'eau.")</f>
        <v>Une femme est vue en parlant à la caméra tandis que plusieurs personnes sont vues courir et boire de l'eau.</v>
      </c>
    </row>
    <row r="2012">
      <c r="A2012" s="4" t="s">
        <v>2530</v>
      </c>
      <c r="B2012" s="4" t="s">
        <v>2533</v>
      </c>
      <c r="C2012" s="5" t="str">
        <f>IFERROR(__xludf.DUMMYFUNCTION("GOOGLETRANSLATE(B2012,""en"",""fr"")"),"Plus de gens qui parlent à la caméra tout en les montrant à différents endroits.")</f>
        <v>Plus de gens qui parlent à la caméra tout en les montrant à différents endroits.</v>
      </c>
    </row>
    <row r="2013">
      <c r="A2013" s="4" t="s">
        <v>2534</v>
      </c>
      <c r="B2013" s="4" t="s">
        <v>2535</v>
      </c>
      <c r="C2013" s="5" t="str">
        <f>IFERROR(__xludf.DUMMYFUNCTION("GOOGLETRANSLATE(B2013,""en"",""fr"")"),"Il y a cinq dames qui jouent à un jeu de palets dans un terrain de shuffleboard intérieur.")</f>
        <v>Il y a cinq dames qui jouent à un jeu de palets dans un terrain de shuffleboard intérieur.</v>
      </c>
    </row>
    <row r="2014">
      <c r="A2014" s="4" t="s">
        <v>2534</v>
      </c>
      <c r="B2014" s="6" t="s">
        <v>2536</v>
      </c>
      <c r="C2014" s="5" t="str">
        <f>IFERROR(__xludf.DUMMYFUNCTION("GOOGLETRANSLATE(B2014,""en"",""fr"")"),"Il y a trois femmes en vert et deux femmes vêtues de chemises de couleur crème qui jouent les unes contre les autres.")</f>
        <v>Il y a trois femmes en vert et deux femmes vêtues de chemises de couleur crème qui jouent les unes contre les autres.</v>
      </c>
    </row>
    <row r="2015">
      <c r="A2015" s="4" t="s">
        <v>2534</v>
      </c>
      <c r="B2015" s="6" t="s">
        <v>2537</v>
      </c>
      <c r="C2015" s="5" t="str">
        <f>IFERROR(__xludf.DUMMYFUNCTION("GOOGLETRANSLATE(B2015,""en"",""fr"")"),"Une dame de l'équipe verte commence à viser le bâton à frapper la rondelle tandis qu'un autre membre de l'équipe l'aide à réorganiser les rondelles.")</f>
        <v>Une dame de l'équipe verte commence à viser le bâton à frapper la rondelle tandis qu'un autre membre de l'équipe l'aide à réorganiser les rondelles.</v>
      </c>
    </row>
    <row r="2016">
      <c r="A2016" s="4" t="s">
        <v>2534</v>
      </c>
      <c r="B2016" s="4" t="s">
        <v>2538</v>
      </c>
      <c r="C2016" s="5" t="str">
        <f>IFERROR(__xludf.DUMMYFUNCTION("GOOGLETRANSLATE(B2016,""en"",""fr"")"),"Puis elle tire la rondelle avec le bâton et recule pour donner une chance à son adversaire.")</f>
        <v>Puis elle tire la rondelle avec le bâton et recule pour donner une chance à son adversaire.</v>
      </c>
    </row>
    <row r="2017">
      <c r="A2017" s="4" t="s">
        <v>2534</v>
      </c>
      <c r="B2017" s="4" t="s">
        <v>2539</v>
      </c>
      <c r="C2017" s="5" t="str">
        <f>IFERROR(__xludf.DUMMYFUNCTION("GOOGLETRANSLATE(B2017,""en"",""fr"")"),"Un joueur de l'équipe de crème frappe ensuite la rondelle avec son bâton mais n'a pas beaucoup de succès.")</f>
        <v>Un joueur de l'équipe de crème frappe ensuite la rondelle avec son bâton mais n'a pas beaucoup de succès.</v>
      </c>
    </row>
    <row r="2018">
      <c r="A2018" s="4" t="s">
        <v>2534</v>
      </c>
      <c r="B2018" s="4" t="s">
        <v>2540</v>
      </c>
      <c r="C2018" s="5" t="str">
        <f>IFERROR(__xludf.DUMMYFUNCTION("GOOGLETRANSLATE(B2018,""en"",""fr"")"),"Un homme intervient et remplace la rondelle sur le panneau de palet.")</f>
        <v>Un homme intervient et remplace la rondelle sur le panneau de palet.</v>
      </c>
    </row>
    <row r="2019">
      <c r="A2019" s="4" t="s">
        <v>2534</v>
      </c>
      <c r="B2019" s="4" t="s">
        <v>2541</v>
      </c>
      <c r="C2019" s="5" t="str">
        <f>IFERROR(__xludf.DUMMYFUNCTION("GOOGLETRANSLATE(B2019,""en"",""fr"")"),"Ensuite, un autre joueur de l'équipe verte se présente pour jouer.")</f>
        <v>Ensuite, un autre joueur de l'équipe verte se présente pour jouer.</v>
      </c>
    </row>
    <row r="2020">
      <c r="A2020" s="4" t="s">
        <v>2542</v>
      </c>
      <c r="B2020" s="4" t="s">
        <v>2543</v>
      </c>
      <c r="C2020" s="5" t="str">
        <f>IFERROR(__xludf.DUMMYFUNCTION("GOOGLETRANSLATE(B2020,""en"",""fr"")"),"Un homme porte un tablier et se tient debout dans sa cuisine.")</f>
        <v>Un homme porte un tablier et se tient debout dans sa cuisine.</v>
      </c>
    </row>
    <row r="2021">
      <c r="A2021" s="4" t="s">
        <v>2542</v>
      </c>
      <c r="B2021" s="4" t="s">
        <v>2544</v>
      </c>
      <c r="C2021" s="5" t="str">
        <f>IFERROR(__xludf.DUMMYFUNCTION("GOOGLETRANSLATE(B2021,""en"",""fr"")"),"Plusieurs aliments dans des bols sont affichés.")</f>
        <v>Plusieurs aliments dans des bols sont affichés.</v>
      </c>
    </row>
    <row r="2022">
      <c r="A2022" s="4" t="s">
        <v>2542</v>
      </c>
      <c r="B2022" s="4" t="s">
        <v>2545</v>
      </c>
      <c r="C2022" s="5" t="str">
        <f>IFERROR(__xludf.DUMMYFUNCTION("GOOGLETRANSLATE(B2022,""en"",""fr"")"),"Un bol blanc est rempli de sucre, d'œufs et de beurre d'arachide, puis mélangé.")</f>
        <v>Un bol blanc est rempli de sucre, d'œufs et de beurre d'arachide, puis mélangé.</v>
      </c>
    </row>
    <row r="2023">
      <c r="A2023" s="4" t="s">
        <v>2542</v>
      </c>
      <c r="B2023" s="4" t="s">
        <v>2546</v>
      </c>
      <c r="C2023" s="5" t="str">
        <f>IFERROR(__xludf.DUMMYFUNCTION("GOOGLETRANSLATE(B2023,""en"",""fr"")"),"Il presse des boules de pâte à biscuits sur une casserole et les cuit.")</f>
        <v>Il presse des boules de pâte à biscuits sur une casserole et les cuit.</v>
      </c>
    </row>
    <row r="2024">
      <c r="A2024" s="4" t="s">
        <v>2542</v>
      </c>
      <c r="B2024" s="4" t="s">
        <v>2547</v>
      </c>
      <c r="C2024" s="5" t="str">
        <f>IFERROR(__xludf.DUMMYFUNCTION("GOOGLETRANSLATE(B2024,""en"",""fr"")"),"Il mange l'un des biscuits pour la caméra pendant qu'il en parle.")</f>
        <v>Il mange l'un des biscuits pour la caméra pendant qu'il en parle.</v>
      </c>
    </row>
    <row r="2025">
      <c r="A2025" s="4" t="s">
        <v>2548</v>
      </c>
      <c r="B2025" s="4" t="s">
        <v>2549</v>
      </c>
      <c r="C2025" s="5" t="str">
        <f>IFERROR(__xludf.DUMMYFUNCTION("GOOGLETRANSLATE(B2025,""en"",""fr"")"),"Une femme aux cheveux blonds courts est assis sur une chaise à parler.")</f>
        <v>Une femme aux cheveux blonds courts est assis sur une chaise à parler.</v>
      </c>
    </row>
    <row r="2026">
      <c r="A2026" s="4" t="s">
        <v>2548</v>
      </c>
      <c r="B2026" s="4" t="s">
        <v>2550</v>
      </c>
      <c r="C2026" s="5" t="str">
        <f>IFERROR(__xludf.DUMMYFUNCTION("GOOGLETRANSLATE(B2026,""en"",""fr"")"),"Elle tient un borgeur à cheveux et les met dans ses cheveux.")</f>
        <v>Elle tient un borgeur à cheveux et les met dans ses cheveux.</v>
      </c>
    </row>
    <row r="2027">
      <c r="A2027" s="4" t="s">
        <v>2548</v>
      </c>
      <c r="B2027" s="4" t="s">
        <v>2551</v>
      </c>
      <c r="C2027" s="5" t="str">
        <f>IFERROR(__xludf.DUMMYFUNCTION("GOOGLETRANSLATE(B2027,""en"",""fr"")"),"Elle le retire et continue de parler.")</f>
        <v>Elle le retire et continue de parler.</v>
      </c>
    </row>
    <row r="2028">
      <c r="A2028" s="4" t="s">
        <v>2552</v>
      </c>
      <c r="B2028" s="4" t="s">
        <v>2553</v>
      </c>
      <c r="C2028" s="5" t="str">
        <f>IFERROR(__xludf.DUMMYFUNCTION("GOOGLETRANSLATE(B2028,""en"",""fr"")"),"Un gros plan d'un homme est vu en tenant une tasse de café et mène à lui prendre une gorgée.")</f>
        <v>Un gros plan d'un homme est vu en tenant une tasse de café et mène à lui prendre une gorgée.</v>
      </c>
    </row>
    <row r="2029">
      <c r="A2029" s="4" t="s">
        <v>2552</v>
      </c>
      <c r="B2029" s="6" t="s">
        <v>2554</v>
      </c>
      <c r="C2029" s="5" t="str">
        <f>IFERROR(__xludf.DUMMYFUNCTION("GOOGLETRANSLATE(B2029,""en"",""fr"")"),"Il acquiesce la tête en approuvant le café et est montré à nouveau en buvant plus de café à côté d'une personne.")</f>
        <v>Il acquiesce la tête en approuvant le café et est montré à nouveau en buvant plus de café à côté d'une personne.</v>
      </c>
    </row>
    <row r="2030">
      <c r="A2030" s="4" t="s">
        <v>2555</v>
      </c>
      <c r="B2030" s="6" t="s">
        <v>2556</v>
      </c>
      <c r="C2030" s="5" t="str">
        <f>IFERROR(__xludf.DUMMYFUNCTION("GOOGLETRANSLATE(B2030,""en"",""fr"")"),"Deux hommes naviguent sur l'eau bleue, avec leur bateau blanc avec des drapeaux blancs, puis ils ont évité les bouées sur l'eau.")</f>
        <v>Deux hommes naviguent sur l'eau bleue, avec leur bateau blanc avec des drapeaux blancs, puis ils ont évité les bouées sur l'eau.</v>
      </c>
    </row>
    <row r="2031">
      <c r="A2031" s="4" t="s">
        <v>2555</v>
      </c>
      <c r="B2031" s="6" t="s">
        <v>2557</v>
      </c>
      <c r="C2031" s="5" t="str">
        <f>IFERROR(__xludf.DUMMYFUNCTION("GOOGLETRANSLATE(B2031,""en"",""fr"")"),"Un plan écrit sur un papier blanc avec un stylo noir, puis le plan est mis en action, lorsque le bateau blanc navigue sur l'eau et se retourne.")</f>
        <v>Un plan écrit sur un papier blanc avec un stylo noir, puis le plan est mis en action, lorsque le bateau blanc navigue sur l'eau et se retourne.</v>
      </c>
    </row>
    <row r="2032">
      <c r="A2032" s="4" t="s">
        <v>2558</v>
      </c>
      <c r="B2032" s="6" t="s">
        <v>2559</v>
      </c>
      <c r="C2032" s="5" t="str">
        <f>IFERROR(__xludf.DUMMYFUNCTION("GOOGLETRANSLATE(B2032,""en"",""fr"")"),"Un homme et un garçon se promènent autour d'un feu de bois et portant des chapeaux corned, tandis qu'une foule se tient en cercle.")</f>
        <v>Un homme et un garçon se promènent autour d'un feu de bois et portant des chapeaux corned, tandis qu'une foule se tient en cercle.</v>
      </c>
    </row>
    <row r="2033">
      <c r="A2033" s="4" t="s">
        <v>2558</v>
      </c>
      <c r="B2033" s="4" t="s">
        <v>2560</v>
      </c>
      <c r="C2033" s="5" t="str">
        <f>IFERROR(__xludf.DUMMYFUNCTION("GOOGLETRANSLATE(B2033,""en"",""fr"")"),"Ensuite, l'homme se tient et parle aux gens.")</f>
        <v>Ensuite, l'homme se tient et parle aux gens.</v>
      </c>
    </row>
    <row r="2034">
      <c r="A2034" s="4" t="s">
        <v>2558</v>
      </c>
      <c r="B2034" s="4" t="s">
        <v>2561</v>
      </c>
      <c r="C2034" s="5" t="str">
        <f>IFERROR(__xludf.DUMMYFUNCTION("GOOGLETRANSLATE(B2034,""en"",""fr"")"),"Soudain, le feu et la fumée sortent du feu de bois avec des étincelles.")</f>
        <v>Soudain, le feu et la fumée sortent du feu de bois avec des étincelles.</v>
      </c>
    </row>
    <row r="2035">
      <c r="A2035" s="4" t="s">
        <v>2562</v>
      </c>
      <c r="B2035" s="4" t="s">
        <v>2563</v>
      </c>
      <c r="C2035" s="5" t="str">
        <f>IFERROR(__xludf.DUMMYFUNCTION("GOOGLETRANSLATE(B2035,""en"",""fr"")"),"Plusieurs personnes sont présentées lors d'une fête à jouer à différents jeux et à s'amuser.")</f>
        <v>Plusieurs personnes sont présentées lors d'une fête à jouer à différents jeux et à s'amuser.</v>
      </c>
    </row>
    <row r="2036">
      <c r="A2036" s="4" t="s">
        <v>2562</v>
      </c>
      <c r="B2036" s="4" t="s">
        <v>2564</v>
      </c>
      <c r="C2036" s="5" t="str">
        <f>IFERROR(__xludf.DUMMYFUNCTION("GOOGLETRANSLATE(B2036,""en"",""fr"")"),"Un homme commence à parler à l'une des femmes alors qu'elle joue à l'un des jeux.")</f>
        <v>Un homme commence à parler à l'une des femmes alors qu'elle joue à l'un des jeux.</v>
      </c>
    </row>
    <row r="2037">
      <c r="A2037" s="4" t="s">
        <v>2562</v>
      </c>
      <c r="B2037" s="4" t="s">
        <v>2565</v>
      </c>
      <c r="C2037" s="5" t="str">
        <f>IFERROR(__xludf.DUMMYFUNCTION("GOOGLETRANSLATE(B2037,""en"",""fr"")"),"Le jeu commence à se réchauffer tandis que plusieurs femmes rient et plaisantent.")</f>
        <v>Le jeu commence à se réchauffer tandis que plusieurs femmes rient et plaisantent.</v>
      </c>
    </row>
    <row r="2038">
      <c r="A2038" s="4" t="s">
        <v>2562</v>
      </c>
      <c r="B2038" s="4" t="s">
        <v>2566</v>
      </c>
      <c r="C2038" s="5" t="str">
        <f>IFERROR(__xludf.DUMMYFUNCTION("GOOGLETRANSLATE(B2038,""en"",""fr"")"),"L'une des femmes prend une photo des femmes qui riaient jouant le jeu.")</f>
        <v>L'une des femmes prend une photo des femmes qui riaient jouant le jeu.</v>
      </c>
    </row>
    <row r="2039">
      <c r="A2039" s="4" t="s">
        <v>2562</v>
      </c>
      <c r="B2039" s="4" t="s">
        <v>2567</v>
      </c>
      <c r="C2039" s="5" t="str">
        <f>IFERROR(__xludf.DUMMYFUNCTION("GOOGLETRANSLATE(B2039,""en"",""fr"")"),"Un homme aide alors que les femmes essaient de comprendre le jeu.")</f>
        <v>Un homme aide alors que les femmes essaient de comprendre le jeu.</v>
      </c>
    </row>
    <row r="2040">
      <c r="A2040" s="4" t="s">
        <v>2568</v>
      </c>
      <c r="B2040" s="4" t="s">
        <v>1487</v>
      </c>
      <c r="C2040" s="5" t="str">
        <f>IFERROR(__xludf.DUMMYFUNCTION("GOOGLETRANSLATE(B2040,""en"",""fr"")"),"Nous voyons un écran de titre d'ouverture.")</f>
        <v>Nous voyons un écran de titre d'ouverture.</v>
      </c>
    </row>
    <row r="2041">
      <c r="A2041" s="4" t="s">
        <v>2568</v>
      </c>
      <c r="B2041" s="4" t="s">
        <v>2569</v>
      </c>
      <c r="C2041" s="5" t="str">
        <f>IFERROR(__xludf.DUMMYFUNCTION("GOOGLETRANSLATE(B2041,""en"",""fr"")"),"Nous voyons un homme dans un salon de coiffure et voyons des images de la boutique.")</f>
        <v>Nous voyons un homme dans un salon de coiffure et voyons des images de la boutique.</v>
      </c>
    </row>
    <row r="2042">
      <c r="A2042" s="4" t="s">
        <v>2568</v>
      </c>
      <c r="B2042" s="4" t="s">
        <v>2570</v>
      </c>
      <c r="C2042" s="5" t="str">
        <f>IFERROR(__xludf.DUMMYFUNCTION("GOOGLETRANSLATE(B2042,""en"",""fr"")"),"Le coiffeur parle coupé avec des scènes d'un salon de coiffure.")</f>
        <v>Le coiffeur parle coupé avec des scènes d'un salon de coiffure.</v>
      </c>
    </row>
    <row r="2043">
      <c r="A2043" s="4" t="s">
        <v>2568</v>
      </c>
      <c r="B2043" s="4" t="s">
        <v>2571</v>
      </c>
      <c r="C2043" s="5" t="str">
        <f>IFERROR(__xludf.DUMMYFUNCTION("GOOGLETRANSLATE(B2043,""en"",""fr"")"),"Nous voyons un drapeau Union Jack sur le bras d'une chaise.")</f>
        <v>Nous voyons un drapeau Union Jack sur le bras d'une chaise.</v>
      </c>
    </row>
    <row r="2044">
      <c r="A2044" s="4" t="s">
        <v>2568</v>
      </c>
      <c r="B2044" s="4" t="s">
        <v>2572</v>
      </c>
      <c r="C2044" s="5" t="str">
        <f>IFERROR(__xludf.DUMMYFUNCTION("GOOGLETRANSLATE(B2044,""en"",""fr"")"),"Un grand chien marche dans la pièce.")</f>
        <v>Un grand chien marche dans la pièce.</v>
      </c>
    </row>
    <row r="2045">
      <c r="A2045" s="4" t="s">
        <v>2568</v>
      </c>
      <c r="B2045" s="4" t="s">
        <v>2573</v>
      </c>
      <c r="C2045" s="5" t="str">
        <f>IFERROR(__xludf.DUMMYFUNCTION("GOOGLETRANSLATE(B2045,""en"",""fr"")"),"Nous voyons l'homme raser un homme avec un rasoir droit.")</f>
        <v>Nous voyons l'homme raser un homme avec un rasoir droit.</v>
      </c>
    </row>
    <row r="2046">
      <c r="A2046" s="4" t="s">
        <v>2568</v>
      </c>
      <c r="B2046" s="4" t="s">
        <v>777</v>
      </c>
      <c r="C2046" s="5" t="str">
        <f>IFERROR(__xludf.DUMMYFUNCTION("GOOGLETRANSLATE(B2046,""en"",""fr"")"),"Nous voyons l'écran du titre de fin.")</f>
        <v>Nous voyons l'écran du titre de fin.</v>
      </c>
    </row>
    <row r="2047">
      <c r="A2047" s="4" t="s">
        <v>2574</v>
      </c>
      <c r="B2047" s="4" t="s">
        <v>2575</v>
      </c>
      <c r="C2047" s="5" t="str">
        <f>IFERROR(__xludf.DUMMYFUNCTION("GOOGLETRANSLATE(B2047,""en"",""fr"")"),"Un homme est assis devant une toile.")</f>
        <v>Un homme est assis devant une toile.</v>
      </c>
    </row>
    <row r="2048">
      <c r="A2048" s="4" t="s">
        <v>2574</v>
      </c>
      <c r="B2048" s="4" t="s">
        <v>2576</v>
      </c>
      <c r="C2048" s="5" t="str">
        <f>IFERROR(__xludf.DUMMYFUNCTION("GOOGLETRANSLATE(B2048,""en"",""fr"")"),"Il utilise une palette pour peindre une scène d'ombre.")</f>
        <v>Il utilise une palette pour peindre une scène d'ombre.</v>
      </c>
    </row>
    <row r="2049">
      <c r="A2049" s="4" t="s">
        <v>2574</v>
      </c>
      <c r="B2049" s="4" t="s">
        <v>2577</v>
      </c>
      <c r="C2049" s="5" t="str">
        <f>IFERROR(__xludf.DUMMYFUNCTION("GOOGLETRANSLATE(B2049,""en"",""fr"")"),"Il couvre ensuite l'ombre à une silhouette d'un arbre sur une colline.")</f>
        <v>Il couvre ensuite l'ombre à une silhouette d'un arbre sur une colline.</v>
      </c>
    </row>
    <row r="2050">
      <c r="A2050" s="4" t="s">
        <v>2578</v>
      </c>
      <c r="B2050" s="4" t="s">
        <v>2579</v>
      </c>
      <c r="C2050" s="5" t="str">
        <f>IFERROR(__xludf.DUMMYFUNCTION("GOOGLETRANSLATE(B2050,""en"",""fr"")"),"Un écran noir est visible et les mots blancs commencent à apparaître.")</f>
        <v>Un écran noir est visible et les mots blancs commencent à apparaître.</v>
      </c>
    </row>
    <row r="2051">
      <c r="A2051" s="4" t="s">
        <v>2578</v>
      </c>
      <c r="B2051" s="4" t="s">
        <v>2580</v>
      </c>
      <c r="C2051" s="5" t="str">
        <f>IFERROR(__xludf.DUMMYFUNCTION("GOOGLETRANSLATE(B2051,""en"",""fr"")"),"Ensuite, il y a une ligne de dix garçons debout ensemble derrière une corde à l'extérieur dans un grand champ herbeux.")</f>
        <v>Ensuite, il y a une ligne de dix garçons debout ensemble derrière une corde à l'extérieur dans un grand champ herbeux.</v>
      </c>
    </row>
    <row r="2052">
      <c r="A2052" s="4" t="s">
        <v>2578</v>
      </c>
      <c r="B2052" s="4" t="s">
        <v>2581</v>
      </c>
      <c r="C2052" s="5" t="str">
        <f>IFERROR(__xludf.DUMMYFUNCTION("GOOGLETRANSLATE(B2052,""en"",""fr"")"),"Les garçons forment un cercle et commencent à se pencher à gauche dans un salon pour faire de l'exercice.")</f>
        <v>Les garçons forment un cercle et commencent à se pencher à gauche dans un salon pour faire de l'exercice.</v>
      </c>
    </row>
    <row r="2053">
      <c r="A2053" s="4" t="s">
        <v>2578</v>
      </c>
      <c r="B2053" s="6" t="s">
        <v>2582</v>
      </c>
      <c r="C2053" s="5" t="str">
        <f>IFERROR(__xludf.DUMMYFUNCTION("GOOGLETRANSLATE(B2053,""en"",""fr"")"),"Quand ils ont terminé, ils commencent à tirer du remorqueur de guerre et l'homme sur le côté gauche avec un costume noir gagne.")</f>
        <v>Quand ils ont terminé, ils commencent à tirer du remorqueur de guerre et l'homme sur le côté gauche avec un costume noir gagne.</v>
      </c>
    </row>
    <row r="2054">
      <c r="A2054" s="4" t="s">
        <v>2578</v>
      </c>
      <c r="B2054" s="4" t="s">
        <v>2583</v>
      </c>
      <c r="C2054" s="5" t="str">
        <f>IFERROR(__xludf.DUMMYFUNCTION("GOOGLETRANSLATE(B2054,""en"",""fr"")"),"Un autre groupe de garçons est montré et ils commencent à s'accroupir dans des efforts pour gagner le match.")</f>
        <v>Un autre groupe de garçons est montré et ils commencent à s'accroupir dans des efforts pour gagner le match.</v>
      </c>
    </row>
    <row r="2055">
      <c r="A2055" s="4" t="s">
        <v>2584</v>
      </c>
      <c r="B2055" s="4" t="s">
        <v>2585</v>
      </c>
      <c r="C2055" s="5" t="str">
        <f>IFERROR(__xludf.DUMMYFUNCTION("GOOGLETRANSLATE(B2055,""en"",""fr"")"),"Nous voyons un instructeur diriger un cours d'aérobic.")</f>
        <v>Nous voyons un instructeur diriger un cours d'aérobic.</v>
      </c>
    </row>
    <row r="2056">
      <c r="A2056" s="4" t="s">
        <v>2584</v>
      </c>
      <c r="B2056" s="4" t="s">
        <v>2586</v>
      </c>
      <c r="C2056" s="5" t="str">
        <f>IFERROR(__xludf.DUMMYFUNCTION("GOOGLETRANSLATE(B2056,""en"",""fr"")"),"Les gens font une danse de taille popping.")</f>
        <v>Les gens font une danse de taille popping.</v>
      </c>
    </row>
    <row r="2057">
      <c r="A2057" s="4" t="s">
        <v>2584</v>
      </c>
      <c r="B2057" s="4" t="s">
        <v>2587</v>
      </c>
      <c r="C2057" s="5" t="str">
        <f>IFERROR(__xludf.DUMMYFUNCTION("GOOGLETRANSLATE(B2057,""en"",""fr"")"),"Les gens font des allers-retours.")</f>
        <v>Les gens font des allers-retours.</v>
      </c>
    </row>
    <row r="2058">
      <c r="A2058" s="4" t="s">
        <v>2584</v>
      </c>
      <c r="B2058" s="4" t="s">
        <v>2588</v>
      </c>
      <c r="C2058" s="5" t="str">
        <f>IFERROR(__xludf.DUMMYFUNCTION("GOOGLETRANSLATE(B2058,""en"",""fr"")"),"Un homme passe devant la porte.")</f>
        <v>Un homme passe devant la porte.</v>
      </c>
    </row>
    <row r="2059">
      <c r="A2059" s="4" t="s">
        <v>2584</v>
      </c>
      <c r="B2059" s="4" t="s">
        <v>2589</v>
      </c>
      <c r="C2059" s="5" t="str">
        <f>IFERROR(__xludf.DUMMYFUNCTION("GOOGLETRANSLATE(B2059,""en"",""fr"")"),"Un homme en bleu entre dans la pièce.")</f>
        <v>Un homme en bleu entre dans la pièce.</v>
      </c>
    </row>
    <row r="2060">
      <c r="A2060" s="4" t="s">
        <v>2584</v>
      </c>
      <c r="B2060" s="4" t="s">
        <v>2590</v>
      </c>
      <c r="C2060" s="5" t="str">
        <f>IFERROR(__xludf.DUMMYFUNCTION("GOOGLETRANSLATE(B2060,""en"",""fr"")"),"Les gens soulèvent les jambes haut.")</f>
        <v>Les gens soulèvent les jambes haut.</v>
      </c>
    </row>
    <row r="2061">
      <c r="A2061" s="4" t="s">
        <v>2584</v>
      </c>
      <c r="B2061" s="4" t="s">
        <v>2591</v>
      </c>
      <c r="C2061" s="5" t="str">
        <f>IFERROR(__xludf.DUMMYFUNCTION("GOOGLETRANSLATE(B2061,""en"",""fr"")"),"L'instructeur se termine et fait des allers-retours.")</f>
        <v>L'instructeur se termine et fait des allers-retours.</v>
      </c>
    </row>
    <row r="2062">
      <c r="A2062" s="4" t="s">
        <v>2592</v>
      </c>
      <c r="B2062" s="4" t="s">
        <v>2593</v>
      </c>
      <c r="C2062" s="5" t="str">
        <f>IFERROR(__xludf.DUMMYFUNCTION("GOOGLETRANSLATE(B2062,""en"",""fr"")"),"Il y a trois jeunes hommes dans une maison.")</f>
        <v>Il y a trois jeunes hommes dans une maison.</v>
      </c>
    </row>
    <row r="2063">
      <c r="A2063" s="4" t="s">
        <v>2592</v>
      </c>
      <c r="B2063" s="4" t="s">
        <v>2594</v>
      </c>
      <c r="C2063" s="5" t="str">
        <f>IFERROR(__xludf.DUMMYFUNCTION("GOOGLETRANSLATE(B2063,""en"",""fr"")"),"L'un des hommes est assis sur un canapé dans le salon en mangeant un paquet de Doritos.")</f>
        <v>L'un des hommes est assis sur un canapé dans le salon en mangeant un paquet de Doritos.</v>
      </c>
    </row>
    <row r="2064">
      <c r="A2064" s="4" t="s">
        <v>2592</v>
      </c>
      <c r="B2064" s="4" t="s">
        <v>2595</v>
      </c>
      <c r="C2064" s="5" t="str">
        <f>IFERROR(__xludf.DUMMYFUNCTION("GOOGLETRANSLATE(B2064,""en"",""fr"")"),"Et il y a deux autres hommes qui le regardent pendant qu'il mange.")</f>
        <v>Et il y a deux autres hommes qui le regardent pendant qu'il mange.</v>
      </c>
    </row>
    <row r="2065">
      <c r="A2065" s="4" t="s">
        <v>2592</v>
      </c>
      <c r="B2065" s="4" t="s">
        <v>2596</v>
      </c>
      <c r="C2065" s="5" t="str">
        <f>IFERROR(__xludf.DUMMYFUNCTION("GOOGLETRANSLATE(B2065,""en"",""fr"")"),"Un des hommes se lève et se lave les mains.")</f>
        <v>Un des hommes se lève et se lave les mains.</v>
      </c>
    </row>
    <row r="2066">
      <c r="A2066" s="4" t="s">
        <v>2592</v>
      </c>
      <c r="B2066" s="4" t="s">
        <v>2597</v>
      </c>
      <c r="C2066" s="5" t="str">
        <f>IFERROR(__xludf.DUMMYFUNCTION("GOOGLETRANSLATE(B2066,""en"",""fr"")"),"Il ouvre ensuite une boîte de coke et en boit.")</f>
        <v>Il ouvre ensuite une boîte de coke et en boit.</v>
      </c>
    </row>
    <row r="2067">
      <c r="A2067" s="4" t="s">
        <v>2592</v>
      </c>
      <c r="B2067" s="4" t="s">
        <v>2598</v>
      </c>
      <c r="C2067" s="5" t="str">
        <f>IFERROR(__xludf.DUMMYFUNCTION("GOOGLETRANSLATE(B2067,""en"",""fr"")"),"Puis il commence à couper des tomates et de la laitue pour faire un sandwich.")</f>
        <v>Puis il commence à couper des tomates et de la laitue pour faire un sandwich.</v>
      </c>
    </row>
    <row r="2068">
      <c r="A2068" s="4" t="s">
        <v>2592</v>
      </c>
      <c r="B2068" s="4" t="s">
        <v>2599</v>
      </c>
      <c r="C2068" s="5" t="str">
        <f>IFERROR(__xludf.DUMMYFUNCTION("GOOGLETRANSLATE(B2068,""en"",""fr"")"),"Il tranche du jambon et fait deux toasts dans un grille-pain.")</f>
        <v>Il tranche du jambon et fait deux toasts dans un grille-pain.</v>
      </c>
    </row>
    <row r="2069">
      <c r="A2069" s="4" t="s">
        <v>2592</v>
      </c>
      <c r="B2069" s="4" t="s">
        <v>2600</v>
      </c>
      <c r="C2069" s="5" t="str">
        <f>IFERROR(__xludf.DUMMYFUNCTION("GOOGLETRANSLATE(B2069,""en"",""fr"")"),"Puis il met de la mayonnaise sur le pain et le garnit avec la viande, la laitue et la tomate.")</f>
        <v>Puis il met de la mayonnaise sur le pain et le garnit avec la viande, la laitue et la tomate.</v>
      </c>
    </row>
    <row r="2070">
      <c r="A2070" s="4" t="s">
        <v>2592</v>
      </c>
      <c r="B2070" s="4" t="s">
        <v>2601</v>
      </c>
      <c r="C2070" s="5" t="str">
        <f>IFERROR(__xludf.DUMMYFUNCTION("GOOGLETRANSLATE(B2070,""en"",""fr"")"),"Il coupe le sandwich en deux et le sert dans une assiette.")</f>
        <v>Il coupe le sandwich en deux et le sert dans une assiette.</v>
      </c>
    </row>
    <row r="2071">
      <c r="A2071" s="4" t="s">
        <v>2592</v>
      </c>
      <c r="B2071" s="4" t="s">
        <v>2602</v>
      </c>
      <c r="C2071" s="5" t="str">
        <f>IFERROR(__xludf.DUMMYFUNCTION("GOOGLETRANSLATE(B2071,""en"",""fr"")"),"Puis il offre l'assiette sandwich à l'homme assis sur le canapé en mangeant les Doritos.")</f>
        <v>Puis il offre l'assiette sandwich à l'homme assis sur le canapé en mangeant les Doritos.</v>
      </c>
    </row>
    <row r="2072">
      <c r="A2072" s="4" t="s">
        <v>2592</v>
      </c>
      <c r="B2072" s="6" t="s">
        <v>2603</v>
      </c>
      <c r="C2072" s="5" t="str">
        <f>IFERROR(__xludf.DUMMYFUNCTION("GOOGLETRANSLATE(B2072,""en"",""fr"")"),"L'homme prend l'assiette et prend une bouchée du sandwich tandis que l'autre homme se tient à côté de lui et regarde.")</f>
        <v>L'homme prend l'assiette et prend une bouchée du sandwich tandis que l'autre homme se tient à côté de lui et regarde.</v>
      </c>
    </row>
    <row r="2073">
      <c r="A2073" s="4" t="s">
        <v>2604</v>
      </c>
      <c r="B2073" s="4" t="s">
        <v>2605</v>
      </c>
      <c r="C2073" s="5" t="str">
        <f>IFERROR(__xludf.DUMMYFUNCTION("GOOGLETRANSLATE(B2073,""en"",""fr"")"),"Une personne récupère un instrument d'un placard.")</f>
        <v>Une personne récupère un instrument d'un placard.</v>
      </c>
    </row>
    <row r="2074">
      <c r="A2074" s="4" t="s">
        <v>2604</v>
      </c>
      <c r="B2074" s="4" t="s">
        <v>2606</v>
      </c>
      <c r="C2074" s="5" t="str">
        <f>IFERROR(__xludf.DUMMYFUNCTION("GOOGLETRANSLATE(B2074,""en"",""fr"")"),"L'homme examine l'instrument dans sa main.")</f>
        <v>L'homme examine l'instrument dans sa main.</v>
      </c>
    </row>
    <row r="2075">
      <c r="A2075" s="4" t="s">
        <v>2604</v>
      </c>
      <c r="B2075" s="4" t="s">
        <v>2607</v>
      </c>
      <c r="C2075" s="5" t="str">
        <f>IFERROR(__xludf.DUMMYFUNCTION("GOOGLETRANSLATE(B2075,""en"",""fr"")"),"La personne tient le violon au menton et se prépare.")</f>
        <v>La personne tient le violon au menton et se prépare.</v>
      </c>
    </row>
    <row r="2076">
      <c r="A2076" s="4" t="s">
        <v>2604</v>
      </c>
      <c r="B2076" s="4" t="s">
        <v>2608</v>
      </c>
      <c r="C2076" s="5" t="str">
        <f>IFERROR(__xludf.DUMMYFUNCTION("GOOGLETRANSLATE(B2076,""en"",""fr"")"),"La personne joue une chanson sur le violon.")</f>
        <v>La personne joue une chanson sur le violon.</v>
      </c>
    </row>
    <row r="2077">
      <c r="A2077" s="4" t="s">
        <v>2604</v>
      </c>
      <c r="B2077" s="4" t="s">
        <v>2609</v>
      </c>
      <c r="C2077" s="5" t="str">
        <f>IFERROR(__xludf.DUMMYFUNCTION("GOOGLETRANSLATE(B2077,""en"",""fr"")"),"L'homme termine la chanson et abaisse l'instrument.")</f>
        <v>L'homme termine la chanson et abaisse l'instrument.</v>
      </c>
    </row>
    <row r="2078">
      <c r="A2078" s="4" t="s">
        <v>2610</v>
      </c>
      <c r="B2078" s="4" t="s">
        <v>2611</v>
      </c>
      <c r="C2078" s="5" t="str">
        <f>IFERROR(__xludf.DUMMYFUNCTION("GOOGLETRANSLATE(B2078,""en"",""fr"")"),"Deux petites filles prennent une valise et font un voyage à New York.")</f>
        <v>Deux petites filles prennent une valise et font un voyage à New York.</v>
      </c>
    </row>
    <row r="2079">
      <c r="A2079" s="4" t="s">
        <v>2610</v>
      </c>
      <c r="B2079" s="4" t="s">
        <v>2612</v>
      </c>
      <c r="C2079" s="5" t="str">
        <f>IFERROR(__xludf.DUMMYFUNCTION("GOOGLETRANSLATE(B2079,""en"",""fr"")"),"Deux petites filles se trouvent dans une pièce vêtue de costumes qui se transforment plus tard en tenues de ballerine.")</f>
        <v>Deux petites filles se trouvent dans une pièce vêtue de costumes qui se transforment plus tard en tenues de ballerine.</v>
      </c>
    </row>
    <row r="2080">
      <c r="A2080" s="4" t="s">
        <v>2610</v>
      </c>
      <c r="B2080" s="4" t="s">
        <v>2613</v>
      </c>
      <c r="C2080" s="5" t="str">
        <f>IFERROR(__xludf.DUMMYFUNCTION("GOOGLETRANSLATE(B2080,""en"",""fr"")"),"Les deux filles commencent à danser ensemble tout en chantant ou en parlant dans la caméra.")</f>
        <v>Les deux filles commencent à danser ensemble tout en chantant ou en parlant dans la caméra.</v>
      </c>
    </row>
    <row r="2081">
      <c r="A2081" s="4" t="s">
        <v>2610</v>
      </c>
      <c r="B2081" s="6" t="s">
        <v>2614</v>
      </c>
      <c r="C2081" s="5" t="str">
        <f>IFERROR(__xludf.DUMMYFUNCTION("GOOGLETRANSLATE(B2081,""en"",""fr"")"),"Le clip s'estompe aux deux filles pliant et emballant des vêtements dans une valise dans une chambre dans une maison, les filles emballent des tutus dans une valise rose, puis les ont coupées dans une calèche dessinée dans les rues de New York, en parlant"&amp;" et en pointant vers Repères.")</f>
        <v>Le clip s'estompe aux deux filles pliant et emballant des vêtements dans une valise dans une chambre dans une maison, les filles emballent des tutus dans une valise rose, puis les ont coupées dans une calèche dessinée dans les rues de New York, en parlant et en pointant vers Repères.</v>
      </c>
    </row>
    <row r="2082">
      <c r="A2082" s="4" t="s">
        <v>2610</v>
      </c>
      <c r="B2082" s="6" t="s">
        <v>2615</v>
      </c>
      <c r="C2082" s="5" t="str">
        <f>IFERROR(__xludf.DUMMYFUNCTION("GOOGLETRANSLATE(B2082,""en"",""fr"")"),"Le voyage se termine et les deux filles courent dans un bâtiment puis chantent ensemble sur le bord d'une fontaine d'eau avant de s'enfuir.")</f>
        <v>Le voyage se termine et les deux filles courent dans un bâtiment puis chantent ensemble sur le bord d'une fontaine d'eau avant de s'enfuir.</v>
      </c>
    </row>
    <row r="2083">
      <c r="A2083" s="4" t="s">
        <v>2616</v>
      </c>
      <c r="B2083" s="4" t="s">
        <v>2617</v>
      </c>
      <c r="C2083" s="5" t="str">
        <f>IFERROR(__xludf.DUMMYFUNCTION("GOOGLETRANSLATE(B2083,""en"",""fr"")"),"Un homme est vu descendre sur une planche à roulettes pendant que la caméra suit ses mouvements.")</f>
        <v>Un homme est vu descendre sur une planche à roulettes pendant que la caméra suit ses mouvements.</v>
      </c>
    </row>
    <row r="2084">
      <c r="A2084" s="4" t="s">
        <v>2616</v>
      </c>
      <c r="B2084" s="4" t="s">
        <v>2618</v>
      </c>
      <c r="C2084" s="5" t="str">
        <f>IFERROR(__xludf.DUMMYFUNCTION("GOOGLETRANSLATE(B2084,""en"",""fr"")"),"L'homme patine dans la rue à travers des obstacles et dans la rue.")</f>
        <v>L'homme patine dans la rue à travers des obstacles et dans la rue.</v>
      </c>
    </row>
    <row r="2085">
      <c r="A2085" s="4" t="s">
        <v>2616</v>
      </c>
      <c r="B2085" s="4" t="s">
        <v>2619</v>
      </c>
      <c r="C2085" s="5" t="str">
        <f>IFERROR(__xludf.DUMMYFUNCTION("GOOGLETRANSLATE(B2085,""en"",""fr"")"),"Plus de gens continuent de rouler dans la rue pendant que la caméra les suit.")</f>
        <v>Plus de gens continuent de rouler dans la rue pendant que la caméra les suit.</v>
      </c>
    </row>
    <row r="2086">
      <c r="A2086" s="4" t="s">
        <v>2620</v>
      </c>
      <c r="B2086" s="4" t="s">
        <v>2621</v>
      </c>
      <c r="C2086" s="5" t="str">
        <f>IFERROR(__xludf.DUMMYFUNCTION("GOOGLETRANSLATE(B2086,""en"",""fr"")"),"Une danseuse du ventre est vue se déplacer sur une scène et effectuer une routine pendant que beaucoup regardent.")</f>
        <v>Une danseuse du ventre est vue se déplacer sur une scène et effectuer une routine pendant que beaucoup regardent.</v>
      </c>
    </row>
    <row r="2087">
      <c r="A2087" s="4" t="s">
        <v>2620</v>
      </c>
      <c r="B2087" s="4" t="s">
        <v>2622</v>
      </c>
      <c r="C2087" s="5" t="str">
        <f>IFERROR(__xludf.DUMMYFUNCTION("GOOGLETRANSLATE(B2087,""en"",""fr"")"),"Elle continue la routine et se termine en secouant les cheveux et en se penchant en arrière pour poser.")</f>
        <v>Elle continue la routine et se termine en secouant les cheveux et en se penchant en arrière pour poser.</v>
      </c>
    </row>
    <row r="2088">
      <c r="A2088" s="4" t="s">
        <v>2623</v>
      </c>
      <c r="B2088" s="4" t="s">
        <v>2624</v>
      </c>
      <c r="C2088" s="5" t="str">
        <f>IFERROR(__xludf.DUMMYFUNCTION("GOOGLETRANSLATE(B2088,""en"",""fr"")"),"Deux hommes chassent et tirent sur un buffle dans un décor de sable, comme le désert.")</f>
        <v>Deux hommes chassent et tirent sur un buffle dans un décor de sable, comme le désert.</v>
      </c>
    </row>
    <row r="2089">
      <c r="A2089" s="4" t="s">
        <v>2623</v>
      </c>
      <c r="B2089" s="6" t="s">
        <v>2625</v>
      </c>
      <c r="C2089" s="5" t="str">
        <f>IFERROR(__xludf.DUMMYFUNCTION("GOOGLETRANSLATE(B2089,""en"",""fr"")"),"Une pièce remplie d'animaux en peluche et chassée présente dans une pièce avec beaucoup d'entre eux montés sur des murs.")</f>
        <v>Une pièce remplie d'animaux en peluche et chassée présente dans une pièce avec beaucoup d'entre eux montés sur des murs.</v>
      </c>
    </row>
    <row r="2090">
      <c r="A2090" s="4" t="s">
        <v>2623</v>
      </c>
      <c r="B2090" s="6" t="s">
        <v>2626</v>
      </c>
      <c r="C2090" s="5" t="str">
        <f>IFERROR(__xludf.DUMMYFUNCTION("GOOGLETRANSLATE(B2090,""en"",""fr"")"),"Deux buffles bruns se tiennent côte à côte sur un sol sablonneux par temps extrêmement venteux.")</f>
        <v>Deux buffles bruns se tiennent côte à côte sur un sol sablonneux par temps extrêmement venteux.</v>
      </c>
    </row>
    <row r="2091">
      <c r="A2091" s="4" t="s">
        <v>2623</v>
      </c>
      <c r="B2091" s="6" t="s">
        <v>2627</v>
      </c>
      <c r="C2091" s="5" t="str">
        <f>IFERROR(__xludf.DUMMYFUNCTION("GOOGLETRANSLATE(B2091,""en"",""fr"")"),"Deux hommes regardent les deux buffles à distance avec des armes montées visant à tirer comme un appareil photo se tient derrière eux en train de filmer l'incident.")</f>
        <v>Deux hommes regardent les deux buffles à distance avec des armes montées visant à tirer comme un appareil photo se tient derrière eux en train de filmer l'incident.</v>
      </c>
    </row>
    <row r="2092">
      <c r="A2092" s="4" t="s">
        <v>2623</v>
      </c>
      <c r="B2092" s="4" t="s">
        <v>2628</v>
      </c>
      <c r="C2092" s="5" t="str">
        <f>IFERROR(__xludf.DUMMYFUNCTION("GOOGLETRANSLATE(B2092,""en"",""fr"")"),"L'un des buffles est abattu par une arme à bout jaune en s'éloignant.")</f>
        <v>L'un des buffles est abattu par une arme à bout jaune en s'éloignant.</v>
      </c>
    </row>
    <row r="2093">
      <c r="A2093" s="4" t="s">
        <v>2623</v>
      </c>
      <c r="B2093" s="4" t="s">
        <v>2629</v>
      </c>
      <c r="C2093" s="5" t="str">
        <f>IFERROR(__xludf.DUMMYFUNCTION("GOOGLETRANSLATE(B2093,""en"",""fr"")"),"Un des hommes est ensuite montré debout sur l'animal mort.")</f>
        <v>Un des hommes est ensuite montré debout sur l'animal mort.</v>
      </c>
    </row>
    <row r="2094">
      <c r="A2094" s="4" t="s">
        <v>2630</v>
      </c>
      <c r="B2094" s="6" t="s">
        <v>2631</v>
      </c>
      <c r="C2094" s="5" t="str">
        <f>IFERROR(__xludf.DUMMYFUNCTION("GOOGLETRANSLATE(B2094,""en"",""fr"")"),"La femme est assise devant les autres dans une salle de conseil et sort les verres et se lave les mains.")</f>
        <v>La femme est assise devant les autres dans une salle de conseil et sort les verres et se lave les mains.</v>
      </c>
    </row>
    <row r="2095">
      <c r="A2095" s="4" t="s">
        <v>2630</v>
      </c>
      <c r="B2095" s="6" t="s">
        <v>2632</v>
      </c>
      <c r="C2095" s="5" t="str">
        <f>IFERROR(__xludf.DUMMYFUNCTION("GOOGLETRANSLATE(B2095,""en"",""fr"")"),"La femme donne ses lentilles de contact et une autre femme le tient avec l'index a mis du liquide et l'a mis dans les yeux, puis faire de même avec l'autre contact, mettez les lentilles et parlez à l'autre femme.")</f>
        <v>La femme donne ses lentilles de contact et une autre femme le tient avec l'index a mis du liquide et l'a mis dans les yeux, puis faire de même avec l'autre contact, mettez les lentilles et parlez à l'autre femme.</v>
      </c>
    </row>
    <row r="2096">
      <c r="A2096" s="4" t="s">
        <v>2633</v>
      </c>
      <c r="B2096" s="4" t="s">
        <v>2634</v>
      </c>
      <c r="C2096" s="5" t="str">
        <f>IFERROR(__xludf.DUMMYFUNCTION("GOOGLETRANSLATE(B2096,""en"",""fr"")"),"Trois personnes sont vues agenouillées sur un petit radeau et se retournent dans l'eau.")</f>
        <v>Trois personnes sont vues agenouillées sur un petit radeau et se retournent dans l'eau.</v>
      </c>
    </row>
    <row r="2097">
      <c r="A2097" s="4" t="s">
        <v>2633</v>
      </c>
      <c r="B2097" s="4" t="s">
        <v>2635</v>
      </c>
      <c r="C2097" s="5" t="str">
        <f>IFERROR(__xludf.DUMMYFUNCTION("GOOGLETRANSLATE(B2097,""en"",""fr"")"),"Plus de gens sont vus en train de rembourrer et de se déplacer vers les gens dans l'eau.")</f>
        <v>Plus de gens sont vus en train de rembourrer et de se déplacer vers les gens dans l'eau.</v>
      </c>
    </row>
    <row r="2098">
      <c r="A2098" s="4" t="s">
        <v>2633</v>
      </c>
      <c r="B2098" s="4" t="s">
        <v>2636</v>
      </c>
      <c r="C2098" s="5" t="str">
        <f>IFERROR(__xludf.DUMMYFUNCTION("GOOGLETRANSLATE(B2098,""en"",""fr"")"),"Les gens dans l'eau remontent et se mettent finalement dans un canoë.")</f>
        <v>Les gens dans l'eau remontent et se mettent finalement dans un canoë.</v>
      </c>
    </row>
    <row r="2099">
      <c r="A2099" s="4" t="s">
        <v>2637</v>
      </c>
      <c r="B2099" s="4" t="s">
        <v>2638</v>
      </c>
      <c r="C2099" s="5" t="str">
        <f>IFERROR(__xludf.DUMMYFUNCTION("GOOGLETRANSLATE(B2099,""en"",""fr"")"),"Un lac est vu avec la vue d'une ligne d'horizon de la ville en face.")</f>
        <v>Un lac est vu avec la vue d'une ligne d'horizon de la ville en face.</v>
      </c>
    </row>
    <row r="2100">
      <c r="A2100" s="4" t="s">
        <v>2637</v>
      </c>
      <c r="B2100" s="4" t="s">
        <v>2639</v>
      </c>
      <c r="C2100" s="5" t="str">
        <f>IFERROR(__xludf.DUMMYFUNCTION("GOOGLETRANSLATE(B2100,""en"",""fr"")"),"Un groupe de marcheurs marche le long du trottoir près du lac.")</f>
        <v>Un groupe de marcheurs marche le long du trottoir près du lac.</v>
      </c>
    </row>
    <row r="2101">
      <c r="A2101" s="4" t="s">
        <v>2637</v>
      </c>
      <c r="B2101" s="4" t="s">
        <v>2640</v>
      </c>
      <c r="C2101" s="5" t="str">
        <f>IFERROR(__xludf.DUMMYFUNCTION("GOOGLETRANSLATE(B2101,""en"",""fr"")"),"Un homme utilise une souffleuse de neige sur un trottoir.")</f>
        <v>Un homme utilise une souffleuse de neige sur un trottoir.</v>
      </c>
    </row>
    <row r="2102">
      <c r="A2102" s="4" t="s">
        <v>2637</v>
      </c>
      <c r="B2102" s="4" t="s">
        <v>2641</v>
      </c>
      <c r="C2102" s="5" t="str">
        <f>IFERROR(__xludf.DUMMYFUNCTION("GOOGLETRANSLATE(B2102,""en"",""fr"")"),"Les gens utilisent des pelles de neige pour nettoyer le trottoir.")</f>
        <v>Les gens utilisent des pelles de neige pour nettoyer le trottoir.</v>
      </c>
    </row>
    <row r="2103">
      <c r="A2103" s="4" t="s">
        <v>2637</v>
      </c>
      <c r="B2103" s="4" t="s">
        <v>2642</v>
      </c>
      <c r="C2103" s="5" t="str">
        <f>IFERROR(__xludf.DUMMYFUNCTION("GOOGLETRANSLATE(B2103,""en"",""fr"")"),"Un outil de jardinage de bêche est utilisé pour briser la glace.")</f>
        <v>Un outil de jardinage de bêche est utilisé pour briser la glace.</v>
      </c>
    </row>
    <row r="2104">
      <c r="A2104" s="4" t="s">
        <v>2637</v>
      </c>
      <c r="B2104" s="4" t="s">
        <v>2643</v>
      </c>
      <c r="C2104" s="5" t="str">
        <f>IFERROR(__xludf.DUMMYFUNCTION("GOOGLETRANSLATE(B2104,""en"",""fr"")"),"Un homme applique du sel à la zone du trottoir dégagé.")</f>
        <v>Un homme applique du sel à la zone du trottoir dégagé.</v>
      </c>
    </row>
    <row r="2105">
      <c r="A2105" s="4" t="s">
        <v>2644</v>
      </c>
      <c r="B2105" s="6" t="s">
        <v>2645</v>
      </c>
      <c r="C2105" s="5" t="str">
        <f>IFERROR(__xludf.DUMMYFUNCTION("GOOGLETRANSLATE(B2105,""en"",""fr"")"),"Deux personnes sont vues passer une balle en arrière et quatrième dans une piscine et mène à une parole à la caméra.")</f>
        <v>Deux personnes sont vues passer une balle en arrière et quatrième dans une piscine et mène à une parole à la caméra.</v>
      </c>
    </row>
    <row r="2106">
      <c r="A2106" s="4" t="s">
        <v>2644</v>
      </c>
      <c r="B2106" s="6" t="s">
        <v>2646</v>
      </c>
      <c r="C2106" s="5" t="str">
        <f>IFERROR(__xludf.DUMMYFUNCTION("GOOGLETRANSLATE(B2106,""en"",""fr"")"),"L'homme montre comment lancer correctement le ballon avec ses mains tout en parlant à la caméra.")</f>
        <v>L'homme montre comment lancer correctement le ballon avec ses mains tout en parlant à la caméra.</v>
      </c>
    </row>
    <row r="2107">
      <c r="A2107" s="4" t="s">
        <v>2647</v>
      </c>
      <c r="B2107" s="6" t="s">
        <v>2648</v>
      </c>
      <c r="C2107" s="5" t="str">
        <f>IFERROR(__xludf.DUMMYFUNCTION("GOOGLETRANSLATE(B2107,""en"",""fr"")"),"Une jeune femme utilise des produits capillaires et sèche ses cheveux droits avec une sécheuse qui a un peigne attaché à la fin.")</f>
        <v>Une jeune femme utilise des produits capillaires et sèche ses cheveux droits avec une sécheuse qui a un peigne attaché à la fin.</v>
      </c>
    </row>
    <row r="2108">
      <c r="A2108" s="4" t="s">
        <v>2647</v>
      </c>
      <c r="B2108" s="6" t="s">
        <v>2649</v>
      </c>
      <c r="C2108" s="5" t="str">
        <f>IFERROR(__xludf.DUMMYFUNCTION("GOOGLETRANSLATE(B2108,""en"",""fr"")"),"La femme commence par retirer un turban en tissu Terry de sa tête et révélant un lot de cheveux mouillé en mai.")</f>
        <v>La femme commence par retirer un turban en tissu Terry de sa tête et révélant un lot de cheveux mouillé en mai.</v>
      </c>
    </row>
    <row r="2109">
      <c r="A2109" s="4" t="s">
        <v>2647</v>
      </c>
      <c r="B2109" s="4" t="s">
        <v>2650</v>
      </c>
      <c r="C2109" s="5" t="str">
        <f>IFERROR(__xludf.DUMMYFUNCTION("GOOGLETRANSLATE(B2109,""en"",""fr"")"),"La femme commence alors à mettre la section de ses cheveux en tresses twist.")</f>
        <v>La femme commence alors à mettre la section de ses cheveux en tresses twist.</v>
      </c>
    </row>
    <row r="2110">
      <c r="A2110" s="4" t="s">
        <v>2647</v>
      </c>
      <c r="B2110" s="4" t="s">
        <v>2651</v>
      </c>
      <c r="C2110" s="5" t="str">
        <f>IFERROR(__xludf.DUMMYFUNCTION("GOOGLETRANSLATE(B2110,""en"",""fr"")"),"Les femmes commencent alors des sections de brouillage de ses cheveux avec un peigne attaché au sèche-linge.")</f>
        <v>Les femmes commencent alors des sections de brouillage de ses cheveux avec un peigne attaché au sèche-linge.</v>
      </c>
    </row>
    <row r="2111">
      <c r="A2111" s="4" t="s">
        <v>2647</v>
      </c>
      <c r="B2111" s="4" t="s">
        <v>2652</v>
      </c>
      <c r="C2111" s="5" t="str">
        <f>IFERROR(__xludf.DUMMYFUNCTION("GOOGLETRANSLATE(B2111,""en"",""fr"")"),"La femme balance ses cheveux et sourit lissés.")</f>
        <v>La femme balance ses cheveux et sourit lissés.</v>
      </c>
    </row>
    <row r="2112">
      <c r="A2112" s="4" t="s">
        <v>2653</v>
      </c>
      <c r="B2112" s="6" t="s">
        <v>2654</v>
      </c>
      <c r="C2112" s="5" t="str">
        <f>IFERROR(__xludf.DUMMYFUNCTION("GOOGLETRANSLATE(B2112,""en"",""fr"")"),"Il y a un sandwich qui est encore entier et a été coupé en deux en une forme triangulaire et les mots blancs apparaissent à l'écran en notant qu'il s'agit d'un ""sandwich Reuben"".")</f>
        <v>Il y a un sandwich qui est encore entier et a été coupé en deux en une forme triangulaire et les mots blancs apparaissent à l'écran en notant qu'il s'agit d'un "sandwich Reuben".</v>
      </c>
    </row>
    <row r="2113">
      <c r="A2113" s="4" t="s">
        <v>2653</v>
      </c>
      <c r="B2113" s="6" t="s">
        <v>2655</v>
      </c>
      <c r="C2113" s="5" t="str">
        <f>IFERROR(__xludf.DUMMYFUNCTION("GOOGLETRANSLATE(B2113,""en"",""fr"")"),"Un homme dans la cuisine apparaît et il met des assaisonnements dans une casserole et il commence à faire passer la casserole.")</f>
        <v>Un homme dans la cuisine apparaît et il met des assaisonnements dans une casserole et il commence à faire passer la casserole.</v>
      </c>
    </row>
    <row r="2114">
      <c r="A2114" s="4" t="s">
        <v>2653</v>
      </c>
      <c r="B2114" s="6" t="s">
        <v>2656</v>
      </c>
      <c r="C2114" s="5" t="str">
        <f>IFERROR(__xludf.DUMMYFUNCTION("GOOGLETRANSLATE(B2114,""en"",""fr"")"),"Une introduction de 6 différentes petites vidéos d'aliments apparaissent et il y a du texte ci-dessous ""Steve's Cooking"".")</f>
        <v>Une introduction de 6 différentes petites vidéos d'aliments apparaissent et il y a du texte ci-dessous "Steve's Cooking".</v>
      </c>
    </row>
    <row r="2115">
      <c r="A2115" s="4" t="s">
        <v>2653</v>
      </c>
      <c r="B2115" s="6" t="s">
        <v>2657</v>
      </c>
      <c r="C2115" s="5" t="str">
        <f>IFERROR(__xludf.DUMMYFUNCTION("GOOGLETRANSLATE(B2115,""en"",""fr"")"),"Un grand morceau de viande crue apparaît sur une assiette blanche et le mot Reuben clignote plusieurs fois dessus car il est montré sous différents angles.")</f>
        <v>Un grand morceau de viande crue apparaît sur une assiette blanche et le mot Reuben clignote plusieurs fois dessus car il est montré sous différents angles.</v>
      </c>
    </row>
    <row r="2116">
      <c r="A2116" s="4" t="s">
        <v>2653</v>
      </c>
      <c r="B2116" s="6" t="s">
        <v>2658</v>
      </c>
      <c r="C2116" s="5" t="str">
        <f>IFERROR(__xludf.DUMMYFUNCTION("GOOGLETRANSLATE(B2116,""en"",""fr"")"),"L'homme place ensuite la viande dans une grande casserole et y verse des liquides jusqu'à ce qu'il soit complètement couvert et commence à l'assaisonner avec divers assaisonnements et en même temps, les noms des assaisonnements apparaissent à l'écran à me"&amp;"sure que chaque assaisonnement tombe.")</f>
        <v>L'homme place ensuite la viande dans une grande casserole et y verse des liquides jusqu'à ce qu'il soit complètement couvert et commence à l'assaisonner avec divers assaisonnements et en même temps, les noms des assaisonnements apparaissent à l'écran à mesure que chaque assaisonnement tombe.</v>
      </c>
    </row>
    <row r="2117">
      <c r="A2117" s="4" t="s">
        <v>2653</v>
      </c>
      <c r="B2117" s="6" t="s">
        <v>2659</v>
      </c>
      <c r="C2117" s="5" t="str">
        <f>IFERROR(__xludf.DUMMYFUNCTION("GOOGLETRANSLATE(B2117,""en"",""fr"")"),"Ensuite, il y a un coup de près d'un grand couteau qui écrase un tas de gousses d'ail qui sont également jetées dans le pot et que les assaisonnements et la viande sont doucement remués puis montre rapidement que l'eau est maintenant bouillante et que le "&amp;"texte apparaît qui dit "" Une heure par livre "", et un couvercle est mis sur le pot.")</f>
        <v>Ensuite, il y a un coup de près d'un grand couteau qui écrase un tas de gousses d'ail qui sont également jetées dans le pot et que les assaisonnements et la viande sont doucement remués puis montre rapidement que l'eau est maintenant bouillante et que le texte apparaît qui dit " Une heure par livre ", et un couvercle est mis sur le pot.</v>
      </c>
    </row>
    <row r="2118">
      <c r="A2118" s="4" t="s">
        <v>2653</v>
      </c>
      <c r="B2118" s="6" t="s">
        <v>2660</v>
      </c>
      <c r="C2118" s="5" t="str">
        <f>IFERROR(__xludf.DUMMYFUNCTION("GOOGLETRANSLATE(B2118,""en"",""fr"")"),"Une paire de pinces retire un morceau de viande du pot et est placée sur une plaque carrée blanche où elle est placée sur une planche à découper et est tranchée en fine avec un grand couteau dentelé.")</f>
        <v>Une paire de pinces retire un morceau de viande du pot et est placée sur une plaque carrée blanche où elle est placée sur une planche à découper et est tranchée en fine avec un grand couteau dentelé.</v>
      </c>
    </row>
    <row r="2119">
      <c r="A2119" s="4" t="s">
        <v>2653</v>
      </c>
      <c r="B2119" s="6" t="s">
        <v>2661</v>
      </c>
      <c r="C2119" s="5" t="str">
        <f>IFERROR(__xludf.DUMMYFUNCTION("GOOGLETRANSLATE(B2119,""en"",""fr"")"),"Un grand bol clair vide est représenté et de la mayonnaise, du ketchup, de la saveur, de la sauce Worcesterchire et de la sauce piquante se font déposer dans le bol.")</f>
        <v>Un grand bol clair vide est représenté et de la mayonnaise, du ketchup, de la saveur, de la sauce Worcesterchire et de la sauce piquante se font déposer dans le bol.</v>
      </c>
    </row>
    <row r="2120">
      <c r="A2120" s="4" t="s">
        <v>2653</v>
      </c>
      <c r="B2120" s="6" t="s">
        <v>2662</v>
      </c>
      <c r="C2120" s="5" t="str">
        <f>IFERROR(__xludf.DUMMYFUNCTION("GOOGLETRANSLATE(B2120,""en"",""fr"")"),"Un oignon violet, du céleri et du persil se font ensuite coupé individuellement et chacun est jeté individuellement dans le bol où il commence à se mélanger par un fouet puis assaisonné de sel et de poivre et mélangé un peu plus.")</f>
        <v>Un oignon violet, du céleri et du persil se font ensuite coupé individuellement et chacun est jeté individuellement dans le bol où il commence à se mélanger par un fouet puis assaisonné de sel et de poivre et mélangé un peu plus.</v>
      </c>
    </row>
    <row r="2121">
      <c r="A2121" s="4" t="s">
        <v>2653</v>
      </c>
      <c r="B2121" s="4" t="s">
        <v>2663</v>
      </c>
      <c r="C2121" s="5" t="str">
        <f>IFERROR(__xludf.DUMMYFUNCTION("GOOGLETRANSLATE(B2121,""en"",""fr"")"),"Un doigt plonge dans le bol pour faire sortir un échantillon et le mélange se poursuit un peu plus longtemps.")</f>
        <v>Un doigt plonge dans le bol pour faire sortir un échantillon et le mélange se poursuit un peu plus longtemps.</v>
      </c>
    </row>
    <row r="2122">
      <c r="A2122" s="4" t="s">
        <v>2653</v>
      </c>
      <c r="B2122" s="6" t="s">
        <v>2664</v>
      </c>
      <c r="C2122" s="5" t="str">
        <f>IFERROR(__xludf.DUMMYFUNCTION("GOOGLETRANSLATE(B2122,""en"",""fr"")"),"Une petite brosse avec du beurre fondu commence à beurrer du pain des deux côtés qui est placée sur une grille plate et retournée jusqu'à ce que les deux côtés soient grillés.")</f>
        <v>Une petite brosse avec du beurre fondu commence à beurrer du pain des deux côtés qui est placée sur une grille plate et retournée jusqu'à ce que les deux côtés soient grillés.</v>
      </c>
    </row>
    <row r="2123">
      <c r="A2123" s="4" t="s">
        <v>2653</v>
      </c>
      <c r="B2123" s="4" t="s">
        <v>2665</v>
      </c>
      <c r="C2123" s="5" t="str">
        <f>IFERROR(__xludf.DUMMYFUNCTION("GOOGLETRANSLATE(B2123,""en"",""fr"")"),"Des aliments râpés blancs sont jetés sur le gril et sont remués par une spatule noire.")</f>
        <v>Des aliments râpés blancs sont jetés sur le gril et sont remués par une spatule noire.</v>
      </c>
    </row>
    <row r="2124">
      <c r="A2124" s="4" t="s">
        <v>2653</v>
      </c>
      <c r="B2124" s="6" t="s">
        <v>2666</v>
      </c>
      <c r="C2124" s="5" t="str">
        <f>IFERROR(__xludf.DUMMYFUNCTION("GOOGLETRANSLATE(B2124,""en"",""fr"")"),"De fines tranches de viande apparaissent à côté des aliments râpés blancs et ils sont garnis de 3 tranches de fromage suisse et recouverts d'un bol blanc jusqu'à ce que le fromage fond, puis la nourriture râpée blanche est ramassée et mise sur la viande e"&amp;"t le fromage.")</f>
        <v>De fines tranches de viande apparaissent à côté des aliments râpés blancs et ils sont garnis de 3 tranches de fromage suisse et recouverts d'un bol blanc jusqu'à ce que le fromage fond, puis la nourriture râpée blanche est ramassée et mise sur la viande et le fromage.</v>
      </c>
    </row>
    <row r="2125">
      <c r="A2125" s="4" t="s">
        <v>2653</v>
      </c>
      <c r="B2125" s="6" t="s">
        <v>2667</v>
      </c>
      <c r="C2125" s="5" t="str">
        <f>IFERROR(__xludf.DUMMYFUNCTION("GOOGLETRANSLATE(B2125,""en"",""fr"")"),"La sauce mélangée du bol transparent est ensuite diffusée sur le pain avec une cuillère et la viande, le fromage et les aliments blancs râpés sont placés sur le pain, garni de l'autre pain, puis tranchés en diagonale.")</f>
        <v>La sauce mélangée du bol transparent est ensuite diffusée sur le pain avec une cuillère et la viande, le fromage et les aliments blancs râpés sont placés sur le pain, garni de l'autre pain, puis tranchés en diagonale.</v>
      </c>
    </row>
    <row r="2126">
      <c r="A2126" s="4" t="s">
        <v>2653</v>
      </c>
      <c r="B2126" s="6" t="s">
        <v>2668</v>
      </c>
      <c r="C2126" s="5" t="str">
        <f>IFERROR(__xludf.DUMMYFUNCTION("GOOGLETRANSLATE(B2126,""en"",""fr"")"),"Le sandwich est ensuite réparti et une main ramasse la moitié pour le montrer sous différents angles, il est mordu plusieurs fois, puis remis sur l'assiette où le reste de la vidéo le montre à des angles différemment et un court clip précédent précédent d"&amp;"e la viande en tranches.")</f>
        <v>Le sandwich est ensuite réparti et une main ramasse la moitié pour le montrer sous différents angles, il est mordu plusieurs fois, puis remis sur l'assiette où le reste de la vidéo le montre à des angles différemment et un court clip précédent précédent de la viande en tranches.</v>
      </c>
    </row>
    <row r="2127">
      <c r="A2127" s="4" t="s">
        <v>2669</v>
      </c>
      <c r="B2127" s="6" t="s">
        <v>2670</v>
      </c>
      <c r="C2127" s="5" t="str">
        <f>IFERROR(__xludf.DUMMYFUNCTION("GOOGLETRANSLATE(B2127,""en"",""fr"")"),"Un grand homme est vu debout et s'incliner devant un autre grand homme tandis que l'on tenait ses mains entre les deux hommes.")</f>
        <v>Un grand homme est vu debout et s'incliner devant un autre grand homme tandis que l'on tenait ses mains entre les deux hommes.</v>
      </c>
    </row>
    <row r="2128">
      <c r="A2128" s="4" t="s">
        <v>2669</v>
      </c>
      <c r="B2128" s="4" t="s">
        <v>2671</v>
      </c>
      <c r="C2128" s="5" t="str">
        <f>IFERROR(__xludf.DUMMYFUNCTION("GOOGLETRANSLATE(B2128,""en"",""fr"")"),"Plusieurs personnes s'assoient autour du cercle et du cercle et les hommes se battent.")</f>
        <v>Plusieurs personnes s'assoient autour du cercle et du cercle et les hommes se battent.</v>
      </c>
    </row>
    <row r="2129">
      <c r="A2129" s="4" t="s">
        <v>2669</v>
      </c>
      <c r="B2129" s="4" t="s">
        <v>2672</v>
      </c>
      <c r="C2129" s="5" t="str">
        <f>IFERROR(__xludf.DUMMYFUNCTION("GOOGLETRANSLATE(B2129,""en"",""fr"")"),"L'un pousse l'autre au sol et le public applaudit.")</f>
        <v>L'un pousse l'autre au sol et le public applaudit.</v>
      </c>
    </row>
    <row r="2130">
      <c r="A2130" s="4" t="s">
        <v>2669</v>
      </c>
      <c r="B2130" s="4" t="s">
        <v>2673</v>
      </c>
      <c r="C2130" s="5" t="str">
        <f>IFERROR(__xludf.DUMMYFUNCTION("GOOGLETRANSLATE(B2130,""en"",""fr"")"),"L'homme en pousse un autre hors du cercle et le public applaudit une fois de plus.")</f>
        <v>L'homme en pousse un autre hors du cercle et le public applaudit une fois de plus.</v>
      </c>
    </row>
    <row r="2131">
      <c r="A2131" s="4" t="s">
        <v>2674</v>
      </c>
      <c r="B2131" s="4" t="s">
        <v>2675</v>
      </c>
      <c r="C2131" s="5" t="str">
        <f>IFERROR(__xludf.DUMMYFUNCTION("GOOGLETRANSLATE(B2131,""en"",""fr"")"),"Un homme sort la glace sur les fenêtres d'une voiture.")</f>
        <v>Un homme sort la glace sur les fenêtres d'une voiture.</v>
      </c>
    </row>
    <row r="2132">
      <c r="A2132" s="4" t="s">
        <v>2674</v>
      </c>
      <c r="B2132" s="4" t="s">
        <v>2676</v>
      </c>
      <c r="C2132" s="5" t="str">
        <f>IFERROR(__xludf.DUMMYFUNCTION("GOOGLETRANSLATE(B2132,""en"",""fr"")"),"Une personne se tient à regarder un homme sortir de la glace sur une voiture.")</f>
        <v>Une personne se tient à regarder un homme sortir de la glace sur une voiture.</v>
      </c>
    </row>
    <row r="2133">
      <c r="A2133" s="4" t="s">
        <v>2677</v>
      </c>
      <c r="B2133" s="4" t="s">
        <v>2678</v>
      </c>
      <c r="C2133" s="5" t="str">
        <f>IFERROR(__xludf.DUMMYFUNCTION("GOOGLETRANSLATE(B2133,""en"",""fr"")"),"Une femme ajoute de la glace sur un verre en parlant.")</f>
        <v>Une femme ajoute de la glace sur un verre en parlant.</v>
      </c>
    </row>
    <row r="2134">
      <c r="A2134" s="4" t="s">
        <v>2677</v>
      </c>
      <c r="B2134" s="4" t="s">
        <v>2679</v>
      </c>
      <c r="C2134" s="5" t="str">
        <f>IFERROR(__xludf.DUMMYFUNCTION("GOOGLETRANSLATE(B2134,""en"",""fr"")"),"Ensuite, la femme ajoute du sirop dans le verre à l'aide d'une tasse de mesure.")</f>
        <v>Ensuite, la femme ajoute du sirop dans le verre à l'aide d'une tasse de mesure.</v>
      </c>
    </row>
    <row r="2135">
      <c r="A2135" s="4" t="s">
        <v>2677</v>
      </c>
      <c r="B2135" s="4" t="s">
        <v>2680</v>
      </c>
      <c r="C2135" s="5" t="str">
        <f>IFERROR(__xludf.DUMMYFUNCTION("GOOGLETRANSLATE(B2135,""en"",""fr"")"),"Après, la femme ajoute du liquide au verre, puis verse l'it dans une tasse noire.")</f>
        <v>Après, la femme ajoute du liquide au verre, puis verse l'it dans une tasse noire.</v>
      </c>
    </row>
    <row r="2136">
      <c r="A2136" s="4" t="s">
        <v>2677</v>
      </c>
      <c r="B2136" s="4" t="s">
        <v>2681</v>
      </c>
      <c r="C2136" s="5" t="str">
        <f>IFERROR(__xludf.DUMMYFUNCTION("GOOGLETRANSLATE(B2136,""en"",""fr"")"),"Après, la femme sert le mélange dans un autre verre.")</f>
        <v>Après, la femme sert le mélange dans un autre verre.</v>
      </c>
    </row>
    <row r="2137">
      <c r="A2137" s="4" t="s">
        <v>2682</v>
      </c>
      <c r="B2137" s="4" t="s">
        <v>2683</v>
      </c>
      <c r="C2137" s="5" t="str">
        <f>IFERROR(__xludf.DUMMYFUNCTION("GOOGLETRANSLATE(B2137,""en"",""fr"")"),"Deux hommes font des arts martiaux avec d'autres autour d'eux en regardant.")</f>
        <v>Deux hommes font des arts martiaux avec d'autres autour d'eux en regardant.</v>
      </c>
    </row>
    <row r="2138">
      <c r="A2138" s="4" t="s">
        <v>2682</v>
      </c>
      <c r="B2138" s="4" t="s">
        <v>2684</v>
      </c>
      <c r="C2138" s="5" t="str">
        <f>IFERROR(__xludf.DUMMYFUNCTION("GOOGLETRANSLATE(B2138,""en"",""fr"")"),"De nombreux autres hommes sont montrés en faisant plusieurs flips et astuces les uns autour les uns des autres.")</f>
        <v>De nombreux autres hommes sont montrés en faisant plusieurs flips et astuces les uns autour les uns des autres.</v>
      </c>
    </row>
    <row r="2139">
      <c r="A2139" s="4" t="s">
        <v>2682</v>
      </c>
      <c r="B2139" s="4" t="s">
        <v>2685</v>
      </c>
      <c r="C2139" s="5" t="str">
        <f>IFERROR(__xludf.DUMMYFUNCTION("GOOGLETRANSLATE(B2139,""en"",""fr"")"),"Deux hommes se retournent près les uns des autres tandis que d'autres autour d'eux regardent.")</f>
        <v>Deux hommes se retournent près les uns des autres tandis que d'autres autour d'eux regardent.</v>
      </c>
    </row>
    <row r="2140">
      <c r="A2140" s="4" t="s">
        <v>2686</v>
      </c>
      <c r="B2140" s="4" t="s">
        <v>2687</v>
      </c>
      <c r="C2140" s="5" t="str">
        <f>IFERROR(__xludf.DUMMYFUNCTION("GOOGLETRANSLATE(B2140,""en"",""fr"")"),"Un homme lisse une substance sur un toit avec une truelle.")</f>
        <v>Un homme lisse une substance sur un toit avec une truelle.</v>
      </c>
    </row>
    <row r="2141">
      <c r="A2141" s="4" t="s">
        <v>2686</v>
      </c>
      <c r="B2141" s="4" t="s">
        <v>2688</v>
      </c>
      <c r="C2141" s="5" t="str">
        <f>IFERROR(__xludf.DUMMYFUNCTION("GOOGLETRANSLATE(B2141,""en"",""fr"")"),"Il se déplace rapidement pour lisser les bosses.")</f>
        <v>Il se déplace rapidement pour lisser les bosses.</v>
      </c>
    </row>
    <row r="2142">
      <c r="A2142" s="4" t="s">
        <v>2686</v>
      </c>
      <c r="B2142" s="4" t="s">
        <v>2689</v>
      </c>
      <c r="C2142" s="5" t="str">
        <f>IFERROR(__xludf.DUMMYFUNCTION("GOOGLETRANSLATE(B2142,""en"",""fr"")"),"L'homme se déplace vers le bas et lisse le haut.")</f>
        <v>L'homme se déplace vers le bas et lisse le haut.</v>
      </c>
    </row>
    <row r="2143">
      <c r="A2143" s="4" t="s">
        <v>2686</v>
      </c>
      <c r="B2143" s="4" t="s">
        <v>2690</v>
      </c>
      <c r="C2143" s="5" t="str">
        <f>IFERROR(__xludf.DUMMYFUNCTION("GOOGLETRANSLATE(B2143,""en"",""fr"")"),"Il finit et s'éloigne.")</f>
        <v>Il finit et s'éloigne.</v>
      </c>
    </row>
    <row r="2144">
      <c r="A2144" s="4" t="s">
        <v>2691</v>
      </c>
      <c r="B2144" s="4" t="s">
        <v>2692</v>
      </c>
      <c r="C2144" s="5" t="str">
        <f>IFERROR(__xludf.DUMMYFUNCTION("GOOGLETRANSLATE(B2144,""en"",""fr"")"),"Une femme blonde se tient près d'un pont hurlant.")</f>
        <v>Une femme blonde se tient près d'un pont hurlant.</v>
      </c>
    </row>
    <row r="2145">
      <c r="A2145" s="4" t="s">
        <v>2691</v>
      </c>
      <c r="B2145" s="4" t="s">
        <v>2693</v>
      </c>
      <c r="C2145" s="5" t="str">
        <f>IFERROR(__xludf.DUMMYFUNCTION("GOOGLETRANSLATE(B2145,""en"",""fr"")"),"Une brune étend le fil violet et rouge à la femme.")</f>
        <v>Une brune étend le fil violet et rouge à la femme.</v>
      </c>
    </row>
    <row r="2146">
      <c r="A2146" s="4" t="s">
        <v>2691</v>
      </c>
      <c r="B2146" s="4" t="s">
        <v>2694</v>
      </c>
      <c r="C2146" s="5" t="str">
        <f>IFERROR(__xludf.DUMMYFUNCTION("GOOGLETRANSLATE(B2146,""en"",""fr"")"),"La femme hallumine cela et fait ensuite une interview.")</f>
        <v>La femme hallumine cela et fait ensuite une interview.</v>
      </c>
    </row>
    <row r="2147">
      <c r="A2147" s="4" t="s">
        <v>2691</v>
      </c>
      <c r="B2147" s="4" t="s">
        <v>2695</v>
      </c>
      <c r="C2147" s="5" t="str">
        <f>IFERROR(__xludf.DUMMYFUNCTION("GOOGLETRANSLATE(B2147,""en"",""fr"")"),"Un groupe de personnes dans une salle de classe tricote joyeusement et joue avec du fil.")</f>
        <v>Un groupe de personnes dans une salle de classe tricote joyeusement et joue avec du fil.</v>
      </c>
    </row>
    <row r="2148">
      <c r="A2148" s="4" t="s">
        <v>2691</v>
      </c>
      <c r="B2148" s="6" t="s">
        <v>2696</v>
      </c>
      <c r="C2148" s="5" t="str">
        <f>IFERROR(__xludf.DUMMYFUNCTION("GOOGLETRANSLATE(B2148,""en"",""fr"")"),"La femme blonde hallucine en voyant la femme qui lui a donné le fil et commence à rire hystériquement.")</f>
        <v>La femme blonde hallucine en voyant la femme qui lui a donné le fil et commence à rire hystériquement.</v>
      </c>
    </row>
    <row r="2149">
      <c r="A2149" s="4" t="s">
        <v>2691</v>
      </c>
      <c r="B2149" s="4" t="s">
        <v>2697</v>
      </c>
      <c r="C2149" s="5" t="str">
        <f>IFERROR(__xludf.DUMMYFUNCTION("GOOGLETRANSLATE(B2149,""en"",""fr"")"),"Le groupe affiche joyeusement leur fil.")</f>
        <v>Le groupe affiche joyeusement leur fil.</v>
      </c>
    </row>
    <row r="2150">
      <c r="A2150" s="4" t="s">
        <v>2698</v>
      </c>
      <c r="B2150" s="4" t="s">
        <v>2699</v>
      </c>
      <c r="C2150" s="5" t="str">
        <f>IFERROR(__xludf.DUMMYFUNCTION("GOOGLETRANSLATE(B2150,""en"",""fr"")"),"Une foule regarde un spectacle de gymnastique.")</f>
        <v>Une foule regarde un spectacle de gymnastique.</v>
      </c>
    </row>
    <row r="2151">
      <c r="A2151" s="4" t="s">
        <v>2698</v>
      </c>
      <c r="B2151" s="6" t="s">
        <v>2700</v>
      </c>
      <c r="C2151" s="5" t="str">
        <f>IFERROR(__xludf.DUMMYFUNCTION("GOOGLETRANSLATE(B2151,""en"",""fr"")"),"Une gymnaste monte jusqu'à une barre haute et alterne entre la barre haute et basse, effectuant divers mouvements et flips de gymnastique.")</f>
        <v>Une gymnaste monte jusqu'à une barre haute et alterne entre la barre haute et basse, effectuant divers mouvements et flips de gymnastique.</v>
      </c>
    </row>
    <row r="2152">
      <c r="A2152" s="4" t="s">
        <v>2698</v>
      </c>
      <c r="B2152" s="4" t="s">
        <v>2701</v>
      </c>
      <c r="C2152" s="5" t="str">
        <f>IFERROR(__xludf.DUMMYFUNCTION("GOOGLETRANSLATE(B2152,""en"",""fr"")"),"Elle se détache du bar et atterrit sur ses pieds.")</f>
        <v>Elle se détache du bar et atterrit sur ses pieds.</v>
      </c>
    </row>
    <row r="2153">
      <c r="A2153" s="4" t="s">
        <v>2698</v>
      </c>
      <c r="B2153" s="4" t="s">
        <v>2702</v>
      </c>
      <c r="C2153" s="5" t="str">
        <f>IFERROR(__xludf.DUMMYFUNCTION("GOOGLETRANSLATE(B2153,""en"",""fr"")"),"Ses camarades de gymnastes courent vers elle avec excitation.")</f>
        <v>Ses camarades de gymnastes courent vers elle avec excitation.</v>
      </c>
    </row>
    <row r="2154">
      <c r="A2154" s="4" t="s">
        <v>2703</v>
      </c>
      <c r="B2154" s="4" t="s">
        <v>2704</v>
      </c>
      <c r="C2154" s="5" t="str">
        <f>IFERROR(__xludf.DUMMYFUNCTION("GOOGLETRANSLATE(B2154,""en"",""fr"")"),"Un homme dans une tenue bleue met la craie sur ses mains.")</f>
        <v>Un homme dans une tenue bleue met la craie sur ses mains.</v>
      </c>
    </row>
    <row r="2155">
      <c r="A2155" s="4" t="s">
        <v>2703</v>
      </c>
      <c r="B2155" s="4" t="s">
        <v>2705</v>
      </c>
      <c r="C2155" s="5" t="str">
        <f>IFERROR(__xludf.DUMMYFUNCTION("GOOGLETRANSLATE(B2155,""en"",""fr"")"),"Un homme en chemise jaune regarde.")</f>
        <v>Un homme en chemise jaune regarde.</v>
      </c>
    </row>
    <row r="2156">
      <c r="A2156" s="4" t="s">
        <v>2703</v>
      </c>
      <c r="B2156" s="4" t="s">
        <v>2706</v>
      </c>
      <c r="C2156" s="5" t="str">
        <f>IFERROR(__xludf.DUMMYFUNCTION("GOOGLETRANSLATE(B2156,""en"",""fr"")"),"L'homme dans la tenue bleue prend un gros poids et le soulève au-dessus de sa tête.")</f>
        <v>L'homme dans la tenue bleue prend un gros poids et le soulève au-dessus de sa tête.</v>
      </c>
    </row>
    <row r="2157">
      <c r="A2157" s="4" t="s">
        <v>2703</v>
      </c>
      <c r="B2157" s="4" t="s">
        <v>2707</v>
      </c>
      <c r="C2157" s="5" t="str">
        <f>IFERROR(__xludf.DUMMYFUNCTION("GOOGLETRANSLATE(B2157,""en"",""fr"")"),"La foule lui encourage.")</f>
        <v>La foule lui encourage.</v>
      </c>
    </row>
    <row r="2158">
      <c r="A2158" s="4" t="s">
        <v>2703</v>
      </c>
      <c r="B2158" s="4" t="s">
        <v>2708</v>
      </c>
      <c r="C2158" s="5" t="str">
        <f>IFERROR(__xludf.DUMMYFUNCTION("GOOGLETRANSLATE(B2158,""en"",""fr"")"),"Il donne un câlin à un homme en costume.")</f>
        <v>Il donne un câlin à un homme en costume.</v>
      </c>
    </row>
    <row r="2159">
      <c r="A2159" s="4" t="s">
        <v>2709</v>
      </c>
      <c r="B2159" s="4" t="s">
        <v>2710</v>
      </c>
      <c r="C2159" s="5" t="str">
        <f>IFERROR(__xludf.DUMMYFUNCTION("GOOGLETRANSLATE(B2159,""en"",""fr"")"),"Trois hommes portant des snowboards sortent un lifting de ski et un homme attache sa chaussure.")</f>
        <v>Trois hommes portant des snowboards sortent un lifting de ski et un homme attache sa chaussure.</v>
      </c>
    </row>
    <row r="2160">
      <c r="A2160" s="4" t="s">
        <v>2709</v>
      </c>
      <c r="B2160" s="4" t="s">
        <v>2711</v>
      </c>
      <c r="C2160" s="5" t="str">
        <f>IFERROR(__xludf.DUMMYFUNCTION("GOOGLETRANSLATE(B2160,""en"",""fr"")"),"Ensuite, les hommes skient sur une colline couverte de neige.")</f>
        <v>Ensuite, les hommes skient sur une colline couverte de neige.</v>
      </c>
    </row>
    <row r="2161">
      <c r="A2161" s="4" t="s">
        <v>2709</v>
      </c>
      <c r="B2161" s="4" t="s">
        <v>2712</v>
      </c>
      <c r="C2161" s="5" t="str">
        <f>IFERROR(__xludf.DUMMYFUNCTION("GOOGLETRANSLATE(B2161,""en"",""fr"")"),"Un homme plie ses jambes sur la neige, puis continue de skier avec d'autres hommes.")</f>
        <v>Un homme plie ses jambes sur la neige, puis continue de skier avec d'autres hommes.</v>
      </c>
    </row>
    <row r="2162">
      <c r="A2162" s="4" t="s">
        <v>2713</v>
      </c>
      <c r="B2162" s="4" t="s">
        <v>2714</v>
      </c>
      <c r="C2162" s="5" t="str">
        <f>IFERROR(__xludf.DUMMYFUNCTION("GOOGLETRANSLATE(B2162,""en"",""fr"")"),"Un homme tenant un lancer de poids se dresse sur une base.")</f>
        <v>Un homme tenant un lancer de poids se dresse sur une base.</v>
      </c>
    </row>
    <row r="2163">
      <c r="A2163" s="4" t="s">
        <v>2713</v>
      </c>
      <c r="B2163" s="4" t="s">
        <v>2715</v>
      </c>
      <c r="C2163" s="5" t="str">
        <f>IFERROR(__xludf.DUMMYFUNCTION("GOOGLETRANSLATE(B2163,""en"",""fr"")"),"L'homme tourne le dos à la caméra et se prépare à lancer.")</f>
        <v>L'homme tourne le dos à la caméra et se prépare à lancer.</v>
      </c>
    </row>
    <row r="2164">
      <c r="A2164" s="4" t="s">
        <v>2713</v>
      </c>
      <c r="B2164" s="4" t="s">
        <v>2716</v>
      </c>
      <c r="C2164" s="5" t="str">
        <f>IFERROR(__xludf.DUMMYFUNCTION("GOOGLETRANSLATE(B2164,""en"",""fr"")"),"L'homme lance le ballon et tourne.")</f>
        <v>L'homme lance le ballon et tourne.</v>
      </c>
    </row>
    <row r="2165">
      <c r="A2165" s="4" t="s">
        <v>2717</v>
      </c>
      <c r="B2165" s="4" t="s">
        <v>2718</v>
      </c>
      <c r="C2165" s="5" t="str">
        <f>IFERROR(__xludf.DUMMYFUNCTION("GOOGLETRANSLATE(B2165,""en"",""fr"")"),"Une femme est sur ses mains et ses genoux coupant l'herbe avec quelques ciseaux.")</f>
        <v>Une femme est sur ses mains et ses genoux coupant l'herbe avec quelques ciseaux.</v>
      </c>
    </row>
    <row r="2166">
      <c r="A2166" s="4" t="s">
        <v>2717</v>
      </c>
      <c r="B2166" s="4" t="s">
        <v>2719</v>
      </c>
      <c r="C2166" s="5" t="str">
        <f>IFERROR(__xludf.DUMMYFUNCTION("GOOGLETRANSLATE(B2166,""en"",""fr"")"),"La caméra se déroule pour donner une vue complète sur sa coupe de l'herbe.")</f>
        <v>La caméra se déroule pour donner une vue complète sur sa coupe de l'herbe.</v>
      </c>
    </row>
    <row r="2167">
      <c r="A2167" s="4" t="s">
        <v>2717</v>
      </c>
      <c r="B2167" s="4" t="s">
        <v>2720</v>
      </c>
      <c r="C2167" s="5" t="str">
        <f>IFERROR(__xludf.DUMMYFUNCTION("GOOGLETRANSLATE(B2167,""en"",""fr"")"),"Elle fait une blague sur l'herbe ayant des extrémités divisées et de mauvaises racines.")</f>
        <v>Elle fait une blague sur l'herbe ayant des extrémités divisées et de mauvaises racines.</v>
      </c>
    </row>
    <row r="2168">
      <c r="A2168" s="4" t="s">
        <v>2717</v>
      </c>
      <c r="B2168" s="4" t="s">
        <v>2721</v>
      </c>
      <c r="C2168" s="5" t="str">
        <f>IFERROR(__xludf.DUMMYFUNCTION("GOOGLETRANSLATE(B2168,""en"",""fr"")"),"La caméra remonte à un gros plan de l'herbe et la vidéo se termine.")</f>
        <v>La caméra remonte à un gros plan de l'herbe et la vidéo se termine.</v>
      </c>
    </row>
    <row r="2169">
      <c r="A2169" s="4" t="s">
        <v>2722</v>
      </c>
      <c r="B2169" s="6" t="s">
        <v>2723</v>
      </c>
      <c r="C2169" s="5" t="str">
        <f>IFERROR(__xludf.DUMMYFUNCTION("GOOGLETRANSLATE(B2169,""en"",""fr"")"),"Une caméra se déroule autour de plusieurs zones boisées et mène à un garçon tenant un souffleur de feuilles et souriant à la caméra.")</f>
        <v>Une caméra se déroule autour de plusieurs zones boisées et mène à un garçon tenant un souffleur de feuilles et souriant à la caméra.</v>
      </c>
    </row>
    <row r="2170">
      <c r="A2170" s="4" t="s">
        <v>2722</v>
      </c>
      <c r="B2170" s="4" t="s">
        <v>2724</v>
      </c>
      <c r="C2170" s="5" t="str">
        <f>IFERROR(__xludf.DUMMYFUNCTION("GOOGLETRANSLATE(B2170,""en"",""fr"")"),"L'appareil photo se déroule sur un homme plus âgé, puis retourne aux garçons souffler des feuilles.")</f>
        <v>L'appareil photo se déroule sur un homme plus âgé, puis retourne aux garçons souffler des feuilles.</v>
      </c>
    </row>
    <row r="2171">
      <c r="A2171" s="4" t="s">
        <v>2725</v>
      </c>
      <c r="B2171" s="4" t="s">
        <v>2726</v>
      </c>
      <c r="C2171" s="5" t="str">
        <f>IFERROR(__xludf.DUMMYFUNCTION("GOOGLETRANSLATE(B2171,""en"",""fr"")"),"Un homme en troncs verts jette un homme en tronc rouges dans un ring de lutte.")</f>
        <v>Un homme en troncs verts jette un homme en tronc rouges dans un ring de lutte.</v>
      </c>
    </row>
    <row r="2172">
      <c r="A2172" s="4" t="s">
        <v>2725</v>
      </c>
      <c r="B2172" s="4" t="s">
        <v>2727</v>
      </c>
      <c r="C2172" s="5" t="str">
        <f>IFERROR(__xludf.DUMMYFUNCTION("GOOGLETRANSLATE(B2172,""en"",""fr"")"),"L'homme en troncs verts sort du ring.")</f>
        <v>L'homme en troncs verts sort du ring.</v>
      </c>
    </row>
    <row r="2173">
      <c r="A2173" s="4" t="s">
        <v>2725</v>
      </c>
      <c r="B2173" s="4" t="s">
        <v>2728</v>
      </c>
      <c r="C2173" s="5" t="str">
        <f>IFERROR(__xludf.DUMMYFUNCTION("GOOGLETRANSLATE(B2173,""en"",""fr"")"),"L'homme en troncs verts lance l'autre homme.")</f>
        <v>L'homme en troncs verts lance l'autre homme.</v>
      </c>
    </row>
    <row r="2174">
      <c r="A2174" s="4" t="s">
        <v>2725</v>
      </c>
      <c r="B2174" s="4" t="s">
        <v>2729</v>
      </c>
      <c r="C2174" s="5" t="str">
        <f>IFERROR(__xludf.DUMMYFUNCTION("GOOGLETRANSLATE(B2174,""en"",""fr"")"),"L'homme en troncs verts bombes de l'autre homme.")</f>
        <v>L'homme en troncs verts bombes de l'autre homme.</v>
      </c>
    </row>
    <row r="2175">
      <c r="A2175" s="4" t="s">
        <v>2725</v>
      </c>
      <c r="B2175" s="4" t="s">
        <v>2730</v>
      </c>
      <c r="C2175" s="5" t="str">
        <f>IFERROR(__xludf.DUMMYFUNCTION("GOOGLETRANSLATE(B2175,""en"",""fr"")"),"L'homme en tronc vert épingle l'autre homme et remporte le match.")</f>
        <v>L'homme en tronc vert épingle l'autre homme et remporte le match.</v>
      </c>
    </row>
    <row r="2176">
      <c r="A2176" s="4" t="s">
        <v>2731</v>
      </c>
      <c r="B2176" s="6" t="s">
        <v>2732</v>
      </c>
      <c r="C2176" s="5" t="str">
        <f>IFERROR(__xludf.DUMMYFUNCTION("GOOGLETRANSLATE(B2176,""en"",""fr"")"),"Il neige à l'extérieur d'une maison avec une camionnette garée grise et l'homme tient des outils, pose la caméra et commence ensuite à nettoyer la neige de la camionnette.")</f>
        <v>Il neige à l'extérieur d'une maison avec une camionnette garée grise et l'homme tient des outils, pose la caméra et commence ensuite à nettoyer la neige de la camionnette.</v>
      </c>
    </row>
    <row r="2177">
      <c r="A2177" s="4" t="s">
        <v>2731</v>
      </c>
      <c r="B2177" s="6" t="s">
        <v>2733</v>
      </c>
      <c r="C2177" s="5" t="str">
        <f>IFERROR(__xludf.DUMMYFUNCTION("GOOGLETRANSLATE(B2177,""en"",""fr"")"),"L'homme déplace la caméra et ajuste la position, puis revient à la camionnette commence à nettoyer la neige de tout le haut de la camionnette.")</f>
        <v>L'homme déplace la caméra et ajuste la position, puis revient à la camionnette commence à nettoyer la neige de tout le haut de la camionnette.</v>
      </c>
    </row>
    <row r="2178">
      <c r="A2178" s="4" t="s">
        <v>2731</v>
      </c>
      <c r="B2178" s="6" t="s">
        <v>2734</v>
      </c>
      <c r="C2178" s="5" t="str">
        <f>IFERROR(__xludf.DUMMYFUNCTION("GOOGLETRANSLATE(B2178,""en"",""fr"")"),"L'homme revient à la caméra et le déplace une fois de plus afin qu'il puisse capturer une vue différente et il continue d'essuyer la neige du côté et du haut de la camionnette.")</f>
        <v>L'homme revient à la caméra et le déplace une fois de plus afin qu'il puisse capturer une vue différente et il continue d'essuyer la neige du côté et du haut de la camionnette.</v>
      </c>
    </row>
    <row r="2179">
      <c r="A2179" s="4" t="s">
        <v>2731</v>
      </c>
      <c r="B2179" s="6" t="s">
        <v>2735</v>
      </c>
      <c r="C2179" s="5" t="str">
        <f>IFERROR(__xludf.DUMMYFUNCTION("GOOGLETRANSLATE(B2179,""en"",""fr"")"),"Le morceau de l'outil se casse et l'homme le saisit et le montre à la caméra et continue de parler, sort de la caméra, puis montre l'appareil photo qu'il a réparé l'outil, puis déplace à nouveau l'appareil photo.")</f>
        <v>Le morceau de l'outil se casse et l'homme le saisit et le montre à la caméra et continue de parler, sort de la caméra, puis montre l'appareil photo qu'il a réparé l'outil, puis déplace à nouveau l'appareil photo.</v>
      </c>
    </row>
    <row r="2180">
      <c r="A2180" s="4" t="s">
        <v>2731</v>
      </c>
      <c r="B2180" s="6" t="s">
        <v>2736</v>
      </c>
      <c r="C2180" s="5" t="str">
        <f>IFERROR(__xludf.DUMMYFUNCTION("GOOGLETRANSLATE(B2180,""en"",""fr"")"),"Une femme se présente et elle touche la camionnette avec ses mains et commence à essuyer la neige avec juste ses mains.")</f>
        <v>Une femme se présente et elle touche la camionnette avec ses mains et commence à essuyer la neige avec juste ses mains.</v>
      </c>
    </row>
    <row r="2181">
      <c r="A2181" s="4" t="s">
        <v>2737</v>
      </c>
      <c r="B2181" s="4" t="s">
        <v>2738</v>
      </c>
      <c r="C2181" s="5" t="str">
        <f>IFERROR(__xludf.DUMMYFUNCTION("GOOGLETRANSLATE(B2181,""en"",""fr"")"),"Tout d'abord, un écran est affiché, montrant quelle chanson le jeu de l'homme jouera en utilisant la guitare.")</f>
        <v>Tout d'abord, un écran est affiché, montrant quelle chanson le jeu de l'homme jouera en utilisant la guitare.</v>
      </c>
    </row>
    <row r="2182">
      <c r="A2182" s="4" t="s">
        <v>2737</v>
      </c>
      <c r="B2182" s="4" t="s">
        <v>2739</v>
      </c>
      <c r="C2182" s="5" t="str">
        <f>IFERROR(__xludf.DUMMYFUNCTION("GOOGLETRANSLATE(B2182,""en"",""fr"")"),"Ensuite, l'homme est montré assis à jouer de la guitare et il ne lève jamais les yeux vers la caméra.")</f>
        <v>Ensuite, l'homme est montré assis à jouer de la guitare et il ne lève jamais les yeux vers la caméra.</v>
      </c>
    </row>
    <row r="2183">
      <c r="A2183" s="4" t="s">
        <v>2737</v>
      </c>
      <c r="B2183" s="4" t="s">
        <v>2740</v>
      </c>
      <c r="C2183" s="5" t="str">
        <f>IFERROR(__xludf.DUMMYFUNCTION("GOOGLETRANSLATE(B2183,""en"",""fr"")"),"Enfin, la vidéo se termine et la seule chose vue est l'obscurité.")</f>
        <v>Enfin, la vidéo se termine et la seule chose vue est l'obscurité.</v>
      </c>
    </row>
    <row r="2184">
      <c r="A2184" s="4" t="s">
        <v>2741</v>
      </c>
      <c r="B2184" s="6" t="s">
        <v>2742</v>
      </c>
      <c r="C2184" s="5" t="str">
        <f>IFERROR(__xludf.DUMMYFUNCTION("GOOGLETRANSLATE(B2184,""en"",""fr"")"),"Une femme est vue debout sur un plongeon et l'emmente en lui tendant ses bras et effectuant une plongée impressionnante.")</f>
        <v>Une femme est vue debout sur un plongeon et l'emmente en lui tendant ses bras et effectuant une plongée impressionnante.</v>
      </c>
    </row>
    <row r="2185">
      <c r="A2185" s="4" t="s">
        <v>2741</v>
      </c>
      <c r="B2185" s="4" t="s">
        <v>2743</v>
      </c>
      <c r="C2185" s="5" t="str">
        <f>IFERROR(__xludf.DUMMYFUNCTION("GOOGLETRANSLATE(B2185,""en"",""fr"")"),"La femme est vue plusieurs fois de plongeon dans la piscine et remonte à la surface.")</f>
        <v>La femme est vue plusieurs fois de plongeon dans la piscine et remonte à la surface.</v>
      </c>
    </row>
    <row r="2186">
      <c r="A2186" s="4" t="s">
        <v>2744</v>
      </c>
      <c r="B2186" s="4" t="s">
        <v>2745</v>
      </c>
      <c r="C2186" s="5" t="str">
        <f>IFERROR(__xludf.DUMMYFUNCTION("GOOGLETRANSLATE(B2186,""en"",""fr"")"),"Un homme parle dans un bureau organisant un harmonica.")</f>
        <v>Un homme parle dans un bureau organisant un harmonica.</v>
      </c>
    </row>
    <row r="2187">
      <c r="A2187" s="4" t="s">
        <v>2744</v>
      </c>
      <c r="B2187" s="4" t="s">
        <v>2746</v>
      </c>
      <c r="C2187" s="5" t="str">
        <f>IFERROR(__xludf.DUMMYFUNCTION("GOOGLETRANSLATE(B2187,""en"",""fr"")"),"Ensuite, l'homme ouvre un stand et allume la radio.")</f>
        <v>Ensuite, l'homme ouvre un stand et allume la radio.</v>
      </c>
    </row>
    <row r="2188">
      <c r="A2188" s="4" t="s">
        <v>2744</v>
      </c>
      <c r="B2188" s="4" t="s">
        <v>2747</v>
      </c>
      <c r="C2188" s="5" t="str">
        <f>IFERROR(__xludf.DUMMYFUNCTION("GOOGLETRANSLATE(B2188,""en"",""fr"")"),"Après, l'homme plia l'harmonica.")</f>
        <v>Après, l'homme plia l'harmonica.</v>
      </c>
    </row>
    <row r="2189">
      <c r="A2189" s="4" t="s">
        <v>2748</v>
      </c>
      <c r="B2189" s="6" t="s">
        <v>2749</v>
      </c>
      <c r="C2189" s="5" t="str">
        <f>IFERROR(__xludf.DUMMYFUNCTION("GOOGLETRANSLATE(B2189,""en"",""fr"")"),"Un grand groupe de soldats de l'armée est vu tenant une grande corde les uns des autres tandis que d'autres soldats regardent.")</f>
        <v>Un grand groupe de soldats de l'armée est vu tenant une grande corde les uns des autres tandis que d'autres soldats regardent.</v>
      </c>
    </row>
    <row r="2190">
      <c r="A2190" s="4" t="s">
        <v>2748</v>
      </c>
      <c r="B2190" s="4" t="s">
        <v>2750</v>
      </c>
      <c r="C2190" s="5" t="str">
        <f>IFERROR(__xludf.DUMMYFUNCTION("GOOGLETRANSLATE(B2190,""en"",""fr"")"),"Un homme se tient au milieu et les gens commencent à tirer la corde les uns des autres.")</f>
        <v>Un homme se tient au milieu et les gens commencent à tirer la corde les uns des autres.</v>
      </c>
    </row>
    <row r="2191">
      <c r="A2191" s="4" t="s">
        <v>2748</v>
      </c>
      <c r="B2191" s="4" t="s">
        <v>2751</v>
      </c>
      <c r="C2191" s="5" t="str">
        <f>IFERROR(__xludf.DUMMYFUNCTION("GOOGLETRANSLATE(B2191,""en"",""fr"")"),"Un côté tire les autres et le reste de l'équipe applaudit pendant que la caméra se déroule.")</f>
        <v>Un côté tire les autres et le reste de l'équipe applaudit pendant que la caméra se déroule.</v>
      </c>
    </row>
    <row r="2192">
      <c r="A2192" s="4" t="s">
        <v>2752</v>
      </c>
      <c r="B2192" s="6" t="s">
        <v>2753</v>
      </c>
      <c r="C2192" s="5" t="str">
        <f>IFERROR(__xludf.DUMMYFUNCTION("GOOGLETRANSLATE(B2192,""en"",""fr"")"),"La vidéo montre deux pays représentés par des uniformes bleus et verts jouant au jeu de cricket professionnellement.")</f>
        <v>La vidéo montre deux pays représentés par des uniformes bleus et verts jouant au jeu de cricket professionnellement.</v>
      </c>
    </row>
    <row r="2193">
      <c r="A2193" s="4" t="s">
        <v>2752</v>
      </c>
      <c r="B2193" s="4" t="s">
        <v>2754</v>
      </c>
      <c r="C2193" s="5" t="str">
        <f>IFERROR(__xludf.DUMMYFUNCTION("GOOGLETRANSLATE(B2193,""en"",""fr"")"),"Les batteurs frappent pendant que le bowler fait un lancer à la main.")</f>
        <v>Les batteurs frappent pendant que le bowler fait un lancer à la main.</v>
      </c>
    </row>
    <row r="2194">
      <c r="A2194" s="4" t="s">
        <v>2752</v>
      </c>
      <c r="B2194" s="6" t="s">
        <v>2755</v>
      </c>
      <c r="C2194" s="5" t="str">
        <f>IFERROR(__xludf.DUMMYFUNCTION("GOOGLETRANSLATE(B2194,""en"",""fr"")"),"La scène suivante montre une équipe de joueurs de cricket portant des uniformes blancs se préparant à jouer alors qu'ils se réunissent en cercle avec leur capitaine.")</f>
        <v>La scène suivante montre une équipe de joueurs de cricket portant des uniformes blancs se préparant à jouer alors qu'ils se réunissent en cercle avec leur capitaine.</v>
      </c>
    </row>
    <row r="2195">
      <c r="A2195" s="4" t="s">
        <v>2756</v>
      </c>
      <c r="B2195" s="4" t="s">
        <v>2757</v>
      </c>
      <c r="C2195" s="5" t="str">
        <f>IFERROR(__xludf.DUMMYFUNCTION("GOOGLETRANSLATE(B2195,""en"",""fr"")"),"Une fille entre dans le centre d'une pièce avec un cerceau.")</f>
        <v>Une fille entre dans le centre d'une pièce avec un cerceau.</v>
      </c>
    </row>
    <row r="2196">
      <c r="A2196" s="4" t="s">
        <v>2756</v>
      </c>
      <c r="B2196" s="4" t="s">
        <v>2758</v>
      </c>
      <c r="C2196" s="5" t="str">
        <f>IFERROR(__xludf.DUMMYFUNCTION("GOOGLETRANSLATE(B2196,""en"",""fr"")"),"Elle fait plusieurs actes et cascades avec le cerceau, apportant sa tête et ses bras dans et hors.")</f>
        <v>Elle fait plusieurs actes et cascades avec le cerceau, apportant sa tête et ses bras dans et hors.</v>
      </c>
    </row>
    <row r="2197">
      <c r="A2197" s="4" t="s">
        <v>2759</v>
      </c>
      <c r="B2197" s="4" t="s">
        <v>2760</v>
      </c>
      <c r="C2197" s="5" t="str">
        <f>IFERROR(__xludf.DUMMYFUNCTION("GOOGLETRANSLATE(B2197,""en"",""fr"")"),"Une personne est vue debout à côté d'un arbre tout en agitant et en parlant à la caméra.")</f>
        <v>Une personne est vue debout à côté d'un arbre tout en agitant et en parlant à la caméra.</v>
      </c>
    </row>
    <row r="2198">
      <c r="A2198" s="4" t="s">
        <v>2759</v>
      </c>
      <c r="B2198" s="6" t="s">
        <v>2761</v>
      </c>
      <c r="C2198" s="5" t="str">
        <f>IFERROR(__xludf.DUMMYFUNCTION("GOOGLETRANSLATE(B2198,""en"",""fr"")"),"La personne tient alors de la saleté et mène à plusieurs clips de son ratissage autour d'un arbre et pointant vers cela.")</f>
        <v>La personne tient alors de la saleté et mène à plusieurs clips de son ratissage autour d'un arbre et pointant vers cela.</v>
      </c>
    </row>
    <row r="2199">
      <c r="A2199" s="4" t="s">
        <v>2762</v>
      </c>
      <c r="B2199" s="6" t="s">
        <v>2763</v>
      </c>
      <c r="C2199" s="5" t="str">
        <f>IFERROR(__xludf.DUMMYFUNCTION("GOOGLETRANSLATE(B2199,""en"",""fr"")"),"Un écran d'intro de nuages ​​apparaît et les mots bleus à travers lui disent ""Montage de nookah Montage HD"".")</f>
        <v>Un écran d'intro de nuages ​​apparaît et les mots bleus à travers lui disent "Montage de nookah Montage HD".</v>
      </c>
    </row>
    <row r="2200">
      <c r="A2200" s="4" t="s">
        <v>2762</v>
      </c>
      <c r="B2200" s="6" t="s">
        <v>2764</v>
      </c>
      <c r="C2200" s="5" t="str">
        <f>IFERROR(__xludf.DUMMYFUNCTION("GOOGLETRANSLATE(B2200,""en"",""fr"")"),"Divers mots apparaissent entre de nombreux clips différents de nombreuses personnes différentes qui soufflent de la bouche et font de nombreuses astuces différentes; Et quand les mots sont rassemblés, ils disent ""il est temps de se rendre correctement"".")</f>
        <v>Divers mots apparaissent entre de nombreux clips différents de nombreuses personnes différentes qui soufflent de la bouche et font de nombreuses astuces différentes; Et quand les mots sont rassemblés, ils disent "il est temps de se rendre correctement".</v>
      </c>
    </row>
    <row r="2201">
      <c r="A2201" s="4" t="s">
        <v>2762</v>
      </c>
      <c r="B2201" s="6" t="s">
        <v>2765</v>
      </c>
      <c r="C2201" s="5" t="str">
        <f>IFERROR(__xludf.DUMMYFUNCTION("GOOGLETRANSLATE(B2201,""en"",""fr"")"),"Lorsque les clips sont effectués, un écran noir apparaît et que des lettres bleues apparaissent et que ce soit ""merci de regarder"".")</f>
        <v>Lorsque les clips sont effectués, un écran noir apparaît et que des lettres bleues apparaissent et que ce soit "merci de regarder".</v>
      </c>
    </row>
    <row r="2202">
      <c r="A2202" s="4" t="s">
        <v>2766</v>
      </c>
      <c r="B2202" s="4" t="s">
        <v>2767</v>
      </c>
      <c r="C2202" s="5" t="str">
        <f>IFERROR(__xludf.DUMMYFUNCTION("GOOGLETRANSLATE(B2202,""en"",""fr"")"),"Un garçon est dans une voiture de plein air, tournant par lui-même.")</f>
        <v>Un garçon est dans une voiture de plein air, tournant par lui-même.</v>
      </c>
    </row>
    <row r="2203">
      <c r="A2203" s="4" t="s">
        <v>2766</v>
      </c>
      <c r="B2203" s="4" t="s">
        <v>2768</v>
      </c>
      <c r="C2203" s="5" t="str">
        <f>IFERROR(__xludf.DUMMYFUNCTION("GOOGLETRANSLATE(B2203,""en"",""fr"")"),"Il recule et avance dans sa voiture.")</f>
        <v>Il recule et avance dans sa voiture.</v>
      </c>
    </row>
    <row r="2204">
      <c r="A2204" s="4" t="s">
        <v>2766</v>
      </c>
      <c r="B2204" s="4" t="s">
        <v>2769</v>
      </c>
      <c r="C2204" s="5" t="str">
        <f>IFERROR(__xludf.DUMMYFUNCTION("GOOGLETRANSLATE(B2204,""en"",""fr"")"),"Il a l'air seul alors qu'il s'arrête enfin.")</f>
        <v>Il a l'air seul alors qu'il s'arrête enfin.</v>
      </c>
    </row>
    <row r="2205">
      <c r="A2205" s="4" t="s">
        <v>2770</v>
      </c>
      <c r="B2205" s="4" t="s">
        <v>2771</v>
      </c>
      <c r="C2205" s="5" t="str">
        <f>IFERROR(__xludf.DUMMYFUNCTION("GOOGLETRANSLATE(B2205,""en"",""fr"")"),"Les gens interagissent dans une arène de glace encercline.")</f>
        <v>Les gens interagissent dans une arène de glace encercline.</v>
      </c>
    </row>
    <row r="2206">
      <c r="A2206" s="4" t="s">
        <v>2770</v>
      </c>
      <c r="B2206" s="4" t="s">
        <v>2772</v>
      </c>
      <c r="C2206" s="5" t="str">
        <f>IFERROR(__xludf.DUMMYFUNCTION("GOOGLETRANSLATE(B2206,""en"",""fr"")"),"Une dame parle à un groupe d'hommes.")</f>
        <v>Une dame parle à un groupe d'hommes.</v>
      </c>
    </row>
    <row r="2207">
      <c r="A2207" s="4" t="s">
        <v>2770</v>
      </c>
      <c r="B2207" s="4" t="s">
        <v>2773</v>
      </c>
      <c r="C2207" s="5" t="str">
        <f>IFERROR(__xludf.DUMMYFUNCTION("GOOGLETRANSLATE(B2207,""en"",""fr"")"),"Un gars glisse, tombe sur l'arène de la glace et rit.")</f>
        <v>Un gars glisse, tombe sur l'arène de la glace et rit.</v>
      </c>
    </row>
    <row r="2208">
      <c r="A2208" s="4" t="s">
        <v>2770</v>
      </c>
      <c r="B2208" s="4" t="s">
        <v>2774</v>
      </c>
      <c r="C2208" s="5" t="str">
        <f>IFERROR(__xludf.DUMMYFUNCTION("GOOGLETRANSLATE(B2208,""en"",""fr"")"),"Un homme ouvre la bouche très large pour montrer son excitation.")</f>
        <v>Un homme ouvre la bouche très large pour montrer son excitation.</v>
      </c>
    </row>
    <row r="2209">
      <c r="A2209" s="4" t="s">
        <v>2770</v>
      </c>
      <c r="B2209" s="4" t="s">
        <v>2775</v>
      </c>
      <c r="C2209" s="5" t="str">
        <f>IFERROR(__xludf.DUMMYFUNCTION("GOOGLETRANSLATE(B2209,""en"",""fr"")"),"Une dame arrête la pierre encercline avec un balai.")</f>
        <v>Une dame arrête la pierre encercline avec un balai.</v>
      </c>
    </row>
    <row r="2210">
      <c r="A2210" s="4" t="s">
        <v>2770</v>
      </c>
      <c r="B2210" s="4" t="s">
        <v>2776</v>
      </c>
      <c r="C2210" s="5" t="str">
        <f>IFERROR(__xludf.DUMMYFUNCTION("GOOGLETRANSLATE(B2210,""en"",""fr"")"),"Les crédits avec deux mini clips sont affichés.")</f>
        <v>Les crédits avec deux mini clips sont affichés.</v>
      </c>
    </row>
    <row r="2211">
      <c r="A2211" s="4" t="s">
        <v>2777</v>
      </c>
      <c r="B2211" s="4" t="s">
        <v>2778</v>
      </c>
      <c r="C2211" s="5" t="str">
        <f>IFERROR(__xludf.DUMMYFUNCTION("GOOGLETRANSLATE(B2211,""en"",""fr"")"),"Un garçon plus âgé et un plus jeune sont sur un terrain de racquetball.")</f>
        <v>Un garçon plus âgé et un plus jeune sont sur un terrain de racquetball.</v>
      </c>
    </row>
    <row r="2212">
      <c r="A2212" s="4" t="s">
        <v>2777</v>
      </c>
      <c r="B2212" s="4" t="s">
        <v>2779</v>
      </c>
      <c r="C2212" s="5" t="str">
        <f>IFERROR(__xludf.DUMMYFUNCTION("GOOGLETRANSLATE(B2212,""en"",""fr"")"),"Ils ont frappé le ballon d'avant en arrière contre le mur.")</f>
        <v>Ils ont frappé le ballon d'avant en arrière contre le mur.</v>
      </c>
    </row>
    <row r="2213">
      <c r="A2213" s="4" t="s">
        <v>2777</v>
      </c>
      <c r="B2213" s="4" t="s">
        <v>2780</v>
      </c>
      <c r="C2213" s="5" t="str">
        <f>IFERROR(__xludf.DUMMYFUNCTION("GOOGLETRANSLATE(B2213,""en"",""fr"")"),"Ils continuent de se battre pour le ballon, essayant de se battre dans le jeu.")</f>
        <v>Ils continuent de se battre pour le ballon, essayant de se battre dans le jeu.</v>
      </c>
    </row>
    <row r="2214">
      <c r="A2214" s="4" t="s">
        <v>2781</v>
      </c>
      <c r="B2214" s="4" t="s">
        <v>2782</v>
      </c>
      <c r="C2214" s="5" t="str">
        <f>IFERROR(__xludf.DUMMYFUNCTION("GOOGLETRANSLATE(B2214,""en"",""fr"")"),"Nous voyons le titre sur un écran noir.")</f>
        <v>Nous voyons le titre sur un écran noir.</v>
      </c>
    </row>
    <row r="2215">
      <c r="A2215" s="4" t="s">
        <v>2781</v>
      </c>
      <c r="B2215" s="4" t="s">
        <v>2783</v>
      </c>
      <c r="C2215" s="5" t="str">
        <f>IFERROR(__xludf.DUMMYFUNCTION("GOOGLETRANSLATE(B2215,""en"",""fr"")"),"Les gens sont en ligne sur une piste de ski.")</f>
        <v>Les gens sont en ligne sur une piste de ski.</v>
      </c>
    </row>
    <row r="2216">
      <c r="A2216" s="4" t="s">
        <v>2781</v>
      </c>
      <c r="B2216" s="4" t="s">
        <v>2784</v>
      </c>
      <c r="C2216" s="5" t="str">
        <f>IFERROR(__xludf.DUMMYFUNCTION("GOOGLETRANSLATE(B2216,""en"",""fr"")"),"Nous voyons des gens dans des radeaux remonter une colline et des gens roulant sur les radeaux sur la pente.")</f>
        <v>Nous voyons des gens dans des radeaux remonter une colline et des gens roulant sur les radeaux sur la pente.</v>
      </c>
    </row>
    <row r="2217">
      <c r="A2217" s="4" t="s">
        <v>2781</v>
      </c>
      <c r="B2217" s="4" t="s">
        <v>2785</v>
      </c>
      <c r="C2217" s="5" t="str">
        <f>IFERROR(__xludf.DUMMYFUNCTION("GOOGLETRANSLATE(B2217,""en"",""fr"")"),"Nous voyons un homme au sommet de la montagne.")</f>
        <v>Nous voyons un homme au sommet de la montagne.</v>
      </c>
    </row>
    <row r="2218">
      <c r="A2218" s="4" t="s">
        <v>2781</v>
      </c>
      <c r="B2218" s="4" t="s">
        <v>2786</v>
      </c>
      <c r="C2218" s="5" t="str">
        <f>IFERROR(__xludf.DUMMYFUNCTION("GOOGLETRANSLATE(B2218,""en"",""fr"")"),"Nous voyons l'écriture indiquant que la caméra a été abandonnée.")</f>
        <v>Nous voyons l'écriture indiquant que la caméra a été abandonnée.</v>
      </c>
    </row>
    <row r="2219">
      <c r="A2219" s="4" t="s">
        <v>2781</v>
      </c>
      <c r="B2219" s="4" t="s">
        <v>2787</v>
      </c>
      <c r="C2219" s="5" t="str">
        <f>IFERROR(__xludf.DUMMYFUNCTION("GOOGLETRANSLATE(B2219,""en"",""fr"")"),"L'homme filme son visage alors qu'il glisse sur la colline.")</f>
        <v>L'homme filme son visage alors qu'il glisse sur la colline.</v>
      </c>
    </row>
    <row r="2220">
      <c r="A2220" s="4" t="s">
        <v>2781</v>
      </c>
      <c r="B2220" s="4" t="s">
        <v>2788</v>
      </c>
      <c r="C2220" s="5" t="str">
        <f>IFERROR(__xludf.DUMMYFUNCTION("GOOGLETRANSLATE(B2220,""en"",""fr"")"),"Nous voyons le visage d'un jeune homme alors qu'il monte en bas de la colline.")</f>
        <v>Nous voyons le visage d'un jeune homme alors qu'il monte en bas de la colline.</v>
      </c>
    </row>
    <row r="2221">
      <c r="A2221" s="4" t="s">
        <v>2781</v>
      </c>
      <c r="B2221" s="4" t="s">
        <v>2789</v>
      </c>
      <c r="C2221" s="5" t="str">
        <f>IFERROR(__xludf.DUMMYFUNCTION("GOOGLETRANSLATE(B2221,""en"",""fr"")"),"Nous voyons des gens marcher vers leurs voitures dans le parking.")</f>
        <v>Nous voyons des gens marcher vers leurs voitures dans le parking.</v>
      </c>
    </row>
    <row r="2222">
      <c r="A2222" s="4" t="s">
        <v>2781</v>
      </c>
      <c r="B2222" s="4" t="s">
        <v>2790</v>
      </c>
      <c r="C2222" s="5" t="str">
        <f>IFERROR(__xludf.DUMMYFUNCTION("GOOGLETRANSLATE(B2222,""en"",""fr"")"),"À la fin, nous voyons un enfant allongé sur un radeau.")</f>
        <v>À la fin, nous voyons un enfant allongé sur un radeau.</v>
      </c>
    </row>
    <row r="2223">
      <c r="A2223" s="4" t="s">
        <v>2791</v>
      </c>
      <c r="B2223" s="4" t="s">
        <v>2792</v>
      </c>
      <c r="C2223" s="5" t="str">
        <f>IFERROR(__xludf.DUMMYFUNCTION("GOOGLETRANSLATE(B2223,""en"",""fr"")"),"Un compte à rebours est montré suivi par une femme qui attrape des balles lancées sur lui.")</f>
        <v>Un compte à rebours est montré suivi par une femme qui attrape des balles lancées sur lui.</v>
      </c>
    </row>
    <row r="2224">
      <c r="A2224" s="4" t="s">
        <v>2791</v>
      </c>
      <c r="B2224" s="4" t="s">
        <v>2793</v>
      </c>
      <c r="C2224" s="5" t="str">
        <f>IFERROR(__xludf.DUMMYFUNCTION("GOOGLETRANSLATE(B2224,""en"",""fr"")"),"Le nombre compte davantage et montre plus de clips de femmes jouant au ballon de dodge.")</f>
        <v>Le nombre compte davantage et montre plus de clips de femmes jouant au ballon de dodge.</v>
      </c>
    </row>
    <row r="2225">
      <c r="A2225" s="4" t="s">
        <v>2791</v>
      </c>
      <c r="B2225" s="4" t="s">
        <v>2794</v>
      </c>
      <c r="C2225" s="5" t="str">
        <f>IFERROR(__xludf.DUMMYFUNCTION("GOOGLETRANSLATE(B2225,""en"",""fr"")"),"Plusieurs autres nombres et clips se terminent avec des personnes effectuant des lancers impressionnants.")</f>
        <v>Plusieurs autres nombres et clips se terminent avec des personnes effectuant des lancers impressionnants.</v>
      </c>
    </row>
    <row r="2226">
      <c r="A2226" s="4" t="s">
        <v>2795</v>
      </c>
      <c r="B2226" s="4" t="s">
        <v>2796</v>
      </c>
      <c r="C2226" s="5" t="str">
        <f>IFERROR(__xludf.DUMMYFUNCTION("GOOGLETRANSLATE(B2226,""en"",""fr"")"),"Un garçon hache du bois dans une forêt.")</f>
        <v>Un garçon hache du bois dans une forêt.</v>
      </c>
    </row>
    <row r="2227">
      <c r="A2227" s="4" t="s">
        <v>2795</v>
      </c>
      <c r="B2227" s="4" t="s">
        <v>2797</v>
      </c>
      <c r="C2227" s="5" t="str">
        <f>IFERROR(__xludf.DUMMYFUNCTION("GOOGLETRANSLATE(B2227,""en"",""fr"")"),"Le garçon laisse presque tomber la hache.")</f>
        <v>Le garçon laisse presque tomber la hache.</v>
      </c>
    </row>
    <row r="2228">
      <c r="A2228" s="4" t="s">
        <v>2795</v>
      </c>
      <c r="B2228" s="4" t="s">
        <v>2798</v>
      </c>
      <c r="C2228" s="5" t="str">
        <f>IFERROR(__xludf.DUMMYFUNCTION("GOOGLETRANSLATE(B2228,""en"",""fr"")"),"Le garçon regarde la caméra.")</f>
        <v>Le garçon regarde la caméra.</v>
      </c>
    </row>
    <row r="2229">
      <c r="A2229" s="4" t="s">
        <v>2799</v>
      </c>
      <c r="B2229" s="4" t="s">
        <v>2800</v>
      </c>
      <c r="C2229" s="5" t="str">
        <f>IFERROR(__xludf.DUMMYFUNCTION("GOOGLETRANSLATE(B2229,""en"",""fr"")"),"Une personne est vue en retournant jusqu'au bout de sa voiture et en mettant les mains sur ses hanches.")</f>
        <v>Une personne est vue en retournant jusqu'au bout de sa voiture et en mettant les mains sur ses hanches.</v>
      </c>
    </row>
    <row r="2230">
      <c r="A2230" s="4" t="s">
        <v>2799</v>
      </c>
      <c r="B2230" s="4" t="s">
        <v>2801</v>
      </c>
      <c r="C2230" s="5" t="str">
        <f>IFERROR(__xludf.DUMMYFUNCTION("GOOGLETRANSLATE(B2230,""en"",""fr"")"),"Ils se rendent compte qu'ils ont un pneu plat et retirent un jack qui tente de le retirer.")</f>
        <v>Ils se rendent compte qu'ils ont un pneu plat et retirent un jack qui tente de le retirer.</v>
      </c>
    </row>
    <row r="2231">
      <c r="A2231" s="4" t="s">
        <v>2799</v>
      </c>
      <c r="B2231" s="4" t="s">
        <v>2802</v>
      </c>
      <c r="C2231" s="5" t="str">
        <f>IFERROR(__xludf.DUMMYFUNCTION("GOOGLETRANSLATE(B2231,""en"",""fr"")"),"La femme tombe et échoue en arrière d'un pont, atterrissant sur un camion.")</f>
        <v>La femme tombe et échoue en arrière d'un pont, atterrissant sur un camion.</v>
      </c>
    </row>
    <row r="2232">
      <c r="A2232" s="4" t="s">
        <v>2803</v>
      </c>
      <c r="B2232" s="4" t="s">
        <v>2804</v>
      </c>
      <c r="C2232" s="5" t="str">
        <f>IFERROR(__xludf.DUMMYFUNCTION("GOOGLETRANSLATE(B2232,""en"",""fr"")"),"Un homme en polo bleu parle à la caméra.")</f>
        <v>Un homme en polo bleu parle à la caméra.</v>
      </c>
    </row>
    <row r="2233">
      <c r="A2233" s="4" t="s">
        <v>2803</v>
      </c>
      <c r="B2233" s="4" t="s">
        <v>2805</v>
      </c>
      <c r="C2233" s="5" t="str">
        <f>IFERROR(__xludf.DUMMYFUNCTION("GOOGLETRANSLATE(B2233,""en"",""fr"")"),"Dans un cadre différent, l'homme enseigne à une femme blonde sur la façon de les jouer.")</f>
        <v>Dans un cadre différent, l'homme enseigne à une femme blonde sur la façon de les jouer.</v>
      </c>
    </row>
    <row r="2234">
      <c r="A2234" s="4" t="s">
        <v>2803</v>
      </c>
      <c r="B2234" s="4" t="s">
        <v>2806</v>
      </c>
      <c r="C2234" s="5" t="str">
        <f>IFERROR(__xludf.DUMMYFUNCTION("GOOGLETRANSLATE(B2234,""en"",""fr"")"),"La femme est assise.")</f>
        <v>La femme est assise.</v>
      </c>
    </row>
    <row r="2235">
      <c r="A2235" s="4" t="s">
        <v>2803</v>
      </c>
      <c r="B2235" s="4" t="s">
        <v>2807</v>
      </c>
      <c r="C2235" s="5" t="str">
        <f>IFERROR(__xludf.DUMMYFUNCTION("GOOGLETRANSLATE(B2235,""en"",""fr"")"),"L'homme revient pour parler à la caméra.")</f>
        <v>L'homme revient pour parler à la caméra.</v>
      </c>
    </row>
    <row r="2236">
      <c r="A2236" s="4" t="s">
        <v>2808</v>
      </c>
      <c r="B2236" s="4" t="s">
        <v>2809</v>
      </c>
      <c r="C2236" s="5" t="str">
        <f>IFERROR(__xludf.DUMMYFUNCTION("GOOGLETRANSLATE(B2236,""en"",""fr"")"),"Une vidéo montre comment changer un pneu de rechange.")</f>
        <v>Une vidéo montre comment changer un pneu de rechange.</v>
      </c>
    </row>
    <row r="2237">
      <c r="A2237" s="4" t="s">
        <v>2808</v>
      </c>
      <c r="B2237" s="4" t="s">
        <v>2810</v>
      </c>
      <c r="C2237" s="5" t="str">
        <f>IFERROR(__xludf.DUMMYFUNCTION("GOOGLETRANSLATE(B2237,""en"",""fr"")"),"Le premier pneu est enlevé et remplacé, mais rien d'autre n'est fait.")</f>
        <v>Le premier pneu est enlevé et remplacé, mais rien d'autre n'est fait.</v>
      </c>
    </row>
    <row r="2238">
      <c r="A2238" s="4" t="s">
        <v>2811</v>
      </c>
      <c r="B2238" s="4" t="s">
        <v>2812</v>
      </c>
      <c r="C2238" s="5" t="str">
        <f>IFERROR(__xludf.DUMMYFUNCTION("GOOGLETRANSLATE(B2238,""en"",""fr"")"),"Nous voyons une planche de fléchette sur un mur.")</f>
        <v>Nous voyons une planche de fléchette sur un mur.</v>
      </c>
    </row>
    <row r="2239">
      <c r="A2239" s="4" t="s">
        <v>2811</v>
      </c>
      <c r="B2239" s="4" t="s">
        <v>2813</v>
      </c>
      <c r="C2239" s="5" t="str">
        <f>IFERROR(__xludf.DUMMYFUNCTION("GOOGLETRANSLATE(B2239,""en"",""fr"")"),"Deux hommes jouent à un jeu de fléchettes.")</f>
        <v>Deux hommes jouent à un jeu de fléchettes.</v>
      </c>
    </row>
    <row r="2240">
      <c r="A2240" s="4" t="s">
        <v>2811</v>
      </c>
      <c r="B2240" s="4" t="s">
        <v>2814</v>
      </c>
      <c r="C2240" s="5" t="str">
        <f>IFERROR(__xludf.DUMMYFUNCTION("GOOGLETRANSLATE(B2240,""en"",""fr"")"),"Nous voyons l'opérateur de la caméra.")</f>
        <v>Nous voyons l'opérateur de la caméra.</v>
      </c>
    </row>
    <row r="2241">
      <c r="A2241" s="4" t="s">
        <v>2811</v>
      </c>
      <c r="B2241" s="4" t="s">
        <v>2815</v>
      </c>
      <c r="C2241" s="5" t="str">
        <f>IFERROR(__xludf.DUMMYFUNCTION("GOOGLETRANSLATE(B2241,""en"",""fr"")"),"Nous voyons un homme de près dans la caméra.")</f>
        <v>Nous voyons un homme de près dans la caméra.</v>
      </c>
    </row>
    <row r="2242">
      <c r="A2242" s="4" t="s">
        <v>2811</v>
      </c>
      <c r="B2242" s="4" t="s">
        <v>2816</v>
      </c>
      <c r="C2242" s="5" t="str">
        <f>IFERROR(__xludf.DUMMYFUNCTION("GOOGLETRANSLATE(B2242,""en"",""fr"")"),"Nous voyons un homme de près.")</f>
        <v>Nous voyons un homme de près.</v>
      </c>
    </row>
    <row r="2243">
      <c r="A2243" s="4" t="s">
        <v>2811</v>
      </c>
      <c r="B2243" s="4" t="s">
        <v>2817</v>
      </c>
      <c r="C2243" s="5" t="str">
        <f>IFERROR(__xludf.DUMMYFUNCTION("GOOGLETRANSLATE(B2243,""en"",""fr"")"),"Nous voyons des chaussettes et un homme proche de la caméra.")</f>
        <v>Nous voyons des chaussettes et un homme proche de la caméra.</v>
      </c>
    </row>
    <row r="2244">
      <c r="A2244" s="4" t="s">
        <v>2818</v>
      </c>
      <c r="B2244" s="4" t="s">
        <v>2819</v>
      </c>
      <c r="C2244" s="5" t="str">
        <f>IFERROR(__xludf.DUMMYFUNCTION("GOOGLETRANSLATE(B2244,""en"",""fr"")"),"Un homme est vu parler à la caméra et commence à s'agenouiller sur un toit.")</f>
        <v>Un homme est vu parler à la caméra et commence à s'agenouiller sur un toit.</v>
      </c>
    </row>
    <row r="2245">
      <c r="A2245" s="4" t="s">
        <v>2818</v>
      </c>
      <c r="B2245" s="6" t="s">
        <v>2820</v>
      </c>
      <c r="C2245" s="5" t="str">
        <f>IFERROR(__xludf.DUMMYFUNCTION("GOOGLETRANSLATE(B2245,""en"",""fr"")"),"L'homme utilise ensuite un outil pour gratter les carreaux sur le toit ainsi qu'un autre outil pour les remettre.")</f>
        <v>L'homme utilise ensuite un outil pour gratter les carreaux sur le toit ainsi qu'un autre outil pour les remettre.</v>
      </c>
    </row>
    <row r="2246">
      <c r="A2246" s="4" t="s">
        <v>2818</v>
      </c>
      <c r="B2246" s="6" t="s">
        <v>2821</v>
      </c>
      <c r="C2246" s="5" t="str">
        <f>IFERROR(__xludf.DUMMYFUNCTION("GOOGLETRANSLATE(B2246,""en"",""fr"")"),"L'homme continue de décoller des carreaux sur le toit et de coller les autres et se termine en souriant à la caméra.")</f>
        <v>L'homme continue de décoller des carreaux sur le toit et de coller les autres et se termine en souriant à la caméra.</v>
      </c>
    </row>
    <row r="2247">
      <c r="A2247" s="4" t="s">
        <v>2822</v>
      </c>
      <c r="B2247" s="4" t="s">
        <v>2823</v>
      </c>
      <c r="C2247" s="5" t="str">
        <f>IFERROR(__xludf.DUMMYFUNCTION("GOOGLETRANSLATE(B2247,""en"",""fr"")"),"Une personne lance un participant à un tube pour descendre la glissière de neige.")</f>
        <v>Une personne lance un participant à un tube pour descendre la glissière de neige.</v>
      </c>
    </row>
    <row r="2248">
      <c r="A2248" s="4" t="s">
        <v>2822</v>
      </c>
      <c r="B2248" s="4" t="s">
        <v>2824</v>
      </c>
      <c r="C2248" s="5" t="str">
        <f>IFERROR(__xludf.DUMMYFUNCTION("GOOGLETRANSLATE(B2248,""en"",""fr"")"),"La caméra passe à deux tubercules qui attendent de descendre eux-mêmes.")</f>
        <v>La caméra passe à deux tubercules qui attendent de descendre eux-mêmes.</v>
      </c>
    </row>
    <row r="2249">
      <c r="A2249" s="4" t="s">
        <v>2822</v>
      </c>
      <c r="B2249" s="4" t="s">
        <v>2825</v>
      </c>
      <c r="C2249" s="5" t="str">
        <f>IFERROR(__xludf.DUMMYFUNCTION("GOOGLETRANSLATE(B2249,""en"",""fr"")"),"Les deux personnes suivantes roulent sur la diapositive.")</f>
        <v>Les deux personnes suivantes roulent sur la diapositive.</v>
      </c>
    </row>
    <row r="2250">
      <c r="A2250" s="4" t="s">
        <v>2822</v>
      </c>
      <c r="B2250" s="4" t="s">
        <v>2826</v>
      </c>
      <c r="C2250" s="5" t="str">
        <f>IFERROR(__xludf.DUMMYFUNCTION("GOOGLETRANSLATE(B2250,""en"",""fr"")"),"Enfin, le caméraman fait le trajet et nous vivons par procuration à travers eux.")</f>
        <v>Enfin, le caméraman fait le trajet et nous vivons par procuration à travers eux.</v>
      </c>
    </row>
    <row r="2251">
      <c r="A2251" s="4" t="s">
        <v>2827</v>
      </c>
      <c r="B2251" s="4" t="s">
        <v>2828</v>
      </c>
      <c r="C2251" s="5" t="str">
        <f>IFERROR(__xludf.DUMMYFUNCTION("GOOGLETRANSLATE(B2251,""en"",""fr"")"),"Un poids est vu mettre sur une barre et mène à un homme à genoux.")</f>
        <v>Un poids est vu mettre sur une barre et mène à un homme à genoux.</v>
      </c>
    </row>
    <row r="2252">
      <c r="A2252" s="4" t="s">
        <v>2827</v>
      </c>
      <c r="B2252" s="4" t="s">
        <v>2829</v>
      </c>
      <c r="C2252" s="5" t="str">
        <f>IFERROR(__xludf.DUMMYFUNCTION("GOOGLETRANSLATE(B2252,""en"",""fr"")"),"L'homme attrape un ensemble de poids et commence à le soulever au-dessus de sa tête.")</f>
        <v>L'homme attrape un ensemble de poids et commence à le soulever au-dessus de sa tête.</v>
      </c>
    </row>
    <row r="2253">
      <c r="A2253" s="4" t="s">
        <v>2827</v>
      </c>
      <c r="B2253" s="4" t="s">
        <v>2830</v>
      </c>
      <c r="C2253" s="5" t="str">
        <f>IFERROR(__xludf.DUMMYFUNCTION("GOOGLETRANSLATE(B2253,""en"",""fr"")"),"Il jette le poids puis remonte au sol.")</f>
        <v>Il jette le poids puis remonte au sol.</v>
      </c>
    </row>
    <row r="2254">
      <c r="A2254" s="4" t="s">
        <v>2831</v>
      </c>
      <c r="B2254" s="6" t="s">
        <v>2832</v>
      </c>
      <c r="C2254" s="5" t="str">
        <f>IFERROR(__xludf.DUMMYFUNCTION("GOOGLETRANSLATE(B2254,""en"",""fr"")"),"Un garçon vêtu d'un polo bordeaux est dans une piste de bowling et jette le ballon en l'air et il finit par revenir dans l'autre voie.")</f>
        <v>Un garçon vêtu d'un polo bordeaux est dans une piste de bowling et jette le ballon en l'air et il finit par revenir dans l'autre voie.</v>
      </c>
    </row>
    <row r="2255">
      <c r="A2255" s="4" t="s">
        <v>2831</v>
      </c>
      <c r="B2255" s="4" t="s">
        <v>2833</v>
      </c>
      <c r="C2255" s="5" t="str">
        <f>IFERROR(__xludf.DUMMYFUNCTION("GOOGLETRANSLATE(B2255,""en"",""fr"")"),"Plus de quilleurs sont montrés et ils commencent à tomber sur les voies comme la tentative de lancer le ballon.")</f>
        <v>Plus de quilleurs sont montrés et ils commencent à tomber sur les voies comme la tentative de lancer le ballon.</v>
      </c>
    </row>
    <row r="2256">
      <c r="A2256" s="4" t="s">
        <v>2831</v>
      </c>
      <c r="B2256" s="4" t="s">
        <v>2834</v>
      </c>
      <c r="C2256" s="5" t="str">
        <f>IFERROR(__xludf.DUMMYFUNCTION("GOOGLETRANSLATE(B2256,""en"",""fr"")"),"Un homme vient ensuite et tourne sur sa tête et finit par frapper les épingles avec les balles.")</f>
        <v>Un homme vient ensuite et tourne sur sa tête et finit par frapper les épingles avec les balles.</v>
      </c>
    </row>
    <row r="2257">
      <c r="A2257" s="4" t="s">
        <v>2831</v>
      </c>
      <c r="B2257" s="4" t="s">
        <v>2835</v>
      </c>
      <c r="C2257" s="5" t="str">
        <f>IFERROR(__xludf.DUMMYFUNCTION("GOOGLETRANSLATE(B2257,""en"",""fr"")"),"Enfin, une balle est lancée correctement et l'homme le félicite.")</f>
        <v>Enfin, une balle est lancée correctement et l'homme le félicite.</v>
      </c>
    </row>
    <row r="2258">
      <c r="A2258" s="4" t="s">
        <v>2836</v>
      </c>
      <c r="B2258" s="4" t="s">
        <v>2837</v>
      </c>
      <c r="C2258" s="5" t="str">
        <f>IFERROR(__xludf.DUMMYFUNCTION("GOOGLETRANSLATE(B2258,""en"",""fr"")"),"Les gens s'entraînent dans une pièce.")</f>
        <v>Les gens s'entraînent dans une pièce.</v>
      </c>
    </row>
    <row r="2259">
      <c r="A2259" s="4" t="s">
        <v>2836</v>
      </c>
      <c r="B2259" s="4" t="s">
        <v>2838</v>
      </c>
      <c r="C2259" s="5" t="str">
        <f>IFERROR(__xludf.DUMMYFUNCTION("GOOGLETRANSLATE(B2259,""en"",""fr"")"),"Ils montent et descendent sur un tapis bleu.")</f>
        <v>Ils montent et descendent sur un tapis bleu.</v>
      </c>
    </row>
    <row r="2260">
      <c r="A2260" s="4" t="s">
        <v>2836</v>
      </c>
      <c r="B2260" s="4" t="s">
        <v>2839</v>
      </c>
      <c r="C2260" s="5" t="str">
        <f>IFERROR(__xludf.DUMMYFUNCTION("GOOGLETRANSLATE(B2260,""en"",""fr"")"),"Ils commencent à lever les mains en l'air.")</f>
        <v>Ils commencent à lever les mains en l'air.</v>
      </c>
    </row>
    <row r="2261">
      <c r="A2261" s="4" t="s">
        <v>2840</v>
      </c>
      <c r="B2261" s="4" t="s">
        <v>2841</v>
      </c>
      <c r="C2261" s="5" t="str">
        <f>IFERROR(__xludf.DUMMYFUNCTION("GOOGLETRANSLATE(B2261,""en"",""fr"")"),"Un homme se tient dans une cour en volant un cerf-volant.")</f>
        <v>Un homme se tient dans une cour en volant un cerf-volant.</v>
      </c>
    </row>
    <row r="2262">
      <c r="A2262" s="4" t="s">
        <v>2840</v>
      </c>
      <c r="B2262" s="4" t="s">
        <v>2842</v>
      </c>
      <c r="C2262" s="5" t="str">
        <f>IFERROR(__xludf.DUMMYFUNCTION("GOOGLETRANSLATE(B2262,""en"",""fr"")"),"Une femme se tient devant lui et vole le cerf-volant après.")</f>
        <v>Une femme se tient devant lui et vole le cerf-volant après.</v>
      </c>
    </row>
    <row r="2263">
      <c r="A2263" s="4" t="s">
        <v>2840</v>
      </c>
      <c r="B2263" s="4" t="s">
        <v>2843</v>
      </c>
      <c r="C2263" s="5" t="str">
        <f>IFERROR(__xludf.DUMMYFUNCTION("GOOGLETRANSLATE(B2263,""en"",""fr"")"),"Le cerf-volant est illustré dans le ciel.")</f>
        <v>Le cerf-volant est illustré dans le ciel.</v>
      </c>
    </row>
    <row r="2264">
      <c r="A2264" s="4" t="s">
        <v>2840</v>
      </c>
      <c r="B2264" s="4" t="s">
        <v>2844</v>
      </c>
      <c r="C2264" s="5" t="str">
        <f>IFERROR(__xludf.DUMMYFUNCTION("GOOGLETRANSLATE(B2264,""en"",""fr"")"),"Une autre femme commence à piloter le cerf-volant à l'extérieur.")</f>
        <v>Une autre femme commence à piloter le cerf-volant à l'extérieur.</v>
      </c>
    </row>
    <row r="2265">
      <c r="A2265" s="4" t="s">
        <v>2845</v>
      </c>
      <c r="B2265" s="4" t="s">
        <v>2846</v>
      </c>
      <c r="C2265" s="5" t="str">
        <f>IFERROR(__xludf.DUMMYFUNCTION("GOOGLETRANSLATE(B2265,""en"",""fr"")"),"Une athlète établit sa position afin de lancer un disque lors d'un événement d'athlétisme.")</f>
        <v>Une athlète établit sa position afin de lancer un disque lors d'un événement d'athlétisme.</v>
      </c>
    </row>
    <row r="2266">
      <c r="A2266" s="4" t="s">
        <v>2845</v>
      </c>
      <c r="B2266" s="4" t="s">
        <v>2847</v>
      </c>
      <c r="C2266" s="5" t="str">
        <f>IFERROR(__xludf.DUMMYFUNCTION("GOOGLETRANSLATE(B2266,""en"",""fr"")"),"La femme jette le disque loin sur le terrain.")</f>
        <v>La femme jette le disque loin sur le terrain.</v>
      </c>
    </row>
    <row r="2267">
      <c r="A2267" s="4" t="s">
        <v>2845</v>
      </c>
      <c r="B2267" s="4" t="s">
        <v>2848</v>
      </c>
      <c r="C2267" s="5" t="str">
        <f>IFERROR(__xludf.DUMMYFUNCTION("GOOGLETRANSLATE(B2267,""en"",""fr"")"),"L'athlète célèbre le lancer et la foule applaudit.")</f>
        <v>L'athlète célèbre le lancer et la foule applaudit.</v>
      </c>
    </row>
    <row r="2268">
      <c r="A2268" s="4" t="s">
        <v>2845</v>
      </c>
      <c r="B2268" s="4" t="s">
        <v>2849</v>
      </c>
      <c r="C2268" s="5" t="str">
        <f>IFERROR(__xludf.DUMMYFUNCTION("GOOGLETRANSLATE(B2268,""en"",""fr"")"),"Une rediffusion est vue du lancer de la femme.")</f>
        <v>Une rediffusion est vue du lancer de la femme.</v>
      </c>
    </row>
    <row r="2269">
      <c r="A2269" s="4" t="s">
        <v>2850</v>
      </c>
      <c r="B2269" s="4" t="s">
        <v>2851</v>
      </c>
      <c r="C2269" s="5" t="str">
        <f>IFERROR(__xludf.DUMMYFUNCTION("GOOGLETRANSLATE(B2269,""en"",""fr"")"),"Un homme explique alors qu'il se tient sur une cour clôturée.")</f>
        <v>Un homme explique alors qu'il se tient sur une cour clôturée.</v>
      </c>
    </row>
    <row r="2270">
      <c r="A2270" s="4" t="s">
        <v>2850</v>
      </c>
      <c r="B2270" s="4" t="s">
        <v>2852</v>
      </c>
      <c r="C2270" s="5" t="str">
        <f>IFERROR(__xludf.DUMMYFUNCTION("GOOGLETRANSLATE(B2270,""en"",""fr"")"),"Ensuite, l'homme danse le hip hop, puis expliquez des démonstrations de hip hop.")</f>
        <v>Ensuite, l'homme danse le hip hop, puis expliquez des démonstrations de hip hop.</v>
      </c>
    </row>
    <row r="2271">
      <c r="A2271" s="4" t="s">
        <v>2850</v>
      </c>
      <c r="B2271" s="6" t="s">
        <v>2853</v>
      </c>
      <c r="C2271" s="5" t="str">
        <f>IFERROR(__xludf.DUMMYFUNCTION("GOOGLETRANSLATE(B2271,""en"",""fr"")"),"Après, l'homme s'assoit sur le sol et souleva son corps avec ses mains, les tours les jambes pour faire des mouvements de hip hop.")</f>
        <v>Après, l'homme s'assoit sur le sol et souleva son corps avec ses mains, les tours les jambes pour faire des mouvements de hip hop.</v>
      </c>
    </row>
    <row r="2272">
      <c r="A2272" s="4" t="s">
        <v>2854</v>
      </c>
      <c r="B2272" s="4" t="s">
        <v>2855</v>
      </c>
      <c r="C2272" s="5" t="str">
        <f>IFERROR(__xludf.DUMMYFUNCTION("GOOGLETRANSLATE(B2272,""en"",""fr"")"),"Un homme est dans un champ avec Frisbees dans sa main et le jette à son chien husky noir et blanc.")</f>
        <v>Un homme est dans un champ avec Frisbees dans sa main et le jette à son chien husky noir et blanc.</v>
      </c>
    </row>
    <row r="2273">
      <c r="A2273" s="4" t="s">
        <v>2854</v>
      </c>
      <c r="B2273" s="4" t="s">
        <v>2856</v>
      </c>
      <c r="C2273" s="5" t="str">
        <f>IFERROR(__xludf.DUMMYFUNCTION("GOOGLETRANSLATE(B2273,""en"",""fr"")"),"Les deux continuent de faire des tours et le chien saute sur le dos.")</f>
        <v>Les deux continuent de faire des tours et le chien saute sur le dos.</v>
      </c>
    </row>
    <row r="2274">
      <c r="A2274" s="4" t="s">
        <v>2854</v>
      </c>
      <c r="B2274" s="4" t="s">
        <v>2857</v>
      </c>
      <c r="C2274" s="5" t="str">
        <f>IFERROR(__xludf.DUMMYFUNCTION("GOOGLETRANSLATE(B2274,""en"",""fr"")"),"Plus de frisbee sont jetés et le chien attrape le frisbee et l'homme étreint le chien.")</f>
        <v>Plus de frisbee sont jetés et le chien attrape le frisbee et l'homme étreint le chien.</v>
      </c>
    </row>
    <row r="2275">
      <c r="A2275" s="4" t="s">
        <v>2858</v>
      </c>
      <c r="B2275" s="4" t="s">
        <v>2859</v>
      </c>
      <c r="C2275" s="5" t="str">
        <f>IFERROR(__xludf.DUMMYFUNCTION("GOOGLETRANSLATE(B2275,""en"",""fr"")"),"Les gens déplacent les meubles du salon, même le tapis et tout.")</f>
        <v>Les gens déplacent les meubles du salon, même le tapis et tout.</v>
      </c>
    </row>
    <row r="2276">
      <c r="A2276" s="4" t="s">
        <v>2858</v>
      </c>
      <c r="B2276" s="4" t="s">
        <v>2860</v>
      </c>
      <c r="C2276" s="5" t="str">
        <f>IFERROR(__xludf.DUMMYFUNCTION("GOOGLETRANSLATE(B2276,""en"",""fr"")"),"Ils entrent et balayent le sol puis commencent à baisser la bâche et le bois.")</f>
        <v>Ils entrent et balayent le sol puis commencent à baisser la bâche et le bois.</v>
      </c>
    </row>
    <row r="2277">
      <c r="A2277" s="4" t="s">
        <v>2858</v>
      </c>
      <c r="B2277" s="4" t="s">
        <v>2861</v>
      </c>
      <c r="C2277" s="5" t="str">
        <f>IFERROR(__xludf.DUMMYFUNCTION("GOOGLETRANSLATE(B2277,""en"",""fr"")"),"Ils rénovent le sol du tapis aux planchers de bois.")</f>
        <v>Ils rénovent le sol du tapis aux planchers de bois.</v>
      </c>
    </row>
    <row r="2278">
      <c r="A2278" s="4" t="s">
        <v>2858</v>
      </c>
      <c r="B2278" s="4" t="s">
        <v>2862</v>
      </c>
      <c r="C2278" s="5" t="str">
        <f>IFERROR(__xludf.DUMMYFUNCTION("GOOGLETRANSLATE(B2278,""en"",""fr"")"),"Une fois le sol terminé, ils ramènent tous les meubles.")</f>
        <v>Une fois le sol terminé, ils ramènent tous les meubles.</v>
      </c>
    </row>
    <row r="2279">
      <c r="A2279" s="4" t="s">
        <v>2863</v>
      </c>
      <c r="B2279" s="4" t="s">
        <v>2864</v>
      </c>
      <c r="C2279" s="5" t="str">
        <f>IFERROR(__xludf.DUMMYFUNCTION("GOOGLETRANSLATE(B2279,""en"",""fr"")"),"Une femme est vue en parlant à la caméra et mène à la coupe des cheveux d'une personne.")</f>
        <v>Une femme est vue en parlant à la caméra et mène à la coupe des cheveux d'une personne.</v>
      </c>
    </row>
    <row r="2280">
      <c r="A2280" s="4" t="s">
        <v>2863</v>
      </c>
      <c r="B2280" s="4" t="s">
        <v>2865</v>
      </c>
      <c r="C2280" s="5" t="str">
        <f>IFERROR(__xludf.DUMMYFUNCTION("GOOGLETRANSLATE(B2280,""en"",""fr"")"),"Elle continue de couper et de coiffer les cheveux pendant que l'homme regarde au loin.")</f>
        <v>Elle continue de couper et de coiffer les cheveux pendant que l'homme regarde au loin.</v>
      </c>
    </row>
    <row r="2281">
      <c r="A2281" s="4" t="s">
        <v>2866</v>
      </c>
      <c r="B2281" s="4" t="s">
        <v>2867</v>
      </c>
      <c r="C2281" s="5" t="str">
        <f>IFERROR(__xludf.DUMMYFUNCTION("GOOGLETRANSLATE(B2281,""en"",""fr"")"),"Il y a un groupe de chevrons portant des gilets jaunes qui se déroulent dans une aventure.")</f>
        <v>Il y a un groupe de chevrons portant des gilets jaunes qui se déroulent dans une aventure.</v>
      </c>
    </row>
    <row r="2282">
      <c r="A2282" s="4" t="s">
        <v>2866</v>
      </c>
      <c r="B2282" s="4" t="s">
        <v>2868</v>
      </c>
      <c r="C2282" s="5" t="str">
        <f>IFERROR(__xludf.DUMMYFUNCTION("GOOGLETRANSLATE(B2282,""en"",""fr"")"),"Ils ramenaient le radeau à travers la rivière alors que les vagues turbulentes jaillissent vers leur radeau.")</f>
        <v>Ils ramenaient le radeau à travers la rivière alors que les vagues turbulentes jaillissent vers leur radeau.</v>
      </c>
    </row>
    <row r="2283">
      <c r="A2283" s="4" t="s">
        <v>2866</v>
      </c>
      <c r="B2283" s="4" t="s">
        <v>2869</v>
      </c>
      <c r="C2283" s="5" t="str">
        <f>IFERROR(__xludf.DUMMYFUNCTION("GOOGLETRANSLATE(B2283,""en"",""fr"")"),"Ils continuent de rafter à travers la rivière alors qu'ils restent à flot contre les vagues féroces.")</f>
        <v>Ils continuent de rafter à travers la rivière alors qu'ils restent à flot contre les vagues féroces.</v>
      </c>
    </row>
    <row r="2284">
      <c r="A2284" s="4" t="s">
        <v>2866</v>
      </c>
      <c r="B2284" s="4" t="s">
        <v>2870</v>
      </c>
      <c r="C2284" s="5" t="str">
        <f>IFERROR(__xludf.DUMMYFUNCTION("GOOGLETRANSLATE(B2284,""en"",""fr"")"),"Les chevrons restent à flot malgré les vagues turbulentes et agitées de la rivière.")</f>
        <v>Les chevrons restent à flot malgré les vagues turbulentes et agitées de la rivière.</v>
      </c>
    </row>
    <row r="2285">
      <c r="A2285" s="4" t="s">
        <v>2866</v>
      </c>
      <c r="B2285" s="4" t="s">
        <v>2871</v>
      </c>
      <c r="C2285" s="5" t="str">
        <f>IFERROR(__xludf.DUMMYFUNCTION("GOOGLETRANSLATE(B2285,""en"",""fr"")"),"Certains chevrons sont au sommet d'une colline et l'un des chevrons plonge dans l'eau.")</f>
        <v>Certains chevrons sont au sommet d'une colline et l'un des chevrons plonge dans l'eau.</v>
      </c>
    </row>
    <row r="2286">
      <c r="A2286" s="4" t="s">
        <v>2866</v>
      </c>
      <c r="B2286" s="4" t="s">
        <v>2872</v>
      </c>
      <c r="C2286" s="5" t="str">
        <f>IFERROR(__xludf.DUMMYFUNCTION("GOOGLETRANSLATE(B2286,""en"",""fr"")"),"Les chevrons continuent leur voyage à travers les eaux turbulentes de la rivière.")</f>
        <v>Les chevrons continuent leur voyage à travers les eaux turbulentes de la rivière.</v>
      </c>
    </row>
    <row r="2287">
      <c r="A2287" s="4" t="s">
        <v>2866</v>
      </c>
      <c r="B2287" s="4" t="s">
        <v>2873</v>
      </c>
      <c r="C2287" s="5" t="str">
        <f>IFERROR(__xludf.DUMMYFUNCTION("GOOGLETRANSLATE(B2287,""en"",""fr"")"),"Il y a une personne élastique sautant d'une grue surélevée dans la rivière.")</f>
        <v>Il y a une personne élastique sautant d'une grue surélevée dans la rivière.</v>
      </c>
    </row>
    <row r="2288">
      <c r="A2288" s="4" t="s">
        <v>2874</v>
      </c>
      <c r="B2288" s="4" t="s">
        <v>2875</v>
      </c>
      <c r="C2288" s="5" t="str">
        <f>IFERROR(__xludf.DUMMYFUNCTION("GOOGLETRANSLATE(B2288,""en"",""fr"")"),"Une femme se tient dans une cuisine en désordre devant l'évier se préparant à couper quelque chose.")</f>
        <v>Une femme se tient dans une cuisine en désordre devant l'évier se préparant à couper quelque chose.</v>
      </c>
    </row>
    <row r="2289">
      <c r="A2289" s="4" t="s">
        <v>2874</v>
      </c>
      <c r="B2289" s="4" t="s">
        <v>2876</v>
      </c>
      <c r="C2289" s="5" t="str">
        <f>IFERROR(__xludf.DUMMYFUNCTION("GOOGLETRANSLATE(B2289,""en"",""fr"")"),"Elle attrape une pomme de terre et un éplucheur et commence à retirer les bords.")</f>
        <v>Elle attrape une pomme de terre et un éplucheur et commence à retirer les bords.</v>
      </c>
    </row>
    <row r="2290">
      <c r="A2290" s="4" t="s">
        <v>2874</v>
      </c>
      <c r="B2290" s="6" t="s">
        <v>2877</v>
      </c>
      <c r="C2290" s="5" t="str">
        <f>IFERROR(__xludf.DUMMYFUNCTION("GOOGLETRANSLATE(B2290,""en"",""fr"")"),"Alors qu'elle continue de couper, deux jeunes filles marchent dans la cuisine et commencent à la regarder et à saisir des plats.")</f>
        <v>Alors qu'elle continue de couper, deux jeunes filles marchent dans la cuisine et commencent à la regarder et à saisir des plats.</v>
      </c>
    </row>
    <row r="2291">
      <c r="A2291" s="4" t="s">
        <v>2878</v>
      </c>
      <c r="B2291" s="4" t="s">
        <v>2879</v>
      </c>
      <c r="C2291" s="5" t="str">
        <f>IFERROR(__xludf.DUMMYFUNCTION("GOOGLETRANSLATE(B2291,""en"",""fr"")"),"Le lutteur est dans un anneau en faisant une serrure de tête et un homme saute à l'extérieur du ring et pousse les hommes.")</f>
        <v>Le lutteur est dans un anneau en faisant une serrure de tête et un homme saute à l'extérieur du ring et pousse les hommes.</v>
      </c>
    </row>
    <row r="2292">
      <c r="A2292" s="4" t="s">
        <v>2878</v>
      </c>
      <c r="B2292" s="4" t="s">
        <v>2880</v>
      </c>
      <c r="C2292" s="5" t="str">
        <f>IFERROR(__xludf.DUMMYFUNCTION("GOOGLETRANSLATE(B2292,""en"",""fr"")"),"L'arbitre est sur le ring et compte les secondes des Wreslers sur le sol.")</f>
        <v>L'arbitre est sur le ring et compte les secondes des Wreslers sur le sol.</v>
      </c>
    </row>
    <row r="2293">
      <c r="A2293" s="4" t="s">
        <v>2881</v>
      </c>
      <c r="B2293" s="4" t="s">
        <v>2882</v>
      </c>
      <c r="C2293" s="5" t="str">
        <f>IFERROR(__xludf.DUMMYFUNCTION("GOOGLETRANSLATE(B2293,""en"",""fr"")"),"Une femme est montrée hébergeant un segment d'actualités lorsque la caméra se déroule aux actualités de crème solaire.")</f>
        <v>Une femme est montrée hébergeant un segment d'actualités lorsque la caméra se déroule aux actualités de crème solaire.</v>
      </c>
    </row>
    <row r="2294">
      <c r="A2294" s="4" t="s">
        <v>2881</v>
      </c>
      <c r="B2294" s="4" t="s">
        <v>2883</v>
      </c>
      <c r="C2294" s="5" t="str">
        <f>IFERROR(__xludf.DUMMYFUNCTION("GOOGLETRANSLATE(B2294,""en"",""fr"")"),"Plusieurs personnes sont présentées sur une plage et interviewées par un journaliste sur crème solaire.")</f>
        <v>Plusieurs personnes sont présentées sur une plage et interviewées par un journaliste sur crème solaire.</v>
      </c>
    </row>
    <row r="2295">
      <c r="A2295" s="4" t="s">
        <v>2881</v>
      </c>
      <c r="B2295" s="4" t="s">
        <v>2884</v>
      </c>
      <c r="C2295" s="5" t="str">
        <f>IFERROR(__xludf.DUMMYFUNCTION("GOOGLETRANSLATE(B2295,""en"",""fr"")"),"Les bouteilles sont représentées contenant un écran solaire et des gens qui le mettent.")</f>
        <v>Les bouteilles sont représentées contenant un écran solaire et des gens qui le mettent.</v>
      </c>
    </row>
    <row r="2296">
      <c r="A2296" s="4" t="s">
        <v>2881</v>
      </c>
      <c r="B2296" s="6" t="s">
        <v>2885</v>
      </c>
      <c r="C2296" s="5" t="str">
        <f>IFERROR(__xludf.DUMMYFUNCTION("GOOGLETRANSLATE(B2296,""en"",""fr"")"),"Le journaliste parle aux gens et à des casseroles aux chemises utilisées pour le crème solaire et les gens qui voyagent dans le monde.")</f>
        <v>Le journaliste parle aux gens et à des casseroles aux chemises utilisées pour le crème solaire et les gens qui voyagent dans le monde.</v>
      </c>
    </row>
    <row r="2297">
      <c r="A2297" s="4" t="s">
        <v>2886</v>
      </c>
      <c r="B2297" s="4" t="s">
        <v>1487</v>
      </c>
      <c r="C2297" s="5" t="str">
        <f>IFERROR(__xludf.DUMMYFUNCTION("GOOGLETRANSLATE(B2297,""en"",""fr"")"),"Nous voyons un écran de titre d'ouverture.")</f>
        <v>Nous voyons un écran de titre d'ouverture.</v>
      </c>
    </row>
    <row r="2298">
      <c r="A2298" s="4" t="s">
        <v>2886</v>
      </c>
      <c r="B2298" s="4" t="s">
        <v>2887</v>
      </c>
      <c r="C2298" s="5" t="str">
        <f>IFERROR(__xludf.DUMMYFUNCTION("GOOGLETRANSLATE(B2298,""en"",""fr"")"),"Un homme tient une raquette de badminton dans une salle de sport et parle.")</f>
        <v>Un homme tient une raquette de badminton dans une salle de sport et parle.</v>
      </c>
    </row>
    <row r="2299">
      <c r="A2299" s="4" t="s">
        <v>2886</v>
      </c>
      <c r="B2299" s="4" t="s">
        <v>2888</v>
      </c>
      <c r="C2299" s="5" t="str">
        <f>IFERROR(__xludf.DUMMYFUNCTION("GOOGLETRANSLATE(B2299,""en"",""fr"")"),"L'homme se penche vers la gauche et tient la raquette.")</f>
        <v>L'homme se penche vers la gauche et tient la raquette.</v>
      </c>
    </row>
    <row r="2300">
      <c r="A2300" s="4" t="s">
        <v>2886</v>
      </c>
      <c r="B2300" s="4" t="s">
        <v>2889</v>
      </c>
      <c r="C2300" s="5" t="str">
        <f>IFERROR(__xludf.DUMMYFUNCTION("GOOGLETRANSLATE(B2300,""en"",""fr"")"),"L'homme se tourne vers la droite et montre son dos à la caméra.")</f>
        <v>L'homme se tourne vers la droite et montre son dos à la caméra.</v>
      </c>
    </row>
    <row r="2301">
      <c r="A2301" s="4" t="s">
        <v>2886</v>
      </c>
      <c r="B2301" s="4" t="s">
        <v>2890</v>
      </c>
      <c r="C2301" s="5" t="str">
        <f>IFERROR(__xludf.DUMMYFUNCTION("GOOGLETRANSLATE(B2301,""en"",""fr"")"),"L'homme parle à la caméra et l'homme saute d'avant en arrière sur l'écran.")</f>
        <v>L'homme parle à la caméra et l'homme saute d'avant en arrière sur l'écran.</v>
      </c>
    </row>
    <row r="2302">
      <c r="A2302" s="4" t="s">
        <v>2886</v>
      </c>
      <c r="B2302" s="4" t="s">
        <v>2891</v>
      </c>
      <c r="C2302" s="5" t="str">
        <f>IFERROR(__xludf.DUMMYFUNCTION("GOOGLETRANSLATE(B2302,""en"",""fr"")"),"L'homme parle à la caméra et l'homme se penche à gauche une fois de plus.")</f>
        <v>L'homme parle à la caméra et l'homme se penche à gauche une fois de plus.</v>
      </c>
    </row>
    <row r="2303">
      <c r="A2303" s="4" t="s">
        <v>2886</v>
      </c>
      <c r="B2303" s="4" t="s">
        <v>2892</v>
      </c>
      <c r="C2303" s="5" t="str">
        <f>IFERROR(__xludf.DUMMYFUNCTION("GOOGLETRANSLATE(B2303,""en"",""fr"")"),"Nous voyons l'écran de titre de clôture.")</f>
        <v>Nous voyons l'écran de titre de clôture.</v>
      </c>
    </row>
    <row r="2304">
      <c r="A2304" s="4" t="s">
        <v>2893</v>
      </c>
      <c r="B2304" s="4" t="s">
        <v>2894</v>
      </c>
      <c r="C2304" s="5" t="str">
        <f>IFERROR(__xludf.DUMMYFUNCTION("GOOGLETRANSLATE(B2304,""en"",""fr"")"),"Un homme peigne sa barbe devant un miroir dans sa salle de bain.")</f>
        <v>Un homme peigne sa barbe devant un miroir dans sa salle de bain.</v>
      </c>
    </row>
    <row r="2305">
      <c r="A2305" s="4" t="s">
        <v>2893</v>
      </c>
      <c r="B2305" s="4" t="s">
        <v>2895</v>
      </c>
      <c r="C2305" s="5" t="str">
        <f>IFERROR(__xludf.DUMMYFUNCTION("GOOGLETRANSLATE(B2305,""en"",""fr"")"),"L'homme se penche pour ramasser des sizzors, puis coupe sa moustache.")</f>
        <v>L'homme se penche pour ramasser des sizzors, puis coupe sa moustache.</v>
      </c>
    </row>
    <row r="2306">
      <c r="A2306" s="4" t="s">
        <v>2893</v>
      </c>
      <c r="B2306" s="4" t="s">
        <v>2896</v>
      </c>
      <c r="C2306" s="5" t="str">
        <f>IFERROR(__xludf.DUMMYFUNCTION("GOOGLETRANSLATE(B2306,""en"",""fr"")"),"L'homme ramasse la lotion qu'il s'applique à son cou.")</f>
        <v>L'homme ramasse la lotion qu'il s'applique à son cou.</v>
      </c>
    </row>
    <row r="2307">
      <c r="A2307" s="4" t="s">
        <v>2893</v>
      </c>
      <c r="B2307" s="4" t="s">
        <v>2897</v>
      </c>
      <c r="C2307" s="5" t="str">
        <f>IFERROR(__xludf.DUMMYFUNCTION("GOOGLETRANSLATE(B2307,""en"",""fr"")"),"L'homme ramasse un paquet de rasoirs et les assemble dans son gadget de rasoir en acier.")</f>
        <v>L'homme ramasse un paquet de rasoirs et les assemble dans son gadget de rasoir en acier.</v>
      </c>
    </row>
    <row r="2308">
      <c r="A2308" s="4" t="s">
        <v>2893</v>
      </c>
      <c r="B2308" s="4" t="s">
        <v>2898</v>
      </c>
      <c r="C2308" s="5" t="str">
        <f>IFERROR(__xludf.DUMMYFUNCTION("GOOGLETRANSLATE(B2308,""en"",""fr"")"),"L'homme utilise son rasoir pour couper son visage et sa barbe.")</f>
        <v>L'homme utilise son rasoir pour couper son visage et sa barbe.</v>
      </c>
    </row>
    <row r="2309">
      <c r="A2309" s="4" t="s">
        <v>2893</v>
      </c>
      <c r="B2309" s="4" t="s">
        <v>2899</v>
      </c>
      <c r="C2309" s="5" t="str">
        <f>IFERROR(__xludf.DUMMYFUNCTION("GOOGLETRANSLATE(B2309,""en"",""fr"")"),"L'homme prend un colis et applique un produit à son visage.")</f>
        <v>L'homme prend un colis et applique un produit à son visage.</v>
      </c>
    </row>
    <row r="2310">
      <c r="A2310" s="4" t="s">
        <v>2893</v>
      </c>
      <c r="B2310" s="4" t="s">
        <v>2900</v>
      </c>
      <c r="C2310" s="5" t="str">
        <f>IFERROR(__xludf.DUMMYFUNCTION("GOOGLETRANSLATE(B2310,""en"",""fr"")"),"L'homme utilise une serviette pour essuyer son visage.")</f>
        <v>L'homme utilise une serviette pour essuyer son visage.</v>
      </c>
    </row>
    <row r="2311">
      <c r="A2311" s="4" t="s">
        <v>2893</v>
      </c>
      <c r="B2311" s="4" t="s">
        <v>2901</v>
      </c>
      <c r="C2311" s="5" t="str">
        <f>IFERROR(__xludf.DUMMYFUNCTION("GOOGLETRANSLATE(B2311,""en"",""fr"")"),"L'homme ramasse une bouteille d'huile du comptoir et l'applique à sa barbe.")</f>
        <v>L'homme ramasse une bouteille d'huile du comptoir et l'applique à sa barbe.</v>
      </c>
    </row>
    <row r="2312">
      <c r="A2312" s="4" t="s">
        <v>2902</v>
      </c>
      <c r="B2312" s="6" t="s">
        <v>2903</v>
      </c>
      <c r="C2312" s="5" t="str">
        <f>IFERROR(__xludf.DUMMYFUNCTION("GOOGLETRANSLATE(B2312,""en"",""fr"")"),"Un gros plan d'un trou de pêche est montré avec une personne utilisant des objets pour pêcher et un autre se tient au loin.")</f>
        <v>Un gros plan d'un trou de pêche est montré avec une personne utilisant des objets pour pêcher et un autre se tient au loin.</v>
      </c>
    </row>
    <row r="2313">
      <c r="A2313" s="4" t="s">
        <v>2902</v>
      </c>
      <c r="B2313" s="4" t="s">
        <v>2904</v>
      </c>
      <c r="C2313" s="5" t="str">
        <f>IFERROR(__xludf.DUMMYFUNCTION("GOOGLETRANSLATE(B2313,""en"",""fr"")"),"L'homme utilise les objets pour capturer un poisson et zoomer sur un trou.")</f>
        <v>L'homme utilise les objets pour capturer un poisson et zoomer sur un trou.</v>
      </c>
    </row>
    <row r="2314">
      <c r="A2314" s="4" t="s">
        <v>2902</v>
      </c>
      <c r="B2314" s="4" t="s">
        <v>2905</v>
      </c>
      <c r="C2314" s="5" t="str">
        <f>IFERROR(__xludf.DUMMYFUNCTION("GOOGLETRANSLATE(B2314,""en"",""fr"")"),"Ils emballent enfin une tente et l'emportent avec eux pendant qu'ils conduisent.")</f>
        <v>Ils emballent enfin une tente et l'emportent avec eux pendant qu'ils conduisent.</v>
      </c>
    </row>
    <row r="2315">
      <c r="A2315" s="4" t="s">
        <v>2906</v>
      </c>
      <c r="B2315" s="4" t="s">
        <v>2907</v>
      </c>
      <c r="C2315" s="5" t="str">
        <f>IFERROR(__xludf.DUMMYFUNCTION("GOOGLETRANSLATE(B2315,""en"",""fr"")"),"Un homme en chemise rouge se tient à côté d'une machine d'exercice.")</f>
        <v>Un homme en chemise rouge se tient à côté d'une machine d'exercice.</v>
      </c>
    </row>
    <row r="2316">
      <c r="A2316" s="4" t="s">
        <v>2906</v>
      </c>
      <c r="B2316" s="4" t="s">
        <v>2908</v>
      </c>
      <c r="C2316" s="5" t="str">
        <f>IFERROR(__xludf.DUMMYFUNCTION("GOOGLETRANSLATE(B2316,""en"",""fr"")"),"Il monte sur la machine et commence à s'entraîner.")</f>
        <v>Il monte sur la machine et commence à s'entraîner.</v>
      </c>
    </row>
    <row r="2317">
      <c r="A2317" s="4" t="s">
        <v>2906</v>
      </c>
      <c r="B2317" s="4" t="s">
        <v>1599</v>
      </c>
      <c r="C2317" s="5" t="str">
        <f>IFERROR(__xludf.DUMMYFUNCTION("GOOGLETRANSLATE(B2317,""en"",""fr"")"),"Les mots sont affichés à l'écran.")</f>
        <v>Les mots sont affichés à l'écran.</v>
      </c>
    </row>
    <row r="2318">
      <c r="A2318" s="4" t="s">
        <v>2909</v>
      </c>
      <c r="B2318" s="4" t="s">
        <v>2910</v>
      </c>
      <c r="C2318" s="5" t="str">
        <f>IFERROR(__xludf.DUMMYFUNCTION("GOOGLETRANSLATE(B2318,""en"",""fr"")"),"Une femme rejette les cheveux d'une jeune femme utilisant une brosse et un sèche-cheveux.")</f>
        <v>Une femme rejette les cheveux d'une jeune femme utilisant une brosse et un sèche-cheveux.</v>
      </c>
    </row>
    <row r="2319">
      <c r="A2319" s="4" t="s">
        <v>2909</v>
      </c>
      <c r="B2319" s="4" t="s">
        <v>2911</v>
      </c>
      <c r="C2319" s="5" t="str">
        <f>IFERROR(__xludf.DUMMYFUNCTION("GOOGLETRANSLATE(B2319,""en"",""fr"")"),"La femme tient une partie des cheveux, puis elle courbe les cheveux et le fer à cheveux.")</f>
        <v>La femme tient une partie des cheveux, puis elle courbe les cheveux et le fer à cheveux.</v>
      </c>
    </row>
    <row r="2320">
      <c r="A2320" s="4" t="s">
        <v>2912</v>
      </c>
      <c r="B2320" s="4" t="s">
        <v>2913</v>
      </c>
      <c r="C2320" s="5" t="str">
        <f>IFERROR(__xludf.DUMMYFUNCTION("GOOGLETRANSLATE(B2320,""en"",""fr"")"),"Un grand groupe de personnes est vue debout autour d'un parking avec un tenant une balle.")</f>
        <v>Un grand groupe de personnes est vue debout autour d'un parking avec un tenant une balle.</v>
      </c>
    </row>
    <row r="2321">
      <c r="A2321" s="4" t="s">
        <v>2912</v>
      </c>
      <c r="B2321" s="6" t="s">
        <v>2914</v>
      </c>
      <c r="C2321" s="5" t="str">
        <f>IFERROR(__xludf.DUMMYFUNCTION("GOOGLETRANSLATE(B2321,""en"",""fr"")"),"Le groupe joue ensuite un jeu de kickball tout en se déplaçant dans la zone et en se jetant des balles.")</f>
        <v>Le groupe joue ensuite un jeu de kickball tout en se déplaçant dans la zone et en se jetant des balles.</v>
      </c>
    </row>
    <row r="2322">
      <c r="A2322" s="4" t="s">
        <v>2912</v>
      </c>
      <c r="B2322" s="4" t="s">
        <v>2915</v>
      </c>
      <c r="C2322" s="5" t="str">
        <f>IFERROR(__xludf.DUMMYFUNCTION("GOOGLETRANSLATE(B2322,""en"",""fr"")"),"Les gens continuent de se promener tout en se regardant les uns contre les autres et en lançant le ballon.")</f>
        <v>Les gens continuent de se promener tout en se regardant les uns contre les autres et en lançant le ballon.</v>
      </c>
    </row>
    <row r="2323">
      <c r="A2323" s="4" t="s">
        <v>2916</v>
      </c>
      <c r="B2323" s="6" t="s">
        <v>2917</v>
      </c>
      <c r="C2323" s="5" t="str">
        <f>IFERROR(__xludf.DUMMYFUNCTION("GOOGLETRANSLATE(B2323,""en"",""fr"")"),"On voit un grand groupe de personnes qui courent dans une station Disney tout en agitant vers la caméra et plusieurs plans du royaume sont présentés.")</f>
        <v>On voit un grand groupe de personnes qui courent dans une station Disney tout en agitant vers la caméra et plusieurs plans du royaume sont présentés.</v>
      </c>
    </row>
    <row r="2324">
      <c r="A2324" s="4" t="s">
        <v>2916</v>
      </c>
      <c r="B2324" s="6" t="s">
        <v>2918</v>
      </c>
      <c r="C2324" s="5" t="str">
        <f>IFERROR(__xludf.DUMMYFUNCTION("GOOGLETRANSLATE(B2324,""en"",""fr"")"),"De nombreux personnages sont montrés en flèche aux coureurs ainsi qu'à plus de photos de personnes qui passent devant des personnages et de traverser la ligne d'arrivée et de célébrer.")</f>
        <v>De nombreux personnages sont montrés en flèche aux coureurs ainsi qu'à plus de photos de personnes qui passent devant des personnages et de traverser la ligne d'arrivée et de célébrer.</v>
      </c>
    </row>
    <row r="2325">
      <c r="A2325" s="4" t="s">
        <v>2919</v>
      </c>
      <c r="B2325" s="4" t="s">
        <v>2920</v>
      </c>
      <c r="C2325" s="5" t="str">
        <f>IFERROR(__xludf.DUMMYFUNCTION("GOOGLETRANSLATE(B2325,""en"",""fr"")"),"La personne avec un tablier noir pulvérise une mousse blanche sur les chaussures.")</f>
        <v>La personne avec un tablier noir pulvérise une mousse blanche sur les chaussures.</v>
      </c>
    </row>
    <row r="2326">
      <c r="A2326" s="4" t="s">
        <v>2919</v>
      </c>
      <c r="B2326" s="4" t="s">
        <v>2921</v>
      </c>
      <c r="C2326" s="5" t="str">
        <f>IFERROR(__xludf.DUMMYFUNCTION("GOOGLETRANSLATE(B2326,""en"",""fr"")"),"La personne brosse les chaussures avec de la mousse blanche dessus.")</f>
        <v>La personne brosse les chaussures avec de la mousse blanche dessus.</v>
      </c>
    </row>
    <row r="2327">
      <c r="A2327" s="4" t="s">
        <v>2919</v>
      </c>
      <c r="B2327" s="6" t="s">
        <v>2922</v>
      </c>
      <c r="C2327" s="5" t="str">
        <f>IFERROR(__xludf.DUMMYFUNCTION("GOOGLETRANSLATE(B2327,""en"",""fr"")"),"La personne a brossé les chaussures après la disparition de la mousse et a commencé à vaporiser un produit chimique et a poli la partie métallique des chaussures.")</f>
        <v>La personne a brossé les chaussures après la disparition de la mousse et a commencé à vaporiser un produit chimique et a poli la partie métallique des chaussures.</v>
      </c>
    </row>
    <row r="2328">
      <c r="A2328" s="4" t="s">
        <v>2923</v>
      </c>
      <c r="B2328" s="4" t="s">
        <v>2924</v>
      </c>
      <c r="C2328" s="5" t="str">
        <f>IFERROR(__xludf.DUMMYFUNCTION("GOOGLETRANSLATE(B2328,""en"",""fr"")"),"Plusieurs plans divers sont représentés dans un grand bateau voyageant le long d'une tempête difficile.")</f>
        <v>Plusieurs plans divers sont représentés dans un grand bateau voyageant le long d'une tempête difficile.</v>
      </c>
    </row>
    <row r="2329">
      <c r="A2329" s="4" t="s">
        <v>2923</v>
      </c>
      <c r="B2329" s="6" t="s">
        <v>2925</v>
      </c>
      <c r="C2329" s="5" t="str">
        <f>IFERROR(__xludf.DUMMYFUNCTION("GOOGLETRANSLATE(B2329,""en"",""fr"")"),"On voit un homme diriger le bateau à travers la tempête et parler à une caméra avec la vidéo terminant plus de photos du bateau.")</f>
        <v>On voit un homme diriger le bateau à travers la tempête et parler à une caméra avec la vidéo terminant plus de photos du bateau.</v>
      </c>
    </row>
    <row r="2330">
      <c r="A2330" s="4" t="s">
        <v>2926</v>
      </c>
      <c r="B2330" s="6" t="s">
        <v>2927</v>
      </c>
      <c r="C2330" s="5" t="str">
        <f>IFERROR(__xludf.DUMMYFUNCTION("GOOGLETRANSLATE(B2330,""en"",""fr"")"),"Un jeune homme est vu debout autour d'une piscine suivi de plusieurs clips du garçon sautant dans la piscine et nageant.")</f>
        <v>Un jeune homme est vu debout autour d'une piscine suivi de plusieurs clips du garçon sautant dans la piscine et nageant.</v>
      </c>
    </row>
    <row r="2331">
      <c r="A2331" s="4" t="s">
        <v>2926</v>
      </c>
      <c r="B2331" s="6" t="s">
        <v>2928</v>
      </c>
      <c r="C2331" s="5" t="str">
        <f>IFERROR(__xludf.DUMMYFUNCTION("GOOGLETRANSLATE(B2331,""en"",""fr"")"),"Le garçon continue de nager tout autour de la piscine avec un homme nageant derrière lui et le garçon souriant à la caméra.")</f>
        <v>Le garçon continue de nager tout autour de la piscine avec un homme nageant derrière lui et le garçon souriant à la caméra.</v>
      </c>
    </row>
    <row r="2332">
      <c r="A2332" s="4" t="s">
        <v>2929</v>
      </c>
      <c r="B2332" s="4" t="s">
        <v>2930</v>
      </c>
      <c r="C2332" s="5" t="str">
        <f>IFERROR(__xludf.DUMMYFUNCTION("GOOGLETRANSLATE(B2332,""en"",""fr"")"),"Trois enfants font un château de sable sur la plage.")</f>
        <v>Trois enfants font un château de sable sur la plage.</v>
      </c>
    </row>
    <row r="2333">
      <c r="A2333" s="4" t="s">
        <v>2929</v>
      </c>
      <c r="B2333" s="4" t="s">
        <v>2931</v>
      </c>
      <c r="C2333" s="5" t="str">
        <f>IFERROR(__xludf.DUMMYFUNCTION("GOOGLETRANSLATE(B2333,""en"",""fr"")"),"Un homme est allongé à côté d'eux sur une serviette.")</f>
        <v>Un homme est allongé à côté d'eux sur une serviette.</v>
      </c>
    </row>
    <row r="2334">
      <c r="A2334" s="4" t="s">
        <v>2932</v>
      </c>
      <c r="B2334" s="4" t="s">
        <v>2933</v>
      </c>
      <c r="C2334" s="5" t="str">
        <f>IFERROR(__xludf.DUMMYFUNCTION("GOOGLETRANSLATE(B2334,""en"",""fr"")"),"Une fois une annonce de tissot, une rangée de tireurs est indiquée.")</f>
        <v>Une fois une annonce de tissot, une rangée de tireurs est indiquée.</v>
      </c>
    </row>
    <row r="2335">
      <c r="A2335" s="4" t="s">
        <v>2932</v>
      </c>
      <c r="B2335" s="6" t="s">
        <v>2934</v>
      </c>
      <c r="C2335" s="5" t="str">
        <f>IFERROR(__xludf.DUMMYFUNCTION("GOOGLETRANSLATE(B2335,""en"",""fr"")"),"Ils ont des cinq hauts et sont affichés dans plusieurs clips, puis remontent à la rangée de se tenir sur scène.")</f>
        <v>Ils ont des cinq hauts et sont affichés dans plusieurs clips, puis remontent à la rangée de se tenir sur scène.</v>
      </c>
    </row>
    <row r="2336">
      <c r="A2336" s="4" t="s">
        <v>2932</v>
      </c>
      <c r="B2336" s="4" t="s">
        <v>2935</v>
      </c>
      <c r="C2336" s="5" t="str">
        <f>IFERROR(__xludf.DUMMYFUNCTION("GOOGLETRANSLATE(B2336,""en"",""fr"")"),"L'un est blessé et est emporté.")</f>
        <v>L'un est blessé et est emporté.</v>
      </c>
    </row>
    <row r="2337">
      <c r="A2337" s="4" t="s">
        <v>2936</v>
      </c>
      <c r="B2337" s="4" t="s">
        <v>1487</v>
      </c>
      <c r="C2337" s="5" t="str">
        <f>IFERROR(__xludf.DUMMYFUNCTION("GOOGLETRANSLATE(B2337,""en"",""fr"")"),"Nous voyons un écran de titre d'ouverture.")</f>
        <v>Nous voyons un écran de titre d'ouverture.</v>
      </c>
    </row>
    <row r="2338">
      <c r="A2338" s="4" t="s">
        <v>2936</v>
      </c>
      <c r="B2338" s="4" t="s">
        <v>2937</v>
      </c>
      <c r="C2338" s="5" t="str">
        <f>IFERROR(__xludf.DUMMYFUNCTION("GOOGLETRANSLATE(B2338,""en"",""fr"")"),"Un homme souriant dans les lunettes de soleil ouvre le rince-bouche et les gargaments.")</f>
        <v>Un homme souriant dans les lunettes de soleil ouvre le rince-bouche et les gargaments.</v>
      </c>
    </row>
    <row r="2339">
      <c r="A2339" s="4" t="s">
        <v>2936</v>
      </c>
      <c r="B2339" s="4" t="s">
        <v>2938</v>
      </c>
      <c r="C2339" s="5" t="str">
        <f>IFERROR(__xludf.DUMMYFUNCTION("GOOGLETRANSLATE(B2339,""en"",""fr"")"),"L'homme crache dans une tasse.")</f>
        <v>L'homme crache dans une tasse.</v>
      </c>
    </row>
    <row r="2340">
      <c r="A2340" s="4" t="s">
        <v>2936</v>
      </c>
      <c r="B2340" s="4" t="s">
        <v>2939</v>
      </c>
      <c r="C2340" s="5" t="str">
        <f>IFERROR(__xludf.DUMMYFUNCTION("GOOGLETRANSLATE(B2340,""en"",""fr"")"),"Une dame enlève une plaque du mur.")</f>
        <v>Une dame enlève une plaque du mur.</v>
      </c>
    </row>
    <row r="2341">
      <c r="A2341" s="4" t="s">
        <v>2936</v>
      </c>
      <c r="B2341" s="4" t="s">
        <v>2940</v>
      </c>
      <c r="C2341" s="5" t="str">
        <f>IFERROR(__xludf.DUMMYFUNCTION("GOOGLETRANSLATE(B2341,""en"",""fr"")"),"Nous voyons un écran de clôture.")</f>
        <v>Nous voyons un écran de clôture.</v>
      </c>
    </row>
    <row r="2342">
      <c r="A2342" s="4" t="s">
        <v>2941</v>
      </c>
      <c r="B2342" s="4" t="s">
        <v>1487</v>
      </c>
      <c r="C2342" s="5" t="str">
        <f>IFERROR(__xludf.DUMMYFUNCTION("GOOGLETRANSLATE(B2342,""en"",""fr"")"),"Nous voyons un écran de titre d'ouverture.")</f>
        <v>Nous voyons un écran de titre d'ouverture.</v>
      </c>
    </row>
    <row r="2343">
      <c r="A2343" s="4" t="s">
        <v>2941</v>
      </c>
      <c r="B2343" s="4" t="s">
        <v>2942</v>
      </c>
      <c r="C2343" s="5" t="str">
        <f>IFERROR(__xludf.DUMMYFUNCTION("GOOGLETRANSLATE(B2343,""en"",""fr"")"),"L'homme met ensuite le plâtre sur une base et l'applique au plafond pendant les échasses.")</f>
        <v>L'homme met ensuite le plâtre sur une base et l'applique au plafond pendant les échasses.</v>
      </c>
    </row>
    <row r="2344">
      <c r="A2344" s="4" t="s">
        <v>2941</v>
      </c>
      <c r="B2344" s="4" t="s">
        <v>2943</v>
      </c>
      <c r="C2344" s="5" t="str">
        <f>IFERROR(__xludf.DUMMYFUNCTION("GOOGLETRANSLATE(B2344,""en"",""fr"")"),"L'homme va et vient en lissant le plâtre appliqué.")</f>
        <v>L'homme va et vient en lissant le plâtre appliqué.</v>
      </c>
    </row>
    <row r="2345">
      <c r="A2345" s="4" t="s">
        <v>2941</v>
      </c>
      <c r="B2345" s="4" t="s">
        <v>2944</v>
      </c>
      <c r="C2345" s="5" t="str">
        <f>IFERROR(__xludf.DUMMYFUNCTION("GOOGLETRANSLATE(B2345,""en"",""fr"")"),"L'homme se dirige vers et éteint la caméra.")</f>
        <v>L'homme se dirige vers et éteint la caméra.</v>
      </c>
    </row>
    <row r="2346">
      <c r="A2346" s="4" t="s">
        <v>2941</v>
      </c>
      <c r="B2346" s="4" t="s">
        <v>777</v>
      </c>
      <c r="C2346" s="5" t="str">
        <f>IFERROR(__xludf.DUMMYFUNCTION("GOOGLETRANSLATE(B2346,""en"",""fr"")"),"Nous voyons l'écran du titre de fin.")</f>
        <v>Nous voyons l'écran du titre de fin.</v>
      </c>
    </row>
    <row r="2347">
      <c r="A2347" s="4" t="s">
        <v>2945</v>
      </c>
      <c r="B2347" s="4" t="s">
        <v>1251</v>
      </c>
      <c r="C2347" s="5" t="str">
        <f>IFERROR(__xludf.DUMMYFUNCTION("GOOGLETRANSLATE(B2347,""en"",""fr"")"),"Les crédits du clip sont affichés.")</f>
        <v>Les crédits du clip sont affichés.</v>
      </c>
    </row>
    <row r="2348">
      <c r="A2348" s="4" t="s">
        <v>2945</v>
      </c>
      <c r="B2348" s="4" t="s">
        <v>2946</v>
      </c>
      <c r="C2348" s="5" t="str">
        <f>IFERROR(__xludf.DUMMYFUNCTION("GOOGLETRANSLATE(B2348,""en"",""fr"")"),"Un homme ramasse une botte brune et la brosse.")</f>
        <v>Un homme ramasse une botte brune et la brosse.</v>
      </c>
    </row>
    <row r="2349">
      <c r="A2349" s="4" t="s">
        <v>2945</v>
      </c>
      <c r="B2349" s="4" t="s">
        <v>2947</v>
      </c>
      <c r="C2349" s="5" t="str">
        <f>IFERROR(__xludf.DUMMYFUNCTION("GOOGLETRANSLATE(B2349,""en"",""fr"")"),"Un homme ouvre une boîte d'aérosol et pulvérise la botte.")</f>
        <v>Un homme ouvre une boîte d'aérosol et pulvérise la botte.</v>
      </c>
    </row>
    <row r="2350">
      <c r="A2350" s="4" t="s">
        <v>2945</v>
      </c>
      <c r="B2350" s="4" t="s">
        <v>2948</v>
      </c>
      <c r="C2350" s="5" t="str">
        <f>IFERROR(__xludf.DUMMYFUNCTION("GOOGLETRANSLATE(B2350,""en"",""fr"")"),"Un homme frotte les produits d'un tube noir sur le seul bord de la botte.")</f>
        <v>Un homme frotte les produits d'un tube noir sur le seul bord de la botte.</v>
      </c>
    </row>
    <row r="2351">
      <c r="A2351" s="4" t="s">
        <v>2945</v>
      </c>
      <c r="B2351" s="4" t="s">
        <v>573</v>
      </c>
      <c r="C2351" s="5" t="str">
        <f>IFERROR(__xludf.DUMMYFUNCTION("GOOGLETRANSLATE(B2351,""en"",""fr"")"),"Les crédits de la vidéo sont affichés.")</f>
        <v>Les crédits de la vidéo sont affichés.</v>
      </c>
    </row>
    <row r="2352">
      <c r="A2352" s="4" t="s">
        <v>2949</v>
      </c>
      <c r="B2352" s="4" t="s">
        <v>2950</v>
      </c>
      <c r="C2352" s="5" t="str">
        <f>IFERROR(__xludf.DUMMYFUNCTION("GOOGLETRANSLATE(B2352,""en"",""fr"")"),"Un homme en chemise noire se tient à l'extérieur pour parler.")</f>
        <v>Un homme en chemise noire se tient à l'extérieur pour parler.</v>
      </c>
    </row>
    <row r="2353">
      <c r="A2353" s="4" t="s">
        <v>2949</v>
      </c>
      <c r="B2353" s="4" t="s">
        <v>2951</v>
      </c>
      <c r="C2353" s="5" t="str">
        <f>IFERROR(__xludf.DUMMYFUNCTION("GOOGLETRANSLATE(B2353,""en"",""fr"")"),"Il est ensuite à l'intérieur d'une piscine.")</f>
        <v>Il est ensuite à l'intérieur d'une piscine.</v>
      </c>
    </row>
    <row r="2354">
      <c r="A2354" s="4" t="s">
        <v>2949</v>
      </c>
      <c r="B2354" s="4" t="s">
        <v>2952</v>
      </c>
      <c r="C2354" s="5" t="str">
        <f>IFERROR(__xludf.DUMMYFUNCTION("GOOGLETRANSLATE(B2354,""en"",""fr"")"),"Il est de retour à l'extérieur pour parler à la caméra.")</f>
        <v>Il est de retour à l'extérieur pour parler à la caméra.</v>
      </c>
    </row>
    <row r="2355">
      <c r="A2355" s="4" t="s">
        <v>2953</v>
      </c>
      <c r="B2355" s="4" t="s">
        <v>2954</v>
      </c>
      <c r="C2355" s="5" t="str">
        <f>IFERROR(__xludf.DUMMYFUNCTION("GOOGLETRANSLATE(B2355,""en"",""fr"")"),"Au bowling, il y a beaucoup de gens.")</f>
        <v>Au bowling, il y a beaucoup de gens.</v>
      </c>
    </row>
    <row r="2356">
      <c r="A2356" s="4" t="s">
        <v>2953</v>
      </c>
      <c r="B2356" s="4" t="s">
        <v>2955</v>
      </c>
      <c r="C2356" s="5" t="str">
        <f>IFERROR(__xludf.DUMMYFUNCTION("GOOGLETRANSLATE(B2356,""en"",""fr"")"),"Le petit garçon roule pour son tour et il frappe.")</f>
        <v>Le petit garçon roule pour son tour et il frappe.</v>
      </c>
    </row>
    <row r="2357">
      <c r="A2357" s="4" t="s">
        <v>2953</v>
      </c>
      <c r="B2357" s="4" t="s">
        <v>2956</v>
      </c>
      <c r="C2357" s="5" t="str">
        <f>IFERROR(__xludf.DUMMYFUNCTION("GOOGLETRANSLATE(B2357,""en"",""fr"")"),"Il attend que son ballon revienne et se prépare à prendre son prochain tour, c'est une autre grève.")</f>
        <v>Il attend que son ballon revienne et se prépare à prendre son prochain tour, c'est une autre grève.</v>
      </c>
    </row>
    <row r="2358">
      <c r="A2358" s="4" t="s">
        <v>2953</v>
      </c>
      <c r="B2358" s="4" t="s">
        <v>2957</v>
      </c>
      <c r="C2358" s="5" t="str">
        <f>IFERROR(__xludf.DUMMYFUNCTION("GOOGLETRANSLATE(B2358,""en"",""fr"")"),"Il prend un autre tour et fait une autre grève, tout le monde le félicite et le serre dans ses bras.")</f>
        <v>Il prend un autre tour et fait une autre grève, tout le monde le félicite et le serre dans ses bras.</v>
      </c>
    </row>
    <row r="2359">
      <c r="A2359" s="4" t="s">
        <v>2958</v>
      </c>
      <c r="B2359" s="4" t="s">
        <v>2959</v>
      </c>
      <c r="C2359" s="5" t="str">
        <f>IFERROR(__xludf.DUMMYFUNCTION("GOOGLETRANSLATE(B2359,""en"",""fr"")"),"Une personne est vue se déplacer le long d'une piscine pendant que la caméra regarde par derrière.")</f>
        <v>Une personne est vue se déplacer le long d'une piscine pendant que la caméra regarde par derrière.</v>
      </c>
    </row>
    <row r="2360">
      <c r="A2360" s="4" t="s">
        <v>2958</v>
      </c>
      <c r="B2360" s="4" t="s">
        <v>2960</v>
      </c>
      <c r="C2360" s="5" t="str">
        <f>IFERROR(__xludf.DUMMYFUNCTION("GOOGLETRANSLATE(B2360,""en"",""fr"")"),"Un homme est alors vu parler à la caméra et déplacer ses bras.")</f>
        <v>Un homme est alors vu parler à la caméra et déplacer ses bras.</v>
      </c>
    </row>
    <row r="2361">
      <c r="A2361" s="4" t="s">
        <v>2958</v>
      </c>
      <c r="B2361" s="4" t="s">
        <v>2961</v>
      </c>
      <c r="C2361" s="5" t="str">
        <f>IFERROR(__xludf.DUMMYFUNCTION("GOOGLETRANSLATE(B2361,""en"",""fr"")"),"Plus de clips sont illustrés à la personne qui nage le long de l'eau.")</f>
        <v>Plus de clips sont illustrés à la personne qui nage le long de l'eau.</v>
      </c>
    </row>
    <row r="2362">
      <c r="A2362" s="4" t="s">
        <v>2962</v>
      </c>
      <c r="B2362" s="4" t="s">
        <v>2963</v>
      </c>
      <c r="C2362" s="5" t="str">
        <f>IFERROR(__xludf.DUMMYFUNCTION("GOOGLETRANSLATE(B2362,""en"",""fr"")"),"Un anchorman dans un costume se trouve avec un ordinateur portable sur son bureau clair.")</f>
        <v>Un anchorman dans un costume se trouve avec un ordinateur portable sur son bureau clair.</v>
      </c>
    </row>
    <row r="2363">
      <c r="A2363" s="4" t="s">
        <v>2962</v>
      </c>
      <c r="B2363" s="4" t="s">
        <v>2964</v>
      </c>
      <c r="C2363" s="5" t="str">
        <f>IFERROR(__xludf.DUMMYFUNCTION("GOOGLETRANSLATE(B2363,""en"",""fr"")"),"Un homme est abordé par un taureau.")</f>
        <v>Un homme est abordé par un taureau.</v>
      </c>
    </row>
    <row r="2364">
      <c r="A2364" s="4" t="s">
        <v>2962</v>
      </c>
      <c r="B2364" s="4" t="s">
        <v>2965</v>
      </c>
      <c r="C2364" s="5" t="str">
        <f>IFERROR(__xludf.DUMMYFUNCTION("GOOGLETRANSLATE(B2364,""en"",""fr"")"),"L'homme se lève et sa bouche est sanglante.")</f>
        <v>L'homme se lève et sa bouche est sanglante.</v>
      </c>
    </row>
    <row r="2365">
      <c r="A2365" s="4" t="s">
        <v>2962</v>
      </c>
      <c r="B2365" s="4" t="s">
        <v>2966</v>
      </c>
      <c r="C2365" s="5" t="str">
        <f>IFERROR(__xludf.DUMMYFUNCTION("GOOGLETRANSLATE(B2365,""en"",""fr"")"),"Les gens aident l'homme à sortir de la zone de saleté du rodéo.")</f>
        <v>Les gens aident l'homme à sortir de la zone de saleté du rodéo.</v>
      </c>
    </row>
    <row r="2366">
      <c r="A2366" s="4" t="s">
        <v>2967</v>
      </c>
      <c r="B2366" s="4" t="s">
        <v>2968</v>
      </c>
      <c r="C2366" s="5" t="str">
        <f>IFERROR(__xludf.DUMMYFUNCTION("GOOGLETRANSLATE(B2366,""en"",""fr"")"),"Un jeune homme est debout sur scène et finalement plusieurs autres garçons se joignent à des kilts.")</f>
        <v>Un jeune homme est debout sur scène et finalement plusieurs autres garçons se joignent à des kilts.</v>
      </c>
    </row>
    <row r="2367">
      <c r="A2367" s="4" t="s">
        <v>2967</v>
      </c>
      <c r="B2367" s="4" t="s">
        <v>2969</v>
      </c>
      <c r="C2367" s="5" t="str">
        <f>IFERROR(__xludf.DUMMYFUNCTION("GOOGLETRANSLATE(B2367,""en"",""fr"")"),"Ils se tiennent devant un tambour et effectuent une routine en utilisant uniquement des tambours.")</f>
        <v>Ils se tiennent devant un tambour et effectuent une routine en utilisant uniquement des tambours.</v>
      </c>
    </row>
    <row r="2368">
      <c r="A2368" s="4" t="s">
        <v>2967</v>
      </c>
      <c r="B2368" s="4" t="s">
        <v>2970</v>
      </c>
      <c r="C2368" s="5" t="str">
        <f>IFERROR(__xludf.DUMMYFUNCTION("GOOGLETRANSLATE(B2368,""en"",""fr"")"),"Les garçons tournent et retournent leurs bâtons constamment et continuent d'effectuer leur routine de batterie.")</f>
        <v>Les garçons tournent et retournent leurs bâtons constamment et continuent d'effectuer leur routine de batterie.</v>
      </c>
    </row>
    <row r="2369">
      <c r="A2369" s="4" t="s">
        <v>2967</v>
      </c>
      <c r="B2369" s="4" t="s">
        <v>2971</v>
      </c>
      <c r="C2369" s="5" t="str">
        <f>IFERROR(__xludf.DUMMYFUNCTION("GOOGLETRANSLATE(B2369,""en"",""fr"")"),"On se lève et commence à chanter une chanson pendant que les autres se joignent.")</f>
        <v>On se lève et commence à chanter une chanson pendant que les autres se joignent.</v>
      </c>
    </row>
    <row r="2370">
      <c r="A2370" s="4" t="s">
        <v>2967</v>
      </c>
      <c r="B2370" s="6" t="s">
        <v>2972</v>
      </c>
      <c r="C2370" s="5" t="str">
        <f>IFERROR(__xludf.DUMMYFUNCTION("GOOGLETRANSLATE(B2370,""en"",""fr"")"),"Ces garçons recommencent à jouer de la batterie et finissent enfin en jouant la batterie de l'autre et plus vite que les autres.")</f>
        <v>Ces garçons recommencent à jouer de la batterie et finissent enfin en jouant la batterie de l'autre et plus vite que les autres.</v>
      </c>
    </row>
    <row r="2371">
      <c r="A2371" s="4" t="s">
        <v>2973</v>
      </c>
      <c r="B2371" s="4" t="s">
        <v>2974</v>
      </c>
      <c r="C2371" s="5" t="str">
        <f>IFERROR(__xludf.DUMMYFUNCTION("GOOGLETRANSLATE(B2371,""en"",""fr"")"),"Deux chats sont vus allongés sur un lit face à face.")</f>
        <v>Deux chats sont vus allongés sur un lit face à face.</v>
      </c>
    </row>
    <row r="2372">
      <c r="A2372" s="4" t="s">
        <v>2973</v>
      </c>
      <c r="B2372" s="4" t="s">
        <v>2975</v>
      </c>
      <c r="C2372" s="5" t="str">
        <f>IFERROR(__xludf.DUMMYFUNCTION("GOOGLETRANSLATE(B2372,""en"",""fr"")"),"Un chat commence alors à lécher l'autre.")</f>
        <v>Un chat commence alors à lécher l'autre.</v>
      </c>
    </row>
    <row r="2373">
      <c r="A2373" s="4" t="s">
        <v>2973</v>
      </c>
      <c r="B2373" s="4" t="s">
        <v>2976</v>
      </c>
      <c r="C2373" s="5" t="str">
        <f>IFERROR(__xludf.DUMMYFUNCTION("GOOGLETRANSLATE(B2373,""en"",""fr"")"),"Le premier chat s'arrête alors et les autres lèchent ensuite.")</f>
        <v>Le premier chat s'arrête alors et les autres lèchent ensuite.</v>
      </c>
    </row>
    <row r="2374">
      <c r="A2374" s="4" t="s">
        <v>2977</v>
      </c>
      <c r="B2374" s="6" t="s">
        <v>2978</v>
      </c>
      <c r="C2374" s="5" t="str">
        <f>IFERROR(__xludf.DUMMYFUNCTION("GOOGLETRANSLATE(B2374,""en"",""fr"")"),"Un montage d'athlètes complétant des cascades et des courses incroyables est montré ainsi que des centaines de personnes qui regardent dans le public.")</f>
        <v>Un montage d'athlètes complétant des cascades et des courses incroyables est montré ainsi que des centaines de personnes qui regardent dans le public.</v>
      </c>
    </row>
    <row r="2375">
      <c r="A2375" s="4" t="s">
        <v>2977</v>
      </c>
      <c r="B2375" s="6" t="s">
        <v>2979</v>
      </c>
      <c r="C2375" s="5" t="str">
        <f>IFERROR(__xludf.DUMMYFUNCTION("GOOGLETRANSLATE(B2375,""en"",""fr"")"),"Les coups de feu mènent à plusieurs autres athlètes sautant sur un poteau tout en s'arrêtant au milieu, terminant avec le tir étant à nouveau affiché au ralenti.")</f>
        <v>Les coups de feu mènent à plusieurs autres athlètes sautant sur un poteau tout en s'arrêtant au milieu, terminant avec le tir étant à nouveau affiché au ralenti.</v>
      </c>
    </row>
    <row r="2376">
      <c r="A2376" s="4" t="s">
        <v>2977</v>
      </c>
      <c r="B2376" s="4" t="s">
        <v>2980</v>
      </c>
      <c r="C2376" s="5" t="str">
        <f>IFERROR(__xludf.DUMMYFUNCTION("GOOGLETRANSLATE(B2376,""en"",""fr"")"),"La dernière gymnaste salue la caméra et s'éloigne.")</f>
        <v>La dernière gymnaste salue la caméra et s'éloigne.</v>
      </c>
    </row>
    <row r="2377">
      <c r="A2377" s="4" t="s">
        <v>2981</v>
      </c>
      <c r="B2377" s="4" t="s">
        <v>2982</v>
      </c>
      <c r="C2377" s="5" t="str">
        <f>IFERROR(__xludf.DUMMYFUNCTION("GOOGLETRANSLATE(B2377,""en"",""fr"")"),"Une plongée est vue debout debout avec ses bras sur le côté.")</f>
        <v>Une plongée est vue debout debout avec ses bras sur le côté.</v>
      </c>
    </row>
    <row r="2378">
      <c r="A2378" s="4" t="s">
        <v>2981</v>
      </c>
      <c r="B2378" s="4" t="s">
        <v>2983</v>
      </c>
      <c r="C2378" s="5" t="str">
        <f>IFERROR(__xludf.DUMMYFUNCTION("GOOGLETRANSLATE(B2378,""en"",""fr"")"),"L'homme effectue ensuite une plongée impressionnante et est suivie de plusieurs clips d'autres personnes plongeant.")</f>
        <v>L'homme effectue ensuite une plongée impressionnante et est suivie de plusieurs clips d'autres personnes plongeant.</v>
      </c>
    </row>
    <row r="2379">
      <c r="A2379" s="4" t="s">
        <v>2984</v>
      </c>
      <c r="B2379" s="6" t="s">
        <v>2985</v>
      </c>
      <c r="C2379" s="5" t="str">
        <f>IFERROR(__xludf.DUMMYFUNCTION("GOOGLETRANSLATE(B2379,""en"",""fr"")"),"Un adolescent se tient sur une piste, puis il court et saute longtemps sur un sable, après que l'adolescent se lève et marche.")</f>
        <v>Un adolescent se tient sur une piste, puis il court et saute longtemps sur un sable, après que l'adolescent se lève et marche.</v>
      </c>
    </row>
    <row r="2380">
      <c r="A2380" s="4" t="s">
        <v>2984</v>
      </c>
      <c r="B2380" s="4" t="s">
        <v>2986</v>
      </c>
      <c r="C2380" s="5" t="str">
        <f>IFERROR(__xludf.DUMMYFUNCTION("GOOGLETRANSLATE(B2380,""en"",""fr"")"),"Une personne passe derrière l'adolescent.")</f>
        <v>Une personne passe derrière l'adolescent.</v>
      </c>
    </row>
    <row r="2381">
      <c r="A2381" s="4" t="s">
        <v>2984</v>
      </c>
      <c r="B2381" s="4" t="s">
        <v>2987</v>
      </c>
      <c r="C2381" s="5" t="str">
        <f>IFERROR(__xludf.DUMMYFUNCTION("GOOGLETRANSLATE(B2381,""en"",""fr"")"),"Un athlète effectue un saut en longueur dans le sable.")</f>
        <v>Un athlète effectue un saut en longueur dans le sable.</v>
      </c>
    </row>
    <row r="2382">
      <c r="A2382" s="4" t="s">
        <v>2984</v>
      </c>
      <c r="B2382" s="4" t="s">
        <v>2988</v>
      </c>
      <c r="C2382" s="5" t="str">
        <f>IFERROR(__xludf.DUMMYFUNCTION("GOOGLETRANSLATE(B2382,""en"",""fr"")"),"Un autre athlète court et saute longtemps sur le sable.")</f>
        <v>Un autre athlète court et saute longtemps sur le sable.</v>
      </c>
    </row>
    <row r="2383">
      <c r="A2383" s="4" t="s">
        <v>2989</v>
      </c>
      <c r="B2383" s="4" t="s">
        <v>2990</v>
      </c>
      <c r="C2383" s="5" t="str">
        <f>IFERROR(__xludf.DUMMYFUNCTION("GOOGLETRANSLATE(B2383,""en"",""fr"")"),"Là, les hommes ont des chaises et sont assis dans le métro en train de faire de la musique.")</f>
        <v>Là, les hommes ont des chaises et sont assis dans le métro en train de faire de la musique.</v>
      </c>
    </row>
    <row r="2384">
      <c r="A2384" s="4" t="s">
        <v>2989</v>
      </c>
      <c r="B2384" s="4" t="s">
        <v>2991</v>
      </c>
      <c r="C2384" s="5" t="str">
        <f>IFERROR(__xludf.DUMMYFUNCTION("GOOGLETRANSLATE(B2384,""en"",""fr"")"),"L'un d'eux joue de la guitare et deux d'entre eux jouent du violon.")</f>
        <v>L'un d'eux joue de la guitare et deux d'entre eux jouent du violon.</v>
      </c>
    </row>
    <row r="2385">
      <c r="A2385" s="4" t="s">
        <v>2989</v>
      </c>
      <c r="B2385" s="6" t="s">
        <v>2992</v>
      </c>
      <c r="C2385" s="5" t="str">
        <f>IFERROR(__xludf.DUMMYFUNCTION("GOOGLETRANSLATE(B2385,""en"",""fr"")"),"Les gens passent près d'eux et un enfant poussant une poussette et d'autres enfants viennent s'arrêter pour les regarder un peu.")</f>
        <v>Les gens passent près d'eux et un enfant poussant une poussette et d'autres enfants viennent s'arrêter pour les regarder un peu.</v>
      </c>
    </row>
    <row r="2386">
      <c r="A2386" s="4" t="s">
        <v>2989</v>
      </c>
      <c r="B2386" s="6" t="s">
        <v>2993</v>
      </c>
      <c r="C2386" s="5" t="str">
        <f>IFERROR(__xludf.DUMMYFUNCTION("GOOGLETRANSLATE(B2386,""en"",""fr"")"),"Il y a une foule qui s'est effectivement arrêtée pour les regarder jouer, applaudir et l'un d'eux laissant de l'argent dans leur cas.")</f>
        <v>Il y a une foule qui s'est effectivement arrêtée pour les regarder jouer, applaudir et l'un d'eux laissant de l'argent dans leur cas.</v>
      </c>
    </row>
    <row r="2387">
      <c r="A2387" s="4" t="s">
        <v>2994</v>
      </c>
      <c r="B2387" s="4" t="s">
        <v>2995</v>
      </c>
      <c r="C2387" s="5" t="str">
        <f>IFERROR(__xludf.DUMMYFUNCTION("GOOGLETRANSLATE(B2387,""en"",""fr"")"),"Un homme saute sur deux bars.")</f>
        <v>Un homme saute sur deux bars.</v>
      </c>
    </row>
    <row r="2388">
      <c r="A2388" s="4" t="s">
        <v>2994</v>
      </c>
      <c r="B2388" s="4" t="s">
        <v>2996</v>
      </c>
      <c r="C2388" s="5" t="str">
        <f>IFERROR(__xludf.DUMMYFUNCTION("GOOGLETRANSLATE(B2388,""en"",""fr"")"),"Il fait une routine de gymnastique sur les barreaux.")</f>
        <v>Il fait une routine de gymnastique sur les barreaux.</v>
      </c>
    </row>
    <row r="2389">
      <c r="A2389" s="4" t="s">
        <v>2994</v>
      </c>
      <c r="B2389" s="4" t="s">
        <v>2997</v>
      </c>
      <c r="C2389" s="5" t="str">
        <f>IFERROR(__xludf.DUMMYFUNCTION("GOOGLETRANSLATE(B2389,""en"",""fr"")"),"Un homme en veste blanc le regarde jouer.")</f>
        <v>Un homme en veste blanc le regarde jouer.</v>
      </c>
    </row>
    <row r="2390">
      <c r="A2390" s="4" t="s">
        <v>2994</v>
      </c>
      <c r="B2390" s="4" t="s">
        <v>2998</v>
      </c>
      <c r="C2390" s="5" t="str">
        <f>IFERROR(__xludf.DUMMYFUNCTION("GOOGLETRANSLATE(B2390,""en"",""fr"")"),"Il fait un flip et atterrit sur le tapis.")</f>
        <v>Il fait un flip et atterrit sur le tapis.</v>
      </c>
    </row>
    <row r="2391">
      <c r="A2391" s="4" t="s">
        <v>2994</v>
      </c>
      <c r="B2391" s="4" t="s">
        <v>2999</v>
      </c>
      <c r="C2391" s="5" t="str">
        <f>IFERROR(__xludf.DUMMYFUNCTION("GOOGLETRANSLATE(B2391,""en"",""fr"")"),"La foule l'applaudit après avoir atterri.")</f>
        <v>La foule l'applaudit après avoir atterri.</v>
      </c>
    </row>
    <row r="2392">
      <c r="A2392" s="4" t="s">
        <v>3000</v>
      </c>
      <c r="B2392" s="4" t="s">
        <v>3001</v>
      </c>
      <c r="C2392" s="5" t="str">
        <f>IFERROR(__xludf.DUMMYFUNCTION("GOOGLETRANSLATE(B2392,""en"",""fr"")"),"Deux hommes sont vus à la caméra, suivis de plusieurs clips de personnes qui frappent une balle.")</f>
        <v>Deux hommes sont vus à la caméra, suivis de plusieurs clips de personnes qui frappent une balle.</v>
      </c>
    </row>
    <row r="2393">
      <c r="A2393" s="4" t="s">
        <v>3000</v>
      </c>
      <c r="B2393" s="6" t="s">
        <v>3002</v>
      </c>
      <c r="C2393" s="5" t="str">
        <f>IFERROR(__xludf.DUMMYFUNCTION("GOOGLETRANSLATE(B2393,""en"",""fr"")"),"D'autres tirs sont montrés des gens qui tiennent des bâtons et frappent une balle avec un autre entraîneur près en aidant et en parlant à la caméra.")</f>
        <v>D'autres tirs sont montrés des gens qui tiennent des bâtons et frappent une balle avec un autre entraîneur près en aidant et en parlant à la caméra.</v>
      </c>
    </row>
    <row r="2394">
      <c r="A2394" s="4" t="s">
        <v>3003</v>
      </c>
      <c r="B2394" s="4" t="s">
        <v>3004</v>
      </c>
      <c r="C2394" s="5" t="str">
        <f>IFERROR(__xludf.DUMMYFUNCTION("GOOGLETRANSLATE(B2394,""en"",""fr"")"),"Une personne est vue assise sur un tabouret et assemblant plusieurs parties d'un vélo.")</f>
        <v>Une personne est vue assise sur un tabouret et assemblant plusieurs parties d'un vélo.</v>
      </c>
    </row>
    <row r="2395">
      <c r="A2395" s="4" t="s">
        <v>3003</v>
      </c>
      <c r="B2395" s="4" t="s">
        <v>3005</v>
      </c>
      <c r="C2395" s="5" t="str">
        <f>IFERROR(__xludf.DUMMYFUNCTION("GOOGLETRANSLATE(B2395,""en"",""fr"")"),"La personne continue de rassembler le vélo et de placer autour du produit fini à la fin.")</f>
        <v>La personne continue de rassembler le vélo et de placer autour du produit fini à la fin.</v>
      </c>
    </row>
    <row r="2396">
      <c r="A2396" s="4" t="s">
        <v>3006</v>
      </c>
      <c r="B2396" s="4" t="s">
        <v>3007</v>
      </c>
      <c r="C2396" s="5" t="str">
        <f>IFERROR(__xludf.DUMMYFUNCTION("GOOGLETRANSLATE(B2396,""en"",""fr"")"),"Un bateau vert avec des accents en noir et blanc sur elle glisse sur l'eau.")</f>
        <v>Un bateau vert avec des accents en noir et blanc sur elle glisse sur l'eau.</v>
      </c>
    </row>
    <row r="2397">
      <c r="A2397" s="4" t="s">
        <v>3006</v>
      </c>
      <c r="B2397" s="4" t="s">
        <v>3008</v>
      </c>
      <c r="C2397" s="5" t="str">
        <f>IFERROR(__xludf.DUMMYFUNCTION("GOOGLETRANSLATE(B2397,""en"",""fr"")"),"Une paire de chaussures bleues et noires est sur un pont tandis qu'un pied est placé du côté droit.")</f>
        <v>Une paire de chaussures bleues et noires est sur un pont tandis qu'un pied est placé du côté droit.</v>
      </c>
    </row>
    <row r="2398">
      <c r="A2398" s="4" t="s">
        <v>3006</v>
      </c>
      <c r="B2398" s="6" t="s">
        <v>3009</v>
      </c>
      <c r="C2398" s="5" t="str">
        <f>IFERROR(__xludf.DUMMYFUNCTION("GOOGLETRANSLATE(B2398,""en"",""fr"")"),"Un homme est maintenant debout sur un tableau d'eau auquel les chaussures bleues sont attachées et il tient une corde bleue attachée à une poignée triangulaire.")</f>
        <v>Un homme est maintenant debout sur un tableau d'eau auquel les chaussures bleues sont attachées et il tient une corde bleue attachée à une poignée triangulaire.</v>
      </c>
    </row>
    <row r="2399">
      <c r="A2399" s="4" t="s">
        <v>3006</v>
      </c>
      <c r="B2399" s="6" t="s">
        <v>3010</v>
      </c>
      <c r="C2399" s="5" t="str">
        <f>IFERROR(__xludf.DUMMYFUNCTION("GOOGLETRANSLATE(B2399,""en"",""fr"")"),"Les mots blancs sur un écran noir apparaissent et lisent Zucky Wakeboarding 2015 Summer, puis s'estompe.")</f>
        <v>Les mots blancs sur un écran noir apparaissent et lisent Zucky Wakeboarding 2015 Summer, puis s'estompe.</v>
      </c>
    </row>
    <row r="2400">
      <c r="A2400" s="4" t="s">
        <v>3006</v>
      </c>
      <c r="B2400" s="6" t="s">
        <v>3011</v>
      </c>
      <c r="C2400" s="5" t="str">
        <f>IFERROR(__xludf.DUMMYFUNCTION("GOOGLETRANSLATE(B2400,""en"",""fr"")"),"L'homme est à nouveau montré et maintenant il est en mouvement de Wake alors qu'il tient la poignée connectée à la corde et il fait divers trucs de côté à l'autre, sautant parfois, tournant et se fait parfois en même temps.")</f>
        <v>L'homme est à nouveau montré et maintenant il est en mouvement de Wake alors qu'il tient la poignée connectée à la corde et il fait divers trucs de côté à l'autre, sautant parfois, tournant et se fait parfois en même temps.</v>
      </c>
    </row>
    <row r="2401">
      <c r="A2401" s="4" t="s">
        <v>3006</v>
      </c>
      <c r="B2401" s="4" t="s">
        <v>3012</v>
      </c>
      <c r="C2401" s="5" t="str">
        <f>IFERROR(__xludf.DUMMYFUNCTION("GOOGLETRANSLATE(B2401,""en"",""fr"")"),"La vidéo se termine par des mots blancs et des numéros sur un écran noir qui se lisent -end- Editor: 05.")</f>
        <v>La vidéo se termine par des mots blancs et des numéros sur un écran noir qui se lisent -end- Editor: 05.</v>
      </c>
    </row>
    <row r="2402">
      <c r="A2402" s="4" t="s">
        <v>3013</v>
      </c>
      <c r="B2402" s="4" t="s">
        <v>3014</v>
      </c>
      <c r="C2402" s="5" t="str">
        <f>IFERROR(__xludf.DUMMYFUNCTION("GOOGLETRANSLATE(B2402,""en"",""fr"")"),"Un homme est assis sur une chaise tournante avec sa jambe repliée sur l'autre.")</f>
        <v>Un homme est assis sur une chaise tournante avec sa jambe repliée sur l'autre.</v>
      </c>
    </row>
    <row r="2403">
      <c r="A2403" s="4" t="s">
        <v>3013</v>
      </c>
      <c r="B2403" s="6" t="s">
        <v>3015</v>
      </c>
      <c r="C2403" s="5" t="str">
        <f>IFERROR(__xludf.DUMMYFUNCTION("GOOGLETRANSLATE(B2403,""en"",""fr"")"),"Un autre homme prend un chiffon et commence à nettoyer ses chaussures en cuir noir avec un chiffon pour le rendre brillant.")</f>
        <v>Un autre homme prend un chiffon et commence à nettoyer ses chaussures en cuir noir avec un chiffon pour le rendre brillant.</v>
      </c>
    </row>
    <row r="2404">
      <c r="A2404" s="4" t="s">
        <v>3013</v>
      </c>
      <c r="B2404" s="4" t="s">
        <v>3016</v>
      </c>
      <c r="C2404" s="5" t="str">
        <f>IFERROR(__xludf.DUMMYFUNCTION("GOOGLETRANSLATE(B2404,""en"",""fr"")"),"Il nettoie la chaussure avec un mouvement de va-et-vient.")</f>
        <v>Il nettoie la chaussure avec un mouvement de va-et-vient.</v>
      </c>
    </row>
    <row r="2405">
      <c r="A2405" s="4" t="s">
        <v>3017</v>
      </c>
      <c r="B2405" s="4" t="s">
        <v>3018</v>
      </c>
      <c r="C2405" s="5" t="str">
        <f>IFERROR(__xludf.DUMMYFUNCTION("GOOGLETRANSLATE(B2405,""en"",""fr"")"),"Une femme aux cheveux blonds explique comment faire de la limonade de vodka au romarin.")</f>
        <v>Une femme aux cheveux blonds explique comment faire de la limonade de vodka au romarin.</v>
      </c>
    </row>
    <row r="2406">
      <c r="A2406" s="4" t="s">
        <v>3017</v>
      </c>
      <c r="B2406" s="4" t="s">
        <v>3019</v>
      </c>
      <c r="C2406" s="5" t="str">
        <f>IFERROR(__xludf.DUMMYFUNCTION("GOOGLETRANSLATE(B2406,""en"",""fr"")"),"Deux pots de liquide apparaissent.")</f>
        <v>Deux pots de liquide apparaissent.</v>
      </c>
    </row>
    <row r="2407">
      <c r="A2407" s="4" t="s">
        <v>3017</v>
      </c>
      <c r="B2407" s="4" t="s">
        <v>3020</v>
      </c>
      <c r="C2407" s="5" t="str">
        <f>IFERROR(__xludf.DUMMYFUNCTION("GOOGLETRANSLATE(B2407,""en"",""fr"")"),"La femme prend une gorgée du liquide.")</f>
        <v>La femme prend une gorgée du liquide.</v>
      </c>
    </row>
    <row r="2408">
      <c r="A2408" s="4" t="s">
        <v>3017</v>
      </c>
      <c r="B2408" s="4" t="s">
        <v>3021</v>
      </c>
      <c r="C2408" s="5" t="str">
        <f>IFERROR(__xludf.DUMMYFUNCTION("GOOGLETRANSLATE(B2408,""en"",""fr"")"),"La femme prépare le liquide avec des herbes et du sucre dans un bol.")</f>
        <v>La femme prépare le liquide avec des herbes et du sucre dans un bol.</v>
      </c>
    </row>
    <row r="2409">
      <c r="A2409" s="4" t="s">
        <v>3017</v>
      </c>
      <c r="B2409" s="4" t="s">
        <v>3022</v>
      </c>
      <c r="C2409" s="5" t="str">
        <f>IFERROR(__xludf.DUMMYFUNCTION("GOOGLETRANSLATE(B2409,""en"",""fr"")"),"La femme verse le liquide dans un verre.")</f>
        <v>La femme verse le liquide dans un verre.</v>
      </c>
    </row>
    <row r="2410">
      <c r="A2410" s="4" t="s">
        <v>3017</v>
      </c>
      <c r="B2410" s="4" t="s">
        <v>3023</v>
      </c>
      <c r="C2410" s="5" t="str">
        <f>IFERROR(__xludf.DUMMYFUNCTION("GOOGLETRANSLATE(B2410,""en"",""fr"")"),"La femme verse le liquide dans des pots de glace.")</f>
        <v>La femme verse le liquide dans des pots de glace.</v>
      </c>
    </row>
    <row r="2411">
      <c r="A2411" s="4" t="s">
        <v>3017</v>
      </c>
      <c r="B2411" s="4" t="s">
        <v>3024</v>
      </c>
      <c r="C2411" s="5" t="str">
        <f>IFERROR(__xludf.DUMMYFUNCTION("GOOGLETRANSLATE(B2411,""en"",""fr"")"),"La femme mélange la concoction.")</f>
        <v>La femme mélange la concoction.</v>
      </c>
    </row>
    <row r="2412">
      <c r="A2412" s="4" t="s">
        <v>3017</v>
      </c>
      <c r="B2412" s="4" t="s">
        <v>3025</v>
      </c>
      <c r="C2412" s="5" t="str">
        <f>IFERROR(__xludf.DUMMYFUNCTION("GOOGLETRANSLATE(B2412,""en"",""fr"")"),"La femme boit le liquide dans un pot.")</f>
        <v>La femme boit le liquide dans un pot.</v>
      </c>
    </row>
    <row r="2413">
      <c r="A2413" s="4" t="s">
        <v>3017</v>
      </c>
      <c r="B2413" s="4" t="s">
        <v>3026</v>
      </c>
      <c r="C2413" s="5" t="str">
        <f>IFERROR(__xludf.DUMMYFUNCTION("GOOGLETRANSLATE(B2413,""en"",""fr"")"),"La vidéo se termine par une vue des pots avec du liquide.")</f>
        <v>La vidéo se termine par une vue des pots avec du liquide.</v>
      </c>
    </row>
    <row r="2414">
      <c r="A2414" s="4" t="s">
        <v>3027</v>
      </c>
      <c r="B2414" s="6" t="s">
        <v>3028</v>
      </c>
      <c r="C2414" s="5" t="str">
        <f>IFERROR(__xludf.DUMMYFUNCTION("GOOGLETRANSLATE(B2414,""en"",""fr"")"),"Une femme est montrée à la caméra et montrant diverses plans d'enfants assis sur une chaise et se produisant à la télévision.")</f>
        <v>Une femme est montrée à la caméra et montrant diverses plans d'enfants assis sur une chaise et se produisant à la télévision.</v>
      </c>
    </row>
    <row r="2415">
      <c r="A2415" s="4" t="s">
        <v>3027</v>
      </c>
      <c r="B2415" s="4" t="s">
        <v>3029</v>
      </c>
      <c r="C2415" s="5" t="str">
        <f>IFERROR(__xludf.DUMMYFUNCTION("GOOGLETRANSLATE(B2415,""en"",""fr"")"),"La femme parle plus de la caméra et met un contact dans l'œil des filles.")</f>
        <v>La femme parle plus de la caméra et met un contact dans l'œil des filles.</v>
      </c>
    </row>
    <row r="2416">
      <c r="A2416" s="4" t="s">
        <v>3027</v>
      </c>
      <c r="B2416" s="6" t="s">
        <v>3030</v>
      </c>
      <c r="C2416" s="5" t="str">
        <f>IFERROR(__xludf.DUMMYFUNCTION("GOOGLETRANSLATE(B2416,""en"",""fr"")"),"La fille sourit dans un miroir et montre comment elle retire les contacts et un rappel sur votre téléphone.")</f>
        <v>La fille sourit dans un miroir et montre comment elle retire les contacts et un rappel sur votre téléphone.</v>
      </c>
    </row>
    <row r="2417">
      <c r="A2417" s="4" t="s">
        <v>3027</v>
      </c>
      <c r="B2417" s="4" t="s">
        <v>3031</v>
      </c>
      <c r="C2417" s="5" t="str">
        <f>IFERROR(__xludf.DUMMYFUNCTION("GOOGLETRANSLATE(B2417,""en"",""fr"")"),"Une dernière femme parle à la caméra et la fille applaudit et sourit à nouveau.")</f>
        <v>Une dernière femme parle à la caméra et la fille applaudit et sourit à nouveau.</v>
      </c>
    </row>
    <row r="2418">
      <c r="A2418" s="4" t="s">
        <v>3032</v>
      </c>
      <c r="B2418" s="4" t="s">
        <v>3033</v>
      </c>
      <c r="C2418" s="5" t="str">
        <f>IFERROR(__xludf.DUMMYFUNCTION("GOOGLETRANSLATE(B2418,""en"",""fr"")"),"Un garçon est assis devant une minuterie sur un moniteur d'ordinateur.")</f>
        <v>Un garçon est assis devant une minuterie sur un moniteur d'ordinateur.</v>
      </c>
    </row>
    <row r="2419">
      <c r="A2419" s="4" t="s">
        <v>3032</v>
      </c>
      <c r="B2419" s="4" t="s">
        <v>3034</v>
      </c>
      <c r="C2419" s="5" t="str">
        <f>IFERROR(__xludf.DUMMYFUNCTION("GOOGLETRANSLATE(B2419,""en"",""fr"")"),"Il a plusieurs cubes de Rubik d'affilée.")</f>
        <v>Il a plusieurs cubes de Rubik d'affilée.</v>
      </c>
    </row>
    <row r="2420">
      <c r="A2420" s="4" t="s">
        <v>3032</v>
      </c>
      <c r="B2420" s="4" t="s">
        <v>3035</v>
      </c>
      <c r="C2420" s="5" t="str">
        <f>IFERROR(__xludf.DUMMYFUNCTION("GOOGLETRANSLATE(B2420,""en"",""fr"")"),"Il se tiend-il alors qu'il tente de résoudre le cube.")</f>
        <v>Il se tiend-il alors qu'il tente de résoudre le cube.</v>
      </c>
    </row>
    <row r="2421">
      <c r="A2421" s="4" t="s">
        <v>3032</v>
      </c>
      <c r="B2421" s="4" t="s">
        <v>3036</v>
      </c>
      <c r="C2421" s="5" t="str">
        <f>IFERROR(__xludf.DUMMYFUNCTION("GOOGLETRANSLATE(B2421,""en"",""fr"")"),"Il se déplace rapidement, les résolvant en peu de temps.")</f>
        <v>Il se déplace rapidement, les résolvant en peu de temps.</v>
      </c>
    </row>
    <row r="2422">
      <c r="A2422" s="4" t="s">
        <v>3032</v>
      </c>
      <c r="B2422" s="4" t="s">
        <v>3037</v>
      </c>
      <c r="C2422" s="5" t="str">
        <f>IFERROR(__xludf.DUMMYFUNCTION("GOOGLETRANSLATE(B2422,""en"",""fr"")"),"Il serre ses poings de joie.")</f>
        <v>Il serre ses poings de joie.</v>
      </c>
    </row>
    <row r="2423">
      <c r="A2423" s="4" t="s">
        <v>3038</v>
      </c>
      <c r="B2423" s="4" t="s">
        <v>3039</v>
      </c>
      <c r="C2423" s="5" t="str">
        <f>IFERROR(__xludf.DUMMYFUNCTION("GOOGLETRANSLATE(B2423,""en"",""fr"")"),"Les gens sont montrés en jouant les tambours à l'aide de pilons en bois.")</f>
        <v>Les gens sont montrés en jouant les tambours à l'aide de pilons en bois.</v>
      </c>
    </row>
    <row r="2424">
      <c r="A2424" s="4" t="s">
        <v>3038</v>
      </c>
      <c r="B2424" s="4" t="s">
        <v>3040</v>
      </c>
      <c r="C2424" s="5" t="str">
        <f>IFERROR(__xludf.DUMMYFUNCTION("GOOGLETRANSLATE(B2424,""en"",""fr"")"),"Il y a aussi des gens derrière eux jouant des cymbales dorées.")</f>
        <v>Il y a aussi des gens derrière eux jouant des cymbales dorées.</v>
      </c>
    </row>
    <row r="2425">
      <c r="A2425" s="4" t="s">
        <v>3038</v>
      </c>
      <c r="B2425" s="4" t="s">
        <v>3041</v>
      </c>
      <c r="C2425" s="5" t="str">
        <f>IFERROR(__xludf.DUMMYFUNCTION("GOOGLETRANSLATE(B2425,""en"",""fr"")"),"Après un certain temps, ils arrêtent tous de jouer et se tiennent silencieusement.")</f>
        <v>Après un certain temps, ils arrêtent tous de jouer et se tiennent silencieusement.</v>
      </c>
    </row>
    <row r="2426">
      <c r="A2426" s="4" t="s">
        <v>3042</v>
      </c>
      <c r="B2426" s="4" t="s">
        <v>3043</v>
      </c>
      <c r="C2426" s="5" t="str">
        <f>IFERROR(__xludf.DUMMYFUNCTION("GOOGLETRANSLATE(B2426,""en"",""fr"")"),"Une femme se tient dans une robe rouge.")</f>
        <v>Une femme se tient dans une robe rouge.</v>
      </c>
    </row>
    <row r="2427">
      <c r="A2427" s="4" t="s">
        <v>3042</v>
      </c>
      <c r="B2427" s="4" t="s">
        <v>3044</v>
      </c>
      <c r="C2427" s="5" t="str">
        <f>IFERROR(__xludf.DUMMYFUNCTION("GOOGLETRANSLATE(B2427,""en"",""fr"")"),"Elle jette des fléchettes sur une planche.")</f>
        <v>Elle jette des fléchettes sur une planche.</v>
      </c>
    </row>
    <row r="2428">
      <c r="A2428" s="4" t="s">
        <v>3042</v>
      </c>
      <c r="B2428" s="4" t="s">
        <v>3045</v>
      </c>
      <c r="C2428" s="5" t="str">
        <f>IFERROR(__xludf.DUMMYFUNCTION("GOOGLETRANSLATE(B2428,""en"",""fr"")"),"Elle lance plusieurs fléchettes au tableau.")</f>
        <v>Elle lance plusieurs fléchettes au tableau.</v>
      </c>
    </row>
    <row r="2429">
      <c r="A2429" s="4" t="s">
        <v>3042</v>
      </c>
      <c r="B2429" s="4" t="s">
        <v>3046</v>
      </c>
      <c r="C2429" s="5" t="str">
        <f>IFERROR(__xludf.DUMMYFUNCTION("GOOGLETRANSLATE(B2429,""en"",""fr"")"),"Elle lance des fléchettes au ralenti.")</f>
        <v>Elle lance des fléchettes au ralenti.</v>
      </c>
    </row>
    <row r="2430">
      <c r="A2430" s="4" t="s">
        <v>3047</v>
      </c>
      <c r="B2430" s="4" t="s">
        <v>3048</v>
      </c>
      <c r="C2430" s="5" t="str">
        <f>IFERROR(__xludf.DUMMYFUNCTION("GOOGLETRANSLATE(B2430,""en"",""fr"")"),"Une femme termine une routine aux Jeux olympiques sur la poutre d'équilibre.")</f>
        <v>Une femme termine une routine aux Jeux olympiques sur la poutre d'équilibre.</v>
      </c>
    </row>
    <row r="2431">
      <c r="A2431" s="4" t="s">
        <v>3047</v>
      </c>
      <c r="B2431" s="4" t="s">
        <v>3049</v>
      </c>
      <c r="C2431" s="5" t="str">
        <f>IFERROR(__xludf.DUMMYFUNCTION("GOOGLETRANSLATE(B2431,""en"",""fr"")"),"Elle saute de haut en bas gracieusement puis tombe pour une déduction de points.")</f>
        <v>Elle saute de haut en bas gracieusement puis tombe pour une déduction de points.</v>
      </c>
    </row>
    <row r="2432">
      <c r="A2432" s="4" t="s">
        <v>3047</v>
      </c>
      <c r="B2432" s="4" t="s">
        <v>3050</v>
      </c>
      <c r="C2432" s="5" t="str">
        <f>IFERROR(__xludf.DUMMYFUNCTION("GOOGLETRANSLATE(B2432,""en"",""fr"")"),"Elle termine sa routine et obtient un câlin de son entraîneur.")</f>
        <v>Elle termine sa routine et obtient un câlin de son entraîneur.</v>
      </c>
    </row>
    <row r="2433">
      <c r="A2433" s="4" t="s">
        <v>3051</v>
      </c>
      <c r="B2433" s="4" t="s">
        <v>3052</v>
      </c>
      <c r="C2433" s="5" t="str">
        <f>IFERROR(__xludf.DUMMYFUNCTION("GOOGLETRANSLATE(B2433,""en"",""fr"")"),"Un assortiment d'équipes masculins et des femmes sont alignés à l'extérieur d'un bâtiment, alors ils sont laissés entrer.")</f>
        <v>Un assortiment d'équipes masculins et des femmes sont alignés à l'extérieur d'un bâtiment, alors ils sont laissés entrer.</v>
      </c>
    </row>
    <row r="2434">
      <c r="A2434" s="4" t="s">
        <v>3051</v>
      </c>
      <c r="B2434" s="4" t="s">
        <v>3053</v>
      </c>
      <c r="C2434" s="5" t="str">
        <f>IFERROR(__xludf.DUMMYFUNCTION("GOOGLETRANSLATE(B2434,""en"",""fr"")"),"Dans le bâtiment, il y a plusieurs tables de piscine et un homme commence à leur instruire ce qu'il faut faire.")</f>
        <v>Dans le bâtiment, il y a plusieurs tables de piscine et un homme commence à leur instruire ce qu'il faut faire.</v>
      </c>
    </row>
    <row r="2435">
      <c r="A2435" s="4" t="s">
        <v>3051</v>
      </c>
      <c r="B2435" s="4" t="s">
        <v>3054</v>
      </c>
      <c r="C2435" s="5" t="str">
        <f>IFERROR(__xludf.DUMMYFUNCTION("GOOGLETRANSLATE(B2435,""en"",""fr"")"),"Différentes personnes commencent à frapper les balles et l'instructeur passe pour les aider.")</f>
        <v>Différentes personnes commencent à frapper les balles et l'instructeur passe pour les aider.</v>
      </c>
    </row>
    <row r="2436">
      <c r="A2436" s="4" t="s">
        <v>3055</v>
      </c>
      <c r="B2436" s="4" t="s">
        <v>3056</v>
      </c>
      <c r="C2436" s="5" t="str">
        <f>IFERROR(__xludf.DUMMYFUNCTION("GOOGLETRANSLATE(B2436,""en"",""fr"")"),"Un groupe de personnes s'est rassemblé sur une scène.")</f>
        <v>Un groupe de personnes s'est rassemblé sur une scène.</v>
      </c>
    </row>
    <row r="2437">
      <c r="A2437" s="4" t="s">
        <v>3055</v>
      </c>
      <c r="B2437" s="4" t="s">
        <v>3057</v>
      </c>
      <c r="C2437" s="5" t="str">
        <f>IFERROR(__xludf.DUMMYFUNCTION("GOOGLETRANSLATE(B2437,""en"",""fr"")"),"Le public applaudie pour les artistes.")</f>
        <v>Le public applaudie pour les artistes.</v>
      </c>
    </row>
    <row r="2438">
      <c r="A2438" s="4" t="s">
        <v>3055</v>
      </c>
      <c r="B2438" s="4" t="s">
        <v>3058</v>
      </c>
      <c r="C2438" s="5" t="str">
        <f>IFERROR(__xludf.DUMMYFUNCTION("GOOGLETRANSLATE(B2438,""en"",""fr"")"),"Ils se serrent la main et s'embrassent alors que les crédits roulent.")</f>
        <v>Ils se serrent la main et s'embrassent alors que les crédits roulent.</v>
      </c>
    </row>
    <row r="2439">
      <c r="A2439" s="4" t="s">
        <v>3059</v>
      </c>
      <c r="B2439" s="4" t="s">
        <v>3060</v>
      </c>
      <c r="C2439" s="5" t="str">
        <f>IFERROR(__xludf.DUMMYFUNCTION("GOOGLETRANSLATE(B2439,""en"",""fr"")"),"Une femme est dans une cuisine, parle.")</f>
        <v>Une femme est dans une cuisine, parle.</v>
      </c>
    </row>
    <row r="2440">
      <c r="A2440" s="4" t="s">
        <v>3059</v>
      </c>
      <c r="B2440" s="4" t="s">
        <v>3061</v>
      </c>
      <c r="C2440" s="5" t="str">
        <f>IFERROR(__xludf.DUMMYFUNCTION("GOOGLETRANSLATE(B2440,""en"",""fr"")"),"Elle montre une gamme de garnitures en sandwich.")</f>
        <v>Elle montre une gamme de garnitures en sandwich.</v>
      </c>
    </row>
    <row r="2441">
      <c r="A2441" s="4" t="s">
        <v>3059</v>
      </c>
      <c r="B2441" s="4" t="s">
        <v>3062</v>
      </c>
      <c r="C2441" s="5" t="str">
        <f>IFERROR(__xludf.DUMMYFUNCTION("GOOGLETRANSLATE(B2441,""en"",""fr"")"),"Elle place la viande et le fromage sur du pain, puis ferme le sandwich.")</f>
        <v>Elle place la viande et le fromage sur du pain, puis ferme le sandwich.</v>
      </c>
    </row>
    <row r="2442">
      <c r="A2442" s="4" t="s">
        <v>3063</v>
      </c>
      <c r="B2442" s="4" t="s">
        <v>3064</v>
      </c>
      <c r="C2442" s="5" t="str">
        <f>IFERROR(__xludf.DUMMYFUNCTION("GOOGLETRANSLATE(B2442,""en"",""fr"")"),"Beaucoup de femmes, certaines dans des chemises bleues et certaines en chemises blanches, courent sur un terrain en jouant à un jeu.")</f>
        <v>Beaucoup de femmes, certaines dans des chemises bleues et certaines en chemises blanches, courent sur un terrain en jouant à un jeu.</v>
      </c>
    </row>
    <row r="2443">
      <c r="A2443" s="4" t="s">
        <v>3063</v>
      </c>
      <c r="B2443" s="4" t="s">
        <v>3065</v>
      </c>
      <c r="C2443" s="5" t="str">
        <f>IFERROR(__xludf.DUMMYFUNCTION("GOOGLETRANSLATE(B2443,""en"",""fr"")"),"Quelques personnes regardent des gradins en arrière-plan.")</f>
        <v>Quelques personnes regardent des gradins en arrière-plan.</v>
      </c>
    </row>
    <row r="2444">
      <c r="A2444" s="4" t="s">
        <v>3063</v>
      </c>
      <c r="B2444" s="4" t="s">
        <v>3066</v>
      </c>
      <c r="C2444" s="5" t="str">
        <f>IFERROR(__xludf.DUMMYFUNCTION("GOOGLETRANSLATE(B2444,""en"",""fr"")"),"Deux arbitres coulent sur le terrain avec les joueurs.")</f>
        <v>Deux arbitres coulent sur le terrain avec les joueurs.</v>
      </c>
    </row>
    <row r="2445">
      <c r="A2445" s="4" t="s">
        <v>3063</v>
      </c>
      <c r="B2445" s="4" t="s">
        <v>3067</v>
      </c>
      <c r="C2445" s="5" t="str">
        <f>IFERROR(__xludf.DUMMYFUNCTION("GOOGLETRANSLATE(B2445,""en"",""fr"")"),"D'autres joueurs regardent depuis la touche près d'une clôture.")</f>
        <v>D'autres joueurs regardent depuis la touche près d'une clôture.</v>
      </c>
    </row>
    <row r="2446">
      <c r="A2446" s="4" t="s">
        <v>3063</v>
      </c>
      <c r="B2446" s="4" t="s">
        <v>3068</v>
      </c>
      <c r="C2446" s="5" t="str">
        <f>IFERROR(__xludf.DUMMYFUNCTION("GOOGLETRANSLATE(B2446,""en"",""fr"")"),"Un groupe de personnes gardant un score est assis à une table sur la touche.")</f>
        <v>Un groupe de personnes gardant un score est assis à une table sur la touche.</v>
      </c>
    </row>
    <row r="2447">
      <c r="A2447" s="4" t="s">
        <v>3063</v>
      </c>
      <c r="B2447" s="4" t="s">
        <v>3069</v>
      </c>
      <c r="C2447" s="5" t="str">
        <f>IFERROR(__xludf.DUMMYFUNCTION("GOOGLETRANSLATE(B2447,""en"",""fr"")"),"Certaines des personnes qui regardent des gradins se tiennent maintenant.")</f>
        <v>Certaines des personnes qui regardent des gradins se tiennent maintenant.</v>
      </c>
    </row>
    <row r="2448">
      <c r="A2448" s="4" t="s">
        <v>3063</v>
      </c>
      <c r="B2448" s="4" t="s">
        <v>3070</v>
      </c>
      <c r="C2448" s="5" t="str">
        <f>IFERROR(__xludf.DUMMYFUNCTION("GOOGLETRANSLATE(B2448,""en"",""fr"")"),"Un homme en sweat-shirt bleu marche sur la touche.")</f>
        <v>Un homme en sweat-shirt bleu marche sur la touche.</v>
      </c>
    </row>
    <row r="2449">
      <c r="A2449" s="4" t="s">
        <v>3071</v>
      </c>
      <c r="B2449" s="4" t="s">
        <v>3072</v>
      </c>
      <c r="C2449" s="5" t="str">
        <f>IFERROR(__xludf.DUMMYFUNCTION("GOOGLETRANSLATE(B2449,""en"",""fr"")"),"À l'extérieur dans la cour, il y a une dame habillée comme un cupcake et elle joue à un jeu de cricket.")</f>
        <v>À l'extérieur dans la cour, il y a une dame habillée comme un cupcake et elle joue à un jeu de cricket.</v>
      </c>
    </row>
    <row r="2450">
      <c r="A2450" s="4" t="s">
        <v>3071</v>
      </c>
      <c r="B2450" s="4" t="s">
        <v>3073</v>
      </c>
      <c r="C2450" s="5" t="str">
        <f>IFERROR(__xludf.DUMMYFUNCTION("GOOGLETRANSLATE(B2450,""en"",""fr"")"),"Elle frappe la balle jaune mais elle ne se déplace pas du tout très loin.")</f>
        <v>Elle frappe la balle jaune mais elle ne se déplace pas du tout très loin.</v>
      </c>
    </row>
    <row r="2451">
      <c r="A2451" s="4" t="s">
        <v>3071</v>
      </c>
      <c r="B2451" s="4" t="s">
        <v>3074</v>
      </c>
      <c r="C2451" s="5" t="str">
        <f>IFERROR(__xludf.DUMMYFUNCTION("GOOGLETRANSLATE(B2451,""en"",""fr"")"),"Elle a un peu de mal à essayer d'obtenir une bonne position pour frapper à nouveau le ballon.")</f>
        <v>Elle a un peu de mal à essayer d'obtenir une bonne position pour frapper à nouveau le ballon.</v>
      </c>
    </row>
    <row r="2452">
      <c r="A2452" s="4" t="s">
        <v>3071</v>
      </c>
      <c r="B2452" s="6" t="s">
        <v>3075</v>
      </c>
      <c r="C2452" s="5" t="str">
        <f>IFERROR(__xludf.DUMMYFUNCTION("GOOGLETRANSLATE(B2452,""en"",""fr"")"),"Quand elle le frappe enfin à nouveau, cela ne passe pas par le parcours comme elle l'attendait, donc elle est déçue.")</f>
        <v>Quand elle le frappe enfin à nouveau, cela ne passe pas par le parcours comme elle l'attendait, donc elle est déçue.</v>
      </c>
    </row>
    <row r="2453">
      <c r="A2453" s="4" t="s">
        <v>3076</v>
      </c>
      <c r="B2453" s="4" t="s">
        <v>3077</v>
      </c>
      <c r="C2453" s="5" t="str">
        <f>IFERROR(__xludf.DUMMYFUNCTION("GOOGLETRANSLATE(B2453,""en"",""fr"")"),"Il y a un gymnase intérieur où deux concurrents se clôturent les uns avec les autres.")</f>
        <v>Il y a un gymnase intérieur où deux concurrents se clôturent les uns avec les autres.</v>
      </c>
    </row>
    <row r="2454">
      <c r="A2454" s="4" t="s">
        <v>3076</v>
      </c>
      <c r="B2454" s="4" t="s">
        <v>3078</v>
      </c>
      <c r="C2454" s="5" t="str">
        <f>IFERROR(__xludf.DUMMYFUNCTION("GOOGLETRANSLATE(B2454,""en"",""fr"")"),"Il y a une personne vêtue de noir qui est son arbitre.")</f>
        <v>Il y a une personne vêtue de noir qui est son arbitre.</v>
      </c>
    </row>
    <row r="2455">
      <c r="A2455" s="4" t="s">
        <v>3076</v>
      </c>
      <c r="B2455" s="4" t="s">
        <v>3079</v>
      </c>
      <c r="C2455" s="5" t="str">
        <f>IFERROR(__xludf.DUMMYFUNCTION("GOOGLETRANSLATE(B2455,""en"",""fr"")"),"Une autre paire de concurrents clôture également lors du même événement.")</f>
        <v>Une autre paire de concurrents clôture également lors du même événement.</v>
      </c>
    </row>
    <row r="2456">
      <c r="A2456" s="4" t="s">
        <v>3076</v>
      </c>
      <c r="B2456" s="4" t="s">
        <v>3080</v>
      </c>
      <c r="C2456" s="5" t="str">
        <f>IFERROR(__xludf.DUMMYFUNCTION("GOOGLETRANSLATE(B2456,""en"",""fr"")"),"Deux hommes vêtus d'équipement d'escrime continuent de clôturer dans le gymnase.")</f>
        <v>Deux hommes vêtus d'équipement d'escrime continuent de clôturer dans le gymnase.</v>
      </c>
    </row>
    <row r="2457">
      <c r="A2457" s="4" t="s">
        <v>3081</v>
      </c>
      <c r="B2457" s="4" t="s">
        <v>3082</v>
      </c>
      <c r="C2457" s="5" t="str">
        <f>IFERROR(__xludf.DUMMYFUNCTION("GOOGLETRANSLATE(B2457,""en"",""fr"")"),"Une femme chevauche un chameau tenant un roulement avec sa main droite tandis qu'un homme tire le chameau.")</f>
        <v>Une femme chevauche un chameau tenant un roulement avec sa main droite tandis qu'un homme tire le chameau.</v>
      </c>
    </row>
    <row r="2458">
      <c r="A2458" s="4" t="s">
        <v>3081</v>
      </c>
      <c r="B2458" s="4" t="s">
        <v>3083</v>
      </c>
      <c r="C2458" s="5" t="str">
        <f>IFERROR(__xludf.DUMMYFUNCTION("GOOGLETRANSLATE(B2458,""en"",""fr"")"),"Ensuite, le chameau s'arrête et la femme descend du chameau.")</f>
        <v>Ensuite, le chameau s'arrête et la femme descend du chameau.</v>
      </c>
    </row>
    <row r="2459">
      <c r="A2459" s="4" t="s">
        <v>3084</v>
      </c>
      <c r="B2459" s="4" t="s">
        <v>3085</v>
      </c>
      <c r="C2459" s="5" t="str">
        <f>IFERROR(__xludf.DUMMYFUNCTION("GOOGLETRANSLATE(B2459,""en"",""fr"")"),"Deux hommes rit et s'arrêtent là les têtes à regarder le travail se faire faire.")</f>
        <v>Deux hommes rit et s'arrêtent là les têtes à regarder le travail se faire faire.</v>
      </c>
    </row>
    <row r="2460">
      <c r="A2460" s="4" t="s">
        <v>3084</v>
      </c>
      <c r="B2460" s="4" t="s">
        <v>3086</v>
      </c>
      <c r="C2460" s="5" t="str">
        <f>IFERROR(__xludf.DUMMYFUNCTION("GOOGLETRANSLATE(B2460,""en"",""fr"")"),"La personne peint ses ongles d'amis.")</f>
        <v>La personne peint ses ongles d'amis.</v>
      </c>
    </row>
    <row r="2461">
      <c r="A2461" s="4" t="s">
        <v>3084</v>
      </c>
      <c r="B2461" s="4" t="s">
        <v>3087</v>
      </c>
      <c r="C2461" s="5" t="str">
        <f>IFERROR(__xludf.DUMMYFUNCTION("GOOGLETRANSLATE(B2461,""en"",""fr"")"),"L'homme retire la main de ses amis et continue de travailler.")</f>
        <v>L'homme retire la main de ses amis et continue de travailler.</v>
      </c>
    </row>
    <row r="2462">
      <c r="A2462" s="4" t="s">
        <v>3088</v>
      </c>
      <c r="B2462" s="4" t="s">
        <v>3089</v>
      </c>
      <c r="C2462" s="5" t="str">
        <f>IFERROR(__xludf.DUMMYFUNCTION("GOOGLETRANSLATE(B2462,""en"",""fr"")"),"Une jeune fille traverse le salon laissant tomber des fleurs et de la saleté.")</f>
        <v>Une jeune fille traverse le salon laissant tomber des fleurs et de la saleté.</v>
      </c>
    </row>
    <row r="2463">
      <c r="A2463" s="4" t="s">
        <v>3088</v>
      </c>
      <c r="B2463" s="4" t="s">
        <v>3090</v>
      </c>
      <c r="C2463" s="5" t="str">
        <f>IFERROR(__xludf.DUMMYFUNCTION("GOOGLETRANSLATE(B2463,""en"",""fr"")"),"Une femme attrape un vide et s'aspire le sol.")</f>
        <v>Une femme attrape un vide et s'aspire le sol.</v>
      </c>
    </row>
    <row r="2464">
      <c r="A2464" s="4" t="s">
        <v>3088</v>
      </c>
      <c r="B2464" s="4" t="s">
        <v>3091</v>
      </c>
      <c r="C2464" s="5" t="str">
        <f>IFERROR(__xludf.DUMMYFUNCTION("GOOGLETRANSLATE(B2464,""en"",""fr"")"),"Elle insère un outil dans l'aspirateur et l'aspirateur le long des plinthes.")</f>
        <v>Elle insère un outil dans l'aspirateur et l'aspirateur le long des plinthes.</v>
      </c>
    </row>
    <row r="2465">
      <c r="A2465" s="4" t="s">
        <v>3088</v>
      </c>
      <c r="B2465" s="4" t="s">
        <v>3092</v>
      </c>
      <c r="C2465" s="5" t="str">
        <f>IFERROR(__xludf.DUMMYFUNCTION("GOOGLETRANSLATE(B2465,""en"",""fr"")"),"Elle utilise un outil spécial de l'aspirateur pour l'aspirateur autour du canapé et du tapis d'escalier.")</f>
        <v>Elle utilise un outil spécial de l'aspirateur pour l'aspirateur autour du canapé et du tapis d'escalier.</v>
      </c>
    </row>
    <row r="2466">
      <c r="A2466" s="4" t="s">
        <v>3088</v>
      </c>
      <c r="B2466" s="4" t="s">
        <v>3093</v>
      </c>
      <c r="C2466" s="5" t="str">
        <f>IFERROR(__xludf.DUMMYFUNCTION("GOOGLETRANSLATE(B2466,""en"",""fr"")"),"Elle utilise un autre outil de l'aspirateur pour l'aspirateur autour des fenêtres.")</f>
        <v>Elle utilise un autre outil de l'aspirateur pour l'aspirateur autour des fenêtres.</v>
      </c>
    </row>
    <row r="2467">
      <c r="A2467" s="4" t="s">
        <v>3088</v>
      </c>
      <c r="B2467" s="4" t="s">
        <v>3094</v>
      </c>
      <c r="C2467" s="5" t="str">
        <f>IFERROR(__xludf.DUMMYFUNCTION("GOOGLETRANSLATE(B2467,""en"",""fr"")"),"Elle sort un plateau de l'aspirateur.")</f>
        <v>Elle sort un plateau de l'aspirateur.</v>
      </c>
    </row>
    <row r="2468">
      <c r="A2468" s="4" t="s">
        <v>3095</v>
      </c>
      <c r="B2468" s="4" t="s">
        <v>3096</v>
      </c>
      <c r="C2468" s="5" t="str">
        <f>IFERROR(__xludf.DUMMYFUNCTION("GOOGLETRANSLATE(B2468,""en"",""fr"")"),"Un groupe d'enfants joue au hockey sur un terrain avec les entraîneurs entraîneurs pendant qu'ils jouent.")</f>
        <v>Un groupe d'enfants joue au hockey sur un terrain avec les entraîneurs entraîneurs pendant qu'ils jouent.</v>
      </c>
    </row>
    <row r="2469">
      <c r="A2469" s="4" t="s">
        <v>3095</v>
      </c>
      <c r="B2469" s="6" t="s">
        <v>3097</v>
      </c>
      <c r="C2469" s="5" t="str">
        <f>IFERROR(__xludf.DUMMYFUNCTION("GOOGLETRANSLATE(B2469,""en"",""fr"")"),"Un entraîneur montre comment bloquer un but à l'intérieur d'un gymnase intérieur devant un groupe de jeunes.")</f>
        <v>Un entraîneur montre comment bloquer un but à l'intérieur d'un gymnase intérieur devant un groupe de jeunes.</v>
      </c>
    </row>
    <row r="2470">
      <c r="A2470" s="4" t="s">
        <v>3095</v>
      </c>
      <c r="B2470" s="4" t="s">
        <v>3098</v>
      </c>
      <c r="C2470" s="5" t="str">
        <f>IFERROR(__xludf.DUMMYFUNCTION("GOOGLETRANSLATE(B2470,""en"",""fr"")"),"Les enfants imitent ensuite la formation alors que la caméra coupe à l'entraîneur parlant à la caméra.")</f>
        <v>Les enfants imitent ensuite la formation alors que la caméra coupe à l'entraîneur parlant à la caméra.</v>
      </c>
    </row>
    <row r="2471">
      <c r="A2471" s="4" t="s">
        <v>3095</v>
      </c>
      <c r="B2471" s="4" t="s">
        <v>3099</v>
      </c>
      <c r="C2471" s="5" t="str">
        <f>IFERROR(__xludf.DUMMYFUNCTION("GOOGLETRANSLATE(B2471,""en"",""fr"")"),"Les enfants continuent de jouer au hockey jusqu'à ce que l'écran s'estompe.")</f>
        <v>Les enfants continuent de jouer au hockey jusqu'à ce que l'écran s'estompe.</v>
      </c>
    </row>
    <row r="2472">
      <c r="A2472" s="4" t="s">
        <v>3100</v>
      </c>
      <c r="B2472" s="4" t="s">
        <v>3101</v>
      </c>
      <c r="C2472" s="5" t="str">
        <f>IFERROR(__xludf.DUMMYFUNCTION("GOOGLETRANSLATE(B2472,""en"",""fr"")"),"Un gros plan est illustré à une mini-table de billard avec des signaux et des balles.")</f>
        <v>Un gros plan est illustré à une mini-table de billard avec des signaux et des balles.</v>
      </c>
    </row>
    <row r="2473">
      <c r="A2473" s="4" t="s">
        <v>3100</v>
      </c>
      <c r="B2473" s="4" t="s">
        <v>3102</v>
      </c>
      <c r="C2473" s="5" t="str">
        <f>IFERROR(__xludf.DUMMYFUNCTION("GOOGLETRANSLATE(B2473,""en"",""fr"")"),"Un homme utilise le signal pour tirer les balles dans les poches.")</f>
        <v>Un homme utilise le signal pour tirer les balles dans les poches.</v>
      </c>
    </row>
    <row r="2474">
      <c r="A2474" s="4" t="s">
        <v>3100</v>
      </c>
      <c r="B2474" s="4" t="s">
        <v>3103</v>
      </c>
      <c r="C2474" s="5" t="str">
        <f>IFERROR(__xludf.DUMMYFUNCTION("GOOGLETRANSLATE(B2474,""en"",""fr"")"),"Il est assis une poupée sur la table pour montrer la taille.")</f>
        <v>Il est assis une poupée sur la table pour montrer la taille.</v>
      </c>
    </row>
    <row r="2475">
      <c r="A2475" s="4" t="s">
        <v>3100</v>
      </c>
      <c r="B2475" s="4" t="s">
        <v>3104</v>
      </c>
      <c r="C2475" s="5" t="str">
        <f>IFERROR(__xludf.DUMMYFUNCTION("GOOGLETRANSLATE(B2475,""en"",""fr"")"),"Il tire également une balle Wiffle sur la table et un marbre.")</f>
        <v>Il tire également une balle Wiffle sur la table et un marbre.</v>
      </c>
    </row>
    <row r="2476">
      <c r="A2476" s="4" t="s">
        <v>3105</v>
      </c>
      <c r="B2476" s="4" t="s">
        <v>3106</v>
      </c>
      <c r="C2476" s="5" t="str">
        <f>IFERROR(__xludf.DUMMYFUNCTION("GOOGLETRANSLATE(B2476,""en"",""fr"")"),"Deux hommes se battent dans un ring de lutte.")</f>
        <v>Deux hommes se battent dans un ring de lutte.</v>
      </c>
    </row>
    <row r="2477">
      <c r="A2477" s="4" t="s">
        <v>3105</v>
      </c>
      <c r="B2477" s="4" t="s">
        <v>3107</v>
      </c>
      <c r="C2477" s="5" t="str">
        <f>IFERROR(__xludf.DUMMYFUNCTION("GOOGLETRANSLATE(B2477,""en"",""fr"")"),"Ils se retournent et se tombent les uns sur les autres.")</f>
        <v>Ils se retournent et se tombent les uns sur les autres.</v>
      </c>
    </row>
    <row r="2478">
      <c r="A2478" s="4" t="s">
        <v>3105</v>
      </c>
      <c r="B2478" s="4" t="s">
        <v>3108</v>
      </c>
      <c r="C2478" s="5" t="str">
        <f>IFERROR(__xludf.DUMMYFUNCTION("GOOGLETRANSLATE(B2478,""en"",""fr"")"),"L'un des lutteurs épingle l'autre, et le décompte passe à trois.")</f>
        <v>L'un des lutteurs épingle l'autre, et le décompte passe à trois.</v>
      </c>
    </row>
    <row r="2479">
      <c r="A2479" s="4" t="s">
        <v>3109</v>
      </c>
      <c r="B2479" s="4" t="s">
        <v>3110</v>
      </c>
      <c r="C2479" s="5" t="str">
        <f>IFERROR(__xludf.DUMMYFUNCTION("GOOGLETRANSLATE(B2479,""en"",""fr"")"),"Deux personnes portant des équipements de plongée sont assis au bord d'un bateau avec le dos à l'eau.")</f>
        <v>Deux personnes portant des équipements de plongée sont assis au bord d'un bateau avec le dos à l'eau.</v>
      </c>
    </row>
    <row r="2480">
      <c r="A2480" s="4" t="s">
        <v>3109</v>
      </c>
      <c r="B2480" s="4" t="s">
        <v>3111</v>
      </c>
      <c r="C2480" s="5" t="str">
        <f>IFERROR(__xludf.DUMMYFUNCTION("GOOGLETRANSLATE(B2480,""en"",""fr"")"),"La personne à droite se penche tout le chemin en arrière et éclaboussonne dans l'eau.")</f>
        <v>La personne à droite se penche tout le chemin en arrière et éclaboussonne dans l'eau.</v>
      </c>
    </row>
    <row r="2481">
      <c r="A2481" s="4" t="s">
        <v>3109</v>
      </c>
      <c r="B2481" s="6" t="s">
        <v>3112</v>
      </c>
      <c r="C2481" s="5" t="str">
        <f>IFERROR(__xludf.DUMMYFUNCTION("GOOGLETRANSLATE(B2481,""en"",""fr"")"),"La personne suivante se penche également en arrière mais ne peut pas tomber complètement dans l'eau parce qu'elle est collée à quelque chose sur le bateau, alors leurs jambes vont se précipiter.")</f>
        <v>La personne suivante se penche également en arrière mais ne peut pas tomber complètement dans l'eau parce qu'elle est collée à quelque chose sur le bateau, alors leurs jambes vont se précipiter.</v>
      </c>
    </row>
    <row r="2482">
      <c r="A2482" s="4" t="s">
        <v>3113</v>
      </c>
      <c r="B2482" s="6" t="s">
        <v>3114</v>
      </c>
      <c r="C2482" s="5" t="str">
        <f>IFERROR(__xludf.DUMMYFUNCTION("GOOGLETRANSLATE(B2482,""en"",""fr"")"),"Un homme dans un gilet de vie rouge montre comment pagayer dans un canoë à travers des gestes et en parlant à la caméra à partir d'un canoë dans un plan d'eau.")</f>
        <v>Un homme dans un gilet de vie rouge montre comment pagayer dans un canoë à travers des gestes et en parlant à la caméra à partir d'un canoë dans un plan d'eau.</v>
      </c>
    </row>
    <row r="2483">
      <c r="A2483" s="4" t="s">
        <v>3113</v>
      </c>
      <c r="B2483" s="6" t="s">
        <v>3115</v>
      </c>
      <c r="C2483" s="5" t="str">
        <f>IFERROR(__xludf.DUMMYFUNCTION("GOOGLETRANSLATE(B2483,""en"",""fr"")"),"Un homme en canoë rouge pagaye avec une rame dans un petit plan d'eau tout en parlant à la caméra.")</f>
        <v>Un homme en canoë rouge pagaye avec une rame dans un petit plan d'eau tout en parlant à la caméra.</v>
      </c>
    </row>
    <row r="2484">
      <c r="A2484" s="4" t="s">
        <v>3113</v>
      </c>
      <c r="B2484" s="6" t="s">
        <v>3116</v>
      </c>
      <c r="C2484" s="5" t="str">
        <f>IFERROR(__xludf.DUMMYFUNCTION("GOOGLETRANSLATE(B2484,""en"",""fr"")"),"L'homme dérive légèrement sur le côté tout en parlant en utilisant la pagaie comme ancre dans l'eau et en montrant apparemment comment pagayer en utilisant la pagaie et les gestes de la main pour expliquer comment déplacer la pagaie et le canoë dans l'eau"&amp;".")</f>
        <v>L'homme dérive légèrement sur le côté tout en parlant en utilisant la pagaie comme ancre dans l'eau et en montrant apparemment comment pagayer en utilisant la pagaie et les gestes de la main pour expliquer comment déplacer la pagaie et le canoë dans l'eau.</v>
      </c>
    </row>
    <row r="2485">
      <c r="A2485" s="4" t="s">
        <v>3113</v>
      </c>
      <c r="B2485" s="6" t="s">
        <v>3117</v>
      </c>
      <c r="C2485" s="5" t="str">
        <f>IFERROR(__xludf.DUMMYFUNCTION("GOOGLETRANSLATE(B2485,""en"",""fr"")"),"L'homme s'éloigne ensuite de la caméra avec la pagaie et dérive dans l'eau avant de remonter à la caméra.")</f>
        <v>L'homme s'éloigne ensuite de la caméra avec la pagaie et dérive dans l'eau avant de remonter à la caméra.</v>
      </c>
    </row>
    <row r="2486">
      <c r="A2486" s="4" t="s">
        <v>3118</v>
      </c>
      <c r="B2486" s="4" t="s">
        <v>3119</v>
      </c>
      <c r="C2486" s="5" t="str">
        <f>IFERROR(__xludf.DUMMYFUNCTION("GOOGLETRANSLATE(B2486,""en"",""fr"")"),"Un jeune enfant fume une cigarette.")</f>
        <v>Un jeune enfant fume une cigarette.</v>
      </c>
    </row>
    <row r="2487">
      <c r="A2487" s="4" t="s">
        <v>3118</v>
      </c>
      <c r="B2487" s="4" t="s">
        <v>3120</v>
      </c>
      <c r="C2487" s="5" t="str">
        <f>IFERROR(__xludf.DUMMYFUNCTION("GOOGLETRANSLATE(B2487,""en"",""fr"")"),"L'enfant retourne la cigarette et a essayé de mettre l'autre extrémité de la cigarette sur sa bouche.")</f>
        <v>L'enfant retourne la cigarette et a essayé de mettre l'autre extrémité de la cigarette sur sa bouche.</v>
      </c>
    </row>
    <row r="2488">
      <c r="A2488" s="4" t="s">
        <v>3118</v>
      </c>
      <c r="B2488" s="4" t="s">
        <v>3121</v>
      </c>
      <c r="C2488" s="5" t="str">
        <f>IFERROR(__xludf.DUMMYFUNCTION("GOOGLETRANSLATE(B2488,""en"",""fr"")"),"Le jeune enfant continue de fumer, il fait des grimaces puis fumait.")</f>
        <v>Le jeune enfant continue de fumer, il fait des grimaces puis fumait.</v>
      </c>
    </row>
    <row r="2489">
      <c r="A2489" s="4" t="s">
        <v>3122</v>
      </c>
      <c r="B2489" s="4" t="s">
        <v>3123</v>
      </c>
      <c r="C2489" s="5" t="str">
        <f>IFERROR(__xludf.DUMMYFUNCTION("GOOGLETRANSLATE(B2489,""en"",""fr"")"),"Un jeune enfant est vu parler à la caméra tout en levant un verre et en marchant vers une armoire.")</f>
        <v>Un jeune enfant est vu parler à la caméra tout en levant un verre et en marchant vers une armoire.</v>
      </c>
    </row>
    <row r="2490">
      <c r="A2490" s="4" t="s">
        <v>3122</v>
      </c>
      <c r="B2490" s="4" t="s">
        <v>3124</v>
      </c>
      <c r="C2490" s="5" t="str">
        <f>IFERROR(__xludf.DUMMYFUNCTION("GOOGLETRANSLATE(B2490,""en"",""fr"")"),"Elle remplit le verre et peille les citrons dans l'eau.")</f>
        <v>Elle remplit le verre et peille les citrons dans l'eau.</v>
      </c>
    </row>
    <row r="2491">
      <c r="A2491" s="4" t="s">
        <v>3122</v>
      </c>
      <c r="B2491" s="4" t="s">
        <v>3125</v>
      </c>
      <c r="C2491" s="5" t="str">
        <f>IFERROR(__xludf.DUMMYFUNCTION("GOOGLETRANSLATE(B2491,""en"",""fr"")"),"Elle utilise ensuite une cuillère pour boire l'eau ainsi qu'une paille et hocher la tête en agitant.")</f>
        <v>Elle utilise ensuite une cuillère pour boire l'eau ainsi qu'une paille et hocher la tête en agitant.</v>
      </c>
    </row>
    <row r="2492">
      <c r="A2492" s="4" t="s">
        <v>3126</v>
      </c>
      <c r="B2492" s="4" t="s">
        <v>3127</v>
      </c>
      <c r="C2492" s="5" t="str">
        <f>IFERROR(__xludf.DUMMYFUNCTION("GOOGLETRANSLATE(B2492,""en"",""fr"")"),"Un homme parle dans une salle de sport.")</f>
        <v>Un homme parle dans une salle de sport.</v>
      </c>
    </row>
    <row r="2493">
      <c r="A2493" s="4" t="s">
        <v>3126</v>
      </c>
      <c r="B2493" s="4" t="s">
        <v>3128</v>
      </c>
      <c r="C2493" s="5" t="str">
        <f>IFERROR(__xludf.DUMMYFUNCTION("GOOGLETRANSLATE(B2493,""en"",""fr"")"),"Un groupe de gymnastes féminines forment un cluster, puis soulève une fille au-dessus de la tête.")</f>
        <v>Un groupe de gymnastes féminines forment un cluster, puis soulève une fille au-dessus de la tête.</v>
      </c>
    </row>
    <row r="2494">
      <c r="A2494" s="4" t="s">
        <v>3126</v>
      </c>
      <c r="B2494" s="4" t="s">
        <v>3129</v>
      </c>
      <c r="C2494" s="5" t="str">
        <f>IFERROR(__xludf.DUMMYFUNCTION("GOOGLETRANSLATE(B2494,""en"",""fr"")"),"Ils la retiennent par une jambe avant de la faire tournoyer en arrière et de la rattraper dans leurs bras.")</f>
        <v>Ils la retiennent par une jambe avant de la faire tournoyer en arrière et de la rattraper dans leurs bras.</v>
      </c>
    </row>
    <row r="2495">
      <c r="A2495" s="4" t="s">
        <v>3130</v>
      </c>
      <c r="B2495" s="4" t="s">
        <v>3131</v>
      </c>
      <c r="C2495" s="5" t="str">
        <f>IFERROR(__xludf.DUMMYFUNCTION("GOOGLETRANSLATE(B2495,""en"",""fr"")"),"Les filles jouent à Dodge Ball à l'extérieur avec une seule balle.")</f>
        <v>Les filles jouent à Dodge Ball à l'extérieur avec une seule balle.</v>
      </c>
    </row>
    <row r="2496">
      <c r="A2496" s="4" t="s">
        <v>3130</v>
      </c>
      <c r="B2496" s="4" t="s">
        <v>3132</v>
      </c>
      <c r="C2496" s="5" t="str">
        <f>IFERROR(__xludf.DUMMYFUNCTION("GOOGLETRANSLATE(B2496,""en"",""fr"")"),"Une fille est frappée avec le ballon.")</f>
        <v>Une fille est frappée avec le ballon.</v>
      </c>
    </row>
    <row r="2497">
      <c r="A2497" s="4" t="s">
        <v>3130</v>
      </c>
      <c r="B2497" s="4" t="s">
        <v>3133</v>
      </c>
      <c r="C2497" s="5" t="str">
        <f>IFERROR(__xludf.DUMMYFUNCTION("GOOGLETRANSLATE(B2497,""en"",""fr"")"),"La fille sort du jeu et va et tient la ligne de vêtements.")</f>
        <v>La fille sort du jeu et va et tient la ligne de vêtements.</v>
      </c>
    </row>
    <row r="2498">
      <c r="A2498" s="4" t="s">
        <v>3134</v>
      </c>
      <c r="B2498" s="4" t="s">
        <v>3135</v>
      </c>
      <c r="C2498" s="5" t="str">
        <f>IFERROR(__xludf.DUMMYFUNCTION("GOOGLETRANSLATE(B2498,""en"",""fr"")"),"Une gymnaste est vue regarder au loin et se frotter les mains.")</f>
        <v>Une gymnaste est vue regarder au loin et se frotter les mains.</v>
      </c>
    </row>
    <row r="2499">
      <c r="A2499" s="4" t="s">
        <v>3134</v>
      </c>
      <c r="B2499" s="4" t="s">
        <v>3136</v>
      </c>
      <c r="C2499" s="5" t="str">
        <f>IFERROR(__xludf.DUMMYFUNCTION("GOOGLETRANSLATE(B2499,""en"",""fr"")"),"Elle met ses mains et commence à effectuer une routine de gymnastique sur une poutre.")</f>
        <v>Elle met ses mains et commence à effectuer une routine de gymnastique sur une poutre.</v>
      </c>
    </row>
    <row r="2500">
      <c r="A2500" s="4" t="s">
        <v>3134</v>
      </c>
      <c r="B2500" s="4" t="s">
        <v>3137</v>
      </c>
      <c r="C2500" s="5" t="str">
        <f>IFERROR(__xludf.DUMMYFUNCTION("GOOGLETRANSLATE(B2500,""en"",""fr"")"),"Elle se déplace tout le long du faisceau et se termine en sautant vers le bas et d'autres applaudissent.")</f>
        <v>Elle se déplace tout le long du faisceau et se termine en sautant vers le bas et d'autres applaudissent.</v>
      </c>
    </row>
    <row r="2501">
      <c r="A2501" s="4" t="s">
        <v>3138</v>
      </c>
      <c r="B2501" s="4" t="s">
        <v>3139</v>
      </c>
      <c r="C2501" s="5" t="str">
        <f>IFERROR(__xludf.DUMMYFUNCTION("GOOGLETRANSLATE(B2501,""en"",""fr"")"),"Deux vieux joueurs de cornemuse jouent l'un à l'autre.")</f>
        <v>Deux vieux joueurs de cornemuse jouent l'un à l'autre.</v>
      </c>
    </row>
    <row r="2502">
      <c r="A2502" s="4" t="s">
        <v>3138</v>
      </c>
      <c r="B2502" s="4" t="s">
        <v>3140</v>
      </c>
      <c r="C2502" s="5" t="str">
        <f>IFERROR(__xludf.DUMMYFUNCTION("GOOGLETRANSLATE(B2502,""en"",""fr"")"),"Un joueur de cornemuse tourne.")</f>
        <v>Un joueur de cornemuse tourne.</v>
      </c>
    </row>
    <row r="2503">
      <c r="A2503" s="4" t="s">
        <v>3138</v>
      </c>
      <c r="B2503" s="4" t="s">
        <v>3141</v>
      </c>
      <c r="C2503" s="5" t="str">
        <f>IFERROR(__xludf.DUMMYFUNCTION("GOOGLETRANSLATE(B2503,""en"",""fr"")"),"Les joueurs de cornemuse finissent de jouer.")</f>
        <v>Les joueurs de cornemuse finissent de jouer.</v>
      </c>
    </row>
    <row r="2504">
      <c r="A2504" s="4" t="s">
        <v>3138</v>
      </c>
      <c r="B2504" s="4" t="s">
        <v>3142</v>
      </c>
      <c r="C2504" s="5" t="str">
        <f>IFERROR(__xludf.DUMMYFUNCTION("GOOGLETRANSLATE(B2504,""en"",""fr"")"),"La foule applaudit pour les joueurs.")</f>
        <v>La foule applaudit pour les joueurs.</v>
      </c>
    </row>
    <row r="2505">
      <c r="A2505" s="4" t="s">
        <v>3143</v>
      </c>
      <c r="B2505" s="4" t="s">
        <v>3144</v>
      </c>
      <c r="C2505" s="5" t="str">
        <f>IFERROR(__xludf.DUMMYFUNCTION("GOOGLETRANSLATE(B2505,""en"",""fr"")"),"Un homme est assis sur une chaise avec un tambour à la main alors qu'un autre homme joue des bongos derrière lui.")</f>
        <v>Un homme est assis sur une chaise avec un tambour à la main alors qu'un autre homme joue des bongos derrière lui.</v>
      </c>
    </row>
    <row r="2506">
      <c r="A2506" s="4" t="s">
        <v>3143</v>
      </c>
      <c r="B2506" s="4" t="s">
        <v>3145</v>
      </c>
      <c r="C2506" s="5" t="str">
        <f>IFERROR(__xludf.DUMMYFUNCTION("GOOGLETRANSLATE(B2506,""en"",""fr"")"),"Ils jouent ensemble pendant une période prolongée.")</f>
        <v>Ils jouent ensemble pendant une période prolongée.</v>
      </c>
    </row>
    <row r="2507">
      <c r="A2507" s="4" t="s">
        <v>3146</v>
      </c>
      <c r="B2507" s="4" t="s">
        <v>3147</v>
      </c>
      <c r="C2507" s="5" t="str">
        <f>IFERROR(__xludf.DUMMYFUNCTION("GOOGLETRANSLATE(B2507,""en"",""fr"")"),"Nous voyons la carte de titre du produit.")</f>
        <v>Nous voyons la carte de titre du produit.</v>
      </c>
    </row>
    <row r="2508">
      <c r="A2508" s="4" t="s">
        <v>3146</v>
      </c>
      <c r="B2508" s="4" t="s">
        <v>3148</v>
      </c>
      <c r="C2508" s="5" t="str">
        <f>IFERROR(__xludf.DUMMYFUNCTION("GOOGLETRANSLATE(B2508,""en"",""fr"")"),"Nous voyons une dame nettoyer son sol.")</f>
        <v>Nous voyons une dame nettoyer son sol.</v>
      </c>
    </row>
    <row r="2509">
      <c r="A2509" s="4" t="s">
        <v>3146</v>
      </c>
      <c r="B2509" s="4" t="s">
        <v>3149</v>
      </c>
      <c r="C2509" s="5" t="str">
        <f>IFERROR(__xludf.DUMMYFUNCTION("GOOGLETRANSLATE(B2509,""en"",""fr"")"),"Nous voyons le produit de fixation sous vide et voyons le produit en action.")</f>
        <v>Nous voyons le produit de fixation sous vide et voyons le produit en action.</v>
      </c>
    </row>
    <row r="2510">
      <c r="A2510" s="4" t="s">
        <v>3146</v>
      </c>
      <c r="B2510" s="4" t="s">
        <v>3150</v>
      </c>
      <c r="C2510" s="5" t="str">
        <f>IFERROR(__xludf.DUMMYFUNCTION("GOOGLETRANSLATE(B2510,""en"",""fr"")"),"La dame montre chaque côté et nous la voyons attacher le produit.")</f>
        <v>La dame montre chaque côté et nous la voyons attacher le produit.</v>
      </c>
    </row>
    <row r="2511">
      <c r="A2511" s="4" t="s">
        <v>3146</v>
      </c>
      <c r="B2511" s="4" t="s">
        <v>3151</v>
      </c>
      <c r="C2511" s="5" t="str">
        <f>IFERROR(__xludf.DUMMYFUNCTION("GOOGLETRANSLATE(B2511,""en"",""fr"")"),"Nous voyons la dame émousser.")</f>
        <v>Nous voyons la dame émousser.</v>
      </c>
    </row>
    <row r="2512">
      <c r="A2512" s="4" t="s">
        <v>3146</v>
      </c>
      <c r="B2512" s="4" t="s">
        <v>3152</v>
      </c>
      <c r="C2512" s="5" t="str">
        <f>IFERROR(__xludf.DUMMYFUNCTION("GOOGLETRANSLATE(B2512,""en"",""fr"")"),"Ensuite, nous voyons la facilité d'utilisation de l'attachement.")</f>
        <v>Ensuite, nous voyons la facilité d'utilisation de l'attachement.</v>
      </c>
    </row>
    <row r="2513">
      <c r="A2513" s="4" t="s">
        <v>3146</v>
      </c>
      <c r="B2513" s="4" t="s">
        <v>3153</v>
      </c>
      <c r="C2513" s="5" t="str">
        <f>IFERROR(__xludf.DUMMYFUNCTION("GOOGLETRANSLATE(B2513,""en"",""fr"")"),"Nous voyons la dame se détendre après le nettoyage.")</f>
        <v>Nous voyons la dame se détendre après le nettoyage.</v>
      </c>
    </row>
    <row r="2514">
      <c r="A2514" s="4" t="s">
        <v>3146</v>
      </c>
      <c r="B2514" s="4" t="s">
        <v>3154</v>
      </c>
      <c r="C2514" s="5" t="str">
        <f>IFERROR(__xludf.DUMMYFUNCTION("GOOGLETRANSLATE(B2514,""en"",""fr"")"),"Nous voyons à nouveau le produit de fixation.")</f>
        <v>Nous voyons à nouveau le produit de fixation.</v>
      </c>
    </row>
    <row r="2515">
      <c r="A2515" s="4" t="s">
        <v>3146</v>
      </c>
      <c r="B2515" s="4" t="s">
        <v>3155</v>
      </c>
      <c r="C2515" s="5" t="str">
        <f>IFERROR(__xludf.DUMMYFUNCTION("GOOGLETRANSLATE(B2515,""en"",""fr"")"),"Nous voyons la dame donner un coup de pouce.")</f>
        <v>Nous voyons la dame donner un coup de pouce.</v>
      </c>
    </row>
    <row r="2516">
      <c r="A2516" s="4" t="s">
        <v>3146</v>
      </c>
      <c r="B2516" s="4" t="s">
        <v>3156</v>
      </c>
      <c r="C2516" s="5" t="str">
        <f>IFERROR(__xludf.DUMMYFUNCTION("GOOGLETRANSLATE(B2516,""en"",""fr"")"),"L'écran de titre revient pour terminer la vidéo.")</f>
        <v>L'écran de titre revient pour terminer la vidéo.</v>
      </c>
    </row>
    <row r="2517">
      <c r="A2517" s="4" t="s">
        <v>3157</v>
      </c>
      <c r="B2517" s="6" t="s">
        <v>3158</v>
      </c>
      <c r="C2517" s="5" t="str">
        <f>IFERROR(__xludf.DUMMYFUNCTION("GOOGLETRANSLATE(B2517,""en"",""fr"")"),"Une personne est montrée en dessinant plusieurs lignes sur un morceau de papier qui mène à plusieurs clips de mouvement rapide de zones enneigées.")</f>
        <v>Une personne est montrée en dessinant plusieurs lignes sur un morceau de papier qui mène à plusieurs clips de mouvement rapide de zones enneigées.</v>
      </c>
    </row>
    <row r="2518">
      <c r="A2518" s="4" t="s">
        <v>3157</v>
      </c>
      <c r="B2518" s="4" t="s">
        <v>3159</v>
      </c>
      <c r="C2518" s="5" t="str">
        <f>IFERROR(__xludf.DUMMYFUNCTION("GOOGLETRANSLATE(B2518,""en"",""fr"")"),"Plus de gros plans sont montrés suivis par une personne qui roule sur la montagne.")</f>
        <v>Plus de gros plans sont montrés suivis par une personne qui roule sur la montagne.</v>
      </c>
    </row>
    <row r="2519">
      <c r="A2519" s="4" t="s">
        <v>3157</v>
      </c>
      <c r="B2519" s="6" t="s">
        <v>3160</v>
      </c>
      <c r="C2519" s="5" t="str">
        <f>IFERROR(__xludf.DUMMYFUNCTION("GOOGLETRANSLATE(B2519,""en"",""fr"")"),"De plus en plus de personnes qui roulent sont présentées et mènent à plusieurs plans de personnes effectuant des tours de ski et de snowboard sur une montagne.")</f>
        <v>De plus en plus de personnes qui roulent sont présentées et mènent à plusieurs plans de personnes effectuant des tours de ski et de snowboard sur une montagne.</v>
      </c>
    </row>
    <row r="2520">
      <c r="A2520" s="4" t="s">
        <v>3161</v>
      </c>
      <c r="B2520" s="4" t="s">
        <v>3162</v>
      </c>
      <c r="C2520" s="5" t="str">
        <f>IFERROR(__xludf.DUMMYFUNCTION("GOOGLETRANSLATE(B2520,""en"",""fr"")"),"Une publicité est d'abord à l'écran.")</f>
        <v>Une publicité est d'abord à l'écran.</v>
      </c>
    </row>
    <row r="2521">
      <c r="A2521" s="4" t="s">
        <v>3161</v>
      </c>
      <c r="B2521" s="4" t="s">
        <v>3163</v>
      </c>
      <c r="C2521" s="5" t="str">
        <f>IFERROR(__xludf.DUMMYFUNCTION("GOOGLETRANSLATE(B2521,""en"",""fr"")"),"Une fille saute en corde pendant que les gens regardent.")</f>
        <v>Une fille saute en corde pendant que les gens regardent.</v>
      </c>
    </row>
    <row r="2522">
      <c r="A2522" s="4" t="s">
        <v>3161</v>
      </c>
      <c r="B2522" s="4" t="s">
        <v>3164</v>
      </c>
      <c r="C2522" s="5" t="str">
        <f>IFERROR(__xludf.DUMMYFUNCTION("GOOGLETRANSLATE(B2522,""en"",""fr"")"),"Elle fait des trucs et se retourne pendant qu'elle saute.")</f>
        <v>Elle fait des trucs et se retourne pendant qu'elle saute.</v>
      </c>
    </row>
    <row r="2523">
      <c r="A2523" s="4" t="s">
        <v>3161</v>
      </c>
      <c r="B2523" s="4" t="s">
        <v>3165</v>
      </c>
      <c r="C2523" s="5" t="str">
        <f>IFERROR(__xludf.DUMMYFUNCTION("GOOGLETRANSLATE(B2523,""en"",""fr"")"),"La vidéo se termine par des crédits de ceux qui ont assemblé la vidéo.")</f>
        <v>La vidéo se termine par des crédits de ceux qui ont assemblé la vidéo.</v>
      </c>
    </row>
    <row r="2524">
      <c r="A2524" s="4" t="s">
        <v>3166</v>
      </c>
      <c r="B2524" s="4" t="s">
        <v>3167</v>
      </c>
      <c r="C2524" s="5" t="str">
        <f>IFERROR(__xludf.DUMMYFUNCTION("GOOGLETRANSLATE(B2524,""en"",""fr"")"),"Une jeune fille est vue assise devant un piano et jouant à l'instrument avec le bout de son doigt.")</f>
        <v>Une jeune fille est vue assise devant un piano et jouant à l'instrument avec le bout de son doigt.</v>
      </c>
    </row>
    <row r="2525">
      <c r="A2525" s="4" t="s">
        <v>3166</v>
      </c>
      <c r="B2525" s="4" t="s">
        <v>3168</v>
      </c>
      <c r="C2525" s="5" t="str">
        <f>IFERROR(__xludf.DUMMYFUNCTION("GOOGLETRANSLATE(B2525,""en"",""fr"")"),"Elle continue de jouer pendant que la caméra la capture de loin.")</f>
        <v>Elle continue de jouer pendant que la caméra la capture de loin.</v>
      </c>
    </row>
    <row r="2526">
      <c r="A2526" s="4" t="s">
        <v>3169</v>
      </c>
      <c r="B2526" s="4" t="s">
        <v>3170</v>
      </c>
      <c r="C2526" s="5" t="str">
        <f>IFERROR(__xludf.DUMMYFUNCTION("GOOGLETRANSLATE(B2526,""en"",""fr"")"),"Une personne est vue parler en fumant une cigarette et en soufflant de la fumée de leur bouche.")</f>
        <v>Une personne est vue parler en fumant une cigarette et en soufflant de la fumée de leur bouche.</v>
      </c>
    </row>
    <row r="2527">
      <c r="A2527" s="4" t="s">
        <v>3169</v>
      </c>
      <c r="B2527" s="6" t="s">
        <v>3171</v>
      </c>
      <c r="C2527" s="5" t="str">
        <f>IFERROR(__xludf.DUMMYFUNCTION("GOOGLETRANSLATE(B2527,""en"",""fr"")"),"La personne continue de parler en fumant la cigarette et en soufflant progressivement de la fumée pendant qu'elle parle.")</f>
        <v>La personne continue de parler en fumant la cigarette et en soufflant progressivement de la fumée pendant qu'elle parle.</v>
      </c>
    </row>
    <row r="2528">
      <c r="A2528" s="4" t="s">
        <v>3172</v>
      </c>
      <c r="B2528" s="4" t="s">
        <v>3173</v>
      </c>
      <c r="C2528" s="5" t="str">
        <f>IFERROR(__xludf.DUMMYFUNCTION("GOOGLETRANSLATE(B2528,""en"",""fr"")"),"Trois hommes se tiennent dans un gymnase pour se parler.")</f>
        <v>Trois hommes se tiennent dans un gymnase pour se parler.</v>
      </c>
    </row>
    <row r="2529">
      <c r="A2529" s="4" t="s">
        <v>3172</v>
      </c>
      <c r="B2529" s="6" t="s">
        <v>3174</v>
      </c>
      <c r="C2529" s="5" t="str">
        <f>IFERROR(__xludf.DUMMYFUNCTION("GOOGLETRANSLATE(B2529,""en"",""fr"")"),"Les hommes ouvrent la porte en bois et entre dans le gymnase et regardent les premiers hommes, et ils ont paniqué.")</f>
        <v>Les hommes ouvrent la porte en bois et entre dans le gymnase et regardent les premiers hommes, et ils ont paniqué.</v>
      </c>
    </row>
    <row r="2530">
      <c r="A2530" s="4" t="s">
        <v>3172</v>
      </c>
      <c r="B2530" s="4" t="s">
        <v>3175</v>
      </c>
      <c r="C2530" s="5" t="str">
        <f>IFERROR(__xludf.DUMMYFUNCTION("GOOGLETRANSLATE(B2530,""en"",""fr"")"),"Les hommes commencent à courir dans le terrain en essayant de prendre une balle rose et commencent à jouer au ballon de dodge.")</f>
        <v>Les hommes commencent à courir dans le terrain en essayant de prendre une balle rose et commencent à jouer au ballon de dodge.</v>
      </c>
    </row>
    <row r="2531">
      <c r="A2531" s="4" t="s">
        <v>3172</v>
      </c>
      <c r="B2531" s="4" t="s">
        <v>3176</v>
      </c>
      <c r="C2531" s="5" t="str">
        <f>IFERROR(__xludf.DUMMYFUNCTION("GOOGLETRANSLATE(B2531,""en"",""fr"")"),"L'homme parle à la caméra dans la police d'un mur en brique.")</f>
        <v>L'homme parle à la caméra dans la police d'un mur en brique.</v>
      </c>
    </row>
    <row r="2532">
      <c r="A2532" s="4" t="s">
        <v>3177</v>
      </c>
      <c r="B2532" s="6" t="s">
        <v>3178</v>
      </c>
      <c r="C2532" s="5" t="str">
        <f>IFERROR(__xludf.DUMMYFUNCTION("GOOGLETRANSLATE(B2532,""en"",""fr"")"),"Une femme est vue en parlant à la caméra et mène à des clips d'elle en tête d'une classe d'exercice ainsi qu'à des photos du studio.")</f>
        <v>Une femme est vue en parlant à la caméra et mène à des clips d'elle en tête d'une classe d'exercice ainsi qu'à des photos du studio.</v>
      </c>
    </row>
    <row r="2533">
      <c r="A2533" s="4" t="s">
        <v>3177</v>
      </c>
      <c r="B2533" s="6" t="s">
        <v>3179</v>
      </c>
      <c r="C2533" s="5" t="str">
        <f>IFERROR(__xludf.DUMMYFUNCTION("GOOGLETRANSLATE(B2533,""en"",""fr"")"),"La femme continue de rouler sur le vélo d'exercice tout en enseignant la classe et en continuant à parler à la caméra.")</f>
        <v>La femme continue de rouler sur le vélo d'exercice tout en enseignant la classe et en continuant à parler à la caméra.</v>
      </c>
    </row>
    <row r="2534">
      <c r="A2534" s="4" t="s">
        <v>3180</v>
      </c>
      <c r="B2534" s="4" t="s">
        <v>3181</v>
      </c>
      <c r="C2534" s="5" t="str">
        <f>IFERROR(__xludf.DUMMYFUNCTION("GOOGLETRANSLATE(B2534,""en"",""fr"")"),"Une personne déplace des cartes de poker et des jetons sur la table dans un casino sur les personnes avant.")</f>
        <v>Une personne déplace des cartes de poker et des jetons sur la table dans un casino sur les personnes avant.</v>
      </c>
    </row>
    <row r="2535">
      <c r="A2535" s="4" t="s">
        <v>3180</v>
      </c>
      <c r="B2535" s="4" t="s">
        <v>3182</v>
      </c>
      <c r="C2535" s="5" t="str">
        <f>IFERROR(__xludf.DUMMYFUNCTION("GOOGLETRANSLATE(B2535,""en"",""fr"")"),"Un client tape avec le doigt à l'intérieur d'un carré.")</f>
        <v>Un client tape avec le doigt à l'intérieur d'un carré.</v>
      </c>
    </row>
    <row r="2536">
      <c r="A2536" s="4" t="s">
        <v>3180</v>
      </c>
      <c r="B2536" s="4" t="s">
        <v>3183</v>
      </c>
      <c r="C2536" s="5" t="str">
        <f>IFERROR(__xludf.DUMMYFUNCTION("GOOGLETRANSLATE(B2536,""en"",""fr"")"),"Ensuite, la personne empile toutes les cartes et met les jetons à l'intérieur des carrés.")</f>
        <v>Ensuite, la personne empile toutes les cartes et met les jetons à l'intérieur des carrés.</v>
      </c>
    </row>
    <row r="2537">
      <c r="A2537" s="4" t="s">
        <v>3180</v>
      </c>
      <c r="B2537" s="4" t="s">
        <v>3184</v>
      </c>
      <c r="C2537" s="5" t="str">
        <f>IFERROR(__xludf.DUMMYFUNCTION("GOOGLETRANSLATE(B2537,""en"",""fr"")"),"Ensuite, les gens commencent à jouer, tandis que la femme distribue les cartes et ramasse les jetons.")</f>
        <v>Ensuite, les gens commencent à jouer, tandis que la femme distribue les cartes et ramasse les jetons.</v>
      </c>
    </row>
    <row r="2538">
      <c r="A2538" s="4" t="s">
        <v>3180</v>
      </c>
      <c r="B2538" s="6" t="s">
        <v>3185</v>
      </c>
      <c r="C2538" s="5" t="str">
        <f>IFERROR(__xludf.DUMMYFUNCTION("GOOGLETRANSLATE(B2538,""en"",""fr"")"),"Après, le client montre avec la main, puis la personne fait des gestes avec la main montrant la table.")</f>
        <v>Après, le client montre avec la main, puis la personne fait des gestes avec la main montrant la table.</v>
      </c>
    </row>
    <row r="2539">
      <c r="A2539" s="4" t="s">
        <v>3180</v>
      </c>
      <c r="B2539" s="4" t="s">
        <v>3186</v>
      </c>
      <c r="C2539" s="5" t="str">
        <f>IFERROR(__xludf.DUMMYFUNCTION("GOOGLETRANSLATE(B2539,""en"",""fr"")"),"Ensuite, la femme ramasse les cartes.")</f>
        <v>Ensuite, la femme ramasse les cartes.</v>
      </c>
    </row>
    <row r="2540">
      <c r="A2540" s="4" t="s">
        <v>3187</v>
      </c>
      <c r="B2540" s="4" t="s">
        <v>3188</v>
      </c>
      <c r="C2540" s="5" t="str">
        <f>IFERROR(__xludf.DUMMYFUNCTION("GOOGLETRANSLATE(B2540,""en"",""fr"")"),"Un rodéo est montré alors qu'un homme se charge de la porte pour jeter la corde autour d'un bébé veau.")</f>
        <v>Un rodéo est montré alors qu'un homme se charge de la porte pour jeter la corde autour d'un bébé veau.</v>
      </c>
    </row>
    <row r="2541">
      <c r="A2541" s="4" t="s">
        <v>3187</v>
      </c>
      <c r="B2541" s="4" t="s">
        <v>3189</v>
      </c>
      <c r="C2541" s="5" t="str">
        <f>IFERROR(__xludf.DUMMYFUNCTION("GOOGLETRANSLATE(B2541,""en"",""fr"")"),"Il réussit instantanément et saute sur son cheval.")</f>
        <v>Il réussit instantanément et saute sur son cheval.</v>
      </c>
    </row>
    <row r="2542">
      <c r="A2542" s="4" t="s">
        <v>3190</v>
      </c>
      <c r="B2542" s="4" t="s">
        <v>3191</v>
      </c>
      <c r="C2542" s="5" t="str">
        <f>IFERROR(__xludf.DUMMYFUNCTION("GOOGLETRANSLATE(B2542,""en"",""fr"")"),"Un homme est dans un bar démontrant comment faire des boissons.")</f>
        <v>Un homme est dans un bar démontrant comment faire des boissons.</v>
      </c>
    </row>
    <row r="2543">
      <c r="A2543" s="4" t="s">
        <v>3190</v>
      </c>
      <c r="B2543" s="4" t="s">
        <v>3192</v>
      </c>
      <c r="C2543" s="5" t="str">
        <f>IFERROR(__xludf.DUMMYFUNCTION("GOOGLETRANSLATE(B2543,""en"",""fr"")"),"Il remplit un verre de glace.")</f>
        <v>Il remplit un verre de glace.</v>
      </c>
    </row>
    <row r="2544">
      <c r="A2544" s="4" t="s">
        <v>3190</v>
      </c>
      <c r="B2544" s="4" t="s">
        <v>3193</v>
      </c>
      <c r="C2544" s="5" t="str">
        <f>IFERROR(__xludf.DUMMYFUNCTION("GOOGLETRANSLATE(B2544,""en"",""fr"")"),"Puis il commence à mesurer diverses liqueurs dans une tasse, puis la verse dans le verre.")</f>
        <v>Puis il commence à mesurer diverses liqueurs dans une tasse, puis la verse dans le verre.</v>
      </c>
    </row>
    <row r="2545">
      <c r="A2545" s="4" t="s">
        <v>3190</v>
      </c>
      <c r="B2545" s="4" t="s">
        <v>3194</v>
      </c>
      <c r="C2545" s="5" t="str">
        <f>IFERROR(__xludf.DUMMYFUNCTION("GOOGLETRANSLATE(B2545,""en"",""fr"")"),"Il secoue la boisson ensemble puis verse le mélange dans des verres de tir.")</f>
        <v>Il secoue la boisson ensemble puis verse le mélange dans des verres de tir.</v>
      </c>
    </row>
    <row r="2546">
      <c r="A2546" s="4" t="s">
        <v>3190</v>
      </c>
      <c r="B2546" s="4" t="s">
        <v>3195</v>
      </c>
      <c r="C2546" s="5" t="str">
        <f>IFERROR(__xludf.DUMMYFUNCTION("GOOGLETRANSLATE(B2546,""en"",""fr"")"),"Enfin, il met une autre liqueur dans les lunettes.")</f>
        <v>Enfin, il met une autre liqueur dans les lunettes.</v>
      </c>
    </row>
    <row r="2547">
      <c r="A2547" s="4" t="s">
        <v>3190</v>
      </c>
      <c r="B2547" s="4" t="s">
        <v>3196</v>
      </c>
      <c r="C2547" s="5" t="str">
        <f>IFERROR(__xludf.DUMMYFUNCTION("GOOGLETRANSLATE(B2547,""en"",""fr"")"),"La vidéo se termine avec l'homme tenant les deux lunettes.")</f>
        <v>La vidéo se termine avec l'homme tenant les deux lunettes.</v>
      </c>
    </row>
    <row r="2548">
      <c r="A2548" s="4" t="s">
        <v>3197</v>
      </c>
      <c r="B2548" s="6" t="s">
        <v>3198</v>
      </c>
      <c r="C2548" s="5" t="str">
        <f>IFERROR(__xludf.DUMMYFUNCTION("GOOGLETRANSLATE(B2548,""en"",""fr"")"),"Plusieurs plans de coureurs sportifs sont montrés suivis par des plans au ralenti d'un athlète qui font un saut en longueur et célébrant.")</f>
        <v>Plusieurs plans de coureurs sportifs sont montrés suivis par des plans au ralenti d'un athlète qui font un saut en longueur et célébrant.</v>
      </c>
    </row>
    <row r="2549">
      <c r="A2549" s="4" t="s">
        <v>3197</v>
      </c>
      <c r="B2549" s="6" t="s">
        <v>3199</v>
      </c>
      <c r="C2549" s="5" t="str">
        <f>IFERROR(__xludf.DUMMYFUNCTION("GOOGLETRANSLATE(B2549,""en"",""fr"")"),"La caméra se déroule dans des scènes d'hommes s'étirant et en regardant suivi d'un saut en longueur et en applaudissant la foule.")</f>
        <v>La caméra se déroule dans des scènes d'hommes s'étirant et en regardant suivi d'un saut en longueur et en applaudissant la foule.</v>
      </c>
    </row>
    <row r="2550">
      <c r="A2550" s="4" t="s">
        <v>3197</v>
      </c>
      <c r="B2550" s="6" t="s">
        <v>3200</v>
      </c>
      <c r="C2550" s="5" t="str">
        <f>IFERROR(__xludf.DUMMYFUNCTION("GOOGLETRANSLATE(B2550,""en"",""fr"")"),"Son saut est montré plusieurs fois, suivi par le saut d'autrui effectuant leur saut devant la grande foule.")</f>
        <v>Son saut est montré plusieurs fois, suivi par le saut d'autrui effectuant leur saut devant la grande foule.</v>
      </c>
    </row>
    <row r="2551">
      <c r="A2551" s="4" t="s">
        <v>3201</v>
      </c>
      <c r="B2551" s="4" t="s">
        <v>3202</v>
      </c>
      <c r="C2551" s="5" t="str">
        <f>IFERROR(__xludf.DUMMYFUNCTION("GOOGLETRANSLATE(B2551,""en"",""fr"")"),"Les mains d'un homme sont représentées à une table.")</f>
        <v>Les mains d'un homme sont représentées à une table.</v>
      </c>
    </row>
    <row r="2552">
      <c r="A2552" s="4" t="s">
        <v>3201</v>
      </c>
      <c r="B2552" s="4" t="s">
        <v>3203</v>
      </c>
      <c r="C2552" s="5" t="str">
        <f>IFERROR(__xludf.DUMMYFUNCTION("GOOGLETRANSLATE(B2552,""en"",""fr"")"),"Il place une boîte en carton sur le papier d'emballage.")</f>
        <v>Il place une boîte en carton sur le papier d'emballage.</v>
      </c>
    </row>
    <row r="2553">
      <c r="A2553" s="4" t="s">
        <v>3201</v>
      </c>
      <c r="B2553" s="4" t="s">
        <v>3204</v>
      </c>
      <c r="C2553" s="5" t="str">
        <f>IFERROR(__xludf.DUMMYFUNCTION("GOOGLETRANSLATE(B2553,""en"",""fr"")"),"Il commence à envelopper la boîte, démontrant comment envelopper correctement un cadeau.")</f>
        <v>Il commence à envelopper la boîte, démontrant comment envelopper correctement un cadeau.</v>
      </c>
    </row>
    <row r="2554">
      <c r="A2554" s="4" t="s">
        <v>3201</v>
      </c>
      <c r="B2554" s="4" t="s">
        <v>3205</v>
      </c>
      <c r="C2554" s="5" t="str">
        <f>IFERROR(__xludf.DUMMYFUNCTION("GOOGLETRANSLATE(B2554,""en"",""fr"")"),"Il enregistre le papier d'emballage autour de la boîte.")</f>
        <v>Il enregistre le papier d'emballage autour de la boîte.</v>
      </c>
    </row>
    <row r="2555">
      <c r="A2555" s="4" t="s">
        <v>3201</v>
      </c>
      <c r="B2555" s="4" t="s">
        <v>3206</v>
      </c>
      <c r="C2555" s="5" t="str">
        <f>IFERROR(__xludf.DUMMYFUNCTION("GOOGLETRANSLATE(B2555,""en"",""fr"")"),"L'homme attache un arc autour de la boîte alors que la caméra ralentit le mouvement.")</f>
        <v>L'homme attache un arc autour de la boîte alors que la caméra ralentit le mouvement.</v>
      </c>
    </row>
    <row r="2556">
      <c r="A2556" s="4" t="s">
        <v>3201</v>
      </c>
      <c r="B2556" s="4" t="s">
        <v>3207</v>
      </c>
      <c r="C2556" s="5" t="str">
        <f>IFERROR(__xludf.DUMMYFUNCTION("GOOGLETRANSLATE(B2556,""en"",""fr"")"),"Il coupe l'excédent d'arc et nous voyons un autocollant avec le visage d'une femme.")</f>
        <v>Il coupe l'excédent d'arc et nous voyons un autocollant avec le visage d'une femme.</v>
      </c>
    </row>
    <row r="2557">
      <c r="A2557" s="4" t="s">
        <v>3208</v>
      </c>
      <c r="B2557" s="4" t="s">
        <v>3209</v>
      </c>
      <c r="C2557" s="5" t="str">
        <f>IFERROR(__xludf.DUMMYFUNCTION("GOOGLETRANSLATE(B2557,""en"",""fr"")"),"Une femme portant du matériel de sueur et vu en essayant d'obtenir une lumière avec un briquet.")</f>
        <v>Une femme portant du matériel de sueur et vu en essayant d'obtenir une lumière avec un briquet.</v>
      </c>
    </row>
    <row r="2558">
      <c r="A2558" s="4" t="s">
        <v>3208</v>
      </c>
      <c r="B2558" s="4" t="s">
        <v>3210</v>
      </c>
      <c r="C2558" s="5" t="str">
        <f>IFERROR(__xludf.DUMMYFUNCTION("GOOGLETRANSLATE(B2558,""en"",""fr"")"),"Elle ne parvient pas à le faire et commence à marcher vers la caméra.")</f>
        <v>Elle ne parvient pas à le faire et commence à marcher vers la caméra.</v>
      </c>
    </row>
    <row r="2559">
      <c r="A2559" s="4" t="s">
        <v>3211</v>
      </c>
      <c r="B2559" s="6" t="s">
        <v>3212</v>
      </c>
      <c r="C2559" s="5" t="str">
        <f>IFERROR(__xludf.DUMMYFUNCTION("GOOGLETRANSLATE(B2559,""en"",""fr"")"),"Plusieurs plans sont montrés de gros plans de pom-pom girls menant à des clips d'entre eux effectuant des tours et des revers.")</f>
        <v>Plusieurs plans sont montrés de gros plans de pom-pom girls menant à des clips d'entre eux effectuant des tours et des revers.</v>
      </c>
    </row>
    <row r="2560">
      <c r="A2560" s="4" t="s">
        <v>3211</v>
      </c>
      <c r="B2560" s="6" t="s">
        <v>3213</v>
      </c>
      <c r="C2560" s="5" t="str">
        <f>IFERROR(__xludf.DUMMYFUNCTION("GOOGLETRANSLATE(B2560,""en"",""fr"")"),"La vidéo se poursuit avec de nombreux plans des pom-pom girls se produisant au ralenti et faisant des astuces les uns avec les autres.")</f>
        <v>La vidéo se poursuit avec de nombreux plans des pom-pom girls se produisant au ralenti et faisant des astuces les uns avec les autres.</v>
      </c>
    </row>
    <row r="2561">
      <c r="A2561" s="4" t="s">
        <v>3214</v>
      </c>
      <c r="B2561" s="4" t="s">
        <v>3215</v>
      </c>
      <c r="C2561" s="5" t="str">
        <f>IFERROR(__xludf.DUMMYFUNCTION("GOOGLETRANSLATE(B2561,""en"",""fr"")"),"Une femme blonde dans un pull vert parle.")</f>
        <v>Une femme blonde dans un pull vert parle.</v>
      </c>
    </row>
    <row r="2562">
      <c r="A2562" s="4" t="s">
        <v>3214</v>
      </c>
      <c r="B2562" s="4" t="s">
        <v>3216</v>
      </c>
      <c r="C2562" s="5" t="str">
        <f>IFERROR(__xludf.DUMMYFUNCTION("GOOGLETRANSLATE(B2562,""en"",""fr"")"),"Elle montre une assiette remplie de salade de pâtes et de légumes.")</f>
        <v>Elle montre une assiette remplie de salade de pâtes et de légumes.</v>
      </c>
    </row>
    <row r="2563">
      <c r="A2563" s="4" t="s">
        <v>3214</v>
      </c>
      <c r="B2563" s="6" t="s">
        <v>3217</v>
      </c>
      <c r="C2563" s="5" t="str">
        <f>IFERROR(__xludf.DUMMYFUNCTION("GOOGLETRANSLATE(B2563,""en"",""fr"")"),"Elle montre comment elle a fait la sauce au pesto dans un mélangeur avant de mélanger les mini-tomates avec les pâtes.")</f>
        <v>Elle montre comment elle a fait la sauce au pesto dans un mélangeur avant de mélanger les mini-tomates avec les pâtes.</v>
      </c>
    </row>
    <row r="2564">
      <c r="A2564" s="4" t="s">
        <v>3214</v>
      </c>
      <c r="B2564" s="4" t="s">
        <v>3218</v>
      </c>
      <c r="C2564" s="5" t="str">
        <f>IFERROR(__xludf.DUMMYFUNCTION("GOOGLETRANSLATE(B2564,""en"",""fr"")"),"Elle revient à la caméra, continuant à parler avant de voir une scène finale des pâtes.")</f>
        <v>Elle revient à la caméra, continuant à parler avant de voir une scène finale des pâtes.</v>
      </c>
    </row>
    <row r="2565">
      <c r="A2565" s="4" t="s">
        <v>3219</v>
      </c>
      <c r="B2565" s="4" t="s">
        <v>3220</v>
      </c>
      <c r="C2565" s="5" t="str">
        <f>IFERROR(__xludf.DUMMYFUNCTION("GOOGLETRANSLATE(B2565,""en"",""fr"")"),"Plusieurs hommes sont représentés à l'extérieur dans leurs uniformes de kayak prêt à commencer le rafting.")</f>
        <v>Plusieurs hommes sont représentés à l'extérieur dans leurs uniformes de kayak prêt à commencer le rafting.</v>
      </c>
    </row>
    <row r="2566">
      <c r="A2566" s="4" t="s">
        <v>3219</v>
      </c>
      <c r="B2566" s="4" t="s">
        <v>3221</v>
      </c>
      <c r="C2566" s="5" t="str">
        <f>IFERROR(__xludf.DUMMYFUNCTION("GOOGLETRANSLATE(B2566,""en"",""fr"")"),"Plusieurs personnes commencent à rafter et elles sont présentées dans les bars et dans les bus.")</f>
        <v>Plusieurs personnes commencent à rafter et elles sont présentées dans les bars et dans les bus.</v>
      </c>
    </row>
    <row r="2567">
      <c r="A2567" s="4" t="s">
        <v>3219</v>
      </c>
      <c r="B2567" s="6" t="s">
        <v>3222</v>
      </c>
      <c r="C2567" s="5" t="str">
        <f>IFERROR(__xludf.DUMMYFUNCTION("GOOGLETRANSLATE(B2567,""en"",""fr"")"),"Alors qu'ils continuent de rafting, un seau clair avec un cercle noir avec plusieurs lignes est illustré sur chaque radeau et les gens marchent en mettant des cigarettes dessus.")</f>
        <v>Alors qu'ils continuent de rafting, un seau clair avec un cercle noir avec plusieurs lignes est illustré sur chaque radeau et les gens marchent en mettant des cigarettes dessus.</v>
      </c>
    </row>
    <row r="2568">
      <c r="A2568" s="4" t="s">
        <v>3219</v>
      </c>
      <c r="B2568" s="6" t="s">
        <v>3223</v>
      </c>
      <c r="C2568" s="5" t="str">
        <f>IFERROR(__xludf.DUMMYFUNCTION("GOOGLETRANSLATE(B2568,""en"",""fr"")"),"Plus de gens ont commencé à faire du kayak et finissent par retourner les radeaux jusqu'à ce qu'un homme vienne et commence à parler.")</f>
        <v>Plus de gens ont commencé à faire du kayak et finissent par retourner les radeaux jusqu'à ce qu'un homme vienne et commence à parler.</v>
      </c>
    </row>
    <row r="2569">
      <c r="A2569" s="4" t="s">
        <v>3224</v>
      </c>
      <c r="B2569" s="4" t="s">
        <v>3225</v>
      </c>
      <c r="C2569" s="5" t="str">
        <f>IFERROR(__xludf.DUMMYFUNCTION("GOOGLETRANSLATE(B2569,""en"",""fr"")"),"Les gens qui portent des casques pagayent un bateau gonflé dans un plan d'eau rocheux.")</f>
        <v>Les gens qui portent des casques pagayent un bateau gonflé dans un plan d'eau rocheux.</v>
      </c>
    </row>
    <row r="2570">
      <c r="A2570" s="4" t="s">
        <v>3224</v>
      </c>
      <c r="B2570" s="4" t="s">
        <v>3226</v>
      </c>
      <c r="C2570" s="5" t="str">
        <f>IFERROR(__xludf.DUMMYFUNCTION("GOOGLETRANSLATE(B2570,""en"",""fr"")"),"L'eau éclabousse dans le bateau gonflé.")</f>
        <v>L'eau éclabousse dans le bateau gonflé.</v>
      </c>
    </row>
    <row r="2571">
      <c r="A2571" s="4" t="s">
        <v>3224</v>
      </c>
      <c r="B2571" s="4" t="s">
        <v>3227</v>
      </c>
      <c r="C2571" s="5" t="str">
        <f>IFERROR(__xludf.DUMMYFUNCTION("GOOGLETRANSLATE(B2571,""en"",""fr"")"),"Les gens cessent de pagayer et le bateau est toujours.")</f>
        <v>Les gens cessent de pagayer et le bateau est toujours.</v>
      </c>
    </row>
    <row r="2572">
      <c r="A2572" s="4" t="s">
        <v>3228</v>
      </c>
      <c r="B2572" s="4" t="s">
        <v>3229</v>
      </c>
      <c r="C2572" s="5" t="str">
        <f>IFERROR(__xludf.DUMMYFUNCTION("GOOGLETRANSLATE(B2572,""en"",""fr"")"),"Un enfant utilise une vadrouille pour laver le sol d'une maison.")</f>
        <v>Un enfant utilise une vadrouille pour laver le sol d'une maison.</v>
      </c>
    </row>
    <row r="2573">
      <c r="A2573" s="4" t="s">
        <v>3228</v>
      </c>
      <c r="B2573" s="4" t="s">
        <v>3230</v>
      </c>
      <c r="C2573" s="5" t="str">
        <f>IFERROR(__xludf.DUMMYFUNCTION("GOOGLETRANSLATE(B2573,""en"",""fr"")"),"L'enfant tourne la vadrouille pour le retourner.")</f>
        <v>L'enfant tourne la vadrouille pour le retourner.</v>
      </c>
    </row>
    <row r="2574">
      <c r="A2574" s="4" t="s">
        <v>3231</v>
      </c>
      <c r="B2574" s="4" t="s">
        <v>3232</v>
      </c>
      <c r="C2574" s="5" t="str">
        <f>IFERROR(__xludf.DUMMYFUNCTION("GOOGLETRANSLATE(B2574,""en"",""fr"")"),"Une petite fille entre dans une salle de sport alors que son nom clignote à l'écran.")</f>
        <v>Une petite fille entre dans une salle de sport alors que son nom clignote à l'écran.</v>
      </c>
    </row>
    <row r="2575">
      <c r="A2575" s="4" t="s">
        <v>3231</v>
      </c>
      <c r="B2575" s="4" t="s">
        <v>3233</v>
      </c>
      <c r="C2575" s="5" t="str">
        <f>IFERROR(__xludf.DUMMYFUNCTION("GOOGLETRANSLATE(B2575,""en"",""fr"")"),"La petite fille effectue une routine avec un bâton.")</f>
        <v>La petite fille effectue une routine avec un bâton.</v>
      </c>
    </row>
    <row r="2576">
      <c r="A2576" s="4" t="s">
        <v>3231</v>
      </c>
      <c r="B2576" s="4" t="s">
        <v>3234</v>
      </c>
      <c r="C2576" s="5" t="str">
        <f>IFERROR(__xludf.DUMMYFUNCTION("GOOGLETRANSLATE(B2576,""en"",""fr"")"),"La fille fait un flip, jette son bâton et l'attrape sur le sol.")</f>
        <v>La fille fait un flip, jette son bâton et l'attrape sur le sol.</v>
      </c>
    </row>
    <row r="2577">
      <c r="A2577" s="4" t="s">
        <v>3231</v>
      </c>
      <c r="B2577" s="4" t="s">
        <v>3235</v>
      </c>
      <c r="C2577" s="5" t="str">
        <f>IFERROR(__xludf.DUMMYFUNCTION("GOOGLETRANSLATE(B2577,""en"",""fr"")"),"La fille s'arrête et compte.")</f>
        <v>La fille s'arrête et compte.</v>
      </c>
    </row>
    <row r="2578">
      <c r="A2578" s="4" t="s">
        <v>3231</v>
      </c>
      <c r="B2578" s="4" t="s">
        <v>3236</v>
      </c>
      <c r="C2578" s="5" t="str">
        <f>IFERROR(__xludf.DUMMYFUNCTION("GOOGLETRANSLATE(B2578,""en"",""fr"")"),"La fille fait une scission et jette son bâton sur le sol.")</f>
        <v>La fille fait une scission et jette son bâton sur le sol.</v>
      </c>
    </row>
    <row r="2579">
      <c r="A2579" s="4" t="s">
        <v>3237</v>
      </c>
      <c r="B2579" s="6" t="s">
        <v>3238</v>
      </c>
      <c r="C2579" s="5" t="str">
        <f>IFERROR(__xludf.DUMMYFUNCTION("GOOGLETRANSLATE(B2579,""en"",""fr"")"),"Un homme est vu parler à la caméra tenant un lave-fenêtre et commence à se mouiller les fenêtres.")</f>
        <v>Un homme est vu parler à la caméra tenant un lave-fenêtre et commence à se mouiller les fenêtres.</v>
      </c>
    </row>
    <row r="2580">
      <c r="A2580" s="4" t="s">
        <v>3237</v>
      </c>
      <c r="B2580" s="4" t="s">
        <v>3239</v>
      </c>
      <c r="C2580" s="5" t="str">
        <f>IFERROR(__xludf.DUMMYFUNCTION("GOOGLETRANSLATE(B2580,""en"",""fr"")"),"Il pointe ensuite la fenêtre tout en l'essuyant encore et encore avec divers outils.")</f>
        <v>Il pointe ensuite la fenêtre tout en l'essuyant encore et encore avec divers outils.</v>
      </c>
    </row>
    <row r="2581">
      <c r="A2581" s="4" t="s">
        <v>3240</v>
      </c>
      <c r="B2581" s="4" t="s">
        <v>3241</v>
      </c>
      <c r="C2581" s="5" t="str">
        <f>IFERROR(__xludf.DUMMYFUNCTION("GOOGLETRANSLATE(B2581,""en"",""fr"")"),"Un gymnaste se tient prêt à la fin puis se retourne sur une poutre.")</f>
        <v>Un gymnaste se tient prêt à la fin puis se retourne sur une poutre.</v>
      </c>
    </row>
    <row r="2582">
      <c r="A2582" s="4" t="s">
        <v>3240</v>
      </c>
      <c r="B2582" s="4" t="s">
        <v>3242</v>
      </c>
      <c r="C2582" s="5" t="str">
        <f>IFERROR(__xludf.DUMMYFUNCTION("GOOGLETRANSLATE(B2582,""en"",""fr"")"),"Elle effectue une routine de gymnastique tandis que plusieurs personnes sur les côtés la regardent.")</f>
        <v>Elle effectue une routine de gymnastique tandis que plusieurs personnes sur les côtés la regardent.</v>
      </c>
    </row>
    <row r="2583">
      <c r="A2583" s="4" t="s">
        <v>3240</v>
      </c>
      <c r="B2583" s="4" t="s">
        <v>3243</v>
      </c>
      <c r="C2583" s="5" t="str">
        <f>IFERROR(__xludf.DUMMYFUNCTION("GOOGLETRANSLATE(B2583,""en"",""fr"")"),"Elle continue de se retourner autour du faisceau et de faire diverses astuces acrobatiques.")</f>
        <v>Elle continue de se retourner autour du faisceau et de faire diverses astuces acrobatiques.</v>
      </c>
    </row>
    <row r="2584">
      <c r="A2584" s="4" t="s">
        <v>3240</v>
      </c>
      <c r="B2584" s="6" t="s">
        <v>3244</v>
      </c>
      <c r="C2584" s="5" t="str">
        <f>IFERROR(__xludf.DUMMYFUNCTION("GOOGLETRANSLATE(B2584,""en"",""fr"")"),"Elle saute et fait un câlin à son entraîneur pendant que la caméra montre ses mouvements au ralenti et elle parle à une femme.")</f>
        <v>Elle saute et fait un câlin à son entraîneur pendant que la caméra montre ses mouvements au ralenti et elle parle à une femme.</v>
      </c>
    </row>
    <row r="2585">
      <c r="A2585" s="4" t="s">
        <v>3245</v>
      </c>
      <c r="B2585" s="4" t="s">
        <v>3246</v>
      </c>
      <c r="C2585" s="5" t="str">
        <f>IFERROR(__xludf.DUMMYFUNCTION("GOOGLETRANSLATE(B2585,""en"",""fr"")"),"On voit deux personnes jouer un ensemble de batterie de bongo tout en chantant et en regardant vers la caméra.")</f>
        <v>On voit deux personnes jouer un ensemble de batterie de bongo tout en chantant et en regardant vers la caméra.</v>
      </c>
    </row>
    <row r="2586">
      <c r="A2586" s="4" t="s">
        <v>3245</v>
      </c>
      <c r="B2586" s="4" t="s">
        <v>3247</v>
      </c>
      <c r="C2586" s="5" t="str">
        <f>IFERROR(__xludf.DUMMYFUNCTION("GOOGLETRANSLATE(B2586,""en"",""fr"")"),"Les hommes jouent continuellement et se terminent en s'arrêtant et en se souriant les uns aux autres.")</f>
        <v>Les hommes jouent continuellement et se terminent en s'arrêtant et en se souriant les uns aux autres.</v>
      </c>
    </row>
    <row r="2587">
      <c r="A2587" s="4" t="s">
        <v>3248</v>
      </c>
      <c r="B2587" s="6" t="s">
        <v>3249</v>
      </c>
      <c r="C2587" s="5" t="str">
        <f>IFERROR(__xludf.DUMMYFUNCTION("GOOGLETRANSLATE(B2587,""en"",""fr"")"),"Dans un effet spécial accéléré, il y a 3 personnes qui pellent une allée et retirent la neige d'une voiture sur le côté droit de leur allée tandis que les voisins et autres charrues de neige se déplacent également derrière eux.")</f>
        <v>Dans un effet spécial accéléré, il y a 3 personnes qui pellent une allée et retirent la neige d'une voiture sur le côté droit de leur allée tandis que les voisins et autres charrues de neige se déplacent également derrière eux.</v>
      </c>
    </row>
    <row r="2588">
      <c r="A2588" s="4" t="s">
        <v>3248</v>
      </c>
      <c r="B2588" s="6" t="s">
        <v>3250</v>
      </c>
      <c r="C2588" s="5" t="str">
        <f>IFERROR(__xludf.DUMMYFUNCTION("GOOGLETRANSLATE(B2588,""en"",""fr"")"),"Une personne laisse tomber sa pelle dans l'allée, puis court jusqu'au bout de l'allée pour jouer dans la neige, puis remonte et ramène la pelle à la pelle.")</f>
        <v>Une personne laisse tomber sa pelle dans l'allée, puis court jusqu'au bout de l'allée pour jouer dans la neige, puis remonte et ramène la pelle à la pelle.</v>
      </c>
    </row>
    <row r="2589">
      <c r="A2589" s="4" t="s">
        <v>3248</v>
      </c>
      <c r="B2589" s="6" t="s">
        <v>3251</v>
      </c>
      <c r="C2589" s="5" t="str">
        <f>IFERROR(__xludf.DUMMYFUNCTION("GOOGLETRANSLATE(B2589,""en"",""fr"")"),"Une voiture noire tire dans l'allée nouvellement pelletée et les gens continuent de pelleter la neige sur la route à l'extérieur de leur allée.")</f>
        <v>Une voiture noire tire dans l'allée nouvellement pelletée et les gens continuent de pelleter la neige sur la route à l'extérieur de leur allée.</v>
      </c>
    </row>
    <row r="2590">
      <c r="A2590" s="4" t="s">
        <v>3252</v>
      </c>
      <c r="B2590" s="4" t="s">
        <v>3253</v>
      </c>
      <c r="C2590" s="5" t="str">
        <f>IFERROR(__xludf.DUMMYFUNCTION("GOOGLETRANSLATE(B2590,""en"",""fr"")"),"Il y a une femme aux cheveux bruns courts qui font du tutoriel de maquillage.")</f>
        <v>Il y a une femme aux cheveux bruns courts qui font du tutoriel de maquillage.</v>
      </c>
    </row>
    <row r="2591">
      <c r="A2591" s="4" t="s">
        <v>3252</v>
      </c>
      <c r="B2591" s="4" t="s">
        <v>3254</v>
      </c>
      <c r="C2591" s="5" t="str">
        <f>IFERROR(__xludf.DUMMYFUNCTION("GOOGLETRANSLATE(B2591,""en"",""fr"")"),"Elle commence par porter un bandeau pour garder ses cheveux hors de son visage.")</f>
        <v>Elle commence par porter un bandeau pour garder ses cheveux hors de son visage.</v>
      </c>
    </row>
    <row r="2592">
      <c r="A2592" s="4" t="s">
        <v>3252</v>
      </c>
      <c r="B2592" s="4" t="s">
        <v>3255</v>
      </c>
      <c r="C2592" s="5" t="str">
        <f>IFERROR(__xludf.DUMMYFUNCTION("GOOGLETRANSLATE(B2592,""en"",""fr"")"),"Ensuite, elle commence à appliquer des bases sur tout le visage et le mélange.")</f>
        <v>Ensuite, elle commence à appliquer des bases sur tout le visage et le mélange.</v>
      </c>
    </row>
    <row r="2593">
      <c r="A2593" s="4" t="s">
        <v>3252</v>
      </c>
      <c r="B2593" s="4" t="s">
        <v>3256</v>
      </c>
      <c r="C2593" s="5" t="str">
        <f>IFERROR(__xludf.DUMMYFUNCTION("GOOGLETRANSLATE(B2593,""en"",""fr"")"),"Puis elle prend un eye-liner et l'applique avec un pinceau sous ses yeux et sur ses paupières.")</f>
        <v>Puis elle prend un eye-liner et l'applique avec un pinceau sous ses yeux et sur ses paupières.</v>
      </c>
    </row>
    <row r="2594">
      <c r="A2594" s="4" t="s">
        <v>3252</v>
      </c>
      <c r="B2594" s="4" t="s">
        <v>3257</v>
      </c>
      <c r="C2594" s="5" t="str">
        <f>IFERROR(__xludf.DUMMYFUNCTION("GOOGLETRANSLATE(B2594,""en"",""fr"")"),"Elle prend ensuite de la poudre compacte et la tapote sur son visage et la propage uniformément.")</f>
        <v>Elle prend ensuite de la poudre compacte et la tapote sur son visage et la propage uniformément.</v>
      </c>
    </row>
    <row r="2595">
      <c r="A2595" s="4" t="s">
        <v>3252</v>
      </c>
      <c r="B2595" s="6" t="s">
        <v>3258</v>
      </c>
      <c r="C2595" s="5" t="str">
        <f>IFERROR(__xludf.DUMMYFUNCTION("GOOGLETRANSLATE(B2595,""en"",""fr"")"),"Puis avec une brosse, elle applique un eye-liner sur ses paupières, suivi d'un crayon d'eyeliner qu'elle utilise sur ses paupières et sous ses yeux.")</f>
        <v>Puis avec une brosse, elle applique un eye-liner sur ses paupières, suivi d'un crayon d'eyeliner qu'elle utilise sur ses paupières et sous ses yeux.</v>
      </c>
    </row>
    <row r="2596">
      <c r="A2596" s="4" t="s">
        <v>3252</v>
      </c>
      <c r="B2596" s="6" t="s">
        <v>3259</v>
      </c>
      <c r="C2596" s="5" t="str">
        <f>IFERROR(__xludf.DUMMYFUNCTION("GOOGLETRANSLATE(B2596,""en"",""fr"")"),"Elle prend une paire de curlates de cils et recroqueville ses cils, puis applique du mascara avec une brosse.")</f>
        <v>Elle prend une paire de curlates de cils et recroqueville ses cils, puis applique du mascara avec une brosse.</v>
      </c>
    </row>
    <row r="2597">
      <c r="A2597" s="4" t="s">
        <v>3252</v>
      </c>
      <c r="B2597" s="4" t="s">
        <v>3260</v>
      </c>
      <c r="C2597" s="5" t="str">
        <f>IFERROR(__xludf.DUMMYFUNCTION("GOOGLETRANSLATE(B2597,""en"",""fr"")"),"Elle termine le maquillage avec un rouge à lèvres qu'elle met sur ses lèvres supérieures et inférieures.")</f>
        <v>Elle termine le maquillage avec un rouge à lèvres qu'elle met sur ses lèvres supérieures et inférieures.</v>
      </c>
    </row>
    <row r="2598">
      <c r="A2598" s="4" t="s">
        <v>3252</v>
      </c>
      <c r="B2598" s="4" t="s">
        <v>3261</v>
      </c>
      <c r="C2598" s="5" t="str">
        <f>IFERROR(__xludf.DUMMYFUNCTION("GOOGLETRANSLATE(B2598,""en"",""fr"")"),"Puis elle retire son bandeau et redresse ses cheveux pour finir son look.")</f>
        <v>Puis elle retire son bandeau et redresse ses cheveux pour finir son look.</v>
      </c>
    </row>
    <row r="2599">
      <c r="A2599" s="4" t="s">
        <v>3252</v>
      </c>
      <c r="B2599" s="4" t="s">
        <v>3262</v>
      </c>
      <c r="C2599" s="5" t="str">
        <f>IFERROR(__xludf.DUMMYFUNCTION("GOOGLETRANSLATE(B2599,""en"",""fr"")"),"Elle montre le maquillage avant et après le maquillage pour montrer la différence.")</f>
        <v>Elle montre le maquillage avant et après le maquillage pour montrer la différence.</v>
      </c>
    </row>
    <row r="2600">
      <c r="A2600" s="4" t="s">
        <v>3263</v>
      </c>
      <c r="B2600" s="4" t="s">
        <v>3264</v>
      </c>
      <c r="C2600" s="5" t="str">
        <f>IFERROR(__xludf.DUMMYFUNCTION("GOOGLETRANSLATE(B2600,""en"",""fr"")"),"Un homme se tient sur une paire de skis.")</f>
        <v>Un homme se tient sur une paire de skis.</v>
      </c>
    </row>
    <row r="2601">
      <c r="A2601" s="4" t="s">
        <v>3263</v>
      </c>
      <c r="B2601" s="6" t="s">
        <v>3265</v>
      </c>
      <c r="C2601" s="5" t="str">
        <f>IFERROR(__xludf.DUMMYFUNCTION("GOOGLETRANSLATE(B2601,""en"",""fr"")"),"Il skis ensuite rapidement dans un talus enneigé, frappant accidentellement un skieur sur son chemin et lui envoyant la carélation à droite.")</f>
        <v>Il skis ensuite rapidement dans un talus enneigé, frappant accidentellement un skieur sur son chemin et lui envoyant la carélation à droite.</v>
      </c>
    </row>
    <row r="2602">
      <c r="A2602" s="4" t="s">
        <v>3263</v>
      </c>
      <c r="B2602" s="4" t="s">
        <v>3266</v>
      </c>
      <c r="C2602" s="5" t="str">
        <f>IFERROR(__xludf.DUMMYFUNCTION("GOOGLETRANSLATE(B2602,""en"",""fr"")"),"Ils s'arrêtent et parlent, vérifiant pour s'assurer qu'elle va bien.")</f>
        <v>Ils s'arrêtent et parlent, vérifiant pour s'assurer qu'elle va bien.</v>
      </c>
    </row>
    <row r="2603">
      <c r="A2603" s="4" t="s">
        <v>3267</v>
      </c>
      <c r="B2603" s="4" t="s">
        <v>3268</v>
      </c>
      <c r="C2603" s="5" t="str">
        <f>IFERROR(__xludf.DUMMYFUNCTION("GOOGLETRANSLATE(B2603,""en"",""fr"")"),"Un homme est vu tenant un petit enfant en regardant et en souriant à la caméra.")</f>
        <v>Un homme est vu tenant un petit enfant en regardant et en souriant à la caméra.</v>
      </c>
    </row>
    <row r="2604">
      <c r="A2604" s="4" t="s">
        <v>3267</v>
      </c>
      <c r="B2604" s="4" t="s">
        <v>3269</v>
      </c>
      <c r="C2604" s="5" t="str">
        <f>IFERROR(__xludf.DUMMYFUNCTION("GOOGLETRANSLATE(B2604,""en"",""fr"")"),"Les deux grimpent ensuite sur un chameau et roulent tout en agitant vers la caméra.")</f>
        <v>Les deux grimpent ensuite sur un chameau et roulent tout en agitant vers la caméra.</v>
      </c>
    </row>
    <row r="2605">
      <c r="A2605" s="4" t="s">
        <v>3267</v>
      </c>
      <c r="B2605" s="4" t="s">
        <v>3270</v>
      </c>
      <c r="C2605" s="5" t="str">
        <f>IFERROR(__xludf.DUMMYFUNCTION("GOOGLETRANSLATE(B2605,""en"",""fr"")"),"Les deux reviennent avec la femme les menant devant.")</f>
        <v>Les deux reviennent avec la femme les menant devant.</v>
      </c>
    </row>
    <row r="2606">
      <c r="A2606" s="4" t="s">
        <v>3271</v>
      </c>
      <c r="B2606" s="4" t="s">
        <v>3272</v>
      </c>
      <c r="C2606" s="5" t="str">
        <f>IFERROR(__xludf.DUMMYFUNCTION("GOOGLETRANSLATE(B2606,""en"",""fr"")"),"Les triples saut olympiques sont représentés dans un stade.")</f>
        <v>Les triples saut olympiques sont représentés dans un stade.</v>
      </c>
    </row>
    <row r="2607">
      <c r="A2607" s="4" t="s">
        <v>3271</v>
      </c>
      <c r="B2607" s="4" t="s">
        <v>3273</v>
      </c>
      <c r="C2607" s="5" t="str">
        <f>IFERROR(__xludf.DUMMYFUNCTION("GOOGLETRANSLATE(B2607,""en"",""fr"")"),"La première personne en jaune dépasse 17 mètres.")</f>
        <v>La première personne en jaune dépasse 17 mètres.</v>
      </c>
    </row>
    <row r="2608">
      <c r="A2608" s="4" t="s">
        <v>3271</v>
      </c>
      <c r="B2608" s="4" t="s">
        <v>3274</v>
      </c>
      <c r="C2608" s="5" t="str">
        <f>IFERROR(__xludf.DUMMYFUNCTION("GOOGLETRANSLATE(B2608,""en"",""fr"")"),"La deuxième personne fait à peu près la même chose que la troisième personne.")</f>
        <v>La deuxième personne fait à peu près la même chose que la troisième personne.</v>
      </c>
    </row>
    <row r="2609">
      <c r="A2609" s="4" t="s">
        <v>3275</v>
      </c>
      <c r="B2609" s="4" t="s">
        <v>3276</v>
      </c>
      <c r="C2609" s="5" t="str">
        <f>IFERROR(__xludf.DUMMYFUNCTION("GOOGLETRANSLATE(B2609,""en"",""fr"")"),"Plusieurs plans sont montrés de l'intérieur d'un magasin suivi d'une personne déballant un vélo.")</f>
        <v>Plusieurs plans sont montrés de l'intérieur d'un magasin suivi d'une personne déballant un vélo.</v>
      </c>
    </row>
    <row r="2610">
      <c r="A2610" s="4" t="s">
        <v>3275</v>
      </c>
      <c r="B2610" s="6" t="s">
        <v>3277</v>
      </c>
      <c r="C2610" s="5" t="str">
        <f>IFERROR(__xludf.DUMMYFUNCTION("GOOGLETRANSLATE(B2610,""en"",""fr"")"),"L'homme sort ensuite des outils et les resserre le long du vélo et est montré en colportant le vélo avec ses mains et en montrant le vélo fini.")</f>
        <v>L'homme sort ensuite des outils et les resserre le long du vélo et est montré en colportant le vélo avec ses mains et en montrant le vélo fini.</v>
      </c>
    </row>
    <row r="2611">
      <c r="A2611" s="4" t="s">
        <v>3278</v>
      </c>
      <c r="B2611" s="4" t="s">
        <v>3279</v>
      </c>
      <c r="C2611" s="5" t="str">
        <f>IFERROR(__xludf.DUMMYFUNCTION("GOOGLETRANSLATE(B2611,""en"",""fr"")"),"Une fille est sur une faillite, se préparant à retourner.")</f>
        <v>Une fille est sur une faillite, se préparant à retourner.</v>
      </c>
    </row>
    <row r="2612">
      <c r="A2612" s="4" t="s">
        <v>3278</v>
      </c>
      <c r="B2612" s="4" t="s">
        <v>3280</v>
      </c>
      <c r="C2612" s="5" t="str">
        <f>IFERROR(__xludf.DUMMYFUNCTION("GOOGLETRANSLATE(B2612,""en"",""fr"")"),"Elle se retourne en avant, puis se retourne en arrière avec ses bras tendus.")</f>
        <v>Elle se retourne en avant, puis se retourne en arrière avec ses bras tendus.</v>
      </c>
    </row>
    <row r="2613">
      <c r="A2613" s="4" t="s">
        <v>3281</v>
      </c>
      <c r="B2613" s="6" t="s">
        <v>3282</v>
      </c>
      <c r="C2613" s="5" t="str">
        <f>IFERROR(__xludf.DUMMYFUNCTION("GOOGLETRANSLATE(B2613,""en"",""fr"")"),"Un garçon marche dans la pièce depuis la porte gauche tenant un animal en peluche rouge s'assoit à la table, puis ranges l'animal.")</f>
        <v>Un garçon marche dans la pièce depuis la porte gauche tenant un animal en peluche rouge s'assoit à la table, puis ranges l'animal.</v>
      </c>
    </row>
    <row r="2614">
      <c r="A2614" s="4" t="s">
        <v>3281</v>
      </c>
      <c r="B2614" s="4" t="s">
        <v>3283</v>
      </c>
      <c r="C2614" s="5" t="str">
        <f>IFERROR(__xludf.DUMMYFUNCTION("GOOGLETRANSLATE(B2614,""en"",""fr"")"),"Une fille marche dans la pièce avant la porte droite et s'assoit à la table.")</f>
        <v>Une fille marche dans la pièce avant la porte droite et s'assoit à la table.</v>
      </c>
    </row>
    <row r="2615">
      <c r="A2615" s="4" t="s">
        <v>3281</v>
      </c>
      <c r="B2615" s="4" t="s">
        <v>3284</v>
      </c>
      <c r="C2615" s="5" t="str">
        <f>IFERROR(__xludf.DUMMYFUNCTION("GOOGLETRANSLATE(B2615,""en"",""fr"")"),"Ils commencent la lutte des bras et la fille gagne.")</f>
        <v>Ils commencent la lutte des bras et la fille gagne.</v>
      </c>
    </row>
    <row r="2616">
      <c r="A2616" s="4" t="s">
        <v>3281</v>
      </c>
      <c r="B2616" s="6" t="s">
        <v>3285</v>
      </c>
      <c r="C2616" s="5" t="str">
        <f>IFERROR(__xludf.DUMMYFUNCTION("GOOGLETRANSLATE(B2616,""en"",""fr"")"),"La fille sourit à la caméra en apercevant sa victoire, puis ils se lèvent tous les deux dans la pièce des mêmes côtés dans lesquels ils sont entrés.")</f>
        <v>La fille sourit à la caméra en apercevant sa victoire, puis ils se lèvent tous les deux dans la pièce des mêmes côtés dans lesquels ils sont entrés.</v>
      </c>
    </row>
    <row r="2617">
      <c r="A2617" s="4" t="s">
        <v>3286</v>
      </c>
      <c r="B2617" s="4" t="s">
        <v>3287</v>
      </c>
      <c r="C2617" s="5" t="str">
        <f>IFERROR(__xludf.DUMMYFUNCTION("GOOGLETRANSLATE(B2617,""en"",""fr"")"),"L'écran montre des sponsors de l'entreprise pour un événement de club d'hiver.")</f>
        <v>L'écran montre des sponsors de l'entreprise pour un événement de club d'hiver.</v>
      </c>
    </row>
    <row r="2618">
      <c r="A2618" s="4" t="s">
        <v>3286</v>
      </c>
      <c r="B2618" s="4" t="s">
        <v>3288</v>
      </c>
      <c r="C2618" s="5" t="str">
        <f>IFERROR(__xludf.DUMMYFUNCTION("GOOGLETRANSLATE(B2618,""en"",""fr"")"),"Un cabriolet bleu passe devant le North Shore Winter Club.")</f>
        <v>Un cabriolet bleu passe devant le North Shore Winter Club.</v>
      </c>
    </row>
    <row r="2619">
      <c r="A2619" s="4" t="s">
        <v>3286</v>
      </c>
      <c r="B2619" s="4" t="s">
        <v>3289</v>
      </c>
      <c r="C2619" s="5" t="str">
        <f>IFERROR(__xludf.DUMMYFUNCTION("GOOGLETRANSLATE(B2619,""en"",""fr"")"),"Un couple entre dans le club tandis qu'une mini fourgonnette en argent est garée à l'extérieur.")</f>
        <v>Un couple entre dans le club tandis qu'une mini fourgonnette en argent est garée à l'extérieur.</v>
      </c>
    </row>
    <row r="2620">
      <c r="A2620" s="4" t="s">
        <v>3286</v>
      </c>
      <c r="B2620" s="4" t="s">
        <v>3290</v>
      </c>
      <c r="C2620" s="5" t="str">
        <f>IFERROR(__xludf.DUMMYFUNCTION("GOOGLETRANSLATE(B2620,""en"",""fr"")"),"Plusieurs personnes entrent dans la salle de curling à l'intérieur du club.")</f>
        <v>Plusieurs personnes entrent dans la salle de curling à l'intérieur du club.</v>
      </c>
    </row>
    <row r="2621">
      <c r="A2621" s="4" t="s">
        <v>3286</v>
      </c>
      <c r="B2621" s="6" t="s">
        <v>3291</v>
      </c>
      <c r="C2621" s="5" t="str">
        <f>IFERROR(__xludf.DUMMYFUNCTION("GOOGLETRANSLATE(B2621,""en"",""fr"")"),"L'entraîneur représentant l'équipe du Brasil, portant un maillot vert donne des instructions aux joueurs.")</f>
        <v>L'entraîneur représentant l'équipe du Brasil, portant un maillot vert donne des instructions aux joueurs.</v>
      </c>
    </row>
    <row r="2622">
      <c r="A2622" s="4" t="s">
        <v>3286</v>
      </c>
      <c r="B2622" s="4" t="s">
        <v>3292</v>
      </c>
      <c r="C2622" s="5" t="str">
        <f>IFERROR(__xludf.DUMMYFUNCTION("GOOGLETRANSLATE(B2622,""en"",""fr"")"),"L'entraîneur parle aux joueurs pendant qu'ils se préparent.")</f>
        <v>L'entraîneur parle aux joueurs pendant qu'ils se préparent.</v>
      </c>
    </row>
    <row r="2623">
      <c r="A2623" s="4" t="s">
        <v>3286</v>
      </c>
      <c r="B2623" s="6" t="s">
        <v>3293</v>
      </c>
      <c r="C2623" s="5" t="str">
        <f>IFERROR(__xludf.DUMMYFUNCTION("GOOGLETRANSLATE(B2623,""en"",""fr"")"),"Les joueurs commencent à jouer avec leurs bâtons alors qu'ils poussent les rochers à travers le sol, plusieurs autres joueurs pratiquent le curling sur le sol alors qu'ils glissent à travers la surface glissante.")</f>
        <v>Les joueurs commencent à jouer avec leurs bâtons alors qu'ils poussent les rochers à travers le sol, plusieurs autres joueurs pratiquent le curling sur le sol alors qu'ils glissent à travers la surface glissante.</v>
      </c>
    </row>
    <row r="2624">
      <c r="A2624" s="4" t="s">
        <v>3286</v>
      </c>
      <c r="B2624" s="4" t="s">
        <v>3294</v>
      </c>
      <c r="C2624" s="5" t="str">
        <f>IFERROR(__xludf.DUMMYFUNCTION("GOOGLETRANSLATE(B2624,""en"",""fr"")"),"Les joueurs continuent de jouer et d'échanger des high fives pendant qu'ils s'entraînent.")</f>
        <v>Les joueurs continuent de jouer et d'échanger des high fives pendant qu'ils s'entraînent.</v>
      </c>
    </row>
    <row r="2625">
      <c r="A2625" s="4" t="s">
        <v>3286</v>
      </c>
      <c r="B2625" s="4" t="s">
        <v>3295</v>
      </c>
      <c r="C2625" s="5" t="str">
        <f>IFERROR(__xludf.DUMMYFUNCTION("GOOGLETRANSLATE(B2625,""en"",""fr"")"),"Environ neuf des candidats reçoivent des médailles de victoire du juge.")</f>
        <v>Environ neuf des candidats reçoivent des médailles de victoire du juge.</v>
      </c>
    </row>
    <row r="2626">
      <c r="A2626" s="4" t="s">
        <v>3286</v>
      </c>
      <c r="B2626" s="4" t="s">
        <v>3296</v>
      </c>
      <c r="C2626" s="5" t="str">
        <f>IFERROR(__xludf.DUMMYFUNCTION("GOOGLETRANSLATE(B2626,""en"",""fr"")"),"Ils s'applaudissent et les uns des autres high fives pour exprimer leur victoire.")</f>
        <v>Ils s'applaudissent et les uns des autres high fives pour exprimer leur victoire.</v>
      </c>
    </row>
    <row r="2627">
      <c r="A2627" s="4" t="s">
        <v>3286</v>
      </c>
      <c r="B2627" s="4" t="s">
        <v>3297</v>
      </c>
      <c r="C2627" s="5" t="str">
        <f>IFERROR(__xludf.DUMMYFUNCTION("GOOGLETRANSLATE(B2627,""en"",""fr"")"),"La vidéo se termine par des détails sur tous les sponsors responsables de l'événement.")</f>
        <v>La vidéo se termine par des détails sur tous les sponsors responsables de l'événement.</v>
      </c>
    </row>
    <row r="2628">
      <c r="A2628" s="4" t="s">
        <v>3298</v>
      </c>
      <c r="B2628" s="6" t="s">
        <v>3299</v>
      </c>
      <c r="C2628" s="5" t="str">
        <f>IFERROR(__xludf.DUMMYFUNCTION("GOOGLETRANSLATE(B2628,""en"",""fr"")"),"Il y a un petit garçon portant une chemise Elmo rouge debout sur un tabouret de pas dans la cuisine avec sa grand-mère.")</f>
        <v>Il y a un petit garçon portant une chemise Elmo rouge debout sur un tabouret de pas dans la cuisine avec sa grand-mère.</v>
      </c>
    </row>
    <row r="2629">
      <c r="A2629" s="4" t="s">
        <v>3298</v>
      </c>
      <c r="B2629" s="4" t="s">
        <v>3300</v>
      </c>
      <c r="C2629" s="5" t="str">
        <f>IFERROR(__xludf.DUMMYFUNCTION("GOOGLETRANSLATE(B2629,""en"",""fr"")"),"Ils font du jus de citron sur un presse-agrumes électrique qui est placé sur le comptoir de la cuisine près de l'évier.")</f>
        <v>Ils font du jus de citron sur un presse-agrumes électrique qui est placé sur le comptoir de la cuisine près de l'évier.</v>
      </c>
    </row>
    <row r="2630">
      <c r="A2630" s="4" t="s">
        <v>3298</v>
      </c>
      <c r="B2630" s="4" t="s">
        <v>3301</v>
      </c>
      <c r="C2630" s="5" t="str">
        <f>IFERROR(__xludf.DUMMYFUNCTION("GOOGLETRANSLATE(B2630,""en"",""fr"")"),"Le garçon semble excité d'aider sa grand-mère à jus le citron.")</f>
        <v>Le garçon semble excité d'aider sa grand-mère à jus le citron.</v>
      </c>
    </row>
    <row r="2631">
      <c r="A2631" s="4" t="s">
        <v>3298</v>
      </c>
      <c r="B2631" s="4" t="s">
        <v>3302</v>
      </c>
      <c r="C2631" s="5" t="str">
        <f>IFERROR(__xludf.DUMMYFUNCTION("GOOGLETRANSLATE(B2631,""en"",""fr"")"),"Il met sa main sur sa main pendant qu'elle fait du jus de citron.")</f>
        <v>Il met sa main sur sa main pendant qu'elle fait du jus de citron.</v>
      </c>
    </row>
    <row r="2632">
      <c r="A2632" s="4" t="s">
        <v>3303</v>
      </c>
      <c r="B2632" s="4" t="s">
        <v>3304</v>
      </c>
      <c r="C2632" s="5" t="str">
        <f>IFERROR(__xludf.DUMMYFUNCTION("GOOGLETRANSLATE(B2632,""en"",""fr"")"),"Nous voyons une tondeuse à gazon et une main des personnes.")</f>
        <v>Nous voyons une tondeuse à gazon et une main des personnes.</v>
      </c>
    </row>
    <row r="2633">
      <c r="A2633" s="4" t="s">
        <v>3303</v>
      </c>
      <c r="B2633" s="4" t="s">
        <v>3305</v>
      </c>
      <c r="C2633" s="5" t="str">
        <f>IFERROR(__xludf.DUMMYFUNCTION("GOOGLETRANSLATE(B2633,""en"",""fr"")"),"Une personne commence la tondeuse et elle fume.")</f>
        <v>Une personne commence la tondeuse et elle fume.</v>
      </c>
    </row>
    <row r="2634">
      <c r="A2634" s="4" t="s">
        <v>3303</v>
      </c>
      <c r="B2634" s="4" t="s">
        <v>3306</v>
      </c>
      <c r="C2634" s="5" t="str">
        <f>IFERROR(__xludf.DUMMYFUNCTION("GOOGLETRANSLATE(B2634,""en"",""fr"")"),"Nous voyons l'homme tondre la pelouse avec une tondeuse à fumer.")</f>
        <v>Nous voyons l'homme tondre la pelouse avec une tondeuse à fumer.</v>
      </c>
    </row>
    <row r="2635">
      <c r="A2635" s="4" t="s">
        <v>3303</v>
      </c>
      <c r="B2635" s="4" t="s">
        <v>3307</v>
      </c>
      <c r="C2635" s="5" t="str">
        <f>IFERROR(__xludf.DUMMYFUNCTION("GOOGLETRANSLATE(B2635,""en"",""fr"")"),"Nous voyons la tondeuse du point de vue de la tondeuse.")</f>
        <v>Nous voyons la tondeuse du point de vue de la tondeuse.</v>
      </c>
    </row>
    <row r="2636">
      <c r="A2636" s="4" t="s">
        <v>3303</v>
      </c>
      <c r="B2636" s="4" t="s">
        <v>3308</v>
      </c>
      <c r="C2636" s="5" t="str">
        <f>IFERROR(__xludf.DUMMYFUNCTION("GOOGLETRANSLATE(B2636,""en"",""fr"")"),"Nous voyons le garçon recommencer la tondeuse à gazon.")</f>
        <v>Nous voyons le garçon recommencer la tondeuse à gazon.</v>
      </c>
    </row>
    <row r="2637">
      <c r="A2637" s="4" t="s">
        <v>3303</v>
      </c>
      <c r="B2637" s="4" t="s">
        <v>3309</v>
      </c>
      <c r="C2637" s="5" t="str">
        <f>IFERROR(__xludf.DUMMYFUNCTION("GOOGLETRANSLATE(B2637,""en"",""fr"")"),"Le garçon tond la pelouse.")</f>
        <v>Le garçon tond la pelouse.</v>
      </c>
    </row>
    <row r="2638">
      <c r="A2638" s="4" t="s">
        <v>3303</v>
      </c>
      <c r="B2638" s="4" t="s">
        <v>3310</v>
      </c>
      <c r="C2638" s="5" t="str">
        <f>IFERROR(__xludf.DUMMYFUNCTION("GOOGLETRANSLATE(B2638,""en"",""fr"")"),"Nous voyons ensuite le garçon marcher avec la tondeuse.")</f>
        <v>Nous voyons ensuite le garçon marcher avec la tondeuse.</v>
      </c>
    </row>
    <row r="2639">
      <c r="A2639" s="4" t="s">
        <v>3311</v>
      </c>
      <c r="B2639" s="6" t="s">
        <v>3312</v>
      </c>
      <c r="C2639" s="5" t="str">
        <f>IFERROR(__xludf.DUMMYFUNCTION("GOOGLETRANSLATE(B2639,""en"",""fr"")"),"Une introduction mène à plusieurs clips de personnes résolvant des cubes Rubix tandis qu'une minuterie capture leur vitesse sur le côté.")</f>
        <v>Une introduction mène à plusieurs clips de personnes résolvant des cubes Rubix tandis qu'une minuterie capture leur vitesse sur le côté.</v>
      </c>
    </row>
    <row r="2640">
      <c r="A2640" s="4" t="s">
        <v>3311</v>
      </c>
      <c r="B2640" s="4" t="s">
        <v>3313</v>
      </c>
      <c r="C2640" s="5" t="str">
        <f>IFERROR(__xludf.DUMMYFUNCTION("GOOGLETRANSLATE(B2640,""en"",""fr"")"),"Plus de gens continuent de résoudre le puzzle alors que la caméra les capture de nombreux côtés.")</f>
        <v>Plus de gens continuent de résoudre le puzzle alors que la caméra les capture de nombreux côtés.</v>
      </c>
    </row>
    <row r="2641">
      <c r="A2641" s="4" t="s">
        <v>3314</v>
      </c>
      <c r="B2641" s="6" t="s">
        <v>3315</v>
      </c>
      <c r="C2641" s="5" t="str">
        <f>IFERROR(__xludf.DUMMYFUNCTION("GOOGLETRANSLATE(B2641,""en"",""fr"")"),"Un groupe de percussions et de cordes de quatre pièces joue sur une scène, l'objectif principal étant un homme sur les bongos au centre de la scène et portant des Sunshades à l'intérieur.")</f>
        <v>Un groupe de percussions et de cordes de quatre pièces joue sur une scène, l'objectif principal étant un homme sur les bongos au centre de la scène et portant des Sunshades à l'intérieur.</v>
      </c>
    </row>
    <row r="2642">
      <c r="A2642" s="4" t="s">
        <v>3314</v>
      </c>
      <c r="B2642" s="6" t="s">
        <v>3316</v>
      </c>
      <c r="C2642" s="5" t="str">
        <f>IFERROR(__xludf.DUMMYFUNCTION("GOOGLETRANSLATE(B2642,""en"",""fr"")"),"Un homme joue des bongos d'une manière animée tandis qu'une femme à côté de lui joue le clavier et un homme derrière lui joue de la guitare.")</f>
        <v>Un homme joue des bongos d'une manière animée tandis qu'une femme à côté de lui joue le clavier et un homme derrière lui joue de la guitare.</v>
      </c>
    </row>
    <row r="2643">
      <c r="A2643" s="4" t="s">
        <v>3314</v>
      </c>
      <c r="B2643" s="4" t="s">
        <v>3317</v>
      </c>
      <c r="C2643" s="5" t="str">
        <f>IFERROR(__xludf.DUMMYFUNCTION("GOOGLETRANSLATE(B2643,""en"",""fr"")"),"Un homme à côté de lui commence à frapper un bâton contre un instrument de percussion métallique.")</f>
        <v>Un homme à côté de lui commence à frapper un bâton contre un instrument de percussion métallique.</v>
      </c>
    </row>
    <row r="2644">
      <c r="A2644" s="4" t="s">
        <v>3314</v>
      </c>
      <c r="B2644" s="6" t="s">
        <v>3318</v>
      </c>
      <c r="C2644" s="5" t="str">
        <f>IFERROR(__xludf.DUMMYFUNCTION("GOOGLETRANSLATE(B2644,""en"",""fr"")"),"L'homme jouant les Bongos renverse l'un d'eux à quel point l'homme à côté de lui remet le bongo debout.")</f>
        <v>L'homme jouant les Bongos renverse l'un d'eux à quel point l'homme à côté de lui remet le bongo debout.</v>
      </c>
    </row>
    <row r="2645">
      <c r="A2645" s="4" t="s">
        <v>3319</v>
      </c>
      <c r="B2645" s="4" t="s">
        <v>3320</v>
      </c>
      <c r="C2645" s="5" t="str">
        <f>IFERROR(__xludf.DUMMYFUNCTION("GOOGLETRANSLATE(B2645,""en"",""fr"")"),"Al commence ses conseils de ski avec un fer et une éponge.")</f>
        <v>Al commence ses conseils de ski avec un fer et une éponge.</v>
      </c>
    </row>
    <row r="2646">
      <c r="A2646" s="4" t="s">
        <v>3319</v>
      </c>
      <c r="B2646" s="4" t="s">
        <v>3321</v>
      </c>
      <c r="C2646" s="5" t="str">
        <f>IFERROR(__xludf.DUMMYFUNCTION("GOOGLETRANSLATE(B2646,""en"",""fr"")"),"Démontrant quoi et comment vous l'utiliseriez sur le ski.")</f>
        <v>Démontrant quoi et comment vous l'utiliseriez sur le ski.</v>
      </c>
    </row>
    <row r="2647">
      <c r="A2647" s="4" t="s">
        <v>3319</v>
      </c>
      <c r="B2647" s="4" t="s">
        <v>3322</v>
      </c>
      <c r="C2647" s="5" t="str">
        <f>IFERROR(__xludf.DUMMYFUNCTION("GOOGLETRANSLATE(B2647,""en"",""fr"")"),"Il vous montre sur le ski comment le frotter.")</f>
        <v>Il vous montre sur le ski comment le frotter.</v>
      </c>
    </row>
    <row r="2648">
      <c r="A2648" s="4" t="s">
        <v>3319</v>
      </c>
      <c r="B2648" s="4" t="s">
        <v>3323</v>
      </c>
      <c r="C2648" s="5" t="str">
        <f>IFERROR(__xludf.DUMMYFUNCTION("GOOGLETRANSLATE(B2648,""en"",""fr"")"),"Puis il explique un peu plus sur le processus.")</f>
        <v>Puis il explique un peu plus sur le processus.</v>
      </c>
    </row>
    <row r="2649">
      <c r="A2649" s="4" t="s">
        <v>3324</v>
      </c>
      <c r="B2649" s="4" t="s">
        <v>3325</v>
      </c>
      <c r="C2649" s="5" t="str">
        <f>IFERROR(__xludf.DUMMYFUNCTION("GOOGLETRANSLATE(B2649,""en"",""fr"")"),"Une personne est vue debout devant une grande piste tenant un poteau.")</f>
        <v>Une personne est vue debout devant une grande piste tenant un poteau.</v>
      </c>
    </row>
    <row r="2650">
      <c r="A2650" s="4" t="s">
        <v>3324</v>
      </c>
      <c r="B2650" s="4" t="s">
        <v>3326</v>
      </c>
      <c r="C2650" s="5" t="str">
        <f>IFERROR(__xludf.DUMMYFUNCTION("GOOGLETRANSLATE(B2650,""en"",""fr"")"),"La personne commence à couler sur la piste tout en tenant le poteau.")</f>
        <v>La personne commence à couler sur la piste tout en tenant le poteau.</v>
      </c>
    </row>
    <row r="2651">
      <c r="A2651" s="4" t="s">
        <v>3324</v>
      </c>
      <c r="B2651" s="4" t="s">
        <v>3327</v>
      </c>
      <c r="C2651" s="5" t="str">
        <f>IFERROR(__xludf.DUMMYFUNCTION("GOOGLETRANSLATE(B2651,""en"",""fr"")"),"L'homme saute ensuite par-dessus une poutre et sur un tapis.")</f>
        <v>L'homme saute ensuite par-dessus une poutre et sur un tapis.</v>
      </c>
    </row>
    <row r="2652">
      <c r="A2652" s="4" t="s">
        <v>3328</v>
      </c>
      <c r="B2652" s="4" t="s">
        <v>3329</v>
      </c>
      <c r="C2652" s="5" t="str">
        <f>IFERROR(__xludf.DUMMYFUNCTION("GOOGLETRANSLATE(B2652,""en"",""fr"")"),"Une femme derrière un bar expliquant comment faire un verre.")</f>
        <v>Une femme derrière un bar expliquant comment faire un verre.</v>
      </c>
    </row>
    <row r="2653">
      <c r="A2653" s="4" t="s">
        <v>3328</v>
      </c>
      <c r="B2653" s="4" t="s">
        <v>3330</v>
      </c>
      <c r="C2653" s="5" t="str">
        <f>IFERROR(__xludf.DUMMYFUNCTION("GOOGLETRANSLATE(B2653,""en"",""fr"")"),"Elle verse plusieurs ingrédients dans un shaker et le secoue.")</f>
        <v>Elle verse plusieurs ingrédients dans un shaker et le secoue.</v>
      </c>
    </row>
    <row r="2654">
      <c r="A2654" s="4" t="s">
        <v>3328</v>
      </c>
      <c r="B2654" s="4" t="s">
        <v>3331</v>
      </c>
      <c r="C2654" s="5" t="str">
        <f>IFERROR(__xludf.DUMMYFUNCTION("GOOGLETRANSLATE(B2654,""en"",""fr"")"),"Elle verse ensuite la boisson du shaker dans un verre de tir et la tient.")</f>
        <v>Elle verse ensuite la boisson du shaker dans un verre de tir et la tient.</v>
      </c>
    </row>
    <row r="2655">
      <c r="A2655" s="4" t="s">
        <v>3332</v>
      </c>
      <c r="B2655" s="4" t="s">
        <v>3333</v>
      </c>
      <c r="C2655" s="5" t="str">
        <f>IFERROR(__xludf.DUMMYFUNCTION("GOOGLETRANSLATE(B2655,""en"",""fr"")"),"Un chien est mis dans une baignoire.")</f>
        <v>Un chien est mis dans une baignoire.</v>
      </c>
    </row>
    <row r="2656">
      <c r="A2656" s="4" t="s">
        <v>3332</v>
      </c>
      <c r="B2656" s="4" t="s">
        <v>3334</v>
      </c>
      <c r="C2656" s="5" t="str">
        <f>IFERROR(__xludf.DUMMYFUNCTION("GOOGLETRANSLATE(B2656,""en"",""fr"")"),"Une fille verse de l'eau sur le chien d'une tasse.")</f>
        <v>Une fille verse de l'eau sur le chien d'une tasse.</v>
      </c>
    </row>
    <row r="2657">
      <c r="A2657" s="4" t="s">
        <v>3332</v>
      </c>
      <c r="B2657" s="4" t="s">
        <v>3335</v>
      </c>
      <c r="C2657" s="5" t="str">
        <f>IFERROR(__xludf.DUMMYFUNCTION("GOOGLETRANSLATE(B2657,""en"",""fr"")"),"Elle frotte le shampooing sur la fourrure de chiens.")</f>
        <v>Elle frotte le shampooing sur la fourrure de chiens.</v>
      </c>
    </row>
    <row r="2658">
      <c r="A2658" s="4" t="s">
        <v>3332</v>
      </c>
      <c r="B2658" s="4" t="s">
        <v>3336</v>
      </c>
      <c r="C2658" s="5" t="str">
        <f>IFERROR(__xludf.DUMMYFUNCTION("GOOGLETRANSLATE(B2658,""en"",""fr"")"),"Elle sèche le chien avec une serviette.")</f>
        <v>Elle sèche le chien avec une serviette.</v>
      </c>
    </row>
    <row r="2659">
      <c r="A2659" s="4" t="s">
        <v>3337</v>
      </c>
      <c r="B2659" s="4" t="s">
        <v>3338</v>
      </c>
      <c r="C2659" s="5" t="str">
        <f>IFERROR(__xludf.DUMMYFUNCTION("GOOGLETRANSLATE(B2659,""en"",""fr"")"),"Trois enfants frappent une balle avec une raquette.")</f>
        <v>Trois enfants frappent une balle avec une raquette.</v>
      </c>
    </row>
    <row r="2660">
      <c r="A2660" s="4" t="s">
        <v>3337</v>
      </c>
      <c r="B2660" s="4" t="s">
        <v>3339</v>
      </c>
      <c r="C2660" s="5" t="str">
        <f>IFERROR(__xludf.DUMMYFUNCTION("GOOGLETRANSLATE(B2660,""en"",""fr"")"),"Ils se baignent donc ça ne les frappe pas dans la tête.")</f>
        <v>Ils se baignent donc ça ne les frappe pas dans la tête.</v>
      </c>
    </row>
    <row r="2661">
      <c r="A2661" s="4" t="s">
        <v>3337</v>
      </c>
      <c r="B2661" s="4" t="s">
        <v>3340</v>
      </c>
      <c r="C2661" s="5" t="str">
        <f>IFERROR(__xludf.DUMMYFUNCTION("GOOGLETRANSLATE(B2661,""en"",""fr"")"),"Ils frappent chacun à tour de rôle le ballon.")</f>
        <v>Ils frappent chacun à tour de rôle le ballon.</v>
      </c>
    </row>
    <row r="2662">
      <c r="A2662" s="4" t="s">
        <v>3337</v>
      </c>
      <c r="B2662" s="4" t="s">
        <v>3341</v>
      </c>
      <c r="C2662" s="5" t="str">
        <f>IFERROR(__xludf.DUMMYFUNCTION("GOOGLETRANSLATE(B2662,""en"",""fr"")"),"Se déplacer partout sur le terrain en essayant de l'attraper.")</f>
        <v>Se déplacer partout sur le terrain en essayant de l'attraper.</v>
      </c>
    </row>
    <row r="2663">
      <c r="A2663" s="4" t="s">
        <v>3342</v>
      </c>
      <c r="B2663" s="4" t="s">
        <v>3343</v>
      </c>
      <c r="C2663" s="5" t="str">
        <f>IFERROR(__xludf.DUMMYFUNCTION("GOOGLETRANSLATE(B2663,""en"",""fr"")"),"Une femme portant un pyjama parle et se tient sur une scène décorée d'étoile.")</f>
        <v>Une femme portant un pyjama parle et se tient sur une scène décorée d'étoile.</v>
      </c>
    </row>
    <row r="2664">
      <c r="A2664" s="4" t="s">
        <v>3342</v>
      </c>
      <c r="B2664" s="4" t="s">
        <v>3344</v>
      </c>
      <c r="C2664" s="5" t="str">
        <f>IFERROR(__xludf.DUMMYFUNCTION("GOOGLETRANSLATE(B2664,""en"",""fr"")"),"Elle démontre plusieurs étapes de danse pendant qu'elle parle.")</f>
        <v>Elle démontre plusieurs étapes de danse pendant qu'elle parle.</v>
      </c>
    </row>
    <row r="2665">
      <c r="A2665" s="4" t="s">
        <v>3342</v>
      </c>
      <c r="B2665" s="4" t="s">
        <v>3345</v>
      </c>
      <c r="C2665" s="5" t="str">
        <f>IFERROR(__xludf.DUMMYFUNCTION("GOOGLETRANSLATE(B2665,""en"",""fr"")"),"Elle fait des allers-retours, se retourne et secoue ses hanches comme une danseuse du ventre.")</f>
        <v>Elle fait des allers-retours, se retourne et secoue ses hanches comme une danseuse du ventre.</v>
      </c>
    </row>
    <row r="2666">
      <c r="A2666" s="4" t="s">
        <v>3346</v>
      </c>
      <c r="B2666" s="6" t="s">
        <v>3347</v>
      </c>
      <c r="C2666" s="5" t="str">
        <f>IFERROR(__xludf.DUMMYFUNCTION("GOOGLETRANSLATE(B2666,""en"",""fr"")"),"Il y a une équipe de garçons vêtus d'uniformes bleus jouant au football contre une autre équipe de garçons vêtus d'uniformes à rayures bleues dans une salle de sport intérieure.")</f>
        <v>Il y a une équipe de garçons vêtus d'uniformes bleus jouant au football contre une autre équipe de garçons vêtus d'uniformes à rayures bleues dans une salle de sport intérieure.</v>
      </c>
    </row>
    <row r="2667">
      <c r="A2667" s="4" t="s">
        <v>3346</v>
      </c>
      <c r="B2667" s="4" t="s">
        <v>3348</v>
      </c>
      <c r="C2667" s="5" t="str">
        <f>IFERROR(__xludf.DUMMYFUNCTION("GOOGLETRANSLATE(B2667,""en"",""fr"")"),"Il y a plusieurs spectateurs assis sur le côté en regardant les joueurs jouer au football.")</f>
        <v>Il y a plusieurs spectateurs assis sur le côté en regardant les joueurs jouer au football.</v>
      </c>
    </row>
    <row r="2668">
      <c r="A2668" s="4" t="s">
        <v>3346</v>
      </c>
      <c r="B2668" s="4" t="s">
        <v>3349</v>
      </c>
      <c r="C2668" s="5" t="str">
        <f>IFERROR(__xludf.DUMMYFUNCTION("GOOGLETRANSLATE(B2668,""en"",""fr"")"),"Le gardien de but vêtu de jaune essaie d'arrêter la balle de l'adversaire.")</f>
        <v>Le gardien de but vêtu de jaune essaie d'arrêter la balle de l'adversaire.</v>
      </c>
    </row>
    <row r="2669">
      <c r="A2669" s="4" t="s">
        <v>3346</v>
      </c>
      <c r="B2669" s="4" t="s">
        <v>3350</v>
      </c>
      <c r="C2669" s="5" t="str">
        <f>IFERROR(__xludf.DUMMYFUNCTION("GOOGLETRANSLATE(B2669,""en"",""fr"")"),"Il y a aussi un autre jeu de football entre une équipe vêtue de rouge et d'une équipe habillée en bleu.")</f>
        <v>Il y a aussi un autre jeu de football entre une équipe vêtue de rouge et d'une équipe habillée en bleu.</v>
      </c>
    </row>
    <row r="2670">
      <c r="A2670" s="4" t="s">
        <v>3346</v>
      </c>
      <c r="B2670" s="4" t="s">
        <v>3351</v>
      </c>
      <c r="C2670" s="5" t="str">
        <f>IFERROR(__xludf.DUMMYFUNCTION("GOOGLETRANSLATE(B2670,""en"",""fr"")"),"La première série d'équipes continue de jouer le jeu alors que l'équipe Blue solide marque un but.")</f>
        <v>La première série d'équipes continue de jouer le jeu alors que l'équipe Blue solide marque un but.</v>
      </c>
    </row>
    <row r="2671">
      <c r="A2671" s="4" t="s">
        <v>3352</v>
      </c>
      <c r="B2671" s="4" t="s">
        <v>3353</v>
      </c>
      <c r="C2671" s="5" t="str">
        <f>IFERROR(__xludf.DUMMYFUNCTION("GOOGLETRANSLATE(B2671,""en"",""fr"")"),"Un groupe de personnes commence à creuser une structure près du rivage.")</f>
        <v>Un groupe de personnes commence à creuser une structure près du rivage.</v>
      </c>
    </row>
    <row r="2672">
      <c r="A2672" s="4" t="s">
        <v>3352</v>
      </c>
      <c r="B2672" s="4" t="s">
        <v>3354</v>
      </c>
      <c r="C2672" s="5" t="str">
        <f>IFERROR(__xludf.DUMMYFUNCTION("GOOGLETRANSLATE(B2672,""en"",""fr"")"),"Alors que la fouille continue, plus de gens se joignent à creuser alors qu'un motif s'ensuit.")</f>
        <v>Alors que la fouille continue, plus de gens se joignent à creuser alors qu'un motif s'ensuit.</v>
      </c>
    </row>
    <row r="2673">
      <c r="A2673" s="4" t="s">
        <v>3352</v>
      </c>
      <c r="B2673" s="6" t="s">
        <v>3355</v>
      </c>
      <c r="C2673" s="5" t="str">
        <f>IFERROR(__xludf.DUMMYFUNCTION("GOOGLETRANSLATE(B2673,""en"",""fr"")"),"La fouille continue et les gens commencent à ajouter des rochers de manière linéaire autour de la plate-forme et creuser à côté des rochers et finalement couvrir les rochers de sable.")</f>
        <v>La fouille continue et les gens commencent à ajouter des rochers de manière linéaire autour de la plate-forme et creuser à côté des rochers et finalement couvrir les rochers de sable.</v>
      </c>
    </row>
    <row r="2674">
      <c r="A2674" s="4" t="s">
        <v>3352</v>
      </c>
      <c r="B2674" s="4" t="s">
        <v>3356</v>
      </c>
      <c r="C2674" s="5" t="str">
        <f>IFERROR(__xludf.DUMMYFUNCTION("GOOGLETRANSLATE(B2674,""en"",""fr"")"),"Enfin, dans la marée, monte et commence à détruire la structure créée.")</f>
        <v>Enfin, dans la marée, monte et commence à détruire la structure créée.</v>
      </c>
    </row>
    <row r="2675">
      <c r="A2675" s="4" t="s">
        <v>3352</v>
      </c>
      <c r="B2675" s="6" t="s">
        <v>3357</v>
      </c>
      <c r="C2675" s="5" t="str">
        <f>IFERROR(__xludf.DUMMYFUNCTION("GOOGLETRANSLATE(B2675,""en"",""fr"")"),"En fin de compte, les gens observent la structure défaillante et partent pendant qu'une fille se tient au milieu alors que l'eau monte et la détruit complètement.")</f>
        <v>En fin de compte, les gens observent la structure défaillante et partent pendant qu'une fille se tient au milieu alors que l'eau monte et la détruit complètement.</v>
      </c>
    </row>
    <row r="2676">
      <c r="A2676" s="4" t="s">
        <v>3358</v>
      </c>
      <c r="B2676" s="6" t="s">
        <v>3359</v>
      </c>
      <c r="C2676" s="5" t="str">
        <f>IFERROR(__xludf.DUMMYFUNCTION("GOOGLETRANSLATE(B2676,""en"",""fr"")"),"Deux personnes sont vues rouler autour des chevaux et mène à plus de gens qui montent des chevaux et se promenaient.")</f>
        <v>Deux personnes sont vues rouler autour des chevaux et mène à plus de gens qui montent des chevaux et se promenaient.</v>
      </c>
    </row>
    <row r="2677">
      <c r="A2677" s="4" t="s">
        <v>3358</v>
      </c>
      <c r="B2677" s="4" t="s">
        <v>3360</v>
      </c>
      <c r="C2677" s="5" t="str">
        <f>IFERROR(__xludf.DUMMYFUNCTION("GOOGLETRANSLATE(B2677,""en"",""fr"")"),"Un homme en mène un autre avec un cheval autour d'un champ tandis qu'un chien court derrière lui.")</f>
        <v>Un homme en mène un autre avec un cheval autour d'un champ tandis qu'un chien court derrière lui.</v>
      </c>
    </row>
    <row r="2678">
      <c r="A2678" s="4" t="s">
        <v>3358</v>
      </c>
      <c r="B2678" s="4" t="s">
        <v>3361</v>
      </c>
      <c r="C2678" s="5" t="str">
        <f>IFERROR(__xludf.DUMMYFUNCTION("GOOGLETRANSLATE(B2678,""en"",""fr"")"),"La caméra interviewe un homme qui parle aux autres tout en tenant les chevaux.")</f>
        <v>La caméra interviewe un homme qui parle aux autres tout en tenant les chevaux.</v>
      </c>
    </row>
    <row r="2679">
      <c r="A2679" s="4" t="s">
        <v>3362</v>
      </c>
      <c r="B2679" s="4" t="s">
        <v>3363</v>
      </c>
      <c r="C2679" s="5" t="str">
        <f>IFERROR(__xludf.DUMMYFUNCTION("GOOGLETRANSLATE(B2679,""en"",""fr"")"),"Un homme est vu parler à la caméra tout en tenant une laisse à différents endroits.")</f>
        <v>Un homme est vu parler à la caméra tout en tenant une laisse à différents endroits.</v>
      </c>
    </row>
    <row r="2680">
      <c r="A2680" s="4" t="s">
        <v>3362</v>
      </c>
      <c r="B2680" s="6" t="s">
        <v>3364</v>
      </c>
      <c r="C2680" s="5" t="str">
        <f>IFERROR(__xludf.DUMMYFUNCTION("GOOGLETRANSLATE(B2680,""en"",""fr"")"),"On voit alors l'homme se promener dans un chien et le mène à l'intérieur à l'intérieur en parlant toujours à la caméra.")</f>
        <v>On voit alors l'homme se promener dans un chien et le mène à l'intérieur à l'intérieur en parlant toujours à la caméra.</v>
      </c>
    </row>
    <row r="2681">
      <c r="A2681" s="4" t="s">
        <v>3362</v>
      </c>
      <c r="B2681" s="4" t="s">
        <v>3365</v>
      </c>
      <c r="C2681" s="5" t="str">
        <f>IFERROR(__xludf.DUMMYFUNCTION("GOOGLETRANSLATE(B2681,""en"",""fr"")"),"Il continue de parler plus tout en tenant la corde et en se promenant avec le chien.")</f>
        <v>Il continue de parler plus tout en tenant la corde et en se promenant avec le chien.</v>
      </c>
    </row>
    <row r="2682">
      <c r="A2682" s="4" t="s">
        <v>3366</v>
      </c>
      <c r="B2682" s="6" t="s">
        <v>3367</v>
      </c>
      <c r="C2682" s="5" t="str">
        <f>IFERROR(__xludf.DUMMYFUNCTION("GOOGLETRANSLATE(B2682,""en"",""fr"")"),"Un homme est montré en parlant à la caméra et mène à une fille athlétique se balançant sur des barres inégales.")</f>
        <v>Un homme est montré en parlant à la caméra et mène à une fille athlétique se balançant sur des barres inégales.</v>
      </c>
    </row>
    <row r="2683">
      <c r="A2683" s="4" t="s">
        <v>3366</v>
      </c>
      <c r="B2683" s="6" t="s">
        <v>3368</v>
      </c>
      <c r="C2683" s="5" t="str">
        <f>IFERROR(__xludf.DUMMYFUNCTION("GOOGLETRANSLATE(B2683,""en"",""fr"")"),"Elle saute pendant que l'homme revient à nouveau et revient et quatrième pour lui parler et ses performances.")</f>
        <v>Elle saute pendant que l'homme revient à nouveau et revient et quatrième pour lui parler et ses performances.</v>
      </c>
    </row>
    <row r="2684">
      <c r="A2684" s="4" t="s">
        <v>3366</v>
      </c>
      <c r="B2684" s="6" t="s">
        <v>3369</v>
      </c>
      <c r="C2684" s="5" t="str">
        <f>IFERROR(__xludf.DUMMYFUNCTION("GOOGLETRANSLATE(B2684,""en"",""fr"")"),"Elle met la craie sur ses mains et continue de se retourner sur les barreaux et l'homme finit par parler.")</f>
        <v>Elle met la craie sur ses mains et continue de se retourner sur les barreaux et l'homme finit par parler.</v>
      </c>
    </row>
    <row r="2685">
      <c r="A2685" s="4" t="s">
        <v>3370</v>
      </c>
      <c r="B2685" s="6" t="s">
        <v>3371</v>
      </c>
      <c r="C2685" s="5" t="str">
        <f>IFERROR(__xludf.DUMMYFUNCTION("GOOGLETRANSLATE(B2685,""en"",""fr"")"),"Une caméra se déroule sur plusieurs paysages situés dans le désert ainsi que le ciel nocturne se déplaçant.")</f>
        <v>Une caméra se déroule sur plusieurs paysages situés dans le désert ainsi que le ciel nocturne se déplaçant.</v>
      </c>
    </row>
    <row r="2686">
      <c r="A2686" s="4" t="s">
        <v>3370</v>
      </c>
      <c r="B2686" s="4" t="s">
        <v>3372</v>
      </c>
      <c r="C2686" s="5" t="str">
        <f>IFERROR(__xludf.DUMMYFUNCTION("GOOGLETRANSLATE(B2686,""en"",""fr"")"),"Le soleil se lève et plus de coups de paysages sont montrés ainsi que des animaux de la région.")</f>
        <v>Le soleil se lève et plus de coups de paysages sont montrés ainsi que des animaux de la région.</v>
      </c>
    </row>
    <row r="2687">
      <c r="A2687" s="4" t="s">
        <v>3370</v>
      </c>
      <c r="B2687" s="6" t="s">
        <v>3373</v>
      </c>
      <c r="C2687" s="5" t="str">
        <f>IFERROR(__xludf.DUMMYFUNCTION("GOOGLETRANSLATE(B2687,""en"",""fr"")"),"Les gens sont ensuite vus rouler sur un bateau à travers une rivière dure et se terminent avec un avion survolant la zone.")</f>
        <v>Les gens sont ensuite vus rouler sur un bateau à travers une rivière dure et se terminent avec un avion survolant la zone.</v>
      </c>
    </row>
    <row r="2688">
      <c r="A2688" s="4" t="s">
        <v>3374</v>
      </c>
      <c r="B2688" s="4" t="s">
        <v>3375</v>
      </c>
      <c r="C2688" s="5" t="str">
        <f>IFERROR(__xludf.DUMMYFUNCTION("GOOGLETRANSLATE(B2688,""en"",""fr"")"),"Le visage d'un homme est vu de près en parlant et l'amène à fumer une cigarette.")</f>
        <v>Le visage d'un homme est vu de près en parlant et l'amène à fumer une cigarette.</v>
      </c>
    </row>
    <row r="2689">
      <c r="A2689" s="4" t="s">
        <v>3374</v>
      </c>
      <c r="B2689" s="4" t="s">
        <v>3376</v>
      </c>
      <c r="C2689" s="5" t="str">
        <f>IFERROR(__xludf.DUMMYFUNCTION("GOOGLETRANSLATE(B2689,""en"",""fr"")"),"L'homme continue de retirer les traînées de la cigarette tout en soufflant de la fumée au loin.")</f>
        <v>L'homme continue de retirer les traînées de la cigarette tout en soufflant de la fumée au loin.</v>
      </c>
    </row>
    <row r="2690">
      <c r="A2690" s="4" t="s">
        <v>3374</v>
      </c>
      <c r="B2690" s="4" t="s">
        <v>3377</v>
      </c>
      <c r="C2690" s="5" t="str">
        <f>IFERROR(__xludf.DUMMYFUNCTION("GOOGLETRANSLATE(B2690,""en"",""fr"")"),"Il bouge la main de haut en bas pour fumer et souffler la fumée.")</f>
        <v>Il bouge la main de haut en bas pour fumer et souffler la fumée.</v>
      </c>
    </row>
    <row r="2691">
      <c r="A2691" s="4" t="s">
        <v>3378</v>
      </c>
      <c r="B2691" s="6" t="s">
        <v>3379</v>
      </c>
      <c r="C2691" s="5" t="str">
        <f>IFERROR(__xludf.DUMMYFUNCTION("GOOGLETRANSLATE(B2691,""en"",""fr"")"),"Un homme est vu parler à la caméra tout en tenant un couteau dans ses mains et commence à aigrer le couteau le long d'une planche.")</f>
        <v>Un homme est vu parler à la caméra tout en tenant un couteau dans ses mains et commence à aigrer le couteau le long d'une planche.</v>
      </c>
    </row>
    <row r="2692">
      <c r="A2692" s="4" t="s">
        <v>3378</v>
      </c>
      <c r="B2692" s="4" t="s">
        <v>3380</v>
      </c>
      <c r="C2692" s="5" t="str">
        <f>IFERROR(__xludf.DUMMYFUNCTION("GOOGLETRANSLATE(B2692,""en"",""fr"")"),"L'homme continue à affiner la lame, puis utilise d'autres planches pour aiguiser le couteau.")</f>
        <v>L'homme continue à affiner la lame, puis utilise d'autres planches pour aiguiser le couteau.</v>
      </c>
    </row>
    <row r="2693">
      <c r="A2693" s="4" t="s">
        <v>3381</v>
      </c>
      <c r="B2693" s="4" t="s">
        <v>3382</v>
      </c>
      <c r="C2693" s="5" t="str">
        <f>IFERROR(__xludf.DUMMYFUNCTION("GOOGLETRANSLATE(B2693,""en"",""fr"")"),"La femme est montrée en mettant ses pieds dans ses chaussures pendant qu'ils sont attachés.")</f>
        <v>La femme est montrée en mettant ses pieds dans ses chaussures pendant qu'ils sont attachés.</v>
      </c>
    </row>
    <row r="2694">
      <c r="A2694" s="4" t="s">
        <v>3381</v>
      </c>
      <c r="B2694" s="6" t="s">
        <v>3383</v>
      </c>
      <c r="C2694" s="5" t="str">
        <f>IFERROR(__xludf.DUMMYFUNCTION("GOOGLETRANSLATE(B2694,""en"",""fr"")"),"Mais après quelques minutes d'elle, levant ses pieds du sol, elle les enlève sans utiliser ses mains.")</f>
        <v>Mais après quelques minutes d'elle, levant ses pieds du sol, elle les enlève sans utiliser ses mains.</v>
      </c>
    </row>
    <row r="2695">
      <c r="A2695" s="4" t="s">
        <v>3381</v>
      </c>
      <c r="B2695" s="4" t="s">
        <v>3384</v>
      </c>
      <c r="C2695" s="5" t="str">
        <f>IFERROR(__xludf.DUMMYFUNCTION("GOOGLETRANSLATE(B2695,""en"",""fr"")"),"Ensuite, elle se penche pour éteindre la caméra.")</f>
        <v>Ensuite, elle se penche pour éteindre la caméra.</v>
      </c>
    </row>
    <row r="2696">
      <c r="A2696" s="4" t="s">
        <v>3385</v>
      </c>
      <c r="B2696" s="6" t="s">
        <v>3386</v>
      </c>
      <c r="C2696" s="5" t="str">
        <f>IFERROR(__xludf.DUMMYFUNCTION("GOOGLETRANSLATE(B2696,""en"",""fr"")"),"Plusieurs jeunes hommes présentent des cascades en résumé utilisant de nombreux environnements piétonnes différents pour présenter les cascades, y compris les trottoirs, les cages d'escalier, les balustrades d'escalier, les murs et les parkings.")</f>
        <v>Plusieurs jeunes hommes présentent des cascades en résumé utilisant de nombreux environnements piétonnes différents pour présenter les cascades, y compris les trottoirs, les cages d'escalier, les balustrades d'escalier, les murs et les parkings.</v>
      </c>
    </row>
    <row r="2697">
      <c r="A2697" s="4" t="s">
        <v>3385</v>
      </c>
      <c r="B2697" s="6" t="s">
        <v>3387</v>
      </c>
      <c r="C2697" s="5" t="str">
        <f>IFERROR(__xludf.DUMMYFUNCTION("GOOGLETRANSLATE(B2697,""en"",""fr"")"),"Une caméra ramasse plusieurs photos d'environnement candide ramassant des lignes de palmiers, et un vaste paysage urbain rempli de bâtiments et du feuillage.")</f>
        <v>Une caméra ramasse plusieurs photos d'environnement candide ramassant des lignes de palmiers, et un vaste paysage urbain rempli de bâtiments et du feuillage.</v>
      </c>
    </row>
    <row r="2698">
      <c r="A2698" s="4" t="s">
        <v>3385</v>
      </c>
      <c r="B2698" s="6" t="s">
        <v>3388</v>
      </c>
      <c r="C2698" s="5" t="str">
        <f>IFERROR(__xludf.DUMMYFUNCTION("GOOGLETRANSLATE(B2698,""en"",""fr"")"),"Un groupe de jeunes hommes est présenté un par un, avec un modèle de nom à l'écran, des cascades à rouleaux sur les escaliers et des balustrades d'escalier, sautant dans les airs, glissant sur des rails et atterrissant.")</f>
        <v>Un groupe de jeunes hommes est présenté un par un, avec un modèle de nom à l'écran, des cascades à rouleaux sur les escaliers et des balustrades d'escalier, sautant dans les airs, glissant sur des rails et atterrissant.</v>
      </c>
    </row>
    <row r="2699">
      <c r="A2699" s="4" t="s">
        <v>3385</v>
      </c>
      <c r="B2699" s="6" t="s">
        <v>3389</v>
      </c>
      <c r="C2699" s="5" t="str">
        <f>IFERROR(__xludf.DUMMYFUNCTION("GOOGLETRANSLATE(B2699,""en"",""fr"")"),"Les hommes présentent des mésaventures dans lesquels ils tombent après le coup, mais effectuent ensuite plus de cascades avec succès.")</f>
        <v>Les hommes présentent des mésaventures dans lesquels ils tombent après le coup, mais effectuent ensuite plus de cascades avec succès.</v>
      </c>
    </row>
    <row r="2700">
      <c r="A2700" s="4" t="s">
        <v>3390</v>
      </c>
      <c r="B2700" s="4" t="s">
        <v>3391</v>
      </c>
      <c r="C2700" s="5" t="str">
        <f>IFERROR(__xludf.DUMMYFUNCTION("GOOGLETRANSLATE(B2700,""en"",""fr"")"),"Une gymnaste est vue regarder au loin et mène à son maintien des bras.")</f>
        <v>Une gymnaste est vue regarder au loin et mène à son maintien des bras.</v>
      </c>
    </row>
    <row r="2701">
      <c r="A2701" s="4" t="s">
        <v>3390</v>
      </c>
      <c r="B2701" s="4" t="s">
        <v>3392</v>
      </c>
      <c r="C2701" s="5" t="str">
        <f>IFERROR(__xludf.DUMMYFUNCTION("GOOGLETRANSLATE(B2701,""en"",""fr"")"),"Elle saute sur une poutre et commence à effectuer divers flips et astuces.")</f>
        <v>Elle saute sur une poutre et commence à effectuer divers flips et astuces.</v>
      </c>
    </row>
    <row r="2702">
      <c r="A2702" s="4" t="s">
        <v>3390</v>
      </c>
      <c r="B2702" s="6" t="s">
        <v>3393</v>
      </c>
      <c r="C2702" s="5" t="str">
        <f>IFERROR(__xludf.DUMMYFUNCTION("GOOGLETRANSLATE(B2702,""en"",""fr"")"),"La fille saute tout autour du faisceau et se termine en sautant et en levant les bras et en souriant à la caméra.")</f>
        <v>La fille saute tout autour du faisceau et se termine en sautant et en levant les bras et en souriant à la caméra.</v>
      </c>
    </row>
    <row r="2703">
      <c r="A2703" s="4" t="s">
        <v>3394</v>
      </c>
      <c r="B2703" s="6" t="s">
        <v>3395</v>
      </c>
      <c r="C2703" s="5" t="str">
        <f>IFERROR(__xludf.DUMMYFUNCTION("GOOGLETRANSLATE(B2703,""en"",""fr"")"),"Une femme fait un lot de boisson maître nettoyante au comptoir dans la cuisine à l'aide de citrons, d'eau, de sirop et de poivron rouge.")</f>
        <v>Une femme fait un lot de boisson maître nettoyante au comptoir dans la cuisine à l'aide de citrons, d'eau, de sirop et de poivron rouge.</v>
      </c>
    </row>
    <row r="2704">
      <c r="A2704" s="4" t="s">
        <v>3394</v>
      </c>
      <c r="B2704" s="4" t="s">
        <v>3396</v>
      </c>
      <c r="C2704" s="5" t="str">
        <f>IFERROR(__xludf.DUMMYFUNCTION("GOOGLETRANSLATE(B2704,""en"",""fr"")"),"Une femme entre dans une cuisine, parle à la caméra et commence à couper et à jus des citrons.")</f>
        <v>Une femme entre dans une cuisine, parle à la caméra et commence à couper et à jus des citrons.</v>
      </c>
    </row>
    <row r="2705">
      <c r="A2705" s="4" t="s">
        <v>3394</v>
      </c>
      <c r="B2705" s="4" t="s">
        <v>3397</v>
      </c>
      <c r="C2705" s="5" t="str">
        <f>IFERROR(__xludf.DUMMYFUNCTION("GOOGLETRANSLATE(B2705,""en"",""fr"")"),"La femme verse ensuite le jus de citron dans une bouteille d'eau.")</f>
        <v>La femme verse ensuite le jus de citron dans une bouteille d'eau.</v>
      </c>
    </row>
    <row r="2706">
      <c r="A2706" s="4" t="s">
        <v>3394</v>
      </c>
      <c r="B2706" s="6" t="s">
        <v>3398</v>
      </c>
      <c r="C2706" s="5" t="str">
        <f>IFERROR(__xludf.DUMMYFUNCTION("GOOGLETRANSLATE(B2706,""en"",""fr"")"),"La femme ajoute ensuite du sirop et du poivron rouge au mélange avec des cuillères à mesure bleu et un verre à mesure, après quoi elle s'appuie sur le comptoir et parle encore plus à la caméra.")</f>
        <v>La femme ajoute ensuite du sirop et du poivron rouge au mélange avec des cuillères à mesure bleu et un verre à mesure, après quoi elle s'appuie sur le comptoir et parle encore plus à la caméra.</v>
      </c>
    </row>
    <row r="2707">
      <c r="A2707" s="4" t="s">
        <v>3399</v>
      </c>
      <c r="B2707" s="4" t="s">
        <v>3400</v>
      </c>
      <c r="C2707" s="5" t="str">
        <f>IFERROR(__xludf.DUMMYFUNCTION("GOOGLETRANSLATE(B2707,""en"",""fr"")"),"Un homme est vu assis sur un équipement d'exercice se retirant et quatrième.")</f>
        <v>Un homme est vu assis sur un équipement d'exercice se retirant et quatrième.</v>
      </c>
    </row>
    <row r="2708">
      <c r="A2708" s="4" t="s">
        <v>3399</v>
      </c>
      <c r="B2708" s="4" t="s">
        <v>3401</v>
      </c>
      <c r="C2708" s="5" t="str">
        <f>IFERROR(__xludf.DUMMYFUNCTION("GOOGLETRANSLATE(B2708,""en"",""fr"")"),"Un chien se promène dans l'homme qui travaille et se termine par la caméra face au sol.")</f>
        <v>Un chien se promène dans l'homme qui travaille et se termine par la caméra face au sol.</v>
      </c>
    </row>
    <row r="2709">
      <c r="A2709" s="4" t="s">
        <v>3402</v>
      </c>
      <c r="B2709" s="4" t="s">
        <v>3403</v>
      </c>
      <c r="C2709" s="5" t="str">
        <f>IFERROR(__xludf.DUMMYFUNCTION("GOOGLETRANSLATE(B2709,""en"",""fr"")"),"Il y a deux équipes d'hommes jouant au tir à remorqueur dans un gymnase.")</f>
        <v>Il y a deux équipes d'hommes jouant au tir à remorqueur dans un gymnase.</v>
      </c>
    </row>
    <row r="2710">
      <c r="A2710" s="4" t="s">
        <v>3402</v>
      </c>
      <c r="B2710" s="4" t="s">
        <v>3404</v>
      </c>
      <c r="C2710" s="5" t="str">
        <f>IFERROR(__xludf.DUMMYFUNCTION("GOOGLETRANSLATE(B2710,""en"",""fr"")"),"Il y a plusieurs personnes assises dans le gymnase en les regardant jouer au jeu.")</f>
        <v>Il y a plusieurs personnes assises dans le gymnase en les regardant jouer au jeu.</v>
      </c>
    </row>
    <row r="2711">
      <c r="A2711" s="4" t="s">
        <v>3402</v>
      </c>
      <c r="B2711" s="4" t="s">
        <v>3405</v>
      </c>
      <c r="C2711" s="5" t="str">
        <f>IFERROR(__xludf.DUMMYFUNCTION("GOOGLETRANSLATE(B2711,""en"",""fr"")"),"L'arbitre se tient à côté des concurrents alors qu'ils continuent de tirer la corde plus fort.")</f>
        <v>L'arbitre se tient à côté des concurrents alors qu'ils continuent de tirer la corde plus fort.</v>
      </c>
    </row>
    <row r="2712">
      <c r="A2712" s="4" t="s">
        <v>3402</v>
      </c>
      <c r="B2712" s="4" t="s">
        <v>3406</v>
      </c>
      <c r="C2712" s="5" t="str">
        <f>IFERROR(__xludf.DUMMYFUNCTION("GOOGLETRANSLATE(B2712,""en"",""fr"")"),"L'équipe adverse tire plus fort et l'équipe du blanc finit par tomber et perdre.")</f>
        <v>L'équipe adverse tire plus fort et l'équipe du blanc finit par tomber et perdre.</v>
      </c>
    </row>
    <row r="2713">
      <c r="A2713" s="4" t="s">
        <v>3407</v>
      </c>
      <c r="B2713" s="4" t="s">
        <v>3408</v>
      </c>
      <c r="C2713" s="5" t="str">
        <f>IFERROR(__xludf.DUMMYFUNCTION("GOOGLETRANSLATE(B2713,""en"",""fr"")"),"Un homme est assis sur le sol en fixant le vélo d'un enfant.")</f>
        <v>Un homme est assis sur le sol en fixant le vélo d'un enfant.</v>
      </c>
    </row>
    <row r="2714">
      <c r="A2714" s="4" t="s">
        <v>3407</v>
      </c>
      <c r="B2714" s="4" t="s">
        <v>3409</v>
      </c>
      <c r="C2714" s="5" t="str">
        <f>IFERROR(__xludf.DUMMYFUNCTION("GOOGLETRANSLATE(B2714,""en"",""fr"")"),"Un enfant en chemise jaune se tient à côté de lui à regarder.")</f>
        <v>Un enfant en chemise jaune se tient à côté de lui à regarder.</v>
      </c>
    </row>
    <row r="2715">
      <c r="A2715" s="4" t="s">
        <v>3407</v>
      </c>
      <c r="B2715" s="4" t="s">
        <v>3410</v>
      </c>
      <c r="C2715" s="5" t="str">
        <f>IFERROR(__xludf.DUMMYFUNCTION("GOOGLETRANSLATE(B2715,""en"",""fr"")"),"Un garçon dans une chemise bleue pousse un autre vélo derrière lui.")</f>
        <v>Un garçon dans une chemise bleue pousse un autre vélo derrière lui.</v>
      </c>
    </row>
    <row r="2716">
      <c r="A2716" s="4" t="s">
        <v>3411</v>
      </c>
      <c r="B2716" s="4" t="s">
        <v>3412</v>
      </c>
      <c r="C2716" s="5" t="str">
        <f>IFERROR(__xludf.DUMMYFUNCTION("GOOGLETRANSLATE(B2716,""en"",""fr"")"),"Une personne sert une glace avec un bâton à un homme, le cône tombe au sol.")</f>
        <v>Une personne sert une glace avec un bâton à un homme, le cône tombe au sol.</v>
      </c>
    </row>
    <row r="2717">
      <c r="A2717" s="4" t="s">
        <v>3411</v>
      </c>
      <c r="B2717" s="4" t="s">
        <v>3413</v>
      </c>
      <c r="C2717" s="5" t="str">
        <f>IFERROR(__xludf.DUMMYFUNCTION("GOOGLETRANSLATE(B2717,""en"",""fr"")"),"L'homme donne un autre cône, puis l'homme prend le cône et redonne à l'homme.")</f>
        <v>L'homme donne un autre cône, puis l'homme prend le cône et redonne à l'homme.</v>
      </c>
    </row>
    <row r="2718">
      <c r="A2718" s="4" t="s">
        <v>3411</v>
      </c>
      <c r="B2718" s="6" t="s">
        <v>3414</v>
      </c>
      <c r="C2718" s="5" t="str">
        <f>IFERROR(__xludf.DUMMYFUNCTION("GOOGLETRANSLATE(B2718,""en"",""fr"")"),"Après, l'homme donne le cône avec une serviette, mais il reprend le cône, après avoir donné la glace dans sa bouche.")</f>
        <v>Après, l'homme donne le cône avec une serviette, mais il reprend le cône, après avoir donné la glace dans sa bouche.</v>
      </c>
    </row>
    <row r="2719">
      <c r="A2719" s="4" t="s">
        <v>3411</v>
      </c>
      <c r="B2719" s="4" t="s">
        <v>3415</v>
      </c>
      <c r="C2719" s="5" t="str">
        <f>IFERROR(__xludf.DUMMYFUNCTION("GOOGLETRANSLATE(B2719,""en"",""fr"")"),"Enfin, l'homme donne le cône à l'homme pendant qu'une foule regarde.")</f>
        <v>Enfin, l'homme donne le cône à l'homme pendant qu'une foule regarde.</v>
      </c>
    </row>
    <row r="2720">
      <c r="A2720" s="4" t="s">
        <v>3416</v>
      </c>
      <c r="B2720" s="4" t="s">
        <v>1251</v>
      </c>
      <c r="C2720" s="5" t="str">
        <f>IFERROR(__xludf.DUMMYFUNCTION("GOOGLETRANSLATE(B2720,""en"",""fr"")"),"Les crédits du clip sont affichés.")</f>
        <v>Les crédits du clip sont affichés.</v>
      </c>
    </row>
    <row r="2721">
      <c r="A2721" s="4" t="s">
        <v>3416</v>
      </c>
      <c r="B2721" s="4" t="s">
        <v>3417</v>
      </c>
      <c r="C2721" s="5" t="str">
        <f>IFERROR(__xludf.DUMMYFUNCTION("GOOGLETRANSLATE(B2721,""en"",""fr"")"),"Un gars travaille sur un toit.")</f>
        <v>Un gars travaille sur un toit.</v>
      </c>
    </row>
    <row r="2722">
      <c r="A2722" s="4" t="s">
        <v>3416</v>
      </c>
      <c r="B2722" s="4" t="s">
        <v>3418</v>
      </c>
      <c r="C2722" s="5" t="str">
        <f>IFERROR(__xludf.DUMMYFUNCTION("GOOGLETRANSLATE(B2722,""en"",""fr"")"),"Un gars enlève les ongles et les morceaux du toit.")</f>
        <v>Un gars enlève les ongles et les morceaux du toit.</v>
      </c>
    </row>
    <row r="2723">
      <c r="A2723" s="4" t="s">
        <v>3416</v>
      </c>
      <c r="B2723" s="4" t="s">
        <v>3419</v>
      </c>
      <c r="C2723" s="5" t="str">
        <f>IFERROR(__xludf.DUMMYFUNCTION("GOOGLETRANSLATE(B2723,""en"",""fr"")"),"Un gars enlève la saleté et les brindilles du coin du toit.")</f>
        <v>Un gars enlève la saleté et les brindilles du coin du toit.</v>
      </c>
    </row>
    <row r="2724">
      <c r="A2724" s="4" t="s">
        <v>3416</v>
      </c>
      <c r="B2724" s="4" t="s">
        <v>3420</v>
      </c>
      <c r="C2724" s="5" t="str">
        <f>IFERROR(__xludf.DUMMYFUNCTION("GOOGLETRANSLATE(B2724,""en"",""fr"")"),"Un gars mesure et coupe des morceaux pour le toit.")</f>
        <v>Un gars mesure et coupe des morceaux pour le toit.</v>
      </c>
    </row>
    <row r="2725">
      <c r="A2725" s="4" t="s">
        <v>3416</v>
      </c>
      <c r="B2725" s="4" t="s">
        <v>573</v>
      </c>
      <c r="C2725" s="5" t="str">
        <f>IFERROR(__xludf.DUMMYFUNCTION("GOOGLETRANSLATE(B2725,""en"",""fr"")"),"Les crédits de la vidéo sont affichés.")</f>
        <v>Les crédits de la vidéo sont affichés.</v>
      </c>
    </row>
    <row r="2726">
      <c r="A2726" s="4" t="s">
        <v>3421</v>
      </c>
      <c r="B2726" s="4" t="s">
        <v>3422</v>
      </c>
      <c r="C2726" s="5" t="str">
        <f>IFERROR(__xludf.DUMMYFUNCTION("GOOGLETRANSLATE(B2726,""en"",""fr"")"),"Une poêle est sur un poêle avec des ingrédients sur le comptoir à côté.")</f>
        <v>Une poêle est sur un poêle avec des ingrédients sur le comptoir à côté.</v>
      </c>
    </row>
    <row r="2727">
      <c r="A2727" s="4" t="s">
        <v>3421</v>
      </c>
      <c r="B2727" s="6" t="s">
        <v>3423</v>
      </c>
      <c r="C2727" s="5" t="str">
        <f>IFERROR(__xludf.DUMMYFUNCTION("GOOGLETRANSLATE(B2727,""en"",""fr"")"),"Quelqu'un met les oignons dans la poêle et bat des œufs et d'autres ingrédients dans un bol avant de les ajouter également à la poêle.")</f>
        <v>Quelqu'un met les oignons dans la poêle et bat des œufs et d'autres ingrédients dans un bol avant de les ajouter également à la poêle.</v>
      </c>
    </row>
    <row r="2728">
      <c r="A2728" s="4" t="s">
        <v>3421</v>
      </c>
      <c r="B2728" s="4" t="s">
        <v>3424</v>
      </c>
      <c r="C2728" s="5" t="str">
        <f>IFERROR(__xludf.DUMMYFUNCTION("GOOGLETRANSLATE(B2728,""en"",""fr"")"),"Il retourne les œufs, faisant une omelette.")</f>
        <v>Il retourne les œufs, faisant une omelette.</v>
      </c>
    </row>
    <row r="2729">
      <c r="A2729" s="4" t="s">
        <v>3421</v>
      </c>
      <c r="B2729" s="4" t="s">
        <v>3425</v>
      </c>
      <c r="C2729" s="5" t="str">
        <f>IFERROR(__xludf.DUMMYFUNCTION("GOOGLETRANSLATE(B2729,""en"",""fr"")"),"Il retourne doucement l'omelette sur une assiette pour servir.")</f>
        <v>Il retourne doucement l'omelette sur une assiette pour servir.</v>
      </c>
    </row>
    <row r="2730">
      <c r="A2730" s="4" t="s">
        <v>3426</v>
      </c>
      <c r="B2730" s="4" t="s">
        <v>3427</v>
      </c>
      <c r="C2730" s="5" t="str">
        <f>IFERROR(__xludf.DUMMYFUNCTION("GOOGLETRANSLATE(B2730,""en"",""fr"")"),"Un chat blanc dort sur des tuiles en terre cuite.")</f>
        <v>Un chat blanc dort sur des tuiles en terre cuite.</v>
      </c>
    </row>
    <row r="2731">
      <c r="A2731" s="4" t="s">
        <v>3426</v>
      </c>
      <c r="B2731" s="4" t="s">
        <v>3428</v>
      </c>
      <c r="C2731" s="5" t="str">
        <f>IFERROR(__xludf.DUMMYFUNCTION("GOOGLETRANSLATE(B2731,""en"",""fr"")"),"Le texte blanc explique comment couper les ongles du chat.")</f>
        <v>Le texte blanc explique comment couper les ongles du chat.</v>
      </c>
    </row>
    <row r="2732">
      <c r="A2732" s="4" t="s">
        <v>3426</v>
      </c>
      <c r="B2732" s="4" t="s">
        <v>3429</v>
      </c>
      <c r="C2732" s="5" t="str">
        <f>IFERROR(__xludf.DUMMYFUNCTION("GOOGLETRANSLATE(B2732,""en"",""fr"")"),"Une femme prend les pattes de chats, les coupant doucement avec une tondeuse jusqu'à ce qu'elle soit terminée.")</f>
        <v>Une femme prend les pattes de chats, les coupant doucement avec une tondeuse jusqu'à ce qu'elle soit terminée.</v>
      </c>
    </row>
    <row r="2733">
      <c r="A2733" s="4" t="s">
        <v>3430</v>
      </c>
      <c r="B2733" s="4" t="s">
        <v>3431</v>
      </c>
      <c r="C2733" s="5" t="str">
        <f>IFERROR(__xludf.DUMMYFUNCTION("GOOGLETRANSLATE(B2733,""en"",""fr"")"),"Un grand groupe de personnes est vue debout sur un terrain en jouant un match de volley-ball les uns avec les autres.")</f>
        <v>Un grand groupe de personnes est vue debout sur un terrain en jouant un match de volley-ball les uns avec les autres.</v>
      </c>
    </row>
    <row r="2734">
      <c r="A2734" s="4" t="s">
        <v>3430</v>
      </c>
      <c r="B2734" s="6" t="s">
        <v>3432</v>
      </c>
      <c r="C2734" s="5" t="str">
        <f>IFERROR(__xludf.DUMMYFUNCTION("GOOGLETRANSLATE(B2734,""en"",""fr"")"),"La caméra se déroule autour de la plage et retourne aux gens qui jouent les uns avec les autres en passant le ballon.")</f>
        <v>La caméra se déroule autour de la plage et retourne aux gens qui jouent les uns avec les autres en passant le ballon.</v>
      </c>
    </row>
    <row r="2735">
      <c r="A2735" s="4" t="s">
        <v>3433</v>
      </c>
      <c r="B2735" s="4" t="s">
        <v>3434</v>
      </c>
      <c r="C2735" s="5" t="str">
        <f>IFERROR(__xludf.DUMMYFUNCTION("GOOGLETRANSLATE(B2735,""en"",""fr"")"),"Une intro pour une vidéo en cours d'exécution qui indique que la course apparaît à l'écran.")</f>
        <v>Une intro pour une vidéo en cours d'exécution qui indique que la course apparaît à l'écran.</v>
      </c>
    </row>
    <row r="2736">
      <c r="A2736" s="4" t="s">
        <v>3433</v>
      </c>
      <c r="B2736" s="6" t="s">
        <v>3435</v>
      </c>
      <c r="C2736" s="5" t="str">
        <f>IFERROR(__xludf.DUMMYFUNCTION("GOOGLETRANSLATE(B2736,""en"",""fr"")"),"Une dame commente une vidéo d'une énorme somme de personnes terminant un marathon à New York.")</f>
        <v>Une dame commente une vidéo d'une énorme somme de personnes terminant un marathon à New York.</v>
      </c>
    </row>
    <row r="2737">
      <c r="A2737" s="4" t="s">
        <v>3433</v>
      </c>
      <c r="B2737" s="6" t="s">
        <v>3436</v>
      </c>
      <c r="C2737" s="5" t="str">
        <f>IFERROR(__xludf.DUMMYFUNCTION("GOOGLETRANSLATE(B2737,""en"",""fr"")"),"La vidéo va afficher les 5 meilleurs événements de l'histoire des marathons, la dame commente chaque événement, car la vidéo compte de 5 à 1 tout en montrant que les événements se produisent, explique-t-elle chaque événement en détail.")</f>
        <v>La vidéo va afficher les 5 meilleurs événements de l'histoire des marathons, la dame commente chaque événement, car la vidéo compte de 5 à 1 tout en montrant que les événements se produisent, explique-t-elle chaque événement en détail.</v>
      </c>
    </row>
    <row r="2738">
      <c r="A2738" s="4" t="s">
        <v>3433</v>
      </c>
      <c r="B2738" s="4" t="s">
        <v>3437</v>
      </c>
      <c r="C2738" s="5" t="str">
        <f>IFERROR(__xludf.DUMMYFUNCTION("GOOGLETRANSLATE(B2738,""en"",""fr"")"),"La vidéo se termine par une image outro.")</f>
        <v>La vidéo se termine par une image outro.</v>
      </c>
    </row>
    <row r="2739">
      <c r="A2739" s="4" t="s">
        <v>3438</v>
      </c>
      <c r="B2739" s="4" t="s">
        <v>3439</v>
      </c>
      <c r="C2739" s="5" t="str">
        <f>IFERROR(__xludf.DUMMYFUNCTION("GOOGLETRANSLATE(B2739,""en"",""fr"")"),"Un homme s'agenouille sur un tapis bleu et lève une barre au-dessus de sa tête.")</f>
        <v>Un homme s'agenouille sur un tapis bleu et lève une barre au-dessus de sa tête.</v>
      </c>
    </row>
    <row r="2740">
      <c r="A2740" s="4" t="s">
        <v>3438</v>
      </c>
      <c r="B2740" s="4" t="s">
        <v>3440</v>
      </c>
      <c r="C2740" s="5" t="str">
        <f>IFERROR(__xludf.DUMMYFUNCTION("GOOGLETRANSLATE(B2740,""en"",""fr"")"),"Il se lève et s'en va.")</f>
        <v>Il se lève et s'en va.</v>
      </c>
    </row>
    <row r="2741">
      <c r="A2741" s="4" t="s">
        <v>3441</v>
      </c>
      <c r="B2741" s="4" t="s">
        <v>3442</v>
      </c>
      <c r="C2741" s="5" t="str">
        <f>IFERROR(__xludf.DUMMYFUNCTION("GOOGLETRANSLATE(B2741,""en"",""fr"")"),"Une femme est assise sur une chaise.")</f>
        <v>Une femme est assise sur une chaise.</v>
      </c>
    </row>
    <row r="2742">
      <c r="A2742" s="4" t="s">
        <v>3441</v>
      </c>
      <c r="B2742" s="4" t="s">
        <v>3443</v>
      </c>
      <c r="C2742" s="5" t="str">
        <f>IFERROR(__xludf.DUMMYFUNCTION("GOOGLETRANSLATE(B2742,""en"",""fr"")"),"Une personne peint quelque chose sur le doigt.")</f>
        <v>Une personne peint quelque chose sur le doigt.</v>
      </c>
    </row>
    <row r="2743">
      <c r="A2743" s="4" t="s">
        <v>3441</v>
      </c>
      <c r="B2743" s="4" t="s">
        <v>3444</v>
      </c>
      <c r="C2743" s="5" t="str">
        <f>IFERROR(__xludf.DUMMYFUNCTION("GOOGLETRANSLATE(B2743,""en"",""fr"")"),"La femme lève les yeux vers la caméra.")</f>
        <v>La femme lève les yeux vers la caméra.</v>
      </c>
    </row>
    <row r="2744">
      <c r="A2744" s="4" t="s">
        <v>3445</v>
      </c>
      <c r="B2744" s="4" t="s">
        <v>3446</v>
      </c>
      <c r="C2744" s="5" t="str">
        <f>IFERROR(__xludf.DUMMYFUNCTION("GOOGLETRANSLATE(B2744,""en"",""fr"")"),"La pluie tombe sur un grand auditorium.")</f>
        <v>La pluie tombe sur un grand auditorium.</v>
      </c>
    </row>
    <row r="2745">
      <c r="A2745" s="4" t="s">
        <v>3445</v>
      </c>
      <c r="B2745" s="4" t="s">
        <v>3447</v>
      </c>
      <c r="C2745" s="5" t="str">
        <f>IFERROR(__xludf.DUMMYFUNCTION("GOOGLETRANSLATE(B2745,""en"",""fr"")"),"Beaucoup de gens sont dans les tribunes.")</f>
        <v>Beaucoup de gens sont dans les tribunes.</v>
      </c>
    </row>
    <row r="2746">
      <c r="A2746" s="4" t="s">
        <v>3445</v>
      </c>
      <c r="B2746" s="4" t="s">
        <v>3448</v>
      </c>
      <c r="C2746" s="5" t="str">
        <f>IFERROR(__xludf.DUMMYFUNCTION("GOOGLETRANSLATE(B2746,""en"",""fr"")"),"Plusieurs athlètes se tiennent dans l'arène.")</f>
        <v>Plusieurs athlètes se tiennent dans l'arène.</v>
      </c>
    </row>
    <row r="2747">
      <c r="A2747" s="4" t="s">
        <v>3445</v>
      </c>
      <c r="B2747" s="4" t="s">
        <v>3449</v>
      </c>
      <c r="C2747" s="5" t="str">
        <f>IFERROR(__xludf.DUMMYFUNCTION("GOOGLETRANSLATE(B2747,""en"",""fr"")"),"Les athlètes jettent des disques sur le terrain.")</f>
        <v>Les athlètes jettent des disques sur le terrain.</v>
      </c>
    </row>
    <row r="2748">
      <c r="A2748" s="4" t="s">
        <v>3450</v>
      </c>
      <c r="B2748" s="6" t="s">
        <v>3451</v>
      </c>
      <c r="C2748" s="5" t="str">
        <f>IFERROR(__xludf.DUMMYFUNCTION("GOOGLETRANSLATE(B2748,""en"",""fr"")"),"Un garçon en jeune garçon conduit une petite tondeuse à gazon de tracteur autour de la cour d'une maison manoeuvrant autour des obstacles.")</f>
        <v>Un garçon en jeune garçon conduit une petite tondeuse à gazon de tracteur autour de la cour d'une maison manoeuvrant autour des obstacles.</v>
      </c>
    </row>
    <row r="2749">
      <c r="A2749" s="4" t="s">
        <v>3450</v>
      </c>
      <c r="B2749" s="4" t="s">
        <v>3452</v>
      </c>
      <c r="C2749" s="5" t="str">
        <f>IFERROR(__xludf.DUMMYFUNCTION("GOOGLETRANSLATE(B2749,""en"",""fr"")"),"Le garçon tond sur de petites fleurs dans l'herbe.")</f>
        <v>Le garçon tond sur de petites fleurs dans l'herbe.</v>
      </c>
    </row>
    <row r="2750">
      <c r="A2750" s="4" t="s">
        <v>3453</v>
      </c>
      <c r="B2750" s="4" t="s">
        <v>3454</v>
      </c>
      <c r="C2750" s="5" t="str">
        <f>IFERROR(__xludf.DUMMYFUNCTION("GOOGLETRANSLATE(B2750,""en"",""fr"")"),"Une femme aux cheveux bouclés et à des sourcils très chose suce un narguilé.")</f>
        <v>Une femme aux cheveux bouclés et à des sourcils très chose suce un narguilé.</v>
      </c>
    </row>
    <row r="2751">
      <c r="A2751" s="4" t="s">
        <v>3453</v>
      </c>
      <c r="B2751" s="4" t="s">
        <v>3455</v>
      </c>
      <c r="C2751" s="5" t="str">
        <f>IFERROR(__xludf.DUMMYFUNCTION("GOOGLETRANSLATE(B2751,""en"",""fr"")"),"Elle souffle toute la fumée qu'elle a inhalée, elle est allongée dans son lit seule.")</f>
        <v>Elle souffle toute la fumée qu'elle a inhalée, elle est allongée dans son lit seule.</v>
      </c>
    </row>
    <row r="2752">
      <c r="A2752" s="4" t="s">
        <v>3453</v>
      </c>
      <c r="B2752" s="4" t="s">
        <v>3456</v>
      </c>
      <c r="C2752" s="5" t="str">
        <f>IFERROR(__xludf.DUMMYFUNCTION("GOOGLETRANSLATE(B2752,""en"",""fr"")"),"Elle semble être très ennuyeuse qui souffle de fumée en enregistrant.")</f>
        <v>Elle semble être très ennuyeuse qui souffle de fumée en enregistrant.</v>
      </c>
    </row>
    <row r="2753">
      <c r="A2753" s="4" t="s">
        <v>3453</v>
      </c>
      <c r="B2753" s="6" t="s">
        <v>3457</v>
      </c>
      <c r="C2753" s="5" t="str">
        <f>IFERROR(__xludf.DUMMYFUNCTION("GOOGLETRANSLATE(B2753,""en"",""fr"")"),"Il s'avère qu'il y a une autre personne dans la pièce avec elle la nourrir, elle sourit vraiment grande et continue d'exhaler de la fumée.")</f>
        <v>Il s'avère qu'il y a une autre personne dans la pièce avec elle la nourrir, elle sourit vraiment grande et continue d'exhaler de la fumée.</v>
      </c>
    </row>
    <row r="2754">
      <c r="A2754" s="4" t="s">
        <v>3458</v>
      </c>
      <c r="B2754" s="4" t="s">
        <v>3459</v>
      </c>
      <c r="C2754" s="5" t="str">
        <f>IFERROR(__xludf.DUMMYFUNCTION("GOOGLETRANSLATE(B2754,""en"",""fr"")"),"Un coureur court sur une piste devant une foule de gens.")</f>
        <v>Un coureur court sur une piste devant une foule de gens.</v>
      </c>
    </row>
    <row r="2755">
      <c r="A2755" s="4" t="s">
        <v>3458</v>
      </c>
      <c r="B2755" s="4" t="s">
        <v>3460</v>
      </c>
      <c r="C2755" s="5" t="str">
        <f>IFERROR(__xludf.DUMMYFUNCTION("GOOGLETRANSLATE(B2755,""en"",""fr"")"),"Un homme est montré en parlant à la caméra.")</f>
        <v>Un homme est montré en parlant à la caméra.</v>
      </c>
    </row>
    <row r="2756">
      <c r="A2756" s="4" t="s">
        <v>3458</v>
      </c>
      <c r="B2756" s="4" t="s">
        <v>3461</v>
      </c>
      <c r="C2756" s="5" t="str">
        <f>IFERROR(__xludf.DUMMYFUNCTION("GOOGLETRANSLATE(B2756,""en"",""fr"")"),"Les coureurs courent sur une piste avec des foules des deux côtés et l'un des coureurs trébuche.")</f>
        <v>Les coureurs courent sur une piste avec des foules des deux côtés et l'un des coureurs trébuche.</v>
      </c>
    </row>
    <row r="2757">
      <c r="A2757" s="4" t="s">
        <v>3458</v>
      </c>
      <c r="B2757" s="4" t="s">
        <v>3462</v>
      </c>
      <c r="C2757" s="5" t="str">
        <f>IFERROR(__xludf.DUMMYFUNCTION("GOOGLETRANSLATE(B2757,""en"",""fr"")"),"Un autre coureur est montré et un homme est montré en parlant à la caméra.")</f>
        <v>Un autre coureur est montré et un homme est montré en parlant à la caméra.</v>
      </c>
    </row>
    <row r="2758">
      <c r="A2758" s="4" t="s">
        <v>3458</v>
      </c>
      <c r="B2758" s="4" t="s">
        <v>3463</v>
      </c>
      <c r="C2758" s="5" t="str">
        <f>IFERROR(__xludf.DUMMYFUNCTION("GOOGLETRANSLATE(B2758,""en"",""fr"")"),"Un coureur rampe sur une ligne d'arrivée tandis que d'autres coureurs traversent la ligne d'arrivée.")</f>
        <v>Un coureur rampe sur une ligne d'arrivée tandis que d'autres coureurs traversent la ligne d'arrivée.</v>
      </c>
    </row>
    <row r="2759">
      <c r="A2759" s="4" t="s">
        <v>3458</v>
      </c>
      <c r="B2759" s="4" t="s">
        <v>3464</v>
      </c>
      <c r="C2759" s="5" t="str">
        <f>IFERROR(__xludf.DUMMYFUNCTION("GOOGLETRANSLATE(B2759,""en"",""fr"")"),"Le coureur en détresse est emporté.")</f>
        <v>Le coureur en détresse est emporté.</v>
      </c>
    </row>
    <row r="2760">
      <c r="A2760" s="4" t="s">
        <v>3458</v>
      </c>
      <c r="B2760" s="4" t="s">
        <v>3465</v>
      </c>
      <c r="C2760" s="5" t="str">
        <f>IFERROR(__xludf.DUMMYFUNCTION("GOOGLETRANSLATE(B2760,""en"",""fr"")"),"Les coureurs en détresse sont montrés.")</f>
        <v>Les coureurs en détresse sont montrés.</v>
      </c>
    </row>
    <row r="2761">
      <c r="A2761" s="4" t="s">
        <v>3458</v>
      </c>
      <c r="B2761" s="4" t="s">
        <v>539</v>
      </c>
      <c r="C2761" s="5" t="str">
        <f>IFERROR(__xludf.DUMMYFUNCTION("GOOGLETRANSLATE(B2761,""en"",""fr"")"),"Un homme parle à la caméra.")</f>
        <v>Un homme parle à la caméra.</v>
      </c>
    </row>
    <row r="2762">
      <c r="A2762" s="4" t="s">
        <v>3458</v>
      </c>
      <c r="B2762" s="4" t="s">
        <v>3466</v>
      </c>
      <c r="C2762" s="5" t="str">
        <f>IFERROR(__xludf.DUMMYFUNCTION("GOOGLETRANSLATE(B2762,""en"",""fr"")"),"Divers coureurs sont montrés en détresse et parlent à la caméra.")</f>
        <v>Divers coureurs sont montrés en détresse et parlent à la caméra.</v>
      </c>
    </row>
    <row r="2763">
      <c r="A2763" s="4" t="s">
        <v>3458</v>
      </c>
      <c r="B2763" s="4" t="s">
        <v>3467</v>
      </c>
      <c r="C2763" s="5" t="str">
        <f>IFERROR(__xludf.DUMMYFUNCTION("GOOGLETRANSLATE(B2763,""en"",""fr"")"),"Des coureurs plus en détresse sont montrés.")</f>
        <v>Des coureurs plus en détresse sont montrés.</v>
      </c>
    </row>
    <row r="2764">
      <c r="A2764" s="4" t="s">
        <v>3468</v>
      </c>
      <c r="B2764" s="4" t="s">
        <v>3469</v>
      </c>
      <c r="C2764" s="5" t="str">
        <f>IFERROR(__xludf.DUMMYFUNCTION("GOOGLETRANSLATE(B2764,""en"",""fr"")"),"Une personne tente des sauts en hauteur.")</f>
        <v>Une personne tente des sauts en hauteur.</v>
      </c>
    </row>
    <row r="2765">
      <c r="A2765" s="4" t="s">
        <v>3468</v>
      </c>
      <c r="B2765" s="4" t="s">
        <v>3470</v>
      </c>
      <c r="C2765" s="5" t="str">
        <f>IFERROR(__xludf.DUMMYFUNCTION("GOOGLETRANSLATE(B2765,""en"",""fr"")"),"Les premières tentatives sont bonnes.")</f>
        <v>Les premières tentatives sont bonnes.</v>
      </c>
    </row>
    <row r="2766">
      <c r="A2766" s="4" t="s">
        <v>3468</v>
      </c>
      <c r="B2766" s="4" t="s">
        <v>3471</v>
      </c>
      <c r="C2766" s="5" t="str">
        <f>IFERROR(__xludf.DUMMYFUNCTION("GOOGLETRANSLATE(B2766,""en"",""fr"")"),"La dernière tentative n'est jamais réalisée.")</f>
        <v>La dernière tentative n'est jamais réalisée.</v>
      </c>
    </row>
    <row r="2767">
      <c r="A2767" s="4" t="s">
        <v>3472</v>
      </c>
      <c r="B2767" s="6" t="s">
        <v>3473</v>
      </c>
      <c r="C2767" s="5" t="str">
        <f>IFERROR(__xludf.DUMMYFUNCTION("GOOGLETRANSLATE(B2767,""en"",""fr"")"),"Deux hommes sont montrés en train de jouer un match de lutte de bras avec beaucoup de regards sur la touche et un reflète d'appeler qui est le vainqueur.")</f>
        <v>Deux hommes sont montrés en train de jouer un match de lutte de bras avec beaucoup de regards sur la touche et un reflète d'appeler qui est le vainqueur.</v>
      </c>
    </row>
    <row r="2768">
      <c r="A2768" s="4" t="s">
        <v>3472</v>
      </c>
      <c r="B2768" s="6" t="s">
        <v>3474</v>
      </c>
      <c r="C2768" s="5" t="str">
        <f>IFERROR(__xludf.DUMMYFUNCTION("GOOGLETRANSLATE(B2768,""en"",""fr"")"),"Plusieurs autres hommes se battent et quatrième les uns avec les autres et plus de gens entrant et sortant du cadre pour regarder.")</f>
        <v>Plusieurs autres hommes se battent et quatrième les uns avec les autres et plus de gens entrant et sortant du cadre pour regarder.</v>
      </c>
    </row>
    <row r="2769">
      <c r="A2769" s="4" t="s">
        <v>3475</v>
      </c>
      <c r="B2769" s="4" t="s">
        <v>3476</v>
      </c>
      <c r="C2769" s="5" t="str">
        <f>IFERROR(__xludf.DUMMYFUNCTION("GOOGLETRANSLATE(B2769,""en"",""fr"")"),"Les gens effectue des déménageurs martiaux des arts, se tenant sur la tête et tournant.")</f>
        <v>Les gens effectue des déménageurs martiaux des arts, se tenant sur la tête et tournant.</v>
      </c>
    </row>
    <row r="2770">
      <c r="A2770" s="4" t="s">
        <v>3475</v>
      </c>
      <c r="B2770" s="4" t="s">
        <v>3477</v>
      </c>
      <c r="C2770" s="5" t="str">
        <f>IFERROR(__xludf.DUMMYFUNCTION("GOOGLETRANSLATE(B2770,""en"",""fr"")"),"Ensuite, un homme et un garçon sautent, puis les enfants se tiennent sur leur tête en tournant.")</f>
        <v>Ensuite, un homme et un garçon sautent, puis les enfants se tiennent sur leur tête en tournant.</v>
      </c>
    </row>
    <row r="2771">
      <c r="A2771" s="4" t="s">
        <v>3475</v>
      </c>
      <c r="B2771" s="4" t="s">
        <v>3478</v>
      </c>
      <c r="C2771" s="5" t="str">
        <f>IFERROR(__xludf.DUMMYFUNCTION("GOOGLETRANSLATE(B2771,""en"",""fr"")"),"Les garçons plient son corps en arrière jusqu'à ce que les pieds atteignent le sol.")</f>
        <v>Les garçons plient son corps en arrière jusqu'à ce que les pieds atteignent le sol.</v>
      </c>
    </row>
    <row r="2772">
      <c r="A2772" s="4" t="s">
        <v>3475</v>
      </c>
      <c r="B2772" s="4" t="s">
        <v>3479</v>
      </c>
      <c r="C2772" s="5" t="str">
        <f>IFERROR(__xludf.DUMMYFUNCTION("GOOGLETRANSLATE(B2772,""en"",""fr"")"),"Les adolescents tournent leur corps et se penchent à l'autre extrémité.")</f>
        <v>Les adolescents tournent leur corps et se penchent à l'autre extrémité.</v>
      </c>
    </row>
    <row r="2773">
      <c r="A2773" s="4" t="s">
        <v>3480</v>
      </c>
      <c r="B2773" s="6" t="s">
        <v>3481</v>
      </c>
      <c r="C2773" s="5" t="str">
        <f>IFERROR(__xludf.DUMMYFUNCTION("GOOGLETRANSLATE(B2773,""en"",""fr"")"),"Une femme prépare un caniche en colère qui est à col et attaché à un poteau attaché à une table de toilettage noir.")</f>
        <v>Une femme prépare un caniche en colère qui est à col et attaché à un poteau attaché à une table de toilettage noir.</v>
      </c>
    </row>
    <row r="2774">
      <c r="A2774" s="4" t="s">
        <v>3480</v>
      </c>
      <c r="B2774" s="4" t="s">
        <v>3482</v>
      </c>
      <c r="C2774" s="5" t="str">
        <f>IFERROR(__xludf.DUMMYFUNCTION("GOOGLETRANSLATE(B2774,""en"",""fr"")"),"Un caniche brun est peigné par une femme dans une pièce murale jaune sur une table de toilettage noire.")</f>
        <v>Un caniche brun est peigné par une femme dans une pièce murale jaune sur une table de toilettage noire.</v>
      </c>
    </row>
    <row r="2775">
      <c r="A2775" s="4" t="s">
        <v>3480</v>
      </c>
      <c r="B2775" s="6" t="s">
        <v>3483</v>
      </c>
      <c r="C2775" s="5" t="str">
        <f>IFERROR(__xludf.DUMMYFUNCTION("GOOGLETRANSLATE(B2775,""en"",""fr"")"),"La femme tient un jouet en plastique rose que le chien commence à mordre, à se casser et à saisir pendant que la femme combine la fourrure de caniches.")</f>
        <v>La femme tient un jouet en plastique rose que le chien commence à mordre, à se casser et à saisir pendant que la femme combine la fourrure de caniches.</v>
      </c>
    </row>
    <row r="2776">
      <c r="A2776" s="4" t="s">
        <v>3480</v>
      </c>
      <c r="B2776" s="4" t="s">
        <v>3484</v>
      </c>
      <c r="C2776" s="5" t="str">
        <f>IFERROR(__xludf.DUMMYFUNCTION("GOOGLETRANSLATE(B2776,""en"",""fr"")"),"Le caniche continue de se casser sur le jouet rose et aussi de la main de la femme et du peigne.")</f>
        <v>Le caniche continue de se casser sur le jouet rose et aussi de la main de la femme et du peigne.</v>
      </c>
    </row>
    <row r="2777">
      <c r="A2777" s="4" t="s">
        <v>3485</v>
      </c>
      <c r="B2777" s="4" t="s">
        <v>3486</v>
      </c>
      <c r="C2777" s="5" t="str">
        <f>IFERROR(__xludf.DUMMYFUNCTION("GOOGLETRANSLATE(B2777,""en"",""fr"")"),"Un gymnaste monte un faisceau de piste dans une salle de sport.")</f>
        <v>Un gymnaste monte un faisceau de piste dans une salle de sport.</v>
      </c>
    </row>
    <row r="2778">
      <c r="A2778" s="4" t="s">
        <v>3485</v>
      </c>
      <c r="B2778" s="4" t="s">
        <v>3487</v>
      </c>
      <c r="C2778" s="5" t="str">
        <f>IFERROR(__xludf.DUMMYFUNCTION("GOOGLETRANSLATE(B2778,""en"",""fr"")"),"Elle se produit sur le faisceau, faisant desprings et des flips.")</f>
        <v>Elle se produit sur le faisceau, faisant desprings et des flips.</v>
      </c>
    </row>
    <row r="2779">
      <c r="A2779" s="4" t="s">
        <v>3485</v>
      </c>
      <c r="B2779" s="4" t="s">
        <v>3488</v>
      </c>
      <c r="C2779" s="5" t="str">
        <f>IFERROR(__xludf.DUMMYFUNCTION("GOOGLETRANSLATE(B2779,""en"",""fr"")"),"Elle démonte ensuite les mains en l'air.")</f>
        <v>Elle démonte ensuite les mains en l'air.</v>
      </c>
    </row>
    <row r="2780">
      <c r="A2780" s="4" t="s">
        <v>3489</v>
      </c>
      <c r="B2780" s="4" t="s">
        <v>3490</v>
      </c>
      <c r="C2780" s="5" t="str">
        <f>IFERROR(__xludf.DUMMYFUNCTION("GOOGLETRANSLATE(B2780,""en"",""fr"")"),"Une femme se tient près d'une porte de salle de bain qui parle.")</f>
        <v>Une femme se tient près d'une porte de salle de bain qui parle.</v>
      </c>
    </row>
    <row r="2781">
      <c r="A2781" s="4" t="s">
        <v>3489</v>
      </c>
      <c r="B2781" s="4" t="s">
        <v>3491</v>
      </c>
      <c r="C2781" s="5" t="str">
        <f>IFERROR(__xludf.DUMMYFUNCTION("GOOGLETRANSLATE(B2781,""en"",""fr"")"),"La même femme est maintenant vue sur un vélo stationnaire enseignant un cours de spin.")</f>
        <v>La même femme est maintenant vue sur un vélo stationnaire enseignant un cours de spin.</v>
      </c>
    </row>
    <row r="2782">
      <c r="A2782" s="4" t="s">
        <v>3489</v>
      </c>
      <c r="B2782" s="6" t="s">
        <v>3492</v>
      </c>
      <c r="C2782" s="5" t="str">
        <f>IFERROR(__xludf.DUMMYFUNCTION("GOOGLETRANSLATE(B2782,""en"",""fr"")"),"Plusieurs autres personnes de la classe peuvent être vues sur des vélos stationnaires dans le miroir derrière l'instructeur.")</f>
        <v>Plusieurs autres personnes de la classe peuvent être vues sur des vélos stationnaires dans le miroir derrière l'instructeur.</v>
      </c>
    </row>
    <row r="2783">
      <c r="A2783" s="4" t="s">
        <v>3489</v>
      </c>
      <c r="B2783" s="4" t="s">
        <v>3493</v>
      </c>
      <c r="C2783" s="5" t="str">
        <f>IFERROR(__xludf.DUMMYFUNCTION("GOOGLETRANSLATE(B2783,""en"",""fr"")"),"La femme est ensuite montrée sur le terrain démontrant un exercice.")</f>
        <v>La femme est ensuite montrée sur le terrain démontrant un exercice.</v>
      </c>
    </row>
    <row r="2784">
      <c r="A2784" s="4" t="s">
        <v>3489</v>
      </c>
      <c r="B2784" s="4" t="s">
        <v>3494</v>
      </c>
      <c r="C2784" s="5" t="str">
        <f>IFERROR(__xludf.DUMMYFUNCTION("GOOGLETRANSLATE(B2784,""en"",""fr"")"),"La classe Spin est encore représentée en cours.")</f>
        <v>La classe Spin est encore représentée en cours.</v>
      </c>
    </row>
    <row r="2785">
      <c r="A2785" s="4" t="s">
        <v>3489</v>
      </c>
      <c r="B2785" s="4" t="s">
        <v>3495</v>
      </c>
      <c r="C2785" s="5" t="str">
        <f>IFERROR(__xludf.DUMMYFUNCTION("GOOGLETRANSLATE(B2785,""en"",""fr"")"),"L'instructeur fait ensuite des exercices au sol avec la classe qui suit.")</f>
        <v>L'instructeur fait ensuite des exercices au sol avec la classe qui suit.</v>
      </c>
    </row>
    <row r="2786">
      <c r="A2786" s="4" t="s">
        <v>3489</v>
      </c>
      <c r="B2786" s="4" t="s">
        <v>3496</v>
      </c>
      <c r="C2786" s="5" t="str">
        <f>IFERROR(__xludf.DUMMYFUNCTION("GOOGLETRANSLATE(B2786,""en"",""fr"")"),"L'instructeur et la classe terminent à nouveau sur les vélos.")</f>
        <v>L'instructeur et la classe terminent à nouveau sur les vélos.</v>
      </c>
    </row>
    <row r="2787">
      <c r="A2787" s="4" t="s">
        <v>3497</v>
      </c>
      <c r="B2787" s="4" t="s">
        <v>3498</v>
      </c>
      <c r="C2787" s="5" t="str">
        <f>IFERROR(__xludf.DUMMYFUNCTION("GOOGLETRANSLATE(B2787,""en"",""fr"")"),"Une dame se tient et parle dans une salle de sport.")</f>
        <v>Une dame se tient et parle dans une salle de sport.</v>
      </c>
    </row>
    <row r="2788">
      <c r="A2788" s="4" t="s">
        <v>3497</v>
      </c>
      <c r="B2788" s="4" t="s">
        <v>3499</v>
      </c>
      <c r="C2788" s="5" t="str">
        <f>IFERROR(__xludf.DUMMYFUNCTION("GOOGLETRANSLATE(B2788,""en"",""fr"")"),"Elle pointe son abdomen, puis pose sur un banc.")</f>
        <v>Elle pointe son abdomen, puis pose sur un banc.</v>
      </c>
    </row>
    <row r="2789">
      <c r="A2789" s="4" t="s">
        <v>3497</v>
      </c>
      <c r="B2789" s="4" t="s">
        <v>3500</v>
      </c>
      <c r="C2789" s="5" t="str">
        <f>IFERROR(__xludf.DUMMYFUNCTION("GOOGLETRANSLATE(B2789,""en"",""fr"")"),"La dame tient le banc et soulève son abdomen et ses jambes.")</f>
        <v>La dame tient le banc et soulève son abdomen et ses jambes.</v>
      </c>
    </row>
    <row r="2790">
      <c r="A2790" s="4" t="s">
        <v>3497</v>
      </c>
      <c r="B2790" s="4" t="s">
        <v>3501</v>
      </c>
      <c r="C2790" s="5" t="str">
        <f>IFERROR(__xludf.DUMMYFUNCTION("GOOGLETRANSLATE(B2790,""en"",""fr"")"),"La dame s'assoit et se précipite au bord.")</f>
        <v>La dame s'assoit et se précipite au bord.</v>
      </c>
    </row>
    <row r="2791">
      <c r="A2791" s="4" t="s">
        <v>3497</v>
      </c>
      <c r="B2791" s="4" t="s">
        <v>3502</v>
      </c>
      <c r="C2791" s="5" t="str">
        <f>IFERROR(__xludf.DUMMYFUNCTION("GOOGLETRANSLATE(B2791,""en"",""fr"")"),"La dame effectue le même exercice avec ses fesses suspendues sur le banc.")</f>
        <v>La dame effectue le même exercice avec ses fesses suspendues sur le banc.</v>
      </c>
    </row>
    <row r="2792">
      <c r="A2792" s="4" t="s">
        <v>3497</v>
      </c>
      <c r="B2792" s="4" t="s">
        <v>3503</v>
      </c>
      <c r="C2792" s="5" t="str">
        <f>IFERROR(__xludf.DUMMYFUNCTION("GOOGLETRANSLATE(B2792,""en"",""fr"")"),"La dame termine, s'assoit debout et parle.")</f>
        <v>La dame termine, s'assoit debout et parle.</v>
      </c>
    </row>
    <row r="2793">
      <c r="A2793" s="4" t="s">
        <v>3504</v>
      </c>
      <c r="B2793" s="6" t="s">
        <v>3505</v>
      </c>
      <c r="C2793" s="5" t="str">
        <f>IFERROR(__xludf.DUMMYFUNCTION("GOOGLETRANSLATE(B2793,""en"",""fr"")"),"Une femme est vue hébergeant un segment d'actualités qui mène à des clips de pompiers qui coulent un bloc et portant des objets au-dessus de leur tête.")</f>
        <v>Une femme est vue hébergeant un segment d'actualités qui mène à des clips de pompiers qui coulent un bloc et portant des objets au-dessus de leur tête.</v>
      </c>
    </row>
    <row r="2794">
      <c r="A2794" s="4" t="s">
        <v>3504</v>
      </c>
      <c r="B2794" s="6" t="s">
        <v>3506</v>
      </c>
      <c r="C2794" s="5" t="str">
        <f>IFERROR(__xludf.DUMMYFUNCTION("GOOGLETRANSLATE(B2794,""en"",""fr"")"),"Plus de gens sont vus parler à la caméra alors qu'ils continuent de courir et des femmes parlant à la caméra.")</f>
        <v>Plus de gens sont vus parler à la caméra alors qu'ils continuent de courir et des femmes parlant à la caméra.</v>
      </c>
    </row>
    <row r="2795">
      <c r="A2795" s="4" t="s">
        <v>3507</v>
      </c>
      <c r="B2795" s="4" t="s">
        <v>3508</v>
      </c>
      <c r="C2795" s="5" t="str">
        <f>IFERROR(__xludf.DUMMYFUNCTION("GOOGLETRANSLATE(B2795,""en"",""fr"")"),"Une pelle à la neige individuelle, mais seules les jambes inférieures et la pelle sont visibles sur la caméra.")</f>
        <v>Une pelle à la neige individuelle, mais seules les jambes inférieures et la pelle sont visibles sur la caméra.</v>
      </c>
    </row>
    <row r="2796">
      <c r="A2796" s="4" t="s">
        <v>3507</v>
      </c>
      <c r="B2796" s="4" t="s">
        <v>3509</v>
      </c>
      <c r="C2796" s="5" t="str">
        <f>IFERROR(__xludf.DUMMYFUNCTION("GOOGLETRANSLATE(B2796,""en"",""fr"")"),"L'individu met de côté la pelle et se dirige vers la caméra.")</f>
        <v>L'individu met de côté la pelle et se dirige vers la caméra.</v>
      </c>
    </row>
    <row r="2797">
      <c r="A2797" s="4" t="s">
        <v>3507</v>
      </c>
      <c r="B2797" s="4" t="s">
        <v>3510</v>
      </c>
      <c r="C2797" s="5" t="str">
        <f>IFERROR(__xludf.DUMMYFUNCTION("GOOGLETRANSLATE(B2797,""en"",""fr"")"),"La caméra montre une fois de plus la pelletage individuelle.")</f>
        <v>La caméra montre une fois de plus la pelletage individuelle.</v>
      </c>
    </row>
    <row r="2798">
      <c r="A2798" s="4" t="s">
        <v>3511</v>
      </c>
      <c r="B2798" s="4" t="s">
        <v>3512</v>
      </c>
      <c r="C2798" s="5" t="str">
        <f>IFERROR(__xludf.DUMMYFUNCTION("GOOGLETRANSLATE(B2798,""en"",""fr"")"),"Un homme dans un costume d'échauffement gris pratique le tournage derrière un filet.")</f>
        <v>Un homme dans un costume d'échauffement gris pratique le tournage derrière un filet.</v>
      </c>
    </row>
    <row r="2799">
      <c r="A2799" s="4" t="s">
        <v>3511</v>
      </c>
      <c r="B2799" s="4" t="s">
        <v>3513</v>
      </c>
      <c r="C2799" s="5" t="str">
        <f>IFERROR(__xludf.DUMMYFUNCTION("GOOGLETRANSLATE(B2799,""en"",""fr"")"),"Un autre homme dans un sweat-shirt vert pratique un lancer de poids dans un champ derrière une porte nette.")</f>
        <v>Un autre homme dans un sweat-shirt vert pratique un lancer de poids dans un champ derrière une porte nette.</v>
      </c>
    </row>
    <row r="2800">
      <c r="A2800" s="4" t="s">
        <v>3511</v>
      </c>
      <c r="B2800" s="4" t="s">
        <v>3514</v>
      </c>
      <c r="C2800" s="5" t="str">
        <f>IFERROR(__xludf.DUMMYFUNCTION("GOOGLETRANSLATE(B2800,""en"",""fr"")"),"Des photos sont encore en vedette entre plusieurs hommes pratiquant leur lancer de poids.")</f>
        <v>Des photos sont encore en vedette entre plusieurs hommes pratiquant leur lancer de poids.</v>
      </c>
    </row>
    <row r="2801">
      <c r="A2801" s="4" t="s">
        <v>3511</v>
      </c>
      <c r="B2801" s="4" t="s">
        <v>3515</v>
      </c>
      <c r="C2801" s="5" t="str">
        <f>IFERROR(__xludf.DUMMYFUNCTION("GOOGLETRANSLATE(B2801,""en"",""fr"")"),"Une série de lancers de poids est présentée dans des lancers consécutifs.")</f>
        <v>Une série de lancers de poids est présentée dans des lancers consécutifs.</v>
      </c>
    </row>
    <row r="2802">
      <c r="A2802" s="4" t="s">
        <v>3516</v>
      </c>
      <c r="B2802" s="4" t="s">
        <v>3517</v>
      </c>
      <c r="C2802" s="5" t="str">
        <f>IFERROR(__xludf.DUMMYFUNCTION("GOOGLETRANSLATE(B2802,""en"",""fr"")"),"Un homme est vu décorer un gâteau les yeux bandés tandis qu'un petit groupe de personnes regarde.")</f>
        <v>Un homme est vu décorer un gâteau les yeux bandés tandis qu'un petit groupe de personnes regarde.</v>
      </c>
    </row>
    <row r="2803">
      <c r="A2803" s="4" t="s">
        <v>3516</v>
      </c>
      <c r="B2803" s="4" t="s">
        <v>3518</v>
      </c>
      <c r="C2803" s="5" t="str">
        <f>IFERROR(__xludf.DUMMYFUNCTION("GOOGLETRANSLATE(B2803,""en"",""fr"")"),"L'homme ajoute du glaçage au gâteau tandis que d'autres continuent de regarder ainsi que d'autres ingrédients.")</f>
        <v>L'homme ajoute du glaçage au gâteau tandis que d'autres continuent de regarder ainsi que d'autres ingrédients.</v>
      </c>
    </row>
    <row r="2804">
      <c r="A2804" s="4" t="s">
        <v>3516</v>
      </c>
      <c r="B2804" s="6" t="s">
        <v>3519</v>
      </c>
      <c r="C2804" s="5" t="str">
        <f>IFERROR(__xludf.DUMMYFUNCTION("GOOGLETRANSLATE(B2804,""en"",""fr"")"),"Il enlève le bandeau et les applaudissements ainsi que pour mettre des tenues d'Hawaï sur tout le monde et danser.")</f>
        <v>Il enlève le bandeau et les applaudissements ainsi que pour mettre des tenues d'Hawaï sur tout le monde et danser.</v>
      </c>
    </row>
    <row r="2805">
      <c r="A2805" s="4" t="s">
        <v>3520</v>
      </c>
      <c r="B2805" s="4" t="s">
        <v>3521</v>
      </c>
      <c r="C2805" s="5" t="str">
        <f>IFERROR(__xludf.DUMMYFUNCTION("GOOGLETRANSLATE(B2805,""en"",""fr"")"),"Un homme est à l'extérieur sur le toit de son hangar avec un souffleur de feuilles prêt à nettoyer les feuilles du toit.")</f>
        <v>Un homme est à l'extérieur sur le toit de son hangar avec un souffleur de feuilles prêt à nettoyer les feuilles du toit.</v>
      </c>
    </row>
    <row r="2806">
      <c r="A2806" s="4" t="s">
        <v>3520</v>
      </c>
      <c r="B2806" s="6" t="s">
        <v>3522</v>
      </c>
      <c r="C2806" s="5" t="str">
        <f>IFERROR(__xludf.DUMMYFUNCTION("GOOGLETRANSLATE(B2806,""en"",""fr"")"),"Il montre un gros plan du souffleur de feuilles et en explique les détails, amorce la machine, détruit la caméra et le démarre.")</f>
        <v>Il montre un gros plan du souffleur de feuilles et en explique les détails, amorce la machine, détruit la caméra et le démarre.</v>
      </c>
    </row>
    <row r="2807">
      <c r="A2807" s="4" t="s">
        <v>3520</v>
      </c>
      <c r="B2807" s="4" t="s">
        <v>3523</v>
      </c>
      <c r="C2807" s="5" t="str">
        <f>IFERROR(__xludf.DUMMYFUNCTION("GOOGLETRANSLATE(B2807,""en"",""fr"")"),"Il ramasse la caméra et obtient à nouveau un gros plan du souffleur de feuilles.")</f>
        <v>Il ramasse la caméra et obtient à nouveau un gros plan du souffleur de feuilles.</v>
      </c>
    </row>
    <row r="2808">
      <c r="A2808" s="4" t="s">
        <v>3520</v>
      </c>
      <c r="B2808" s="4" t="s">
        <v>3524</v>
      </c>
      <c r="C2808" s="5" t="str">
        <f>IFERROR(__xludf.DUMMYFUNCTION("GOOGLETRANSLATE(B2808,""en"",""fr"")"),"Il souffle maintenant les feuilles du toit de son hangar.")</f>
        <v>Il souffle maintenant les feuilles du toit de son hangar.</v>
      </c>
    </row>
    <row r="2809">
      <c r="A2809" s="4" t="s">
        <v>3525</v>
      </c>
      <c r="B2809" s="4" t="s">
        <v>3526</v>
      </c>
      <c r="C2809" s="5" t="str">
        <f>IFERROR(__xludf.DUMMYFUNCTION("GOOGLETRANSLATE(B2809,""en"",""fr"")"),"Un homme s'habille pour skier dans la neige qui tombe.")</f>
        <v>Un homme s'habille pour skier dans la neige qui tombe.</v>
      </c>
    </row>
    <row r="2810">
      <c r="A2810" s="4" t="s">
        <v>3525</v>
      </c>
      <c r="B2810" s="4" t="s">
        <v>3527</v>
      </c>
      <c r="C2810" s="5" t="str">
        <f>IFERROR(__xludf.DUMMYFUNCTION("GOOGLETRANSLATE(B2810,""en"",""fr"")"),"Il parle à la caméra du ski.")</f>
        <v>Il parle à la caméra du ski.</v>
      </c>
    </row>
    <row r="2811">
      <c r="A2811" s="4" t="s">
        <v>3525</v>
      </c>
      <c r="B2811" s="4" t="s">
        <v>3528</v>
      </c>
      <c r="C2811" s="5" t="str">
        <f>IFERROR(__xludf.DUMMYFUNCTION("GOOGLETRANSLATE(B2811,""en"",""fr"")"),"Il est alors vu passer dans les airs et descendre des pentes raides pendant qu'il skie.")</f>
        <v>Il est alors vu passer dans les airs et descendre des pentes raides pendant qu'il skie.</v>
      </c>
    </row>
    <row r="2812">
      <c r="A2812" s="4" t="s">
        <v>3529</v>
      </c>
      <c r="B2812" s="6" t="s">
        <v>3530</v>
      </c>
      <c r="C2812" s="5" t="str">
        <f>IFERROR(__xludf.DUMMYFUNCTION("GOOGLETRANSLATE(B2812,""en"",""fr"")"),"Un homme est vu parler à la caméra alors qu'il était assis sur une chaise et posant ses bras de temps en temps.")</f>
        <v>Un homme est vu parler à la caméra alors qu'il était assis sur une chaise et posant ses bras de temps en temps.</v>
      </c>
    </row>
    <row r="2813">
      <c r="A2813" s="4" t="s">
        <v>3529</v>
      </c>
      <c r="B2813" s="6" t="s">
        <v>3531</v>
      </c>
      <c r="C2813" s="5" t="str">
        <f>IFERROR(__xludf.DUMMYFUNCTION("GOOGLETRANSLATE(B2813,""en"",""fr"")"),"Il joue ensuite un harmonica se déplaçant des mains tout en s'arrêtant pour parler à la caméra et finit par parler et pointer.")</f>
        <v>Il joue ensuite un harmonica se déplaçant des mains tout en s'arrêtant pour parler à la caméra et finit par parler et pointer.</v>
      </c>
    </row>
    <row r="2814">
      <c r="A2814" s="4" t="s">
        <v>3532</v>
      </c>
      <c r="B2814" s="4" t="s">
        <v>3533</v>
      </c>
      <c r="C2814" s="5" t="str">
        <f>IFERROR(__xludf.DUMMYFUNCTION("GOOGLETRANSLATE(B2814,""en"",""fr"")"),"Un homme est vu debout à côté d'un taureau et levant un drapeau rouge.")</f>
        <v>Un homme est vu debout à côté d'un taureau et levant un drapeau rouge.</v>
      </c>
    </row>
    <row r="2815">
      <c r="A2815" s="4" t="s">
        <v>3532</v>
      </c>
      <c r="B2815" s="4" t="s">
        <v>3534</v>
      </c>
      <c r="C2815" s="5" t="str">
        <f>IFERROR(__xludf.DUMMYFUNCTION("GOOGLETRANSLATE(B2815,""en"",""fr"")"),"Le taureau est ensuite montré attaquant plusieurs hommes dans de nombreux clips.")</f>
        <v>Le taureau est ensuite montré attaquant plusieurs hommes dans de nombreux clips.</v>
      </c>
    </row>
    <row r="2816">
      <c r="A2816" s="4" t="s">
        <v>3532</v>
      </c>
      <c r="B2816" s="4" t="s">
        <v>3535</v>
      </c>
      <c r="C2816" s="5" t="str">
        <f>IFERROR(__xludf.DUMMYFUNCTION("GOOGLETRANSLATE(B2816,""en"",""fr"")"),"Plus de gens sont montrés à la poursuite des taureaux avec eux en poursuivant.")</f>
        <v>Plus de gens sont montrés à la poursuite des taureaux avec eux en poursuivant.</v>
      </c>
    </row>
    <row r="2817">
      <c r="A2817" s="4" t="s">
        <v>3536</v>
      </c>
      <c r="B2817" s="4" t="s">
        <v>3537</v>
      </c>
      <c r="C2817" s="5" t="str">
        <f>IFERROR(__xludf.DUMMYFUNCTION("GOOGLETRANSLATE(B2817,""en"",""fr"")"),"Une femme est assise et parle devant un ordinateur portable.")</f>
        <v>Une femme est assise et parle devant un ordinateur portable.</v>
      </c>
    </row>
    <row r="2818">
      <c r="A2818" s="4" t="s">
        <v>3536</v>
      </c>
      <c r="B2818" s="4" t="s">
        <v>3538</v>
      </c>
      <c r="C2818" s="5" t="str">
        <f>IFERROR(__xludf.DUMMYFUNCTION("GOOGLETRANSLATE(B2818,""en"",""fr"")"),"Elle se lève devant une pièce de membres de la famille.")</f>
        <v>Elle se lève devant une pièce de membres de la famille.</v>
      </c>
    </row>
    <row r="2819">
      <c r="A2819" s="4" t="s">
        <v>3536</v>
      </c>
      <c r="B2819" s="4" t="s">
        <v>3539</v>
      </c>
      <c r="C2819" s="5" t="str">
        <f>IFERROR(__xludf.DUMMYFUNCTION("GOOGLETRANSLATE(B2819,""en"",""fr"")"),"Elle danse, montrant plusieurs mouvements vers les gens alors qu'elle scintille à travers la pièce.")</f>
        <v>Elle danse, montrant plusieurs mouvements vers les gens alors qu'elle scintille à travers la pièce.</v>
      </c>
    </row>
    <row r="2820">
      <c r="A2820" s="4" t="s">
        <v>3540</v>
      </c>
      <c r="B2820" s="4" t="s">
        <v>3541</v>
      </c>
      <c r="C2820" s="5" t="str">
        <f>IFERROR(__xludf.DUMMYFUNCTION("GOOGLETRANSLATE(B2820,""en"",""fr"")"),"Un homme se tient dans son uniforme dans une zone comme un désert.")</f>
        <v>Un homme se tient dans son uniforme dans une zone comme un désert.</v>
      </c>
    </row>
    <row r="2821">
      <c r="A2821" s="4" t="s">
        <v>3540</v>
      </c>
      <c r="B2821" s="6" t="s">
        <v>3542</v>
      </c>
      <c r="C2821" s="5" t="str">
        <f>IFERROR(__xludf.DUMMYFUNCTION("GOOGLETRANSLATE(B2821,""en"",""fr"")"),"Pendant qu'il parle, plusieurs vidéos de lui sont présentées hors de la route des motos sur le parcours, sautant sur des bosses.")</f>
        <v>Pendant qu'il parle, plusieurs vidéos de lui sont présentées hors de la route des motos sur le parcours, sautant sur des bosses.</v>
      </c>
    </row>
    <row r="2822">
      <c r="A2822" s="4" t="s">
        <v>3540</v>
      </c>
      <c r="B2822" s="6" t="s">
        <v>3543</v>
      </c>
      <c r="C2822" s="5" t="str">
        <f>IFERROR(__xludf.DUMMYFUNCTION("GOOGLETRANSLATE(B2822,""en"",""fr"")"),"Cependant, il revient pendant les segments pour montrer comment il utilise des techniques dans certains sauts et la bonne façon de le faire.")</f>
        <v>Cependant, il revient pendant les segments pour montrer comment il utilise des techniques dans certains sauts et la bonne façon de le faire.</v>
      </c>
    </row>
    <row r="2823">
      <c r="A2823" s="4" t="s">
        <v>3544</v>
      </c>
      <c r="B2823" s="4" t="s">
        <v>3545</v>
      </c>
      <c r="C2823" s="5" t="str">
        <f>IFERROR(__xludf.DUMMYFUNCTION("GOOGLETRANSLATE(B2823,""en"",""fr"")"),"Une petite fille se tient devant un jeu de marelle dans son salon.")</f>
        <v>Une petite fille se tient devant un jeu de marelle dans son salon.</v>
      </c>
    </row>
    <row r="2824">
      <c r="A2824" s="4" t="s">
        <v>3544</v>
      </c>
      <c r="B2824" s="4" t="s">
        <v>3546</v>
      </c>
      <c r="C2824" s="5" t="str">
        <f>IFERROR(__xludf.DUMMYFUNCTION("GOOGLETRANSLATE(B2824,""en"",""fr"")"),"Elle saute sur chaque carré, puis se retourne et va dans l'autre sens.")</f>
        <v>Elle saute sur chaque carré, puis se retourne et va dans l'autre sens.</v>
      </c>
    </row>
    <row r="2825">
      <c r="A2825" s="4" t="s">
        <v>3544</v>
      </c>
      <c r="B2825" s="4" t="s">
        <v>3547</v>
      </c>
      <c r="C2825" s="5" t="str">
        <f>IFERROR(__xludf.DUMMYFUNCTION("GOOGLETRANSLATE(B2825,""en"",""fr"")"),"Elle sourit et s'incline pour la caméra.")</f>
        <v>Elle sourit et s'incline pour la caméra.</v>
      </c>
    </row>
    <row r="2826">
      <c r="A2826" s="4" t="s">
        <v>3548</v>
      </c>
      <c r="B2826" s="4" t="s">
        <v>3549</v>
      </c>
      <c r="C2826" s="5" t="str">
        <f>IFERROR(__xludf.DUMMYFUNCTION("GOOGLETRANSLATE(B2826,""en"",""fr"")"),"Un homme attache ses jambes sur un poteau d'un voilier et se couchait sur le dos à la frontière du bateau.")</f>
        <v>Un homme attache ses jambes sur un poteau d'un voilier et se couchait sur le dos à la frontière du bateau.</v>
      </c>
    </row>
    <row r="2827">
      <c r="A2827" s="4" t="s">
        <v>3548</v>
      </c>
      <c r="B2827" s="4" t="s">
        <v>3550</v>
      </c>
      <c r="C2827" s="5" t="str">
        <f>IFERROR(__xludf.DUMMYFUNCTION("GOOGLETRANSLATE(B2827,""en"",""fr"")"),"Ensuite, l'homme navigue sur le bateau tenant une corde et se coucha sur la frontière du bateau.")</f>
        <v>Ensuite, l'homme navigue sur le bateau tenant une corde et se coucha sur la frontière du bateau.</v>
      </c>
    </row>
    <row r="2828">
      <c r="A2828" s="4" t="s">
        <v>3548</v>
      </c>
      <c r="B2828" s="4" t="s">
        <v>3551</v>
      </c>
      <c r="C2828" s="5" t="str">
        <f>IFERROR(__xludf.DUMMYFUNCTION("GOOGLETRANSLATE(B2828,""en"",""fr"")"),"L'homme tombe dans l'eau, puis il se lève dans le bateau et continue de naviguer sur le dos.")</f>
        <v>L'homme tombe dans l'eau, puis il se lève dans le bateau et continue de naviguer sur le dos.</v>
      </c>
    </row>
    <row r="2829">
      <c r="A2829" s="4" t="s">
        <v>3548</v>
      </c>
      <c r="B2829" s="4" t="s">
        <v>3552</v>
      </c>
      <c r="C2829" s="5" t="str">
        <f>IFERROR(__xludf.DUMMYFUNCTION("GOOGLETRANSLATE(B2829,""en"",""fr"")"),"Une planche à voile passe à côté du bateau.")</f>
        <v>Une planche à voile passe à côté du bateau.</v>
      </c>
    </row>
    <row r="2830">
      <c r="A2830" s="4" t="s">
        <v>3553</v>
      </c>
      <c r="B2830" s="4" t="s">
        <v>3554</v>
      </c>
      <c r="C2830" s="5" t="str">
        <f>IFERROR(__xludf.DUMMYFUNCTION("GOOGLETRANSLATE(B2830,""en"",""fr"")"),"Un homme apparaît en train de marcher sur l'eau alors qu'il attend de sortir de l'eau et de monter un escalier.")</f>
        <v>Un homme apparaît en train de marcher sur l'eau alors qu'il attend de sortir de l'eau et de monter un escalier.</v>
      </c>
    </row>
    <row r="2831">
      <c r="A2831" s="4" t="s">
        <v>3553</v>
      </c>
      <c r="B2831" s="4" t="s">
        <v>3555</v>
      </c>
      <c r="C2831" s="5" t="str">
        <f>IFERROR(__xludf.DUMMYFUNCTION("GOOGLETRANSLATE(B2831,""en"",""fr"")"),"Il descend enfin des escaliers et rejoint les autres qui sont à la plongée en bois.")</f>
        <v>Il descend enfin des escaliers et rejoint les autres qui sont à la plongée en bois.</v>
      </c>
    </row>
    <row r="2832">
      <c r="A2832" s="4" t="s">
        <v>3553</v>
      </c>
      <c r="B2832" s="4" t="s">
        <v>3556</v>
      </c>
      <c r="C2832" s="5" t="str">
        <f>IFERROR(__xludf.DUMMYFUNCTION("GOOGLETRANSLATE(B2832,""en"",""fr"")"),"Tout d'abord, un ensemble de trois filles saute avant lui et crée une grande agitation de vagues.")</f>
        <v>Tout d'abord, un ensemble de trois filles saute avant lui et crée une grande agitation de vagues.</v>
      </c>
    </row>
    <row r="2833">
      <c r="A2833" s="4" t="s">
        <v>3557</v>
      </c>
      <c r="B2833" s="4" t="s">
        <v>3558</v>
      </c>
      <c r="C2833" s="5" t="str">
        <f>IFERROR(__xludf.DUMMYFUNCTION("GOOGLETRANSLATE(B2833,""en"",""fr"")"),"Une photo d'une tasse de café est représentée ainsi qu'une cuillère à la musique relaxante.")</f>
        <v>Une photo d'une tasse de café est représentée ainsi qu'une cuillère à la musique relaxante.</v>
      </c>
    </row>
    <row r="2834">
      <c r="A2834" s="4" t="s">
        <v>3557</v>
      </c>
      <c r="B2834" s="6" t="s">
        <v>3559</v>
      </c>
      <c r="C2834" s="5" t="str">
        <f>IFERROR(__xludf.DUMMYFUNCTION("GOOGLETRANSLATE(B2834,""en"",""fr"")"),"Divers écrans de titre sont affichés et finalement la même image de la tasse de café apparaît tandis que la musique douce joue en arrière-plan.")</f>
        <v>Divers écrans de titre sont affichés et finalement la même image de la tasse de café apparaît tandis que la musique douce joue en arrière-plan.</v>
      </c>
    </row>
    <row r="2835">
      <c r="A2835" s="4" t="s">
        <v>3560</v>
      </c>
      <c r="B2835" s="4" t="s">
        <v>3561</v>
      </c>
      <c r="C2835" s="5" t="str">
        <f>IFERROR(__xludf.DUMMYFUNCTION("GOOGLETRANSLATE(B2835,""en"",""fr"")"),"Les crédits d'un clip sont affichés.")</f>
        <v>Les crédits d'un clip sont affichés.</v>
      </c>
    </row>
    <row r="2836">
      <c r="A2836" s="4" t="s">
        <v>3560</v>
      </c>
      <c r="B2836" s="4" t="s">
        <v>3562</v>
      </c>
      <c r="C2836" s="5" t="str">
        <f>IFERROR(__xludf.DUMMYFUNCTION("GOOGLETRANSLATE(B2836,""en"",""fr"")"),"Une personne est à l'embarquement à l'eau sur un plan d'eau.")</f>
        <v>Une personne est à l'embarquement à l'eau sur un plan d'eau.</v>
      </c>
    </row>
    <row r="2837">
      <c r="A2837" s="4" t="s">
        <v>3560</v>
      </c>
      <c r="B2837" s="4" t="s">
        <v>3563</v>
      </c>
      <c r="C2837" s="5" t="str">
        <f>IFERROR(__xludf.DUMMYFUNCTION("GOOGLETRANSLATE(B2837,""en"",""fr"")"),"Les gens montent sur un bateau et interagissent.")</f>
        <v>Les gens montent sur un bateau et interagissent.</v>
      </c>
    </row>
    <row r="2838">
      <c r="A2838" s="4" t="s">
        <v>3560</v>
      </c>
      <c r="B2838" s="4" t="s">
        <v>3564</v>
      </c>
      <c r="C2838" s="5" t="str">
        <f>IFERROR(__xludf.DUMMYFUNCTION("GOOGLETRANSLATE(B2838,""en"",""fr"")"),"A Lady Hula Hoops à la musique.")</f>
        <v>A Lady Hula Hoops à la musique.</v>
      </c>
    </row>
    <row r="2839">
      <c r="A2839" s="4" t="s">
        <v>3560</v>
      </c>
      <c r="B2839" s="4" t="s">
        <v>3565</v>
      </c>
      <c r="C2839" s="5" t="str">
        <f>IFERROR(__xludf.DUMMYFUNCTION("GOOGLETRANSLATE(B2839,""en"",""fr"")"),"Un mâle saute des rochers dans les eaux.")</f>
        <v>Un mâle saute des rochers dans les eaux.</v>
      </c>
    </row>
    <row r="2840">
      <c r="A2840" s="4" t="s">
        <v>3560</v>
      </c>
      <c r="B2840" s="4" t="s">
        <v>3566</v>
      </c>
      <c r="C2840" s="5" t="str">
        <f>IFERROR(__xludf.DUMMYFUNCTION("GOOGLETRANSLATE(B2840,""en"",""fr"")"),"Les gens sont sur le rivage et certains sont sur le bateau.")</f>
        <v>Les gens sont sur le rivage et certains sont sur le bateau.</v>
      </c>
    </row>
    <row r="2841">
      <c r="A2841" s="4" t="s">
        <v>3560</v>
      </c>
      <c r="B2841" s="4" t="s">
        <v>3567</v>
      </c>
      <c r="C2841" s="5" t="str">
        <f>IFERROR(__xludf.DUMMYFUNCTION("GOOGLETRANSLATE(B2841,""en"",""fr"")"),"Un homme saute d'un bateau avec son waterboard.")</f>
        <v>Un homme saute d'un bateau avec son waterboard.</v>
      </c>
    </row>
    <row r="2842">
      <c r="A2842" s="4" t="s">
        <v>3560</v>
      </c>
      <c r="B2842" s="4" t="s">
        <v>3568</v>
      </c>
      <c r="C2842" s="5" t="str">
        <f>IFERROR(__xludf.DUMMYFUNCTION("GOOGLETRANSLATE(B2842,""en"",""fr"")"),"Un gars utilise un cerceau comme corde de saut.")</f>
        <v>Un gars utilise un cerceau comme corde de saut.</v>
      </c>
    </row>
    <row r="2843">
      <c r="A2843" s="4" t="s">
        <v>3560</v>
      </c>
      <c r="B2843" s="4" t="s">
        <v>3569</v>
      </c>
      <c r="C2843" s="5" t="str">
        <f>IFERROR(__xludf.DUMMYFUNCTION("GOOGLETRANSLATE(B2843,""en"",""fr"")"),"Les femmes dansent sur la musique dans une fonction sociale.")</f>
        <v>Les femmes dansent sur la musique dans une fonction sociale.</v>
      </c>
    </row>
    <row r="2844">
      <c r="A2844" s="4" t="s">
        <v>3560</v>
      </c>
      <c r="B2844" s="4" t="s">
        <v>3570</v>
      </c>
      <c r="C2844" s="5" t="str">
        <f>IFERROR(__xludf.DUMMYFUNCTION("GOOGLETRANSLATE(B2844,""en"",""fr"")"),"L'individu est dans le corps de l'eau.")</f>
        <v>L'individu est dans le corps de l'eau.</v>
      </c>
    </row>
    <row r="2845">
      <c r="A2845" s="4" t="s">
        <v>3560</v>
      </c>
      <c r="B2845" s="4" t="s">
        <v>3571</v>
      </c>
      <c r="C2845" s="5" t="str">
        <f>IFERROR(__xludf.DUMMYFUNCTION("GOOGLETRANSLATE(B2845,""en"",""fr"")"),"Deux adultes courent dans un cylindre creux en bois.")</f>
        <v>Deux adultes courent dans un cylindre creux en bois.</v>
      </c>
    </row>
    <row r="2846">
      <c r="A2846" s="4" t="s">
        <v>3560</v>
      </c>
      <c r="B2846" s="4" t="s">
        <v>3572</v>
      </c>
      <c r="C2846" s="5" t="str">
        <f>IFERROR(__xludf.DUMMYFUNCTION("GOOGLETRANSLATE(B2846,""en"",""fr"")"),"Un dos individuel détourne un bateau.")</f>
        <v>Un dos individuel détourne un bateau.</v>
      </c>
    </row>
    <row r="2847">
      <c r="A2847" s="4" t="s">
        <v>3560</v>
      </c>
      <c r="B2847" s="4" t="s">
        <v>3573</v>
      </c>
      <c r="C2847" s="5" t="str">
        <f>IFERROR(__xludf.DUMMYFUNCTION("GOOGLETRANSLATE(B2847,""en"",""fr"")"),"Une femelle se dresse sur le tableau d'eau sur l'herbe.")</f>
        <v>Une femelle se dresse sur le tableau d'eau sur l'herbe.</v>
      </c>
    </row>
    <row r="2848">
      <c r="A2848" s="4" t="s">
        <v>3560</v>
      </c>
      <c r="B2848" s="4" t="s">
        <v>3574</v>
      </c>
      <c r="C2848" s="5" t="str">
        <f>IFERROR(__xludf.DUMMYFUNCTION("GOOGLETRANSLATE(B2848,""en"",""fr"")"),"Les gens sautent d'un bateau gonflé.")</f>
        <v>Les gens sautent d'un bateau gonflé.</v>
      </c>
    </row>
    <row r="2849">
      <c r="A2849" s="4" t="s">
        <v>3560</v>
      </c>
      <c r="B2849" s="4" t="s">
        <v>3575</v>
      </c>
      <c r="C2849" s="5" t="str">
        <f>IFERROR(__xludf.DUMMYFUNCTION("GOOGLETRANSLATE(B2849,""en"",""fr"")"),"Les crédits d'une vidéo sont affichés avec des clips.")</f>
        <v>Les crédits d'une vidéo sont affichés avec des clips.</v>
      </c>
    </row>
    <row r="2850">
      <c r="A2850" s="4" t="s">
        <v>3576</v>
      </c>
      <c r="B2850" s="4" t="s">
        <v>3577</v>
      </c>
      <c r="C2850" s="5" t="str">
        <f>IFERROR(__xludf.DUMMYFUNCTION("GOOGLETRANSLATE(B2850,""en"",""fr"")"),"Un jeune parle à l'intérieur d'une maison, puis il sort de la maison.")</f>
        <v>Un jeune parle à l'intérieur d'une maison, puis il sort de la maison.</v>
      </c>
    </row>
    <row r="2851">
      <c r="A2851" s="4" t="s">
        <v>3576</v>
      </c>
      <c r="B2851" s="4" t="s">
        <v>3578</v>
      </c>
      <c r="C2851" s="5" t="str">
        <f>IFERROR(__xludf.DUMMYFUNCTION("GOOGLETRANSLATE(B2851,""en"",""fr"")"),"Un homme et un adolescent se tiennent à l'avant une piscine à parler, et une personne s'est allongée sur une chaise.")</f>
        <v>Un homme et un adolescent se tiennent à l'avant une piscine à parler, et une personne s'est allongée sur une chaise.</v>
      </c>
    </row>
    <row r="2852">
      <c r="A2852" s="4" t="s">
        <v>3576</v>
      </c>
      <c r="B2852" s="4" t="s">
        <v>3579</v>
      </c>
      <c r="C2852" s="5" t="str">
        <f>IFERROR(__xludf.DUMMYFUNCTION("GOOGLETRANSLATE(B2852,""en"",""fr"")"),"Ensuite, l'homme pousse l'adolescent à l'eau qui a du mal à nager.")</f>
        <v>Ensuite, l'homme pousse l'adolescent à l'eau qui a du mal à nager.</v>
      </c>
    </row>
    <row r="2853">
      <c r="A2853" s="4" t="s">
        <v>3576</v>
      </c>
      <c r="B2853" s="4" t="s">
        <v>3580</v>
      </c>
      <c r="C2853" s="5" t="str">
        <f>IFERROR(__xludf.DUMMYFUNCTION("GOOGLETRANSLATE(B2853,""en"",""fr"")"),"Après, l'homme monte dans l'eau et retourne l'adolescent.")</f>
        <v>Après, l'homme monte dans l'eau et retourne l'adolescent.</v>
      </c>
    </row>
    <row r="2854">
      <c r="A2854" s="4" t="s">
        <v>3576</v>
      </c>
      <c r="B2854" s="4" t="s">
        <v>3581</v>
      </c>
      <c r="C2854" s="5" t="str">
        <f>IFERROR(__xludf.DUMMYFUNCTION("GOOGLETRANSLATE(B2854,""en"",""fr"")"),"L'adolescent sort la piscine et jette la chaise à l'homme.")</f>
        <v>L'adolescent sort la piscine et jette la chaise à l'homme.</v>
      </c>
    </row>
    <row r="2855">
      <c r="A2855" s="4" t="s">
        <v>3576</v>
      </c>
      <c r="B2855" s="4" t="s">
        <v>3582</v>
      </c>
      <c r="C2855" s="5" t="str">
        <f>IFERROR(__xludf.DUMMYFUNCTION("GOOGLETRANSLATE(B2855,""en"",""fr"")"),"Ensuite, l'adolescent s'éloigne en colère, et les hommes et la femme sortent les chaises de la piscine.")</f>
        <v>Ensuite, l'adolescent s'éloigne en colère, et les hommes et la femme sortent les chaises de la piscine.</v>
      </c>
    </row>
    <row r="2856">
      <c r="A2856" s="4" t="s">
        <v>3583</v>
      </c>
      <c r="B2856" s="4" t="s">
        <v>3584</v>
      </c>
      <c r="C2856" s="5" t="str">
        <f>IFERROR(__xludf.DUMMYFUNCTION("GOOGLETRANSLATE(B2856,""en"",""fr"")"),"Plusieurs personnes sont dans une pièce de patinage de skate les unes avec les autres.")</f>
        <v>Plusieurs personnes sont dans une pièce de patinage de skate les unes avec les autres.</v>
      </c>
    </row>
    <row r="2857">
      <c r="A2857" s="4" t="s">
        <v>3583</v>
      </c>
      <c r="B2857" s="4" t="s">
        <v>3585</v>
      </c>
      <c r="C2857" s="5" t="str">
        <f>IFERROR(__xludf.DUMMYFUNCTION("GOOGLETRANSLATE(B2857,""en"",""fr"")"),"Les gens se déplacent ensuite dans des endroits pittoresques et commencent à la lame à rouleaux dans toute la ville.")</f>
        <v>Les gens se déplacent ensuite dans des endroits pittoresques et commencent à la lame à rouleaux dans toute la ville.</v>
      </c>
    </row>
    <row r="2858">
      <c r="A2858" s="4" t="s">
        <v>3583</v>
      </c>
      <c r="B2858" s="6" t="s">
        <v>3586</v>
      </c>
      <c r="C2858" s="5" t="str">
        <f>IFERROR(__xludf.DUMMYFUNCTION("GOOGLETRANSLATE(B2858,""en"",""fr"")"),"Plus de gens commencent à patiner et ils commencent à faire des rampes dans la ruelle et à faire des tours dans un skate park.")</f>
        <v>Plus de gens commencent à patiner et ils commencent à faire des rampes dans la ruelle et à faire des tours dans un skate park.</v>
      </c>
    </row>
    <row r="2859">
      <c r="A2859" s="4" t="s">
        <v>3587</v>
      </c>
      <c r="B2859" s="4" t="s">
        <v>3588</v>
      </c>
      <c r="C2859" s="5" t="str">
        <f>IFERROR(__xludf.DUMMYFUNCTION("GOOGLETRANSLATE(B2859,""en"",""fr"")"),"Diverses coups de plages sont représentés, suivis par la caméra qui se cadrait sur plusieurs plans de vagues.")</f>
        <v>Diverses coups de plages sont représentés, suivis par la caméra qui se cadrait sur plusieurs plans de vagues.</v>
      </c>
    </row>
    <row r="2860">
      <c r="A2860" s="4" t="s">
        <v>3587</v>
      </c>
      <c r="B2860" s="4" t="s">
        <v>3589</v>
      </c>
      <c r="C2860" s="5" t="str">
        <f>IFERROR(__xludf.DUMMYFUNCTION("GOOGLETRANSLATE(B2860,""en"",""fr"")"),"Une personne est ensuite vue sur une planche de surf à travers divers tirs de la caméra.")</f>
        <v>Une personne est ensuite vue sur une planche de surf à travers divers tirs de la caméra.</v>
      </c>
    </row>
    <row r="2861">
      <c r="A2861" s="4" t="s">
        <v>3587</v>
      </c>
      <c r="B2861" s="6" t="s">
        <v>3590</v>
      </c>
      <c r="C2861" s="5" t="str">
        <f>IFERROR(__xludf.DUMMYFUNCTION("GOOGLETRANSLATE(B2861,""en"",""fr"")"),"Les gens sont montrés à la caméra lorsqu'une autre personne s'écrase à plusieurs reprises sur leur plateau.")</f>
        <v>Les gens sont montrés à la caméra lorsqu'une autre personne s'écrase à plusieurs reprises sur leur plateau.</v>
      </c>
    </row>
    <row r="2862">
      <c r="A2862" s="4" t="s">
        <v>3587</v>
      </c>
      <c r="B2862" s="4" t="s">
        <v>3591</v>
      </c>
      <c r="C2862" s="5" t="str">
        <f>IFERROR(__xludf.DUMMYFUNCTION("GOOGLETRANSLATE(B2862,""en"",""fr"")"),"Plus de gens sont vus descendant alors que de plus en plus de surfeurs continuent de monter sur les vagues.")</f>
        <v>Plus de gens sont vus descendant alors que de plus en plus de surfeurs continuent de monter sur les vagues.</v>
      </c>
    </row>
    <row r="2863">
      <c r="A2863" s="4" t="s">
        <v>3592</v>
      </c>
      <c r="B2863" s="4" t="s">
        <v>3593</v>
      </c>
      <c r="C2863" s="5" t="str">
        <f>IFERROR(__xludf.DUMMYFUNCTION("GOOGLETRANSLATE(B2863,""en"",""fr"")"),"Une femme tient un bébé sur ses genoux alors qu'une femme à côté de elle utilise un peigne en plastique pour se brosser les cheveux.")</f>
        <v>Une femme tient un bébé sur ses genoux alors qu'une femme à côté de elle utilise un peigne en plastique pour se brosser les cheveux.</v>
      </c>
    </row>
    <row r="2864">
      <c r="A2864" s="4" t="s">
        <v>3592</v>
      </c>
      <c r="B2864" s="4" t="s">
        <v>3594</v>
      </c>
      <c r="C2864" s="5" t="str">
        <f>IFERROR(__xludf.DUMMYFUNCTION("GOOGLETRANSLATE(B2864,""en"",""fr"")"),"Elle parle au bébé alors qu'elle se brosse et le bébé la regarde attentivement.")</f>
        <v>Elle parle au bébé alors qu'elle se brosse et le bébé la regarde attentivement.</v>
      </c>
    </row>
    <row r="2865">
      <c r="A2865" s="4" t="s">
        <v>3595</v>
      </c>
      <c r="B2865" s="4" t="s">
        <v>3596</v>
      </c>
      <c r="C2865" s="5" t="str">
        <f>IFERROR(__xludf.DUMMYFUNCTION("GOOGLETRANSLATE(B2865,""en"",""fr"")"),"Un homme soulève une fille au-dessus de sa tête, puis par-dessus son épaule.")</f>
        <v>Un homme soulève une fille au-dessus de sa tête, puis par-dessus son épaule.</v>
      </c>
    </row>
    <row r="2866">
      <c r="A2866" s="4" t="s">
        <v>3595</v>
      </c>
      <c r="B2866" s="4" t="s">
        <v>3597</v>
      </c>
      <c r="C2866" s="5" t="str">
        <f>IFERROR(__xludf.DUMMYFUNCTION("GOOGLETRANSLATE(B2866,""en"",""fr"")"),"Il la tient sur ses mains, l'équilibrant dans les airs comme une autre montre.")</f>
        <v>Il la tient sur ses mains, l'équilibrant dans les airs comme une autre montre.</v>
      </c>
    </row>
    <row r="2867">
      <c r="A2867" s="4" t="s">
        <v>3595</v>
      </c>
      <c r="B2867" s="4" t="s">
        <v>3598</v>
      </c>
      <c r="C2867" s="5" t="str">
        <f>IFERROR(__xludf.DUMMYFUNCTION("GOOGLETRANSLATE(B2867,""en"",""fr"")"),"Il tombe puis la soulève à nouveau.")</f>
        <v>Il tombe puis la soulève à nouveau.</v>
      </c>
    </row>
    <row r="2868">
      <c r="A2868" s="4" t="s">
        <v>3599</v>
      </c>
      <c r="B2868" s="4" t="s">
        <v>3600</v>
      </c>
      <c r="C2868" s="5" t="str">
        <f>IFERROR(__xludf.DUMMYFUNCTION("GOOGLETRANSLATE(B2868,""en"",""fr"")"),"Un homme à genoux dirige un petit coupe-herbe sur la surface de la pelouse.")</f>
        <v>Un homme à genoux dirige un petit coupe-herbe sur la surface de la pelouse.</v>
      </c>
    </row>
    <row r="2869">
      <c r="A2869" s="4" t="s">
        <v>3599</v>
      </c>
      <c r="B2869" s="4" t="s">
        <v>3601</v>
      </c>
      <c r="C2869" s="5" t="str">
        <f>IFERROR(__xludf.DUMMYFUNCTION("GOOGLETRANSLATE(B2869,""en"",""fr"")"),"L'homme tonde l'herbe verte ombragée.")</f>
        <v>L'homme tonde l'herbe verte ombragée.</v>
      </c>
    </row>
    <row r="2870">
      <c r="A2870" s="4" t="s">
        <v>3599</v>
      </c>
      <c r="B2870" s="4" t="s">
        <v>3602</v>
      </c>
      <c r="C2870" s="5" t="str">
        <f>IFERROR(__xludf.DUMMYFUNCTION("GOOGLETRANSLATE(B2870,""en"",""fr"")"),"L'homme tond le soleil allumé de l'herbe.")</f>
        <v>L'homme tond le soleil allumé de l'herbe.</v>
      </c>
    </row>
    <row r="2871">
      <c r="A2871" s="4" t="s">
        <v>3603</v>
      </c>
      <c r="B2871" s="4" t="s">
        <v>3604</v>
      </c>
      <c r="C2871" s="5" t="str">
        <f>IFERROR(__xludf.DUMMYFUNCTION("GOOGLETRANSLATE(B2871,""en"",""fr"")"),"Nous voyons les écrans de titre voler.")</f>
        <v>Nous voyons les écrans de titre voler.</v>
      </c>
    </row>
    <row r="2872">
      <c r="A2872" s="4" t="s">
        <v>3603</v>
      </c>
      <c r="B2872" s="4" t="s">
        <v>3605</v>
      </c>
      <c r="C2872" s="5" t="str">
        <f>IFERROR(__xludf.DUMMYFUNCTION("GOOGLETRANSLATE(B2872,""en"",""fr"")"),"Un taureau s'épuise sur le terrain.")</f>
        <v>Un taureau s'épuise sur le terrain.</v>
      </c>
    </row>
    <row r="2873">
      <c r="A2873" s="4" t="s">
        <v>3603</v>
      </c>
      <c r="B2873" s="4" t="s">
        <v>3606</v>
      </c>
      <c r="C2873" s="5" t="str">
        <f>IFERROR(__xludf.DUMMYFUNCTION("GOOGLETRANSLATE(B2873,""en"",""fr"")"),"Un taureau enfonce un mur où se trouve le matador.")</f>
        <v>Un taureau enfonce un mur où se trouve le matador.</v>
      </c>
    </row>
    <row r="2874">
      <c r="A2874" s="4" t="s">
        <v>3603</v>
      </c>
      <c r="B2874" s="4" t="s">
        <v>3607</v>
      </c>
      <c r="C2874" s="5" t="str">
        <f>IFERROR(__xludf.DUMMYFUNCTION("GOOGLETRANSLATE(B2874,""en"",""fr"")"),"Le Matador taquine le taureau avec un chiffon rouge.")</f>
        <v>Le Matador taquine le taureau avec un chiffon rouge.</v>
      </c>
    </row>
    <row r="2875">
      <c r="A2875" s="4" t="s">
        <v>3603</v>
      </c>
      <c r="B2875" s="4" t="s">
        <v>3608</v>
      </c>
      <c r="C2875" s="5" t="str">
        <f>IFERROR(__xludf.DUMMYFUNCTION("GOOGLETRANSLATE(B2875,""en"",""fr"")"),"Nous voyons l'écran de fin.")</f>
        <v>Nous voyons l'écran de fin.</v>
      </c>
    </row>
    <row r="2876">
      <c r="A2876" s="4" t="s">
        <v>3609</v>
      </c>
      <c r="B2876" s="4" t="s">
        <v>3610</v>
      </c>
      <c r="C2876" s="5" t="str">
        <f>IFERROR(__xludf.DUMMYFUNCTION("GOOGLETRANSLATE(B2876,""en"",""fr"")"),"Une personne est vue se déplacer le long d'une grande cour suivie par d'autres personnes se déplaçant à côté de lui.")</f>
        <v>Une personne est vue se déplacer le long d'une grande cour suivie par d'autres personnes se déplaçant à côté de lui.</v>
      </c>
    </row>
    <row r="2877">
      <c r="A2877" s="4" t="s">
        <v>3609</v>
      </c>
      <c r="B2877" s="4" t="s">
        <v>3611</v>
      </c>
      <c r="C2877" s="5" t="str">
        <f>IFERROR(__xludf.DUMMYFUNCTION("GOOGLETRANSLATE(B2877,""en"",""fr"")"),"Plusieurs personnes sont vues monter et descendre sur le terrain tandis que d'autres regardent sur le côté.")</f>
        <v>Plusieurs personnes sont vues monter et descendre sur le terrain tandis que d'autres regardent sur le côté.</v>
      </c>
    </row>
    <row r="2878">
      <c r="A2878" s="4" t="s">
        <v>3609</v>
      </c>
      <c r="B2878" s="4" t="s">
        <v>3612</v>
      </c>
      <c r="C2878" s="5" t="str">
        <f>IFERROR(__xludf.DUMMYFUNCTION("GOOGLETRANSLATE(B2878,""en"",""fr"")"),"Les gens continuent de se déplacer tandis que d'autres les regardent effectuer des exercices.")</f>
        <v>Les gens continuent de se déplacer tandis que d'autres les regardent effectuer des exercices.</v>
      </c>
    </row>
    <row r="2879">
      <c r="A2879" s="4" t="s">
        <v>3613</v>
      </c>
      <c r="B2879" s="4" t="s">
        <v>3614</v>
      </c>
      <c r="C2879" s="5" t="str">
        <f>IFERROR(__xludf.DUMMYFUNCTION("GOOGLETRANSLATE(B2879,""en"",""fr"")"),"Une personne met la salade dans un bol clair.")</f>
        <v>Une personne met la salade dans un bol clair.</v>
      </c>
    </row>
    <row r="2880">
      <c r="A2880" s="4" t="s">
        <v>3613</v>
      </c>
      <c r="B2880" s="4" t="s">
        <v>3615</v>
      </c>
      <c r="C2880" s="5" t="str">
        <f>IFERROR(__xludf.DUMMYFUNCTION("GOOGLETRANSLATE(B2880,""en"",""fr"")"),"Ils prennent un poivre orange d'une pile.")</f>
        <v>Ils prennent un poivre orange d'une pile.</v>
      </c>
    </row>
    <row r="2881">
      <c r="A2881" s="4" t="s">
        <v>3613</v>
      </c>
      <c r="B2881" s="4" t="s">
        <v>3616</v>
      </c>
      <c r="C2881" s="5" t="str">
        <f>IFERROR(__xludf.DUMMYFUNCTION("GOOGLETRANSLATE(B2881,""en"",""fr"")"),"Ils hachent le poivre en deux.")</f>
        <v>Ils hachent le poivre en deux.</v>
      </c>
    </row>
    <row r="2882">
      <c r="A2882" s="4" t="s">
        <v>3617</v>
      </c>
      <c r="B2882" s="4" t="s">
        <v>3618</v>
      </c>
      <c r="C2882" s="5" t="str">
        <f>IFERROR(__xludf.DUMMYFUNCTION("GOOGLETRANSLATE(B2882,""en"",""fr"")"),"Une femme est montrée parlant à la caméra et pointe au loin.")</f>
        <v>Une femme est montrée parlant à la caméra et pointe au loin.</v>
      </c>
    </row>
    <row r="2883">
      <c r="A2883" s="4" t="s">
        <v>3617</v>
      </c>
      <c r="B2883" s="4" t="s">
        <v>3619</v>
      </c>
      <c r="C2883" s="5" t="str">
        <f>IFERROR(__xludf.DUMMYFUNCTION("GOOGLETRANSLATE(B2883,""en"",""fr"")"),"La caméra se déroule dans un autre homme debout sur le terrain et deux ballons de basket montrés.")</f>
        <v>La caméra se déroule dans un autre homme debout sur le terrain et deux ballons de basket montrés.</v>
      </c>
    </row>
    <row r="2884">
      <c r="A2884" s="4" t="s">
        <v>3617</v>
      </c>
      <c r="B2884" s="4" t="s">
        <v>3620</v>
      </c>
      <c r="C2884" s="5" t="str">
        <f>IFERROR(__xludf.DUMMYFUNCTION("GOOGLETRANSLATE(B2884,""en"",""fr"")"),"L'homme et la femme tirent alors des cerceaux avec les balles et se transmettent en arrière et quatrième.")</f>
        <v>L'homme et la femme tirent alors des cerceaux avec les balles et se transmettent en arrière et quatrième.</v>
      </c>
    </row>
    <row r="2885">
      <c r="A2885" s="4" t="s">
        <v>3621</v>
      </c>
      <c r="B2885" s="4" t="s">
        <v>3622</v>
      </c>
      <c r="C2885" s="5" t="str">
        <f>IFERROR(__xludf.DUMMYFUNCTION("GOOGLETRANSLATE(B2885,""en"",""fr"")"),"Une femme est assise sur son petit canapé en pensant aux cookies.")</f>
        <v>Une femme est assise sur son petit canapé en pensant aux cookies.</v>
      </c>
    </row>
    <row r="2886">
      <c r="A2886" s="4" t="s">
        <v>3621</v>
      </c>
      <c r="B2886" s="6" t="s">
        <v>3623</v>
      </c>
      <c r="C2886" s="5" t="str">
        <f>IFERROR(__xludf.DUMMYFUNCTION("GOOGLETRANSLATE(B2886,""en"",""fr"")"),"Vous êtes informé de tous les ingrédients nécessaires pour faire un lot de délicieux biscuits et l'équipement nécessaire pour les fabriquer.")</f>
        <v>Vous êtes informé de tous les ingrédients nécessaires pour faire un lot de délicieux biscuits et l'équipement nécessaire pour les fabriquer.</v>
      </c>
    </row>
    <row r="2887">
      <c r="A2887" s="4" t="s">
        <v>3621</v>
      </c>
      <c r="B2887" s="4" t="s">
        <v>3624</v>
      </c>
      <c r="C2887" s="5" t="str">
        <f>IFERROR(__xludf.DUMMYFUNCTION("GOOGLETRANSLATE(B2887,""en"",""fr"")"),"Elle va à la cuisine et allume le four et commence à mélanger les ingrédients dans une cuisine.")</f>
        <v>Elle va à la cuisine et allume le four et commence à mélanger les ingrédients dans une cuisine.</v>
      </c>
    </row>
    <row r="2888">
      <c r="A2888" s="4" t="s">
        <v>3621</v>
      </c>
      <c r="B2888" s="6" t="s">
        <v>3625</v>
      </c>
      <c r="C2888" s="5" t="str">
        <f>IFERROR(__xludf.DUMMYFUNCTION("GOOGLETRANSLATE(B2888,""en"",""fr"")"),"Une fois bien mélangée, elle place le cookie dans le four et quand ils le sont terminé, elle retourne à son canapé avec son ours en peluche et grignote.")</f>
        <v>Une fois bien mélangée, elle place le cookie dans le four et quand ils le sont terminé, elle retourne à son canapé avec son ours en peluche et grignote.</v>
      </c>
    </row>
    <row r="2889">
      <c r="A2889" s="4" t="s">
        <v>3626</v>
      </c>
      <c r="B2889" s="4" t="s">
        <v>3627</v>
      </c>
      <c r="C2889" s="5" t="str">
        <f>IFERROR(__xludf.DUMMYFUNCTION("GOOGLETRANSLATE(B2889,""en"",""fr"")"),"Une vue est vue d'une énorme piscine.")</f>
        <v>Une vue est vue d'une énorme piscine.</v>
      </c>
    </row>
    <row r="2890">
      <c r="A2890" s="4" t="s">
        <v>3626</v>
      </c>
      <c r="B2890" s="4" t="s">
        <v>3628</v>
      </c>
      <c r="C2890" s="5" t="str">
        <f>IFERROR(__xludf.DUMMYFUNCTION("GOOGLETRANSLATE(B2890,""en"",""fr"")"),"Il s'étend sur de très longues distances, avec des gens utilisant des bateaux et des radeaux dans l'eau.")</f>
        <v>Il s'étend sur de très longues distances, avec des gens utilisant des bateaux et des radeaux dans l'eau.</v>
      </c>
    </row>
    <row r="2891">
      <c r="A2891" s="4" t="s">
        <v>3626</v>
      </c>
      <c r="B2891" s="4" t="s">
        <v>3629</v>
      </c>
      <c r="C2891" s="5" t="str">
        <f>IFERROR(__xludf.DUMMYFUNCTION("GOOGLETRANSLATE(B2891,""en"",""fr"")"),"Il s'agit d'un vaste parc aquatique situé en Indonésie.")</f>
        <v>Il s'agit d'un vaste parc aquatique situé en Indonésie.</v>
      </c>
    </row>
    <row r="2892">
      <c r="A2892" s="4" t="s">
        <v>3626</v>
      </c>
      <c r="B2892" s="4" t="s">
        <v>3630</v>
      </c>
      <c r="C2892" s="5" t="str">
        <f>IFERROR(__xludf.DUMMYFUNCTION("GOOGLETRANSLATE(B2892,""en"",""fr"")"),"Les gens sont présentés au ski nautique dans les eaux bleues claires.")</f>
        <v>Les gens sont présentés au ski nautique dans les eaux bleues claires.</v>
      </c>
    </row>
    <row r="2893">
      <c r="A2893" s="4" t="s">
        <v>3631</v>
      </c>
      <c r="B2893" s="4" t="s">
        <v>3632</v>
      </c>
      <c r="C2893" s="5" t="str">
        <f>IFERROR(__xludf.DUMMYFUNCTION("GOOGLETRANSLATE(B2893,""en"",""fr"")"),"Une introduction mène à plusieurs clips plus anciens d'artistes olympiques effectuant des actes incroyables.")</f>
        <v>Une introduction mène à plusieurs clips plus anciens d'artistes olympiques effectuant des actes incroyables.</v>
      </c>
    </row>
    <row r="2894">
      <c r="A2894" s="4" t="s">
        <v>3631</v>
      </c>
      <c r="B2894" s="6" t="s">
        <v>3633</v>
      </c>
      <c r="C2894" s="5" t="str">
        <f>IFERROR(__xludf.DUMMYFUNCTION("GOOGLETRANSLATE(B2894,""en"",""fr"")"),"Un groupe de personnes est vu nager tandis que des centaines de personnes applaudissent et beaucoup de gens regardent la caméra et sourient.")</f>
        <v>Un groupe de personnes est vu nager tandis que des centaines de personnes applaudissent et beaucoup de gens regardent la caméra et sourient.</v>
      </c>
    </row>
    <row r="2895">
      <c r="A2895" s="4" t="s">
        <v>3631</v>
      </c>
      <c r="B2895" s="6" t="s">
        <v>3634</v>
      </c>
      <c r="C2895" s="5" t="str">
        <f>IFERROR(__xludf.DUMMYFUNCTION("GOOGLETRANSLATE(B2895,""en"",""fr"")"),"Un autre homme secoue la main d'un athlète et il agite tout en serrant les mains des autres et des gens applaudissant.")</f>
        <v>Un autre homme secoue la main d'un athlète et il agite tout en serrant les mains des autres et des gens applaudissant.</v>
      </c>
    </row>
    <row r="2896">
      <c r="A2896" s="4" t="s">
        <v>3635</v>
      </c>
      <c r="B2896" s="6" t="s">
        <v>3636</v>
      </c>
      <c r="C2896" s="5" t="str">
        <f>IFERROR(__xludf.DUMMYFUNCTION("GOOGLETRANSLATE(B2896,""en"",""fr"")"),"Une femme est assise sur un canapé et coupe les pattes avant et arrière d'un chat orange et noir et blanc alors qu'ils s'assoient sur ses genoux.")</f>
        <v>Une femme est assise sur un canapé et coupe les pattes avant et arrière d'un chat orange et noir et blanc alors qu'ils s'assoient sur ses genoux.</v>
      </c>
    </row>
    <row r="2897">
      <c r="A2897" s="4" t="s">
        <v>3635</v>
      </c>
      <c r="B2897" s="4" t="s">
        <v>3637</v>
      </c>
      <c r="C2897" s="5" t="str">
        <f>IFERROR(__xludf.DUMMYFUNCTION("GOOGLETRANSLATE(B2897,""en"",""fr"")"),"Un chat orange se tient sur un canapé et renifle les coussins.")</f>
        <v>Un chat orange se tient sur un canapé et renifle les coussins.</v>
      </c>
    </row>
    <row r="2898">
      <c r="A2898" s="4" t="s">
        <v>3635</v>
      </c>
      <c r="B2898" s="6" t="s">
        <v>3638</v>
      </c>
      <c r="C2898" s="5" t="str">
        <f>IFERROR(__xludf.DUMMYFUNCTION("GOOGLETRANSLATE(B2898,""en"",""fr"")"),"Une femme s'assoit sur le canapé et met le chat orange sur ses genoux et commence à couper les pattes avant et arrière du chat.")</f>
        <v>Une femme s'assoit sur le canapé et met le chat orange sur ses genoux et commence à couper les pattes avant et arrière du chat.</v>
      </c>
    </row>
    <row r="2899">
      <c r="A2899" s="4" t="s">
        <v>3635</v>
      </c>
      <c r="B2899" s="6" t="s">
        <v>3639</v>
      </c>
      <c r="C2899" s="5" t="str">
        <f>IFERROR(__xludf.DUMMYFUNCTION("GOOGLETRANSLATE(B2899,""en"",""fr"")"),"La femme pose le chat orange et ramasse un chat noir et blanc avec qui elle fait la même coupure de pattes avant et noires, après quoi, le chat noir et blanc s'enfuit loin du canapé.")</f>
        <v>La femme pose le chat orange et ramasse un chat noir et blanc avec qui elle fait la même coupure de pattes avant et noires, après quoi, le chat noir et blanc s'enfuit loin du canapé.</v>
      </c>
    </row>
    <row r="2900">
      <c r="A2900" s="4" t="s">
        <v>3640</v>
      </c>
      <c r="B2900" s="6" t="s">
        <v>3641</v>
      </c>
      <c r="C2900" s="5" t="str">
        <f>IFERROR(__xludf.DUMMYFUNCTION("GOOGLETRANSLATE(B2900,""en"",""fr"")"),"Diverses images sont présentées sur les gens se rapprochent dans une zone ainsi que des personnes qui roulent sur un chameau.")</f>
        <v>Diverses images sont présentées sur les gens se rapprochent dans une zone ainsi que des personnes qui roulent sur un chameau.</v>
      </c>
    </row>
    <row r="2901">
      <c r="A2901" s="4" t="s">
        <v>3640</v>
      </c>
      <c r="B2901" s="6" t="s">
        <v>3642</v>
      </c>
      <c r="C2901" s="5" t="str">
        <f>IFERROR(__xludf.DUMMYFUNCTION("GOOGLETRANSLATE(B2901,""en"",""fr"")"),"Les gens continuent de rouler sur les chameaux avec un homme les menant devant et la caméra capturant plusieurs autres personnes.")</f>
        <v>Les gens continuent de rouler sur les chameaux avec un homme les menant devant et la caméra capturant plusieurs autres personnes.</v>
      </c>
    </row>
    <row r="2902">
      <c r="A2902" s="4" t="s">
        <v>3640</v>
      </c>
      <c r="B2902" s="6" t="s">
        <v>3643</v>
      </c>
      <c r="C2902" s="5" t="str">
        <f>IFERROR(__xludf.DUMMYFUNCTION("GOOGLETRANSLATE(B2902,""en"",""fr"")"),"À la fin, les chameaux sont vus se promener entre eux et une photo de tout le monde debout ensemble.")</f>
        <v>À la fin, les chameaux sont vus se promener entre eux et une photo de tout le monde debout ensemble.</v>
      </c>
    </row>
    <row r="2903">
      <c r="A2903" s="4" t="s">
        <v>3644</v>
      </c>
      <c r="B2903" s="4" t="s">
        <v>3645</v>
      </c>
      <c r="C2903" s="5" t="str">
        <f>IFERROR(__xludf.DUMMYFUNCTION("GOOGLETRANSLATE(B2903,""en"",""fr"")"),"Un homme est vu parler à la caméra et pointer vers une table et disposer des cartes.")</f>
        <v>Un homme est vu parler à la caméra et pointer vers une table et disposer des cartes.</v>
      </c>
    </row>
    <row r="2904">
      <c r="A2904" s="4" t="s">
        <v>3644</v>
      </c>
      <c r="B2904" s="6" t="s">
        <v>3646</v>
      </c>
      <c r="C2904" s="5" t="str">
        <f>IFERROR(__xludf.DUMMYFUNCTION("GOOGLETRANSLATE(B2904,""en"",""fr"")"),"Il effectue ensuite un jeu de Jack Black tout en déplaçant les cartes et en dés tout en parlant à la caméra.")</f>
        <v>Il effectue ensuite un jeu de Jack Black tout en déplaçant les cartes et en dés tout en parlant à la caméra.</v>
      </c>
    </row>
    <row r="2905">
      <c r="A2905" s="4" t="s">
        <v>3647</v>
      </c>
      <c r="B2905" s="4" t="s">
        <v>3648</v>
      </c>
      <c r="C2905" s="5" t="str">
        <f>IFERROR(__xludf.DUMMYFUNCTION("GOOGLETRANSLATE(B2905,""en"",""fr"")"),"Une femme montre comment nettoyer une chemise avec une machine à vapeur en parlant.")</f>
        <v>Une femme montre comment nettoyer une chemise avec une machine à vapeur en parlant.</v>
      </c>
    </row>
    <row r="2906">
      <c r="A2906" s="4" t="s">
        <v>3647</v>
      </c>
      <c r="B2906" s="4" t="s">
        <v>3649</v>
      </c>
      <c r="C2906" s="5" t="str">
        <f>IFERROR(__xludf.DUMMYFUNCTION("GOOGLETRANSLATE(B2906,""en"",""fr"")"),"La femme a fini de nettoyer la chemise et de le retirer d'un cintre et a mis la planche de fer.")</f>
        <v>La femme a fini de nettoyer la chemise et de le retirer d'un cintre et a mis la planche de fer.</v>
      </c>
    </row>
    <row r="2907">
      <c r="A2907" s="4" t="s">
        <v>3647</v>
      </c>
      <c r="B2907" s="4" t="s">
        <v>3650</v>
      </c>
      <c r="C2907" s="5" t="str">
        <f>IFERROR(__xludf.DUMMYFUNCTION("GOOGLETRANSLATE(B2907,""en"",""fr"")"),"Après, la femme montre un conteneur, puis gabs la machine à vapeur et montre en parlant.")</f>
        <v>Après, la femme montre un conteneur, puis gabs la machine à vapeur et montre en parlant.</v>
      </c>
    </row>
    <row r="2908">
      <c r="A2908" s="4" t="s">
        <v>3651</v>
      </c>
      <c r="B2908" s="4" t="s">
        <v>3652</v>
      </c>
      <c r="C2908" s="5" t="str">
        <f>IFERROR(__xludf.DUMMYFUNCTION("GOOGLETRANSLATE(B2908,""en"",""fr"")"),"Une personne est des barres de peinture en aérosol qui sont collées ensemble différentes couleurs.")</f>
        <v>Une personne est des barres de peinture en aérosol qui sont collées ensemble différentes couleurs.</v>
      </c>
    </row>
    <row r="2909">
      <c r="A2909" s="4" t="s">
        <v>3651</v>
      </c>
      <c r="B2909" s="4" t="s">
        <v>3653</v>
      </c>
      <c r="C2909" s="5" t="str">
        <f>IFERROR(__xludf.DUMMYFUNCTION("GOOGLETRANSLATE(B2909,""en"",""fr"")"),"Ils ont mis un autocollant de mots sur les barres.")</f>
        <v>Ils ont mis un autocollant de mots sur les barres.</v>
      </c>
    </row>
    <row r="2910">
      <c r="A2910" s="4" t="s">
        <v>3654</v>
      </c>
      <c r="B2910" s="4" t="s">
        <v>3655</v>
      </c>
      <c r="C2910" s="5" t="str">
        <f>IFERROR(__xludf.DUMMYFUNCTION("GOOGLETRANSLATE(B2910,""en"",""fr"")"),"Un homme parle en regardant un vélo.")</f>
        <v>Un homme parle en regardant un vélo.</v>
      </c>
    </row>
    <row r="2911">
      <c r="A2911" s="4" t="s">
        <v>3654</v>
      </c>
      <c r="B2911" s="4" t="s">
        <v>3656</v>
      </c>
      <c r="C2911" s="5" t="str">
        <f>IFERROR(__xludf.DUMMYFUNCTION("GOOGLETRANSLATE(B2911,""en"",""fr"")"),"Il place un outil de contrôle de la vitesse sur le guidon du vélo.")</f>
        <v>Il place un outil de contrôle de la vitesse sur le guidon du vélo.</v>
      </c>
    </row>
    <row r="2912">
      <c r="A2912" s="4" t="s">
        <v>3654</v>
      </c>
      <c r="B2912" s="4" t="s">
        <v>3657</v>
      </c>
      <c r="C2912" s="5" t="str">
        <f>IFERROR(__xludf.DUMMYFUNCTION("GOOGLETRANSLATE(B2912,""en"",""fr"")"),"Il continue de parler jusqu'à ce qu'il ait le bar en place.")</f>
        <v>Il continue de parler jusqu'à ce qu'il ait le bar en place.</v>
      </c>
    </row>
    <row r="2913">
      <c r="A2913" s="4" t="s">
        <v>3658</v>
      </c>
      <c r="B2913" s="4" t="s">
        <v>3659</v>
      </c>
      <c r="C2913" s="5" t="str">
        <f>IFERROR(__xludf.DUMMYFUNCTION("GOOGLETRANSLATE(B2913,""en"",""fr"")"),"Un homme est vu assis sur un tabouret tout en sortant une guitare dans ses mains.")</f>
        <v>Un homme est vu assis sur un tabouret tout en sortant une guitare dans ses mains.</v>
      </c>
    </row>
    <row r="2914">
      <c r="A2914" s="4" t="s">
        <v>3658</v>
      </c>
      <c r="B2914" s="4" t="s">
        <v>3660</v>
      </c>
      <c r="C2914" s="5" t="str">
        <f>IFERROR(__xludf.DUMMYFUNCTION("GOOGLETRANSLATE(B2914,""en"",""fr"")"),"La caméra se déroule étroitement autour de la guitare pendant que l'homme continue de parler.")</f>
        <v>La caméra se déroule étroitement autour de la guitare pendant que l'homme continue de parler.</v>
      </c>
    </row>
    <row r="2915">
      <c r="A2915" s="4" t="s">
        <v>3658</v>
      </c>
      <c r="B2915" s="4" t="s">
        <v>3661</v>
      </c>
      <c r="C2915" s="5" t="str">
        <f>IFERROR(__xludf.DUMMYFUNCTION("GOOGLETRANSLATE(B2915,""en"",""fr"")"),"L'homme joue ensuite un peu la guitare et bouge ses mains de haut en bas.")</f>
        <v>L'homme joue ensuite un peu la guitare et bouge ses mains de haut en bas.</v>
      </c>
    </row>
    <row r="2916">
      <c r="A2916" s="4" t="s">
        <v>3662</v>
      </c>
      <c r="B2916" s="4" t="s">
        <v>3663</v>
      </c>
      <c r="C2916" s="5" t="str">
        <f>IFERROR(__xludf.DUMMYFUNCTION("GOOGLETRANSLATE(B2916,""en"",""fr"")"),"Une personne est vue rouler sur un cheval au-dessus des sauts au ralenti tandis que d'autres regardent.")</f>
        <v>Une personne est vue rouler sur un cheval au-dessus des sauts au ralenti tandis que d'autres regardent.</v>
      </c>
    </row>
    <row r="2917">
      <c r="A2917" s="4" t="s">
        <v>3662</v>
      </c>
      <c r="B2917" s="6" t="s">
        <v>3664</v>
      </c>
      <c r="C2917" s="5" t="str">
        <f>IFERROR(__xludf.DUMMYFUNCTION("GOOGLETRANSLATE(B2917,""en"",""fr"")"),"La vidéo se déplace plus rapidement car de plus en plus de gens sont vus sauter par-dessus les obstacles et l'un parlant à la caméra.")</f>
        <v>La vidéo se déplace plus rapidement car de plus en plus de gens sont vus sauter par-dessus les obstacles et l'un parlant à la caméra.</v>
      </c>
    </row>
    <row r="2918">
      <c r="A2918" s="4" t="s">
        <v>3662</v>
      </c>
      <c r="B2918" s="6" t="s">
        <v>3665</v>
      </c>
      <c r="C2918" s="5" t="str">
        <f>IFERROR(__xludf.DUMMYFUNCTION("GOOGLETRANSLATE(B2918,""en"",""fr"")"),"Plusieurs autres clips sont montrés des personnes qui roulent sur des chevaux ainsi que des images entre les deux et les gros plans de chevaux.")</f>
        <v>Plusieurs autres clips sont montrés des personnes qui roulent sur des chevaux ainsi que des images entre les deux et les gros plans de chevaux.</v>
      </c>
    </row>
    <row r="2919">
      <c r="A2919" s="4" t="s">
        <v>3666</v>
      </c>
      <c r="B2919" s="4" t="s">
        <v>3667</v>
      </c>
      <c r="C2919" s="5" t="str">
        <f>IFERROR(__xludf.DUMMYFUNCTION("GOOGLETRANSLATE(B2919,""en"",""fr"")"),"Une dame se plie légèrement dans une cour extérieure.")</f>
        <v>Une dame se plie légèrement dans une cour extérieure.</v>
      </c>
    </row>
    <row r="2920">
      <c r="A2920" s="4" t="s">
        <v>3666</v>
      </c>
      <c r="B2920" s="4" t="s">
        <v>3668</v>
      </c>
      <c r="C2920" s="5" t="str">
        <f>IFERROR(__xludf.DUMMYFUNCTION("GOOGLETRANSLATE(B2920,""en"",""fr"")"),"La dame se lève et se tourne.")</f>
        <v>La dame se lève et se tourne.</v>
      </c>
    </row>
    <row r="2921">
      <c r="A2921" s="4" t="s">
        <v>3666</v>
      </c>
      <c r="B2921" s="4" t="s">
        <v>3669</v>
      </c>
      <c r="C2921" s="5" t="str">
        <f>IFERROR(__xludf.DUMMYFUNCTION("GOOGLETRANSLATE(B2921,""en"",""fr"")"),"La dame relâche sa main de son cou.")</f>
        <v>La dame relâche sa main de son cou.</v>
      </c>
    </row>
    <row r="2922">
      <c r="A2922" s="4" t="s">
        <v>3670</v>
      </c>
      <c r="B2922" s="4" t="s">
        <v>3671</v>
      </c>
      <c r="C2922" s="5" t="str">
        <f>IFERROR(__xludf.DUMMYFUNCTION("GOOGLETRANSLATE(B2922,""en"",""fr"")"),"Un homme est vu nager dans une piscine en passant une balle à un chien en arrière et quatrième.")</f>
        <v>Un homme est vu nager dans une piscine en passant une balle à un chien en arrière et quatrième.</v>
      </c>
    </row>
    <row r="2923">
      <c r="A2923" s="4" t="s">
        <v>3670</v>
      </c>
      <c r="B2923" s="4" t="s">
        <v>3672</v>
      </c>
      <c r="C2923" s="5" t="str">
        <f>IFERROR(__xludf.DUMMYFUNCTION("GOOGLETRANSLATE(B2923,""en"",""fr"")"),"L'homme continue de passer le ballon pendant que le chien le frappe tout de suite.")</f>
        <v>L'homme continue de passer le ballon pendant que le chien le frappe tout de suite.</v>
      </c>
    </row>
    <row r="2924">
      <c r="A2924" s="4" t="s">
        <v>3673</v>
      </c>
      <c r="B2924" s="4" t="s">
        <v>3674</v>
      </c>
      <c r="C2924" s="5" t="str">
        <f>IFERROR(__xludf.DUMMYFUNCTION("GOOGLETRANSLATE(B2924,""en"",""fr"")"),"Diverses images fixes des cheveux d'un homme sont montrées.")</f>
        <v>Diverses images fixes des cheveux d'un homme sont montrées.</v>
      </c>
    </row>
    <row r="2925">
      <c r="A2925" s="4" t="s">
        <v>3673</v>
      </c>
      <c r="B2925" s="4" t="s">
        <v>3675</v>
      </c>
      <c r="C2925" s="5" t="str">
        <f>IFERROR(__xludf.DUMMYFUNCTION("GOOGLETRANSLATE(B2925,""en"",""fr"")"),"Un homme est montré recevant une coupe de cheveux et un coiffage en temps accéléré.")</f>
        <v>Un homme est montré recevant une coupe de cheveux et un coiffage en temps accéléré.</v>
      </c>
    </row>
    <row r="2926">
      <c r="A2926" s="4" t="s">
        <v>3673</v>
      </c>
      <c r="B2926" s="4" t="s">
        <v>3676</v>
      </c>
      <c r="C2926" s="5" t="str">
        <f>IFERROR(__xludf.DUMMYFUNCTION("GOOGLETRANSLATE(B2926,""en"",""fr"")"),"Des images fixes des cheveux de l'homme après le style sont affichées.")</f>
        <v>Des images fixes des cheveux de l'homme après le style sont affichées.</v>
      </c>
    </row>
    <row r="2927">
      <c r="A2927" s="4" t="s">
        <v>3677</v>
      </c>
      <c r="B2927" s="4" t="s">
        <v>3678</v>
      </c>
      <c r="C2927" s="5" t="str">
        <f>IFERROR(__xludf.DUMMYFUNCTION("GOOGLETRANSLATE(B2927,""en"",""fr"")"),"Un homme se tient sur un tribunal.")</f>
        <v>Un homme se tient sur un tribunal.</v>
      </c>
    </row>
    <row r="2928">
      <c r="A2928" s="4" t="s">
        <v>3677</v>
      </c>
      <c r="B2928" s="4" t="s">
        <v>3679</v>
      </c>
      <c r="C2928" s="5" t="str">
        <f>IFERROR(__xludf.DUMMYFUNCTION("GOOGLETRANSLATE(B2928,""en"",""fr"")"),"Il frappe une balle avec une raquette.")</f>
        <v>Il frappe une balle avec une raquette.</v>
      </c>
    </row>
    <row r="2929">
      <c r="A2929" s="4" t="s">
        <v>3677</v>
      </c>
      <c r="B2929" s="4" t="s">
        <v>3680</v>
      </c>
      <c r="C2929" s="5" t="str">
        <f>IFERROR(__xludf.DUMMYFUNCTION("GOOGLETRANSLATE(B2929,""en"",""fr"")"),"Plusieurs athlètes différents sont montrés en frappant des balles.")</f>
        <v>Plusieurs athlètes différents sont montrés en frappant des balles.</v>
      </c>
    </row>
    <row r="2930">
      <c r="A2930" s="4" t="s">
        <v>3677</v>
      </c>
      <c r="B2930" s="4" t="s">
        <v>3681</v>
      </c>
      <c r="C2930" s="5" t="str">
        <f>IFERROR(__xludf.DUMMYFUNCTION("GOOGLETRANSLATE(B2930,""en"",""fr"")"),"Certains d'entre eux encouragent à la fin.")</f>
        <v>Certains d'entre eux encouragent à la fin.</v>
      </c>
    </row>
    <row r="2931">
      <c r="A2931" s="4" t="s">
        <v>3682</v>
      </c>
      <c r="B2931" s="4" t="s">
        <v>3683</v>
      </c>
      <c r="C2931" s="5" t="str">
        <f>IFERROR(__xludf.DUMMYFUNCTION("GOOGLETRANSLATE(B2931,""en"",""fr"")"),"Un homme coupe un oignon avec un couteau sur une planche à découper.")</f>
        <v>Un homme coupe un oignon avec un couteau sur une planche à découper.</v>
      </c>
    </row>
    <row r="2932">
      <c r="A2932" s="4" t="s">
        <v>3682</v>
      </c>
      <c r="B2932" s="6" t="s">
        <v>3684</v>
      </c>
      <c r="C2932" s="5" t="str">
        <f>IFERROR(__xludf.DUMMYFUNCTION("GOOGLETRANSLATE(B2932,""en"",""fr"")"),"Une femme lit un journal à proximité pendant qu'il lui parle et lui montre quelque chose dans sa main.")</f>
        <v>Une femme lit un journal à proximité pendant qu'il lui parle et lui montre quelque chose dans sa main.</v>
      </c>
    </row>
    <row r="2933">
      <c r="A2933" s="4" t="s">
        <v>3682</v>
      </c>
      <c r="B2933" s="4" t="s">
        <v>3685</v>
      </c>
      <c r="C2933" s="5" t="str">
        <f>IFERROR(__xludf.DUMMYFUNCTION("GOOGLETRANSLATE(B2933,""en"",""fr"")"),"L'homme aiguise ses couteaux à l'aide d'un outil électrique.")</f>
        <v>L'homme aiguise ses couteaux à l'aide d'un outil électrique.</v>
      </c>
    </row>
    <row r="2934">
      <c r="A2934" s="4" t="s">
        <v>3682</v>
      </c>
      <c r="B2934" s="4" t="s">
        <v>3686</v>
      </c>
      <c r="C2934" s="5" t="str">
        <f>IFERROR(__xludf.DUMMYFUNCTION("GOOGLETRANSLATE(B2934,""en"",""fr"")"),"Il continue ensuite à couper son oignon.")</f>
        <v>Il continue ensuite à couper son oignon.</v>
      </c>
    </row>
    <row r="2935">
      <c r="A2935" s="4" t="s">
        <v>3687</v>
      </c>
      <c r="B2935" s="4" t="s">
        <v>3688</v>
      </c>
      <c r="C2935" s="5" t="str">
        <f>IFERROR(__xludf.DUMMYFUNCTION("GOOGLETRANSLATE(B2935,""en"",""fr"")"),"Une femme se tient sur un plongeon.")</f>
        <v>Une femme se tient sur un plongeon.</v>
      </c>
    </row>
    <row r="2936">
      <c r="A2936" s="4" t="s">
        <v>3687</v>
      </c>
      <c r="B2936" s="4" t="s">
        <v>3689</v>
      </c>
      <c r="C2936" s="5" t="str">
        <f>IFERROR(__xludf.DUMMYFUNCTION("GOOGLETRANSLATE(B2936,""en"",""fr"")"),"Elle saute dans l'eau.")</f>
        <v>Elle saute dans l'eau.</v>
      </c>
    </row>
    <row r="2937">
      <c r="A2937" s="4" t="s">
        <v>3687</v>
      </c>
      <c r="B2937" s="4" t="s">
        <v>3690</v>
      </c>
      <c r="C2937" s="5" t="str">
        <f>IFERROR(__xludf.DUMMYFUNCTION("GOOGLETRANSLATE(B2937,""en"",""fr"")"),"Les gens se tiennent sous le bord de la plongée.")</f>
        <v>Les gens se tiennent sous le bord de la plongée.</v>
      </c>
    </row>
    <row r="2938">
      <c r="A2938" s="4" t="s">
        <v>3691</v>
      </c>
      <c r="B2938" s="4" t="s">
        <v>3692</v>
      </c>
      <c r="C2938" s="5" t="str">
        <f>IFERROR(__xludf.DUMMYFUNCTION("GOOGLETRANSLATE(B2938,""en"",""fr"")"),"Un concours de vélo est sur le point de commencer et la foule est prête.")</f>
        <v>Un concours de vélo est sur le point de commencer et la foule est prête.</v>
      </c>
    </row>
    <row r="2939">
      <c r="A2939" s="4" t="s">
        <v>3691</v>
      </c>
      <c r="B2939" s="4" t="s">
        <v>3693</v>
      </c>
      <c r="C2939" s="5" t="str">
        <f>IFERROR(__xludf.DUMMYFUNCTION("GOOGLETRANSLATE(B2939,""en"",""fr"")"),"Les coureurs commencent et déjà beaucoup tombent lors du premier grand saut.")</f>
        <v>Les coureurs commencent et déjà beaucoup tombent lors du premier grand saut.</v>
      </c>
    </row>
    <row r="2940">
      <c r="A2940" s="4" t="s">
        <v>3691</v>
      </c>
      <c r="B2940" s="4" t="s">
        <v>3694</v>
      </c>
      <c r="C2940" s="5" t="str">
        <f>IFERROR(__xludf.DUMMYFUNCTION("GOOGLETRANSLATE(B2940,""en"",""fr"")"),"Divers points forts sont montrés des coureurs qui tentent les grands sauts.")</f>
        <v>Divers points forts sont montrés des coureurs qui tentent les grands sauts.</v>
      </c>
    </row>
    <row r="2941">
      <c r="A2941" s="4" t="s">
        <v>3691</v>
      </c>
      <c r="B2941" s="4" t="s">
        <v>3695</v>
      </c>
      <c r="C2941" s="5" t="str">
        <f>IFERROR(__xludf.DUMMYFUNCTION("GOOGLETRANSLATE(B2941,""en"",""fr"")"),"Trois gagnants sont couronnés à la fin par une cérémonie.")</f>
        <v>Trois gagnants sont couronnés à la fin par une cérémonie.</v>
      </c>
    </row>
    <row r="2942">
      <c r="A2942" s="4" t="s">
        <v>3696</v>
      </c>
      <c r="B2942" s="4" t="s">
        <v>3697</v>
      </c>
      <c r="C2942" s="5" t="str">
        <f>IFERROR(__xludf.DUMMYFUNCTION("GOOGLETRANSLATE(B2942,""en"",""fr"")"),"Un homme est vu tenant un drapeau tandis que d'autres se tiennent autour de lui et un coureur entre dans le cadre.")</f>
        <v>Un homme est vu tenant un drapeau tandis que d'autres se tiennent autour de lui et un coureur entre dans le cadre.</v>
      </c>
    </row>
    <row r="2943">
      <c r="A2943" s="4" t="s">
        <v>3696</v>
      </c>
      <c r="B2943" s="4" t="s">
        <v>3698</v>
      </c>
      <c r="C2943" s="5" t="str">
        <f>IFERROR(__xludf.DUMMYFUNCTION("GOOGLETRANSLATE(B2943,""en"",""fr"")"),"Le coureur prend plusieurs sauts et atterrit dans une fosse au ralenti.")</f>
        <v>Le coureur prend plusieurs sauts et atterrit dans une fosse au ralenti.</v>
      </c>
    </row>
    <row r="2944">
      <c r="A2944" s="4" t="s">
        <v>3699</v>
      </c>
      <c r="B2944" s="4" t="s">
        <v>3700</v>
      </c>
      <c r="C2944" s="5" t="str">
        <f>IFERROR(__xludf.DUMMYFUNCTION("GOOGLETRANSLATE(B2944,""en"",""fr"")"),"Une personne utilise un attachement à l'aspirateur pour l'aspirateur sur le plancher en bois.")</f>
        <v>Une personne utilise un attachement à l'aspirateur pour l'aspirateur sur le plancher en bois.</v>
      </c>
    </row>
    <row r="2945">
      <c r="A2945" s="4" t="s">
        <v>3699</v>
      </c>
      <c r="B2945" s="4" t="s">
        <v>3701</v>
      </c>
      <c r="C2945" s="5" t="str">
        <f>IFERROR(__xludf.DUMMYFUNCTION("GOOGLETRANSLATE(B2945,""en"",""fr"")"),"La personne aspire ensuite un tapis sur le sol.")</f>
        <v>La personne aspire ensuite un tapis sur le sol.</v>
      </c>
    </row>
    <row r="2946">
      <c r="A2946" s="4" t="s">
        <v>3699</v>
      </c>
      <c r="B2946" s="4" t="s">
        <v>3702</v>
      </c>
      <c r="C2946" s="5" t="str">
        <f>IFERROR(__xludf.DUMMYFUNCTION("GOOGLETRANSLATE(B2946,""en"",""fr"")"),"La personne aspire à l'arrière d'un chat allongé à proximité.")</f>
        <v>La personne aspire à l'arrière d'un chat allongé à proximité.</v>
      </c>
    </row>
    <row r="2947">
      <c r="A2947" s="4" t="s">
        <v>3699</v>
      </c>
      <c r="B2947" s="4" t="s">
        <v>3703</v>
      </c>
      <c r="C2947" s="5" t="str">
        <f>IFERROR(__xludf.DUMMYFUNCTION("GOOGLETRANSLATE(B2947,""en"",""fr"")"),"La personne retourne dans l'aspirateur sur le plancher en bois.")</f>
        <v>La personne retourne dans l'aspirateur sur le plancher en bois.</v>
      </c>
    </row>
    <row r="2948">
      <c r="A2948" s="4" t="s">
        <v>3704</v>
      </c>
      <c r="B2948" s="4" t="s">
        <v>3705</v>
      </c>
      <c r="C2948" s="5" t="str">
        <f>IFERROR(__xludf.DUMMYFUNCTION("GOOGLETRANSLATE(B2948,""en"",""fr"")"),"Une femme et ses 2 enfants roulent sur un chameau lors d'une foire ou d'un événement.")</f>
        <v>Une femme et ses 2 enfants roulent sur un chameau lors d'une foire ou d'un événement.</v>
      </c>
    </row>
    <row r="2949">
      <c r="A2949" s="4" t="s">
        <v>3704</v>
      </c>
      <c r="B2949" s="4" t="s">
        <v>3706</v>
      </c>
      <c r="C2949" s="5" t="str">
        <f>IFERROR(__xludf.DUMMYFUNCTION("GOOGLETRANSLATE(B2949,""en"",""fr"")"),"Il y a un travailleur qui marche avec eux en cercles qui marche sur le chameau avec une corde pendant qu'ils roulent.")</f>
        <v>Il y a un travailleur qui marche avec eux en cercles qui marche sur le chameau avec une corde pendant qu'ils roulent.</v>
      </c>
    </row>
    <row r="2950">
      <c r="A2950" s="4" t="s">
        <v>3704</v>
      </c>
      <c r="B2950" s="4" t="s">
        <v>3707</v>
      </c>
      <c r="C2950" s="5" t="str">
        <f>IFERROR(__xludf.DUMMYFUNCTION("GOOGLETRANSLATE(B2950,""en"",""fr"")"),"Ils contournent plusieurs fois encore et encore en cercle autour d'une petite zone fermée.")</f>
        <v>Ils contournent plusieurs fois encore et encore en cercle autour d'une petite zone fermée.</v>
      </c>
    </row>
    <row r="2951">
      <c r="A2951" s="4" t="s">
        <v>3704</v>
      </c>
      <c r="B2951" s="6" t="s">
        <v>3708</v>
      </c>
      <c r="C2951" s="5" t="str">
        <f>IFERROR(__xludf.DUMMYFUNCTION("GOOGLETRANSLATE(B2951,""en"",""fr"")"),"Quand ils ont fini, ils s'arrêtent à une balustrade rouge, le travailleur tape le chameau sur le visage pendant que le cavalier descend.")</f>
        <v>Quand ils ont fini, ils s'arrêtent à une balustrade rouge, le travailleur tape le chameau sur le visage pendant que le cavalier descend.</v>
      </c>
    </row>
    <row r="2952">
      <c r="A2952" s="4" t="s">
        <v>3709</v>
      </c>
      <c r="B2952" s="4" t="s">
        <v>3710</v>
      </c>
      <c r="C2952" s="5" t="str">
        <f>IFERROR(__xludf.DUMMYFUNCTION("GOOGLETRANSLATE(B2952,""en"",""fr"")"),"Une femme se tient sur un piano.")</f>
        <v>Une femme se tient sur un piano.</v>
      </c>
    </row>
    <row r="2953">
      <c r="A2953" s="4" t="s">
        <v>3709</v>
      </c>
      <c r="B2953" s="4" t="s">
        <v>3711</v>
      </c>
      <c r="C2953" s="5" t="str">
        <f>IFERROR(__xludf.DUMMYFUNCTION("GOOGLETRANSLATE(B2953,""en"",""fr"")"),"Une personne joue du piano.")</f>
        <v>Une personne joue du piano.</v>
      </c>
    </row>
    <row r="2954">
      <c r="A2954" s="4" t="s">
        <v>3709</v>
      </c>
      <c r="B2954" s="4" t="s">
        <v>3712</v>
      </c>
      <c r="C2954" s="5" t="str">
        <f>IFERROR(__xludf.DUMMYFUNCTION("GOOGLETRANSLATE(B2954,""en"",""fr"")"),"Le piano tourne et une femme se tient derrière.")</f>
        <v>Le piano tourne et une femme se tient derrière.</v>
      </c>
    </row>
    <row r="2955">
      <c r="A2955" s="4" t="s">
        <v>3713</v>
      </c>
      <c r="B2955" s="4" t="s">
        <v>3714</v>
      </c>
      <c r="C2955" s="5" t="str">
        <f>IFERROR(__xludf.DUMMYFUNCTION("GOOGLETRANSLATE(B2955,""en"",""fr"")"),"Nous voyons un écran d'ouverture sombre.")</f>
        <v>Nous voyons un écran d'ouverture sombre.</v>
      </c>
    </row>
    <row r="2956">
      <c r="A2956" s="4" t="s">
        <v>3713</v>
      </c>
      <c r="B2956" s="4" t="s">
        <v>3715</v>
      </c>
      <c r="C2956" s="5" t="str">
        <f>IFERROR(__xludf.DUMMYFUNCTION("GOOGLETRANSLATE(B2956,""en"",""fr"")"),"Nous voyons ensuite des gens effectuer des danses hip hop.")</f>
        <v>Nous voyons ensuite des gens effectuer des danses hip hop.</v>
      </c>
    </row>
    <row r="2957">
      <c r="A2957" s="4" t="s">
        <v>3713</v>
      </c>
      <c r="B2957" s="4" t="s">
        <v>3716</v>
      </c>
      <c r="C2957" s="5" t="str">
        <f>IFERROR(__xludf.DUMMYFUNCTION("GOOGLETRANSLATE(B2957,""en"",""fr"")"),"Nous voyons un panneau pour l'événement de 2004.")</f>
        <v>Nous voyons un panneau pour l'événement de 2004.</v>
      </c>
    </row>
    <row r="2958">
      <c r="A2958" s="4" t="s">
        <v>3713</v>
      </c>
      <c r="B2958" s="4" t="s">
        <v>3717</v>
      </c>
      <c r="C2958" s="5" t="str">
        <f>IFERROR(__xludf.DUMMYFUNCTION("GOOGLETRANSLATE(B2958,""en"",""fr"")"),"Nous voyons des gens devant un public danser.")</f>
        <v>Nous voyons des gens devant un public danser.</v>
      </c>
    </row>
    <row r="2959">
      <c r="A2959" s="4" t="s">
        <v>3713</v>
      </c>
      <c r="B2959" s="4" t="s">
        <v>3718</v>
      </c>
      <c r="C2959" s="5" t="str">
        <f>IFERROR(__xludf.DUMMYFUNCTION("GOOGLETRANSLATE(B2959,""en"",""fr"")"),"Nous voyons un homme faire un tour des clips de la foule.")</f>
        <v>Nous voyons un homme faire un tour des clips de la foule.</v>
      </c>
    </row>
    <row r="2960">
      <c r="A2960" s="4" t="s">
        <v>3713</v>
      </c>
      <c r="B2960" s="4" t="s">
        <v>3719</v>
      </c>
      <c r="C2960" s="5" t="str">
        <f>IFERROR(__xludf.DUMMYFUNCTION("GOOGLETRANSLATE(B2960,""en"",""fr"")"),"Nous voyons un panneau pour l'événement 2005.")</f>
        <v>Nous voyons un panneau pour l'événement 2005.</v>
      </c>
    </row>
    <row r="2961">
      <c r="A2961" s="4" t="s">
        <v>3713</v>
      </c>
      <c r="B2961" s="4" t="s">
        <v>3720</v>
      </c>
      <c r="C2961" s="5" t="str">
        <f>IFERROR(__xludf.DUMMYFUNCTION("GOOGLETRANSLATE(B2961,""en"",""fr"")"),"Deux hommes prennent un nœud.")</f>
        <v>Deux hommes prennent un nœud.</v>
      </c>
    </row>
    <row r="2962">
      <c r="A2962" s="4" t="s">
        <v>3713</v>
      </c>
      <c r="B2962" s="4" t="s">
        <v>3721</v>
      </c>
      <c r="C2962" s="5" t="str">
        <f>IFERROR(__xludf.DUMMYFUNCTION("GOOGLETRANSLATE(B2962,""en"",""fr"")"),"Nous voyons un écran pour l'événement 2006.")</f>
        <v>Nous voyons un écran pour l'événement 2006.</v>
      </c>
    </row>
    <row r="2963">
      <c r="A2963" s="4" t="s">
        <v>3713</v>
      </c>
      <c r="B2963" s="4" t="s">
        <v>3722</v>
      </c>
      <c r="C2963" s="5" t="str">
        <f>IFERROR(__xludf.DUMMYFUNCTION("GOOGLETRANSLATE(B2963,""en"",""fr"")"),"Un homme en rouge fait un tas de mouvements.")</f>
        <v>Un homme en rouge fait un tas de mouvements.</v>
      </c>
    </row>
    <row r="2964">
      <c r="A2964" s="4" t="s">
        <v>3713</v>
      </c>
      <c r="B2964" s="4" t="s">
        <v>3723</v>
      </c>
      <c r="C2964" s="5" t="str">
        <f>IFERROR(__xludf.DUMMYFUNCTION("GOOGLETRANSLATE(B2964,""en"",""fr"")"),"Nous voyons des panneaux pour l'événement 2007.")</f>
        <v>Nous voyons des panneaux pour l'événement 2007.</v>
      </c>
    </row>
    <row r="2965">
      <c r="A2965" s="4" t="s">
        <v>3724</v>
      </c>
      <c r="B2965" s="4" t="s">
        <v>3725</v>
      </c>
      <c r="C2965" s="5" t="str">
        <f>IFERROR(__xludf.DUMMYFUNCTION("GOOGLETRANSLATE(B2965,""en"",""fr"")"),"Un gros plan d'un narguilé bleu est montré en bas en haut.")</f>
        <v>Un gros plan d'un narguilé bleu est montré en bas en haut.</v>
      </c>
    </row>
    <row r="2966">
      <c r="A2966" s="4" t="s">
        <v>3724</v>
      </c>
      <c r="B2966" s="4" t="s">
        <v>3726</v>
      </c>
      <c r="C2966" s="5" t="str">
        <f>IFERROR(__xludf.DUMMYFUNCTION("GOOGLETRANSLATE(B2966,""en"",""fr"")"),"Le bol est montré, puis le narguilé est rempli d'eau par des gants.")</f>
        <v>Le bol est montré, puis le narguilé est rempli d'eau par des gants.</v>
      </c>
    </row>
    <row r="2967">
      <c r="A2967" s="4" t="s">
        <v>3724</v>
      </c>
      <c r="B2967" s="4" t="s">
        <v>3727</v>
      </c>
      <c r="C2967" s="5" t="str">
        <f>IFERROR(__xludf.DUMMYFUNCTION("GOOGLETRANSLATE(B2967,""en"",""fr"")"),"Le tuyau est attaché au narguilé.")</f>
        <v>Le tuyau est attaché au narguilé.</v>
      </c>
    </row>
    <row r="2968">
      <c r="A2968" s="4" t="s">
        <v>3724</v>
      </c>
      <c r="B2968" s="4" t="s">
        <v>3728</v>
      </c>
      <c r="C2968" s="5" t="str">
        <f>IFERROR(__xludf.DUMMYFUNCTION("GOOGLETRANSLATE(B2968,""en"",""fr"")"),"Le tabac est emballé dans le bol, puis recouvert de papier d'aluminium et perforé de cure-dent.")</f>
        <v>Le tabac est emballé dans le bol, puis recouvert de papier d'aluminium et perforé de cure-dent.</v>
      </c>
    </row>
    <row r="2969">
      <c r="A2969" s="4" t="s">
        <v>3724</v>
      </c>
      <c r="B2969" s="4" t="s">
        <v>3729</v>
      </c>
      <c r="C2969" s="5" t="str">
        <f>IFERROR(__xludf.DUMMYFUNCTION("GOOGLETRANSLATE(B2969,""en"",""fr"")"),"Un morceau de charbon est allumé, puis la personne invisible fume le narguilé tout en lisant un livre.")</f>
        <v>Un morceau de charbon est allumé, puis la personne invisible fume le narguilé tout en lisant un livre.</v>
      </c>
    </row>
    <row r="2970">
      <c r="A2970" s="4" t="s">
        <v>3730</v>
      </c>
      <c r="B2970" s="4" t="s">
        <v>3731</v>
      </c>
      <c r="C2970" s="5" t="str">
        <f>IFERROR(__xludf.DUMMYFUNCTION("GOOGLETRANSLATE(B2970,""en"",""fr"")"),"Nous voyons un homme à une table dans un champ en jus d'un fruit pour faire un jus.")</f>
        <v>Nous voyons un homme à une table dans un champ en jus d'un fruit pour faire un jus.</v>
      </c>
    </row>
    <row r="2971">
      <c r="A2971" s="4" t="s">
        <v>3730</v>
      </c>
      <c r="B2971" s="4" t="s">
        <v>3732</v>
      </c>
      <c r="C2971" s="5" t="str">
        <f>IFERROR(__xludf.DUMMYFUNCTION("GOOGLETRANSLATE(B2971,""en"",""fr"")"),"L'homme jus 2 fruits met ensuite le sucre dans deux verres.")</f>
        <v>L'homme jus 2 fruits met ensuite le sucre dans deux verres.</v>
      </c>
    </row>
    <row r="2972">
      <c r="A2972" s="4" t="s">
        <v>3730</v>
      </c>
      <c r="B2972" s="4" t="s">
        <v>3733</v>
      </c>
      <c r="C2972" s="5" t="str">
        <f>IFERROR(__xludf.DUMMYFUNCTION("GOOGLETRANSLATE(B2972,""en"",""fr"")"),"L'homme coupe et fait ensuite quatre fruits de plus.")</f>
        <v>L'homme coupe et fait ensuite quatre fruits de plus.</v>
      </c>
    </row>
    <row r="2973">
      <c r="A2973" s="4" t="s">
        <v>3730</v>
      </c>
      <c r="B2973" s="4" t="s">
        <v>3734</v>
      </c>
      <c r="C2973" s="5" t="str">
        <f>IFERROR(__xludf.DUMMYFUNCTION("GOOGLETRANSLATE(B2973,""en"",""fr"")"),"L'homme ajoute plus de sucre aux verres et de l'eau glacée du seau sous le fruit.")</f>
        <v>L'homme ajoute plus de sucre aux verres et de l'eau glacée du seau sous le fruit.</v>
      </c>
    </row>
    <row r="2974">
      <c r="A2974" s="4" t="s">
        <v>3735</v>
      </c>
      <c r="B2974" s="6" t="s">
        <v>3736</v>
      </c>
      <c r="C2974" s="5" t="str">
        <f>IFERROR(__xludf.DUMMYFUNCTION("GOOGLETRANSLATE(B2974,""en"",""fr"")"),"Plusieurs photographies de ménages et d'objets sont représentées, suivis d'un homme versant des liquides dans un seau.")</f>
        <v>Plusieurs photographies de ménages et d'objets sont représentées, suivis d'un homme versant des liquides dans un seau.</v>
      </c>
    </row>
    <row r="2975">
      <c r="A2975" s="4" t="s">
        <v>3735</v>
      </c>
      <c r="B2975" s="4" t="s">
        <v>3737</v>
      </c>
      <c r="C2975" s="5" t="str">
        <f>IFERROR(__xludf.DUMMYFUNCTION("GOOGLETRANSLATE(B2975,""en"",""fr"")"),"Il verse plus d'objets dans le seau tandis qu'un autre homme le tourbillonne.")</f>
        <v>Il verse plus d'objets dans le seau tandis qu'un autre homme le tourbillonne.</v>
      </c>
    </row>
    <row r="2976">
      <c r="A2976" s="4" t="s">
        <v>3735</v>
      </c>
      <c r="B2976" s="4" t="s">
        <v>3738</v>
      </c>
      <c r="C2976" s="5" t="str">
        <f>IFERROR(__xludf.DUMMYFUNCTION("GOOGLETRANSLATE(B2976,""en"",""fr"")"),"L'homme ouvre une boîte pleine de pierre et déposent du plâtre sur un mur.")</f>
        <v>L'homme ouvre une boîte pleine de pierre et déposent du plâtre sur un mur.</v>
      </c>
    </row>
    <row r="2977">
      <c r="A2977" s="4" t="s">
        <v>3735</v>
      </c>
      <c r="B2977" s="4" t="s">
        <v>3739</v>
      </c>
      <c r="C2977" s="5" t="str">
        <f>IFERROR(__xludf.DUMMYFUNCTION("GOOGLETRANSLATE(B2977,""en"",""fr"")"),"Il pousse la pierre dans le mur encore et encore pour créer un mur de pierre pour une maison.")</f>
        <v>Il pousse la pierre dans le mur encore et encore pour créer un mur de pierre pour une maison.</v>
      </c>
    </row>
    <row r="2978">
      <c r="A2978" s="4" t="s">
        <v>3740</v>
      </c>
      <c r="B2978" s="4" t="s">
        <v>3741</v>
      </c>
      <c r="C2978" s="5" t="str">
        <f>IFERROR(__xludf.DUMMYFUNCTION("GOOGLETRANSLATE(B2978,""en"",""fr"")"),"Un garçon est assis sur une chaise de salon et parle.")</f>
        <v>Un garçon est assis sur une chaise de salon et parle.</v>
      </c>
    </row>
    <row r="2979">
      <c r="A2979" s="4" t="s">
        <v>3740</v>
      </c>
      <c r="B2979" s="4" t="s">
        <v>3742</v>
      </c>
      <c r="C2979" s="5" t="str">
        <f>IFERROR(__xludf.DUMMYFUNCTION("GOOGLETRANSLATE(B2979,""en"",""fr"")"),"Un styliste coupe ses cheveux en un nouveau style.")</f>
        <v>Un styliste coupe ses cheveux en un nouveau style.</v>
      </c>
    </row>
    <row r="2980">
      <c r="A2980" s="4" t="s">
        <v>3740</v>
      </c>
      <c r="B2980" s="4" t="s">
        <v>3743</v>
      </c>
      <c r="C2980" s="5" t="str">
        <f>IFERROR(__xludf.DUMMYFUNCTION("GOOGLETRANSLATE(B2980,""en"",""fr"")"),"Il sèche et pulvérise les cheveux en un look épineux.")</f>
        <v>Il sèche et pulvérise les cheveux en un look épineux.</v>
      </c>
    </row>
    <row r="2981">
      <c r="A2981" s="4" t="s">
        <v>3744</v>
      </c>
      <c r="B2981" s="4" t="s">
        <v>3745</v>
      </c>
      <c r="C2981" s="5" t="str">
        <f>IFERROR(__xludf.DUMMYFUNCTION("GOOGLETRANSLATE(B2981,""en"",""fr"")"),"Nous voyons des gens dans les tampants dans un carnaval.")</f>
        <v>Nous voyons des gens dans les tampants dans un carnaval.</v>
      </c>
    </row>
    <row r="2982">
      <c r="A2982" s="4" t="s">
        <v>3744</v>
      </c>
      <c r="B2982" s="4" t="s">
        <v>3746</v>
      </c>
      <c r="C2982" s="5" t="str">
        <f>IFERROR(__xludf.DUMMYFUNCTION("GOOGLETRANSLATE(B2982,""en"",""fr"")"),"La caméra est parti et nous voyons le tribunal de conduite.")</f>
        <v>La caméra est parti et nous voyons le tribunal de conduite.</v>
      </c>
    </row>
    <row r="2983">
      <c r="A2983" s="4" t="s">
        <v>3744</v>
      </c>
      <c r="B2983" s="4" t="s">
        <v>3747</v>
      </c>
      <c r="C2983" s="5" t="str">
        <f>IFERROR(__xludf.DUMMYFUNCTION("GOOGLETRANSLATE(B2983,""en"",""fr"")"),"Une personne en violet passe devant la caméra.")</f>
        <v>Une personne en violet passe devant la caméra.</v>
      </c>
    </row>
    <row r="2984">
      <c r="A2984" s="4" t="s">
        <v>3744</v>
      </c>
      <c r="B2984" s="4" t="s">
        <v>3748</v>
      </c>
      <c r="C2984" s="5" t="str">
        <f>IFERROR(__xludf.DUMMYFUNCTION("GOOGLETRANSLATE(B2984,""en"",""fr"")"),"Une fille sourit à la caméra alors qu'elle passe devant.")</f>
        <v>Une fille sourit à la caméra alors qu'elle passe devant.</v>
      </c>
    </row>
    <row r="2985">
      <c r="A2985" s="4" t="s">
        <v>3749</v>
      </c>
      <c r="B2985" s="4" t="s">
        <v>3750</v>
      </c>
      <c r="C2985" s="5" t="str">
        <f>IFERROR(__xludf.DUMMYFUNCTION("GOOGLETRANSLATE(B2985,""en"",""fr"")"),"Une fille joue avec du sable sur une plage.")</f>
        <v>Une fille joue avec du sable sur une plage.</v>
      </c>
    </row>
    <row r="2986">
      <c r="A2986" s="4" t="s">
        <v>3749</v>
      </c>
      <c r="B2986" s="4" t="s">
        <v>3751</v>
      </c>
      <c r="C2986" s="5" t="str">
        <f>IFERROR(__xludf.DUMMYFUNCTION("GOOGLETRANSLATE(B2986,""en"",""fr"")"),"Elle se lève ensuite et regarde d'autres personnes.")</f>
        <v>Elle se lève ensuite et regarde d'autres personnes.</v>
      </c>
    </row>
    <row r="2987">
      <c r="A2987" s="4" t="s">
        <v>3752</v>
      </c>
      <c r="B2987" s="4" t="s">
        <v>3753</v>
      </c>
      <c r="C2987" s="5" t="str">
        <f>IFERROR(__xludf.DUMMYFUNCTION("GOOGLETRANSLATE(B2987,""en"",""fr"")"),"Les gens se tiennent à côté d'une table de ping-pong.")</f>
        <v>Les gens se tiennent à côté d'une table de ping-pong.</v>
      </c>
    </row>
    <row r="2988">
      <c r="A2988" s="4" t="s">
        <v>3752</v>
      </c>
      <c r="B2988" s="4" t="s">
        <v>3754</v>
      </c>
      <c r="C2988" s="5" t="str">
        <f>IFERROR(__xludf.DUMMYFUNCTION("GOOGLETRANSLATE(B2988,""en"",""fr"")"),"Un homme montre comment jouer sans pagaie.")</f>
        <v>Un homme montre comment jouer sans pagaie.</v>
      </c>
    </row>
    <row r="2989">
      <c r="A2989" s="4" t="s">
        <v>3752</v>
      </c>
      <c r="B2989" s="4" t="s">
        <v>3755</v>
      </c>
      <c r="C2989" s="5" t="str">
        <f>IFERROR(__xludf.DUMMYFUNCTION("GOOGLETRANSLATE(B2989,""en"",""fr"")"),"Deux personnes commencent à jouer à un jeu de ping-pong.")</f>
        <v>Deux personnes commencent à jouer à un jeu de ping-pong.</v>
      </c>
    </row>
    <row r="2990">
      <c r="A2990" s="4" t="s">
        <v>3756</v>
      </c>
      <c r="B2990" s="4" t="s">
        <v>3757</v>
      </c>
      <c r="C2990" s="5" t="str">
        <f>IFERROR(__xludf.DUMMYFUNCTION("GOOGLETRANSLATE(B2990,""en"",""fr"")"),"Deux hommes sont assis sur des tables rondes à parler en microphones.")</f>
        <v>Deux hommes sont assis sur des tables rondes à parler en microphones.</v>
      </c>
    </row>
    <row r="2991">
      <c r="A2991" s="4" t="s">
        <v>3756</v>
      </c>
      <c r="B2991" s="4" t="s">
        <v>3758</v>
      </c>
      <c r="C2991" s="5" t="str">
        <f>IFERROR(__xludf.DUMMYFUNCTION("GOOGLETRANSLATE(B2991,""en"",""fr"")"),"Les hommes sont interrogés dans un grand terrain de football.")</f>
        <v>Les hommes sont interrogés dans un grand terrain de football.</v>
      </c>
    </row>
    <row r="2992">
      <c r="A2992" s="4" t="s">
        <v>3756</v>
      </c>
      <c r="B2992" s="4" t="s">
        <v>3759</v>
      </c>
      <c r="C2992" s="5" t="str">
        <f>IFERROR(__xludf.DUMMYFUNCTION("GOOGLETRANSLATE(B2992,""en"",""fr"")"),"Les hommes jouent au ping-pong dans le stade themiddle tandis que beaucoup de gens sont rassemblés.")</f>
        <v>Les hommes jouent au ping-pong dans le stade themiddle tandis que beaucoup de gens sont rassemblés.</v>
      </c>
    </row>
    <row r="2993">
      <c r="A2993" s="4" t="s">
        <v>3760</v>
      </c>
      <c r="B2993" s="4" t="s">
        <v>3761</v>
      </c>
      <c r="C2993" s="5" t="str">
        <f>IFERROR(__xludf.DUMMYFUNCTION("GOOGLETRANSLATE(B2993,""en"",""fr"")"),"Nous voyons un flux d'eau blanc en mouvement rapide.")</f>
        <v>Nous voyons un flux d'eau blanc en mouvement rapide.</v>
      </c>
    </row>
    <row r="2994">
      <c r="A2994" s="4" t="s">
        <v>3760</v>
      </c>
      <c r="B2994" s="4" t="s">
        <v>3762</v>
      </c>
      <c r="C2994" s="5" t="str">
        <f>IFERROR(__xludf.DUMMYFUNCTION("GOOGLETRANSLATE(B2994,""en"",""fr"")"),"Un homme en équipement de rafting bleu et un casque regarde à partir d'un lit de rochers.")</f>
        <v>Un homme en équipement de rafting bleu et un casque regarde à partir d'un lit de rochers.</v>
      </c>
    </row>
    <row r="2995">
      <c r="A2995" s="4" t="s">
        <v>3760</v>
      </c>
      <c r="B2995" s="4" t="s">
        <v>3763</v>
      </c>
      <c r="C2995" s="5" t="str">
        <f>IFERROR(__xludf.DUMMYFUNCTION("GOOGLETRANSLATE(B2995,""en"",""fr"")"),"Nous remarquons un homme en kayak et un casque jaune venant de la gauche.")</f>
        <v>Nous remarquons un homme en kayak et un casque jaune venant de la gauche.</v>
      </c>
    </row>
    <row r="2996">
      <c r="A2996" s="4" t="s">
        <v>3760</v>
      </c>
      <c r="B2996" s="4" t="s">
        <v>3764</v>
      </c>
      <c r="C2996" s="5" t="str">
        <f>IFERROR(__xludf.DUMMYFUNCTION("GOOGLETRANSLATE(B2996,""en"",""fr"")"),"À l'approche, son kayak retourne à l'envers.")</f>
        <v>À l'approche, son kayak retourne à l'envers.</v>
      </c>
    </row>
    <row r="2997">
      <c r="A2997" s="4" t="s">
        <v>3760</v>
      </c>
      <c r="B2997" s="6" t="s">
        <v>3765</v>
      </c>
      <c r="C2997" s="5" t="str">
        <f>IFERROR(__xludf.DUMMYFUNCTION("GOOGLETRANSLATE(B2997,""en"",""fr"")"),"Comme la vue le suit, nous remarquons un autre homme assis sur les rochers à droite en rouge avec un casque blanc.")</f>
        <v>Comme la vue le suit, nous remarquons un autre homme assis sur les rochers à droite en rouge avec un casque blanc.</v>
      </c>
    </row>
    <row r="2998">
      <c r="A2998" s="4" t="s">
        <v>3766</v>
      </c>
      <c r="B2998" s="4" t="s">
        <v>3767</v>
      </c>
      <c r="C2998" s="5" t="str">
        <f>IFERROR(__xludf.DUMMYFUNCTION("GOOGLETRANSLATE(B2998,""en"",""fr"")"),"Une femme tresse ses cheveux en plusieurs tresses.")</f>
        <v>Une femme tresse ses cheveux en plusieurs tresses.</v>
      </c>
    </row>
    <row r="2999">
      <c r="A2999" s="4" t="s">
        <v>3766</v>
      </c>
      <c r="B2999" s="4" t="s">
        <v>3768</v>
      </c>
      <c r="C2999" s="5" t="str">
        <f>IFERROR(__xludf.DUMMYFUNCTION("GOOGLETRANSLATE(B2999,""en"",""fr"")"),"Elle les attache derrière sa tête.")</f>
        <v>Elle les attache derrière sa tête.</v>
      </c>
    </row>
    <row r="3000">
      <c r="A3000" s="4" t="s">
        <v>3769</v>
      </c>
      <c r="B3000" s="4" t="s">
        <v>3770</v>
      </c>
      <c r="C3000" s="5" t="str">
        <f>IFERROR(__xludf.DUMMYFUNCTION("GOOGLETRANSLATE(B3000,""en"",""fr"")"),"Une gymnaste effectue une routine de barres inégales pendant que les gens regardent.")</f>
        <v>Une gymnaste effectue une routine de barres inégales pendant que les gens regardent.</v>
      </c>
    </row>
    <row r="3001">
      <c r="A3001" s="4" t="s">
        <v>3769</v>
      </c>
      <c r="B3001" s="4" t="s">
        <v>3771</v>
      </c>
      <c r="C3001" s="5" t="str">
        <f>IFERROR(__xludf.DUMMYFUNCTION("GOOGLETRANSLATE(B3001,""en"",""fr"")"),"Le juge supervise la routine de la gymnaste.")</f>
        <v>Le juge supervise la routine de la gymnaste.</v>
      </c>
    </row>
    <row r="3002">
      <c r="A3002" s="4" t="s">
        <v>3769</v>
      </c>
      <c r="B3002" s="4" t="s">
        <v>3772</v>
      </c>
      <c r="C3002" s="5" t="str">
        <f>IFERROR(__xludf.DUMMYFUNCTION("GOOGLETRANSLATE(B3002,""en"",""fr"")"),"Ensuite, la gymnaste tourne en tenant la barre supérieure et saute sur le tapis.")</f>
        <v>Ensuite, la gymnaste tourne en tenant la barre supérieure et saute sur le tapis.</v>
      </c>
    </row>
    <row r="3003">
      <c r="A3003" s="4" t="s">
        <v>3773</v>
      </c>
      <c r="B3003" s="6" t="s">
        <v>3774</v>
      </c>
      <c r="C3003" s="5" t="str">
        <f>IFERROR(__xludf.DUMMYFUNCTION("GOOGLETRANSLATE(B3003,""en"",""fr"")"),"Deux hommes sont vus debout dans une grande pièce et frappant une balle de tennis avec des raquettes de tennis.")</f>
        <v>Deux hommes sont vus debout dans une grande pièce et frappant une balle de tennis avec des raquettes de tennis.</v>
      </c>
    </row>
    <row r="3004">
      <c r="A3004" s="4" t="s">
        <v>3773</v>
      </c>
      <c r="B3004" s="4" t="s">
        <v>3775</v>
      </c>
      <c r="C3004" s="5" t="str">
        <f>IFERROR(__xludf.DUMMYFUNCTION("GOOGLETRANSLATE(B3004,""en"",""fr"")"),"Les hommes ont frappé le ballon et quatrième les uns les autres et courent dans la pièce en même temps.")</f>
        <v>Les hommes ont frappé le ballon et quatrième les uns les autres et courent dans la pièce en même temps.</v>
      </c>
    </row>
    <row r="3005">
      <c r="A3005" s="4" t="s">
        <v>3776</v>
      </c>
      <c r="B3005" s="4" t="s">
        <v>3777</v>
      </c>
      <c r="C3005" s="5" t="str">
        <f>IFERROR(__xludf.DUMMYFUNCTION("GOOGLETRANSLATE(B3005,""en"",""fr"")"),"Nous voyons deux écrans d'ouverture pour le poker dans un casino.")</f>
        <v>Nous voyons deux écrans d'ouverture pour le poker dans un casino.</v>
      </c>
    </row>
    <row r="3006">
      <c r="A3006" s="4" t="s">
        <v>3776</v>
      </c>
      <c r="B3006" s="4" t="s">
        <v>3778</v>
      </c>
      <c r="C3006" s="5" t="str">
        <f>IFERROR(__xludf.DUMMYFUNCTION("GOOGLETRANSLATE(B3006,""en"",""fr"")"),"Nous voyons le concessionnaire parler et traiter les cartes.")</f>
        <v>Nous voyons le concessionnaire parler et traiter les cartes.</v>
      </c>
    </row>
    <row r="3007">
      <c r="A3007" s="4" t="s">
        <v>3776</v>
      </c>
      <c r="B3007" s="4" t="s">
        <v>3779</v>
      </c>
      <c r="C3007" s="5" t="str">
        <f>IFERROR(__xludf.DUMMYFUNCTION("GOOGLETRANSLATE(B3007,""en"",""fr"")"),"Nous voyons un grand signe de jackpot.")</f>
        <v>Nous voyons un grand signe de jackpot.</v>
      </c>
    </row>
    <row r="3008">
      <c r="A3008" s="4" t="s">
        <v>3776</v>
      </c>
      <c r="B3008" s="4" t="s">
        <v>3780</v>
      </c>
      <c r="C3008" s="5" t="str">
        <f>IFERROR(__xludf.DUMMYFUNCTION("GOOGLETRANSLATE(B3008,""en"",""fr"")"),"Nous voyons le concessionnaire mélanger les cartes.")</f>
        <v>Nous voyons le concessionnaire mélanger les cartes.</v>
      </c>
    </row>
    <row r="3009">
      <c r="A3009" s="4" t="s">
        <v>3776</v>
      </c>
      <c r="B3009" s="4" t="s">
        <v>3781</v>
      </c>
      <c r="C3009" s="5" t="str">
        <f>IFERROR(__xludf.DUMMYFUNCTION("GOOGLETRANSLATE(B3009,""en"",""fr"")"),"Nous voyons l'homme jeter un œil à ses cartes.")</f>
        <v>Nous voyons l'homme jeter un œil à ses cartes.</v>
      </c>
    </row>
    <row r="3010">
      <c r="A3010" s="4" t="s">
        <v>3776</v>
      </c>
      <c r="B3010" s="4" t="s">
        <v>3782</v>
      </c>
      <c r="C3010" s="5" t="str">
        <f>IFERROR(__xludf.DUMMYFUNCTION("GOOGLETRANSLATE(B3010,""en"",""fr"")"),"L'homme jette à nouveau un coup d'œil sur ses cartes.")</f>
        <v>L'homme jette à nouveau un coup d'œil sur ses cartes.</v>
      </c>
    </row>
    <row r="3011">
      <c r="A3011" s="4" t="s">
        <v>3776</v>
      </c>
      <c r="B3011" s="4" t="s">
        <v>3783</v>
      </c>
      <c r="C3011" s="5" t="str">
        <f>IFERROR(__xludf.DUMMYFUNCTION("GOOGLETRANSLATE(B3011,""en"",""fr"")"),"Le concessionnaire retourne les cartes des joueurs.")</f>
        <v>Le concessionnaire retourne les cartes des joueurs.</v>
      </c>
    </row>
    <row r="3012">
      <c r="A3012" s="4" t="s">
        <v>3776</v>
      </c>
      <c r="B3012" s="4" t="s">
        <v>3784</v>
      </c>
      <c r="C3012" s="5" t="str">
        <f>IFERROR(__xludf.DUMMYFUNCTION("GOOGLETRANSLATE(B3012,""en"",""fr"")"),"Nous voyons l'écran de clôture du casino.")</f>
        <v>Nous voyons l'écran de clôture du casino.</v>
      </c>
    </row>
    <row r="3013">
      <c r="A3013" s="4" t="s">
        <v>3785</v>
      </c>
      <c r="B3013" s="4" t="s">
        <v>3786</v>
      </c>
      <c r="C3013" s="5" t="str">
        <f>IFERROR(__xludf.DUMMYFUNCTION("GOOGLETRANSLATE(B3013,""en"",""fr"")"),"Un homme dans une chemise bleue et un short soulève un gros poids au-dessus de sa tête.")</f>
        <v>Un homme dans une chemise bleue et un short soulève un gros poids au-dessus de sa tête.</v>
      </c>
    </row>
    <row r="3014">
      <c r="A3014" s="4" t="s">
        <v>3785</v>
      </c>
      <c r="B3014" s="4" t="s">
        <v>3787</v>
      </c>
      <c r="C3014" s="5" t="str">
        <f>IFERROR(__xludf.DUMMYFUNCTION("GOOGLETRANSLATE(B3014,""en"",""fr"")"),"Un autre homme le filme.")</f>
        <v>Un autre homme le filme.</v>
      </c>
    </row>
    <row r="3015">
      <c r="A3015" s="4" t="s">
        <v>3785</v>
      </c>
      <c r="B3015" s="4" t="s">
        <v>3788</v>
      </c>
      <c r="C3015" s="5" t="str">
        <f>IFERROR(__xludf.DUMMYFUNCTION("GOOGLETRANSLATE(B3015,""en"",""fr"")"),"Le même homme revient et soulève à nouveau le poids sur sa tête.")</f>
        <v>Le même homme revient et soulève à nouveau le poids sur sa tête.</v>
      </c>
    </row>
    <row r="3016">
      <c r="A3016" s="4" t="s">
        <v>3785</v>
      </c>
      <c r="B3016" s="4" t="s">
        <v>3789</v>
      </c>
      <c r="C3016" s="5" t="str">
        <f>IFERROR(__xludf.DUMMYFUNCTION("GOOGLETRANSLATE(B3016,""en"",""fr"")"),"Il le laisse tomber sur le sol et s'éloigne.")</f>
        <v>Il le laisse tomber sur le sol et s'éloigne.</v>
      </c>
    </row>
    <row r="3017">
      <c r="A3017" s="4" t="s">
        <v>3790</v>
      </c>
      <c r="B3017" s="6" t="s">
        <v>3791</v>
      </c>
      <c r="C3017" s="5" t="str">
        <f>IFERROR(__xludf.DUMMYFUNCTION("GOOGLETRANSLATE(B3017,""en"",""fr"")"),"Emballage des cadeaux de vacances facilite, ce magasin en verre donne un tutoriel sur la façon d'envelopper des cadeaux de forme maladroite.")</f>
        <v>Emballage des cadeaux de vacances facilite, ce magasin en verre donne un tutoriel sur la façon d'envelopper des cadeaux de forme maladroite.</v>
      </c>
    </row>
    <row r="3018">
      <c r="A3018" s="4" t="s">
        <v>3790</v>
      </c>
      <c r="B3018" s="4" t="s">
        <v>3792</v>
      </c>
      <c r="C3018" s="5" t="str">
        <f>IFERROR(__xludf.DUMMYFUNCTION("GOOGLETRANSLATE(B3018,""en"",""fr"")"),"Vous placez l'objet sur le papier d'emballage pour commencer.")</f>
        <v>Vous placez l'objet sur le papier d'emballage pour commencer.</v>
      </c>
    </row>
    <row r="3019">
      <c r="A3019" s="4" t="s">
        <v>3790</v>
      </c>
      <c r="B3019" s="4" t="s">
        <v>3793</v>
      </c>
      <c r="C3019" s="5" t="str">
        <f>IFERROR(__xludf.DUMMYFUNCTION("GOOGLETRANSLATE(B3019,""en"",""fr"")"),"Après, vous pliez la pointe du papier, vous prenez les ciseaux et coupez des bandes.")</f>
        <v>Après, vous pliez la pointe du papier, vous prenez les ciseaux et coupez des bandes.</v>
      </c>
    </row>
    <row r="3020">
      <c r="A3020" s="4" t="s">
        <v>3790</v>
      </c>
      <c r="B3020" s="4" t="s">
        <v>3794</v>
      </c>
      <c r="C3020" s="5" t="str">
        <f>IFERROR(__xludf.DUMMYFUNCTION("GOOGLETRANSLATE(B3020,""en"",""fr"")"),"Ensuite, vous utilisez du ruban adhésif pour le maintenir et le remplir avec un arc.")</f>
        <v>Ensuite, vous utilisez du ruban adhésif pour le maintenir et le remplir avec un arc.</v>
      </c>
    </row>
    <row r="3021">
      <c r="A3021" s="4" t="s">
        <v>3795</v>
      </c>
      <c r="B3021" s="4" t="s">
        <v>3796</v>
      </c>
      <c r="C3021" s="5" t="str">
        <f>IFERROR(__xludf.DUMMYFUNCTION("GOOGLETRANSLATE(B3021,""en"",""fr"")"),"La vidéo commence par un écran de titre.")</f>
        <v>La vidéo commence par un écran de titre.</v>
      </c>
    </row>
    <row r="3022">
      <c r="A3022" s="4" t="s">
        <v>3795</v>
      </c>
      <c r="B3022" s="6" t="s">
        <v>3797</v>
      </c>
      <c r="C3022" s="5" t="str">
        <f>IFERROR(__xludf.DUMMYFUNCTION("GOOGLETRANSLATE(B3022,""en"",""fr"")"),"Un homme plus âgé est vu dans un gymnase parlant à la caméra tandis que les hommes jouent au volleyball en arrière-plan.")</f>
        <v>Un homme plus âgé est vu dans un gymnase parlant à la caméra tandis que les hommes jouent au volleyball en arrière-plan.</v>
      </c>
    </row>
    <row r="3023">
      <c r="A3023" s="4" t="s">
        <v>3795</v>
      </c>
      <c r="B3023" s="4" t="s">
        <v>3798</v>
      </c>
      <c r="C3023" s="5" t="str">
        <f>IFERROR(__xludf.DUMMYFUNCTION("GOOGLETRANSLATE(B3023,""en"",""fr"")"),"Un écran simulé montrant un terrain de volleyball montre pendant qu'il parle.")</f>
        <v>Un écran simulé montrant un terrain de volleyball montre pendant qu'il parle.</v>
      </c>
    </row>
    <row r="3024">
      <c r="A3024" s="4" t="s">
        <v>3795</v>
      </c>
      <c r="B3024" s="4" t="s">
        <v>3799</v>
      </c>
      <c r="C3024" s="5" t="str">
        <f>IFERROR(__xludf.DUMMYFUNCTION("GOOGLETRANSLATE(B3024,""en"",""fr"")"),"La vidéo revient ensuite à l'homme plus âgé qui dirige les joueurs.")</f>
        <v>La vidéo revient ensuite à l'homme plus âgé qui dirige les joueurs.</v>
      </c>
    </row>
    <row r="3025">
      <c r="A3025" s="4" t="s">
        <v>3795</v>
      </c>
      <c r="B3025" s="4" t="s">
        <v>3800</v>
      </c>
      <c r="C3025" s="5" t="str">
        <f>IFERROR(__xludf.DUMMYFUNCTION("GOOGLETRANSLATE(B3025,""en"",""fr"")"),"Les hommes commencent à jeter un volley-ball d'avant en arrière.")</f>
        <v>Les hommes commencent à jeter un volley-ball d'avant en arrière.</v>
      </c>
    </row>
    <row r="3026">
      <c r="A3026" s="4" t="s">
        <v>3795</v>
      </c>
      <c r="B3026" s="4" t="s">
        <v>3801</v>
      </c>
      <c r="C3026" s="5" t="str">
        <f>IFERROR(__xludf.DUMMYFUNCTION("GOOGLETRANSLATE(B3026,""en"",""fr"")"),"La vidéo se termine par un écran de titre final.")</f>
        <v>La vidéo se termine par un écran de titre final.</v>
      </c>
    </row>
    <row r="3027">
      <c r="A3027" s="4" t="s">
        <v>3802</v>
      </c>
      <c r="B3027" s="4" t="s">
        <v>3803</v>
      </c>
      <c r="C3027" s="5" t="str">
        <f>IFERROR(__xludf.DUMMYFUNCTION("GOOGLETRANSLATE(B3027,""en"",""fr"")"),"Une fille asiatique assise à un bureau décrit la lutte des bras.")</f>
        <v>Une fille asiatique assise à un bureau décrit la lutte des bras.</v>
      </c>
    </row>
    <row r="3028">
      <c r="A3028" s="4" t="s">
        <v>3802</v>
      </c>
      <c r="B3028" s="4" t="s">
        <v>3804</v>
      </c>
      <c r="C3028" s="5" t="str">
        <f>IFERROR(__xludf.DUMMYFUNCTION("GOOGLETRANSLATE(B3028,""en"",""fr"")"),"La fille présente un garçon asiatique qui est assis en face de la fille asiatique.")</f>
        <v>La fille présente un garçon asiatique qui est assis en face de la fille asiatique.</v>
      </c>
    </row>
    <row r="3029">
      <c r="A3029" s="4" t="s">
        <v>3802</v>
      </c>
      <c r="B3029" s="6" t="s">
        <v>3805</v>
      </c>
      <c r="C3029" s="5" t="str">
        <f>IFERROR(__xludf.DUMMYFUNCTION("GOOGLETRANSLATE(B3029,""en"",""fr"")"),"La fille et le garçon se préparent à lutter par les bras alors qu'un arbitre se tient au-dessus de la fille que le lutteur de bras utilise les deux bras et pousse dans la mauvaise direction.")</f>
        <v>La fille et le garçon se préparent à lutter par les bras alors qu'un arbitre se tient au-dessus de la fille que le lutteur de bras utilise les deux bras et pousse dans la mauvaise direction.</v>
      </c>
    </row>
    <row r="3030">
      <c r="A3030" s="4" t="s">
        <v>3802</v>
      </c>
      <c r="B3030" s="6" t="s">
        <v>3806</v>
      </c>
      <c r="C3030" s="5" t="str">
        <f>IFERROR(__xludf.DUMMYFUNCTION("GOOGLETRANSLATE(B3030,""en"",""fr"")"),"La fille et les lutteurs de bras se reproduisent à nouveau avec l'arbitre les installant, ils commencent à lutter.")</f>
        <v>La fille et les lutteurs de bras se reproduisent à nouveau avec l'arbitre les installant, ils commencent à lutter.</v>
      </c>
    </row>
    <row r="3031">
      <c r="A3031" s="4" t="s">
        <v>3802</v>
      </c>
      <c r="B3031" s="4" t="s">
        <v>3807</v>
      </c>
      <c r="C3031" s="5" t="str">
        <f>IFERROR(__xludf.DUMMYFUNCTION("GOOGLETRANSLATE(B3031,""en"",""fr"")"),"La lutteuse de fille essaie de lutter avec les deux bras et son corps mais tombe au sol.")</f>
        <v>La lutteuse de fille essaie de lutter avec les deux bras et son corps mais tombe au sol.</v>
      </c>
    </row>
    <row r="3032">
      <c r="A3032" s="4" t="s">
        <v>3808</v>
      </c>
      <c r="B3032" s="6" t="s">
        <v>3809</v>
      </c>
      <c r="C3032" s="5" t="str">
        <f>IFERROR(__xludf.DUMMYFUNCTION("GOOGLETRANSLATE(B3032,""en"",""fr"")"),"Trois hommes sont vus assis derrière un ensemble de batterie de bongo jouant rapidement pendant que plusieurs flashs de caméra sont affichés.")</f>
        <v>Trois hommes sont vus assis derrière un ensemble de batterie de bongo jouant rapidement pendant que plusieurs flashs de caméra sont affichés.</v>
      </c>
    </row>
    <row r="3033">
      <c r="A3033" s="4" t="s">
        <v>3808</v>
      </c>
      <c r="B3033" s="4" t="s">
        <v>3810</v>
      </c>
      <c r="C3033" s="5" t="str">
        <f>IFERROR(__xludf.DUMMYFUNCTION("GOOGLETRANSLATE(B3033,""en"",""fr"")"),"Les hommes continuent de jouer à nouveau en riant et en se souriant.")</f>
        <v>Les hommes continuent de jouer à nouveau en riant et en se souriant.</v>
      </c>
    </row>
    <row r="3034">
      <c r="A3034" s="4" t="s">
        <v>3811</v>
      </c>
      <c r="B3034" s="6" t="s">
        <v>3812</v>
      </c>
      <c r="C3034" s="5" t="str">
        <f>IFERROR(__xludf.DUMMYFUNCTION("GOOGLETRANSLATE(B3034,""en"",""fr"")"),"Un adolescent saute sur une planche à roulettes, patinant dans une rue et montez une allée avant de retourner dans la rue.")</f>
        <v>Un adolescent saute sur une planche à roulettes, patinant dans une rue et montez une allée avant de retourner dans la rue.</v>
      </c>
    </row>
    <row r="3035">
      <c r="A3035" s="4" t="s">
        <v>3811</v>
      </c>
      <c r="B3035" s="4" t="s">
        <v>3813</v>
      </c>
      <c r="C3035" s="5" t="str">
        <f>IFERROR(__xludf.DUMMYFUNCTION("GOOGLETRANSLATE(B3035,""en"",""fr"")"),"Il démonte, parlant alors qu'il donne un coup de pied au tableau.")</f>
        <v>Il démonte, parlant alors qu'il donne un coup de pied au tableau.</v>
      </c>
    </row>
    <row r="3036">
      <c r="A3036" s="4" t="s">
        <v>3811</v>
      </c>
      <c r="B3036" s="4" t="s">
        <v>3814</v>
      </c>
      <c r="C3036" s="5" t="str">
        <f>IFERROR(__xludf.DUMMYFUNCTION("GOOGLETRANSLATE(B3036,""en"",""fr"")"),"Il sourit à la caméra, portant des lunettes de soleil.")</f>
        <v>Il sourit à la caméra, portant des lunettes de soleil.</v>
      </c>
    </row>
    <row r="3037">
      <c r="A3037" s="4" t="s">
        <v>3815</v>
      </c>
      <c r="B3037" s="4" t="s">
        <v>3816</v>
      </c>
      <c r="C3037" s="5" t="str">
        <f>IFERROR(__xludf.DUMMYFUNCTION("GOOGLETRANSLATE(B3037,""en"",""fr"")"),"Un adolescent joue du violon dans une pièce.")</f>
        <v>Un adolescent joue du violon dans une pièce.</v>
      </c>
    </row>
    <row r="3038">
      <c r="A3038" s="4" t="s">
        <v>3815</v>
      </c>
      <c r="B3038" s="4" t="s">
        <v>3817</v>
      </c>
      <c r="C3038" s="5" t="str">
        <f>IFERROR(__xludf.DUMMYFUNCTION("GOOGLETRANSLATE(B3038,""en"",""fr"")"),"L'adolescent tient le violon avec la main gauche en déplaçant les doigts et en jouant avec l'arc.")</f>
        <v>L'adolescent tient le violon avec la main gauche en déplaçant les doigts et en jouant avec l'arc.</v>
      </c>
    </row>
    <row r="3039">
      <c r="A3039" s="4" t="s">
        <v>3815</v>
      </c>
      <c r="B3039" s="4" t="s">
        <v>3818</v>
      </c>
      <c r="C3039" s="5" t="str">
        <f>IFERROR(__xludf.DUMMYFUNCTION("GOOGLETRANSLATE(B3039,""en"",""fr"")"),"Ensuite, l'adolescent met fin au violon.")</f>
        <v>Ensuite, l'adolescent met fin au violon.</v>
      </c>
    </row>
    <row r="3040">
      <c r="A3040" s="4" t="s">
        <v>3819</v>
      </c>
      <c r="B3040" s="4" t="s">
        <v>3820</v>
      </c>
      <c r="C3040" s="5" t="str">
        <f>IFERROR(__xludf.DUMMYFUNCTION("GOOGLETRANSLATE(B3040,""en"",""fr"")"),"Un homme est sur la plage avec un vélo.")</f>
        <v>Un homme est sur la plage avec un vélo.</v>
      </c>
    </row>
    <row r="3041">
      <c r="A3041" s="4" t="s">
        <v>3819</v>
      </c>
      <c r="B3041" s="4" t="s">
        <v>3821</v>
      </c>
      <c r="C3041" s="5" t="str">
        <f>IFERROR(__xludf.DUMMYFUNCTION("GOOGLETRANSLATE(B3041,""en"",""fr"")"),"Il ponçonne sa planche de surf.")</f>
        <v>Il ponçonne sa planche de surf.</v>
      </c>
    </row>
    <row r="3042">
      <c r="A3042" s="4" t="s">
        <v>3819</v>
      </c>
      <c r="B3042" s="4" t="s">
        <v>3822</v>
      </c>
      <c r="C3042" s="5" t="str">
        <f>IFERROR(__xludf.DUMMYFUNCTION("GOOGLETRANSLATE(B3042,""en"",""fr"")"),"Il fait surfer dans l'eau.")</f>
        <v>Il fait surfer dans l'eau.</v>
      </c>
    </row>
    <row r="3043">
      <c r="A3043" s="4" t="s">
        <v>3823</v>
      </c>
      <c r="B3043" s="4" t="s">
        <v>3824</v>
      </c>
      <c r="C3043" s="5" t="str">
        <f>IFERROR(__xludf.DUMMYFUNCTION("GOOGLETRANSLATE(B3043,""en"",""fr"")"),"Les gens jouent à un jeu de volleyball dans le sable sur la plage.")</f>
        <v>Les gens jouent à un jeu de volleyball dans le sable sur la plage.</v>
      </c>
    </row>
    <row r="3044">
      <c r="A3044" s="4" t="s">
        <v>3823</v>
      </c>
      <c r="B3044" s="4" t="s">
        <v>3825</v>
      </c>
      <c r="C3044" s="5" t="str">
        <f>IFERROR(__xludf.DUMMYFUNCTION("GOOGLETRANSLATE(B3044,""en"",""fr"")"),"Les gens jouent à la batterie sur la plage.")</f>
        <v>Les gens jouent à la batterie sur la plage.</v>
      </c>
    </row>
    <row r="3045">
      <c r="A3045" s="4" t="s">
        <v>3823</v>
      </c>
      <c r="B3045" s="4" t="s">
        <v>3826</v>
      </c>
      <c r="C3045" s="5" t="str">
        <f>IFERROR(__xludf.DUMMYFUNCTION("GOOGLETRANSLATE(B3045,""en"",""fr"")"),"Une femme dans une tenue jaune danse.")</f>
        <v>Une femme dans une tenue jaune danse.</v>
      </c>
    </row>
    <row r="3046">
      <c r="A3046" s="4" t="s">
        <v>3823</v>
      </c>
      <c r="B3046" s="4" t="s">
        <v>3827</v>
      </c>
      <c r="C3046" s="5" t="str">
        <f>IFERROR(__xludf.DUMMYFUNCTION("GOOGLETRANSLATE(B3046,""en"",""fr"")"),"L'équipe pose pour une photo derrière une bannière.")</f>
        <v>L'équipe pose pour une photo derrière une bannière.</v>
      </c>
    </row>
    <row r="3047">
      <c r="A3047" s="4" t="s">
        <v>3828</v>
      </c>
      <c r="B3047" s="4" t="s">
        <v>3829</v>
      </c>
      <c r="C3047" s="5" t="str">
        <f>IFERROR(__xludf.DUMMYFUNCTION("GOOGLETRANSLATE(B3047,""en"",""fr"")"),"Un homme en costume apparaît à l'écran.")</f>
        <v>Un homme en costume apparaît à l'écran.</v>
      </c>
    </row>
    <row r="3048">
      <c r="A3048" s="4" t="s">
        <v>3828</v>
      </c>
      <c r="B3048" s="4" t="s">
        <v>3830</v>
      </c>
      <c r="C3048" s="5" t="str">
        <f>IFERROR(__xludf.DUMMYFUNCTION("GOOGLETRANSLATE(B3048,""en"",""fr"")"),"L'homme commence à se battre avec un autre homme.")</f>
        <v>L'homme commence à se battre avec un autre homme.</v>
      </c>
    </row>
    <row r="3049">
      <c r="A3049" s="4" t="s">
        <v>3828</v>
      </c>
      <c r="B3049" s="4" t="s">
        <v>3831</v>
      </c>
      <c r="C3049" s="5" t="str">
        <f>IFERROR(__xludf.DUMMYFUNCTION("GOOGLETRANSLATE(B3049,""en"",""fr"")"),"L'homme en costume réinitialise sa position.")</f>
        <v>L'homme en costume réinitialise sa position.</v>
      </c>
    </row>
    <row r="3050">
      <c r="A3050" s="4" t="s">
        <v>3828</v>
      </c>
      <c r="B3050" s="4" t="s">
        <v>3832</v>
      </c>
      <c r="C3050" s="5" t="str">
        <f>IFERROR(__xludf.DUMMYFUNCTION("GOOGLETRANSLATE(B3050,""en"",""fr"")"),"Après avoir combattu plus, l'homme dans le costume réinitialise à nouveau sa position.")</f>
        <v>Après avoir combattu plus, l'homme dans le costume réinitialise à nouveau sa position.</v>
      </c>
    </row>
    <row r="3051">
      <c r="A3051" s="4" t="s">
        <v>3828</v>
      </c>
      <c r="B3051" s="6" t="s">
        <v>3833</v>
      </c>
      <c r="C3051" s="5" t="str">
        <f>IFERROR(__xludf.DUMMYFUNCTION("GOOGLETRANSLATE(B3051,""en"",""fr"")"),"Après que les combats continuent un autre homme se présente dans la pièce et escorte l'homme en costume.")</f>
        <v>Après que les combats continuent un autre homme se présente dans la pièce et escorte l'homme en costume.</v>
      </c>
    </row>
    <row r="3052">
      <c r="A3052" s="4" t="s">
        <v>3834</v>
      </c>
      <c r="B3052" s="4" t="s">
        <v>3835</v>
      </c>
      <c r="C3052" s="5" t="str">
        <f>IFERROR(__xludf.DUMMYFUNCTION("GOOGLETRANSLATE(B3052,""en"",""fr"")"),"Un homme est vu parler à la caméra et le reproche à un piano.")</f>
        <v>Un homme est vu parler à la caméra et le reproche à un piano.</v>
      </c>
    </row>
    <row r="3053">
      <c r="A3053" s="4" t="s">
        <v>3834</v>
      </c>
      <c r="B3053" s="4" t="s">
        <v>3836</v>
      </c>
      <c r="C3053" s="5" t="str">
        <f>IFERROR(__xludf.DUMMYFUNCTION("GOOGLETRANSLATE(B3053,""en"",""fr"")"),"L'homme commence alors à jouer du piano pendant que la caméra capture ses mouvements.")</f>
        <v>L'homme commence alors à jouer du piano pendant que la caméra capture ses mouvements.</v>
      </c>
    </row>
    <row r="3054">
      <c r="A3054" s="4" t="s">
        <v>3834</v>
      </c>
      <c r="B3054" s="4" t="s">
        <v>3837</v>
      </c>
      <c r="C3054" s="5" t="str">
        <f>IFERROR(__xludf.DUMMYFUNCTION("GOOGLETRANSLATE(B3054,""en"",""fr"")"),"Il continue de jouer et se termine en éteignant la caméra et en regardant au loin.")</f>
        <v>Il continue de jouer et se termine en éteignant la caméra et en regardant au loin.</v>
      </c>
    </row>
    <row r="3055">
      <c r="A3055" s="4" t="s">
        <v>3838</v>
      </c>
      <c r="B3055" s="4" t="s">
        <v>3839</v>
      </c>
      <c r="C3055" s="5" t="str">
        <f>IFERROR(__xludf.DUMMYFUNCTION("GOOGLETRANSLATE(B3055,""en"",""fr"")"),"Une femme tient un chat sur une table.")</f>
        <v>Une femme tient un chat sur une table.</v>
      </c>
    </row>
    <row r="3056">
      <c r="A3056" s="4" t="s">
        <v>3838</v>
      </c>
      <c r="B3056" s="4" t="s">
        <v>3840</v>
      </c>
      <c r="C3056" s="5" t="str">
        <f>IFERROR(__xludf.DUMMYFUNCTION("GOOGLETRANSLATE(B3056,""en"",""fr"")"),"Elle commence à couper les ongles des chats avec un outil.")</f>
        <v>Elle commence à couper les ongles des chats avec un outil.</v>
      </c>
    </row>
    <row r="3057">
      <c r="A3057" s="4" t="s">
        <v>3838</v>
      </c>
      <c r="B3057" s="4" t="s">
        <v>3841</v>
      </c>
      <c r="C3057" s="5" t="str">
        <f>IFERROR(__xludf.DUMMYFUNCTION("GOOGLETRANSLATE(B3057,""en"",""fr"")"),"Elle termine et animait le chat.")</f>
        <v>Elle termine et animait le chat.</v>
      </c>
    </row>
    <row r="3058">
      <c r="A3058" s="4" t="s">
        <v>3842</v>
      </c>
      <c r="B3058" s="4" t="s">
        <v>3843</v>
      </c>
      <c r="C3058" s="5" t="str">
        <f>IFERROR(__xludf.DUMMYFUNCTION("GOOGLETRANSLATE(B3058,""en"",""fr"")"),"Un homme et un garçon font un château de sable dans la plage.")</f>
        <v>Un homme et un garçon font un château de sable dans la plage.</v>
      </c>
    </row>
    <row r="3059">
      <c r="A3059" s="4" t="s">
        <v>3842</v>
      </c>
      <c r="B3059" s="4" t="s">
        <v>3844</v>
      </c>
      <c r="C3059" s="5" t="str">
        <f>IFERROR(__xludf.DUMMYFUNCTION("GOOGLETRANSLATE(B3059,""en"",""fr"")"),"Les gens s'approchent pour regarder le château et commencer à faire une petite maison à côté du château de sable.")</f>
        <v>Les gens s'approchent pour regarder le château et commencer à faire une petite maison à côté du château de sable.</v>
      </c>
    </row>
    <row r="3060">
      <c r="A3060" s="4" t="s">
        <v>3842</v>
      </c>
      <c r="B3060" s="4" t="s">
        <v>3845</v>
      </c>
      <c r="C3060" s="5" t="str">
        <f>IFERROR(__xludf.DUMMYFUNCTION("GOOGLETRANSLATE(B3060,""en"",""fr"")"),"Une petite fille fait plus de maisons à côté du château.")</f>
        <v>Une petite fille fait plus de maisons à côté du château.</v>
      </c>
    </row>
    <row r="3061">
      <c r="A3061" s="4" t="s">
        <v>3842</v>
      </c>
      <c r="B3061" s="4" t="s">
        <v>3846</v>
      </c>
      <c r="C3061" s="5" t="str">
        <f>IFERROR(__xludf.DUMMYFUNCTION("GOOGLETRANSLATE(B3061,""en"",""fr"")"),"L'homme creuse un trou au centre pendant que le garçon aide à prolonger le château.")</f>
        <v>L'homme creuse un trou au centre pendant que le garçon aide à prolonger le château.</v>
      </c>
    </row>
    <row r="3062">
      <c r="A3062" s="4" t="s">
        <v>3847</v>
      </c>
      <c r="B3062" s="4" t="s">
        <v>3848</v>
      </c>
      <c r="C3062" s="5" t="str">
        <f>IFERROR(__xludf.DUMMYFUNCTION("GOOGLETRANSLATE(B3062,""en"",""fr"")"),"Une femme marche dans la rue avec une casquette.")</f>
        <v>Une femme marche dans la rue avec une casquette.</v>
      </c>
    </row>
    <row r="3063">
      <c r="A3063" s="4" t="s">
        <v>3847</v>
      </c>
      <c r="B3063" s="6" t="s">
        <v>3849</v>
      </c>
      <c r="C3063" s="5" t="str">
        <f>IFERROR(__xludf.DUMMYFUNCTION("GOOGLETRANSLATE(B3063,""en"",""fr"")"),"Une ville fait un zoom sur une carte, puis une fille effectue du ciel d'eau dans une rivière tirée par un bateau tout en retournant dans les airs.")</f>
        <v>Une ville fait un zoom sur une carte, puis une fille effectue du ciel d'eau dans une rivière tirée par un bateau tout en retournant dans les airs.</v>
      </c>
    </row>
    <row r="3064">
      <c r="A3064" s="4" t="s">
        <v>3847</v>
      </c>
      <c r="B3064" s="6" t="s">
        <v>3850</v>
      </c>
      <c r="C3064" s="5" t="str">
        <f>IFERROR(__xludf.DUMMYFUNCTION("GOOGLETRANSLATE(B3064,""en"",""fr"")"),"Une route mène à une station de ski nautique, puis une femme glisse sur des rampes dans l'eau tenant une corde de ski nautique.")</f>
        <v>Une route mène à une station de ski nautique, puis une femme glisse sur des rampes dans l'eau tenant une corde de ski nautique.</v>
      </c>
    </row>
    <row r="3065">
      <c r="A3065" s="4" t="s">
        <v>3847</v>
      </c>
      <c r="B3065" s="4" t="s">
        <v>3851</v>
      </c>
      <c r="C3065" s="5" t="str">
        <f>IFERROR(__xludf.DUMMYFUNCTION("GOOGLETRANSLATE(B3065,""en"",""fr"")"),"Un homme prend des photos à la fille.")</f>
        <v>Un homme prend des photos à la fille.</v>
      </c>
    </row>
    <row r="3066">
      <c r="A3066" s="4" t="s">
        <v>3847</v>
      </c>
      <c r="B3066" s="4" t="s">
        <v>3852</v>
      </c>
      <c r="C3066" s="5" t="str">
        <f>IFERROR(__xludf.DUMMYFUNCTION("GOOGLETRANSLATE(B3066,""en"",""fr"")"),"Ensuite, la fille change de vêtements et se tiendra sur un camion tenant des prix.")</f>
        <v>Ensuite, la fille change de vêtements et se tiendra sur un camion tenant des prix.</v>
      </c>
    </row>
    <row r="3067">
      <c r="A3067" s="4" t="s">
        <v>3853</v>
      </c>
      <c r="B3067" s="4" t="s">
        <v>3854</v>
      </c>
      <c r="C3067" s="5" t="str">
        <f>IFERROR(__xludf.DUMMYFUNCTION("GOOGLETRANSLATE(B3067,""en"",""fr"")"),"La femme se tient dans une piste de course et commence à courir pour faire un saut en longueur.")</f>
        <v>La femme se tient dans une piste de course et commence à courir pour faire un saut en longueur.</v>
      </c>
    </row>
    <row r="3068">
      <c r="A3068" s="4" t="s">
        <v>3853</v>
      </c>
      <c r="B3068" s="4" t="s">
        <v>3855</v>
      </c>
      <c r="C3068" s="5" t="str">
        <f>IFERROR(__xludf.DUMMYFUNCTION("GOOGLETRANSLATE(B3068,""en"",""fr"")"),"L'homme se lève et marque l'espace où la femme a sauté.")</f>
        <v>L'homme se lève et marque l'espace où la femme a sauté.</v>
      </c>
    </row>
    <row r="3069">
      <c r="A3069" s="4" t="s">
        <v>3853</v>
      </c>
      <c r="B3069" s="6" t="s">
        <v>3856</v>
      </c>
      <c r="C3069" s="5" t="str">
        <f>IFERROR(__xludf.DUMMYFUNCTION("GOOGLETRANSLATE(B3069,""en"",""fr"")"),"Le saut en longueur est répété et une nouvelle femme court sur la piste de course pour faire le saut en longueur et un homme est assis à un drapeau de Whie.")</f>
        <v>Le saut en longueur est répété et une nouvelle femme court sur la piste de course pour faire le saut en longueur et un homme est assis à un drapeau de Whie.</v>
      </c>
    </row>
    <row r="3070">
      <c r="A3070" s="4" t="s">
        <v>3853</v>
      </c>
      <c r="B3070" s="6" t="s">
        <v>3857</v>
      </c>
      <c r="C3070" s="5" t="str">
        <f>IFERROR(__xludf.DUMMYFUNCTION("GOOGLETRANSLATE(B3070,""en"",""fr"")"),"La femme est en cours de course tandis que d'autres hommes sont en arrière-plan et la femme fait le saut en longueur dans la compétition, puis une répétition est montrée le long des résultats.")</f>
        <v>La femme est en cours de course tandis que d'autres hommes sont en arrière-plan et la femme fait le saut en longueur dans la compétition, puis une répétition est montrée le long des résultats.</v>
      </c>
    </row>
    <row r="3071">
      <c r="A3071" s="4" t="s">
        <v>3858</v>
      </c>
      <c r="B3071" s="4" t="s">
        <v>3859</v>
      </c>
      <c r="C3071" s="5" t="str">
        <f>IFERROR(__xludf.DUMMYFUNCTION("GOOGLETRANSLATE(B3071,""en"",""fr"")"),"Nous voyons un écran de titre d'ouverture.")</f>
        <v>Nous voyons un écran de titre d'ouverture.</v>
      </c>
    </row>
    <row r="3072">
      <c r="A3072" s="4" t="s">
        <v>3858</v>
      </c>
      <c r="B3072" s="4" t="s">
        <v>3860</v>
      </c>
      <c r="C3072" s="5" t="str">
        <f>IFERROR(__xludf.DUMMYFUNCTION("GOOGLETRANSLATE(B3072,""en"",""fr"")"),"Nous voyons un homme tenant un vide et utilisant l'aspirateur pour contenir deux boules de bowling.")</f>
        <v>Nous voyons un homme tenant un vide et utilisant l'aspirateur pour contenir deux boules de bowling.</v>
      </c>
    </row>
    <row r="3073">
      <c r="A3073" s="4" t="s">
        <v>3858</v>
      </c>
      <c r="B3073" s="4" t="s">
        <v>3861</v>
      </c>
      <c r="C3073" s="5" t="str">
        <f>IFERROR(__xludf.DUMMYFUNCTION("GOOGLETRANSLATE(B3073,""en"",""fr"")"),"L'homme aspire les escaliers et un intérieur de voiture.")</f>
        <v>L'homme aspire les escaliers et un intérieur de voiture.</v>
      </c>
    </row>
    <row r="3074">
      <c r="A3074" s="4" t="s">
        <v>3858</v>
      </c>
      <c r="B3074" s="4" t="s">
        <v>3862</v>
      </c>
      <c r="C3074" s="5" t="str">
        <f>IFERROR(__xludf.DUMMYFUNCTION("GOOGLETRANSLATE(B3074,""en"",""fr"")"),"Nous voyons le vide et l'homme aspire le plafond, le canapé, les stores et autres.")</f>
        <v>Nous voyons le vide et l'homme aspire le plafond, le canapé, les stores et autres.</v>
      </c>
    </row>
    <row r="3075">
      <c r="A3075" s="4" t="s">
        <v>3858</v>
      </c>
      <c r="B3075" s="4" t="s">
        <v>3863</v>
      </c>
      <c r="C3075" s="5" t="str">
        <f>IFERROR(__xludf.DUMMYFUNCTION("GOOGLETRANSLATE(B3075,""en"",""fr"")"),"Nous voyons l'homme vider la cartouche et mettre le vide dans un placard.")</f>
        <v>Nous voyons l'homme vider la cartouche et mettre le vide dans un placard.</v>
      </c>
    </row>
    <row r="3076">
      <c r="A3076" s="4" t="s">
        <v>3864</v>
      </c>
      <c r="B3076" s="6" t="s">
        <v>3865</v>
      </c>
      <c r="C3076" s="5" t="str">
        <f>IFERROR(__xludf.DUMMYFUNCTION("GOOGLETRANSLATE(B3076,""en"",""fr"")"),"Il y a deux jeunes garçons, l'un vêtu d'une chemise rouge et l'autre dans une chemise rayée dans un bowling.")</f>
        <v>Il y a deux jeunes garçons, l'un vêtu d'une chemise rouge et l'autre dans une chemise rayée dans un bowling.</v>
      </c>
    </row>
    <row r="3077">
      <c r="A3077" s="4" t="s">
        <v>3864</v>
      </c>
      <c r="B3077" s="4" t="s">
        <v>3866</v>
      </c>
      <c r="C3077" s="5" t="str">
        <f>IFERROR(__xludf.DUMMYFUNCTION("GOOGLETRANSLATE(B3077,""en"",""fr"")"),"Le garçon dans la chemise rouge bols avec une grande boule verte et frappe une grève.")</f>
        <v>Le garçon dans la chemise rouge bols avec une grande boule verte et frappe une grève.</v>
      </c>
    </row>
    <row r="3078">
      <c r="A3078" s="4" t="s">
        <v>3864</v>
      </c>
      <c r="B3078" s="4" t="s">
        <v>3867</v>
      </c>
      <c r="C3078" s="5" t="str">
        <f>IFERROR(__xludf.DUMMYFUNCTION("GOOGLETRANSLATE(B3078,""en"",""fr"")"),"Il est extatique après sa victoire et commence à sauter avec joie.")</f>
        <v>Il est extatique après sa victoire et commence à sauter avec joie.</v>
      </c>
    </row>
    <row r="3079">
      <c r="A3079" s="4" t="s">
        <v>3868</v>
      </c>
      <c r="B3079" s="4" t="s">
        <v>3869</v>
      </c>
      <c r="C3079" s="5" t="str">
        <f>IFERROR(__xludf.DUMMYFUNCTION("GOOGLETRANSLATE(B3079,""en"",""fr"")"),"Une femme danse sur une scène.")</f>
        <v>Une femme danse sur une scène.</v>
      </c>
    </row>
    <row r="3080">
      <c r="A3080" s="4" t="s">
        <v>3868</v>
      </c>
      <c r="B3080" s="4" t="s">
        <v>3870</v>
      </c>
      <c r="C3080" s="5" t="str">
        <f>IFERROR(__xludf.DUMMYFUNCTION("GOOGLETRANSLATE(B3080,""en"",""fr"")"),"Elle prend un microphone et commence à chanter.")</f>
        <v>Elle prend un microphone et commence à chanter.</v>
      </c>
    </row>
    <row r="3081">
      <c r="A3081" s="4" t="s">
        <v>3868</v>
      </c>
      <c r="B3081" s="4" t="s">
        <v>3871</v>
      </c>
      <c r="C3081" s="5" t="str">
        <f>IFERROR(__xludf.DUMMYFUNCTION("GOOGLETRANSLATE(B3081,""en"",""fr"")"),"Elle commence à jouer un tambour devant elle.")</f>
        <v>Elle commence à jouer un tambour devant elle.</v>
      </c>
    </row>
    <row r="3082">
      <c r="A3082" s="4" t="s">
        <v>3872</v>
      </c>
      <c r="B3082" s="4" t="s">
        <v>3873</v>
      </c>
      <c r="C3082" s="5" t="str">
        <f>IFERROR(__xludf.DUMMYFUNCTION("GOOGLETRANSLATE(B3082,""en"",""fr"")"),"Les jeunes transportent des bateaux gonflables et pénètrent dans l'eau.")</f>
        <v>Les jeunes transportent des bateaux gonflables et pénètrent dans l'eau.</v>
      </c>
    </row>
    <row r="3083">
      <c r="A3083" s="4" t="s">
        <v>3872</v>
      </c>
      <c r="B3083" s="4" t="s">
        <v>3874</v>
      </c>
      <c r="C3083" s="5" t="str">
        <f>IFERROR(__xludf.DUMMYFUNCTION("GOOGLETRANSLATE(B3083,""en"",""fr"")"),"Ensuite, les jeunes sont allongés face contre terre sur les bateaux et naviguent dans la rivière.")</f>
        <v>Ensuite, les jeunes sont allongés face contre terre sur les bateaux et naviguent dans la rivière.</v>
      </c>
    </row>
    <row r="3084">
      <c r="A3084" s="4" t="s">
        <v>3872</v>
      </c>
      <c r="B3084" s="4" t="s">
        <v>3875</v>
      </c>
      <c r="C3084" s="5" t="str">
        <f>IFERROR(__xludf.DUMMYFUNCTION("GOOGLETRANSLATE(B3084,""en"",""fr"")"),"Après, les hommes avancent dans l'eau en déplaçant la main pour aider à avancer.")</f>
        <v>Après, les hommes avancent dans l'eau en déplaçant la main pour aider à avancer.</v>
      </c>
    </row>
    <row r="3085">
      <c r="A3085" s="4" t="s">
        <v>3876</v>
      </c>
      <c r="B3085" s="4" t="s">
        <v>3877</v>
      </c>
      <c r="C3085" s="5" t="str">
        <f>IFERROR(__xludf.DUMMYFUNCTION("GOOGLETRANSLATE(B3085,""en"",""fr"")"),"Une femme se tient dans sa cuisine devant un comptoir.")</f>
        <v>Une femme se tient dans sa cuisine devant un comptoir.</v>
      </c>
    </row>
    <row r="3086">
      <c r="A3086" s="4" t="s">
        <v>3876</v>
      </c>
      <c r="B3086" s="4" t="s">
        <v>3878</v>
      </c>
      <c r="C3086" s="5" t="str">
        <f>IFERROR(__xludf.DUMMYFUNCTION("GOOGLETRANSLATE(B3086,""en"",""fr"")"),"Elle montre une assiette de nourriture et plusieurs ingrédients.")</f>
        <v>Elle montre une assiette de nourriture et plusieurs ingrédients.</v>
      </c>
    </row>
    <row r="3087">
      <c r="A3087" s="4" t="s">
        <v>3876</v>
      </c>
      <c r="B3087" s="4" t="s">
        <v>3879</v>
      </c>
      <c r="C3087" s="5" t="str">
        <f>IFERROR(__xludf.DUMMYFUNCTION("GOOGLETRANSLATE(B3087,""en"",""fr"")"),"Elle bouille les pâtes dans un pot, la vidant.")</f>
        <v>Elle bouille les pâtes dans un pot, la vidant.</v>
      </c>
    </row>
    <row r="3088">
      <c r="A3088" s="4" t="s">
        <v>3876</v>
      </c>
      <c r="B3088" s="4" t="s">
        <v>3880</v>
      </c>
      <c r="C3088" s="5" t="str">
        <f>IFERROR(__xludf.DUMMYFUNCTION("GOOGLETRANSLATE(B3088,""en"",""fr"")"),"Elle mélange ensuite le fromage, l'orzo et les légumes, créant une salade de pâtes orzo.")</f>
        <v>Elle mélange ensuite le fromage, l'orzo et les légumes, créant une salade de pâtes orzo.</v>
      </c>
    </row>
    <row r="3089">
      <c r="A3089" s="4" t="s">
        <v>3876</v>
      </c>
      <c r="B3089" s="4" t="s">
        <v>3881</v>
      </c>
      <c r="C3089" s="5" t="str">
        <f>IFERROR(__xludf.DUMMYFUNCTION("GOOGLETRANSLATE(B3089,""en"",""fr"")"),"Elle prend une bouchée de nourriture.")</f>
        <v>Elle prend une bouchée de nourriture.</v>
      </c>
    </row>
    <row r="3090">
      <c r="A3090" s="4" t="s">
        <v>3882</v>
      </c>
      <c r="B3090" s="4" t="s">
        <v>3883</v>
      </c>
      <c r="C3090" s="5" t="str">
        <f>IFERROR(__xludf.DUMMYFUNCTION("GOOGLETRANSLATE(B3090,""en"",""fr"")"),"Une dame et un enfant lancent la vaisselle dans la saleté.")</f>
        <v>Une dame et un enfant lancent la vaisselle dans la saleté.</v>
      </c>
    </row>
    <row r="3091">
      <c r="A3091" s="4" t="s">
        <v>3882</v>
      </c>
      <c r="B3091" s="4" t="s">
        <v>3884</v>
      </c>
      <c r="C3091" s="5" t="str">
        <f>IFERROR(__xludf.DUMMYFUNCTION("GOOGLETRANSLATE(B3091,""en"",""fr"")"),"La petite fille s'éloigne.")</f>
        <v>La petite fille s'éloigne.</v>
      </c>
    </row>
    <row r="3092">
      <c r="A3092" s="4" t="s">
        <v>3882</v>
      </c>
      <c r="B3092" s="4" t="s">
        <v>3885</v>
      </c>
      <c r="C3092" s="5" t="str">
        <f>IFERROR(__xludf.DUMMYFUNCTION("GOOGLETRANSLATE(B3092,""en"",""fr"")"),"La dame rince la vaisselle et les met sur une étagère.")</f>
        <v>La dame rince la vaisselle et les met sur une étagère.</v>
      </c>
    </row>
    <row r="3093">
      <c r="A3093" s="4" t="s">
        <v>3882</v>
      </c>
      <c r="B3093" s="4" t="s">
        <v>3886</v>
      </c>
      <c r="C3093" s="5" t="str">
        <f>IFERROR(__xludf.DUMMYFUNCTION("GOOGLETRANSLATE(B3093,""en"",""fr"")"),"Nous voyons les garçons debout derrière la dame.")</f>
        <v>Nous voyons les garçons debout derrière la dame.</v>
      </c>
    </row>
    <row r="3094">
      <c r="A3094" s="4" t="s">
        <v>3882</v>
      </c>
      <c r="B3094" s="4" t="s">
        <v>3887</v>
      </c>
      <c r="C3094" s="5" t="str">
        <f>IFERROR(__xludf.DUMMYFUNCTION("GOOGLETRANSLATE(B3094,""en"",""fr"")"),"Nous voyons l'étagère et la vaisselle.")</f>
        <v>Nous voyons l'étagère et la vaisselle.</v>
      </c>
    </row>
    <row r="3095">
      <c r="A3095" s="4" t="s">
        <v>3882</v>
      </c>
      <c r="B3095" s="4" t="s">
        <v>3888</v>
      </c>
      <c r="C3095" s="5" t="str">
        <f>IFERROR(__xludf.DUMMYFUNCTION("GOOGLETRANSLATE(B3095,""en"",""fr"")"),"Nous voyons ensuite l'écran de crédits de clôture.")</f>
        <v>Nous voyons ensuite l'écran de crédits de clôture.</v>
      </c>
    </row>
    <row r="3096">
      <c r="A3096" s="4" t="s">
        <v>3889</v>
      </c>
      <c r="B3096" s="4" t="s">
        <v>3890</v>
      </c>
      <c r="C3096" s="5" t="str">
        <f>IFERROR(__xludf.DUMMYFUNCTION("GOOGLETRANSLATE(B3096,""en"",""fr"")"),"Un groupe de personnes se tient derrière un maître yogi.")</f>
        <v>Un groupe de personnes se tient derrière un maître yogi.</v>
      </c>
    </row>
    <row r="3097">
      <c r="A3097" s="4" t="s">
        <v>3889</v>
      </c>
      <c r="B3097" s="4" t="s">
        <v>3891</v>
      </c>
      <c r="C3097" s="5" t="str">
        <f>IFERROR(__xludf.DUMMYFUNCTION("GOOGLETRANSLATE(B3097,""en"",""fr"")"),"Il les instruit en position avant de les conduire en yoga.")</f>
        <v>Il les instruit en position avant de les conduire en yoga.</v>
      </c>
    </row>
    <row r="3098">
      <c r="A3098" s="4" t="s">
        <v>3889</v>
      </c>
      <c r="B3098" s="4" t="s">
        <v>3892</v>
      </c>
      <c r="C3098" s="5" t="str">
        <f>IFERROR(__xludf.DUMMYFUNCTION("GOOGLETRANSLATE(B3098,""en"",""fr"")"),"Ils effectuent plusieurs mouvements, lentement et gracieusement.")</f>
        <v>Ils effectuent plusieurs mouvements, lentement et gracieusement.</v>
      </c>
    </row>
    <row r="3099">
      <c r="A3099" s="4" t="s">
        <v>3893</v>
      </c>
      <c r="B3099" s="4" t="s">
        <v>3894</v>
      </c>
      <c r="C3099" s="5" t="str">
        <f>IFERROR(__xludf.DUMMYFUNCTION("GOOGLETRANSLATE(B3099,""en"",""fr"")"),"Un homme est vu assis dans l'eau dans un kayak parlant à la caméra.")</f>
        <v>Un homme est vu assis dans l'eau dans un kayak parlant à la caméra.</v>
      </c>
    </row>
    <row r="3100">
      <c r="A3100" s="4" t="s">
        <v>3893</v>
      </c>
      <c r="B3100" s="4" t="s">
        <v>3895</v>
      </c>
      <c r="C3100" s="5" t="str">
        <f>IFERROR(__xludf.DUMMYFUNCTION("GOOGLETRANSLATE(B3100,""en"",""fr"")"),"L'homme continue de parler tout en tenant une pagaie dans ses mains.")</f>
        <v>L'homme continue de parler tout en tenant une pagaie dans ses mains.</v>
      </c>
    </row>
    <row r="3101">
      <c r="A3101" s="4" t="s">
        <v>3893</v>
      </c>
      <c r="B3101" s="4" t="s">
        <v>3896</v>
      </c>
      <c r="C3101" s="5" t="str">
        <f>IFERROR(__xludf.DUMMYFUNCTION("GOOGLETRANSLATE(B3101,""en"",""fr"")"),"Il se déplace un peu dans l'eau et mène à lui pagayer le long de l'eau.")</f>
        <v>Il se déplace un peu dans l'eau et mène à lui pagayer le long de l'eau.</v>
      </c>
    </row>
    <row r="3102">
      <c r="A3102" s="4" t="s">
        <v>3897</v>
      </c>
      <c r="B3102" s="6" t="s">
        <v>3898</v>
      </c>
      <c r="C3102" s="5" t="str">
        <f>IFERROR(__xludf.DUMMYFUNCTION("GOOGLETRANSLATE(B3102,""en"",""fr"")"),"Une femme explique comment faire un gâteau dans une cuisine, puis elle met quatre œufs et du sucre dans un bol et battre avec un mélangeur électrique et ajouter plus d'ingrédients pour former un mélange humide.")</f>
        <v>Une femme explique comment faire un gâteau dans une cuisine, puis elle met quatre œufs et du sucre dans un bol et battre avec un mélangeur électrique et ajouter plus d'ingrédients pour former un mélange humide.</v>
      </c>
    </row>
    <row r="3103">
      <c r="A3103" s="4" t="s">
        <v>3897</v>
      </c>
      <c r="B3103" s="6" t="s">
        <v>3899</v>
      </c>
      <c r="C3103" s="5" t="str">
        <f>IFERROR(__xludf.DUMMYFUNCTION("GOOGLETRANSLATE(B3103,""en"",""fr"")"),"La femme met des solides sur un grand bol, puis ajoute le mélange humide, l'huile et le lait, puis le mélange avec une spatule.")</f>
        <v>La femme met des solides sur un grand bol, puis ajoute le mélange humide, l'huile et le lait, puis le mélange avec une spatule.</v>
      </c>
    </row>
    <row r="3104">
      <c r="A3104" s="4" t="s">
        <v>3897</v>
      </c>
      <c r="B3104" s="6" t="s">
        <v>3900</v>
      </c>
      <c r="C3104" s="5" t="str">
        <f>IFERROR(__xludf.DUMMYFUNCTION("GOOGLETRANSLATE(B3104,""en"",""fr"")"),"Après, la femme met le mélange dans un moule graissé et fait un sirop avec du jus d'orange dans un pot.")</f>
        <v>Après, la femme met le mélange dans un moule graissé et fait un sirop avec du jus d'orange dans un pot.</v>
      </c>
    </row>
    <row r="3105">
      <c r="A3105" s="4" t="s">
        <v>3897</v>
      </c>
      <c r="B3105" s="4" t="s">
        <v>3901</v>
      </c>
      <c r="C3105" s="5" t="str">
        <f>IFERROR(__xludf.DUMMYFUNCTION("GOOGLETRANSLATE(B3105,""en"",""fr"")"),"Ensuite, elle a mis le gâteau à la cuisson sur un plat et a mis du sirop sur le dessus.")</f>
        <v>Ensuite, elle a mis le gâteau à la cuisson sur un plat et a mis du sirop sur le dessus.</v>
      </c>
    </row>
    <row r="3106">
      <c r="A3106" s="4" t="s">
        <v>3902</v>
      </c>
      <c r="B3106" s="6" t="s">
        <v>3903</v>
      </c>
      <c r="C3106" s="5" t="str">
        <f>IFERROR(__xludf.DUMMYFUNCTION("GOOGLETRANSLATE(B3106,""en"",""fr"")"),"Un homme âgé se tient dans une petite pièce et plâtre un plafond où il commence au milieu de la pièce.")</f>
        <v>Un homme âgé se tient dans une petite pièce et plâtre un plafond où il commence au milieu de la pièce.</v>
      </c>
    </row>
    <row r="3107">
      <c r="A3107" s="4" t="s">
        <v>3902</v>
      </c>
      <c r="B3107" s="4" t="s">
        <v>3904</v>
      </c>
      <c r="C3107" s="5" t="str">
        <f>IFERROR(__xludf.DUMMYFUNCTION("GOOGLETRANSLATE(B3107,""en"",""fr"")"),"Il se déplace ensuite vers la gauche et commence à plâtre dans le coin du plafond.")</f>
        <v>Il se déplace ensuite vers la gauche et commence à plâtre dans le coin du plafond.</v>
      </c>
    </row>
    <row r="3108">
      <c r="A3108" s="4" t="s">
        <v>3902</v>
      </c>
      <c r="B3108" s="6" t="s">
        <v>3905</v>
      </c>
      <c r="C3108" s="5" t="str">
        <f>IFERROR(__xludf.DUMMYFUNCTION("GOOGLETRANSLATE(B3108,""en"",""fr"")"),"L'homme cesse alors de plâtrant, et tout en parlant, il fait face à la direction de la caméra.")</f>
        <v>L'homme cesse alors de plâtrant, et tout en parlant, il fait face à la direction de la caméra.</v>
      </c>
    </row>
    <row r="3109">
      <c r="A3109" s="4" t="s">
        <v>3906</v>
      </c>
      <c r="B3109" s="4" t="s">
        <v>3907</v>
      </c>
      <c r="C3109" s="5" t="str">
        <f>IFERROR(__xludf.DUMMYFUNCTION("GOOGLETRANSLATE(B3109,""en"",""fr"")"),"Un homme avec une chemise orange et un chapeau noir avec des lunettes se tiennent à l'extérieur devant un arbre vert.")</f>
        <v>Un homme avec une chemise orange et un chapeau noir avec des lunettes se tiennent à l'extérieur devant un arbre vert.</v>
      </c>
    </row>
    <row r="3110">
      <c r="A3110" s="4" t="s">
        <v>3906</v>
      </c>
      <c r="B3110" s="4" t="s">
        <v>3908</v>
      </c>
      <c r="C3110" s="5" t="str">
        <f>IFERROR(__xludf.DUMMYFUNCTION("GOOGLETRANSLATE(B3110,""en"",""fr"")"),"Une pelouse est montrée, puis l'homme commence à tondre sa pelouse.")</f>
        <v>Une pelouse est montrée, puis l'homme commence à tondre sa pelouse.</v>
      </c>
    </row>
    <row r="3111">
      <c r="A3111" s="4" t="s">
        <v>3906</v>
      </c>
      <c r="B3111" s="4" t="s">
        <v>3909</v>
      </c>
      <c r="C3111" s="5" t="str">
        <f>IFERROR(__xludf.DUMMYFUNCTION("GOOGLETRANSLATE(B3111,""en"",""fr"")"),"Une fois l'homme terminé, il revient à la caméra et commence à parler.")</f>
        <v>Une fois l'homme terminé, il revient à la caméra et commence à parler.</v>
      </c>
    </row>
    <row r="3112">
      <c r="A3112" s="4" t="s">
        <v>3910</v>
      </c>
      <c r="B3112" s="6" t="s">
        <v>3911</v>
      </c>
      <c r="C3112" s="5" t="str">
        <f>IFERROR(__xludf.DUMMYFUNCTION("GOOGLETRANSLATE(B3112,""en"",""fr"")"),"Un homme debout ou assis derrière une planche à couper le souffle avec des légumes sur elle équipe un couteau monté sur l'avant-bras.")</f>
        <v>Un homme debout ou assis derrière une planche à couper le souffle avec des légumes sur elle équipe un couteau monté sur l'avant-bras.</v>
      </c>
    </row>
    <row r="3113">
      <c r="A3113" s="4" t="s">
        <v>3910</v>
      </c>
      <c r="B3113" s="4" t="s">
        <v>3912</v>
      </c>
      <c r="C3113" s="5" t="str">
        <f>IFERROR(__xludf.DUMMYFUNCTION("GOOGLETRANSLATE(B3113,""en"",""fr"")"),"L'homme parle à la caméra tout en pointant le couteau à la caméra.")</f>
        <v>L'homme parle à la caméra tout en pointant le couteau à la caméra.</v>
      </c>
    </row>
    <row r="3114">
      <c r="A3114" s="4" t="s">
        <v>3910</v>
      </c>
      <c r="B3114" s="4" t="s">
        <v>3913</v>
      </c>
      <c r="C3114" s="5" t="str">
        <f>IFERROR(__xludf.DUMMYFUNCTION("GOOGLETRANSLATE(B3114,""en"",""fr"")"),"L'homme coupe divers types d'articles sur la planche à découper avec le couteau dans une vidéo accélérée.")</f>
        <v>L'homme coupe divers types d'articles sur la planche à découper avec le couteau dans une vidéo accélérée.</v>
      </c>
    </row>
    <row r="3115">
      <c r="A3115" s="4" t="s">
        <v>3910</v>
      </c>
      <c r="B3115" s="4" t="s">
        <v>3914</v>
      </c>
      <c r="C3115" s="5" t="str">
        <f>IFERROR(__xludf.DUMMYFUNCTION("GOOGLETRANSLATE(B3115,""en"",""fr"")"),"L'homme retire le couteau et manipule les conteneurs d'ingrédients autour de lui.")</f>
        <v>L'homme retire le couteau et manipule les conteneurs d'ingrédients autour de lui.</v>
      </c>
    </row>
    <row r="3116">
      <c r="A3116" s="4" t="s">
        <v>3910</v>
      </c>
      <c r="B3116" s="4" t="s">
        <v>3915</v>
      </c>
      <c r="C3116" s="5" t="str">
        <f>IFERROR(__xludf.DUMMYFUNCTION("GOOGLETRANSLATE(B3116,""en"",""fr"")"),"L'homme rééquit le couteau et reprend la coupe.")</f>
        <v>L'homme rééquit le couteau et reprend la coupe.</v>
      </c>
    </row>
    <row r="3117">
      <c r="A3117" s="4" t="s">
        <v>3910</v>
      </c>
      <c r="B3117" s="4" t="s">
        <v>3916</v>
      </c>
      <c r="C3117" s="5" t="str">
        <f>IFERROR(__xludf.DUMMYFUNCTION("GOOGLETRANSLATE(B3117,""en"",""fr"")"),"L'homme retire le couteau et manipule à nouveau les ingrédients autour de lui.")</f>
        <v>L'homme retire le couteau et manipule à nouveau les ingrédients autour de lui.</v>
      </c>
    </row>
    <row r="3118">
      <c r="A3118" s="4" t="s">
        <v>3910</v>
      </c>
      <c r="B3118" s="4" t="s">
        <v>3917</v>
      </c>
      <c r="C3118" s="5" t="str">
        <f>IFERROR(__xludf.DUMMYFUNCTION("GOOGLETRANSLATE(B3118,""en"",""fr"")"),"L'homme rééquiva le couteau et reprend la coupe à nouveau.")</f>
        <v>L'homme rééquiva le couteau et reprend la coupe à nouveau.</v>
      </c>
    </row>
    <row r="3119">
      <c r="A3119" s="4" t="s">
        <v>3910</v>
      </c>
      <c r="B3119" s="4" t="s">
        <v>3918</v>
      </c>
      <c r="C3119" s="5" t="str">
        <f>IFERROR(__xludf.DUMMYFUNCTION("GOOGLETRANSLATE(B3119,""en"",""fr"")"),"L'homme retire le couteau et nettoie sa zone de travail.")</f>
        <v>L'homme retire le couteau et nettoie sa zone de travail.</v>
      </c>
    </row>
    <row r="3120">
      <c r="A3120" s="4" t="s">
        <v>3919</v>
      </c>
      <c r="B3120" s="4" t="s">
        <v>3920</v>
      </c>
      <c r="C3120" s="5" t="str">
        <f>IFERROR(__xludf.DUMMYFUNCTION("GOOGLETRANSLATE(B3120,""en"",""fr"")"),"Une femme se prépare trop à l'élastique sauter d'un téléphérique.")</f>
        <v>Une femme se prépare trop à l'élastique sauter d'un téléphérique.</v>
      </c>
    </row>
    <row r="3121">
      <c r="A3121" s="4" t="s">
        <v>3919</v>
      </c>
      <c r="B3121" s="4" t="s">
        <v>3921</v>
      </c>
      <c r="C3121" s="5" t="str">
        <f>IFERROR(__xludf.DUMMYFUNCTION("GOOGLETRANSLATE(B3121,""en"",""fr"")"),"Elle est entourée de deux hommes en chemises jaunes.")</f>
        <v>Elle est entourée de deux hommes en chemises jaunes.</v>
      </c>
    </row>
    <row r="3122">
      <c r="A3122" s="4" t="s">
        <v>3919</v>
      </c>
      <c r="B3122" s="4" t="s">
        <v>3922</v>
      </c>
      <c r="C3122" s="5" t="str">
        <f>IFERROR(__xludf.DUMMYFUNCTION("GOOGLETRANSLATE(B3122,""en"",""fr"")"),"L'un des hommes tient une caméra de téléphone à la main pour la coller vidéo pendant qu'elle saute.")</f>
        <v>L'un des hommes tient une caméra de téléphone à la main pour la coller vidéo pendant qu'elle saute.</v>
      </c>
    </row>
    <row r="3123">
      <c r="A3123" s="4" t="s">
        <v>3919</v>
      </c>
      <c r="B3123" s="4" t="s">
        <v>3923</v>
      </c>
      <c r="C3123" s="5" t="str">
        <f>IFERROR(__xludf.DUMMYFUNCTION("GOOGLETRANSLATE(B3123,""en"",""fr"")"),"Les hommes commencent à chanter pour l'encourager et l'encourager à sauter.")</f>
        <v>Les hommes commencent à chanter pour l'encourager et l'encourager à sauter.</v>
      </c>
    </row>
    <row r="3124">
      <c r="A3124" s="4" t="s">
        <v>3919</v>
      </c>
      <c r="B3124" s="4" t="s">
        <v>3924</v>
      </c>
      <c r="C3124" s="5" t="str">
        <f>IFERROR(__xludf.DUMMYFUNCTION("GOOGLETRANSLATE(B3124,""en"",""fr"")"),"Après beaucoup d'hésitation, la femme saute enfin et pend à la corde.")</f>
        <v>Après beaucoup d'hésitation, la femme saute enfin et pend à la corde.</v>
      </c>
    </row>
    <row r="3125">
      <c r="A3125" s="4" t="s">
        <v>3919</v>
      </c>
      <c r="B3125" s="4" t="s">
        <v>3925</v>
      </c>
      <c r="C3125" s="5" t="str">
        <f>IFERROR(__xludf.DUMMYFUNCTION("GOOGLETRANSLATE(B3125,""en"",""fr"")"),"Il y a une autre femme dans le téléphérique qui s'apprête à sauter.")</f>
        <v>Il y a une autre femme dans le téléphérique qui s'apprête à sauter.</v>
      </c>
    </row>
    <row r="3126">
      <c r="A3126" s="4" t="s">
        <v>3919</v>
      </c>
      <c r="B3126" s="4" t="s">
        <v>3926</v>
      </c>
      <c r="C3126" s="5" t="str">
        <f>IFERROR(__xludf.DUMMYFUNCTION("GOOGLETRANSLATE(B3126,""en"",""fr"")"),"Il y a une énorme foule debout sur le pont, levant les yeux vers le téléphérique.")</f>
        <v>Il y a une énorme foule debout sur le pont, levant les yeux vers le téléphérique.</v>
      </c>
    </row>
    <row r="3127">
      <c r="A3127" s="4" t="s">
        <v>3927</v>
      </c>
      <c r="B3127" s="4" t="s">
        <v>3928</v>
      </c>
      <c r="C3127" s="5" t="str">
        <f>IFERROR(__xludf.DUMMYFUNCTION("GOOGLETRANSLATE(B3127,""en"",""fr"")"),"Un garçon est assis sur un rocher avant de marcher le long d'un rivage.")</f>
        <v>Un garçon est assis sur un rocher avant de marcher le long d'un rivage.</v>
      </c>
    </row>
    <row r="3128">
      <c r="A3128" s="4" t="s">
        <v>3927</v>
      </c>
      <c r="B3128" s="4" t="s">
        <v>3929</v>
      </c>
      <c r="C3128" s="5" t="str">
        <f>IFERROR(__xludf.DUMMYFUNCTION("GOOGLETRANSLATE(B3128,""en"",""fr"")"),"Le jeune homme chevauche sa planche à roulettes en bas des collines dans une ville balnéaire.")</f>
        <v>Le jeune homme chevauche sa planche à roulettes en bas des collines dans une ville balnéaire.</v>
      </c>
    </row>
    <row r="3129">
      <c r="A3129" s="4" t="s">
        <v>3927</v>
      </c>
      <c r="B3129" s="4" t="s">
        <v>3930</v>
      </c>
      <c r="C3129" s="5" t="str">
        <f>IFERROR(__xludf.DUMMYFUNCTION("GOOGLETRANSLATE(B3129,""en"",""fr"")"),"Le jeune se rend dans un restaurant local pour un repas.")</f>
        <v>Le jeune se rend dans un restaurant local pour un repas.</v>
      </c>
    </row>
    <row r="3130">
      <c r="A3130" s="4" t="s">
        <v>3927</v>
      </c>
      <c r="B3130" s="4" t="s">
        <v>3931</v>
      </c>
      <c r="C3130" s="5" t="str">
        <f>IFERROR(__xludf.DUMMYFUNCTION("GOOGLETRANSLATE(B3130,""en"",""fr"")"),"Le port est vu et le jeune homme descend sur une voie ferrée au coucher du soleil.")</f>
        <v>Le port est vu et le jeune homme descend sur une voie ferrée au coucher du soleil.</v>
      </c>
    </row>
    <row r="3131">
      <c r="A3131" s="4" t="s">
        <v>3932</v>
      </c>
      <c r="B3131" s="4" t="s">
        <v>3933</v>
      </c>
      <c r="C3131" s="5" t="str">
        <f>IFERROR(__xludf.DUMMYFUNCTION("GOOGLETRANSLATE(B3131,""en"",""fr"")"),"Un groupe de personnes nage dans une grande piscine intérieure.")</f>
        <v>Un groupe de personnes nage dans une grande piscine intérieure.</v>
      </c>
    </row>
    <row r="3132">
      <c r="A3132" s="4" t="s">
        <v>3932</v>
      </c>
      <c r="B3132" s="4" t="s">
        <v>3934</v>
      </c>
      <c r="C3132" s="5" t="str">
        <f>IFERROR(__xludf.DUMMYFUNCTION("GOOGLETRANSLATE(B3132,""en"",""fr"")"),"Ils nagent des tours d'avant en arrière au fur et à mesure.")</f>
        <v>Ils nagent des tours d'avant en arrière au fur et à mesure.</v>
      </c>
    </row>
    <row r="3133">
      <c r="A3133" s="4" t="s">
        <v>3932</v>
      </c>
      <c r="B3133" s="4" t="s">
        <v>3935</v>
      </c>
      <c r="C3133" s="5" t="str">
        <f>IFERROR(__xludf.DUMMYFUNCTION("GOOGLETRANSLATE(B3133,""en"",""fr"")"),"Ils essaient de rivaliser, se réalisant de l'autre côté le plus rapide.")</f>
        <v>Ils essaient de rivaliser, se réalisant de l'autre côté le plus rapide.</v>
      </c>
    </row>
    <row r="3134">
      <c r="A3134" s="4" t="s">
        <v>3936</v>
      </c>
      <c r="B3134" s="4" t="s">
        <v>3937</v>
      </c>
      <c r="C3134" s="5" t="str">
        <f>IFERROR(__xludf.DUMMYFUNCTION("GOOGLETRANSLATE(B3134,""en"",""fr"")"),"Un individu utilise un tuyau et un instrument mince pour nettoyer une chaussure.")</f>
        <v>Un individu utilise un tuyau et un instrument mince pour nettoyer une chaussure.</v>
      </c>
    </row>
    <row r="3135">
      <c r="A3135" s="4" t="s">
        <v>3936</v>
      </c>
      <c r="B3135" s="4" t="s">
        <v>3938</v>
      </c>
      <c r="C3135" s="5" t="str">
        <f>IFERROR(__xludf.DUMMYFUNCTION("GOOGLETRANSLATE(B3135,""en"",""fr"")"),"L'individu met de côté la chaussure et retourne l'autre chaussure.")</f>
        <v>L'individu met de côté la chaussure et retourne l'autre chaussure.</v>
      </c>
    </row>
    <row r="3136">
      <c r="A3136" s="4" t="s">
        <v>3936</v>
      </c>
      <c r="B3136" s="4" t="s">
        <v>3939</v>
      </c>
      <c r="C3136" s="5" t="str">
        <f>IFERROR(__xludf.DUMMYFUNCTION("GOOGLETRANSLATE(B3136,""en"",""fr"")"),"L'individu utilise l'implémentation mince pour creuser entre les motifs du fond des chaussures.")</f>
        <v>L'individu utilise l'implémentation mince pour creuser entre les motifs du fond des chaussures.</v>
      </c>
    </row>
    <row r="3137">
      <c r="A3137" s="4" t="s">
        <v>3940</v>
      </c>
      <c r="B3137" s="4" t="s">
        <v>3941</v>
      </c>
      <c r="C3137" s="5" t="str">
        <f>IFERROR(__xludf.DUMMYFUNCTION("GOOGLETRANSLATE(B3137,""en"",""fr"")"),"Un homme est assis sur un canapé buvant une bière.")</f>
        <v>Un homme est assis sur un canapé buvant une bière.</v>
      </c>
    </row>
    <row r="3138">
      <c r="A3138" s="4" t="s">
        <v>3940</v>
      </c>
      <c r="B3138" s="4" t="s">
        <v>3942</v>
      </c>
      <c r="C3138" s="5" t="str">
        <f>IFERROR(__xludf.DUMMYFUNCTION("GOOGLETRANSLATE(B3138,""en"",""fr"")"),"Il se lève et sort par la porte.")</f>
        <v>Il se lève et sort par la porte.</v>
      </c>
    </row>
    <row r="3139">
      <c r="A3139" s="4" t="s">
        <v>3940</v>
      </c>
      <c r="B3139" s="4" t="s">
        <v>3943</v>
      </c>
      <c r="C3139" s="5" t="str">
        <f>IFERROR(__xludf.DUMMYFUNCTION("GOOGLETRANSLATE(B3139,""en"",""fr"")"),"Quelqu'un entre dans une cuisine.")</f>
        <v>Quelqu'un entre dans une cuisine.</v>
      </c>
    </row>
    <row r="3140">
      <c r="A3140" s="4" t="s">
        <v>3940</v>
      </c>
      <c r="B3140" s="4" t="s">
        <v>3944</v>
      </c>
      <c r="C3140" s="5" t="str">
        <f>IFERROR(__xludf.DUMMYFUNCTION("GOOGLETRANSLATE(B3140,""en"",""fr"")"),"Ils ouvrent le réfrigérateur et obtiennent une bière.")</f>
        <v>Ils ouvrent le réfrigérateur et obtiennent une bière.</v>
      </c>
    </row>
    <row r="3141">
      <c r="A3141" s="4" t="s">
        <v>3940</v>
      </c>
      <c r="B3141" s="4" t="s">
        <v>3945</v>
      </c>
      <c r="C3141" s="5" t="str">
        <f>IFERROR(__xludf.DUMMYFUNCTION("GOOGLETRANSLATE(B3141,""en"",""fr"")"),"Ils l'apportent à l'homme au lit.")</f>
        <v>Ils l'apportent à l'homme au lit.</v>
      </c>
    </row>
    <row r="3142">
      <c r="A3142" s="4" t="s">
        <v>3940</v>
      </c>
      <c r="B3142" s="4" t="s">
        <v>3946</v>
      </c>
      <c r="C3142" s="5" t="str">
        <f>IFERROR(__xludf.DUMMYFUNCTION("GOOGLETRANSLATE(B3142,""en"",""fr"")"),"Il s'assoit et commence à boire la bière.")</f>
        <v>Il s'assoit et commence à boire la bière.</v>
      </c>
    </row>
    <row r="3143">
      <c r="A3143" s="4" t="s">
        <v>3940</v>
      </c>
      <c r="B3143" s="4" t="s">
        <v>3947</v>
      </c>
      <c r="C3143" s="5" t="str">
        <f>IFERROR(__xludf.DUMMYFUNCTION("GOOGLETRANSLATE(B3143,""en"",""fr"")"),"Une personne décroche un téléphone portable sur un lit.")</f>
        <v>Une personne décroche un téléphone portable sur un lit.</v>
      </c>
    </row>
    <row r="3144">
      <c r="A3144" s="4" t="s">
        <v>3948</v>
      </c>
      <c r="B3144" s="4" t="s">
        <v>3949</v>
      </c>
      <c r="C3144" s="5" t="str">
        <f>IFERROR(__xludf.DUMMYFUNCTION("GOOGLETRANSLATE(B3144,""en"",""fr"")"),"Divers plans d'un gros plan d'un vélo et d'une personne pointant vers le vélo à divers endroits.")</f>
        <v>Divers plans d'un gros plan d'un vélo et d'une personne pointant vers le vélo à divers endroits.</v>
      </c>
    </row>
    <row r="3145">
      <c r="A3145" s="4" t="s">
        <v>3948</v>
      </c>
      <c r="B3145" s="4" t="s">
        <v>3950</v>
      </c>
      <c r="C3145" s="5" t="str">
        <f>IFERROR(__xludf.DUMMYFUNCTION("GOOGLETRANSLATE(B3145,""en"",""fr"")"),"La personne ajuste en permanence le vélo et palise la caméra tout autour à la fin.")</f>
        <v>La personne ajuste en permanence le vélo et palise la caméra tout autour à la fin.</v>
      </c>
    </row>
    <row r="3146">
      <c r="A3146" s="4" t="s">
        <v>3951</v>
      </c>
      <c r="B3146" s="4" t="s">
        <v>3952</v>
      </c>
      <c r="C3146" s="5" t="str">
        <f>IFERROR(__xludf.DUMMYFUNCTION("GOOGLETRANSLATE(B3146,""en"",""fr"")"),"Un garçon est penché dans sa chambre.")</f>
        <v>Un garçon est penché dans sa chambre.</v>
      </c>
    </row>
    <row r="3147">
      <c r="A3147" s="4" t="s">
        <v>3951</v>
      </c>
      <c r="B3147" s="4" t="s">
        <v>3953</v>
      </c>
      <c r="C3147" s="5" t="str">
        <f>IFERROR(__xludf.DUMMYFUNCTION("GOOGLETRANSLATE(B3147,""en"",""fr"")"),"Il essaie de mettre une chaussure.")</f>
        <v>Il essaie de mettre une chaussure.</v>
      </c>
    </row>
    <row r="3148">
      <c r="A3148" s="4" t="s">
        <v>3951</v>
      </c>
      <c r="B3148" s="4" t="s">
        <v>3954</v>
      </c>
      <c r="C3148" s="5" t="str">
        <f>IFERROR(__xludf.DUMMYFUNCTION("GOOGLETRANSLATE(B3148,""en"",""fr"")"),"Il s'assoit, jouant avec une dentelle cassée.")</f>
        <v>Il s'assoit, jouant avec une dentelle cassée.</v>
      </c>
    </row>
    <row r="3149">
      <c r="A3149" s="4" t="s">
        <v>3951</v>
      </c>
      <c r="B3149" s="4" t="s">
        <v>3955</v>
      </c>
      <c r="C3149" s="5" t="str">
        <f>IFERROR(__xludf.DUMMYFUNCTION("GOOGLETRANSLATE(B3149,""en"",""fr"")"),"Il continue de travailler avec la dentelle de chaussures jusqu'à ce qu'il puisse le faire attacher.")</f>
        <v>Il continue de travailler avec la dentelle de chaussures jusqu'à ce qu'il puisse le faire attacher.</v>
      </c>
    </row>
    <row r="3150">
      <c r="A3150" s="4" t="s">
        <v>3956</v>
      </c>
      <c r="B3150" s="4" t="s">
        <v>3957</v>
      </c>
      <c r="C3150" s="5" t="str">
        <f>IFERROR(__xludf.DUMMYFUNCTION("GOOGLETRANSLATE(B3150,""en"",""fr"")"),"Un homme tient une paire de bottes tout en parlant et en montrant des pièces sales.")</f>
        <v>Un homme tient une paire de bottes tout en parlant et en montrant des pièces sales.</v>
      </c>
    </row>
    <row r="3151">
      <c r="A3151" s="4" t="s">
        <v>3956</v>
      </c>
      <c r="B3151" s="4" t="s">
        <v>3958</v>
      </c>
      <c r="C3151" s="5" t="str">
        <f>IFERROR(__xludf.DUMMYFUNCTION("GOOGLETRANSLATE(B3151,""en"",""fr"")"),"Ensuite, l'homme a mis un robe à l'intérieur de la botte et brosserait soigneusement l'arbre de la botte.")</f>
        <v>Ensuite, l'homme a mis un robe à l'intérieur de la botte et brosserait soigneusement l'arbre de la botte.</v>
      </c>
    </row>
    <row r="3152">
      <c r="A3152" s="4" t="s">
        <v>3959</v>
      </c>
      <c r="B3152" s="4" t="s">
        <v>3960</v>
      </c>
      <c r="C3152" s="5" t="str">
        <f>IFERROR(__xludf.DUMMYFUNCTION("GOOGLETRANSLATE(B3152,""en"",""fr"")"),"Un homme est vu s'agenouiller sur un toit et parler à la caméra.")</f>
        <v>Un homme est vu s'agenouiller sur un toit et parler à la caméra.</v>
      </c>
    </row>
    <row r="3153">
      <c r="A3153" s="4" t="s">
        <v>3959</v>
      </c>
      <c r="B3153" s="4" t="s">
        <v>3961</v>
      </c>
      <c r="C3153" s="5" t="str">
        <f>IFERROR(__xludf.DUMMYFUNCTION("GOOGLETRANSLATE(B3153,""en"",""fr"")"),"La caméra se déroule tout autour du toit pendant que l'homme est vu assis et toujours parlant.")</f>
        <v>La caméra se déroule tout autour du toit pendant que l'homme est vu assis et toujours parlant.</v>
      </c>
    </row>
    <row r="3154">
      <c r="A3154" s="4" t="s">
        <v>3959</v>
      </c>
      <c r="B3154" s="4" t="s">
        <v>3962</v>
      </c>
      <c r="C3154" s="5" t="str">
        <f>IFERROR(__xludf.DUMMYFUNCTION("GOOGLETRANSLATE(B3154,""en"",""fr"")"),"L'appareil photo se déroule tout autour du toit et montre que l'homme est toujours assis.")</f>
        <v>L'appareil photo se déroule tout autour du toit et montre que l'homme est toujours assis.</v>
      </c>
    </row>
    <row r="3155">
      <c r="A3155" s="4" t="s">
        <v>3963</v>
      </c>
      <c r="B3155" s="4" t="s">
        <v>3964</v>
      </c>
      <c r="C3155" s="5" t="str">
        <f>IFERROR(__xludf.DUMMYFUNCTION("GOOGLETRANSLATE(B3155,""en"",""fr"")"),"Une femme marche, puis court avec un javelot.")</f>
        <v>Une femme marche, puis court avec un javelot.</v>
      </c>
    </row>
    <row r="3156">
      <c r="A3156" s="4" t="s">
        <v>3963</v>
      </c>
      <c r="B3156" s="4" t="s">
        <v>3965</v>
      </c>
      <c r="C3156" s="5" t="str">
        <f>IFERROR(__xludf.DUMMYFUNCTION("GOOGLETRANSLATE(B3156,""en"",""fr"")"),"Elle le jette sur le terrain, atterrissant près de son objectif.")</f>
        <v>Elle le jette sur le terrain, atterrissant près de son objectif.</v>
      </c>
    </row>
    <row r="3157">
      <c r="A3157" s="4" t="s">
        <v>3963</v>
      </c>
      <c r="B3157" s="4" t="s">
        <v>3966</v>
      </c>
      <c r="C3157" s="5" t="str">
        <f>IFERROR(__xludf.DUMMYFUNCTION("GOOGLETRANSLATE(B3157,""en"",""fr"")"),"Quelques autres coéquipiers jouent également l'acte, puis nous voyons le tableau de bord final.")</f>
        <v>Quelques autres coéquipiers jouent également l'acte, puis nous voyons le tableau de bord final.</v>
      </c>
    </row>
    <row r="3158">
      <c r="A3158" s="4" t="s">
        <v>3967</v>
      </c>
      <c r="B3158" s="4" t="s">
        <v>3968</v>
      </c>
      <c r="C3158" s="5" t="str">
        <f>IFERROR(__xludf.DUMMYFUNCTION("GOOGLETRANSLATE(B3158,""en"",""fr"")"),"Un homme parle à l'avant un buisson tandis que une autre personne se tient sur son côté droit.")</f>
        <v>Un homme parle à l'avant un buisson tandis que une autre personne se tient sur son côté droit.</v>
      </c>
    </row>
    <row r="3159">
      <c r="A3159" s="4" t="s">
        <v>3967</v>
      </c>
      <c r="B3159" s="4" t="s">
        <v>3969</v>
      </c>
      <c r="C3159" s="5" t="str">
        <f>IFERROR(__xludf.DUMMYFUNCTION("GOOGLETRANSLATE(B3159,""en"",""fr"")"),"Ensuite, l'homme coupe les fleurs mortes de la brousse en parlant.")</f>
        <v>Ensuite, l'homme coupe les fleurs mortes de la brousse en parlant.</v>
      </c>
    </row>
    <row r="3160">
      <c r="A3160" s="4" t="s">
        <v>3967</v>
      </c>
      <c r="B3160" s="4" t="s">
        <v>3970</v>
      </c>
      <c r="C3160" s="5" t="str">
        <f>IFERROR(__xludf.DUMMYFUNCTION("GOOGLETRANSLATE(B3160,""en"",""fr"")"),"De plus, la personne coupe les fleurs mortes de la brousse.")</f>
        <v>De plus, la personne coupe les fleurs mortes de la brousse.</v>
      </c>
    </row>
    <row r="3161">
      <c r="A3161" s="4" t="s">
        <v>3971</v>
      </c>
      <c r="B3161" s="4" t="s">
        <v>3972</v>
      </c>
      <c r="C3161" s="5" t="str">
        <f>IFERROR(__xludf.DUMMYFUNCTION("GOOGLETRANSLATE(B3161,""en"",""fr"")"),"Cette jeune femme danse avec le bâton dans ses mains.")</f>
        <v>Cette jeune femme danse avec le bâton dans ses mains.</v>
      </c>
    </row>
    <row r="3162">
      <c r="A3162" s="4" t="s">
        <v>3971</v>
      </c>
      <c r="B3162" s="4" t="s">
        <v>3973</v>
      </c>
      <c r="C3162" s="5" t="str">
        <f>IFERROR(__xludf.DUMMYFUNCTION("GOOGLETRANSLATE(B3162,""en"",""fr"")"),"Elle est au milieu de la rue avec un débardeur rouge, un short et des tongs.")</f>
        <v>Elle est au milieu de la rue avec un débardeur rouge, un short et des tongs.</v>
      </c>
    </row>
    <row r="3163">
      <c r="A3163" s="4" t="s">
        <v>3971</v>
      </c>
      <c r="B3163" s="4" t="s">
        <v>3974</v>
      </c>
      <c r="C3163" s="5" t="str">
        <f>IFERROR(__xludf.DUMMYFUNCTION("GOOGLETRANSLATE(B3163,""en"",""fr"")"),"Il y a beaucoup de gens qui la regardent pendant qu'elle fait les matraques à l'extérieur.")</f>
        <v>Il y a beaucoup de gens qui la regardent pendant qu'elle fait les matraques à l'extérieur.</v>
      </c>
    </row>
    <row r="3164">
      <c r="A3164" s="4" t="s">
        <v>3971</v>
      </c>
      <c r="B3164" s="4" t="s">
        <v>3975</v>
      </c>
      <c r="C3164" s="5" t="str">
        <f>IFERROR(__xludf.DUMMYFUNCTION("GOOGLETRANSLATE(B3164,""en"",""fr"")"),"Quand elle a terminé, la musique cesse de jouer et quelques personnes applaudissent pour sa performance.")</f>
        <v>Quand elle a terminé, la musique cesse de jouer et quelques personnes applaudissent pour sa performance.</v>
      </c>
    </row>
    <row r="3165">
      <c r="A3165" s="4" t="s">
        <v>3976</v>
      </c>
      <c r="B3165" s="4" t="s">
        <v>3977</v>
      </c>
      <c r="C3165" s="5" t="str">
        <f>IFERROR(__xludf.DUMMYFUNCTION("GOOGLETRANSLATE(B3165,""en"",""fr"")"),"Les jeunes enfants rebondissent sur le grand trampoline.")</f>
        <v>Les jeunes enfants rebondissent sur le grand trampoline.</v>
      </c>
    </row>
    <row r="3166">
      <c r="A3166" s="4" t="s">
        <v>3976</v>
      </c>
      <c r="B3166" s="4" t="s">
        <v>3978</v>
      </c>
      <c r="C3166" s="5" t="str">
        <f>IFERROR(__xludf.DUMMYFUNCTION("GOOGLETRANSLATE(B3166,""en"",""fr"")"),"Le jeune garçon est tombé sur le dos alors qu'il évitait le ballon.")</f>
        <v>Le jeune garçon est tombé sur le dos alors qu'il évitait le ballon.</v>
      </c>
    </row>
    <row r="3167">
      <c r="A3167" s="4" t="s">
        <v>3976</v>
      </c>
      <c r="B3167" s="4" t="s">
        <v>3979</v>
      </c>
      <c r="C3167" s="5" t="str">
        <f>IFERROR(__xludf.DUMMYFUNCTION("GOOGLETRANSLATE(B3167,""en"",""fr"")"),"Les enfants portent un casque en lançant le ballon et l'autre côté des enfants esquive le ballon.")</f>
        <v>Les enfants portent un casque en lançant le ballon et l'autre côté des enfants esquive le ballon.</v>
      </c>
    </row>
    <row r="3168">
      <c r="A3168" s="4" t="s">
        <v>3976</v>
      </c>
      <c r="B3168" s="4" t="s">
        <v>3980</v>
      </c>
      <c r="C3168" s="5" t="str">
        <f>IFERROR(__xludf.DUMMYFUNCTION("GOOGLETRANSLATE(B3168,""en"",""fr"")"),"Deux personnes adultes sont allés au trampoline pour regarder les enfants.")</f>
        <v>Deux personnes adultes sont allés au trampoline pour regarder les enfants.</v>
      </c>
    </row>
    <row r="3169">
      <c r="A3169" s="4" t="s">
        <v>3981</v>
      </c>
      <c r="B3169" s="4" t="s">
        <v>3982</v>
      </c>
      <c r="C3169" s="5" t="str">
        <f>IFERROR(__xludf.DUMMYFUNCTION("GOOGLETRANSLATE(B3169,""en"",""fr"")"),"Un tas de jeunes enfants sont montrés en jouant dans un terrain de jeu de parc.")</f>
        <v>Un tas de jeunes enfants sont montrés en jouant dans un terrain de jeu de parc.</v>
      </c>
    </row>
    <row r="3170">
      <c r="A3170" s="4" t="s">
        <v>3981</v>
      </c>
      <c r="B3170" s="4" t="s">
        <v>3983</v>
      </c>
      <c r="C3170" s="5" t="str">
        <f>IFERROR(__xludf.DUMMYFUNCTION("GOOGLETRANSLATE(B3170,""en"",""fr"")"),"Un jeune garçon fait des allers-retours sur les barres de singe.")</f>
        <v>Un jeune garçon fait des allers-retours sur les barres de singe.</v>
      </c>
    </row>
    <row r="3171">
      <c r="A3171" s="4" t="s">
        <v>3981</v>
      </c>
      <c r="B3171" s="4" t="s">
        <v>3984</v>
      </c>
      <c r="C3171" s="5" t="str">
        <f>IFERROR(__xludf.DUMMYFUNCTION("GOOGLETRANSLATE(B3171,""en"",""fr"")"),"Un autre enfant le rejoint également sur les barreaux.")</f>
        <v>Un autre enfant le rejoint également sur les barreaux.</v>
      </c>
    </row>
    <row r="3172">
      <c r="A3172" s="4" t="s">
        <v>3985</v>
      </c>
      <c r="B3172" s="4" t="s">
        <v>3986</v>
      </c>
      <c r="C3172" s="5" t="str">
        <f>IFERROR(__xludf.DUMMYFUNCTION("GOOGLETRANSLATE(B3172,""en"",""fr"")"),"Un homme dans un gilet de vie jaune est assis dans un canoë.")</f>
        <v>Un homme dans un gilet de vie jaune est assis dans un canoë.</v>
      </c>
    </row>
    <row r="3173">
      <c r="A3173" s="4" t="s">
        <v>3985</v>
      </c>
      <c r="B3173" s="4" t="s">
        <v>3987</v>
      </c>
      <c r="C3173" s="5" t="str">
        <f>IFERROR(__xludf.DUMMYFUNCTION("GOOGLETRANSLATE(B3173,""en"",""fr"")"),"Il pagaye d'un côté à l'autre.")</f>
        <v>Il pagaye d'un côté à l'autre.</v>
      </c>
    </row>
    <row r="3174">
      <c r="A3174" s="4" t="s">
        <v>3985</v>
      </c>
      <c r="B3174" s="4" t="s">
        <v>3988</v>
      </c>
      <c r="C3174" s="5" t="str">
        <f>IFERROR(__xludf.DUMMYFUNCTION("GOOGLETRANSLATE(B3174,""en"",""fr"")"),"La caméra va sous l'eau à côté du canoë.")</f>
        <v>La caméra va sous l'eau à côté du canoë.</v>
      </c>
    </row>
    <row r="3175">
      <c r="A3175" s="4" t="s">
        <v>3989</v>
      </c>
      <c r="B3175" s="4" t="s">
        <v>3990</v>
      </c>
      <c r="C3175" s="5" t="str">
        <f>IFERROR(__xludf.DUMMYFUNCTION("GOOGLETRANSLATE(B3175,""en"",""fr"")"),"Les sandwichs sont affichés dans un diaporama.")</f>
        <v>Les sandwichs sont affichés dans un diaporama.</v>
      </c>
    </row>
    <row r="3176">
      <c r="A3176" s="4" t="s">
        <v>3989</v>
      </c>
      <c r="B3176" s="6" t="s">
        <v>3991</v>
      </c>
      <c r="C3176" s="5" t="str">
        <f>IFERROR(__xludf.DUMMYFUNCTION("GOOGLETRANSLATE(B3176,""en"",""fr"")"),"Une personne écarte de la sauce à la moutarde sur des tranches de pain, puis la personne a mise sur le fromage suisse, de la confiture, de la choucroute et une tranche de pain sur le dessus.")</f>
        <v>Une personne écarte de la sauce à la moutarde sur des tranches de pain, puis la personne a mise sur le fromage suisse, de la confiture, de la choucroute et une tranche de pain sur le dessus.</v>
      </c>
    </row>
    <row r="3177">
      <c r="A3177" s="4" t="s">
        <v>3989</v>
      </c>
      <c r="B3177" s="6" t="s">
        <v>3992</v>
      </c>
      <c r="C3177" s="5" t="str">
        <f>IFERROR(__xludf.DUMMYFUNCTION("GOOGLETRANSLATE(B3177,""en"",""fr"")"),"Après, la personne écarte du beurre sur les sandwichs et les a mis sur une surface chaude, puis la personne coupe les sandwichs en deux.")</f>
        <v>Après, la personne écarte du beurre sur les sandwichs et les a mis sur une surface chaude, puis la personne coupe les sandwichs en deux.</v>
      </c>
    </row>
    <row r="3178">
      <c r="A3178" s="4" t="s">
        <v>3993</v>
      </c>
      <c r="B3178" s="4" t="s">
        <v>3994</v>
      </c>
      <c r="C3178" s="5" t="str">
        <f>IFERROR(__xludf.DUMMYFUNCTION("GOOGLETRANSLATE(B3178,""en"",""fr"")"),"Un homme d'âge moyen blanc se tient dans une foule de gens jouant d'un saxophone.")</f>
        <v>Un homme d'âge moyen blanc se tient dans une foule de gens jouant d'un saxophone.</v>
      </c>
    </row>
    <row r="3179">
      <c r="A3179" s="4" t="s">
        <v>3993</v>
      </c>
      <c r="B3179" s="6" t="s">
        <v>3995</v>
      </c>
      <c r="C3179" s="5" t="str">
        <f>IFERROR(__xludf.DUMMYFUNCTION("GOOGLETRANSLATE(B3179,""en"",""fr"")"),"Pendant qu'il continue, la vidéo se déroule et plusieurs autres personnes le rejoignent pour jouer du saxophone et il est révélé que quelqu'un d'autre appuye sur les boutons de l'homme alors qu'il souffle dans l'instrument.")</f>
        <v>Pendant qu'il continue, la vidéo se déroule et plusieurs autres personnes le rejoignent pour jouer du saxophone et il est révélé que quelqu'un d'autre appuye sur les boutons de l'homme alors qu'il souffle dans l'instrument.</v>
      </c>
    </row>
    <row r="3180">
      <c r="A3180" s="4" t="s">
        <v>3993</v>
      </c>
      <c r="B3180" s="4" t="s">
        <v>3996</v>
      </c>
      <c r="C3180" s="5" t="str">
        <f>IFERROR(__xludf.DUMMYFUNCTION("GOOGLETRANSLATE(B3180,""en"",""fr"")"),"Ensuite, la caméra se retire et la foule commence à applaudir pour le public.")</f>
        <v>Ensuite, la caméra se retire et la foule commence à applaudir pour le public.</v>
      </c>
    </row>
    <row r="3181">
      <c r="A3181" s="4" t="s">
        <v>3997</v>
      </c>
      <c r="B3181" s="4" t="s">
        <v>3998</v>
      </c>
      <c r="C3181" s="5" t="str">
        <f>IFERROR(__xludf.DUMMYFUNCTION("GOOGLETRANSLATE(B3181,""en"",""fr"")"),"Il y a une femme dans une chemise blanche dans un court de tennis intérieur frappant des balles sur le terrain.")</f>
        <v>Il y a une femme dans une chemise blanche dans un court de tennis intérieur frappant des balles sur le terrain.</v>
      </c>
    </row>
    <row r="3182">
      <c r="A3182" s="4" t="s">
        <v>3997</v>
      </c>
      <c r="B3182" s="4" t="s">
        <v>3999</v>
      </c>
      <c r="C3182" s="5" t="str">
        <f>IFERROR(__xludf.DUMMYFUNCTION("GOOGLETRANSLATE(B3182,""en"",""fr"")"),"Elle fait rebondir le ballon sur le sol puis sert le ballon à travers le filet.")</f>
        <v>Elle fait rebondir le ballon sur le sol puis sert le ballon à travers le filet.</v>
      </c>
    </row>
    <row r="3183">
      <c r="A3183" s="4" t="s">
        <v>4000</v>
      </c>
      <c r="B3183" s="4" t="s">
        <v>4001</v>
      </c>
      <c r="C3183" s="5" t="str">
        <f>IFERROR(__xludf.DUMMYFUNCTION("GOOGLETRANSLATE(B3183,""en"",""fr"")"),"Un homme traverse de la neige portant une grande pelle de neige.")</f>
        <v>Un homme traverse de la neige portant une grande pelle de neige.</v>
      </c>
    </row>
    <row r="3184">
      <c r="A3184" s="4" t="s">
        <v>4000</v>
      </c>
      <c r="B3184" s="4" t="s">
        <v>4002</v>
      </c>
      <c r="C3184" s="5" t="str">
        <f>IFERROR(__xludf.DUMMYFUNCTION("GOOGLETRANSLATE(B3184,""en"",""fr"")"),"L'homme pelle un long chemin de neige.")</f>
        <v>L'homme pelle un long chemin de neige.</v>
      </c>
    </row>
    <row r="3185">
      <c r="A3185" s="4" t="s">
        <v>4000</v>
      </c>
      <c r="B3185" s="4" t="s">
        <v>4003</v>
      </c>
      <c r="C3185" s="5" t="str">
        <f>IFERROR(__xludf.DUMMYFUNCTION("GOOGLETRANSLATE(B3185,""en"",""fr"")"),"L'homme se retourne et pelle à nouveau un long chemin de neige.")</f>
        <v>L'homme se retourne et pelle à nouveau un long chemin de neige.</v>
      </c>
    </row>
    <row r="3186">
      <c r="A3186" s="4" t="s">
        <v>4000</v>
      </c>
      <c r="B3186" s="4" t="s">
        <v>4004</v>
      </c>
      <c r="C3186" s="5" t="str">
        <f>IFERROR(__xludf.DUMMYFUNCTION("GOOGLETRANSLATE(B3186,""en"",""fr"")"),"L'homme pelle de la neige pour la troisième fois.")</f>
        <v>L'homme pelle de la neige pour la troisième fois.</v>
      </c>
    </row>
    <row r="3187">
      <c r="A3187" s="4" t="s">
        <v>4000</v>
      </c>
      <c r="B3187" s="4" t="s">
        <v>4005</v>
      </c>
      <c r="C3187" s="5" t="str">
        <f>IFERROR(__xludf.DUMMYFUNCTION("GOOGLETRANSLATE(B3187,""en"",""fr"")"),"L'homme pelle un très long chemin de neige à un endroit différent.")</f>
        <v>L'homme pelle un très long chemin de neige à un endroit différent.</v>
      </c>
    </row>
    <row r="3188">
      <c r="A3188" s="4" t="s">
        <v>4000</v>
      </c>
      <c r="B3188" s="6" t="s">
        <v>4006</v>
      </c>
      <c r="C3188" s="5" t="str">
        <f>IFERROR(__xludf.DUMMYFUNCTION("GOOGLETRANSLATE(B3188,""en"",""fr"")"),"L'homme se retourne et pelle un deuxième chemin de neige, juste à côté du récent chemin de neige pelleté.")</f>
        <v>L'homme se retourne et pelle un deuxième chemin de neige, juste à côté du récent chemin de neige pelleté.</v>
      </c>
    </row>
    <row r="3189">
      <c r="A3189" s="4" t="s">
        <v>4007</v>
      </c>
      <c r="B3189" s="6" t="s">
        <v>4008</v>
      </c>
      <c r="C3189" s="5" t="str">
        <f>IFERROR(__xludf.DUMMYFUNCTION("GOOGLETRANSLATE(B3189,""en"",""fr"")"),"Une femme montre un plat avec des légumes et affiche les calories, les ingrédients et la préparation d'un plat.")</f>
        <v>Une femme montre un plat avec des légumes et affiche les calories, les ingrédients et la préparation d'un plat.</v>
      </c>
    </row>
    <row r="3190">
      <c r="A3190" s="4" t="s">
        <v>4007</v>
      </c>
      <c r="B3190" s="4" t="s">
        <v>4009</v>
      </c>
      <c r="C3190" s="5" t="str">
        <f>IFERROR(__xludf.DUMMYFUNCTION("GOOGLETRANSLATE(B3190,""en"",""fr"")"),"Ensuite, la femme met des légumes sur un bol, puis elle a fait frire un congé et l'a mis dans le bol.")</f>
        <v>Ensuite, la femme met des légumes sur un bol, puis elle a fait frire un congé et l'a mis dans le bol.</v>
      </c>
    </row>
    <row r="3191">
      <c r="A3191" s="4" t="s">
        <v>4007</v>
      </c>
      <c r="B3191" s="4" t="s">
        <v>4010</v>
      </c>
      <c r="C3191" s="5" t="str">
        <f>IFERROR(__xludf.DUMMYFUNCTION("GOOGLETRANSLATE(B3191,""en"",""fr"")"),"Ensuite, la femme mélange les légumes et le sert sur un plat.")</f>
        <v>Ensuite, la femme mélange les légumes et le sert sur un plat.</v>
      </c>
    </row>
    <row r="3192">
      <c r="A3192" s="4" t="s">
        <v>4011</v>
      </c>
      <c r="B3192" s="4" t="s">
        <v>4012</v>
      </c>
      <c r="C3192" s="5" t="str">
        <f>IFERROR(__xludf.DUMMYFUNCTION("GOOGLETRANSLATE(B3192,""en"",""fr"")"),"Deux femmes tentent de laver deux chiens.")</f>
        <v>Deux femmes tentent de laver deux chiens.</v>
      </c>
    </row>
    <row r="3193">
      <c r="A3193" s="4" t="s">
        <v>4011</v>
      </c>
      <c r="B3193" s="4" t="s">
        <v>4013</v>
      </c>
      <c r="C3193" s="5" t="str">
        <f>IFERROR(__xludf.DUMMYFUNCTION("GOOGLETRANSLATE(B3193,""en"",""fr"")"),"Ils montent dans la baignoire avec les chiens et font du shampooing, du savon, puis rincent les chiens.")</f>
        <v>Ils montent dans la baignoire avec les chiens et font du shampooing, du savon, puis rincent les chiens.</v>
      </c>
    </row>
    <row r="3194">
      <c r="A3194" s="4" t="s">
        <v>4011</v>
      </c>
      <c r="B3194" s="4" t="s">
        <v>4014</v>
      </c>
      <c r="C3194" s="5" t="str">
        <f>IFERROR(__xludf.DUMMYFUNCTION("GOOGLETRANSLATE(B3194,""en"",""fr"")"),"Ils sèchent les chiens et les chiens sont beaucoup plus heureux.")</f>
        <v>Ils sèchent les chiens et les chiens sont beaucoup plus heureux.</v>
      </c>
    </row>
    <row r="3195">
      <c r="A3195" s="4" t="s">
        <v>4015</v>
      </c>
      <c r="B3195" s="4" t="s">
        <v>4016</v>
      </c>
      <c r="C3195" s="5" t="str">
        <f>IFERROR(__xludf.DUMMYFUNCTION("GOOGLETRANSLATE(B3195,""en"",""fr"")"),"Un homme se tient sur un garde-corps de pont avec un harnais tandis qu'un autre homme le tient.")</f>
        <v>Un homme se tient sur un garde-corps de pont avec un harnais tandis qu'un autre homme le tient.</v>
      </c>
    </row>
    <row r="3196">
      <c r="A3196" s="4" t="s">
        <v>4015</v>
      </c>
      <c r="B3196" s="4" t="s">
        <v>4017</v>
      </c>
      <c r="C3196" s="5" t="str">
        <f>IFERROR(__xludf.DUMMYFUNCTION("GOOGLETRANSLATE(B3196,""en"",""fr"")"),"L'homme saute du pont vers la rivière en dessous.")</f>
        <v>L'homme saute du pont vers la rivière en dessous.</v>
      </c>
    </row>
    <row r="3197">
      <c r="A3197" s="4" t="s">
        <v>4015</v>
      </c>
      <c r="B3197" s="4" t="s">
        <v>4018</v>
      </c>
      <c r="C3197" s="5" t="str">
        <f>IFERROR(__xludf.DUMMYFUNCTION("GOOGLETRANSLATE(B3197,""en"",""fr"")"),"L'homme se balance d'avant en arrière sur les rapides.")</f>
        <v>L'homme se balance d'avant en arrière sur les rapides.</v>
      </c>
    </row>
    <row r="3198">
      <c r="A3198" s="4" t="s">
        <v>4019</v>
      </c>
      <c r="B3198" s="4" t="s">
        <v>4020</v>
      </c>
      <c r="C3198" s="5" t="str">
        <f>IFERROR(__xludf.DUMMYFUNCTION("GOOGLETRANSLATE(B3198,""en"",""fr"")"),"Une femme portant du vert aux cheveux roux frotte vigoureusement des vêtements.")</f>
        <v>Une femme portant du vert aux cheveux roux frotte vigoureusement des vêtements.</v>
      </c>
    </row>
    <row r="3199">
      <c r="A3199" s="4" t="s">
        <v>4019</v>
      </c>
      <c r="B3199" s="6" t="s">
        <v>4021</v>
      </c>
      <c r="C3199" s="5" t="str">
        <f>IFERROR(__xludf.DUMMYFUNCTION("GOOGLETRANSLATE(B3199,""en"",""fr"")"),"L'eau et le savon les éclaboussent sur le mur / Elle prend le morceau de tissu et le frappe contre le stand.")</f>
        <v>L'eau et le savon les éclaboussent sur le mur / Elle prend le morceau de tissu et le frappe contre le stand.</v>
      </c>
    </row>
    <row r="3200">
      <c r="A3200" s="4" t="s">
        <v>4019</v>
      </c>
      <c r="B3200" s="4" t="s">
        <v>4022</v>
      </c>
      <c r="C3200" s="5" t="str">
        <f>IFERROR(__xludf.DUMMYFUNCTION("GOOGLETRANSLATE(B3200,""en"",""fr"")"),"Ensuite, elle obtient de l'eau à partir d'un seau et la verse.")</f>
        <v>Ensuite, elle obtient de l'eau à partir d'un seau et la verse.</v>
      </c>
    </row>
    <row r="3201">
      <c r="A3201" s="4" t="s">
        <v>4019</v>
      </c>
      <c r="B3201" s="4" t="s">
        <v>4023</v>
      </c>
      <c r="C3201" s="5" t="str">
        <f>IFERROR(__xludf.DUMMYFUNCTION("GOOGLETRANSLATE(B3201,""en"",""fr"")"),"Elle le serre puis a mis le tissu dans un seau d'eau savonneuse.")</f>
        <v>Elle le serre puis a mis le tissu dans un seau d'eau savonneuse.</v>
      </c>
    </row>
    <row r="3202">
      <c r="A3202" s="4" t="s">
        <v>4024</v>
      </c>
      <c r="B3202" s="4" t="s">
        <v>4025</v>
      </c>
      <c r="C3202" s="5" t="str">
        <f>IFERROR(__xludf.DUMMYFUNCTION("GOOGLETRANSLATE(B3202,""en"",""fr"")"),"Il y a un terrain ouvert avec de la verdure autour et une surface herbeuse.")</f>
        <v>Il y a un terrain ouvert avec de la verdure autour et une surface herbeuse.</v>
      </c>
    </row>
    <row r="3203">
      <c r="A3203" s="4" t="s">
        <v>4024</v>
      </c>
      <c r="B3203" s="4" t="s">
        <v>4026</v>
      </c>
      <c r="C3203" s="5" t="str">
        <f>IFERROR(__xludf.DUMMYFUNCTION("GOOGLETRANSLATE(B3203,""en"",""fr"")"),"Il y a une tondeuse à la pelouse allongée sur le sol près de quelques parcelles d'herbe.")</f>
        <v>Il y a une tondeuse à la pelouse allongée sur le sol près de quelques parcelles d'herbe.</v>
      </c>
    </row>
    <row r="3204">
      <c r="A3204" s="4" t="s">
        <v>4024</v>
      </c>
      <c r="B3204" s="4" t="s">
        <v>4027</v>
      </c>
      <c r="C3204" s="5" t="str">
        <f>IFERROR(__xludf.DUMMYFUNCTION("GOOGLETRANSLATE(B3204,""en"",""fr"")"),"Une personne portant des pantalons gris et des gants utilisant une coupe-jardin pour couper les taches d'herbe.")</f>
        <v>Une personne portant des pantalons gris et des gants utilisant une coupe-jardin pour couper les taches d'herbe.</v>
      </c>
    </row>
    <row r="3205">
      <c r="A3205" s="4" t="s">
        <v>4024</v>
      </c>
      <c r="B3205" s="6" t="s">
        <v>4028</v>
      </c>
      <c r="C3205" s="5" t="str">
        <f>IFERROR(__xludf.DUMMYFUNCTION("GOOGLETRANSLATE(B3205,""en"",""fr"")"),"Il coupe la pelouse dans un mouvement de va-et-vient, déplaçant la coupe-coupe horizontalement à travers l'herbe.")</f>
        <v>Il coupe la pelouse dans un mouvement de va-et-vient, déplaçant la coupe-coupe horizontalement à travers l'herbe.</v>
      </c>
    </row>
    <row r="3206">
      <c r="A3206" s="4" t="s">
        <v>4029</v>
      </c>
      <c r="B3206" s="4" t="s">
        <v>4030</v>
      </c>
      <c r="C3206" s="5" t="str">
        <f>IFERROR(__xludf.DUMMYFUNCTION("GOOGLETRANSLATE(B3206,""en"",""fr"")"),"Un gros plan est illustré à une route d'asphalte fissurée.")</f>
        <v>Un gros plan est illustré à une route d'asphalte fissurée.</v>
      </c>
    </row>
    <row r="3207">
      <c r="A3207" s="4" t="s">
        <v>4029</v>
      </c>
      <c r="B3207" s="4" t="s">
        <v>4031</v>
      </c>
      <c r="C3207" s="5" t="str">
        <f>IFERROR(__xludf.DUMMYFUNCTION("GOOGLETRANSLATE(B3207,""en"",""fr"")"),"Ensuite, nous voyons un homme marcher, portant une paire de patins en ligne.")</f>
        <v>Ensuite, nous voyons un homme marcher, portant une paire de patins en ligne.</v>
      </c>
    </row>
    <row r="3208">
      <c r="A3208" s="4" t="s">
        <v>4029</v>
      </c>
      <c r="B3208" s="6" t="s">
        <v>4032</v>
      </c>
      <c r="C3208" s="5" t="str">
        <f>IFERROR(__xludf.DUMMYFUNCTION("GOOGLETRANSLATE(B3208,""en"",""fr"")"),"L'homme effectue des cascades, descendit les escaliers et conduisant des médianes, faisant des flips et monte en arrière.")</f>
        <v>L'homme effectue des cascades, descendit les escaliers et conduisant des médianes, faisant des flips et monte en arrière.</v>
      </c>
    </row>
    <row r="3209">
      <c r="A3209" s="4" t="s">
        <v>4029</v>
      </c>
      <c r="B3209" s="4" t="s">
        <v>4033</v>
      </c>
      <c r="C3209" s="5" t="str">
        <f>IFERROR(__xludf.DUMMYFUNCTION("GOOGLETRANSLATE(B3209,""en"",""fr"")"),"Quand il a fini, il s'éloigne.")</f>
        <v>Quand il a fini, il s'éloigne.</v>
      </c>
    </row>
    <row r="3210">
      <c r="A3210" s="4" t="s">
        <v>4034</v>
      </c>
      <c r="B3210" s="4" t="s">
        <v>4035</v>
      </c>
      <c r="C3210" s="5" t="str">
        <f>IFERROR(__xludf.DUMMYFUNCTION("GOOGLETRANSLATE(B3210,""en"",""fr"")"),"Un enfant joue au tennis dans un tribunal qui revient des balles pendant qu'un garçon se tient à côté d'elle.")</f>
        <v>Un enfant joue au tennis dans un tribunal qui revient des balles pendant qu'un garçon se tient à côté d'elle.</v>
      </c>
    </row>
    <row r="3211">
      <c r="A3211" s="4" t="s">
        <v>4034</v>
      </c>
      <c r="B3211" s="4" t="s">
        <v>4036</v>
      </c>
      <c r="C3211" s="5" t="str">
        <f>IFERROR(__xludf.DUMMYFUNCTION("GOOGLETRANSLATE(B3211,""en"",""fr"")"),"Le garçon a quitté le terrain pendant que l'enfant continue de retourner des balles, puis le garçon revient.")</f>
        <v>Le garçon a quitté le terrain pendant que l'enfant continue de retourner des balles, puis le garçon revient.</v>
      </c>
    </row>
    <row r="3212">
      <c r="A3212" s="4" t="s">
        <v>4034</v>
      </c>
      <c r="B3212" s="4" t="s">
        <v>4037</v>
      </c>
      <c r="C3212" s="5" t="str">
        <f>IFERROR(__xludf.DUMMYFUNCTION("GOOGLETRANSLATE(B3212,""en"",""fr"")"),"Ensuite, le garçon a quitté à nouveau le terrain, puis il revient avec une raquette et une balle.")</f>
        <v>Ensuite, le garçon a quitté à nouveau le terrain, puis il revient avec une raquette et une balle.</v>
      </c>
    </row>
    <row r="3213">
      <c r="A3213" s="4" t="s">
        <v>4034</v>
      </c>
      <c r="B3213" s="4" t="s">
        <v>4038</v>
      </c>
      <c r="C3213" s="5" t="str">
        <f>IFERROR(__xludf.DUMMYFUNCTION("GOOGLETRANSLATE(B3213,""en"",""fr"")"),"L'enfant sert le ballon, et le garçon aide à se tenir debout à côté de la regard.")</f>
        <v>L'enfant sert le ballon, et le garçon aide à se tenir debout à côté de la regard.</v>
      </c>
    </row>
    <row r="3214">
      <c r="A3214" s="4" t="s">
        <v>4039</v>
      </c>
      <c r="B3214" s="6" t="s">
        <v>4040</v>
      </c>
      <c r="C3214" s="5" t="str">
        <f>IFERROR(__xludf.DUMMYFUNCTION("GOOGLETRANSLATE(B3214,""en"",""fr"")"),"Un homme est vu parler à la caméra et mène à plusieurs plans de personnes qui parlent et portaient des talons.")</f>
        <v>Un homme est vu parler à la caméra et mène à plusieurs plans de personnes qui parlent et portaient des talons.</v>
      </c>
    </row>
    <row r="3215">
      <c r="A3215" s="4" t="s">
        <v>4039</v>
      </c>
      <c r="B3215" s="6" t="s">
        <v>4041</v>
      </c>
      <c r="C3215" s="5" t="str">
        <f>IFERROR(__xludf.DUMMYFUNCTION("GOOGLETRANSLATE(B3215,""en"",""fr"")"),"Les femmes marchent sur le sol dans une rue pendant que beaucoup regardent, puis se précipitent sur la route en talons.")</f>
        <v>Les femmes marchent sur le sol dans une rue pendant que beaucoup regardent, puis se précipitent sur la route en talons.</v>
      </c>
    </row>
    <row r="3216">
      <c r="A3216" s="4" t="s">
        <v>4042</v>
      </c>
      <c r="B3216" s="4" t="s">
        <v>4043</v>
      </c>
      <c r="C3216" s="5" t="str">
        <f>IFERROR(__xludf.DUMMYFUNCTION("GOOGLETRANSLATE(B3216,""en"",""fr"")"),"Une femme athlétique est vue debout devant une piste et commence à courir sur le côté.")</f>
        <v>Une femme athlétique est vue debout devant une piste et commence à courir sur le côté.</v>
      </c>
    </row>
    <row r="3217">
      <c r="A3217" s="4" t="s">
        <v>4042</v>
      </c>
      <c r="B3217" s="4" t="s">
        <v>4044</v>
      </c>
      <c r="C3217" s="5" t="str">
        <f>IFERROR(__xludf.DUMMYFUNCTION("GOOGLETRANSLATE(B3217,""en"",""fr"")"),"Elle court et saute dans un sable tandis qu'un homme enregistre son score.")</f>
        <v>Elle court et saute dans un sable tandis qu'un homme enregistre son score.</v>
      </c>
    </row>
    <row r="3218">
      <c r="A3218" s="4" t="s">
        <v>4042</v>
      </c>
      <c r="B3218" s="4" t="s">
        <v>4045</v>
      </c>
      <c r="C3218" s="5" t="str">
        <f>IFERROR(__xludf.DUMMYFUNCTION("GOOGLETRANSLATE(B3218,""en"",""fr"")"),"Plusieurs autres clips sont montrés des femmes qui coulent sur la piste et sautent dans la fosse.")</f>
        <v>Plusieurs autres clips sont montrés des femmes qui coulent sur la piste et sautent dans la fosse.</v>
      </c>
    </row>
    <row r="3219">
      <c r="A3219" s="4" t="s">
        <v>4046</v>
      </c>
      <c r="B3219" s="4" t="s">
        <v>4047</v>
      </c>
      <c r="C3219" s="5" t="str">
        <f>IFERROR(__xludf.DUMMYFUNCTION("GOOGLETRANSLATE(B3219,""en"",""fr"")"),"Plusieurs personnes sont vues courir autour d'un terrain en jouant un jeu ensemble.")</f>
        <v>Plusieurs personnes sont vues courir autour d'un terrain en jouant un jeu ensemble.</v>
      </c>
    </row>
    <row r="3220">
      <c r="A3220" s="4" t="s">
        <v>4046</v>
      </c>
      <c r="B3220" s="4" t="s">
        <v>4048</v>
      </c>
      <c r="C3220" s="5" t="str">
        <f>IFERROR(__xludf.DUMMYFUNCTION("GOOGLETRANSLATE(B3220,""en"",""fr"")"),"Les joueurs se réjouissent et se parlent et montrent plus de faits saillants du jeu.")</f>
        <v>Les joueurs se réjouissent et se parlent et montrent plus de faits saillants du jeu.</v>
      </c>
    </row>
    <row r="3221">
      <c r="A3221" s="4" t="s">
        <v>4046</v>
      </c>
      <c r="B3221" s="4" t="s">
        <v>4049</v>
      </c>
      <c r="C3221" s="5" t="str">
        <f>IFERROR(__xludf.DUMMYFUNCTION("GOOGLETRANSLATE(B3221,""en"",""fr"")"),"Plus de clips sont montrés des gens qui s'éloignent et jouent au jeu.")</f>
        <v>Plus de clips sont montrés des gens qui s'éloignent et jouent au jeu.</v>
      </c>
    </row>
    <row r="3222">
      <c r="A3222" s="4" t="s">
        <v>4050</v>
      </c>
      <c r="B3222" s="4" t="s">
        <v>1251</v>
      </c>
      <c r="C3222" s="5" t="str">
        <f>IFERROR(__xludf.DUMMYFUNCTION("GOOGLETRANSLATE(B3222,""en"",""fr"")"),"Les crédits du clip sont affichés.")</f>
        <v>Les crédits du clip sont affichés.</v>
      </c>
    </row>
    <row r="3223">
      <c r="A3223" s="4" t="s">
        <v>4050</v>
      </c>
      <c r="B3223" s="4" t="s">
        <v>4051</v>
      </c>
      <c r="C3223" s="5" t="str">
        <f>IFERROR(__xludf.DUMMYFUNCTION("GOOGLETRANSLATE(B3223,""en"",""fr"")"),"Une personne conduit un vélo de terre sur une colline ou un tas de saleté avec l'aide d'une structure inclinée.")</f>
        <v>Une personne conduit un vélo de terre sur une colline ou un tas de saleté avec l'aide d'une structure inclinée.</v>
      </c>
    </row>
    <row r="3224">
      <c r="A3224" s="4" t="s">
        <v>4050</v>
      </c>
      <c r="B3224" s="4" t="s">
        <v>4052</v>
      </c>
      <c r="C3224" s="5" t="str">
        <f>IFERROR(__xludf.DUMMYFUNCTION("GOOGLETRANSLATE(B3224,""en"",""fr"")"),"Une personne se tient, secoue la tête et part sur un vélo de terre.")</f>
        <v>Une personne se tient, secoue la tête et part sur un vélo de terre.</v>
      </c>
    </row>
    <row r="3225">
      <c r="A3225" s="4" t="s">
        <v>4050</v>
      </c>
      <c r="B3225" s="4" t="s">
        <v>4053</v>
      </c>
      <c r="C3225" s="5" t="str">
        <f>IFERROR(__xludf.DUMMYFUNCTION("GOOGLETRANSLATE(B3225,""en"",""fr"")"),"Deux gars s'assoient sur leur vélo de terre et discutent.")</f>
        <v>Deux gars s'assoient sur leur vélo de terre et discutent.</v>
      </c>
    </row>
    <row r="3226">
      <c r="A3226" s="4" t="s">
        <v>4050</v>
      </c>
      <c r="B3226" s="4" t="s">
        <v>4054</v>
      </c>
      <c r="C3226" s="5" t="str">
        <f>IFERROR(__xludf.DUMMYFUNCTION("GOOGLETRANSLATE(B3226,""en"",""fr"")"),"Un gars utilise son pneu arrière pour provoquer la pulvérisation de la saleté.")</f>
        <v>Un gars utilise son pneu arrière pour provoquer la pulvérisation de la saleté.</v>
      </c>
    </row>
    <row r="3227">
      <c r="A3227" s="4" t="s">
        <v>4050</v>
      </c>
      <c r="B3227" s="4" t="s">
        <v>573</v>
      </c>
      <c r="C3227" s="5" t="str">
        <f>IFERROR(__xludf.DUMMYFUNCTION("GOOGLETRANSLATE(B3227,""en"",""fr"")"),"Les crédits de la vidéo sont affichés.")</f>
        <v>Les crédits de la vidéo sont affichés.</v>
      </c>
    </row>
    <row r="3228">
      <c r="A3228" s="4" t="s">
        <v>4055</v>
      </c>
      <c r="B3228" s="4" t="s">
        <v>4056</v>
      </c>
      <c r="C3228" s="5" t="str">
        <f>IFERROR(__xludf.DUMMYFUNCTION("GOOGLETRANSLATE(B3228,""en"",""fr"")"),"Un livre noir intitulé Windmills est à l'écran.")</f>
        <v>Un livre noir intitulé Windmills est à l'écran.</v>
      </c>
    </row>
    <row r="3229">
      <c r="A3229" s="4" t="s">
        <v>4055</v>
      </c>
      <c r="B3229" s="4" t="s">
        <v>4057</v>
      </c>
      <c r="C3229" s="5" t="str">
        <f>IFERROR(__xludf.DUMMYFUNCTION("GOOGLETRANSLATE(B3229,""en"",""fr"")"),"La caméra zoome sur une danseuse.")</f>
        <v>La caméra zoome sur une danseuse.</v>
      </c>
    </row>
    <row r="3230">
      <c r="A3230" s="4" t="s">
        <v>4055</v>
      </c>
      <c r="B3230" s="4" t="s">
        <v>4058</v>
      </c>
      <c r="C3230" s="5" t="str">
        <f>IFERROR(__xludf.DUMMYFUNCTION("GOOGLETRANSLATE(B3230,""en"",""fr"")"),"Vincanitv arrive à l'écran.")</f>
        <v>Vincanitv arrive à l'écran.</v>
      </c>
    </row>
    <row r="3231">
      <c r="A3231" s="4" t="s">
        <v>4055</v>
      </c>
      <c r="B3231" s="4" t="s">
        <v>4059</v>
      </c>
      <c r="C3231" s="5" t="str">
        <f>IFERROR(__xludf.DUMMYFUNCTION("GOOGLETRANSLATE(B3231,""en"",""fr"")"),"L'instructeur parle.")</f>
        <v>L'instructeur parle.</v>
      </c>
    </row>
    <row r="3232">
      <c r="A3232" s="4" t="s">
        <v>4055</v>
      </c>
      <c r="B3232" s="4" t="s">
        <v>4060</v>
      </c>
      <c r="C3232" s="5" t="str">
        <f>IFERROR(__xludf.DUMMYFUNCTION("GOOGLETRANSLATE(B3232,""en"",""fr"")"),"L'instructeur est assis sur le sol en introduisant le mouvement.")</f>
        <v>L'instructeur est assis sur le sol en introduisant le mouvement.</v>
      </c>
    </row>
    <row r="3233">
      <c r="A3233" s="4" t="s">
        <v>4055</v>
      </c>
      <c r="B3233" s="4" t="s">
        <v>4061</v>
      </c>
      <c r="C3233" s="5" t="str">
        <f>IFERROR(__xludf.DUMMYFUNCTION("GOOGLETRANSLATE(B3233,""en"",""fr"")"),"Une photo du déménagement est montrée, puis l'instructeur montre comment le faire.")</f>
        <v>Une photo du déménagement est montrée, puis l'instructeur montre comment le faire.</v>
      </c>
    </row>
    <row r="3234">
      <c r="A3234" s="4" t="s">
        <v>4055</v>
      </c>
      <c r="B3234" s="4" t="s">
        <v>4062</v>
      </c>
      <c r="C3234" s="5" t="str">
        <f>IFERROR(__xludf.DUMMYFUNCTION("GOOGLETRANSLATE(B3234,""en"",""fr"")"),"Il se pousse sur sa main et fait un autre mouvement.")</f>
        <v>Il se pousse sur sa main et fait un autre mouvement.</v>
      </c>
    </row>
    <row r="3235">
      <c r="A3235" s="4" t="s">
        <v>4055</v>
      </c>
      <c r="B3235" s="4" t="s">
        <v>4063</v>
      </c>
      <c r="C3235" s="5" t="str">
        <f>IFERROR(__xludf.DUMMYFUNCTION("GOOGLETRANSLATE(B3235,""en"",""fr"")"),"Il est à genoux pour montrer une autre décision.")</f>
        <v>Il est à genoux pour montrer une autre décision.</v>
      </c>
    </row>
    <row r="3236">
      <c r="A3236" s="4" t="s">
        <v>4055</v>
      </c>
      <c r="B3236" s="4" t="s">
        <v>4064</v>
      </c>
      <c r="C3236" s="5" t="str">
        <f>IFERROR(__xludf.DUMMYFUNCTION("GOOGLETRANSLATE(B3236,""en"",""fr"")"),"L'écran va à une autre photo du même mouvement, mais plus vite cette fois.")</f>
        <v>L'écran va à une autre photo du même mouvement, mais plus vite cette fois.</v>
      </c>
    </row>
    <row r="3237">
      <c r="A3237" s="4" t="s">
        <v>4055</v>
      </c>
      <c r="B3237" s="4" t="s">
        <v>4065</v>
      </c>
      <c r="C3237" s="5" t="str">
        <f>IFERROR(__xludf.DUMMYFUNCTION("GOOGLETRANSLATE(B3237,""en"",""fr"")"),"L'instructeur est debout et parle.")</f>
        <v>L'instructeur est debout et parle.</v>
      </c>
    </row>
    <row r="3238">
      <c r="A3238" s="4" t="s">
        <v>4055</v>
      </c>
      <c r="B3238" s="4" t="s">
        <v>4066</v>
      </c>
      <c r="C3238" s="5" t="str">
        <f>IFERROR(__xludf.DUMMYFUNCTION("GOOGLETRANSLATE(B3238,""en"",""fr"")"),"L'écran se termine par une promo Vincanitv.")</f>
        <v>L'écran se termine par une promo Vincanitv.</v>
      </c>
    </row>
    <row r="3239">
      <c r="A3239" s="4" t="s">
        <v>4067</v>
      </c>
      <c r="B3239" s="4" t="s">
        <v>4068</v>
      </c>
      <c r="C3239" s="5" t="str">
        <f>IFERROR(__xludf.DUMMYFUNCTION("GOOGLETRANSLATE(B3239,""en"",""fr"")"),"Une femme se tient dans un camping.")</f>
        <v>Une femme se tient dans un camping.</v>
      </c>
    </row>
    <row r="3240">
      <c r="A3240" s="4" t="s">
        <v>4067</v>
      </c>
      <c r="B3240" s="4" t="s">
        <v>4069</v>
      </c>
      <c r="C3240" s="5" t="str">
        <f>IFERROR(__xludf.DUMMYFUNCTION("GOOGLETRANSLATE(B3240,""en"",""fr"")"),"Elle s'allume et les jette dans un tas de bois.")</f>
        <v>Elle s'allume et les jette dans un tas de bois.</v>
      </c>
    </row>
    <row r="3241">
      <c r="A3241" s="4" t="s">
        <v>4070</v>
      </c>
      <c r="B3241" s="6" t="s">
        <v>4071</v>
      </c>
      <c r="C3241" s="5" t="str">
        <f>IFERROR(__xludf.DUMMYFUNCTION("GOOGLETRANSLATE(B3241,""en"",""fr"")"),"Un grand groupe de personnes est vu jouer à un jeu de volley Ball les unes avec les autres tout en se déplaçant autour de la plage.")</f>
        <v>Un grand groupe de personnes est vu jouer à un jeu de volley Ball les unes avec les autres tout en se déplaçant autour de la plage.</v>
      </c>
    </row>
    <row r="3242">
      <c r="A3242" s="4" t="s">
        <v>4070</v>
      </c>
      <c r="B3242" s="6" t="s">
        <v>4072</v>
      </c>
      <c r="C3242" s="5" t="str">
        <f>IFERROR(__xludf.DUMMYFUNCTION("GOOGLETRANSLATE(B3242,""en"",""fr"")"),"Plusieurs plans sont montrés des gens qui se promènent les uns des autres en jouant le jeu et quatrième sur le net et s'entraidant.")</f>
        <v>Plusieurs plans sont montrés des gens qui se promènent les uns des autres en jouant le jeu et quatrième sur le net et s'entraidant.</v>
      </c>
    </row>
    <row r="3243">
      <c r="A3243" s="4" t="s">
        <v>4073</v>
      </c>
      <c r="B3243" s="4" t="s">
        <v>4074</v>
      </c>
      <c r="C3243" s="5" t="str">
        <f>IFERROR(__xludf.DUMMYFUNCTION("GOOGLETRANSLATE(B3243,""en"",""fr"")"),"Une annonce pour Howcast est affichée.")</f>
        <v>Une annonce pour Howcast est affichée.</v>
      </c>
    </row>
    <row r="3244">
      <c r="A3244" s="4" t="s">
        <v>4073</v>
      </c>
      <c r="B3244" s="6" t="s">
        <v>4075</v>
      </c>
      <c r="C3244" s="5" t="str">
        <f>IFERROR(__xludf.DUMMYFUNCTION("GOOGLETRANSLATE(B3244,""en"",""fr"")"),"Il est suivi d'une femme dans une chaise qui sourit pour la caméra et d'une femme aux cheveux tressés qui parle.")</f>
        <v>Il est suivi d'une femme dans une chaise qui sourit pour la caméra et d'une femme aux cheveux tressés qui parle.</v>
      </c>
    </row>
    <row r="3245">
      <c r="A3245" s="4" t="s">
        <v>4073</v>
      </c>
      <c r="B3245" s="6" t="s">
        <v>4076</v>
      </c>
      <c r="C3245" s="5" t="str">
        <f>IFERROR(__xludf.DUMMYFUNCTION("GOOGLETRANSLATE(B3245,""en"",""fr"")"),"La femme en rouge applique divers maquillage à la femme assise, expliquant le processus au fur et à mesure.")</f>
        <v>La femme en rouge applique divers maquillage à la femme assise, expliquant le processus au fur et à mesure.</v>
      </c>
    </row>
    <row r="3246">
      <c r="A3246" s="4" t="s">
        <v>4073</v>
      </c>
      <c r="B3246" s="4" t="s">
        <v>4077</v>
      </c>
      <c r="C3246" s="5" t="str">
        <f>IFERROR(__xludf.DUMMYFUNCTION("GOOGLETRANSLATE(B3246,""en"",""fr"")"),"Quand elle a fini, elle parle à nouveau à la caméra.")</f>
        <v>Quand elle a fini, elle parle à nouveau à la caméra.</v>
      </c>
    </row>
    <row r="3247">
      <c r="A3247" s="4" t="s">
        <v>4078</v>
      </c>
      <c r="B3247" s="4" t="s">
        <v>4079</v>
      </c>
      <c r="C3247" s="5" t="str">
        <f>IFERROR(__xludf.DUMMYFUNCTION("GOOGLETRANSLATE(B3247,""en"",""fr"")"),"Un homme boit du café puis joue de la guitare à l'intérieur.")</f>
        <v>Un homme boit du café puis joue de la guitare à l'intérieur.</v>
      </c>
    </row>
    <row r="3248">
      <c r="A3248" s="4" t="s">
        <v>4078</v>
      </c>
      <c r="B3248" s="4" t="s">
        <v>4080</v>
      </c>
      <c r="C3248" s="5" t="str">
        <f>IFERROR(__xludf.DUMMYFUNCTION("GOOGLETRANSLATE(B3248,""en"",""fr"")"),"L'homme fait une pause et prend son café.")</f>
        <v>L'homme fait une pause et prend son café.</v>
      </c>
    </row>
    <row r="3249">
      <c r="A3249" s="4" t="s">
        <v>4078</v>
      </c>
      <c r="B3249" s="4" t="s">
        <v>4081</v>
      </c>
      <c r="C3249" s="5" t="str">
        <f>IFERROR(__xludf.DUMMYFUNCTION("GOOGLETRANSLATE(B3249,""en"",""fr"")"),"Ensuite, l'homme ferme une tasse de café et une guitare dans la rue.")</f>
        <v>Ensuite, l'homme ferme une tasse de café et une guitare dans la rue.</v>
      </c>
    </row>
    <row r="3250">
      <c r="A3250" s="4" t="s">
        <v>4078</v>
      </c>
      <c r="B3250" s="4" t="s">
        <v>4082</v>
      </c>
      <c r="C3250" s="5" t="str">
        <f>IFERROR(__xludf.DUMMYFUNCTION("GOOGLETRANSLATE(B3250,""en"",""fr"")"),"Après, l'homme joue de la guitare à l'intérieur sur le devant un public.")</f>
        <v>Après, l'homme joue de la guitare à l'intérieur sur le devant un public.</v>
      </c>
    </row>
    <row r="3251">
      <c r="A3251" s="4" t="s">
        <v>4078</v>
      </c>
      <c r="B3251" s="4" t="s">
        <v>4083</v>
      </c>
      <c r="C3251" s="5" t="str">
        <f>IFERROR(__xludf.DUMMYFUNCTION("GOOGLETRANSLATE(B3251,""en"",""fr"")"),"Ensuite, l'homme joue à l'harmonica et à la guitare en même temps.")</f>
        <v>Ensuite, l'homme joue à l'harmonica et à la guitare en même temps.</v>
      </c>
    </row>
    <row r="3252">
      <c r="A3252" s="4" t="s">
        <v>4084</v>
      </c>
      <c r="B3252" s="6" t="s">
        <v>4085</v>
      </c>
      <c r="C3252" s="5" t="str">
        <f>IFERROR(__xludf.DUMMYFUNCTION("GOOGLETRANSLATE(B3252,""en"",""fr"")"),"Un garçon est vu parler à la caméra tenant deux ballons de basket et le mène en les tenant sur son visage.")</f>
        <v>Un garçon est vu parler à la caméra tenant deux ballons de basket et le mène en les tenant sur son visage.</v>
      </c>
    </row>
    <row r="3253">
      <c r="A3253" s="4" t="s">
        <v>4084</v>
      </c>
      <c r="B3253" s="6" t="s">
        <v>4086</v>
      </c>
      <c r="C3253" s="5" t="str">
        <f>IFERROR(__xludf.DUMMYFUNCTION("GOOGLETRANSLATE(B3253,""en"",""fr"")"),"Le garçon se déplace ensuite de haut en bas sur le terrain tout en dribblant les balles et tire un panier à la fin.")</f>
        <v>Le garçon se déplace ensuite de haut en bas sur le terrain tout en dribblant les balles et tire un panier à la fin.</v>
      </c>
    </row>
    <row r="3254">
      <c r="A3254" s="4" t="s">
        <v>4087</v>
      </c>
      <c r="B3254" s="6" t="s">
        <v>4088</v>
      </c>
      <c r="C3254" s="5" t="str">
        <f>IFERROR(__xludf.DUMMYFUNCTION("GOOGLETRANSLATE(B3254,""en"",""fr"")"),"Une intro mène à plusieurs clips de personnes debout en cercle et jetant un objet au loin et se termine en s'éloignant.")</f>
        <v>Une intro mène à plusieurs clips de personnes debout en cercle et jetant un objet au loin et se termine en s'éloignant.</v>
      </c>
    </row>
    <row r="3255">
      <c r="A3255" s="4" t="s">
        <v>4087</v>
      </c>
      <c r="B3255" s="6" t="s">
        <v>4089</v>
      </c>
      <c r="C3255" s="5" t="str">
        <f>IFERROR(__xludf.DUMMYFUNCTION("GOOGLETRANSLATE(B3255,""en"",""fr"")"),"Plusieurs autres personnes sont vues s'arrêter dans le cercle en jetant des objets au loin et en applaudissant les uns avec les autres.")</f>
        <v>Plusieurs autres personnes sont vues s'arrêter dans le cercle en jetant des objets au loin et en applaudissant les uns avec les autres.</v>
      </c>
    </row>
    <row r="3256">
      <c r="A3256" s="4" t="s">
        <v>4090</v>
      </c>
      <c r="B3256" s="4" t="s">
        <v>4091</v>
      </c>
      <c r="C3256" s="5" t="str">
        <f>IFERROR(__xludf.DUMMYFUNCTION("GOOGLETRANSLATE(B3256,""en"",""fr"")"),"Un homme est vu tenir une corde et parler à la caméra.")</f>
        <v>Un homme est vu tenir une corde et parler à la caméra.</v>
      </c>
    </row>
    <row r="3257">
      <c r="A3257" s="4" t="s">
        <v>4090</v>
      </c>
      <c r="B3257" s="4" t="s">
        <v>4092</v>
      </c>
      <c r="C3257" s="5" t="str">
        <f>IFERROR(__xludf.DUMMYFUNCTION("GOOGLETRANSLATE(B3257,""en"",""fr"")"),"Il tient sa ceinture tout en parlant à la caméra et commence à grimper le mur.")</f>
        <v>Il tient sa ceinture tout en parlant à la caméra et commence à grimper le mur.</v>
      </c>
    </row>
    <row r="3258">
      <c r="A3258" s="4" t="s">
        <v>4090</v>
      </c>
      <c r="B3258" s="4" t="s">
        <v>4093</v>
      </c>
      <c r="C3258" s="5" t="str">
        <f>IFERROR(__xludf.DUMMYFUNCTION("GOOGLETRANSLATE(B3258,""en"",""fr"")"),"L'homme monte tout le long du mur et se termine en regardant de la caméra.")</f>
        <v>L'homme monte tout le long du mur et se termine en regardant de la caméra.</v>
      </c>
    </row>
    <row r="3259">
      <c r="A3259" s="4" t="s">
        <v>4094</v>
      </c>
      <c r="B3259" s="4" t="s">
        <v>4095</v>
      </c>
      <c r="C3259" s="5" t="str">
        <f>IFERROR(__xludf.DUMMYFUNCTION("GOOGLETRANSLATE(B3259,""en"",""fr"")"),"Nous voyons un écran d'ouverture bleu avec un verre.")</f>
        <v>Nous voyons un écran d'ouverture bleu avec un verre.</v>
      </c>
    </row>
    <row r="3260">
      <c r="A3260" s="4" t="s">
        <v>4094</v>
      </c>
      <c r="B3260" s="4" t="s">
        <v>4096</v>
      </c>
      <c r="C3260" s="5" t="str">
        <f>IFERROR(__xludf.DUMMYFUNCTION("GOOGLETRANSLATE(B3260,""en"",""fr"")"),"Nous voyons une dame mélangeant des boissons derrière un bar.")</f>
        <v>Nous voyons une dame mélangeant des boissons derrière un bar.</v>
      </c>
    </row>
    <row r="3261">
      <c r="A3261" s="4" t="s">
        <v>4094</v>
      </c>
      <c r="B3261" s="4" t="s">
        <v>4097</v>
      </c>
      <c r="C3261" s="5" t="str">
        <f>IFERROR(__xludf.DUMMYFUNCTION("GOOGLETRANSLATE(B3261,""en"",""fr"")"),"La dame ajoute de la glace et trois coups d'alcool à un verre.")</f>
        <v>La dame ajoute de la glace et trois coups d'alcool à un verre.</v>
      </c>
    </row>
    <row r="3262">
      <c r="A3262" s="4" t="s">
        <v>4094</v>
      </c>
      <c r="B3262" s="4" t="s">
        <v>4098</v>
      </c>
      <c r="C3262" s="5" t="str">
        <f>IFERROR(__xludf.DUMMYFUNCTION("GOOGLETRANSLATE(B3262,""en"",""fr"")"),"La dame verse quelque chose de rouge dans le verre.")</f>
        <v>La dame verse quelque chose de rouge dans le verre.</v>
      </c>
    </row>
    <row r="3263">
      <c r="A3263" s="4" t="s">
        <v>4094</v>
      </c>
      <c r="B3263" s="4" t="s">
        <v>4099</v>
      </c>
      <c r="C3263" s="5" t="str">
        <f>IFERROR(__xludf.DUMMYFUNCTION("GOOGLETRANSLATE(B3263,""en"",""fr"")"),"La dame ajoute quelque chose qui forme le distributeur et une boîte.")</f>
        <v>La dame ajoute quelque chose qui forme le distributeur et une boîte.</v>
      </c>
    </row>
    <row r="3264">
      <c r="A3264" s="4" t="s">
        <v>4094</v>
      </c>
      <c r="B3264" s="4" t="s">
        <v>4100</v>
      </c>
      <c r="C3264" s="5" t="str">
        <f>IFERROR(__xludf.DUMMYFUNCTION("GOOGLETRANSLATE(B3264,""en"",""fr"")"),"La dame remue puis pousse la boisson vers l'avant.")</f>
        <v>La dame remue puis pousse la boisson vers l'avant.</v>
      </c>
    </row>
    <row r="3265">
      <c r="A3265" s="4" t="s">
        <v>4094</v>
      </c>
      <c r="B3265" s="4" t="s">
        <v>4101</v>
      </c>
      <c r="C3265" s="5" t="str">
        <f>IFERROR(__xludf.DUMMYFUNCTION("GOOGLETRANSLATE(B3265,""en"",""fr"")"),"Nous voyons un écran de fermeture rouge et un long écran noir.")</f>
        <v>Nous voyons un écran de fermeture rouge et un long écran noir.</v>
      </c>
    </row>
    <row r="3266">
      <c r="A3266" s="4" t="s">
        <v>4102</v>
      </c>
      <c r="B3266" s="6" t="s">
        <v>4103</v>
      </c>
      <c r="C3266" s="5" t="str">
        <f>IFERROR(__xludf.DUMMYFUNCTION("GOOGLETRANSLATE(B3266,""en"",""fr"")"),"Diverses plans de trophées sont présentés avec des filles interviewant la caméra ainsi que des mouvements de gymnastique.")</f>
        <v>Diverses plans de trophées sont présentés avec des filles interviewant la caméra ainsi que des mouvements de gymnastique.</v>
      </c>
    </row>
    <row r="3267">
      <c r="A3267" s="4" t="s">
        <v>4102</v>
      </c>
      <c r="B3267" s="6" t="s">
        <v>4104</v>
      </c>
      <c r="C3267" s="5" t="str">
        <f>IFERROR(__xludf.DUMMYFUNCTION("GOOGLETRANSLATE(B3267,""en"",""fr"")"),"Un instructeur montre ensuite aux filles comment effectuer un coup correctement et fait grimper une autre fille sur leurs mains.")</f>
        <v>Un instructeur montre ensuite aux filles comment effectuer un coup correctement et fait grimper une autre fille sur leurs mains.</v>
      </c>
    </row>
    <row r="3268">
      <c r="A3268" s="4" t="s">
        <v>4102</v>
      </c>
      <c r="B3268" s="6" t="s">
        <v>4105</v>
      </c>
      <c r="C3268" s="5" t="str">
        <f>IFERROR(__xludf.DUMMYFUNCTION("GOOGLETRANSLATE(B3268,""en"",""fr"")"),"La fille effectue continuellement des cascades avec l'aide des instructeurs et une autre fille est montrée à la caméra.")</f>
        <v>La fille effectue continuellement des cascades avec l'aide des instructeurs et une autre fille est montrée à la caméra.</v>
      </c>
    </row>
    <row r="3269">
      <c r="A3269" s="4" t="s">
        <v>4106</v>
      </c>
      <c r="B3269" s="6" t="s">
        <v>4107</v>
      </c>
      <c r="C3269" s="5" t="str">
        <f>IFERROR(__xludf.DUMMYFUNCTION("GOOGLETRANSLATE(B3269,""en"",""fr"")"),"Il y a un journaliste vêtu d'une robe à fleurs roses et d'une veste blanche donnant une mise à jour sur les nouvelles sportives.")</f>
        <v>Il y a un journaliste vêtu d'une robe à fleurs roses et d'une veste blanche donnant une mise à jour sur les nouvelles sportives.</v>
      </c>
    </row>
    <row r="3270">
      <c r="A3270" s="4" t="s">
        <v>4106</v>
      </c>
      <c r="B3270" s="4" t="s">
        <v>4108</v>
      </c>
      <c r="C3270" s="5" t="str">
        <f>IFERROR(__xludf.DUMMYFUNCTION("GOOGLETRANSLATE(B3270,""en"",""fr"")"),"Elle montre des événements des Jeux paralympiques de Londres.")</f>
        <v>Elle montre des événements des Jeux paralympiques de Londres.</v>
      </c>
    </row>
    <row r="3271">
      <c r="A3271" s="4" t="s">
        <v>4106</v>
      </c>
      <c r="B3271" s="6" t="s">
        <v>4109</v>
      </c>
      <c r="C3271" s="5" t="str">
        <f>IFERROR(__xludf.DUMMYFUNCTION("GOOGLETRANSLATE(B3271,""en"",""fr"")"),"Elle montre aux téléspectateurs les différents événements tels que le tournage, la natation et la course et les médailles d'or qui ont été remportées dans ces événements.")</f>
        <v>Elle montre aux téléspectateurs les différents événements tels que le tournage, la natation et la course et les médailles d'or qui ont été remportées dans ces événements.</v>
      </c>
    </row>
    <row r="3272">
      <c r="A3272" s="4" t="s">
        <v>4106</v>
      </c>
      <c r="B3272" s="4" t="s">
        <v>4110</v>
      </c>
      <c r="C3272" s="5" t="str">
        <f>IFERROR(__xludf.DUMMYFUNCTION("GOOGLETRANSLATE(B3272,""en"",""fr"")"),"Bien que les nouvelles soient diffusées, il y a des légendes en bas des événements actuels.")</f>
        <v>Bien que les nouvelles soient diffusées, il y a des légendes en bas des événements actuels.</v>
      </c>
    </row>
    <row r="3273">
      <c r="A3273" s="4" t="s">
        <v>4106</v>
      </c>
      <c r="B3273" s="6" t="s">
        <v>4111</v>
      </c>
      <c r="C3273" s="5" t="str">
        <f>IFERROR(__xludf.DUMMYFUNCTION("GOOGLETRANSLATE(B3273,""en"",""fr"")"),"Elle montre également aux téléspectateurs toutes les médailles remportées par tous les pays qui ont participé aux Jeux paralympiques.")</f>
        <v>Elle montre également aux téléspectateurs toutes les médailles remportées par tous les pays qui ont participé aux Jeux paralympiques.</v>
      </c>
    </row>
    <row r="3274">
      <c r="A3274" s="4" t="s">
        <v>4112</v>
      </c>
      <c r="B3274" s="4" t="s">
        <v>4113</v>
      </c>
      <c r="C3274" s="5" t="str">
        <f>IFERROR(__xludf.DUMMYFUNCTION("GOOGLETRANSLATE(B3274,""en"",""fr"")"),"Une femme dirige un chemin de terre.")</f>
        <v>Une femme dirige un chemin de terre.</v>
      </c>
    </row>
    <row r="3275">
      <c r="A3275" s="4" t="s">
        <v>4112</v>
      </c>
      <c r="B3275" s="4" t="s">
        <v>4114</v>
      </c>
      <c r="C3275" s="5" t="str">
        <f>IFERROR(__xludf.DUMMYFUNCTION("GOOGLETRANSLATE(B3275,""en"",""fr"")"),"Elle utilise un poteau pour sauter sur une faisceau de route.")</f>
        <v>Elle utilise un poteau pour sauter sur une faisceau de route.</v>
      </c>
    </row>
    <row r="3276">
      <c r="A3276" s="4" t="s">
        <v>4115</v>
      </c>
      <c r="B3276" s="4" t="s">
        <v>4116</v>
      </c>
      <c r="C3276" s="5" t="str">
        <f>IFERROR(__xludf.DUMMYFUNCTION("GOOGLETRANSLATE(B3276,""en"",""fr"")"),"Une personne est représentée dans un liquide de pulvérisation de mouvement rapide partout dans une clôture dans une cour arrière.")</f>
        <v>Une personne est représentée dans un liquide de pulvérisation de mouvement rapide partout dans une clôture dans une cour arrière.</v>
      </c>
    </row>
    <row r="3277">
      <c r="A3277" s="4" t="s">
        <v>4115</v>
      </c>
      <c r="B3277" s="4" t="s">
        <v>4117</v>
      </c>
      <c r="C3277" s="5" t="str">
        <f>IFERROR(__xludf.DUMMYFUNCTION("GOOGLETRANSLATE(B3277,""en"",""fr"")"),"La personne continue de pulvériser et se termine avec la caméra s'estompant en noir.")</f>
        <v>La personne continue de pulvériser et se termine avec la caméra s'estompant en noir.</v>
      </c>
    </row>
    <row r="3278">
      <c r="A3278" s="4" t="s">
        <v>4118</v>
      </c>
      <c r="B3278" s="4" t="s">
        <v>4119</v>
      </c>
      <c r="C3278" s="5" t="str">
        <f>IFERROR(__xludf.DUMMYFUNCTION("GOOGLETRANSLATE(B3278,""en"",""fr"")"),"La vidéo commence par une diapositive de titre.")</f>
        <v>La vidéo commence par une diapositive de titre.</v>
      </c>
    </row>
    <row r="3279">
      <c r="A3279" s="4" t="s">
        <v>4118</v>
      </c>
      <c r="B3279" s="4" t="s">
        <v>4120</v>
      </c>
      <c r="C3279" s="5" t="str">
        <f>IFERROR(__xludf.DUMMYFUNCTION("GOOGLETRANSLATE(B3279,""en"",""fr"")"),"Une femme et un enfant sont dans un parc avec une corde de saut.")</f>
        <v>Une femme et un enfant sont dans un parc avec une corde de saut.</v>
      </c>
    </row>
    <row r="3280">
      <c r="A3280" s="4" t="s">
        <v>4118</v>
      </c>
      <c r="B3280" s="6" t="s">
        <v>4121</v>
      </c>
      <c r="C3280" s="5" t="str">
        <f>IFERROR(__xludf.DUMMYFUNCTION("GOOGLETRANSLATE(B3280,""en"",""fr"")"),"La femme commence à montrer comment utiliser la corde de saut pendant que l'enfant tente de la copier.")</f>
        <v>La femme commence à montrer comment utiliser la corde de saut pendant que l'enfant tente de la copier.</v>
      </c>
    </row>
    <row r="3281">
      <c r="A3281" s="4" t="s">
        <v>4118</v>
      </c>
      <c r="B3281" s="4" t="s">
        <v>4122</v>
      </c>
      <c r="C3281" s="5" t="str">
        <f>IFERROR(__xludf.DUMMYFUNCTION("GOOGLETRANSLATE(B3281,""en"",""fr"")"),"À un moment donné, une autre femme en arrière-plan traverse l'écran pendant que Jump est en train de sauter.")</f>
        <v>À un moment donné, une autre femme en arrière-plan traverse l'écran pendant que Jump est en train de sauter.</v>
      </c>
    </row>
    <row r="3282">
      <c r="A3282" s="4" t="s">
        <v>4118</v>
      </c>
      <c r="B3282" s="4" t="s">
        <v>4123</v>
      </c>
      <c r="C3282" s="5" t="str">
        <f>IFERROR(__xludf.DUMMYFUNCTION("GOOGLETRANSLATE(B3282,""en"",""fr"")"),"La vidéo se termine avec les deux femmes parlant à la caméra et à une séquence de titre finale.")</f>
        <v>La vidéo se termine avec les deux femmes parlant à la caméra et à une séquence de titre finale.</v>
      </c>
    </row>
    <row r="3283">
      <c r="A3283" s="4" t="s">
        <v>4124</v>
      </c>
      <c r="B3283" s="4" t="s">
        <v>4125</v>
      </c>
      <c r="C3283" s="5" t="str">
        <f>IFERROR(__xludf.DUMMYFUNCTION("GOOGLETRANSLATE(B3283,""en"",""fr"")"),"Un bébé est assis dans une balançoire.")</f>
        <v>Un bébé est assis dans une balançoire.</v>
      </c>
    </row>
    <row r="3284">
      <c r="A3284" s="4" t="s">
        <v>4124</v>
      </c>
      <c r="B3284" s="4" t="s">
        <v>4126</v>
      </c>
      <c r="C3284" s="5" t="str">
        <f>IFERROR(__xludf.DUMMYFUNCTION("GOOGLETRANSLATE(B3284,""en"",""fr"")"),"Le bébé rit et secoue les pieds.")</f>
        <v>Le bébé rit et secoue les pieds.</v>
      </c>
    </row>
    <row r="3285">
      <c r="A3285" s="4" t="s">
        <v>4124</v>
      </c>
      <c r="B3285" s="4" t="s">
        <v>4127</v>
      </c>
      <c r="C3285" s="5" t="str">
        <f>IFERROR(__xludf.DUMMYFUNCTION("GOOGLETRANSLATE(B3285,""en"",""fr"")"),"Le bébé se tourne sur le côté du swing.")</f>
        <v>Le bébé se tourne sur le côté du swing.</v>
      </c>
    </row>
    <row r="3286">
      <c r="A3286" s="4" t="s">
        <v>4128</v>
      </c>
      <c r="B3286" s="4" t="s">
        <v>4129</v>
      </c>
      <c r="C3286" s="5" t="str">
        <f>IFERROR(__xludf.DUMMYFUNCTION("GOOGLETRANSLATE(B3286,""en"",""fr"")"),"Plusieurs nageurs passent les uns les autres, serrant la main.")</f>
        <v>Plusieurs nageurs passent les uns les autres, serrant la main.</v>
      </c>
    </row>
    <row r="3287">
      <c r="A3287" s="4" t="s">
        <v>4128</v>
      </c>
      <c r="B3287" s="4" t="s">
        <v>4130</v>
      </c>
      <c r="C3287" s="5" t="str">
        <f>IFERROR(__xludf.DUMMYFUNCTION("GOOGLETRANSLATE(B3287,""en"",""fr"")"),"Ils se rassemblent dans la piscine, puis s'engagent dans un jeu de water-polo.")</f>
        <v>Ils se rassemblent dans la piscine, puis s'engagent dans un jeu de water-polo.</v>
      </c>
    </row>
    <row r="3288">
      <c r="A3288" s="4" t="s">
        <v>4128</v>
      </c>
      <c r="B3288" s="4" t="s">
        <v>4131</v>
      </c>
      <c r="C3288" s="5" t="str">
        <f>IFERROR(__xludf.DUMMYFUNCTION("GOOGLETRANSLATE(B3288,""en"",""fr"")"),"Ils ont frappé le ballon d'avant en arrière, essayant de le mettre dans le filet.")</f>
        <v>Ils ont frappé le ballon d'avant en arrière, essayant de le mettre dans le filet.</v>
      </c>
    </row>
    <row r="3289">
      <c r="A3289" s="4" t="s">
        <v>4132</v>
      </c>
      <c r="B3289" s="4" t="s">
        <v>4133</v>
      </c>
      <c r="C3289" s="5" t="str">
        <f>IFERROR(__xludf.DUMMYFUNCTION("GOOGLETRANSLATE(B3289,""en"",""fr"")"),"Un homme en chemise rouge parle à la caméra.")</f>
        <v>Un homme en chemise rouge parle à la caméra.</v>
      </c>
    </row>
    <row r="3290">
      <c r="A3290" s="4" t="s">
        <v>4132</v>
      </c>
      <c r="B3290" s="4" t="s">
        <v>4134</v>
      </c>
      <c r="C3290" s="5" t="str">
        <f>IFERROR(__xludf.DUMMYFUNCTION("GOOGLETRANSLATE(B3290,""en"",""fr"")"),"Il commence à frapper une balle contre un mur devant lui.")</f>
        <v>Il commence à frapper une balle contre un mur devant lui.</v>
      </c>
    </row>
    <row r="3291">
      <c r="A3291" s="4" t="s">
        <v>4132</v>
      </c>
      <c r="B3291" s="4" t="s">
        <v>4135</v>
      </c>
      <c r="C3291" s="5" t="str">
        <f>IFERROR(__xludf.DUMMYFUNCTION("GOOGLETRANSLATE(B3291,""en"",""fr"")"),"Il s'arrête et se dirige vers la caméra.")</f>
        <v>Il s'arrête et se dirige vers la caméra.</v>
      </c>
    </row>
    <row r="3292">
      <c r="A3292" s="4" t="s">
        <v>4136</v>
      </c>
      <c r="B3292" s="4" t="s">
        <v>4137</v>
      </c>
      <c r="C3292" s="5" t="str">
        <f>IFERROR(__xludf.DUMMYFUNCTION("GOOGLETRANSLATE(B3292,""en"",""fr"")"),"Un gros plan d'un panneau est montré suivi d'une personne qui trempe de la peinture.")</f>
        <v>Un gros plan d'un panneau est montré suivi d'une personne qui trempe de la peinture.</v>
      </c>
    </row>
    <row r="3293">
      <c r="A3293" s="4" t="s">
        <v>4136</v>
      </c>
      <c r="B3293" s="4" t="s">
        <v>4138</v>
      </c>
      <c r="C3293" s="5" t="str">
        <f>IFERROR(__xludf.DUMMYFUNCTION("GOOGLETRANSLATE(B3293,""en"",""fr"")"),"La personne est ensuite vue en train de répandre de la peinture tout autour de la zone tandis qu'un autre sourit à la caméra.")</f>
        <v>La personne est ensuite vue en train de répandre de la peinture tout autour de la zone tandis qu'un autre sourit à la caméra.</v>
      </c>
    </row>
    <row r="3294">
      <c r="A3294" s="4" t="s">
        <v>4136</v>
      </c>
      <c r="B3294" s="4" t="s">
        <v>4139</v>
      </c>
      <c r="C3294" s="5" t="str">
        <f>IFERROR(__xludf.DUMMYFUNCTION("GOOGLETRANSLATE(B3294,""en"",""fr"")"),"Les hommes continuent de poser du plâtre sur les murs.")</f>
        <v>Les hommes continuent de poser du plâtre sur les murs.</v>
      </c>
    </row>
    <row r="3295">
      <c r="A3295" s="4" t="s">
        <v>4140</v>
      </c>
      <c r="B3295" s="4" t="s">
        <v>4141</v>
      </c>
      <c r="C3295" s="5" t="str">
        <f>IFERROR(__xludf.DUMMYFUNCTION("GOOGLETRANSLATE(B3295,""en"",""fr"")"),"Un homme nettoie la neige qui est tombée sur sa voiture.")</f>
        <v>Un homme nettoie la neige qui est tombée sur sa voiture.</v>
      </c>
    </row>
    <row r="3296">
      <c r="A3296" s="4" t="s">
        <v>4140</v>
      </c>
      <c r="B3296" s="4" t="s">
        <v>4142</v>
      </c>
      <c r="C3296" s="5" t="str">
        <f>IFERROR(__xludf.DUMMYFUNCTION("GOOGLETRANSLATE(B3296,""en"",""fr"")"),"Il se tient sur la route où sa voiture est garée.")</f>
        <v>Il se tient sur la route où sa voiture est garée.</v>
      </c>
    </row>
    <row r="3297">
      <c r="A3297" s="4" t="s">
        <v>4140</v>
      </c>
      <c r="B3297" s="4" t="s">
        <v>4143</v>
      </c>
      <c r="C3297" s="5" t="str">
        <f>IFERROR(__xludf.DUMMYFUNCTION("GOOGLETRANSLATE(B3297,""en"",""fr"")"),"Il efface la neige du haut de sa voiture en la grattant.")</f>
        <v>Il efface la neige du haut de sa voiture en la grattant.</v>
      </c>
    </row>
    <row r="3298">
      <c r="A3298" s="4" t="s">
        <v>4140</v>
      </c>
      <c r="B3298" s="4" t="s">
        <v>4144</v>
      </c>
      <c r="C3298" s="5" t="str">
        <f>IFERROR(__xludf.DUMMYFUNCTION("GOOGLETRANSLATE(B3298,""en"",""fr"")"),"Il nettoie ensuite les côtés de sa voiture.")</f>
        <v>Il nettoie ensuite les côtés de sa voiture.</v>
      </c>
    </row>
    <row r="3299">
      <c r="A3299" s="4" t="s">
        <v>4140</v>
      </c>
      <c r="B3299" s="4" t="s">
        <v>4145</v>
      </c>
      <c r="C3299" s="5" t="str">
        <f>IFERROR(__xludf.DUMMYFUNCTION("GOOGLETRANSLATE(B3299,""en"",""fr"")"),"Il donne un coup de pouce à quelqu'un alors qu'il nettoie la voiture.")</f>
        <v>Il donne un coup de pouce à quelqu'un alors qu'il nettoie la voiture.</v>
      </c>
    </row>
    <row r="3300">
      <c r="A3300" s="4" t="s">
        <v>4140</v>
      </c>
      <c r="B3300" s="4" t="s">
        <v>4146</v>
      </c>
      <c r="C3300" s="5" t="str">
        <f>IFERROR(__xludf.DUMMYFUNCTION("GOOGLETRANSLATE(B3300,""en"",""fr"")"),"Il se déplace ensuite à l'avant de la voiture pour nettoyer le pare-brise.")</f>
        <v>Il se déplace ensuite à l'avant de la voiture pour nettoyer le pare-brise.</v>
      </c>
    </row>
    <row r="3301">
      <c r="A3301" s="4" t="s">
        <v>4147</v>
      </c>
      <c r="B3301" s="4" t="s">
        <v>4148</v>
      </c>
      <c r="C3301" s="5" t="str">
        <f>IFERROR(__xludf.DUMMYFUNCTION("GOOGLETRANSLATE(B3301,""en"",""fr"")"),"Un gros plan d'un narguilé est vu qui mène à un autre homme.")</f>
        <v>Un gros plan d'un narguilé est vu qui mène à un autre homme.</v>
      </c>
    </row>
    <row r="3302">
      <c r="A3302" s="4" t="s">
        <v>4147</v>
      </c>
      <c r="B3302" s="4" t="s">
        <v>4149</v>
      </c>
      <c r="C3302" s="5" t="str">
        <f>IFERROR(__xludf.DUMMYFUNCTION("GOOGLETRANSLATE(B3302,""en"",""fr"")"),"L'homme attrape le tuyau et prend un coup du narguilé.")</f>
        <v>L'homme attrape le tuyau et prend un coup du narguilé.</v>
      </c>
    </row>
    <row r="3303">
      <c r="A3303" s="4" t="s">
        <v>4147</v>
      </c>
      <c r="B3303" s="4" t="s">
        <v>4150</v>
      </c>
      <c r="C3303" s="5" t="str">
        <f>IFERROR(__xludf.DUMMYFUNCTION("GOOGLETRANSLATE(B3303,""en"",""fr"")"),"L'homme souffle ensuite de la fumée dans l'objectif de la caméra.")</f>
        <v>L'homme souffle ensuite de la fumée dans l'objectif de la caméra.</v>
      </c>
    </row>
    <row r="3304">
      <c r="A3304" s="4" t="s">
        <v>4151</v>
      </c>
      <c r="B3304" s="4" t="s">
        <v>4152</v>
      </c>
      <c r="C3304" s="5" t="str">
        <f>IFERROR(__xludf.DUMMYFUNCTION("GOOGLETRANSLATE(B3304,""en"",""fr"")"),"L'homme fait rebondir le ballon et le frappe avec sa raquette.")</f>
        <v>L'homme fait rebondir le ballon et le frappe avec sa raquette.</v>
      </c>
    </row>
    <row r="3305">
      <c r="A3305" s="4" t="s">
        <v>4151</v>
      </c>
      <c r="B3305" s="4" t="s">
        <v>4153</v>
      </c>
      <c r="C3305" s="5" t="str">
        <f>IFERROR(__xludf.DUMMYFUNCTION("GOOGLETRANSLATE(B3305,""en"",""fr"")"),"L'homme fait rebondir le ballon et le frappe sur le terrain.")</f>
        <v>L'homme fait rebondir le ballon et le frappe sur le terrain.</v>
      </c>
    </row>
    <row r="3306">
      <c r="A3306" s="4" t="s">
        <v>4151</v>
      </c>
      <c r="B3306" s="4" t="s">
        <v>4154</v>
      </c>
      <c r="C3306" s="5" t="str">
        <f>IFERROR(__xludf.DUMMYFUNCTION("GOOGLETRANSLATE(B3306,""en"",""fr"")"),"L'homme rebondit et frappe ensuite une balle de plus.")</f>
        <v>L'homme rebondit et frappe ensuite une balle de plus.</v>
      </c>
    </row>
    <row r="3307">
      <c r="A3307" s="4" t="s">
        <v>4155</v>
      </c>
      <c r="B3307" s="6" t="s">
        <v>4156</v>
      </c>
      <c r="C3307" s="5" t="str">
        <f>IFERROR(__xludf.DUMMYFUNCTION("GOOGLETRANSLATE(B3307,""en"",""fr"")"),"Un homme athlétique est vu courir dans une rue au ralenti tandis que la caméra se déplace autour de son corps.")</f>
        <v>Un homme athlétique est vu courir dans une rue au ralenti tandis que la caméra se déplace autour de son corps.</v>
      </c>
    </row>
    <row r="3308">
      <c r="A3308" s="4" t="s">
        <v>4155</v>
      </c>
      <c r="B3308" s="4" t="s">
        <v>4157</v>
      </c>
      <c r="C3308" s="5" t="str">
        <f>IFERROR(__xludf.DUMMYFUNCTION("GOOGLETRANSLATE(B3308,""en"",""fr"")"),"La vidéo se fige ensuite sur ses pieds pour montrer du texte et se termine avec lui tenant ses bras en l'air.")</f>
        <v>La vidéo se fige ensuite sur ses pieds pour montrer du texte et se termine avec lui tenant ses bras en l'air.</v>
      </c>
    </row>
    <row r="3309">
      <c r="A3309" s="4" t="s">
        <v>4158</v>
      </c>
      <c r="B3309" s="4" t="s">
        <v>4159</v>
      </c>
      <c r="C3309" s="5" t="str">
        <f>IFERROR(__xludf.DUMMYFUNCTION("GOOGLETRANSLATE(B3309,""en"",""fr"")"),"Une femme est vue en parlant à la caméra tout en tenant une boîte et un journal.")</f>
        <v>Une femme est vue en parlant à la caméra tout en tenant une boîte et un journal.</v>
      </c>
    </row>
    <row r="3310">
      <c r="A3310" s="4" t="s">
        <v>4158</v>
      </c>
      <c r="B3310" s="4" t="s">
        <v>4160</v>
      </c>
      <c r="C3310" s="5" t="str">
        <f>IFERROR(__xludf.DUMMYFUNCTION("GOOGLETRANSLATE(B3310,""en"",""fr"")"),"La femme commence alors à couper le journal et à placer la boîte au milieu.")</f>
        <v>La femme commence alors à couper le journal et à placer la boîte au milieu.</v>
      </c>
    </row>
    <row r="3311">
      <c r="A3311" s="4" t="s">
        <v>4158</v>
      </c>
      <c r="B3311" s="4" t="s">
        <v>4161</v>
      </c>
      <c r="C3311" s="5" t="str">
        <f>IFERROR(__xludf.DUMMYFUNCTION("GOOGLETRANSLATE(B3311,""en"",""fr"")"),"Les femmes enroulent la boîte avec le journal et la basse sur les côtés.")</f>
        <v>Les femmes enroulent la boîte avec le journal et la basse sur les côtés.</v>
      </c>
    </row>
    <row r="3312">
      <c r="A3312" s="4" t="s">
        <v>4162</v>
      </c>
      <c r="B3312" s="4" t="s">
        <v>4163</v>
      </c>
      <c r="C3312" s="5" t="str">
        <f>IFERROR(__xludf.DUMMYFUNCTION("GOOGLETRANSLATE(B3312,""en"",""fr"")"),"Un homme est vu parler à la caméra et commence à se raser ses poils du visage.")</f>
        <v>Un homme est vu parler à la caméra et commence à se raser ses poils du visage.</v>
      </c>
    </row>
    <row r="3313">
      <c r="A3313" s="4" t="s">
        <v>4162</v>
      </c>
      <c r="B3313" s="4" t="s">
        <v>4164</v>
      </c>
      <c r="C3313" s="5" t="str">
        <f>IFERROR(__xludf.DUMMYFUNCTION("GOOGLETRANSLATE(B3313,""en"",""fr"")"),"L'homme continue de se raser et montre ses photos avant et après.")</f>
        <v>L'homme continue de se raser et montre ses photos avant et après.</v>
      </c>
    </row>
    <row r="3314">
      <c r="A3314" s="4" t="s">
        <v>4165</v>
      </c>
      <c r="B3314" s="4" t="s">
        <v>4166</v>
      </c>
      <c r="C3314" s="5" t="str">
        <f>IFERROR(__xludf.DUMMYFUNCTION("GOOGLETRANSLATE(B3314,""en"",""fr"")"),"Une femme est vue en parlant à la caméra et en montrant divers outils à la caméra.")</f>
        <v>Une femme est vue en parlant à la caméra et en montrant divers outils à la caméra.</v>
      </c>
    </row>
    <row r="3315">
      <c r="A3315" s="4" t="s">
        <v>4165</v>
      </c>
      <c r="B3315" s="4" t="s">
        <v>4167</v>
      </c>
      <c r="C3315" s="5" t="str">
        <f>IFERROR(__xludf.DUMMYFUNCTION("GOOGLETRANSLATE(B3315,""en"",""fr"")"),"Elle explique comment chaque outil fonctionne pour nettoyer un cheval et se termine en souriant à la caméra.")</f>
        <v>Elle explique comment chaque outil fonctionne pour nettoyer un cheval et se termine en souriant à la caméra.</v>
      </c>
    </row>
    <row r="3316">
      <c r="A3316" s="4" t="s">
        <v>4168</v>
      </c>
      <c r="B3316" s="4" t="s">
        <v>4169</v>
      </c>
      <c r="C3316" s="5" t="str">
        <f>IFERROR(__xludf.DUMMYFUNCTION("GOOGLETRANSLATE(B3316,""en"",""fr"")"),"Une introduction de texte décrivant l'événement est affichée.")</f>
        <v>Une introduction de texte décrivant l'événement est affichée.</v>
      </c>
    </row>
    <row r="3317">
      <c r="A3317" s="4" t="s">
        <v>4168</v>
      </c>
      <c r="B3317" s="4" t="s">
        <v>4170</v>
      </c>
      <c r="C3317" s="5" t="str">
        <f>IFERROR(__xludf.DUMMYFUNCTION("GOOGLETRANSLATE(B3317,""en"",""fr"")"),"Une femme effectue une gymnastique sur des bars inégaux tandis qu'un certain nombre de spectateurs regardent.")</f>
        <v>Une femme effectue une gymnastique sur des bars inégaux tandis qu'un certain nombre de spectateurs regardent.</v>
      </c>
    </row>
    <row r="3318">
      <c r="A3318" s="4" t="s">
        <v>4168</v>
      </c>
      <c r="B3318" s="4" t="s">
        <v>4171</v>
      </c>
      <c r="C3318" s="5" t="str">
        <f>IFERROR(__xludf.DUMMYFUNCTION("GOOGLETRANSLATE(B3318,""en"",""fr"")"),"La femme démonte des bars.")</f>
        <v>La femme démonte des bars.</v>
      </c>
    </row>
    <row r="3319">
      <c r="A3319" s="4" t="s">
        <v>4172</v>
      </c>
      <c r="B3319" s="4" t="s">
        <v>4173</v>
      </c>
      <c r="C3319" s="5" t="str">
        <f>IFERROR(__xludf.DUMMYFUNCTION("GOOGLETRANSLATE(B3319,""en"",""fr"")"),"Il y a un jeune homme dans une chemise rouge et un bonnet bleu jouant l'harmonica.")</f>
        <v>Il y a un jeune homme dans une chemise rouge et un bonnet bleu jouant l'harmonica.</v>
      </c>
    </row>
    <row r="3320">
      <c r="A3320" s="4" t="s">
        <v>4172</v>
      </c>
      <c r="B3320" s="4" t="s">
        <v>4174</v>
      </c>
      <c r="C3320" s="5" t="str">
        <f>IFERROR(__xludf.DUMMYFUNCTION("GOOGLETRANSLATE(B3320,""en"",""fr"")"),"Il joue rythmiquement alors qu'il déplace rapidement l'harmonica par sa bouche pour jouer un air rapide.")</f>
        <v>Il joue rythmiquement alors qu'il déplace rapidement l'harmonica par sa bouche pour jouer un air rapide.</v>
      </c>
    </row>
    <row r="3321">
      <c r="A3321" s="4" t="s">
        <v>4172</v>
      </c>
      <c r="B3321" s="4" t="s">
        <v>4175</v>
      </c>
      <c r="C3321" s="5" t="str">
        <f>IFERROR(__xludf.DUMMYFUNCTION("GOOGLETRANSLATE(B3321,""en"",""fr"")"),"Il continue de jouer l'air alors qu'il ferme les yeux avec une profonde concentration.")</f>
        <v>Il continue de jouer l'air alors qu'il ferme les yeux avec une profonde concentration.</v>
      </c>
    </row>
    <row r="3322">
      <c r="A3322" s="4" t="s">
        <v>4172</v>
      </c>
      <c r="B3322" s="4" t="s">
        <v>4176</v>
      </c>
      <c r="C3322" s="5" t="str">
        <f>IFERROR(__xludf.DUMMYFUNCTION("GOOGLETRANSLATE(B3322,""en"",""fr"")"),"Il déplace les voies de l'harmonica alors qu'il continue de jouer jusqu'à ce qu'il prenne fin.")</f>
        <v>Il déplace les voies de l'harmonica alors qu'il continue de jouer jusqu'à ce qu'il prenne fin.</v>
      </c>
    </row>
    <row r="3323">
      <c r="A3323" s="4" t="s">
        <v>4177</v>
      </c>
      <c r="B3323" s="4" t="s">
        <v>4178</v>
      </c>
      <c r="C3323" s="5" t="str">
        <f>IFERROR(__xludf.DUMMYFUNCTION("GOOGLETRANSLATE(B3323,""en"",""fr"")"),"Un groupe d'hommes plus âgés entre dans une patinoire.")</f>
        <v>Un groupe d'hommes plus âgés entre dans une patinoire.</v>
      </c>
    </row>
    <row r="3324">
      <c r="A3324" s="4" t="s">
        <v>4177</v>
      </c>
      <c r="B3324" s="4" t="s">
        <v>4179</v>
      </c>
      <c r="C3324" s="5" t="str">
        <f>IFERROR(__xludf.DUMMYFUNCTION("GOOGLETRANSLATE(B3324,""en"",""fr"")"),"Le groupe d'hommes se rassemble et se prépare à jouer au curling.")</f>
        <v>Le groupe d'hommes se rassemble et se prépare à jouer au curling.</v>
      </c>
    </row>
    <row r="3325">
      <c r="A3325" s="4" t="s">
        <v>4177</v>
      </c>
      <c r="B3325" s="4" t="s">
        <v>4180</v>
      </c>
      <c r="C3325" s="5" t="str">
        <f>IFERROR(__xludf.DUMMYFUNCTION("GOOGLETRANSLATE(B3325,""en"",""fr"")"),"Un homme plus jeune et un homme plus âgé travaillent en équipe pour déplacer la boucle.")</f>
        <v>Un homme plus jeune et un homme plus âgé travaillent en équipe pour déplacer la boucle.</v>
      </c>
    </row>
    <row r="3326">
      <c r="A3326" s="4" t="s">
        <v>4177</v>
      </c>
      <c r="B3326" s="4" t="s">
        <v>4181</v>
      </c>
      <c r="C3326" s="5" t="str">
        <f>IFERROR(__xludf.DUMMYFUNCTION("GOOGLETRANSLATE(B3326,""en"",""fr"")"),"Un gentleman plus âgé sourit à la caméra tout en tenant son bâton de curling au-dessus de sa tête.")</f>
        <v>Un gentleman plus âgé sourit à la caméra tout en tenant son bâton de curling au-dessus de sa tête.</v>
      </c>
    </row>
    <row r="3327">
      <c r="A3327" s="4" t="s">
        <v>4177</v>
      </c>
      <c r="B3327" s="4" t="s">
        <v>4182</v>
      </c>
      <c r="C3327" s="5" t="str">
        <f>IFERROR(__xludf.DUMMYFUNCTION("GOOGLETRANSLATE(B3327,""en"",""fr"")"),"Le groupe d'hommes commence alors à afficher le numéro et à rire.")</f>
        <v>Le groupe d'hommes commence alors à afficher le numéro et à rire.</v>
      </c>
    </row>
    <row r="3328">
      <c r="A3328" s="4" t="s">
        <v>4183</v>
      </c>
      <c r="B3328" s="4" t="s">
        <v>4184</v>
      </c>
      <c r="C3328" s="5" t="str">
        <f>IFERROR(__xludf.DUMMYFUNCTION("GOOGLETRANSLATE(B3328,""en"",""fr"")"),"Les gens jouent à la crosse sur un terrain.")</f>
        <v>Les gens jouent à la crosse sur un terrain.</v>
      </c>
    </row>
    <row r="3329">
      <c r="A3329" s="4" t="s">
        <v>4183</v>
      </c>
      <c r="B3329" s="4" t="s">
        <v>4185</v>
      </c>
      <c r="C3329" s="5" t="str">
        <f>IFERROR(__xludf.DUMMYFUNCTION("GOOGLETRANSLATE(B3329,""en"",""fr"")"),"Ils marquent un point dans le filet.")</f>
        <v>Ils marquent un point dans le filet.</v>
      </c>
    </row>
    <row r="3330">
      <c r="A3330" s="4" t="s">
        <v>4183</v>
      </c>
      <c r="B3330" s="4" t="s">
        <v>4186</v>
      </c>
      <c r="C3330" s="5" t="str">
        <f>IFERROR(__xludf.DUMMYFUNCTION("GOOGLETRANSLATE(B3330,""en"",""fr"")"),"Deux hommes High Five sur le terrain.")</f>
        <v>Deux hommes High Five sur le terrain.</v>
      </c>
    </row>
    <row r="3331">
      <c r="A3331" s="4" t="s">
        <v>4187</v>
      </c>
      <c r="B3331" s="4" t="s">
        <v>4188</v>
      </c>
      <c r="C3331" s="5" t="str">
        <f>IFERROR(__xludf.DUMMYFUNCTION("GOOGLETRANSLATE(B3331,""en"",""fr"")"),"Un gros plan de rapides d'eau est montré suivi d'un groupe de personnes qui tentent de pagayer dans un radeau.")</f>
        <v>Un gros plan de rapides d'eau est montré suivi d'un groupe de personnes qui tentent de pagayer dans un radeau.</v>
      </c>
    </row>
    <row r="3332">
      <c r="A3332" s="4" t="s">
        <v>4187</v>
      </c>
      <c r="B3332" s="4" t="s">
        <v>4189</v>
      </c>
      <c r="C3332" s="5" t="str">
        <f>IFERROR(__xludf.DUMMYFUNCTION("GOOGLETRANSLATE(B3332,""en"",""fr"")"),"Les gens qui roulent sur la rivière tout en collant leur pagaie à un moment donné ensemble.")</f>
        <v>Les gens qui roulent sur la rivière tout en collant leur pagaie à un moment donné ensemble.</v>
      </c>
    </row>
    <row r="3333">
      <c r="A3333" s="4" t="s">
        <v>4190</v>
      </c>
      <c r="B3333" s="6" t="s">
        <v>4191</v>
      </c>
      <c r="C3333" s="5" t="str">
        <f>IFERROR(__xludf.DUMMYFUNCTION("GOOGLETRANSLATE(B3333,""en"",""fr"")"),"Il y a environ dix personnes ou plus vêtues de vêtements de sport faisant une forme d'exercice synchronisée.")</f>
        <v>Il y a environ dix personnes ou plus vêtues de vêtements de sport faisant une forme d'exercice synchronisée.</v>
      </c>
    </row>
    <row r="3334">
      <c r="A3334" s="4" t="s">
        <v>4190</v>
      </c>
      <c r="B3334" s="4" t="s">
        <v>4192</v>
      </c>
      <c r="C3334" s="5" t="str">
        <f>IFERROR(__xludf.DUMMYFUNCTION("GOOGLETRANSLATE(B3334,""en"",""fr"")"),"Ils font les étapes rythmiquement aux rythmes d'une chanson qui est jouée dans le centre de fitness.")</f>
        <v>Ils font les étapes rythmiquement aux rythmes d'une chanson qui est jouée dans le centre de fitness.</v>
      </c>
    </row>
    <row r="3335">
      <c r="A3335" s="4" t="s">
        <v>4190</v>
      </c>
      <c r="B3335" s="4" t="s">
        <v>4193</v>
      </c>
      <c r="C3335" s="5" t="str">
        <f>IFERROR(__xludf.DUMMYFUNCTION("GOOGLETRANSLATE(B3335,""en"",""fr"")"),"Il y a des lumières disco clignotent dans le centre de fitness.")</f>
        <v>Il y a des lumières disco clignotent dans le centre de fitness.</v>
      </c>
    </row>
    <row r="3336">
      <c r="A3336" s="4" t="s">
        <v>4190</v>
      </c>
      <c r="B3336" s="4" t="s">
        <v>4194</v>
      </c>
      <c r="C3336" s="5" t="str">
        <f>IFERROR(__xludf.DUMMYFUNCTION("GOOGLETRANSLATE(B3336,""en"",""fr"")"),"Ils continuent de faire les étapes alors qu'ils applaudissent les mains entre les marches.")</f>
        <v>Ils continuent de faire les étapes alors qu'ils applaudissent les mains entre les marches.</v>
      </c>
    </row>
    <row r="3337">
      <c r="A3337" s="4" t="s">
        <v>4190</v>
      </c>
      <c r="B3337" s="4" t="s">
        <v>4195</v>
      </c>
      <c r="C3337" s="5" t="str">
        <f>IFERROR(__xludf.DUMMYFUNCTION("GOOGLETRANSLATE(B3337,""en"",""fr"")"),"Ils marchent également et descendent d'un tabouret de pas alors qu'ils continuent leurs pas.")</f>
        <v>Ils marchent également et descendent d'un tabouret de pas alors qu'ils continuent leurs pas.</v>
      </c>
    </row>
    <row r="3338">
      <c r="A3338" s="4" t="s">
        <v>4196</v>
      </c>
      <c r="B3338" s="4" t="s">
        <v>4197</v>
      </c>
      <c r="C3338" s="5" t="str">
        <f>IFERROR(__xludf.DUMMYFUNCTION("GOOGLETRANSLATE(B3338,""en"",""fr"")"),"Une personne est vue se pencher sur un seau rempli d'eau et laver les vêtements dans le seau.")</f>
        <v>Une personne est vue se pencher sur un seau rempli d'eau et laver les vêtements dans le seau.</v>
      </c>
    </row>
    <row r="3339">
      <c r="A3339" s="4" t="s">
        <v>4196</v>
      </c>
      <c r="B3339" s="6" t="s">
        <v>4198</v>
      </c>
      <c r="C3339" s="5" t="str">
        <f>IFERROR(__xludf.DUMMYFUNCTION("GOOGLETRANSLATE(B3339,""en"",""fr"")"),"Le garçon continue de se laver quand une autre personne intervient pour aider à laver les vêtements et à parler à la caméra.")</f>
        <v>Le garçon continue de se laver quand une autre personne intervient pour aider à laver les vêtements et à parler à la caméra.</v>
      </c>
    </row>
    <row r="3340">
      <c r="A3340" s="4" t="s">
        <v>4199</v>
      </c>
      <c r="B3340" s="4" t="s">
        <v>4200</v>
      </c>
      <c r="C3340" s="5" t="str">
        <f>IFERROR(__xludf.DUMMYFUNCTION("GOOGLETRANSLATE(B3340,""en"",""fr"")"),"Un homme en pull brun est assis et parle.")</f>
        <v>Un homme en pull brun est assis et parle.</v>
      </c>
    </row>
    <row r="3341">
      <c r="A3341" s="4" t="s">
        <v>4199</v>
      </c>
      <c r="B3341" s="4" t="s">
        <v>4201</v>
      </c>
      <c r="C3341" s="5" t="str">
        <f>IFERROR(__xludf.DUMMYFUNCTION("GOOGLETRANSLATE(B3341,""en"",""fr"")"),"Une femme dans un pull noir et blanc s'assoit derrière lui.")</f>
        <v>Une femme dans un pull noir et blanc s'assoit derrière lui.</v>
      </c>
    </row>
    <row r="3342">
      <c r="A3342" s="4" t="s">
        <v>4199</v>
      </c>
      <c r="B3342" s="4" t="s">
        <v>4202</v>
      </c>
      <c r="C3342" s="5" t="str">
        <f>IFERROR(__xludf.DUMMYFUNCTION("GOOGLETRANSLATE(B3342,""en"",""fr"")"),"Elle enlève son pull et le met sur la chaise derrière lui.")</f>
        <v>Elle enlève son pull et le met sur la chaise derrière lui.</v>
      </c>
    </row>
    <row r="3343">
      <c r="A3343" s="4" t="s">
        <v>4199</v>
      </c>
      <c r="B3343" s="4" t="s">
        <v>4203</v>
      </c>
      <c r="C3343" s="5" t="str">
        <f>IFERROR(__xludf.DUMMYFUNCTION("GOOGLETRANSLATE(B3343,""en"",""fr"")"),"Un garçon dans une chemise bleue frappe derrière lui.")</f>
        <v>Un garçon dans une chemise bleue frappe derrière lui.</v>
      </c>
    </row>
    <row r="3344">
      <c r="A3344" s="4" t="s">
        <v>4204</v>
      </c>
      <c r="B3344" s="4" t="s">
        <v>4205</v>
      </c>
      <c r="C3344" s="5" t="str">
        <f>IFERROR(__xludf.DUMMYFUNCTION("GOOGLETRANSLATE(B3344,""en"",""fr"")"),"Une femme est vue en parlant à la caméra et menant à des clips de sa course.")</f>
        <v>Une femme est vue en parlant à la caméra et menant à des clips de sa course.</v>
      </c>
    </row>
    <row r="3345">
      <c r="A3345" s="4" t="s">
        <v>4204</v>
      </c>
      <c r="B3345" s="4" t="s">
        <v>4206</v>
      </c>
      <c r="C3345" s="5" t="str">
        <f>IFERROR(__xludf.DUMMYFUNCTION("GOOGLETRANSLATE(B3345,""en"",""fr"")"),"Les gros plans de ses pieds sont montrés ainsi que plus de clips de sa parole et de la course.")</f>
        <v>Les gros plans de ses pieds sont montrés ainsi que plus de clips de sa parole et de la course.</v>
      </c>
    </row>
    <row r="3346">
      <c r="A3346" s="4" t="s">
        <v>4204</v>
      </c>
      <c r="B3346" s="6" t="s">
        <v>4207</v>
      </c>
      <c r="C3346" s="5" t="str">
        <f>IFERROR(__xludf.DUMMYFUNCTION("GOOGLETRANSLATE(B3346,""en"",""fr"")"),"Elle a montré en train d'emballer une voiture et de montrer ses outils ainsi que son équipement tout en courant sur la route.")</f>
        <v>Elle a montré en train d'emballer une voiture et de montrer ses outils ainsi que son équipement tout en courant sur la route.</v>
      </c>
    </row>
    <row r="3347">
      <c r="A3347" s="4" t="s">
        <v>4208</v>
      </c>
      <c r="B3347" s="4" t="s">
        <v>4209</v>
      </c>
      <c r="C3347" s="5" t="str">
        <f>IFERROR(__xludf.DUMMYFUNCTION("GOOGLETRANSLATE(B3347,""en"",""fr"")"),"Une femme est vue assise sur un tabouret fumer une cigarette et regarder au loin.")</f>
        <v>Une femme est vue assise sur un tabouret fumer une cigarette et regarder au loin.</v>
      </c>
    </row>
    <row r="3348">
      <c r="A3348" s="4" t="s">
        <v>4208</v>
      </c>
      <c r="B3348" s="6" t="s">
        <v>4210</v>
      </c>
      <c r="C3348" s="5" t="str">
        <f>IFERROR(__xludf.DUMMYFUNCTION("GOOGLETRANSLATE(B3348,""en"",""fr"")"),"La femme souffle de la fumée dans l'air tandis que la caméra la capture sous plusieurs angles qui fumaient continuellement.")</f>
        <v>La femme souffle de la fumée dans l'air tandis que la caméra la capture sous plusieurs angles qui fumaient continuellement.</v>
      </c>
    </row>
    <row r="3349">
      <c r="A3349" s="4" t="s">
        <v>4211</v>
      </c>
      <c r="B3349" s="4" t="s">
        <v>4212</v>
      </c>
      <c r="C3349" s="5" t="str">
        <f>IFERROR(__xludf.DUMMYFUNCTION("GOOGLETRANSLATE(B3349,""en"",""fr"")"),"Une intro de titres conduit finalement à un athlète qui tient une grande quantité de poids au-dessus de sa tête.")</f>
        <v>Une intro de titres conduit finalement à un athlète qui tient une grande quantité de poids au-dessus de sa tête.</v>
      </c>
    </row>
    <row r="3350">
      <c r="A3350" s="4" t="s">
        <v>4211</v>
      </c>
      <c r="B3350" s="4" t="s">
        <v>4213</v>
      </c>
      <c r="C3350" s="5" t="str">
        <f>IFERROR(__xludf.DUMMYFUNCTION("GOOGLETRANSLATE(B3350,""en"",""fr"")"),"Le même homme fait un autre éclairé avec ses poids tandis qu'un autre homme regarde en arrière-plan.")</f>
        <v>Le même homme fait un autre éclairé avec ses poids tandis qu'un autre homme regarde en arrière-plan.</v>
      </c>
    </row>
    <row r="3351">
      <c r="A3351" s="4" t="s">
        <v>4211</v>
      </c>
      <c r="B3351" s="4" t="s">
        <v>4214</v>
      </c>
      <c r="C3351" s="5" t="str">
        <f>IFERROR(__xludf.DUMMYFUNCTION("GOOGLETRANSLATE(B3351,""en"",""fr"")"),"Il jette les poids et jette ses bras en l'air pour célébrer.")</f>
        <v>Il jette les poids et jette ses bras en l'air pour célébrer.</v>
      </c>
    </row>
    <row r="3352">
      <c r="A3352" s="4" t="s">
        <v>4215</v>
      </c>
      <c r="B3352" s="6" t="s">
        <v>4216</v>
      </c>
      <c r="C3352" s="5" t="str">
        <f>IFERROR(__xludf.DUMMYFUNCTION("GOOGLETRANSLATE(B3352,""en"",""fr"")"),"Une femme aux cheveux courts et un débardeur blanc est assis dans sa salle de bain en train de parler d'un cycliste qui va se raser les jambes.")</f>
        <v>Une femme aux cheveux courts et un débardeur blanc est assis dans sa salle de bain en train de parler d'un cycliste qui va se raser les jambes.</v>
      </c>
    </row>
    <row r="3353">
      <c r="A3353" s="4" t="s">
        <v>4215</v>
      </c>
      <c r="B3353" s="4" t="s">
        <v>4217</v>
      </c>
      <c r="C3353" s="5" t="str">
        <f>IFERROR(__xludf.DUMMYFUNCTION("GOOGLETRANSLATE(B3353,""en"",""fr"")"),"Elle se lève et montre l'équipe de vélo imprimée sur son débardeur.")</f>
        <v>Elle se lève et montre l'équipe de vélo imprimée sur son débardeur.</v>
      </c>
    </row>
    <row r="3354">
      <c r="A3354" s="4" t="s">
        <v>4215</v>
      </c>
      <c r="B3354" s="4" t="s">
        <v>4218</v>
      </c>
      <c r="C3354" s="5" t="str">
        <f>IFERROR(__xludf.DUMMYFUNCTION("GOOGLETRANSLATE(B3354,""en"",""fr"")"),"Elle montre aux téléspectateurs le type de rasoir qu'elle utilisera.")</f>
        <v>Elle montre aux téléspectateurs le type de rasoir qu'elle utilisera.</v>
      </c>
    </row>
    <row r="3355">
      <c r="A3355" s="4" t="s">
        <v>4215</v>
      </c>
      <c r="B3355" s="4" t="s">
        <v>4219</v>
      </c>
      <c r="C3355" s="5" t="str">
        <f>IFERROR(__xludf.DUMMYFUNCTION("GOOGLETRANSLATE(B3355,""en"",""fr"")"),"Il y a un jeune homme assis sur la baignoire avec la femme.")</f>
        <v>Il y a un jeune homme assis sur la baignoire avec la femme.</v>
      </c>
    </row>
    <row r="3356">
      <c r="A3356" s="4" t="s">
        <v>4215</v>
      </c>
      <c r="B3356" s="4" t="s">
        <v>4220</v>
      </c>
      <c r="C3356" s="5" t="str">
        <f>IFERROR(__xludf.DUMMYFUNCTION("GOOGLETRANSLATE(B3356,""en"",""fr"")"),"Il se lave les jambes avec du savon et de l'eau pour bébé et commence à se raser les jambes.")</f>
        <v>Il se lave les jambes avec du savon et de l'eau pour bébé et commence à se raser les jambes.</v>
      </c>
    </row>
    <row r="3357">
      <c r="A3357" s="4" t="s">
        <v>4215</v>
      </c>
      <c r="B3357" s="4" t="s">
        <v>4221</v>
      </c>
      <c r="C3357" s="5" t="str">
        <f>IFERROR(__xludf.DUMMYFUNCTION("GOOGLETRANSLATE(B3357,""en"",""fr"")"),"Ensuite, la femme prend le rasoir et aide son mari à se raser les jambes.")</f>
        <v>Ensuite, la femme prend le rasoir et aide son mari à se raser les jambes.</v>
      </c>
    </row>
    <row r="3358">
      <c r="A3358" s="4" t="s">
        <v>4222</v>
      </c>
      <c r="B3358" s="6" t="s">
        <v>4223</v>
      </c>
      <c r="C3358" s="5" t="str">
        <f>IFERROR(__xludf.DUMMYFUNCTION("GOOGLETRANSLATE(B3358,""en"",""fr"")"),"Beaucoup de gars dans tous les stands noirs sur une zone herbeuse avec des instruments de musique et font une performance de synchronisation devant d'autres personnes assises sur l'herbe à regarder.")</f>
        <v>Beaucoup de gars dans tous les stands noirs sur une zone herbeuse avec des instruments de musique et font une performance de synchronisation devant d'autres personnes assises sur l'herbe à regarder.</v>
      </c>
    </row>
    <row r="3359">
      <c r="A3359" s="4" t="s">
        <v>4222</v>
      </c>
      <c r="B3359" s="6" t="s">
        <v>4224</v>
      </c>
      <c r="C3359" s="5" t="str">
        <f>IFERROR(__xludf.DUMMYFUNCTION("GOOGLETRANSLATE(B3359,""en"",""fr"")"),"Les gars jouent les tambours et font des mouvements d'avant en arrière alors qu'ils jouent les tambours qui sont connectés à leur corps.")</f>
        <v>Les gars jouent les tambours et font des mouvements d'avant en arrière alors qu'ils jouent les tambours qui sont connectés à leur corps.</v>
      </c>
    </row>
    <row r="3360">
      <c r="A3360" s="4" t="s">
        <v>4222</v>
      </c>
      <c r="B3360" s="4" t="s">
        <v>4225</v>
      </c>
      <c r="C3360" s="5" t="str">
        <f>IFERROR(__xludf.DUMMYFUNCTION("GOOGLETRANSLATE(B3360,""en"",""fr"")"),"Les gars font des mouvements de la main et y piétinent légèrement les pieds dans le cadre de la performance.")</f>
        <v>Les gars font des mouvements de la main et y piétinent légèrement les pieds dans le cadre de la performance.</v>
      </c>
    </row>
    <row r="3361">
      <c r="A3361" s="4" t="s">
        <v>4226</v>
      </c>
      <c r="B3361" s="4" t="s">
        <v>4227</v>
      </c>
      <c r="C3361" s="5" t="str">
        <f>IFERROR(__xludf.DUMMYFUNCTION("GOOGLETRANSLATE(B3361,""en"",""fr"")"),"Windsurfer fait tourner sa voile dans un 360.")</f>
        <v>Windsurfer fait tourner sa voile dans un 360.</v>
      </c>
    </row>
    <row r="3362">
      <c r="A3362" s="4" t="s">
        <v>4226</v>
      </c>
      <c r="B3362" s="4" t="s">
        <v>4228</v>
      </c>
      <c r="C3362" s="5" t="str">
        <f>IFERROR(__xludf.DUMMYFUNCTION("GOOGLETRANSLATE(B3362,""en"",""fr"")"),"Windsurfer monte les vagues en avant.")</f>
        <v>Windsurfer monte les vagues en avant.</v>
      </c>
    </row>
    <row r="3363">
      <c r="A3363" s="4" t="s">
        <v>4226</v>
      </c>
      <c r="B3363" s="4" t="s">
        <v>4229</v>
      </c>
      <c r="C3363" s="5" t="str">
        <f>IFERROR(__xludf.DUMMYFUNCTION("GOOGLETRANSLATE(B3363,""en"",""fr"")"),"L'homme marche devant la caméra.")</f>
        <v>L'homme marche devant la caméra.</v>
      </c>
    </row>
    <row r="3364">
      <c r="A3364" s="4" t="s">
        <v>4226</v>
      </c>
      <c r="B3364" s="4" t="s">
        <v>4230</v>
      </c>
      <c r="C3364" s="5" t="str">
        <f>IFERROR(__xludf.DUMMYFUNCTION("GOOGLETRANSLATE(B3364,""en"",""fr"")"),"Windsurfer tourne rapidement sa voile.")</f>
        <v>Windsurfer tourne rapidement sa voile.</v>
      </c>
    </row>
    <row r="3365">
      <c r="A3365" s="4" t="s">
        <v>4226</v>
      </c>
      <c r="B3365" s="4" t="s">
        <v>4231</v>
      </c>
      <c r="C3365" s="5" t="str">
        <f>IFERROR(__xludf.DUMMYFUNCTION("GOOGLETRANSLATE(B3365,""en"",""fr"")"),"Windsurfer tombe dans l'océan.")</f>
        <v>Windsurfer tombe dans l'océan.</v>
      </c>
    </row>
    <row r="3366">
      <c r="A3366" s="4" t="s">
        <v>4232</v>
      </c>
      <c r="B3366" s="4" t="s">
        <v>4233</v>
      </c>
      <c r="C3366" s="5" t="str">
        <f>IFERROR(__xludf.DUMMYFUNCTION("GOOGLETRANSLATE(B3366,""en"",""fr"")"),"Les gens skient sur une pente enneigée très lentement et gracieusement.")</f>
        <v>Les gens skient sur une pente enneigée très lentement et gracieusement.</v>
      </c>
    </row>
    <row r="3367">
      <c r="A3367" s="4" t="s">
        <v>4232</v>
      </c>
      <c r="B3367" s="4" t="s">
        <v>4234</v>
      </c>
      <c r="C3367" s="5" t="str">
        <f>IFERROR(__xludf.DUMMYFUNCTION("GOOGLETRANSLATE(B3367,""en"",""fr"")"),"Un petit garçon se penche en essayant d'attraper plus de vitesse, il est assez bon pour le ski.")</f>
        <v>Un petit garçon se penche en essayant d'attraper plus de vitesse, il est assez bon pour le ski.</v>
      </c>
    </row>
    <row r="3368">
      <c r="A3368" s="4" t="s">
        <v>4232</v>
      </c>
      <c r="B3368" s="4" t="s">
        <v>4235</v>
      </c>
      <c r="C3368" s="5" t="str">
        <f>IFERROR(__xludf.DUMMYFUNCTION("GOOGLETRANSLATE(B3368,""en"",""fr"")"),"Ils continuent d'avancer très lentement en prenant leur temps et en profitant de l'expérience.")</f>
        <v>Ils continuent d'avancer très lentement en prenant leur temps et en profitant de l'expérience.</v>
      </c>
    </row>
    <row r="3369">
      <c r="A3369" s="4" t="s">
        <v>4232</v>
      </c>
      <c r="B3369" s="4" t="s">
        <v>4236</v>
      </c>
      <c r="C3369" s="5" t="str">
        <f>IFERROR(__xludf.DUMMYFUNCTION("GOOGLETRANSLATE(B3369,""en"",""fr"")"),"Ils commencent à ralentir un peu presque s'arrêter, mais ils se reproduisent et continuent.")</f>
        <v>Ils commencent à ralentir un peu presque s'arrêter, mais ils se reproduisent et continuent.</v>
      </c>
    </row>
    <row r="3370">
      <c r="A3370" s="4" t="s">
        <v>4237</v>
      </c>
      <c r="B3370" s="4" t="s">
        <v>4238</v>
      </c>
      <c r="C3370" s="5" t="str">
        <f>IFERROR(__xludf.DUMMYFUNCTION("GOOGLETRANSLATE(B3370,""en"",""fr"")"),"Un homme est à l'intérieur, plaçant rapidement des carreaux de bois sur un sol alors que la caméra joue extrêmement rapidement.")</f>
        <v>Un homme est à l'intérieur, plaçant rapidement des carreaux de bois sur un sol alors que la caméra joue extrêmement rapidement.</v>
      </c>
    </row>
    <row r="3371">
      <c r="A3371" s="4" t="s">
        <v>4237</v>
      </c>
      <c r="B3371" s="4" t="s">
        <v>4239</v>
      </c>
      <c r="C3371" s="5" t="str">
        <f>IFERROR(__xludf.DUMMYFUNCTION("GOOGLETRANSLATE(B3371,""en"",""fr"")"),"Il utilise un niveleur et un coupeur et complète la pièce avec du coulis avant de sortir.")</f>
        <v>Il utilise un niveleur et un coupeur et complète la pièce avec du coulis avant de sortir.</v>
      </c>
    </row>
    <row r="3372">
      <c r="A3372" s="4" t="s">
        <v>4240</v>
      </c>
      <c r="B3372" s="4" t="s">
        <v>4241</v>
      </c>
      <c r="C3372" s="5" t="str">
        <f>IFERROR(__xludf.DUMMYFUNCTION("GOOGLETRANSLATE(B3372,""en"",""fr"")"),"Les voitures conduisent par une pancarte près de la route.")</f>
        <v>Les voitures conduisent par une pancarte près de la route.</v>
      </c>
    </row>
    <row r="3373">
      <c r="A3373" s="4" t="s">
        <v>4240</v>
      </c>
      <c r="B3373" s="4" t="s">
        <v>4242</v>
      </c>
      <c r="C3373" s="5" t="str">
        <f>IFERROR(__xludf.DUMMYFUNCTION("GOOGLETRANSLATE(B3373,""en"",""fr"")"),"Plusieurs femmes sont présentées autour d'une table se préparant à tricoter.")</f>
        <v>Plusieurs femmes sont présentées autour d'une table se préparant à tricoter.</v>
      </c>
    </row>
    <row r="3374">
      <c r="A3374" s="4" t="s">
        <v>4240</v>
      </c>
      <c r="B3374" s="4" t="s">
        <v>4243</v>
      </c>
      <c r="C3374" s="5" t="str">
        <f>IFERROR(__xludf.DUMMYFUNCTION("GOOGLETRANSLATE(B3374,""en"",""fr"")"),"Une femme parle à la caméra dans un style d'interview.")</f>
        <v>Une femme parle à la caméra dans un style d'interview.</v>
      </c>
    </row>
    <row r="3375">
      <c r="A3375" s="4" t="s">
        <v>4240</v>
      </c>
      <c r="B3375" s="4" t="s">
        <v>4244</v>
      </c>
      <c r="C3375" s="5" t="str">
        <f>IFERROR(__xludf.DUMMYFUNCTION("GOOGLETRANSLATE(B3375,""en"",""fr"")"),"Les femmes autour de la table s'engagent dans des activités liées au tricot.")</f>
        <v>Les femmes autour de la table s'engagent dans des activités liées au tricot.</v>
      </c>
    </row>
    <row r="3376">
      <c r="A3376" s="4" t="s">
        <v>4240</v>
      </c>
      <c r="B3376" s="4" t="s">
        <v>4245</v>
      </c>
      <c r="C3376" s="5" t="str">
        <f>IFERROR(__xludf.DUMMYFUNCTION("GOOGLETRANSLATE(B3376,""en"",""fr"")"),"Un bus est montré stationné à l'extérieur du bâtiment.")</f>
        <v>Un bus est montré stationné à l'extérieur du bâtiment.</v>
      </c>
    </row>
    <row r="3377">
      <c r="A3377" s="4" t="s">
        <v>4240</v>
      </c>
      <c r="B3377" s="4" t="s">
        <v>4246</v>
      </c>
      <c r="C3377" s="5" t="str">
        <f>IFERROR(__xludf.DUMMYFUNCTION("GOOGLETRANSLATE(B3377,""en"",""fr"")"),"La femme de la scène d'entrevue parle à nouveau à la caméra.")</f>
        <v>La femme de la scène d'entrevue parle à nouveau à la caméra.</v>
      </c>
    </row>
    <row r="3378">
      <c r="A3378" s="4" t="s">
        <v>4240</v>
      </c>
      <c r="B3378" s="4" t="s">
        <v>4247</v>
      </c>
      <c r="C3378" s="5" t="str">
        <f>IFERROR(__xludf.DUMMYFUNCTION("GOOGLETRANSLATE(B3378,""en"",""fr"")"),"Les femmes à la table sont représentées à tricoter.")</f>
        <v>Les femmes à la table sont représentées à tricoter.</v>
      </c>
    </row>
    <row r="3379">
      <c r="A3379" s="4" t="s">
        <v>4240</v>
      </c>
      <c r="B3379" s="4" t="s">
        <v>4248</v>
      </c>
      <c r="C3379" s="5" t="str">
        <f>IFERROR(__xludf.DUMMYFUNCTION("GOOGLETRANSLATE(B3379,""en"",""fr"")"),"Plusieurs plans extérieurs du lieu du bâtiment sont présentés.")</f>
        <v>Plusieurs plans extérieurs du lieu du bâtiment sont présentés.</v>
      </c>
    </row>
    <row r="3380">
      <c r="A3380" s="4" t="s">
        <v>4240</v>
      </c>
      <c r="B3380" s="4" t="s">
        <v>4249</v>
      </c>
      <c r="C3380" s="5" t="str">
        <f>IFERROR(__xludf.DUMMYFUNCTION("GOOGLETRANSLATE(B3380,""en"",""fr"")"),"Les femmes à la table sont à nouveau en train de tricoter.")</f>
        <v>Les femmes à la table sont à nouveau en train de tricoter.</v>
      </c>
    </row>
    <row r="3381">
      <c r="A3381" s="4" t="s">
        <v>4250</v>
      </c>
      <c r="B3381" s="4" t="s">
        <v>4251</v>
      </c>
      <c r="C3381" s="5" t="str">
        <f>IFERROR(__xludf.DUMMYFUNCTION("GOOGLETRANSLATE(B3381,""en"",""fr"")"),"Une personne est vue essuyer le visage d'un bébé avec un chiffon pendant que le bébé colle la langue.")</f>
        <v>Une personne est vue essuyer le visage d'un bébé avec un chiffon pendant que le bébé colle la langue.</v>
      </c>
    </row>
    <row r="3382">
      <c r="A3382" s="4" t="s">
        <v>4250</v>
      </c>
      <c r="B3382" s="4" t="s">
        <v>4252</v>
      </c>
      <c r="C3382" s="5" t="str">
        <f>IFERROR(__xludf.DUMMYFUNCTION("GOOGLETRANSLATE(B3382,""en"",""fr"")"),"La femme continue de nettoyer le bébé et est montrée en souriant à la caméra et en agitant.")</f>
        <v>La femme continue de nettoyer le bébé et est montrée en souriant à la caméra et en agitant.</v>
      </c>
    </row>
    <row r="3383">
      <c r="A3383" s="4" t="s">
        <v>4253</v>
      </c>
      <c r="B3383" s="4" t="s">
        <v>4254</v>
      </c>
      <c r="C3383" s="5" t="str">
        <f>IFERROR(__xludf.DUMMYFUNCTION("GOOGLETRANSLATE(B3383,""en"",""fr"")"),"Deux hommes sont vus jouer des ciseaux en papier rocheux les uns avec les autres et frapper la personne qui perd.")</f>
        <v>Deux hommes sont vus jouer des ciseaux en papier rocheux les uns avec les autres et frapper la personne qui perd.</v>
      </c>
    </row>
    <row r="3384">
      <c r="A3384" s="4" t="s">
        <v>4253</v>
      </c>
      <c r="B3384" s="6" t="s">
        <v>4255</v>
      </c>
      <c r="C3384" s="5" t="str">
        <f>IFERROR(__xludf.DUMMYFUNCTION("GOOGLETRANSLATE(B3384,""en"",""fr"")"),"Les hommes continuent de jouer à ce jeu en arrière et quatrième et se frottent la tête tandis que d'autres regardent.")</f>
        <v>Les hommes continuent de jouer à ce jeu en arrière et quatrième et se frottent la tête tandis que d'autres regardent.</v>
      </c>
    </row>
    <row r="3385">
      <c r="A3385" s="4" t="s">
        <v>4256</v>
      </c>
      <c r="B3385" s="4" t="s">
        <v>4257</v>
      </c>
      <c r="C3385" s="5" t="str">
        <f>IFERROR(__xludf.DUMMYFUNCTION("GOOGLETRANSLATE(B3385,""en"",""fr"")"),"Un athlète effectue des lancers de marteau par tournoi à plusieurs reprises avec son corps.")</f>
        <v>Un athlète effectue des lancers de marteau par tournoi à plusieurs reprises avec son corps.</v>
      </c>
    </row>
    <row r="3386">
      <c r="A3386" s="4" t="s">
        <v>4256</v>
      </c>
      <c r="B3386" s="4" t="s">
        <v>4258</v>
      </c>
      <c r="C3386" s="5" t="str">
        <f>IFERROR(__xludf.DUMMYFUNCTION("GOOGLETRANSLATE(B3386,""en"",""fr"")"),"Ensuite, l'athlète jette le ballon sur le terrain.")</f>
        <v>Ensuite, l'athlète jette le ballon sur le terrain.</v>
      </c>
    </row>
    <row r="3387">
      <c r="A3387" s="4" t="s">
        <v>4259</v>
      </c>
      <c r="B3387" s="4" t="s">
        <v>4260</v>
      </c>
      <c r="C3387" s="5" t="str">
        <f>IFERROR(__xludf.DUMMYFUNCTION("GOOGLETRANSLATE(B3387,""en"",""fr"")"),"Une femme est assise sur une chaise à parler.")</f>
        <v>Une femme est assise sur une chaise à parler.</v>
      </c>
    </row>
    <row r="3388">
      <c r="A3388" s="4" t="s">
        <v>4259</v>
      </c>
      <c r="B3388" s="4" t="s">
        <v>4261</v>
      </c>
      <c r="C3388" s="5" t="str">
        <f>IFERROR(__xludf.DUMMYFUNCTION("GOOGLETRANSLATE(B3388,""en"",""fr"")"),"Une main des personnes joue des ciseaux en papier rock avec un robot.")</f>
        <v>Une main des personnes joue des ciseaux en papier rock avec un robot.</v>
      </c>
    </row>
    <row r="3389">
      <c r="A3389" s="4" t="s">
        <v>4259</v>
      </c>
      <c r="B3389" s="4" t="s">
        <v>4262</v>
      </c>
      <c r="C3389" s="5" t="str">
        <f>IFERROR(__xludf.DUMMYFUNCTION("GOOGLETRANSLATE(B3389,""en"",""fr"")"),"Un homme en chemise blanche parle à la femme.")</f>
        <v>Un homme en chemise blanche parle à la femme.</v>
      </c>
    </row>
    <row r="3390">
      <c r="A3390" s="4" t="s">
        <v>4263</v>
      </c>
      <c r="B3390" s="4" t="s">
        <v>4264</v>
      </c>
      <c r="C3390" s="5" t="str">
        <f>IFERROR(__xludf.DUMMYFUNCTION("GOOGLETRANSLATE(B3390,""en"",""fr"")"),"Un groupe de personnes est vêtue d'équipement de ski, montant dans un ascenseur.")</f>
        <v>Un groupe de personnes est vêtue d'équipement de ski, montant dans un ascenseur.</v>
      </c>
    </row>
    <row r="3391">
      <c r="A3391" s="4" t="s">
        <v>4263</v>
      </c>
      <c r="B3391" s="4" t="s">
        <v>4265</v>
      </c>
      <c r="C3391" s="5" t="str">
        <f>IFERROR(__xludf.DUMMYFUNCTION("GOOGLETRANSLATE(B3391,""en"",""fr"")"),"On les voit descendre des collines, skiant et jetant de la neige en l'air.")</f>
        <v>On les voit descendre des collines, skiant et jetant de la neige en l'air.</v>
      </c>
    </row>
    <row r="3392">
      <c r="A3392" s="4" t="s">
        <v>4266</v>
      </c>
      <c r="B3392" s="6" t="s">
        <v>4267</v>
      </c>
      <c r="C3392" s="5" t="str">
        <f>IFERROR(__xludf.DUMMYFUNCTION("GOOGLETRANSLATE(B3392,""en"",""fr"")"),"Un concours de danse 2011 en Israël est montré avec une femme en solo dans le ventre doré avec des néons derrière elle.")</f>
        <v>Un concours de danse 2011 en Israël est montré avec une femme en solo dans le ventre doré avec des néons derrière elle.</v>
      </c>
    </row>
    <row r="3393">
      <c r="A3393" s="4" t="s">
        <v>4266</v>
      </c>
      <c r="B3393" s="4" t="s">
        <v>4268</v>
      </c>
      <c r="C3393" s="5" t="str">
        <f>IFERROR(__xludf.DUMMYFUNCTION("GOOGLETRANSLATE(B3393,""en"",""fr"")"),"Elle se tourne vers le public pour montrer différents angles de ses mouvements.")</f>
        <v>Elle se tourne vers le public pour montrer différents angles de ses mouvements.</v>
      </c>
    </row>
    <row r="3394">
      <c r="A3394" s="4" t="s">
        <v>4266</v>
      </c>
      <c r="B3394" s="4" t="s">
        <v>4269</v>
      </c>
      <c r="C3394" s="5" t="str">
        <f>IFERROR(__xludf.DUMMYFUNCTION("GOOGLETRANSLATE(B3394,""en"",""fr"")"),"Enfin, elle s'effondre astucieusement sur le sol à la fin de la chanson.")</f>
        <v>Enfin, elle s'effondre astucieusement sur le sol à la fin de la chanson.</v>
      </c>
    </row>
    <row r="3395">
      <c r="A3395" s="4" t="s">
        <v>4270</v>
      </c>
      <c r="B3395" s="4" t="s">
        <v>4271</v>
      </c>
      <c r="C3395" s="5" t="str">
        <f>IFERROR(__xludf.DUMMYFUNCTION("GOOGLETRANSLATE(B3395,""en"",""fr"")"),"Un garçon se tient derrière un comptoir.")</f>
        <v>Un garçon se tient derrière un comptoir.</v>
      </c>
    </row>
    <row r="3396">
      <c r="A3396" s="4" t="s">
        <v>4270</v>
      </c>
      <c r="B3396" s="4" t="s">
        <v>4272</v>
      </c>
      <c r="C3396" s="5" t="str">
        <f>IFERROR(__xludf.DUMMYFUNCTION("GOOGLETRANSLATE(B3396,""en"",""fr"")"),"Il jette des fléchettes sur un mur.")</f>
        <v>Il jette des fléchettes sur un mur.</v>
      </c>
    </row>
    <row r="3397">
      <c r="A3397" s="4" t="s">
        <v>4270</v>
      </c>
      <c r="B3397" s="4" t="s">
        <v>4273</v>
      </c>
      <c r="C3397" s="5" t="str">
        <f>IFERROR(__xludf.DUMMYFUNCTION("GOOGLETRANSLATE(B3397,""en"",""fr"")"),"Une femme se tient à côté de lui.")</f>
        <v>Une femme se tient à côté de lui.</v>
      </c>
    </row>
    <row r="3398">
      <c r="A3398" s="4" t="s">
        <v>4274</v>
      </c>
      <c r="B3398" s="6" t="s">
        <v>4275</v>
      </c>
      <c r="C3398" s="5" t="str">
        <f>IFERROR(__xludf.DUMMYFUNCTION("GOOGLETRANSLATE(B3398,""en"",""fr"")"),"La petite fille qui porte un pull arc-en-ciel est montrée assise dans le sable, faisant une énorme colline de sable.")</f>
        <v>La petite fille qui porte un pull arc-en-ciel est montrée assise dans le sable, faisant une énorme colline de sable.</v>
      </c>
    </row>
    <row r="3399">
      <c r="A3399" s="4" t="s">
        <v>4274</v>
      </c>
      <c r="B3399" s="4" t="s">
        <v>4276</v>
      </c>
      <c r="C3399" s="5" t="str">
        <f>IFERROR(__xludf.DUMMYFUNCTION("GOOGLETRANSLATE(B3399,""en"",""fr"")"),"Ensuite, elle lève les yeux et dit quelque chose.")</f>
        <v>Ensuite, elle lève les yeux et dit quelque chose.</v>
      </c>
    </row>
    <row r="3400">
      <c r="A3400" s="4" t="s">
        <v>4274</v>
      </c>
      <c r="B3400" s="4" t="s">
        <v>4277</v>
      </c>
      <c r="C3400" s="5" t="str">
        <f>IFERROR(__xludf.DUMMYFUNCTION("GOOGLETRANSLATE(B3400,""en"",""fr"")"),"Elle continue ensuite d'ajouter plus de sable à la colline.")</f>
        <v>Elle continue ensuite d'ajouter plus de sable à la colline.</v>
      </c>
    </row>
    <row r="3401">
      <c r="A3401" s="4" t="s">
        <v>4274</v>
      </c>
      <c r="B3401" s="4" t="s">
        <v>4278</v>
      </c>
      <c r="C3401" s="5" t="str">
        <f>IFERROR(__xludf.DUMMYFUNCTION("GOOGLETRANSLATE(B3401,""en"",""fr"")"),"Puis un petit garçon la rejoint et touche juste la colline, mais s'éloigne.")</f>
        <v>Puis un petit garçon la rejoint et touche juste la colline, mais s'éloigne.</v>
      </c>
    </row>
    <row r="3402">
      <c r="A3402" s="4" t="s">
        <v>4274</v>
      </c>
      <c r="B3402" s="4" t="s">
        <v>4279</v>
      </c>
      <c r="C3402" s="5" t="str">
        <f>IFERROR(__xludf.DUMMYFUNCTION("GOOGLETRANSLATE(B3402,""en"",""fr"")"),"Il revient ensuite pour pointer de la colline.")</f>
        <v>Il revient ensuite pour pointer de la colline.</v>
      </c>
    </row>
    <row r="3403">
      <c r="A3403" s="4" t="s">
        <v>4280</v>
      </c>
      <c r="B3403" s="4" t="s">
        <v>4281</v>
      </c>
      <c r="C3403" s="5" t="str">
        <f>IFERROR(__xludf.DUMMYFUNCTION("GOOGLETRANSLATE(B3403,""en"",""fr"")"),"Une femme est vue en parlant à la caméra tout en faisant la transition vers des photos de son toilettage d'un chien.")</f>
        <v>Une femme est vue en parlant à la caméra tout en faisant la transition vers des photos de son toilettage d'un chien.</v>
      </c>
    </row>
    <row r="3404">
      <c r="A3404" s="4" t="s">
        <v>4280</v>
      </c>
      <c r="B3404" s="4" t="s">
        <v>4282</v>
      </c>
      <c r="C3404" s="5" t="str">
        <f>IFERROR(__xludf.DUMMYFUNCTION("GOOGLETRANSLATE(B3404,""en"",""fr"")"),"On voit la fille laver les chiens ainsi que les sécher et les couper leur fourrure.")</f>
        <v>On voit la fille laver les chiens ainsi que les sécher et les couper leur fourrure.</v>
      </c>
    </row>
    <row r="3405">
      <c r="A3405" s="4" t="s">
        <v>4280</v>
      </c>
      <c r="B3405" s="4" t="s">
        <v>4283</v>
      </c>
      <c r="C3405" s="5" t="str">
        <f>IFERROR(__xludf.DUMMYFUNCTION("GOOGLETRANSLATE(B3405,""en"",""fr"")"),"Elle continue de parler tout en montrant ses chiens propres et d'autres marchant sur le côté.")</f>
        <v>Elle continue de parler tout en montrant ses chiens propres et d'autres marchant sur le côté.</v>
      </c>
    </row>
    <row r="3406">
      <c r="A3406" s="4" t="s">
        <v>4284</v>
      </c>
      <c r="B3406" s="4" t="s">
        <v>4285</v>
      </c>
      <c r="C3406" s="5" t="str">
        <f>IFERROR(__xludf.DUMMYFUNCTION("GOOGLETRANSLATE(B3406,""en"",""fr"")"),"Un homme skie nautique derrière un bateau sur un lac.")</f>
        <v>Un homme skie nautique derrière un bateau sur un lac.</v>
      </c>
    </row>
    <row r="3407">
      <c r="A3407" s="4" t="s">
        <v>4284</v>
      </c>
      <c r="B3407" s="4" t="s">
        <v>4286</v>
      </c>
      <c r="C3407" s="5" t="str">
        <f>IFERROR(__xludf.DUMMYFUNCTION("GOOGLETRANSLATE(B3407,""en"",""fr"")"),"Certaines personnes se présentent à l'écran qui regardent et enregistrent.")</f>
        <v>Certaines personnes se présentent à l'écran qui regardent et enregistrent.</v>
      </c>
    </row>
    <row r="3408">
      <c r="A3408" s="4" t="s">
        <v>4284</v>
      </c>
      <c r="B3408" s="4" t="s">
        <v>4287</v>
      </c>
      <c r="C3408" s="5" t="str">
        <f>IFERROR(__xludf.DUMMYFUNCTION("GOOGLETRANSLATE(B3408,""en"",""fr"")"),"Le skieur nautique essaie de faire un retournement et finit par s'écraser dans l'eau.")</f>
        <v>Le skieur nautique essaie de faire un retournement et finit par s'écraser dans l'eau.</v>
      </c>
    </row>
    <row r="3409">
      <c r="A3409" s="4" t="s">
        <v>4288</v>
      </c>
      <c r="B3409" s="4" t="s">
        <v>4289</v>
      </c>
      <c r="C3409" s="5" t="str">
        <f>IFERROR(__xludf.DUMMYFUNCTION("GOOGLETRANSLATE(B3409,""en"",""fr"")"),"Une page bleue avec une écriture blanche explique que la vidéo est sur la façon d'envelopper un cadeau.")</f>
        <v>Une page bleue avec une écriture blanche explique que la vidéo est sur la façon d'envelopper un cadeau.</v>
      </c>
    </row>
    <row r="3410">
      <c r="A3410" s="4" t="s">
        <v>4288</v>
      </c>
      <c r="B3410" s="4" t="s">
        <v>4290</v>
      </c>
      <c r="C3410" s="5" t="str">
        <f>IFERROR(__xludf.DUMMYFUNCTION("GOOGLETRANSLATE(B3410,""en"",""fr"")"),"Des ciseaux et différents types de ruban adhésif sont affichés, ainsi qu'un rouleau de papier d'emballage.")</f>
        <v>Des ciseaux et différents types de ruban adhésif sont affichés, ainsi qu'un rouleau de papier d'emballage.</v>
      </c>
    </row>
    <row r="3411">
      <c r="A3411" s="4" t="s">
        <v>4288</v>
      </c>
      <c r="B3411" s="4" t="s">
        <v>4291</v>
      </c>
      <c r="C3411" s="5" t="str">
        <f>IFERROR(__xludf.DUMMYFUNCTION("GOOGLETRANSLATE(B3411,""en"",""fr"")"),"Une femme est sur le sol avec une boîte.")</f>
        <v>Une femme est sur le sol avec une boîte.</v>
      </c>
    </row>
    <row r="3412">
      <c r="A3412" s="4" t="s">
        <v>4288</v>
      </c>
      <c r="B3412" s="4" t="s">
        <v>4292</v>
      </c>
      <c r="C3412" s="5" t="str">
        <f>IFERROR(__xludf.DUMMYFUNCTION("GOOGLETRANSLATE(B3412,""en"",""fr"")"),"Elle montre comment couper et plier le papier autour du présent.")</f>
        <v>Elle montre comment couper et plier le papier autour du présent.</v>
      </c>
    </row>
    <row r="3413">
      <c r="A3413" s="4" t="s">
        <v>4288</v>
      </c>
      <c r="B3413" s="4" t="s">
        <v>4293</v>
      </c>
      <c r="C3413" s="5" t="str">
        <f>IFERROR(__xludf.DUMMYFUNCTION("GOOGLETRANSLATE(B3413,""en"",""fr"")"),"Elle enregistre le présent fermé.")</f>
        <v>Elle enregistre le présent fermé.</v>
      </c>
    </row>
    <row r="3414">
      <c r="A3414" s="4" t="s">
        <v>4288</v>
      </c>
      <c r="B3414" s="4" t="s">
        <v>4294</v>
      </c>
      <c r="C3414" s="5" t="str">
        <f>IFERROR(__xludf.DUMMYFUNCTION("GOOGLETRANSLATE(B3414,""en"",""fr"")"),"Elle place ensuite un arc translucide sur le cadeau.")</f>
        <v>Elle place ensuite un arc translucide sur le cadeau.</v>
      </c>
    </row>
    <row r="3415">
      <c r="A3415" s="4" t="s">
        <v>4295</v>
      </c>
      <c r="B3415" s="4" t="s">
        <v>4296</v>
      </c>
      <c r="C3415" s="5" t="str">
        <f>IFERROR(__xludf.DUMMYFUNCTION("GOOGLETRANSLATE(B3415,""en"",""fr"")"),"Les hommes agissent idiot dans une salle de bain.")</f>
        <v>Les hommes agissent idiot dans une salle de bain.</v>
      </c>
    </row>
    <row r="3416">
      <c r="A3416" s="4" t="s">
        <v>4295</v>
      </c>
      <c r="B3416" s="4" t="s">
        <v>4297</v>
      </c>
      <c r="C3416" s="5" t="str">
        <f>IFERROR(__xludf.DUMMYFUNCTION("GOOGLETRANSLATE(B3416,""en"",""fr"")"),"Un homme montre ses jambes à la caméra.")</f>
        <v>Un homme montre ses jambes à la caméra.</v>
      </c>
    </row>
    <row r="3417">
      <c r="A3417" s="4" t="s">
        <v>4295</v>
      </c>
      <c r="B3417" s="4" t="s">
        <v>4298</v>
      </c>
      <c r="C3417" s="5" t="str">
        <f>IFERROR(__xludf.DUMMYFUNCTION("GOOGLETRANSLATE(B3417,""en"",""fr"")"),"Deux hommes dansent et se rasent les jambes près de l'évier.")</f>
        <v>Deux hommes dansent et se rasent les jambes près de l'évier.</v>
      </c>
    </row>
    <row r="3418">
      <c r="A3418" s="4" t="s">
        <v>4295</v>
      </c>
      <c r="B3418" s="4" t="s">
        <v>4299</v>
      </c>
      <c r="C3418" s="5" t="str">
        <f>IFERROR(__xludf.DUMMYFUNCTION("GOOGLETRANSLATE(B3418,""en"",""fr"")"),"Un autre homme rejoint les hommes près de l'évier pour aider au rasage.")</f>
        <v>Un autre homme rejoint les hommes près de l'évier pour aider au rasage.</v>
      </c>
    </row>
    <row r="3419">
      <c r="A3419" s="4" t="s">
        <v>4300</v>
      </c>
      <c r="B3419" s="4" t="s">
        <v>4301</v>
      </c>
      <c r="C3419" s="5" t="str">
        <f>IFERROR(__xludf.DUMMYFUNCTION("GOOGLETRANSLATE(B3419,""en"",""fr"")"),"Un homme marche sur un champ devant son chien.")</f>
        <v>Un homme marche sur un champ devant son chien.</v>
      </c>
    </row>
    <row r="3420">
      <c r="A3420" s="4" t="s">
        <v>4300</v>
      </c>
      <c r="B3420" s="4" t="s">
        <v>4302</v>
      </c>
      <c r="C3420" s="5" t="str">
        <f>IFERROR(__xludf.DUMMYFUNCTION("GOOGLETRANSLATE(B3420,""en"",""fr"")"),"Il lance un frisbee et le chien l'attrape.")</f>
        <v>Il lance un frisbee et le chien l'attrape.</v>
      </c>
    </row>
    <row r="3421">
      <c r="A3421" s="4" t="s">
        <v>4300</v>
      </c>
      <c r="B3421" s="4" t="s">
        <v>4303</v>
      </c>
      <c r="C3421" s="5" t="str">
        <f>IFERROR(__xludf.DUMMYFUNCTION("GOOGLETRANSLATE(B3421,""en"",""fr"")"),"Il fait plusieurs astuces avec les Frisbees et le chien.")</f>
        <v>Il fait plusieurs astuces avec les Frisbees et le chien.</v>
      </c>
    </row>
    <row r="3422">
      <c r="A3422" s="4" t="s">
        <v>4304</v>
      </c>
      <c r="B3422" s="4" t="s">
        <v>4305</v>
      </c>
      <c r="C3422" s="5" t="str">
        <f>IFERROR(__xludf.DUMMYFUNCTION("GOOGLETRANSLATE(B3422,""en"",""fr"")"),"Une femme est vue balançant une hache sur une bûche tandis qu'un autre homme regarde sur le côté.")</f>
        <v>Une femme est vue balançant une hache sur une bûche tandis qu'un autre homme regarde sur le côté.</v>
      </c>
    </row>
    <row r="3423">
      <c r="A3423" s="4" t="s">
        <v>4304</v>
      </c>
      <c r="B3423" s="4" t="s">
        <v>4306</v>
      </c>
      <c r="C3423" s="5" t="str">
        <f>IFERROR(__xludf.DUMMYFUNCTION("GOOGLETRANSLATE(B3423,""en"",""fr"")"),"Une autre femme enlève la bûche et la fille se prépare à se balancer.")</f>
        <v>Une autre femme enlève la bûche et la fille se prépare à se balancer.</v>
      </c>
    </row>
    <row r="3424">
      <c r="A3424" s="4" t="s">
        <v>4304</v>
      </c>
      <c r="B3424" s="4" t="s">
        <v>4307</v>
      </c>
      <c r="C3424" s="5" t="str">
        <f>IFERROR(__xludf.DUMMYFUNCTION("GOOGLETRANSLATE(B3424,""en"",""fr"")"),"Elle balance à nouveau la hache et regarde en arrière en souriant à la caméra.")</f>
        <v>Elle balance à nouveau la hache et regarde en arrière en souriant à la caméra.</v>
      </c>
    </row>
    <row r="3425">
      <c r="A3425" s="4" t="s">
        <v>4308</v>
      </c>
      <c r="B3425" s="4" t="s">
        <v>4309</v>
      </c>
      <c r="C3425" s="5" t="str">
        <f>IFERROR(__xludf.DUMMYFUNCTION("GOOGLETRANSLATE(B3425,""en"",""fr"")"),"Une personne se tient derrière un comptoir en mettant de la nourriture sur un plateau.")</f>
        <v>Une personne se tient derrière un comptoir en mettant de la nourriture sur un plateau.</v>
      </c>
    </row>
    <row r="3426">
      <c r="A3426" s="4" t="s">
        <v>4308</v>
      </c>
      <c r="B3426" s="4" t="s">
        <v>4310</v>
      </c>
      <c r="C3426" s="5" t="str">
        <f>IFERROR(__xludf.DUMMYFUNCTION("GOOGLETRANSLATE(B3426,""en"",""fr"")"),"Ils ont mis le plateau dans un four.")</f>
        <v>Ils ont mis le plateau dans un four.</v>
      </c>
    </row>
    <row r="3427">
      <c r="A3427" s="4" t="s">
        <v>4308</v>
      </c>
      <c r="B3427" s="4" t="s">
        <v>4311</v>
      </c>
      <c r="C3427" s="5" t="str">
        <f>IFERROR(__xludf.DUMMYFUNCTION("GOOGLETRANSLATE(B3427,""en"",""fr"")"),"Ils sortent le plateau du four et soulèvent des biscuits sur une assiette.")</f>
        <v>Ils sortent le plateau du four et soulèvent des biscuits sur une assiette.</v>
      </c>
    </row>
    <row r="3428">
      <c r="A3428" s="4" t="s">
        <v>4308</v>
      </c>
      <c r="B3428" s="4" t="s">
        <v>4312</v>
      </c>
      <c r="C3428" s="5" t="str">
        <f>IFERROR(__xludf.DUMMYFUNCTION("GOOGLETRANSLATE(B3428,""en"",""fr"")"),"Ils lavent le tapis dans l'évier.")</f>
        <v>Ils lavent le tapis dans l'évier.</v>
      </c>
    </row>
    <row r="3429">
      <c r="A3429" s="4" t="s">
        <v>4313</v>
      </c>
      <c r="B3429" s="4" t="s">
        <v>4314</v>
      </c>
      <c r="C3429" s="5" t="str">
        <f>IFERROR(__xludf.DUMMYFUNCTION("GOOGLETRANSLATE(B3429,""en"",""fr"")"),"Nous voyons une main dames sur un magazine.")</f>
        <v>Nous voyons une main dames sur un magazine.</v>
      </c>
    </row>
    <row r="3430">
      <c r="A3430" s="4" t="s">
        <v>4313</v>
      </c>
      <c r="B3430" s="4" t="s">
        <v>4315</v>
      </c>
      <c r="C3430" s="5" t="str">
        <f>IFERROR(__xludf.DUMMYFUNCTION("GOOGLETRANSLATE(B3430,""en"",""fr"")"),"La dame coupe les tranches d'un article.")</f>
        <v>La dame coupe les tranches d'un article.</v>
      </c>
    </row>
    <row r="3431">
      <c r="A3431" s="4" t="s">
        <v>4313</v>
      </c>
      <c r="B3431" s="6" t="s">
        <v>4316</v>
      </c>
      <c r="C3431" s="5" t="str">
        <f>IFERROR(__xludf.DUMMYFUNCTION("GOOGLETRANSLATE(B3431,""en"",""fr"")"),"Elle met le papier dans l'eau et se couche puis sur ses ongles blancs, elle décolle le papier et les lettres collent.")</f>
        <v>Elle met le papier dans l'eau et se couche puis sur ses ongles blancs, elle décolle le papier et les lettres collent.</v>
      </c>
    </row>
    <row r="3432">
      <c r="A3432" s="4" t="s">
        <v>4313</v>
      </c>
      <c r="B3432" s="4" t="s">
        <v>4317</v>
      </c>
      <c r="C3432" s="5" t="str">
        <f>IFERROR(__xludf.DUMMYFUNCTION("GOOGLETRANSLATE(B3432,""en"",""fr"")"),"La dame met un vernis clair sur les ongles.")</f>
        <v>La dame met un vernis clair sur les ongles.</v>
      </c>
    </row>
    <row r="3433">
      <c r="A3433" s="4" t="s">
        <v>4313</v>
      </c>
      <c r="B3433" s="4" t="s">
        <v>4318</v>
      </c>
      <c r="C3433" s="5" t="str">
        <f>IFERROR(__xludf.DUMMYFUNCTION("GOOGLETRANSLATE(B3433,""en"",""fr"")"),"La dame colle des strass à ses ongles.")</f>
        <v>La dame colle des strass à ses ongles.</v>
      </c>
    </row>
    <row r="3434">
      <c r="A3434" s="4" t="s">
        <v>4313</v>
      </c>
      <c r="B3434" s="4" t="s">
        <v>4319</v>
      </c>
      <c r="C3434" s="5" t="str">
        <f>IFERROR(__xludf.DUMMYFUNCTION("GOOGLETRANSLATE(B3434,""en"",""fr"")"),"La dame met un vernis clair sur les ongles décorés.")</f>
        <v>La dame met un vernis clair sur les ongles décorés.</v>
      </c>
    </row>
    <row r="3435">
      <c r="A3435" s="4" t="s">
        <v>4313</v>
      </c>
      <c r="B3435" s="4" t="s">
        <v>4320</v>
      </c>
      <c r="C3435" s="5" t="str">
        <f>IFERROR(__xludf.DUMMYFUNCTION("GOOGLETRANSLATE(B3435,""en"",""fr"")"),"Nous voyons la dame tourner les pages dans le magazine.")</f>
        <v>Nous voyons la dame tourner les pages dans le magazine.</v>
      </c>
    </row>
    <row r="3436">
      <c r="A3436" s="4" t="s">
        <v>4313</v>
      </c>
      <c r="B3436" s="4" t="s">
        <v>4321</v>
      </c>
      <c r="C3436" s="5" t="str">
        <f>IFERROR(__xludf.DUMMYFUNCTION("GOOGLETRANSLATE(B3436,""en"",""fr"")"),"Nous voyons l'écran de fin blanc.")</f>
        <v>Nous voyons l'écran de fin blanc.</v>
      </c>
    </row>
    <row r="3437">
      <c r="A3437" s="4" t="s">
        <v>4322</v>
      </c>
      <c r="B3437" s="4" t="s">
        <v>4323</v>
      </c>
      <c r="C3437" s="5" t="str">
        <f>IFERROR(__xludf.DUMMYFUNCTION("GOOGLETRANSLATE(B3437,""en"",""fr"")"),"Les gens glissent sur la glace.")</f>
        <v>Les gens glissent sur la glace.</v>
      </c>
    </row>
    <row r="3438">
      <c r="A3438" s="4" t="s">
        <v>4322</v>
      </c>
      <c r="B3438" s="4" t="s">
        <v>4324</v>
      </c>
      <c r="C3438" s="5" t="str">
        <f>IFERROR(__xludf.DUMMYFUNCTION("GOOGLETRANSLATE(B3438,""en"",""fr"")"),"Ils tiennent un bâton de curling et une balle.")</f>
        <v>Ils tiennent un bâton de curling et une balle.</v>
      </c>
    </row>
    <row r="3439">
      <c r="A3439" s="4" t="s">
        <v>4322</v>
      </c>
      <c r="B3439" s="4" t="s">
        <v>4325</v>
      </c>
      <c r="C3439" s="5" t="str">
        <f>IFERROR(__xludf.DUMMYFUNCTION("GOOGLETRANSLATE(B3439,""en"",""fr"")"),"Deux hommes en chemises blanches courent à côté de la personne glissant.")</f>
        <v>Deux hommes en chemises blanches courent à côté de la personne glissant.</v>
      </c>
    </row>
    <row r="3440">
      <c r="A3440" s="4" t="s">
        <v>4326</v>
      </c>
      <c r="B3440" s="6" t="s">
        <v>4327</v>
      </c>
      <c r="C3440" s="5" t="str">
        <f>IFERROR(__xludf.DUMMYFUNCTION("GOOGLETRANSLATE(B3440,""en"",""fr"")"),"Un homme est vu parler à la caméra suivi par lui posant plusieurs ingrédients et les faisant bouillir dans de l'eau.")</f>
        <v>Un homme est vu parler à la caméra suivi par lui posant plusieurs ingrédients et les faisant bouillir dans de l'eau.</v>
      </c>
    </row>
    <row r="3441">
      <c r="A3441" s="4" t="s">
        <v>4326</v>
      </c>
      <c r="B3441" s="4" t="s">
        <v>4328</v>
      </c>
      <c r="C3441" s="5" t="str">
        <f>IFERROR(__xludf.DUMMYFUNCTION("GOOGLETRANSLATE(B3441,""en"",""fr"")"),"Il verse ensuite plus de nourriture sous l'eau et dans un pot rempli d'eau.")</f>
        <v>Il verse ensuite plus de nourriture sous l'eau et dans un pot rempli d'eau.</v>
      </c>
    </row>
    <row r="3442">
      <c r="A3442" s="4" t="s">
        <v>4329</v>
      </c>
      <c r="B3442" s="4" t="s">
        <v>4330</v>
      </c>
      <c r="C3442" s="5" t="str">
        <f>IFERROR(__xludf.DUMMYFUNCTION("GOOGLETRANSLATE(B3442,""en"",""fr"")"),"Un grand groupe de personnes est vu debout sur un tapis et effectuer une routine les uns avec les autres.")</f>
        <v>Un grand groupe de personnes est vu debout sur un tapis et effectuer une routine les uns avec les autres.</v>
      </c>
    </row>
    <row r="3443">
      <c r="A3443" s="4" t="s">
        <v>4329</v>
      </c>
      <c r="B3443" s="6" t="s">
        <v>4331</v>
      </c>
      <c r="C3443" s="5" t="str">
        <f>IFERROR(__xludf.DUMMYFUNCTION("GOOGLETRANSLATE(B3443,""en"",""fr"")"),"Les gens font divers flips et astuces autour du tapis et se terminent par une pose et agitant le public.")</f>
        <v>Les gens font divers flips et astuces autour du tapis et se terminent par une pose et agitant le public.</v>
      </c>
    </row>
    <row r="3444">
      <c r="A3444" s="4" t="s">
        <v>4332</v>
      </c>
      <c r="B3444" s="4" t="s">
        <v>4333</v>
      </c>
      <c r="C3444" s="5" t="str">
        <f>IFERROR(__xludf.DUMMYFUNCTION("GOOGLETRANSLATE(B3444,""en"",""fr"")"),"Un gros plan d'un souffleur de feuilles est montré suivi de la caméra en regardant autour de la zone.")</f>
        <v>Un gros plan d'un souffleur de feuilles est montré suivi de la caméra en regardant autour de la zone.</v>
      </c>
    </row>
    <row r="3445">
      <c r="A3445" s="4" t="s">
        <v>4332</v>
      </c>
      <c r="B3445" s="4" t="s">
        <v>4334</v>
      </c>
      <c r="C3445" s="5" t="str">
        <f>IFERROR(__xludf.DUMMYFUNCTION("GOOGLETRANSLATE(B3445,""en"",""fr"")"),"Une main est ensuite vue en démarrant la machine et en poussant la machine autour de la cour.")</f>
        <v>Une main est ensuite vue en démarrant la machine et en poussant la machine autour de la cour.</v>
      </c>
    </row>
    <row r="3446">
      <c r="A3446" s="4" t="s">
        <v>4332</v>
      </c>
      <c r="B3446" s="6" t="s">
        <v>4335</v>
      </c>
      <c r="C3446" s="5" t="str">
        <f>IFERROR(__xludf.DUMMYFUNCTION("GOOGLETRANSLATE(B3446,""en"",""fr"")"),"L'homme éteint la machine et regarde autour de l'avant tout en pointant vers le haut de la machine.")</f>
        <v>L'homme éteint la machine et regarde autour de l'avant tout en pointant vers le haut de la machine.</v>
      </c>
    </row>
    <row r="3447">
      <c r="A3447" s="4" t="s">
        <v>4332</v>
      </c>
      <c r="B3447" s="4" t="s">
        <v>4336</v>
      </c>
      <c r="C3447" s="5" t="str">
        <f>IFERROR(__xludf.DUMMYFUNCTION("GOOGLETRANSLATE(B3447,""en"",""fr"")"),"La caméra se déroule autour de la machine et l'homme est montré en donnant un coup de pouce.")</f>
        <v>La caméra se déroule autour de la machine et l'homme est montré en donnant un coup de pouce.</v>
      </c>
    </row>
    <row r="3448">
      <c r="A3448" s="4" t="s">
        <v>4337</v>
      </c>
      <c r="B3448" s="4" t="s">
        <v>4338</v>
      </c>
      <c r="C3448" s="5" t="str">
        <f>IFERROR(__xludf.DUMMYFUNCTION("GOOGLETRANSLATE(B3448,""en"",""fr"")"),"Une dame est assise sur un canapé et discute.")</f>
        <v>Une dame est assise sur un canapé et discute.</v>
      </c>
    </row>
    <row r="3449">
      <c r="A3449" s="4" t="s">
        <v>4337</v>
      </c>
      <c r="B3449" s="4" t="s">
        <v>4339</v>
      </c>
      <c r="C3449" s="5" t="str">
        <f>IFERROR(__xludf.DUMMYFUNCTION("GOOGLETRANSLATE(B3449,""en"",""fr"")"),"La dame navigue dans un bateau.")</f>
        <v>La dame navigue dans un bateau.</v>
      </c>
    </row>
    <row r="3450">
      <c r="A3450" s="4" t="s">
        <v>4337</v>
      </c>
      <c r="B3450" s="4" t="s">
        <v>4340</v>
      </c>
      <c r="C3450" s="5" t="str">
        <f>IFERROR(__xludf.DUMMYFUNCTION("GOOGLETRANSLATE(B3450,""en"",""fr"")"),"La dame va à l'eau.")</f>
        <v>La dame va à l'eau.</v>
      </c>
    </row>
    <row r="3451">
      <c r="A3451" s="4" t="s">
        <v>4341</v>
      </c>
      <c r="B3451" s="4" t="s">
        <v>4342</v>
      </c>
      <c r="C3451" s="5" t="str">
        <f>IFERROR(__xludf.DUMMYFUNCTION("GOOGLETRANSLATE(B3451,""en"",""fr"")"),"Les gens montent des chevaux sur une route non pavée passant pour les bois et sur l'océan.")</f>
        <v>Les gens montent des chevaux sur une route non pavée passant pour les bois et sur l'océan.</v>
      </c>
    </row>
    <row r="3452">
      <c r="A3452" s="4" t="s">
        <v>4341</v>
      </c>
      <c r="B3452" s="6" t="s">
        <v>4343</v>
      </c>
      <c r="C3452" s="5" t="str">
        <f>IFERROR(__xludf.DUMMYFUNCTION("GOOGLETRANSLATE(B3452,""en"",""fr"")"),"Les gens arrivent dans un endroit et descendent du cheval, puis continuent de rouler sur les bois passants, la rivière, l'océan et les beaux paysages.")</f>
        <v>Les gens arrivent dans un endroit et descendent du cheval, puis continuent de rouler sur les bois passants, la rivière, l'océan et les beaux paysages.</v>
      </c>
    </row>
    <row r="3453">
      <c r="A3453" s="4" t="s">
        <v>4341</v>
      </c>
      <c r="B3453" s="4" t="s">
        <v>4344</v>
      </c>
      <c r="C3453" s="5" t="str">
        <f>IFERROR(__xludf.DUMMYFUNCTION("GOOGLETRANSLATE(B3453,""en"",""fr"")"),"Ensuite, les gens arrivent dans un camping, puis ils courent sur l'océan.")</f>
        <v>Ensuite, les gens arrivent dans un camping, puis ils courent sur l'océan.</v>
      </c>
    </row>
    <row r="3454">
      <c r="A3454" s="4" t="s">
        <v>4345</v>
      </c>
      <c r="B3454" s="4" t="s">
        <v>4346</v>
      </c>
      <c r="C3454" s="5" t="str">
        <f>IFERROR(__xludf.DUMMYFUNCTION("GOOGLETRANSLATE(B3454,""en"",""fr"")"),"Certains garçons sont dans les piscines jouant avec des balles de volley.")</f>
        <v>Certains garçons sont dans les piscines jouant avec des balles de volley.</v>
      </c>
    </row>
    <row r="3455">
      <c r="A3455" s="4" t="s">
        <v>4345</v>
      </c>
      <c r="B3455" s="6" t="s">
        <v>4347</v>
      </c>
      <c r="C3455" s="5" t="str">
        <f>IFERROR(__xludf.DUMMYFUNCTION("GOOGLETRANSLATE(B3455,""en"",""fr"")"),"Il y a une grande équipe de natation qui nage et lance le ballon à leurs coéquipiers, marquant.")</f>
        <v>Il y a une grande équipe de natation qui nage et lance le ballon à leurs coéquipiers, marquant.</v>
      </c>
    </row>
    <row r="3456">
      <c r="A3456" s="4" t="s">
        <v>4345</v>
      </c>
      <c r="B3456" s="4" t="s">
        <v>4348</v>
      </c>
      <c r="C3456" s="5" t="str">
        <f>IFERROR(__xludf.DUMMYFUNCTION("GOOGLETRANSLATE(B3456,""en"",""fr"")"),"Ensuite, il y a une équipe sur le classement en jouant au football drapeau.")</f>
        <v>Ensuite, il y a une équipe sur le classement en jouant au football drapeau.</v>
      </c>
    </row>
    <row r="3457">
      <c r="A3457" s="4" t="s">
        <v>4345</v>
      </c>
      <c r="B3457" s="4" t="s">
        <v>4349</v>
      </c>
      <c r="C3457" s="5" t="str">
        <f>IFERROR(__xludf.DUMMYFUNCTION("GOOGLETRANSLATE(B3457,""en"",""fr"")"),"Ils courent en essayant de marquer pour leur équipe.")</f>
        <v>Ils courent en essayant de marquer pour leur équipe.</v>
      </c>
    </row>
    <row r="3458">
      <c r="A3458" s="4" t="s">
        <v>4350</v>
      </c>
      <c r="B3458" s="6" t="s">
        <v>4351</v>
      </c>
      <c r="C3458" s="5" t="str">
        <f>IFERROR(__xludf.DUMMYFUNCTION("GOOGLETRANSLATE(B3458,""en"",""fr"")"),"Un évier en argent est illustré et un tuyau noir avec un épurateur au fond commence à nettoyer l'évier avec de la vapeur qui en sort.")</f>
        <v>Un évier en argent est illustré et un tuyau noir avec un épurateur au fond commence à nettoyer l'évier avec de la vapeur qui en sort.</v>
      </c>
    </row>
    <row r="3459">
      <c r="A3459" s="4" t="s">
        <v>4350</v>
      </c>
      <c r="B3459" s="6" t="s">
        <v>4352</v>
      </c>
      <c r="C3459" s="5" t="str">
        <f>IFERROR(__xludf.DUMMYFUNCTION("GOOGLETRANSLATE(B3459,""en"",""fr"")"),"Une fois terminé, la personne prend ensuite un chiffon blanc et va dans l'évier et lave l'humidité de la vapeur.")</f>
        <v>Une fois terminé, la personne prend ensuite un chiffon blanc et va dans l'évier et lave l'humidité de la vapeur.</v>
      </c>
    </row>
    <row r="3460">
      <c r="A3460" s="4" t="s">
        <v>4353</v>
      </c>
      <c r="B3460" s="4" t="s">
        <v>4354</v>
      </c>
      <c r="C3460" s="5" t="str">
        <f>IFERROR(__xludf.DUMMYFUNCTION("GOOGLETRANSLATE(B3460,""en"",""fr"")"),"Un homme se rend au Japon pour étudier comment être un lutteur de sumo.")</f>
        <v>Un homme se rend au Japon pour étudier comment être un lutteur de sumo.</v>
      </c>
    </row>
    <row r="3461">
      <c r="A3461" s="4" t="s">
        <v>4353</v>
      </c>
      <c r="B3461" s="4" t="s">
        <v>4355</v>
      </c>
      <c r="C3461" s="5" t="str">
        <f>IFERROR(__xludf.DUMMYFUNCTION("GOOGLETRANSLATE(B3461,""en"",""fr"")"),"L'homme obtient une formation et apprend les techniques de sumo.")</f>
        <v>L'homme obtient une formation et apprend les techniques de sumo.</v>
      </c>
    </row>
    <row r="3462">
      <c r="A3462" s="4" t="s">
        <v>4356</v>
      </c>
      <c r="B3462" s="4" t="s">
        <v>4357</v>
      </c>
      <c r="C3462" s="5" t="str">
        <f>IFERROR(__xludf.DUMMYFUNCTION("GOOGLETRANSLATE(B3462,""en"",""fr"")"),"Il y a plusieurs athlètes qui font un disque dans une bague extérieure.")</f>
        <v>Il y a plusieurs athlètes qui font un disque dans une bague extérieure.</v>
      </c>
    </row>
    <row r="3463">
      <c r="A3463" s="4" t="s">
        <v>4356</v>
      </c>
      <c r="B3463" s="6" t="s">
        <v>4358</v>
      </c>
      <c r="C3463" s="5" t="str">
        <f>IFERROR(__xludf.DUMMYFUNCTION("GOOGLETRANSLATE(B3463,""en"",""fr"")"),"Le premier athlète vêtu d'une chemise rouge et blanche commence le jet de disque à l'aide d'un disque d'un kilogramme et demi.")</f>
        <v>Le premier athlète vêtu d'une chemise rouge et blanche commence le jet de disque à l'aide d'un disque d'un kilogramme et demi.</v>
      </c>
    </row>
    <row r="3464">
      <c r="A3464" s="4" t="s">
        <v>4356</v>
      </c>
      <c r="B3464" s="4" t="s">
        <v>4359</v>
      </c>
      <c r="C3464" s="5" t="str">
        <f>IFERROR(__xludf.DUMMYFUNCTION("GOOGLETRANSLATE(B3464,""en"",""fr"")"),"Il tourne et tourne sur place et lance le disque.")</f>
        <v>Il tourne et tourne sur place et lance le disque.</v>
      </c>
    </row>
    <row r="3465">
      <c r="A3465" s="4" t="s">
        <v>4356</v>
      </c>
      <c r="B3465" s="4" t="s">
        <v>4360</v>
      </c>
      <c r="C3465" s="5" t="str">
        <f>IFERROR(__xludf.DUMMYFUNCTION("GOOGLETRANSLATE(B3465,""en"",""fr"")"),"Puis un autre athlète jette le disque mais sans succès.")</f>
        <v>Puis un autre athlète jette le disque mais sans succès.</v>
      </c>
    </row>
    <row r="3466">
      <c r="A3466" s="4" t="s">
        <v>4356</v>
      </c>
      <c r="B3466" s="6" t="s">
        <v>4361</v>
      </c>
      <c r="C3466" s="5" t="str">
        <f>IFERROR(__xludf.DUMMYFUNCTION("GOOGLETRANSLATE(B3466,""en"",""fr"")"),"L'athlète en bleu fait ensuite sa tentative de lancer du disque alors qu'il se balance et tourne pour lancer le disque.")</f>
        <v>L'athlète en bleu fait ensuite sa tentative de lancer du disque alors qu'il se balance et tourne pour lancer le disque.</v>
      </c>
    </row>
    <row r="3467">
      <c r="A3467" s="4" t="s">
        <v>4356</v>
      </c>
      <c r="B3467" s="4" t="s">
        <v>4362</v>
      </c>
      <c r="C3467" s="5" t="str">
        <f>IFERROR(__xludf.DUMMYFUNCTION("GOOGLETRANSLATE(B3467,""en"",""fr"")"),"Ensuite, un autre athlète qui a remporté la troisième place lance le disque avec succès.")</f>
        <v>Ensuite, un autre athlète qui a remporté la troisième place lance le disque avec succès.</v>
      </c>
    </row>
    <row r="3468">
      <c r="A3468" s="4" t="s">
        <v>4356</v>
      </c>
      <c r="B3468" s="4" t="s">
        <v>4363</v>
      </c>
      <c r="C3468" s="5" t="str">
        <f>IFERROR(__xludf.DUMMYFUNCTION("GOOGLETRANSLATE(B3468,""en"",""fr"")"),"D'autres athlètes viennent sur le ring et jettent le disque.")</f>
        <v>D'autres athlètes viennent sur le ring et jettent le disque.</v>
      </c>
    </row>
    <row r="3469">
      <c r="A3469" s="4" t="s">
        <v>4356</v>
      </c>
      <c r="B3469" s="4" t="s">
        <v>4364</v>
      </c>
      <c r="C3469" s="5" t="str">
        <f>IFERROR(__xludf.DUMMYFUNCTION("GOOGLETRANSLATE(B3469,""en"",""fr"")"),"Les gradins du stade ne sont pas remplis de spectateurs suffisants pour des raisons de sécurité.")</f>
        <v>Les gradins du stade ne sont pas remplis de spectateurs suffisants pour des raisons de sécurité.</v>
      </c>
    </row>
    <row r="3470">
      <c r="A3470" s="4" t="s">
        <v>4365</v>
      </c>
      <c r="B3470" s="4" t="s">
        <v>4366</v>
      </c>
      <c r="C3470" s="5" t="str">
        <f>IFERROR(__xludf.DUMMYFUNCTION("GOOGLETRANSLATE(B3470,""en"",""fr"")"),"Les crédits du clip sont affichés.")</f>
        <v>Les crédits du clip sont affichés.</v>
      </c>
    </row>
    <row r="3471">
      <c r="A3471" s="4" t="s">
        <v>4365</v>
      </c>
      <c r="B3471" s="4" t="s">
        <v>4367</v>
      </c>
      <c r="C3471" s="5" t="str">
        <f>IFERROR(__xludf.DUMMYFUNCTION("GOOGLETRANSLATE(B3471,""en"",""fr"")"),"Une personne se fissure les mains.")</f>
        <v>Une personne se fissure les mains.</v>
      </c>
    </row>
    <row r="3472">
      <c r="A3472" s="4" t="s">
        <v>4365</v>
      </c>
      <c r="B3472" s="4" t="s">
        <v>4368</v>
      </c>
      <c r="C3472" s="5" t="str">
        <f>IFERROR(__xludf.DUMMYFUNCTION("GOOGLETRANSLATE(B3472,""en"",""fr"")"),"Les oiseaux affluent le ciel au-dessus de la piste de terre.")</f>
        <v>Les oiseaux affluent le ciel au-dessus de la piste de terre.</v>
      </c>
    </row>
    <row r="3473">
      <c r="A3473" s="4" t="s">
        <v>4365</v>
      </c>
      <c r="B3473" s="4" t="s">
        <v>4369</v>
      </c>
      <c r="C3473" s="5" t="str">
        <f>IFERROR(__xludf.DUMMYFUNCTION("GOOGLETRANSLATE(B3473,""en"",""fr"")"),"L'ombre d'une personne se déplace sur la surface d'une remorque blanche.")</f>
        <v>L'ombre d'une personne se déplace sur la surface d'une remorque blanche.</v>
      </c>
    </row>
    <row r="3474">
      <c r="A3474" s="4" t="s">
        <v>4365</v>
      </c>
      <c r="B3474" s="4" t="s">
        <v>4370</v>
      </c>
      <c r="C3474" s="5" t="str">
        <f>IFERROR(__xludf.DUMMYFUNCTION("GOOGLETRANSLATE(B3474,""en"",""fr"")"),"Une personne fait un vélo de saleté.")</f>
        <v>Une personne fait un vélo de saleté.</v>
      </c>
    </row>
    <row r="3475">
      <c r="A3475" s="4" t="s">
        <v>4365</v>
      </c>
      <c r="B3475" s="4" t="s">
        <v>4371</v>
      </c>
      <c r="C3475" s="5" t="str">
        <f>IFERROR(__xludf.DUMMYFUNCTION("GOOGLETRANSLATE(B3475,""en"",""fr"")"),"Une personne pelle de la saleté.")</f>
        <v>Une personne pelle de la saleté.</v>
      </c>
    </row>
    <row r="3476">
      <c r="A3476" s="4" t="s">
        <v>4365</v>
      </c>
      <c r="B3476" s="4" t="s">
        <v>4372</v>
      </c>
      <c r="C3476" s="5" t="str">
        <f>IFERROR(__xludf.DUMMYFUNCTION("GOOGLETRANSLATE(B3476,""en"",""fr"")"),"Une personne se tient avec un signe au bout de la piste de course de saleté.")</f>
        <v>Une personne se tient avec un signe au bout de la piste de course de saleté.</v>
      </c>
    </row>
    <row r="3477">
      <c r="A3477" s="4" t="s">
        <v>4365</v>
      </c>
      <c r="B3477" s="4" t="s">
        <v>4373</v>
      </c>
      <c r="C3477" s="5" t="str">
        <f>IFERROR(__xludf.DUMMYFUNCTION("GOOGLETRANSLATE(B3477,""en"",""fr"")"),"Une personne soulève un vélo de terre et place sur un tabouret.")</f>
        <v>Une personne soulève un vélo de terre et place sur un tabouret.</v>
      </c>
    </row>
    <row r="3478">
      <c r="A3478" s="4" t="s">
        <v>4365</v>
      </c>
      <c r="B3478" s="4" t="s">
        <v>4374</v>
      </c>
      <c r="C3478" s="5" t="str">
        <f>IFERROR(__xludf.DUMMYFUNCTION("GOOGLETRANSLATE(B3478,""en"",""fr"")"),"Un enfant mâle court et sourit.")</f>
        <v>Un enfant mâle court et sourit.</v>
      </c>
    </row>
    <row r="3479">
      <c r="A3479" s="4" t="s">
        <v>4365</v>
      </c>
      <c r="B3479" s="4" t="s">
        <v>4375</v>
      </c>
      <c r="C3479" s="5" t="str">
        <f>IFERROR(__xludf.DUMMYFUNCTION("GOOGLETRANSLATE(B3479,""en"",""fr"")"),"Un hélicoptère plane sur la piste de course.")</f>
        <v>Un hélicoptère plane sur la piste de course.</v>
      </c>
    </row>
    <row r="3480">
      <c r="A3480" s="4" t="s">
        <v>4365</v>
      </c>
      <c r="B3480" s="4" t="s">
        <v>4376</v>
      </c>
      <c r="C3480" s="5" t="str">
        <f>IFERROR(__xludf.DUMMYFUNCTION("GOOGLETRANSLATE(B3480,""en"",""fr"")"),"Une dame tire sur le casque d'un cavalier.")</f>
        <v>Une dame tire sur le casque d'un cavalier.</v>
      </c>
    </row>
    <row r="3481">
      <c r="A3481" s="4" t="s">
        <v>4365</v>
      </c>
      <c r="B3481" s="4" t="s">
        <v>573</v>
      </c>
      <c r="C3481" s="5" t="str">
        <f>IFERROR(__xludf.DUMMYFUNCTION("GOOGLETRANSLATE(B3481,""en"",""fr"")"),"Les crédits de la vidéo sont affichés.")</f>
        <v>Les crédits de la vidéo sont affichés.</v>
      </c>
    </row>
    <row r="3482">
      <c r="A3482" s="4" t="s">
        <v>4377</v>
      </c>
      <c r="B3482" s="4" t="s">
        <v>4378</v>
      </c>
      <c r="C3482" s="5" t="str">
        <f>IFERROR(__xludf.DUMMYFUNCTION("GOOGLETRANSLATE(B3482,""en"",""fr"")"),"Un homme est montré en regardant au loin tandis qu'un autre tient une balle à une table de pong de bière.")</f>
        <v>Un homme est montré en regardant au loin tandis qu'un autre tient une balle à une table de pong de bière.</v>
      </c>
    </row>
    <row r="3483">
      <c r="A3483" s="4" t="s">
        <v>4377</v>
      </c>
      <c r="B3483" s="4" t="s">
        <v>4379</v>
      </c>
      <c r="C3483" s="5" t="str">
        <f>IFERROR(__xludf.DUMMYFUNCTION("GOOGLETRANSLATE(B3483,""en"",""fr"")"),"La caméra montre la balle frappant la table et atterrissant dans la tasse de l'autre côté.")</f>
        <v>La caméra montre la balle frappant la table et atterrissant dans la tasse de l'autre côté.</v>
      </c>
    </row>
    <row r="3484">
      <c r="A3484" s="4" t="s">
        <v>4377</v>
      </c>
      <c r="B3484" s="4" t="s">
        <v>4380</v>
      </c>
      <c r="C3484" s="5" t="str">
        <f>IFERROR(__xludf.DUMMYFUNCTION("GOOGLETRANSLATE(B3484,""en"",""fr"")"),"Le premier homme regarde la tasse et grimace à ce qu'il voit.")</f>
        <v>Le premier homme regarde la tasse et grimace à ce qu'il voit.</v>
      </c>
    </row>
    <row r="3485">
      <c r="A3485" s="4" t="s">
        <v>4381</v>
      </c>
      <c r="B3485" s="4" t="s">
        <v>4382</v>
      </c>
      <c r="C3485" s="5" t="str">
        <f>IFERROR(__xludf.DUMMYFUNCTION("GOOGLETRANSLATE(B3485,""en"",""fr"")"),"Il y a un homme portant un costume d'athlétisme noir dans un terrain de lancer du lancer du terrain.")</f>
        <v>Il y a un homme portant un costume d'athlétisme noir dans un terrain de lancer du lancer du terrain.</v>
      </c>
    </row>
    <row r="3486">
      <c r="A3486" s="4" t="s">
        <v>4381</v>
      </c>
      <c r="B3486" s="4" t="s">
        <v>4383</v>
      </c>
      <c r="C3486" s="5" t="str">
        <f>IFERROR(__xludf.DUMMYFUNCTION("GOOGLETRANSLATE(B3486,""en"",""fr"")"),"Il commence par prendre le ballon dans sa main et le tenant contre son cou.")</f>
        <v>Il commence par prendre le ballon dans sa main et le tenant contre son cou.</v>
      </c>
    </row>
    <row r="3487">
      <c r="A3487" s="4" t="s">
        <v>4381</v>
      </c>
      <c r="B3487" s="4" t="s">
        <v>4384</v>
      </c>
      <c r="C3487" s="5" t="str">
        <f>IFERROR(__xludf.DUMMYFUNCTION("GOOGLETRANSLATE(B3487,""en"",""fr"")"),"Puis il tourne et lance le ballon bien en avant.")</f>
        <v>Puis il tourne et lance le ballon bien en avant.</v>
      </c>
    </row>
    <row r="3488">
      <c r="A3488" s="4" t="s">
        <v>4385</v>
      </c>
      <c r="B3488" s="4" t="s">
        <v>4386</v>
      </c>
      <c r="C3488" s="5" t="str">
        <f>IFERROR(__xludf.DUMMYFUNCTION("GOOGLETRANSLATE(B3488,""en"",""fr"")"),"Nous voyons un homme tondre une pelouse.")</f>
        <v>Nous voyons un homme tondre une pelouse.</v>
      </c>
    </row>
    <row r="3489">
      <c r="A3489" s="4" t="s">
        <v>4385</v>
      </c>
      <c r="B3489" s="4" t="s">
        <v>4387</v>
      </c>
      <c r="C3489" s="5" t="str">
        <f>IFERROR(__xludf.DUMMYFUNCTION("GOOGLETRANSLATE(B3489,""en"",""fr"")"),"Il se tient dans les escaliers pour tondre.")</f>
        <v>Il se tient dans les escaliers pour tondre.</v>
      </c>
    </row>
    <row r="3490">
      <c r="A3490" s="4" t="s">
        <v>4385</v>
      </c>
      <c r="B3490" s="4" t="s">
        <v>4388</v>
      </c>
      <c r="C3490" s="5" t="str">
        <f>IFERROR(__xludf.DUMMYFUNCTION("GOOGLETRANSLATE(B3490,""en"",""fr"")"),"Il passe à une femme de tonte.")</f>
        <v>Il passe à une femme de tonte.</v>
      </c>
    </row>
    <row r="3491">
      <c r="A3491" s="4" t="s">
        <v>4385</v>
      </c>
      <c r="B3491" s="4" t="s">
        <v>4389</v>
      </c>
      <c r="C3491" s="5" t="str">
        <f>IFERROR(__xludf.DUMMYFUNCTION("GOOGLETRANSLATE(B3491,""en"",""fr"")"),"Cela revient à l'homme tondre.")</f>
        <v>Cela revient à l'homme tondre.</v>
      </c>
    </row>
    <row r="3492">
      <c r="A3492" s="4" t="s">
        <v>4385</v>
      </c>
      <c r="B3492" s="4" t="s">
        <v>4390</v>
      </c>
      <c r="C3492" s="5" t="str">
        <f>IFERROR(__xludf.DUMMYFUNCTION("GOOGLETRANSLATE(B3492,""en"",""fr"")"),"L'homme met la tondeuse dans le hangar et entre dans la maison.")</f>
        <v>L'homme met la tondeuse dans le hangar et entre dans la maison.</v>
      </c>
    </row>
    <row r="3493">
      <c r="A3493" s="4" t="s">
        <v>4391</v>
      </c>
      <c r="B3493" s="4" t="s">
        <v>4392</v>
      </c>
      <c r="C3493" s="5" t="str">
        <f>IFERROR(__xludf.DUMMYFUNCTION("GOOGLETRANSLATE(B3493,""en"",""fr"")"),"Une intro entre dans l'écran pour une vidéo sur la suppression du paillis.")</f>
        <v>Une intro entre dans l'écran pour une vidéo sur la suppression du paillis.</v>
      </c>
    </row>
    <row r="3494">
      <c r="A3494" s="4" t="s">
        <v>4391</v>
      </c>
      <c r="B3494" s="4" t="s">
        <v>4393</v>
      </c>
      <c r="C3494" s="5" t="str">
        <f>IFERROR(__xludf.DUMMYFUNCTION("GOOGLETRANSLATE(B3494,""en"",""fr"")"),"Un homme creuse son talon dans la base d'un arbre pour repousser le paillis.")</f>
        <v>Un homme creuse son talon dans la base d'un arbre pour repousser le paillis.</v>
      </c>
    </row>
    <row r="3495">
      <c r="A3495" s="4" t="s">
        <v>4391</v>
      </c>
      <c r="B3495" s="6" t="s">
        <v>4394</v>
      </c>
      <c r="C3495" s="5" t="str">
        <f>IFERROR(__xludf.DUMMYFUNCTION("GOOGLETRANSLATE(B3495,""en"",""fr"")"),"Il se met à genoux et commence à retirer le paillis à la main en le poussant plus loin de la base de l'arbre.")</f>
        <v>Il se met à genoux et commence à retirer le paillis à la main en le poussant plus loin de la base de l'arbre.</v>
      </c>
    </row>
    <row r="3496">
      <c r="A3496" s="4" t="s">
        <v>4391</v>
      </c>
      <c r="B3496" s="4" t="s">
        <v>4395</v>
      </c>
      <c r="C3496" s="5" t="str">
        <f>IFERROR(__xludf.DUMMYFUNCTION("GOOGLETRANSLATE(B3496,""en"",""fr"")"),"Il sort des tondeuses et coupe certaines racines.")</f>
        <v>Il sort des tondeuses et coupe certaines racines.</v>
      </c>
    </row>
    <row r="3497">
      <c r="A3497" s="4" t="s">
        <v>4391</v>
      </c>
      <c r="B3497" s="4" t="s">
        <v>4396</v>
      </c>
      <c r="C3497" s="5" t="str">
        <f>IFERROR(__xludf.DUMMYFUNCTION("GOOGLETRANSLATE(B3497,""en"",""fr"")"),"Enfin, la vidéo se termine par les légendes de clôture.")</f>
        <v>Enfin, la vidéo se termine par les légendes de clôture.</v>
      </c>
    </row>
    <row r="3498">
      <c r="A3498" s="4" t="s">
        <v>4397</v>
      </c>
      <c r="B3498" s="4" t="s">
        <v>4398</v>
      </c>
      <c r="C3498" s="5" t="str">
        <f>IFERROR(__xludf.DUMMYFUNCTION("GOOGLETRANSLATE(B3498,""en"",""fr"")"),"Une femme tricote ce qui semble être un foulard alors qu'il était assis devant un clavier d'ordinateur.")</f>
        <v>Une femme tricote ce qui semble être un foulard alors qu'il était assis devant un clavier d'ordinateur.</v>
      </c>
    </row>
    <row r="3499">
      <c r="A3499" s="4" t="s">
        <v>4397</v>
      </c>
      <c r="B3499" s="4" t="s">
        <v>4399</v>
      </c>
      <c r="C3499" s="5" t="str">
        <f>IFERROR(__xludf.DUMMYFUNCTION("GOOGLETRANSLATE(B3499,""en"",""fr"")"),"Elle utilise les aiguilles pour faire le foulard.")</f>
        <v>Elle utilise les aiguilles pour faire le foulard.</v>
      </c>
    </row>
    <row r="3500">
      <c r="A3500" s="4" t="s">
        <v>4397</v>
      </c>
      <c r="B3500" s="4" t="s">
        <v>4400</v>
      </c>
      <c r="C3500" s="5" t="str">
        <f>IFERROR(__xludf.DUMMYFUNCTION("GOOGLETRANSLATE(B3500,""en"",""fr"")"),"Elle tire le fil avec la boucle plusieurs fois.")</f>
        <v>Elle tire le fil avec la boucle plusieurs fois.</v>
      </c>
    </row>
    <row r="3501">
      <c r="A3501" s="4" t="s">
        <v>4401</v>
      </c>
      <c r="B3501" s="4" t="s">
        <v>4402</v>
      </c>
      <c r="C3501" s="5" t="str">
        <f>IFERROR(__xludf.DUMMYFUNCTION("GOOGLETRANSLATE(B3501,""en"",""fr"")"),"On voit la main d'une personne jetant plusieurs fléchettes sur une planche de l'autre côté de la pièce.")</f>
        <v>On voit la main d'une personne jetant plusieurs fléchettes sur une planche de l'autre côté de la pièce.</v>
      </c>
    </row>
    <row r="3502">
      <c r="A3502" s="4" t="s">
        <v>4401</v>
      </c>
      <c r="B3502" s="6" t="s">
        <v>4403</v>
      </c>
      <c r="C3502" s="5" t="str">
        <f>IFERROR(__xludf.DUMMYFUNCTION("GOOGLETRANSLATE(B3502,""en"",""fr"")"),"La caméra se rapproche ensuite de la planche et zoome sur l'emplacement de l'endroit où les fléchettes sont lancées.")</f>
        <v>La caméra se rapproche ensuite de la planche et zoome sur l'emplacement de l'endroit où les fléchettes sont lancées.</v>
      </c>
    </row>
    <row r="3503">
      <c r="A3503" s="4" t="s">
        <v>4404</v>
      </c>
      <c r="B3503" s="4" t="s">
        <v>4405</v>
      </c>
      <c r="C3503" s="5" t="str">
        <f>IFERROR(__xludf.DUMMYFUNCTION("GOOGLETRANSLATE(B3503,""en"",""fr"")"),"Un groupe de personnes est vu sur un court de tennis avec 4 hommes jouant ensemble.")</f>
        <v>Un groupe de personnes est vu sur un court de tennis avec 4 hommes jouant ensemble.</v>
      </c>
    </row>
    <row r="3504">
      <c r="A3504" s="4" t="s">
        <v>4404</v>
      </c>
      <c r="B3504" s="6" t="s">
        <v>4406</v>
      </c>
      <c r="C3504" s="5" t="str">
        <f>IFERROR(__xludf.DUMMYFUNCTION("GOOGLETRANSLATE(B3504,""en"",""fr"")"),"Ils continuent de jouer le jeu et la quatrième les uns avec les autres tandis que les autres jouent en arrière-plan.")</f>
        <v>Ils continuent de jouer le jeu et la quatrième les uns avec les autres tandis que les autres jouent en arrière-plan.</v>
      </c>
    </row>
    <row r="3505">
      <c r="A3505" s="4" t="s">
        <v>4407</v>
      </c>
      <c r="B3505" s="4" t="s">
        <v>4408</v>
      </c>
      <c r="C3505" s="5" t="str">
        <f>IFERROR(__xludf.DUMMYFUNCTION("GOOGLETRANSLATE(B3505,""en"",""fr"")"),"Deux hommes sont vus se tenant les mains et se déplaçant l'un vers l'autre la lutte du bras latéral.")</f>
        <v>Deux hommes sont vus se tenant les mains et se déplaçant l'un vers l'autre la lutte du bras latéral.</v>
      </c>
    </row>
    <row r="3506">
      <c r="A3506" s="4" t="s">
        <v>4407</v>
      </c>
      <c r="B3506" s="4" t="s">
        <v>4409</v>
      </c>
      <c r="C3506" s="5" t="str">
        <f>IFERROR(__xludf.DUMMYFUNCTION("GOOGLETRANSLATE(B3506,""en"",""fr"")"),"Les hommes se débattent un peu et se termine par l'une qui claque de l'autre.")</f>
        <v>Les hommes se débattent un peu et se termine par l'une qui claque de l'autre.</v>
      </c>
    </row>
    <row r="3507">
      <c r="A3507" s="4" t="s">
        <v>4410</v>
      </c>
      <c r="B3507" s="4" t="s">
        <v>4411</v>
      </c>
      <c r="C3507" s="5" t="str">
        <f>IFERROR(__xludf.DUMMYFUNCTION("GOOGLETRANSLATE(B3507,""en"",""fr"")"),"Un jeune homme joue du violon tout en portant des casques.")</f>
        <v>Un jeune homme joue du violon tout en portant des casques.</v>
      </c>
    </row>
    <row r="3508">
      <c r="A3508" s="4" t="s">
        <v>4410</v>
      </c>
      <c r="B3508" s="4" t="s">
        <v>4412</v>
      </c>
      <c r="C3508" s="5" t="str">
        <f>IFERROR(__xludf.DUMMYFUNCTION("GOOGLETRANSLATE(B3508,""en"",""fr"")"),"Ensuite, le jeune homme finit de jouer et enlève les casques.")</f>
        <v>Ensuite, le jeune homme finit de jouer et enlève les casques.</v>
      </c>
    </row>
    <row r="3509">
      <c r="A3509" s="4" t="s">
        <v>4413</v>
      </c>
      <c r="B3509" s="4" t="s">
        <v>4414</v>
      </c>
      <c r="C3509" s="5" t="str">
        <f>IFERROR(__xludf.DUMMYFUNCTION("GOOGLETRANSLATE(B3509,""en"",""fr"")"),"Plusieurs motards de terre se tiennent sous un garage derrière un stand se préparant à courir.")</f>
        <v>Plusieurs motards de terre se tiennent sous un garage derrière un stand se préparant à courir.</v>
      </c>
    </row>
    <row r="3510">
      <c r="A3510" s="4" t="s">
        <v>4413</v>
      </c>
      <c r="B3510" s="4" t="s">
        <v>4415</v>
      </c>
      <c r="C3510" s="5" t="str">
        <f>IFERROR(__xludf.DUMMYFUNCTION("GOOGLETRANSLATE(B3510,""en"",""fr"")"),"Quelqu'un appelle une marque et ils se lèvent tous sur ses pédales se préparant à être libérée.")</f>
        <v>Quelqu'un appelle une marque et ils se lèvent tous sur ses pédales se préparant à être libérée.</v>
      </c>
    </row>
    <row r="3511">
      <c r="A3511" s="4" t="s">
        <v>4413</v>
      </c>
      <c r="B3511" s="6" t="s">
        <v>4416</v>
      </c>
      <c r="C3511" s="5" t="str">
        <f>IFERROR(__xludf.DUMMYFUNCTION("GOOGLETRANSLATE(B3511,""en"",""fr"")"),"Le bar est finalement déçu et les garçons commencent à courir tout au long de la piste qui est couverte de collines alors que les gens se tiennent tout au long pour les regarder.")</f>
        <v>Le bar est finalement déçu et les garçons commencent à courir tout au long de la piste qui est couverte de collines alors que les gens se tiennent tout au long pour les regarder.</v>
      </c>
    </row>
    <row r="3512">
      <c r="A3512" s="4" t="s">
        <v>4417</v>
      </c>
      <c r="B3512" s="4" t="s">
        <v>4418</v>
      </c>
      <c r="C3512" s="5" t="str">
        <f>IFERROR(__xludf.DUMMYFUNCTION("GOOGLETRANSLATE(B3512,""en"",""fr"")"),"Un homme essaie de s'équilibrer sur une corde, il marche dessus et fait un retournement.")</f>
        <v>Un homme essaie de s'équilibrer sur une corde, il marche dessus et fait un retournement.</v>
      </c>
    </row>
    <row r="3513">
      <c r="A3513" s="4" t="s">
        <v>4417</v>
      </c>
      <c r="B3513" s="4" t="s">
        <v>4419</v>
      </c>
      <c r="C3513" s="5" t="str">
        <f>IFERROR(__xludf.DUMMYFUNCTION("GOOGLETRANSLATE(B3513,""en"",""fr"")"),"Il revient sur la corde et fait un autre retour au dos.")</f>
        <v>Il revient sur la corde et fait un autre retour au dos.</v>
      </c>
    </row>
    <row r="3514">
      <c r="A3514" s="4" t="s">
        <v>4417</v>
      </c>
      <c r="B3514" s="4" t="s">
        <v>4420</v>
      </c>
      <c r="C3514" s="5" t="str">
        <f>IFERROR(__xludf.DUMMYFUNCTION("GOOGLETRANSLATE(B3514,""en"",""fr"")"),"Il saisit la corde super serrée avec ses pieds pendant qu'il traverse.")</f>
        <v>Il saisit la corde super serrée avec ses pieds pendant qu'il traverse.</v>
      </c>
    </row>
    <row r="3515">
      <c r="A3515" s="4" t="s">
        <v>4417</v>
      </c>
      <c r="B3515" s="4" t="s">
        <v>4421</v>
      </c>
      <c r="C3515" s="5" t="str">
        <f>IFERROR(__xludf.DUMMYFUNCTION("GOOGLETRANSLATE(B3515,""en"",""fr"")"),"Il a du mal à équilibrer, commence à reculer.")</f>
        <v>Il a du mal à équilibrer, commence à reculer.</v>
      </c>
    </row>
    <row r="3516">
      <c r="A3516" s="4" t="s">
        <v>4422</v>
      </c>
      <c r="B3516" s="4" t="s">
        <v>4423</v>
      </c>
      <c r="C3516" s="5" t="str">
        <f>IFERROR(__xludf.DUMMYFUNCTION("GOOGLETRANSLATE(B3516,""en"",""fr"")"),"Les gens sont du snowboard sur une colline de neige.")</f>
        <v>Les gens sont du snowboard sur une colline de neige.</v>
      </c>
    </row>
    <row r="3517">
      <c r="A3517" s="4" t="s">
        <v>4422</v>
      </c>
      <c r="B3517" s="4" t="s">
        <v>4424</v>
      </c>
      <c r="C3517" s="5" t="str">
        <f>IFERROR(__xludf.DUMMYFUNCTION("GOOGLETRANSLATE(B3517,""en"",""fr"")"),"Un homme en lunettes rouges se tient dans la neige.")</f>
        <v>Un homme en lunettes rouges se tient dans la neige.</v>
      </c>
    </row>
    <row r="3518">
      <c r="A3518" s="4" t="s">
        <v>4422</v>
      </c>
      <c r="B3518" s="4" t="s">
        <v>4425</v>
      </c>
      <c r="C3518" s="5" t="str">
        <f>IFERROR(__xludf.DUMMYFUNCTION("GOOGLETRANSLATE(B3518,""en"",""fr"")"),"Les gens montent un ski soulevant la montagne.")</f>
        <v>Les gens montent un ski soulevant la montagne.</v>
      </c>
    </row>
    <row r="3519">
      <c r="A3519" s="4" t="s">
        <v>4426</v>
      </c>
      <c r="B3519" s="6" t="s">
        <v>4427</v>
      </c>
      <c r="C3519" s="5" t="str">
        <f>IFERROR(__xludf.DUMMYFUNCTION("GOOGLETRANSLATE(B3519,""en"",""fr"")"),"Il y a un homme vêtu d'une tenue formelle avec chemise et cravate démontrant comment faire un cocktail appelé Pimms.")</f>
        <v>Il y a un homme vêtu d'une tenue formelle avec chemise et cravate démontrant comment faire un cocktail appelé Pimms.</v>
      </c>
    </row>
    <row r="3520">
      <c r="A3520" s="4" t="s">
        <v>4426</v>
      </c>
      <c r="B3520" s="4" t="s">
        <v>4428</v>
      </c>
      <c r="C3520" s="5" t="str">
        <f>IFERROR(__xludf.DUMMYFUNCTION("GOOGLETRANSLATE(B3520,""en"",""fr"")"),"Il met des glaçons dans un verre Talll, puis y ajoute des Pimms.")</f>
        <v>Il met des glaçons dans un verre Talll, puis y ajoute des Pimms.</v>
      </c>
    </row>
    <row r="3521">
      <c r="A3521" s="4" t="s">
        <v>4426</v>
      </c>
      <c r="B3521" s="4" t="s">
        <v>4429</v>
      </c>
      <c r="C3521" s="5" t="str">
        <f>IFERROR(__xludf.DUMMYFUNCTION("GOOGLETRANSLATE(B3521,""en"",""fr"")"),"Il tranche des citrons et met les citrons avec une cerise sur un cure-dent.")</f>
        <v>Il tranche des citrons et met les citrons avec une cerise sur un cure-dent.</v>
      </c>
    </row>
    <row r="3522">
      <c r="A3522" s="4" t="s">
        <v>4426</v>
      </c>
      <c r="B3522" s="4" t="s">
        <v>4430</v>
      </c>
      <c r="C3522" s="5" t="str">
        <f>IFERROR(__xludf.DUMMYFUNCTION("GOOGLETRANSLATE(B3522,""en"",""fr"")"),"Puis il met une tranche de concombre qui est coupé dans le sens de la longueur dans le cocktail.")</f>
        <v>Puis il met une tranche de concombre qui est coupé dans le sens de la longueur dans le cocktail.</v>
      </c>
    </row>
    <row r="3523">
      <c r="A3523" s="4" t="s">
        <v>4431</v>
      </c>
      <c r="B3523" s="6" t="s">
        <v>4432</v>
      </c>
      <c r="C3523" s="5" t="str">
        <f>IFERROR(__xludf.DUMMYFUNCTION("GOOGLETRANSLATE(B3523,""en"",""fr"")"),"Deux équipes sont dans la fin de la corde pendant que les gens regardent et deux personnes prennent des photos.")</f>
        <v>Deux équipes sont dans la fin de la corde pendant que les gens regardent et deux personnes prennent des photos.</v>
      </c>
    </row>
    <row r="3524">
      <c r="A3524" s="4" t="s">
        <v>4431</v>
      </c>
      <c r="B3524" s="4" t="s">
        <v>4433</v>
      </c>
      <c r="C3524" s="5" t="str">
        <f>IFERROR(__xludf.DUMMYFUNCTION("GOOGLETRANSLATE(B3524,""en"",""fr"")"),"Les deux équipes ont commencé à tirer la corde.")</f>
        <v>Les deux équipes ont commencé à tirer la corde.</v>
      </c>
    </row>
    <row r="3525">
      <c r="A3525" s="4" t="s">
        <v>4431</v>
      </c>
      <c r="B3525" s="6" t="s">
        <v>4434</v>
      </c>
      <c r="C3525" s="5" t="str">
        <f>IFERROR(__xludf.DUMMYFUNCTION("GOOGLETRANSLATE(B3525,""en"",""fr"")"),"L'équipe en chemise jaune a gagné, puis deux équipes se serrent la main et se serraient serrées, puis ont donné un arc.")</f>
        <v>L'équipe en chemise jaune a gagné, puis deux équipes se serrent la main et se serraient serrées, puis ont donné un arc.</v>
      </c>
    </row>
    <row r="3526">
      <c r="A3526" s="4" t="s">
        <v>4435</v>
      </c>
      <c r="B3526" s="4" t="s">
        <v>4436</v>
      </c>
      <c r="C3526" s="5" t="str">
        <f>IFERROR(__xludf.DUMMYFUNCTION("GOOGLETRANSLATE(B3526,""en"",""fr"")"),"Une femme parle dans une cuisine, puis elle montre une brosse.")</f>
        <v>Une femme parle dans une cuisine, puis elle montre une brosse.</v>
      </c>
    </row>
    <row r="3527">
      <c r="A3527" s="4" t="s">
        <v>4435</v>
      </c>
      <c r="B3527" s="6" t="s">
        <v>4437</v>
      </c>
      <c r="C3527" s="5" t="str">
        <f>IFERROR(__xludf.DUMMYFUNCTION("GOOGLETRANSLATE(B3527,""en"",""fr"")"),"La femme ouvre le robinet et lave un plat avec la brosse, puis elle lui brosse la main tout en expliquant.")</f>
        <v>La femme ouvre le robinet et lave un plat avec la brosse, puis elle lui brosse la main tout en expliquant.</v>
      </c>
    </row>
    <row r="3528">
      <c r="A3528" s="4" t="s">
        <v>4435</v>
      </c>
      <c r="B3528" s="4" t="s">
        <v>4438</v>
      </c>
      <c r="C3528" s="5" t="str">
        <f>IFERROR(__xludf.DUMMYFUNCTION("GOOGLETRANSLATE(B3528,""en"",""fr"")"),"Ensuite, elle lave un plat avec la brosse, puis elle explique le pinceau.")</f>
        <v>Ensuite, elle lave un plat avec la brosse, puis elle explique le pinceau.</v>
      </c>
    </row>
    <row r="3529">
      <c r="A3529" s="4" t="s">
        <v>4439</v>
      </c>
      <c r="B3529" s="4" t="s">
        <v>4440</v>
      </c>
      <c r="C3529" s="5" t="str">
        <f>IFERROR(__xludf.DUMMYFUNCTION("GOOGLETRANSLATE(B3529,""en"",""fr"")"),"Une danseuse se positionne pour commencer sa danse.")</f>
        <v>Une danseuse se positionne pour commencer sa danse.</v>
      </c>
    </row>
    <row r="3530">
      <c r="A3530" s="4" t="s">
        <v>4439</v>
      </c>
      <c r="B3530" s="4" t="s">
        <v>4441</v>
      </c>
      <c r="C3530" s="5" t="str">
        <f>IFERROR(__xludf.DUMMYFUNCTION("GOOGLETRANSLATE(B3530,""en"",""fr"")"),"La danseuse interprète sa routine de danse tenant une baguette.")</f>
        <v>La danseuse interprète sa routine de danse tenant une baguette.</v>
      </c>
    </row>
    <row r="3531">
      <c r="A3531" s="4" t="s">
        <v>4439</v>
      </c>
      <c r="B3531" s="6" t="s">
        <v>4442</v>
      </c>
      <c r="C3531" s="5" t="str">
        <f>IFERROR(__xludf.DUMMYFUNCTION("GOOGLETRANSLATE(B3531,""en"",""fr"")"),"La femme jette sa baguette dans le cadre de sa danse et court pour l'attraper et reprend sa performance.")</f>
        <v>La femme jette sa baguette dans le cadre de sa danse et court pour l'attraper et reprend sa performance.</v>
      </c>
    </row>
    <row r="3532">
      <c r="A3532" s="4" t="s">
        <v>4439</v>
      </c>
      <c r="B3532" s="4" t="s">
        <v>4443</v>
      </c>
      <c r="C3532" s="5" t="str">
        <f>IFERROR(__xludf.DUMMYFUNCTION("GOOGLETRANSLATE(B3532,""en"",""fr"")"),"La femme prend un nœud, terminant sa danse.")</f>
        <v>La femme prend un nœud, terminant sa danse.</v>
      </c>
    </row>
    <row r="3533">
      <c r="A3533" s="4" t="s">
        <v>4444</v>
      </c>
      <c r="B3533" s="6" t="s">
        <v>4445</v>
      </c>
      <c r="C3533" s="5" t="str">
        <f>IFERROR(__xludf.DUMMYFUNCTION("GOOGLETRANSLATE(B3533,""en"",""fr"")"),"Un homme en chemise blanche et short blanc tient une batte de croquet, il se penche et balance lentement la batte dans l'air avant de frapper la boule bleue.")</f>
        <v>Un homme en chemise blanche et short blanc tient une batte de croquet, il se penche et balance lentement la batte dans l'air avant de frapper la boule bleue.</v>
      </c>
    </row>
    <row r="3534">
      <c r="A3534" s="4" t="s">
        <v>4444</v>
      </c>
      <c r="B3534" s="4" t="s">
        <v>4446</v>
      </c>
      <c r="C3534" s="5" t="str">
        <f>IFERROR(__xludf.DUMMYFUNCTION("GOOGLETRANSLATE(B3534,""en"",""fr"")"),"Le ballon est allé voler en passant le ballon dans un petit trous rectangulaire et a touché le sol.")</f>
        <v>Le ballon est allé voler en passant le ballon dans un petit trous rectangulaire et a touché le sol.</v>
      </c>
    </row>
    <row r="3535">
      <c r="A3535" s="4" t="s">
        <v>4447</v>
      </c>
      <c r="B3535" s="4" t="s">
        <v>4448</v>
      </c>
      <c r="C3535" s="5" t="str">
        <f>IFERROR(__xludf.DUMMYFUNCTION("GOOGLETRANSLATE(B3535,""en"",""fr"")"),"Nous voyons l'écran du titre d'ouverture.")</f>
        <v>Nous voyons l'écran du titre d'ouverture.</v>
      </c>
    </row>
    <row r="3536">
      <c r="A3536" s="4" t="s">
        <v>4447</v>
      </c>
      <c r="B3536" s="4" t="s">
        <v>4449</v>
      </c>
      <c r="C3536" s="5" t="str">
        <f>IFERROR(__xludf.DUMMYFUNCTION("GOOGLETRANSLATE(B3536,""en"",""fr"")"),"Nous voyons des images fixes du revêtement de sol.")</f>
        <v>Nous voyons des images fixes du revêtement de sol.</v>
      </c>
    </row>
    <row r="3537">
      <c r="A3537" s="4" t="s">
        <v>4447</v>
      </c>
      <c r="B3537" s="4" t="s">
        <v>4450</v>
      </c>
      <c r="C3537" s="5" t="str">
        <f>IFERROR(__xludf.DUMMYFUNCTION("GOOGLETRANSLATE(B3537,""en"",""fr"")"),"Un homme coupe et met le super-fond sur le sol.")</f>
        <v>Un homme coupe et met le super-fond sur le sol.</v>
      </c>
    </row>
    <row r="3538">
      <c r="A3538" s="4" t="s">
        <v>4447</v>
      </c>
      <c r="B3538" s="4" t="s">
        <v>4451</v>
      </c>
      <c r="C3538" s="5" t="str">
        <f>IFERROR(__xludf.DUMMYFUNCTION("GOOGLETRANSLATE(B3538,""en"",""fr"")"),"L'homme déroute ensuite le tapis sur le super-fond.")</f>
        <v>L'homme déroute ensuite le tapis sur le super-fond.</v>
      </c>
    </row>
    <row r="3539">
      <c r="A3539" s="4" t="s">
        <v>4447</v>
      </c>
      <c r="B3539" s="4" t="s">
        <v>4452</v>
      </c>
      <c r="C3539" s="5" t="str">
        <f>IFERROR(__xludf.DUMMYFUNCTION("GOOGLETRANSLATE(B3539,""en"",""fr"")"),"Nous voyons ensuite l'écran de fin.")</f>
        <v>Nous voyons ensuite l'écran de fin.</v>
      </c>
    </row>
    <row r="3540">
      <c r="A3540" s="4" t="s">
        <v>4453</v>
      </c>
      <c r="B3540" s="6" t="s">
        <v>4454</v>
      </c>
      <c r="C3540" s="5" t="str">
        <f>IFERROR(__xludf.DUMMYFUNCTION("GOOGLETRANSLATE(B3540,""en"",""fr"")"),"Une femme tient un chien et emmène aux toilettes pour prendre un bain dans une baignoire tout en frottant le corps avec du savon.")</f>
        <v>Une femme tient un chien et emmène aux toilettes pour prendre un bain dans une baignoire tout en frottant le corps avec du savon.</v>
      </c>
    </row>
    <row r="3541">
      <c r="A3541" s="4" t="s">
        <v>4453</v>
      </c>
      <c r="B3541" s="4" t="s">
        <v>4455</v>
      </c>
      <c r="C3541" s="5" t="str">
        <f>IFERROR(__xludf.DUMMYFUNCTION("GOOGLETRANSLATE(B3541,""en"",""fr"")"),"Le chien attend que la femme attrape une serviette pour sécher le corps du chien.")</f>
        <v>Le chien attend que la femme attrape une serviette pour sécher le corps du chien.</v>
      </c>
    </row>
    <row r="3542">
      <c r="A3542" s="4" t="s">
        <v>4453</v>
      </c>
      <c r="B3542" s="4" t="s">
        <v>4456</v>
      </c>
      <c r="C3542" s="5" t="str">
        <f>IFERROR(__xludf.DUMMYFUNCTION("GOOGLETRANSLATE(B3542,""en"",""fr"")"),"Le chien a l'air en colère et montre ses dents.")</f>
        <v>Le chien a l'air en colère et montre ses dents.</v>
      </c>
    </row>
    <row r="3543">
      <c r="A3543" s="4" t="s">
        <v>4453</v>
      </c>
      <c r="B3543" s="4" t="s">
        <v>4457</v>
      </c>
      <c r="C3543" s="5" t="str">
        <f>IFERROR(__xludf.DUMMYFUNCTION("GOOGLETRANSLATE(B3543,""en"",""fr"")"),"Ensuite, la femme donne un baiser à alors le chien.")</f>
        <v>Ensuite, la femme donne un baiser à alors le chien.</v>
      </c>
    </row>
    <row r="3544">
      <c r="A3544" s="4" t="s">
        <v>4458</v>
      </c>
      <c r="B3544" s="6" t="s">
        <v>4459</v>
      </c>
      <c r="C3544" s="5" t="str">
        <f>IFERROR(__xludf.DUMMYFUNCTION("GOOGLETRANSLATE(B3544,""en"",""fr"")"),"Quelques hommes et une femme sont à l'intérieur jouant au badminton, ils y sont très dedans et en concurrence lourdement.")</f>
        <v>Quelques hommes et une femme sont à l'intérieur jouant au badminton, ils y sont très dedans et en concurrence lourdement.</v>
      </c>
    </row>
    <row r="3545">
      <c r="A3545" s="4" t="s">
        <v>4458</v>
      </c>
      <c r="B3545" s="4" t="s">
        <v>4460</v>
      </c>
      <c r="C3545" s="5" t="str">
        <f>IFERROR(__xludf.DUMMYFUNCTION("GOOGLETRANSLATE(B3545,""en"",""fr"")"),"Les hommes font des allers-retours pour tenter de marquer et sont très concentrés.")</f>
        <v>Les hommes font des allers-retours pour tenter de marquer et sont très concentrés.</v>
      </c>
    </row>
    <row r="3546">
      <c r="A3546" s="4" t="s">
        <v>4458</v>
      </c>
      <c r="B3546" s="4" t="s">
        <v>4461</v>
      </c>
      <c r="C3546" s="5" t="str">
        <f>IFERROR(__xludf.DUMMYFUNCTION("GOOGLETRANSLATE(B3546,""en"",""fr"")"),"Divers tirs en mouvement rapide et au ralenti sont montrés de l'action.")</f>
        <v>Divers tirs en mouvement rapide et au ralenti sont montrés de l'action.</v>
      </c>
    </row>
    <row r="3547">
      <c r="A3547" s="4" t="s">
        <v>4462</v>
      </c>
      <c r="B3547" s="6" t="s">
        <v>4463</v>
      </c>
      <c r="C3547" s="5" t="str">
        <f>IFERROR(__xludf.DUMMYFUNCTION("GOOGLETRANSLATE(B3547,""en"",""fr"")"),"Un homme en chemise bleue et en jean porte des gants noirs et coupe la haie avec une machine de coupe orange, faisant le côté d'abord, puis de l'avant puis de l'autre côté.")</f>
        <v>Un homme en chemise bleue et en jean porte des gants noirs et coupe la haie avec une machine de coupe orange, faisant le côté d'abord, puis de l'avant puis de l'autre côté.</v>
      </c>
    </row>
    <row r="3548">
      <c r="A3548" s="4" t="s">
        <v>4462</v>
      </c>
      <c r="B3548" s="6" t="s">
        <v>4464</v>
      </c>
      <c r="C3548" s="5" t="str">
        <f>IFERROR(__xludf.DUMMYFUNCTION("GOOGLETRANSLATE(B3548,""en"",""fr"")"),"Il a grimpé l'échelle bleu-vert pour couper le haut de la haie, il a déplacé l'échelle pour faire le haut au milieu de la haie.")</f>
        <v>Il a grimpé l'échelle bleu-vert pour couper le haut de la haie, il a déplacé l'échelle pour faire le haut au milieu de la haie.</v>
      </c>
    </row>
    <row r="3549">
      <c r="A3549" s="4" t="s">
        <v>4462</v>
      </c>
      <c r="B3549" s="4" t="s">
        <v>4465</v>
      </c>
      <c r="C3549" s="5" t="str">
        <f>IFERROR(__xludf.DUMMYFUNCTION("GOOGLETRANSLATE(B3549,""en"",""fr"")"),"L'homme a coupé le buisson rond bas, a utilisé l'échelle pour couper le haut de la haie ronde.")</f>
        <v>L'homme a coupé le buisson rond bas, a utilisé l'échelle pour couper le haut de la haie ronde.</v>
      </c>
    </row>
    <row r="3550">
      <c r="A3550" s="4" t="s">
        <v>4466</v>
      </c>
      <c r="B3550" s="6" t="s">
        <v>4467</v>
      </c>
      <c r="C3550" s="5" t="str">
        <f>IFERROR(__xludf.DUMMYFUNCTION("GOOGLETRANSLATE(B3550,""en"",""fr"")"),"Plusieurs cuisines sont présentées dans la toile de fond alors que le logo de la maison Menards clignote au milieu de l'écran.")</f>
        <v>Plusieurs cuisines sont présentées dans la toile de fond alors que le logo de la maison Menards clignote au milieu de l'écran.</v>
      </c>
    </row>
    <row r="3551">
      <c r="A3551" s="4" t="s">
        <v>4466</v>
      </c>
      <c r="B3551" s="6" t="s">
        <v>4468</v>
      </c>
      <c r="C3551" s="5" t="str">
        <f>IFERROR(__xludf.DUMMYFUNCTION("GOOGLETRANSLATE(B3551,""en"",""fr"")"),"Après, un homme en polo bleu est montré en collant des carreaux à l'arrière des murs de la cuisine pour rénover la maison.")</f>
        <v>Après, un homme en polo bleu est montré en collant des carreaux à l'arrière des murs de la cuisine pour rénover la maison.</v>
      </c>
    </row>
    <row r="3552">
      <c r="A3552" s="4" t="s">
        <v>4466</v>
      </c>
      <c r="B3552" s="4" t="s">
        <v>4469</v>
      </c>
      <c r="C3552" s="5" t="str">
        <f>IFERROR(__xludf.DUMMYFUNCTION("GOOGLETRANSLATE(B3552,""en"",""fr"")"),"Un autre homme est montré ponçonner et peindre le mur et rénover une autre maison.")</f>
        <v>Un autre homme est montré ponçonner et peindre le mur et rénover une autre maison.</v>
      </c>
    </row>
    <row r="3553">
      <c r="A3553" s="4" t="s">
        <v>4466</v>
      </c>
      <c r="B3553" s="4" t="s">
        <v>4470</v>
      </c>
      <c r="C3553" s="5" t="str">
        <f>IFERROR(__xludf.DUMMYFUNCTION("GOOGLETRANSLATE(B3553,""en"",""fr"")"),"Un bloc de carreaux est à nouveau illustré mais il est retourné pour voir le filet à l'arrière.")</f>
        <v>Un bloc de carreaux est à nouveau illustré mais il est retourné pour voir le filet à l'arrière.</v>
      </c>
    </row>
    <row r="3554">
      <c r="A3554" s="4" t="s">
        <v>4466</v>
      </c>
      <c r="B3554" s="6" t="s">
        <v>4471</v>
      </c>
      <c r="C3554" s="5" t="str">
        <f>IFERROR(__xludf.DUMMYFUNCTION("GOOGLETRANSLATE(B3554,""en"",""fr"")"),"Les hommes continuent de rénover la maison, mesurant le mur, fixant les lumières et collant la tuile sur le mur.")</f>
        <v>Les hommes continuent de rénover la maison, mesurant le mur, fixant les lumières et collant la tuile sur le mur.</v>
      </c>
    </row>
    <row r="3555">
      <c r="A3555" s="4" t="s">
        <v>4466</v>
      </c>
      <c r="B3555" s="4" t="s">
        <v>4472</v>
      </c>
      <c r="C3555" s="5" t="str">
        <f>IFERROR(__xludf.DUMMYFUNCTION("GOOGLETRANSLATE(B3555,""en"",""fr"")"),"Enfin, le produit fini du mur est illustré.")</f>
        <v>Enfin, le produit fini du mur est illustré.</v>
      </c>
    </row>
    <row r="3556">
      <c r="A3556" s="4" t="s">
        <v>4473</v>
      </c>
      <c r="B3556" s="4" t="s">
        <v>4474</v>
      </c>
      <c r="C3556" s="5" t="str">
        <f>IFERROR(__xludf.DUMMYFUNCTION("GOOGLETRANSLATE(B3556,""en"",""fr"")"),"Une photo d'un homme lavant une voiture est montrée et mène à plusieurs hommes lavant la même voiture.")</f>
        <v>Une photo d'un homme lavant une voiture est montrée et mène à plusieurs hommes lavant la même voiture.</v>
      </c>
    </row>
    <row r="3557">
      <c r="A3557" s="4" t="s">
        <v>4473</v>
      </c>
      <c r="B3557" s="4" t="s">
        <v>4475</v>
      </c>
      <c r="C3557" s="5" t="str">
        <f>IFERROR(__xludf.DUMMYFUNCTION("GOOGLETRANSLATE(B3557,""en"",""fr"")"),"Les hommes aspirent l'intérieur et nettoient le tableau de bord et l'intérieur entier et l'extérieur.")</f>
        <v>Les hommes aspirent l'intérieur et nettoient le tableau de bord et l'intérieur entier et l'extérieur.</v>
      </c>
    </row>
    <row r="3558">
      <c r="A3558" s="4" t="s">
        <v>4473</v>
      </c>
      <c r="B3558" s="4" t="s">
        <v>4476</v>
      </c>
      <c r="C3558" s="5" t="str">
        <f>IFERROR(__xludf.DUMMYFUNCTION("GOOGLETRANSLATE(B3558,""en"",""fr"")"),"La voiture est à nouveau présentée à la fin.")</f>
        <v>La voiture est à nouveau présentée à la fin.</v>
      </c>
    </row>
    <row r="3559">
      <c r="A3559" s="4" t="s">
        <v>4477</v>
      </c>
      <c r="B3559" s="4" t="s">
        <v>4478</v>
      </c>
      <c r="C3559" s="5" t="str">
        <f>IFERROR(__xludf.DUMMYFUNCTION("GOOGLETRANSLATE(B3559,""en"",""fr"")"),"Un homme se lève en jouant aux cornemusets.")</f>
        <v>Un homme se lève en jouant aux cornemusets.</v>
      </c>
    </row>
    <row r="3560">
      <c r="A3560" s="4" t="s">
        <v>4477</v>
      </c>
      <c r="B3560" s="4" t="s">
        <v>4479</v>
      </c>
      <c r="C3560" s="5" t="str">
        <f>IFERROR(__xludf.DUMMYFUNCTION("GOOGLETRANSLATE(B3560,""en"",""fr"")"),"Les gens sont assis sur un canapé qui se moque de lui.")</f>
        <v>Les gens sont assis sur un canapé qui se moque de lui.</v>
      </c>
    </row>
    <row r="3561">
      <c r="A3561" s="4" t="s">
        <v>4480</v>
      </c>
      <c r="B3561" s="4" t="s">
        <v>4481</v>
      </c>
      <c r="C3561" s="5" t="str">
        <f>IFERROR(__xludf.DUMMYFUNCTION("GOOGLETRANSLATE(B3561,""en"",""fr"")"),"Nous voyons deux personnes dans un studio.")</f>
        <v>Nous voyons deux personnes dans un studio.</v>
      </c>
    </row>
    <row r="3562">
      <c r="A3562" s="4" t="s">
        <v>4480</v>
      </c>
      <c r="B3562" s="6" t="s">
        <v>4482</v>
      </c>
      <c r="C3562" s="5" t="str">
        <f>IFERROR(__xludf.DUMMYFUNCTION("GOOGLETRANSLATE(B3562,""en"",""fr"")"),"Nous voyons ensuite un homme dans un bowling parler à la caméra avec un homme dans un costume à broches de bowling.")</f>
        <v>Nous voyons ensuite un homme dans un bowling parler à la caméra avec un homme dans un costume à broches de bowling.</v>
      </c>
    </row>
    <row r="3563">
      <c r="A3563" s="4" t="s">
        <v>4480</v>
      </c>
      <c r="B3563" s="4" t="s">
        <v>4483</v>
      </c>
      <c r="C3563" s="5" t="str">
        <f>IFERROR(__xludf.DUMMYFUNCTION("GOOGLETRANSLATE(B3563,""en"",""fr"")"),"L'homme interviewe ensuite un homme dans une veste noire.")</f>
        <v>L'homme interviewe ensuite un homme dans une veste noire.</v>
      </c>
    </row>
    <row r="3564">
      <c r="A3564" s="4" t="s">
        <v>4480</v>
      </c>
      <c r="B3564" s="4" t="s">
        <v>4484</v>
      </c>
      <c r="C3564" s="5" t="str">
        <f>IFERROR(__xludf.DUMMYFUNCTION("GOOGLETRANSLATE(B3564,""en"",""fr"")"),"Nous voyons la broche de bowling lancer une boule de bowling verte.")</f>
        <v>Nous voyons la broche de bowling lancer une boule de bowling verte.</v>
      </c>
    </row>
    <row r="3565">
      <c r="A3565" s="4" t="s">
        <v>4480</v>
      </c>
      <c r="B3565" s="6" t="s">
        <v>4485</v>
      </c>
      <c r="C3565" s="5" t="str">
        <f>IFERROR(__xludf.DUMMYFUNCTION("GOOGLETRANSLATE(B3565,""en"",""fr"")"),"Le journal de presse jette ensuite une balle bleue sur la voie et une autre balle à la mascotte de la broche de bowling qui tombe.")</f>
        <v>Le journal de presse jette ensuite une balle bleue sur la voie et une autre balle à la mascotte de la broche de bowling qui tombe.</v>
      </c>
    </row>
    <row r="3566">
      <c r="A3566" s="4" t="s">
        <v>4480</v>
      </c>
      <c r="B3566" s="6" t="s">
        <v>4486</v>
      </c>
      <c r="C3566" s="5" t="str">
        <f>IFERROR(__xludf.DUMMYFUNCTION("GOOGLETRANSLATE(B3566,""en"",""fr"")"),"Nous voyons ensuite un écran partagé avec la broche qui passe derrière le journal de presse et les gens du studio dans le coin supérieur gauche.")</f>
        <v>Nous voyons ensuite un écran partagé avec la broche qui passe derrière le journal de presse et les gens du studio dans le coin supérieur gauche.</v>
      </c>
    </row>
    <row r="3567">
      <c r="A3567" s="4" t="s">
        <v>4480</v>
      </c>
      <c r="B3567" s="4" t="s">
        <v>4487</v>
      </c>
      <c r="C3567" s="5" t="str">
        <f>IFERROR(__xludf.DUMMYFUNCTION("GOOGLETRANSLATE(B3567,""en"",""fr"")"),"L'épingle lance une balle dans le journal de presse et nous retournons au studio.")</f>
        <v>L'épingle lance une balle dans le journal de presse et nous retournons au studio.</v>
      </c>
    </row>
    <row r="3568">
      <c r="A3568" s="4" t="s">
        <v>4488</v>
      </c>
      <c r="B3568" s="6" t="s">
        <v>4489</v>
      </c>
      <c r="C3568" s="5" t="str">
        <f>IFERROR(__xludf.DUMMYFUNCTION("GOOGLETRANSLATE(B3568,""en"",""fr"")"),"Un homme qui parle et souriant se tient dans une zone intérieure puis se dirige vers sa droite et une femme se dirige vers lui et elle commence à parler et à sourire avec lui.")</f>
        <v>Un homme qui parle et souriant se tient dans une zone intérieure puis se dirige vers sa droite et une femme se dirige vers lui et elle commence à parler et à sourire avec lui.</v>
      </c>
    </row>
    <row r="3569">
      <c r="A3569" s="4" t="s">
        <v>4488</v>
      </c>
      <c r="B3569" s="6" t="s">
        <v>4490</v>
      </c>
      <c r="C3569" s="5" t="str">
        <f>IFERROR(__xludf.DUMMYFUNCTION("GOOGLETRANSLATE(B3569,""en"",""fr"")"),"La femme saute maintenant sur un trampoline par elle-même, puis elle se tient sur une planche de saut et simule un saut d'une plongée et descend dans une piscine, mais à la place, elle atterrit sur un grand tapis d'atterrissage noir doux et noir.")</f>
        <v>La femme saute maintenant sur un trampoline par elle-même, puis elle se tient sur une planche de saut et simule un saut d'une plongée et descend dans une piscine, mais à la place, elle atterrit sur un grand tapis d'atterrissage noir doux et noir.</v>
      </c>
    </row>
    <row r="3570">
      <c r="A3570" s="4" t="s">
        <v>4488</v>
      </c>
      <c r="B3570" s="6" t="s">
        <v>4491</v>
      </c>
      <c r="C3570" s="5" t="str">
        <f>IFERROR(__xludf.DUMMYFUNCTION("GOOGLETRANSLATE(B3570,""en"",""fr"")"),"L'homme saute maintenant sur le trampoline et il fait exactement la même chose que la femme.")</f>
        <v>L'homme saute maintenant sur le trampoline et il fait exactement la même chose que la femme.</v>
      </c>
    </row>
    <row r="3571">
      <c r="A3571" s="4" t="s">
        <v>4488</v>
      </c>
      <c r="B3571" s="6" t="s">
        <v>4492</v>
      </c>
      <c r="C3571" s="5" t="str">
        <f>IFERROR(__xludf.DUMMYFUNCTION("GOOGLETRANSLATE(B3571,""en"",""fr"")"),"Maintenant, la femme se tient dans une piscine extérieure en train de parler et elle saute d'abord de la plongée, fait quelques flips puis atterrit dans l'eau.")</f>
        <v>Maintenant, la femme se tient dans une piscine extérieure en train de parler et elle saute d'abord de la plongée, fait quelques flips puis atterrit dans l'eau.</v>
      </c>
    </row>
    <row r="3572">
      <c r="A3572" s="4" t="s">
        <v>4488</v>
      </c>
      <c r="B3572" s="6" t="s">
        <v>4493</v>
      </c>
      <c r="C3572" s="5" t="str">
        <f>IFERROR(__xludf.DUMMYFUNCTION("GOOGLETRANSLATE(B3572,""en"",""fr"")"),"L'homme apparaît devant la caméra en levant un petit speedo, il secoue la tête en désapprobant les Speedos, le jette sur la caméra et le montre à faire des échauffements de jambes avec une longue paire de shorts de natation.")</f>
        <v>L'homme apparaît devant la caméra en levant un petit speedo, il secoue la tête en désapprobant les Speedos, le jette sur la caméra et le montre à faire des échauffements de jambes avec une longue paire de shorts de natation.</v>
      </c>
    </row>
    <row r="3573">
      <c r="A3573" s="4" t="s">
        <v>4488</v>
      </c>
      <c r="B3573" s="6" t="s">
        <v>4494</v>
      </c>
      <c r="C3573" s="5" t="str">
        <f>IFERROR(__xludf.DUMMYFUNCTION("GOOGLETRANSLATE(B3573,""en"",""fr"")"),"Puis l'homme va à la plongée, se frotte les mains, puis saute de la plongée 4 fois et fait divers flips avant qu'il n'atterrisse dans l'eau.")</f>
        <v>Puis l'homme va à la plongée, se frotte les mains, puis saute de la plongée 4 fois et fait divers flips avant qu'il n'atterrisse dans l'eau.</v>
      </c>
    </row>
    <row r="3574">
      <c r="A3574" s="4" t="s">
        <v>4488</v>
      </c>
      <c r="B3574" s="6" t="s">
        <v>4495</v>
      </c>
      <c r="C3574" s="5" t="str">
        <f>IFERROR(__xludf.DUMMYFUNCTION("GOOGLETRANSLATE(B3574,""en"",""fr"")"),"L'homme et la femme sont maintenant sur le terrain en train de parler et ils se tournent pour regarder le plus grand plongeur, et un tir rapide du plus grand plongeur montre que c'est haut, puis il revient à l'homme et la femme toujours à côté de la pisci"&amp;"ne et parlant.")</f>
        <v>L'homme et la femme sont maintenant sur le terrain en train de parler et ils se tournent pour regarder le plus grand plongeur, et un tir rapide du plus grand plongeur montre que c'est haut, puis il revient à l'homme et la femme toujours à côté de la piscine et parlant.</v>
      </c>
    </row>
    <row r="3575">
      <c r="A3575" s="4" t="s">
        <v>4496</v>
      </c>
      <c r="B3575" s="4" t="s">
        <v>4497</v>
      </c>
      <c r="C3575" s="5" t="str">
        <f>IFERROR(__xludf.DUMMYFUNCTION("GOOGLETRANSLATE(B3575,""en"",""fr"")"),"Un gros plan d'un taureau est vu ainsi qu'un autre allongé sur le sol.")</f>
        <v>Un gros plan d'un taureau est vu ainsi qu'un autre allongé sur le sol.</v>
      </c>
    </row>
    <row r="3576">
      <c r="A3576" s="4" t="s">
        <v>4496</v>
      </c>
      <c r="B3576" s="4" t="s">
        <v>4498</v>
      </c>
      <c r="C3576" s="5" t="str">
        <f>IFERROR(__xludf.DUMMYFUNCTION("GOOGLETRANSLATE(B3576,""en"",""fr"")"),"Un autre taureau est vu s'enfuir au loin et chasser une personne.")</f>
        <v>Un autre taureau est vu s'enfuir au loin et chasser une personne.</v>
      </c>
    </row>
    <row r="3577">
      <c r="A3577" s="4" t="s">
        <v>4496</v>
      </c>
      <c r="B3577" s="4" t="s">
        <v>4499</v>
      </c>
      <c r="C3577" s="5" t="str">
        <f>IFERROR(__xludf.DUMMYFUNCTION("GOOGLETRANSLATE(B3577,""en"",""fr"")"),"Plusieurs personnes sont vues fuir un taureau dans de nombreux tirs alors qu'ils les poursuivent.")</f>
        <v>Plusieurs personnes sont vues fuir un taureau dans de nombreux tirs alors qu'ils les poursuivent.</v>
      </c>
    </row>
    <row r="3578">
      <c r="A3578" s="4" t="s">
        <v>4500</v>
      </c>
      <c r="B3578" s="4" t="s">
        <v>4501</v>
      </c>
      <c r="C3578" s="5" t="str">
        <f>IFERROR(__xludf.DUMMYFUNCTION("GOOGLETRANSLATE(B3578,""en"",""fr"")"),"Un homme s'agenouille sur la glace.")</f>
        <v>Un homme s'agenouille sur la glace.</v>
      </c>
    </row>
    <row r="3579">
      <c r="A3579" s="4" t="s">
        <v>4500</v>
      </c>
      <c r="B3579" s="4" t="s">
        <v>4502</v>
      </c>
      <c r="C3579" s="5" t="str">
        <f>IFERROR(__xludf.DUMMYFUNCTION("GOOGLETRANSLATE(B3579,""en"",""fr"")"),"Il commence à jouer à un jeu de curling.")</f>
        <v>Il commence à jouer à un jeu de curling.</v>
      </c>
    </row>
    <row r="3580">
      <c r="A3580" s="4" t="s">
        <v>4500</v>
      </c>
      <c r="B3580" s="4" t="s">
        <v>4503</v>
      </c>
      <c r="C3580" s="5" t="str">
        <f>IFERROR(__xludf.DUMMYFUNCTION("GOOGLETRANSLATE(B3580,""en"",""fr"")"),"Deux personnes frottent la glace devant la boule de curling.")</f>
        <v>Deux personnes frottent la glace devant la boule de curling.</v>
      </c>
    </row>
    <row r="3581">
      <c r="A3581" s="4" t="s">
        <v>4504</v>
      </c>
      <c r="B3581" s="4" t="s">
        <v>4505</v>
      </c>
      <c r="C3581" s="5" t="str">
        <f>IFERROR(__xludf.DUMMYFUNCTION("GOOGLETRANSLATE(B3581,""en"",""fr"")"),"Un homme est vu grimper sur un chameau et commence à se promener avec un homme devant.")</f>
        <v>Un homme est vu grimper sur un chameau et commence à se promener avec un homme devant.</v>
      </c>
    </row>
    <row r="3582">
      <c r="A3582" s="4" t="s">
        <v>4504</v>
      </c>
      <c r="B3582" s="6" t="s">
        <v>4506</v>
      </c>
      <c r="C3582" s="5" t="str">
        <f>IFERROR(__xludf.DUMMYFUNCTION("GOOGLETRANSLATE(B3582,""en"",""fr"")"),"L'homme en parle un sur le dessus et donne à la chameau une gifle tout en regardant en arrière pour parler à la caméra.")</f>
        <v>L'homme en parle un sur le dessus et donne à la chameau une gifle tout en regardant en arrière pour parler à la caméra.</v>
      </c>
    </row>
    <row r="3583">
      <c r="A3583" s="4" t="s">
        <v>4507</v>
      </c>
      <c r="B3583" s="4" t="s">
        <v>1487</v>
      </c>
      <c r="C3583" s="5" t="str">
        <f>IFERROR(__xludf.DUMMYFUNCTION("GOOGLETRANSLATE(B3583,""en"",""fr"")"),"Nous voyons un écran de titre d'ouverture.")</f>
        <v>Nous voyons un écran de titre d'ouverture.</v>
      </c>
    </row>
    <row r="3584">
      <c r="A3584" s="4" t="s">
        <v>4507</v>
      </c>
      <c r="B3584" s="4" t="s">
        <v>4508</v>
      </c>
      <c r="C3584" s="5" t="str">
        <f>IFERROR(__xludf.DUMMYFUNCTION("GOOGLETRANSLATE(B3584,""en"",""fr"")"),"Nous voyons une pente de ski couverte de neige et un écran de titre.")</f>
        <v>Nous voyons une pente de ski couverte de neige et un écran de titre.</v>
      </c>
    </row>
    <row r="3585">
      <c r="A3585" s="4" t="s">
        <v>4507</v>
      </c>
      <c r="B3585" s="4" t="s">
        <v>4509</v>
      </c>
      <c r="C3585" s="5" t="str">
        <f>IFERROR(__xludf.DUMMYFUNCTION("GOOGLETRANSLATE(B3585,""en"",""fr"")"),"Nous voyons des gens skier et snowboard en bas de la colline.")</f>
        <v>Nous voyons des gens skier et snowboard en bas de la colline.</v>
      </c>
    </row>
    <row r="3586">
      <c r="A3586" s="4" t="s">
        <v>4507</v>
      </c>
      <c r="B3586" s="4" t="s">
        <v>4510</v>
      </c>
      <c r="C3586" s="5" t="str">
        <f>IFERROR(__xludf.DUMMYFUNCTION("GOOGLETRANSLATE(B3586,""en"",""fr"")"),"Les noms sont indiqués dans une barre bleue ci-dessus.")</f>
        <v>Les noms sont indiqués dans une barre bleue ci-dessus.</v>
      </c>
    </row>
    <row r="3587">
      <c r="A3587" s="4" t="s">
        <v>4507</v>
      </c>
      <c r="B3587" s="4" t="s">
        <v>4511</v>
      </c>
      <c r="C3587" s="5" t="str">
        <f>IFERROR(__xludf.DUMMYFUNCTION("GOOGLETRANSLATE(B3587,""en"",""fr"")"),"Nous voyons un homme tenant un bâton de selfie alors qu'il monte en bas de la colline.")</f>
        <v>Nous voyons un homme tenant un bâton de selfie alors qu'il monte en bas de la colline.</v>
      </c>
    </row>
    <row r="3588">
      <c r="A3588" s="4" t="s">
        <v>4507</v>
      </c>
      <c r="B3588" s="4" t="s">
        <v>4512</v>
      </c>
      <c r="C3588" s="5" t="str">
        <f>IFERROR(__xludf.DUMMYFUNCTION("GOOGLETRANSLATE(B3588,""en"",""fr"")"),"Nous voyons une personne dans des bois denses monter dans un snowboard.")</f>
        <v>Nous voyons une personne dans des bois denses monter dans un snowboard.</v>
      </c>
    </row>
    <row r="3589">
      <c r="A3589" s="4" t="s">
        <v>4507</v>
      </c>
      <c r="B3589" s="4" t="s">
        <v>4513</v>
      </c>
      <c r="C3589" s="5" t="str">
        <f>IFERROR(__xludf.DUMMYFUNCTION("GOOGLETRANSLATE(B3589,""en"",""fr"")"),"Nous voyons les crédits de fin.")</f>
        <v>Nous voyons les crédits de fin.</v>
      </c>
    </row>
    <row r="3590">
      <c r="A3590" s="4" t="s">
        <v>4514</v>
      </c>
      <c r="B3590" s="4" t="s">
        <v>4515</v>
      </c>
      <c r="C3590" s="5" t="str">
        <f>IFERROR(__xludf.DUMMYFUNCTION("GOOGLETRANSLATE(B3590,""en"",""fr"")"),"Deux Asiatiques, un homme et une femme sont assis à une table avant d'aller à l'intérieur d'une salle de sport.")</f>
        <v>Deux Asiatiques, un homme et une femme sont assis à une table avant d'aller à l'intérieur d'une salle de sport.</v>
      </c>
    </row>
    <row r="3591">
      <c r="A3591" s="4" t="s">
        <v>4514</v>
      </c>
      <c r="B3591" s="6" t="s">
        <v>4516</v>
      </c>
      <c r="C3591" s="5" t="str">
        <f>IFERROR(__xludf.DUMMYFUNCTION("GOOGLETRANSLATE(B3591,""en"",""fr"")"),"Dans le gymnase, plusieurs jeunes filles commencent à faire de la gymnastique et à jouer avant de revenir et de faire une interview avec le journaliste.")</f>
        <v>Dans le gymnase, plusieurs jeunes filles commencent à faire de la gymnastique et à jouer avant de revenir et de faire une interview avec le journaliste.</v>
      </c>
    </row>
    <row r="3592">
      <c r="A3592" s="4" t="s">
        <v>4514</v>
      </c>
      <c r="B3592" s="4" t="s">
        <v>4517</v>
      </c>
      <c r="C3592" s="5" t="str">
        <f>IFERROR(__xludf.DUMMYFUNCTION("GOOGLETRANSLATE(B3592,""en"",""fr"")"),"Ensuite, un jeune homme s'approche des barreaux, fait sa routine, puis revient à son interview.")</f>
        <v>Ensuite, un jeune homme s'approche des barreaux, fait sa routine, puis revient à son interview.</v>
      </c>
    </row>
    <row r="3593">
      <c r="A3593" s="4" t="s">
        <v>4518</v>
      </c>
      <c r="B3593" s="4" t="s">
        <v>4519</v>
      </c>
      <c r="C3593" s="5" t="str">
        <f>IFERROR(__xludf.DUMMYFUNCTION("GOOGLETRANSLATE(B3593,""en"",""fr"")"),"Un homme caucasien portant un casque rouge est assis dans un bateau dans l'eau en train de parler à l'eau.")</f>
        <v>Un homme caucasien portant un casque rouge est assis dans un bateau dans l'eau en train de parler à l'eau.</v>
      </c>
    </row>
    <row r="3594">
      <c r="A3594" s="4" t="s">
        <v>4518</v>
      </c>
      <c r="B3594" s="4" t="s">
        <v>4520</v>
      </c>
      <c r="C3594" s="5" t="str">
        <f>IFERROR(__xludf.DUMMYFUNCTION("GOOGLETRANSLATE(B3594,""en"",""fr"")"),"L'eau rocheuse est montrée, puis l'homme descend le kayak dans les eaux blanches.")</f>
        <v>L'eau rocheuse est montrée, puis l'homme descend le kayak dans les eaux blanches.</v>
      </c>
    </row>
    <row r="3595">
      <c r="A3595" s="4" t="s">
        <v>4518</v>
      </c>
      <c r="B3595" s="6" t="s">
        <v>4521</v>
      </c>
      <c r="C3595" s="5" t="str">
        <f>IFERROR(__xludf.DUMMYFUNCTION("GOOGLETRANSLATE(B3595,""en"",""fr"")"),"Un éclair d'eau vacant est illustré, alors un groupe de dix personnes est illustré au kayak sur les rochers et l'eau et finit par faire sortir le kayak par la grande vague.")</f>
        <v>Un éclair d'eau vacant est illustré, alors un groupe de dix personnes est illustré au kayak sur les rochers et l'eau et finit par faire sortir le kayak par la grande vague.</v>
      </c>
    </row>
    <row r="3596">
      <c r="A3596" s="4" t="s">
        <v>4518</v>
      </c>
      <c r="B3596" s="4" t="s">
        <v>4522</v>
      </c>
      <c r="C3596" s="5" t="str">
        <f>IFERROR(__xludf.DUMMYFUNCTION("GOOGLETRANSLATE(B3596,""en"",""fr"")"),"Le groupe de personnes continue de nager dans l'eau en essayant de trouver des terres.")</f>
        <v>Le groupe de personnes continue de nager dans l'eau en essayant de trouver des terres.</v>
      </c>
    </row>
    <row r="3597">
      <c r="A3597" s="4" t="s">
        <v>4518</v>
      </c>
      <c r="B3597" s="6" t="s">
        <v>4523</v>
      </c>
      <c r="C3597" s="5" t="str">
        <f>IFERROR(__xludf.DUMMYFUNCTION("GOOGLETRANSLATE(B3597,""en"",""fr"")"),"Ils finissent par sortir et chaque personne commence à parler de la caméra de ce qu'elle vient de vivre.")</f>
        <v>Ils finissent par sortir et chaque personne commence à parler de la caméra de ce qu'elle vient de vivre.</v>
      </c>
    </row>
    <row r="3598">
      <c r="A3598" s="4" t="s">
        <v>4524</v>
      </c>
      <c r="B3598" s="4" t="s">
        <v>4525</v>
      </c>
      <c r="C3598" s="5" t="str">
        <f>IFERROR(__xludf.DUMMYFUNCTION("GOOGLETRANSLATE(B3598,""en"",""fr"")"),"Les joueurs courent sur le terrain avec leurs chauves-souris.")</f>
        <v>Les joueurs courent sur le terrain avec leurs chauves-souris.</v>
      </c>
    </row>
    <row r="3599">
      <c r="A3599" s="4" t="s">
        <v>4524</v>
      </c>
      <c r="B3599" s="4" t="s">
        <v>4526</v>
      </c>
      <c r="C3599" s="5" t="str">
        <f>IFERROR(__xludf.DUMMYFUNCTION("GOOGLETRANSLATE(B3599,""en"",""fr"")"),"Le joueur en chemise fonctionne avec le joueur en chemise rouge.")</f>
        <v>Le joueur en chemise fonctionne avec le joueur en chemise rouge.</v>
      </c>
    </row>
    <row r="3600">
      <c r="A3600" s="4" t="s">
        <v>4524</v>
      </c>
      <c r="B3600" s="4" t="s">
        <v>4527</v>
      </c>
      <c r="C3600" s="5" t="str">
        <f>IFERROR(__xludf.DUMMYFUNCTION("GOOGLETRANSLATE(B3600,""en"",""fr"")"),"Les deux joueurs ont commencé à marcher.")</f>
        <v>Les deux joueurs ont commencé à marcher.</v>
      </c>
    </row>
    <row r="3601">
      <c r="A3601" s="4" t="s">
        <v>4528</v>
      </c>
      <c r="B3601" s="4" t="s">
        <v>4529</v>
      </c>
      <c r="C3601" s="5" t="str">
        <f>IFERROR(__xludf.DUMMYFUNCTION("GOOGLETRANSLATE(B3601,""en"",""fr"")"),"Un écran blanc apparaît et les effets spéciaux révèlent les mots ""Howcast Original"".")</f>
        <v>Un écran blanc apparaît et les effets spéciaux révèlent les mots "Howcast Original".</v>
      </c>
    </row>
    <row r="3602">
      <c r="A3602" s="4" t="s">
        <v>4528</v>
      </c>
      <c r="B3602" s="6" t="s">
        <v>4530</v>
      </c>
      <c r="C3602" s="5" t="str">
        <f>IFERROR(__xludf.DUMMYFUNCTION("GOOGLETRANSLATE(B3602,""en"",""fr"")"),"Un homme parle tandis que divers clips de personnes jouent un jeu de roller et un écran apparaît indiquant qu'il donne des conseils sur ""les bases en plein essor: comment contrôler la vitesse sur les rollerflades"", et il ramasse une paire de rollerfas e"&amp;"t pointe vers les roues, puis plus Des clips de lui surfacent et affichant des exemples de lecture.")</f>
        <v>Un homme parle tandis que divers clips de personnes jouent un jeu de roller et un écran apparaît indiquant qu'il donne des conseils sur "les bases en plein essor: comment contrôler la vitesse sur les rollerflades", et il ramasse une paire de rollerfas et pointe vers les roues, puis plus Des clips de lui surfacent et affichant des exemples de lecture.</v>
      </c>
    </row>
    <row r="3603">
      <c r="A3603" s="4" t="s">
        <v>4528</v>
      </c>
      <c r="B3603" s="6" t="s">
        <v>4531</v>
      </c>
      <c r="C3603" s="5" t="str">
        <f>IFERROR(__xludf.DUMMYFUNCTION("GOOGLETRANSLATE(B3603,""en"",""fr"")"),"L'Autro apparaît et c'est l'écran blanc de l'intro qui inclut les mots ""Howcast Original"".")</f>
        <v>L'Autro apparaît et c'est l'écran blanc de l'intro qui inclut les mots "Howcast Original".</v>
      </c>
    </row>
    <row r="3604">
      <c r="A3604" s="4" t="s">
        <v>4532</v>
      </c>
      <c r="B3604" s="6" t="s">
        <v>4533</v>
      </c>
      <c r="C3604" s="5" t="str">
        <f>IFERROR(__xludf.DUMMYFUNCTION("GOOGLETRANSLATE(B3604,""en"",""fr"")"),"Les membres d'une académie de danse du ventre font une routine chorégraphiée dans une publicité pour l'école.")</f>
        <v>Les membres d'une académie de danse du ventre font une routine chorégraphiée dans une publicité pour l'école.</v>
      </c>
    </row>
    <row r="3605">
      <c r="A3605" s="4" t="s">
        <v>4532</v>
      </c>
      <c r="B3605" s="4" t="s">
        <v>4534</v>
      </c>
      <c r="C3605" s="5" t="str">
        <f>IFERROR(__xludf.DUMMYFUNCTION("GOOGLETRANSLATE(B3605,""en"",""fr"")"),"Ils se déplacent autour de la scène puis montrent leur ventre.")</f>
        <v>Ils se déplacent autour de la scène puis montrent leur ventre.</v>
      </c>
    </row>
    <row r="3606">
      <c r="A3606" s="4" t="s">
        <v>4535</v>
      </c>
      <c r="B3606" s="4" t="s">
        <v>4536</v>
      </c>
      <c r="C3606" s="5" t="str">
        <f>IFERROR(__xludf.DUMMYFUNCTION("GOOGLETRANSLATE(B3606,""en"",""fr"")"),"Les gens descendent une colline de neige sur des traîneaux.")</f>
        <v>Les gens descendent une colline de neige sur des traîneaux.</v>
      </c>
    </row>
    <row r="3607">
      <c r="A3607" s="4" t="s">
        <v>4535</v>
      </c>
      <c r="B3607" s="4" t="s">
        <v>4537</v>
      </c>
      <c r="C3607" s="5" t="str">
        <f>IFERROR(__xludf.DUMMYFUNCTION("GOOGLETRANSLATE(B3607,""en"",""fr"")"),"Les gens se tiennent sur le côté de la colline les regarder.")</f>
        <v>Les gens se tiennent sur le côté de la colline les regarder.</v>
      </c>
    </row>
    <row r="3608">
      <c r="A3608" s="4" t="s">
        <v>4535</v>
      </c>
      <c r="B3608" s="4" t="s">
        <v>4538</v>
      </c>
      <c r="C3608" s="5" t="str">
        <f>IFERROR(__xludf.DUMMYFUNCTION("GOOGLETRANSLATE(B3608,""en"",""fr"")"),"Les gens font un homme de neige dans la neige.")</f>
        <v>Les gens font un homme de neige dans la neige.</v>
      </c>
    </row>
    <row r="3609">
      <c r="A3609" s="4" t="s">
        <v>4539</v>
      </c>
      <c r="B3609" s="4" t="s">
        <v>4540</v>
      </c>
      <c r="C3609" s="5" t="str">
        <f>IFERROR(__xludf.DUMMYFUNCTION("GOOGLETRANSLATE(B3609,""en"",""fr"")"),"Une caméra se déroule autour d'une douche et zoome sur une personne se rasant les jambes.")</f>
        <v>Une caméra se déroule autour d'une douche et zoome sur une personne se rasant les jambes.</v>
      </c>
    </row>
    <row r="3610">
      <c r="A3610" s="4" t="s">
        <v>4539</v>
      </c>
      <c r="B3610" s="4" t="s">
        <v>4541</v>
      </c>
      <c r="C3610" s="5" t="str">
        <f>IFERROR(__xludf.DUMMYFUNCTION("GOOGLETRANSLATE(B3610,""en"",""fr"")"),"La caméra la regarde déplacer ses bras tout autour de ses jambes pendant que l'eau coule dans les égouts.")</f>
        <v>La caméra la regarde déplacer ses bras tout autour de ses jambes pendant que l'eau coule dans les égouts.</v>
      </c>
    </row>
    <row r="3611">
      <c r="A3611" s="4" t="s">
        <v>4542</v>
      </c>
      <c r="B3611" s="4" t="s">
        <v>4543</v>
      </c>
      <c r="C3611" s="5" t="str">
        <f>IFERROR(__xludf.DUMMYFUNCTION("GOOGLETRANSLATE(B3611,""en"",""fr"")"),"Un chef parle alors qu'elle se tient près d'une table pleine d'ingrédients de cuisine.")</f>
        <v>Un chef parle alors qu'elle se tient près d'une table pleine d'ingrédients de cuisine.</v>
      </c>
    </row>
    <row r="3612">
      <c r="A3612" s="4" t="s">
        <v>4542</v>
      </c>
      <c r="B3612" s="4" t="s">
        <v>4544</v>
      </c>
      <c r="C3612" s="5" t="str">
        <f>IFERROR(__xludf.DUMMYFUNCTION("GOOGLETRANSLATE(B3612,""en"",""fr"")"),"Elle attrape de l'huile et du sel et la verse dans un bol à mélanger.")</f>
        <v>Elle attrape de l'huile et du sel et la verse dans un bol à mélanger.</v>
      </c>
    </row>
    <row r="3613">
      <c r="A3613" s="4" t="s">
        <v>4542</v>
      </c>
      <c r="B3613" s="4" t="s">
        <v>4545</v>
      </c>
      <c r="C3613" s="5" t="str">
        <f>IFERROR(__xludf.DUMMYFUNCTION("GOOGLETRANSLATE(B3613,""en"",""fr"")"),"Elle remue les ingrédients avec quelques pinces.")</f>
        <v>Elle remue les ingrédients avec quelques pinces.</v>
      </c>
    </row>
    <row r="3614">
      <c r="A3614" s="4" t="s">
        <v>4542</v>
      </c>
      <c r="B3614" s="4" t="s">
        <v>4546</v>
      </c>
      <c r="C3614" s="5" t="str">
        <f>IFERROR(__xludf.DUMMYFUNCTION("GOOGLETRANSLATE(B3614,""en"",""fr"")"),"Elle verse des tomates, des courgettes et des oignons rouges dans le bol à mélanger.")</f>
        <v>Elle verse des tomates, des courgettes et des oignons rouges dans le bol à mélanger.</v>
      </c>
    </row>
    <row r="3615">
      <c r="A3615" s="4" t="s">
        <v>4542</v>
      </c>
      <c r="B3615" s="4" t="s">
        <v>4547</v>
      </c>
      <c r="C3615" s="5" t="str">
        <f>IFERROR(__xludf.DUMMYFUNCTION("GOOGLETRANSLATE(B3615,""en"",""fr"")"),"Elle coupe de la coriandre.")</f>
        <v>Elle coupe de la coriandre.</v>
      </c>
    </row>
    <row r="3616">
      <c r="A3616" s="4" t="s">
        <v>4542</v>
      </c>
      <c r="B3616" s="4" t="s">
        <v>4548</v>
      </c>
      <c r="C3616" s="5" t="str">
        <f>IFERROR(__xludf.DUMMYFUNCTION("GOOGLETRANSLATE(B3616,""en"",""fr"")"),"Elle jette la coriandre dans le bol à mélanger.")</f>
        <v>Elle jette la coriandre dans le bol à mélanger.</v>
      </c>
    </row>
    <row r="3617">
      <c r="A3617" s="4" t="s">
        <v>4542</v>
      </c>
      <c r="B3617" s="4" t="s">
        <v>4549</v>
      </c>
      <c r="C3617" s="5" t="str">
        <f>IFERROR(__xludf.DUMMYFUNCTION("GOOGLETRANSLATE(B3617,""en"",""fr"")"),"Elle mélange les légumes dans le bol à mélanger avec les pinces.")</f>
        <v>Elle mélange les légumes dans le bol à mélanger avec les pinces.</v>
      </c>
    </row>
    <row r="3618">
      <c r="A3618" s="4" t="s">
        <v>4542</v>
      </c>
      <c r="B3618" s="4" t="s">
        <v>4550</v>
      </c>
      <c r="C3618" s="5" t="str">
        <f>IFERROR(__xludf.DUMMYFUNCTION("GOOGLETRANSLATE(B3618,""en"",""fr"")"),"Elle place le légume sur une roquette dans une assiette.")</f>
        <v>Elle place le légume sur une roquette dans une assiette.</v>
      </c>
    </row>
    <row r="3619">
      <c r="A3619" s="4" t="s">
        <v>4542</v>
      </c>
      <c r="B3619" s="4" t="s">
        <v>4551</v>
      </c>
      <c r="C3619" s="5" t="str">
        <f>IFERROR(__xludf.DUMMYFUNCTION("GOOGLETRANSLATE(B3619,""en"",""fr"")"),"Elle montre la salade.")</f>
        <v>Elle montre la salade.</v>
      </c>
    </row>
    <row r="3620">
      <c r="A3620" s="4" t="s">
        <v>4552</v>
      </c>
      <c r="B3620" s="4" t="s">
        <v>4553</v>
      </c>
      <c r="C3620" s="5" t="str">
        <f>IFERROR(__xludf.DUMMYFUNCTION("GOOGLETRANSLATE(B3620,""en"",""fr"")"),"Une personne en veste rouge se tient sur le côté de la voie.")</f>
        <v>Une personne en veste rouge se tient sur le côté de la voie.</v>
      </c>
    </row>
    <row r="3621">
      <c r="A3621" s="4" t="s">
        <v>4552</v>
      </c>
      <c r="B3621" s="4" t="s">
        <v>4554</v>
      </c>
      <c r="C3621" s="5" t="str">
        <f>IFERROR(__xludf.DUMMYFUNCTION("GOOGLETRANSLATE(B3621,""en"",""fr"")"),"Deux personnes glissent dans la voie couverte de neige.")</f>
        <v>Deux personnes glissent dans la voie couverte de neige.</v>
      </c>
    </row>
    <row r="3622">
      <c r="A3622" s="4" t="s">
        <v>4552</v>
      </c>
      <c r="B3622" s="4" t="s">
        <v>4555</v>
      </c>
      <c r="C3622" s="5" t="str">
        <f>IFERROR(__xludf.DUMMYFUNCTION("GOOGLETRANSLATE(B3622,""en"",""fr"")"),"La femme dans le tube va plus loin dans la voie alors qu'elle salue ses bras.")</f>
        <v>La femme dans le tube va plus loin dans la voie alors qu'elle salue ses bras.</v>
      </c>
    </row>
    <row r="3623">
      <c r="A3623" s="4" t="s">
        <v>4556</v>
      </c>
      <c r="B3623" s="4" t="s">
        <v>4557</v>
      </c>
      <c r="C3623" s="5" t="str">
        <f>IFERROR(__xludf.DUMMYFUNCTION("GOOGLETRANSLATE(B3623,""en"",""fr"")"),"Une femme se tient à côté d'un chameau tenant la laisse.")</f>
        <v>Une femme se tient à côté d'un chameau tenant la laisse.</v>
      </c>
    </row>
    <row r="3624">
      <c r="A3624" s="4" t="s">
        <v>4556</v>
      </c>
      <c r="B3624" s="4" t="s">
        <v>4558</v>
      </c>
      <c r="C3624" s="5" t="str">
        <f>IFERROR(__xludf.DUMMYFUNCTION("GOOGLETRANSLATE(B3624,""en"",""fr"")"),"La femme est montée sur le chameau et le chameau se leva.")</f>
        <v>La femme est montée sur le chameau et le chameau se leva.</v>
      </c>
    </row>
    <row r="3625">
      <c r="A3625" s="4" t="s">
        <v>4556</v>
      </c>
      <c r="B3625" s="6" t="s">
        <v>4559</v>
      </c>
      <c r="C3625" s="5" t="str">
        <f>IFERROR(__xludf.DUMMYFUNCTION("GOOGLETRANSLATE(B3625,""en"",""fr"")"),"Le chameau se promenait et s'arrêta tandis que la femme tire la laisse et que le chameau s'assit et la femme quitta le chameau.")</f>
        <v>Le chameau se promenait et s'arrêta tandis que la femme tire la laisse et que le chameau s'assit et la femme quitta le chameau.</v>
      </c>
    </row>
    <row r="3626">
      <c r="A3626" s="4" t="s">
        <v>4560</v>
      </c>
      <c r="B3626" s="4" t="s">
        <v>4561</v>
      </c>
      <c r="C3626" s="5" t="str">
        <f>IFERROR(__xludf.DUMMYFUNCTION("GOOGLETRANSLATE(B3626,""en"",""fr"")"),"La vidéo montre une verrière représentant l'événement sportif de montagne oriental.")</f>
        <v>La vidéo montre une verrière représentant l'événement sportif de montagne oriental.</v>
      </c>
    </row>
    <row r="3627">
      <c r="A3627" s="4" t="s">
        <v>4560</v>
      </c>
      <c r="B3627" s="6" t="s">
        <v>4562</v>
      </c>
      <c r="C3627" s="5" t="str">
        <f>IFERROR(__xludf.DUMMYFUNCTION("GOOGLETRANSLATE(B3627,""en"",""fr"")"),"Plusieurs joueurs se préparent pour l'événement sportif dans un cadre extérieur par une belle journée ensoleillée.")</f>
        <v>Plusieurs joueurs se préparent pour l'événement sportif dans un cadre extérieur par une belle journée ensoleillée.</v>
      </c>
    </row>
    <row r="3628">
      <c r="A3628" s="4" t="s">
        <v>4560</v>
      </c>
      <c r="B3628" s="4" t="s">
        <v>4563</v>
      </c>
      <c r="C3628" s="5" t="str">
        <f>IFERROR(__xludf.DUMMYFUNCTION("GOOGLETRANSLATE(B3628,""en"",""fr"")"),"Il y a un garçon qui s'équilibre sur une corde serrée.")</f>
        <v>Il y a un garçon qui s'équilibre sur une corde serrée.</v>
      </c>
    </row>
    <row r="3629">
      <c r="A3629" s="4" t="s">
        <v>4560</v>
      </c>
      <c r="B3629" s="4" t="s">
        <v>4564</v>
      </c>
      <c r="C3629" s="5" t="str">
        <f>IFERROR(__xludf.DUMMYFUNCTION("GOOGLETRANSLATE(B3629,""en"",""fr"")"),"Il y a plusieurs autres concurrents qui marchent sur la corde serrée.")</f>
        <v>Il y a plusieurs autres concurrents qui marchent sur la corde serrée.</v>
      </c>
    </row>
    <row r="3630">
      <c r="A3630" s="4" t="s">
        <v>4560</v>
      </c>
      <c r="B3630" s="4" t="s">
        <v>4565</v>
      </c>
      <c r="C3630" s="5" t="str">
        <f>IFERROR(__xludf.DUMMYFUNCTION("GOOGLETRANSLATE(B3630,""en"",""fr"")"),"Plusieurs personnes regardent les concurrents se produire.")</f>
        <v>Plusieurs personnes regardent les concurrents se produire.</v>
      </c>
    </row>
    <row r="3631">
      <c r="A3631" s="4" t="s">
        <v>4560</v>
      </c>
      <c r="B3631" s="4" t="s">
        <v>4566</v>
      </c>
      <c r="C3631" s="5" t="str">
        <f>IFERROR(__xludf.DUMMYFUNCTION("GOOGLETRANSLATE(B3631,""en"",""fr"")"),"Deux personnes jouent avec un frisbee alors qu'une personne marche sur la corde.")</f>
        <v>Deux personnes jouent avec un frisbee alors qu'une personne marche sur la corde.</v>
      </c>
    </row>
    <row r="3632">
      <c r="A3632" s="4" t="s">
        <v>4560</v>
      </c>
      <c r="B3632" s="4" t="s">
        <v>4567</v>
      </c>
      <c r="C3632" s="5" t="str">
        <f>IFERROR(__xludf.DUMMYFUNCTION("GOOGLETRANSLATE(B3632,""en"",""fr"")"),"Une fille et un garçon essaient la corde serrée ensemble.")</f>
        <v>Une fille et un garçon essaient la corde serrée ensemble.</v>
      </c>
    </row>
    <row r="3633">
      <c r="A3633" s="4" t="s">
        <v>4560</v>
      </c>
      <c r="B3633" s="4" t="s">
        <v>4568</v>
      </c>
      <c r="C3633" s="5" t="str">
        <f>IFERROR(__xludf.DUMMYFUNCTION("GOOGLETRANSLATE(B3633,""en"",""fr"")"),"Il y a des gens qui s'amusent sur un hamac.")</f>
        <v>Il y a des gens qui s'amusent sur un hamac.</v>
      </c>
    </row>
    <row r="3634">
      <c r="A3634" s="4" t="s">
        <v>4560</v>
      </c>
      <c r="B3634" s="4" t="s">
        <v>4569</v>
      </c>
      <c r="C3634" s="5" t="str">
        <f>IFERROR(__xludf.DUMMYFUNCTION("GOOGLETRANSLATE(B3634,""en"",""fr"")"),"Les crédits de fin remercient les gens et les organisateurs de l'événement.")</f>
        <v>Les crédits de fin remercient les gens et les organisateurs de l'événement.</v>
      </c>
    </row>
    <row r="3635">
      <c r="A3635" s="4" t="s">
        <v>4570</v>
      </c>
      <c r="B3635" s="4" t="s">
        <v>4571</v>
      </c>
      <c r="C3635" s="5" t="str">
        <f>IFERROR(__xludf.DUMMYFUNCTION("GOOGLETRANSLATE(B3635,""en"",""fr"")"),"Une voiture grise est garée sur une allée, puis une personne lave les jantes de la voiture.")</f>
        <v>Une voiture grise est garée sur une allée, puis une personne lave les jantes de la voiture.</v>
      </c>
    </row>
    <row r="3636">
      <c r="A3636" s="4" t="s">
        <v>4570</v>
      </c>
      <c r="B3636" s="6" t="s">
        <v>4572</v>
      </c>
      <c r="C3636" s="5" t="str">
        <f>IFERROR(__xludf.DUMMYFUNCTION("GOOGLETRANSLATE(B3636,""en"",""fr"")"),"Après, la personne répand du savon sur la voiture avec un joint de bouteille à un tuyau, après avoir brossé la lumière avant de la voiture.")</f>
        <v>Après, la personne répand du savon sur la voiture avec un joint de bouteille à un tuyau, après avoir brossé la lumière avant de la voiture.</v>
      </c>
    </row>
    <row r="3637">
      <c r="A3637" s="4" t="s">
        <v>4570</v>
      </c>
      <c r="B3637" s="4" t="s">
        <v>4573</v>
      </c>
      <c r="C3637" s="5" t="str">
        <f>IFERROR(__xludf.DUMMYFUNCTION("GOOGLETRANSLATE(B3637,""en"",""fr"")"),"Ensuite, la personne nettoie le capot avec un chiffon.")</f>
        <v>Ensuite, la personne nettoie le capot avec un chiffon.</v>
      </c>
    </row>
    <row r="3638">
      <c r="A3638" s="4" t="s">
        <v>4570</v>
      </c>
      <c r="B3638" s="4" t="s">
        <v>4574</v>
      </c>
      <c r="C3638" s="5" t="str">
        <f>IFERROR(__xludf.DUMMYFUNCTION("GOOGLETRANSLATE(B3638,""en"",""fr"")"),"Ensuite, la personne rince et sèche la voiture.")</f>
        <v>Ensuite, la personne rince et sèche la voiture.</v>
      </c>
    </row>
    <row r="3639">
      <c r="A3639" s="4" t="s">
        <v>4575</v>
      </c>
      <c r="B3639" s="4" t="s">
        <v>4576</v>
      </c>
      <c r="C3639" s="5" t="str">
        <f>IFERROR(__xludf.DUMMYFUNCTION("GOOGLETRANSLATE(B3639,""en"",""fr"")"),"Une personne est vue tenant une raquette de tennis sur un champ et frappe le ballon sur le terrain.")</f>
        <v>Une personne est vue tenant une raquette de tennis sur un champ et frappe le ballon sur le terrain.</v>
      </c>
    </row>
    <row r="3640">
      <c r="A3640" s="4" t="s">
        <v>4575</v>
      </c>
      <c r="B3640" s="4" t="s">
        <v>4577</v>
      </c>
      <c r="C3640" s="5" t="str">
        <f>IFERROR(__xludf.DUMMYFUNCTION("GOOGLETRANSLATE(B3640,""en"",""fr"")"),"Il sourit et se dirige ensuite vers la caméra tout en pointant le loin et le poing se heurtant.")</f>
        <v>Il sourit et se dirige ensuite vers la caméra tout en pointant le loin et le poing se heurtant.</v>
      </c>
    </row>
    <row r="3641">
      <c r="A3641" s="4" t="s">
        <v>4578</v>
      </c>
      <c r="B3641" s="4" t="s">
        <v>4579</v>
      </c>
      <c r="C3641" s="5" t="str">
        <f>IFERROR(__xludf.DUMMYFUNCTION("GOOGLETRANSLATE(B3641,""en"",""fr"")"),"Un groupe de tireurs posent avec un instructeur.")</f>
        <v>Un groupe de tireurs posent avec un instructeur.</v>
      </c>
    </row>
    <row r="3642">
      <c r="A3642" s="4" t="s">
        <v>4578</v>
      </c>
      <c r="B3642" s="4" t="s">
        <v>4580</v>
      </c>
      <c r="C3642" s="5" t="str">
        <f>IFERROR(__xludf.DUMMYFUNCTION("GOOGLETRANSLATE(B3642,""en"",""fr"")"),"Les tireurs sont représentés dans une salle de sport, pratiquant.")</f>
        <v>Les tireurs sont représentés dans une salle de sport, pratiquant.</v>
      </c>
    </row>
    <row r="3643">
      <c r="A3643" s="4" t="s">
        <v>4578</v>
      </c>
      <c r="B3643" s="4" t="s">
        <v>4581</v>
      </c>
      <c r="C3643" s="5" t="str">
        <f>IFERROR(__xludf.DUMMYFUNCTION("GOOGLETRANSLATE(B3643,""en"",""fr"")"),"Ils parcourent et font divers mouvements les uns avec les autres pendant le match.")</f>
        <v>Ils parcourent et font divers mouvements les uns avec les autres pendant le match.</v>
      </c>
    </row>
    <row r="3644">
      <c r="A3644" s="4" t="s">
        <v>4582</v>
      </c>
      <c r="B3644" s="4" t="s">
        <v>4583</v>
      </c>
      <c r="C3644" s="5" t="str">
        <f>IFERROR(__xludf.DUMMYFUNCTION("GOOGLETRANSLATE(B3644,""en"",""fr"")"),"Une personne est vue assise une diapositive en haut et commence à monter sur la diapositive.")</f>
        <v>Une personne est vue assise une diapositive en haut et commence à monter sur la diapositive.</v>
      </c>
    </row>
    <row r="3645">
      <c r="A3645" s="4" t="s">
        <v>4582</v>
      </c>
      <c r="B3645" s="6" t="s">
        <v>4584</v>
      </c>
      <c r="C3645" s="5" t="str">
        <f>IFERROR(__xludf.DUMMYFUNCTION("GOOGLETRANSLATE(B3645,""en"",""fr"")"),"Elle rencontre une autre personne au fond en riant de la caméra et d'une autre personne qui coule.")</f>
        <v>Elle rencontre une autre personne au fond en riant de la caméra et d'une autre personne qui coule.</v>
      </c>
    </row>
    <row r="3646">
      <c r="A3646" s="4" t="s">
        <v>4585</v>
      </c>
      <c r="B3646" s="4" t="s">
        <v>4586</v>
      </c>
      <c r="C3646" s="5" t="str">
        <f>IFERROR(__xludf.DUMMYFUNCTION("GOOGLETRANSLATE(B3646,""en"",""fr"")"),"Une personne se tient sur un plongeon.")</f>
        <v>Une personne se tient sur un plongeon.</v>
      </c>
    </row>
    <row r="3647">
      <c r="A3647" s="4" t="s">
        <v>4585</v>
      </c>
      <c r="B3647" s="4" t="s">
        <v>4587</v>
      </c>
      <c r="C3647" s="5" t="str">
        <f>IFERROR(__xludf.DUMMYFUNCTION("GOOGLETRANSLATE(B3647,""en"",""fr"")"),"Ils sautent de la plongée dans la piscine.")</f>
        <v>Ils sautent de la plongée dans la piscine.</v>
      </c>
    </row>
    <row r="3648">
      <c r="A3648" s="4" t="s">
        <v>4585</v>
      </c>
      <c r="B3648" s="4" t="s">
        <v>4588</v>
      </c>
      <c r="C3648" s="5" t="str">
        <f>IFERROR(__xludf.DUMMYFUNCTION("GOOGLETRANSLATE(B3648,""en"",""fr"")"),"Il tombe en arrière dans l'eau.")</f>
        <v>Il tombe en arrière dans l'eau.</v>
      </c>
    </row>
    <row r="3649">
      <c r="A3649" s="4" t="s">
        <v>4585</v>
      </c>
      <c r="B3649" s="4" t="s">
        <v>4589</v>
      </c>
      <c r="C3649" s="5" t="str">
        <f>IFERROR(__xludf.DUMMYFUNCTION("GOOGLETRANSLATE(B3649,""en"",""fr"")"),"Quelqu'un saute dans l'eau de la plongée.")</f>
        <v>Quelqu'un saute dans l'eau de la plongée.</v>
      </c>
    </row>
    <row r="3650">
      <c r="A3650" s="4" t="s">
        <v>4585</v>
      </c>
      <c r="B3650" s="4" t="s">
        <v>4590</v>
      </c>
      <c r="C3650" s="5" t="str">
        <f>IFERROR(__xludf.DUMMYFUNCTION("GOOGLETRANSLATE(B3650,""en"",""fr"")"),"Une personne saute et passe sous l'eau.")</f>
        <v>Une personne saute et passe sous l'eau.</v>
      </c>
    </row>
    <row r="3651">
      <c r="A3651" s="4" t="s">
        <v>4585</v>
      </c>
      <c r="B3651" s="4" t="s">
        <v>4591</v>
      </c>
      <c r="C3651" s="5" t="str">
        <f>IFERROR(__xludf.DUMMYFUNCTION("GOOGLETRANSLATE(B3651,""en"",""fr"")"),"Un homme saute haut et fait un retournement dans l'eau de la plongée.")</f>
        <v>Un homme saute haut et fait un retournement dans l'eau de la plongée.</v>
      </c>
    </row>
    <row r="3652">
      <c r="A3652" s="4" t="s">
        <v>4585</v>
      </c>
      <c r="B3652" s="4" t="s">
        <v>4592</v>
      </c>
      <c r="C3652" s="5" t="str">
        <f>IFERROR(__xludf.DUMMYFUNCTION("GOOGLETRANSLATE(B3652,""en"",""fr"")"),"Une personne fait un retour noir dans l'eau au large de la plongée.")</f>
        <v>Une personne fait un retour noir dans l'eau au large de la plongée.</v>
      </c>
    </row>
    <row r="3653">
      <c r="A3653" s="4" t="s">
        <v>4593</v>
      </c>
      <c r="B3653" s="6" t="s">
        <v>4594</v>
      </c>
      <c r="C3653" s="5" t="str">
        <f>IFERROR(__xludf.DUMMYFUNCTION("GOOGLETRANSLATE(B3653,""en"",""fr"")"),"Un petit terrain de gens se tient autour d'un terrain de baseball se regardant les uns contre les autres.")</f>
        <v>Un petit terrain de gens se tient autour d'un terrain de baseball se regardant les uns contre les autres.</v>
      </c>
    </row>
    <row r="3654">
      <c r="A3654" s="4" t="s">
        <v>4593</v>
      </c>
      <c r="B3654" s="4" t="s">
        <v>4595</v>
      </c>
      <c r="C3654" s="5" t="str">
        <f>IFERROR(__xludf.DUMMYFUNCTION("GOOGLETRANSLATE(B3654,""en"",""fr"")"),"Soudain, quelques-uns commencent à danser et on tient le ballon au milieu.")</f>
        <v>Soudain, quelques-uns commencent à danser et on tient le ballon au milieu.</v>
      </c>
    </row>
    <row r="3655">
      <c r="A3655" s="4" t="s">
        <v>4596</v>
      </c>
      <c r="B3655" s="4" t="s">
        <v>4597</v>
      </c>
      <c r="C3655" s="5" t="str">
        <f>IFERROR(__xludf.DUMMYFUNCTION("GOOGLETRANSLATE(B3655,""en"",""fr"")"),"Little Kid est debout devant un comptoir avec des pots et des ingédients devant elle.")</f>
        <v>Little Kid est debout devant un comptoir avec des pots et des ingédients devant elle.</v>
      </c>
    </row>
    <row r="3656">
      <c r="A3656" s="4" t="s">
        <v>4596</v>
      </c>
      <c r="B3656" s="6" t="s">
        <v>4598</v>
      </c>
      <c r="C3656" s="5" t="str">
        <f>IFERROR(__xludf.DUMMYFUNCTION("GOOGLETRANSLATE(B3656,""en"",""fr"")"),"La femme met du sucre dans une casserole avec de l'eau et la chauffe, met l'eau et le jus de citron et mélange tous les ingrédients dans un pot.")</f>
        <v>La femme met du sucre dans une casserole avec de l'eau et la chauffe, met l'eau et le jus de citron et mélange tous les ingrédients dans un pot.</v>
      </c>
    </row>
    <row r="3657">
      <c r="A3657" s="4" t="s">
        <v>4599</v>
      </c>
      <c r="B3657" s="4" t="s">
        <v>4600</v>
      </c>
      <c r="C3657" s="5" t="str">
        <f>IFERROR(__xludf.DUMMYFUNCTION("GOOGLETRANSLATE(B3657,""en"",""fr"")"),"Un garçon joue avec une balle.")</f>
        <v>Un garçon joue avec une balle.</v>
      </c>
    </row>
    <row r="3658">
      <c r="A3658" s="4" t="s">
        <v>4599</v>
      </c>
      <c r="B3658" s="4" t="s">
        <v>4601</v>
      </c>
      <c r="C3658" s="5" t="str">
        <f>IFERROR(__xludf.DUMMYFUNCTION("GOOGLETRANSLATE(B3658,""en"",""fr"")"),"Les enfants pratiquent la crosse sur un champ d'herbe.")</f>
        <v>Les enfants pratiquent la crosse sur un champ d'herbe.</v>
      </c>
    </row>
    <row r="3659">
      <c r="A3659" s="4" t="s">
        <v>4599</v>
      </c>
      <c r="B3659" s="4" t="s">
        <v>4602</v>
      </c>
      <c r="C3659" s="5" t="str">
        <f>IFERROR(__xludf.DUMMYFUNCTION("GOOGLETRANSLATE(B3659,""en"",""fr"")"),"Un homme dans une veste noire les regarde jouer.")</f>
        <v>Un homme dans une veste noire les regarde jouer.</v>
      </c>
    </row>
    <row r="3660">
      <c r="A3660" s="4" t="s">
        <v>4603</v>
      </c>
      <c r="B3660" s="4" t="s">
        <v>4604</v>
      </c>
      <c r="C3660" s="5" t="str">
        <f>IFERROR(__xludf.DUMMYFUNCTION("GOOGLETRANSLATE(B3660,""en"",""fr"")"),"Il y a beaucoup de gens à l'extérieur qui se promènent et parlent.")</f>
        <v>Il y a beaucoup de gens à l'extérieur qui se promènent et parlent.</v>
      </c>
    </row>
    <row r="3661">
      <c r="A3661" s="4" t="s">
        <v>4603</v>
      </c>
      <c r="B3661" s="4" t="s">
        <v>4605</v>
      </c>
      <c r="C3661" s="5" t="str">
        <f>IFERROR(__xludf.DUMMYFUNCTION("GOOGLETRANSLATE(B3661,""en"",""fr"")"),"Un petit garçon va derrière une échelle et d'autres personnes continuent de se promener.")</f>
        <v>Un petit garçon va derrière une échelle et d'autres personnes continuent de se promener.</v>
      </c>
    </row>
    <row r="3662">
      <c r="A3662" s="4" t="s">
        <v>4603</v>
      </c>
      <c r="B3662" s="6" t="s">
        <v>4606</v>
      </c>
      <c r="C3662" s="5" t="str">
        <f>IFERROR(__xludf.DUMMYFUNCTION("GOOGLETRANSLATE(B3662,""en"",""fr"")"),"Une pinata tombe de haut au-dessus et il frappe la pinata à l'aide d'un bâton, puis quelqu'un sort en tenant un bol rempli de sacs.")</f>
        <v>Une pinata tombe de haut au-dessus et il frappe la pinata à l'aide d'un bâton, puis quelqu'un sort en tenant un bol rempli de sacs.</v>
      </c>
    </row>
    <row r="3663">
      <c r="A3663" s="4" t="s">
        <v>4607</v>
      </c>
      <c r="B3663" s="4" t="s">
        <v>4608</v>
      </c>
      <c r="C3663" s="5" t="str">
        <f>IFERROR(__xludf.DUMMYFUNCTION("GOOGLETRANSLATE(B3663,""en"",""fr"")"),"Il y a une ligne de chameaux assis sur le sol dans la région de l'Outback de l'Australie.")</f>
        <v>Il y a une ligne de chameaux assis sur le sol dans la région de l'Outback de l'Australie.</v>
      </c>
    </row>
    <row r="3664">
      <c r="A3664" s="4" t="s">
        <v>4607</v>
      </c>
      <c r="B3664" s="4" t="s">
        <v>4609</v>
      </c>
      <c r="C3664" s="5" t="str">
        <f>IFERROR(__xludf.DUMMYFUNCTION("GOOGLETRANSLATE(B3664,""en"",""fr"")"),"Il y a des touristes qui attendent de monter sur les chameaux pour profiter d'une balade à l'arrière.")</f>
        <v>Il y a des touristes qui attendent de monter sur les chameaux pour profiter d'une balade à l'arrière.</v>
      </c>
    </row>
    <row r="3665">
      <c r="A3665" s="4" t="s">
        <v>4607</v>
      </c>
      <c r="B3665" s="4" t="s">
        <v>4610</v>
      </c>
      <c r="C3665" s="5" t="str">
        <f>IFERROR(__xludf.DUMMYFUNCTION("GOOGLETRANSLATE(B3665,""en"",""fr"")"),"Les hommes en chemises rouges et les chapeaux de cowboy aident les touristes à se mettre sur le dos des chameaux.")</f>
        <v>Les hommes en chemises rouges et les chapeaux de cowboy aident les touristes à se mettre sur le dos des chameaux.</v>
      </c>
    </row>
    <row r="3666">
      <c r="A3666" s="4" t="s">
        <v>4607</v>
      </c>
      <c r="B3666" s="4" t="s">
        <v>4611</v>
      </c>
      <c r="C3666" s="5" t="str">
        <f>IFERROR(__xludf.DUMMYFUNCTION("GOOGLETRANSLATE(B3666,""en"",""fr"")"),"Les chameaux se soulèvent lentement et commencent à se promener avec les touristes sur le dos.")</f>
        <v>Les chameaux se soulèvent lentement et commencent à se promener avec les touristes sur le dos.</v>
      </c>
    </row>
    <row r="3667">
      <c r="A3667" s="4" t="s">
        <v>4607</v>
      </c>
      <c r="B3667" s="4" t="s">
        <v>4612</v>
      </c>
      <c r="C3667" s="5" t="str">
        <f>IFERROR(__xludf.DUMMYFUNCTION("GOOGLETRANSLATE(B3667,""en"",""fr"")"),"Les touristes sont heureux alors qu'ils saluent la caméra alors qu'ils apprécient la balade à chameau.")</f>
        <v>Les touristes sont heureux alors qu'ils saluent la caméra alors qu'ils apprécient la balade à chameau.</v>
      </c>
    </row>
    <row r="3668">
      <c r="A3668" s="4" t="s">
        <v>4607</v>
      </c>
      <c r="B3668" s="4" t="s">
        <v>4613</v>
      </c>
      <c r="C3668" s="5" t="str">
        <f>IFERROR(__xludf.DUMMYFUNCTION("GOOGLETRANSLATE(B3668,""en"",""fr"")"),"Les chameaux marchent lentement à travers les prairies sèches et boueuses.")</f>
        <v>Les chameaux marchent lentement à travers les prairies sèches et boueuses.</v>
      </c>
    </row>
    <row r="3669">
      <c r="A3669" s="4" t="s">
        <v>4607</v>
      </c>
      <c r="B3669" s="6" t="s">
        <v>4614</v>
      </c>
      <c r="C3669" s="5" t="str">
        <f>IFERROR(__xludf.DUMMYFUNCTION("GOOGLETRANSLATE(B3669,""en"",""fr"")"),"Ensuite, les touristes quittent les chameaux et se dirigent vers une salle à manger en plein air où plusieurs tables sont disposées avec des nappes blanches et une vaisselle.")</f>
        <v>Ensuite, les touristes quittent les chameaux et se dirigent vers une salle à manger en plein air où plusieurs tables sont disposées avec des nappes blanches et une vaisselle.</v>
      </c>
    </row>
    <row r="3670">
      <c r="A3670" s="4" t="s">
        <v>4615</v>
      </c>
      <c r="B3670" s="4" t="s">
        <v>4616</v>
      </c>
      <c r="C3670" s="5" t="str">
        <f>IFERROR(__xludf.DUMMYFUNCTION("GOOGLETRANSLATE(B3670,""en"",""fr"")"),"Un verre martini est rempli de vodka.")</f>
        <v>Un verre martini est rempli de vodka.</v>
      </c>
    </row>
    <row r="3671">
      <c r="A3671" s="4" t="s">
        <v>4615</v>
      </c>
      <c r="B3671" s="4" t="s">
        <v>4617</v>
      </c>
      <c r="C3671" s="5" t="str">
        <f>IFERROR(__xludf.DUMMYFUNCTION("GOOGLETRANSLATE(B3671,""en"",""fr"")"),"Une femme est montrée derrière un bar avec différentes bouteilles d'alcool.")</f>
        <v>Une femme est montrée derrière un bar avec différentes bouteilles d'alcool.</v>
      </c>
    </row>
    <row r="3672">
      <c r="A3672" s="4" t="s">
        <v>4615</v>
      </c>
      <c r="B3672" s="4" t="s">
        <v>4618</v>
      </c>
      <c r="C3672" s="5" t="str">
        <f>IFERROR(__xludf.DUMMYFUNCTION("GOOGLETRANSLATE(B3672,""en"",""fr"")"),"Elle les mélange, puis décore la boisson finale.")</f>
        <v>Elle les mélange, puis décore la boisson finale.</v>
      </c>
    </row>
    <row r="3673">
      <c r="A3673" s="4" t="s">
        <v>4619</v>
      </c>
      <c r="B3673" s="4" t="s">
        <v>4620</v>
      </c>
      <c r="C3673" s="5" t="str">
        <f>IFERROR(__xludf.DUMMYFUNCTION("GOOGLETRANSLATE(B3673,""en"",""fr"")"),"Une personne montre comment nettoyer les grandes fenêtres.")</f>
        <v>Une personne montre comment nettoyer les grandes fenêtres.</v>
      </c>
    </row>
    <row r="3674">
      <c r="A3674" s="4" t="s">
        <v>4619</v>
      </c>
      <c r="B3674" s="4" t="s">
        <v>4621</v>
      </c>
      <c r="C3674" s="5" t="str">
        <f>IFERROR(__xludf.DUMMYFUNCTION("GOOGLETRANSLATE(B3674,""en"",""fr"")"),"D'abord le savon est appliqué, puis il est gratté.")</f>
        <v>D'abord le savon est appliqué, puis il est gratté.</v>
      </c>
    </row>
    <row r="3675">
      <c r="A3675" s="4" t="s">
        <v>4619</v>
      </c>
      <c r="B3675" s="4" t="s">
        <v>4622</v>
      </c>
      <c r="C3675" s="5" t="str">
        <f>IFERROR(__xludf.DUMMYFUNCTION("GOOGLETRANSLATE(B3675,""en"",""fr"")"),"Le processus est répété et terminé.")</f>
        <v>Le processus est répété et terminé.</v>
      </c>
    </row>
    <row r="3676">
      <c r="A3676" s="4" t="s">
        <v>4623</v>
      </c>
      <c r="B3676" s="4" t="s">
        <v>4624</v>
      </c>
      <c r="C3676" s="5" t="str">
        <f>IFERROR(__xludf.DUMMYFUNCTION("GOOGLETRANSLATE(B3676,""en"",""fr"")"),"Un homme est vu tourbillonner un bâton autour d'un pot tandis qu'un jeune garçon le regarde le regarde travailler.")</f>
        <v>Un homme est vu tourbillonner un bâton autour d'un pot tandis qu'un jeune garçon le regarde le regarde travailler.</v>
      </c>
    </row>
    <row r="3677">
      <c r="A3677" s="4" t="s">
        <v>4623</v>
      </c>
      <c r="B3677" s="4" t="s">
        <v>4625</v>
      </c>
      <c r="C3677" s="5" t="str">
        <f>IFERROR(__xludf.DUMMYFUNCTION("GOOGLETRANSLATE(B3677,""en"",""fr"")"),"L'homme taquine le garçon avec un cône et laisse le garçon l'avoir, seulement pour être enlevé à nouveau.")</f>
        <v>L'homme taquine le garçon avec un cône et laisse le garçon l'avoir, seulement pour être enlevé à nouveau.</v>
      </c>
    </row>
    <row r="3678">
      <c r="A3678" s="4" t="s">
        <v>4623</v>
      </c>
      <c r="B3678" s="6" t="s">
        <v>4626</v>
      </c>
      <c r="C3678" s="5" t="str">
        <f>IFERROR(__xludf.DUMMYFUNCTION("GOOGLETRANSLATE(B3678,""en"",""fr"")"),"L'homme met ensuite de la crème glacée sur le cône et sourit au garçon pendant qu'il s'éloigne et la montre des autres.")</f>
        <v>L'homme met ensuite de la crème glacée sur le cône et sourit au garçon pendant qu'il s'éloigne et la montre des autres.</v>
      </c>
    </row>
    <row r="3679">
      <c r="A3679" s="4" t="s">
        <v>4627</v>
      </c>
      <c r="B3679" s="6" t="s">
        <v>4628</v>
      </c>
      <c r="C3679" s="5" t="str">
        <f>IFERROR(__xludf.DUMMYFUNCTION("GOOGLETRANSLATE(B3679,""en"",""fr"")"),"Un basketteur est vu sauter sous un filet de balle de basket-ball et tirer une balle en continu sur le filet.")</f>
        <v>Un basketteur est vu sauter sous un filet de balle de basket-ball et tirer une balle en continu sur le filet.</v>
      </c>
    </row>
    <row r="3680">
      <c r="A3680" s="4" t="s">
        <v>4627</v>
      </c>
      <c r="B3680" s="4" t="s">
        <v>4629</v>
      </c>
      <c r="C3680" s="5" t="str">
        <f>IFERROR(__xludf.DUMMYFUNCTION("GOOGLETRANSLATE(B3680,""en"",""fr"")"),"Elle continue le tournage et la vidéo se termine par divers texte à travers l'écran.")</f>
        <v>Elle continue le tournage et la vidéo se termine par divers texte à travers l'écran.</v>
      </c>
    </row>
    <row r="3681">
      <c r="A3681" s="4" t="s">
        <v>4630</v>
      </c>
      <c r="B3681" s="4" t="s">
        <v>4631</v>
      </c>
      <c r="C3681" s="5" t="str">
        <f>IFERROR(__xludf.DUMMYFUNCTION("GOOGLETRANSLATE(B3681,""en"",""fr"")"),"Une personne tend le nettoyage du produit et un flacon pulvérisateur avec le mélange sur un évier de cuisine.")</f>
        <v>Une personne tend le nettoyage du produit et un flacon pulvérisateur avec le mélange sur un évier de cuisine.</v>
      </c>
    </row>
    <row r="3682">
      <c r="A3682" s="4" t="s">
        <v>4630</v>
      </c>
      <c r="B3682" s="4" t="s">
        <v>4632</v>
      </c>
      <c r="C3682" s="5" t="str">
        <f>IFERROR(__xludf.DUMMYFUNCTION("GOOGLETRANSLATE(B3682,""en"",""fr"")"),"La personne pulvérise le puits en acier inoxydable avec un détergent dans un flacon pulvérisateur.")</f>
        <v>La personne pulvérise le puits en acier inoxydable avec un détergent dans un flacon pulvérisateur.</v>
      </c>
    </row>
    <row r="3683">
      <c r="A3683" s="4" t="s">
        <v>4630</v>
      </c>
      <c r="B3683" s="4" t="s">
        <v>4633</v>
      </c>
      <c r="C3683" s="5" t="str">
        <f>IFERROR(__xludf.DUMMYFUNCTION("GOOGLETRANSLATE(B3683,""en"",""fr"")"),"Une éponge est utilisée pour frotter le chant avec la solution de nettoyage.")</f>
        <v>Une éponge est utilisée pour frotter le chant avec la solution de nettoyage.</v>
      </c>
    </row>
    <row r="3684">
      <c r="A3684" s="4" t="s">
        <v>4630</v>
      </c>
      <c r="B3684" s="4" t="s">
        <v>4634</v>
      </c>
      <c r="C3684" s="5" t="str">
        <f>IFERROR(__xludf.DUMMYFUNCTION("GOOGLETRANSLATE(B3684,""en"",""fr"")"),"Le robinet est allumé et est utilisé pour rincer l'évier.")</f>
        <v>Le robinet est allumé et est utilisé pour rincer l'évier.</v>
      </c>
    </row>
    <row r="3685">
      <c r="A3685" s="4" t="s">
        <v>4635</v>
      </c>
      <c r="B3685" s="4" t="s">
        <v>4636</v>
      </c>
      <c r="C3685" s="5" t="str">
        <f>IFERROR(__xludf.DUMMYFUNCTION("GOOGLETRANSLATE(B3685,""en"",""fr"")"),"Un bébé dans un écran est affiché et quelqu'un frappe l'écran avec un marteau.")</f>
        <v>Un bébé dans un écran est affiché et quelqu'un frappe l'écran avec un marteau.</v>
      </c>
    </row>
    <row r="3686">
      <c r="A3686" s="4" t="s">
        <v>4635</v>
      </c>
      <c r="B3686" s="4" t="s">
        <v>4637</v>
      </c>
      <c r="C3686" s="5" t="str">
        <f>IFERROR(__xludf.DUMMYFUNCTION("GOOGLETRANSLATE(B3686,""en"",""fr"")"),"L'homme fait du skateboard et abrite la planche à différents endroits.")</f>
        <v>L'homme fait du skateboard et abrite la planche à différents endroits.</v>
      </c>
    </row>
    <row r="3687">
      <c r="A3687" s="4" t="s">
        <v>4635</v>
      </c>
      <c r="B3687" s="4" t="s">
        <v>4638</v>
      </c>
      <c r="C3687" s="5" t="str">
        <f>IFERROR(__xludf.DUMMYFUNCTION("GOOGLETRANSLATE(B3687,""en"",""fr"")"),"L'homme est du skateboard qui descend dans un grand escalier et tombe.")</f>
        <v>L'homme est du skateboard qui descend dans un grand escalier et tombe.</v>
      </c>
    </row>
    <row r="3688">
      <c r="A3688" s="4" t="s">
        <v>4635</v>
      </c>
      <c r="B3688" s="4" t="s">
        <v>4639</v>
      </c>
      <c r="C3688" s="5" t="str">
        <f>IFERROR(__xludf.DUMMYFUNCTION("GOOGLETRANSLATE(B3688,""en"",""fr"")"),"L'homme fait du skateboard sur un rail de ciment dans les escaliers.")</f>
        <v>L'homme fait du skateboard sur un rail de ciment dans les escaliers.</v>
      </c>
    </row>
    <row r="3689">
      <c r="A3689" s="4" t="s">
        <v>4640</v>
      </c>
      <c r="B3689" s="4" t="s">
        <v>4641</v>
      </c>
      <c r="C3689" s="5" t="str">
        <f>IFERROR(__xludf.DUMMYFUNCTION("GOOGLETRANSLATE(B3689,""en"",""fr"")"),"Un journaliste interviewe deux garçons et un petit garçon.")</f>
        <v>Un journaliste interviewe deux garçons et un petit garçon.</v>
      </c>
    </row>
    <row r="3690">
      <c r="A3690" s="4" t="s">
        <v>4640</v>
      </c>
      <c r="B3690" s="4" t="s">
        <v>4642</v>
      </c>
      <c r="C3690" s="5" t="str">
        <f>IFERROR(__xludf.DUMMYFUNCTION("GOOGLETRANSLATE(B3690,""en"",""fr"")"),"Ensuite, les grands garçons et les petits garçons jouent au football pendant que le journaliste continue l'interview.")</f>
        <v>Ensuite, les grands garçons et les petits garçons jouent au football pendant que le journaliste continue l'interview.</v>
      </c>
    </row>
    <row r="3691">
      <c r="A3691" s="4" t="s">
        <v>4643</v>
      </c>
      <c r="B3691" s="4" t="s">
        <v>4644</v>
      </c>
      <c r="C3691" s="5" t="str">
        <f>IFERROR(__xludf.DUMMYFUNCTION("GOOGLETRANSLATE(B3691,""en"",""fr"")"),"Les jeunes joueuses courent sur le terrain en train de se jeter les uns sur les autres.")</f>
        <v>Les jeunes joueuses courent sur le terrain en train de se jeter les uns sur les autres.</v>
      </c>
    </row>
    <row r="3692">
      <c r="A3692" s="4" t="s">
        <v>4643</v>
      </c>
      <c r="B3692" s="4" t="s">
        <v>4645</v>
      </c>
      <c r="C3692" s="5" t="str">
        <f>IFERROR(__xludf.DUMMYFUNCTION("GOOGLETRANSLATE(B3692,""en"",""fr"")"),"Certains joueurs évitent le ballon, alors ils continuent de courir.")</f>
        <v>Certains joueurs évitent le ballon, alors ils continuent de courir.</v>
      </c>
    </row>
    <row r="3693">
      <c r="A3693" s="4" t="s">
        <v>4643</v>
      </c>
      <c r="B3693" s="4" t="s">
        <v>4646</v>
      </c>
      <c r="C3693" s="5" t="str">
        <f>IFERROR(__xludf.DUMMYFUNCTION("GOOGLETRANSLATE(B3693,""en"",""fr"")"),"Les joueuses ont marché alors qu'ils donnaient un coup de pied au ballon d'un côté à l'autre.")</f>
        <v>Les joueuses ont marché alors qu'ils donnaient un coup de pied au ballon d'un côté à l'autre.</v>
      </c>
    </row>
    <row r="3694">
      <c r="A3694" s="4" t="s">
        <v>4643</v>
      </c>
      <c r="B3694" s="4" t="s">
        <v>4647</v>
      </c>
      <c r="C3694" s="5" t="str">
        <f>IFERROR(__xludf.DUMMYFUNCTION("GOOGLETRANSLATE(B3694,""en"",""fr"")"),"Les joueurs ont donné un coup de pied au ballon à la personne suivante de l'autre côté du terrain.")</f>
        <v>Les joueurs ont donné un coup de pied au ballon à la personne suivante de l'autre côté du terrain.</v>
      </c>
    </row>
    <row r="3695">
      <c r="A3695" s="4" t="s">
        <v>4648</v>
      </c>
      <c r="B3695" s="6" t="s">
        <v>4649</v>
      </c>
      <c r="C3695" s="5" t="str">
        <f>IFERROR(__xludf.DUMMYFUNCTION("GOOGLETRANSLATE(B3695,""en"",""fr"")"),"Un petit groupe de personnes est vue de faire des vélos d'exercice les uns à côté des autres pendant qu'une femme se tient au milieu les motivant.")</f>
        <v>Un petit groupe de personnes est vue de faire des vélos d'exercice les uns à côté des autres pendant qu'une femme se tient au milieu les motivant.</v>
      </c>
    </row>
    <row r="3696">
      <c r="A3696" s="4" t="s">
        <v>4648</v>
      </c>
      <c r="B3696" s="6" t="s">
        <v>4650</v>
      </c>
      <c r="C3696" s="5" t="str">
        <f>IFERROR(__xludf.DUMMYFUNCTION("GOOGLETRANSLATE(B3696,""en"",""fr"")"),"Les gens continuent de tourner sur les vélos avec des difficultés et d'autres qui continuent de colporter.")</f>
        <v>Les gens continuent de tourner sur les vélos avec des difficultés et d'autres qui continuent de colporter.</v>
      </c>
    </row>
    <row r="3697">
      <c r="A3697" s="4" t="s">
        <v>4651</v>
      </c>
      <c r="B3697" s="6" t="s">
        <v>4652</v>
      </c>
      <c r="C3697" s="5" t="str">
        <f>IFERROR(__xludf.DUMMYFUNCTION("GOOGLETRANSLATE(B3697,""en"",""fr"")"),"Une femme est vue en train de brosser de grandes quantités de cheveux sur le corps d'un chien et de récupérer la fourrure dans sa main.")</f>
        <v>Une femme est vue en train de brosser de grandes quantités de cheveux sur le corps d'un chien et de récupérer la fourrure dans sa main.</v>
      </c>
    </row>
    <row r="3698">
      <c r="A3698" s="4" t="s">
        <v>4651</v>
      </c>
      <c r="B3698" s="4" t="s">
        <v>4653</v>
      </c>
      <c r="C3698" s="5" t="str">
        <f>IFERROR(__xludf.DUMMYFUNCTION("GOOGLETRANSLATE(B3698,""en"",""fr"")"),"Le chien bouge un peu la jambe alors que la femme continue de se brosser et la regarde en arrière pour la regarder se brosser.")</f>
        <v>Le chien bouge un peu la jambe alors que la femme continue de se brosser et la regarde en arrière pour la regarder se brosser.</v>
      </c>
    </row>
    <row r="3699">
      <c r="A3699" s="4" t="s">
        <v>4654</v>
      </c>
      <c r="B3699" s="4" t="s">
        <v>4655</v>
      </c>
      <c r="C3699" s="5" t="str">
        <f>IFERROR(__xludf.DUMMYFUNCTION("GOOGLETRANSLATE(B3699,""en"",""fr"")"),"Une personne court sur une piste et jette un javelot.")</f>
        <v>Une personne court sur une piste et jette un javelot.</v>
      </c>
    </row>
    <row r="3700">
      <c r="A3700" s="4" t="s">
        <v>4654</v>
      </c>
      <c r="B3700" s="4" t="s">
        <v>4656</v>
      </c>
      <c r="C3700" s="5" t="str">
        <f>IFERROR(__xludf.DUMMYFUNCTION("GOOGLETRANSLATE(B3700,""en"",""fr"")"),"Une autre personne coule sur la piste et jette un javelot.")</f>
        <v>Une autre personne coule sur la piste et jette un javelot.</v>
      </c>
    </row>
    <row r="3701">
      <c r="A3701" s="4" t="s">
        <v>4657</v>
      </c>
      <c r="B3701" s="4" t="s">
        <v>1251</v>
      </c>
      <c r="C3701" s="5" t="str">
        <f>IFERROR(__xludf.DUMMYFUNCTION("GOOGLETRANSLATE(B3701,""en"",""fr"")"),"Les crédits du clip sont affichés.")</f>
        <v>Les crédits du clip sont affichés.</v>
      </c>
    </row>
    <row r="3702">
      <c r="A3702" s="4" t="s">
        <v>4657</v>
      </c>
      <c r="B3702" s="4" t="s">
        <v>4658</v>
      </c>
      <c r="C3702" s="5" t="str">
        <f>IFERROR(__xludf.DUMMYFUNCTION("GOOGLETRANSLATE(B3702,""en"",""fr"")"),"La dame fouette les cheveux d'un côté à l'autre.")</f>
        <v>La dame fouette les cheveux d'un côté à l'autre.</v>
      </c>
    </row>
    <row r="3703">
      <c r="A3703" s="4" t="s">
        <v>4657</v>
      </c>
      <c r="B3703" s="4" t="s">
        <v>4659</v>
      </c>
      <c r="C3703" s="5" t="str">
        <f>IFERROR(__xludf.DUMMYFUNCTION("GOOGLETRANSLATE(B3703,""en"",""fr"")"),"La dame repose ses cheveux.")</f>
        <v>La dame repose ses cheveux.</v>
      </c>
    </row>
    <row r="3704">
      <c r="A3704" s="4" t="s">
        <v>4657</v>
      </c>
      <c r="B3704" s="4" t="s">
        <v>4660</v>
      </c>
      <c r="C3704" s="5" t="str">
        <f>IFERROR(__xludf.DUMMYFUNCTION("GOOGLETRANSLATE(B3704,""en"",""fr"")"),"La dame se brosse les cheveux, applique du gel à ses cheveux séparés et commence à tresser ses cheveux.")</f>
        <v>La dame se brosse les cheveux, applique du gel à ses cheveux séparés et commence à tresser ses cheveux.</v>
      </c>
    </row>
    <row r="3705">
      <c r="A3705" s="4" t="s">
        <v>4657</v>
      </c>
      <c r="B3705" s="4" t="s">
        <v>4661</v>
      </c>
      <c r="C3705" s="5" t="str">
        <f>IFERROR(__xludf.DUMMYFUNCTION("GOOGLETRANSLATE(B3705,""en"",""fr"")"),"La dame met des liens de cheveux autour des deux tresses.")</f>
        <v>La dame met des liens de cheveux autour des deux tresses.</v>
      </c>
    </row>
    <row r="3706">
      <c r="A3706" s="4" t="s">
        <v>4657</v>
      </c>
      <c r="B3706" s="4" t="s">
        <v>4662</v>
      </c>
      <c r="C3706" s="5" t="str">
        <f>IFERROR(__xludf.DUMMYFUNCTION("GOOGLETRANSLATE(B3706,""en"",""fr"")"),"La dame met un chapeau sur sa tête.")</f>
        <v>La dame met un chapeau sur sa tête.</v>
      </c>
    </row>
    <row r="3707">
      <c r="A3707" s="4" t="s">
        <v>4657</v>
      </c>
      <c r="B3707" s="4" t="s">
        <v>4663</v>
      </c>
      <c r="C3707" s="5" t="str">
        <f>IFERROR(__xludf.DUMMYFUNCTION("GOOGLETRANSLATE(B3707,""en"",""fr"")"),"La dame donne un panneau de paix et des vagues.")</f>
        <v>La dame donne un panneau de paix et des vagues.</v>
      </c>
    </row>
    <row r="3708">
      <c r="A3708" s="4" t="s">
        <v>4657</v>
      </c>
      <c r="B3708" s="4" t="s">
        <v>573</v>
      </c>
      <c r="C3708" s="5" t="str">
        <f>IFERROR(__xludf.DUMMYFUNCTION("GOOGLETRANSLATE(B3708,""en"",""fr"")"),"Les crédits de la vidéo sont affichés.")</f>
        <v>Les crédits de la vidéo sont affichés.</v>
      </c>
    </row>
    <row r="3709">
      <c r="A3709" s="4" t="s">
        <v>4664</v>
      </c>
      <c r="B3709" s="4" t="s">
        <v>4665</v>
      </c>
      <c r="C3709" s="5" t="str">
        <f>IFERROR(__xludf.DUMMYFUNCTION("GOOGLETRANSLATE(B3709,""en"",""fr"")"),"Les gens dansent et chorégraphient une routine.")</f>
        <v>Les gens dansent et chorégraphient une routine.</v>
      </c>
    </row>
    <row r="3710">
      <c r="A3710" s="4" t="s">
        <v>4664</v>
      </c>
      <c r="B3710" s="4" t="s">
        <v>4666</v>
      </c>
      <c r="C3710" s="5" t="str">
        <f>IFERROR(__xludf.DUMMYFUNCTION("GOOGLETRANSLATE(B3710,""en"",""fr"")"),"Ils sautent et applaudissent à la fin.")</f>
        <v>Ils sautent et applaudissent à la fin.</v>
      </c>
    </row>
    <row r="3711">
      <c r="A3711" s="4" t="s">
        <v>4667</v>
      </c>
      <c r="B3711" s="4" t="s">
        <v>4668</v>
      </c>
      <c r="C3711" s="5" t="str">
        <f>IFERROR(__xludf.DUMMYFUNCTION("GOOGLETRANSLATE(B3711,""en"",""fr"")"),"Un homme est vu à genoux dans un grand champ autour de petits arbres et tenant un bâton.")</f>
        <v>Un homme est vu à genoux dans un grand champ autour de petits arbres et tenant un bâton.</v>
      </c>
    </row>
    <row r="3712">
      <c r="A3712" s="4" t="s">
        <v>4667</v>
      </c>
      <c r="B3712" s="4" t="s">
        <v>4669</v>
      </c>
      <c r="C3712" s="5" t="str">
        <f>IFERROR(__xludf.DUMMYFUNCTION("GOOGLETRANSLATE(B3712,""en"",""fr"")"),"L'homme mousse alors le bâton le long de l'herbe et en retirant ses bras et quatrième.")</f>
        <v>L'homme mousse alors le bâton le long de l'herbe et en retirant ses bras et quatrième.</v>
      </c>
    </row>
    <row r="3713">
      <c r="A3713" s="4" t="s">
        <v>4670</v>
      </c>
      <c r="B3713" s="4" t="s">
        <v>4671</v>
      </c>
      <c r="C3713" s="5" t="str">
        <f>IFERROR(__xludf.DUMMYFUNCTION("GOOGLETRANSLATE(B3713,""en"",""fr"")"),"Une personne assise dans un canot coule lentement sur une rivière.")</f>
        <v>Une personne assise dans un canot coule lentement sur une rivière.</v>
      </c>
    </row>
    <row r="3714">
      <c r="A3714" s="4" t="s">
        <v>4670</v>
      </c>
      <c r="B3714" s="4" t="s">
        <v>4672</v>
      </c>
      <c r="C3714" s="5" t="str">
        <f>IFERROR(__xludf.DUMMYFUNCTION("GOOGLETRANSLATE(B3714,""en"",""fr"")"),"Un coup d'oiseau est vu au loin, ainsi qu'un autre oiseau.")</f>
        <v>Un coup d'oiseau est vu au loin, ainsi qu'un autre oiseau.</v>
      </c>
    </row>
    <row r="3715">
      <c r="A3715" s="4" t="s">
        <v>4670</v>
      </c>
      <c r="B3715" s="4" t="s">
        <v>4673</v>
      </c>
      <c r="C3715" s="5" t="str">
        <f>IFERROR(__xludf.DUMMYFUNCTION("GOOGLETRANSLATE(B3715,""en"",""fr"")"),"Le canoë continue de flotter tandis que divers oiseaux sont représentés assis dans l'eau ainsi que les arbres.")</f>
        <v>Le canoë continue de flotter tandis que divers oiseaux sont représentés assis dans l'eau ainsi que les arbres.</v>
      </c>
    </row>
    <row r="3716">
      <c r="A3716" s="4" t="s">
        <v>4674</v>
      </c>
      <c r="B3716" s="4" t="s">
        <v>4675</v>
      </c>
      <c r="C3716" s="5" t="str">
        <f>IFERROR(__xludf.DUMMYFUNCTION("GOOGLETRANSLATE(B3716,""en"",""fr"")"),"Un jeune homme est assis dans une pièce à parler à trois autres personnes servant de nouvelles.")</f>
        <v>Un jeune homme est assis dans une pièce à parler à trois autres personnes servant de nouvelles.</v>
      </c>
    </row>
    <row r="3717">
      <c r="A3717" s="4" t="s">
        <v>4674</v>
      </c>
      <c r="B3717" s="4" t="s">
        <v>4676</v>
      </c>
      <c r="C3717" s="5" t="str">
        <f>IFERROR(__xludf.DUMMYFUNCTION("GOOGLETRANSLATE(B3717,""en"",""fr"")"),"La vidéo se retourne ensuite vers un bar et montre qu'Obama joue à un jeu de piscine.")</f>
        <v>La vidéo se retourne ensuite vers un bar et montre qu'Obama joue à un jeu de piscine.</v>
      </c>
    </row>
    <row r="3718">
      <c r="A3718" s="4" t="s">
        <v>4674</v>
      </c>
      <c r="B3718" s="4" t="s">
        <v>4677</v>
      </c>
      <c r="C3718" s="5" t="str">
        <f>IFERROR(__xludf.DUMMYFUNCTION("GOOGLETRANSLATE(B3718,""en"",""fr"")"),"Après, les quatre personnes recommencent à parler de l'ancien président et de sa tenue.")</f>
        <v>Après, les quatre personnes recommencent à parler de l'ancien président et de sa tenue.</v>
      </c>
    </row>
    <row r="3719">
      <c r="A3719" s="4" t="s">
        <v>4678</v>
      </c>
      <c r="B3719" s="4" t="s">
        <v>4679</v>
      </c>
      <c r="C3719" s="5" t="str">
        <f>IFERROR(__xludf.DUMMYFUNCTION("GOOGLETRANSLATE(B3719,""en"",""fr"")"),"Une cour vue apparaît avec plusieurs personnes à l'extérieur.")</f>
        <v>Une cour vue apparaît avec plusieurs personnes à l'extérieur.</v>
      </c>
    </row>
    <row r="3720">
      <c r="A3720" s="4" t="s">
        <v>4678</v>
      </c>
      <c r="B3720" s="4" t="s">
        <v>4680</v>
      </c>
      <c r="C3720" s="5" t="str">
        <f>IFERROR(__xludf.DUMMYFUNCTION("GOOGLETRANSLATE(B3720,""en"",""fr"")"),"Les gens jouent à un jeu de Croquette, se relayent avec la batte et frappent les balles.")</f>
        <v>Les gens jouent à un jeu de Croquette, se relayent avec la batte et frappent les balles.</v>
      </c>
    </row>
    <row r="3721">
      <c r="A3721" s="4" t="s">
        <v>4681</v>
      </c>
      <c r="B3721" s="4" t="s">
        <v>4682</v>
      </c>
      <c r="C3721" s="5" t="str">
        <f>IFERROR(__xludf.DUMMYFUNCTION("GOOGLETRANSLATE(B3721,""en"",""fr"")"),"Les gens côté plongent dans une piscine.")</f>
        <v>Les gens côté plongent dans une piscine.</v>
      </c>
    </row>
    <row r="3722">
      <c r="A3722" s="4" t="s">
        <v>4681</v>
      </c>
      <c r="B3722" s="4" t="s">
        <v>4683</v>
      </c>
      <c r="C3722" s="5" t="str">
        <f>IFERROR(__xludf.DUMMYFUNCTION("GOOGLETRANSLATE(B3722,""en"",""fr"")"),"Les gens se tiennent dans une piscine.")</f>
        <v>Les gens se tiennent dans une piscine.</v>
      </c>
    </row>
    <row r="3723">
      <c r="A3723" s="4" t="s">
        <v>4681</v>
      </c>
      <c r="B3723" s="4" t="s">
        <v>4684</v>
      </c>
      <c r="C3723" s="5" t="str">
        <f>IFERROR(__xludf.DUMMYFUNCTION("GOOGLETRANSLATE(B3723,""en"",""fr"")"),"Les filles dansent sur la pelouse en combinaison de natation.")</f>
        <v>Les filles dansent sur la pelouse en combinaison de natation.</v>
      </c>
    </row>
    <row r="3724">
      <c r="A3724" s="4" t="s">
        <v>4681</v>
      </c>
      <c r="B3724" s="4" t="s">
        <v>4685</v>
      </c>
      <c r="C3724" s="5" t="str">
        <f>IFERROR(__xludf.DUMMYFUNCTION("GOOGLETRANSLATE(B3724,""en"",""fr"")"),"Les gens sautent de haut en bas dans une piscine avec leurs bras les uns autour des autres.")</f>
        <v>Les gens sautent de haut en bas dans une piscine avec leurs bras les uns autour des autres.</v>
      </c>
    </row>
    <row r="3725">
      <c r="A3725" s="4" t="s">
        <v>4681</v>
      </c>
      <c r="B3725" s="4" t="s">
        <v>4686</v>
      </c>
      <c r="C3725" s="5" t="str">
        <f>IFERROR(__xludf.DUMMYFUNCTION("GOOGLETRANSLATE(B3725,""en"",""fr"")"),"Les gens commencent à jouer du water-polo dans la piscine.")</f>
        <v>Les gens commencent à jouer du water-polo dans la piscine.</v>
      </c>
    </row>
    <row r="3726">
      <c r="A3726" s="4" t="s">
        <v>4687</v>
      </c>
      <c r="B3726" s="4" t="s">
        <v>4688</v>
      </c>
      <c r="C3726" s="5" t="str">
        <f>IFERROR(__xludf.DUMMYFUNCTION("GOOGLETRANSLATE(B3726,""en"",""fr"")"),"Un citron se trouve sur une planche à découper.")</f>
        <v>Un citron se trouve sur une planche à découper.</v>
      </c>
    </row>
    <row r="3727">
      <c r="A3727" s="4" t="s">
        <v>4687</v>
      </c>
      <c r="B3727" s="4" t="s">
        <v>4689</v>
      </c>
      <c r="C3727" s="5" t="str">
        <f>IFERROR(__xludf.DUMMYFUNCTION("GOOGLETRANSLATE(B3727,""en"",""fr"")"),"Quelqu'un coupe le citron et le serre dans un verre.")</f>
        <v>Quelqu'un coupe le citron et le serre dans un verre.</v>
      </c>
    </row>
    <row r="3728">
      <c r="A3728" s="4" t="s">
        <v>4687</v>
      </c>
      <c r="B3728" s="4" t="s">
        <v>4690</v>
      </c>
      <c r="C3728" s="5" t="str">
        <f>IFERROR(__xludf.DUMMYFUNCTION("GOOGLETRANSLATE(B3728,""en"",""fr"")"),"L'autre moitié est serrée.")</f>
        <v>L'autre moitié est serrée.</v>
      </c>
    </row>
    <row r="3729">
      <c r="A3729" s="4" t="s">
        <v>4687</v>
      </c>
      <c r="B3729" s="4" t="s">
        <v>4691</v>
      </c>
      <c r="C3729" s="5" t="str">
        <f>IFERROR(__xludf.DUMMYFUNCTION("GOOGLETRANSLATE(B3729,""en"",""fr"")"),"Ils ajoutent ensuite du sucre au mélange.")</f>
        <v>Ils ajoutent ensuite du sucre au mélange.</v>
      </c>
    </row>
    <row r="3730">
      <c r="A3730" s="4" t="s">
        <v>4692</v>
      </c>
      <c r="B3730" s="4" t="s">
        <v>4693</v>
      </c>
      <c r="C3730" s="5" t="str">
        <f>IFERROR(__xludf.DUMMYFUNCTION("GOOGLETRANSLATE(B3730,""en"",""fr"")"),"Une grande grue est vue assise sur le sol et mène à un homme en utilisant des outils sur un mur.")</f>
        <v>Une grande grue est vue assise sur le sol et mène à un homme en utilisant des outils sur un mur.</v>
      </c>
    </row>
    <row r="3731">
      <c r="A3731" s="4" t="s">
        <v>4692</v>
      </c>
      <c r="B3731" s="4" t="s">
        <v>4694</v>
      </c>
      <c r="C3731" s="5" t="str">
        <f>IFERROR(__xludf.DUMMYFUNCTION("GOOGLETRANSLATE(B3731,""en"",""fr"")"),"La caméra continue de regarder la personne travailler car il utilise l'outil pour créer des étincelles sur le mur.")</f>
        <v>La caméra continue de regarder la personne travailler car il utilise l'outil pour créer des étincelles sur le mur.</v>
      </c>
    </row>
    <row r="3732">
      <c r="A3732" s="4" t="s">
        <v>4695</v>
      </c>
      <c r="B3732" s="4" t="s">
        <v>4696</v>
      </c>
      <c r="C3732" s="5" t="str">
        <f>IFERROR(__xludf.DUMMYFUNCTION("GOOGLETRANSLATE(B3732,""en"",""fr"")"),"Les femmes sont dans des caoutchoucs glissant sur une colline enneigée.")</f>
        <v>Les femmes sont dans des caoutchoucs glissant sur une colline enneigée.</v>
      </c>
    </row>
    <row r="3733">
      <c r="A3733" s="4" t="s">
        <v>4695</v>
      </c>
      <c r="B3733" s="4" t="s">
        <v>4697</v>
      </c>
      <c r="C3733" s="5" t="str">
        <f>IFERROR(__xludf.DUMMYFUNCTION("GOOGLETRANSLATE(B3733,""en"",""fr"")"),"Les femmes se tiennent et rit et marche.")</f>
        <v>Les femmes se tiennent et rit et marche.</v>
      </c>
    </row>
    <row r="3734">
      <c r="A3734" s="4" t="s">
        <v>4698</v>
      </c>
      <c r="B3734" s="6" t="s">
        <v>4699</v>
      </c>
      <c r="C3734" s="5" t="str">
        <f>IFERROR(__xludf.DUMMYFUNCTION("GOOGLETRANSLATE(B3734,""en"",""fr"")"),"Un bébé veau est vu courir autour d'un puits de sable lorsqu'un homme monte sur un cheval et balancer une corde commence à le chasser.")</f>
        <v>Un bébé veau est vu courir autour d'un puits de sable lorsqu'un homme monte sur un cheval et balancer une corde commence à le chasser.</v>
      </c>
    </row>
    <row r="3735">
      <c r="A3735" s="4" t="s">
        <v>4698</v>
      </c>
      <c r="B3735" s="6" t="s">
        <v>4700</v>
      </c>
      <c r="C3735" s="5" t="str">
        <f>IFERROR(__xludf.DUMMYFUNCTION("GOOGLETRANSLATE(B3735,""en"",""fr"")"),"L'homme attache le mollet et s'éloigne tandis que la vidéo mène à des plans d'un cheval qui donne un cavalier de son dos.")</f>
        <v>L'homme attache le mollet et s'éloigne tandis que la vidéo mène à des plans d'un cheval qui donne un cavalier de son dos.</v>
      </c>
    </row>
    <row r="3736">
      <c r="A3736" s="4" t="s">
        <v>4698</v>
      </c>
      <c r="B3736" s="4" t="s">
        <v>4701</v>
      </c>
      <c r="C3736" s="5" t="str">
        <f>IFERROR(__xludf.DUMMYFUNCTION("GOOGLETRANSLATE(B3736,""en"",""fr"")"),"Plus de coups sont montrés des chevaux qui lancent des coureurs pendant que les gens saisissent le cheval à la fin.")</f>
        <v>Plus de coups sont montrés des chevaux qui lancent des coureurs pendant que les gens saisissent le cheval à la fin.</v>
      </c>
    </row>
    <row r="3737">
      <c r="A3737" s="4" t="s">
        <v>4702</v>
      </c>
      <c r="B3737" s="4" t="s">
        <v>4703</v>
      </c>
      <c r="C3737" s="5" t="str">
        <f>IFERROR(__xludf.DUMMYFUNCTION("GOOGLETRANSLATE(B3737,""en"",""fr"")"),"Les gens courent en jouant à Dodge Ball.")</f>
        <v>Les gens courent en jouant à Dodge Ball.</v>
      </c>
    </row>
    <row r="3738">
      <c r="A3738" s="4" t="s">
        <v>4702</v>
      </c>
      <c r="B3738" s="4" t="s">
        <v>4704</v>
      </c>
      <c r="C3738" s="5" t="str">
        <f>IFERROR(__xludf.DUMMYFUNCTION("GOOGLETRANSLATE(B3738,""en"",""fr"")"),"Une femme tient une caméra prenant une photo.")</f>
        <v>Une femme tient une caméra prenant une photo.</v>
      </c>
    </row>
    <row r="3739">
      <c r="A3739" s="4" t="s">
        <v>4702</v>
      </c>
      <c r="B3739" s="4" t="s">
        <v>4705</v>
      </c>
      <c r="C3739" s="5" t="str">
        <f>IFERROR(__xludf.DUMMYFUNCTION("GOOGLETRANSLATE(B3739,""en"",""fr"")"),"Une femme dans une chemise bleue pose avec un homme pour une photo.")</f>
        <v>Une femme dans une chemise bleue pose avec un homme pour une photo.</v>
      </c>
    </row>
    <row r="3740">
      <c r="A3740" s="4" t="s">
        <v>4706</v>
      </c>
      <c r="B3740" s="4" t="s">
        <v>4707</v>
      </c>
      <c r="C3740" s="5" t="str">
        <f>IFERROR(__xludf.DUMMYFUNCTION("GOOGLETRANSLATE(B3740,""en"",""fr"")"),"Un homme se tient au sommet d'une colline.")</f>
        <v>Un homme se tient au sommet d'une colline.</v>
      </c>
    </row>
    <row r="3741">
      <c r="A3741" s="4" t="s">
        <v>4706</v>
      </c>
      <c r="B3741" s="4" t="s">
        <v>4708</v>
      </c>
      <c r="C3741" s="5" t="str">
        <f>IFERROR(__xludf.DUMMYFUNCTION("GOOGLETRANSLATE(B3741,""en"",""fr"")"),"Une femme est assise sur un traîneau.")</f>
        <v>Une femme est assise sur un traîneau.</v>
      </c>
    </row>
    <row r="3742">
      <c r="A3742" s="4" t="s">
        <v>4706</v>
      </c>
      <c r="B3742" s="4" t="s">
        <v>4709</v>
      </c>
      <c r="C3742" s="5" t="str">
        <f>IFERROR(__xludf.DUMMYFUNCTION("GOOGLETRANSLATE(B3742,""en"",""fr"")"),"Elle est ensuite libérée en bas de la colline, se déplaçant rapidement.")</f>
        <v>Elle est ensuite libérée en bas de la colline, se déplaçant rapidement.</v>
      </c>
    </row>
    <row r="3743">
      <c r="A3743" s="4" t="s">
        <v>4710</v>
      </c>
      <c r="B3743" s="4" t="s">
        <v>4711</v>
      </c>
      <c r="C3743" s="5" t="str">
        <f>IFERROR(__xludf.DUMMYFUNCTION("GOOGLETRANSLATE(B3743,""en"",""fr"")"),"Plusieurs personnes regardent un homme dans un chapeau blanc sur un court de tennis.")</f>
        <v>Plusieurs personnes regardent un homme dans un chapeau blanc sur un court de tennis.</v>
      </c>
    </row>
    <row r="3744">
      <c r="A3744" s="4" t="s">
        <v>4710</v>
      </c>
      <c r="B3744" s="4" t="s">
        <v>4712</v>
      </c>
      <c r="C3744" s="5" t="str">
        <f>IFERROR(__xludf.DUMMYFUNCTION("GOOGLETRANSLATE(B3744,""en"",""fr"")"),"L'homme dans le chapeau blanc leva sa main.")</f>
        <v>L'homme dans le chapeau blanc leva sa main.</v>
      </c>
    </row>
    <row r="3745">
      <c r="A3745" s="4" t="s">
        <v>4710</v>
      </c>
      <c r="B3745" s="4" t="s">
        <v>4713</v>
      </c>
      <c r="C3745" s="5" t="str">
        <f>IFERROR(__xludf.DUMMYFUNCTION("GOOGLETRANSLATE(B3745,""en"",""fr"")"),"Le ballon est servi et sort du terrain.")</f>
        <v>Le ballon est servi et sort du terrain.</v>
      </c>
    </row>
    <row r="3746">
      <c r="A3746" s="4" t="s">
        <v>4710</v>
      </c>
      <c r="B3746" s="4" t="s">
        <v>4714</v>
      </c>
      <c r="C3746" s="5" t="str">
        <f>IFERROR(__xludf.DUMMYFUNCTION("GOOGLETRANSLATE(B3746,""en"",""fr"")"),"Le ballon est jeté à l'homme au chapeau blanc.")</f>
        <v>Le ballon est jeté à l'homme au chapeau blanc.</v>
      </c>
    </row>
    <row r="3747">
      <c r="A3747" s="4" t="s">
        <v>4710</v>
      </c>
      <c r="B3747" s="4" t="s">
        <v>4715</v>
      </c>
      <c r="C3747" s="5" t="str">
        <f>IFERROR(__xludf.DUMMYFUNCTION("GOOGLETRANSLATE(B3747,""en"",""fr"")"),"L'homme en chapeau blanc se prépare à servir le ballon.")</f>
        <v>L'homme en chapeau blanc se prépare à servir le ballon.</v>
      </c>
    </row>
    <row r="3748">
      <c r="A3748" s="4" t="s">
        <v>4716</v>
      </c>
      <c r="B3748" s="4" t="s">
        <v>4717</v>
      </c>
      <c r="C3748" s="5" t="str">
        <f>IFERROR(__xludf.DUMMYFUNCTION("GOOGLETRANSLATE(B3748,""en"",""fr"")"),"Un homme est à l'extérieur de fumer une cigarette avec son ami.")</f>
        <v>Un homme est à l'extérieur de fumer une cigarette avec son ami.</v>
      </c>
    </row>
    <row r="3749">
      <c r="A3749" s="4" t="s">
        <v>4716</v>
      </c>
      <c r="B3749" s="4" t="s">
        <v>4718</v>
      </c>
      <c r="C3749" s="5" t="str">
        <f>IFERROR(__xludf.DUMMYFUNCTION("GOOGLETRANSLATE(B3749,""en"",""fr"")"),"Ils sont juste assis de la fumée de détente.")</f>
        <v>Ils sont juste assis de la fumée de détente.</v>
      </c>
    </row>
    <row r="3750">
      <c r="A3750" s="4" t="s">
        <v>4716</v>
      </c>
      <c r="B3750" s="4" t="s">
        <v>4719</v>
      </c>
      <c r="C3750" s="5" t="str">
        <f>IFERROR(__xludf.DUMMYFUNCTION("GOOGLETRANSLATE(B3750,""en"",""fr"")"),"Un autre homme avec une caméra passe pendant qu'ils s'asseyent.")</f>
        <v>Un autre homme avec une caméra passe pendant qu'ils s'asseyent.</v>
      </c>
    </row>
    <row r="3751">
      <c r="A3751" s="4" t="s">
        <v>4716</v>
      </c>
      <c r="B3751" s="4" t="s">
        <v>4720</v>
      </c>
      <c r="C3751" s="5" t="str">
        <f>IFERROR(__xludf.DUMMYFUNCTION("GOOGLETRANSLATE(B3751,""en"",""fr"")"),"C'est une belle journée pour se détendre et faire de la fumée dehors avec des amis.")</f>
        <v>C'est une belle journée pour se détendre et faire de la fumée dehors avec des amis.</v>
      </c>
    </row>
    <row r="3752">
      <c r="A3752" s="4" t="s">
        <v>4721</v>
      </c>
      <c r="B3752" s="4" t="s">
        <v>4722</v>
      </c>
      <c r="C3752" s="5" t="str">
        <f>IFERROR(__xludf.DUMMYFUNCTION("GOOGLETRANSLATE(B3752,""en"",""fr"")"),"Deux hommes courent sur le terrain de baseball.")</f>
        <v>Deux hommes courent sur le terrain de baseball.</v>
      </c>
    </row>
    <row r="3753">
      <c r="A3753" s="4" t="s">
        <v>4721</v>
      </c>
      <c r="B3753" s="4" t="s">
        <v>4723</v>
      </c>
      <c r="C3753" s="5" t="str">
        <f>IFERROR(__xludf.DUMMYFUNCTION("GOOGLETRANSLATE(B3753,""en"",""fr"")"),"Une balle apparaît et tombe au sol au marbre et un homme le donne un coup de pied.")</f>
        <v>Une balle apparaît et tombe au sol au marbre et un homme le donne un coup de pied.</v>
      </c>
    </row>
    <row r="3754">
      <c r="A3754" s="4" t="s">
        <v>4721</v>
      </c>
      <c r="B3754" s="4" t="s">
        <v>4724</v>
      </c>
      <c r="C3754" s="5" t="str">
        <f>IFERROR(__xludf.DUMMYFUNCTION("GOOGLETRANSLATE(B3754,""en"",""fr"")"),"Un autre homme sur le terrain attrape le ballon.")</f>
        <v>Un autre homme sur le terrain attrape le ballon.</v>
      </c>
    </row>
    <row r="3755">
      <c r="A3755" s="4" t="s">
        <v>4721</v>
      </c>
      <c r="B3755" s="4" t="s">
        <v>4725</v>
      </c>
      <c r="C3755" s="5" t="str">
        <f>IFERROR(__xludf.DUMMYFUNCTION("GOOGLETRANSLATE(B3755,""en"",""fr"")"),"L'homme avec l'équipe du ballon se rend vers lui.")</f>
        <v>L'homme avec l'équipe du ballon se rend vers lui.</v>
      </c>
    </row>
    <row r="3756">
      <c r="A3756" s="4" t="s">
        <v>4721</v>
      </c>
      <c r="B3756" s="4" t="s">
        <v>4726</v>
      </c>
      <c r="C3756" s="5" t="str">
        <f>IFERROR(__xludf.DUMMYFUNCTION("GOOGLETRANSLATE(B3756,""en"",""fr"")"),"Nous voyons le jeu au ralenti.")</f>
        <v>Nous voyons le jeu au ralenti.</v>
      </c>
    </row>
    <row r="3757">
      <c r="A3757" s="4" t="s">
        <v>4727</v>
      </c>
      <c r="B3757" s="4" t="s">
        <v>4728</v>
      </c>
      <c r="C3757" s="5" t="str">
        <f>IFERROR(__xludf.DUMMYFUNCTION("GOOGLETRANSLATE(B3757,""en"",""fr"")"),"Nous voyons une fille avec une tresse puis secouant des boucles lâches dans ses cheveux.")</f>
        <v>Nous voyons une fille avec une tresse puis secouant des boucles lâches dans ses cheveux.</v>
      </c>
    </row>
    <row r="3758">
      <c r="A3758" s="4" t="s">
        <v>4727</v>
      </c>
      <c r="B3758" s="4" t="s">
        <v>4729</v>
      </c>
      <c r="C3758" s="5" t="str">
        <f>IFERROR(__xludf.DUMMYFUNCTION("GOOGLETRANSLATE(B3758,""en"",""fr"")"),"Nous regardons la fille alors qu'elle se recroqueville et tresse ses cheveux.")</f>
        <v>Nous regardons la fille alors qu'elle se recroqueville et tresse ses cheveux.</v>
      </c>
    </row>
    <row r="3759">
      <c r="A3759" s="4" t="s">
        <v>4727</v>
      </c>
      <c r="B3759" s="4" t="s">
        <v>4730</v>
      </c>
      <c r="C3759" s="5" t="str">
        <f>IFERROR(__xludf.DUMMYFUNCTION("GOOGLETRANSLATE(B3759,""en"",""fr"")"),"La fille utilisant un fer à friser et recroqueville ses cheveux.")</f>
        <v>La fille utilisant un fer à friser et recroqueville ses cheveux.</v>
      </c>
    </row>
    <row r="3760">
      <c r="A3760" s="4" t="s">
        <v>4727</v>
      </c>
      <c r="B3760" s="4" t="s">
        <v>4731</v>
      </c>
      <c r="C3760" s="5" t="str">
        <f>IFERROR(__xludf.DUMMYFUNCTION("GOOGLETRANSLATE(B3760,""en"",""fr"")"),"Elle tresse et tord ses cheveux en une tresse latérale.")</f>
        <v>Elle tresse et tord ses cheveux en une tresse latérale.</v>
      </c>
    </row>
    <row r="3761">
      <c r="A3761" s="4" t="s">
        <v>4727</v>
      </c>
      <c r="B3761" s="4" t="s">
        <v>4732</v>
      </c>
      <c r="C3761" s="5" t="str">
        <f>IFERROR(__xludf.DUMMYFUNCTION("GOOGLETRANSLATE(B3761,""en"",""fr"")"),"La fille nous montre l'arrière de ses cheveux puis recroqueville le fond avec un fer à friser.")</f>
        <v>La fille nous montre l'arrière de ses cheveux puis recroqueville le fond avec un fer à friser.</v>
      </c>
    </row>
    <row r="3762">
      <c r="A3762" s="4" t="s">
        <v>4727</v>
      </c>
      <c r="B3762" s="4" t="s">
        <v>4733</v>
      </c>
      <c r="C3762" s="5" t="str">
        <f>IFERROR(__xludf.DUMMYFUNCTION("GOOGLETRANSLATE(B3762,""en"",""fr"")"),"La fille fait des visages et l'écran du titre de fin se charge ensuite.")</f>
        <v>La fille fait des visages et l'écran du titre de fin se charge ensuite.</v>
      </c>
    </row>
    <row r="3763">
      <c r="A3763" s="4" t="s">
        <v>4734</v>
      </c>
      <c r="B3763" s="4" t="s">
        <v>4735</v>
      </c>
      <c r="C3763" s="5" t="str">
        <f>IFERROR(__xludf.DUMMYFUNCTION("GOOGLETRANSLATE(B3763,""en"",""fr"")"),"La caméra plonge une cour d'une résidence.")</f>
        <v>La caméra plonge une cour d'une résidence.</v>
      </c>
    </row>
    <row r="3764">
      <c r="A3764" s="4" t="s">
        <v>4734</v>
      </c>
      <c r="B3764" s="6" t="s">
        <v>4736</v>
      </c>
      <c r="C3764" s="5" t="str">
        <f>IFERROR(__xludf.DUMMYFUNCTION("GOOGLETRANSLATE(B3764,""en"",""fr"")"),"Un homme portant un sweat à capuche blanc et des échauffements noirs avec des rayures blanches tondait la cour avec une tondeuse à gazon poussée.")</f>
        <v>Un homme portant un sweat à capuche blanc et des échauffements noirs avec des rayures blanches tondait la cour avec une tondeuse à gazon poussée.</v>
      </c>
    </row>
    <row r="3765">
      <c r="A3765" s="4" t="s">
        <v>4734</v>
      </c>
      <c r="B3765" s="6" t="s">
        <v>4737</v>
      </c>
      <c r="C3765" s="5" t="str">
        <f>IFERROR(__xludf.DUMMYFUNCTION("GOOGLETRANSLATE(B3765,""en"",""fr"")"),"La caméra capture une tempête de pluie commençant et pleut dans la cour pendant que l'homme continue de tondre la cour.")</f>
        <v>La caméra capture une tempête de pluie commençant et pleut dans la cour pendant que l'homme continue de tondre la cour.</v>
      </c>
    </row>
    <row r="3766">
      <c r="A3766" s="4" t="s">
        <v>4738</v>
      </c>
      <c r="B3766" s="4" t="s">
        <v>4739</v>
      </c>
      <c r="C3766" s="5" t="str">
        <f>IFERROR(__xludf.DUMMYFUNCTION("GOOGLETRANSLATE(B3766,""en"",""fr"")"),"Une femme tresse ses cheveux.")</f>
        <v>Une femme tresse ses cheveux.</v>
      </c>
    </row>
    <row r="3767">
      <c r="A3767" s="4" t="s">
        <v>4738</v>
      </c>
      <c r="B3767" s="4" t="s">
        <v>4740</v>
      </c>
      <c r="C3767" s="5" t="str">
        <f>IFERROR(__xludf.DUMMYFUNCTION("GOOGLETRANSLATE(B3767,""en"",""fr"")"),"Elle traverse les brins.")</f>
        <v>Elle traverse les brins.</v>
      </c>
    </row>
    <row r="3768">
      <c r="A3768" s="4" t="s">
        <v>4738</v>
      </c>
      <c r="B3768" s="4" t="s">
        <v>4741</v>
      </c>
      <c r="C3768" s="5" t="str">
        <f>IFERROR(__xludf.DUMMYFUNCTION("GOOGLETRANSLATE(B3768,""en"",""fr"")"),"Sa tresse est faite d'un côté et elle continue le suivant.")</f>
        <v>Sa tresse est faite d'un côté et elle continue le suivant.</v>
      </c>
    </row>
    <row r="3769">
      <c r="A3769" s="4" t="s">
        <v>4738</v>
      </c>
      <c r="B3769" s="4" t="s">
        <v>4742</v>
      </c>
      <c r="C3769" s="5" t="str">
        <f>IFERROR(__xludf.DUMMYFUNCTION("GOOGLETRANSLATE(B3769,""en"",""fr"")"),"Traverser et ajouter des cheveux à la tresse.")</f>
        <v>Traverser et ajouter des cheveux à la tresse.</v>
      </c>
    </row>
    <row r="3770">
      <c r="A3770" s="4" t="s">
        <v>4738</v>
      </c>
      <c r="B3770" s="4" t="s">
        <v>4743</v>
      </c>
      <c r="C3770" s="5" t="str">
        <f>IFERROR(__xludf.DUMMYFUNCTION("GOOGLETRANSLATE(B3770,""en"",""fr"")"),"Elle finit et se retourne et met le dos en queue de cheval.")</f>
        <v>Elle finit et se retourne et met le dos en queue de cheval.</v>
      </c>
    </row>
    <row r="3771">
      <c r="A3771" s="4" t="s">
        <v>4744</v>
      </c>
      <c r="B3771" s="4" t="s">
        <v>4745</v>
      </c>
      <c r="C3771" s="5" t="str">
        <f>IFERROR(__xludf.DUMMYFUNCTION("GOOGLETRANSLATE(B3771,""en"",""fr"")"),"Un homme et une femme s'assoient derrière une table.")</f>
        <v>Un homme et une femme s'assoient derrière une table.</v>
      </c>
    </row>
    <row r="3772">
      <c r="A3772" s="4" t="s">
        <v>4744</v>
      </c>
      <c r="B3772" s="4" t="s">
        <v>4746</v>
      </c>
      <c r="C3772" s="5" t="str">
        <f>IFERROR(__xludf.DUMMYFUNCTION("GOOGLETRANSLATE(B3772,""en"",""fr"")"),"L'homme verse un verre dans plusieurs verres sur la table.")</f>
        <v>L'homme verse un verre dans plusieurs verres sur la table.</v>
      </c>
    </row>
    <row r="3773">
      <c r="A3773" s="4" t="s">
        <v>4744</v>
      </c>
      <c r="B3773" s="4" t="s">
        <v>4747</v>
      </c>
      <c r="C3773" s="5" t="str">
        <f>IFERROR(__xludf.DUMMYFUNCTION("GOOGLETRANSLATE(B3773,""en"",""fr"")"),"Une femme prend un verre sur la table.")</f>
        <v>Une femme prend un verre sur la table.</v>
      </c>
    </row>
    <row r="3774">
      <c r="A3774" s="4" t="s">
        <v>4744</v>
      </c>
      <c r="B3774" s="4" t="s">
        <v>4748</v>
      </c>
      <c r="C3774" s="5" t="str">
        <f>IFERROR(__xludf.DUMMYFUNCTION("GOOGLETRANSLATE(B3774,""en"",""fr"")"),"Elle verse une bouteille bleue dans la boisson.")</f>
        <v>Elle verse une bouteille bleue dans la boisson.</v>
      </c>
    </row>
    <row r="3775">
      <c r="A3775" s="4" t="s">
        <v>4744</v>
      </c>
      <c r="B3775" s="4" t="s">
        <v>4749</v>
      </c>
      <c r="C3775" s="5" t="str">
        <f>IFERROR(__xludf.DUMMYFUNCTION("GOOGLETRANSLATE(B3775,""en"",""fr"")"),"Elle verse la boisson dans des verres plus petits sur la table.")</f>
        <v>Elle verse la boisson dans des verres plus petits sur la table.</v>
      </c>
    </row>
    <row r="3776">
      <c r="A3776" s="4" t="s">
        <v>4750</v>
      </c>
      <c r="B3776" s="6" t="s">
        <v>4751</v>
      </c>
      <c r="C3776" s="5" t="str">
        <f>IFERROR(__xludf.DUMMYFUNCTION("GOOGLETRANSLATE(B3776,""en"",""fr"")"),"L'homme portant un gilet noir est seul sur une bague qui lutte avec un autre homme qui s'agenouille sur le sol.")</f>
        <v>L'homme portant un gilet noir est seul sur une bague qui lutte avec un autre homme qui s'agenouille sur le sol.</v>
      </c>
    </row>
    <row r="3777">
      <c r="A3777" s="4" t="s">
        <v>4750</v>
      </c>
      <c r="B3777" s="4" t="s">
        <v>4752</v>
      </c>
      <c r="C3777" s="5" t="str">
        <f>IFERROR(__xludf.DUMMYFUNCTION("GOOGLETRANSLATE(B3777,""en"",""fr"")"),"Deux autres hommes se mettent sur le ring et arrachent l'homme au centre.")</f>
        <v>Deux autres hommes se mettent sur le ring et arrachent l'homme au centre.</v>
      </c>
    </row>
    <row r="3778">
      <c r="A3778" s="4" t="s">
        <v>4750</v>
      </c>
      <c r="B3778" s="4" t="s">
        <v>4753</v>
      </c>
      <c r="C3778" s="5" t="str">
        <f>IFERROR(__xludf.DUMMYFUNCTION("GOOGLETRANSLATE(B3778,""en"",""fr"")"),"Les gens sont autour de l'anneau avec la lutte.")</f>
        <v>Les gens sont autour de l'anneau avec la lutte.</v>
      </c>
    </row>
    <row r="3779">
      <c r="A3779" s="4" t="s">
        <v>4750</v>
      </c>
      <c r="B3779" s="4" t="s">
        <v>4754</v>
      </c>
      <c r="C3779" s="5" t="str">
        <f>IFERROR(__xludf.DUMMYFUNCTION("GOOGLETRANSLATE(B3779,""en"",""fr"")"),"Trois journalistes se tiennent en train de porter des costumes et regardent les hommes sur le ring.")</f>
        <v>Trois journalistes se tiennent en train de porter des costumes et regardent les hommes sur le ring.</v>
      </c>
    </row>
    <row r="3780">
      <c r="A3780" s="4" t="s">
        <v>4755</v>
      </c>
      <c r="B3780" s="4" t="s">
        <v>4756</v>
      </c>
      <c r="C3780" s="5" t="str">
        <f>IFERROR(__xludf.DUMMYFUNCTION("GOOGLETRANSLATE(B3780,""en"",""fr"")"),"Une introduction arrive sur l'écran pour une vidéo sur l'emballage des cadeaux.")</f>
        <v>Une introduction arrive sur l'écran pour une vidéo sur l'emballage des cadeaux.</v>
      </c>
    </row>
    <row r="3781">
      <c r="A3781" s="4" t="s">
        <v>4755</v>
      </c>
      <c r="B3781" s="4" t="s">
        <v>4757</v>
      </c>
      <c r="C3781" s="5" t="str">
        <f>IFERROR(__xludf.DUMMYFUNCTION("GOOGLETRANSLATE(B3781,""en"",""fr"")"),"Plusieurs plans de gros plan différents sont des spectacles de cadeaux enveloppés et de fournitures d'emballage de cadeaux.")</f>
        <v>Plusieurs plans de gros plan différents sont des spectacles de cadeaux enveloppés et de fournitures d'emballage de cadeaux.</v>
      </c>
    </row>
    <row r="3782">
      <c r="A3782" s="4" t="s">
        <v>4755</v>
      </c>
      <c r="B3782" s="4" t="s">
        <v>4758</v>
      </c>
      <c r="C3782" s="5" t="str">
        <f>IFERROR(__xludf.DUMMYFUNCTION("GOOGLETRANSLATE(B3782,""en"",""fr"")"),"Une personne vient sur l'écran et commence à envelopper un cadeau.")</f>
        <v>Une personne vient sur l'écran et commence à envelopper un cadeau.</v>
      </c>
    </row>
    <row r="3783">
      <c r="A3783" s="4" t="s">
        <v>4755</v>
      </c>
      <c r="B3783" s="4" t="s">
        <v>4759</v>
      </c>
      <c r="C3783" s="5" t="str">
        <f>IFERROR(__xludf.DUMMYFUNCTION("GOOGLETRANSLATE(B3783,""en"",""fr"")"),"Elle décore le cadeau avec des rubans et des attachements pour l'embellir.")</f>
        <v>Elle décore le cadeau avec des rubans et des attachements pour l'embellir.</v>
      </c>
    </row>
    <row r="3784">
      <c r="A3784" s="4" t="s">
        <v>4755</v>
      </c>
      <c r="B3784" s="4" t="s">
        <v>4760</v>
      </c>
      <c r="C3784" s="5" t="str">
        <f>IFERROR(__xludf.DUMMYFUNCTION("GOOGLETRANSLATE(B3784,""en"",""fr"")"),"Plusieurs autres idées d'emballage de cadeaux sont ensuite montrées sur l'une après l'autre.")</f>
        <v>Plusieurs autres idées d'emballage de cadeaux sont ensuite montrées sur l'une après l'autre.</v>
      </c>
    </row>
    <row r="3785">
      <c r="A3785" s="4" t="s">
        <v>4755</v>
      </c>
      <c r="B3785" s="4" t="s">
        <v>4761</v>
      </c>
      <c r="C3785" s="5" t="str">
        <f>IFERROR(__xludf.DUMMYFUNCTION("GOOGLETRANSLATE(B3785,""en"",""fr"")"),"La vidéo se termine par les crédits de clôture affichés à l'écran.")</f>
        <v>La vidéo se termine par les crédits de clôture affichés à l'écran.</v>
      </c>
    </row>
    <row r="3786">
      <c r="A3786" s="4" t="s">
        <v>4762</v>
      </c>
      <c r="B3786" s="4" t="s">
        <v>4763</v>
      </c>
      <c r="C3786" s="5" t="str">
        <f>IFERROR(__xludf.DUMMYFUNCTION("GOOGLETRANSLATE(B3786,""en"",""fr"")"),"Une caméra repousse une longue liste et mène à un groupe d'hommes et à eux qui leur parlent tous.")</f>
        <v>Une caméra repousse une longue liste et mène à un groupe d'hommes et à eux qui leur parlent tous.</v>
      </c>
    </row>
    <row r="3787">
      <c r="A3787" s="4" t="s">
        <v>4762</v>
      </c>
      <c r="B3787" s="4" t="s">
        <v>4764</v>
      </c>
      <c r="C3787" s="5" t="str">
        <f>IFERROR(__xludf.DUMMYFUNCTION("GOOGLETRANSLATE(B3787,""en"",""fr"")"),"Deux hommes se serrent la main et commencent à rouler de la peinture le long d'un long papier.")</f>
        <v>Deux hommes se serrent la main et commencent à rouler de la peinture le long d'un long papier.</v>
      </c>
    </row>
    <row r="3788">
      <c r="A3788" s="4" t="s">
        <v>4762</v>
      </c>
      <c r="B3788" s="4" t="s">
        <v>4765</v>
      </c>
      <c r="C3788" s="5" t="str">
        <f>IFERROR(__xludf.DUMMYFUNCTION("GOOGLETRANSLATE(B3788,""en"",""fr"")"),"Ils courent pour mettre le papier sur un long mur et des photographies d'hommes mesurant le mur suivent.")</f>
        <v>Ils courent pour mettre le papier sur un long mur et des photographies d'hommes mesurant le mur suivent.</v>
      </c>
    </row>
    <row r="3789">
      <c r="A3789" s="4" t="s">
        <v>4762</v>
      </c>
      <c r="B3789" s="6" t="s">
        <v>4766</v>
      </c>
      <c r="C3789" s="5" t="str">
        <f>IFERROR(__xludf.DUMMYFUNCTION("GOOGLETRANSLATE(B3789,""en"",""fr"")"),"Les hommes pointent un autre et se serrent la main tandis que les hommes continuent d'écrire des notes et des photos de scores élevés montrés.")</f>
        <v>Les hommes pointent un autre et se serrent la main tandis que les hommes continuent d'écrire des notes et des photos de scores élevés montrés.</v>
      </c>
    </row>
    <row r="3790">
      <c r="A3790" s="4" t="s">
        <v>4767</v>
      </c>
      <c r="B3790" s="4" t="s">
        <v>4768</v>
      </c>
      <c r="C3790" s="5" t="str">
        <f>IFERROR(__xludf.DUMMYFUNCTION("GOOGLETRANSLATE(B3790,""en"",""fr"")"),"Une femme est assise devant sa maison et lave ses vêtements dans une baignoire remplie d'eau et de savon.")</f>
        <v>Une femme est assise devant sa maison et lave ses vêtements dans une baignoire remplie d'eau et de savon.</v>
      </c>
    </row>
    <row r="3791">
      <c r="A3791" s="4" t="s">
        <v>4767</v>
      </c>
      <c r="B3791" s="4" t="s">
        <v>4769</v>
      </c>
      <c r="C3791" s="5" t="str">
        <f>IFERROR(__xludf.DUMMYFUNCTION("GOOGLETRANSLATE(B3791,""en"",""fr"")"),"Elle retire les vêtements de la baignoire puis les tremble dans une autre baignoire remplie d'eau.")</f>
        <v>Elle retire les vêtements de la baignoire puis les tremble dans une autre baignoire remplie d'eau.</v>
      </c>
    </row>
    <row r="3792">
      <c r="A3792" s="4" t="s">
        <v>4767</v>
      </c>
      <c r="B3792" s="4" t="s">
        <v>4770</v>
      </c>
      <c r="C3792" s="5" t="str">
        <f>IFERROR(__xludf.DUMMYFUNCTION("GOOGLETRANSLATE(B3792,""en"",""fr"")"),"Elle met le tuyau d'eau dans la baignoire.")</f>
        <v>Elle met le tuyau d'eau dans la baignoire.</v>
      </c>
    </row>
    <row r="3793">
      <c r="A3793" s="4" t="s">
        <v>4767</v>
      </c>
      <c r="B3793" s="4" t="s">
        <v>4771</v>
      </c>
      <c r="C3793" s="5" t="str">
        <f>IFERROR(__xludf.DUMMYFUNCTION("GOOGLETRANSLATE(B3793,""en"",""fr"")"),"Elle ajoute plus de vêtements dans l'eau savonneuse et continue de laver les vêtements.")</f>
        <v>Elle ajoute plus de vêtements dans l'eau savonneuse et continue de laver les vêtements.</v>
      </c>
    </row>
    <row r="3794">
      <c r="A3794" s="4" t="s">
        <v>4772</v>
      </c>
      <c r="B3794" s="4" t="s">
        <v>4773</v>
      </c>
      <c r="C3794" s="5" t="str">
        <f>IFERROR(__xludf.DUMMYFUNCTION("GOOGLETRANSLATE(B3794,""en"",""fr"")"),"Le vieil homme se tient devant un jeune homme qui lui parle.")</f>
        <v>Le vieil homme se tient devant un jeune homme qui lui parle.</v>
      </c>
    </row>
    <row r="3795">
      <c r="A3795" s="4" t="s">
        <v>4772</v>
      </c>
      <c r="B3795" s="6" t="s">
        <v>4774</v>
      </c>
      <c r="C3795" s="5" t="str">
        <f>IFERROR(__xludf.DUMMYFUNCTION("GOOGLETRANSLATE(B3795,""en"",""fr"")"),"Le jeune homme est au milieu de la scène et son marais blanc propagant sur ses mains et ses promenades faisant des beraths profonds.")</f>
        <v>Le jeune homme est au milieu de la scène et son marais blanc propagant sur ses mains et ses promenades faisant des beraths profonds.</v>
      </c>
    </row>
    <row r="3796">
      <c r="A3796" s="4" t="s">
        <v>4772</v>
      </c>
      <c r="B3796" s="4" t="s">
        <v>4775</v>
      </c>
      <c r="C3796" s="5" t="str">
        <f>IFERROR(__xludf.DUMMYFUNCTION("GOOGLETRANSLATE(B3796,""en"",""fr"")"),"L'homme est prêt à soulever du poids au milieu d'une scène blanche et les gens derrière Jim applaudissent.")</f>
        <v>L'homme est prêt à soulever du poids au milieu d'une scène blanche et les gens derrière Jim applaudissent.</v>
      </c>
    </row>
    <row r="3797">
      <c r="A3797" s="4" t="s">
        <v>4776</v>
      </c>
      <c r="B3797" s="6" t="s">
        <v>4777</v>
      </c>
      <c r="C3797" s="5" t="str">
        <f>IFERROR(__xludf.DUMMYFUNCTION("GOOGLETRANSLATE(B3797,""en"",""fr"")"),"Une femme dans un body violet et portant un bavoir sur son dos s'approche d'une poutre d'équilibre en bois devant un large public qui l'encourage.")</f>
        <v>Une femme dans un body violet et portant un bavoir sur son dos s'approche d'une poutre d'équilibre en bois devant un large public qui l'encourage.</v>
      </c>
    </row>
    <row r="3798">
      <c r="A3798" s="4" t="s">
        <v>4776</v>
      </c>
      <c r="B3798" s="6" t="s">
        <v>4778</v>
      </c>
      <c r="C3798" s="5" t="str">
        <f>IFERROR(__xludf.DUMMYFUNCTION("GOOGLETRANSLATE(B3798,""en"",""fr"")"),"La femme saute sur le faisceau d'équilibre et un homme attrape rapidement la rampe qu'elle a utilisée pour sauter sur le faisceau d'équilibre et le retire de la zone.")</f>
        <v>La femme saute sur le faisceau d'équilibre et un homme attrape rapidement la rampe qu'elle a utilisée pour sauter sur le faisceau d'équilibre et le retire de la zone.</v>
      </c>
    </row>
    <row r="3799">
      <c r="A3799" s="4" t="s">
        <v>4776</v>
      </c>
      <c r="B3799" s="4" t="s">
        <v>4779</v>
      </c>
      <c r="C3799" s="5" t="str">
        <f>IFERROR(__xludf.DUMMYFUNCTION("GOOGLETRANSLATE(B3799,""en"",""fr"")"),"La femme commence sa routine qui comprend des sauts, des flips et de petits mouvements de danse.")</f>
        <v>La femme commence sa routine qui comprend des sauts, des flips et de petits mouvements de danse.</v>
      </c>
    </row>
    <row r="3800">
      <c r="A3800" s="4" t="s">
        <v>4776</v>
      </c>
      <c r="B3800" s="6" t="s">
        <v>4780</v>
      </c>
      <c r="C3800" s="5" t="str">
        <f>IFERROR(__xludf.DUMMYFUNCTION("GOOGLETRANSLATE(B3800,""en"",""fr"")"),"Pendant la routine, la femme se retourne et perd légèrement son équilibre mais se rétablit rapidement et reste sur le faisceau d'équilibre.")</f>
        <v>Pendant la routine, la femme se retourne et perd légèrement son équilibre mais se rétablit rapidement et reste sur le faisceau d'équilibre.</v>
      </c>
    </row>
    <row r="3801">
      <c r="A3801" s="4" t="s">
        <v>4776</v>
      </c>
      <c r="B3801" s="6" t="s">
        <v>4781</v>
      </c>
      <c r="C3801" s="5" t="str">
        <f>IFERROR(__xludf.DUMMYFUNCTION("GOOGLETRANSLATE(B3801,""en"",""fr"")"),"La femme va à l'extrémité la plus éloignée du faisceau d'équilibre, a un regard très concentré sur son visage et elle fait rapidement une série de flips du faisceau d'équilibre, atterrit sur ses pieds, jette ses deux bras dans l'air et les vagues vers le "&amp;"public qui applaudie sauvagement.")</f>
        <v>La femme va à l'extrémité la plus éloignée du faisceau d'équilibre, a un regard très concentré sur son visage et elle fait rapidement une série de flips du faisceau d'équilibre, atterrit sur ses pieds, jette ses deux bras dans l'air et les vagues vers le public qui applaudie sauvagement.</v>
      </c>
    </row>
    <row r="3802">
      <c r="A3802" s="4" t="s">
        <v>4782</v>
      </c>
      <c r="B3802" s="4" t="s">
        <v>4783</v>
      </c>
      <c r="C3802" s="5" t="str">
        <f>IFERROR(__xludf.DUMMYFUNCTION("GOOGLETRANSLATE(B3802,""en"",""fr"")"),"Les gens jouent au baseball sur un champ d'herbe.")</f>
        <v>Les gens jouent au baseball sur un champ d'herbe.</v>
      </c>
    </row>
    <row r="3803">
      <c r="A3803" s="4" t="s">
        <v>4782</v>
      </c>
      <c r="B3803" s="4" t="s">
        <v>4784</v>
      </c>
      <c r="C3803" s="5" t="str">
        <f>IFERROR(__xludf.DUMMYFUNCTION("GOOGLETRANSLATE(B3803,""en"",""fr"")"),"Une personne en chemise bleue tombe en train de jeter le baseball.")</f>
        <v>Une personne en chemise bleue tombe en train de jeter le baseball.</v>
      </c>
    </row>
    <row r="3804">
      <c r="A3804" s="4" t="s">
        <v>4782</v>
      </c>
      <c r="B3804" s="4" t="s">
        <v>4785</v>
      </c>
      <c r="C3804" s="5" t="str">
        <f>IFERROR(__xludf.DUMMYFUNCTION("GOOGLETRANSLATE(B3804,""en"",""fr"")"),"Le public danse sur le côté du terrain.")</f>
        <v>Le public danse sur le côté du terrain.</v>
      </c>
    </row>
    <row r="3805">
      <c r="A3805" s="4" t="s">
        <v>4786</v>
      </c>
      <c r="B3805" s="6" t="s">
        <v>4787</v>
      </c>
      <c r="C3805" s="5" t="str">
        <f>IFERROR(__xludf.DUMMYFUNCTION("GOOGLETRANSLATE(B3805,""en"",""fr"")"),"Une personne est vue debout sur la plage avec un ballon de football devant lui et une personne debout dans un but.")</f>
        <v>Une personne est vue debout sur la plage avec un ballon de football devant lui et une personne debout dans un but.</v>
      </c>
    </row>
    <row r="3806">
      <c r="A3806" s="4" t="s">
        <v>4786</v>
      </c>
      <c r="B3806" s="4" t="s">
        <v>4788</v>
      </c>
      <c r="C3806" s="5" t="str">
        <f>IFERROR(__xludf.DUMMYFUNCTION("GOOGLETRANSLATE(B3806,""en"",""fr"")"),"La personne donne ensuite un coup de pied à plusieurs reprises au gardien de but.")</f>
        <v>La personne donne ensuite un coup de pied à plusieurs reprises au gardien de but.</v>
      </c>
    </row>
    <row r="3807">
      <c r="A3807" s="4" t="s">
        <v>4786</v>
      </c>
      <c r="B3807" s="4" t="s">
        <v>4789</v>
      </c>
      <c r="C3807" s="5" t="str">
        <f>IFERROR(__xludf.DUMMYFUNCTION("GOOGLETRANSLATE(B3807,""en"",""fr"")"),"Le gardien de but tente de bloquer les tirs qui visent le filet.")</f>
        <v>Le gardien de but tente de bloquer les tirs qui visent le filet.</v>
      </c>
    </row>
    <row r="3808">
      <c r="A3808" s="4" t="s">
        <v>4790</v>
      </c>
      <c r="B3808" s="4" t="s">
        <v>4791</v>
      </c>
      <c r="C3808" s="5" t="str">
        <f>IFERROR(__xludf.DUMMYFUNCTION("GOOGLETRANSLATE(B3808,""en"",""fr"")"),"Un homme se couche et se réveille.")</f>
        <v>Un homme se couche et se réveille.</v>
      </c>
    </row>
    <row r="3809">
      <c r="A3809" s="4" t="s">
        <v>4790</v>
      </c>
      <c r="B3809" s="4" t="s">
        <v>4792</v>
      </c>
      <c r="C3809" s="5" t="str">
        <f>IFERROR(__xludf.DUMMYFUNCTION("GOOGLETRANSLATE(B3809,""en"",""fr"")"),"L'homme fait et boit une tasse de café.")</f>
        <v>L'homme fait et boit une tasse de café.</v>
      </c>
    </row>
    <row r="3810">
      <c r="A3810" s="4" t="s">
        <v>4790</v>
      </c>
      <c r="B3810" s="4" t="s">
        <v>4793</v>
      </c>
      <c r="C3810" s="5" t="str">
        <f>IFERROR(__xludf.DUMMYFUNCTION("GOOGLETRANSLATE(B3810,""en"",""fr"")"),"L'homme boit de la tasse et quand il abaisse la tasse, l'homme s'habille comme Captain America.")</f>
        <v>L'homme boit de la tasse et quand il abaisse la tasse, l'homme s'habille comme Captain America.</v>
      </c>
    </row>
    <row r="3811">
      <c r="A3811" s="4" t="s">
        <v>4794</v>
      </c>
      <c r="B3811" s="4" t="s">
        <v>4795</v>
      </c>
      <c r="C3811" s="5" t="str">
        <f>IFERROR(__xludf.DUMMYFUNCTION("GOOGLETRANSLATE(B3811,""en"",""fr"")"),"On voit une jeune fille effectuer une routine de danse du ventre devant un grand groupe de personnes.")</f>
        <v>On voit une jeune fille effectuer une routine de danse du ventre devant un grand groupe de personnes.</v>
      </c>
    </row>
    <row r="3812">
      <c r="A3812" s="4" t="s">
        <v>4794</v>
      </c>
      <c r="B3812" s="6" t="s">
        <v>4796</v>
      </c>
      <c r="C3812" s="5" t="str">
        <f>IFERROR(__xludf.DUMMYFUNCTION("GOOGLETRANSLATE(B3812,""en"",""fr"")"),"La fille continue de balancer ses bras et ses jambes devant le public et se termine en s'inclinant et en faisant un baiser.")</f>
        <v>La fille continue de balancer ses bras et ses jambes devant le public et se termine en s'inclinant et en faisant un baiser.</v>
      </c>
    </row>
    <row r="3813">
      <c r="A3813" s="4" t="s">
        <v>4797</v>
      </c>
      <c r="B3813" s="4" t="s">
        <v>4798</v>
      </c>
      <c r="C3813" s="5" t="str">
        <f>IFERROR(__xludf.DUMMYFUNCTION("GOOGLETRANSLATE(B3813,""en"",""fr"")"),"Une femme debout derrière une planche à repasser attrape une paire de pantalons.")</f>
        <v>Une femme debout derrière une planche à repasser attrape une paire de pantalons.</v>
      </c>
    </row>
    <row r="3814">
      <c r="A3814" s="4" t="s">
        <v>4797</v>
      </c>
      <c r="B3814" s="4" t="s">
        <v>4799</v>
      </c>
      <c r="C3814" s="5" t="str">
        <f>IFERROR(__xludf.DUMMYFUNCTION("GOOGLETRANSLATE(B3814,""en"",""fr"")"),"Elle commence à repasser le pantalon à l'envers.")</f>
        <v>Elle commence à repasser le pantalon à l'envers.</v>
      </c>
    </row>
    <row r="3815">
      <c r="A3815" s="4" t="s">
        <v>4797</v>
      </c>
      <c r="B3815" s="4" t="s">
        <v>4800</v>
      </c>
      <c r="C3815" s="5" t="str">
        <f>IFERROR(__xludf.DUMMYFUNCTION("GOOGLETRANSLATE(B3815,""en"",""fr"")"),"Elle retourne le pantalon dans le bon sens et continue de les repasser.")</f>
        <v>Elle retourne le pantalon dans le bon sens et continue de les repasser.</v>
      </c>
    </row>
    <row r="3816">
      <c r="A3816" s="4" t="s">
        <v>4801</v>
      </c>
      <c r="B3816" s="4" t="s">
        <v>4802</v>
      </c>
      <c r="C3816" s="5" t="str">
        <f>IFERROR(__xludf.DUMMYFUNCTION("GOOGLETRANSLATE(B3816,""en"",""fr"")"),"Un homme est sur un canoë tenant une pagaie dans une piscine.")</f>
        <v>Un homme est sur un canoë tenant une pagaie dans une piscine.</v>
      </c>
    </row>
    <row r="3817">
      <c r="A3817" s="4" t="s">
        <v>4801</v>
      </c>
      <c r="B3817" s="4" t="s">
        <v>4803</v>
      </c>
      <c r="C3817" s="5" t="str">
        <f>IFERROR(__xludf.DUMMYFUNCTION("GOOGLETRANSLATE(B3817,""en"",""fr"")"),"Un homme pivote un canoë aidant avec une rame.")</f>
        <v>Un homme pivote un canoë aidant avec une rame.</v>
      </c>
    </row>
    <row r="3818">
      <c r="A3818" s="4" t="s">
        <v>4804</v>
      </c>
      <c r="B3818" s="4" t="s">
        <v>4805</v>
      </c>
      <c r="C3818" s="5" t="str">
        <f>IFERROR(__xludf.DUMMYFUNCTION("GOOGLETRANSLATE(B3818,""en"",""fr"")"),"Un chien tenant une tasse dans sa bouche saute sur un canapé.")</f>
        <v>Un chien tenant une tasse dans sa bouche saute sur un canapé.</v>
      </c>
    </row>
    <row r="3819">
      <c r="A3819" s="4" t="s">
        <v>4804</v>
      </c>
      <c r="B3819" s="4" t="s">
        <v>4806</v>
      </c>
      <c r="C3819" s="5" t="str">
        <f>IFERROR(__xludf.DUMMYFUNCTION("GOOGLETRANSLATE(B3819,""en"",""fr"")"),"Le chien continue de manger quelque chose dans la tasse.")</f>
        <v>Le chien continue de manger quelque chose dans la tasse.</v>
      </c>
    </row>
    <row r="3820">
      <c r="A3820" s="4" t="s">
        <v>4807</v>
      </c>
      <c r="B3820" s="4" t="s">
        <v>4808</v>
      </c>
      <c r="C3820" s="5" t="str">
        <f>IFERROR(__xludf.DUMMYFUNCTION("GOOGLETRANSLATE(B3820,""en"",""fr"")"),"Les gens sont assis dans des voitures tamponneuses.")</f>
        <v>Les gens sont assis dans des voitures tamponneuses.</v>
      </c>
    </row>
    <row r="3821">
      <c r="A3821" s="4" t="s">
        <v>4807</v>
      </c>
      <c r="B3821" s="4" t="s">
        <v>4809</v>
      </c>
      <c r="C3821" s="5" t="str">
        <f>IFERROR(__xludf.DUMMYFUNCTION("GOOGLETRANSLATE(B3821,""en"",""fr"")"),"Un homme sur le côté tient le côté d'une des voitures.")</f>
        <v>Un homme sur le côté tient le côté d'une des voitures.</v>
      </c>
    </row>
    <row r="3822">
      <c r="A3822" s="4" t="s">
        <v>4807</v>
      </c>
      <c r="B3822" s="4" t="s">
        <v>4810</v>
      </c>
      <c r="C3822" s="5" t="str">
        <f>IFERROR(__xludf.DUMMYFUNCTION("GOOGLETRANSLATE(B3822,""en"",""fr"")"),"Il saute sur le côté.")</f>
        <v>Il saute sur le côté.</v>
      </c>
    </row>
    <row r="3823">
      <c r="A3823" s="4" t="s">
        <v>4811</v>
      </c>
      <c r="B3823" s="4" t="s">
        <v>4812</v>
      </c>
      <c r="C3823" s="5" t="str">
        <f>IFERROR(__xludf.DUMMYFUNCTION("GOOGLETRANSLATE(B3823,""en"",""fr"")"),"Une personne commence à nettoyer la neige d'un pare-brise sur une voiture.")</f>
        <v>Une personne commence à nettoyer la neige d'un pare-brise sur une voiture.</v>
      </c>
    </row>
    <row r="3824">
      <c r="A3824" s="4" t="s">
        <v>4811</v>
      </c>
      <c r="B3824" s="4" t="s">
        <v>4813</v>
      </c>
      <c r="C3824" s="5" t="str">
        <f>IFERROR(__xludf.DUMMYFUNCTION("GOOGLETRANSLATE(B3824,""en"",""fr"")"),"Ils nettoient ensuite la neige des portes de la voiture.")</f>
        <v>Ils nettoient ensuite la neige des portes de la voiture.</v>
      </c>
    </row>
    <row r="3825">
      <c r="A3825" s="4" t="s">
        <v>4811</v>
      </c>
      <c r="B3825" s="4" t="s">
        <v>4814</v>
      </c>
      <c r="C3825" s="5" t="str">
        <f>IFERROR(__xludf.DUMMYFUNCTION("GOOGLETRANSLATE(B3825,""en"",""fr"")"),"Ils nettoient ensuite la fenêtre arrière d'une voiture.")</f>
        <v>Ils nettoient ensuite la fenêtre arrière d'une voiture.</v>
      </c>
    </row>
    <row r="3826">
      <c r="A3826" s="4" t="s">
        <v>4815</v>
      </c>
      <c r="B3826" s="4" t="s">
        <v>4816</v>
      </c>
      <c r="C3826" s="5" t="str">
        <f>IFERROR(__xludf.DUMMYFUNCTION("GOOGLETRANSLATE(B3826,""en"",""fr"")"),"Un homme en chemise rouge joue un jeu de batterie.")</f>
        <v>Un homme en chemise rouge joue un jeu de batterie.</v>
      </c>
    </row>
    <row r="3827">
      <c r="A3827" s="4" t="s">
        <v>4815</v>
      </c>
      <c r="B3827" s="4" t="s">
        <v>4817</v>
      </c>
      <c r="C3827" s="5" t="str">
        <f>IFERROR(__xludf.DUMMYFUNCTION("GOOGLETRANSLATE(B3827,""en"",""fr"")"),"Un homme en chemise bleue est assis à parler.")</f>
        <v>Un homme en chemise bleue est assis à parler.</v>
      </c>
    </row>
    <row r="3828">
      <c r="A3828" s="4" t="s">
        <v>4818</v>
      </c>
      <c r="B3828" s="4" t="s">
        <v>940</v>
      </c>
      <c r="C3828" s="5" t="str">
        <f>IFERROR(__xludf.DUMMYFUNCTION("GOOGLETRANSLATE(B3828,""en"",""fr"")"),"Une femme parle à la caméra.")</f>
        <v>Une femme parle à la caméra.</v>
      </c>
    </row>
    <row r="3829">
      <c r="A3829" s="4" t="s">
        <v>4818</v>
      </c>
      <c r="B3829" s="4" t="s">
        <v>4819</v>
      </c>
      <c r="C3829" s="5" t="str">
        <f>IFERROR(__xludf.DUMMYFUNCTION("GOOGLETRANSLATE(B3829,""en"",""fr"")"),"La femme enlève un vêtement sur une planche à repasser.")</f>
        <v>La femme enlève un vêtement sur une planche à repasser.</v>
      </c>
    </row>
    <row r="3830">
      <c r="A3830" s="4" t="s">
        <v>4818</v>
      </c>
      <c r="B3830" s="4" t="s">
        <v>4820</v>
      </c>
      <c r="C3830" s="5" t="str">
        <f>IFERROR(__xludf.DUMMYFUNCTION("GOOGLETRANSLATE(B3830,""en"",""fr"")"),"La femme retourne le morceau de vêtements.")</f>
        <v>La femme retourne le morceau de vêtements.</v>
      </c>
    </row>
    <row r="3831">
      <c r="A3831" s="4" t="s">
        <v>4818</v>
      </c>
      <c r="B3831" s="4" t="s">
        <v>4821</v>
      </c>
      <c r="C3831" s="5" t="str">
        <f>IFERROR(__xludf.DUMMYFUNCTION("GOOGLETRANSLATE(B3831,""en"",""fr"")"),"La femme continue de repasser les vêtements.")</f>
        <v>La femme continue de repasser les vêtements.</v>
      </c>
    </row>
    <row r="3832">
      <c r="A3832" s="4" t="s">
        <v>4822</v>
      </c>
      <c r="B3832" s="6" t="s">
        <v>4823</v>
      </c>
      <c r="C3832" s="5" t="str">
        <f>IFERROR(__xludf.DUMMYFUNCTION("GOOGLETRANSLATE(B3832,""en"",""fr"")"),"Un athlète masculin est à l'extérieur dans un champ entouré de gens et commence à tourner et lance un lancer du poids.")</f>
        <v>Un athlète masculin est à l'extérieur dans un champ entouré de gens et commence à tourner et lance un lancer du poids.</v>
      </c>
    </row>
    <row r="3833">
      <c r="A3833" s="4" t="s">
        <v>4822</v>
      </c>
      <c r="B3833" s="4" t="s">
        <v>4824</v>
      </c>
      <c r="C3833" s="5" t="str">
        <f>IFERROR(__xludf.DUMMYFUNCTION("GOOGLETRANSLATE(B3833,""en"",""fr"")"),"La foule commence à applaudir et l'homme lance ses mains les sauts de bonheur.")</f>
        <v>La foule commence à applaudir et l'homme lance ses mains les sauts de bonheur.</v>
      </c>
    </row>
    <row r="3834">
      <c r="A3834" s="4" t="s">
        <v>4825</v>
      </c>
      <c r="B3834" s="4" t="s">
        <v>4826</v>
      </c>
      <c r="C3834" s="5" t="str">
        <f>IFERROR(__xludf.DUMMYFUNCTION("GOOGLETRANSLATE(B3834,""en"",""fr"")"),"Une dame se tient dans une salle de bain à parler.")</f>
        <v>Une dame se tient dans une salle de bain à parler.</v>
      </c>
    </row>
    <row r="3835">
      <c r="A3835" s="4" t="s">
        <v>4825</v>
      </c>
      <c r="B3835" s="4" t="s">
        <v>4827</v>
      </c>
      <c r="C3835" s="5" t="str">
        <f>IFERROR(__xludf.DUMMYFUNCTION("GOOGLETRANSLATE(B3835,""en"",""fr"")"),"La dame montre à la caméra sa brosse et son séchoir.")</f>
        <v>La dame montre à la caméra sa brosse et son séchoir.</v>
      </c>
    </row>
    <row r="3836">
      <c r="A3836" s="4" t="s">
        <v>4825</v>
      </c>
      <c r="B3836" s="4" t="s">
        <v>4828</v>
      </c>
      <c r="C3836" s="5" t="str">
        <f>IFERROR(__xludf.DUMMYFUNCTION("GOOGLETRANSLATE(B3836,""en"",""fr"")"),"La dame se brosse les cheveux.")</f>
        <v>La dame se brosse les cheveux.</v>
      </c>
    </row>
    <row r="3837">
      <c r="A3837" s="4" t="s">
        <v>4825</v>
      </c>
      <c r="B3837" s="4" t="s">
        <v>4829</v>
      </c>
      <c r="C3837" s="5" t="str">
        <f>IFERROR(__xludf.DUMMYFUNCTION("GOOGLETRANSLATE(B3837,""en"",""fr"")"),"La dame souffle ses cheveux pendant qu'elle tourne ses cheveux sur une brosse.")</f>
        <v>La dame souffle ses cheveux pendant qu'elle tourne ses cheveux sur une brosse.</v>
      </c>
    </row>
    <row r="3838">
      <c r="A3838" s="4" t="s">
        <v>4825</v>
      </c>
      <c r="B3838" s="4" t="s">
        <v>4830</v>
      </c>
      <c r="C3838" s="5" t="str">
        <f>IFERROR(__xludf.DUMMYFUNCTION("GOOGLETRANSLATE(B3838,""en"",""fr"")"),"La dame éteint le sèche-linge et parle à la caméra pendant qu'elle ajuste ses cheveux.")</f>
        <v>La dame éteint le sèche-linge et parle à la caméra pendant qu'elle ajuste ses cheveux.</v>
      </c>
    </row>
    <row r="3839">
      <c r="A3839" s="4" t="s">
        <v>4825</v>
      </c>
      <c r="B3839" s="4" t="s">
        <v>4831</v>
      </c>
      <c r="C3839" s="5" t="str">
        <f>IFERROR(__xludf.DUMMYFUNCTION("GOOGLETRANSLATE(B3839,""en"",""fr"")"),"La dame met son pinceau et parle à la caméra.")</f>
        <v>La dame met son pinceau et parle à la caméra.</v>
      </c>
    </row>
    <row r="3840">
      <c r="A3840" s="4" t="s">
        <v>4832</v>
      </c>
      <c r="B3840" s="4" t="s">
        <v>4833</v>
      </c>
      <c r="C3840" s="5" t="str">
        <f>IFERROR(__xludf.DUMMYFUNCTION("GOOGLETRANSLATE(B3840,""en"",""fr"")"),"Les gens sont rassemblés sur des gradins dans un gymnase.")</f>
        <v>Les gens sont rassemblés sur des gradins dans un gymnase.</v>
      </c>
    </row>
    <row r="3841">
      <c r="A3841" s="4" t="s">
        <v>4832</v>
      </c>
      <c r="B3841" s="4" t="s">
        <v>4834</v>
      </c>
      <c r="C3841" s="5" t="str">
        <f>IFERROR(__xludf.DUMMYFUNCTION("GOOGLETRANSLATE(B3841,""en"",""fr"")"),"Les coéquipiers sortent en agitant un drapeau blanc.")</f>
        <v>Les coéquipiers sortent en agitant un drapeau blanc.</v>
      </c>
    </row>
    <row r="3842">
      <c r="A3842" s="4" t="s">
        <v>4832</v>
      </c>
      <c r="B3842" s="4" t="s">
        <v>4835</v>
      </c>
      <c r="C3842" s="5" t="str">
        <f>IFERROR(__xludf.DUMMYFUNCTION("GOOGLETRANSLATE(B3842,""en"",""fr"")"),"Un match de basket commence, essayant de faire des paniers.")</f>
        <v>Un match de basket commence, essayant de faire des paniers.</v>
      </c>
    </row>
    <row r="3843">
      <c r="A3843" s="4" t="s">
        <v>4836</v>
      </c>
      <c r="B3843" s="4" t="s">
        <v>4837</v>
      </c>
      <c r="C3843" s="5" t="str">
        <f>IFERROR(__xludf.DUMMYFUNCTION("GOOGLETRANSLATE(B3843,""en"",""fr"")"),"Un homme en rodéo dû fait un coup.")</f>
        <v>Un homme en rodéo dû fait un coup.</v>
      </c>
    </row>
    <row r="3844">
      <c r="A3844" s="4" t="s">
        <v>4836</v>
      </c>
      <c r="B3844" s="4" t="s">
        <v>4838</v>
      </c>
      <c r="C3844" s="5" t="str">
        <f>IFERROR(__xludf.DUMMYFUNCTION("GOOGLETRANSLATE(B3844,""en"",""fr"")"),"Un homme monte un cheval dans un cycle de rodéo.")</f>
        <v>Un homme monte un cheval dans un cycle de rodéo.</v>
      </c>
    </row>
    <row r="3845">
      <c r="A3845" s="4" t="s">
        <v>4836</v>
      </c>
      <c r="B3845" s="4" t="s">
        <v>4839</v>
      </c>
      <c r="C3845" s="5" t="str">
        <f>IFERROR(__xludf.DUMMYFUNCTION("GOOGLETRANSLATE(B3845,""en"",""fr"")"),"L'homme lassos une vache et le jette au sol.")</f>
        <v>L'homme lassos une vache et le jette au sol.</v>
      </c>
    </row>
    <row r="3846">
      <c r="A3846" s="4" t="s">
        <v>4836</v>
      </c>
      <c r="B3846" s="4" t="s">
        <v>4840</v>
      </c>
      <c r="C3846" s="5" t="str">
        <f>IFERROR(__xludf.DUMMYFUNCTION("GOOGLETRANSLATE(B3846,""en"",""fr"")"),"L'homme Hog attache alors la vache.")</f>
        <v>L'homme Hog attache alors la vache.</v>
      </c>
    </row>
    <row r="3847">
      <c r="A3847" s="4" t="s">
        <v>4836</v>
      </c>
      <c r="B3847" s="4" t="s">
        <v>4841</v>
      </c>
      <c r="C3847" s="5" t="str">
        <f>IFERROR(__xludf.DUMMYFUNCTION("GOOGLETRANSLATE(B3847,""en"",""fr"")"),"L'homme revient sur son cheval et nous nous engageons et voyons le tableau de bord.")</f>
        <v>L'homme revient sur son cheval et nous nous engageons et voyons le tableau de bord.</v>
      </c>
    </row>
    <row r="3848">
      <c r="A3848" s="4" t="s">
        <v>4842</v>
      </c>
      <c r="B3848" s="4" t="s">
        <v>4843</v>
      </c>
      <c r="C3848" s="5" t="str">
        <f>IFERROR(__xludf.DUMMYFUNCTION("GOOGLETRANSLATE(B3848,""en"",""fr"")"),"Deux petits enfants mangent un cornet de crème glacée chez McDonalds.")</f>
        <v>Deux petits enfants mangent un cornet de crème glacée chez McDonalds.</v>
      </c>
    </row>
    <row r="3849">
      <c r="A3849" s="4" t="s">
        <v>4842</v>
      </c>
      <c r="B3849" s="4" t="s">
        <v>4844</v>
      </c>
      <c r="C3849" s="5" t="str">
        <f>IFERROR(__xludf.DUMMYFUNCTION("GOOGLETRANSLATE(B3849,""en"",""fr"")"),"Ils lèchent et tellement heureux d'avoir de la glace.")</f>
        <v>Ils lèchent et tellement heureux d'avoir de la glace.</v>
      </c>
    </row>
    <row r="3850">
      <c r="A3850" s="4" t="s">
        <v>4842</v>
      </c>
      <c r="B3850" s="4" t="s">
        <v>4845</v>
      </c>
      <c r="C3850" s="5" t="str">
        <f>IFERROR(__xludf.DUMMYFUNCTION("GOOGLETRANSLATE(B3850,""en"",""fr"")"),"La petite fille joue un coup d'œil avec quelqu'un et les deux visages ont des glaces sur eux.")</f>
        <v>La petite fille joue un coup d'œil avec quelqu'un et les deux visages ont des glaces sur eux.</v>
      </c>
    </row>
    <row r="3851">
      <c r="A3851" s="4" t="s">
        <v>4842</v>
      </c>
      <c r="B3851" s="4" t="s">
        <v>4846</v>
      </c>
      <c r="C3851" s="5" t="str">
        <f>IFERROR(__xludf.DUMMYFUNCTION("GOOGLETRANSLATE(B3851,""en"",""fr"")"),"Ils profitent beaucoup de la crème glacée.")</f>
        <v>Ils profitent beaucoup de la crème glacée.</v>
      </c>
    </row>
    <row r="3852">
      <c r="A3852" s="4" t="s">
        <v>4847</v>
      </c>
      <c r="B3852" s="4" t="s">
        <v>4848</v>
      </c>
      <c r="C3852" s="5" t="str">
        <f>IFERROR(__xludf.DUMMYFUNCTION("GOOGLETRANSLATE(B3852,""en"",""fr"")"),"Une gymnaste est montrée en balançant en arrière et quatrième sur des barres inégales.")</f>
        <v>Une gymnaste est montrée en balançant en arrière et quatrième sur des barres inégales.</v>
      </c>
    </row>
    <row r="3853">
      <c r="A3853" s="4" t="s">
        <v>4847</v>
      </c>
      <c r="B3853" s="4" t="s">
        <v>4849</v>
      </c>
      <c r="C3853" s="5" t="str">
        <f>IFERROR(__xludf.DUMMYFUNCTION("GOOGLETRANSLATE(B3853,""en"",""fr"")"),"Il effectue une routine se balançant autour et autour de ses centaines de personnes.")</f>
        <v>Il effectue une routine se balançant autour et autour de ses centaines de personnes.</v>
      </c>
    </row>
    <row r="3854">
      <c r="A3854" s="4" t="s">
        <v>4847</v>
      </c>
      <c r="B3854" s="4" t="s">
        <v>4850</v>
      </c>
      <c r="C3854" s="5" t="str">
        <f>IFERROR(__xludf.DUMMYFUNCTION("GOOGLETRANSLATE(B3854,""en"",""fr"")"),"Il finit en collant ses bras en l'air et en s'inclinant devant le public.")</f>
        <v>Il finit en collant ses bras en l'air et en s'inclinant devant le public.</v>
      </c>
    </row>
    <row r="3855">
      <c r="A3855" s="4" t="s">
        <v>4851</v>
      </c>
      <c r="B3855" s="4" t="s">
        <v>4852</v>
      </c>
      <c r="C3855" s="5" t="str">
        <f>IFERROR(__xludf.DUMMYFUNCTION("GOOGLETRANSLATE(B3855,""en"",""fr"")"),"Deux hommes sont en plein essor sur un trottoir d'une rue calme.")</f>
        <v>Deux hommes sont en plein essor sur un trottoir d'une rue calme.</v>
      </c>
    </row>
    <row r="3856">
      <c r="A3856" s="4" t="s">
        <v>4851</v>
      </c>
      <c r="B3856" s="4" t="s">
        <v>4853</v>
      </c>
      <c r="C3856" s="5" t="str">
        <f>IFERROR(__xludf.DUMMYFUNCTION("GOOGLETRANSLATE(B3856,""en"",""fr"")"),"Il y a quatre jeunes hommes et femmes en vol dans une rue avec beaucoup d'arbres.")</f>
        <v>Il y a quatre jeunes hommes et femmes en vol dans une rue avec beaucoup d'arbres.</v>
      </c>
    </row>
    <row r="3857">
      <c r="A3857" s="4" t="s">
        <v>4851</v>
      </c>
      <c r="B3857" s="4" t="s">
        <v>4854</v>
      </c>
      <c r="C3857" s="5" t="str">
        <f>IFERROR(__xludf.DUMMYFUNCTION("GOOGLETRANSLATE(B3857,""en"",""fr"")"),"Il y a des professionnels qui se sont roulés dans un stade et sur un trottoir par une fontaine.")</f>
        <v>Il y a des professionnels qui se sont roulés dans un stade et sur un trottoir par une fontaine.</v>
      </c>
    </row>
    <row r="3858">
      <c r="A3858" s="4" t="s">
        <v>4851</v>
      </c>
      <c r="B3858" s="4" t="s">
        <v>4855</v>
      </c>
      <c r="C3858" s="5" t="str">
        <f>IFERROR(__xludf.DUMMYFUNCTION("GOOGLETRANSLATE(B3858,""en"",""fr"")"),"Un homme saute par-dessus un trottoir enchaîné pendant le roller.")</f>
        <v>Un homme saute par-dessus un trottoir enchaîné pendant le roller.</v>
      </c>
    </row>
    <row r="3859">
      <c r="A3859" s="4" t="s">
        <v>4851</v>
      </c>
      <c r="B3859" s="6" t="s">
        <v>4856</v>
      </c>
      <c r="C3859" s="5" t="str">
        <f>IFERROR(__xludf.DUMMYFUNCTION("GOOGLETRANSLATE(B3859,""en"",""fr"")"),"Un couple est en train de rouler sur un trottoir et un autre homme saute par-dessus une barricade sur un trottoir.")</f>
        <v>Un couple est en train de rouler sur un trottoir et un autre homme saute par-dessus une barricade sur un trottoir.</v>
      </c>
    </row>
    <row r="3860">
      <c r="A3860" s="4" t="s">
        <v>4851</v>
      </c>
      <c r="B3860" s="4" t="s">
        <v>4857</v>
      </c>
      <c r="C3860" s="5" t="str">
        <f>IFERROR(__xludf.DUMMYFUNCTION("GOOGLETRANSLATE(B3860,""en"",""fr"")"),"Plusieurs personnes sont en plein essor sur le trottoir.")</f>
        <v>Plusieurs personnes sont en plein essor sur le trottoir.</v>
      </c>
    </row>
    <row r="3861">
      <c r="A3861" s="4" t="s">
        <v>4851</v>
      </c>
      <c r="B3861" s="4" t="s">
        <v>4858</v>
      </c>
      <c r="C3861" s="5" t="str">
        <f>IFERROR(__xludf.DUMMYFUNCTION("GOOGLETRANSLATE(B3861,""en"",""fr"")"),"Il y a des gens qui participent à un concours de rouleaux.")</f>
        <v>Il y a des gens qui participent à un concours de rouleaux.</v>
      </c>
    </row>
    <row r="3862">
      <c r="A3862" s="4" t="s">
        <v>4851</v>
      </c>
      <c r="B3862" s="4" t="s">
        <v>4859</v>
      </c>
      <c r="C3862" s="5" t="str">
        <f>IFERROR(__xludf.DUMMYFUNCTION("GOOGLETRANSLATE(B3862,""en"",""fr"")"),"Il y a des hommes qui se sont roulés dans les rues à très grande vitesse.")</f>
        <v>Il y a des hommes qui se sont roulés dans les rues à très grande vitesse.</v>
      </c>
    </row>
    <row r="3863">
      <c r="A3863" s="4" t="s">
        <v>4851</v>
      </c>
      <c r="B3863" s="4" t="s">
        <v>4860</v>
      </c>
      <c r="C3863" s="5" t="str">
        <f>IFERROR(__xludf.DUMMYFUNCTION("GOOGLETRANSLATE(B3863,""en"",""fr"")"),"Certains d'entre eux grimpent des escaliers avec leurs lames à rouleaux.")</f>
        <v>Certains d'entre eux grimpent des escaliers avec leurs lames à rouleaux.</v>
      </c>
    </row>
    <row r="3864">
      <c r="A3864" s="4" t="s">
        <v>4851</v>
      </c>
      <c r="B3864" s="4" t="s">
        <v>4861</v>
      </c>
      <c r="C3864" s="5" t="str">
        <f>IFERROR(__xludf.DUMMYFUNCTION("GOOGLETRANSLATE(B3864,""en"",""fr"")"),"Certains hommes sont en plein essor à travers une ville animée et sur les ponts.")</f>
        <v>Certains hommes sont en plein essor à travers une ville animée et sur les ponts.</v>
      </c>
    </row>
    <row r="3865">
      <c r="A3865" s="4" t="s">
        <v>4851</v>
      </c>
      <c r="B3865" s="4" t="s">
        <v>4862</v>
      </c>
      <c r="C3865" s="5" t="str">
        <f>IFERROR(__xludf.DUMMYFUNCTION("GOOGLETRANSLATE(B3865,""en"",""fr"")"),"Il y a un groupe de jeunes enfants en train de rouler ensemble.")</f>
        <v>Il y a un groupe de jeunes enfants en train de rouler ensemble.</v>
      </c>
    </row>
    <row r="3866">
      <c r="A3866" s="4" t="s">
        <v>4851</v>
      </c>
      <c r="B3866" s="4" t="s">
        <v>4863</v>
      </c>
      <c r="C3866" s="5" t="str">
        <f>IFERROR(__xludf.DUMMYFUNCTION("GOOGLETRANSLATE(B3866,""en"",""fr"")"),"Un homme saute par-dessus un mur pendant le roller.")</f>
        <v>Un homme saute par-dessus un mur pendant le roller.</v>
      </c>
    </row>
    <row r="3867">
      <c r="A3867" s="4" t="s">
        <v>4851</v>
      </c>
      <c r="B3867" s="4" t="s">
        <v>4864</v>
      </c>
      <c r="C3867" s="5" t="str">
        <f>IFERROR(__xludf.DUMMYFUNCTION("GOOGLETRANSLATE(B3867,""en"",""fr"")"),"Une personne plonge directement dans l'eau alors qu'il se déroule à grande vitesse.")</f>
        <v>Une personne plonge directement dans l'eau alors qu'il se déroule à grande vitesse.</v>
      </c>
    </row>
    <row r="3868">
      <c r="A3868" s="4" t="s">
        <v>4851</v>
      </c>
      <c r="B3868" s="4" t="s">
        <v>4865</v>
      </c>
      <c r="C3868" s="5" t="str">
        <f>IFERROR(__xludf.DUMMYFUNCTION("GOOGLETRANSLATE(B3868,""en"",""fr"")"),"Les gens sont en train de rouler à travers la ville, descendant les escaliers et même sur les trottoirs.")</f>
        <v>Les gens sont en train de rouler à travers la ville, descendant les escaliers et même sur les trottoirs.</v>
      </c>
    </row>
    <row r="3869">
      <c r="A3869" s="4" t="s">
        <v>4851</v>
      </c>
      <c r="B3869" s="4" t="s">
        <v>4866</v>
      </c>
      <c r="C3869" s="5" t="str">
        <f>IFERROR(__xludf.DUMMYFUNCTION("GOOGLETRANSLATE(B3869,""en"",""fr"")"),"Deux garçons sautent dans une structure en forme de S pendant le roller.")</f>
        <v>Deux garçons sautent dans une structure en forme de S pendant le roller.</v>
      </c>
    </row>
    <row r="3870">
      <c r="A3870" s="4" t="s">
        <v>4851</v>
      </c>
      <c r="B3870" s="4" t="s">
        <v>4867</v>
      </c>
      <c r="C3870" s="5" t="str">
        <f>IFERROR(__xludf.DUMMYFUNCTION("GOOGLETRANSLATE(B3870,""en"",""fr"")"),"Deux personnes font des huit sur un pont pendant leur lame à rouleaux.")</f>
        <v>Deux personnes font des huit sur un pont pendant leur lame à rouleaux.</v>
      </c>
    </row>
    <row r="3871">
      <c r="A3871" s="4" t="s">
        <v>4851</v>
      </c>
      <c r="B3871" s="4" t="s">
        <v>4868</v>
      </c>
      <c r="C3871" s="5" t="str">
        <f>IFERROR(__xludf.DUMMYFUNCTION("GOOGLETRANSLATE(B3871,""en"",""fr"")"),"Une personne va régulièrement lors de son roller.")</f>
        <v>Une personne va régulièrement lors de son roller.</v>
      </c>
    </row>
    <row r="3872">
      <c r="A3872" s="4" t="s">
        <v>4869</v>
      </c>
      <c r="B3872" s="4" t="s">
        <v>4870</v>
      </c>
      <c r="C3872" s="5" t="str">
        <f>IFERROR(__xludf.DUMMYFUNCTION("GOOGLETRANSLATE(B3872,""en"",""fr"")"),"La femme nous montre d'abord à quoi elle ressemble avec son afro avant qu'elle ne fasse un pain d'insectes.")</f>
        <v>La femme nous montre d'abord à quoi elle ressemble avec son afro avant qu'elle ne fasse un pain d'insectes.</v>
      </c>
    </row>
    <row r="3873">
      <c r="A3873" s="4" t="s">
        <v>4869</v>
      </c>
      <c r="B3873" s="4" t="s">
        <v>4871</v>
      </c>
      <c r="C3873" s="5" t="str">
        <f>IFERROR(__xludf.DUMMYFUNCTION("GOOGLETRANSLATE(B3873,""en"",""fr"")"),"Elle pulvérise d'abord ses cheveux avec de l'eau d'un flacon pulvérisateur.")</f>
        <v>Elle pulvérise d'abord ses cheveux avec de l'eau d'un flacon pulvérisateur.</v>
      </c>
    </row>
    <row r="3874">
      <c r="A3874" s="4" t="s">
        <v>4869</v>
      </c>
      <c r="B3874" s="4" t="s">
        <v>4872</v>
      </c>
      <c r="C3874" s="5" t="str">
        <f>IFERROR(__xludf.DUMMYFUNCTION("GOOGLETRANSLATE(B3874,""en"",""fr"")"),"Ensuite, elle ajoute une crème hydratante à ses cheveux et attache un support en queue de cheval sur ses cheveux.")</f>
        <v>Ensuite, elle ajoute une crème hydratante à ses cheveux et attache un support en queue de cheval sur ses cheveux.</v>
      </c>
    </row>
    <row r="3875">
      <c r="A3875" s="4" t="s">
        <v>4869</v>
      </c>
      <c r="B3875" s="4" t="s">
        <v>4873</v>
      </c>
      <c r="C3875" s="5" t="str">
        <f>IFERROR(__xludf.DUMMYFUNCTION("GOOGLETRANSLATE(B3875,""en"",""fr"")"),"Puis elle tord les extrémités de ses cheveux pour faire un petit chignon et elle l'enroule pour la faire sécuriser.")</f>
        <v>Puis elle tord les extrémités de ses cheveux pour faire un petit chignon et elle l'enroule pour la faire sécuriser.</v>
      </c>
    </row>
    <row r="3876">
      <c r="A3876" s="4" t="s">
        <v>4869</v>
      </c>
      <c r="B3876" s="4" t="s">
        <v>4874</v>
      </c>
      <c r="C3876" s="5" t="str">
        <f>IFERROR(__xludf.DUMMYFUNCTION("GOOGLETRANSLATE(B3876,""en"",""fr"")"),"Ensuite, elle tord légèrement les cheveux tressés et utilise autant d'épingles à bobby qu'elle en a besoin.")</f>
        <v>Ensuite, elle tord légèrement les cheveux tressés et utilise autant d'épingles à bobby qu'elle en a besoin.</v>
      </c>
    </row>
    <row r="3877">
      <c r="A3877" s="4" t="s">
        <v>4869</v>
      </c>
      <c r="B3877" s="4" t="s">
        <v>4875</v>
      </c>
      <c r="C3877" s="5" t="str">
        <f>IFERROR(__xludf.DUMMYFUNCTION("GOOGLETRANSLATE(B3877,""en"",""fr"")"),"Enfin, elle met en gel sur ses bords pour les poser et elle met un bandana sur ses bords.")</f>
        <v>Enfin, elle met en gel sur ses bords pour les poser et elle met un bandana sur ses bords.</v>
      </c>
    </row>
    <row r="3878">
      <c r="A3878" s="4" t="s">
        <v>4869</v>
      </c>
      <c r="B3878" s="4" t="s">
        <v>4876</v>
      </c>
      <c r="C3878" s="5" t="str">
        <f>IFERROR(__xludf.DUMMYFUNCTION("GOOGLETRANSLATE(B3878,""en"",""fr"")"),"Ensuite, elle le retire et tout est fait.")</f>
        <v>Ensuite, elle le retire et tout est fait.</v>
      </c>
    </row>
    <row r="3879">
      <c r="A3879" s="4" t="s">
        <v>4877</v>
      </c>
      <c r="B3879" s="4" t="s">
        <v>4878</v>
      </c>
      <c r="C3879" s="5" t="str">
        <f>IFERROR(__xludf.DUMMYFUNCTION("GOOGLETRANSLATE(B3879,""en"",""fr"")"),"Une personne est vue se promener sur une piste au milieu d'un large public.")</f>
        <v>Une personne est vue se promener sur une piste au milieu d'un large public.</v>
      </c>
    </row>
    <row r="3880">
      <c r="A3880" s="4" t="s">
        <v>4877</v>
      </c>
      <c r="B3880" s="4" t="s">
        <v>4879</v>
      </c>
      <c r="C3880" s="5" t="str">
        <f>IFERROR(__xludf.DUMMYFUNCTION("GOOGLETRANSLATE(B3880,""en"",""fr"")"),"L'athlète s'assoit alors tandis qu'un autre se tient à côté de lui et se prépare.")</f>
        <v>L'athlète s'assoit alors tandis qu'un autre se tient à côté de lui et se prépare.</v>
      </c>
    </row>
    <row r="3881">
      <c r="A3881" s="4" t="s">
        <v>4877</v>
      </c>
      <c r="B3881" s="4" t="s">
        <v>4880</v>
      </c>
      <c r="C3881" s="5" t="str">
        <f>IFERROR(__xludf.DUMMYFUNCTION("GOOGLETRANSLATE(B3881,""en"",""fr"")"),"On voit alors l'homme sauter par-dessus une barre suivi du même coup affiché.")</f>
        <v>On voit alors l'homme sauter par-dessus une barre suivi du même coup affiché.</v>
      </c>
    </row>
    <row r="3882">
      <c r="A3882" s="4" t="s">
        <v>4881</v>
      </c>
      <c r="B3882" s="4" t="s">
        <v>4882</v>
      </c>
      <c r="C3882" s="5" t="str">
        <f>IFERROR(__xludf.DUMMYFUNCTION("GOOGLETRANSLATE(B3882,""en"",""fr"")"),"Une paire ramente sur des kayaks dans un ruisseau de la rivière paresseux.")</f>
        <v>Une paire ramente sur des kayaks dans un ruisseau de la rivière paresseux.</v>
      </c>
    </row>
    <row r="3883">
      <c r="A3883" s="4" t="s">
        <v>4881</v>
      </c>
      <c r="B3883" s="4" t="s">
        <v>4883</v>
      </c>
      <c r="C3883" s="5" t="str">
        <f>IFERROR(__xludf.DUMMYFUNCTION("GOOGLETRANSLATE(B3883,""en"",""fr"")"),"Ils utilisent des pagaies pour déplacer leurs kayaks le long de l'eau.")</f>
        <v>Ils utilisent des pagaies pour déplacer leurs kayaks le long de l'eau.</v>
      </c>
    </row>
    <row r="3884">
      <c r="A3884" s="4" t="s">
        <v>4881</v>
      </c>
      <c r="B3884" s="4" t="s">
        <v>4884</v>
      </c>
      <c r="C3884" s="5" t="str">
        <f>IFERROR(__xludf.DUMMYFUNCTION("GOOGLETRANSLATE(B3884,""en"",""fr"")"),"La paire se regarde, comme si elle parlait.")</f>
        <v>La paire se regarde, comme si elle parlait.</v>
      </c>
    </row>
    <row r="3885">
      <c r="A3885" s="4" t="s">
        <v>4885</v>
      </c>
      <c r="B3885" s="4" t="s">
        <v>4886</v>
      </c>
      <c r="C3885" s="5" t="str">
        <f>IFERROR(__xludf.DUMMYFUNCTION("GOOGLETRANSLATE(B3885,""en"",""fr"")"),"Un coup de verre versé est illustré et mène à une femme parlant à la caméra.")</f>
        <v>Un coup de verre versé est illustré et mène à une femme parlant à la caméra.</v>
      </c>
    </row>
    <row r="3886">
      <c r="A3886" s="4" t="s">
        <v>4885</v>
      </c>
      <c r="B3886" s="4" t="s">
        <v>4887</v>
      </c>
      <c r="C3886" s="5" t="str">
        <f>IFERROR(__xludf.DUMMYFUNCTION("GOOGLETRANSLATE(B3886,""en"",""fr"")"),"La femme tient un verre et mélange divers liquides dans le verre.")</f>
        <v>La femme tient un verre et mélange divers liquides dans le verre.</v>
      </c>
    </row>
    <row r="3887">
      <c r="A3887" s="4" t="s">
        <v>4885</v>
      </c>
      <c r="B3887" s="4" t="s">
        <v>4888</v>
      </c>
      <c r="C3887" s="5" t="str">
        <f>IFERROR(__xludf.DUMMYFUNCTION("GOOGLETRANSLATE(B3887,""en"",""fr"")"),"Le haut avec un citron et glisse la boisson plus près et parlant toujours.")</f>
        <v>Le haut avec un citron et glisse la boisson plus près et parlant toujours.</v>
      </c>
    </row>
    <row r="3888">
      <c r="A3888" s="4" t="s">
        <v>4889</v>
      </c>
      <c r="B3888" s="6" t="s">
        <v>4890</v>
      </c>
      <c r="C3888" s="5" t="str">
        <f>IFERROR(__xludf.DUMMYFUNCTION("GOOGLETRANSLATE(B3888,""en"",""fr"")"),"Une femme est vue debout devant une caméra et commence à mettre de la lotion sur ses mains et à la frotter autour de son visage.")</f>
        <v>Une femme est vue debout devant une caméra et commence à mettre de la lotion sur ses mains et à la frotter autour de son visage.</v>
      </c>
    </row>
    <row r="3889">
      <c r="A3889" s="4" t="s">
        <v>4889</v>
      </c>
      <c r="B3889" s="4" t="s">
        <v>4891</v>
      </c>
      <c r="C3889" s="5" t="str">
        <f>IFERROR(__xludf.DUMMYFUNCTION("GOOGLETRANSLATE(B3889,""en"",""fr"")"),"La femme frotte continuellement la lotion dans son visage et se termine en regardant la caméra.")</f>
        <v>La femme frotte continuellement la lotion dans son visage et se termine en regardant la caméra.</v>
      </c>
    </row>
    <row r="3890">
      <c r="A3890" s="4" t="s">
        <v>4892</v>
      </c>
      <c r="B3890" s="4" t="s">
        <v>4893</v>
      </c>
      <c r="C3890" s="5" t="str">
        <f>IFERROR(__xludf.DUMMYFUNCTION("GOOGLETRANSLATE(B3890,""en"",""fr"")"),"Cet homme est montré tondre la pelouse tandis qu'un gros lévrie marche derrière lui.")</f>
        <v>Cet homme est montré tondre la pelouse tandis qu'un gros lévrie marche derrière lui.</v>
      </c>
    </row>
    <row r="3891">
      <c r="A3891" s="4" t="s">
        <v>4892</v>
      </c>
      <c r="B3891" s="4" t="s">
        <v>4894</v>
      </c>
      <c r="C3891" s="5" t="str">
        <f>IFERROR(__xludf.DUMMYFUNCTION("GOOGLETRANSLATE(B3891,""en"",""fr"")"),"Il y a aussi un autre petit chien dans la cour qui est juste assis à un seul endroit.")</f>
        <v>Il y a aussi un autre petit chien dans la cour qui est juste assis à un seul endroit.</v>
      </c>
    </row>
    <row r="3892">
      <c r="A3892" s="4" t="s">
        <v>4895</v>
      </c>
      <c r="B3892" s="6" t="s">
        <v>4896</v>
      </c>
      <c r="C3892" s="5" t="str">
        <f>IFERROR(__xludf.DUMMYFUNCTION("GOOGLETRANSLATE(B3892,""en"",""fr"")"),"Cette vidéo permet aux téléspectateurs d'entendre le témoignage d'un client qui a utilisé le service de toiture professionnelle.")</f>
        <v>Cette vidéo permet aux téléspectateurs d'entendre le témoignage d'un client qui a utilisé le service de toiture professionnelle.</v>
      </c>
    </row>
    <row r="3893">
      <c r="A3893" s="4" t="s">
        <v>4895</v>
      </c>
      <c r="B3893" s="4" t="s">
        <v>4897</v>
      </c>
      <c r="C3893" s="5" t="str">
        <f>IFERROR(__xludf.DUMMYFUNCTION("GOOGLETRANSLATE(B3893,""en"",""fr"")"),"L'homme raconte d'abord comment il a entendu parler du service et à quel point il est génial.")</f>
        <v>L'homme raconte d'abord comment il a entendu parler du service et à quel point il est génial.</v>
      </c>
    </row>
    <row r="3894">
      <c r="A3894" s="4" t="s">
        <v>4895</v>
      </c>
      <c r="B3894" s="6" t="s">
        <v>4898</v>
      </c>
      <c r="C3894" s="5" t="str">
        <f>IFERROR(__xludf.DUMMYFUNCTION("GOOGLETRANSLATE(B3894,""en"",""fr"")"),"Il dit également qu'il a choisi une toiture professionnelle parce que les voisins l'ont choisi et l'ont persuadé en disant à quel point le service est génial.")</f>
        <v>Il dit également qu'il a choisi une toiture professionnelle parce que les voisins l'ont choisi et l'ont persuadé en disant à quel point le service est génial.</v>
      </c>
    </row>
    <row r="3895">
      <c r="A3895" s="4" t="s">
        <v>4899</v>
      </c>
      <c r="B3895" s="4" t="s">
        <v>4900</v>
      </c>
      <c r="C3895" s="5" t="str">
        <f>IFERROR(__xludf.DUMMYFUNCTION("GOOGLETRANSLATE(B3895,""en"",""fr"")"),"L'équipe de polo en eau blanc se blottit ensemble.")</f>
        <v>L'équipe de polo en eau blanc se blottit ensemble.</v>
      </c>
    </row>
    <row r="3896">
      <c r="A3896" s="4" t="s">
        <v>4899</v>
      </c>
      <c r="B3896" s="4" t="s">
        <v>4901</v>
      </c>
      <c r="C3896" s="5" t="str">
        <f>IFERROR(__xludf.DUMMYFUNCTION("GOOGLETRANSLATE(B3896,""en"",""fr"")"),"Le jeu commence et les scores bleus tout en étant profondément dans la défense blanche pour égaliser le jeu.")</f>
        <v>Le jeu commence et les scores bleus tout en étant profondément dans la défense blanche pour égaliser le jeu.</v>
      </c>
    </row>
    <row r="3897">
      <c r="A3897" s="4" t="s">
        <v>4899</v>
      </c>
      <c r="B3897" s="4" t="s">
        <v>4902</v>
      </c>
      <c r="C3897" s="5" t="str">
        <f>IFERROR(__xludf.DUMMYFUNCTION("GOOGLETRANSLATE(B3897,""en"",""fr"")"),"White répond avec un objectif puissant pour récupérer la tête.")</f>
        <v>White répond avec un objectif puissant pour récupérer la tête.</v>
      </c>
    </row>
    <row r="3898">
      <c r="A3898" s="4" t="s">
        <v>4899</v>
      </c>
      <c r="B3898" s="4" t="s">
        <v>4903</v>
      </c>
      <c r="C3898" s="5" t="str">
        <f>IFERROR(__xludf.DUMMYFUNCTION("GOOGLETRANSLATE(B3898,""en"",""fr"")"),"Blue entre dans et après quelques passes liées au jeu.")</f>
        <v>Blue entre dans et après quelques passes liées au jeu.</v>
      </c>
    </row>
    <row r="3899">
      <c r="A3899" s="4" t="s">
        <v>4899</v>
      </c>
      <c r="B3899" s="4" t="s">
        <v>4904</v>
      </c>
      <c r="C3899" s="5" t="str">
        <f>IFERROR(__xludf.DUMMYFUNCTION("GOOGLETRANSLATE(B3899,""en"",""fr"")"),"Les scores blancs pour prendre les devants, et Blue revient tout de suite pour égaliser.")</f>
        <v>Les scores blancs pour prendre les devants, et Blue revient tout de suite pour égaliser.</v>
      </c>
    </row>
    <row r="3900">
      <c r="A3900" s="4" t="s">
        <v>4899</v>
      </c>
      <c r="B3900" s="4" t="s">
        <v>4905</v>
      </c>
      <c r="C3900" s="5" t="str">
        <f>IFERROR(__xludf.DUMMYFUNCTION("GOOGLETRANSLATE(B3900,""en"",""fr"")"),"Une course pour le ballon entraîne un avantage de 2 contre 1 et un objectif.")</f>
        <v>Une course pour le ballon entraîne un avantage de 2 contre 1 et un objectif.</v>
      </c>
    </row>
    <row r="3901">
      <c r="A3901" s="4" t="s">
        <v>4899</v>
      </c>
      <c r="B3901" s="4" t="s">
        <v>4906</v>
      </c>
      <c r="C3901" s="5" t="str">
        <f>IFERROR(__xludf.DUMMYFUNCTION("GOOGLETRANSLATE(B3901,""en"",""fr"")"),"Ils poussent leur avance plus tard et ont mis le match hors de portée, remportant 14-10.")</f>
        <v>Ils poussent leur avance plus tard et ont mis le match hors de portée, remportant 14-10.</v>
      </c>
    </row>
    <row r="3902">
      <c r="A3902" s="4" t="s">
        <v>4899</v>
      </c>
      <c r="B3902" s="4" t="s">
        <v>4907</v>
      </c>
      <c r="C3902" s="5" t="str">
        <f>IFERROR(__xludf.DUMMYFUNCTION("GOOGLETRANSLATE(B3902,""en"",""fr"")"),"L'équipe célèbre ensemble dans l'eau.")</f>
        <v>L'équipe célèbre ensemble dans l'eau.</v>
      </c>
    </row>
    <row r="3903">
      <c r="A3903" s="4" t="s">
        <v>4899</v>
      </c>
      <c r="B3903" s="4" t="s">
        <v>4908</v>
      </c>
      <c r="C3903" s="5" t="str">
        <f>IFERROR(__xludf.DUMMYFUNCTION("GOOGLETRANSLATE(B3903,""en"",""fr"")"),"L'équipe célèbre son métal doré sur le podium.")</f>
        <v>L'équipe célèbre son métal doré sur le podium.</v>
      </c>
    </row>
    <row r="3904">
      <c r="A3904" s="4" t="s">
        <v>4909</v>
      </c>
      <c r="B3904" s="4" t="s">
        <v>4910</v>
      </c>
      <c r="C3904" s="5" t="str">
        <f>IFERROR(__xludf.DUMMYFUNCTION("GOOGLETRANSLATE(B3904,""en"",""fr"")"),"Une fille et un chien sont sur le terrain.")</f>
        <v>Une fille et un chien sont sur le terrain.</v>
      </c>
    </row>
    <row r="3905">
      <c r="A3905" s="4" t="s">
        <v>4909</v>
      </c>
      <c r="B3905" s="6" t="s">
        <v>4911</v>
      </c>
      <c r="C3905" s="5" t="str">
        <f>IFERROR(__xludf.DUMMYFUNCTION("GOOGLETRANSLATE(B3905,""en"",""fr"")"),"La fille tient deux frisbee, puis elle marcha et se tourna côte à côte et le chien roule devant elle, le chien a touché les genoux de la fille, la fille marchait les mains et le chien marchait avec ses deux pattes avant en haut.")</f>
        <v>La fille tient deux frisbee, puis elle marcha et se tourna côte à côte et le chien roule devant elle, le chien a touché les genoux de la fille, la fille marchait les mains et le chien marchait avec ses deux pattes avant en haut.</v>
      </c>
    </row>
    <row r="3906">
      <c r="A3906" s="4" t="s">
        <v>4909</v>
      </c>
      <c r="B3906" s="4" t="s">
        <v>4912</v>
      </c>
      <c r="C3906" s="5" t="str">
        <f>IFERROR(__xludf.DUMMYFUNCTION("GOOGLETRANSLATE(B3906,""en"",""fr"")"),"La fille a jeté le frisbee et la poursuite du chien et l'a placée sur le sol.")</f>
        <v>La fille a jeté le frisbee et la poursuite du chien et l'a placée sur le sol.</v>
      </c>
    </row>
    <row r="3907">
      <c r="A3907" s="4" t="s">
        <v>4913</v>
      </c>
      <c r="B3907" s="4" t="s">
        <v>4914</v>
      </c>
      <c r="C3907" s="5" t="str">
        <f>IFERROR(__xludf.DUMMYFUNCTION("GOOGLETRANSLATE(B3907,""en"",""fr"")"),"Les femmes jouent à un jeu de curling.")</f>
        <v>Les femmes jouent à un jeu de curling.</v>
      </c>
    </row>
    <row r="3908">
      <c r="A3908" s="4" t="s">
        <v>4913</v>
      </c>
      <c r="B3908" s="4" t="s">
        <v>4915</v>
      </c>
      <c r="C3908" s="5" t="str">
        <f>IFERROR(__xludf.DUMMYFUNCTION("GOOGLETRANSLATE(B3908,""en"",""fr"")"),"Le public les regardant applaudir et applaudit.")</f>
        <v>Le public les regardant applaudir et applaudit.</v>
      </c>
    </row>
    <row r="3909">
      <c r="A3909" s="4" t="s">
        <v>4916</v>
      </c>
      <c r="B3909" s="6" t="s">
        <v>4917</v>
      </c>
      <c r="C3909" s="5" t="str">
        <f>IFERROR(__xludf.DUMMYFUNCTION("GOOGLETRANSLATE(B3909,""en"",""fr"")"),"Un homme attrape un pneu de l'arrière de la voiture et court rapidement vers l'avant à droite de la voiture, le laisse tomber sur l'herbe, puis court vers le pneu toujours sur la voiture et commence à élever la voiture avec un cric et retirez le Lugs, jan"&amp;"te et pneu et les jette sur l'herbe.")</f>
        <v>Un homme attrape un pneu de l'arrière de la voiture et court rapidement vers l'avant à droite de la voiture, le laisse tomber sur l'herbe, puis court vers le pneu toujours sur la voiture et commence à élever la voiture avec un cric et retirez le Lugs, jante et pneu et les jette sur l'herbe.</v>
      </c>
    </row>
    <row r="3910">
      <c r="A3910" s="4" t="s">
        <v>4916</v>
      </c>
      <c r="B3910" s="6" t="s">
        <v>4918</v>
      </c>
      <c r="C3910" s="5" t="str">
        <f>IFERROR(__xludf.DUMMYFUNCTION("GOOGLETRANSLATE(B3910,""en"",""fr"")"),"L'homme attrape ensuite le pneu qu'il a sorti de l'arrière de la voiture, le met sur la voiture, met la jante dessus et resserre les pattes avec sa main, puis il ramasse l'outil et resserre les pattes avec cela.")</f>
        <v>L'homme attrape ensuite le pneu qu'il a sorti de l'arrière de la voiture, le met sur la voiture, met la jante dessus et resserre les pattes avec sa main, puis il ramasse l'outil et resserre les pattes avec cela.</v>
      </c>
    </row>
    <row r="3911">
      <c r="A3911" s="4" t="s">
        <v>4916</v>
      </c>
      <c r="B3911" s="6" t="s">
        <v>4919</v>
      </c>
      <c r="C3911" s="5" t="str">
        <f>IFERROR(__xludf.DUMMYFUNCTION("GOOGLETRANSLATE(B3911,""en"",""fr"")"),"L'homme retire ensuite le cric sous la voiture et resserre à nouveau les pattes avec l'outil et il se lève à bout de souffle et sourit.")</f>
        <v>L'homme retire ensuite le cric sous la voiture et resserre à nouveau les pattes avec l'outil et il se lève à bout de souffle et sourit.</v>
      </c>
    </row>
    <row r="3912">
      <c r="A3912" s="4" t="s">
        <v>4920</v>
      </c>
      <c r="B3912" s="4" t="s">
        <v>4921</v>
      </c>
      <c r="C3912" s="5" t="str">
        <f>IFERROR(__xludf.DUMMYFUNCTION("GOOGLETRANSLATE(B3912,""en"",""fr"")"),"Un bricoleur se tient devant un porche et parle.")</f>
        <v>Un bricoleur se tient devant un porche et parle.</v>
      </c>
    </row>
    <row r="3913">
      <c r="A3913" s="4" t="s">
        <v>4920</v>
      </c>
      <c r="B3913" s="4" t="s">
        <v>4922</v>
      </c>
      <c r="C3913" s="5" t="str">
        <f>IFERROR(__xludf.DUMMYFUNCTION("GOOGLETRANSLATE(B3913,""en"",""fr"")"),"L'homme utilise deux racilles pour nettoyer deux fenêtres en même temps.")</f>
        <v>L'homme utilise deux racilles pour nettoyer deux fenêtres en même temps.</v>
      </c>
    </row>
    <row r="3914">
      <c r="A3914" s="4" t="s">
        <v>4920</v>
      </c>
      <c r="B3914" s="4" t="s">
        <v>4923</v>
      </c>
      <c r="C3914" s="5" t="str">
        <f>IFERROR(__xludf.DUMMYFUNCTION("GOOGLETRANSLATE(B3914,""en"",""fr"")"),"L'homme termine et met ses outils dans sa ceinture d'outils.")</f>
        <v>L'homme termine et met ses outils dans sa ceinture d'outils.</v>
      </c>
    </row>
    <row r="3915">
      <c r="A3915" s="4" t="s">
        <v>4920</v>
      </c>
      <c r="B3915" s="4" t="s">
        <v>4924</v>
      </c>
      <c r="C3915" s="5" t="str">
        <f>IFERROR(__xludf.DUMMYFUNCTION("GOOGLETRANSLATE(B3915,""en"",""fr"")"),"Il sourit et s'éloigne.")</f>
        <v>Il sourit et s'éloigne.</v>
      </c>
    </row>
    <row r="3916">
      <c r="A3916" s="4" t="s">
        <v>4925</v>
      </c>
      <c r="B3916" s="4" t="s">
        <v>4926</v>
      </c>
      <c r="C3916" s="5" t="str">
        <f>IFERROR(__xludf.DUMMYFUNCTION("GOOGLETRANSLATE(B3916,""en"",""fr"")"),"Une caméra est vue se rapprocher d'une aire de jeux et montre une femme descendant une diapositive.")</f>
        <v>Une caméra est vue se rapprocher d'une aire de jeux et montre une femme descendant une diapositive.</v>
      </c>
    </row>
    <row r="3917">
      <c r="A3917" s="4" t="s">
        <v>4925</v>
      </c>
      <c r="B3917" s="4" t="s">
        <v>4927</v>
      </c>
      <c r="C3917" s="5" t="str">
        <f>IFERROR(__xludf.DUMMYFUNCTION("GOOGLETRANSLATE(B3917,""en"",""fr"")"),"Un chien roule avec elle et un autre chien se promène dans la région.")</f>
        <v>Un chien roule avec elle et un autre chien se promène dans la région.</v>
      </c>
    </row>
    <row r="3918">
      <c r="A3918" s="4" t="s">
        <v>4925</v>
      </c>
      <c r="B3918" s="4" t="s">
        <v>4928</v>
      </c>
      <c r="C3918" s="5" t="str">
        <f>IFERROR(__xludf.DUMMYFUNCTION("GOOGLETRANSLATE(B3918,""en"",""fr"")"),"La femme descend plusieurs fois avec le petit chien à côté d'elle.")</f>
        <v>La femme descend plusieurs fois avec le petit chien à côté d'elle.</v>
      </c>
    </row>
    <row r="3919">
      <c r="A3919" s="4" t="s">
        <v>4929</v>
      </c>
      <c r="B3919" s="6" t="s">
        <v>4930</v>
      </c>
      <c r="C3919" s="5" t="str">
        <f>IFERROR(__xludf.DUMMYFUNCTION("GOOGLETRANSLATE(B3919,""en"",""fr"")"),"On voit deux personnes parler à la caméra et les mène en passant une balle sur des bâtons les uns aux autres.")</f>
        <v>On voit deux personnes parler à la caméra et les mène en passant une balle sur des bâtons les uns aux autres.</v>
      </c>
    </row>
    <row r="3920">
      <c r="A3920" s="4" t="s">
        <v>4929</v>
      </c>
      <c r="B3920" s="6" t="s">
        <v>4931</v>
      </c>
      <c r="C3920" s="5" t="str">
        <f>IFERROR(__xludf.DUMMYFUNCTION("GOOGLETRANSLATE(B3920,""en"",""fr"")"),"La femme s'arrête pour parler à la caméra à plusieurs reprises et afficher plus de clips des deux frappant le ballon.")</f>
        <v>La femme s'arrête pour parler à la caméra à plusieurs reprises et afficher plus de clips des deux frappant le ballon.</v>
      </c>
    </row>
    <row r="3921">
      <c r="A3921" s="4" t="s">
        <v>4932</v>
      </c>
      <c r="B3921" s="4" t="s">
        <v>4933</v>
      </c>
      <c r="C3921" s="5" t="str">
        <f>IFERROR(__xludf.DUMMYFUNCTION("GOOGLETRANSLATE(B3921,""en"",""fr"")"),"Un groupe de personnes joue au volleyball d'eau dans une piscine intérieure avec quelques spectateurs sur la touche.")</f>
        <v>Un groupe de personnes joue au volleyball d'eau dans une piscine intérieure avec quelques spectateurs sur la touche.</v>
      </c>
    </row>
    <row r="3922">
      <c r="A3922" s="4" t="s">
        <v>4932</v>
      </c>
      <c r="B3922" s="4" t="s">
        <v>4934</v>
      </c>
      <c r="C3922" s="5" t="str">
        <f>IFERROR(__xludf.DUMMYFUNCTION("GOOGLETRANSLATE(B3922,""en"",""fr"")"),"Un volleyball jaune est lancé entre des gens dans une piscine.")</f>
        <v>Un volleyball jaune est lancé entre des gens dans une piscine.</v>
      </c>
    </row>
    <row r="3923">
      <c r="A3923" s="4" t="s">
        <v>4932</v>
      </c>
      <c r="B3923" s="4" t="s">
        <v>4935</v>
      </c>
      <c r="C3923" s="5" t="str">
        <f>IFERROR(__xludf.DUMMYFUNCTION("GOOGLETRANSLATE(B3923,""en"",""fr"")"),"Une personne fait un objectif avec le volley-ball jaune dans un filet blanc.")</f>
        <v>Une personne fait un objectif avec le volley-ball jaune dans un filet blanc.</v>
      </c>
    </row>
    <row r="3924">
      <c r="A3924" s="4" t="s">
        <v>4932</v>
      </c>
      <c r="B3924" s="6" t="s">
        <v>4936</v>
      </c>
      <c r="C3924" s="5" t="str">
        <f>IFERROR(__xludf.DUMMYFUNCTION("GOOGLETRANSLATE(B3924,""en"",""fr"")"),"Le ballon est lancé de l'autre côté de la piscine où un autre but est atteint dans un filet blanc de l'autre côté de la piscine.")</f>
        <v>Le ballon est lancé de l'autre côté de la piscine où un autre but est atteint dans un filet blanc de l'autre côté de la piscine.</v>
      </c>
    </row>
    <row r="3925">
      <c r="A3925" s="4" t="s">
        <v>4937</v>
      </c>
      <c r="B3925" s="4" t="s">
        <v>4938</v>
      </c>
      <c r="C3925" s="5" t="str">
        <f>IFERROR(__xludf.DUMMYFUNCTION("GOOGLETRANSLATE(B3925,""en"",""fr"")"),"Il y a une personne portant des gants roses qui font un tutoriel sur la façon de nettoyer un évier de cuisine blanc.")</f>
        <v>Il y a une personne portant des gants roses qui font un tutoriel sur la façon de nettoyer un évier de cuisine blanc.</v>
      </c>
    </row>
    <row r="3926">
      <c r="A3926" s="4" t="s">
        <v>4937</v>
      </c>
      <c r="B3926" s="6" t="s">
        <v>4939</v>
      </c>
      <c r="C3926" s="5" t="str">
        <f>IFERROR(__xludf.DUMMYFUNCTION("GOOGLETRANSLATE(B3926,""en"",""fr"")"),"La personne pulvérise de la poudre de nettoyage blanche dans l'évier, puis pulvérise de l'eau de Javel Clorox.")</f>
        <v>La personne pulvérise de la poudre de nettoyage blanche dans l'évier, puis pulvérise de l'eau de Javel Clorox.</v>
      </c>
    </row>
    <row r="3927">
      <c r="A3927" s="4" t="s">
        <v>4937</v>
      </c>
      <c r="B3927" s="4" t="s">
        <v>4940</v>
      </c>
      <c r="C3927" s="5" t="str">
        <f>IFERROR(__xludf.DUMMYFUNCTION("GOOGLETRANSLATE(B3927,""en"",""fr"")"),"Ensuite, prend un gommage rose et commence à frotter l'évier dans le mouvement de va-et-vient.")</f>
        <v>Ensuite, prend un gommage rose et commence à frotter l'évier dans le mouvement de va-et-vient.</v>
      </c>
    </row>
    <row r="3928">
      <c r="A3928" s="4" t="s">
        <v>4937</v>
      </c>
      <c r="B3928" s="4" t="s">
        <v>4941</v>
      </c>
      <c r="C3928" s="5" t="str">
        <f>IFERROR(__xludf.DUMMYFUNCTION("GOOGLETRANSLATE(B3928,""en"",""fr"")"),"La personne s'assure que tous les côtés de l'évier sont nettoyés, y compris le drain.")</f>
        <v>La personne s'assure que tous les côtés de l'évier sont nettoyés, y compris le drain.</v>
      </c>
    </row>
    <row r="3929">
      <c r="A3929" s="4" t="s">
        <v>4937</v>
      </c>
      <c r="B3929" s="4" t="s">
        <v>4942</v>
      </c>
      <c r="C3929" s="5" t="str">
        <f>IFERROR(__xludf.DUMMYFUNCTION("GOOGLETRANSLATE(B3929,""en"",""fr"")"),"Ensuite, elle commence le robinet pour laver la poudre et l'eau de Javel.")</f>
        <v>Ensuite, elle commence le robinet pour laver la poudre et l'eau de Javel.</v>
      </c>
    </row>
    <row r="3930">
      <c r="A3930" s="4" t="s">
        <v>4937</v>
      </c>
      <c r="B3930" s="6" t="s">
        <v>4943</v>
      </c>
      <c r="C3930" s="5" t="str">
        <f>IFERROR(__xludf.DUMMYFUNCTION("GOOGLETRANSLATE(B3930,""en"",""fr"")"),"Elle utilise ensuite une serviette en papier pour essuyer l'eau et nettoyer toute poudre résiduelle de l'évier.")</f>
        <v>Elle utilise ensuite une serviette en papier pour essuyer l'eau et nettoyer toute poudre résiduelle de l'évier.</v>
      </c>
    </row>
    <row r="3931">
      <c r="A3931" s="4" t="s">
        <v>4944</v>
      </c>
      <c r="B3931" s="4" t="s">
        <v>4945</v>
      </c>
      <c r="C3931" s="5" t="str">
        <f>IFERROR(__xludf.DUMMYFUNCTION("GOOGLETRANSLATE(B3931,""en"",""fr"")"),"Un homme parle à la caméra à côté d'une clôture.")</f>
        <v>Un homme parle à la caméra à côté d'une clôture.</v>
      </c>
    </row>
    <row r="3932">
      <c r="A3932" s="4" t="s">
        <v>4944</v>
      </c>
      <c r="B3932" s="4" t="s">
        <v>4946</v>
      </c>
      <c r="C3932" s="5" t="str">
        <f>IFERROR(__xludf.DUMMYFUNCTION("GOOGLETRANSLATE(B3932,""en"",""fr"")"),"L'homme tient un pinceau.")</f>
        <v>L'homme tient un pinceau.</v>
      </c>
    </row>
    <row r="3933">
      <c r="A3933" s="4" t="s">
        <v>4944</v>
      </c>
      <c r="B3933" s="4" t="s">
        <v>4947</v>
      </c>
      <c r="C3933" s="5" t="str">
        <f>IFERROR(__xludf.DUMMYFUNCTION("GOOGLETRANSLATE(B3933,""en"",""fr"")"),"L'homme plonge le pinceau dans un seau de peinture et commence à peindre la clôture.")</f>
        <v>L'homme plonge le pinceau dans un seau de peinture et commence à peindre la clôture.</v>
      </c>
    </row>
    <row r="3934">
      <c r="A3934" s="4" t="s">
        <v>4944</v>
      </c>
      <c r="B3934" s="4" t="s">
        <v>4948</v>
      </c>
      <c r="C3934" s="5" t="str">
        <f>IFERROR(__xludf.DUMMYFUNCTION("GOOGLETRANSLATE(B3934,""en"",""fr"")"),"L'homme se déplace le long de la clôture en le peignant.")</f>
        <v>L'homme se déplace le long de la clôture en le peignant.</v>
      </c>
    </row>
    <row r="3935">
      <c r="A3935" s="4" t="s">
        <v>4944</v>
      </c>
      <c r="B3935" s="4" t="s">
        <v>4949</v>
      </c>
      <c r="C3935" s="5" t="str">
        <f>IFERROR(__xludf.DUMMYFUNCTION("GOOGLETRANSLATE(B3935,""en"",""fr"")"),"L'homme termine la peinture et s'éloigne de la clôture.")</f>
        <v>L'homme termine la peinture et s'éloigne de la clôture.</v>
      </c>
    </row>
    <row r="3936">
      <c r="A3936" s="4" t="s">
        <v>4950</v>
      </c>
      <c r="B3936" s="6" t="s">
        <v>4951</v>
      </c>
      <c r="C3936" s="5" t="str">
        <f>IFERROR(__xludf.DUMMYFUNCTION("GOOGLETRANSLATE(B3936,""en"",""fr"")"),"Une femme debout devant le Sing White, a allumé le robinet, a obtenu du savon liquide et s'est lavé la main.")</f>
        <v>Une femme debout devant le Sing White, a allumé le robinet, a obtenu du savon liquide et s'est lavé la main.</v>
      </c>
    </row>
    <row r="3937">
      <c r="A3937" s="4" t="s">
        <v>4950</v>
      </c>
      <c r="B3937" s="6" t="s">
        <v>4952</v>
      </c>
      <c r="C3937" s="5" t="str">
        <f>IFERROR(__xludf.DUMMYFUNCTION("GOOGLETRANSLATE(B3937,""en"",""fr"")"),"Elle se retourna et obtient des serviettes de main du mur, essuya ses mains et jeta le papier dans le panier des ordures.")</f>
        <v>Elle se retourna et obtient des serviettes de main du mur, essuya ses mains et jeta le papier dans le panier des ordures.</v>
      </c>
    </row>
    <row r="3938">
      <c r="A3938" s="4" t="s">
        <v>4953</v>
      </c>
      <c r="B3938" s="6" t="s">
        <v>4954</v>
      </c>
      <c r="C3938" s="5" t="str">
        <f>IFERROR(__xludf.DUMMYFUNCTION("GOOGLETRANSLATE(B3938,""en"",""fr"")"),"Une femme arrive sur l'écran en annonçant qu'elle fera une vidéo sur la façon de faire un dessert cookie.")</f>
        <v>Une femme arrive sur l'écran en annonçant qu'elle fera une vidéo sur la façon de faire un dessert cookie.</v>
      </c>
    </row>
    <row r="3939">
      <c r="A3939" s="4" t="s">
        <v>4953</v>
      </c>
      <c r="B3939" s="6" t="s">
        <v>4955</v>
      </c>
      <c r="C3939" s="5" t="str">
        <f>IFERROR(__xludf.DUMMYFUNCTION("GOOGLETRANSLATE(B3939,""en"",""fr"")"),"Elle commence par tous les ingrédients dont elle aura besoin pour les biscuits et commence à combiner les ingrédients secs.")</f>
        <v>Elle commence par tous les ingrédients dont elle aura besoin pour les biscuits et commence à combiner les ingrédients secs.</v>
      </c>
    </row>
    <row r="3940">
      <c r="A3940" s="4" t="s">
        <v>4953</v>
      </c>
      <c r="B3940" s="4" t="s">
        <v>4956</v>
      </c>
      <c r="C3940" s="5" t="str">
        <f>IFERROR(__xludf.DUMMYFUNCTION("GOOGLETRANSLATE(B3940,""en"",""fr"")"),"Elle procède ensuite à mélanger les ingrédients humides dans un bol en verre.")</f>
        <v>Elle procède ensuite à mélanger les ingrédients humides dans un bol en verre.</v>
      </c>
    </row>
    <row r="3941">
      <c r="A3941" s="4" t="s">
        <v>4953</v>
      </c>
      <c r="B3941" s="6" t="s">
        <v>4957</v>
      </c>
      <c r="C3941" s="5" t="str">
        <f>IFERROR(__xludf.DUMMYFUNCTION("GOOGLETRANSLATE(B3941,""en"",""fr"")"),"Après avoir mélangé tous les ingrédients ensemble, elle commence à rouler la pâte en boules et les placer sur une plaque à biscuits, et les met dans le four.")</f>
        <v>Après avoir mélangé tous les ingrédients ensemble, elle commence à rouler la pâte en boules et les placer sur une plaque à biscuits, et les met dans le four.</v>
      </c>
    </row>
    <row r="3942">
      <c r="A3942" s="4" t="s">
        <v>4953</v>
      </c>
      <c r="B3942" s="4" t="s">
        <v>4958</v>
      </c>
      <c r="C3942" s="5" t="str">
        <f>IFERROR(__xludf.DUMMYFUNCTION("GOOGLETRANSLATE(B3942,""en"",""fr"")"),"Elle les retire du four et commence à les envelopper dans des ensembles individuels.")</f>
        <v>Elle les retire du four et commence à les envelopper dans des ensembles individuels.</v>
      </c>
    </row>
    <row r="3943">
      <c r="A3943" s="4" t="s">
        <v>4953</v>
      </c>
      <c r="B3943" s="4" t="s">
        <v>4959</v>
      </c>
      <c r="C3943" s="5" t="str">
        <f>IFERROR(__xludf.DUMMYFUNCTION("GOOGLETRANSLATE(B3943,""en"",""fr"")"),"La vidéo se termine par les crédits de clôture.")</f>
        <v>La vidéo se termine par les crédits de clôture.</v>
      </c>
    </row>
    <row r="3944">
      <c r="A3944" s="4" t="s">
        <v>4960</v>
      </c>
      <c r="B3944" s="4" t="s">
        <v>4961</v>
      </c>
      <c r="C3944" s="5" t="str">
        <f>IFERROR(__xludf.DUMMYFUNCTION("GOOGLETRANSLATE(B3944,""en"",""fr"")"),"Un petit enfant est vu assis sur une balançoire souriant à la caméra.")</f>
        <v>Un petit enfant est vu assis sur une balançoire souriant à la caméra.</v>
      </c>
    </row>
    <row r="3945">
      <c r="A3945" s="4" t="s">
        <v>4960</v>
      </c>
      <c r="B3945" s="4" t="s">
        <v>4962</v>
      </c>
      <c r="C3945" s="5" t="str">
        <f>IFERROR(__xludf.DUMMYFUNCTION("GOOGLETRANSLATE(B3945,""en"",""fr"")"),"Le garçon recule et quatrième sur le swing tandis qu'un autre garçon est vu se balancer à côté de lui.")</f>
        <v>Le garçon recule et quatrième sur le swing tandis qu'un autre garçon est vu se balancer à côté de lui.</v>
      </c>
    </row>
    <row r="3946">
      <c r="A3946" s="4" t="s">
        <v>4960</v>
      </c>
      <c r="B3946" s="6" t="s">
        <v>4963</v>
      </c>
      <c r="C3946" s="5" t="str">
        <f>IFERROR(__xludf.DUMMYFUNCTION("GOOGLETRANSLATE(B3946,""en"",""fr"")"),"Les deux continuent de se balancer en arrière et quatrième tandis que la caméra les capture sous différents angles.")</f>
        <v>Les deux continuent de se balancer en arrière et quatrième tandis que la caméra les capture sous différents angles.</v>
      </c>
    </row>
    <row r="3947">
      <c r="A3947" s="4" t="s">
        <v>4964</v>
      </c>
      <c r="B3947" s="6" t="s">
        <v>4965</v>
      </c>
      <c r="C3947" s="5" t="str">
        <f>IFERROR(__xludf.DUMMYFUNCTION("GOOGLETRANSLATE(B3947,""en"",""fr"")"),"Plusieurs clips sont montrés de robots se battant ainsi que l'intérieur et l'extérieur d'un bâtiment.")</f>
        <v>Plusieurs clips sont montrés de robots se battant ainsi que l'intérieur et l'extérieur d'un bâtiment.</v>
      </c>
    </row>
    <row r="3948">
      <c r="A3948" s="4" t="s">
        <v>4964</v>
      </c>
      <c r="B3948" s="6" t="s">
        <v>4966</v>
      </c>
      <c r="C3948" s="5" t="str">
        <f>IFERROR(__xludf.DUMMYFUNCTION("GOOGLETRANSLATE(B3948,""en"",""fr"")"),"Plus de robots sont montrés de près ainsi que des personnes ajustant les robots et les mettant en panne pour se battre.")</f>
        <v>Plus de robots sont montrés de près ainsi que des personnes ajustant les robots et les mettant en panne pour se battre.</v>
      </c>
    </row>
    <row r="3949">
      <c r="A3949" s="4" t="s">
        <v>4964</v>
      </c>
      <c r="B3949" s="4" t="s">
        <v>4967</v>
      </c>
      <c r="C3949" s="5" t="str">
        <f>IFERROR(__xludf.DUMMYFUNCTION("GOOGLETRANSLATE(B3949,""en"",""fr"")"),"Les gens continuent d'utiliser les robots et se terminent en serrant la main et en s'inclinant avec un autre homme.")</f>
        <v>Les gens continuent d'utiliser les robots et se terminent en serrant la main et en s'inclinant avec un autre homme.</v>
      </c>
    </row>
    <row r="3950">
      <c r="A3950" s="4" t="s">
        <v>4968</v>
      </c>
      <c r="B3950" s="4" t="s">
        <v>4969</v>
      </c>
      <c r="C3950" s="5" t="str">
        <f>IFERROR(__xludf.DUMMYFUNCTION("GOOGLETRANSLATE(B3950,""en"",""fr"")"),"Une machine de souffleuse à feuilles souffle un gros tas de feuilles autour d'un parking.")</f>
        <v>Une machine de souffleuse à feuilles souffle un gros tas de feuilles autour d'un parking.</v>
      </c>
    </row>
    <row r="3951">
      <c r="A3951" s="4" t="s">
        <v>4968</v>
      </c>
      <c r="B3951" s="4" t="s">
        <v>4970</v>
      </c>
      <c r="C3951" s="5" t="str">
        <f>IFERROR(__xludf.DUMMYFUNCTION("GOOGLETRANSLATE(B3951,""en"",""fr"")"),"La machine continue de se déplacer dans le lot et de couler les feuilles dans un grand tas.")</f>
        <v>La machine continue de se déplacer dans le lot et de couler les feuilles dans un grand tas.</v>
      </c>
    </row>
    <row r="3952">
      <c r="A3952" s="4" t="s">
        <v>4971</v>
      </c>
      <c r="B3952" s="4" t="s">
        <v>4972</v>
      </c>
      <c r="C3952" s="5" t="str">
        <f>IFERROR(__xludf.DUMMYFUNCTION("GOOGLETRANSLATE(B3952,""en"",""fr"")"),"Nous voyons une dame dans les bois coupant des bûches de bois.")</f>
        <v>Nous voyons une dame dans les bois coupant des bûches de bois.</v>
      </c>
    </row>
    <row r="3953">
      <c r="A3953" s="4" t="s">
        <v>4971</v>
      </c>
      <c r="B3953" s="4" t="s">
        <v>4973</v>
      </c>
      <c r="C3953" s="5" t="str">
        <f>IFERROR(__xludf.DUMMYFUNCTION("GOOGLETRANSLATE(B3953,""en"",""fr"")"),"La dame met un journal sur une plate-forme.")</f>
        <v>La dame met un journal sur une plate-forme.</v>
      </c>
    </row>
    <row r="3954">
      <c r="A3954" s="4" t="s">
        <v>4971</v>
      </c>
      <c r="B3954" s="4" t="s">
        <v>4974</v>
      </c>
      <c r="C3954" s="5" t="str">
        <f>IFERROR(__xludf.DUMMYFUNCTION("GOOGLETRANSLATE(B3954,""en"",""fr"")"),"Nous voyons des poulets courir autour de l'arrière-plan.")</f>
        <v>Nous voyons des poulets courir autour de l'arrière-plan.</v>
      </c>
    </row>
    <row r="3955">
      <c r="A3955" s="4" t="s">
        <v>4971</v>
      </c>
      <c r="B3955" s="4" t="s">
        <v>4975</v>
      </c>
      <c r="C3955" s="5" t="str">
        <f>IFERROR(__xludf.DUMMYFUNCTION("GOOGLETRANSLATE(B3955,""en"",""fr"")"),"La dame rit alors qu'elle ramasse un morceau de bois.")</f>
        <v>La dame rit alors qu'elle ramasse un morceau de bois.</v>
      </c>
    </row>
    <row r="3956">
      <c r="A3956" s="4" t="s">
        <v>4971</v>
      </c>
      <c r="B3956" s="4" t="s">
        <v>4976</v>
      </c>
      <c r="C3956" s="5" t="str">
        <f>IFERROR(__xludf.DUMMYFUNCTION("GOOGLETRANSLATE(B3956,""en"",""fr"")"),"Nous voyons un poulet battre ses ailes en arrière-plan.")</f>
        <v>Nous voyons un poulet battre ses ailes en arrière-plan.</v>
      </c>
    </row>
    <row r="3957">
      <c r="A3957" s="4" t="s">
        <v>4971</v>
      </c>
      <c r="B3957" s="4" t="s">
        <v>4977</v>
      </c>
      <c r="C3957" s="5" t="str">
        <f>IFERROR(__xludf.DUMMYFUNCTION("GOOGLETRANSLATE(B3957,""en"",""fr"")"),"La dame finit et jette ses mains en l'air.")</f>
        <v>La dame finit et jette ses mains en l'air.</v>
      </c>
    </row>
    <row r="3958">
      <c r="A3958" s="4" t="s">
        <v>4978</v>
      </c>
      <c r="B3958" s="4" t="s">
        <v>4979</v>
      </c>
      <c r="C3958" s="5" t="str">
        <f>IFERROR(__xludf.DUMMYFUNCTION("GOOGLETRANSLATE(B3958,""en"",""fr"")"),"Les filles parlent à la caméra.")</f>
        <v>Les filles parlent à la caméra.</v>
      </c>
    </row>
    <row r="3959">
      <c r="A3959" s="4" t="s">
        <v>4978</v>
      </c>
      <c r="B3959" s="4" t="s">
        <v>4980</v>
      </c>
      <c r="C3959" s="5" t="str">
        <f>IFERROR(__xludf.DUMMYFUNCTION("GOOGLETRANSLATE(B3959,""en"",""fr"")"),"Ils font des mouvements de la main pendant qu'ils parlent.")</f>
        <v>Ils font des mouvements de la main pendant qu'ils parlent.</v>
      </c>
    </row>
    <row r="3960">
      <c r="A3960" s="4" t="s">
        <v>4978</v>
      </c>
      <c r="B3960" s="4" t="s">
        <v>4981</v>
      </c>
      <c r="C3960" s="5" t="str">
        <f>IFERROR(__xludf.DUMMYFUNCTION("GOOGLETRANSLATE(B3960,""en"",""fr"")"),"Ils jouent du rock, des ciseaux en papier.")</f>
        <v>Ils jouent du rock, des ciseaux en papier.</v>
      </c>
    </row>
    <row r="3961">
      <c r="A3961" s="4" t="s">
        <v>4978</v>
      </c>
      <c r="B3961" s="4" t="s">
        <v>4982</v>
      </c>
      <c r="C3961" s="5" t="str">
        <f>IFERROR(__xludf.DUMMYFUNCTION("GOOGLETRANSLATE(B3961,""en"",""fr"")"),"Une fille est allongée sur le GED alors qu'une autre fille met ses fesses sur son visage.")</f>
        <v>Une fille est allongée sur le GED alors qu'une autre fille met ses fesses sur son visage.</v>
      </c>
    </row>
    <row r="3962">
      <c r="A3962" s="4" t="s">
        <v>4978</v>
      </c>
      <c r="B3962" s="4" t="s">
        <v>4983</v>
      </c>
      <c r="C3962" s="5" t="str">
        <f>IFERROR(__xludf.DUMMYFUNCTION("GOOGLETRANSLATE(B3962,""en"",""fr"")"),"La fille parle à nouveau à la caméra.")</f>
        <v>La fille parle à nouveau à la caméra.</v>
      </c>
    </row>
    <row r="3963">
      <c r="A3963" s="4" t="s">
        <v>4984</v>
      </c>
      <c r="B3963" s="4" t="s">
        <v>4985</v>
      </c>
      <c r="C3963" s="5" t="str">
        <f>IFERROR(__xludf.DUMMYFUNCTION("GOOGLETRANSLATE(B3963,""en"",""fr"")"),"Une personne prend un chat sur une chaise.")</f>
        <v>Une personne prend un chat sur une chaise.</v>
      </c>
    </row>
    <row r="3964">
      <c r="A3964" s="4" t="s">
        <v>4984</v>
      </c>
      <c r="B3964" s="4" t="s">
        <v>4986</v>
      </c>
      <c r="C3964" s="5" t="str">
        <f>IFERROR(__xludf.DUMMYFUNCTION("GOOGLETRANSLATE(B3964,""en"",""fr"")"),"Ils ont posé le chat sur leurs genoux.")</f>
        <v>Ils ont posé le chat sur leurs genoux.</v>
      </c>
    </row>
    <row r="3965">
      <c r="A3965" s="4" t="s">
        <v>4984</v>
      </c>
      <c r="B3965" s="4" t="s">
        <v>4987</v>
      </c>
      <c r="C3965" s="5" t="str">
        <f>IFERROR(__xludf.DUMMYFUNCTION("GOOGLETRANSLATE(B3965,""en"",""fr"")"),"Ils commencent à couper les ongles du chat.")</f>
        <v>Ils commencent à couper les ongles du chat.</v>
      </c>
    </row>
    <row r="3966">
      <c r="A3966" s="4" t="s">
        <v>4984</v>
      </c>
      <c r="B3966" s="4" t="s">
        <v>4988</v>
      </c>
      <c r="C3966" s="5" t="str">
        <f>IFERROR(__xludf.DUMMYFUNCTION("GOOGLETRANSLATE(B3966,""en"",""fr"")"),"Une personne est assise à côté d'eux sur un ordinateur portable.")</f>
        <v>Une personne est assise à côté d'eux sur un ordinateur portable.</v>
      </c>
    </row>
    <row r="3967">
      <c r="A3967" s="4" t="s">
        <v>4984</v>
      </c>
      <c r="B3967" s="4" t="s">
        <v>4989</v>
      </c>
      <c r="C3967" s="5" t="str">
        <f>IFERROR(__xludf.DUMMYFUNCTION("GOOGLETRANSLATE(B3967,""en"",""fr"")"),"La personne caresse le ventre du chat.")</f>
        <v>La personne caresse le ventre du chat.</v>
      </c>
    </row>
    <row r="3968">
      <c r="A3968" s="4" t="s">
        <v>4984</v>
      </c>
      <c r="B3968" s="4" t="s">
        <v>4990</v>
      </c>
      <c r="C3968" s="5" t="str">
        <f>IFERROR(__xludf.DUMMYFUNCTION("GOOGLETRANSLATE(B3968,""en"",""fr"")"),"Ils ramènent le chat et le placent sur une chaise.")</f>
        <v>Ils ramènent le chat et le placent sur une chaise.</v>
      </c>
    </row>
    <row r="3969">
      <c r="A3969" s="4" t="s">
        <v>4991</v>
      </c>
      <c r="B3969" s="4" t="s">
        <v>4992</v>
      </c>
      <c r="C3969" s="5" t="str">
        <f>IFERROR(__xludf.DUMMYFUNCTION("GOOGLETRANSLATE(B3969,""en"",""fr"")"),"Un athlète masculin se prépare à descendre une piste.")</f>
        <v>Un athlète masculin se prépare à descendre une piste.</v>
      </c>
    </row>
    <row r="3970">
      <c r="A3970" s="4" t="s">
        <v>4991</v>
      </c>
      <c r="B3970" s="4" t="s">
        <v>4993</v>
      </c>
      <c r="C3970" s="5" t="str">
        <f>IFERROR(__xludf.DUMMYFUNCTION("GOOGLETRANSLATE(B3970,""en"",""fr"")"),"Il décolle en courant, se sortant sur une barre et sur un tapis.")</f>
        <v>Il décolle en courant, se sortant sur une barre et sur un tapis.</v>
      </c>
    </row>
    <row r="3971">
      <c r="A3971" s="4" t="s">
        <v>4991</v>
      </c>
      <c r="B3971" s="4" t="s">
        <v>4994</v>
      </c>
      <c r="C3971" s="5" t="str">
        <f>IFERROR(__xludf.DUMMYFUNCTION("GOOGLETRANSLATE(B3971,""en"",""fr"")"),"Il saute exubérant, célébrant alors que la foule applaudit.")</f>
        <v>Il saute exubérant, célébrant alors que la foule applaudit.</v>
      </c>
    </row>
    <row r="3972">
      <c r="A3972" s="4" t="s">
        <v>4995</v>
      </c>
      <c r="B3972" s="4" t="s">
        <v>4996</v>
      </c>
      <c r="C3972" s="5" t="str">
        <f>IFERROR(__xludf.DUMMYFUNCTION("GOOGLETRANSLATE(B3972,""en"",""fr"")"),"Un homme sert une balle de tennis avec une raquette pendant qu'il parle.")</f>
        <v>Un homme sert une balle de tennis avec une raquette pendant qu'il parle.</v>
      </c>
    </row>
    <row r="3973">
      <c r="A3973" s="4" t="s">
        <v>4995</v>
      </c>
      <c r="B3973" s="4" t="s">
        <v>4997</v>
      </c>
      <c r="C3973" s="5" t="str">
        <f>IFERROR(__xludf.DUMMYFUNCTION("GOOGLETRANSLATE(B3973,""en"",""fr"")"),"L'homme fait rebondir une balle et montre comment déplacer le corps, puis il sert une balle.")</f>
        <v>L'homme fait rebondir une balle et montre comment déplacer le corps, puis il sert une balle.</v>
      </c>
    </row>
    <row r="3974">
      <c r="A3974" s="4" t="s">
        <v>4995</v>
      </c>
      <c r="B3974" s="4" t="s">
        <v>4998</v>
      </c>
      <c r="C3974" s="5" t="str">
        <f>IFERROR(__xludf.DUMMYFUNCTION("GOOGLETRANSLATE(B3974,""en"",""fr"")"),"L'homme continue de parler à la cour de tennis.")</f>
        <v>L'homme continue de parler à la cour de tennis.</v>
      </c>
    </row>
    <row r="3975">
      <c r="A3975" s="4" t="s">
        <v>4999</v>
      </c>
      <c r="B3975" s="4" t="s">
        <v>5000</v>
      </c>
      <c r="C3975" s="5" t="str">
        <f>IFERROR(__xludf.DUMMYFUNCTION("GOOGLETRANSLATE(B3975,""en"",""fr"")"),"Une athlète féminine se tient dans un champ et décolle en courant et fait un saut en longueur dans la fosse.")</f>
        <v>Une athlète féminine se tient dans un champ et décolle en courant et fait un saut en longueur dans la fosse.</v>
      </c>
    </row>
    <row r="3976">
      <c r="A3976" s="4" t="s">
        <v>4999</v>
      </c>
      <c r="B3976" s="4" t="s">
        <v>5001</v>
      </c>
      <c r="C3976" s="5" t="str">
        <f>IFERROR(__xludf.DUMMYFUNCTION("GOOGLETRANSLATE(B3976,""en"",""fr"")"),"Après, elle s'en va et son saut est des mesures alors qu'ils montrent sa rediffusion.")</f>
        <v>Après, elle s'en va et son saut est des mesures alors qu'ils montrent sa rediffusion.</v>
      </c>
    </row>
    <row r="3977">
      <c r="A3977" s="4" t="s">
        <v>4999</v>
      </c>
      <c r="B3977" s="4" t="s">
        <v>5002</v>
      </c>
      <c r="C3977" s="5" t="str">
        <f>IFERROR(__xludf.DUMMYFUNCTION("GOOGLETRANSLATE(B3977,""en"",""fr"")"),"Après, plus de filles commencent à sauter et à représenter leur équipe et leurs sauts sont également mesurés.")</f>
        <v>Après, plus de filles commencent à sauter et à représenter leur équipe et leurs sauts sont également mesurés.</v>
      </c>
    </row>
    <row r="3978">
      <c r="A3978" s="4" t="s">
        <v>4999</v>
      </c>
      <c r="B3978" s="6" t="s">
        <v>5003</v>
      </c>
      <c r="C3978" s="5" t="str">
        <f>IFERROR(__xludf.DUMMYFUNCTION("GOOGLETRANSLATE(B3978,""en"",""fr"")"),"Cependant, pour le dernier saut, un gros plan est montré de la planche car son pied le touche à peine et ils veulent lui donner le crédit pour ces centimètres.")</f>
        <v>Cependant, pour le dernier saut, un gros plan est montré de la planche car son pied le touche à peine et ils veulent lui donner le crédit pour ces centimètres.</v>
      </c>
    </row>
    <row r="3979">
      <c r="A3979" s="4" t="s">
        <v>5004</v>
      </c>
      <c r="B3979" s="4" t="s">
        <v>5005</v>
      </c>
      <c r="C3979" s="5" t="str">
        <f>IFERROR(__xludf.DUMMYFUNCTION("GOOGLETRANSLATE(B3979,""en"",""fr"")"),"Nous voyons deux équipes d'hommes jouer au football à l'intérieur.")</f>
        <v>Nous voyons deux équipes d'hommes jouer au football à l'intérieur.</v>
      </c>
    </row>
    <row r="3980">
      <c r="A3980" s="4" t="s">
        <v>5004</v>
      </c>
      <c r="B3980" s="4" t="s">
        <v>5006</v>
      </c>
      <c r="C3980" s="5" t="str">
        <f>IFERROR(__xludf.DUMMYFUNCTION("GOOGLETRANSLATE(B3980,""en"",""fr"")"),"Deux hommes entrent en collision et tombent au sol.")</f>
        <v>Deux hommes entrent en collision et tombent au sol.</v>
      </c>
    </row>
    <row r="3981">
      <c r="A3981" s="4" t="s">
        <v>5004</v>
      </c>
      <c r="B3981" s="4" t="s">
        <v>5007</v>
      </c>
      <c r="C3981" s="5" t="str">
        <f>IFERROR(__xludf.DUMMYFUNCTION("GOOGLETRANSLATE(B3981,""en"",""fr"")"),"Trois hommes High Five et s'embrassent.")</f>
        <v>Trois hommes High Five et s'embrassent.</v>
      </c>
    </row>
    <row r="3982">
      <c r="A3982" s="4" t="s">
        <v>5004</v>
      </c>
      <c r="B3982" s="4" t="s">
        <v>5008</v>
      </c>
      <c r="C3982" s="5" t="str">
        <f>IFERROR(__xludf.DUMMYFUNCTION("GOOGLETRANSLATE(B3982,""en"",""fr"")"),"Un homme jette le ballon à travers la pièce à l'autre but.")</f>
        <v>Un homme jette le ballon à travers la pièce à l'autre but.</v>
      </c>
    </row>
    <row r="3983">
      <c r="A3983" s="4" t="s">
        <v>5004</v>
      </c>
      <c r="B3983" s="4" t="s">
        <v>5009</v>
      </c>
      <c r="C3983" s="5" t="str">
        <f>IFERROR(__xludf.DUMMYFUNCTION("GOOGLETRANSLATE(B3983,""en"",""fr"")"),"Deux ensembles de personnes dans la foule sont interviewés.")</f>
        <v>Deux ensembles de personnes dans la foule sont interviewés.</v>
      </c>
    </row>
    <row r="3984">
      <c r="A3984" s="4" t="s">
        <v>5004</v>
      </c>
      <c r="B3984" s="4" t="s">
        <v>5010</v>
      </c>
      <c r="C3984" s="5" t="str">
        <f>IFERROR(__xludf.DUMMYFUNCTION("GOOGLETRANSLATE(B3984,""en"",""fr"")"),"Nous voyons la foule et un homme interviewé et voyons des coups de marque.")</f>
        <v>Nous voyons la foule et un homme interviewé et voyons des coups de marque.</v>
      </c>
    </row>
    <row r="3985">
      <c r="A3985" s="4" t="s">
        <v>5004</v>
      </c>
      <c r="B3985" s="6" t="s">
        <v>5011</v>
      </c>
      <c r="C3985" s="5" t="str">
        <f>IFERROR(__xludf.DUMMYFUNCTION("GOOGLETRANSLATE(B3985,""en"",""fr"")"),"Nous voyons trois hommes se tenir debout et poser pour une photo et un homme est interviewé avant de retourner au jeu.")</f>
        <v>Nous voyons trois hommes se tenir debout et poser pour une photo et un homme est interviewé avant de retourner au jeu.</v>
      </c>
    </row>
    <row r="3986">
      <c r="A3986" s="4" t="s">
        <v>5012</v>
      </c>
      <c r="B3986" s="4" t="s">
        <v>5013</v>
      </c>
      <c r="C3986" s="5" t="str">
        <f>IFERROR(__xludf.DUMMYFUNCTION("GOOGLETRANSLATE(B3986,""en"",""fr"")"),"Un homme et une femme sont assis sur un canapé à parler.")</f>
        <v>Un homme et une femme sont assis sur un canapé à parler.</v>
      </c>
    </row>
    <row r="3987">
      <c r="A3987" s="4" t="s">
        <v>5012</v>
      </c>
      <c r="B3987" s="4" t="s">
        <v>5014</v>
      </c>
      <c r="C3987" s="5" t="str">
        <f>IFERROR(__xludf.DUMMYFUNCTION("GOOGLETRANSLATE(B3987,""en"",""fr"")"),"Ils conduisent dans une voiture dans une rue.")</f>
        <v>Ils conduisent dans une voiture dans une rue.</v>
      </c>
    </row>
    <row r="3988">
      <c r="A3988" s="4" t="s">
        <v>5012</v>
      </c>
      <c r="B3988" s="4" t="s">
        <v>5015</v>
      </c>
      <c r="C3988" s="5" t="str">
        <f>IFERROR(__xludf.DUMMYFUNCTION("GOOGLETRANSLATE(B3988,""en"",""fr"")"),"Ils sont en train de rouler sur un trottoir.")</f>
        <v>Ils sont en train de rouler sur un trottoir.</v>
      </c>
    </row>
    <row r="3989">
      <c r="A3989" s="4" t="s">
        <v>5016</v>
      </c>
      <c r="B3989" s="6" t="s">
        <v>5017</v>
      </c>
      <c r="C3989" s="5" t="str">
        <f>IFERROR(__xludf.DUMMYFUNCTION("GOOGLETRANSLATE(B3989,""en"",""fr"")"),"Il y a un homme dans une chemise blanche interviewée dans le programme 60 minutes par l'hôte de l'émission.")</f>
        <v>Il y a un homme dans une chemise blanche interviewée dans le programme 60 minutes par l'hôte de l'émission.</v>
      </c>
    </row>
    <row r="3990">
      <c r="A3990" s="4" t="s">
        <v>5016</v>
      </c>
      <c r="B3990" s="6" t="s">
        <v>5018</v>
      </c>
      <c r="C3990" s="5" t="str">
        <f>IFERROR(__xludf.DUMMYFUNCTION("GOOGLETRANSLATE(B3990,""en"",""fr"")"),"Il parle de sa participation en tant que matador dans un événement de combat taureau où plusieurs spectateurs le regardent.")</f>
        <v>Il parle de sa participation en tant que matador dans un événement de combat taureau où plusieurs spectateurs le regardent.</v>
      </c>
    </row>
    <row r="3991">
      <c r="A3991" s="4" t="s">
        <v>5016</v>
      </c>
      <c r="B3991" s="6" t="s">
        <v>5019</v>
      </c>
      <c r="C3991" s="5" t="str">
        <f>IFERROR(__xludf.DUMMYFUNCTION("GOOGLETRANSLATE(B3991,""en"",""fr"")"),"Au cours de l'événement, il est blessé et est pris sur une civière par les ambulanciers paramédicaux pour un traitement de premiers soins.")</f>
        <v>Au cours de l'événement, il est blessé et est pris sur une civière par les ambulanciers paramédicaux pour un traitement de premiers soins.</v>
      </c>
    </row>
    <row r="3992">
      <c r="A3992" s="4" t="s">
        <v>5020</v>
      </c>
      <c r="B3992" s="6" t="s">
        <v>5021</v>
      </c>
      <c r="C3992" s="5" t="str">
        <f>IFERROR(__xludf.DUMMYFUNCTION("GOOGLETRANSLATE(B3992,""en"",""fr"")"),"Un homme est vu parler à la caméra et mène à plusieurs plans d'un bateau sur l'eau ainsi que des personnes qui tiennent une caméra et un wakeboard.")</f>
        <v>Un homme est vu parler à la caméra et mène à plusieurs plans d'un bateau sur l'eau ainsi que des personnes qui tiennent une caméra et un wakeboard.</v>
      </c>
    </row>
    <row r="3993">
      <c r="A3993" s="4" t="s">
        <v>5020</v>
      </c>
      <c r="B3993" s="6" t="s">
        <v>5022</v>
      </c>
      <c r="C3993" s="5" t="str">
        <f>IFERROR(__xludf.DUMMYFUNCTION("GOOGLETRANSLATE(B3993,""en"",""fr"")"),"Les gens sont alors vus grimper sur un rocher et se promener dans une forêt, se terminant en sautant dans l'eau.")</f>
        <v>Les gens sont alors vus grimper sur un rocher et se promener dans une forêt, se terminant en sautant dans l'eau.</v>
      </c>
    </row>
    <row r="3994">
      <c r="A3994" s="4" t="s">
        <v>5020</v>
      </c>
      <c r="B3994" s="6" t="s">
        <v>5023</v>
      </c>
      <c r="C3994" s="5" t="str">
        <f>IFERROR(__xludf.DUMMYFUNCTION("GOOGLETRANSLATE(B3994,""en"",""fr"")"),"Plus de clips sont montrés de leur wakeboard ainsi que de monter dans le bateau et de sauter dans l'eau.")</f>
        <v>Plus de clips sont montrés de leur wakeboard ainsi que de monter dans le bateau et de sauter dans l'eau.</v>
      </c>
    </row>
    <row r="3995">
      <c r="A3995" s="4" t="s">
        <v>5024</v>
      </c>
      <c r="B3995" s="4" t="s">
        <v>5025</v>
      </c>
      <c r="C3995" s="5" t="str">
        <f>IFERROR(__xludf.DUMMYFUNCTION("GOOGLETRANSLATE(B3995,""en"",""fr"")"),"Les femmes sont à l'arrière-plan d'un gymnase soulevant des poids.")</f>
        <v>Les femmes sont à l'arrière-plan d'un gymnase soulevant des poids.</v>
      </c>
    </row>
    <row r="3996">
      <c r="A3996" s="4" t="s">
        <v>5024</v>
      </c>
      <c r="B3996" s="4" t="s">
        <v>5026</v>
      </c>
      <c r="C3996" s="5" t="str">
        <f>IFERROR(__xludf.DUMMYFUNCTION("GOOGLETRANSLATE(B3996,""en"",""fr"")"),"L'homme se prépare à soulever la pesée et se tient devant le poids.")</f>
        <v>L'homme se prépare à soulever la pesée et se tient devant le poids.</v>
      </c>
    </row>
    <row r="3997">
      <c r="A3997" s="4" t="s">
        <v>5027</v>
      </c>
      <c r="B3997" s="4" t="s">
        <v>5028</v>
      </c>
      <c r="C3997" s="5" t="str">
        <f>IFERROR(__xludf.DUMMYFUNCTION("GOOGLETRANSLATE(B3997,""en"",""fr"")"),"Stacy applaudie et se fait pomper et prêt à jouer.")</f>
        <v>Stacy applaudie et se fait pomper et prêt à jouer.</v>
      </c>
    </row>
    <row r="3998">
      <c r="A3998" s="4" t="s">
        <v>5027</v>
      </c>
      <c r="B3998" s="4" t="s">
        <v>5029</v>
      </c>
      <c r="C3998" s="5" t="str">
        <f>IFERROR(__xludf.DUMMYFUNCTION("GOOGLETRANSLATE(B3998,""en"",""fr"")"),"Elle obtient son poteau et commence à courir avec et saute sur le coussin.")</f>
        <v>Elle obtient son poteau et commence à courir avec et saute sur le coussin.</v>
      </c>
    </row>
    <row r="3999">
      <c r="A3999" s="4" t="s">
        <v>5027</v>
      </c>
      <c r="B3999" s="4" t="s">
        <v>5030</v>
      </c>
      <c r="C3999" s="5" t="str">
        <f>IFERROR(__xludf.DUMMYFUNCTION("GOOGLETRANSLATE(B3999,""en"",""fr"")"),"Ensuite, d'autres femmes emboîtent le pas en faisant de même après son score différemment.")</f>
        <v>Ensuite, d'autres femmes emboîtent le pas en faisant de même après son score différemment.</v>
      </c>
    </row>
    <row r="4000">
      <c r="A4000" s="4" t="s">
        <v>5027</v>
      </c>
      <c r="B4000" s="4" t="s">
        <v>5031</v>
      </c>
      <c r="C4000" s="5" t="str">
        <f>IFERROR(__xludf.DUMMYFUNCTION("GOOGLETRANSLATE(B4000,""en"",""fr"")"),"Vient ensuite le tour des hommes pour prendre leur tour un par un suivant les femmes.")</f>
        <v>Vient ensuite le tour des hommes pour prendre leur tour un par un suivant les femmes.</v>
      </c>
    </row>
    <row r="4001">
      <c r="A4001" s="4" t="s">
        <v>5032</v>
      </c>
      <c r="B4001" s="4" t="s">
        <v>5033</v>
      </c>
      <c r="C4001" s="5" t="str">
        <f>IFERROR(__xludf.DUMMYFUNCTION("GOOGLETRANSLATE(B4001,""en"",""fr"")"),"Un chat est montré de près avec la main d'une personne qui coupant les ongles sur le chat.")</f>
        <v>Un chat est montré de près avec la main d'une personne qui coupant les ongles sur le chat.</v>
      </c>
    </row>
    <row r="4002">
      <c r="A4002" s="4" t="s">
        <v>5032</v>
      </c>
      <c r="B4002" s="4" t="s">
        <v>5034</v>
      </c>
      <c r="C4002" s="5" t="str">
        <f>IFERROR(__xludf.DUMMYFUNCTION("GOOGLETRANSLATE(B4002,""en"",""fr"")"),"La personne continue de couper les griffes pendant que le chat tente de se lever plusieurs fois.")</f>
        <v>La personne continue de couper les griffes pendant que le chat tente de se lever plusieurs fois.</v>
      </c>
    </row>
    <row r="4003">
      <c r="A4003" s="4" t="s">
        <v>5035</v>
      </c>
      <c r="B4003" s="4" t="s">
        <v>5036</v>
      </c>
      <c r="C4003" s="5" t="str">
        <f>IFERROR(__xludf.DUMMYFUNCTION("GOOGLETRANSLATE(B4003,""en"",""fr"")"),"Une petite citation apparaît sur l'écran et les pages de titre suivent.")</f>
        <v>Une petite citation apparaît sur l'écran et les pages de titre suivent.</v>
      </c>
    </row>
    <row r="4004">
      <c r="A4004" s="4" t="s">
        <v>5035</v>
      </c>
      <c r="B4004" s="4" t="s">
        <v>5037</v>
      </c>
      <c r="C4004" s="5" t="str">
        <f>IFERROR(__xludf.DUMMYFUNCTION("GOOGLETRANSLATE(B4004,""en"",""fr"")"),"Après, plusieurs personnes sont représentées à l'extérieur dans un champ en toilettant leurs chevaux.")</f>
        <v>Après, plusieurs personnes sont représentées à l'extérieur dans un champ en toilettant leurs chevaux.</v>
      </c>
    </row>
    <row r="4005">
      <c r="A4005" s="4" t="s">
        <v>5035</v>
      </c>
      <c r="B4005" s="6" t="s">
        <v>5038</v>
      </c>
      <c r="C4005" s="5" t="str">
        <f>IFERROR(__xludf.DUMMYFUNCTION("GOOGLETRANSLATE(B4005,""en"",""fr"")"),"Enfin, les gens montent ensuite sur leurs chevaux et ils commencent tous à rivaliser les uns avec les autres en jouant à un jeu de polo.")</f>
        <v>Enfin, les gens montent ensuite sur leurs chevaux et ils commencent tous à rivaliser les uns avec les autres en jouant à un jeu de polo.</v>
      </c>
    </row>
    <row r="4006">
      <c r="A4006" s="4" t="s">
        <v>5035</v>
      </c>
      <c r="B4006" s="6" t="s">
        <v>5039</v>
      </c>
      <c r="C4006" s="5" t="str">
        <f>IFERROR(__xludf.DUMMYFUNCTION("GOOGLETRANSLATE(B4006,""en"",""fr"")"),"Pendant qu'ils jouent, une femme est montrée sur le côté du terrain en prenant des photos et un petit logo pour la photographie montre à l'extrémité de l'écran.")</f>
        <v>Pendant qu'ils jouent, une femme est montrée sur le côté du terrain en prenant des photos et un petit logo pour la photographie montre à l'extrémité de l'écran.</v>
      </c>
    </row>
    <row r="4007">
      <c r="A4007" s="4" t="s">
        <v>5040</v>
      </c>
      <c r="B4007" s="4" t="s">
        <v>5041</v>
      </c>
      <c r="C4007" s="5" t="str">
        <f>IFERROR(__xludf.DUMMYFUNCTION("GOOGLETRANSLATE(B4007,""en"",""fr"")"),"Cette personne a des grains de séchage et les met maintenant dans un petit mélangeur.")</f>
        <v>Cette personne a des grains de séchage et les met maintenant dans un petit mélangeur.</v>
      </c>
    </row>
    <row r="4008">
      <c r="A4008" s="4" t="s">
        <v>5040</v>
      </c>
      <c r="B4008" s="4" t="s">
        <v>5042</v>
      </c>
      <c r="C4008" s="5" t="str">
        <f>IFERROR(__xludf.DUMMYFUNCTION("GOOGLETRANSLATE(B4008,""en"",""fr"")"),"Il ajoute ensuite un œuf et un sel aux grains, plus d'autres ingrédients également.")</f>
        <v>Il ajoute ensuite un œuf et un sel aux grains, plus d'autres ingrédients également.</v>
      </c>
    </row>
    <row r="4009">
      <c r="A4009" s="4" t="s">
        <v>5040</v>
      </c>
      <c r="B4009" s="6" t="s">
        <v>5043</v>
      </c>
      <c r="C4009" s="5" t="str">
        <f>IFERROR(__xludf.DUMMYFUNCTION("GOOGLETRANSLATE(B4009,""en"",""fr"")"),"Ensuite, il fait une boule de grain, puis s'aplatit, il y met ensuite une tasse pour faire de petits biscuits de forme ronde.")</f>
        <v>Ensuite, il fait une boule de grain, puis s'aplatit, il y met ensuite une tasse pour faire de petits biscuits de forme ronde.</v>
      </c>
    </row>
    <row r="4010">
      <c r="A4010" s="4" t="s">
        <v>5040</v>
      </c>
      <c r="B4010" s="4" t="s">
        <v>5044</v>
      </c>
      <c r="C4010" s="5" t="str">
        <f>IFERROR(__xludf.DUMMYFUNCTION("GOOGLETRANSLATE(B4010,""en"",""fr"")"),"Il les met sur une casserole et dans un four, après avoir fini, il les mange avec de la bière.")</f>
        <v>Il les met sur une casserole et dans un four, après avoir fini, il les mange avec de la bière.</v>
      </c>
    </row>
    <row r="4011">
      <c r="A4011" s="4" t="s">
        <v>5045</v>
      </c>
      <c r="B4011" s="4" t="s">
        <v>5046</v>
      </c>
      <c r="C4011" s="5" t="str">
        <f>IFERROR(__xludf.DUMMYFUNCTION("GOOGLETRANSLATE(B4011,""en"",""fr"")"),"Un homme lance une balle sur un champ.")</f>
        <v>Un homme lance une balle sur un champ.</v>
      </c>
    </row>
    <row r="4012">
      <c r="A4012" s="4" t="s">
        <v>5045</v>
      </c>
      <c r="B4012" s="4" t="s">
        <v>5047</v>
      </c>
      <c r="C4012" s="5" t="str">
        <f>IFERROR(__xludf.DUMMYFUNCTION("GOOGLETRANSLATE(B4012,""en"",""fr"")"),"Les gens se tiennent à mesurer la distance.")</f>
        <v>Les gens se tiennent à mesurer la distance.</v>
      </c>
    </row>
    <row r="4013">
      <c r="A4013" s="4" t="s">
        <v>5045</v>
      </c>
      <c r="B4013" s="4" t="s">
        <v>5048</v>
      </c>
      <c r="C4013" s="5" t="str">
        <f>IFERROR(__xludf.DUMMYFUNCTION("GOOGLETRANSLATE(B4013,""en"",""fr"")"),"Les gens les regardent depuis la touche.")</f>
        <v>Les gens les regardent depuis la touche.</v>
      </c>
    </row>
    <row r="4014">
      <c r="A4014" s="4" t="s">
        <v>5049</v>
      </c>
      <c r="B4014" s="4" t="s">
        <v>5050</v>
      </c>
      <c r="C4014" s="5" t="str">
        <f>IFERROR(__xludf.DUMMYFUNCTION("GOOGLETRANSLATE(B4014,""en"",""fr"")"),"Un homme se tient dans un salon.")</f>
        <v>Un homme se tient dans un salon.</v>
      </c>
    </row>
    <row r="4015">
      <c r="A4015" s="4" t="s">
        <v>5049</v>
      </c>
      <c r="B4015" s="4" t="s">
        <v>5051</v>
      </c>
      <c r="C4015" s="5" t="str">
        <f>IFERROR(__xludf.DUMMYFUNCTION("GOOGLETRANSLATE(B4015,""en"",""fr"")"),"Il utilise ses mains pour battre un ensemble de tambours.")</f>
        <v>Il utilise ses mains pour battre un ensemble de tambours.</v>
      </c>
    </row>
    <row r="4016">
      <c r="A4016" s="4" t="s">
        <v>5049</v>
      </c>
      <c r="B4016" s="4" t="s">
        <v>5052</v>
      </c>
      <c r="C4016" s="5" t="str">
        <f>IFERROR(__xludf.DUMMYFUNCTION("GOOGLETRANSLATE(B4016,""en"",""fr"")"),"Il continue de jouer pour le reste de la vidéo.")</f>
        <v>Il continue de jouer pour le reste de la vidéo.</v>
      </c>
    </row>
    <row r="4017">
      <c r="A4017" s="4" t="s">
        <v>5053</v>
      </c>
      <c r="B4017" s="6" t="s">
        <v>5054</v>
      </c>
      <c r="C4017" s="5" t="str">
        <f>IFERROR(__xludf.DUMMYFUNCTION("GOOGLETRANSLATE(B4017,""en"",""fr"")"),"Plusieurs personnes dans des radeaux gonflables en forme de beignet flottent dans un ruisseau étroit guidé par des gens qui les aident dans l'eau et ont regardé par un petit groupe de personnes sur des terres voisines.")</f>
        <v>Plusieurs personnes dans des radeaux gonflables en forme de beignet flottent dans un ruisseau étroit guidé par des gens qui les aident dans l'eau et ont regardé par un petit groupe de personnes sur des terres voisines.</v>
      </c>
    </row>
    <row r="4018">
      <c r="A4018" s="4" t="s">
        <v>5053</v>
      </c>
      <c r="B4018" s="6" t="s">
        <v>5055</v>
      </c>
      <c r="C4018" s="5" t="str">
        <f>IFERROR(__xludf.DUMMYFUNCTION("GOOGLETRANSLATE(B4018,""en"",""fr"")"),"Un groupe de personnes, flotte dans une ligne, dans un flux étroit d'eau dans des radeaux gonflables noirs en forme de beignet.")</f>
        <v>Un groupe de personnes, flotte dans une ligne, dans un flux étroit d'eau dans des radeaux gonflables noirs en forme de beignet.</v>
      </c>
    </row>
    <row r="4019">
      <c r="A4019" s="4" t="s">
        <v>5053</v>
      </c>
      <c r="B4019" s="4" t="s">
        <v>5056</v>
      </c>
      <c r="C4019" s="5" t="str">
        <f>IFERROR(__xludf.DUMMYFUNCTION("GOOGLETRANSLATE(B4019,""en"",""fr"")"),"Une femme est coincée sur un rocher dans le radeau et se brise en lâche.")</f>
        <v>Une femme est coincée sur un rocher dans le radeau et se brise en lâche.</v>
      </c>
    </row>
    <row r="4020">
      <c r="A4020" s="4" t="s">
        <v>5053</v>
      </c>
      <c r="B4020" s="6" t="s">
        <v>5057</v>
      </c>
      <c r="C4020" s="5" t="str">
        <f>IFERROR(__xludf.DUMMYFUNCTION("GOOGLETRANSLATE(B4020,""en"",""fr"")"),"Les gens atteignent le bout du ruisseau étroit où un groupe de personnes les aide à quitter les radeaux et un autre petit groupe de personnes les regarde depuis des terres voisines.")</f>
        <v>Les gens atteignent le bout du ruisseau étroit où un groupe de personnes les aide à quitter les radeaux et un autre petit groupe de personnes les regarde depuis des terres voisines.</v>
      </c>
    </row>
    <row r="4021">
      <c r="A4021" s="4" t="s">
        <v>5058</v>
      </c>
      <c r="B4021" s="4" t="s">
        <v>5059</v>
      </c>
      <c r="C4021" s="5" t="str">
        <f>IFERROR(__xludf.DUMMYFUNCTION("GOOGLETRANSLATE(B4021,""en"",""fr"")"),"L'homme tient une perceuse à impact tirant une roue de voiture.")</f>
        <v>L'homme tient une perceuse à impact tirant une roue de voiture.</v>
      </c>
    </row>
    <row r="4022">
      <c r="A4022" s="4" t="s">
        <v>5058</v>
      </c>
      <c r="B4022" s="6" t="s">
        <v>5060</v>
      </c>
      <c r="C4022" s="5" t="str">
        <f>IFERROR(__xludf.DUMMYFUNCTION("GOOGLETRANSLATE(B4022,""en"",""fr"")"),"L'homme tient la roue dans une table et sort le caoutchouc de la jante et il le change pour un autre.")</f>
        <v>L'homme tient la roue dans une table et sort le caoutchouc de la jante et il le change pour un autre.</v>
      </c>
    </row>
    <row r="4023">
      <c r="A4023" s="4" t="s">
        <v>5058</v>
      </c>
      <c r="B4023" s="4" t="s">
        <v>5061</v>
      </c>
      <c r="C4023" s="5" t="str">
        <f>IFERROR(__xludf.DUMMYFUNCTION("GOOGLETRANSLATE(B4023,""en"",""fr"")"),"La voiture est dans la rue à côté d'une montagne.")</f>
        <v>La voiture est dans la rue à côté d'une montagne.</v>
      </c>
    </row>
    <row r="4024">
      <c r="A4024" s="4" t="s">
        <v>5062</v>
      </c>
      <c r="B4024" s="4" t="s">
        <v>5063</v>
      </c>
      <c r="C4024" s="5" t="str">
        <f>IFERROR(__xludf.DUMMYFUNCTION("GOOGLETRANSLATE(B4024,""en"",""fr"")"),"Une dame se tient dans un studio de danse.")</f>
        <v>Une dame se tient dans un studio de danse.</v>
      </c>
    </row>
    <row r="4025">
      <c r="A4025" s="4" t="s">
        <v>5062</v>
      </c>
      <c r="B4025" s="4" t="s">
        <v>5064</v>
      </c>
      <c r="C4025" s="5" t="str">
        <f>IFERROR(__xludf.DUMMYFUNCTION("GOOGLETRANSLATE(B4025,""en"",""fr"")"),"La dame joue une danse de ballet.")</f>
        <v>La dame joue une danse de ballet.</v>
      </c>
    </row>
    <row r="4026">
      <c r="A4026" s="4" t="s">
        <v>5062</v>
      </c>
      <c r="B4026" s="4" t="s">
        <v>5065</v>
      </c>
      <c r="C4026" s="5" t="str">
        <f>IFERROR(__xludf.DUMMYFUNCTION("GOOGLETRANSLATE(B4026,""en"",""fr"")"),"La dame soulève sa jambe derrière elle et la déplace vers l'avant et la repose sur sa jambe.")</f>
        <v>La dame soulève sa jambe derrière elle et la déplace vers l'avant et la repose sur sa jambe.</v>
      </c>
    </row>
    <row r="4027">
      <c r="A4027" s="4" t="s">
        <v>5062</v>
      </c>
      <c r="B4027" s="4" t="s">
        <v>5066</v>
      </c>
      <c r="C4027" s="5" t="str">
        <f>IFERROR(__xludf.DUMMYFUNCTION("GOOGLETRANSLATE(B4027,""en"",""fr"")"),"La dame se tient devant la caméra face au miroir.")</f>
        <v>La dame se tient devant la caméra face au miroir.</v>
      </c>
    </row>
    <row r="4028">
      <c r="A4028" s="4" t="s">
        <v>5062</v>
      </c>
      <c r="B4028" s="4" t="s">
        <v>5067</v>
      </c>
      <c r="C4028" s="5" t="str">
        <f>IFERROR(__xludf.DUMMYFUNCTION("GOOGLETRANSLATE(B4028,""en"",""fr"")"),"Nous voyons une personne assise sur le côté gauche de la pièce.")</f>
        <v>Nous voyons une personne assise sur le côté gauche de la pièce.</v>
      </c>
    </row>
    <row r="4029">
      <c r="A4029" s="4" t="s">
        <v>5068</v>
      </c>
      <c r="B4029" s="4" t="s">
        <v>5069</v>
      </c>
      <c r="C4029" s="5" t="str">
        <f>IFERROR(__xludf.DUMMYFUNCTION("GOOGLETRANSLATE(B4029,""en"",""fr"")"),"Un chien jouet marche sur le sol.")</f>
        <v>Un chien jouet marche sur le sol.</v>
      </c>
    </row>
    <row r="4030">
      <c r="A4030" s="4" t="s">
        <v>5068</v>
      </c>
      <c r="B4030" s="4" t="s">
        <v>5070</v>
      </c>
      <c r="C4030" s="5" t="str">
        <f>IFERROR(__xludf.DUMMYFUNCTION("GOOGLETRANSLATE(B4030,""en"",""fr"")"),"Il s'arrête pour regarder autour de autour.")</f>
        <v>Il s'arrête pour regarder autour de autour.</v>
      </c>
    </row>
    <row r="4031">
      <c r="A4031" s="4" t="s">
        <v>5068</v>
      </c>
      <c r="B4031" s="4" t="s">
        <v>5071</v>
      </c>
      <c r="C4031" s="5" t="str">
        <f>IFERROR(__xludf.DUMMYFUNCTION("GOOGLETRANSLATE(B4031,""en"",""fr"")"),"Quelqu'un prend le chien et le remet.")</f>
        <v>Quelqu'un prend le chien et le remet.</v>
      </c>
    </row>
    <row r="4032">
      <c r="A4032" s="4" t="s">
        <v>5072</v>
      </c>
      <c r="B4032" s="6" t="s">
        <v>5073</v>
      </c>
      <c r="C4032" s="5" t="str">
        <f>IFERROR(__xludf.DUMMYFUNCTION("GOOGLETRANSLATE(B4032,""en"",""fr"")"),"Un homme lors d'un événement sportif professionnel effectue un saut en longueur sur une fosse de sable devant un stade rempli de gens.")</f>
        <v>Un homme lors d'un événement sportif professionnel effectue un saut en longueur sur une fosse de sable devant un stade rempli de gens.</v>
      </c>
    </row>
    <row r="4033">
      <c r="A4033" s="4" t="s">
        <v>5072</v>
      </c>
      <c r="B4033" s="6" t="s">
        <v>5074</v>
      </c>
      <c r="C4033" s="5" t="str">
        <f>IFERROR(__xludf.DUMMYFUNCTION("GOOGLETRANSLATE(B4033,""en"",""fr"")"),"L'homme commence par encourager le public à applaudir en lançant les mains sur la foule et en faisant des applaudissements.")</f>
        <v>L'homme commence par encourager le public à applaudir en lançant les mains sur la foule et en faisant des applaudissements.</v>
      </c>
    </row>
    <row r="4034">
      <c r="A4034" s="4" t="s">
        <v>5072</v>
      </c>
      <c r="B4034" s="6" t="s">
        <v>5075</v>
      </c>
      <c r="C4034" s="5" t="str">
        <f>IFERROR(__xludf.DUMMYFUNCTION("GOOGLETRANSLATE(B4034,""en"",""fr"")"),"L'homme s'agenouille ensuite légèrement pour se préparer à la course et commence à descendre un tronçon de voie étroite avant de catapulter dans l'air sur le sable.")</f>
        <v>L'homme s'agenouille ensuite légèrement pour se préparer à la course et commence à descendre un tronçon de voie étroite avant de catapulter dans l'air sur le sable.</v>
      </c>
    </row>
    <row r="4035">
      <c r="A4035" s="4" t="s">
        <v>5072</v>
      </c>
      <c r="B4035" s="6" t="s">
        <v>5076</v>
      </c>
      <c r="C4035" s="5" t="str">
        <f>IFERROR(__xludf.DUMMYFUNCTION("GOOGLETRANSLATE(B4035,""en"",""fr"")"),"L'homme atterrit de l'autre côté de la fosse et fait de nouveau des gestes au public pour applaudir alors que les hommes lissent le sable avec des balais de pinceau longs et larges, le public applaudie et vague des drapeaux et les camérammes de caméra se "&amp;"précipitent autour de l'événement en le capturant sur le film.")</f>
        <v>L'homme atterrit de l'autre côté de la fosse et fait de nouveau des gestes au public pour applaudir alors que les hommes lissent le sable avec des balais de pinceau longs et larges, le public applaudie et vague des drapeaux et les camérammes de caméra se précipitent autour de l'événement en le capturant sur le film.</v>
      </c>
    </row>
    <row r="4036">
      <c r="A4036" s="4" t="s">
        <v>5077</v>
      </c>
      <c r="B4036" s="4" t="s">
        <v>5078</v>
      </c>
      <c r="C4036" s="5" t="str">
        <f>IFERROR(__xludf.DUMMYFUNCTION("GOOGLETRANSLATE(B4036,""en"",""fr"")"),"Les mots tombent sur l'écran sur une image.")</f>
        <v>Les mots tombent sur l'écran sur une image.</v>
      </c>
    </row>
    <row r="4037">
      <c r="A4037" s="4" t="s">
        <v>5077</v>
      </c>
      <c r="B4037" s="4" t="s">
        <v>5079</v>
      </c>
      <c r="C4037" s="5" t="str">
        <f>IFERROR(__xludf.DUMMYFUNCTION("GOOGLETRANSLATE(B4037,""en"",""fr"")"),"Nous voyons des dames offrir des cartes sur des tables violettes dans un casino sans clients.")</f>
        <v>Nous voyons des dames offrir des cartes sur des tables violettes dans un casino sans clients.</v>
      </c>
    </row>
    <row r="4038">
      <c r="A4038" s="4" t="s">
        <v>5077</v>
      </c>
      <c r="B4038" s="4" t="s">
        <v>5080</v>
      </c>
      <c r="C4038" s="5" t="str">
        <f>IFERROR(__xludf.DUMMYFUNCTION("GOOGLETRANSLATE(B4038,""en"",""fr"")"),"Le concessionnaire sourit et traite les cartes et les souligne.")</f>
        <v>Le concessionnaire sourit et traite les cartes et les souligne.</v>
      </c>
    </row>
    <row r="4039">
      <c r="A4039" s="4" t="s">
        <v>5077</v>
      </c>
      <c r="B4039" s="4" t="s">
        <v>5081</v>
      </c>
      <c r="C4039" s="5" t="str">
        <f>IFERROR(__xludf.DUMMYFUNCTION("GOOGLETRANSLATE(B4039,""en"",""fr"")"),"Le concessionnaire termine et agite ses bras sur la table alors que les mots apparaissent à l'écran.")</f>
        <v>Le concessionnaire termine et agite ses bras sur la table alors que les mots apparaissent à l'écran.</v>
      </c>
    </row>
    <row r="4040">
      <c r="A4040" s="4" t="s">
        <v>5082</v>
      </c>
      <c r="B4040" s="4" t="s">
        <v>5083</v>
      </c>
      <c r="C4040" s="5" t="str">
        <f>IFERROR(__xludf.DUMMYFUNCTION("GOOGLETRANSLATE(B4040,""en"",""fr"")"),"Un homme est vu parler à la caméra en se promenant dans une cuisine et en vérifiant la nourriture.")</f>
        <v>Un homme est vu parler à la caméra en se promenant dans une cuisine et en vérifiant la nourriture.</v>
      </c>
    </row>
    <row r="4041">
      <c r="A4041" s="4" t="s">
        <v>5082</v>
      </c>
      <c r="B4041" s="6" t="s">
        <v>5084</v>
      </c>
      <c r="C4041" s="5" t="str">
        <f>IFERROR(__xludf.DUMMYFUNCTION("GOOGLETRANSLATE(B4041,""en"",""fr"")"),"Plusieurs plans de nourriture sont indiqués sur des tables ainsi que des racks et le chef continue de parler au personnel derrière.")</f>
        <v>Plusieurs plans de nourriture sont indiqués sur des tables ainsi que des racks et le chef continue de parler au personnel derrière.</v>
      </c>
    </row>
    <row r="4042">
      <c r="A4042" s="4" t="s">
        <v>5082</v>
      </c>
      <c r="B4042" s="6" t="s">
        <v>5085</v>
      </c>
      <c r="C4042" s="5" t="str">
        <f>IFERROR(__xludf.DUMMYFUNCTION("GOOGLETRANSLATE(B4042,""en"",""fr"")"),"L'homme sort devant et parle avec les clients qui arrivent et ont terminé en parlant à la caméra.")</f>
        <v>L'homme sort devant et parle avec les clients qui arrivent et ont terminé en parlant à la caméra.</v>
      </c>
    </row>
    <row r="4043">
      <c r="A4043" s="4" t="s">
        <v>5086</v>
      </c>
      <c r="B4043" s="4" t="s">
        <v>5087</v>
      </c>
      <c r="C4043" s="5" t="str">
        <f>IFERROR(__xludf.DUMMYFUNCTION("GOOGLETRANSLATE(B4043,""en"",""fr"")"),"Une femme brosse les cheveux d'une fille en parlant assis sur un lit.")</f>
        <v>Une femme brosse les cheveux d'une fille en parlant assis sur un lit.</v>
      </c>
    </row>
    <row r="4044">
      <c r="A4044" s="4" t="s">
        <v>5086</v>
      </c>
      <c r="B4044" s="4" t="s">
        <v>5088</v>
      </c>
      <c r="C4044" s="5" t="str">
        <f>IFERROR(__xludf.DUMMYFUNCTION("GOOGLETRANSLATE(B4044,""en"",""fr"")"),"Ensuite, la femme s'agenouille sur le lit et touche les épaules de la fille.")</f>
        <v>Ensuite, la femme s'agenouille sur le lit et touche les épaules de la fille.</v>
      </c>
    </row>
    <row r="4045">
      <c r="A4045" s="4" t="s">
        <v>5089</v>
      </c>
      <c r="B4045" s="6" t="s">
        <v>5090</v>
      </c>
      <c r="C4045" s="5" t="str">
        <f>IFERROR(__xludf.DUMMYFUNCTION("GOOGLETRANSLATE(B4045,""en"",""fr"")"),"Une grande foule est vue assise avant une scène et mène à une jeune femme frappant la batterie en cercle et se déplaçant autour de la scène.")</f>
        <v>Une grande foule est vue assise avant une scène et mène à une jeune femme frappant la batterie en cercle et se déplaçant autour de la scène.</v>
      </c>
    </row>
    <row r="4046">
      <c r="A4046" s="4" t="s">
        <v>5089</v>
      </c>
      <c r="B4046" s="6" t="s">
        <v>5091</v>
      </c>
      <c r="C4046" s="5" t="str">
        <f>IFERROR(__xludf.DUMMYFUNCTION("GOOGLETRANSLATE(B4046,""en"",""fr"")"),"La femme continue de frapper la batterie pendant que la foule regarde et se termine avec du texte en faisant défiler l'écran.")</f>
        <v>La femme continue de frapper la batterie pendant que la foule regarde et se termine avec du texte en faisant défiler l'écran.</v>
      </c>
    </row>
    <row r="4047">
      <c r="A4047" s="4" t="s">
        <v>5092</v>
      </c>
      <c r="B4047" s="4" t="s">
        <v>5093</v>
      </c>
      <c r="C4047" s="5" t="str">
        <f>IFERROR(__xludf.DUMMYFUNCTION("GOOGLETRANSLATE(B4047,""en"",""fr"")"),"Les hommes jouent au volleyball dans le sable.")</f>
        <v>Les hommes jouent au volleyball dans le sable.</v>
      </c>
    </row>
    <row r="4048">
      <c r="A4048" s="4" t="s">
        <v>5092</v>
      </c>
      <c r="B4048" s="4" t="s">
        <v>5094</v>
      </c>
      <c r="C4048" s="5" t="str">
        <f>IFERROR(__xludf.DUMMYFUNCTION("GOOGLETRANSLATE(B4048,""en"",""fr"")"),"Les pom-pom girls se tiennent à côté d'eux en regardant.")</f>
        <v>Les pom-pom girls se tiennent à côté d'eux en regardant.</v>
      </c>
    </row>
    <row r="4049">
      <c r="A4049" s="4" t="s">
        <v>5092</v>
      </c>
      <c r="B4049" s="4" t="s">
        <v>5095</v>
      </c>
      <c r="C4049" s="5" t="str">
        <f>IFERROR(__xludf.DUMMYFUNCTION("GOOGLETRANSLATE(B4049,""en"",""fr"")"),"Une femme joue au football sur une plage.")</f>
        <v>Une femme joue au football sur une plage.</v>
      </c>
    </row>
    <row r="4050">
      <c r="A4050" s="4" t="s">
        <v>5092</v>
      </c>
      <c r="B4050" s="4" t="s">
        <v>4133</v>
      </c>
      <c r="C4050" s="5" t="str">
        <f>IFERROR(__xludf.DUMMYFUNCTION("GOOGLETRANSLATE(B4050,""en"",""fr"")"),"Un homme en chemise rouge parle à la caméra.")</f>
        <v>Un homme en chemise rouge parle à la caméra.</v>
      </c>
    </row>
    <row r="4051">
      <c r="A4051" s="4" t="s">
        <v>5096</v>
      </c>
      <c r="B4051" s="4" t="s">
        <v>5097</v>
      </c>
      <c r="C4051" s="5" t="str">
        <f>IFERROR(__xludf.DUMMYFUNCTION("GOOGLETRANSLATE(B4051,""en"",""fr"")"),"Deux hommes de skateboard dans un parking intérieur le long les uns des autres.")</f>
        <v>Deux hommes de skateboard dans un parking intérieur le long les uns des autres.</v>
      </c>
    </row>
    <row r="4052">
      <c r="A4052" s="4" t="s">
        <v>5096</v>
      </c>
      <c r="B4052" s="4" t="s">
        <v>5098</v>
      </c>
      <c r="C4052" s="5" t="str">
        <f>IFERROR(__xludf.DUMMYFUNCTION("GOOGLETRANSLATE(B4052,""en"",""fr"")"),"Ils s'arrêtent et donnent d'autres conseils, essayant de perfectionner comment sauter sur le rail.")</f>
        <v>Ils s'arrêtent et donnent d'autres conseils, essayant de perfectionner comment sauter sur le rail.</v>
      </c>
    </row>
    <row r="4053">
      <c r="A4053" s="4" t="s">
        <v>5096</v>
      </c>
      <c r="B4053" s="6" t="s">
        <v>5099</v>
      </c>
      <c r="C4053" s="5" t="str">
        <f>IFERROR(__xludf.DUMMYFUNCTION("GOOGLETRANSLATE(B4053,""en"",""fr"")"),"L'un d'eux essaie encore et encore et l'autre tire un bâton de son sac et l'étend vers le rail.")</f>
        <v>L'un d'eux essaie encore et encore et l'autre tire un bâton de son sac et l'étend vers le rail.</v>
      </c>
    </row>
    <row r="4054">
      <c r="A4054" s="4" t="s">
        <v>5096</v>
      </c>
      <c r="B4054" s="4" t="s">
        <v>5100</v>
      </c>
      <c r="C4054" s="5" t="str">
        <f>IFERROR(__xludf.DUMMYFUNCTION("GOOGLETRANSLATE(B4054,""en"",""fr"")"),"Ensuite, un autre homme vient et se joint à se joindre, ils jouent à des ciseaux en papier rocheux et se reproduisent.")</f>
        <v>Ensuite, un autre homme vient et se joint à se joindre, ils jouent à des ciseaux en papier rocheux et se reproduisent.</v>
      </c>
    </row>
    <row r="4055">
      <c r="A4055" s="4" t="s">
        <v>5101</v>
      </c>
      <c r="B4055" s="4" t="s">
        <v>5102</v>
      </c>
      <c r="C4055" s="5" t="str">
        <f>IFERROR(__xludf.DUMMYFUNCTION("GOOGLETRANSLATE(B4055,""en"",""fr"")"),"Nous voyons un écran de titre de basket-ball.")</f>
        <v>Nous voyons un écran de titre de basket-ball.</v>
      </c>
    </row>
    <row r="4056">
      <c r="A4056" s="4" t="s">
        <v>5101</v>
      </c>
      <c r="B4056" s="4" t="s">
        <v>5103</v>
      </c>
      <c r="C4056" s="5" t="str">
        <f>IFERROR(__xludf.DUMMYFUNCTION("GOOGLETRANSLATE(B4056,""en"",""fr"")"),"Un homme entraîne à l'adolescence fait des photos de basket-ball.")</f>
        <v>Un homme entraîne à l'adolescence fait des photos de basket-ball.</v>
      </c>
    </row>
    <row r="4057">
      <c r="A4057" s="4" t="s">
        <v>5101</v>
      </c>
      <c r="B4057" s="4" t="s">
        <v>5104</v>
      </c>
      <c r="C4057" s="5" t="str">
        <f>IFERROR(__xludf.DUMMYFUNCTION("GOOGLETRANSLATE(B4057,""en"",""fr"")"),"L'homme prend le ballon et démontre un mouvement de hanche que le garçon essaie.")</f>
        <v>L'homme prend le ballon et démontre un mouvement de hanche que le garçon essaie.</v>
      </c>
    </row>
    <row r="4058">
      <c r="A4058" s="4" t="s">
        <v>5101</v>
      </c>
      <c r="B4058" s="4" t="s">
        <v>5105</v>
      </c>
      <c r="C4058" s="5" t="str">
        <f>IFERROR(__xludf.DUMMYFUNCTION("GOOGLETRANSLATE(B4058,""en"",""fr"")"),"L'homme démontre quelque chose et le garçon tire sur le ballon.")</f>
        <v>L'homme démontre quelque chose et le garçon tire sur le ballon.</v>
      </c>
    </row>
    <row r="4059">
      <c r="A4059" s="4" t="s">
        <v>5101</v>
      </c>
      <c r="B4059" s="4" t="s">
        <v>5106</v>
      </c>
      <c r="C4059" s="5" t="str">
        <f>IFERROR(__xludf.DUMMYFUNCTION("GOOGLETRANSLATE(B4059,""en"",""fr"")"),"Nous voyons les conseils sur l'écran 1 par un.")</f>
        <v>Nous voyons les conseils sur l'écran 1 par un.</v>
      </c>
    </row>
    <row r="4060">
      <c r="A4060" s="4" t="s">
        <v>5101</v>
      </c>
      <c r="B4060" s="4" t="s">
        <v>5107</v>
      </c>
      <c r="C4060" s="5" t="str">
        <f>IFERROR(__xludf.DUMMYFUNCTION("GOOGLETRANSLATE(B4060,""en"",""fr"")"),"Nous voyons ensuite l'écran du titre de fin.")</f>
        <v>Nous voyons ensuite l'écran du titre de fin.</v>
      </c>
    </row>
    <row r="4061">
      <c r="A4061" s="4" t="s">
        <v>5108</v>
      </c>
      <c r="B4061" s="4" t="s">
        <v>5109</v>
      </c>
      <c r="C4061" s="5" t="str">
        <f>IFERROR(__xludf.DUMMYFUNCTION("GOOGLETRANSLATE(B4061,""en"",""fr"")"),"Deux équipes de filles jouent au hockey sur le terrain avec des bâtons de hockey et une petite balle.")</f>
        <v>Deux équipes de filles jouent au hockey sur le terrain avec des bâtons de hockey et une petite balle.</v>
      </c>
    </row>
    <row r="4062">
      <c r="A4062" s="4" t="s">
        <v>5108</v>
      </c>
      <c r="B4062" s="4" t="s">
        <v>5110</v>
      </c>
      <c r="C4062" s="5" t="str">
        <f>IFERROR(__xludf.DUMMYFUNCTION("GOOGLETRANSLATE(B4062,""en"",""fr"")"),"L'équipe avec les chemises Bourgogne marque trois fois et l'autre équipe n'en a marqué aucune.")</f>
        <v>L'équipe avec les chemises Bourgogne marque trois fois et l'autre équipe n'en a marqué aucune.</v>
      </c>
    </row>
    <row r="4063">
      <c r="A4063" s="4" t="s">
        <v>5111</v>
      </c>
      <c r="B4063" s="4" t="s">
        <v>5112</v>
      </c>
      <c r="C4063" s="5" t="str">
        <f>IFERROR(__xludf.DUMMYFUNCTION("GOOGLETRANSLATE(B4063,""en"",""fr"")"),"Nous voyons un homme plonger dans une piscine au ralenti.")</f>
        <v>Nous voyons un homme plonger dans une piscine au ralenti.</v>
      </c>
    </row>
    <row r="4064">
      <c r="A4064" s="4" t="s">
        <v>5111</v>
      </c>
      <c r="B4064" s="4" t="s">
        <v>5113</v>
      </c>
      <c r="C4064" s="5" t="str">
        <f>IFERROR(__xludf.DUMMYFUNCTION("GOOGLETRANSLATE(B4064,""en"",""fr"")"),"Nous voyons les juges donner à l'homme sa partition et lui parler.")</f>
        <v>Nous voyons les juges donner à l'homme sa partition et lui parler.</v>
      </c>
    </row>
    <row r="4065">
      <c r="A4065" s="4" t="s">
        <v>5111</v>
      </c>
      <c r="B4065" s="4" t="s">
        <v>5114</v>
      </c>
      <c r="C4065" s="5" t="str">
        <f>IFERROR(__xludf.DUMMYFUNCTION("GOOGLETRANSLATE(B4065,""en"",""fr"")"),"Nous voyons une dame applaudir.")</f>
        <v>Nous voyons une dame applaudir.</v>
      </c>
    </row>
    <row r="4066">
      <c r="A4066" s="4" t="s">
        <v>5111</v>
      </c>
      <c r="B4066" s="4" t="s">
        <v>5115</v>
      </c>
      <c r="C4066" s="5" t="str">
        <f>IFERROR(__xludf.DUMMYFUNCTION("GOOGLETRANSLATE(B4066,""en"",""fr"")"),"Nous voyons le plongeur interviewé.")</f>
        <v>Nous voyons le plongeur interviewé.</v>
      </c>
    </row>
    <row r="4067">
      <c r="A4067" s="4" t="s">
        <v>5111</v>
      </c>
      <c r="B4067" s="4" t="s">
        <v>5116</v>
      </c>
      <c r="C4067" s="5" t="str">
        <f>IFERROR(__xludf.DUMMYFUNCTION("GOOGLETRANSLATE(B4067,""en"",""fr"")"),"Nous voyons la foule debout et applaudir.")</f>
        <v>Nous voyons la foule debout et applaudir.</v>
      </c>
    </row>
    <row r="4068">
      <c r="A4068" s="4" t="s">
        <v>5111</v>
      </c>
      <c r="B4068" s="4" t="s">
        <v>5117</v>
      </c>
      <c r="C4068" s="5" t="str">
        <f>IFERROR(__xludf.DUMMYFUNCTION("GOOGLETRANSLATE(B4068,""en"",""fr"")"),"Nous voyons les cartes de score finales pour tous les concurrents.")</f>
        <v>Nous voyons les cartes de score finales pour tous les concurrents.</v>
      </c>
    </row>
    <row r="4069">
      <c r="A4069" s="4" t="s">
        <v>5118</v>
      </c>
      <c r="B4069" s="4" t="s">
        <v>5119</v>
      </c>
      <c r="C4069" s="5" t="str">
        <f>IFERROR(__xludf.DUMMYFUNCTION("GOOGLETRANSLATE(B4069,""en"",""fr"")"),"Les arbres soufflent dans la brise tandis qu'un homme tond la pelouse.")</f>
        <v>Les arbres soufflent dans la brise tandis qu'un homme tond la pelouse.</v>
      </c>
    </row>
    <row r="4070">
      <c r="A4070" s="4" t="s">
        <v>5118</v>
      </c>
      <c r="B4070" s="4" t="s">
        <v>5120</v>
      </c>
      <c r="C4070" s="5" t="str">
        <f>IFERROR(__xludf.DUMMYFUNCTION("GOOGLETRANSLATE(B4070,""en"",""fr"")"),"Le soleil sort derrière les nuages ​​et allume la scène.")</f>
        <v>Le soleil sort derrière les nuages ​​et allume la scène.</v>
      </c>
    </row>
    <row r="4071">
      <c r="A4071" s="4" t="s">
        <v>5118</v>
      </c>
      <c r="B4071" s="4" t="s">
        <v>5121</v>
      </c>
      <c r="C4071" s="5" t="str">
        <f>IFERROR(__xludf.DUMMYFUNCTION("GOOGLETRANSLATE(B4071,""en"",""fr"")"),"L'homme s'arrête et vide l'herbe dans les ordures.")</f>
        <v>L'homme s'arrête et vide l'herbe dans les ordures.</v>
      </c>
    </row>
    <row r="4072">
      <c r="A4072" s="4" t="s">
        <v>5118</v>
      </c>
      <c r="B4072" s="4" t="s">
        <v>5122</v>
      </c>
      <c r="C4072" s="5" t="str">
        <f>IFERROR(__xludf.DUMMYFUNCTION("GOOGLETRANSLATE(B4072,""en"",""fr"")"),"Un homme entre en portant un bébé et part.")</f>
        <v>Un homme entre en portant un bébé et part.</v>
      </c>
    </row>
    <row r="4073">
      <c r="A4073" s="4" t="s">
        <v>5118</v>
      </c>
      <c r="B4073" s="4" t="s">
        <v>5123</v>
      </c>
      <c r="C4073" s="5" t="str">
        <f>IFERROR(__xludf.DUMMYFUNCTION("GOOGLETRANSLATE(B4073,""en"",""fr"")"),"L'homme tond le côté des buissons.")</f>
        <v>L'homme tond le côté des buissons.</v>
      </c>
    </row>
    <row r="4074">
      <c r="A4074" s="4" t="s">
        <v>5118</v>
      </c>
      <c r="B4074" s="4" t="s">
        <v>5124</v>
      </c>
      <c r="C4074" s="5" t="str">
        <f>IFERROR(__xludf.DUMMYFUNCTION("GOOGLETRANSLATE(B4074,""en"",""fr"")"),"L'homme s'arrête et vide à nouveau son sac.")</f>
        <v>L'homme s'arrête et vide à nouveau son sac.</v>
      </c>
    </row>
    <row r="4075">
      <c r="A4075" s="4" t="s">
        <v>5118</v>
      </c>
      <c r="B4075" s="4" t="s">
        <v>5125</v>
      </c>
      <c r="C4075" s="5" t="str">
        <f>IFERROR(__xludf.DUMMYFUNCTION("GOOGLETRANSLATE(B4075,""en"",""fr"")"),"L'homme vide son sac et le remet sur la tondeuse et s'éloigne.")</f>
        <v>L'homme vide son sac et le remet sur la tondeuse et s'éloigne.</v>
      </c>
    </row>
    <row r="4076">
      <c r="A4076" s="4" t="s">
        <v>5126</v>
      </c>
      <c r="B4076" s="4" t="s">
        <v>5127</v>
      </c>
      <c r="C4076" s="5" t="str">
        <f>IFERROR(__xludf.DUMMYFUNCTION("GOOGLETRANSLATE(B4076,""en"",""fr"")"),"Une femme est vue effectuer une routine de danse tout en se déplaçant sur la plage près de l'eau.")</f>
        <v>Une femme est vue effectuer une routine de danse tout en se déplaçant sur la plage près de l'eau.</v>
      </c>
    </row>
    <row r="4077">
      <c r="A4077" s="4" t="s">
        <v>5126</v>
      </c>
      <c r="B4077" s="6" t="s">
        <v>5128</v>
      </c>
      <c r="C4077" s="5" t="str">
        <f>IFERROR(__xludf.DUMMYFUNCTION("GOOGLETRANSLATE(B4077,""en"",""fr"")"),"La femme continue de se déplacer sur la plage en train de secouer les bras et les jambes et regarder au loin.")</f>
        <v>La femme continue de se déplacer sur la plage en train de secouer les bras et les jambes et regarder au loin.</v>
      </c>
    </row>
    <row r="4078">
      <c r="A4078" s="4" t="s">
        <v>5129</v>
      </c>
      <c r="B4078" s="4" t="s">
        <v>5130</v>
      </c>
      <c r="C4078" s="5" t="str">
        <f>IFERROR(__xludf.DUMMYFUNCTION("GOOGLETRANSLATE(B4078,""en"",""fr"")"),"Un match de water-polo se produit dans une piscine fermée.")</f>
        <v>Un match de water-polo se produit dans une piscine fermée.</v>
      </c>
    </row>
    <row r="4079">
      <c r="A4079" s="4" t="s">
        <v>5129</v>
      </c>
      <c r="B4079" s="6" t="s">
        <v>5131</v>
      </c>
      <c r="C4079" s="5" t="str">
        <f>IFERROR(__xludf.DUMMYFUNCTION("GOOGLETRANSLATE(B4079,""en"",""fr"")"),"Il y a quelques spectateurs qui regardent des côtés de la piscine, tandis qu'un arbitre suit les actions pour garder le contrôle du match.")</f>
        <v>Il y a quelques spectateurs qui regardent des côtés de la piscine, tandis qu'un arbitre suit les actions pour garder le contrôle du match.</v>
      </c>
    </row>
    <row r="4080">
      <c r="A4080" s="4" t="s">
        <v>5129</v>
      </c>
      <c r="B4080" s="4" t="s">
        <v>5132</v>
      </c>
      <c r="C4080" s="5" t="str">
        <f>IFERROR(__xludf.DUMMYFUNCTION("GOOGLETRANSLATE(B4080,""en"",""fr"")"),"C'est calme à part les jeunes enfants impliqués dans le jeu.")</f>
        <v>C'est calme à part les jeunes enfants impliqués dans le jeu.</v>
      </c>
    </row>
    <row r="4081">
      <c r="A4081" s="4" t="s">
        <v>5129</v>
      </c>
      <c r="B4081" s="4" t="s">
        <v>5133</v>
      </c>
      <c r="C4081" s="5" t="str">
        <f>IFERROR(__xludf.DUMMYFUNCTION("GOOGLETRANSLATE(B4081,""en"",""fr"")"),"Ils passent un bon moment et sont très impliqués dans ce qu'ils font.")</f>
        <v>Ils passent un bon moment et sont très impliqués dans ce qu'ils font.</v>
      </c>
    </row>
    <row r="4082">
      <c r="A4082" s="4" t="s">
        <v>5134</v>
      </c>
      <c r="B4082" s="4" t="s">
        <v>5135</v>
      </c>
      <c r="C4082" s="5" t="str">
        <f>IFERROR(__xludf.DUMMYFUNCTION("GOOGLETRANSLATE(B4082,""en"",""fr"")"),"Nous voyons une dame dans une chemise rose parler à la caméra.")</f>
        <v>Nous voyons une dame dans une chemise rose parler à la caméra.</v>
      </c>
    </row>
    <row r="4083">
      <c r="A4083" s="4" t="s">
        <v>5134</v>
      </c>
      <c r="B4083" s="4" t="s">
        <v>5136</v>
      </c>
      <c r="C4083" s="5" t="str">
        <f>IFERROR(__xludf.DUMMYFUNCTION("GOOGLETRANSLATE(B4083,""en"",""fr"")"),"Nous voyons la dame ramasser un panier de linge et le mettre.")</f>
        <v>Nous voyons la dame ramasser un panier de linge et le mettre.</v>
      </c>
    </row>
    <row r="4084">
      <c r="A4084" s="4" t="s">
        <v>5134</v>
      </c>
      <c r="B4084" s="4" t="s">
        <v>5137</v>
      </c>
      <c r="C4084" s="5" t="str">
        <f>IFERROR(__xludf.DUMMYFUNCTION("GOOGLETRANSLATE(B4084,""en"",""fr"")"),"La dame secoue une robe et la met sur une planche à repasser.")</f>
        <v>La dame secoue une robe et la met sur une planche à repasser.</v>
      </c>
    </row>
    <row r="4085">
      <c r="A4085" s="4" t="s">
        <v>5134</v>
      </c>
      <c r="B4085" s="4" t="s">
        <v>5138</v>
      </c>
      <c r="C4085" s="5" t="str">
        <f>IFERROR(__xludf.DUMMYFUNCTION("GOOGLETRANSLATE(B4085,""en"",""fr"")"),"La dame frotte la robe et la détourne.")</f>
        <v>La dame frotte la robe et la détourne.</v>
      </c>
    </row>
    <row r="4086">
      <c r="A4086" s="4" t="s">
        <v>5134</v>
      </c>
      <c r="B4086" s="4" t="s">
        <v>5139</v>
      </c>
      <c r="C4086" s="5" t="str">
        <f>IFERROR(__xludf.DUMMYFUNCTION("GOOGLETRANSLATE(B4086,""en"",""fr"")"),"La dame met une chemise sur la planche puis la remet dans le panier.")</f>
        <v>La dame met une chemise sur la planche puis la remet dans le panier.</v>
      </c>
    </row>
    <row r="4087">
      <c r="A4087" s="4" t="s">
        <v>5134</v>
      </c>
      <c r="B4087" s="4" t="s">
        <v>5140</v>
      </c>
      <c r="C4087" s="5" t="str">
        <f>IFERROR(__xludf.DUMMYFUNCTION("GOOGLETRANSLATE(B4087,""en"",""fr"")"),"La dame plie la robe, sourit et la scène se termine.")</f>
        <v>La dame plie la robe, sourit et la scène se termine.</v>
      </c>
    </row>
    <row r="4088">
      <c r="A4088" s="4" t="s">
        <v>5141</v>
      </c>
      <c r="B4088" s="4" t="s">
        <v>5142</v>
      </c>
      <c r="C4088" s="5" t="str">
        <f>IFERROR(__xludf.DUMMYFUNCTION("GOOGLETRANSLATE(B4088,""en"",""fr"")"),"Un homme est assis sur un canapé.")</f>
        <v>Un homme est assis sur un canapé.</v>
      </c>
    </row>
    <row r="4089">
      <c r="A4089" s="4" t="s">
        <v>5141</v>
      </c>
      <c r="B4089" s="4" t="s">
        <v>5143</v>
      </c>
      <c r="C4089" s="5" t="str">
        <f>IFERROR(__xludf.DUMMYFUNCTION("GOOGLETRANSLATE(B4089,""en"",""fr"")"),"Il soulève une chaussure et une bouteille de détergent.")</f>
        <v>Il soulève une chaussure et une bouteille de détergent.</v>
      </c>
    </row>
    <row r="4090">
      <c r="A4090" s="4" t="s">
        <v>5141</v>
      </c>
      <c r="B4090" s="4" t="s">
        <v>5144</v>
      </c>
      <c r="C4090" s="5" t="str">
        <f>IFERROR(__xludf.DUMMYFUNCTION("GOOGLETRANSLATE(B4090,""en"",""fr"")"),"Il l'emmène dans un évier, où il le lave.")</f>
        <v>Il l'emmène dans un évier, où il le lave.</v>
      </c>
    </row>
    <row r="4091">
      <c r="A4091" s="4" t="s">
        <v>5141</v>
      </c>
      <c r="B4091" s="4" t="s">
        <v>5145</v>
      </c>
      <c r="C4091" s="5" t="str">
        <f>IFERROR(__xludf.DUMMYFUNCTION("GOOGLETRANSLATE(B4091,""en"",""fr"")"),"Il place ensuite deux morceaux de fruits sur le dessus et les mange avec sa bouche.")</f>
        <v>Il place ensuite deux morceaux de fruits sur le dessus et les mange avec sa bouche.</v>
      </c>
    </row>
    <row r="4092">
      <c r="A4092" s="4" t="s">
        <v>5146</v>
      </c>
      <c r="B4092" s="4" t="s">
        <v>5147</v>
      </c>
      <c r="C4092" s="5" t="str">
        <f>IFERROR(__xludf.DUMMYFUNCTION("GOOGLETRANSLATE(B4092,""en"",""fr"")"),"Le texte descriptif est affiché sur une toile de fond de rideau de film rouge.")</f>
        <v>Le texte descriptif est affiché sur une toile de fond de rideau de film rouge.</v>
      </c>
    </row>
    <row r="4093">
      <c r="A4093" s="4" t="s">
        <v>5146</v>
      </c>
      <c r="B4093" s="4" t="s">
        <v>5148</v>
      </c>
      <c r="C4093" s="5" t="str">
        <f>IFERROR(__xludf.DUMMYFUNCTION("GOOGLETRANSLATE(B4093,""en"",""fr"")"),"Un entraîneur montre différentes positions de jambes à un étudiant pour avoir joué au badminton.")</f>
        <v>Un entraîneur montre différentes positions de jambes à un étudiant pour avoir joué au badminton.</v>
      </c>
    </row>
    <row r="4094">
      <c r="A4094" s="4" t="s">
        <v>5146</v>
      </c>
      <c r="B4094" s="4" t="s">
        <v>5149</v>
      </c>
      <c r="C4094" s="5" t="str">
        <f>IFERROR(__xludf.DUMMYFUNCTION("GOOGLETRANSLATE(B4094,""en"",""fr"")"),"L'entraîneur revient à des services de l'étudiant en utilisant la raquette lors d'un exercice d'entraînement.")</f>
        <v>L'entraîneur revient à des services de l'étudiant en utilisant la raquette lors d'un exercice d'entraînement.</v>
      </c>
    </row>
    <row r="4095">
      <c r="A4095" s="4" t="s">
        <v>5146</v>
      </c>
      <c r="B4095" s="4" t="s">
        <v>5150</v>
      </c>
      <c r="C4095" s="5" t="str">
        <f>IFERROR(__xludf.DUMMYFUNCTION("GOOGLETRANSLATE(B4095,""en"",""fr"")"),"Les étudiants reviennent des services de l'instructeur pour un exercice d'entraînement.")</f>
        <v>Les étudiants reviennent des services de l'instructeur pour un exercice d'entraînement.</v>
      </c>
    </row>
    <row r="4096">
      <c r="A4096" s="4" t="s">
        <v>5151</v>
      </c>
      <c r="B4096" s="4" t="s">
        <v>5152</v>
      </c>
      <c r="C4096" s="5" t="str">
        <f>IFERROR(__xludf.DUMMYFUNCTION("GOOGLETRANSLATE(B4096,""en"",""fr"")"),"Un homme s'agenouille sur un tapis et lui montre le dos un devant avec sa main gauche en parlant.")</f>
        <v>Un homme s'agenouille sur un tapis et lui montre le dos un devant avec sa main gauche en parlant.</v>
      </c>
    </row>
    <row r="4097">
      <c r="A4097" s="4" t="s">
        <v>5151</v>
      </c>
      <c r="B4097" s="4" t="s">
        <v>5153</v>
      </c>
      <c r="C4097" s="5" t="str">
        <f>IFERROR(__xludf.DUMMYFUNCTION("GOOGLETRANSLATE(B4097,""en"",""fr"")"),"Ensuite, l'homme soulève un kettlebell et a mis la poitrine devant sa poitrine en parlant.")</f>
        <v>Ensuite, l'homme soulève un kettlebell et a mis la poitrine devant sa poitrine en parlant.</v>
      </c>
    </row>
    <row r="4098">
      <c r="A4098" s="4" t="s">
        <v>5151</v>
      </c>
      <c r="B4098" s="4" t="s">
        <v>5154</v>
      </c>
      <c r="C4098" s="5" t="str">
        <f>IFERROR(__xludf.DUMMYFUNCTION("GOOGLETRANSLATE(B4098,""en"",""fr"")"),"Ensuite, l'homme a mis le kettlebell sur le sol et continue de parler.")</f>
        <v>Ensuite, l'homme a mis le kettlebell sur le sol et continue de parler.</v>
      </c>
    </row>
    <row r="4099">
      <c r="A4099" s="4" t="s">
        <v>5155</v>
      </c>
      <c r="B4099" s="6" t="s">
        <v>5156</v>
      </c>
      <c r="C4099" s="5" t="str">
        <f>IFERROR(__xludf.DUMMYFUNCTION("GOOGLETRANSLATE(B4099,""en"",""fr"")"),"Une femme est vue debout devant le miroir avec un homme à côté d'elle suivi par elle allongée sur une table.")</f>
        <v>Une femme est vue debout devant le miroir avec un homme à côté d'elle suivi par elle allongée sur une table.</v>
      </c>
    </row>
    <row r="4100">
      <c r="A4100" s="4" t="s">
        <v>5155</v>
      </c>
      <c r="B4100" s="6" t="s">
        <v>5157</v>
      </c>
      <c r="C4100" s="5" t="str">
        <f>IFERROR(__xludf.DUMMYFUNCTION("GOOGLETRANSLATE(B4100,""en"",""fr"")"),"L'homme tatoua ensuite son visage et passe en elle s'asseyant puis redescendez pour montrer son tatouage.")</f>
        <v>L'homme tatoua ensuite son visage et passe en elle s'asseyant puis redescendez pour montrer son tatouage.</v>
      </c>
    </row>
    <row r="4101">
      <c r="A4101" s="4" t="s">
        <v>5158</v>
      </c>
      <c r="B4101" s="4" t="s">
        <v>5159</v>
      </c>
      <c r="C4101" s="5" t="str">
        <f>IFERROR(__xludf.DUMMYFUNCTION("GOOGLETRANSLATE(B4101,""en"",""fr"")"),"La femme est sous une douche, propagant du savon et de l'eau dans ses bras.")</f>
        <v>La femme est sous une douche, propagant du savon et de l'eau dans ses bras.</v>
      </c>
    </row>
    <row r="4102">
      <c r="A4102" s="4" t="s">
        <v>5158</v>
      </c>
      <c r="B4102" s="4" t="s">
        <v>5160</v>
      </c>
      <c r="C4102" s="5" t="str">
        <f>IFERROR(__xludf.DUMMYFUNCTION("GOOGLETRANSLATE(B4102,""en"",""fr"")"),"La femme se rasait les jambes sur la baignoire.")</f>
        <v>La femme se rasait les jambes sur la baignoire.</v>
      </c>
    </row>
    <row r="4103">
      <c r="A4103" s="4" t="s">
        <v>5158</v>
      </c>
      <c r="B4103" s="6" t="s">
        <v>5161</v>
      </c>
      <c r="C4103" s="5" t="str">
        <f>IFERROR(__xludf.DUMMYFUNCTION("GOOGLETRANSLATE(B4103,""en"",""fr"")"),"Quelqu'un ouvre les rideaux et est un homme qui est à l'intérieur et court de la salle de bain avec un masque sur son visage.")</f>
        <v>Quelqu'un ouvre les rideaux et est un homme qui est à l'intérieur et court de la salle de bain avec un masque sur son visage.</v>
      </c>
    </row>
    <row r="4104">
      <c r="A4104" s="4" t="s">
        <v>5162</v>
      </c>
      <c r="B4104" s="4" t="s">
        <v>5163</v>
      </c>
      <c r="C4104" s="5" t="str">
        <f>IFERROR(__xludf.DUMMYFUNCTION("GOOGLETRANSLATE(B4104,""en"",""fr"")"),"La pluie coule et une personne traverse le champ en pointant son doigt sur le terrain.")</f>
        <v>La pluie coule et une personne traverse le champ en pointant son doigt sur le terrain.</v>
      </c>
    </row>
    <row r="4105">
      <c r="A4105" s="4" t="s">
        <v>5162</v>
      </c>
      <c r="B4105" s="4" t="s">
        <v>5164</v>
      </c>
      <c r="C4105" s="5" t="str">
        <f>IFERROR(__xludf.DUMMYFUNCTION("GOOGLETRANSLATE(B4105,""en"",""fr"")"),"Après, il est montré dans un champ tenant sa main commence à jouer à la crosse.")</f>
        <v>Après, il est montré dans un champ tenant sa main commence à jouer à la crosse.</v>
      </c>
    </row>
    <row r="4106">
      <c r="A4106" s="4" t="s">
        <v>5162</v>
      </c>
      <c r="B4106" s="4" t="s">
        <v>5165</v>
      </c>
      <c r="C4106" s="5" t="str">
        <f>IFERROR(__xludf.DUMMYFUNCTION("GOOGLETRANSLATE(B4106,""en"",""fr"")"),"Plus de matchs se poursuivent et le gars qui pointait commence à faire des buts et à diriger son équipe.")</f>
        <v>Plus de matchs se poursuivent et le gars qui pointait commence à faire des buts et à diriger son équipe.</v>
      </c>
    </row>
    <row r="4107">
      <c r="A4107" s="4" t="s">
        <v>5166</v>
      </c>
      <c r="B4107" s="6" t="s">
        <v>5167</v>
      </c>
      <c r="C4107" s="5" t="str">
        <f>IFERROR(__xludf.DUMMYFUNCTION("GOOGLETRANSLATE(B4107,""en"",""fr"")"),"Une femme parle face à une caméra, devant un panneau publicitaire de studio de danse, alors que quatre filles démontrent des techniques de ballet devant un bar de ballet dans un studio de danse.")</f>
        <v>Une femme parle face à une caméra, devant un panneau publicitaire de studio de danse, alors que quatre filles démontrent des techniques de ballet devant un bar de ballet dans un studio de danse.</v>
      </c>
    </row>
    <row r="4108">
      <c r="A4108" s="4" t="s">
        <v>5166</v>
      </c>
      <c r="B4108" s="6" t="s">
        <v>5168</v>
      </c>
      <c r="C4108" s="5" t="str">
        <f>IFERROR(__xludf.DUMMYFUNCTION("GOOGLETRANSLATE(B4108,""en"",""fr"")"),"Une femme aux cheveux blonds et vêtu de noir, se tient devant une publicité et des discussions en studio de danse tout en faisant face à la caméra.")</f>
        <v>Une femme aux cheveux blonds et vêtu de noir, se tient devant une publicité et des discussions en studio de danse tout en faisant face à la caméra.</v>
      </c>
    </row>
    <row r="4109">
      <c r="A4109" s="4" t="s">
        <v>5166</v>
      </c>
      <c r="B4109" s="6" t="s">
        <v>5169</v>
      </c>
      <c r="C4109" s="5" t="str">
        <f>IFERROR(__xludf.DUMMYFUNCTION("GOOGLETRANSLATE(B4109,""en"",""fr"")"),"La caméra coupe à quatre filles dans des tenues de ballet et des chaussures de ballet face à une barre de ballet avec le dos à la caméra et à la démonstration de plies de genoue de ballet.")</f>
        <v>La caméra coupe à quatre filles dans des tenues de ballet et des chaussures de ballet face à une barre de ballet avec le dos à la caméra et à la démonstration de plies de genoue de ballet.</v>
      </c>
    </row>
    <row r="4110">
      <c r="A4110" s="4" t="s">
        <v>5166</v>
      </c>
      <c r="B4110" s="6" t="s">
        <v>5170</v>
      </c>
      <c r="C4110" s="5" t="str">
        <f>IFERROR(__xludf.DUMMYFUNCTION("GOOGLETRANSLATE(B4110,""en"",""fr"")"),"Les filles démontrent ensuite des points d'orteil de ballet alors que la caméra revient à la seule femme qui continue de parler face à la caméra, jusqu'à ce que la scène se fonde sur un graphique marketing.")</f>
        <v>Les filles démontrent ensuite des points d'orteil de ballet alors que la caméra revient à la seule femme qui continue de parler face à la caméra, jusqu'à ce que la scène se fonde sur un graphique marketing.</v>
      </c>
    </row>
    <row r="4111">
      <c r="A4111" s="4" t="s">
        <v>5171</v>
      </c>
      <c r="B4111" s="6" t="s">
        <v>5172</v>
      </c>
      <c r="C4111" s="5" t="str">
        <f>IFERROR(__xludf.DUMMYFUNCTION("GOOGLETRANSLATE(B4111,""en"",""fr"")"),"Un homme portant une chemise blanche et un chapeau imprimé de camouflage et des piercings aux oreilles et aux lèvres montre comment faire des tatouages ​​permanents.")</f>
        <v>Un homme portant une chemise blanche et un chapeau imprimé de camouflage et des piercings aux oreilles et aux lèvres montre comment faire des tatouages ​​permanents.</v>
      </c>
    </row>
    <row r="4112">
      <c r="A4112" s="4" t="s">
        <v>5171</v>
      </c>
      <c r="B4112" s="6" t="s">
        <v>5173</v>
      </c>
      <c r="C4112" s="5" t="str">
        <f>IFERROR(__xludf.DUMMYFUNCTION("GOOGLETRANSLATE(B4112,""en"",""fr"")"),"Il montre comment il rasage le bras du client avec un rasoir et frotte de l'alcool dessus pour préparer la peau.")</f>
        <v>Il montre comment il rasage le bras du client avec un rasoir et frotte de l'alcool dessus pour préparer la peau.</v>
      </c>
    </row>
    <row r="4113">
      <c r="A4113" s="4" t="s">
        <v>5171</v>
      </c>
      <c r="B4113" s="4" t="s">
        <v>5174</v>
      </c>
      <c r="C4113" s="5" t="str">
        <f>IFERROR(__xludf.DUMMYFUNCTION("GOOGLETRANSLATE(B4113,""en"",""fr"")"),"Puis il place un pochoir sur le bras du client pour poser le contour du tatouage.")</f>
        <v>Puis il place un pochoir sur le bras du client pour poser le contour du tatouage.</v>
      </c>
    </row>
    <row r="4114">
      <c r="A4114" s="4" t="s">
        <v>5171</v>
      </c>
      <c r="B4114" s="4" t="s">
        <v>5175</v>
      </c>
      <c r="C4114" s="5" t="str">
        <f>IFERROR(__xludf.DUMMYFUNCTION("GOOGLETRANSLATE(B4114,""en"",""fr"")"),"Il applique ensuite de la crème sur la peau pour minimiser les saignements.")</f>
        <v>Il applique ensuite de la crème sur la peau pour minimiser les saignements.</v>
      </c>
    </row>
    <row r="4115">
      <c r="A4115" s="4" t="s">
        <v>5171</v>
      </c>
      <c r="B4115" s="4" t="s">
        <v>5176</v>
      </c>
      <c r="C4115" s="5" t="str">
        <f>IFERROR(__xludf.DUMMYFUNCTION("GOOGLETRANSLATE(B4115,""en"",""fr"")"),"Il commence à utiliser la machine à tatouage pour dessiner sur le tatouage sur le contour.")</f>
        <v>Il commence à utiliser la machine à tatouage pour dessiner sur le tatouage sur le contour.</v>
      </c>
    </row>
    <row r="4116">
      <c r="A4116" s="4" t="s">
        <v>5171</v>
      </c>
      <c r="B4116" s="4" t="s">
        <v>5177</v>
      </c>
      <c r="C4116" s="5" t="str">
        <f>IFERROR(__xludf.DUMMYFUNCTION("GOOGLETRANSLATE(B4116,""en"",""fr"")"),"Il montre également comment il utilise différentes couleurs pour remplir le contour du design.")</f>
        <v>Il montre également comment il utilise différentes couleurs pour remplir le contour du design.</v>
      </c>
    </row>
    <row r="4117">
      <c r="A4117" s="4" t="s">
        <v>5171</v>
      </c>
      <c r="B4117" s="4" t="s">
        <v>5178</v>
      </c>
      <c r="C4117" s="5" t="str">
        <f>IFERROR(__xludf.DUMMYFUNCTION("GOOGLETRANSLATE(B4117,""en"",""fr"")"),"Il termine ensuite le tatouage selon les spécifications du client.")</f>
        <v>Il termine ensuite le tatouage selon les spécifications du client.</v>
      </c>
    </row>
    <row r="4118">
      <c r="A4118" s="4" t="s">
        <v>5179</v>
      </c>
      <c r="B4118" s="4" t="s">
        <v>5180</v>
      </c>
      <c r="C4118" s="5" t="str">
        <f>IFERROR(__xludf.DUMMYFUNCTION("GOOGLETRANSLATE(B4118,""en"",""fr"")"),"Un petit bébé est à l'extérieur en tenant un bâton qui tente de frapper la pinata avec.")</f>
        <v>Un petit bébé est à l'extérieur en tenant un bâton qui tente de frapper la pinata avec.</v>
      </c>
    </row>
    <row r="4119">
      <c r="A4119" s="4" t="s">
        <v>5179</v>
      </c>
      <c r="B4119" s="4" t="s">
        <v>5181</v>
      </c>
      <c r="C4119" s="5" t="str">
        <f>IFERROR(__xludf.DUMMYFUNCTION("GOOGLETRANSLATE(B4119,""en"",""fr"")"),"Derrière elle, une dame tient le bébé et l'assiste alors qu'elle frappe la pinata.")</f>
        <v>Derrière elle, une dame tient le bébé et l'assiste alors qu'elle frappe la pinata.</v>
      </c>
    </row>
    <row r="4120">
      <c r="A4120" s="4" t="s">
        <v>5179</v>
      </c>
      <c r="B4120" s="6" t="s">
        <v>5182</v>
      </c>
      <c r="C4120" s="5" t="str">
        <f>IFERROR(__xludf.DUMMYFUNCTION("GOOGLETRANSLATE(B4120,""en"",""fr"")"),"Alors que la Pinata rebondit de haut en bas, le jeune bébé le frappe à peine puis finit par se tourner vers la caméra.")</f>
        <v>Alors que la Pinata rebondit de haut en bas, le jeune bébé le frappe à peine puis finit par se tourner vers la caméra.</v>
      </c>
    </row>
    <row r="4121">
      <c r="A4121" s="4" t="s">
        <v>5183</v>
      </c>
      <c r="B4121" s="4" t="s">
        <v>5184</v>
      </c>
      <c r="C4121" s="5" t="str">
        <f>IFERROR(__xludf.DUMMYFUNCTION("GOOGLETRANSLATE(B4121,""en"",""fr"")"),"Une petite fille est assise à une table devant deux verres, une bouteille 7up et une assiette de tranches de citron vert.")</f>
        <v>Une petite fille est assise à une table devant deux verres, une bouteille 7up et une assiette de tranches de citron vert.</v>
      </c>
    </row>
    <row r="4122">
      <c r="A4122" s="4" t="s">
        <v>5183</v>
      </c>
      <c r="B4122" s="6" t="s">
        <v>5185</v>
      </c>
      <c r="C4122" s="5" t="str">
        <f>IFERROR(__xludf.DUMMYFUNCTION("GOOGLETRANSLATE(B4122,""en"",""fr"")"),"Elle ajoute le soda et les tranches de citron vert aux verres, en serrant le jus dans le liquide avant de prendre un verre.")</f>
        <v>Elle ajoute le soda et les tranches de citron vert aux verres, en serrant le jus dans le liquide avant de prendre un verre.</v>
      </c>
    </row>
    <row r="4123">
      <c r="A4123" s="4" t="s">
        <v>5186</v>
      </c>
      <c r="B4123" s="4" t="s">
        <v>5187</v>
      </c>
      <c r="C4123" s="5" t="str">
        <f>IFERROR(__xludf.DUMMYFUNCTION("GOOGLETRANSLATE(B4123,""en"",""fr"")"),"Une émission de télévision à l'ancienne est montrée où un homme coupe les cheveux d'une femme.")</f>
        <v>Une émission de télévision à l'ancienne est montrée où un homme coupe les cheveux d'une femme.</v>
      </c>
    </row>
    <row r="4124">
      <c r="A4124" s="4" t="s">
        <v>5186</v>
      </c>
      <c r="B4124" s="4" t="s">
        <v>5188</v>
      </c>
      <c r="C4124" s="5" t="str">
        <f>IFERROR(__xludf.DUMMYFUNCTION("GOOGLETRANSLATE(B4124,""en"",""fr"")"),"Un homme lui coupe ensuite les cheveux tandis qu'un autre homme regarde de l'extérieur.")</f>
        <v>Un homme lui coupe ensuite les cheveux tandis qu'un autre homme regarde de l'extérieur.</v>
      </c>
    </row>
    <row r="4125">
      <c r="A4125" s="4" t="s">
        <v>5189</v>
      </c>
      <c r="B4125" s="4" t="s">
        <v>5190</v>
      </c>
      <c r="C4125" s="5" t="str">
        <f>IFERROR(__xludf.DUMMYFUNCTION("GOOGLETRANSLATE(B4125,""en"",""fr"")"),"Un homme est à l'extérieur dans un terrain de football en mettant son équipement dans un sac de livres.")</f>
        <v>Un homme est à l'extérieur dans un terrain de football en mettant son équipement dans un sac de livres.</v>
      </c>
    </row>
    <row r="4126">
      <c r="A4126" s="4" t="s">
        <v>5189</v>
      </c>
      <c r="B4126" s="4" t="s">
        <v>5191</v>
      </c>
      <c r="C4126" s="5" t="str">
        <f>IFERROR(__xludf.DUMMYFUNCTION("GOOGLETRANSLATE(B4126,""en"",""fr"")"),"Une fois que les choses sont dans ses sacs, il la sécurise avec ses sangles et commence à sauter de haut en bas.")</f>
        <v>Une fois que les choses sont dans ses sacs, il la sécurise avec ses sangles et commence à sauter de haut en bas.</v>
      </c>
    </row>
    <row r="4127">
      <c r="A4127" s="4" t="s">
        <v>5189</v>
      </c>
      <c r="B4127" s="4" t="s">
        <v>5192</v>
      </c>
      <c r="C4127" s="5" t="str">
        <f>IFERROR(__xludf.DUMMYFUNCTION("GOOGLETRANSLATE(B4127,""en"",""fr"")"),"Les tâches principales commencent et l'homme commence à courir à travers les bois.")</f>
        <v>Les tâches principales commencent et l'homme commence à courir à travers les bois.</v>
      </c>
    </row>
    <row r="4128">
      <c r="A4128" s="4" t="s">
        <v>5189</v>
      </c>
      <c r="B4128" s="6" t="s">
        <v>5193</v>
      </c>
      <c r="C4128" s="5" t="str">
        <f>IFERROR(__xludf.DUMMYFUNCTION("GOOGLETRANSLATE(B4128,""en"",""fr"")"),"Tout d'un coup, un petit plan d'eau est montré et les gens sont des tubes et s'assoient s'amuser.")</f>
        <v>Tout d'un coup, un petit plan d'eau est montré et les gens sont des tubes et s'assoient s'amuser.</v>
      </c>
    </row>
    <row r="4129">
      <c r="A4129" s="4" t="s">
        <v>5194</v>
      </c>
      <c r="B4129" s="4" t="s">
        <v>5195</v>
      </c>
      <c r="C4129" s="5" t="str">
        <f>IFERROR(__xludf.DUMMYFUNCTION("GOOGLETRANSLATE(B4129,""en"",""fr"")"),"Un garçon avec un chapeau est vu marcher et parler derrière certains arbres.")</f>
        <v>Un garçon avec un chapeau est vu marcher et parler derrière certains arbres.</v>
      </c>
    </row>
    <row r="4130">
      <c r="A4130" s="4" t="s">
        <v>5194</v>
      </c>
      <c r="B4130" s="4" t="s">
        <v>5196</v>
      </c>
      <c r="C4130" s="5" t="str">
        <f>IFERROR(__xludf.DUMMYFUNCTION("GOOGLETRANSLATE(B4130,""en"",""fr"")"),"Le garçon se faufile sur un terrain où un autre garçon joue le hockey sur le terrain.")</f>
        <v>Le garçon se faufile sur un terrain où un autre garçon joue le hockey sur le terrain.</v>
      </c>
    </row>
    <row r="4131">
      <c r="A4131" s="4" t="s">
        <v>5194</v>
      </c>
      <c r="B4131" s="4" t="s">
        <v>5197</v>
      </c>
      <c r="C4131" s="5" t="str">
        <f>IFERROR(__xludf.DUMMYFUNCTION("GOOGLETRANSLATE(B4131,""en"",""fr"")"),"Le garçon dans le chapeau prend le ballon.")</f>
        <v>Le garçon dans le chapeau prend le ballon.</v>
      </c>
    </row>
    <row r="4132">
      <c r="A4132" s="4" t="s">
        <v>5194</v>
      </c>
      <c r="B4132" s="4" t="s">
        <v>5198</v>
      </c>
      <c r="C4132" s="5" t="str">
        <f>IFERROR(__xludf.DUMMYFUNCTION("GOOGLETRANSLATE(B4132,""en"",""fr"")"),"Le hockey sur le terrain de jeu garçon est vu sauter en arrière-plan.")</f>
        <v>Le hockey sur le terrain de jeu garçon est vu sauter en arrière-plan.</v>
      </c>
    </row>
    <row r="4133">
      <c r="A4133" s="4" t="s">
        <v>5194</v>
      </c>
      <c r="B4133" s="4" t="s">
        <v>5199</v>
      </c>
      <c r="C4133" s="5" t="str">
        <f>IFERROR(__xludf.DUMMYFUNCTION("GOOGLETRANSLATE(B4133,""en"",""fr"")"),"Le garçon dans le chapeau renvoie le ballon au joueur de hockey sur le terrain et un autre joueur est vu.")</f>
        <v>Le garçon dans le chapeau renvoie le ballon au joueur de hockey sur le terrain et un autre joueur est vu.</v>
      </c>
    </row>
    <row r="4134">
      <c r="A4134" s="4" t="s">
        <v>5194</v>
      </c>
      <c r="B4134" s="6" t="s">
        <v>5200</v>
      </c>
      <c r="C4134" s="5" t="str">
        <f>IFERROR(__xludf.DUMMYFUNCTION("GOOGLETRANSLATE(B4134,""en"",""fr"")"),"Les deux joueurs de hockey sur le terrain courent et frappent le ballon de hockey sur le terrain avec leurs bâtons.")</f>
        <v>Les deux joueurs de hockey sur le terrain courent et frappent le ballon de hockey sur le terrain avec leurs bâtons.</v>
      </c>
    </row>
    <row r="4135">
      <c r="A4135" s="4" t="s">
        <v>5194</v>
      </c>
      <c r="B4135" s="6" t="s">
        <v>5201</v>
      </c>
      <c r="C4135" s="5" t="str">
        <f>IFERROR(__xludf.DUMMYFUNCTION("GOOGLETRANSLATE(B4135,""en"",""fr"")"),"L'un des joueurs de hockey sur le terrain est vu avec ses bras et ses jambes enroulés autour de la jambe du garçon avec le chapeau.")</f>
        <v>L'un des joueurs de hockey sur le terrain est vu avec ses bras et ses jambes enroulés autour de la jambe du garçon avec le chapeau.</v>
      </c>
    </row>
    <row r="4136">
      <c r="A4136" s="4" t="s">
        <v>5202</v>
      </c>
      <c r="B4136" s="4" t="s">
        <v>5203</v>
      </c>
      <c r="C4136" s="5" t="str">
        <f>IFERROR(__xludf.DUMMYFUNCTION("GOOGLETRANSLATE(B4136,""en"",""fr"")"),"Une petite fille utilise une balayeuse pour frapper un disque.")</f>
        <v>Une petite fille utilise une balayeuse pour frapper un disque.</v>
      </c>
    </row>
    <row r="4137">
      <c r="A4137" s="4" t="s">
        <v>5202</v>
      </c>
      <c r="B4137" s="4" t="s">
        <v>5204</v>
      </c>
      <c r="C4137" s="5" t="str">
        <f>IFERROR(__xludf.DUMMYFUNCTION("GOOGLETRANSLATE(B4137,""en"",""fr"")"),"Le disque voyage sur le terrain avant de s'arrêter, tout comme d'autres disques.")</f>
        <v>Le disque voyage sur le terrain avant de s'arrêter, tout comme d'autres disques.</v>
      </c>
    </row>
    <row r="4138">
      <c r="A4138" s="4" t="s">
        <v>5202</v>
      </c>
      <c r="B4138" s="4" t="s">
        <v>5205</v>
      </c>
      <c r="C4138" s="5" t="str">
        <f>IFERROR(__xludf.DUMMYFUNCTION("GOOGLETRANSLATE(B4138,""en"",""fr"")"),"Elle continue de jouer au jeu, ne savant pas comment gagner.")</f>
        <v>Elle continue de jouer au jeu, ne savant pas comment gagner.</v>
      </c>
    </row>
    <row r="4139">
      <c r="A4139" s="4" t="s">
        <v>5206</v>
      </c>
      <c r="B4139" s="4" t="s">
        <v>5207</v>
      </c>
      <c r="C4139" s="5" t="str">
        <f>IFERROR(__xludf.DUMMYFUNCTION("GOOGLETRANSLATE(B4139,""en"",""fr"")"),"Un homme se tient derrière un bar qui parle.")</f>
        <v>Un homme se tient derrière un bar qui parle.</v>
      </c>
    </row>
    <row r="4140">
      <c r="A4140" s="4" t="s">
        <v>5206</v>
      </c>
      <c r="B4140" s="4" t="s">
        <v>5208</v>
      </c>
      <c r="C4140" s="5" t="str">
        <f>IFERROR(__xludf.DUMMYFUNCTION("GOOGLETRANSLATE(B4140,""en"",""fr"")"),"Il met de la glace dans un verre.")</f>
        <v>Il met de la glace dans un verre.</v>
      </c>
    </row>
    <row r="4141">
      <c r="A4141" s="4" t="s">
        <v>5206</v>
      </c>
      <c r="B4141" s="4" t="s">
        <v>5209</v>
      </c>
      <c r="C4141" s="5" t="str">
        <f>IFERROR(__xludf.DUMMYFUNCTION("GOOGLETRANSLATE(B4141,""en"",""fr"")"),"Il verse des coups dans le verre.")</f>
        <v>Il verse des coups dans le verre.</v>
      </c>
    </row>
    <row r="4142">
      <c r="A4142" s="4" t="s">
        <v>5206</v>
      </c>
      <c r="B4142" s="4" t="s">
        <v>5210</v>
      </c>
      <c r="C4142" s="5" t="str">
        <f>IFERROR(__xludf.DUMMYFUNCTION("GOOGLETRANSLATE(B4142,""en"",""fr"")"),"Il remue la boisson avec une paille.")</f>
        <v>Il remue la boisson avec une paille.</v>
      </c>
    </row>
    <row r="4143">
      <c r="A4143" s="4" t="s">
        <v>5211</v>
      </c>
      <c r="B4143" s="6" t="s">
        <v>5212</v>
      </c>
      <c r="C4143" s="5" t="str">
        <f>IFERROR(__xludf.DUMMYFUNCTION("GOOGLETRANSLATE(B4143,""en"",""fr"")"),"Plusieurs individus sont montrés en jouant au volleyball dans un gymnase du côté droit du filet tandis que d'autres personnes engagent d'autres activités en arrière-plan.")</f>
        <v>Plusieurs individus sont montrés en jouant au volleyball dans un gymnase du côté droit du filet tandis que d'autres personnes engagent d'autres activités en arrière-plan.</v>
      </c>
    </row>
    <row r="4144">
      <c r="A4144" s="4" t="s">
        <v>5211</v>
      </c>
      <c r="B4144" s="4" t="s">
        <v>5213</v>
      </c>
      <c r="C4144" s="5" t="str">
        <f>IFERROR(__xludf.DUMMYFUNCTION("GOOGLETRANSLATE(B4144,""en"",""fr"")"),"La caméra est parti pour montrer l'équipe sur le côté gauche du filet.")</f>
        <v>La caméra est parti pour montrer l'équipe sur le côté gauche du filet.</v>
      </c>
    </row>
    <row r="4145">
      <c r="A4145" s="4" t="s">
        <v>5211</v>
      </c>
      <c r="B4145" s="4" t="s">
        <v>5214</v>
      </c>
      <c r="C4145" s="5" t="str">
        <f>IFERROR(__xludf.DUMMYFUNCTION("GOOGLETRANSLATE(B4145,""en"",""fr"")"),"La caméra revient à l'équipe sur le côté droit.")</f>
        <v>La caméra revient à l'équipe sur le côté droit.</v>
      </c>
    </row>
    <row r="4146">
      <c r="A4146" s="4" t="s">
        <v>5215</v>
      </c>
      <c r="B4146" s="6" t="s">
        <v>5216</v>
      </c>
      <c r="C4146" s="5" t="str">
        <f>IFERROR(__xludf.DUMMYFUNCTION("GOOGLETRANSLATE(B4146,""en"",""fr"")"),"Trois hommes exposent des lancers de marteau dans un événement olympique en plein air entouré de spectateurs sur le terrain et dans les gradins.")</f>
        <v>Trois hommes exposent des lancers de marteau dans un événement olympique en plein air entouré de spectateurs sur le terrain et dans les gradins.</v>
      </c>
    </row>
    <row r="4147">
      <c r="A4147" s="4" t="s">
        <v>5215</v>
      </c>
      <c r="B4147" s="6" t="s">
        <v>5217</v>
      </c>
      <c r="C4147" s="5" t="str">
        <f>IFERROR(__xludf.DUMMYFUNCTION("GOOGLETRANSLATE(B4147,""en"",""fr"")"),"Un homme se tient à un jeu olympique en plein air et effectue un lancer de marteau entouré de gens et d'un public dans les gradins avant de laisser le marteau aller voler en l'air.")</f>
        <v>Un homme se tient à un jeu olympique en plein air et effectue un lancer de marteau entouré de gens et d'un public dans les gradins avant de laisser le marteau aller voler en l'air.</v>
      </c>
    </row>
    <row r="4148">
      <c r="A4148" s="4" t="s">
        <v>5215</v>
      </c>
      <c r="B4148" s="6" t="s">
        <v>5218</v>
      </c>
      <c r="C4148" s="5" t="str">
        <f>IFERROR(__xludf.DUMMYFUNCTION("GOOGLETRANSLATE(B4148,""en"",""fr"")"),"Deux autres hommes effectuent un jet de marteau de la même manière en libérant le marteau en l'air pour s'envoler dans un champ.")</f>
        <v>Deux autres hommes effectuent un jet de marteau de la même manière en libérant le marteau en l'air pour s'envoler dans un champ.</v>
      </c>
    </row>
    <row r="4149">
      <c r="A4149" s="4" t="s">
        <v>5215</v>
      </c>
      <c r="B4149" s="4" t="s">
        <v>5219</v>
      </c>
      <c r="C4149" s="5" t="str">
        <f>IFERROR(__xludf.DUMMYFUNCTION("GOOGLETRANSLATE(B4149,""en"",""fr"")"),"Trois hommes se tiennent au milieu d'un champ et détiennent des médailles qui traînent autour de leur cou.")</f>
        <v>Trois hommes se tiennent au milieu d'un champ et détiennent des médailles qui traînent autour de leur cou.</v>
      </c>
    </row>
    <row r="4150">
      <c r="A4150" s="4" t="s">
        <v>5220</v>
      </c>
      <c r="B4150" s="4" t="s">
        <v>5221</v>
      </c>
      <c r="C4150" s="5" t="str">
        <f>IFERROR(__xludf.DUMMYFUNCTION("GOOGLETRANSLATE(B4150,""en"",""fr"")"),"Une tondeuse à gazon est à l'extérieur à côté d'une ligne de rochers ronds.")</f>
        <v>Une tondeuse à gazon est à l'extérieur à côté d'une ligne de rochers ronds.</v>
      </c>
    </row>
    <row r="4151">
      <c r="A4151" s="4" t="s">
        <v>5220</v>
      </c>
      <c r="B4151" s="4" t="s">
        <v>5222</v>
      </c>
      <c r="C4151" s="5" t="str">
        <f>IFERROR(__xludf.DUMMYFUNCTION("GOOGLETRANSLATE(B4151,""en"",""fr"")"),"Une personne commence la tondeuse et commence à la pousser à côté de la frontière rocheuse.")</f>
        <v>Une personne commence la tondeuse et commence à la pousser à côté de la frontière rocheuse.</v>
      </c>
    </row>
    <row r="4152">
      <c r="A4152" s="4" t="s">
        <v>5220</v>
      </c>
      <c r="B4152" s="6" t="s">
        <v>5223</v>
      </c>
      <c r="C4152" s="5" t="str">
        <f>IFERROR(__xludf.DUMMYFUNCTION("GOOGLETRANSLATE(B4152,""en"",""fr"")"),"Nous obtenons une vue de première main sur la pelouse de la personne tondue alors qu'elle se tourne et pousse la tondeuse partout.")</f>
        <v>Nous obtenons une vue de première main sur la pelouse de la personne tondue alors qu'elle se tourne et pousse la tondeuse partout.</v>
      </c>
    </row>
    <row r="4153">
      <c r="A4153" s="4" t="s">
        <v>5220</v>
      </c>
      <c r="B4153" s="4" t="s">
        <v>5224</v>
      </c>
      <c r="C4153" s="5" t="str">
        <f>IFERROR(__xludf.DUMMYFUNCTION("GOOGLETRANSLATE(B4153,""en"",""fr"")"),"Le visage de l'homme est montré juste avant d'éteindre la caméra.")</f>
        <v>Le visage de l'homme est montré juste avant d'éteindre la caméra.</v>
      </c>
    </row>
    <row r="4154">
      <c r="A4154" s="4" t="s">
        <v>5225</v>
      </c>
      <c r="B4154" s="4" t="s">
        <v>5226</v>
      </c>
      <c r="C4154" s="5" t="str">
        <f>IFERROR(__xludf.DUMMYFUNCTION("GOOGLETRANSLATE(B4154,""en"",""fr"")"),"Les enfants montent sur les tampants dans un parc d'attractions ou un carnaval.")</f>
        <v>Les enfants montent sur les tampants dans un parc d'attractions ou un carnaval.</v>
      </c>
    </row>
    <row r="4155">
      <c r="A4155" s="4" t="s">
        <v>5225</v>
      </c>
      <c r="B4155" s="4" t="s">
        <v>5227</v>
      </c>
      <c r="C4155" s="5" t="str">
        <f>IFERROR(__xludf.DUMMYFUNCTION("GOOGLETRANSLATE(B4155,""en"",""fr"")"),"Un embouteillage emprisonne les petites filles au milieu des voitures.")</f>
        <v>Un embouteillage emprisonne les petites filles au milieu des voitures.</v>
      </c>
    </row>
    <row r="4156">
      <c r="A4156" s="4" t="s">
        <v>5225</v>
      </c>
      <c r="B4156" s="4" t="s">
        <v>5228</v>
      </c>
      <c r="C4156" s="5" t="str">
        <f>IFERROR(__xludf.DUMMYFUNCTION("GOOGLETRANSLATE(B4156,""en"",""fr"")"),"La petite fille dans le chapeau sourit alors qu'elle regarde dans le visage de ses sœurs.")</f>
        <v>La petite fille dans le chapeau sourit alors qu'elle regarde dans le visage de ses sœurs.</v>
      </c>
    </row>
    <row r="4157">
      <c r="A4157" s="4" t="s">
        <v>5229</v>
      </c>
      <c r="B4157" s="4" t="s">
        <v>5230</v>
      </c>
      <c r="C4157" s="5" t="str">
        <f>IFERROR(__xludf.DUMMYFUNCTION("GOOGLETRANSLATE(B4157,""en"",""fr"")"),"Un grand groupe de personnes est vue assise autour d'un champ extérieur.")</f>
        <v>Un grand groupe de personnes est vue assise autour d'un champ extérieur.</v>
      </c>
    </row>
    <row r="4158">
      <c r="A4158" s="4" t="s">
        <v>5229</v>
      </c>
      <c r="B4158" s="4" t="s">
        <v>5231</v>
      </c>
      <c r="C4158" s="5" t="str">
        <f>IFERROR(__xludf.DUMMYFUNCTION("GOOGLETRANSLATE(B4158,""en"",""fr"")"),"Un chien est vu monter et descendre sur le terrain au milieu du public.")</f>
        <v>Un chien est vu monter et descendre sur le terrain au milieu du public.</v>
      </c>
    </row>
    <row r="4159">
      <c r="A4159" s="4" t="s">
        <v>5229</v>
      </c>
      <c r="B4159" s="4" t="s">
        <v>5232</v>
      </c>
      <c r="C4159" s="5" t="str">
        <f>IFERROR(__xludf.DUMMYFUNCTION("GOOGLETRANSLATE(B4159,""en"",""fr"")"),"Le chien continue de courir en arrière et quatrième pendant que la caméra regarde de côté.")</f>
        <v>Le chien continue de courir en arrière et quatrième pendant que la caméra regarde de côté.</v>
      </c>
    </row>
    <row r="4160">
      <c r="A4160" s="4" t="s">
        <v>5233</v>
      </c>
      <c r="B4160" s="4" t="s">
        <v>5234</v>
      </c>
      <c r="C4160" s="5" t="str">
        <f>IFERROR(__xludf.DUMMYFUNCTION("GOOGLETRANSLATE(B4160,""en"",""fr"")"),"Nous voyons quelques écrans de titre.")</f>
        <v>Nous voyons quelques écrans de titre.</v>
      </c>
    </row>
    <row r="4161">
      <c r="A4161" s="4" t="s">
        <v>5233</v>
      </c>
      <c r="B4161" s="4" t="s">
        <v>5235</v>
      </c>
      <c r="C4161" s="5" t="str">
        <f>IFERROR(__xludf.DUMMYFUNCTION("GOOGLETRANSLATE(B4161,""en"",""fr"")"),"Nous voyons un homme effectuer une série de mouvements de capoeira avec les noms avant le déménagement.")</f>
        <v>Nous voyons un homme effectuer une série de mouvements de capoeira avec les noms avant le déménagement.</v>
      </c>
    </row>
    <row r="4162">
      <c r="A4162" s="4" t="s">
        <v>5233</v>
      </c>
      <c r="B4162" s="4" t="s">
        <v>5236</v>
      </c>
      <c r="C4162" s="5" t="str">
        <f>IFERROR(__xludf.DUMMYFUNCTION("GOOGLETRANSLATE(B4162,""en"",""fr"")"),"Nous voyons un homme se déplacer et un coup de pied rond.")</f>
        <v>Nous voyons un homme se déplacer et un coup de pied rond.</v>
      </c>
    </row>
    <row r="4163">
      <c r="A4163" s="4" t="s">
        <v>5233</v>
      </c>
      <c r="B4163" s="4" t="s">
        <v>5237</v>
      </c>
      <c r="C4163" s="5" t="str">
        <f>IFERROR(__xludf.DUMMYFUNCTION("GOOGLETRANSLATE(B4163,""en"",""fr"")"),"L'homme fait une main d'une main d'une main et lui donne un coup de pied dans les jambes.")</f>
        <v>L'homme fait une main d'une main d'une main et lui donne un coup de pied dans les jambes.</v>
      </c>
    </row>
    <row r="4164">
      <c r="A4164" s="4" t="s">
        <v>5233</v>
      </c>
      <c r="B4164" s="4" t="s">
        <v>5238</v>
      </c>
      <c r="C4164" s="5" t="str">
        <f>IFERROR(__xludf.DUMMYFUNCTION("GOOGLETRANSLATE(B4164,""en"",""fr"")"),"L'homme fait un flip à partir d'un handstands.")</f>
        <v>L'homme fait un flip à partir d'un handstands.</v>
      </c>
    </row>
    <row r="4165">
      <c r="A4165" s="4" t="s">
        <v>5233</v>
      </c>
      <c r="B4165" s="4" t="s">
        <v>4513</v>
      </c>
      <c r="C4165" s="5" t="str">
        <f>IFERROR(__xludf.DUMMYFUNCTION("GOOGLETRANSLATE(B4165,""en"",""fr"")"),"Nous voyons les crédits de fin.")</f>
        <v>Nous voyons les crédits de fin.</v>
      </c>
    </row>
    <row r="4166">
      <c r="A4166" s="4" t="s">
        <v>5239</v>
      </c>
      <c r="B4166" s="4" t="s">
        <v>5240</v>
      </c>
      <c r="C4166" s="5" t="str">
        <f>IFERROR(__xludf.DUMMYFUNCTION("GOOGLETRANSLATE(B4166,""en"",""fr"")"),"Nous voyons un écran de titre coloré et ludique.")</f>
        <v>Nous voyons un écran de titre coloré et ludique.</v>
      </c>
    </row>
    <row r="4167">
      <c r="A4167" s="4" t="s">
        <v>5239</v>
      </c>
      <c r="B4167" s="4" t="s">
        <v>5241</v>
      </c>
      <c r="C4167" s="5" t="str">
        <f>IFERROR(__xludf.DUMMYFUNCTION("GOOGLETRANSLATE(B4167,""en"",""fr"")"),"Nous voyons ensuite des gens dans une pièce et à l'extérieur lors d'une fête de fantaisie.")</f>
        <v>Nous voyons ensuite des gens dans une pièce et à l'extérieur lors d'une fête de fantaisie.</v>
      </c>
    </row>
    <row r="4168">
      <c r="A4168" s="4" t="s">
        <v>5239</v>
      </c>
      <c r="B4168" s="4" t="s">
        <v>5242</v>
      </c>
      <c r="C4168" s="5" t="str">
        <f>IFERROR(__xludf.DUMMYFUNCTION("GOOGLETRANSLATE(B4168,""en"",""fr"")"),"Une femme franchit la porte.")</f>
        <v>Une femme franchit la porte.</v>
      </c>
    </row>
    <row r="4169">
      <c r="A4169" s="4" t="s">
        <v>5239</v>
      </c>
      <c r="B4169" s="4" t="s">
        <v>5243</v>
      </c>
      <c r="C4169" s="5" t="str">
        <f>IFERROR(__xludf.DUMMYFUNCTION("GOOGLETRANSLATE(B4169,""en"",""fr"")"),"L'homme en costume passe par la porte.")</f>
        <v>L'homme en costume passe par la porte.</v>
      </c>
    </row>
    <row r="4170">
      <c r="A4170" s="4" t="s">
        <v>5239</v>
      </c>
      <c r="B4170" s="4" t="s">
        <v>5244</v>
      </c>
      <c r="C4170" s="5" t="str">
        <f>IFERROR(__xludf.DUMMYFUNCTION("GOOGLETRANSLATE(B4170,""en"",""fr"")"),"Un homme en rouge passe devant la caméra.")</f>
        <v>Un homme en rouge passe devant la caméra.</v>
      </c>
    </row>
    <row r="4171">
      <c r="A4171" s="4" t="s">
        <v>5239</v>
      </c>
      <c r="B4171" s="4" t="s">
        <v>5245</v>
      </c>
      <c r="C4171" s="5" t="str">
        <f>IFERROR(__xludf.DUMMYFUNCTION("GOOGLETRANSLATE(B4171,""en"",""fr"")"),"La dame en blanc voit la caméra et se cache.")</f>
        <v>La dame en blanc voit la caméra et se cache.</v>
      </c>
    </row>
    <row r="4172">
      <c r="A4172" s="4" t="s">
        <v>5239</v>
      </c>
      <c r="B4172" s="4" t="s">
        <v>5246</v>
      </c>
      <c r="C4172" s="5" t="str">
        <f>IFERROR(__xludf.DUMMYFUNCTION("GOOGLETRANSLATE(B4172,""en"",""fr"")"),"Nous voyons des cristaux colorés comme l'écran de fermeture.")</f>
        <v>Nous voyons des cristaux colorés comme l'écran de fermeture.</v>
      </c>
    </row>
    <row r="4173">
      <c r="A4173" s="4" t="s">
        <v>5247</v>
      </c>
      <c r="B4173" s="4" t="s">
        <v>5248</v>
      </c>
      <c r="C4173" s="5" t="str">
        <f>IFERROR(__xludf.DUMMYFUNCTION("GOOGLETRANSLATE(B4173,""en"",""fr"")"),"Les gens montent des chevaux le long d'un sentier de terre.")</f>
        <v>Les gens montent des chevaux le long d'un sentier de terre.</v>
      </c>
    </row>
    <row r="4174">
      <c r="A4174" s="4" t="s">
        <v>5247</v>
      </c>
      <c r="B4174" s="4" t="s">
        <v>5249</v>
      </c>
      <c r="C4174" s="5" t="str">
        <f>IFERROR(__xludf.DUMMYFUNCTION("GOOGLETRANSLATE(B4174,""en"",""fr"")"),"Ils traversent une rivière d'eau sur les chevaux.")</f>
        <v>Ils traversent une rivière d'eau sur les chevaux.</v>
      </c>
    </row>
    <row r="4175">
      <c r="A4175" s="4" t="s">
        <v>5247</v>
      </c>
      <c r="B4175" s="4" t="s">
        <v>5250</v>
      </c>
      <c r="C4175" s="5" t="str">
        <f>IFERROR(__xludf.DUMMYFUNCTION("GOOGLETRANSLATE(B4175,""en"",""fr"")"),"Ils continuent de rouler sur les chevaux.")</f>
        <v>Ils continuent de rouler sur les chevaux.</v>
      </c>
    </row>
    <row r="4176">
      <c r="A4176" s="4" t="s">
        <v>5251</v>
      </c>
      <c r="B4176" s="6" t="s">
        <v>5252</v>
      </c>
      <c r="C4176" s="5" t="str">
        <f>IFERROR(__xludf.DUMMYFUNCTION("GOOGLETRANSLATE(B4176,""en"",""fr"")"),"Plusieurs personnes dans un laboratoire créent une formule et une interview avec un journaliste, entrecoupé d'images de personnes qui s'appliquent à un écran solaire.")</f>
        <v>Plusieurs personnes dans un laboratoire créent une formule et une interview avec un journaliste, entrecoupé d'images de personnes qui s'appliquent à un écran solaire.</v>
      </c>
    </row>
    <row r="4177">
      <c r="A4177" s="4" t="s">
        <v>5251</v>
      </c>
      <c r="B4177" s="6" t="s">
        <v>5253</v>
      </c>
      <c r="C4177" s="5" t="str">
        <f>IFERROR(__xludf.DUMMYFUNCTION("GOOGLETRANSLATE(B4177,""en"",""fr"")"),"Beaucoup de gens sont montrés sur vidéo dans des photos candides d'entre elles s'appliquant à un écran solaire à l'extérieur.")</f>
        <v>Beaucoup de gens sont montrés sur vidéo dans des photos candides d'entre elles s'appliquant à un écran solaire à l'extérieur.</v>
      </c>
    </row>
    <row r="4178">
      <c r="A4178" s="4" t="s">
        <v>5251</v>
      </c>
      <c r="B4178" s="4" t="s">
        <v>5254</v>
      </c>
      <c r="C4178" s="5" t="str">
        <f>IFERROR(__xludf.DUMMYFUNCTION("GOOGLETRANSLATE(B4178,""en"",""fr"")"),"Une femme en laboratoire prépare une formule d'ingrédients variés entrecoupés de parler à une caméra.")</f>
        <v>Une femme en laboratoire prépare une formule d'ingrédients variés entrecoupés de parler à une caméra.</v>
      </c>
    </row>
    <row r="4179">
      <c r="A4179" s="4" t="s">
        <v>5251</v>
      </c>
      <c r="B4179" s="6" t="s">
        <v>5255</v>
      </c>
      <c r="C4179" s="5" t="str">
        <f>IFERROR(__xludf.DUMMYFUNCTION("GOOGLETRANSLATE(B4179,""en"",""fr"")"),"De plus en plus de scientifiques sont montrés dans les entretiens en laboratoire et parlants entremêlés avec des plans de préparation de formules en laboratoire et une dernière photo d'un homme dans un marché extérieur manipulant des ingrédients à vendre.")</f>
        <v>De plus en plus de scientifiques sont montrés dans les entretiens en laboratoire et parlants entremêlés avec des plans de préparation de formules en laboratoire et une dernière photo d'un homme dans un marché extérieur manipulant des ingrédients à vendre.</v>
      </c>
    </row>
    <row r="4180">
      <c r="A4180" s="4" t="s">
        <v>5256</v>
      </c>
      <c r="B4180" s="4" t="s">
        <v>5257</v>
      </c>
      <c r="C4180" s="5" t="str">
        <f>IFERROR(__xludf.DUMMYFUNCTION("GOOGLETRANSLATE(B4180,""en"",""fr"")"),"Le jeune homme joue l'harmonica.")</f>
        <v>Le jeune homme joue l'harmonica.</v>
      </c>
    </row>
    <row r="4181">
      <c r="A4181" s="4" t="s">
        <v>5256</v>
      </c>
      <c r="B4181" s="4" t="s">
        <v>5258</v>
      </c>
      <c r="C4181" s="5" t="str">
        <f>IFERROR(__xludf.DUMMYFUNCTION("GOOGLETRANSLATE(B4181,""en"",""fr"")"),"Le jeune homme présente sa leçon vidéo et présente le plan de leçon.")</f>
        <v>Le jeune homme présente sa leçon vidéo et présente le plan de leçon.</v>
      </c>
    </row>
    <row r="4182">
      <c r="A4182" s="4" t="s">
        <v>5256</v>
      </c>
      <c r="B4182" s="4" t="s">
        <v>5259</v>
      </c>
      <c r="C4182" s="5" t="str">
        <f>IFERROR(__xludf.DUMMYFUNCTION("GOOGLETRANSLATE(B4182,""en"",""fr"")"),"Les notes de musique sont affichées à l'écran pendant que l'harmonica joue.")</f>
        <v>Les notes de musique sont affichées à l'écran pendant que l'harmonica joue.</v>
      </c>
    </row>
    <row r="4183">
      <c r="A4183" s="4" t="s">
        <v>5260</v>
      </c>
      <c r="B4183" s="6" t="s">
        <v>5261</v>
      </c>
      <c r="C4183" s="5" t="str">
        <f>IFERROR(__xludf.DUMMYFUNCTION("GOOGLETRANSLATE(B4183,""en"",""fr"")"),"Une femme athlétique est vue en train de monter dans un faisceau et de commencer à effectuer une routine de gymnastique dessus.")</f>
        <v>Une femme athlétique est vue en train de monter dans un faisceau et de commencer à effectuer une routine de gymnastique dessus.</v>
      </c>
    </row>
    <row r="4184">
      <c r="A4184" s="4" t="s">
        <v>5260</v>
      </c>
      <c r="B4184" s="6" t="s">
        <v>5262</v>
      </c>
      <c r="C4184" s="5" t="str">
        <f>IFERROR(__xludf.DUMMYFUNCTION("GOOGLETRANSLATE(B4184,""en"",""fr"")"),"La femme continue de se déplacer sur la poutre et se termine avec elle sautant avec ses bras vers le haut et parlant à son entraîneur alors que sa fin est à nouveau montrée au ralenti.")</f>
        <v>La femme continue de se déplacer sur la poutre et se termine avec elle sautant avec ses bras vers le haut et parlant à son entraîneur alors que sa fin est à nouveau montrée au ralenti.</v>
      </c>
    </row>
    <row r="4185">
      <c r="A4185" s="4" t="s">
        <v>5263</v>
      </c>
      <c r="B4185" s="6" t="s">
        <v>5264</v>
      </c>
      <c r="C4185" s="5" t="str">
        <f>IFERROR(__xludf.DUMMYFUNCTION("GOOGLETRANSLATE(B4185,""en"",""fr"")"),"Un homme est vu parler à la caméra et les mènent dans des clips de lui démontrant des arts martiaux avec un autre homme.")</f>
        <v>Un homme est vu parler à la caméra et les mènent dans des clips de lui démontrant des arts martiaux avec un autre homme.</v>
      </c>
    </row>
    <row r="4186">
      <c r="A4186" s="4" t="s">
        <v>5263</v>
      </c>
      <c r="B4186" s="4" t="s">
        <v>5265</v>
      </c>
      <c r="C4186" s="5" t="str">
        <f>IFERROR(__xludf.DUMMYFUNCTION("GOOGLETRANSLATE(B4186,""en"",""fr"")"),"Les hommes continuent de démontrer les uns avec les autres tout en s'arrêtant pour parler à la caméra.")</f>
        <v>Les hommes continuent de démontrer les uns avec les autres tout en s'arrêtant pour parler à la caméra.</v>
      </c>
    </row>
    <row r="4187">
      <c r="A4187" s="4" t="s">
        <v>5266</v>
      </c>
      <c r="B4187" s="4" t="s">
        <v>5267</v>
      </c>
      <c r="C4187" s="5" t="str">
        <f>IFERROR(__xludf.DUMMYFUNCTION("GOOGLETRANSLATE(B4187,""en"",""fr"")"),"Une introduction arrive sur l'écran pour une vidéo drôle sur la consommation de bière.")</f>
        <v>Une introduction arrive sur l'écran pour une vidéo drôle sur la consommation de bière.</v>
      </c>
    </row>
    <row r="4188">
      <c r="A4188" s="4" t="s">
        <v>5266</v>
      </c>
      <c r="B4188" s="4" t="s">
        <v>5268</v>
      </c>
      <c r="C4188" s="5" t="str">
        <f>IFERROR(__xludf.DUMMYFUNCTION("GOOGLETRANSLATE(B4188,""en"",""fr"")"),"Certains gars dans une pièce se préparent à faire une astuce avec une canette de bière.")</f>
        <v>Certains gars dans une pièce se préparent à faire une astuce avec une canette de bière.</v>
      </c>
    </row>
    <row r="4189">
      <c r="A4189" s="4" t="s">
        <v>5266</v>
      </c>
      <c r="B4189" s="4" t="s">
        <v>5269</v>
      </c>
      <c r="C4189" s="5" t="str">
        <f>IFERROR(__xludf.DUMMYFUNCTION("GOOGLETRANSLATE(B4189,""en"",""fr"")"),"Ils effectuent l'astuce et un gars commence à chuger la bière.")</f>
        <v>Ils effectuent l'astuce et un gars commence à chuger la bière.</v>
      </c>
    </row>
    <row r="4190">
      <c r="A4190" s="4" t="s">
        <v>5266</v>
      </c>
      <c r="B4190" s="4" t="s">
        <v>5270</v>
      </c>
      <c r="C4190" s="5" t="str">
        <f>IFERROR(__xludf.DUMMYFUNCTION("GOOGLETRANSLATE(B4190,""en"",""fr"")"),"Peu de temps après, le gars commence à jeter toute la bière dans une poubelle pendant que tout le monde rit.")</f>
        <v>Peu de temps après, le gars commence à jeter toute la bière dans une poubelle pendant que tout le monde rit.</v>
      </c>
    </row>
    <row r="4191">
      <c r="A4191" s="4" t="s">
        <v>5271</v>
      </c>
      <c r="B4191" s="6" t="s">
        <v>5272</v>
      </c>
      <c r="C4191" s="5" t="str">
        <f>IFERROR(__xludf.DUMMYFUNCTION("GOOGLETRANSLATE(B4191,""en"",""fr"")"),"Un homme est vu rouler sur une planche à roulettes suivi d'un homme buvant une bière à travers un tuyau et un homme assis dans une voiture qui se retourne de l'homme de la caméra.")</f>
        <v>Un homme est vu rouler sur une planche à roulettes suivi d'un homme buvant une bière à travers un tuyau et un homme assis dans une voiture qui se retourne de l'homme de la caméra.</v>
      </c>
    </row>
    <row r="4192">
      <c r="A4192" s="4" t="s">
        <v>5271</v>
      </c>
      <c r="B4192" s="6" t="s">
        <v>5273</v>
      </c>
      <c r="C4192" s="5" t="str">
        <f>IFERROR(__xludf.DUMMYFUNCTION("GOOGLETRANSLATE(B4192,""en"",""fr"")"),"Des prises de vue plus aléatoires sont des paysages, des chiens, des gens debout et se déplaçant le long de l'eau.")</f>
        <v>Des prises de vue plus aléatoires sont des paysages, des chiens, des gens debout et se déplaçant le long de l'eau.</v>
      </c>
    </row>
    <row r="4193">
      <c r="A4193" s="4" t="s">
        <v>5271</v>
      </c>
      <c r="B4193" s="6" t="s">
        <v>5274</v>
      </c>
      <c r="C4193" s="5" t="str">
        <f>IFERROR(__xludf.DUMMYFUNCTION("GOOGLETRANSLATE(B4193,""en"",""fr"")"),"La vidéo mène à des gens qui roulent sur le kite d'eau surfant et mène à un homme qui parle à d'autres à l'extérieur tout en fumant une cigarette.")</f>
        <v>La vidéo mène à des gens qui roulent sur le kite d'eau surfant et mène à un homme qui parle à d'autres à l'extérieur tout en fumant une cigarette.</v>
      </c>
    </row>
    <row r="4194">
      <c r="A4194" s="4" t="s">
        <v>5275</v>
      </c>
      <c r="B4194" s="4" t="s">
        <v>5276</v>
      </c>
      <c r="C4194" s="5" t="str">
        <f>IFERROR(__xludf.DUMMYFUNCTION("GOOGLETRANSLATE(B4194,""en"",""fr"")"),"Un tas d'enfants jouent sur les voitures de pare-chocs dans un parc d'attractions.")</f>
        <v>Un tas d'enfants jouent sur les voitures de pare-chocs dans un parc d'attractions.</v>
      </c>
    </row>
    <row r="4195">
      <c r="A4195" s="4" t="s">
        <v>5275</v>
      </c>
      <c r="B4195" s="4" t="s">
        <v>5277</v>
      </c>
      <c r="C4195" s="5" t="str">
        <f>IFERROR(__xludf.DUMMYFUNCTION("GOOGLETRANSLATE(B4195,""en"",""fr"")"),"L'accident les uns dans les autres et semblent être un peu confus quant à ce qu'il faut faire.")</f>
        <v>L'accident les uns dans les autres et semblent être un peu confus quant à ce qu'il faut faire.</v>
      </c>
    </row>
    <row r="4196">
      <c r="A4196" s="4" t="s">
        <v>5275</v>
      </c>
      <c r="B4196" s="4" t="s">
        <v>5278</v>
      </c>
      <c r="C4196" s="5" t="str">
        <f>IFERROR(__xludf.DUMMYFUNCTION("GOOGLETRANSLATE(B4196,""en"",""fr"")"),"Ils ont des sourires sur leurs visages alors qu'ils continuent de faire le tour de la piste.")</f>
        <v>Ils ont des sourires sur leurs visages alors qu'ils continuent de faire le tour de la piste.</v>
      </c>
    </row>
    <row r="4197">
      <c r="A4197" s="4" t="s">
        <v>5279</v>
      </c>
      <c r="B4197" s="4" t="s">
        <v>5280</v>
      </c>
      <c r="C4197" s="5" t="str">
        <f>IFERROR(__xludf.DUMMYFUNCTION("GOOGLETRANSLATE(B4197,""en"",""fr"")"),"Un gros plan d'un masque d'escrime blanc et d'un masque d'escrime noire.")</f>
        <v>Un gros plan d'un masque d'escrime blanc et d'un masque d'escrime noire.</v>
      </c>
    </row>
    <row r="4198">
      <c r="A4198" s="4" t="s">
        <v>5279</v>
      </c>
      <c r="B4198" s="4" t="s">
        <v>5281</v>
      </c>
      <c r="C4198" s="5" t="str">
        <f>IFERROR(__xludf.DUMMYFUNCTION("GOOGLETRANSLATE(B4198,""en"",""fr"")"),"Un coach d'escrime donne des instructions aux deux concurrents d'escrime.")</f>
        <v>Un coach d'escrime donne des instructions aux deux concurrents d'escrime.</v>
      </c>
    </row>
    <row r="4199">
      <c r="A4199" s="4" t="s">
        <v>5279</v>
      </c>
      <c r="B4199" s="4" t="s">
        <v>5282</v>
      </c>
      <c r="C4199" s="5" t="str">
        <f>IFERROR(__xludf.DUMMYFUNCTION("GOOGLETRANSLATE(B4199,""en"",""fr"")"),"Deux concurrents Discus Escare Stratégies.")</f>
        <v>Deux concurrents Discus Escare Stratégies.</v>
      </c>
    </row>
    <row r="4200">
      <c r="A4200" s="4" t="s">
        <v>5279</v>
      </c>
      <c r="B4200" s="4" t="s">
        <v>5283</v>
      </c>
      <c r="C4200" s="5" t="str">
        <f>IFERROR(__xludf.DUMMYFUNCTION("GOOGLETRANSLATE(B4200,""en"",""fr"")"),"Plus de scènes d'escrime pendant qu'une fille et un garçon se disputent sur la touche.")</f>
        <v>Plus de scènes d'escrime pendant qu'une fille et un garçon se disputent sur la touche.</v>
      </c>
    </row>
    <row r="4201">
      <c r="A4201" s="4" t="s">
        <v>5279</v>
      </c>
      <c r="B4201" s="4" t="s">
        <v>5284</v>
      </c>
      <c r="C4201" s="5" t="str">
        <f>IFERROR(__xludf.DUMMYFUNCTION("GOOGLETRANSLATE(B4201,""en"",""fr"")"),"Plus de concurrence avec le canapé d'escrime qui regarde et critique.")</f>
        <v>Plus de concurrence avec le canapé d'escrime qui regarde et critique.</v>
      </c>
    </row>
    <row r="4202">
      <c r="A4202" s="4" t="s">
        <v>5285</v>
      </c>
      <c r="B4202" s="4" t="s">
        <v>5286</v>
      </c>
      <c r="C4202" s="5" t="str">
        <f>IFERROR(__xludf.DUMMYFUNCTION("GOOGLETRANSLATE(B4202,""en"",""fr"")"),"Un grogue de danseurs est sur scène en faisant une routine pour le public.")</f>
        <v>Un grogue de danseurs est sur scène en faisant une routine pour le public.</v>
      </c>
    </row>
    <row r="4203">
      <c r="A4203" s="4" t="s">
        <v>5285</v>
      </c>
      <c r="B4203" s="4" t="s">
        <v>5287</v>
      </c>
      <c r="C4203" s="5" t="str">
        <f>IFERROR(__xludf.DUMMYFUNCTION("GOOGLETRANSLATE(B4203,""en"",""fr"")"),"Le salon de l'automobile montre l'intérieur de quelques voitures assez soignées avec de beaux extérieurs.")</f>
        <v>Le salon de l'automobile montre l'intérieur de quelques voitures assez soignées avec de beaux extérieurs.</v>
      </c>
    </row>
    <row r="4204">
      <c r="A4204" s="4" t="s">
        <v>5285</v>
      </c>
      <c r="B4204" s="4" t="s">
        <v>5288</v>
      </c>
      <c r="C4204" s="5" t="str">
        <f>IFERROR(__xludf.DUMMYFUNCTION("GOOGLETRANSLATE(B4204,""en"",""fr"")"),"Un autre groupe de danseurs se fait se faire une pause dansant sur la tête.")</f>
        <v>Un autre groupe de danseurs se fait se faire une pause dansant sur la tête.</v>
      </c>
    </row>
    <row r="4205">
      <c r="A4205" s="4" t="s">
        <v>5285</v>
      </c>
      <c r="B4205" s="4" t="s">
        <v>5289</v>
      </c>
      <c r="C4205" s="5" t="str">
        <f>IFERROR(__xludf.DUMMYFUNCTION("GOOGLETRANSLATE(B4205,""en"",""fr"")"),"Ils vont un par un et sont encerclés et le public qui regarde autour d'eux.")</f>
        <v>Ils vont un par un et sont encerclés et le public qui regarde autour d'eux.</v>
      </c>
    </row>
    <row r="4206">
      <c r="A4206" s="4" t="s">
        <v>5290</v>
      </c>
      <c r="B4206" s="6" t="s">
        <v>5291</v>
      </c>
      <c r="C4206" s="5" t="str">
        <f>IFERROR(__xludf.DUMMYFUNCTION("GOOGLETRANSLATE(B4206,""en"",""fr"")"),"Un homme est vu héberger un segment d'actualités qui mène à plusieurs plans de personnes mélangeant des rondelles le long de la glace au ralenti.")</f>
        <v>Un homme est vu héberger un segment d'actualités qui mène à plusieurs plans de personnes mélangeant des rondelles le long de la glace au ralenti.</v>
      </c>
    </row>
    <row r="4207">
      <c r="A4207" s="4" t="s">
        <v>5290</v>
      </c>
      <c r="B4207" s="6" t="s">
        <v>5292</v>
      </c>
      <c r="C4207" s="5" t="str">
        <f>IFERROR(__xludf.DUMMYFUNCTION("GOOGLETRANSLATE(B4207,""en"",""fr"")"),"Plus de photos sont montrées des personnes jouant le jeu et se terminent par une animation 3D à travers l'écran.")</f>
        <v>Plus de photos sont montrées des personnes jouant le jeu et se terminent par une animation 3D à travers l'écran.</v>
      </c>
    </row>
    <row r="4208">
      <c r="A4208" s="4" t="s">
        <v>5293</v>
      </c>
      <c r="B4208" s="4" t="s">
        <v>5294</v>
      </c>
      <c r="C4208" s="5" t="str">
        <f>IFERROR(__xludf.DUMMYFUNCTION("GOOGLETRANSLATE(B4208,""en"",""fr"")"),"Une femme aux cheveux courts est vue en parlant à la caméra puis en retournant une paire de peintures à l'envers.")</f>
        <v>Une femme aux cheveux courts est vue en parlant à la caméra puis en retournant une paire de peintures à l'envers.</v>
      </c>
    </row>
    <row r="4209">
      <c r="A4209" s="4" t="s">
        <v>5293</v>
      </c>
      <c r="B4209" s="4" t="s">
        <v>5295</v>
      </c>
      <c r="C4209" s="5" t="str">
        <f>IFERROR(__xludf.DUMMYFUNCTION("GOOGLETRANSLATE(B4209,""en"",""fr"")"),"Elle plie bien le pantalon sur une planche à repasser et commence à repasser les peintures.")</f>
        <v>Elle plie bien le pantalon sur une planche à repasser et commence à repasser les peintures.</v>
      </c>
    </row>
    <row r="4210">
      <c r="A4210" s="4" t="s">
        <v>5296</v>
      </c>
      <c r="B4210" s="4" t="s">
        <v>5297</v>
      </c>
      <c r="C4210" s="5" t="str">
        <f>IFERROR(__xludf.DUMMYFUNCTION("GOOGLETRANSLATE(B4210,""en"",""fr"")"),"La caméra se concentre sur un homme souriant assis à côté des autres.")</f>
        <v>La caméra se concentre sur un homme souriant assis à côté des autres.</v>
      </c>
    </row>
    <row r="4211">
      <c r="A4211" s="4" t="s">
        <v>5296</v>
      </c>
      <c r="B4211" s="4" t="s">
        <v>5298</v>
      </c>
      <c r="C4211" s="5" t="str">
        <f>IFERROR(__xludf.DUMMYFUNCTION("GOOGLETRANSLATE(B4211,""en"",""fr"")"),"Un autre individu parcourt le premier plan du cadre et obscurcit brièvement le premier homme.")</f>
        <v>Un autre individu parcourt le premier plan du cadre et obscurcit brièvement le premier homme.</v>
      </c>
    </row>
    <row r="4212">
      <c r="A4212" s="4" t="s">
        <v>5299</v>
      </c>
      <c r="B4212" s="4" t="s">
        <v>5300</v>
      </c>
      <c r="C4212" s="5" t="str">
        <f>IFERROR(__xludf.DUMMYFUNCTION("GOOGLETRANSLATE(B4212,""en"",""fr"")"),"Nous voyons un homme dans la piscine avec un capuchon.")</f>
        <v>Nous voyons un homme dans la piscine avec un capuchon.</v>
      </c>
    </row>
    <row r="4213">
      <c r="A4213" s="4" t="s">
        <v>5299</v>
      </c>
      <c r="B4213" s="4" t="s">
        <v>5301</v>
      </c>
      <c r="C4213" s="5" t="str">
        <f>IFERROR(__xludf.DUMMYFUNCTION("GOOGLETRANSLATE(B4213,""en"",""fr"")"),"Nous voyons un homme faire un but avec une balle.")</f>
        <v>Nous voyons un homme faire un but avec une balle.</v>
      </c>
    </row>
    <row r="4214">
      <c r="A4214" s="4" t="s">
        <v>5299</v>
      </c>
      <c r="B4214" s="4" t="s">
        <v>5302</v>
      </c>
      <c r="C4214" s="5" t="str">
        <f>IFERROR(__xludf.DUMMYFUNCTION("GOOGLETRANSLATE(B4214,""en"",""fr"")"),"Nous voyons un autre but marqué.")</f>
        <v>Nous voyons un autre but marqué.</v>
      </c>
    </row>
    <row r="4215">
      <c r="A4215" s="4" t="s">
        <v>5299</v>
      </c>
      <c r="B4215" s="4" t="s">
        <v>5303</v>
      </c>
      <c r="C4215" s="5" t="str">
        <f>IFERROR(__xludf.DUMMYFUNCTION("GOOGLETRANSLATE(B4215,""en"",""fr"")"),"Nous voyons un autre objectif marqué.")</f>
        <v>Nous voyons un autre objectif marqué.</v>
      </c>
    </row>
    <row r="4216">
      <c r="A4216" s="4" t="s">
        <v>5299</v>
      </c>
      <c r="B4216" s="4" t="s">
        <v>5304</v>
      </c>
      <c r="C4216" s="5" t="str">
        <f>IFERROR(__xludf.DUMMYFUNCTION("GOOGLETRANSLATE(B4216,""en"",""fr"")"),"Nous voyons l'homme marquer un but et nager.")</f>
        <v>Nous voyons l'homme marquer un but et nager.</v>
      </c>
    </row>
    <row r="4217">
      <c r="A4217" s="4" t="s">
        <v>5299</v>
      </c>
      <c r="B4217" s="4" t="s">
        <v>5305</v>
      </c>
      <c r="C4217" s="5" t="str">
        <f>IFERROR(__xludf.DUMMYFUNCTION("GOOGLETRANSLATE(B4217,""en"",""fr"")"),"Nous voyons l'homme à l'extérieur nager et faire 3 buts.")</f>
        <v>Nous voyons l'homme à l'extérieur nager et faire 3 buts.</v>
      </c>
    </row>
    <row r="4218">
      <c r="A4218" s="4" t="s">
        <v>5299</v>
      </c>
      <c r="B4218" s="4" t="s">
        <v>5306</v>
      </c>
      <c r="C4218" s="5" t="str">
        <f>IFERROR(__xludf.DUMMYFUNCTION("GOOGLETRANSLATE(B4218,""en"",""fr"")"),"Nous voyons une autre partition et les hommes jouent dans l'eau.")</f>
        <v>Nous voyons une autre partition et les hommes jouent dans l'eau.</v>
      </c>
    </row>
    <row r="4219">
      <c r="A4219" s="4" t="s">
        <v>5307</v>
      </c>
      <c r="B4219" s="6" t="s">
        <v>5308</v>
      </c>
      <c r="C4219" s="5" t="str">
        <f>IFERROR(__xludf.DUMMYFUNCTION("GOOGLETRANSLATE(B4219,""en"",""fr"")"),"Un groupe de garçons est montré en descendant un gymnase se tenant la main et mettant leurs mains en l'air.")</f>
        <v>Un groupe de garçons est montré en descendant un gymnase se tenant la main et mettant leurs mains en l'air.</v>
      </c>
    </row>
    <row r="4220">
      <c r="A4220" s="4" t="s">
        <v>5307</v>
      </c>
      <c r="B4220" s="6" t="s">
        <v>5309</v>
      </c>
      <c r="C4220" s="5" t="str">
        <f>IFERROR(__xludf.DUMMYFUNCTION("GOOGLETRANSLATE(B4220,""en"",""fr"")"),"Une femme parle aux garçons pendant qu'il boit de l'eau et passe en eux en jouant un jeu et en marquant un but.")</f>
        <v>Une femme parle aux garçons pendant qu'il boit de l'eau et passe en eux en jouant un jeu et en marquant un but.</v>
      </c>
    </row>
    <row r="4221">
      <c r="A4221" s="4" t="s">
        <v>5307</v>
      </c>
      <c r="B4221" s="6" t="s">
        <v>5310</v>
      </c>
      <c r="C4221" s="5" t="str">
        <f>IFERROR(__xludf.DUMMYFUNCTION("GOOGLETRANSLATE(B4221,""en"",""fr"")"),"Le même coup est affiché à nouveau au ralenti et plusieurs autres photos des garçons qui jouent sont montrées.")</f>
        <v>Le même coup est affiché à nouveau au ralenti et plusieurs autres photos des garçons qui jouent sont montrées.</v>
      </c>
    </row>
    <row r="4222">
      <c r="A4222" s="4" t="s">
        <v>5311</v>
      </c>
      <c r="B4222" s="4" t="s">
        <v>5312</v>
      </c>
      <c r="C4222" s="5" t="str">
        <f>IFERROR(__xludf.DUMMYFUNCTION("GOOGLETRANSLATE(B4222,""en"",""fr"")"),"Nous voyons deux petites filles dans des manteaux jouer dans le sable.")</f>
        <v>Nous voyons deux petites filles dans des manteaux jouer dans le sable.</v>
      </c>
    </row>
    <row r="4223">
      <c r="A4223" s="4" t="s">
        <v>5311</v>
      </c>
      <c r="B4223" s="4" t="s">
        <v>5313</v>
      </c>
      <c r="C4223" s="5" t="str">
        <f>IFERROR(__xludf.DUMMYFUNCTION("GOOGLETRANSLATE(B4223,""en"",""fr"")"),"Nous sommes à gauche et voyons l'océan.")</f>
        <v>Nous sommes à gauche et voyons l'océan.</v>
      </c>
    </row>
    <row r="4224">
      <c r="A4224" s="4" t="s">
        <v>5311</v>
      </c>
      <c r="B4224" s="4" t="s">
        <v>5314</v>
      </c>
      <c r="C4224" s="5" t="str">
        <f>IFERROR(__xludf.DUMMYFUNCTION("GOOGLETRANSLATE(B4224,""en"",""fr"")"),"Nous retournons aux filles.")</f>
        <v>Nous retournons aux filles.</v>
      </c>
    </row>
    <row r="4225">
      <c r="A4225" s="4" t="s">
        <v>5311</v>
      </c>
      <c r="B4225" s="4" t="s">
        <v>5315</v>
      </c>
      <c r="C4225" s="5" t="str">
        <f>IFERROR(__xludf.DUMMYFUNCTION("GOOGLETRANSLATE(B4225,""en"",""fr"")"),"Le vent souffle, il laissa des filles à sa tête.")</f>
        <v>Le vent souffle, il laissa des filles à sa tête.</v>
      </c>
    </row>
    <row r="4226">
      <c r="A4226" s="4" t="s">
        <v>5311</v>
      </c>
      <c r="B4226" s="4" t="s">
        <v>5316</v>
      </c>
      <c r="C4226" s="5" t="str">
        <f>IFERROR(__xludf.DUMMYFUNCTION("GOOGLETRANSLATE(B4226,""en"",""fr"")"),"Nous sommes partagés pour revoir l'océan.")</f>
        <v>Nous sommes partagés pour revoir l'océan.</v>
      </c>
    </row>
    <row r="4227">
      <c r="A4227" s="4" t="s">
        <v>5311</v>
      </c>
      <c r="B4227" s="4" t="s">
        <v>5317</v>
      </c>
      <c r="C4227" s="5" t="str">
        <f>IFERROR(__xludf.DUMMYFUNCTION("GOOGLETRANSLATE(B4227,""en"",""fr"")"),"La fille gauche éloigne ses cheveux de son visage alors qu'elle parle à la caméra.")</f>
        <v>La fille gauche éloigne ses cheveux de son visage alors qu'elle parle à la caméra.</v>
      </c>
    </row>
    <row r="4228">
      <c r="A4228" s="4" t="s">
        <v>5318</v>
      </c>
      <c r="B4228" s="4" t="s">
        <v>5319</v>
      </c>
      <c r="C4228" s="5" t="str">
        <f>IFERROR(__xludf.DUMMYFUNCTION("GOOGLETRANSLATE(B4228,""en"",""fr"")"),"Un homme se tient à côté d'un comptoir tout en tenant un chiffon.")</f>
        <v>Un homme se tient à côté d'un comptoir tout en tenant un chiffon.</v>
      </c>
    </row>
    <row r="4229">
      <c r="A4229" s="4" t="s">
        <v>5318</v>
      </c>
      <c r="B4229" s="4" t="s">
        <v>5320</v>
      </c>
      <c r="C4229" s="5" t="str">
        <f>IFERROR(__xludf.DUMMYFUNCTION("GOOGLETRANSLATE(B4229,""en"",""fr"")"),"Il ramasse un conteneur de vernis et parle de la surface du comptoir.")</f>
        <v>Il ramasse un conteneur de vernis et parle de la surface du comptoir.</v>
      </c>
    </row>
    <row r="4230">
      <c r="A4230" s="4" t="s">
        <v>5318</v>
      </c>
      <c r="B4230" s="4" t="s">
        <v>5321</v>
      </c>
      <c r="C4230" s="5" t="str">
        <f>IFERROR(__xludf.DUMMYFUNCTION("GOOGLETRANSLATE(B4230,""en"",""fr"")"),"Il le frotte avec du vernis et les deux chiffons, puis le dépoussière à un éclat.")</f>
        <v>Il le frotte avec du vernis et les deux chiffons, puis le dépoussière à un éclat.</v>
      </c>
    </row>
    <row r="4231">
      <c r="A4231" s="4" t="s">
        <v>5322</v>
      </c>
      <c r="B4231" s="4" t="s">
        <v>5323</v>
      </c>
      <c r="C4231" s="5" t="str">
        <f>IFERROR(__xludf.DUMMYFUNCTION("GOOGLETRANSLATE(B4231,""en"",""fr"")"),"Un match de football se produit sur un terrain et un joueur est montré tombant.")</f>
        <v>Un match de football se produit sur un terrain et un joueur est montré tombant.</v>
      </c>
    </row>
    <row r="4232">
      <c r="A4232" s="4" t="s">
        <v>5322</v>
      </c>
      <c r="B4232" s="4" t="s">
        <v>5324</v>
      </c>
      <c r="C4232" s="5" t="str">
        <f>IFERROR(__xludf.DUMMYFUNCTION("GOOGLETRANSLATE(B4232,""en"",""fr"")"),"L'homme est capable de se lever et la vidéo montre à nouveau la chute au ralenti.")</f>
        <v>L'homme est capable de se lever et la vidéo montre à nouveau la chute au ralenti.</v>
      </c>
    </row>
    <row r="4233">
      <c r="A4233" s="4" t="s">
        <v>5322</v>
      </c>
      <c r="B4233" s="4" t="s">
        <v>5325</v>
      </c>
      <c r="C4233" s="5" t="str">
        <f>IFERROR(__xludf.DUMMYFUNCTION("GOOGLETRANSLATE(B4233,""en"",""fr"")"),"Les joueurs continuent de jouer et l'un d'eux marque même un but.")</f>
        <v>Les joueurs continuent de jouer et l'un d'eux marque même un but.</v>
      </c>
    </row>
    <row r="4234">
      <c r="A4234" s="4" t="s">
        <v>5322</v>
      </c>
      <c r="B4234" s="4" t="s">
        <v>5326</v>
      </c>
      <c r="C4234" s="5" t="str">
        <f>IFERROR(__xludf.DUMMYFUNCTION("GOOGLETRANSLATE(B4234,""en"",""fr"")"),"L'objectif est montré à maintes reprises dans un mouvement bas pour montrer la signification de la pièce.")</f>
        <v>L'objectif est montré à maintes reprises dans un mouvement bas pour montrer la signification de la pièce.</v>
      </c>
    </row>
    <row r="4235">
      <c r="A4235" s="4" t="s">
        <v>5327</v>
      </c>
      <c r="B4235" s="4" t="s">
        <v>5328</v>
      </c>
      <c r="C4235" s="5" t="str">
        <f>IFERROR(__xludf.DUMMYFUNCTION("GOOGLETRANSLATE(B4235,""en"",""fr"")"),"Les ingrédients sont indiqués sur un plateau de ruban.")</f>
        <v>Les ingrédients sont indiqués sur un plateau de ruban.</v>
      </c>
    </row>
    <row r="4236">
      <c r="A4236" s="4" t="s">
        <v>5327</v>
      </c>
      <c r="B4236" s="4" t="s">
        <v>5329</v>
      </c>
      <c r="C4236" s="5" t="str">
        <f>IFERROR(__xludf.DUMMYFUNCTION("GOOGLETRANSLATE(B4236,""en"",""fr"")"),"Un homme commence à couper de la nourriture sur une planche à couper le souffle.")</f>
        <v>Un homme commence à couper de la nourriture sur une planche à couper le souffle.</v>
      </c>
    </row>
    <row r="4237">
      <c r="A4237" s="4" t="s">
        <v>5327</v>
      </c>
      <c r="B4237" s="4" t="s">
        <v>5330</v>
      </c>
      <c r="C4237" s="5" t="str">
        <f>IFERROR(__xludf.DUMMYFUNCTION("GOOGLETRANSLATE(B4237,""en"",""fr"")"),"Il ajoute des pâtes à un grand pot sur le poêle.")</f>
        <v>Il ajoute des pâtes à un grand pot sur le poêle.</v>
      </c>
    </row>
    <row r="4238">
      <c r="A4238" s="4" t="s">
        <v>5327</v>
      </c>
      <c r="B4238" s="4" t="s">
        <v>5331</v>
      </c>
      <c r="C4238" s="5" t="str">
        <f>IFERROR(__xludf.DUMMYFUNCTION("GOOGLETRANSLATE(B4238,""en"",""fr"")"),"Il commence à cuisiner dans une casserole sur le poêle.")</f>
        <v>Il commence à cuisiner dans une casserole sur le poêle.</v>
      </c>
    </row>
    <row r="4239">
      <c r="A4239" s="4" t="s">
        <v>5327</v>
      </c>
      <c r="B4239" s="4" t="s">
        <v>5332</v>
      </c>
      <c r="C4239" s="5" t="str">
        <f>IFERROR(__xludf.DUMMYFUNCTION("GOOGLETRANSLATE(B4239,""en"",""fr"")"),"Il couvre la casserole avec un couvercle.")</f>
        <v>Il couvre la casserole avec un couvercle.</v>
      </c>
    </row>
    <row r="4240">
      <c r="A4240" s="4" t="s">
        <v>5327</v>
      </c>
      <c r="B4240" s="4" t="s">
        <v>5333</v>
      </c>
      <c r="C4240" s="5" t="str">
        <f>IFERROR(__xludf.DUMMYFUNCTION("GOOGLETRANSLATE(B4240,""en"",""fr"")"),"Il met les pâtes dans un bol.")</f>
        <v>Il met les pâtes dans un bol.</v>
      </c>
    </row>
    <row r="4241">
      <c r="A4241" s="4" t="s">
        <v>5327</v>
      </c>
      <c r="B4241" s="4" t="s">
        <v>5334</v>
      </c>
      <c r="C4241" s="5" t="str">
        <f>IFERROR(__xludf.DUMMYFUNCTION("GOOGLETRANSLATE(B4241,""en"",""fr"")"),"Il verse la sauce sur les pâtes.")</f>
        <v>Il verse la sauce sur les pâtes.</v>
      </c>
    </row>
    <row r="4242">
      <c r="A4242" s="4" t="s">
        <v>5335</v>
      </c>
      <c r="B4242" s="4" t="s">
        <v>5336</v>
      </c>
      <c r="C4242" s="5" t="str">
        <f>IFERROR(__xludf.DUMMYFUNCTION("GOOGLETRANSLATE(B4242,""en"",""fr"")"),"Un bébé est assis à une table en mangeant un popsicle.")</f>
        <v>Un bébé est assis à une table en mangeant un popsicle.</v>
      </c>
    </row>
    <row r="4243">
      <c r="A4243" s="4" t="s">
        <v>5335</v>
      </c>
      <c r="B4243" s="4" t="s">
        <v>5337</v>
      </c>
      <c r="C4243" s="5" t="str">
        <f>IFERROR(__xludf.DUMMYFUNCTION("GOOGLETRANSLATE(B4243,""en"",""fr"")"),"Il prend une bouchée de son popsicle.")</f>
        <v>Il prend une bouchée de son popsicle.</v>
      </c>
    </row>
    <row r="4244">
      <c r="A4244" s="4" t="s">
        <v>5335</v>
      </c>
      <c r="B4244" s="4" t="s">
        <v>5338</v>
      </c>
      <c r="C4244" s="5" t="str">
        <f>IFERROR(__xludf.DUMMYFUNCTION("GOOGLETRANSLATE(B4244,""en"",""fr"")"),"Il sort quelque chose de son bavoir et le met dans sa bouche.")</f>
        <v>Il sort quelque chose de son bavoir et le met dans sa bouche.</v>
      </c>
    </row>
    <row r="4245">
      <c r="A4245" s="4" t="s">
        <v>5339</v>
      </c>
      <c r="B4245" s="4" t="s">
        <v>5340</v>
      </c>
      <c r="C4245" s="5" t="str">
        <f>IFERROR(__xludf.DUMMYFUNCTION("GOOGLETRANSLATE(B4245,""en"",""fr"")"),"Une jeune femme est assise sur une chaise en jouant avec un chat.")</f>
        <v>Une jeune femme est assise sur une chaise en jouant avec un chat.</v>
      </c>
    </row>
    <row r="4246">
      <c r="A4246" s="4" t="s">
        <v>5339</v>
      </c>
      <c r="B4246" s="4" t="s">
        <v>5341</v>
      </c>
      <c r="C4246" s="5" t="str">
        <f>IFERROR(__xludf.DUMMYFUNCTION("GOOGLETRANSLATE(B4246,""en"",""fr"")"),"Elle prend ensuite des épingles à vêtements, attrape la nuque des cheveux et coupe les ongles des chats.")</f>
        <v>Elle prend ensuite des épingles à vêtements, attrape la nuque des cheveux et coupe les ongles des chats.</v>
      </c>
    </row>
    <row r="4247">
      <c r="A4247" s="4" t="s">
        <v>5339</v>
      </c>
      <c r="B4247" s="6" t="s">
        <v>5342</v>
      </c>
      <c r="C4247" s="5" t="str">
        <f>IFERROR(__xludf.DUMMYFUNCTION("GOOGLETRANSLATE(B4247,""en"",""fr"")"),"Après un certain temps, les chats essaient de se mordre les mains, une fois la fille terminée, elle enlève les épingles et les vagues à la caméra.")</f>
        <v>Après un certain temps, les chats essaient de se mordre les mains, une fois la fille terminée, elle enlève les épingles et les vagues à la caméra.</v>
      </c>
    </row>
    <row r="4248">
      <c r="A4248" s="4" t="s">
        <v>5343</v>
      </c>
      <c r="B4248" s="4" t="s">
        <v>5344</v>
      </c>
      <c r="C4248" s="5" t="str">
        <f>IFERROR(__xludf.DUMMYFUNCTION("GOOGLETRANSLATE(B4248,""en"",""fr"")"),"Un groupe d'enfants courent entre des cônes orange sur un tribunal.")</f>
        <v>Un groupe d'enfants courent entre des cônes orange sur un tribunal.</v>
      </c>
    </row>
    <row r="4249">
      <c r="A4249" s="4" t="s">
        <v>5343</v>
      </c>
      <c r="B4249" s="6" t="s">
        <v>5345</v>
      </c>
      <c r="C4249" s="5" t="str">
        <f>IFERROR(__xludf.DUMMYFUNCTION("GOOGLETRANSLATE(B4249,""en"",""fr"")"),"Ils sont en compétition pour voir à quelle vitesse ils peuvent sauter entre eux alors que l'entraîneur applaudit et les encourage.")</f>
        <v>Ils sont en compétition pour voir à quelle vitesse ils peuvent sauter entre eux alors que l'entraîneur applaudit et les encourage.</v>
      </c>
    </row>
    <row r="4250">
      <c r="A4250" s="4" t="s">
        <v>5346</v>
      </c>
      <c r="B4250" s="4" t="s">
        <v>5347</v>
      </c>
      <c r="C4250" s="5" t="str">
        <f>IFERROR(__xludf.DUMMYFUNCTION("GOOGLETRANSLATE(B4250,""en"",""fr"")"),"Une fille est assise à une table à parler.")</f>
        <v>Une fille est assise à une table à parler.</v>
      </c>
    </row>
    <row r="4251">
      <c r="A4251" s="4" t="s">
        <v>5346</v>
      </c>
      <c r="B4251" s="4" t="s">
        <v>5348</v>
      </c>
      <c r="C4251" s="5" t="str">
        <f>IFERROR(__xludf.DUMMYFUNCTION("GOOGLETRANSLATE(B4251,""en"",""fr"")"),"Nous voyons un écran d'intro.")</f>
        <v>Nous voyons un écran d'intro.</v>
      </c>
    </row>
    <row r="4252">
      <c r="A4252" s="4" t="s">
        <v>5346</v>
      </c>
      <c r="B4252" s="4" t="s">
        <v>5349</v>
      </c>
      <c r="C4252" s="5" t="str">
        <f>IFERROR(__xludf.DUMMYFUNCTION("GOOGLETRANSLATE(B4252,""en"",""fr"")"),"La fille est assise à la table et montre un sac cadeau.")</f>
        <v>La fille est assise à la table et montre un sac cadeau.</v>
      </c>
    </row>
    <row r="4253">
      <c r="A4253" s="4" t="s">
        <v>5346</v>
      </c>
      <c r="B4253" s="4" t="s">
        <v>5350</v>
      </c>
      <c r="C4253" s="5" t="str">
        <f>IFERROR(__xludf.DUMMYFUNCTION("GOOGLETRANSLATE(B4253,""en"",""fr"")"),"Un chat traverse la table et saute.")</f>
        <v>Un chat traverse la table et saute.</v>
      </c>
    </row>
    <row r="4254">
      <c r="A4254" s="4" t="s">
        <v>5346</v>
      </c>
      <c r="B4254" s="4" t="s">
        <v>5351</v>
      </c>
      <c r="C4254" s="5" t="str">
        <f>IFERROR(__xludf.DUMMYFUNCTION("GOOGLETRANSLATE(B4254,""en"",""fr"")"),"Nous voyons que la fille met des cadeaux dans un sac cadeau avec du papier de soie.")</f>
        <v>Nous voyons que la fille met des cadeaux dans un sac cadeau avec du papier de soie.</v>
      </c>
    </row>
    <row r="4255">
      <c r="A4255" s="4" t="s">
        <v>5346</v>
      </c>
      <c r="B4255" s="4" t="s">
        <v>5352</v>
      </c>
      <c r="C4255" s="5" t="str">
        <f>IFERROR(__xludf.DUMMYFUNCTION("GOOGLETRANSLATE(B4255,""en"",""fr"")"),"La fille déménage le chat de la table et sur le sol.")</f>
        <v>La fille déménage le chat de la table et sur le sol.</v>
      </c>
    </row>
    <row r="4256">
      <c r="A4256" s="4" t="s">
        <v>5346</v>
      </c>
      <c r="B4256" s="4" t="s">
        <v>5353</v>
      </c>
      <c r="C4256" s="5" t="str">
        <f>IFERROR(__xludf.DUMMYFUNCTION("GOOGLETRANSLATE(B4256,""en"",""fr"")"),"La fille ajoute plus de papier de soie au sac.")</f>
        <v>La fille ajoute plus de papier de soie au sac.</v>
      </c>
    </row>
    <row r="4257">
      <c r="A4257" s="4" t="s">
        <v>5354</v>
      </c>
      <c r="B4257" s="4" t="s">
        <v>5355</v>
      </c>
      <c r="C4257" s="5" t="str">
        <f>IFERROR(__xludf.DUMMYFUNCTION("GOOGLETRANSLATE(B4257,""en"",""fr"")"),"Plusieurs tasses sont représentées assises sur une table avec un homme debout derrière.")</f>
        <v>Plusieurs tasses sont représentées assises sur une table avec un homme debout derrière.</v>
      </c>
    </row>
    <row r="4258">
      <c r="A4258" s="4" t="s">
        <v>5354</v>
      </c>
      <c r="B4258" s="4" t="s">
        <v>5356</v>
      </c>
      <c r="C4258" s="5" t="str">
        <f>IFERROR(__xludf.DUMMYFUNCTION("GOOGLETRANSLATE(B4258,""en"",""fr"")"),"L'homme jette ensuite le ballon dans une tasse et applaudit.")</f>
        <v>L'homme jette ensuite le ballon dans une tasse et applaudit.</v>
      </c>
    </row>
    <row r="4259">
      <c r="A4259" s="4" t="s">
        <v>5354</v>
      </c>
      <c r="B4259" s="4" t="s">
        <v>5357</v>
      </c>
      <c r="C4259" s="5" t="str">
        <f>IFERROR(__xludf.DUMMYFUNCTION("GOOGLETRANSLATE(B4259,""en"",""fr"")"),"Il s'éloigne enfin de la caméra.")</f>
        <v>Il s'éloigne enfin de la caméra.</v>
      </c>
    </row>
    <row r="4260">
      <c r="A4260" s="4" t="s">
        <v>5358</v>
      </c>
      <c r="B4260" s="4" t="s">
        <v>5359</v>
      </c>
      <c r="C4260" s="5" t="str">
        <f>IFERROR(__xludf.DUMMYFUNCTION("GOOGLETRANSLATE(B4260,""en"",""fr"")"),"Les gens lavent une voiture avec de l'eau à l'aide d'un tuyau.")</f>
        <v>Les gens lavent une voiture avec de l'eau à l'aide d'un tuyau.</v>
      </c>
    </row>
    <row r="4261">
      <c r="A4261" s="4" t="s">
        <v>5358</v>
      </c>
      <c r="B4261" s="4" t="s">
        <v>5360</v>
      </c>
      <c r="C4261" s="5" t="str">
        <f>IFERROR(__xludf.DUMMYFUNCTION("GOOGLETRANSLATE(B4261,""en"",""fr"")"),"Un homme se tient sur le côté en regardant les hommes.")</f>
        <v>Un homme se tient sur le côté en regardant les hommes.</v>
      </c>
    </row>
    <row r="4262">
      <c r="A4262" s="4" t="s">
        <v>5358</v>
      </c>
      <c r="B4262" s="4" t="s">
        <v>5361</v>
      </c>
      <c r="C4262" s="5" t="str">
        <f>IFERROR(__xludf.DUMMYFUNCTION("GOOGLETRANSLATE(B4262,""en"",""fr"")"),"Ensuite, les hommes ont mis du savon sur la voiture, après avoir rincer la voiture à l'eau.")</f>
        <v>Ensuite, les hommes ont mis du savon sur la voiture, après avoir rincer la voiture à l'eau.</v>
      </c>
    </row>
    <row r="4263">
      <c r="A4263" s="4" t="s">
        <v>5358</v>
      </c>
      <c r="B4263" s="4" t="s">
        <v>5362</v>
      </c>
      <c r="C4263" s="5" t="str">
        <f>IFERROR(__xludf.DUMMYFUNCTION("GOOGLETRANSLATE(B4263,""en"",""fr"")"),"Un homme entre dans la voiture.")</f>
        <v>Un homme entre dans la voiture.</v>
      </c>
    </row>
    <row r="4264">
      <c r="A4264" s="4" t="s">
        <v>5363</v>
      </c>
      <c r="B4264" s="4" t="s">
        <v>5364</v>
      </c>
      <c r="C4264" s="5" t="str">
        <f>IFERROR(__xludf.DUMMYFUNCTION("GOOGLETRANSLATE(B4264,""en"",""fr"")"),"Un enfant monte un tube intérieur sur une grande colline de neige.")</f>
        <v>Un enfant monte un tube intérieur sur une grande colline de neige.</v>
      </c>
    </row>
    <row r="4265">
      <c r="A4265" s="4" t="s">
        <v>5363</v>
      </c>
      <c r="B4265" s="4" t="s">
        <v>5365</v>
      </c>
      <c r="C4265" s="5" t="str">
        <f>IFERROR(__xludf.DUMMYFUNCTION("GOOGLETRANSLATE(B4265,""en"",""fr"")"),"Les gens se tiennent et s'assoient sur les côtés de la colline de neige en regardant.")</f>
        <v>Les gens se tiennent et s'assoient sur les côtés de la colline de neige en regardant.</v>
      </c>
    </row>
    <row r="4266">
      <c r="A4266" s="4" t="s">
        <v>5366</v>
      </c>
      <c r="B4266" s="4" t="s">
        <v>5367</v>
      </c>
      <c r="C4266" s="5" t="str">
        <f>IFERROR(__xludf.DUMMYFUNCTION("GOOGLETRANSLATE(B4266,""en"",""fr"")"),"Une femme se tient à l'extérieur dans une tenue d'arts martiaux roses.")</f>
        <v>Une femme se tient à l'extérieur dans une tenue d'arts martiaux roses.</v>
      </c>
    </row>
    <row r="4267">
      <c r="A4267" s="4" t="s">
        <v>5366</v>
      </c>
      <c r="B4267" s="4" t="s">
        <v>5368</v>
      </c>
      <c r="C4267" s="5" t="str">
        <f>IFERROR(__xludf.DUMMYFUNCTION("GOOGLETRANSLATE(B4267,""en"",""fr"")"),"Elle se déplace lentement, montrant divers mouvements d'arts martiaux.")</f>
        <v>Elle se déplace lentement, montrant divers mouvements d'arts martiaux.</v>
      </c>
    </row>
    <row r="4268">
      <c r="A4268" s="4" t="s">
        <v>5366</v>
      </c>
      <c r="B4268" s="4" t="s">
        <v>5369</v>
      </c>
      <c r="C4268" s="5" t="str">
        <f>IFERROR(__xludf.DUMMYFUNCTION("GOOGLETRANSLATE(B4268,""en"",""fr"")"),"Elle continue de se déplacer lentement alors que les noms des mouvements apparaissent à l'écran.")</f>
        <v>Elle continue de se déplacer lentement alors que les noms des mouvements apparaissent à l'écran.</v>
      </c>
    </row>
    <row r="4269">
      <c r="A4269" s="4" t="s">
        <v>5370</v>
      </c>
      <c r="B4269" s="6" t="s">
        <v>5371</v>
      </c>
      <c r="C4269" s="5" t="str">
        <f>IFERROR(__xludf.DUMMYFUNCTION("GOOGLETRANSLATE(B4269,""en"",""fr"")"),"Un gros plan de maisons est montré avec une personne marchant avec un chien puis parlant à la caméra.")</f>
        <v>Un gros plan de maisons est montré avec une personne marchant avec un chien puis parlant à la caméra.</v>
      </c>
    </row>
    <row r="4270">
      <c r="A4270" s="4" t="s">
        <v>5370</v>
      </c>
      <c r="B4270" s="4" t="s">
        <v>5372</v>
      </c>
      <c r="C4270" s="5" t="str">
        <f>IFERROR(__xludf.DUMMYFUNCTION("GOOGLETRANSLATE(B4270,""en"",""fr"")"),"L'homme continue de parler alors qu'il mène le chien dans le quartier.")</f>
        <v>L'homme continue de parler alors qu'il mène le chien dans le quartier.</v>
      </c>
    </row>
    <row r="4271">
      <c r="A4271" s="4" t="s">
        <v>5373</v>
      </c>
      <c r="B4271" s="4" t="s">
        <v>5374</v>
      </c>
      <c r="C4271" s="5" t="str">
        <f>IFERROR(__xludf.DUMMYFUNCTION("GOOGLETRANSLATE(B4271,""en"",""fr"")"),"Un gentleman plus âgé brosse un cheval brun.")</f>
        <v>Un gentleman plus âgé brosse un cheval brun.</v>
      </c>
    </row>
    <row r="4272">
      <c r="A4272" s="4" t="s">
        <v>5373</v>
      </c>
      <c r="B4272" s="4" t="s">
        <v>5375</v>
      </c>
      <c r="C4272" s="5" t="str">
        <f>IFERROR(__xludf.DUMMYFUNCTION("GOOGLETRANSLATE(B4272,""en"",""fr"")"),"Il se retourne et parle à une femme plus âgée.")</f>
        <v>Il se retourne et parle à une femme plus âgée.</v>
      </c>
    </row>
    <row r="4273">
      <c r="A4273" s="4" t="s">
        <v>5373</v>
      </c>
      <c r="B4273" s="4" t="s">
        <v>5376</v>
      </c>
      <c r="C4273" s="5" t="str">
        <f>IFERROR(__xludf.DUMMYFUNCTION("GOOGLETRANSLATE(B4273,""en"",""fr"")"),"Le cheval soulève saté.")</f>
        <v>Le cheval soulève saté.</v>
      </c>
    </row>
    <row r="4274">
      <c r="A4274" s="4" t="s">
        <v>5377</v>
      </c>
      <c r="B4274" s="4" t="s">
        <v>5378</v>
      </c>
      <c r="C4274" s="5" t="str">
        <f>IFERROR(__xludf.DUMMYFUNCTION("GOOGLETRANSLATE(B4274,""en"",""fr"")"),"Un chien est vu allongé confortablement dans un grand bol avec un homme à côté de lui.")</f>
        <v>Un chien est vu allongé confortablement dans un grand bol avec un homme à côté de lui.</v>
      </c>
    </row>
    <row r="4275">
      <c r="A4275" s="4" t="s">
        <v>5377</v>
      </c>
      <c r="B4275" s="4" t="s">
        <v>5379</v>
      </c>
      <c r="C4275" s="5" t="str">
        <f>IFERROR(__xludf.DUMMYFUNCTION("GOOGLETRANSLATE(B4275,""en"",""fr"")"),"L'homme est vu s'agenouiller à côté du chien et commence à le frotter.")</f>
        <v>L'homme est vu s'agenouiller à côté du chien et commence à le frotter.</v>
      </c>
    </row>
    <row r="4276">
      <c r="A4276" s="4" t="s">
        <v>5377</v>
      </c>
      <c r="B4276" s="4" t="s">
        <v>5380</v>
      </c>
      <c r="C4276" s="5" t="str">
        <f>IFERROR(__xludf.DUMMYFUNCTION("GOOGLETRANSLATE(B4276,""en"",""fr"")"),"L'homme continue de nettoyer le chien dans le bain.")</f>
        <v>L'homme continue de nettoyer le chien dans le bain.</v>
      </c>
    </row>
    <row r="4277">
      <c r="A4277" s="4" t="s">
        <v>5381</v>
      </c>
      <c r="B4277" s="4" t="s">
        <v>5382</v>
      </c>
      <c r="C4277" s="5" t="str">
        <f>IFERROR(__xludf.DUMMYFUNCTION("GOOGLETRANSLATE(B4277,""en"",""fr"")"),"Les gens jouent à Dodge Ball dans un gymnase.")</f>
        <v>Les gens jouent à Dodge Ball dans un gymnase.</v>
      </c>
    </row>
    <row r="4278">
      <c r="A4278" s="4" t="s">
        <v>5381</v>
      </c>
      <c r="B4278" s="4" t="s">
        <v>5383</v>
      </c>
      <c r="C4278" s="5" t="str">
        <f>IFERROR(__xludf.DUMMYFUNCTION("GOOGLETRANSLATE(B4278,""en"",""fr"")"),"Ils commencent à se jeter les couilles.")</f>
        <v>Ils commencent à se jeter les couilles.</v>
      </c>
    </row>
    <row r="4279">
      <c r="A4279" s="4" t="s">
        <v>5384</v>
      </c>
      <c r="B4279" s="4" t="s">
        <v>5385</v>
      </c>
      <c r="C4279" s="5" t="str">
        <f>IFERROR(__xludf.DUMMYFUNCTION("GOOGLETRANSLATE(B4279,""en"",""fr"")"),"Un homme pousse un tube sur une colline.")</f>
        <v>Un homme pousse un tube sur une colline.</v>
      </c>
    </row>
    <row r="4280">
      <c r="A4280" s="4" t="s">
        <v>5384</v>
      </c>
      <c r="B4280" s="4" t="s">
        <v>5386</v>
      </c>
      <c r="C4280" s="5" t="str">
        <f>IFERROR(__xludf.DUMMYFUNCTION("GOOGLETRANSLATE(B4280,""en"",""fr"")"),"Une autre personne traîne sur la colline sur un tube.")</f>
        <v>Une autre personne traîne sur la colline sur un tube.</v>
      </c>
    </row>
    <row r="4281">
      <c r="A4281" s="4" t="s">
        <v>5384</v>
      </c>
      <c r="B4281" s="4" t="s">
        <v>5387</v>
      </c>
      <c r="C4281" s="5" t="str">
        <f>IFERROR(__xludf.DUMMYFUNCTION("GOOGLETRANSLATE(B4281,""en"",""fr"")"),"Une personne dans une veste rouge se tient en bas.")</f>
        <v>Une personne dans une veste rouge se tient en bas.</v>
      </c>
    </row>
    <row r="4282">
      <c r="A4282" s="4" t="s">
        <v>5388</v>
      </c>
      <c r="B4282" s="4" t="s">
        <v>5389</v>
      </c>
      <c r="C4282" s="5" t="str">
        <f>IFERROR(__xludf.DUMMYFUNCTION("GOOGLETRANSLATE(B4282,""en"",""fr"")"),"Cet homme porte un t-shirt bleu et un short blanc et il fait sa routine de gymnastique.")</f>
        <v>Cet homme porte un t-shirt bleu et un short blanc et il fait sa routine de gymnastique.</v>
      </c>
    </row>
    <row r="4283">
      <c r="A4283" s="4" t="s">
        <v>5388</v>
      </c>
      <c r="B4283" s="4" t="s">
        <v>5390</v>
      </c>
      <c r="C4283" s="5" t="str">
        <f>IFERROR(__xludf.DUMMYFUNCTION("GOOGLETRANSLATE(B4283,""en"",""fr"")"),"Puis il descend et s'éloigne pour aller ailleurs.")</f>
        <v>Puis il descend et s'éloigne pour aller ailleurs.</v>
      </c>
    </row>
    <row r="4284">
      <c r="A4284" s="4" t="s">
        <v>5388</v>
      </c>
      <c r="B4284" s="4" t="s">
        <v>5391</v>
      </c>
      <c r="C4284" s="5" t="str">
        <f>IFERROR(__xludf.DUMMYFUNCTION("GOOGLETRANSLATE(B4284,""en"",""fr"")"),"Il y a aussi un autre homme avec lui qui se promène et il porte une chemise verte.")</f>
        <v>Il y a aussi un autre homme avec lui qui se promène et il porte une chemise verte.</v>
      </c>
    </row>
    <row r="4285">
      <c r="A4285" s="4" t="s">
        <v>5392</v>
      </c>
      <c r="B4285" s="4" t="s">
        <v>5393</v>
      </c>
      <c r="C4285" s="5" t="str">
        <f>IFERROR(__xludf.DUMMYFUNCTION("GOOGLETRANSLATE(B4285,""en"",""fr"")"),"Un homme est vu parler à une femme alors qu'elle met sur une ceinture puis monte sur scène.")</f>
        <v>Un homme est vu parler à une femme alors qu'elle met sur une ceinture puis monte sur scène.</v>
      </c>
    </row>
    <row r="4286">
      <c r="A4286" s="4" t="s">
        <v>5392</v>
      </c>
      <c r="B4286" s="6" t="s">
        <v>5394</v>
      </c>
      <c r="C4286" s="5" t="str">
        <f>IFERROR(__xludf.DUMMYFUNCTION("GOOGLETRANSLATE(B4286,""en"",""fr"")"),"La femme se penche ensuite et soulève un gros poids sur sa tête, suivi en le jetant vers le bas et en sortant de la scène.")</f>
        <v>La femme se penche ensuite et soulève un gros poids sur sa tête, suivi en le jetant vers le bas et en sortant de la scène.</v>
      </c>
    </row>
    <row r="4287">
      <c r="A4287" s="4" t="s">
        <v>5392</v>
      </c>
      <c r="B4287" s="4" t="s">
        <v>5395</v>
      </c>
      <c r="C4287" s="5" t="str">
        <f>IFERROR(__xludf.DUMMYFUNCTION("GOOGLETRANSLATE(B4287,""en"",""fr"")"),"Son même ascenseur est à nouveau illustré au ralenti.")</f>
        <v>Son même ascenseur est à nouveau illustré au ralenti.</v>
      </c>
    </row>
    <row r="4288">
      <c r="A4288" s="4" t="s">
        <v>5396</v>
      </c>
      <c r="B4288" s="4" t="s">
        <v>5397</v>
      </c>
      <c r="C4288" s="5" t="str">
        <f>IFERROR(__xludf.DUMMYFUNCTION("GOOGLETRANSLATE(B4288,""en"",""fr"")"),"Le garçon est du skateboard dans un skate park la nuit.")</f>
        <v>Le garçon est du skateboard dans un skate park la nuit.</v>
      </c>
    </row>
    <row r="4289">
      <c r="A4289" s="4" t="s">
        <v>5396</v>
      </c>
      <c r="B4289" s="4" t="s">
        <v>5398</v>
      </c>
      <c r="C4289" s="5" t="str">
        <f>IFERROR(__xludf.DUMMYFUNCTION("GOOGLETRANSLATE(B4289,""en"",""fr"")"),"Le garçon est du skateboard dans un trottoir avec People qui passe.")</f>
        <v>Le garçon est du skateboard dans un trottoir avec People qui passe.</v>
      </c>
    </row>
    <row r="4290">
      <c r="A4290" s="4" t="s">
        <v>5396</v>
      </c>
      <c r="B4290" s="4" t="s">
        <v>5399</v>
      </c>
      <c r="C4290" s="5" t="str">
        <f>IFERROR(__xludf.DUMMYFUNCTION("GOOGLETRANSLATE(B4290,""en"",""fr"")"),"L'homme est du skateboard dans la rue et une voiture est presque en cours.")</f>
        <v>L'homme est du skateboard dans la rue et une voiture est presque en cours.</v>
      </c>
    </row>
    <row r="4291">
      <c r="A4291" s="4" t="s">
        <v>5396</v>
      </c>
      <c r="B4291" s="4" t="s">
        <v>5400</v>
      </c>
      <c r="C4291" s="5" t="str">
        <f>IFERROR(__xludf.DUMMYFUNCTION("GOOGLETRANSLATE(B4291,""en"",""fr"")"),"scènes d'hommes skteboarding dans une clôture et tombant.")</f>
        <v>scènes d'hommes skteboarding dans une clôture et tombant.</v>
      </c>
    </row>
    <row r="4292">
      <c r="A4292" s="4" t="s">
        <v>5401</v>
      </c>
      <c r="B4292" s="4" t="s">
        <v>5402</v>
      </c>
      <c r="C4292" s="5" t="str">
        <f>IFERROR(__xludf.DUMMYFUNCTION("GOOGLETRANSLATE(B4292,""en"",""fr"")"),"Beaucoup de gens sont sur un marathon qui courent dans la rue tandis que les gens sont sur les côtés.")</f>
        <v>Beaucoup de gens sont sur un marathon qui courent dans la rue tandis que les gens sont sur les côtés.</v>
      </c>
    </row>
    <row r="4293">
      <c r="A4293" s="4" t="s">
        <v>5401</v>
      </c>
      <c r="B4293" s="4" t="s">
        <v>5403</v>
      </c>
      <c r="C4293" s="5" t="str">
        <f>IFERROR(__xludf.DUMMYFUNCTION("GOOGLETRANSLATE(B4293,""en"",""fr"")"),"Différentes femmes et hommes traversent l'arrivée.")</f>
        <v>Différentes femmes et hommes traversent l'arrivée.</v>
      </c>
    </row>
    <row r="4294">
      <c r="A4294" s="4" t="s">
        <v>5404</v>
      </c>
      <c r="B4294" s="4" t="s">
        <v>5405</v>
      </c>
      <c r="C4294" s="5" t="str">
        <f>IFERROR(__xludf.DUMMYFUNCTION("GOOGLETRANSLATE(B4294,""en"",""fr"")"),"Un homme en chemise noire parle sur un terrain de basket.")</f>
        <v>Un homme en chemise noire parle sur un terrain de basket.</v>
      </c>
    </row>
    <row r="4295">
      <c r="A4295" s="4" t="s">
        <v>5404</v>
      </c>
      <c r="B4295" s="4" t="s">
        <v>5406</v>
      </c>
      <c r="C4295" s="5" t="str">
        <f>IFERROR(__xludf.DUMMYFUNCTION("GOOGLETRANSLATE(B4295,""en"",""fr"")"),"Un garçon joue au basket sur le terrain.")</f>
        <v>Un garçon joue au basket sur le terrain.</v>
      </c>
    </row>
    <row r="4296">
      <c r="A4296" s="4" t="s">
        <v>5407</v>
      </c>
      <c r="B4296" s="4" t="s">
        <v>1251</v>
      </c>
      <c r="C4296" s="5" t="str">
        <f>IFERROR(__xludf.DUMMYFUNCTION("GOOGLETRANSLATE(B4296,""en"",""fr"")"),"Les crédits du clip sont affichés.")</f>
        <v>Les crédits du clip sont affichés.</v>
      </c>
    </row>
    <row r="4297">
      <c r="A4297" s="4" t="s">
        <v>5407</v>
      </c>
      <c r="B4297" s="4" t="s">
        <v>5408</v>
      </c>
      <c r="C4297" s="5" t="str">
        <f>IFERROR(__xludf.DUMMYFUNCTION("GOOGLETRANSLATE(B4297,""en"",""fr"")"),"Une performance de dame sur scène avec un (s) chien (s).")</f>
        <v>Une performance de dame sur scène avec un (s) chien (s).</v>
      </c>
    </row>
    <row r="4298">
      <c r="A4298" s="4" t="s">
        <v>5407</v>
      </c>
      <c r="B4298" s="4" t="s">
        <v>5409</v>
      </c>
      <c r="C4298" s="5" t="str">
        <f>IFERROR(__xludf.DUMMYFUNCTION("GOOGLETRANSLATE(B4298,""en"",""fr"")"),"Le chien va chercher des assiettes que la dame jette.")</f>
        <v>Le chien va chercher des assiettes que la dame jette.</v>
      </c>
    </row>
    <row r="4299">
      <c r="A4299" s="4" t="s">
        <v>5407</v>
      </c>
      <c r="B4299" s="4" t="s">
        <v>5410</v>
      </c>
      <c r="C4299" s="5" t="str">
        <f>IFERROR(__xludf.DUMMYFUNCTION("GOOGLETRANSLATE(B4299,""en"",""fr"")"),"Un deuxième chien rejoint l'acte sur scène.")</f>
        <v>Un deuxième chien rejoint l'acte sur scène.</v>
      </c>
    </row>
    <row r="4300">
      <c r="A4300" s="4" t="s">
        <v>5407</v>
      </c>
      <c r="B4300" s="4" t="s">
        <v>5411</v>
      </c>
      <c r="C4300" s="5" t="str">
        <f>IFERROR(__xludf.DUMMYFUNCTION("GOOGLETRANSLATE(B4300,""en"",""fr"")"),"Les chiens vont chercher des assiettes ensemble.")</f>
        <v>Les chiens vont chercher des assiettes ensemble.</v>
      </c>
    </row>
    <row r="4301">
      <c r="A4301" s="4" t="s">
        <v>5407</v>
      </c>
      <c r="B4301" s="4" t="s">
        <v>5412</v>
      </c>
      <c r="C4301" s="5" t="str">
        <f>IFERROR(__xludf.DUMMYFUNCTION("GOOGLETRANSLATE(B4301,""en"",""fr"")"),"Un chien saute continuellement par-dessus un autre chien et dans la main de la dame.")</f>
        <v>Un chien saute continuellement par-dessus un autre chien et dans la main de la dame.</v>
      </c>
    </row>
    <row r="4302">
      <c r="A4302" s="4" t="s">
        <v>5407</v>
      </c>
      <c r="B4302" s="4" t="s">
        <v>5413</v>
      </c>
      <c r="C4302" s="5" t="str">
        <f>IFERROR(__xludf.DUMMYFUNCTION("GOOGLETRANSLATE(B4302,""en"",""fr"")"),"Un chien saute à travers des cerceaux.")</f>
        <v>Un chien saute à travers des cerceaux.</v>
      </c>
    </row>
    <row r="4303">
      <c r="A4303" s="4" t="s">
        <v>5407</v>
      </c>
      <c r="B4303" s="4" t="s">
        <v>5414</v>
      </c>
      <c r="C4303" s="5" t="str">
        <f>IFERROR(__xludf.DUMMYFUNCTION("GOOGLETRANSLATE(B4303,""en"",""fr"")"),"Un chien saute de la scène sur le dos de la dame.")</f>
        <v>Un chien saute de la scène sur le dos de la dame.</v>
      </c>
    </row>
    <row r="4304">
      <c r="A4304" s="4" t="s">
        <v>5407</v>
      </c>
      <c r="B4304" s="4" t="s">
        <v>5415</v>
      </c>
      <c r="C4304" s="5" t="str">
        <f>IFERROR(__xludf.DUMMYFUNCTION("GOOGLETRANSLATE(B4304,""en"",""fr"")"),"Un chien mord sur une plaque rouge et ne lâche pas.")</f>
        <v>Un chien mord sur une plaque rouge et ne lâche pas.</v>
      </c>
    </row>
    <row r="4305">
      <c r="A4305" s="4" t="s">
        <v>5407</v>
      </c>
      <c r="B4305" s="4" t="s">
        <v>5416</v>
      </c>
      <c r="C4305" s="5" t="str">
        <f>IFERROR(__xludf.DUMMYFUNCTION("GOOGLETRANSLATE(B4305,""en"",""fr"")"),"Un chien saute sur une semelle surélevée d'une dame.")</f>
        <v>Un chien saute sur une semelle surélevée d'une dame.</v>
      </c>
    </row>
    <row r="4306">
      <c r="A4306" s="4" t="s">
        <v>5407</v>
      </c>
      <c r="B4306" s="4" t="s">
        <v>5417</v>
      </c>
      <c r="C4306" s="5" t="str">
        <f>IFERROR(__xludf.DUMMYFUNCTION("GOOGLETRANSLATE(B4306,""en"",""fr"")"),"Les artistes prennent un nœud et avec le chien quittent la scène.")</f>
        <v>Les artistes prennent un nœud et avec le chien quittent la scène.</v>
      </c>
    </row>
    <row r="4307">
      <c r="A4307" s="4" t="s">
        <v>5407</v>
      </c>
      <c r="B4307" s="4" t="s">
        <v>5418</v>
      </c>
      <c r="C4307" s="5" t="str">
        <f>IFERROR(__xludf.DUMMYFUNCTION("GOOGLETRANSLATE(B4307,""en"",""fr"")"),"Les rideaux de scène sont dessinés.")</f>
        <v>Les rideaux de scène sont dessinés.</v>
      </c>
    </row>
    <row r="4308">
      <c r="A4308" s="4" t="s">
        <v>5407</v>
      </c>
      <c r="B4308" s="4" t="s">
        <v>573</v>
      </c>
      <c r="C4308" s="5" t="str">
        <f>IFERROR(__xludf.DUMMYFUNCTION("GOOGLETRANSLATE(B4308,""en"",""fr"")"),"Les crédits de la vidéo sont affichés.")</f>
        <v>Les crédits de la vidéo sont affichés.</v>
      </c>
    </row>
    <row r="4309">
      <c r="A4309" s="4" t="s">
        <v>5419</v>
      </c>
      <c r="B4309" s="4" t="s">
        <v>5420</v>
      </c>
      <c r="C4309" s="5" t="str">
        <f>IFERROR(__xludf.DUMMYFUNCTION("GOOGLETRANSLATE(B4309,""en"",""fr"")"),"Une femme se tient derrière une table avec des talons hauts.")</f>
        <v>Une femme se tient derrière une table avec des talons hauts.</v>
      </c>
    </row>
    <row r="4310">
      <c r="A4310" s="4" t="s">
        <v>5419</v>
      </c>
      <c r="B4310" s="4" t="s">
        <v>5421</v>
      </c>
      <c r="C4310" s="5" t="str">
        <f>IFERROR(__xludf.DUMMYFUNCTION("GOOGLETRANSLATE(B4310,""en"",""fr"")"),"Elle commence à essuyer la chaussure.")</f>
        <v>Elle commence à essuyer la chaussure.</v>
      </c>
    </row>
    <row r="4311">
      <c r="A4311" s="4" t="s">
        <v>5419</v>
      </c>
      <c r="B4311" s="4" t="s">
        <v>5422</v>
      </c>
      <c r="C4311" s="5" t="str">
        <f>IFERROR(__xludf.DUMMYFUNCTION("GOOGLETRANSLATE(B4311,""en"",""fr"")"),"Elle utilise un Q-tip pour nettoyer le côté de la chaussure.")</f>
        <v>Elle utilise un Q-tip pour nettoyer le côté de la chaussure.</v>
      </c>
    </row>
    <row r="4312">
      <c r="A4312" s="4" t="s">
        <v>5419</v>
      </c>
      <c r="B4312" s="4" t="s">
        <v>5423</v>
      </c>
      <c r="C4312" s="5" t="str">
        <f>IFERROR(__xludf.DUMMYFUNCTION("GOOGLETRANSLATE(B4312,""en"",""fr"")"),"Elle pulvérise la chaussure avec Windex et l'essuie.")</f>
        <v>Elle pulvérise la chaussure avec Windex et l'essuie.</v>
      </c>
    </row>
    <row r="4313">
      <c r="A4313" s="4" t="s">
        <v>5424</v>
      </c>
      <c r="B4313" s="6" t="s">
        <v>5425</v>
      </c>
      <c r="C4313" s="5" t="str">
        <f>IFERROR(__xludf.DUMMYFUNCTION("GOOGLETRANSLATE(B4313,""en"",""fr"")"),"On voit une main mettant des poids sur une barre et mène à une personne soulevant des poids sur leurs épaules et marche.")</f>
        <v>On voit une main mettant des poids sur une barre et mène à une personne soulevant des poids sur leurs épaules et marche.</v>
      </c>
    </row>
    <row r="4314">
      <c r="A4314" s="4" t="s">
        <v>5424</v>
      </c>
      <c r="B4314" s="4" t="s">
        <v>5426</v>
      </c>
      <c r="C4314" s="5" t="str">
        <f>IFERROR(__xludf.DUMMYFUNCTION("GOOGLETRANSLATE(B4314,""en"",""fr"")"),"La personne détient les poids et revient avec les poids qui se jettent.")</f>
        <v>La personne détient les poids et revient avec les poids qui se jettent.</v>
      </c>
    </row>
    <row r="4315">
      <c r="A4315" s="4" t="s">
        <v>5427</v>
      </c>
      <c r="B4315" s="6" t="s">
        <v>5428</v>
      </c>
      <c r="C4315" s="5" t="str">
        <f>IFERROR(__xludf.DUMMYFUNCTION("GOOGLETRANSLATE(B4315,""en"",""fr"")"),"Une femme aux pieds nus dans une tenue violette et un foulard beige s'agenouille et lave la vaisselle dans un plan d'eau extérieur devant l'herbe et une plate-forme en bois.")</f>
        <v>Une femme aux pieds nus dans une tenue violette et un foulard beige s'agenouille et lave la vaisselle dans un plan d'eau extérieur devant l'herbe et une plate-forme en bois.</v>
      </c>
    </row>
    <row r="4316">
      <c r="A4316" s="4" t="s">
        <v>5427</v>
      </c>
      <c r="B4316" s="6" t="s">
        <v>5429</v>
      </c>
      <c r="C4316" s="5" t="str">
        <f>IFERROR(__xludf.DUMMYFUNCTION("GOOGLETRANSLATE(B4316,""en"",""fr"")"),"La femme rince un plateau de bronze dans le plan d'eau étroit et procède à la placer dans un seau en plastique orange.")</f>
        <v>La femme rince un plateau de bronze dans le plan d'eau étroit et procède à la placer dans un seau en plastique orange.</v>
      </c>
    </row>
    <row r="4317">
      <c r="A4317" s="4" t="s">
        <v>5427</v>
      </c>
      <c r="B4317" s="4" t="s">
        <v>5430</v>
      </c>
      <c r="C4317" s="5" t="str">
        <f>IFERROR(__xludf.DUMMYFUNCTION("GOOGLETRANSLATE(B4317,""en"",""fr"")"),"La femme continue de laver d'autres plats et de les placer dans le panier orange.")</f>
        <v>La femme continue de laver d'autres plats et de les placer dans le panier orange.</v>
      </c>
    </row>
    <row r="4318">
      <c r="A4318" s="4" t="s">
        <v>5427</v>
      </c>
      <c r="B4318" s="6" t="s">
        <v>5431</v>
      </c>
      <c r="C4318" s="5" t="str">
        <f>IFERROR(__xludf.DUMMYFUNCTION("GOOGLETRANSLATE(B4318,""en"",""fr"")"),"La caméra passe sur une grande distance et se tourne pour montrer une bannister jaune sur une terrasse extérieure avec une chaisette en cuir marron comme un coin salon sur un grand lac.")</f>
        <v>La caméra passe sur une grande distance et se tourne pour montrer une bannister jaune sur une terrasse extérieure avec une chaisette en cuir marron comme un coin salon sur un grand lac.</v>
      </c>
    </row>
    <row r="4319">
      <c r="A4319" s="4" t="s">
        <v>5432</v>
      </c>
      <c r="B4319" s="4" t="s">
        <v>5433</v>
      </c>
      <c r="C4319" s="5" t="str">
        <f>IFERROR(__xludf.DUMMYFUNCTION("GOOGLETRANSLATE(B4319,""en"",""fr"")"),"Diverses plans de paysages sont affichés ainsi que des gens qui poussent une rondelle pour jouer au shuffleboard.")</f>
        <v>Diverses plans de paysages sont affichés ainsi que des gens qui poussent une rondelle pour jouer au shuffleboard.</v>
      </c>
    </row>
    <row r="4320">
      <c r="A4320" s="4" t="s">
        <v>5432</v>
      </c>
      <c r="B4320" s="4" t="s">
        <v>5434</v>
      </c>
      <c r="C4320" s="5" t="str">
        <f>IFERROR(__xludf.DUMMYFUNCTION("GOOGLETRANSLATE(B4320,""en"",""fr"")"),"Plus de photos du jeu sont affichées ainsi que des instructions de texte sur la façon de jouer.")</f>
        <v>Plus de photos du jeu sont affichées ainsi que des instructions de texte sur la façon de jouer.</v>
      </c>
    </row>
    <row r="4321">
      <c r="A4321" s="4" t="s">
        <v>5432</v>
      </c>
      <c r="B4321" s="4" t="s">
        <v>5435</v>
      </c>
      <c r="C4321" s="5" t="str">
        <f>IFERROR(__xludf.DUMMYFUNCTION("GOOGLETRANSLATE(B4321,""en"",""fr"")"),"Un homme maintient le score et mène à plus de photos du jeu joué.")</f>
        <v>Un homme maintient le score et mène à plus de photos du jeu joué.</v>
      </c>
    </row>
    <row r="4322">
      <c r="A4322" s="4" t="s">
        <v>5436</v>
      </c>
      <c r="B4322" s="4" t="s">
        <v>5437</v>
      </c>
      <c r="C4322" s="5" t="str">
        <f>IFERROR(__xludf.DUMMYFUNCTION("GOOGLETRANSLATE(B4322,""en"",""fr"")"),"Un homme tient une corde de saut et parle.")</f>
        <v>Un homme tient une corde de saut et parle.</v>
      </c>
    </row>
    <row r="4323">
      <c r="A4323" s="4" t="s">
        <v>5436</v>
      </c>
      <c r="B4323" s="4" t="s">
        <v>5438</v>
      </c>
      <c r="C4323" s="5" t="str">
        <f>IFERROR(__xludf.DUMMYFUNCTION("GOOGLETRANSLATE(B4323,""en"",""fr"")"),"Il commence à sauter et fait des tours.")</f>
        <v>Il commence à sauter et fait des tours.</v>
      </c>
    </row>
    <row r="4324">
      <c r="A4324" s="4" t="s">
        <v>5439</v>
      </c>
      <c r="B4324" s="4" t="s">
        <v>5440</v>
      </c>
      <c r="C4324" s="5" t="str">
        <f>IFERROR(__xludf.DUMMYFUNCTION("GOOGLETRANSLATE(B4324,""en"",""fr"")"),"Un petit groupe d'hommes est vu debout sur un bateau avec un poussant un panneau de palets.")</f>
        <v>Un petit groupe d'hommes est vu debout sur un bateau avec un poussant un panneau de palets.</v>
      </c>
    </row>
    <row r="4325">
      <c r="A4325" s="4" t="s">
        <v>5439</v>
      </c>
      <c r="B4325" s="4" t="s">
        <v>5441</v>
      </c>
      <c r="C4325" s="5" t="str">
        <f>IFERROR(__xludf.DUMMYFUNCTION("GOOGLETRANSLATE(B4325,""en"",""fr"")"),"Les hommes commencent alors à jouer au shuffleboard les uns avec les autres tout en se relayant.")</f>
        <v>Les hommes commencent alors à jouer au shuffleboard les uns avec les autres tout en se relayant.</v>
      </c>
    </row>
    <row r="4326">
      <c r="A4326" s="4" t="s">
        <v>5439</v>
      </c>
      <c r="B4326" s="4" t="s">
        <v>5442</v>
      </c>
      <c r="C4326" s="5" t="str">
        <f>IFERROR(__xludf.DUMMYFUNCTION("GOOGLETRANSLATE(B4326,""en"",""fr"")"),"Ils continuent de jouer sur le côté du bateau.")</f>
        <v>Ils continuent de jouer sur le côté du bateau.</v>
      </c>
    </row>
    <row r="4327">
      <c r="A4327" s="4" t="s">
        <v>5443</v>
      </c>
      <c r="B4327" s="4" t="s">
        <v>5444</v>
      </c>
      <c r="C4327" s="5" t="str">
        <f>IFERROR(__xludf.DUMMYFUNCTION("GOOGLETRANSLATE(B4327,""en"",""fr"")"),"Deux hommes se luttent sur une table.")</f>
        <v>Deux hommes se luttent sur une table.</v>
      </c>
    </row>
    <row r="4328">
      <c r="A4328" s="4" t="s">
        <v>5443</v>
      </c>
      <c r="B4328" s="4" t="s">
        <v>5445</v>
      </c>
      <c r="C4328" s="5" t="str">
        <f>IFERROR(__xludf.DUMMYFUNCTION("GOOGLETRANSLATE(B4328,""en"",""fr"")"),"Un autre homme se dirige vers la table et se tient devant eux.")</f>
        <v>Un autre homme se dirige vers la table et se tient devant eux.</v>
      </c>
    </row>
    <row r="4329">
      <c r="A4329" s="4" t="s">
        <v>5443</v>
      </c>
      <c r="B4329" s="4" t="s">
        <v>5446</v>
      </c>
      <c r="C4329" s="5" t="str">
        <f>IFERROR(__xludf.DUMMYFUNCTION("GOOGLETRANSLATE(B4329,""en"",""fr"")"),"Ils terminent la lutte des bras et commencent à se lever.")</f>
        <v>Ils terminent la lutte des bras et commencent à se lever.</v>
      </c>
    </row>
    <row r="4330">
      <c r="A4330" s="4" t="s">
        <v>5447</v>
      </c>
      <c r="B4330" s="4" t="s">
        <v>5448</v>
      </c>
      <c r="C4330" s="5" t="str">
        <f>IFERROR(__xludf.DUMMYFUNCTION("GOOGLETRANSLATE(B4330,""en"",""fr"")"),"Une femme ajoute des ingrédients à une casserole sur le poêle.")</f>
        <v>Une femme ajoute des ingrédients à une casserole sur le poêle.</v>
      </c>
    </row>
    <row r="4331">
      <c r="A4331" s="4" t="s">
        <v>5447</v>
      </c>
      <c r="B4331" s="4" t="s">
        <v>5449</v>
      </c>
      <c r="C4331" s="5" t="str">
        <f>IFERROR(__xludf.DUMMYFUNCTION("GOOGLETRANSLATE(B4331,""en"",""fr"")"),"Elle remue les ingrédients dans la poêle.")</f>
        <v>Elle remue les ingrédients dans la poêle.</v>
      </c>
    </row>
    <row r="4332">
      <c r="A4332" s="4" t="s">
        <v>5447</v>
      </c>
      <c r="B4332" s="4" t="s">
        <v>5450</v>
      </c>
      <c r="C4332" s="5" t="str">
        <f>IFERROR(__xludf.DUMMYFUNCTION("GOOGLETRANSLATE(B4332,""en"",""fr"")"),"Elle tire un grand pot de pâtes et le jette dans la casserole.")</f>
        <v>Elle tire un grand pot de pâtes et le jette dans la casserole.</v>
      </c>
    </row>
    <row r="4333">
      <c r="A4333" s="4" t="s">
        <v>5451</v>
      </c>
      <c r="B4333" s="4" t="s">
        <v>5452</v>
      </c>
      <c r="C4333" s="5" t="str">
        <f>IFERROR(__xludf.DUMMYFUNCTION("GOOGLETRANSLATE(B4333,""en"",""fr"")"),"Une femme marche dans la rue avec deux chiens.")</f>
        <v>Une femme marche dans la rue avec deux chiens.</v>
      </c>
    </row>
    <row r="4334">
      <c r="A4334" s="4" t="s">
        <v>5451</v>
      </c>
      <c r="B4334" s="4" t="s">
        <v>5453</v>
      </c>
      <c r="C4334" s="5" t="str">
        <f>IFERROR(__xludf.DUMMYFUNCTION("GOOGLETRANSLATE(B4334,""en"",""fr"")"),"Le plus gros chien tient une laisse dans sa bouche.")</f>
        <v>Le plus gros chien tient une laisse dans sa bouche.</v>
      </c>
    </row>
    <row r="4335">
      <c r="A4335" s="4" t="s">
        <v>5451</v>
      </c>
      <c r="B4335" s="6" t="s">
        <v>5454</v>
      </c>
      <c r="C4335" s="5" t="str">
        <f>IFERROR(__xludf.DUMMYFUNCTION("GOOGLETRANSLATE(B4335,""en"",""fr"")"),"Le petit chien est attaché à la laisse et est essentiellement dirigé par le plus grand chien pendant la promenade.")</f>
        <v>Le petit chien est attaché à la laisse et est essentiellement dirigé par le plus grand chien pendant la promenade.</v>
      </c>
    </row>
    <row r="4336">
      <c r="A4336" s="4" t="s">
        <v>5451</v>
      </c>
      <c r="B4336" s="4" t="s">
        <v>5455</v>
      </c>
      <c r="C4336" s="5" t="str">
        <f>IFERROR(__xludf.DUMMYFUNCTION("GOOGLETRANSLATE(B4336,""en"",""fr"")"),"Un homme marche devant, ouvrant la voie.")</f>
        <v>Un homme marche devant, ouvrant la voie.</v>
      </c>
    </row>
    <row r="4337">
      <c r="A4337" s="4" t="s">
        <v>5456</v>
      </c>
      <c r="B4337" s="4" t="s">
        <v>5457</v>
      </c>
      <c r="C4337" s="5" t="str">
        <f>IFERROR(__xludf.DUMMYFUNCTION("GOOGLETRANSLATE(B4337,""en"",""fr"")"),"Un homme fait des flips sur l'herbe.")</f>
        <v>Un homme fait des flips sur l'herbe.</v>
      </c>
    </row>
    <row r="4338">
      <c r="A4338" s="4" t="s">
        <v>5456</v>
      </c>
      <c r="B4338" s="4" t="s">
        <v>5458</v>
      </c>
      <c r="C4338" s="5" t="str">
        <f>IFERROR(__xludf.DUMMYFUNCTION("GOOGLETRANSLATE(B4338,""en"",""fr"")"),"Un homme en chapeau blanc se tient à côté de l'homme.")</f>
        <v>Un homme en chapeau blanc se tient à côté de l'homme.</v>
      </c>
    </row>
    <row r="4339">
      <c r="A4339" s="4" t="s">
        <v>5456</v>
      </c>
      <c r="B4339" s="4" t="s">
        <v>5459</v>
      </c>
      <c r="C4339" s="5" t="str">
        <f>IFERROR(__xludf.DUMMYFUNCTION("GOOGLETRANSLATE(B4339,""en"",""fr"")"),"L'un des hommes jette un rocher en l'air.")</f>
        <v>L'un des hommes jette un rocher en l'air.</v>
      </c>
    </row>
    <row r="4340">
      <c r="A4340" s="4" t="s">
        <v>5460</v>
      </c>
      <c r="B4340" s="6" t="s">
        <v>5461</v>
      </c>
      <c r="C4340" s="5" t="str">
        <f>IFERROR(__xludf.DUMMYFUNCTION("GOOGLETRANSLATE(B4340,""en"",""fr"")"),"Les familles sont à l'extérieur dans un grand champ debout derrière une clôture orange à faire une clôture en écoutant une femme parler dans un microphone.")</f>
        <v>Les familles sont à l'extérieur dans un grand champ debout derrière une clôture orange à faire une clôture en écoutant une femme parler dans un microphone.</v>
      </c>
    </row>
    <row r="4341">
      <c r="A4341" s="4" t="s">
        <v>5460</v>
      </c>
      <c r="B4341" s="6" t="s">
        <v>5462</v>
      </c>
      <c r="C4341" s="5" t="str">
        <f>IFERROR(__xludf.DUMMYFUNCTION("GOOGLETRANSLATE(B4341,""en"",""fr"")"),"Un mâle vient alors vêtu de la même shrit qu'une femme et commence à jeter des frisbees à un chien.")</f>
        <v>Un mâle vient alors vêtu de la même shrit qu'une femme et commence à jeter des frisbees à un chien.</v>
      </c>
    </row>
    <row r="4342">
      <c r="A4342" s="4" t="s">
        <v>5460</v>
      </c>
      <c r="B4342" s="4" t="s">
        <v>5463</v>
      </c>
      <c r="C4342" s="5" t="str">
        <f>IFERROR(__xludf.DUMMYFUNCTION("GOOGLETRANSLATE(B4342,""en"",""fr"")"),"Cette activité continue et le chien commence à sauter par-dessus la tête du chien et son dos.")</f>
        <v>Cette activité continue et le chien commence à sauter par-dessus la tête du chien et son dos.</v>
      </c>
    </row>
    <row r="4343">
      <c r="A4343" s="4" t="s">
        <v>5460</v>
      </c>
      <c r="B4343" s="4" t="s">
        <v>5464</v>
      </c>
      <c r="C4343" s="5" t="str">
        <f>IFERROR(__xludf.DUMMYFUNCTION("GOOGLETRANSLATE(B4343,""en"",""fr"")"),"D'autres se joignent ensuite à et le garçon ramasse le chien et s'éloigne.")</f>
        <v>D'autres se joignent ensuite à et le garçon ramasse le chien et s'éloigne.</v>
      </c>
    </row>
    <row r="4344">
      <c r="A4344" s="4" t="s">
        <v>5465</v>
      </c>
      <c r="B4344" s="4" t="s">
        <v>5466</v>
      </c>
      <c r="C4344" s="5" t="str">
        <f>IFERROR(__xludf.DUMMYFUNCTION("GOOGLETRANSLATE(B4344,""en"",""fr"")"),"L'homme portant une chemise rouge se tient dans un grand champ vert derrière les enfants.")</f>
        <v>L'homme portant une chemise rouge se tient dans un grand champ vert derrière les enfants.</v>
      </c>
    </row>
    <row r="4345">
      <c r="A4345" s="4" t="s">
        <v>5465</v>
      </c>
      <c r="B4345" s="4" t="s">
        <v>5467</v>
      </c>
      <c r="C4345" s="5" t="str">
        <f>IFERROR(__xludf.DUMMYFUNCTION("GOOGLETRANSLATE(B4345,""en"",""fr"")"),"Le petit enfant blonde lance une balle et un enfant donne un coup de pied au ballon sur le terrain.")</f>
        <v>Le petit enfant blonde lance une balle et un enfant donne un coup de pied au ballon sur le terrain.</v>
      </c>
    </row>
    <row r="4346">
      <c r="A4346" s="4" t="s">
        <v>5465</v>
      </c>
      <c r="B4346" s="4" t="s">
        <v>5468</v>
      </c>
      <c r="C4346" s="5" t="str">
        <f>IFERROR(__xludf.DUMMYFUNCTION("GOOGLETRANSLATE(B4346,""en"",""fr"")"),"Kisd court sur le terrain pour attraper le bal.")</f>
        <v>Kisd court sur le terrain pour attraper le bal.</v>
      </c>
    </row>
    <row r="4347">
      <c r="A4347" s="4" t="s">
        <v>5469</v>
      </c>
      <c r="B4347" s="4" t="s">
        <v>5470</v>
      </c>
      <c r="C4347" s="5" t="str">
        <f>IFERROR(__xludf.DUMMYFUNCTION("GOOGLETRANSLATE(B4347,""en"",""fr"")"),"Un homme se tient dans une arène se préparant à la planche à roulettes.")</f>
        <v>Un homme se tient dans une arène se préparant à la planche à roulettes.</v>
      </c>
    </row>
    <row r="4348">
      <c r="A4348" s="4" t="s">
        <v>5469</v>
      </c>
      <c r="B4348" s="4" t="s">
        <v>5471</v>
      </c>
      <c r="C4348" s="5" t="str">
        <f>IFERROR(__xludf.DUMMYFUNCTION("GOOGLETRANSLATE(B4348,""en"",""fr"")"),"L'homme patine un demi-tuyau et va des allers-retours d'un bout à l'autre.")</f>
        <v>L'homme patine un demi-tuyau et va des allers-retours d'un bout à l'autre.</v>
      </c>
    </row>
    <row r="4349">
      <c r="A4349" s="4" t="s">
        <v>5469</v>
      </c>
      <c r="B4349" s="4" t="s">
        <v>5472</v>
      </c>
      <c r="C4349" s="5" t="str">
        <f>IFERROR(__xludf.DUMMYFUNCTION("GOOGLETRANSLATE(B4349,""en"",""fr"")"),"L'homme perd son skateboard et descend le mur sur ses genoux.")</f>
        <v>L'homme perd son skateboard et descend le mur sur ses genoux.</v>
      </c>
    </row>
    <row r="4350">
      <c r="A4350" s="4" t="s">
        <v>5469</v>
      </c>
      <c r="B4350" s="4" t="s">
        <v>5473</v>
      </c>
      <c r="C4350" s="5" t="str">
        <f>IFERROR(__xludf.DUMMYFUNCTION("GOOGLETRANSLATE(B4350,""en"",""fr"")"),"Nous voyons la déception de l'homme comme un autre homme se prépare à patiner.")</f>
        <v>Nous voyons la déception de l'homme comme un autre homme se prépare à patiner.</v>
      </c>
    </row>
    <row r="4351">
      <c r="A4351" s="4" t="s">
        <v>5469</v>
      </c>
      <c r="B4351" s="4" t="s">
        <v>5474</v>
      </c>
      <c r="C4351" s="5" t="str">
        <f>IFERROR(__xludf.DUMMYFUNCTION("GOOGLETRANSLATE(B4351,""en"",""fr"")"),"L'homme s'éloigne et saute sur sa planche à roulettes derrière la scène.")</f>
        <v>L'homme s'éloigne et saute sur sa planche à roulettes derrière la scène.</v>
      </c>
    </row>
    <row r="4352">
      <c r="A4352" s="4" t="s">
        <v>5475</v>
      </c>
      <c r="B4352" s="4" t="s">
        <v>5476</v>
      </c>
      <c r="C4352" s="5" t="str">
        <f>IFERROR(__xludf.DUMMYFUNCTION("GOOGLETRANSLATE(B4352,""en"",""fr"")"),"Un homme avec un parapluie essuie sa voiture sous la pluie.")</f>
        <v>Un homme avec un parapluie essuie sa voiture sous la pluie.</v>
      </c>
    </row>
    <row r="4353">
      <c r="A4353" s="4" t="s">
        <v>5475</v>
      </c>
      <c r="B4353" s="4" t="s">
        <v>5477</v>
      </c>
      <c r="C4353" s="5" t="str">
        <f>IFERROR(__xludf.DUMMYFUNCTION("GOOGLETRANSLATE(B4353,""en"",""fr"")"),"Il sourit à la caméra et commence à parler à la personne de l'appareil photo.")</f>
        <v>Il sourit à la caméra et commence à parler à la personne de l'appareil photo.</v>
      </c>
    </row>
    <row r="4354">
      <c r="A4354" s="4" t="s">
        <v>5478</v>
      </c>
      <c r="B4354" s="4" t="s">
        <v>5479</v>
      </c>
      <c r="C4354" s="5" t="str">
        <f>IFERROR(__xludf.DUMMYFUNCTION("GOOGLETRANSLATE(B4354,""en"",""fr"")"),"Plusieurs plans sont représentés en train de paintball ainsi qu'un homme qui fume une cigarette.")</f>
        <v>Plusieurs plans sont représentés en train de paintball ainsi qu'un homme qui fume une cigarette.</v>
      </c>
    </row>
    <row r="4355">
      <c r="A4355" s="4" t="s">
        <v>5478</v>
      </c>
      <c r="B4355" s="4" t="s">
        <v>5480</v>
      </c>
      <c r="C4355" s="5" t="str">
        <f>IFERROR(__xludf.DUMMYFUNCTION("GOOGLETRANSLATE(B4355,""en"",""fr"")"),"Cela mène aux gens qui jouent au paintball les uns avec les autres et courent.")</f>
        <v>Cela mène aux gens qui jouent au paintball les uns avec les autres et courent.</v>
      </c>
    </row>
    <row r="4356">
      <c r="A4356" s="4" t="s">
        <v>5478</v>
      </c>
      <c r="B4356" s="4" t="s">
        <v>5481</v>
      </c>
      <c r="C4356" s="5" t="str">
        <f>IFERROR(__xludf.DUMMYFUNCTION("GOOGLETRANSLATE(B4356,""en"",""fr"")"),"Plus de coups sont montrés des gens qui jouent et se parlent.")</f>
        <v>Plus de coups sont montrés des gens qui jouent et se parlent.</v>
      </c>
    </row>
    <row r="4357">
      <c r="A4357" s="4" t="s">
        <v>5482</v>
      </c>
      <c r="B4357" s="4" t="s">
        <v>5483</v>
      </c>
      <c r="C4357" s="5" t="str">
        <f>IFERROR(__xludf.DUMMYFUNCTION("GOOGLETRANSLATE(B4357,""en"",""fr"")"),"Une femme met une cigarette dans sa bouche.")</f>
        <v>Une femme met une cigarette dans sa bouche.</v>
      </c>
    </row>
    <row r="4358">
      <c r="A4358" s="4" t="s">
        <v>5482</v>
      </c>
      <c r="B4358" s="4" t="s">
        <v>5484</v>
      </c>
      <c r="C4358" s="5" t="str">
        <f>IFERROR(__xludf.DUMMYFUNCTION("GOOGLETRANSLATE(B4358,""en"",""fr"")"),"Ensuite, la femme allume une cigarette et fume.")</f>
        <v>Ensuite, la femme allume une cigarette et fume.</v>
      </c>
    </row>
    <row r="4359">
      <c r="A4359" s="4" t="s">
        <v>5482</v>
      </c>
      <c r="B4359" s="4" t="s">
        <v>5485</v>
      </c>
      <c r="C4359" s="5" t="str">
        <f>IFERROR(__xludf.DUMMYFUNCTION("GOOGLETRANSLATE(B4359,""en"",""fr"")"),"La femme souffle de la fumée de sa bouche.")</f>
        <v>La femme souffle de la fumée de sa bouche.</v>
      </c>
    </row>
    <row r="4360">
      <c r="A4360" s="4" t="s">
        <v>5486</v>
      </c>
      <c r="B4360" s="4" t="s">
        <v>5487</v>
      </c>
      <c r="C4360" s="5" t="str">
        <f>IFERROR(__xludf.DUMMYFUNCTION("GOOGLETRANSLATE(B4360,""en"",""fr"")"),"Un groupe de chevrons transporte un radeau sur un chemin.")</f>
        <v>Un groupe de chevrons transporte un radeau sur un chemin.</v>
      </c>
    </row>
    <row r="4361">
      <c r="A4361" s="4" t="s">
        <v>5486</v>
      </c>
      <c r="B4361" s="4" t="s">
        <v>5488</v>
      </c>
      <c r="C4361" s="5" t="str">
        <f>IFERROR(__xludf.DUMMYFUNCTION("GOOGLETRANSLATE(B4361,""en"",""fr"")"),"Des groupes de chevrons roulent sur une rivière en passant par de petites cascades.")</f>
        <v>Des groupes de chevrons roulent sur une rivière en passant par de petites cascades.</v>
      </c>
    </row>
    <row r="4362">
      <c r="A4362" s="4" t="s">
        <v>5486</v>
      </c>
      <c r="B4362" s="4" t="s">
        <v>5489</v>
      </c>
      <c r="C4362" s="5" t="str">
        <f>IFERROR(__xludf.DUMMYFUNCTION("GOOGLETRANSLATE(B4362,""en"",""fr"")"),"Les chevrons montent de là sur le bateau sur le rivage et montent le chemin.")</f>
        <v>Les chevrons montent de là sur le bateau sur le rivage et montent le chemin.</v>
      </c>
    </row>
    <row r="4363">
      <c r="A4363" s="4" t="s">
        <v>5486</v>
      </c>
      <c r="B4363" s="4" t="s">
        <v>5490</v>
      </c>
      <c r="C4363" s="5" t="str">
        <f>IFERROR(__xludf.DUMMYFUNCTION("GOOGLETRANSLATE(B4363,""en"",""fr"")"),"Les gens sautent des rochers dans un trou de baignade de la rivière.")</f>
        <v>Les gens sautent des rochers dans un trou de baignade de la rivière.</v>
      </c>
    </row>
    <row r="4364">
      <c r="A4364" s="4" t="s">
        <v>5486</v>
      </c>
      <c r="B4364" s="4" t="s">
        <v>5491</v>
      </c>
      <c r="C4364" s="5" t="str">
        <f>IFERROR(__xludf.DUMMYFUNCTION("GOOGLETRANSLATE(B4364,""en"",""fr"")"),"Les chevrons profitent d'un déjeuner en plein air dans une maison de plage.")</f>
        <v>Les chevrons profitent d'un déjeuner en plein air dans une maison de plage.</v>
      </c>
    </row>
    <row r="4365">
      <c r="A4365" s="4" t="s">
        <v>5492</v>
      </c>
      <c r="B4365" s="4" t="s">
        <v>5493</v>
      </c>
      <c r="C4365" s="5" t="str">
        <f>IFERROR(__xludf.DUMMYFUNCTION("GOOGLETRANSLATE(B4365,""en"",""fr"")"),"Un groupe de personnes est sur un ascenseur au-dessus des montagnes.")</f>
        <v>Un groupe de personnes est sur un ascenseur au-dessus des montagnes.</v>
      </c>
    </row>
    <row r="4366">
      <c r="A4366" s="4" t="s">
        <v>5492</v>
      </c>
      <c r="B4366" s="4" t="s">
        <v>5494</v>
      </c>
      <c r="C4366" s="5" t="str">
        <f>IFERROR(__xludf.DUMMYFUNCTION("GOOGLETRANSLATE(B4366,""en"",""fr"")"),"Une personne y grimpe, en regardant vers le bas.")</f>
        <v>Une personne y grimpe, en regardant vers le bas.</v>
      </c>
    </row>
    <row r="4367">
      <c r="A4367" s="4" t="s">
        <v>5492</v>
      </c>
      <c r="B4367" s="4" t="s">
        <v>5495</v>
      </c>
      <c r="C4367" s="5" t="str">
        <f>IFERROR(__xludf.DUMMYFUNCTION("GOOGLETRANSLATE(B4367,""en"",""fr"")"),"Ils sautaient, pendent et se balançant au-dessus du sol.")</f>
        <v>Ils sautaient, pendent et se balançant au-dessus du sol.</v>
      </c>
    </row>
    <row r="4368">
      <c r="A4368" s="4" t="s">
        <v>5496</v>
      </c>
      <c r="B4368" s="4" t="s">
        <v>5497</v>
      </c>
      <c r="C4368" s="5" t="str">
        <f>IFERROR(__xludf.DUMMYFUNCTION("GOOGLETRANSLATE(B4368,""en"",""fr"")"),"Une grande école de petits poissons nage dans l'océan.")</f>
        <v>Une grande école de petits poissons nage dans l'océan.</v>
      </c>
    </row>
    <row r="4369">
      <c r="A4369" s="4" t="s">
        <v>5496</v>
      </c>
      <c r="B4369" s="4" t="s">
        <v>5498</v>
      </c>
      <c r="C4369" s="5" t="str">
        <f>IFERROR(__xludf.DUMMYFUNCTION("GOOGLETRANSLATE(B4369,""en"",""fr"")"),"Un sceau nage dans l'océan.")</f>
        <v>Un sceau nage dans l'océan.</v>
      </c>
    </row>
    <row r="4370">
      <c r="A4370" s="4" t="s">
        <v>5496</v>
      </c>
      <c r="B4370" s="4" t="s">
        <v>5499</v>
      </c>
      <c r="C4370" s="5" t="str">
        <f>IFERROR(__xludf.DUMMYFUNCTION("GOOGLETRANSLATE(B4370,""en"",""fr"")"),"La scène passe à une plongée sous-marine avec des humains.")</f>
        <v>La scène passe à une plongée sous-marine avec des humains.</v>
      </c>
    </row>
    <row r="4371">
      <c r="A4371" s="4" t="s">
        <v>5496</v>
      </c>
      <c r="B4371" s="4" t="s">
        <v>5500</v>
      </c>
      <c r="C4371" s="5" t="str">
        <f>IFERROR(__xludf.DUMMYFUNCTION("GOOGLETRANSLATE(B4371,""en"",""fr"")"),"Le chien est montré avec un humain sur un navire, avec une partie de son équipement de plongée.")</f>
        <v>Le chien est montré avec un humain sur un navire, avec une partie de son équipement de plongée.</v>
      </c>
    </row>
    <row r="4372">
      <c r="A4372" s="4" t="s">
        <v>5496</v>
      </c>
      <c r="B4372" s="4" t="s">
        <v>5501</v>
      </c>
      <c r="C4372" s="5" t="str">
        <f>IFERROR(__xludf.DUMMYFUNCTION("GOOGLETRANSLATE(B4372,""en"",""fr"")"),"La scène revient à la plongée sous-marine de chien.")</f>
        <v>La scène revient à la plongée sous-marine de chien.</v>
      </c>
    </row>
    <row r="4373">
      <c r="A4373" s="4" t="s">
        <v>5496</v>
      </c>
      <c r="B4373" s="4" t="s">
        <v>5502</v>
      </c>
      <c r="C4373" s="5" t="str">
        <f>IFERROR(__xludf.DUMMYFUNCTION("GOOGLETRANSLATE(B4373,""en"",""fr"")"),"La scène se transforme en un chat se promenant.")</f>
        <v>La scène se transforme en un chat se promenant.</v>
      </c>
    </row>
    <row r="4374">
      <c r="A4374" s="4" t="s">
        <v>5496</v>
      </c>
      <c r="B4374" s="4" t="s">
        <v>5503</v>
      </c>
      <c r="C4374" s="5" t="str">
        <f>IFERROR(__xludf.DUMMYFUNCTION("GOOGLETRANSLATE(B4374,""en"",""fr"")"),"Le chat est montré en natation et en plongée sous-marine.")</f>
        <v>Le chat est montré en natation et en plongée sous-marine.</v>
      </c>
    </row>
    <row r="4375">
      <c r="A4375" s="4" t="s">
        <v>5496</v>
      </c>
      <c r="B4375" s="4" t="s">
        <v>5504</v>
      </c>
      <c r="C4375" s="5" t="str">
        <f>IFERROR(__xludf.DUMMYFUNCTION("GOOGLETRANSLATE(B4375,""en"",""fr"")"),"Le chat et le chien sont présentés dans diverses scènes rapides.")</f>
        <v>Le chat et le chien sont présentés dans diverses scènes rapides.</v>
      </c>
    </row>
    <row r="4376">
      <c r="A4376" s="4" t="s">
        <v>5505</v>
      </c>
      <c r="B4376" s="4" t="s">
        <v>5506</v>
      </c>
      <c r="C4376" s="5" t="str">
        <f>IFERROR(__xludf.DUMMYFUNCTION("GOOGLETRANSLATE(B4376,""en"",""fr"")"),"Deux personnes dansent sur une piste de danse.")</f>
        <v>Deux personnes dansent sur une piste de danse.</v>
      </c>
    </row>
    <row r="4377">
      <c r="A4377" s="4" t="s">
        <v>5505</v>
      </c>
      <c r="B4377" s="4" t="s">
        <v>5507</v>
      </c>
      <c r="C4377" s="5" t="str">
        <f>IFERROR(__xludf.DUMMYFUNCTION("GOOGLETRANSLATE(B4377,""en"",""fr"")"),"Les gens sont assis et se tiennent sur la touche en les regardant danser.")</f>
        <v>Les gens sont assis et se tiennent sur la touche en les regardant danser.</v>
      </c>
    </row>
    <row r="4378">
      <c r="A4378" s="4" t="s">
        <v>5505</v>
      </c>
      <c r="B4378" s="4" t="s">
        <v>5508</v>
      </c>
      <c r="C4378" s="5" t="str">
        <f>IFERROR(__xludf.DUMMYFUNCTION("GOOGLETRANSLATE(B4378,""en"",""fr"")"),"Ils continuent de danser sur la piste de danse.")</f>
        <v>Ils continuent de danser sur la piste de danse.</v>
      </c>
    </row>
    <row r="4379">
      <c r="A4379" s="4" t="s">
        <v>5509</v>
      </c>
      <c r="B4379" s="4" t="s">
        <v>5510</v>
      </c>
      <c r="C4379" s="5" t="str">
        <f>IFERROR(__xludf.DUMMYFUNCTION("GOOGLETRANSLATE(B4379,""en"",""fr"")"),"Un homme met une balle par terre, puis lance un drapeau.")</f>
        <v>Un homme met une balle par terre, puis lance un drapeau.</v>
      </c>
    </row>
    <row r="4380">
      <c r="A4380" s="4" t="s">
        <v>5509</v>
      </c>
      <c r="B4380" s="4" t="s">
        <v>5511</v>
      </c>
      <c r="C4380" s="5" t="str">
        <f>IFERROR(__xludf.DUMMYFUNCTION("GOOGLETRANSLATE(B4380,""en"",""fr"")"),"Il frappe le ballon, mettant un jeu en mouvement.")</f>
        <v>Il frappe le ballon, mettant un jeu en mouvement.</v>
      </c>
    </row>
    <row r="4381">
      <c r="A4381" s="4" t="s">
        <v>5509</v>
      </c>
      <c r="B4381" s="4" t="s">
        <v>5512</v>
      </c>
      <c r="C4381" s="5" t="str">
        <f>IFERROR(__xludf.DUMMYFUNCTION("GOOGLETRANSLATE(B4381,""en"",""fr"")"),"Les joueurs se battent sur le ballon, le faisant entrer dans le but et le public applaudit.")</f>
        <v>Les joueurs se battent sur le ballon, le faisant entrer dans le but et le public applaudit.</v>
      </c>
    </row>
    <row r="4382">
      <c r="A4382" s="4" t="s">
        <v>5509</v>
      </c>
      <c r="B4382" s="4" t="s">
        <v>5513</v>
      </c>
      <c r="C4382" s="5" t="str">
        <f>IFERROR(__xludf.DUMMYFUNCTION("GOOGLETRANSLATE(B4382,""en"",""fr"")"),"Le jeu se poursuit alors que les joueurs rivalisent.")</f>
        <v>Le jeu se poursuit alors que les joueurs rivalisent.</v>
      </c>
    </row>
    <row r="4383">
      <c r="A4383" s="4" t="s">
        <v>5514</v>
      </c>
      <c r="B4383" s="6" t="s">
        <v>5515</v>
      </c>
      <c r="C4383" s="5" t="str">
        <f>IFERROR(__xludf.DUMMYFUNCTION("GOOGLETRANSLATE(B4383,""en"",""fr"")"),"Une jeune femme avec une robe noire et un cardigan rouge se tient dans le coin d'une cuisine coupant des fruits.")</f>
        <v>Une jeune femme avec une robe noire et un cardigan rouge se tient dans le coin d'une cuisine coupant des fruits.</v>
      </c>
    </row>
    <row r="4384">
      <c r="A4384" s="4" t="s">
        <v>5514</v>
      </c>
      <c r="B4384" s="6" t="s">
        <v>5516</v>
      </c>
      <c r="C4384" s="5" t="str">
        <f>IFERROR(__xludf.DUMMYFUNCTION("GOOGLETRANSLATE(B4384,""en"",""fr"")"),"Après un certain temps, elle attrape six fraises et les laisse sur la planche à découper alors qu'elle commence à couper les raisins.")</f>
        <v>Après un certain temps, elle attrape six fraises et les laisse sur la planche à découper alors qu'elle commence à couper les raisins.</v>
      </c>
    </row>
    <row r="4385">
      <c r="A4385" s="4" t="s">
        <v>5514</v>
      </c>
      <c r="B4385" s="6" t="s">
        <v>5517</v>
      </c>
      <c r="C4385" s="5" t="str">
        <f>IFERROR(__xludf.DUMMYFUNCTION("GOOGLETRANSLATE(B4385,""en"",""fr"")"),"Devant elle, il y a deux grands bols blancs pleins de fruits et elle commence à mettre les fruits coupés dans ces bols.")</f>
        <v>Devant elle, il y a deux grands bols blancs pleins de fruits et elle commence à mettre les fruits coupés dans ces bols.</v>
      </c>
    </row>
    <row r="4386">
      <c r="A4386" s="4" t="s">
        <v>5514</v>
      </c>
      <c r="B4386" s="6" t="s">
        <v>5518</v>
      </c>
      <c r="C4386" s="5" t="str">
        <f>IFERROR(__xludf.DUMMYFUNCTION("GOOGLETRANSLATE(B4386,""en"",""fr"")"),"La caméra se déplace ensuite et la personne zoome sur le contenu des bols de fruits, montrant des ananas, des fraises et des raisins.")</f>
        <v>La caméra se déplace ensuite et la personne zoome sur le contenu des bols de fruits, montrant des ananas, des fraises et des raisins.</v>
      </c>
    </row>
    <row r="4387">
      <c r="A4387" s="4" t="s">
        <v>5519</v>
      </c>
      <c r="B4387" s="4" t="s">
        <v>5520</v>
      </c>
      <c r="C4387" s="5" t="str">
        <f>IFERROR(__xludf.DUMMYFUNCTION("GOOGLETRANSLATE(B4387,""en"",""fr"")"),"Un homme est assis sur une chaise en train de se couper les cheveux par un coiffeur.")</f>
        <v>Un homme est assis sur une chaise en train de se couper les cheveux par un coiffeur.</v>
      </c>
    </row>
    <row r="4388">
      <c r="A4388" s="4" t="s">
        <v>5519</v>
      </c>
      <c r="B4388" s="6" t="s">
        <v>5521</v>
      </c>
      <c r="C4388" s="5" t="str">
        <f>IFERROR(__xludf.DUMMYFUNCTION("GOOGLETRANSLATE(B4388,""en"",""fr"")"),"Un homme prend un peigne et une paire de ciseaux et commence à couper les cheveux au-dessus du peigne, puis à le peigner à l'avant de la tête de l'homme.")</f>
        <v>Un homme prend un peigne et une paire de ciseaux et commence à couper les cheveux au-dessus du peigne, puis à le peigner à l'avant de la tête de l'homme.</v>
      </c>
    </row>
    <row r="4389">
      <c r="A4389" s="4" t="s">
        <v>5519</v>
      </c>
      <c r="B4389" s="4" t="s">
        <v>5522</v>
      </c>
      <c r="C4389" s="5" t="str">
        <f>IFERROR(__xludf.DUMMYFUNCTION("GOOGLETRANSLATE(B4389,""en"",""fr"")"),"Le mâle se tourne alors et le milieu des cheveux commence à être coupé.")</f>
        <v>Le mâle se tourne alors et le milieu des cheveux commence à être coupé.</v>
      </c>
    </row>
    <row r="4390">
      <c r="A4390" s="4" t="s">
        <v>5519</v>
      </c>
      <c r="B4390" s="4" t="s">
        <v>5523</v>
      </c>
      <c r="C4390" s="5" t="str">
        <f>IFERROR(__xludf.DUMMYFUNCTION("GOOGLETRANSLATE(B4390,""en"",""fr"")"),"Vient ensuite les côtés et les mêmes actions sont répétées jusqu'à la fin des cheveux.")</f>
        <v>Vient ensuite les côtés et les mêmes actions sont répétées jusqu'à la fin des cheveux.</v>
      </c>
    </row>
    <row r="4391">
      <c r="A4391" s="4" t="s">
        <v>5519</v>
      </c>
      <c r="B4391" s="6" t="s">
        <v>5524</v>
      </c>
      <c r="C4391" s="5" t="str">
        <f>IFERROR(__xludf.DUMMYFUNCTION("GOOGLETRANSLATE(B4391,""en"",""fr"")"),"Enfin, les rasoirs sont retirés et le coiffeur commence à mener les cheveux de l'homme et le coiffeur passe sur les cheveux une dernière fois avec le peigne et les ciseaux.")</f>
        <v>Enfin, les rasoirs sont retirés et le coiffeur commence à mener les cheveux de l'homme et le coiffeur passe sur les cheveux une dernière fois avec le peigne et les ciseaux.</v>
      </c>
    </row>
    <row r="4392">
      <c r="A4392" s="4" t="s">
        <v>5525</v>
      </c>
      <c r="B4392" s="4" t="s">
        <v>5526</v>
      </c>
      <c r="C4392" s="5" t="str">
        <f>IFERROR(__xludf.DUMMYFUNCTION("GOOGLETRANSLATE(B4392,""en"",""fr"")"),"Un homme est voir parler à la caméra tout en étant assis sur un équipement d'exercice.")</f>
        <v>Un homme est voir parler à la caméra tout en étant assis sur un équipement d'exercice.</v>
      </c>
    </row>
    <row r="4393">
      <c r="A4393" s="4" t="s">
        <v>5525</v>
      </c>
      <c r="B4393" s="4" t="s">
        <v>5527</v>
      </c>
      <c r="C4393" s="5" t="str">
        <f>IFERROR(__xludf.DUMMYFUNCTION("GOOGLETRANSLATE(B4393,""en"",""fr"")"),"Il ajuste les paramètres de la machine et commence à l'utiliser et quatrième.")</f>
        <v>Il ajuste les paramètres de la machine et commence à l'utiliser et quatrième.</v>
      </c>
    </row>
    <row r="4394">
      <c r="A4394" s="4" t="s">
        <v>5525</v>
      </c>
      <c r="B4394" s="4" t="s">
        <v>5528</v>
      </c>
      <c r="C4394" s="5" t="str">
        <f>IFERROR(__xludf.DUMMYFUNCTION("GOOGLETRANSLATE(B4394,""en"",""fr"")"),"Il saisit la machine et se déplace se terminant en parlant à la caméra.")</f>
        <v>Il saisit la machine et se déplace se terminant en parlant à la caméra.</v>
      </c>
    </row>
    <row r="4395">
      <c r="A4395" s="4" t="s">
        <v>5529</v>
      </c>
      <c r="B4395" s="4" t="s">
        <v>5530</v>
      </c>
      <c r="C4395" s="5" t="str">
        <f>IFERROR(__xludf.DUMMYFUNCTION("GOOGLETRANSLATE(B4395,""en"",""fr"")"),"Un athlète masculin se prépare à courir.")</f>
        <v>Un athlète masculin se prépare à courir.</v>
      </c>
    </row>
    <row r="4396">
      <c r="A4396" s="4" t="s">
        <v>5529</v>
      </c>
      <c r="B4396" s="4" t="s">
        <v>5531</v>
      </c>
      <c r="C4396" s="5" t="str">
        <f>IFERROR(__xludf.DUMMYFUNCTION("GOOGLETRANSLATE(B4396,""en"",""fr"")"),"Il court avec un javelot sur son épaule.")</f>
        <v>Il court avec un javelot sur son épaule.</v>
      </c>
    </row>
    <row r="4397">
      <c r="A4397" s="4" t="s">
        <v>5529</v>
      </c>
      <c r="B4397" s="4" t="s">
        <v>5532</v>
      </c>
      <c r="C4397" s="5" t="str">
        <f>IFERROR(__xludf.DUMMYFUNCTION("GOOGLETRANSLATE(B4397,""en"",""fr"")"),"Il le jette aussi fort que possible.")</f>
        <v>Il le jette aussi fort que possible.</v>
      </c>
    </row>
    <row r="4398">
      <c r="A4398" s="4" t="s">
        <v>5529</v>
      </c>
      <c r="B4398" s="4" t="s">
        <v>5533</v>
      </c>
      <c r="C4398" s="5" t="str">
        <f>IFERROR(__xludf.DUMMYFUNCTION("GOOGLETRANSLATE(B4398,""en"",""fr"")"),"Ensuite, d'autres font de même peu de temps après.")</f>
        <v>Ensuite, d'autres font de même peu de temps après.</v>
      </c>
    </row>
    <row r="4399">
      <c r="A4399" s="4" t="s">
        <v>5534</v>
      </c>
      <c r="B4399" s="4" t="s">
        <v>5535</v>
      </c>
      <c r="C4399" s="5" t="str">
        <f>IFERROR(__xludf.DUMMYFUNCTION("GOOGLETRANSLATE(B4399,""en"",""fr"")"),"Deux femmes montent à l'arrière d'un quatre roues et agitent.")</f>
        <v>Deux femmes montent à l'arrière d'un quatre roues et agitent.</v>
      </c>
    </row>
    <row r="4400">
      <c r="A4400" s="4" t="s">
        <v>5534</v>
      </c>
      <c r="B4400" s="4" t="s">
        <v>5536</v>
      </c>
      <c r="C4400" s="5" t="str">
        <f>IFERROR(__xludf.DUMMYFUNCTION("GOOGLETRANSLATE(B4400,""en"",""fr"")"),"Un homme est montré posant avec plusieurs personnes, allant sur un terrain pour jouer au paintball.")</f>
        <v>Un homme est montré posant avec plusieurs personnes, allant sur un terrain pour jouer au paintball.</v>
      </c>
    </row>
    <row r="4401">
      <c r="A4401" s="4" t="s">
        <v>5534</v>
      </c>
      <c r="B4401" s="4" t="s">
        <v>5537</v>
      </c>
      <c r="C4401" s="5" t="str">
        <f>IFERROR(__xludf.DUMMYFUNCTION("GOOGLETRANSLATE(B4401,""en"",""fr"")"),"Les gens se préparent et se cachent derrière des obstacles, tirant les uns aux autres.")</f>
        <v>Les gens se préparent et se cachent derrière des obstacles, tirant les uns aux autres.</v>
      </c>
    </row>
    <row r="4402">
      <c r="A4402" s="4" t="s">
        <v>5538</v>
      </c>
      <c r="B4402" s="4" t="s">
        <v>5539</v>
      </c>
      <c r="C4402" s="5" t="str">
        <f>IFERROR(__xludf.DUMMYFUNCTION("GOOGLETRANSLATE(B4402,""en"",""fr"")"),"Un homme joue le saxophone dans divers contextes publics pendant que le public regarde.")</f>
        <v>Un homme joue le saxophone dans divers contextes publics pendant que le public regarde.</v>
      </c>
    </row>
    <row r="4403">
      <c r="A4403" s="4" t="s">
        <v>5538</v>
      </c>
      <c r="B4403" s="4" t="s">
        <v>5540</v>
      </c>
      <c r="C4403" s="5" t="str">
        <f>IFERROR(__xludf.DUMMYFUNCTION("GOOGLETRANSLATE(B4403,""en"",""fr"")"),"L'homme joue tout en allongé sur le sol.")</f>
        <v>L'homme joue tout en allongé sur le sol.</v>
      </c>
    </row>
    <row r="4404">
      <c r="A4404" s="4" t="s">
        <v>5538</v>
      </c>
      <c r="B4404" s="4" t="s">
        <v>5541</v>
      </c>
      <c r="C4404" s="5" t="str">
        <f>IFERROR(__xludf.DUMMYFUNCTION("GOOGLETRANSLATE(B4404,""en"",""fr"")"),"Un gardien de sécurité l'accosit et l'escorte.")</f>
        <v>Un gardien de sécurité l'accosit et l'escorte.</v>
      </c>
    </row>
    <row r="4405">
      <c r="A4405" s="4" t="s">
        <v>5538</v>
      </c>
      <c r="B4405" s="4" t="s">
        <v>5542</v>
      </c>
      <c r="C4405" s="5" t="str">
        <f>IFERROR(__xludf.DUMMYFUNCTION("GOOGLETRANSLATE(B4405,""en"",""fr"")"),"L'homme se lève et s'éloigne en jouant.")</f>
        <v>L'homme se lève et s'éloigne en jouant.</v>
      </c>
    </row>
    <row r="4406">
      <c r="A4406" s="4" t="s">
        <v>5538</v>
      </c>
      <c r="B4406" s="4" t="s">
        <v>5543</v>
      </c>
      <c r="C4406" s="5" t="str">
        <f>IFERROR(__xludf.DUMMYFUNCTION("GOOGLETRANSLATE(B4406,""en"",""fr"")"),"Plus de scènes de l'homme jouant du saxophone dans divers contextes publics sont montrés.")</f>
        <v>Plus de scènes de l'homme jouant du saxophone dans divers contextes publics sont montrés.</v>
      </c>
    </row>
    <row r="4407">
      <c r="A4407" s="4" t="s">
        <v>5544</v>
      </c>
      <c r="B4407" s="4" t="s">
        <v>5545</v>
      </c>
      <c r="C4407" s="5" t="str">
        <f>IFERROR(__xludf.DUMMYFUNCTION("GOOGLETRANSLATE(B4407,""en"",""fr"")"),"Les joueurs sont sur un terrain en jouant au volley.")</f>
        <v>Les joueurs sont sur un terrain en jouant au volley.</v>
      </c>
    </row>
    <row r="4408">
      <c r="A4408" s="4" t="s">
        <v>5544</v>
      </c>
      <c r="B4408" s="4" t="s">
        <v>5546</v>
      </c>
      <c r="C4408" s="5" t="str">
        <f>IFERROR(__xludf.DUMMYFUNCTION("GOOGLETRANSLATE(B4408,""en"",""fr"")"),"Un homme en chemise noire plonge et frappe le sol.")</f>
        <v>Un homme en chemise noire plonge et frappe le sol.</v>
      </c>
    </row>
    <row r="4409">
      <c r="A4409" s="4" t="s">
        <v>5544</v>
      </c>
      <c r="B4409" s="4" t="s">
        <v>5547</v>
      </c>
      <c r="C4409" s="5" t="str">
        <f>IFERROR(__xludf.DUMMYFUNCTION("GOOGLETRANSLATE(B4409,""en"",""fr"")"),"Quelqu'un marque et la foule célèbre.")</f>
        <v>Quelqu'un marque et la foule célèbre.</v>
      </c>
    </row>
    <row r="4410">
      <c r="A4410" s="4" t="s">
        <v>5548</v>
      </c>
      <c r="B4410" s="4" t="s">
        <v>5549</v>
      </c>
      <c r="C4410" s="5" t="str">
        <f>IFERROR(__xludf.DUMMYFUNCTION("GOOGLETRANSLATE(B4410,""en"",""fr"")"),"Un gros plan d'une table de football est montré avec des gens qui déplacent des sondages tout autour.")</f>
        <v>Un gros plan d'une table de football est montré avec des gens qui déplacent des sondages tout autour.</v>
      </c>
    </row>
    <row r="4411">
      <c r="A4411" s="4" t="s">
        <v>5548</v>
      </c>
      <c r="B4411" s="4" t="s">
        <v>5550</v>
      </c>
      <c r="C4411" s="5" t="str">
        <f>IFERROR(__xludf.DUMMYFUNCTION("GOOGLETRANSLATE(B4411,""en"",""fr"")"),"L'homme rebondit de haut en bas alors que les gens continuent de jouer les uns avec les autres.")</f>
        <v>L'homme rebondit de haut en bas alors que les gens continuent de jouer les uns avec les autres.</v>
      </c>
    </row>
    <row r="4412">
      <c r="A4412" s="4" t="s">
        <v>5548</v>
      </c>
      <c r="B4412" s="4" t="s">
        <v>5551</v>
      </c>
      <c r="C4412" s="5" t="str">
        <f>IFERROR(__xludf.DUMMYFUNCTION("GOOGLETRANSLATE(B4412,""en"",""fr"")"),"Un homme s'enfuit pour attraper le ballon et les mène en jouant à jouer.")</f>
        <v>Un homme s'enfuit pour attraper le ballon et les mène en jouant à jouer.</v>
      </c>
    </row>
    <row r="4413">
      <c r="A4413" s="4" t="s">
        <v>5552</v>
      </c>
      <c r="B4413" s="4" t="s">
        <v>5553</v>
      </c>
      <c r="C4413" s="5" t="str">
        <f>IFERROR(__xludf.DUMMYFUNCTION("GOOGLETRANSLATE(B4413,""en"",""fr"")"),"Un homme est vu parler à la caméra tandis qu'un grand groupe de personnes marche derrière lui.")</f>
        <v>Un homme est vu parler à la caméra tandis qu'un grand groupe de personnes marche derrière lui.</v>
      </c>
    </row>
    <row r="4414">
      <c r="A4414" s="4" t="s">
        <v>5552</v>
      </c>
      <c r="B4414" s="4" t="s">
        <v>5554</v>
      </c>
      <c r="C4414" s="5" t="str">
        <f>IFERROR(__xludf.DUMMYFUNCTION("GOOGLETRANSLATE(B4414,""en"",""fr"")"),"Plusieurs plans sont ensuite représentés par des personnes qui descendent une rive dans un radeau tandis que certains tombent.")</f>
        <v>Plusieurs plans sont ensuite représentés par des personnes qui descendent une rive dans un radeau tandis que certains tombent.</v>
      </c>
    </row>
    <row r="4415">
      <c r="A4415" s="4" t="s">
        <v>5552</v>
      </c>
      <c r="B4415" s="4" t="s">
        <v>5555</v>
      </c>
      <c r="C4415" s="5" t="str">
        <f>IFERROR(__xludf.DUMMYFUNCTION("GOOGLETRANSLATE(B4415,""en"",""fr"")"),"Plus de clips sont montrés des personnes qui roulent dans l'eau ainsi que de tomber et de crier à la caméra.")</f>
        <v>Plus de clips sont montrés des personnes qui roulent dans l'eau ainsi que de tomber et de crier à la caméra.</v>
      </c>
    </row>
    <row r="4416">
      <c r="A4416" s="4" t="s">
        <v>5556</v>
      </c>
      <c r="B4416" s="4" t="s">
        <v>5557</v>
      </c>
      <c r="C4416" s="5" t="str">
        <f>IFERROR(__xludf.DUMMYFUNCTION("GOOGLETRANSLATE(B4416,""en"",""fr"")"),"Une femme est vue marcher sur un grand sol de gymny tout en tenant un bâton et en frappant une pose.")</f>
        <v>Une femme est vue marcher sur un grand sol de gymny tout en tenant un bâton et en frappant une pose.</v>
      </c>
    </row>
    <row r="4417">
      <c r="A4417" s="4" t="s">
        <v>5556</v>
      </c>
      <c r="B4417" s="6" t="s">
        <v>5558</v>
      </c>
      <c r="C4417" s="5" t="str">
        <f>IFERROR(__xludf.DUMMYFUNCTION("GOOGLETRANSLATE(B4417,""en"",""fr"")"),"La femme interprète ensuite une routine de danse avec le bâton le jetant en l'air et tourne.")</f>
        <v>La femme interprète ensuite une routine de danse avec le bâton le jetant en l'air et tourne.</v>
      </c>
    </row>
    <row r="4418">
      <c r="A4418" s="4" t="s">
        <v>5556</v>
      </c>
      <c r="B4418" s="4" t="s">
        <v>5559</v>
      </c>
      <c r="C4418" s="5" t="str">
        <f>IFERROR(__xludf.DUMMYFUNCTION("GOOGLETRANSLATE(B4418,""en"",""fr"")"),"Elle continue de tourner et tient une pose à la fin et s'éloigne des juges.")</f>
        <v>Elle continue de tourner et tient une pose à la fin et s'éloigne des juges.</v>
      </c>
    </row>
    <row r="4419">
      <c r="A4419" s="4" t="s">
        <v>5560</v>
      </c>
      <c r="B4419" s="4" t="s">
        <v>5561</v>
      </c>
      <c r="C4419" s="5" t="str">
        <f>IFERROR(__xludf.DUMMYFUNCTION("GOOGLETRANSLATE(B4419,""en"",""fr"")"),"Le logo ""Theksiny on Skin"" et ""La façon n ° 1 de ne pas obtenir de rhume ou de grippe"" est affiché à l'écran.")</f>
        <v>Le logo "Theksiny on Skin" et "La façon n ° 1 de ne pas obtenir de rhume ou de grippe" est affiché à l'écran.</v>
      </c>
    </row>
    <row r="4420">
      <c r="A4420" s="4" t="s">
        <v>5560</v>
      </c>
      <c r="B4420" s="4" t="s">
        <v>5562</v>
      </c>
      <c r="C4420" s="5" t="str">
        <f>IFERROR(__xludf.DUMMYFUNCTION("GOOGLETRANSLATE(B4420,""en"",""fr"")"),"Le Dr Lisa Kellett parle à la caméra dans une salle d'examen médical à côté d'un évier.")</f>
        <v>Le Dr Lisa Kellett parle à la caméra dans une salle d'examen médical à côté d'un évier.</v>
      </c>
    </row>
    <row r="4421">
      <c r="A4421" s="4" t="s">
        <v>5560</v>
      </c>
      <c r="B4421" s="4" t="s">
        <v>5563</v>
      </c>
      <c r="C4421" s="5" t="str">
        <f>IFERROR(__xludf.DUMMYFUNCTION("GOOGLETRANSLATE(B4421,""en"",""fr"")"),"Le médecin démontre les étapes pour se laver les mains comme le font les médecins.")</f>
        <v>Le médecin démontre les étapes pour se laver les mains comme le font les médecins.</v>
      </c>
    </row>
    <row r="4422">
      <c r="A4422" s="4" t="s">
        <v>5560</v>
      </c>
      <c r="B4422" s="4" t="s">
        <v>5564</v>
      </c>
      <c r="C4422" s="5" t="str">
        <f>IFERROR(__xludf.DUMMYFUNCTION("GOOGLETRANSLATE(B4422,""en"",""fr"")"),"L'adresse du logo et du site Web apparaît à nouveau à l'écran.")</f>
        <v>L'adresse du logo et du site Web apparaît à nouveau à l'écran.</v>
      </c>
    </row>
    <row r="4423">
      <c r="A4423" s="4" t="s">
        <v>5565</v>
      </c>
      <c r="B4423" s="4" t="s">
        <v>5566</v>
      </c>
      <c r="C4423" s="5" t="str">
        <f>IFERROR(__xludf.DUMMYFUNCTION("GOOGLETRANSLATE(B4423,""en"",""fr"")"),"Page Web et adresse de l'entreprise.")</f>
        <v>Page Web et adresse de l'entreprise.</v>
      </c>
    </row>
    <row r="4424">
      <c r="A4424" s="4" t="s">
        <v>5565</v>
      </c>
      <c r="B4424" s="4" t="s">
        <v>5567</v>
      </c>
      <c r="C4424" s="5" t="str">
        <f>IFERROR(__xludf.DUMMYFUNCTION("GOOGLETRANSLATE(B4424,""en"",""fr"")"),"Signes verts sur un poteau.")</f>
        <v>Signes verts sur un poteau.</v>
      </c>
    </row>
    <row r="4425">
      <c r="A4425" s="4" t="s">
        <v>5565</v>
      </c>
      <c r="B4425" s="4" t="s">
        <v>5568</v>
      </c>
      <c r="C4425" s="5" t="str">
        <f>IFERROR(__xludf.DUMMYFUNCTION("GOOGLETRANSLATE(B4425,""en"",""fr"")"),"La femme parle au téléphone dans un magasin de voitures.")</f>
        <v>La femme parle au téléphone dans un magasin de voitures.</v>
      </c>
    </row>
    <row r="4426">
      <c r="A4426" s="4" t="s">
        <v>5565</v>
      </c>
      <c r="B4426" s="4" t="s">
        <v>5569</v>
      </c>
      <c r="C4426" s="5" t="str">
        <f>IFERROR(__xludf.DUMMYFUNCTION("GOOGLETRANSLATE(B4426,""en"",""fr"")"),"L'homme polit une voiture noire pendant que les gens regarde.")</f>
        <v>L'homme polit une voiture noire pendant que les gens regarde.</v>
      </c>
    </row>
    <row r="4427">
      <c r="A4427" s="4" t="s">
        <v>5565</v>
      </c>
      <c r="B4427" s="4" t="s">
        <v>5570</v>
      </c>
      <c r="C4427" s="5" t="str">
        <f>IFERROR(__xludf.DUMMYFUNCTION("GOOGLETRANSLATE(B4427,""en"",""fr"")"),"Deux hommes nettoient la voiture à l'extérieur et à l'intérieur.")</f>
        <v>Deux hommes nettoient la voiture à l'extérieur et à l'intérieur.</v>
      </c>
    </row>
    <row r="4428">
      <c r="A4428" s="4" t="s">
        <v>5565</v>
      </c>
      <c r="B4428" s="4" t="s">
        <v>5571</v>
      </c>
      <c r="C4428" s="5" t="str">
        <f>IFERROR(__xludf.DUMMYFUNCTION("GOOGLETRANSLATE(B4428,""en"",""fr"")"),"Trois voitures sont garées devant le magasin.")</f>
        <v>Trois voitures sont garées devant le magasin.</v>
      </c>
    </row>
    <row r="4429">
      <c r="A4429" s="4" t="s">
        <v>5572</v>
      </c>
      <c r="B4429" s="6" t="s">
        <v>5573</v>
      </c>
      <c r="C4429" s="5" t="str">
        <f>IFERROR(__xludf.DUMMYFUNCTION("GOOGLETRANSLATE(B4429,""en"",""fr"")"),"Une personne est vue rouler sur un cheval tenant un morceau de corde dans ses mains en arrière en arrière et quatrième.")</f>
        <v>Une personne est vue rouler sur un cheval tenant un morceau de corde dans ses mains en arrière en arrière et quatrième.</v>
      </c>
    </row>
    <row r="4430">
      <c r="A4430" s="4" t="s">
        <v>5572</v>
      </c>
      <c r="B4430" s="6" t="s">
        <v>5574</v>
      </c>
      <c r="C4430" s="5" t="str">
        <f>IFERROR(__xludf.DUMMYFUNCTION("GOOGLETRANSLATE(B4430,""en"",""fr"")"),"L'homme soutient un peu le cheval, puis enlève la poursuite d'un mollet et le cordant et le liant.")</f>
        <v>L'homme soutient un peu le cheval, puis enlève la poursuite d'un mollet et le cordant et le liant.</v>
      </c>
    </row>
    <row r="4431">
      <c r="A4431" s="4" t="s">
        <v>5572</v>
      </c>
      <c r="B4431" s="4" t="s">
        <v>5575</v>
      </c>
      <c r="C4431" s="5" t="str">
        <f>IFERROR(__xludf.DUMMYFUNCTION("GOOGLETRANSLATE(B4431,""en"",""fr"")"),"Il jette ses mains dans les airs pendant que le mollet se déplace puis remonte au-dessus du cheval.")</f>
        <v>Il jette ses mains dans les airs pendant que le mollet se déplace puis remonte au-dessus du cheval.</v>
      </c>
    </row>
    <row r="4432">
      <c r="A4432" s="4" t="s">
        <v>5576</v>
      </c>
      <c r="B4432" s="4" t="s">
        <v>5577</v>
      </c>
      <c r="C4432" s="5" t="str">
        <f>IFERROR(__xludf.DUMMYFUNCTION("GOOGLETRANSLATE(B4432,""en"",""fr"")"),"Cet homme essaie de tirer la balle blanche sur la table de billard en arrière.")</f>
        <v>Cet homme essaie de tirer la balle blanche sur la table de billard en arrière.</v>
      </c>
    </row>
    <row r="4433">
      <c r="A4433" s="4" t="s">
        <v>5576</v>
      </c>
      <c r="B4433" s="6" t="s">
        <v>5578</v>
      </c>
      <c r="C4433" s="5" t="str">
        <f>IFERROR(__xludf.DUMMYFUNCTION("GOOGLETRANSLATE(B4433,""en"",""fr"")"),"Il continue d'essayer de le tirer en arrière, mais il ne peut tout simplement pas, alors il a décidé de le faire de la manière régulière et de tirer vers l'avant.")</f>
        <v>Il continue d'essayer de le tirer en arrière, mais il ne peut tout simplement pas, alors il a décidé de le faire de la manière régulière et de tirer vers l'avant.</v>
      </c>
    </row>
    <row r="4434">
      <c r="A4434" s="4" t="s">
        <v>5576</v>
      </c>
      <c r="B4434" s="4" t="s">
        <v>5579</v>
      </c>
      <c r="C4434" s="5" t="str">
        <f>IFERROR(__xludf.DUMMYFUNCTION("GOOGLETRANSLATE(B4434,""en"",""fr"")"),"Quand il le fait, il met le bâton de repère et s'éloigne.")</f>
        <v>Quand il le fait, il met le bâton de repère et s'éloigne.</v>
      </c>
    </row>
    <row r="4435">
      <c r="A4435" s="4" t="s">
        <v>5580</v>
      </c>
      <c r="B4435" s="4" t="s">
        <v>5581</v>
      </c>
      <c r="C4435" s="5" t="str">
        <f>IFERROR(__xludf.DUMMYFUNCTION("GOOGLETRANSLATE(B4435,""en"",""fr"")"),"Un homme se tient dans un champ tenant une hache.")</f>
        <v>Un homme se tient dans un champ tenant une hache.</v>
      </c>
    </row>
    <row r="4436">
      <c r="A4436" s="4" t="s">
        <v>5580</v>
      </c>
      <c r="B4436" s="4" t="s">
        <v>5582</v>
      </c>
      <c r="C4436" s="5" t="str">
        <f>IFERROR(__xludf.DUMMYFUNCTION("GOOGLETRANSLATE(B4436,""en"",""fr"")"),"L'homme soulève la hache au-dessus de sa tête.")</f>
        <v>L'homme soulève la hache au-dessus de sa tête.</v>
      </c>
    </row>
    <row r="4437">
      <c r="A4437" s="4" t="s">
        <v>5580</v>
      </c>
      <c r="B4437" s="4" t="s">
        <v>5583</v>
      </c>
      <c r="C4437" s="5" t="str">
        <f>IFERROR(__xludf.DUMMYFUNCTION("GOOGLETRANSLATE(B4437,""en"",""fr"")"),"L'homme divise une bûche de bois sur une souche.")</f>
        <v>L'homme divise une bûche de bois sur une souche.</v>
      </c>
    </row>
    <row r="4438">
      <c r="A4438" s="4" t="s">
        <v>5580</v>
      </c>
      <c r="B4438" s="4" t="s">
        <v>5584</v>
      </c>
      <c r="C4438" s="5" t="str">
        <f>IFERROR(__xludf.DUMMYFUNCTION("GOOGLETRANSLATE(B4438,""en"",""fr"")"),"L'homme se tient alors debout.")</f>
        <v>L'homme se tient alors debout.</v>
      </c>
    </row>
    <row r="4439">
      <c r="A4439" s="4" t="s">
        <v>5585</v>
      </c>
      <c r="B4439" s="4" t="s">
        <v>5586</v>
      </c>
      <c r="C4439" s="5" t="str">
        <f>IFERROR(__xludf.DUMMYFUNCTION("GOOGLETRANSLATE(B4439,""en"",""fr"")"),"Une voiture est vue conduire le long de la route qui mène aux gens qui resserrent les routes et prennent des boissons.")</f>
        <v>Une voiture est vue conduire le long de la route qui mène aux gens qui resserrent les routes et prennent des boissons.</v>
      </c>
    </row>
    <row r="4440">
      <c r="A4440" s="4" t="s">
        <v>5585</v>
      </c>
      <c r="B4440" s="4" t="s">
        <v>5587</v>
      </c>
      <c r="C4440" s="5" t="str">
        <f>IFERROR(__xludf.DUMMYFUNCTION("GOOGLETRANSLATE(B4440,""en"",""fr"")"),"Plusieurs clips sont représentés de personnes qui traversent la corde et rebondissaient dessus.")</f>
        <v>Plusieurs clips sont représentés de personnes qui traversent la corde et rebondissaient dessus.</v>
      </c>
    </row>
    <row r="4441">
      <c r="A4441" s="4" t="s">
        <v>5585</v>
      </c>
      <c r="B4441" s="4" t="s">
        <v>5588</v>
      </c>
      <c r="C4441" s="5" t="str">
        <f>IFERROR(__xludf.DUMMYFUNCTION("GOOGLETRANSLATE(B4441,""en"",""fr"")"),"Plus de gros plans sont montrés des visages des peuples et debout un rebond sur la corde.")</f>
        <v>Plus de gros plans sont montrés des visages des peuples et debout un rebond sur la corde.</v>
      </c>
    </row>
    <row r="4442">
      <c r="A4442" s="4" t="s">
        <v>5589</v>
      </c>
      <c r="B4442" s="4" t="s">
        <v>5590</v>
      </c>
      <c r="C4442" s="5" t="str">
        <f>IFERROR(__xludf.DUMMYFUNCTION("GOOGLETRANSLATE(B4442,""en"",""fr"")"),"Un homme est vu se plier tout en retirant une chaussure pour essuyer ses pieds puis remet la chaussure.")</f>
        <v>Un homme est vu se plier tout en retirant une chaussure pour essuyer ses pieds puis remet la chaussure.</v>
      </c>
    </row>
    <row r="4443">
      <c r="A4443" s="4" t="s">
        <v>5589</v>
      </c>
      <c r="B4443" s="6" t="s">
        <v>5591</v>
      </c>
      <c r="C4443" s="5" t="str">
        <f>IFERROR(__xludf.DUMMYFUNCTION("GOOGLETRANSLATE(B4443,""en"",""fr"")"),"Il fait cela à son autre pied, puis marche le long des rochers pendant qu'un homme l'ordonne et d'autres se promenaient.")</f>
        <v>Il fait cela à son autre pied, puis marche le long des rochers pendant qu'un homme l'ordonne et d'autres se promenaient.</v>
      </c>
    </row>
    <row r="4444">
      <c r="A4444" s="4" t="s">
        <v>5592</v>
      </c>
      <c r="B4444" s="4" t="s">
        <v>5593</v>
      </c>
      <c r="C4444" s="5" t="str">
        <f>IFERROR(__xludf.DUMMYFUNCTION("GOOGLETRANSLATE(B4444,""en"",""fr"")"),"Une fille blonde est dans une maison résidentielle, souriant et parle tout en tenant un violon devant elle.")</f>
        <v>Une fille blonde est dans une maison résidentielle, souriant et parle tout en tenant un violon devant elle.</v>
      </c>
    </row>
    <row r="4445">
      <c r="A4445" s="4" t="s">
        <v>5592</v>
      </c>
      <c r="B4445" s="6" t="s">
        <v>5594</v>
      </c>
      <c r="C4445" s="5" t="str">
        <f>IFERROR(__xludf.DUMMYFUNCTION("GOOGLETRANSLATE(B4445,""en"",""fr"")"),"La fille arrête brièvement de parler, puis recule et amène le violon au menton pendant qu'elle parle, puis commence à jouer en tirant le violon à travers les cordes.")</f>
        <v>La fille arrête brièvement de parler, puis recule et amène le violon au menton pendant qu'elle parle, puis commence à jouer en tirant le violon à travers les cordes.</v>
      </c>
    </row>
    <row r="4446">
      <c r="A4446" s="4" t="s">
        <v>5592</v>
      </c>
      <c r="B4446" s="6" t="s">
        <v>5595</v>
      </c>
      <c r="C4446" s="5" t="str">
        <f>IFERROR(__xludf.DUMMYFUNCTION("GOOGLETRANSLATE(B4446,""en"",""fr"")"),"La fille cesse de tirer le violon à travers les cordes et se rapproche de la caméra pour parler, puis reprend déplacer le violon à travers les cordes.")</f>
        <v>La fille cesse de tirer le violon à travers les cordes et se rapproche de la caméra pour parler, puis reprend déplacer le violon à travers les cordes.</v>
      </c>
    </row>
    <row r="4447">
      <c r="A4447" s="4" t="s">
        <v>5592</v>
      </c>
      <c r="B4447" s="6" t="s">
        <v>5596</v>
      </c>
      <c r="C4447" s="5" t="str">
        <f>IFERROR(__xludf.DUMMYFUNCTION("GOOGLETRANSLATE(B4447,""en"",""fr"")"),"La fille recule ensuite, et se retourne pour montrer son côté gauche alors qu'elle déplace le violon à travers les cordes de violon, puis elle se retire à nouveau et se rapproche de la caméra et joue un peu plus.")</f>
        <v>La fille recule ensuite, et se retourne pour montrer son côté gauche alors qu'elle déplace le violon à travers les cordes de violon, puis elle se retire à nouveau et se rapproche de la caméra et joue un peu plus.</v>
      </c>
    </row>
    <row r="4448">
      <c r="A4448" s="4" t="s">
        <v>5592</v>
      </c>
      <c r="B4448" s="4" t="s">
        <v>5597</v>
      </c>
      <c r="C4448" s="5" t="str">
        <f>IFERROR(__xludf.DUMMYFUNCTION("GOOGLETRANSLATE(B4448,""en"",""fr"")"),"La fille arrête de jouer et retire son violon de son menton.")</f>
        <v>La fille arrête de jouer et retire son violon de son menton.</v>
      </c>
    </row>
    <row r="4449">
      <c r="A4449" s="4" t="s">
        <v>5598</v>
      </c>
      <c r="B4449" s="4" t="s">
        <v>5599</v>
      </c>
      <c r="C4449" s="5" t="str">
        <f>IFERROR(__xludf.DUMMYFUNCTION("GOOGLETRANSLATE(B4449,""en"",""fr"")"),"Un homme portant du matériel de plongée marche le long du bord d'une piscine.")</f>
        <v>Un homme portant du matériel de plongée marche le long du bord d'une piscine.</v>
      </c>
    </row>
    <row r="4450">
      <c r="A4450" s="4" t="s">
        <v>5598</v>
      </c>
      <c r="B4450" s="4" t="s">
        <v>5600</v>
      </c>
      <c r="C4450" s="5" t="str">
        <f>IFERROR(__xludf.DUMMYFUNCTION("GOOGLETRANSLATE(B4450,""en"",""fr"")"),"L'homme commence à parler à la caméra et montre à la caméra divers éléments.")</f>
        <v>L'homme commence à parler à la caméra et montre à la caméra divers éléments.</v>
      </c>
    </row>
    <row r="4451">
      <c r="A4451" s="4" t="s">
        <v>5598</v>
      </c>
      <c r="B4451" s="4" t="s">
        <v>5601</v>
      </c>
      <c r="C4451" s="5" t="str">
        <f>IFERROR(__xludf.DUMMYFUNCTION("GOOGLETRANSLATE(B4451,""en"",""fr"")"),"La caméra montre la piscine.")</f>
        <v>La caméra montre la piscine.</v>
      </c>
    </row>
    <row r="4452">
      <c r="A4452" s="4" t="s">
        <v>5598</v>
      </c>
      <c r="B4452" s="4" t="s">
        <v>5602</v>
      </c>
      <c r="C4452" s="5" t="str">
        <f>IFERROR(__xludf.DUMMYFUNCTION("GOOGLETRANSLATE(B4452,""en"",""fr"")"),"Un compresseur d'outil et d'air est illustré.")</f>
        <v>Un compresseur d'outil et d'air est illustré.</v>
      </c>
    </row>
    <row r="4453">
      <c r="A4453" s="4" t="s">
        <v>5598</v>
      </c>
      <c r="B4453" s="6" t="s">
        <v>5603</v>
      </c>
      <c r="C4453" s="5" t="str">
        <f>IFERROR(__xludf.DUMMYFUNCTION("GOOGLETRANSLATE(B4453,""en"",""fr"")"),"L'homme entre dans la piscine et procède à la couverture sur le drain sous l'eau dans l'équipement de plongée.")</f>
        <v>L'homme entre dans la piscine et procède à la couverture sur le drain sous l'eau dans l'équipement de plongée.</v>
      </c>
    </row>
    <row r="4454">
      <c r="A4454" s="4" t="s">
        <v>5598</v>
      </c>
      <c r="B4454" s="4" t="s">
        <v>5604</v>
      </c>
      <c r="C4454" s="5" t="str">
        <f>IFERROR(__xludf.DUMMYFUNCTION("GOOGLETRANSLATE(B4454,""en"",""fr"")"),"L'homme donne un coup de pouce.")</f>
        <v>L'homme donne un coup de pouce.</v>
      </c>
    </row>
    <row r="4455">
      <c r="A4455" s="4" t="s">
        <v>5598</v>
      </c>
      <c r="B4455" s="4" t="s">
        <v>5605</v>
      </c>
      <c r="C4455" s="5" t="str">
        <f>IFERROR(__xludf.DUMMYFUNCTION("GOOGLETRANSLATE(B4455,""en"",""fr"")"),"L'homme montre les bulles que l'outil fait sous l'eau tout en se balançant la tête.")</f>
        <v>L'homme montre les bulles que l'outil fait sous l'eau tout en se balançant la tête.</v>
      </c>
    </row>
    <row r="4456">
      <c r="A4456" s="4" t="s">
        <v>5606</v>
      </c>
      <c r="B4456" s="4" t="s">
        <v>5607</v>
      </c>
      <c r="C4456" s="5" t="str">
        <f>IFERROR(__xludf.DUMMYFUNCTION("GOOGLETRANSLATE(B4456,""en"",""fr"")"),"Deux coups de pain, une assiette et deux tranches de fromage sont sur le comptoir.")</f>
        <v>Deux coups de pain, une assiette et deux tranches de fromage sont sur le comptoir.</v>
      </c>
    </row>
    <row r="4457">
      <c r="A4457" s="4" t="s">
        <v>5606</v>
      </c>
      <c r="B4457" s="6" t="s">
        <v>5608</v>
      </c>
      <c r="C4457" s="5" t="str">
        <f>IFERROR(__xludf.DUMMYFUNCTION("GOOGLETRANSLATE(B4457,""en"",""fr"")"),"La personne prend ensuite une tranche, répand le beurre dessus et y met deux tranches de fromage et ajoute l'autre tranche dessus.")</f>
        <v>La personne prend ensuite une tranche, répand le beurre dessus et y met deux tranches de fromage et ajoute l'autre tranche dessus.</v>
      </c>
    </row>
    <row r="4458">
      <c r="A4458" s="4" t="s">
        <v>5606</v>
      </c>
      <c r="B4458" s="4" t="s">
        <v>5609</v>
      </c>
      <c r="C4458" s="5" t="str">
        <f>IFERROR(__xludf.DUMMYFUNCTION("GOOGLETRANSLATE(B4458,""en"",""fr"")"),"Le sandwich a maintenant du beurre des deux côtés et le sandwich est placé dans une poêle et est frit.")</f>
        <v>Le sandwich a maintenant du beurre des deux côtés et le sandwich est placé dans une poêle et est frit.</v>
      </c>
    </row>
    <row r="4459">
      <c r="A4459" s="4" t="s">
        <v>5606</v>
      </c>
      <c r="B4459" s="4" t="s">
        <v>5610</v>
      </c>
      <c r="C4459" s="5" t="str">
        <f>IFERROR(__xludf.DUMMYFUNCTION("GOOGLETRANSLATE(B4459,""en"",""fr"")"),"Une fois terminé, il est placé sur une plaque rouge et coupé en deux avec un couteau épais.")</f>
        <v>Une fois terminé, il est placé sur une plaque rouge et coupé en deux avec un couteau épais.</v>
      </c>
    </row>
    <row r="4460">
      <c r="A4460" s="4" t="s">
        <v>5611</v>
      </c>
      <c r="B4460" s="4" t="s">
        <v>5612</v>
      </c>
      <c r="C4460" s="5" t="str">
        <f>IFERROR(__xludf.DUMMYFUNCTION("GOOGLETRANSLATE(B4460,""en"",""fr"")"),"Un homme est montré en tenant une grande poubelle ainsi que plusieurs personnes autour de lui rassemblant des feuilles.")</f>
        <v>Un homme est montré en tenant une grande poubelle ainsi que plusieurs personnes autour de lui rassemblant des feuilles.</v>
      </c>
    </row>
    <row r="4461">
      <c r="A4461" s="4" t="s">
        <v>5611</v>
      </c>
      <c r="B4461" s="6" t="s">
        <v>5613</v>
      </c>
      <c r="C4461" s="5" t="str">
        <f>IFERROR(__xludf.DUMMYFUNCTION("GOOGLETRANSLATE(B4461,""en"",""fr"")"),"Plus de gens sont montrés en marchant dans les feuilles de grattage tandis qu'une femme parle à la foule et les inspire à travailler davantage.")</f>
        <v>Plus de gens sont montrés en marchant dans les feuilles de grattage tandis qu'une femme parle à la foule et les inspire à travailler davantage.</v>
      </c>
    </row>
    <row r="4462">
      <c r="A4462" s="4" t="s">
        <v>5611</v>
      </c>
      <c r="B4462" s="4" t="s">
        <v>5614</v>
      </c>
      <c r="C4462" s="5" t="str">
        <f>IFERROR(__xludf.DUMMYFUNCTION("GOOGLETRANSLATE(B4462,""en"",""fr"")"),"Les gens continuent de travailler et le soleil brille sur un arbre.")</f>
        <v>Les gens continuent de travailler et le soleil brille sur un arbre.</v>
      </c>
    </row>
    <row r="4463">
      <c r="A4463" s="4" t="s">
        <v>5615</v>
      </c>
      <c r="B4463" s="4" t="s">
        <v>5616</v>
      </c>
      <c r="C4463" s="5" t="str">
        <f>IFERROR(__xludf.DUMMYFUNCTION("GOOGLETRANSLATE(B4463,""en"",""fr"")"),"Deux personnes sont vues debout à l'extérieur sur un tapis.")</f>
        <v>Deux personnes sont vues debout à l'extérieur sur un tapis.</v>
      </c>
    </row>
    <row r="4464">
      <c r="A4464" s="4" t="s">
        <v>5615</v>
      </c>
      <c r="B4464" s="4" t="s">
        <v>5617</v>
      </c>
      <c r="C4464" s="5" t="str">
        <f>IFERROR(__xludf.DUMMYFUNCTION("GOOGLETRANSLATE(B4464,""en"",""fr"")"),"Une personne attrape ensuite l'autre personne par les jambes.")</f>
        <v>Une personne attrape ensuite l'autre personne par les jambes.</v>
      </c>
    </row>
    <row r="4465">
      <c r="A4465" s="4" t="s">
        <v>5615</v>
      </c>
      <c r="B4465" s="4" t="s">
        <v>5618</v>
      </c>
      <c r="C4465" s="5" t="str">
        <f>IFERROR(__xludf.DUMMYFUNCTION("GOOGLETRANSLATE(B4465,""en"",""fr"")"),"Les hommes se retournent ensuite sur le sol.")</f>
        <v>Les hommes se retournent ensuite sur le sol.</v>
      </c>
    </row>
    <row r="4466">
      <c r="A4466" s="4" t="s">
        <v>5619</v>
      </c>
      <c r="B4466" s="4" t="s">
        <v>5620</v>
      </c>
      <c r="C4466" s="5" t="str">
        <f>IFERROR(__xludf.DUMMYFUNCTION("GOOGLETRANSLATE(B4466,""en"",""fr"")"),"Les gens jouent à un jeu de crosse sur un terrain.")</f>
        <v>Les gens jouent à un jeu de crosse sur un terrain.</v>
      </c>
    </row>
    <row r="4467">
      <c r="A4467" s="4" t="s">
        <v>5619</v>
      </c>
      <c r="B4467" s="4" t="s">
        <v>5621</v>
      </c>
      <c r="C4467" s="5" t="str">
        <f>IFERROR(__xludf.DUMMYFUNCTION("GOOGLETRANSLATE(B4467,""en"",""fr"")"),"Une femme parle à la caméra dans une salle de sport.")</f>
        <v>Une femme parle à la caméra dans une salle de sport.</v>
      </c>
    </row>
    <row r="4468">
      <c r="A4468" s="4" t="s">
        <v>5619</v>
      </c>
      <c r="B4468" s="4" t="s">
        <v>5622</v>
      </c>
      <c r="C4468" s="5" t="str">
        <f>IFERROR(__xludf.DUMMYFUNCTION("GOOGLETRANSLATE(B4468,""en"",""fr"")"),"Un train conduit sur les voies.")</f>
        <v>Un train conduit sur les voies.</v>
      </c>
    </row>
    <row r="4469">
      <c r="A4469" s="4" t="s">
        <v>5619</v>
      </c>
      <c r="B4469" s="4" t="s">
        <v>5623</v>
      </c>
      <c r="C4469" s="5" t="str">
        <f>IFERROR(__xludf.DUMMYFUNCTION("GOOGLETRANSLATE(B4469,""en"",""fr"")"),"Ils continuent de jouer à la crosse sur un terrain.")</f>
        <v>Ils continuent de jouer à la crosse sur un terrain.</v>
      </c>
    </row>
    <row r="4470">
      <c r="A4470" s="4" t="s">
        <v>5624</v>
      </c>
      <c r="B4470" s="4" t="s">
        <v>5625</v>
      </c>
      <c r="C4470" s="5" t="str">
        <f>IFERROR(__xludf.DUMMYFUNCTION("GOOGLETRANSLATE(B4470,""en"",""fr"")"),"La personne nage sous la mer.")</f>
        <v>La personne nage sous la mer.</v>
      </c>
    </row>
    <row r="4471">
      <c r="A4471" s="4" t="s">
        <v>5624</v>
      </c>
      <c r="B4471" s="4" t="s">
        <v>5626</v>
      </c>
      <c r="C4471" s="5" t="str">
        <f>IFERROR(__xludf.DUMMYFUNCTION("GOOGLETRANSLATE(B4471,""en"",""fr"")"),"La femme nage en avant, elle a regardé la caméra.")</f>
        <v>La femme nage en avant, elle a regardé la caméra.</v>
      </c>
    </row>
    <row r="4472">
      <c r="A4472" s="4" t="s">
        <v>5624</v>
      </c>
      <c r="B4472" s="4" t="s">
        <v>5627</v>
      </c>
      <c r="C4472" s="5" t="str">
        <f>IFERROR(__xludf.DUMMYFUNCTION("GOOGLETRANSLATE(B4472,""en"",""fr"")"),"La femme secoue la tête tandis que derrière elle, un autre plongeur nage.")</f>
        <v>La femme secoue la tête tandis que derrière elle, un autre plongeur nage.</v>
      </c>
    </row>
    <row r="4473">
      <c r="A4473" s="4" t="s">
        <v>5628</v>
      </c>
      <c r="B4473" s="4" t="s">
        <v>5629</v>
      </c>
      <c r="C4473" s="5" t="str">
        <f>IFERROR(__xludf.DUMMYFUNCTION("GOOGLETRANSLATE(B4473,""en"",""fr"")"),"Une paire de mains est représentée à une table Jack Black.")</f>
        <v>Une paire de mains est représentée à une table Jack Black.</v>
      </c>
    </row>
    <row r="4474">
      <c r="A4474" s="4" t="s">
        <v>5628</v>
      </c>
      <c r="B4474" s="4" t="s">
        <v>5630</v>
      </c>
      <c r="C4474" s="5" t="str">
        <f>IFERROR(__xludf.DUMMYFUNCTION("GOOGLETRANSLATE(B4474,""en"",""fr"")"),"Une femme traite les cartes et les puces.")</f>
        <v>Une femme traite les cartes et les puces.</v>
      </c>
    </row>
    <row r="4475">
      <c r="A4475" s="4" t="s">
        <v>5628</v>
      </c>
      <c r="B4475" s="4" t="s">
        <v>5631</v>
      </c>
      <c r="C4475" s="5" t="str">
        <f>IFERROR(__xludf.DUMMYFUNCTION("GOOGLETRANSLATE(B4475,""en"",""fr"")"),"Les puces sont affichées dans une pile à la fin.")</f>
        <v>Les puces sont affichées dans une pile à la fin.</v>
      </c>
    </row>
    <row r="4476">
      <c r="A4476" s="4" t="s">
        <v>5632</v>
      </c>
      <c r="B4476" s="6" t="s">
        <v>5633</v>
      </c>
      <c r="C4476" s="5" t="str">
        <f>IFERROR(__xludf.DUMMYFUNCTION("GOOGLETRANSLATE(B4476,""en"",""fr"")"),"Plusieurs équipes de personnes sont vues jouer à un jeu de tir à tir de la guerre les uns avec les autres avec des gens qui regardent sur les côtés.")</f>
        <v>Plusieurs équipes de personnes sont vues jouer à un jeu de tir à tir de la guerre les uns avec les autres avec des gens qui regardent sur les côtés.</v>
      </c>
    </row>
    <row r="4477">
      <c r="A4477" s="4" t="s">
        <v>5632</v>
      </c>
      <c r="B4477" s="4" t="s">
        <v>5634</v>
      </c>
      <c r="C4477" s="5" t="str">
        <f>IFERROR(__xludf.DUMMYFUNCTION("GOOGLETRANSLATE(B4477,""en"",""fr"")"),"Les gens continuent de rivaliser les uns avec les autres et se termine par une victoire d'une équipe.")</f>
        <v>Les gens continuent de rivaliser les uns avec les autres et se termine par une victoire d'une équipe.</v>
      </c>
    </row>
    <row r="4478">
      <c r="A4478" s="4" t="s">
        <v>5635</v>
      </c>
      <c r="B4478" s="6" t="s">
        <v>5636</v>
      </c>
      <c r="C4478" s="5" t="str">
        <f>IFERROR(__xludf.DUMMYFUNCTION("GOOGLETRANSLATE(B4478,""en"",""fr"")"),"Un vieil homme en chemise noire et des lunettes est assis sur une table verte, devant lui, il y a du livre, des jetons avec différentes couleurs et de la pile de cartes.")</f>
        <v>Un vieil homme en chemise noire et des lunettes est assis sur une table verte, devant lui, il y a du livre, des jetons avec différentes couleurs et de la pile de cartes.</v>
      </c>
    </row>
    <row r="4479">
      <c r="A4479" s="4" t="s">
        <v>5635</v>
      </c>
      <c r="B4479" s="6" t="s">
        <v>5637</v>
      </c>
      <c r="C4479" s="5" t="str">
        <f>IFERROR(__xludf.DUMMYFUNCTION("GOOGLETRANSLATE(B4479,""en"",""fr"")"),"Il a placé les cartes sur la table, au-dessus des étoiles jaunes sur la table, il organise les cartes de manière horizontale.")</f>
        <v>Il a placé les cartes sur la table, au-dessus des étoiles jaunes sur la table, il organise les cartes de manière horizontale.</v>
      </c>
    </row>
    <row r="4480">
      <c r="A4480" s="4" t="s">
        <v>5638</v>
      </c>
      <c r="B4480" s="4" t="s">
        <v>5639</v>
      </c>
      <c r="C4480" s="5" t="str">
        <f>IFERROR(__xludf.DUMMYFUNCTION("GOOGLETRANSLATE(B4480,""en"",""fr"")"),"La femme est montrée en vidant deux aliments différents dans l'assiette pour faire une salade de fruits.")</f>
        <v>La femme est montrée en vidant deux aliments différents dans l'assiette pour faire une salade de fruits.</v>
      </c>
    </row>
    <row r="4481">
      <c r="A4481" s="4" t="s">
        <v>5638</v>
      </c>
      <c r="B4481" s="4" t="s">
        <v>5640</v>
      </c>
      <c r="C4481" s="5" t="str">
        <f>IFERROR(__xludf.DUMMYFUNCTION("GOOGLETRANSLATE(B4481,""en"",""fr"")"),"Elle touche les fraises et les pommes.")</f>
        <v>Elle touche les fraises et les pommes.</v>
      </c>
    </row>
    <row r="4482">
      <c r="A4482" s="4" t="s">
        <v>5638</v>
      </c>
      <c r="B4482" s="4" t="s">
        <v>5641</v>
      </c>
      <c r="C4482" s="5" t="str">
        <f>IFERROR(__xludf.DUMMYFUNCTION("GOOGLETRANSLATE(B4482,""en"",""fr"")"),"Puis elle saupoudre de petites baies sur l'autre fruit.")</f>
        <v>Puis elle saupoudre de petites baies sur l'autre fruit.</v>
      </c>
    </row>
    <row r="4483">
      <c r="A4483" s="4" t="s">
        <v>5642</v>
      </c>
      <c r="B4483" s="4" t="s">
        <v>5643</v>
      </c>
      <c r="C4483" s="5" t="str">
        <f>IFERROR(__xludf.DUMMYFUNCTION("GOOGLETRANSLATE(B4483,""en"",""fr"")"),"Il y a un homme à genoux sur un tapis de yoga rouge.")</f>
        <v>Il y a un homme à genoux sur un tapis de yoga rouge.</v>
      </c>
    </row>
    <row r="4484">
      <c r="A4484" s="4" t="s">
        <v>5642</v>
      </c>
      <c r="B4484" s="6" t="s">
        <v>5644</v>
      </c>
      <c r="C4484" s="5" t="str">
        <f>IFERROR(__xludf.DUMMYFUNCTION("GOOGLETRANSLATE(B4484,""en"",""fr"")"),"L'entraîneur debout à côté de lui s'assure qu'il monte et descend pendant qu'il est agenouillé et il tient le dos pour sentir le mouvement musculaire.")</f>
        <v>L'entraîneur debout à côté de lui s'assure qu'il monte et descend pendant qu'il est agenouillé et il tient le dos pour sentir le mouvement musculaire.</v>
      </c>
    </row>
    <row r="4485">
      <c r="A4485" s="4" t="s">
        <v>5645</v>
      </c>
      <c r="B4485" s="4" t="s">
        <v>5646</v>
      </c>
      <c r="C4485" s="5" t="str">
        <f>IFERROR(__xludf.DUMMYFUNCTION("GOOGLETRANSLATE(B4485,""en"",""fr"")"),"Un gars se tient dehors, gestes et parle.")</f>
        <v>Un gars se tient dehors, gestes et parle.</v>
      </c>
    </row>
    <row r="4486">
      <c r="A4486" s="4" t="s">
        <v>5645</v>
      </c>
      <c r="B4486" s="4" t="s">
        <v>5647</v>
      </c>
      <c r="C4486" s="5" t="str">
        <f>IFERROR(__xludf.DUMMYFUNCTION("GOOGLETRANSLATE(B4486,""en"",""fr"")"),"Un homme monte de l'eau, commence la planche à eau et se retourne.")</f>
        <v>Un homme monte de l'eau, commence la planche à eau et se retourne.</v>
      </c>
    </row>
    <row r="4487">
      <c r="A4487" s="4" t="s">
        <v>5645</v>
      </c>
      <c r="B4487" s="4" t="s">
        <v>5648</v>
      </c>
      <c r="C4487" s="5" t="str">
        <f>IFERROR(__xludf.DUMMYFUNCTION("GOOGLETRANSLATE(B4487,""en"",""fr"")"),"Un véhicule à eau tire un homme tenant une corde.")</f>
        <v>Un véhicule à eau tire un homme tenant une corde.</v>
      </c>
    </row>
    <row r="4488">
      <c r="A4488" s="4" t="s">
        <v>5645</v>
      </c>
      <c r="B4488" s="4" t="s">
        <v>5649</v>
      </c>
      <c r="C4488" s="5" t="str">
        <f>IFERROR(__xludf.DUMMYFUNCTION("GOOGLETRANSLATE(B4488,""en"",""fr"")"),"Le gars commence à partir après avoir fait valoir le dernier point.")</f>
        <v>Le gars commence à partir après avoir fait valoir le dernier point.</v>
      </c>
    </row>
    <row r="4489">
      <c r="A4489" s="4" t="s">
        <v>5650</v>
      </c>
      <c r="B4489" s="4" t="s">
        <v>5651</v>
      </c>
      <c r="C4489" s="5" t="str">
        <f>IFERROR(__xludf.DUMMYFUNCTION("GOOGLETRANSLATE(B4489,""en"",""fr"")"),"Un homme est vu jouer un instrument tandis qu'un autre regarde en arrière-plan.")</f>
        <v>Un homme est vu jouer un instrument tandis qu'un autre regarde en arrière-plan.</v>
      </c>
    </row>
    <row r="4490">
      <c r="A4490" s="4" t="s">
        <v>5650</v>
      </c>
      <c r="B4490" s="6" t="s">
        <v>5652</v>
      </c>
      <c r="C4490" s="5" t="str">
        <f>IFERROR(__xludf.DUMMYFUNCTION("GOOGLETRANSLATE(B4490,""en"",""fr"")"),"Il s'arrête pour parler à un grand groupe de garçons et continue de jouer de l'instrument, soufflant du vent dans leur fumée.")</f>
        <v>Il s'arrête pour parler à un grand groupe de garçons et continue de jouer de l'instrument, soufflant du vent dans leur fumée.</v>
      </c>
    </row>
    <row r="4491">
      <c r="A4491" s="4" t="s">
        <v>5650</v>
      </c>
      <c r="B4491" s="4" t="s">
        <v>5653</v>
      </c>
      <c r="C4491" s="5" t="str">
        <f>IFERROR(__xludf.DUMMYFUNCTION("GOOGLETRANSLATE(B4491,""en"",""fr"")"),"Les garçons regardent avec étonnement et se penche étroitement à un autre garçon.")</f>
        <v>Les garçons regardent avec étonnement et se penche étroitement à un autre garçon.</v>
      </c>
    </row>
    <row r="4492">
      <c r="A4492" s="4" t="s">
        <v>5654</v>
      </c>
      <c r="B4492" s="4" t="s">
        <v>5655</v>
      </c>
      <c r="C4492" s="5" t="str">
        <f>IFERROR(__xludf.DUMMYFUNCTION("GOOGLETRANSLATE(B4492,""en"",""fr"")"),"Les gens jouent à un jeu Tag of War.")</f>
        <v>Les gens jouent à un jeu Tag of War.</v>
      </c>
    </row>
    <row r="4493">
      <c r="A4493" s="4" t="s">
        <v>5654</v>
      </c>
      <c r="B4493" s="4" t="s">
        <v>5656</v>
      </c>
      <c r="C4493" s="5" t="str">
        <f>IFERROR(__xludf.DUMMYFUNCTION("GOOGLETRANSLATE(B4493,""en"",""fr"")"),"Les enfants saluent leurs coéquipiers.")</f>
        <v>Les enfants saluent leurs coéquipiers.</v>
      </c>
    </row>
    <row r="4494">
      <c r="A4494" s="4" t="s">
        <v>5654</v>
      </c>
      <c r="B4494" s="4" t="s">
        <v>5657</v>
      </c>
      <c r="C4494" s="5" t="str">
        <f>IFERROR(__xludf.DUMMYFUNCTION("GOOGLETRANSLATE(B4494,""en"",""fr"")"),"Les enfants tirent les adultes sur le côté, le côté droit.")</f>
        <v>Les enfants tirent les adultes sur le côté, le côté droit.</v>
      </c>
    </row>
    <row r="4495">
      <c r="A4495" s="4" t="s">
        <v>5654</v>
      </c>
      <c r="B4495" s="4" t="s">
        <v>5658</v>
      </c>
      <c r="C4495" s="5" t="str">
        <f>IFERROR(__xludf.DUMMYFUNCTION("GOOGLETRANSLATE(B4495,""en"",""fr"")"),"Les enfants lâchent la corde, sautent de haut en bas, et applaudissent.")</f>
        <v>Les enfants lâchent la corde, sautent de haut en bas, et applaudissent.</v>
      </c>
    </row>
    <row r="4496">
      <c r="A4496" s="4" t="s">
        <v>5659</v>
      </c>
      <c r="B4496" s="4" t="s">
        <v>5660</v>
      </c>
      <c r="C4496" s="5" t="str">
        <f>IFERROR(__xludf.DUMMYFUNCTION("GOOGLETRANSLATE(B4496,""en"",""fr"")"),"Un gymnaste masculin se dirige vers les barreaux parallèles et utilise une planche de printemps pour sauter.")</f>
        <v>Un gymnaste masculin se dirige vers les barreaux parallèles et utilise une planche de printemps pour sauter.</v>
      </c>
    </row>
    <row r="4497">
      <c r="A4497" s="4" t="s">
        <v>5659</v>
      </c>
      <c r="B4497" s="4" t="s">
        <v>5661</v>
      </c>
      <c r="C4497" s="5" t="str">
        <f>IFERROR(__xludf.DUMMYFUNCTION("GOOGLETRANSLATE(B4497,""en"",""fr"")"),"Un autre homme retire la planche de printemps.")</f>
        <v>Un autre homme retire la planche de printemps.</v>
      </c>
    </row>
    <row r="4498">
      <c r="A4498" s="4" t="s">
        <v>5659</v>
      </c>
      <c r="B4498" s="4" t="s">
        <v>5662</v>
      </c>
      <c r="C4498" s="5" t="str">
        <f>IFERROR(__xludf.DUMMYFUNCTION("GOOGLETRANSLATE(B4498,""en"",""fr"")"),"Une grande foule regarde depuis les tribunes du gymnase.")</f>
        <v>Une grande foule regarde depuis les tribunes du gymnase.</v>
      </c>
    </row>
    <row r="4499">
      <c r="A4499" s="4" t="s">
        <v>5659</v>
      </c>
      <c r="B4499" s="4" t="s">
        <v>5663</v>
      </c>
      <c r="C4499" s="5" t="str">
        <f>IFERROR(__xludf.DUMMYFUNCTION("GOOGLETRANSLATE(B4499,""en"",""fr"")"),"La gymnaste fait une routine de bar parallèle.")</f>
        <v>La gymnaste fait une routine de bar parallèle.</v>
      </c>
    </row>
    <row r="4500">
      <c r="A4500" s="4" t="s">
        <v>5659</v>
      </c>
      <c r="B4500" s="4" t="s">
        <v>5664</v>
      </c>
      <c r="C4500" s="5" t="str">
        <f>IFERROR(__xludf.DUMMYFUNCTION("GOOGLETRANSLATE(B4500,""en"",""fr"")"),"Plusieurs autres gymnastes masculins se promènent en arrière-plan.")</f>
        <v>Plusieurs autres gymnastes masculins se promènent en arrière-plan.</v>
      </c>
    </row>
    <row r="4501">
      <c r="A4501" s="4" t="s">
        <v>5659</v>
      </c>
      <c r="B4501" s="4" t="s">
        <v>5665</v>
      </c>
      <c r="C4501" s="5" t="str">
        <f>IFERROR(__xludf.DUMMYFUNCTION("GOOGLETRANSLATE(B4501,""en"",""fr"")"),"La gymnaste masculine complète sa routine et s'enfuit du sol du gymnase.")</f>
        <v>La gymnaste masculine complète sa routine et s'enfuit du sol du gymnase.</v>
      </c>
    </row>
    <row r="4502">
      <c r="A4502" s="4" t="s">
        <v>5666</v>
      </c>
      <c r="B4502" s="4" t="s">
        <v>5667</v>
      </c>
      <c r="C4502" s="5" t="str">
        <f>IFERROR(__xludf.DUMMYFUNCTION("GOOGLETRANSLATE(B4502,""en"",""fr"")"),"Les gens s'équilibrent sur une corde sur la plage.")</f>
        <v>Les gens s'équilibrent sur une corde sur la plage.</v>
      </c>
    </row>
    <row r="4503">
      <c r="A4503" s="4" t="s">
        <v>5666</v>
      </c>
      <c r="B4503" s="4" t="s">
        <v>5668</v>
      </c>
      <c r="C4503" s="5" t="str">
        <f>IFERROR(__xludf.DUMMYFUNCTION("GOOGLETRANSLATE(B4503,""en"",""fr"")"),"Un homme en chemise blanche fait une main sur la corde.")</f>
        <v>Un homme en chemise blanche fait une main sur la corde.</v>
      </c>
    </row>
    <row r="4504">
      <c r="A4504" s="4" t="s">
        <v>5666</v>
      </c>
      <c r="B4504" s="4" t="s">
        <v>5669</v>
      </c>
      <c r="C4504" s="5" t="str">
        <f>IFERROR(__xludf.DUMMYFUNCTION("GOOGLETRANSLATE(B4504,""en"",""fr"")"),"Une personne se balance sur une corde en arrière-plan.")</f>
        <v>Une personne se balance sur une corde en arrière-plan.</v>
      </c>
    </row>
    <row r="4505">
      <c r="A4505" s="4" t="s">
        <v>5670</v>
      </c>
      <c r="B4505" s="6" t="s">
        <v>5671</v>
      </c>
      <c r="C4505" s="5" t="str">
        <f>IFERROR(__xludf.DUMMYFUNCTION("GOOGLETRANSLATE(B4505,""en"",""fr"")"),"Deux filles pratiquaient une clôture dans un gymnase scolaire avec des équipements de protection et un entraîneur contre le mur les regardant et les entraîner pendant qu'elles clôturent.")</f>
        <v>Deux filles pratiquaient une clôture dans un gymnase scolaire avec des équipements de protection et un entraîneur contre le mur les regardant et les entraîner pendant qu'elles clôturent.</v>
      </c>
    </row>
    <row r="4506">
      <c r="A4506" s="4" t="s">
        <v>5670</v>
      </c>
      <c r="B4506" s="6" t="s">
        <v>5672</v>
      </c>
      <c r="C4506" s="5" t="str">
        <f>IFERROR(__xludf.DUMMYFUNCTION("GOOGLETRANSLATE(B4506,""en"",""fr"")"),"Les deux filles parlent à l'entraîneur, puis commencent à se clôturer les uns avec les autres alors que l'entraîneur se dirige où elles devraient se tenir debout et naviguer dans l'espace pendant le Spar.")</f>
        <v>Les deux filles parlent à l'entraîneur, puis commencent à se clôturer les uns avec les autres alors que l'entraîneur se dirige où elles devraient se tenir debout et naviguer dans l'espace pendant le Spar.</v>
      </c>
    </row>
    <row r="4507">
      <c r="A4507" s="4" t="s">
        <v>5670</v>
      </c>
      <c r="B4507" s="4" t="s">
        <v>5673</v>
      </c>
      <c r="C4507" s="5" t="str">
        <f>IFERROR(__xludf.DUMMYFUNCTION("GOOGLETRANSLATE(B4507,""en"",""fr"")"),"Les deux filles mettent fin au Spar et retirent leur équipement de tête alors qu'elles parlent à l'entraîneur.")</f>
        <v>Les deux filles mettent fin au Spar et retirent leur équipement de tête alors qu'elles parlent à l'entraîneur.</v>
      </c>
    </row>
    <row r="4508">
      <c r="A4508" s="4" t="s">
        <v>5674</v>
      </c>
      <c r="B4508" s="4" t="s">
        <v>5675</v>
      </c>
      <c r="C4508" s="5" t="str">
        <f>IFERROR(__xludf.DUMMYFUNCTION("GOOGLETRANSLATE(B4508,""en"",""fr"")"),"Une femme dans un pull vert met un masque facial.")</f>
        <v>Une femme dans un pull vert met un masque facial.</v>
      </c>
    </row>
    <row r="4509">
      <c r="A4509" s="4" t="s">
        <v>5674</v>
      </c>
      <c r="B4509" s="4" t="s">
        <v>5676</v>
      </c>
      <c r="C4509" s="5" t="str">
        <f>IFERROR(__xludf.DUMMYFUNCTION("GOOGLETRANSLATE(B4509,""en"",""fr"")"),"Elle peint une clôture en bois.")</f>
        <v>Elle peint une clôture en bois.</v>
      </c>
    </row>
    <row r="4510">
      <c r="A4510" s="4" t="s">
        <v>5674</v>
      </c>
      <c r="B4510" s="4" t="s">
        <v>5677</v>
      </c>
      <c r="C4510" s="5" t="str">
        <f>IFERROR(__xludf.DUMMYFUNCTION("GOOGLETRANSLATE(B4510,""en"",""fr"")"),"Elle met le journal sur la clôture.")</f>
        <v>Elle met le journal sur la clôture.</v>
      </c>
    </row>
    <row r="4511">
      <c r="A4511" s="4" t="s">
        <v>5674</v>
      </c>
      <c r="B4511" s="4" t="s">
        <v>5678</v>
      </c>
      <c r="C4511" s="5" t="str">
        <f>IFERROR(__xludf.DUMMYFUNCTION("GOOGLETRANSLATE(B4511,""en"",""fr"")"),"Elle verse un seau de peinture dans un pulvérisateur.")</f>
        <v>Elle verse un seau de peinture dans un pulvérisateur.</v>
      </c>
    </row>
    <row r="4512">
      <c r="A4512" s="4" t="s">
        <v>5674</v>
      </c>
      <c r="B4512" s="4" t="s">
        <v>5679</v>
      </c>
      <c r="C4512" s="5" t="str">
        <f>IFERROR(__xludf.DUMMYFUNCTION("GOOGLETRANSLATE(B4512,""en"",""fr"")"),"Elle commence à pulvériser la clôture avec un tuyau.")</f>
        <v>Elle commence à pulvériser la clôture avec un tuyau.</v>
      </c>
    </row>
    <row r="4513">
      <c r="A4513" s="4" t="s">
        <v>5680</v>
      </c>
      <c r="B4513" s="4" t="s">
        <v>5681</v>
      </c>
      <c r="C4513" s="5" t="str">
        <f>IFERROR(__xludf.DUMMYFUNCTION("GOOGLETRANSLATE(B4513,""en"",""fr"")"),"Deux hommes parlent devant un hélicoptère.")</f>
        <v>Deux hommes parlent devant un hélicoptère.</v>
      </c>
    </row>
    <row r="4514">
      <c r="A4514" s="4" t="s">
        <v>5680</v>
      </c>
      <c r="B4514" s="4" t="s">
        <v>5682</v>
      </c>
      <c r="C4514" s="5" t="str">
        <f>IFERROR(__xludf.DUMMYFUNCTION("GOOGLETRANSLATE(B4514,""en"",""fr"")"),"Un homme sur une planche de réveil est tiré par un hélicoptère dans et hors de l'eau.")</f>
        <v>Un homme sur une planche de réveil est tiré par un hélicoptère dans et hors de l'eau.</v>
      </c>
    </row>
    <row r="4515">
      <c r="A4515" s="4" t="s">
        <v>5680</v>
      </c>
      <c r="B4515" s="4" t="s">
        <v>5683</v>
      </c>
      <c r="C4515" s="5" t="str">
        <f>IFERROR(__xludf.DUMMYFUNCTION("GOOGLETRANSLATE(B4515,""en"",""fr"")"),"Il tombe de la corde et tire un parachute et atterrit au sol.")</f>
        <v>Il tombe de la corde et tire un parachute et atterrit au sol.</v>
      </c>
    </row>
    <row r="4516">
      <c r="A4516" s="4" t="s">
        <v>5684</v>
      </c>
      <c r="B4516" s="4" t="s">
        <v>5685</v>
      </c>
      <c r="C4516" s="5" t="str">
        <f>IFERROR(__xludf.DUMMYFUNCTION("GOOGLETRANSLATE(B4516,""en"",""fr"")"),"Un homme est assis sur un banc dans un parc.")</f>
        <v>Un homme est assis sur un banc dans un parc.</v>
      </c>
    </row>
    <row r="4517">
      <c r="A4517" s="4" t="s">
        <v>5684</v>
      </c>
      <c r="B4517" s="4" t="s">
        <v>5686</v>
      </c>
      <c r="C4517" s="5" t="str">
        <f>IFERROR(__xludf.DUMMYFUNCTION("GOOGLETRANSLATE(B4517,""en"",""fr"")"),"Il joue un vieux accordéan.")</f>
        <v>Il joue un vieux accordéan.</v>
      </c>
    </row>
    <row r="4518">
      <c r="A4518" s="4" t="s">
        <v>5684</v>
      </c>
      <c r="B4518" s="4" t="s">
        <v>5687</v>
      </c>
      <c r="C4518" s="5" t="str">
        <f>IFERROR(__xludf.DUMMYFUNCTION("GOOGLETRANSLATE(B4518,""en"",""fr"")"),"Il le pousse fermé et s'ouvre alors qu'il joue sur le clavier.")</f>
        <v>Il le pousse fermé et s'ouvre alors qu'il joue sur le clavier.</v>
      </c>
    </row>
    <row r="4519">
      <c r="A4519" s="4" t="s">
        <v>5688</v>
      </c>
      <c r="B4519" s="6" t="s">
        <v>5689</v>
      </c>
      <c r="C4519" s="5" t="str">
        <f>IFERROR(__xludf.DUMMYFUNCTION("GOOGLETRANSLATE(B4519,""en"",""fr"")"),"Un écran noir apparaît et il a beaucoup de mots blancs qui incluent le nom, la taille, le poids, les jeux d'années, le numéro de téléphone des points et le courrier électronique pour le joueur n ° 23.")</f>
        <v>Un écran noir apparaît et il a beaucoup de mots blancs qui incluent le nom, la taille, le poids, les jeux d'années, le numéro de téléphone des points et le courrier électronique pour le joueur n ° 23.</v>
      </c>
    </row>
    <row r="4520">
      <c r="A4520" s="4" t="s">
        <v>5688</v>
      </c>
      <c r="B4520" s="6" t="s">
        <v>5690</v>
      </c>
      <c r="C4520" s="5" t="str">
        <f>IFERROR(__xludf.DUMMYFUNCTION("GOOGLETRANSLATE(B4520,""en"",""fr"")"),"Divers clips de différents jeux de hockey jouent et occasionnellement une flèche jaune apparaîtra en soulignant le lecteur # 23 dans chaque autre clip de jeu de hockey.")</f>
        <v>Divers clips de différents jeux de hockey jouent et occasionnellement une flèche jaune apparaîtra en soulignant le lecteur # 23 dans chaque autre clip de jeu de hockey.</v>
      </c>
    </row>
    <row r="4521">
      <c r="A4521" s="4" t="s">
        <v>5688</v>
      </c>
      <c r="B4521" s="6" t="s">
        <v>5691</v>
      </c>
      <c r="C4521" s="5" t="str">
        <f>IFERROR(__xludf.DUMMYFUNCTION("GOOGLETRANSLATE(B4521,""en"",""fr"")"),"Un écran noir apparaît à nouveau et c'est la même chose que l'écran qui était l'intro qui comprend les mêmes informations sur le lecteur # 23.")</f>
        <v>Un écran noir apparaît à nouveau et c'est la même chose que l'écran qui était l'intro qui comprend les mêmes informations sur le lecteur # 23.</v>
      </c>
    </row>
    <row r="4522">
      <c r="A4522" s="4" t="s">
        <v>5692</v>
      </c>
      <c r="B4522" s="6" t="s">
        <v>5693</v>
      </c>
      <c r="C4522" s="5" t="str">
        <f>IFERROR(__xludf.DUMMYFUNCTION("GOOGLETRANSLATE(B4522,""en"",""fr"")"),"Une personne du nom de Chad portant une veste noire et grise se tient à côté d'un arbre de Noël et donne un tutoriel sur la façon de le décorer.")</f>
        <v>Une personne du nom de Chad portant une veste noire et grise se tient à côté d'un arbre de Noël et donne un tutoriel sur la façon de le décorer.</v>
      </c>
    </row>
    <row r="4523">
      <c r="A4523" s="4" t="s">
        <v>5692</v>
      </c>
      <c r="B4523" s="4" t="s">
        <v>5694</v>
      </c>
      <c r="C4523" s="5" t="str">
        <f>IFERROR(__xludf.DUMMYFUNCTION("GOOGLETRANSLATE(B4523,""en"",""fr"")"),"Il tient une étoile de cristal dans ses mains qu'il place sur le dessus de l'arbre.")</f>
        <v>Il tient une étoile de cristal dans ses mains qu'il place sur le dessus de l'arbre.</v>
      </c>
    </row>
    <row r="4524">
      <c r="A4524" s="4" t="s">
        <v>5692</v>
      </c>
      <c r="B4524" s="4" t="s">
        <v>5695</v>
      </c>
      <c r="C4524" s="5" t="str">
        <f>IFERROR(__xludf.DUMMYFUNCTION("GOOGLETRANSLATE(B4524,""en"",""fr"")"),"Ensuite, il prend des lumières de Noël et le tourbillonne autour des branches de l'arbre.")</f>
        <v>Ensuite, il prend des lumières de Noël et le tourbillonne autour des branches de l'arbre.</v>
      </c>
    </row>
    <row r="4525">
      <c r="A4525" s="4" t="s">
        <v>5692</v>
      </c>
      <c r="B4525" s="4" t="s">
        <v>5696</v>
      </c>
      <c r="C4525" s="5" t="str">
        <f>IFERROR(__xludf.DUMMYFUNCTION("GOOGLETRANSLATE(B4525,""en"",""fr"")"),"Il prend une guirlande rouge et montre comment l'enrouler autour de l'arbre.")</f>
        <v>Il prend une guirlande rouge et montre comment l'enrouler autour de l'arbre.</v>
      </c>
    </row>
    <row r="4526">
      <c r="A4526" s="4" t="s">
        <v>5692</v>
      </c>
      <c r="B4526" s="4" t="s">
        <v>5697</v>
      </c>
      <c r="C4526" s="5" t="str">
        <f>IFERROR(__xludf.DUMMYFUNCTION("GOOGLETRANSLATE(B4526,""en"",""fr"")"),"Il prend ensuite des ornements rouges et or et montre comment les placer sur l'arbre.")</f>
        <v>Il prend ensuite des ornements rouges et or et montre comment les placer sur l'arbre.</v>
      </c>
    </row>
    <row r="4527">
      <c r="A4527" s="4" t="s">
        <v>5692</v>
      </c>
      <c r="B4527" s="4" t="s">
        <v>5698</v>
      </c>
      <c r="C4527" s="5" t="str">
        <f>IFERROR(__xludf.DUMMYFUNCTION("GOOGLETRANSLATE(B4527,""en"",""fr"")"),"Il prend également un ruban rouge et des baies rouges pour ajouter à l'arbre.")</f>
        <v>Il prend également un ruban rouge et des baies rouges pour ajouter à l'arbre.</v>
      </c>
    </row>
    <row r="4528">
      <c r="A4528" s="4" t="s">
        <v>5692</v>
      </c>
      <c r="B4528" s="4" t="s">
        <v>5699</v>
      </c>
      <c r="C4528" s="5" t="str">
        <f>IFERROR(__xludf.DUMMYFUNCTION("GOOGLETRANSLATE(B4528,""en"",""fr"")"),"Il se tient à côté de l'arbre entièrement décoré alors qu'il termine son tutoriel.")</f>
        <v>Il se tient à côté de l'arbre entièrement décoré alors qu'il termine son tutoriel.</v>
      </c>
    </row>
    <row r="4529">
      <c r="A4529" s="4" t="s">
        <v>5700</v>
      </c>
      <c r="B4529" s="4" t="s">
        <v>5701</v>
      </c>
      <c r="C4529" s="5" t="str">
        <f>IFERROR(__xludf.DUMMYFUNCTION("GOOGLETRANSLATE(B4529,""en"",""fr"")"),"Une femme verse de la glace dans un verre.")</f>
        <v>Une femme verse de la glace dans un verre.</v>
      </c>
    </row>
    <row r="4530">
      <c r="A4530" s="4" t="s">
        <v>5700</v>
      </c>
      <c r="B4530" s="4" t="s">
        <v>5702</v>
      </c>
      <c r="C4530" s="5" t="str">
        <f>IFERROR(__xludf.DUMMYFUNCTION("GOOGLETRANSLATE(B4530,""en"",""fr"")"),"Elle met des coups d'alcool dans le verre.")</f>
        <v>Elle met des coups d'alcool dans le verre.</v>
      </c>
    </row>
    <row r="4531">
      <c r="A4531" s="4" t="s">
        <v>5700</v>
      </c>
      <c r="B4531" s="4" t="s">
        <v>5703</v>
      </c>
      <c r="C4531" s="5" t="str">
        <f>IFERROR(__xludf.DUMMYFUNCTION("GOOGLETRANSLATE(B4531,""en"",""fr"")"),"Elle le secoue et le verse dans un autre verre.")</f>
        <v>Elle le secoue et le verse dans un autre verre.</v>
      </c>
    </row>
    <row r="4532">
      <c r="A4532" s="4" t="s">
        <v>5700</v>
      </c>
      <c r="B4532" s="4" t="s">
        <v>5704</v>
      </c>
      <c r="C4532" s="5" t="str">
        <f>IFERROR(__xludf.DUMMYFUNCTION("GOOGLETRANSLATE(B4532,""en"",""fr"")"),"Elle y met une paille et la tient.")</f>
        <v>Elle y met une paille et la tient.</v>
      </c>
    </row>
    <row r="4533">
      <c r="A4533" s="4" t="s">
        <v>5705</v>
      </c>
      <c r="B4533" s="4" t="s">
        <v>5706</v>
      </c>
      <c r="C4533" s="5" t="str">
        <f>IFERROR(__xludf.DUMMYFUNCTION("GOOGLETRANSLATE(B4533,""en"",""fr"")"),"Un homme en vagues orange monte ensuite un cheval pommel.")</f>
        <v>Un homme en vagues orange monte ensuite un cheval pommel.</v>
      </c>
    </row>
    <row r="4534">
      <c r="A4534" s="4" t="s">
        <v>5705</v>
      </c>
      <c r="B4534" s="4" t="s">
        <v>5707</v>
      </c>
      <c r="C4534" s="5" t="str">
        <f>IFERROR(__xludf.DUMMYFUNCTION("GOOGLETRANSLATE(B4534,""en"",""fr"")"),"L'homme tourne autour et autour du cheval pommel.")</f>
        <v>L'homme tourne autour et autour du cheval pommel.</v>
      </c>
    </row>
    <row r="4535">
      <c r="A4535" s="4" t="s">
        <v>5705</v>
      </c>
      <c r="B4535" s="4" t="s">
        <v>5708</v>
      </c>
      <c r="C4535" s="5" t="str">
        <f>IFERROR(__xludf.DUMMYFUNCTION("GOOGLETRANSLATE(B4535,""en"",""fr"")"),"Un homme à droite prend une photo.")</f>
        <v>Un homme à droite prend une photo.</v>
      </c>
    </row>
    <row r="4536">
      <c r="A4536" s="4" t="s">
        <v>5705</v>
      </c>
      <c r="B4536" s="4" t="s">
        <v>5709</v>
      </c>
      <c r="C4536" s="5" t="str">
        <f>IFERROR(__xludf.DUMMYFUNCTION("GOOGLETRANSLATE(B4536,""en"",""fr"")"),"L'homme balance une jambe à la fois.")</f>
        <v>L'homme balance une jambe à la fois.</v>
      </c>
    </row>
    <row r="4537">
      <c r="A4537" s="4" t="s">
        <v>5705</v>
      </c>
      <c r="B4537" s="4" t="s">
        <v>5710</v>
      </c>
      <c r="C4537" s="5" t="str">
        <f>IFERROR(__xludf.DUMMYFUNCTION("GOOGLETRANSLATE(B4537,""en"",""fr"")"),"L'homme fait une main à la main puis démonte.")</f>
        <v>L'homme fait une main à la main puis démonte.</v>
      </c>
    </row>
    <row r="4538">
      <c r="A4538" s="4" t="s">
        <v>5705</v>
      </c>
      <c r="B4538" s="4" t="s">
        <v>5711</v>
      </c>
      <c r="C4538" s="5" t="str">
        <f>IFERROR(__xludf.DUMMYFUNCTION("GOOGLETRANSLATE(B4538,""en"",""fr"")"),"L'homme s'éloigne alors qu'un autre se rend au cheval de pommeau.")</f>
        <v>L'homme s'éloigne alors qu'un autre se rend au cheval de pommeau.</v>
      </c>
    </row>
    <row r="4539">
      <c r="A4539" s="4" t="s">
        <v>5705</v>
      </c>
      <c r="B4539" s="4" t="s">
        <v>5712</v>
      </c>
      <c r="C4539" s="5" t="str">
        <f>IFERROR(__xludf.DUMMYFUNCTION("GOOGLETRANSLATE(B4539,""en"",""fr"")"),"Les écrans de fin sont affichés et la vidéo se termine.")</f>
        <v>Les écrans de fin sont affichés et la vidéo se termine.</v>
      </c>
    </row>
    <row r="4540">
      <c r="A4540" s="4" t="s">
        <v>5713</v>
      </c>
      <c r="B4540" s="4" t="s">
        <v>5714</v>
      </c>
      <c r="C4540" s="5" t="str">
        <f>IFERROR(__xludf.DUMMYFUNCTION("GOOGLETRANSLATE(B4540,""en"",""fr"")"),"Un homme en chemise rouge applaudit ses mains.")</f>
        <v>Un homme en chemise rouge applaudit ses mains.</v>
      </c>
    </row>
    <row r="4541">
      <c r="A4541" s="4" t="s">
        <v>5713</v>
      </c>
      <c r="B4541" s="4" t="s">
        <v>5715</v>
      </c>
      <c r="C4541" s="5" t="str">
        <f>IFERROR(__xludf.DUMMYFUNCTION("GOOGLETRANSLATE(B4541,""en"",""fr"")"),"Il coule sur une piste et saute dans le sable.")</f>
        <v>Il coule sur une piste et saute dans le sable.</v>
      </c>
    </row>
    <row r="4542">
      <c r="A4542" s="4" t="s">
        <v>5713</v>
      </c>
      <c r="B4542" s="4" t="s">
        <v>5716</v>
      </c>
      <c r="C4542" s="5" t="str">
        <f>IFERROR(__xludf.DUMMYFUNCTION("GOOGLETRANSLATE(B4542,""en"",""fr"")"),"Les gens ratissent le sable par la suite.")</f>
        <v>Les gens ratissent le sable par la suite.</v>
      </c>
    </row>
    <row r="4543">
      <c r="A4543" s="4" t="s">
        <v>5717</v>
      </c>
      <c r="B4543" s="4" t="s">
        <v>5718</v>
      </c>
      <c r="C4543" s="5" t="str">
        <f>IFERROR(__xludf.DUMMYFUNCTION("GOOGLETRANSLATE(B4543,""en"",""fr"")"),"Un écran noir d'intro apparaît et le mot powaliser clignote.")</f>
        <v>Un écran noir d'intro apparaît et le mot powaliser clignote.</v>
      </c>
    </row>
    <row r="4544">
      <c r="A4544" s="4" t="s">
        <v>5717</v>
      </c>
      <c r="B4544" s="6" t="s">
        <v>5719</v>
      </c>
      <c r="C4544" s="5" t="str">
        <f>IFERROR(__xludf.DUMMYFUNCTION("GOOGLETRANSLATE(B4544,""en"",""fr"")"),"Un homme du nom de Prvni Kroky est sur des échasses en métal dehors et il commence, marche, saute, courir et bouger et faire divers mouvements pendant ses échasses et les gens autour de lui sont assis ou marchent en faisant leur propre truc.")</f>
        <v>Un homme du nom de Prvni Kroky est sur des échasses en métal dehors et il commence, marche, saute, courir et bouger et faire divers mouvements pendant ses échasses et les gens autour de lui sont assis ou marchent en faisant leur propre truc.</v>
      </c>
    </row>
    <row r="4545">
      <c r="A4545" s="4" t="s">
        <v>5717</v>
      </c>
      <c r="B4545" s="6" t="s">
        <v>5720</v>
      </c>
      <c r="C4545" s="5" t="str">
        <f>IFERROR(__xludf.DUMMYFUNCTION("GOOGLETRANSLATE(B4545,""en"",""fr"")"),"Lorsque l'homme a fini de démontrer ce qu'il peut faire sur les échasses, il s'arrête à son endroit d'origine pour en parler un peu plus, ondule puis s'enfuir.")</f>
        <v>Lorsque l'homme a fini de démontrer ce qu'il peut faire sur les échasses, il s'arrête à son endroit d'origine pour en parler un peu plus, ondule puis s'enfuir.</v>
      </c>
    </row>
    <row r="4546">
      <c r="A4546" s="4" t="s">
        <v>5717</v>
      </c>
      <c r="B4546" s="4" t="s">
        <v>5721</v>
      </c>
      <c r="C4546" s="5" t="str">
        <f>IFERROR(__xludf.DUMMYFUNCTION("GOOGLETRANSLATE(B4546,""en"",""fr"")"),"L'Undro apparaît et c'est exactement comme l'intro.")</f>
        <v>L'Undro apparaît et c'est exactement comme l'intro.</v>
      </c>
    </row>
    <row r="4547">
      <c r="A4547" s="4" t="s">
        <v>5722</v>
      </c>
      <c r="B4547" s="4" t="s">
        <v>5723</v>
      </c>
      <c r="C4547" s="5" t="str">
        <f>IFERROR(__xludf.DUMMYFUNCTION("GOOGLETRANSLATE(B4547,""en"",""fr"")"),"Une femme en chemise blanche est assise.")</f>
        <v>Une femme en chemise blanche est assise.</v>
      </c>
    </row>
    <row r="4548">
      <c r="A4548" s="4" t="s">
        <v>5722</v>
      </c>
      <c r="B4548" s="4" t="s">
        <v>5724</v>
      </c>
      <c r="C4548" s="5" t="str">
        <f>IFERROR(__xludf.DUMMYFUNCTION("GOOGLETRANSLATE(B4548,""en"",""fr"")"),"Elle verse un produit dans sa paume.")</f>
        <v>Elle verse un produit dans sa paume.</v>
      </c>
    </row>
    <row r="4549">
      <c r="A4549" s="4" t="s">
        <v>5722</v>
      </c>
      <c r="B4549" s="4" t="s">
        <v>5725</v>
      </c>
      <c r="C4549" s="5" t="str">
        <f>IFERROR(__xludf.DUMMYFUNCTION("GOOGLETRANSLATE(B4549,""en"",""fr"")"),"Elle commence à essuyer le produit sur son visage.")</f>
        <v>Elle commence à essuyer le produit sur son visage.</v>
      </c>
    </row>
    <row r="4550">
      <c r="A4550" s="4" t="s">
        <v>5726</v>
      </c>
      <c r="B4550" s="4" t="s">
        <v>5727</v>
      </c>
      <c r="C4550" s="5" t="str">
        <f>IFERROR(__xludf.DUMMYFUNCTION("GOOGLETRANSLATE(B4550,""en"",""fr"")"),"Une femme prépare le corps droit d'un cheval, elle brosse le cou, le corps et les jambes.")</f>
        <v>Une femme prépare le corps droit d'un cheval, elle brosse le cou, le corps et les jambes.</v>
      </c>
    </row>
    <row r="4551">
      <c r="A4551" s="4" t="s">
        <v>5726</v>
      </c>
      <c r="B4551" s="6" t="s">
        <v>5728</v>
      </c>
      <c r="C4551" s="5" t="str">
        <f>IFERROR(__xludf.DUMMYFUNCTION("GOOGLETRANSLATE(B4551,""en"",""fr"")"),"Ensuite, la femme va sur le côté gauche du cheval et s'agenouille pour préparer les jambes, puis elle brosse les autres parties du corps.")</f>
        <v>Ensuite, la femme va sur le côté gauche du cheval et s'agenouille pour préparer les jambes, puis elle brosse les autres parties du corps.</v>
      </c>
    </row>
    <row r="4552">
      <c r="A4552" s="4" t="s">
        <v>5729</v>
      </c>
      <c r="B4552" s="4" t="s">
        <v>5730</v>
      </c>
      <c r="C4552" s="5" t="str">
        <f>IFERROR(__xludf.DUMMYFUNCTION("GOOGLETRANSLATE(B4552,""en"",""fr"")"),"Un chef donne des instructions détaillées sur la façon de faire un plat à un autre homme dans la cuisine.")</f>
        <v>Un chef donne des instructions détaillées sur la façon de faire un plat à un autre homme dans la cuisine.</v>
      </c>
    </row>
    <row r="4553">
      <c r="A4553" s="4" t="s">
        <v>5729</v>
      </c>
      <c r="B4553" s="4" t="s">
        <v>5731</v>
      </c>
      <c r="C4553" s="5" t="str">
        <f>IFERROR(__xludf.DUMMYFUNCTION("GOOGLETRANSLATE(B4553,""en"",""fr"")"),"L'homme se promène avec désinvolture et ramasse un morceau de l'un des ingrédients et le mange.")</f>
        <v>L'homme se promène avec désinvolture et ramasse un morceau de l'un des ingrédients et le mange.</v>
      </c>
    </row>
    <row r="4554">
      <c r="A4554" s="4" t="s">
        <v>5729</v>
      </c>
      <c r="B4554" s="6" t="s">
        <v>5732</v>
      </c>
      <c r="C4554" s="5" t="str">
        <f>IFERROR(__xludf.DUMMYFUNCTION("GOOGLETRANSLATE(B4554,""en"",""fr"")"),"Pendant ce temps, le chef met des ingrédients et explique le processus de ce qu'il fait et pourquoi dans la casserole.")</f>
        <v>Pendant ce temps, le chef met des ingrédients et explique le processus de ce qu'il fait et pourquoi dans la casserole.</v>
      </c>
    </row>
    <row r="4555">
      <c r="A4555" s="4" t="s">
        <v>5729</v>
      </c>
      <c r="B4555" s="6" t="s">
        <v>5733</v>
      </c>
      <c r="C4555" s="5" t="str">
        <f>IFERROR(__xludf.DUMMYFUNCTION("GOOGLETRANSLATE(B4555,""en"",""fr"")"),"Une fois que la sauce qu'il crée commence à se réunir, il se mélange dans des spaghettis et mélange le tout.")</f>
        <v>Une fois que la sauce qu'il crée commence à se réunir, il se mélange dans des spaghettis et mélange le tout.</v>
      </c>
    </row>
    <row r="4556">
      <c r="A4556" s="4" t="s">
        <v>5734</v>
      </c>
      <c r="B4556" s="4" t="s">
        <v>5735</v>
      </c>
      <c r="C4556" s="5" t="str">
        <f>IFERROR(__xludf.DUMMYFUNCTION("GOOGLETRANSLATE(B4556,""en"",""fr"")"),"Un homme en chemise rouge se promène autour d'une échelle.")</f>
        <v>Un homme en chemise rouge se promène autour d'une échelle.</v>
      </c>
    </row>
    <row r="4557">
      <c r="A4557" s="4" t="s">
        <v>5734</v>
      </c>
      <c r="B4557" s="4" t="s">
        <v>5736</v>
      </c>
      <c r="C4557" s="5" t="str">
        <f>IFERROR(__xludf.DUMMYFUNCTION("GOOGLETRANSLATE(B4557,""en"",""fr"")"),"Il place son bras sur l'échelle.")</f>
        <v>Il place son bras sur l'échelle.</v>
      </c>
    </row>
    <row r="4558">
      <c r="A4558" s="4" t="s">
        <v>5734</v>
      </c>
      <c r="B4558" s="4" t="s">
        <v>5737</v>
      </c>
      <c r="C4558" s="5" t="str">
        <f>IFERROR(__xludf.DUMMYFUNCTION("GOOGLETRANSLATE(B4558,""en"",""fr"")"),"Une femme place du papier peint rouge contre un mur.")</f>
        <v>Une femme place du papier peint rouge contre un mur.</v>
      </c>
    </row>
    <row r="4559">
      <c r="A4559" s="4" t="s">
        <v>5734</v>
      </c>
      <c r="B4559" s="4" t="s">
        <v>5738</v>
      </c>
      <c r="C4559" s="5" t="str">
        <f>IFERROR(__xludf.DUMMYFUNCTION("GOOGLETRANSLATE(B4559,""en"",""fr"")"),"Elle lisse le papier peint rouge avec ses mains et avec un outil.")</f>
        <v>Elle lisse le papier peint rouge avec ses mains et avec un outil.</v>
      </c>
    </row>
    <row r="4560">
      <c r="A4560" s="4" t="s">
        <v>5734</v>
      </c>
      <c r="B4560" s="4" t="s">
        <v>5739</v>
      </c>
      <c r="C4560" s="5" t="str">
        <f>IFERROR(__xludf.DUMMYFUNCTION("GOOGLETRANSLATE(B4560,""en"",""fr"")"),"Elle mesure le papier peint pour s'assurer qu'il est droit.")</f>
        <v>Elle mesure le papier peint pour s'assurer qu'il est droit.</v>
      </c>
    </row>
    <row r="4561">
      <c r="A4561" s="4" t="s">
        <v>5734</v>
      </c>
      <c r="B4561" s="6" t="s">
        <v>5740</v>
      </c>
      <c r="C4561" s="5" t="str">
        <f>IFERROR(__xludf.DUMMYFUNCTION("GOOGLETRANSLATE(B4561,""en"",""fr"")"),"La femme place un outil en haut et en bas du papier peint et enlève tout papier peint supplémentaire.")</f>
        <v>La femme place un outil en haut et en bas du papier peint et enlève tout papier peint supplémentaire.</v>
      </c>
    </row>
    <row r="4562">
      <c r="A4562" s="4" t="s">
        <v>5734</v>
      </c>
      <c r="B4562" s="4" t="s">
        <v>5741</v>
      </c>
      <c r="C4562" s="5" t="str">
        <f>IFERROR(__xludf.DUMMYFUNCTION("GOOGLETRANSLATE(B4562,""en"",""fr"")"),"L'homme dans la chemise rouge parle.")</f>
        <v>L'homme dans la chemise rouge parle.</v>
      </c>
    </row>
    <row r="4563">
      <c r="A4563" s="4" t="s">
        <v>5742</v>
      </c>
      <c r="B4563" s="4" t="s">
        <v>5743</v>
      </c>
      <c r="C4563" s="5" t="str">
        <f>IFERROR(__xludf.DUMMYFUNCTION("GOOGLETRANSLATE(B4563,""en"",""fr"")"),"Nous voyons l'emblème sur l'écran d'ouverture.")</f>
        <v>Nous voyons l'emblème sur l'écran d'ouverture.</v>
      </c>
    </row>
    <row r="4564">
      <c r="A4564" s="4" t="s">
        <v>5742</v>
      </c>
      <c r="B4564" s="4" t="s">
        <v>5744</v>
      </c>
      <c r="C4564" s="5" t="str">
        <f>IFERROR(__xludf.DUMMYFUNCTION("GOOGLETRANSLATE(B4564,""en"",""fr"")"),"Nous passons à des images de deux dames avec des chevaux.")</f>
        <v>Nous passons à des images de deux dames avec des chevaux.</v>
      </c>
    </row>
    <row r="4565">
      <c r="A4565" s="4" t="s">
        <v>5742</v>
      </c>
      <c r="B4565" s="4" t="s">
        <v>5745</v>
      </c>
      <c r="C4565" s="5" t="str">
        <f>IFERROR(__xludf.DUMMYFUNCTION("GOOGLETRANSLATE(B4565,""en"",""fr"")"),"Nous voyons une dame dans un champ ensoleillé avec un tuyau.")</f>
        <v>Nous voyons une dame dans un champ ensoleillé avec un tuyau.</v>
      </c>
    </row>
    <row r="4566">
      <c r="A4566" s="4" t="s">
        <v>5742</v>
      </c>
      <c r="B4566" s="4" t="s">
        <v>5746</v>
      </c>
      <c r="C4566" s="5" t="str">
        <f>IFERROR(__xludf.DUMMYFUNCTION("GOOGLETRANSLATE(B4566,""en"",""fr"")"),"Nous voyons un petit chien à l'arrière du cheval.")</f>
        <v>Nous voyons un petit chien à l'arrière du cheval.</v>
      </c>
    </row>
    <row r="4567">
      <c r="A4567" s="4" t="s">
        <v>5742</v>
      </c>
      <c r="B4567" s="4" t="s">
        <v>5747</v>
      </c>
      <c r="C4567" s="5" t="str">
        <f>IFERROR(__xludf.DUMMYFUNCTION("GOOGLETRANSLATE(B4567,""en"",""fr"")"),"Nous voyons le petit chien, puis deux dames et le petit chien.")</f>
        <v>Nous voyons le petit chien, puis deux dames et le petit chien.</v>
      </c>
    </row>
    <row r="4568">
      <c r="A4568" s="4" t="s">
        <v>5742</v>
      </c>
      <c r="B4568" s="4" t="s">
        <v>5748</v>
      </c>
      <c r="C4568" s="5" t="str">
        <f>IFERROR(__xludf.DUMMYFUNCTION("GOOGLETRANSLATE(B4568,""en"",""fr"")"),"La dame est assise à jouer avec le chien.")</f>
        <v>La dame est assise à jouer avec le chien.</v>
      </c>
    </row>
    <row r="4569">
      <c r="A4569" s="4" t="s">
        <v>5742</v>
      </c>
      <c r="B4569" s="4" t="s">
        <v>5749</v>
      </c>
      <c r="C4569" s="5" t="str">
        <f>IFERROR(__xludf.DUMMYFUNCTION("GOOGLETRANSLATE(B4569,""en"",""fr"")"),"Nous voyons un tas de gens dans une écurie avec un cheval.")</f>
        <v>Nous voyons un tas de gens dans une écurie avec un cheval.</v>
      </c>
    </row>
    <row r="4570">
      <c r="A4570" s="4" t="s">
        <v>5742</v>
      </c>
      <c r="B4570" s="4" t="s">
        <v>5750</v>
      </c>
      <c r="C4570" s="5" t="str">
        <f>IFERROR(__xludf.DUMMYFUNCTION("GOOGLETRANSLATE(B4570,""en"",""fr"")"),"Nous voyons l'emblème de crédit final.")</f>
        <v>Nous voyons l'emblème de crédit final.</v>
      </c>
    </row>
    <row r="4571">
      <c r="A4571" s="4" t="s">
        <v>5751</v>
      </c>
      <c r="B4571" s="4" t="s">
        <v>5752</v>
      </c>
      <c r="C4571" s="5" t="str">
        <f>IFERROR(__xludf.DUMMYFUNCTION("GOOGLETRANSLATE(B4571,""en"",""fr"")"),"Un homme est vu debout prête à tenir une fléchette et à regarder au loin.")</f>
        <v>Un homme est vu debout prête à tenir une fléchette et à regarder au loin.</v>
      </c>
    </row>
    <row r="4572">
      <c r="A4572" s="4" t="s">
        <v>5751</v>
      </c>
      <c r="B4572" s="4" t="s">
        <v>5753</v>
      </c>
      <c r="C4572" s="5" t="str">
        <f>IFERROR(__xludf.DUMMYFUNCTION("GOOGLETRANSLATE(B4572,""en"",""fr"")"),"L'homme jette ensuite la fléchette au ralenti tandis que la caméra continue de le suivre.")</f>
        <v>L'homme jette ensuite la fléchette au ralenti tandis que la caméra continue de le suivre.</v>
      </c>
    </row>
    <row r="4573">
      <c r="A4573" s="4" t="s">
        <v>5754</v>
      </c>
      <c r="B4573" s="4" t="s">
        <v>5755</v>
      </c>
      <c r="C4573" s="5" t="str">
        <f>IFERROR(__xludf.DUMMYFUNCTION("GOOGLETRANSLATE(B4573,""en"",""fr"")"),"Un homme place une tuile sur le sol et la pousse vers le bas.")</f>
        <v>Un homme place une tuile sur le sol et la pousse vers le bas.</v>
      </c>
    </row>
    <row r="4574">
      <c r="A4574" s="4" t="s">
        <v>5754</v>
      </c>
      <c r="B4574" s="4" t="s">
        <v>5756</v>
      </c>
      <c r="C4574" s="5" t="str">
        <f>IFERROR(__xludf.DUMMYFUNCTION("GOOGLETRANSLATE(B4574,""en"",""fr"")"),"Il le lisse avec ses mains.")</f>
        <v>Il le lisse avec ses mains.</v>
      </c>
    </row>
    <row r="4575">
      <c r="A4575" s="4" t="s">
        <v>5754</v>
      </c>
      <c r="B4575" s="4" t="s">
        <v>5757</v>
      </c>
      <c r="C4575" s="5" t="str">
        <f>IFERROR(__xludf.DUMMYFUNCTION("GOOGLETRANSLATE(B4575,""en"",""fr"")"),"Il déplace l'évent qui est sur le sol à côté de la tuile.")</f>
        <v>Il déplace l'évent qui est sur le sol à côté de la tuile.</v>
      </c>
    </row>
    <row r="4576">
      <c r="A4576" s="4" t="s">
        <v>5758</v>
      </c>
      <c r="B4576" s="4" t="s">
        <v>5759</v>
      </c>
      <c r="C4576" s="5" t="str">
        <f>IFERROR(__xludf.DUMMYFUNCTION("GOOGLETRANSLATE(B4576,""en"",""fr"")"),"Un petit groupe d'hommes est vu assis à une table en jouant à divers jeux à main les uns avec les autres.")</f>
        <v>Un petit groupe d'hommes est vu assis à une table en jouant à divers jeux à main les uns avec les autres.</v>
      </c>
    </row>
    <row r="4577">
      <c r="A4577" s="4" t="s">
        <v>5758</v>
      </c>
      <c r="B4577" s="6" t="s">
        <v>5760</v>
      </c>
      <c r="C4577" s="5" t="str">
        <f>IFERROR(__xludf.DUMMYFUNCTION("GOOGLETRANSLATE(B4577,""en"",""fr"")"),"Ensuite, déplace leurs mains qui sont montrées au ralenti et mènent en une seule parlant au téléphone et en quittant la pièce.")</f>
        <v>Ensuite, déplace leurs mains qui sont montrées au ralenti et mènent en une seule parlant au téléphone et en quittant la pièce.</v>
      </c>
    </row>
    <row r="4578">
      <c r="A4578" s="4" t="s">
        <v>5758</v>
      </c>
      <c r="B4578" s="4" t="s">
        <v>5761</v>
      </c>
      <c r="C4578" s="5" t="str">
        <f>IFERROR(__xludf.DUMMYFUNCTION("GOOGLETRANSLATE(B4578,""en"",""fr"")"),"La caméra se déroule autour des autres personnes en riant.")</f>
        <v>La caméra se déroule autour des autres personnes en riant.</v>
      </c>
    </row>
    <row r="4579">
      <c r="A4579" s="4" t="s">
        <v>5762</v>
      </c>
      <c r="B4579" s="4" t="s">
        <v>5763</v>
      </c>
      <c r="C4579" s="5" t="str">
        <f>IFERROR(__xludf.DUMMYFUNCTION("GOOGLETRANSLATE(B4579,""en"",""fr"")"),"Nous voyons deux hommes clôturer dans un stade.")</f>
        <v>Nous voyons deux hommes clôturer dans un stade.</v>
      </c>
    </row>
    <row r="4580">
      <c r="A4580" s="4" t="s">
        <v>5762</v>
      </c>
      <c r="B4580" s="4" t="s">
        <v>5764</v>
      </c>
      <c r="C4580" s="5" t="str">
        <f>IFERROR(__xludf.DUMMYFUNCTION("GOOGLETRANSLATE(B4580,""en"",""fr"")"),"Un homme jette ses bras en l'air.")</f>
        <v>Un homme jette ses bras en l'air.</v>
      </c>
    </row>
    <row r="4581">
      <c r="A4581" s="4" t="s">
        <v>5762</v>
      </c>
      <c r="B4581" s="4" t="s">
        <v>5765</v>
      </c>
      <c r="C4581" s="5" t="str">
        <f>IFERROR(__xludf.DUMMYFUNCTION("GOOGLETRANSLATE(B4581,""en"",""fr"")"),"L'homme gauche tombe au sol.")</f>
        <v>L'homme gauche tombe au sol.</v>
      </c>
    </row>
    <row r="4582">
      <c r="A4582" s="4" t="s">
        <v>5762</v>
      </c>
      <c r="B4582" s="4" t="s">
        <v>5766</v>
      </c>
      <c r="C4582" s="5" t="str">
        <f>IFERROR(__xludf.DUMMYFUNCTION("GOOGLETRANSLATE(B4582,""en"",""fr"")"),"L'homme gauche jette sa main dans l'air.")</f>
        <v>L'homme gauche jette sa main dans l'air.</v>
      </c>
    </row>
    <row r="4583">
      <c r="A4583" s="4" t="s">
        <v>5762</v>
      </c>
      <c r="B4583" s="4" t="s">
        <v>777</v>
      </c>
      <c r="C4583" s="5" t="str">
        <f>IFERROR(__xludf.DUMMYFUNCTION("GOOGLETRANSLATE(B4583,""en"",""fr"")"),"Nous voyons l'écran du titre de fin.")</f>
        <v>Nous voyons l'écran du titre de fin.</v>
      </c>
    </row>
    <row r="4584">
      <c r="A4584" s="4" t="s">
        <v>5767</v>
      </c>
      <c r="B4584" s="4" t="s">
        <v>5768</v>
      </c>
      <c r="C4584" s="5" t="str">
        <f>IFERROR(__xludf.DUMMYFUNCTION("GOOGLETRANSLATE(B4584,""en"",""fr"")"),"Une femme danse et éponge dans la cuisine.")</f>
        <v>Une femme danse et éponge dans la cuisine.</v>
      </c>
    </row>
    <row r="4585">
      <c r="A4585" s="4" t="s">
        <v>5767</v>
      </c>
      <c r="B4585" s="4" t="s">
        <v>5769</v>
      </c>
      <c r="C4585" s="5" t="str">
        <f>IFERROR(__xludf.DUMMYFUNCTION("GOOGLETRANSLATE(B4585,""en"",""fr"")"),"Une autre femme l'enregistre et rit.")</f>
        <v>Une autre femme l'enregistre et rit.</v>
      </c>
    </row>
    <row r="4586">
      <c r="A4586" s="4" t="s">
        <v>5767</v>
      </c>
      <c r="B4586" s="4" t="s">
        <v>5770</v>
      </c>
      <c r="C4586" s="5" t="str">
        <f>IFERROR(__xludf.DUMMYFUNCTION("GOOGLETRANSLATE(B4586,""en"",""fr"")"),"La femme remarque la caméra et rit, mais continue de danser.")</f>
        <v>La femme remarque la caméra et rit, mais continue de danser.</v>
      </c>
    </row>
    <row r="4587">
      <c r="A4587" s="4" t="s">
        <v>5771</v>
      </c>
      <c r="B4587" s="4" t="s">
        <v>5772</v>
      </c>
      <c r="C4587" s="5" t="str">
        <f>IFERROR(__xludf.DUMMYFUNCTION("GOOGLETRANSLATE(B4587,""en"",""fr"")"),"Un technicien marche le long d'un toit et le pulvérise à l'aide d'une baguette attachée à un tuyau.")</f>
        <v>Un technicien marche le long d'un toit et le pulvérise à l'aide d'une baguette attachée à un tuyau.</v>
      </c>
    </row>
    <row r="4588">
      <c r="A4588" s="4" t="s">
        <v>5771</v>
      </c>
      <c r="B4588" s="4" t="s">
        <v>5773</v>
      </c>
      <c r="C4588" s="5" t="str">
        <f>IFERROR(__xludf.DUMMYFUNCTION("GOOGLETRANSLATE(B4588,""en"",""fr"")"),"L'homme éteint son tuyau puis marche le long du sommet du toit.")</f>
        <v>L'homme éteint son tuyau puis marche le long du sommet du toit.</v>
      </c>
    </row>
    <row r="4589">
      <c r="A4589" s="4" t="s">
        <v>5771</v>
      </c>
      <c r="B4589" s="4" t="s">
        <v>5774</v>
      </c>
      <c r="C4589" s="5" t="str">
        <f>IFERROR(__xludf.DUMMYFUNCTION("GOOGLETRANSLATE(B4589,""en"",""fr"")"),"L'homme pulvérise autour des gouttières avec la baguette.")</f>
        <v>L'homme pulvérise autour des gouttières avec la baguette.</v>
      </c>
    </row>
    <row r="4590">
      <c r="A4590" s="4" t="s">
        <v>5771</v>
      </c>
      <c r="B4590" s="4" t="s">
        <v>5775</v>
      </c>
      <c r="C4590" s="5" t="str">
        <f>IFERROR(__xludf.DUMMYFUNCTION("GOOGLETRANSLATE(B4590,""en"",""fr"")"),"L'eau sort de la gouttière sur le ciment ci-dessous.")</f>
        <v>L'eau sort de la gouttière sur le ciment ci-dessous.</v>
      </c>
    </row>
    <row r="4591">
      <c r="A4591" s="4" t="s">
        <v>5776</v>
      </c>
      <c r="B4591" s="4" t="s">
        <v>5777</v>
      </c>
      <c r="C4591" s="5" t="str">
        <f>IFERROR(__xludf.DUMMYFUNCTION("GOOGLETRANSLATE(B4591,""en"",""fr"")"),"Une femme est vue assise sur du sable à côté d'une fille.")</f>
        <v>Une femme est vue assise sur du sable à côté d'une fille.</v>
      </c>
    </row>
    <row r="4592">
      <c r="A4592" s="4" t="s">
        <v>5776</v>
      </c>
      <c r="B4592" s="4" t="s">
        <v>5778</v>
      </c>
      <c r="C4592" s="5" t="str">
        <f>IFERROR(__xludf.DUMMYFUNCTION("GOOGLETRANSLATE(B4592,""en"",""fr"")"),"La femme détourne les yeux de la caméra et regarde le sable.")</f>
        <v>La femme détourne les yeux de la caméra et regarde le sable.</v>
      </c>
    </row>
    <row r="4593">
      <c r="A4593" s="4" t="s">
        <v>5776</v>
      </c>
      <c r="B4593" s="4" t="s">
        <v>5779</v>
      </c>
      <c r="C4593" s="5" t="str">
        <f>IFERROR(__xludf.DUMMYFUNCTION("GOOGLETRANSLATE(B4593,""en"",""fr"")"),"La fille et la femme commencent alors à creuser dans le sable.")</f>
        <v>La fille et la femme commencent alors à creuser dans le sable.</v>
      </c>
    </row>
    <row r="4594">
      <c r="A4594" s="4" t="s">
        <v>5780</v>
      </c>
      <c r="B4594" s="4" t="s">
        <v>5781</v>
      </c>
      <c r="C4594" s="5" t="str">
        <f>IFERROR(__xludf.DUMMYFUNCTION("GOOGLETRANSLATE(B4594,""en"",""fr"")"),"Un grand groupe de joueurs est aligné et vu se parler.")</f>
        <v>Un grand groupe de joueurs est aligné et vu se parler.</v>
      </c>
    </row>
    <row r="4595">
      <c r="A4595" s="4" t="s">
        <v>5780</v>
      </c>
      <c r="B4595" s="4" t="s">
        <v>5782</v>
      </c>
      <c r="C4595" s="5" t="str">
        <f>IFERROR(__xludf.DUMMYFUNCTION("GOOGLETRANSLATE(B4595,""en"",""fr"")"),"Ils se déplacent ensuite sur la glace et commencent à patiner.")</f>
        <v>Ils se déplacent ensuite sur la glace et commencent à patiner.</v>
      </c>
    </row>
    <row r="4596">
      <c r="A4596" s="4" t="s">
        <v>5780</v>
      </c>
      <c r="B4596" s="4" t="s">
        <v>5783</v>
      </c>
      <c r="C4596" s="5" t="str">
        <f>IFERROR(__xludf.DUMMYFUNCTION("GOOGLETRANSLATE(B4596,""en"",""fr"")"),"Un homme poing en heurte un autre et se termine en s'éloignant.")</f>
        <v>Un homme poing en heurte un autre et se termine en s'éloignant.</v>
      </c>
    </row>
    <row r="4597">
      <c r="A4597" s="4" t="s">
        <v>5784</v>
      </c>
      <c r="B4597" s="4" t="s">
        <v>5785</v>
      </c>
      <c r="C4597" s="5" t="str">
        <f>IFERROR(__xludf.DUMMYFUNCTION("GOOGLETRANSLATE(B4597,""en"",""fr"")"),"Une personne est vue coulant sur un pont poussant une rondelle avec un bâton.")</f>
        <v>Une personne est vue coulant sur un pont poussant une rondelle avec un bâton.</v>
      </c>
    </row>
    <row r="4598">
      <c r="A4598" s="4" t="s">
        <v>5784</v>
      </c>
      <c r="B4598" s="4" t="s">
        <v>5786</v>
      </c>
      <c r="C4598" s="5" t="str">
        <f>IFERROR(__xludf.DUMMYFUNCTION("GOOGLETRANSLATE(B4598,""en"",""fr"")"),"Elle regarde en arrière et rit jusqu'à la caméra pendant que d'autres personnes regardent sur le côté.")</f>
        <v>Elle regarde en arrière et rit jusqu'à la caméra pendant que d'autres personnes regardent sur le côté.</v>
      </c>
    </row>
    <row r="4599">
      <c r="A4599" s="4" t="s">
        <v>5787</v>
      </c>
      <c r="B4599" s="4" t="s">
        <v>5788</v>
      </c>
      <c r="C4599" s="5" t="str">
        <f>IFERROR(__xludf.DUMMYFUNCTION("GOOGLETRANSLATE(B4599,""en"",""fr"")"),"Un chien noir est montré en train de regarder dans la caméra.")</f>
        <v>Un chien noir est montré en train de regarder dans la caméra.</v>
      </c>
    </row>
    <row r="4600">
      <c r="A4600" s="4" t="s">
        <v>5787</v>
      </c>
      <c r="B4600" s="4" t="s">
        <v>5789</v>
      </c>
      <c r="C4600" s="5" t="str">
        <f>IFERROR(__xludf.DUMMYFUNCTION("GOOGLETRANSLATE(B4600,""en"",""fr"")"),"Un homme chauve apparaît qui se tient à côté d'une chaise qui semble avoir besoin de restaurer.")</f>
        <v>Un homme chauve apparaît qui se tient à côté d'une chaise qui semble avoir besoin de restaurer.</v>
      </c>
    </row>
    <row r="4601">
      <c r="A4601" s="4" t="s">
        <v>5787</v>
      </c>
      <c r="B4601" s="4" t="s">
        <v>5790</v>
      </c>
      <c r="C4601" s="5" t="str">
        <f>IFERROR(__xludf.DUMMYFUNCTION("GOOGLETRANSLATE(B4601,""en"",""fr"")"),"On montre que la chaise a des rayures.")</f>
        <v>On montre que la chaise a des rayures.</v>
      </c>
    </row>
    <row r="4602">
      <c r="A4602" s="4" t="s">
        <v>5787</v>
      </c>
      <c r="B4602" s="6" t="s">
        <v>5791</v>
      </c>
      <c r="C4602" s="5" t="str">
        <f>IFERROR(__xludf.DUMMYFUNCTION("GOOGLETRANSLATE(B4602,""en"",""fr"")"),"L'homme commence à appliquer une substance sur la chaise alors que l'homme frotte la substance sur les surfaces de la chaise.")</f>
        <v>L'homme commence à appliquer une substance sur la chaise alors que l'homme frotte la substance sur les surfaces de la chaise.</v>
      </c>
    </row>
    <row r="4603">
      <c r="A4603" s="4" t="s">
        <v>5787</v>
      </c>
      <c r="B4603" s="6" t="s">
        <v>5792</v>
      </c>
      <c r="C4603" s="5" t="str">
        <f>IFERROR(__xludf.DUMMYFUNCTION("GOOGLETRANSLATE(B4603,""en"",""fr"")"),"L'homme pointe ensuite à une égratignure sur la partie de la chaise et commence à l'essuyer avec la substance.")</f>
        <v>L'homme pointe ensuite à une égratignure sur la partie de la chaise et commence à l'essuyer avec la substance.</v>
      </c>
    </row>
    <row r="4604">
      <c r="A4604" s="4" t="s">
        <v>5787</v>
      </c>
      <c r="B4604" s="4" t="s">
        <v>5793</v>
      </c>
      <c r="C4604" s="5" t="str">
        <f>IFERROR(__xludf.DUMMYFUNCTION("GOOGLETRANSLATE(B4604,""en"",""fr"")"),"L'homme montre ensuite une étape de la chaise et l'essuyait également.")</f>
        <v>L'homme montre ensuite une étape de la chaise et l'essuyait également.</v>
      </c>
    </row>
    <row r="4605">
      <c r="A4605" s="4" t="s">
        <v>5787</v>
      </c>
      <c r="B4605" s="6" t="s">
        <v>5794</v>
      </c>
      <c r="C4605" s="5" t="str">
        <f>IFERROR(__xludf.DUMMYFUNCTION("GOOGLETRANSLATE(B4605,""en"",""fr"")"),"L'homme semble ensuite verser une substance dans une boîte et y trempe la brosse et polir une partie de la jambe.")</f>
        <v>L'homme semble ensuite verser une substance dans une boîte et y trempe la brosse et polir une partie de la jambe.</v>
      </c>
    </row>
    <row r="4606">
      <c r="A4606" s="4" t="s">
        <v>5787</v>
      </c>
      <c r="B4606" s="4" t="s">
        <v>5795</v>
      </c>
      <c r="C4606" s="5" t="str">
        <f>IFERROR(__xludf.DUMMYFUNCTION("GOOGLETRANSLATE(B4606,""en"",""fr"")"),"L'homme continue d'essuyer la chaise car il devient plus propre et plus propre.")</f>
        <v>L'homme continue d'essuyer la chaise car il devient plus propre et plus propre.</v>
      </c>
    </row>
    <row r="4607">
      <c r="A4607" s="4" t="s">
        <v>5787</v>
      </c>
      <c r="B4607" s="6" t="s">
        <v>5796</v>
      </c>
      <c r="C4607" s="5" t="str">
        <f>IFERROR(__xludf.DUMMYFUNCTION("GOOGLETRANSLATE(B4607,""en"",""fr"")"),"L'homme revient plus tard après que la chaise sèche avec une bouteille jaune et porte maintenant un chapeau et des lunettes.")</f>
        <v>L'homme revient plus tard après que la chaise sèche avec une bouteille jaune et porte maintenant un chapeau et des lunettes.</v>
      </c>
    </row>
    <row r="4608">
      <c r="A4608" s="4" t="s">
        <v>5787</v>
      </c>
      <c r="B4608" s="4" t="s">
        <v>5797</v>
      </c>
      <c r="C4608" s="5" t="str">
        <f>IFERROR(__xludf.DUMMYFUNCTION("GOOGLETRANSLATE(B4608,""en"",""fr"")"),"L'homme recommence à essuyer la chaise en utilisant tout ce qui était dans la bouteille jaune.")</f>
        <v>L'homme recommence à essuyer la chaise en utilisant tout ce qui était dans la bouteille jaune.</v>
      </c>
    </row>
    <row r="4609">
      <c r="A4609" s="4" t="s">
        <v>5787</v>
      </c>
      <c r="B4609" s="4" t="s">
        <v>5798</v>
      </c>
      <c r="C4609" s="5" t="str">
        <f>IFERROR(__xludf.DUMMYFUNCTION("GOOGLETRANSLATE(B4609,""en"",""fr"")"),"Une fois terminé, le coussin est remis sur la chaise car il est essuyé une fois de plus.")</f>
        <v>Une fois terminé, le coussin est remis sur la chaise car il est essuyé une fois de plus.</v>
      </c>
    </row>
    <row r="4610">
      <c r="A4610" s="4" t="s">
        <v>5799</v>
      </c>
      <c r="B4610" s="4" t="s">
        <v>5800</v>
      </c>
      <c r="C4610" s="5" t="str">
        <f>IFERROR(__xludf.DUMMYFUNCTION("GOOGLETRANSLATE(B4610,""en"",""fr"")"),"Les gens font un trou sur le rivage de la plage à l'aide de pelles.")</f>
        <v>Les gens font un trou sur le rivage de la plage à l'aide de pelles.</v>
      </c>
    </row>
    <row r="4611">
      <c r="A4611" s="4" t="s">
        <v>5799</v>
      </c>
      <c r="B4611" s="4" t="s">
        <v>5801</v>
      </c>
      <c r="C4611" s="5" t="str">
        <f>IFERROR(__xludf.DUMMYFUNCTION("GOOGLETRANSLATE(B4611,""en"",""fr"")"),"Ensuite, les gens font un mur autour du trou.")</f>
        <v>Ensuite, les gens font un mur autour du trou.</v>
      </c>
    </row>
    <row r="4612">
      <c r="A4612" s="4" t="s">
        <v>5802</v>
      </c>
      <c r="B4612" s="4" t="s">
        <v>5803</v>
      </c>
      <c r="C4612" s="5" t="str">
        <f>IFERROR(__xludf.DUMMYFUNCTION("GOOGLETRANSLATE(B4612,""en"",""fr"")"),"Un homme parle en se tenant devant une grande rivière.")</f>
        <v>Un homme parle en se tenant devant une grande rivière.</v>
      </c>
    </row>
    <row r="4613">
      <c r="A4613" s="4" t="s">
        <v>5802</v>
      </c>
      <c r="B4613" s="4" t="s">
        <v>5804</v>
      </c>
      <c r="C4613" s="5" t="str">
        <f>IFERROR(__xludf.DUMMYFUNCTION("GOOGLETRANSLATE(B4613,""en"",""fr"")"),"Un groupe de porcs sauvages nageant derrière le bateau, essayant de suivre.")</f>
        <v>Un groupe de porcs sauvages nageant derrière le bateau, essayant de suivre.</v>
      </c>
    </row>
    <row r="4614">
      <c r="A4614" s="4" t="s">
        <v>5802</v>
      </c>
      <c r="B4614" s="6" t="s">
        <v>5805</v>
      </c>
      <c r="C4614" s="5" t="str">
        <f>IFERROR(__xludf.DUMMYFUNCTION("GOOGLETRANSLATE(B4614,""en"",""fr"")"),"L'homme arrive au rivage, et lui et un compagnon de bateau courent sur la plage, essayant d'échapper aux porcs.")</f>
        <v>L'homme arrive au rivage, et lui et un compagnon de bateau courent sur la plage, essayant d'échapper aux porcs.</v>
      </c>
    </row>
    <row r="4615">
      <c r="A4615" s="4" t="s">
        <v>5806</v>
      </c>
      <c r="B4615" s="4" t="s">
        <v>3714</v>
      </c>
      <c r="C4615" s="5" t="str">
        <f>IFERROR(__xludf.DUMMYFUNCTION("GOOGLETRANSLATE(B4615,""en"",""fr"")"),"Nous voyons un écran d'ouverture sombre.")</f>
        <v>Nous voyons un écran d'ouverture sombre.</v>
      </c>
    </row>
    <row r="4616">
      <c r="A4616" s="4" t="s">
        <v>5806</v>
      </c>
      <c r="B4616" s="4" t="s">
        <v>5807</v>
      </c>
      <c r="C4616" s="5" t="str">
        <f>IFERROR(__xludf.DUMMYFUNCTION("GOOGLETRANSLATE(B4616,""en"",""fr"")"),"Nous voyons ensuite deux hommes pratiquer les arts martiaux.")</f>
        <v>Nous voyons ensuite deux hommes pratiquer les arts martiaux.</v>
      </c>
    </row>
    <row r="4617">
      <c r="A4617" s="4" t="s">
        <v>5806</v>
      </c>
      <c r="B4617" s="4" t="s">
        <v>5808</v>
      </c>
      <c r="C4617" s="5" t="str">
        <f>IFERROR(__xludf.DUMMYFUNCTION("GOOGLETRANSLATE(B4617,""en"",""fr"")"),"Le vieil homme poussa les jeunes au sol.")</f>
        <v>Le vieil homme poussa les jeunes au sol.</v>
      </c>
    </row>
    <row r="4618">
      <c r="A4618" s="4" t="s">
        <v>5806</v>
      </c>
      <c r="B4618" s="4" t="s">
        <v>5809</v>
      </c>
      <c r="C4618" s="5" t="str">
        <f>IFERROR(__xludf.DUMMYFUNCTION("GOOGLETRANSLATE(B4618,""en"",""fr"")"),"L'homme plus âgé retourne le jeune.")</f>
        <v>L'homme plus âgé retourne le jeune.</v>
      </c>
    </row>
    <row r="4619">
      <c r="A4619" s="4" t="s">
        <v>5806</v>
      </c>
      <c r="B4619" s="4" t="s">
        <v>5810</v>
      </c>
      <c r="C4619" s="5" t="str">
        <f>IFERROR(__xludf.DUMMYFUNCTION("GOOGLETRANSLATE(B4619,""en"",""fr"")"),"Le vieil homme le pousse vers l'avant.")</f>
        <v>Le vieil homme le pousse vers l'avant.</v>
      </c>
    </row>
    <row r="4620">
      <c r="A4620" s="4" t="s">
        <v>5806</v>
      </c>
      <c r="B4620" s="4" t="s">
        <v>5811</v>
      </c>
      <c r="C4620" s="5" t="str">
        <f>IFERROR(__xludf.DUMMYFUNCTION("GOOGLETRANSLATE(B4620,""en"",""fr"")"),"Le jeune attrape la tête plus âgée, et plus âgé le pousse vers le bas.")</f>
        <v>Le jeune attrape la tête plus âgée, et plus âgé le pousse vers le bas.</v>
      </c>
    </row>
    <row r="4621">
      <c r="A4621" s="4" t="s">
        <v>5806</v>
      </c>
      <c r="B4621" s="4" t="s">
        <v>5812</v>
      </c>
      <c r="C4621" s="5" t="str">
        <f>IFERROR(__xludf.DUMMYFUNCTION("GOOGLETRANSLATE(B4621,""en"",""fr"")"),"L'homme en vert est poussé sur le tapis.")</f>
        <v>L'homme en vert est poussé sur le tapis.</v>
      </c>
    </row>
    <row r="4622">
      <c r="A4622" s="4" t="s">
        <v>5806</v>
      </c>
      <c r="B4622" s="4" t="s">
        <v>5813</v>
      </c>
      <c r="C4622" s="5" t="str">
        <f>IFERROR(__xludf.DUMMYFUNCTION("GOOGLETRANSLATE(B4622,""en"",""fr"")"),"Old Man Flip Man en vert.")</f>
        <v>Old Man Flip Man en vert.</v>
      </c>
    </row>
    <row r="4623">
      <c r="A4623" s="4" t="s">
        <v>5806</v>
      </c>
      <c r="B4623" s="4" t="s">
        <v>5814</v>
      </c>
      <c r="C4623" s="5" t="str">
        <f>IFERROR(__xludf.DUMMYFUNCTION("GOOGLETRANSLATE(B4623,""en"",""fr"")"),"L'homme en blanc est retourné.")</f>
        <v>L'homme en blanc est retourné.</v>
      </c>
    </row>
    <row r="4624">
      <c r="A4624" s="4" t="s">
        <v>5806</v>
      </c>
      <c r="B4624" s="4" t="s">
        <v>5815</v>
      </c>
      <c r="C4624" s="5" t="str">
        <f>IFERROR(__xludf.DUMMYFUNCTION("GOOGLETRANSLATE(B4624,""en"",""fr"")"),"L'homme plus âgé pousse l'homme vert à la terre.")</f>
        <v>L'homme plus âgé pousse l'homme vert à la terre.</v>
      </c>
    </row>
    <row r="4625">
      <c r="A4625" s="4" t="s">
        <v>5806</v>
      </c>
      <c r="B4625" s="4" t="s">
        <v>5816</v>
      </c>
      <c r="C4625" s="5" t="str">
        <f>IFERROR(__xludf.DUMMYFUNCTION("GOOGLETRANSLATE(B4625,""en"",""fr"")"),"L'homme plus âgé roule un homme en vert.")</f>
        <v>L'homme plus âgé roule un homme en vert.</v>
      </c>
    </row>
    <row r="4626">
      <c r="A4626" s="4" t="s">
        <v>5817</v>
      </c>
      <c r="B4626" s="4" t="s">
        <v>5818</v>
      </c>
      <c r="C4626" s="5" t="str">
        <f>IFERROR(__xludf.DUMMYFUNCTION("GOOGLETRANSLATE(B4626,""en"",""fr"")"),"Un homme joue seul à la piscine frappant des balles avec un poteau tout en faisant le tour de la table de billard.")</f>
        <v>Un homme joue seul à la piscine frappant des balles avec un poteau tout en faisant le tour de la table de billard.</v>
      </c>
    </row>
    <row r="4627">
      <c r="A4627" s="4" t="s">
        <v>5817</v>
      </c>
      <c r="B4627" s="4" t="s">
        <v>5819</v>
      </c>
      <c r="C4627" s="5" t="str">
        <f>IFERROR(__xludf.DUMMYFUNCTION("GOOGLETRANSLATE(B4627,""en"",""fr"")"),"Ensuite, l'homme a frappé une balle qui entre dans le panier.")</f>
        <v>Ensuite, l'homme a frappé une balle qui entre dans le panier.</v>
      </c>
    </row>
    <row r="4628">
      <c r="A4628" s="4" t="s">
        <v>5817</v>
      </c>
      <c r="B4628" s="4" t="s">
        <v>5820</v>
      </c>
      <c r="C4628" s="5" t="str">
        <f>IFERROR(__xludf.DUMMYFUNCTION("GOOGLETRANSLATE(B4628,""en"",""fr"")"),"Après, l'homme serre la main de gens du public.")</f>
        <v>Après, l'homme serre la main de gens du public.</v>
      </c>
    </row>
    <row r="4629">
      <c r="A4629" s="4" t="s">
        <v>5821</v>
      </c>
      <c r="B4629" s="4" t="s">
        <v>5822</v>
      </c>
      <c r="C4629" s="5" t="str">
        <f>IFERROR(__xludf.DUMMYFUNCTION("GOOGLETRANSLATE(B4629,""en"",""fr"")"),"Deux garçons sont assis à parler alors qu'ils tiennent leurs téléphones portables.")</f>
        <v>Deux garçons sont assis à parler alors qu'ils tiennent leurs téléphones portables.</v>
      </c>
    </row>
    <row r="4630">
      <c r="A4630" s="4" t="s">
        <v>5821</v>
      </c>
      <c r="B4630" s="4" t="s">
        <v>5823</v>
      </c>
      <c r="C4630" s="5" t="str">
        <f>IFERROR(__xludf.DUMMYFUNCTION("GOOGLETRANSLATE(B4630,""en"",""fr"")"),"Les garçons luttent dans des costumes de sumo alors que deux autres garçons les filment avec une caméra.")</f>
        <v>Les garçons luttent dans des costumes de sumo alors que deux autres garçons les filment avec une caméra.</v>
      </c>
    </row>
    <row r="4631">
      <c r="A4631" s="4" t="s">
        <v>5821</v>
      </c>
      <c r="B4631" s="4" t="s">
        <v>5824</v>
      </c>
      <c r="C4631" s="5" t="str">
        <f>IFERROR(__xludf.DUMMYFUNCTION("GOOGLETRANSLATE(B4631,""en"",""fr"")"),"Un garçon se fait et frappe l'autre avec une échelle et ils se frappent.")</f>
        <v>Un garçon se fait et frappe l'autre avec une échelle et ils se frappent.</v>
      </c>
    </row>
    <row r="4632">
      <c r="A4632" s="4" t="s">
        <v>5821</v>
      </c>
      <c r="B4632" s="4" t="s">
        <v>5825</v>
      </c>
      <c r="C4632" s="5" t="str">
        <f>IFERROR(__xludf.DUMMYFUNCTION("GOOGLETRANSLATE(B4632,""en"",""fr"")"),"Le garçon en rouge attrape et frappe le garçon vert sur l'échelle avec une guitare.")</f>
        <v>Le garçon en rouge attrape et frappe le garçon vert sur l'échelle avec une guitare.</v>
      </c>
    </row>
    <row r="4633">
      <c r="A4633" s="4" t="s">
        <v>5821</v>
      </c>
      <c r="B4633" s="4" t="s">
        <v>5826</v>
      </c>
      <c r="C4633" s="5" t="str">
        <f>IFERROR(__xludf.DUMMYFUNCTION("GOOGLETRANSLATE(B4633,""en"",""fr"")"),"Le garçon rouge apporte une planche à repasser et saute sur l'autre garçon de l'échelle.")</f>
        <v>Le garçon rouge apporte une planche à repasser et saute sur l'autre garçon de l'échelle.</v>
      </c>
    </row>
    <row r="4634">
      <c r="A4634" s="4" t="s">
        <v>5821</v>
      </c>
      <c r="B4634" s="4" t="s">
        <v>5827</v>
      </c>
      <c r="C4634" s="5" t="str">
        <f>IFERROR(__xludf.DUMMYFUNCTION("GOOGLETRANSLATE(B4634,""en"",""fr"")"),"Le garçon vert rencontre l'autre garçon avec un minibke.")</f>
        <v>Le garçon vert rencontre l'autre garçon avec un minibke.</v>
      </c>
    </row>
    <row r="4635">
      <c r="A4635" s="4" t="s">
        <v>5821</v>
      </c>
      <c r="B4635" s="4" t="s">
        <v>5828</v>
      </c>
      <c r="C4635" s="5" t="str">
        <f>IFERROR(__xludf.DUMMYFUNCTION("GOOGLETRANSLATE(B4635,""en"",""fr"")"),"Une fille en somme dans une brouette de roue et l'arbitre compte le match comme terminé.")</f>
        <v>Une fille en somme dans une brouette de roue et l'arbitre compte le match comme terminé.</v>
      </c>
    </row>
    <row r="4636">
      <c r="A4636" s="4" t="s">
        <v>5821</v>
      </c>
      <c r="B4636" s="4" t="s">
        <v>777</v>
      </c>
      <c r="C4636" s="5" t="str">
        <f>IFERROR(__xludf.DUMMYFUNCTION("GOOGLETRANSLATE(B4636,""en"",""fr"")"),"Nous voyons l'écran du titre de fin.")</f>
        <v>Nous voyons l'écran du titre de fin.</v>
      </c>
    </row>
    <row r="4637">
      <c r="A4637" s="4" t="s">
        <v>5829</v>
      </c>
      <c r="B4637" s="4" t="s">
        <v>5830</v>
      </c>
      <c r="C4637" s="5" t="str">
        <f>IFERROR(__xludf.DUMMYFUNCTION("GOOGLETRANSLATE(B4637,""en"",""fr"")"),"Une femme se tient dans une cuisine à parler.")</f>
        <v>Une femme se tient dans une cuisine à parler.</v>
      </c>
    </row>
    <row r="4638">
      <c r="A4638" s="4" t="s">
        <v>5829</v>
      </c>
      <c r="B4638" s="4" t="s">
        <v>5831</v>
      </c>
      <c r="C4638" s="5" t="str">
        <f>IFERROR(__xludf.DUMMYFUNCTION("GOOGLETRANSLATE(B4638,""en"",""fr"")"),"Elle se dirige vers un évier, met des gants et lave la vaisselle.")</f>
        <v>Elle se dirige vers un évier, met des gants et lave la vaisselle.</v>
      </c>
    </row>
    <row r="4639">
      <c r="A4639" s="4" t="s">
        <v>5832</v>
      </c>
      <c r="B4639" s="4" t="s">
        <v>5833</v>
      </c>
      <c r="C4639" s="5" t="str">
        <f>IFERROR(__xludf.DUMMYFUNCTION("GOOGLETRANSLATE(B4639,""en"",""fr"")"),"Une femme est debout dans une cuisine.")</f>
        <v>Une femme est debout dans une cuisine.</v>
      </c>
    </row>
    <row r="4640">
      <c r="A4640" s="4" t="s">
        <v>5832</v>
      </c>
      <c r="B4640" s="4" t="s">
        <v>5834</v>
      </c>
      <c r="C4640" s="5" t="str">
        <f>IFERROR(__xludf.DUMMYFUNCTION("GOOGLETRANSLATE(B4640,""en"",""fr"")"),"Elle met des ingrédients dans un bol en verre et le mélange.")</f>
        <v>Elle met des ingrédients dans un bol en verre et le mélange.</v>
      </c>
    </row>
    <row r="4641">
      <c r="A4641" s="4" t="s">
        <v>5832</v>
      </c>
      <c r="B4641" s="4" t="s">
        <v>5835</v>
      </c>
      <c r="C4641" s="5" t="str">
        <f>IFERROR(__xludf.DUMMYFUNCTION("GOOGLETRANSLATE(B4641,""en"",""fr"")"),"Elle commence à couper de la nourriture sur un bloc.")</f>
        <v>Elle commence à couper de la nourriture sur un bloc.</v>
      </c>
    </row>
    <row r="4642">
      <c r="A4642" s="4" t="s">
        <v>5832</v>
      </c>
      <c r="B4642" s="4" t="s">
        <v>5836</v>
      </c>
      <c r="C4642" s="5" t="str">
        <f>IFERROR(__xludf.DUMMYFUNCTION("GOOGLETRANSLATE(B4642,""en"",""fr"")"),"Elle combine tous les ingrédients dans le bol et le mélange ensemble.")</f>
        <v>Elle combine tous les ingrédients dans le bol et le mélange ensemble.</v>
      </c>
    </row>
    <row r="4643">
      <c r="A4643" s="4" t="s">
        <v>5832</v>
      </c>
      <c r="B4643" s="4" t="s">
        <v>5837</v>
      </c>
      <c r="C4643" s="5" t="str">
        <f>IFERROR(__xludf.DUMMYFUNCTION("GOOGLETRANSLATE(B4643,""en"",""fr"")"),"Elle grimpe du fromage sur le dessus de la nourriture.")</f>
        <v>Elle grimpe du fromage sur le dessus de la nourriture.</v>
      </c>
    </row>
    <row r="4644">
      <c r="A4644" s="4" t="s">
        <v>5832</v>
      </c>
      <c r="B4644" s="4" t="s">
        <v>5838</v>
      </c>
      <c r="C4644" s="5" t="str">
        <f>IFERROR(__xludf.DUMMYFUNCTION("GOOGLETRANSLATE(B4644,""en"",""fr"")"),"Elle met ensuite la salade sur cela.")</f>
        <v>Elle met ensuite la salade sur cela.</v>
      </c>
    </row>
    <row r="4645">
      <c r="A4645" s="4" t="s">
        <v>5839</v>
      </c>
      <c r="B4645" s="6" t="s">
        <v>5840</v>
      </c>
      <c r="C4645" s="5" t="str">
        <f>IFERROR(__xludf.DUMMYFUNCTION("GOOGLETRANSLATE(B4645,""en"",""fr"")"),"Une femme démontre derrière un comptoir de bar à l'intérieur d'un bar, comment mélanger des boissons à l'aide d'un verre de coup et plusieurs bouteilles d'alcool.")</f>
        <v>Une femme démontre derrière un comptoir de bar à l'intérieur d'un bar, comment mélanger des boissons à l'aide d'un verre de coup et plusieurs bouteilles d'alcool.</v>
      </c>
    </row>
    <row r="4646">
      <c r="A4646" s="4" t="s">
        <v>5839</v>
      </c>
      <c r="B4646" s="6" t="s">
        <v>5841</v>
      </c>
      <c r="C4646" s="5" t="str">
        <f>IFERROR(__xludf.DUMMYFUNCTION("GOOGLETRANSLATE(B4646,""en"",""fr"")"),"Une femme debout derrière un bar parle à la caméra et verse une bouteille d'alcool dans un verre de coup avec une autre bouteille d'alcool.")</f>
        <v>Une femme debout derrière un bar parle à la caméra et verse une bouteille d'alcool dans un verre de coup avec une autre bouteille d'alcool.</v>
      </c>
    </row>
    <row r="4647">
      <c r="A4647" s="4" t="s">
        <v>5839</v>
      </c>
      <c r="B4647" s="6" t="s">
        <v>5842</v>
      </c>
      <c r="C4647" s="5" t="str">
        <f>IFERROR(__xludf.DUMMYFUNCTION("GOOGLETRANSLATE(B4647,""en"",""fr"")"),"La femme retire ensuite une plus grande bouteille d'alcool du dessus du bar et verse cela dans le verre de tir également, la femme pousse ensuite le verre de tir vers l'avant vers la caméra avant que la scène ne se fonde en noir.")</f>
        <v>La femme retire ensuite une plus grande bouteille d'alcool du dessus du bar et verse cela dans le verre de tir également, la femme pousse ensuite le verre de tir vers l'avant vers la caméra avant que la scène ne se fonde en noir.</v>
      </c>
    </row>
    <row r="4648">
      <c r="A4648" s="4" t="s">
        <v>5843</v>
      </c>
      <c r="B4648" s="4" t="s">
        <v>5844</v>
      </c>
      <c r="C4648" s="5" t="str">
        <f>IFERROR(__xludf.DUMMYFUNCTION("GOOGLETRANSLATE(B4648,""en"",""fr"")"),"Un homme est vu parler à la caméra tandis que le texte apparaît à l'écran.")</f>
        <v>Un homme est vu parler à la caméra tandis que le texte apparaît à l'écran.</v>
      </c>
    </row>
    <row r="4649">
      <c r="A4649" s="4" t="s">
        <v>5843</v>
      </c>
      <c r="B4649" s="4" t="s">
        <v>5845</v>
      </c>
      <c r="C4649" s="5" t="str">
        <f>IFERROR(__xludf.DUMMYFUNCTION("GOOGLETRANSLATE(B4649,""en"",""fr"")"),"L'homme continue de parler et l'amène en jouant un instrument.")</f>
        <v>L'homme continue de parler et l'amène en jouant un instrument.</v>
      </c>
    </row>
    <row r="4650">
      <c r="A4650" s="4" t="s">
        <v>5843</v>
      </c>
      <c r="B4650" s="4" t="s">
        <v>5846</v>
      </c>
      <c r="C4650" s="5" t="str">
        <f>IFERROR(__xludf.DUMMYFUNCTION("GOOGLETRANSLATE(B4650,""en"",""fr"")"),"Il fait une pause en jouant pour le lever la main tout en jouant à nouveau, puis en s'arrêtant.")</f>
        <v>Il fait une pause en jouant pour le lever la main tout en jouant à nouveau, puis en s'arrêtant.</v>
      </c>
    </row>
    <row r="4651">
      <c r="A4651" s="4" t="s">
        <v>5847</v>
      </c>
      <c r="B4651" s="4" t="s">
        <v>5848</v>
      </c>
      <c r="C4651" s="5" t="str">
        <f>IFERROR(__xludf.DUMMYFUNCTION("GOOGLETRANSLATE(B4651,""en"",""fr"")"),"Une personne tire la corde d'un chameau sur lequel un homme est assis.")</f>
        <v>Une personne tire la corde d'un chameau sur lequel un homme est assis.</v>
      </c>
    </row>
    <row r="4652">
      <c r="A4652" s="4" t="s">
        <v>5847</v>
      </c>
      <c r="B4652" s="4" t="s">
        <v>5849</v>
      </c>
      <c r="C4652" s="5" t="str">
        <f>IFERROR(__xludf.DUMMYFUNCTION("GOOGLETRANSLATE(B4652,""en"",""fr"")"),"Un homme tire un chameau avec deux personnes dans le désert.")</f>
        <v>Un homme tire un chameau avec deux personnes dans le désert.</v>
      </c>
    </row>
    <row r="4653">
      <c r="A4653" s="4" t="s">
        <v>5847</v>
      </c>
      <c r="B4653" s="4" t="s">
        <v>5850</v>
      </c>
      <c r="C4653" s="5" t="str">
        <f>IFERROR(__xludf.DUMMYFUNCTION("GOOGLETRANSLATE(B4653,""en"",""fr"")"),"Deux femmes sont proches des chameaux.")</f>
        <v>Deux femmes sont proches des chameaux.</v>
      </c>
    </row>
    <row r="4654">
      <c r="A4654" s="4" t="s">
        <v>5847</v>
      </c>
      <c r="B4654" s="4" t="s">
        <v>5851</v>
      </c>
      <c r="C4654" s="5" t="str">
        <f>IFERROR(__xludf.DUMMYFUNCTION("GOOGLETRANSLATE(B4654,""en"",""fr"")"),"Une voiture passe derrière les chameaux.")</f>
        <v>Une voiture passe derrière les chameaux.</v>
      </c>
    </row>
    <row r="4655">
      <c r="A4655" s="4" t="s">
        <v>5852</v>
      </c>
      <c r="B4655" s="6" t="s">
        <v>5853</v>
      </c>
      <c r="C4655" s="5" t="str">
        <f>IFERROR(__xludf.DUMMYFUNCTION("GOOGLETRANSLATE(B4655,""en"",""fr"")"),"Plusieurs clips sont montrés de personnes jetant des boules de bowling dans une voie ainsi que des gros plans de balles et d'épingles.")</f>
        <v>Plusieurs clips sont montrés de personnes jetant des boules de bowling dans une voie ainsi que des gros plans de balles et d'épingles.</v>
      </c>
    </row>
    <row r="4656">
      <c r="A4656" s="4" t="s">
        <v>5852</v>
      </c>
      <c r="B4656" s="6" t="s">
        <v>5854</v>
      </c>
      <c r="C4656" s="5" t="str">
        <f>IFERROR(__xludf.DUMMYFUNCTION("GOOGLETRANSLATE(B4656,""en"",""fr"")"),"Les gens continuent de jouer au bowling et la machine montre comment les épingles tournent et les balles reviennent à l'arrière.")</f>
        <v>Les gens continuent de jouer au bowling et la machine montre comment les épingles tournent et les balles reviennent à l'arrière.</v>
      </c>
    </row>
    <row r="4657">
      <c r="A4657" s="4" t="s">
        <v>5855</v>
      </c>
      <c r="B4657" s="4" t="s">
        <v>5856</v>
      </c>
      <c r="C4657" s="5" t="str">
        <f>IFERROR(__xludf.DUMMYFUNCTION("GOOGLETRANSLATE(B4657,""en"",""fr"")"),"Un tas de feuilles brunes sur l'herbe verte soufflent ensemble.")</f>
        <v>Un tas de feuilles brunes sur l'herbe verte soufflent ensemble.</v>
      </c>
    </row>
    <row r="4658">
      <c r="A4658" s="4" t="s">
        <v>5855</v>
      </c>
      <c r="B4658" s="6" t="s">
        <v>5857</v>
      </c>
      <c r="C4658" s="5" t="str">
        <f>IFERROR(__xludf.DUMMYFUNCTION("GOOGLETRANSLATE(B4658,""en"",""fr"")"),"L'extrémité du souffleur de feuilles est plus proche de l'herbe et souffle une zone encore plus grande de feuilles brunes.")</f>
        <v>L'extrémité du souffleur de feuilles est plus proche de l'herbe et souffle une zone encore plus grande de feuilles brunes.</v>
      </c>
    </row>
    <row r="4659">
      <c r="A4659" s="4" t="s">
        <v>5855</v>
      </c>
      <c r="B4659" s="4" t="s">
        <v>5858</v>
      </c>
      <c r="C4659" s="5" t="str">
        <f>IFERROR(__xludf.DUMMYFUNCTION("GOOGLETRANSLATE(B4659,""en"",""fr"")"),"L'extrémité du souffleur de feuilles apparaît et disparaît de la vue tout le temps.")</f>
        <v>L'extrémité du souffleur de feuilles apparaît et disparaît de la vue tout le temps.</v>
      </c>
    </row>
    <row r="4660">
      <c r="A4660" s="4" t="s">
        <v>5859</v>
      </c>
      <c r="B4660" s="4" t="s">
        <v>5860</v>
      </c>
      <c r="C4660" s="5" t="str">
        <f>IFERROR(__xludf.DUMMYFUNCTION("GOOGLETRANSLATE(B4660,""en"",""fr"")"),"Les gens montent sur le dos des chameaux.")</f>
        <v>Les gens montent sur le dos des chameaux.</v>
      </c>
    </row>
    <row r="4661">
      <c r="A4661" s="4" t="s">
        <v>5859</v>
      </c>
      <c r="B4661" s="4" t="s">
        <v>5861</v>
      </c>
      <c r="C4661" s="5" t="str">
        <f>IFERROR(__xludf.DUMMYFUNCTION("GOOGLETRANSLATE(B4661,""en"",""fr"")"),"Ils sont conduits sur un sentier par une personne.")</f>
        <v>Ils sont conduits sur un sentier par une personne.</v>
      </c>
    </row>
    <row r="4662">
      <c r="A4662" s="4" t="s">
        <v>5859</v>
      </c>
      <c r="B4662" s="4" t="s">
        <v>5862</v>
      </c>
      <c r="C4662" s="5" t="str">
        <f>IFERROR(__xludf.DUMMYFUNCTION("GOOGLETRANSLATE(B4662,""en"",""fr"")"),"Les gens se tiennent derrière une clôture les regardant.")</f>
        <v>Les gens se tiennent derrière une clôture les regardant.</v>
      </c>
    </row>
    <row r="4663">
      <c r="A4663" s="4" t="s">
        <v>5859</v>
      </c>
      <c r="B4663" s="4" t="s">
        <v>5863</v>
      </c>
      <c r="C4663" s="5" t="str">
        <f>IFERROR(__xludf.DUMMYFUNCTION("GOOGLETRANSLATE(B4663,""en"",""fr"")"),"Les chameaux se sont allongés sur le sol et les gens s'en sortent.")</f>
        <v>Les chameaux se sont allongés sur le sol et les gens s'en sortent.</v>
      </c>
    </row>
    <row r="4664">
      <c r="A4664" s="4" t="s">
        <v>5864</v>
      </c>
      <c r="B4664" s="4" t="s">
        <v>5865</v>
      </c>
      <c r="C4664" s="5" t="str">
        <f>IFERROR(__xludf.DUMMYFUNCTION("GOOGLETRANSLATE(B4664,""en"",""fr"")"),"Une fille dans un soutien-gorge se tient dans sa salle de bain et se brossant les cheveux.")</f>
        <v>Une fille dans un soutien-gorge se tient dans sa salle de bain et se brossant les cheveux.</v>
      </c>
    </row>
    <row r="4665">
      <c r="A4665" s="4" t="s">
        <v>5864</v>
      </c>
      <c r="B4665" s="4" t="s">
        <v>5866</v>
      </c>
      <c r="C4665" s="5" t="str">
        <f>IFERROR(__xludf.DUMMYFUNCTION("GOOGLETRANSLATE(B4665,""en"",""fr"")"),"Elle le fait pendant un certain temps et continue de le réparer.")</f>
        <v>Elle le fait pendant un certain temps et continue de le réparer.</v>
      </c>
    </row>
    <row r="4666">
      <c r="A4666" s="4" t="s">
        <v>5864</v>
      </c>
      <c r="B4666" s="4" t="s">
        <v>5867</v>
      </c>
      <c r="C4666" s="5" t="str">
        <f>IFERROR(__xludf.DUMMYFUNCTION("GOOGLETRANSLATE(B4666,""en"",""fr"")"),"Elle le brosse ensuite un peu plus car il est très long.")</f>
        <v>Elle le brosse ensuite un peu plus car il est très long.</v>
      </c>
    </row>
    <row r="4667">
      <c r="A4667" s="4" t="s">
        <v>5864</v>
      </c>
      <c r="B4667" s="4" t="s">
        <v>5868</v>
      </c>
      <c r="C4667" s="5" t="str">
        <f>IFERROR(__xludf.DUMMYFUNCTION("GOOGLETRANSLATE(B4667,""en"",""fr"")"),"Elle se retourne pour en prendre le dos.")</f>
        <v>Elle se retourne pour en prendre le dos.</v>
      </c>
    </row>
    <row r="4668">
      <c r="A4668" s="4" t="s">
        <v>5869</v>
      </c>
      <c r="B4668" s="4" t="s">
        <v>5870</v>
      </c>
      <c r="C4668" s="5" t="str">
        <f>IFERROR(__xludf.DUMMYFUNCTION("GOOGLETRANSLATE(B4668,""en"",""fr"")"),"Un homme est à l'intérieur d'une grange et est laissé sortir un cheval pour attraper une vache attachée au cheval.")</f>
        <v>Un homme est à l'intérieur d'une grange et est laissé sortir un cheval pour attraper une vache attachée au cheval.</v>
      </c>
    </row>
    <row r="4669">
      <c r="A4669" s="4" t="s">
        <v>5869</v>
      </c>
      <c r="B4669" s="4" t="s">
        <v>5871</v>
      </c>
      <c r="C4669" s="5" t="str">
        <f>IFERROR(__xludf.DUMMYFUNCTION("GOOGLETRANSLATE(B4669,""en"",""fr"")"),"Alors qu'il jette son lasso, il manque la vache et court pour obtenir quelque chose avant de retourner à la vache.")</f>
        <v>Alors qu'il jette son lasso, il manque la vache et court pour obtenir quelque chose avant de retourner à la vache.</v>
      </c>
    </row>
    <row r="4670">
      <c r="A4670" s="4" t="s">
        <v>5869</v>
      </c>
      <c r="B4670" s="6" t="s">
        <v>5872</v>
      </c>
      <c r="C4670" s="5" t="str">
        <f>IFERROR(__xludf.DUMMYFUNCTION("GOOGLETRANSLATE(B4670,""en"",""fr"")"),"L'homme s'approche enfin du veau et un autre homme sort pour l'aider et il revient au cheval.")</f>
        <v>L'homme s'approche enfin du veau et un autre homme sort pour l'aider et il revient au cheval.</v>
      </c>
    </row>
    <row r="4671">
      <c r="A4671" s="4" t="s">
        <v>5873</v>
      </c>
      <c r="B4671" s="6" t="s">
        <v>5874</v>
      </c>
      <c r="C4671" s="5" t="str">
        <f>IFERROR(__xludf.DUMMYFUNCTION("GOOGLETRANSLATE(B4671,""en"",""fr"")"),"Trois hommes assis près du comptoir sont assis à regarder la télévision, puis les femmes en tenue de joie ont commencé à danser alors que les hommes les regardent.")</f>
        <v>Trois hommes assis près du comptoir sont assis à regarder la télévision, puis les femmes en tenue de joie ont commencé à danser alors que les hommes les regardent.</v>
      </c>
    </row>
    <row r="4672">
      <c r="A4672" s="4" t="s">
        <v>5873</v>
      </c>
      <c r="B4672" s="4" t="s">
        <v>5875</v>
      </c>
      <c r="C4672" s="5" t="str">
        <f>IFERROR(__xludf.DUMMYFUNCTION("GOOGLETRANSLATE(B4672,""en"",""fr"")"),"Les dames ont commencé à danser, levant les bras en balançant leur corps.")</f>
        <v>Les dames ont commencé à danser, levant les bras en balançant leur corps.</v>
      </c>
    </row>
    <row r="4673">
      <c r="A4673" s="4" t="s">
        <v>5873</v>
      </c>
      <c r="B4673" s="4" t="s">
        <v>5876</v>
      </c>
      <c r="C4673" s="5" t="str">
        <f>IFERROR(__xludf.DUMMYFUNCTION("GOOGLETRANSLATE(B4673,""en"",""fr"")"),"Les filles jouent au billard et au football de table avec les gars et ils dansent.")</f>
        <v>Les filles jouent au billard et au football de table avec les gars et ils dansent.</v>
      </c>
    </row>
    <row r="4674">
      <c r="A4674" s="4" t="s">
        <v>5877</v>
      </c>
      <c r="B4674" s="4" t="s">
        <v>5878</v>
      </c>
      <c r="C4674" s="5" t="str">
        <f>IFERROR(__xludf.DUMMYFUNCTION("GOOGLETRANSLATE(B4674,""en"",""fr"")"),"Une grande parcelle d'herbe est montrée.")</f>
        <v>Une grande parcelle d'herbe est montrée.</v>
      </c>
    </row>
    <row r="4675">
      <c r="A4675" s="4" t="s">
        <v>5877</v>
      </c>
      <c r="B4675" s="4" t="s">
        <v>5879</v>
      </c>
      <c r="C4675" s="5" t="str">
        <f>IFERROR(__xludf.DUMMYFUNCTION("GOOGLETRANSLATE(B4675,""en"",""fr"")"),"Un homme tondait la cour à côté des buissons.")</f>
        <v>Un homme tondait la cour à côté des buissons.</v>
      </c>
    </row>
    <row r="4676">
      <c r="A4676" s="4" t="s">
        <v>5877</v>
      </c>
      <c r="B4676" s="4" t="s">
        <v>5880</v>
      </c>
      <c r="C4676" s="5" t="str">
        <f>IFERROR(__xludf.DUMMYFUNCTION("GOOGLETRANSLATE(B4676,""en"",""fr"")"),"Il s'arrête et parle à la caméra.")</f>
        <v>Il s'arrête et parle à la caméra.</v>
      </c>
    </row>
    <row r="4677">
      <c r="A4677" s="4" t="s">
        <v>5881</v>
      </c>
      <c r="B4677" s="6" t="s">
        <v>5882</v>
      </c>
      <c r="C4677" s="5" t="str">
        <f>IFERROR(__xludf.DUMMYFUNCTION("GOOGLETRANSLATE(B4677,""en"",""fr"")"),"Un homme en chemise rouge commence à parler devant un mur d'outil composé de clé, de vis, de hache et de perceuses.")</f>
        <v>Un homme en chemise rouge commence à parler devant un mur d'outil composé de clé, de vis, de hache et de perceuses.</v>
      </c>
    </row>
    <row r="4678">
      <c r="A4678" s="4" t="s">
        <v>5881</v>
      </c>
      <c r="B4678" s="4" t="s">
        <v>5883</v>
      </c>
      <c r="C4678" s="5" t="str">
        <f>IFERROR(__xludf.DUMMYFUNCTION("GOOGLETRANSLATE(B4678,""en"",""fr"")"),"Il tient ensuite un petit morceau d'argent et commence à le coller dans la chaîne du vélo.")</f>
        <v>Il tient ensuite un petit morceau d'argent et commence à le coller dans la chaîne du vélo.</v>
      </c>
    </row>
    <row r="4679">
      <c r="A4679" s="4" t="s">
        <v>5881</v>
      </c>
      <c r="B4679" s="4" t="s">
        <v>5884</v>
      </c>
      <c r="C4679" s="5" t="str">
        <f>IFERROR(__xludf.DUMMYFUNCTION("GOOGLETRANSLATE(B4679,""en"",""fr"")"),"Ensuite, il prend un ustensile noir, déplace les pédales et retire complètement la chaîne.")</f>
        <v>Ensuite, il prend un ustensile noir, déplace les pédales et retire complètement la chaîne.</v>
      </c>
    </row>
    <row r="4680">
      <c r="A4680" s="4" t="s">
        <v>5881</v>
      </c>
      <c r="B4680" s="6" t="s">
        <v>5885</v>
      </c>
      <c r="C4680" s="5" t="str">
        <f>IFERROR(__xludf.DUMMYFUNCTION("GOOGLETRANSLATE(B4680,""en"",""fr"")"),"Il prend ensuite une boîte avec une nouvelle chaîne dedans et la remet sur le vélo et commence à resserrer la chaîne.")</f>
        <v>Il prend ensuite une boîte avec une nouvelle chaîne dedans et la remet sur le vélo et commence à resserrer la chaîne.</v>
      </c>
    </row>
    <row r="4681">
      <c r="A4681" s="4" t="s">
        <v>5886</v>
      </c>
      <c r="B4681" s="6" t="s">
        <v>5887</v>
      </c>
      <c r="C4681" s="5" t="str">
        <f>IFERROR(__xludf.DUMMYFUNCTION("GOOGLETRANSLATE(B4681,""en"",""fr"")"),"Plusieurs personnes roulant à roulettes sont vues descendre une longue colline pendant que la caméra les suit par derrière.")</f>
        <v>Plusieurs personnes roulant à roulettes sont vues descendre une longue colline pendant que la caméra les suit par derrière.</v>
      </c>
    </row>
    <row r="4682">
      <c r="A4682" s="4" t="s">
        <v>5886</v>
      </c>
      <c r="B4682" s="6" t="s">
        <v>5888</v>
      </c>
      <c r="C4682" s="5" t="str">
        <f>IFERROR(__xludf.DUMMYFUNCTION("GOOGLETRANSLATE(B4682,""en"",""fr"")"),"Le caméraman monte en continu sur une route sinueuse devant un groupe d'arbres et s'arrête au fond pour en rencontrer un autre.")</f>
        <v>Le caméraman monte en continu sur une route sinueuse devant un groupe d'arbres et s'arrête au fond pour en rencontrer un autre.</v>
      </c>
    </row>
    <row r="4683">
      <c r="A4683" s="4" t="s">
        <v>5886</v>
      </c>
      <c r="B4683" s="4" t="s">
        <v>5889</v>
      </c>
      <c r="C4683" s="5" t="str">
        <f>IFERROR(__xludf.DUMMYFUNCTION("GOOGLETRANSLATE(B4683,""en"",""fr"")"),"Plus de conduite est montrée en bas de la colline et se termine avec le Camerman se retournant.")</f>
        <v>Plus de conduite est montrée en bas de la colline et se termine avec le Camerman se retournant.</v>
      </c>
    </row>
    <row r="4684">
      <c r="A4684" s="4" t="s">
        <v>5890</v>
      </c>
      <c r="B4684" s="4" t="s">
        <v>5891</v>
      </c>
      <c r="C4684" s="5" t="str">
        <f>IFERROR(__xludf.DUMMYFUNCTION("GOOGLETRANSLATE(B4684,""en"",""fr"")"),"Une dame dans une salle de sport frappe ses deux bras sur sa poitrine.")</f>
        <v>Une dame dans une salle de sport frappe ses deux bras sur sa poitrine.</v>
      </c>
    </row>
    <row r="4685">
      <c r="A4685" s="4" t="s">
        <v>5890</v>
      </c>
      <c r="B4685" s="4" t="s">
        <v>5892</v>
      </c>
      <c r="C4685" s="5" t="str">
        <f>IFERROR(__xludf.DUMMYFUNCTION("GOOGLETRANSLATE(B4685,""en"",""fr"")"),"La dame lui donne ensuite un coup de pied gauche dans les airs, puis la droite derrière elle.")</f>
        <v>La dame lui donne ensuite un coup de pied gauche dans les airs, puis la droite derrière elle.</v>
      </c>
    </row>
    <row r="4686">
      <c r="A4686" s="4" t="s">
        <v>5890</v>
      </c>
      <c r="B4686" s="4" t="s">
        <v>5893</v>
      </c>
      <c r="C4686" s="5" t="str">
        <f>IFERROR(__xludf.DUMMYFUNCTION("GOOGLETRANSLATE(B4686,""en"",""fr"")"),"La dame répète cette séquence encore et encore.")</f>
        <v>La dame répète cette séquence encore et encore.</v>
      </c>
    </row>
    <row r="4687">
      <c r="A4687" s="4" t="s">
        <v>5894</v>
      </c>
      <c r="B4687" s="4" t="s">
        <v>5895</v>
      </c>
      <c r="C4687" s="5" t="str">
        <f>IFERROR(__xludf.DUMMYFUNCTION("GOOGLETRANSLATE(B4687,""en"",""fr"")"),"Les joueurs de hockey jouent à un match de hockey sur la glace.")</f>
        <v>Les joueurs de hockey jouent à un match de hockey sur la glace.</v>
      </c>
    </row>
    <row r="4688">
      <c r="A4688" s="4" t="s">
        <v>5894</v>
      </c>
      <c r="B4688" s="4" t="s">
        <v>5896</v>
      </c>
      <c r="C4688" s="5" t="str">
        <f>IFERROR(__xludf.DUMMYFUNCTION("GOOGLETRANSLATE(B4688,""en"",""fr"")"),"Une foule les regarde jouer.")</f>
        <v>Une foule les regarde jouer.</v>
      </c>
    </row>
    <row r="4689">
      <c r="A4689" s="4" t="s">
        <v>5894</v>
      </c>
      <c r="B4689" s="4" t="s">
        <v>5897</v>
      </c>
      <c r="C4689" s="5" t="str">
        <f>IFERROR(__xludf.DUMMYFUNCTION("GOOGLETRANSLATE(B4689,""en"",""fr"")"),"Un homme en jaune tombe sur la glace.")</f>
        <v>Un homme en jaune tombe sur la glace.</v>
      </c>
    </row>
    <row r="4690">
      <c r="A4690" s="4" t="s">
        <v>5894</v>
      </c>
      <c r="B4690" s="4" t="s">
        <v>5898</v>
      </c>
      <c r="C4690" s="5" t="str">
        <f>IFERROR(__xludf.DUMMYFUNCTION("GOOGLETRANSLATE(B4690,""en"",""fr"")"),"Un homme en costume parle aux joueurs de hockey.")</f>
        <v>Un homme en costume parle aux joueurs de hockey.</v>
      </c>
    </row>
    <row r="4691">
      <c r="A4691" s="4" t="s">
        <v>5899</v>
      </c>
      <c r="B4691" s="4" t="s">
        <v>1487</v>
      </c>
      <c r="C4691" s="5" t="str">
        <f>IFERROR(__xludf.DUMMYFUNCTION("GOOGLETRANSLATE(B4691,""en"",""fr"")"),"Nous voyons un écran de titre d'ouverture.")</f>
        <v>Nous voyons un écran de titre d'ouverture.</v>
      </c>
    </row>
    <row r="4692">
      <c r="A4692" s="4" t="s">
        <v>5899</v>
      </c>
      <c r="B4692" s="4" t="s">
        <v>5900</v>
      </c>
      <c r="C4692" s="5" t="str">
        <f>IFERROR(__xludf.DUMMYFUNCTION("GOOGLETRANSLATE(B4692,""en"",""fr"")"),"Un homme pulvérise un évier avec un laveur de pression.")</f>
        <v>Un homme pulvérise un évier avec un laveur de pression.</v>
      </c>
    </row>
    <row r="4693">
      <c r="A4693" s="4" t="s">
        <v>5899</v>
      </c>
      <c r="B4693" s="4" t="s">
        <v>5901</v>
      </c>
      <c r="C4693" s="5" t="str">
        <f>IFERROR(__xludf.DUMMYFUNCTION("GOOGLETRANSLATE(B4693,""en"",""fr"")"),"L'homme pulvérise les toilettes puis pulvérise à nouveau l'évier.")</f>
        <v>L'homme pulvérise les toilettes puis pulvérise à nouveau l'évier.</v>
      </c>
    </row>
    <row r="4694">
      <c r="A4694" s="4" t="s">
        <v>5899</v>
      </c>
      <c r="B4694" s="6" t="s">
        <v>5902</v>
      </c>
      <c r="C4694" s="5" t="str">
        <f>IFERROR(__xludf.DUMMYFUNCTION("GOOGLETRANSLATE(B4694,""en"",""fr"")"),"Nous voyons un écran de titre L'homme montre la machine et tourne un cadran et la rondelle du sol, de l'évier et des toilettes et du miroir.")</f>
        <v>Nous voyons un écran de titre L'homme montre la machine et tourne un cadran et la rondelle du sol, de l'évier et des toilettes et du miroir.</v>
      </c>
    </row>
    <row r="4695">
      <c r="A4695" s="4" t="s">
        <v>5899</v>
      </c>
      <c r="B4695" s="4" t="s">
        <v>5903</v>
      </c>
      <c r="C4695" s="5" t="str">
        <f>IFERROR(__xludf.DUMMYFUNCTION("GOOGLETRANSLATE(B4695,""en"",""fr"")"),"L'homme utilise une raclette sur le miroir.")</f>
        <v>L'homme utilise une raclette sur le miroir.</v>
      </c>
    </row>
    <row r="4696">
      <c r="A4696" s="4" t="s">
        <v>5899</v>
      </c>
      <c r="B4696" s="6" t="s">
        <v>5904</v>
      </c>
      <c r="C4696" s="5" t="str">
        <f>IFERROR(__xludf.DUMMYFUNCTION("GOOGLETRANSLATE(B4696,""en"",""fr"")"),"L'homme ajuste la machine et connecte un tuyau et utilise de l'air pour sécher l'évier et éponger le sol.")</f>
        <v>L'homme ajuste la machine et connecte un tuyau et utilise de l'air pour sécher l'évier et éponger le sol.</v>
      </c>
    </row>
    <row r="4697">
      <c r="A4697" s="4" t="s">
        <v>5905</v>
      </c>
      <c r="B4697" s="4" t="s">
        <v>5906</v>
      </c>
      <c r="C4697" s="5" t="str">
        <f>IFERROR(__xludf.DUMMYFUNCTION("GOOGLETRANSLATE(B4697,""en"",""fr"")"),"Nous voyons un homme se balancer dans un parc.")</f>
        <v>Nous voyons un homme se balancer dans un parc.</v>
      </c>
    </row>
    <row r="4698">
      <c r="A4698" s="4" t="s">
        <v>5905</v>
      </c>
      <c r="B4698" s="4" t="s">
        <v>5907</v>
      </c>
      <c r="C4698" s="5" t="str">
        <f>IFERROR(__xludf.DUMMYFUNCTION("GOOGLETRANSLATE(B4698,""en"",""fr"")"),"L'homme se tient tout en tenant le swing.")</f>
        <v>L'homme se tient tout en tenant le swing.</v>
      </c>
    </row>
    <row r="4699">
      <c r="A4699" s="4" t="s">
        <v>5905</v>
      </c>
      <c r="B4699" s="4" t="s">
        <v>5908</v>
      </c>
      <c r="C4699" s="5" t="str">
        <f>IFERROR(__xludf.DUMMYFUNCTION("GOOGLETRANSLATE(B4699,""en"",""fr"")"),"L'homme se tient à nouveau et nous voyons une petite fille.")</f>
        <v>L'homme se tient à nouveau et nous voyons une petite fille.</v>
      </c>
    </row>
    <row r="4700">
      <c r="A4700" s="4" t="s">
        <v>5905</v>
      </c>
      <c r="B4700" s="4" t="s">
        <v>5909</v>
      </c>
      <c r="C4700" s="5" t="str">
        <f>IFERROR(__xludf.DUMMYFUNCTION("GOOGLETRANSLATE(B4700,""en"",""fr"")"),"Une dame essaie de mettre la fille dans le swing, mais elle finit par se balancer seule.")</f>
        <v>Une dame essaie de mettre la fille dans le swing, mais elle finit par se balancer seule.</v>
      </c>
    </row>
    <row r="4701">
      <c r="A4701" s="4" t="s">
        <v>5910</v>
      </c>
      <c r="B4701" s="4" t="s">
        <v>5911</v>
      </c>
      <c r="C4701" s="5" t="str">
        <f>IFERROR(__xludf.DUMMYFUNCTION("GOOGLETRANSLATE(B4701,""en"",""fr"")"),"L'homme se tient sur scène en faisant de la gymnastique dans une compétition.")</f>
        <v>L'homme se tient sur scène en faisant de la gymnastique dans une compétition.</v>
      </c>
    </row>
    <row r="4702">
      <c r="A4702" s="4" t="s">
        <v>5910</v>
      </c>
      <c r="B4702" s="4" t="s">
        <v>5912</v>
      </c>
      <c r="C4702" s="5" t="str">
        <f>IFERROR(__xludf.DUMMYFUNCTION("GOOGLETRANSLATE(B4702,""en"",""fr"")"),"L'homme tient un enregistreur vidéo.")</f>
        <v>L'homme tient un enregistreur vidéo.</v>
      </c>
    </row>
    <row r="4703">
      <c r="A4703" s="4" t="s">
        <v>5913</v>
      </c>
      <c r="B4703" s="4" t="s">
        <v>5914</v>
      </c>
      <c r="C4703" s="5" t="str">
        <f>IFERROR(__xludf.DUMMYFUNCTION("GOOGLETRANSLATE(B4703,""en"",""fr"")"),"Un garçon tient un cornet de crème glacée à un bébé assis sur un siège de chaise haute.")</f>
        <v>Un garçon tient un cornet de crème glacée à un bébé assis sur un siège de chaise haute.</v>
      </c>
    </row>
    <row r="4704">
      <c r="A4704" s="4" t="s">
        <v>5913</v>
      </c>
      <c r="B4704" s="4" t="s">
        <v>5915</v>
      </c>
      <c r="C4704" s="5" t="str">
        <f>IFERROR(__xludf.DUMMYFUNCTION("GOOGLETRANSLATE(B4704,""en"",""fr"")"),"Le bébé aime le cornet de crème glacée.")</f>
        <v>Le bébé aime le cornet de crème glacée.</v>
      </c>
    </row>
    <row r="4705">
      <c r="A4705" s="4" t="s">
        <v>5916</v>
      </c>
      <c r="B4705" s="4" t="s">
        <v>5917</v>
      </c>
      <c r="C4705" s="5" t="str">
        <f>IFERROR(__xludf.DUMMYFUNCTION("GOOGLETRANSLATE(B4705,""en"",""fr"")"),"Un homme en chemise noire parle à l'extérieur près d'une voie d'athlétisme.")</f>
        <v>Un homme en chemise noire parle à l'extérieur près d'une voie d'athlétisme.</v>
      </c>
    </row>
    <row r="4706">
      <c r="A4706" s="4" t="s">
        <v>5916</v>
      </c>
      <c r="B4706" s="4" t="s">
        <v>5918</v>
      </c>
      <c r="C4706" s="5" t="str">
        <f>IFERROR(__xludf.DUMMYFUNCTION("GOOGLETRANSLATE(B4706,""en"",""fr"")"),"Il se dirige ensuite vers un étudiant athlète de la Florida State University.")</f>
        <v>Il se dirige ensuite vers un étudiant athlète de la Florida State University.</v>
      </c>
    </row>
    <row r="4707">
      <c r="A4707" s="4" t="s">
        <v>5916</v>
      </c>
      <c r="B4707" s="4" t="s">
        <v>5919</v>
      </c>
      <c r="C4707" s="5" t="str">
        <f>IFERROR(__xludf.DUMMYFUNCTION("GOOGLETRANSLATE(B4707,""en"",""fr"")"),"L'athlète commence alors à parler et à montrer diverses techniques qu'elle utilise.")</f>
        <v>L'athlète commence alors à parler et à montrer diverses techniques qu'elle utilise.</v>
      </c>
    </row>
    <row r="4708">
      <c r="A4708" s="4" t="s">
        <v>5916</v>
      </c>
      <c r="B4708" s="6" t="s">
        <v>5920</v>
      </c>
      <c r="C4708" s="5" t="str">
        <f>IFERROR(__xludf.DUMMYFUNCTION("GOOGLETRANSLATE(B4708,""en"",""fr"")"),"Une fois terminée, elle commence à faire un triple saut dans la fosse, elle essaie à nouveau, puis l'homme l'interviewant commence à faire le même saut.")</f>
        <v>Une fois terminée, elle commence à faire un triple saut dans la fosse, elle essaie à nouveau, puis l'homme l'interviewant commence à faire le même saut.</v>
      </c>
    </row>
    <row r="4709">
      <c r="A4709" s="4" t="s">
        <v>5916</v>
      </c>
      <c r="B4709" s="4" t="s">
        <v>5921</v>
      </c>
      <c r="C4709" s="5" t="str">
        <f>IFERROR(__xludf.DUMMYFUNCTION("GOOGLETRANSLATE(B4709,""en"",""fr"")"),"Les deux reviennent à l'appareil photo et finissent de parler, elle flotte ses pouces puis part.")</f>
        <v>Les deux reviennent à l'appareil photo et finissent de parler, elle flotte ses pouces puis part.</v>
      </c>
    </row>
    <row r="4710">
      <c r="A4710" s="4" t="s">
        <v>5922</v>
      </c>
      <c r="B4710" s="6" t="s">
        <v>5923</v>
      </c>
      <c r="C4710" s="5" t="str">
        <f>IFERROR(__xludf.DUMMYFUNCTION("GOOGLETRANSLATE(B4710,""en"",""fr"")"),"Deux personnes sont vues faire des flips et des coups de pied les unes aux autres dans un grand cercle entouré de gens.")</f>
        <v>Deux personnes sont vues faire des flips et des coups de pied les unes aux autres dans un grand cercle entouré de gens.</v>
      </c>
    </row>
    <row r="4711">
      <c r="A4711" s="4" t="s">
        <v>5922</v>
      </c>
      <c r="B4711" s="4" t="s">
        <v>5924</v>
      </c>
      <c r="C4711" s="5" t="str">
        <f>IFERROR(__xludf.DUMMYFUNCTION("GOOGLETRANSLATE(B4711,""en"",""fr"")"),"Plus de gens se joignent aux coups de pied et aux flips alors que d'autres les regardent sur le côté et applaudissent.")</f>
        <v>Plus de gens se joignent aux coups de pied et aux flips alors que d'autres les regardent sur le côté et applaudissent.</v>
      </c>
    </row>
    <row r="4712">
      <c r="A4712" s="4" t="s">
        <v>5925</v>
      </c>
      <c r="B4712" s="4" t="s">
        <v>5926</v>
      </c>
      <c r="C4712" s="5" t="str">
        <f>IFERROR(__xludf.DUMMYFUNCTION("GOOGLETRANSLATE(B4712,""en"",""fr"")"),"Nous voyons un titre sur une image d'une voiture.")</f>
        <v>Nous voyons un titre sur une image d'une voiture.</v>
      </c>
    </row>
    <row r="4713">
      <c r="A4713" s="4" t="s">
        <v>5925</v>
      </c>
      <c r="B4713" s="4" t="s">
        <v>5927</v>
      </c>
      <c r="C4713" s="5" t="str">
        <f>IFERROR(__xludf.DUMMYFUNCTION("GOOGLETRANSLATE(B4713,""en"",""fr"")"),"Nous voyons un homme assis ensuite et parlant de la voiture.")</f>
        <v>Nous voyons un homme assis ensuite et parlant de la voiture.</v>
      </c>
    </row>
    <row r="4714">
      <c r="A4714" s="4" t="s">
        <v>5925</v>
      </c>
      <c r="B4714" s="4" t="s">
        <v>5928</v>
      </c>
      <c r="C4714" s="5" t="str">
        <f>IFERROR(__xludf.DUMMYFUNCTION("GOOGLETRANSLATE(B4714,""en"",""fr"")"),"L'homme met une brique derrière son pneu et attrape ses fournitures pour changer son pneu.")</f>
        <v>L'homme met une brique derrière son pneu et attrape ses fournitures pour changer son pneu.</v>
      </c>
    </row>
    <row r="4715">
      <c r="A4715" s="4" t="s">
        <v>5925</v>
      </c>
      <c r="B4715" s="4" t="s">
        <v>5929</v>
      </c>
      <c r="C4715" s="5" t="str">
        <f>IFERROR(__xludf.DUMMYFUNCTION("GOOGLETRANSLATE(B4715,""en"",""fr"")"),"L'homme desserre les boulons et remonte la voiture et retire le pneu.")</f>
        <v>L'homme desserre les boulons et remonte la voiture et retire le pneu.</v>
      </c>
    </row>
    <row r="4716">
      <c r="A4716" s="4" t="s">
        <v>5925</v>
      </c>
      <c r="B4716" s="4" t="s">
        <v>5930</v>
      </c>
      <c r="C4716" s="5" t="str">
        <f>IFERROR(__xludf.DUMMYFUNCTION("GOOGLETRANSLATE(B4716,""en"",""fr"")"),"L'homme met sa rechange et abaisse la voiture au sol.")</f>
        <v>L'homme met sa rechange et abaisse la voiture au sol.</v>
      </c>
    </row>
    <row r="4717">
      <c r="A4717" s="4" t="s">
        <v>5925</v>
      </c>
      <c r="B4717" s="4" t="s">
        <v>5931</v>
      </c>
      <c r="C4717" s="5" t="str">
        <f>IFERROR(__xludf.DUMMYFUNCTION("GOOGLETRANSLATE(B4717,""en"",""fr"")"),"L'homme range ses fournitures et s'éloigne.")</f>
        <v>L'homme range ses fournitures et s'éloigne.</v>
      </c>
    </row>
    <row r="4718">
      <c r="A4718" s="4" t="s">
        <v>5925</v>
      </c>
      <c r="B4718" s="4" t="s">
        <v>5932</v>
      </c>
      <c r="C4718" s="5" t="str">
        <f>IFERROR(__xludf.DUMMYFUNCTION("GOOGLETRANSLATE(B4718,""en"",""fr"")"),"L'homme s'arrête près de la caméra et parle avant de partir.")</f>
        <v>L'homme s'arrête près de la caméra et parle avant de partir.</v>
      </c>
    </row>
    <row r="4719">
      <c r="A4719" s="4" t="s">
        <v>5925</v>
      </c>
      <c r="B4719" s="4" t="s">
        <v>777</v>
      </c>
      <c r="C4719" s="5" t="str">
        <f>IFERROR(__xludf.DUMMYFUNCTION("GOOGLETRANSLATE(B4719,""en"",""fr"")"),"Nous voyons l'écran du titre de fin.")</f>
        <v>Nous voyons l'écran du titre de fin.</v>
      </c>
    </row>
    <row r="4720">
      <c r="A4720" s="4" t="s">
        <v>5933</v>
      </c>
      <c r="B4720" s="6" t="s">
        <v>5934</v>
      </c>
      <c r="C4720" s="5" t="str">
        <f>IFERROR(__xludf.DUMMYFUNCTION("GOOGLETRANSLATE(B4720,""en"",""fr"")"),"Une caméra se déroule tout autour d'une piscine chauffée et mène à une personne grimpant dans un kayak et se déplaçant dans la piscine.")</f>
        <v>Une caméra se déroule tout autour d'une piscine chauffée et mène à une personne grimpant dans un kayak et se déplaçant dans la piscine.</v>
      </c>
    </row>
    <row r="4721">
      <c r="A4721" s="4" t="s">
        <v>5933</v>
      </c>
      <c r="B4721" s="6" t="s">
        <v>5935</v>
      </c>
      <c r="C4721" s="5" t="str">
        <f>IFERROR(__xludf.DUMMYFUNCTION("GOOGLETRANSLATE(B4721,""en"",""fr"")"),"Plusieurs personnes ont vu des kayaks rouler dans la piscine ainsi que des gens nager et regarder sur la touche.")</f>
        <v>Plusieurs personnes ont vu des kayaks rouler dans la piscine ainsi que des gens nager et regarder sur la touche.</v>
      </c>
    </row>
    <row r="4722">
      <c r="A4722" s="4" t="s">
        <v>5933</v>
      </c>
      <c r="B4722" s="6" t="s">
        <v>5936</v>
      </c>
      <c r="C4722" s="5" t="str">
        <f>IFERROR(__xludf.DUMMYFUNCTION("GOOGLETRANSLATE(B4722,""en"",""fr"")"),"Les hommes continuent de se déplacer sous divers angles et d'être montré nager sous l'eau et jouer les uns avec les autres.")</f>
        <v>Les hommes continuent de se déplacer sous divers angles et d'être montré nager sous l'eau et jouer les uns avec les autres.</v>
      </c>
    </row>
    <row r="4723">
      <c r="A4723" s="4" t="s">
        <v>5937</v>
      </c>
      <c r="B4723" s="4" t="s">
        <v>5938</v>
      </c>
      <c r="C4723" s="5" t="str">
        <f>IFERROR(__xludf.DUMMYFUNCTION("GOOGLETRANSLATE(B4723,""en"",""fr"")"),"Le logo Howcast est à l'écran.")</f>
        <v>Le logo Howcast est à l'écran.</v>
      </c>
    </row>
    <row r="4724">
      <c r="A4724" s="4" t="s">
        <v>5937</v>
      </c>
      <c r="B4724" s="4" t="s">
        <v>5939</v>
      </c>
      <c r="C4724" s="5" t="str">
        <f>IFERROR(__xludf.DUMMYFUNCTION("GOOGLETRANSLATE(B4724,""en"",""fr"")"),"Deux hommes sont assis au milieu de la batterie et expliquent les instruments.")</f>
        <v>Deux hommes sont assis au milieu de la batterie et expliquent les instruments.</v>
      </c>
    </row>
    <row r="4725">
      <c r="A4725" s="4" t="s">
        <v>5937</v>
      </c>
      <c r="B4725" s="4" t="s">
        <v>5940</v>
      </c>
      <c r="C4725" s="5" t="str">
        <f>IFERROR(__xludf.DUMMYFUNCTION("GOOGLETRANSLATE(B4725,""en"",""fr"")"),"Les hommes commencent à jouer de la batterie.")</f>
        <v>Les hommes commencent à jouer de la batterie.</v>
      </c>
    </row>
    <row r="4726">
      <c r="A4726" s="4" t="s">
        <v>5937</v>
      </c>
      <c r="B4726" s="4" t="s">
        <v>5941</v>
      </c>
      <c r="C4726" s="5" t="str">
        <f>IFERROR(__xludf.DUMMYFUNCTION("GOOGLETRANSLATE(B4726,""en"",""fr"")"),"Le retour à parler des tambours.")</f>
        <v>Le retour à parler des tambours.</v>
      </c>
    </row>
    <row r="4727">
      <c r="A4727" s="4" t="s">
        <v>5942</v>
      </c>
      <c r="B4727" s="4" t="s">
        <v>5943</v>
      </c>
      <c r="C4727" s="5" t="str">
        <f>IFERROR(__xludf.DUMMYFUNCTION("GOOGLETRANSLATE(B4727,""en"",""fr"")"),"Les gens skient sur une colline et continuent de tomber et de glisser en bas de la colline.")</f>
        <v>Les gens skient sur une colline et continuent de tomber et de glisser en bas de la colline.</v>
      </c>
    </row>
    <row r="4728">
      <c r="A4728" s="4" t="s">
        <v>5942</v>
      </c>
      <c r="B4728" s="4" t="s">
        <v>5944</v>
      </c>
      <c r="C4728" s="5" t="str">
        <f>IFERROR(__xludf.DUMMYFUNCTION("GOOGLETRANSLATE(B4728,""en"",""fr"")"),"Une personne s'écrase dans une clôture.")</f>
        <v>Une personne s'écrase dans une clôture.</v>
      </c>
    </row>
    <row r="4729">
      <c r="A4729" s="4" t="s">
        <v>5945</v>
      </c>
      <c r="B4729" s="4" t="s">
        <v>5946</v>
      </c>
      <c r="C4729" s="5" t="str">
        <f>IFERROR(__xludf.DUMMYFUNCTION("GOOGLETRANSLATE(B4729,""en"",""fr"")"),"Un pinceau et deux types de peinture sont sur une table.")</f>
        <v>Un pinceau et deux types de peinture sont sur une table.</v>
      </c>
    </row>
    <row r="4730">
      <c r="A4730" s="4" t="s">
        <v>5945</v>
      </c>
      <c r="B4730" s="4" t="s">
        <v>5947</v>
      </c>
      <c r="C4730" s="5" t="str">
        <f>IFERROR(__xludf.DUMMYFUNCTION("GOOGLETRANSLATE(B4730,""en"",""fr"")"),"Le cerceau d'un tricoteur est montré allongé sur le tissu, et une femme peint un design dans le tissu.")</f>
        <v>Le cerceau d'un tricoteur est montré allongé sur le tissu, et une femme peint un design dans le tissu.</v>
      </c>
    </row>
    <row r="4731">
      <c r="A4731" s="4" t="s">
        <v>5945</v>
      </c>
      <c r="B4731" s="4" t="s">
        <v>5948</v>
      </c>
      <c r="C4731" s="5" t="str">
        <f>IFERROR(__xludf.DUMMYFUNCTION("GOOGLETRANSLATE(B4731,""en"",""fr"")"),"Elle forme de nombreuses feuilles et fleurs dans des nuances orange.")</f>
        <v>Elle forme de nombreuses feuilles et fleurs dans des nuances orange.</v>
      </c>
    </row>
    <row r="4732">
      <c r="A4732" s="4" t="s">
        <v>5945</v>
      </c>
      <c r="B4732" s="4" t="s">
        <v>5949</v>
      </c>
      <c r="C4732" s="5" t="str">
        <f>IFERROR(__xludf.DUMMYFUNCTION("GOOGLETRANSLATE(B4732,""en"",""fr"")"),"Quand elle a terminé, elle montre le design des fleurs.")</f>
        <v>Quand elle a terminé, elle montre le design des fleurs.</v>
      </c>
    </row>
    <row r="4733">
      <c r="A4733" s="4" t="s">
        <v>5950</v>
      </c>
      <c r="B4733" s="4" t="s">
        <v>5951</v>
      </c>
      <c r="C4733" s="5" t="str">
        <f>IFERROR(__xludf.DUMMYFUNCTION("GOOGLETRANSLATE(B4733,""en"",""fr"")"),"Un homme est assis et joue un piano à queue noir dans un auditorium vide.")</f>
        <v>Un homme est assis et joue un piano à queue noir dans un auditorium vide.</v>
      </c>
    </row>
    <row r="4734">
      <c r="A4734" s="4" t="s">
        <v>5950</v>
      </c>
      <c r="B4734" s="6" t="s">
        <v>5952</v>
      </c>
      <c r="C4734" s="5" t="str">
        <f>IFERROR(__xludf.DUMMYFUNCTION("GOOGLETRANSLATE(B4734,""en"",""fr"")"),"Nous voyons trois personnes au premier rang regarder et écouter l'homme pendant qu'il joue et une personne d'une rangée derrière eux.")</f>
        <v>Nous voyons trois personnes au premier rang regarder et écouter l'homme pendant qu'il joue et une personne d'une rangée derrière eux.</v>
      </c>
    </row>
    <row r="4735">
      <c r="A4735" s="4" t="s">
        <v>5950</v>
      </c>
      <c r="B4735" s="4" t="s">
        <v>5953</v>
      </c>
      <c r="C4735" s="5" t="str">
        <f>IFERROR(__xludf.DUMMYFUNCTION("GOOGLETRANSLATE(B4735,""en"",""fr"")"),"Nous voyons les trois personnes, deux femmes et un hommes.")</f>
        <v>Nous voyons les trois personnes, deux femmes et un hommes.</v>
      </c>
    </row>
    <row r="4736">
      <c r="A4736" s="4" t="s">
        <v>5950</v>
      </c>
      <c r="B4736" s="4" t="s">
        <v>5954</v>
      </c>
      <c r="C4736" s="5" t="str">
        <f>IFERROR(__xludf.DUMMYFUNCTION("GOOGLETRANSLATE(B4736,""en"",""fr"")"),"Le joueur se tient et joue.")</f>
        <v>Le joueur se tient et joue.</v>
      </c>
    </row>
    <row r="4737">
      <c r="A4737" s="4" t="s">
        <v>5950</v>
      </c>
      <c r="B4737" s="4" t="s">
        <v>5955</v>
      </c>
      <c r="C4737" s="5" t="str">
        <f>IFERROR(__xludf.DUMMYFUNCTION("GOOGLETRANSLATE(B4737,""en"",""fr"")"),"Le joueur se termine et se lève.")</f>
        <v>Le joueur se termine et se lève.</v>
      </c>
    </row>
    <row r="4738">
      <c r="A4738" s="4" t="s">
        <v>5956</v>
      </c>
      <c r="B4738" s="4" t="s">
        <v>5957</v>
      </c>
      <c r="C4738" s="5" t="str">
        <f>IFERROR(__xludf.DUMMYFUNCTION("GOOGLETRANSLATE(B4738,""en"",""fr"")"),"Une personne coupe du pain avec un couteau.")</f>
        <v>Une personne coupe du pain avec un couteau.</v>
      </c>
    </row>
    <row r="4739">
      <c r="A4739" s="4" t="s">
        <v>5956</v>
      </c>
      <c r="B4739" s="4" t="s">
        <v>5958</v>
      </c>
      <c r="C4739" s="5" t="str">
        <f>IFERROR(__xludf.DUMMYFUNCTION("GOOGLETRANSLATE(B4739,""en"",""fr"")"),"Ils mélangent les ingrédients dans un bol.")</f>
        <v>Ils mélangent les ingrédients dans un bol.</v>
      </c>
    </row>
    <row r="4740">
      <c r="A4740" s="4" t="s">
        <v>5956</v>
      </c>
      <c r="B4740" s="4" t="s">
        <v>5959</v>
      </c>
      <c r="C4740" s="5" t="str">
        <f>IFERROR(__xludf.DUMMYFUNCTION("GOOGLETRANSLATE(B4740,""en"",""fr"")"),"Ils font cuire le pain sur un gril.")</f>
        <v>Ils font cuire le pain sur un gril.</v>
      </c>
    </row>
    <row r="4741">
      <c r="A4741" s="4" t="s">
        <v>5956</v>
      </c>
      <c r="B4741" s="4" t="s">
        <v>5960</v>
      </c>
      <c r="C4741" s="5" t="str">
        <f>IFERROR(__xludf.DUMMYFUNCTION("GOOGLETRANSLATE(B4741,""en"",""fr"")"),"Ils ajoutent une boule de glace au chocolat à côté du sandwich.")</f>
        <v>Ils ajoutent une boule de glace au chocolat à côté du sandwich.</v>
      </c>
    </row>
    <row r="4742">
      <c r="A4742" s="4" t="s">
        <v>5961</v>
      </c>
      <c r="B4742" s="4" t="s">
        <v>5962</v>
      </c>
      <c r="C4742" s="5" t="str">
        <f>IFERROR(__xludf.DUMMYFUNCTION("GOOGLETRANSLATE(B4742,""en"",""fr"")"),"Un vélo statique rustique de bois est dans une pièce.")</f>
        <v>Un vélo statique rustique de bois est dans une pièce.</v>
      </c>
    </row>
    <row r="4743">
      <c r="A4743" s="4" t="s">
        <v>5961</v>
      </c>
      <c r="B4743" s="4" t="s">
        <v>5963</v>
      </c>
      <c r="C4743" s="5" t="str">
        <f>IFERROR(__xludf.DUMMYFUNCTION("GOOGLETRANSLATE(B4743,""en"",""fr"")"),"Ensuite, un homme pédale le vélo tout en montrant la poignée.")</f>
        <v>Ensuite, un homme pédale le vélo tout en montrant la poignée.</v>
      </c>
    </row>
    <row r="4744">
      <c r="A4744" s="4" t="s">
        <v>5961</v>
      </c>
      <c r="B4744" s="4" t="s">
        <v>5964</v>
      </c>
      <c r="C4744" s="5" t="str">
        <f>IFERROR(__xludf.DUMMYFUNCTION("GOOGLETRANSLATE(B4744,""en"",""fr"")"),"Ensuite, l'homme est assis sur le vélo pour pédaler puis se lever.")</f>
        <v>Ensuite, l'homme est assis sur le vélo pour pédaler puis se lever.</v>
      </c>
    </row>
    <row r="4745">
      <c r="A4745" s="4" t="s">
        <v>5965</v>
      </c>
      <c r="B4745" s="4" t="s">
        <v>5966</v>
      </c>
      <c r="C4745" s="5" t="str">
        <f>IFERROR(__xludf.DUMMYFUNCTION("GOOGLETRANSLATE(B4745,""en"",""fr"")"),"Un homme utilise une coupe-barbe pour couper ses joues et son cou.")</f>
        <v>Un homme utilise une coupe-barbe pour couper ses joues et son cou.</v>
      </c>
    </row>
    <row r="4746">
      <c r="A4746" s="4" t="s">
        <v>5965</v>
      </c>
      <c r="B4746" s="4" t="s">
        <v>5967</v>
      </c>
      <c r="C4746" s="5" t="str">
        <f>IFERROR(__xludf.DUMMYFUNCTION("GOOGLETRANSLATE(B4746,""en"",""fr"")"),"L'homme caresse son bouc et l'examine.")</f>
        <v>L'homme caresse son bouc et l'examine.</v>
      </c>
    </row>
    <row r="4747">
      <c r="A4747" s="4" t="s">
        <v>5965</v>
      </c>
      <c r="B4747" s="4" t="s">
        <v>5968</v>
      </c>
      <c r="C4747" s="5" t="str">
        <f>IFERROR(__xludf.DUMMYFUNCTION("GOOGLETRANSLATE(B4747,""en"",""fr"")"),"L'homme coupe son menton pour faire une moustache.")</f>
        <v>L'homme coupe son menton pour faire une moustache.</v>
      </c>
    </row>
    <row r="4748">
      <c r="A4748" s="4" t="s">
        <v>5969</v>
      </c>
      <c r="B4748" s="6" t="s">
        <v>5970</v>
      </c>
      <c r="C4748" s="5" t="str">
        <f>IFERROR(__xludf.DUMMYFUNCTION("GOOGLETRANSLATE(B4748,""en"",""fr"")"),"Un mâle se tient près de la porte blanche, il tient du bois rectangulaire, et d'autre part est une planche qui contient un gros morceau d'argile brune.")</f>
        <v>Un mâle se tient près de la porte blanche, il tient du bois rectangulaire, et d'autre part est une planche qui contient un gros morceau d'argile brune.</v>
      </c>
    </row>
    <row r="4749">
      <c r="A4749" s="4" t="s">
        <v>5969</v>
      </c>
      <c r="B4749" s="6" t="s">
        <v>5971</v>
      </c>
      <c r="C4749" s="5" t="str">
        <f>IFERROR(__xludf.DUMMYFUNCTION("GOOGLETRANSLATE(B4749,""en"",""fr"")"),"Il a pointé le mur et a commencé à étaler l'argile brune sur le mur, elle la répandait en la frottant en douceur et en demi-cercle.")</f>
        <v>Il a pointé le mur et a commencé à étaler l'argile brune sur le mur, elle la répandait en la frottant en douceur et en demi-cercle.</v>
      </c>
    </row>
    <row r="4750">
      <c r="A4750" s="4" t="s">
        <v>5969</v>
      </c>
      <c r="B4750" s="6" t="s">
        <v>5972</v>
      </c>
      <c r="C4750" s="5" t="str">
        <f>IFERROR(__xludf.DUMMYFUNCTION("GOOGLETRANSLATE(B4750,""en"",""fr"")"),"Il s'approcha du plafond, frappa au plafond, le poussa, frappa à nouveau, le lissant en utilisant ses doigts.")</f>
        <v>Il s'approcha du plafond, frappa au plafond, le poussa, frappa à nouveau, le lissant en utilisant ses doigts.</v>
      </c>
    </row>
    <row r="4751">
      <c r="A4751" s="4" t="s">
        <v>5973</v>
      </c>
      <c r="B4751" s="4" t="s">
        <v>5974</v>
      </c>
      <c r="C4751" s="5" t="str">
        <f>IFERROR(__xludf.DUMMYFUNCTION("GOOGLETRANSLATE(B4751,""en"",""fr"")"),"Nous voyons nous un écran de titre d'ouverture.")</f>
        <v>Nous voyons nous un écran de titre d'ouverture.</v>
      </c>
    </row>
    <row r="4752">
      <c r="A4752" s="4" t="s">
        <v>5973</v>
      </c>
      <c r="B4752" s="4" t="s">
        <v>5975</v>
      </c>
      <c r="C4752" s="5" t="str">
        <f>IFERROR(__xludf.DUMMYFUNCTION("GOOGLETRANSLATE(B4752,""en"",""fr"")"),"Les gens se tiennent dans les bois en tenant des pagaies tout en portant du matériel de rafting.")</f>
        <v>Les gens se tiennent dans les bois en tenant des pagaies tout en portant du matériel de rafting.</v>
      </c>
    </row>
    <row r="4753">
      <c r="A4753" s="4" t="s">
        <v>5973</v>
      </c>
      <c r="B4753" s="4" t="s">
        <v>5976</v>
      </c>
      <c r="C4753" s="5" t="str">
        <f>IFERROR(__xludf.DUMMYFUNCTION("GOOGLETRANSLATE(B4753,""en"",""fr"")"),"Les gens marchent jusqu'au lac avec leurs radeaux et entrent.")</f>
        <v>Les gens marchent jusqu'au lac avec leurs radeaux et entrent.</v>
      </c>
    </row>
    <row r="4754">
      <c r="A4754" s="4" t="s">
        <v>5973</v>
      </c>
      <c r="B4754" s="4" t="s">
        <v>5977</v>
      </c>
      <c r="C4754" s="5" t="str">
        <f>IFERROR(__xludf.DUMMYFUNCTION("GOOGLETRANSLATE(B4754,""en"",""fr"")"),"Nous voyons des gens rouler sur une rivière.")</f>
        <v>Nous voyons des gens rouler sur une rivière.</v>
      </c>
    </row>
    <row r="4755">
      <c r="A4755" s="4" t="s">
        <v>5973</v>
      </c>
      <c r="B4755" s="4" t="s">
        <v>5978</v>
      </c>
      <c r="C4755" s="5" t="str">
        <f>IFERROR(__xludf.DUMMYFUNCTION("GOOGLETRANSLATE(B4755,""en"",""fr"")"),"Les gens passent en revue une petite cascade et leur radeau est renversé.")</f>
        <v>Les gens passent en revue une petite cascade et leur radeau est renversé.</v>
      </c>
    </row>
    <row r="4756">
      <c r="A4756" s="4" t="s">
        <v>5973</v>
      </c>
      <c r="B4756" s="4" t="s">
        <v>5979</v>
      </c>
      <c r="C4756" s="5" t="str">
        <f>IFERROR(__xludf.DUMMYFUNCTION("GOOGLETRANSLATE(B4756,""en"",""fr"")"),"Les gens sont plongés dans l'eau alors qu'ils passent sur une cascade et un homme pompe son poing.")</f>
        <v>Les gens sont plongés dans l'eau alors qu'ils passent sur une cascade et un homme pompe son poing.</v>
      </c>
    </row>
    <row r="4757">
      <c r="A4757" s="4" t="s">
        <v>5973</v>
      </c>
      <c r="B4757" s="4" t="s">
        <v>5980</v>
      </c>
      <c r="C4757" s="5" t="str">
        <f>IFERROR(__xludf.DUMMYFUNCTION("GOOGLETRANSLATE(B4757,""en"",""fr"")"),"L'appareil photo se déroule pour montrer la nature et s'estompe au blanc.")</f>
        <v>L'appareil photo se déroule pour montrer la nature et s'estompe au blanc.</v>
      </c>
    </row>
    <row r="4758">
      <c r="A4758" s="4" t="s">
        <v>5973</v>
      </c>
      <c r="B4758" s="4" t="s">
        <v>777</v>
      </c>
      <c r="C4758" s="5" t="str">
        <f>IFERROR(__xludf.DUMMYFUNCTION("GOOGLETRANSLATE(B4758,""en"",""fr"")"),"Nous voyons l'écran du titre de fin.")</f>
        <v>Nous voyons l'écran du titre de fin.</v>
      </c>
    </row>
    <row r="4759">
      <c r="A4759" s="4" t="s">
        <v>5981</v>
      </c>
      <c r="B4759" s="6" t="s">
        <v>5982</v>
      </c>
      <c r="C4759" s="5" t="str">
        <f>IFERROR(__xludf.DUMMYFUNCTION("GOOGLETRANSLATE(B4759,""en"",""fr"")"),"Il y a un basketteur présentant différents types de techniques de tir de cerceau de basket-ball pour le nom de World of Hoops.")</f>
        <v>Il y a un basketteur présentant différents types de techniques de tir de cerceau de basket-ball pour le nom de World of Hoops.</v>
      </c>
    </row>
    <row r="4760">
      <c r="A4760" s="4" t="s">
        <v>5981</v>
      </c>
      <c r="B4760" s="6" t="s">
        <v>5983</v>
      </c>
      <c r="C4760" s="5" t="str">
        <f>IFERROR(__xludf.DUMMYFUNCTION("GOOGLETRANSLATE(B4760,""en"",""fr"")"),"Il commence par montrer la technique de base du lancer régulier, il tire le ballon directement dans le cerceau.")</f>
        <v>Il commence par montrer la technique de base du lancer régulier, il tire le ballon directement dans le cerceau.</v>
      </c>
    </row>
    <row r="4761">
      <c r="A4761" s="4" t="s">
        <v>5981</v>
      </c>
      <c r="B4761" s="6" t="s">
        <v>5984</v>
      </c>
      <c r="C4761" s="5" t="str">
        <f>IFERROR(__xludf.DUMMYFUNCTION("GOOGLETRANSLATE(B4761,""en"",""fr"")"),"Puis il montre une autre technique où il vient en courant et tire le ballon de très près du cerceau en sautant haut.")</f>
        <v>Puis il montre une autre technique où il vient en courant et tire le ballon de très près du cerceau en sautant haut.</v>
      </c>
    </row>
    <row r="4762">
      <c r="A4762" s="4" t="s">
        <v>5981</v>
      </c>
      <c r="B4762" s="6" t="s">
        <v>5985</v>
      </c>
      <c r="C4762" s="5" t="str">
        <f>IFERROR(__xludf.DUMMYFUNCTION("GOOGLETRANSLATE(B4762,""en"",""fr"")"),"Il continue de montrer diverses autres façons de tirer le panier alors qu'il court et trempe le ballon directement dans le panier.")</f>
        <v>Il continue de montrer diverses autres façons de tirer le panier alors qu'il court et trempe le ballon directement dans le panier.</v>
      </c>
    </row>
    <row r="4763">
      <c r="A4763" s="4" t="s">
        <v>5981</v>
      </c>
      <c r="B4763" s="6" t="s">
        <v>5986</v>
      </c>
      <c r="C4763" s="5" t="str">
        <f>IFERROR(__xludf.DUMMYFUNCTION("GOOGLETRANSLATE(B4763,""en"",""fr"")"),"Il démontre différentes techniques pour tirer le ballon dans le cerceau sans manquer un seul panier.")</f>
        <v>Il démontre différentes techniques pour tirer le ballon dans le cerceau sans manquer un seul panier.</v>
      </c>
    </row>
    <row r="4764">
      <c r="A4764" s="4" t="s">
        <v>5987</v>
      </c>
      <c r="B4764" s="4" t="s">
        <v>5988</v>
      </c>
      <c r="C4764" s="5" t="str">
        <f>IFERROR(__xludf.DUMMYFUNCTION("GOOGLETRANSLATE(B4764,""en"",""fr"")"),"Un adolescent équilibre sur la barre inégale la plus élevée.")</f>
        <v>Un adolescent équilibre sur la barre inégale la plus élevée.</v>
      </c>
    </row>
    <row r="4765">
      <c r="A4765" s="4" t="s">
        <v>5987</v>
      </c>
      <c r="B4765" s="4" t="s">
        <v>5989</v>
      </c>
      <c r="C4765" s="5" t="str">
        <f>IFERROR(__xludf.DUMMYFUNCTION("GOOGLETRANSLATE(B4765,""en"",""fr"")"),"Ensuite, l'adolescent se retourne et un homme l'aide à passer à la barre inégale inférieure.")</f>
        <v>Ensuite, l'adolescent se retourne et un homme l'aide à passer à la barre inégale inférieure.</v>
      </c>
    </row>
    <row r="4766">
      <c r="A4766" s="4" t="s">
        <v>5987</v>
      </c>
      <c r="B4766" s="4" t="s">
        <v>5990</v>
      </c>
      <c r="C4766" s="5" t="str">
        <f>IFERROR(__xludf.DUMMYFUNCTION("GOOGLETRANSLATE(B4766,""en"",""fr"")"),"Deux une fille exerce sur les bars inégaux derrière l'adolescent.")</f>
        <v>Deux une fille exerce sur les bars inégaux derrière l'adolescent.</v>
      </c>
    </row>
    <row r="4767">
      <c r="A4767" s="4" t="s">
        <v>5991</v>
      </c>
      <c r="B4767" s="4" t="s">
        <v>5992</v>
      </c>
      <c r="C4767" s="5" t="str">
        <f>IFERROR(__xludf.DUMMYFUNCTION("GOOGLETRANSLATE(B4767,""en"",""fr"")"),"Les gens jouent à un jeu de ping-pong.")</f>
        <v>Les gens jouent à un jeu de ping-pong.</v>
      </c>
    </row>
    <row r="4768">
      <c r="A4768" s="4" t="s">
        <v>5991</v>
      </c>
      <c r="B4768" s="4" t="s">
        <v>5993</v>
      </c>
      <c r="C4768" s="5" t="str">
        <f>IFERROR(__xludf.DUMMYFUNCTION("GOOGLETRANSLATE(B4768,""en"",""fr"")"),"Un homme en chemise rouge joue avec une seule chaussure.")</f>
        <v>Un homme en chemise rouge joue avec une seule chaussure.</v>
      </c>
    </row>
    <row r="4769">
      <c r="A4769" s="4" t="s">
        <v>5991</v>
      </c>
      <c r="B4769" s="4" t="s">
        <v>2042</v>
      </c>
      <c r="C4769" s="5" t="str">
        <f>IFERROR(__xludf.DUMMYFUNCTION("GOOGLETRANSLATE(B4769,""en"",""fr"")"),"Les mots viennent sur l'écran à la fin.")</f>
        <v>Les mots viennent sur l'écran à la fin.</v>
      </c>
    </row>
    <row r="4770">
      <c r="A4770" s="4" t="s">
        <v>5994</v>
      </c>
      <c r="B4770" s="6" t="s">
        <v>5995</v>
      </c>
      <c r="C4770" s="5" t="str">
        <f>IFERROR(__xludf.DUMMYFUNCTION("GOOGLETRANSLATE(B4770,""en"",""fr"")"),"Un homme est vu porter un uniforme drôle et sortir sur une grande scène tout en intervenant pour parler à la caméra.")</f>
        <v>Un homme est vu porter un uniforme drôle et sortir sur une grande scène tout en intervenant pour parler à la caméra.</v>
      </c>
    </row>
    <row r="4771">
      <c r="A4771" s="4" t="s">
        <v>5994</v>
      </c>
      <c r="B4771" s="6" t="s">
        <v>5996</v>
      </c>
      <c r="C4771" s="5" t="str">
        <f>IFERROR(__xludf.DUMMYFUNCTION("GOOGLETRANSLATE(B4771,""en"",""fr"")"),"L'homme effectue la gymnastique se déplace autour d'un faisceau de manière idiote et se termine avec le public applaudissant et l'homme agi par le public.")</f>
        <v>L'homme effectue la gymnastique se déplace autour d'un faisceau de manière idiote et se termine avec le public applaudissant et l'homme agi par le public.</v>
      </c>
    </row>
    <row r="4772">
      <c r="A4772" s="4" t="s">
        <v>5997</v>
      </c>
      <c r="B4772" s="4" t="s">
        <v>5998</v>
      </c>
      <c r="C4772" s="5" t="str">
        <f>IFERROR(__xludf.DUMMYFUNCTION("GOOGLETRANSLATE(B4772,""en"",""fr"")"),"Les gens jouent à un jeu de volleyball sur un terrain.")</f>
        <v>Les gens jouent à un jeu de volleyball sur un terrain.</v>
      </c>
    </row>
    <row r="4773">
      <c r="A4773" s="4" t="s">
        <v>5997</v>
      </c>
      <c r="B4773" s="4" t="s">
        <v>5999</v>
      </c>
      <c r="C4773" s="5" t="str">
        <f>IFERROR(__xludf.DUMMYFUNCTION("GOOGLETRANSLATE(B4773,""en"",""fr"")"),"Les gens sont assis le long des bancs contre un mur.")</f>
        <v>Les gens sont assis le long des bancs contre un mur.</v>
      </c>
    </row>
    <row r="4774">
      <c r="A4774" s="4" t="s">
        <v>5997</v>
      </c>
      <c r="B4774" s="4" t="s">
        <v>6000</v>
      </c>
      <c r="C4774" s="5" t="str">
        <f>IFERROR(__xludf.DUMMYFUNCTION("GOOGLETRANSLATE(B4774,""en"",""fr"")"),"Un garçon sert le volleyball.")</f>
        <v>Un garçon sert le volleyball.</v>
      </c>
    </row>
    <row r="4775">
      <c r="A4775" s="4" t="s">
        <v>6001</v>
      </c>
      <c r="B4775" s="4" t="s">
        <v>6002</v>
      </c>
      <c r="C4775" s="5" t="str">
        <f>IFERROR(__xludf.DUMMYFUNCTION("GOOGLETRANSLATE(B4775,""en"",""fr"")"),"Un cheval se tient seul, attaché à un tronc en bois.")</f>
        <v>Un cheval se tient seul, attaché à un tronc en bois.</v>
      </c>
    </row>
    <row r="4776">
      <c r="A4776" s="4" t="s">
        <v>6001</v>
      </c>
      <c r="B4776" s="4" t="s">
        <v>6003</v>
      </c>
      <c r="C4776" s="5" t="str">
        <f>IFERROR(__xludf.DUMMYFUNCTION("GOOGLETRANSLATE(B4776,""en"",""fr"")"),"Un homme s'approche du cheval tenant deux pinceaux dans ses mains et parle un peu.")</f>
        <v>Un homme s'approche du cheval tenant deux pinceaux dans ses mains et parle un peu.</v>
      </c>
    </row>
    <row r="4777">
      <c r="A4777" s="4" t="s">
        <v>6001</v>
      </c>
      <c r="B4777" s="6" t="s">
        <v>6004</v>
      </c>
      <c r="C4777" s="5" t="str">
        <f>IFERROR(__xludf.DUMMYFUNCTION("GOOGLETRANSLATE(B4777,""en"",""fr"")"),"Il monte au cheval et brosse les cheveux du cheval, en retirant les cheveux du cheval qui se fixe sur la brosse.")</f>
        <v>Il monte au cheval et brosse les cheveux du cheval, en retirant les cheveux du cheval qui se fixe sur la brosse.</v>
      </c>
    </row>
    <row r="4778">
      <c r="A4778" s="4" t="s">
        <v>6001</v>
      </c>
      <c r="B4778" s="4" t="s">
        <v>6005</v>
      </c>
      <c r="C4778" s="5" t="str">
        <f>IFERROR(__xludf.DUMMYFUNCTION("GOOGLETRANSLATE(B4778,""en"",""fr"")"),"Il s'arrête un peu pour parler.")</f>
        <v>Il s'arrête un peu pour parler.</v>
      </c>
    </row>
    <row r="4779">
      <c r="A4779" s="4" t="s">
        <v>6001</v>
      </c>
      <c r="B4779" s="4" t="s">
        <v>6006</v>
      </c>
      <c r="C4779" s="5" t="str">
        <f>IFERROR(__xludf.DUMMYFUNCTION("GOOGLETRANSLATE(B4779,""en"",""fr"")"),"Il revient pour retirer l'excès de cheveux du cheval.")</f>
        <v>Il revient pour retirer l'excès de cheveux du cheval.</v>
      </c>
    </row>
    <row r="4780">
      <c r="A4780" s="4" t="s">
        <v>6001</v>
      </c>
      <c r="B4780" s="4" t="s">
        <v>6007</v>
      </c>
      <c r="C4780" s="5" t="str">
        <f>IFERROR(__xludf.DUMMYFUNCTION("GOOGLETRANSLATE(B4780,""en"",""fr"")"),"Il s'arrête à nouveau et parle pendant un certain temps.")</f>
        <v>Il s'arrête à nouveau et parle pendant un certain temps.</v>
      </c>
    </row>
    <row r="4781">
      <c r="A4781" s="4" t="s">
        <v>6001</v>
      </c>
      <c r="B4781" s="4" t="s">
        <v>6008</v>
      </c>
      <c r="C4781" s="5" t="str">
        <f>IFERROR(__xludf.DUMMYFUNCTION("GOOGLETRANSLATE(B4781,""en"",""fr"")"),"Il revient pour brosser le cheval.")</f>
        <v>Il revient pour brosser le cheval.</v>
      </c>
    </row>
    <row r="4782">
      <c r="A4782" s="4" t="s">
        <v>6001</v>
      </c>
      <c r="B4782" s="4" t="s">
        <v>6009</v>
      </c>
      <c r="C4782" s="5" t="str">
        <f>IFERROR(__xludf.DUMMYFUNCTION("GOOGLETRANSLATE(B4782,""en"",""fr"")"),"Il arrête de brosser les cheveux et parle.")</f>
        <v>Il arrête de brosser les cheveux et parle.</v>
      </c>
    </row>
    <row r="4783">
      <c r="A4783" s="4" t="s">
        <v>6010</v>
      </c>
      <c r="B4783" s="4" t="s">
        <v>6011</v>
      </c>
      <c r="C4783" s="5" t="str">
        <f>IFERROR(__xludf.DUMMYFUNCTION("GOOGLETRANSLATE(B4783,""en"",""fr"")"),"Une gymnaste féminine monte une faillite dans une salle de sport.")</f>
        <v>Une gymnaste féminine monte une faillite dans une salle de sport.</v>
      </c>
    </row>
    <row r="4784">
      <c r="A4784" s="4" t="s">
        <v>6010</v>
      </c>
      <c r="B4784" s="4" t="s">
        <v>6012</v>
      </c>
      <c r="C4784" s="5" t="str">
        <f>IFERROR(__xludf.DUMMYFUNCTION("GOOGLETRANSLATE(B4784,""en"",""fr"")"),"Elle fait beaucoup de sauts en avant, de ressorts et de divisions dans les airs.")</f>
        <v>Elle fait beaucoup de sauts en avant, de ressorts et de divisions dans les airs.</v>
      </c>
    </row>
    <row r="4785">
      <c r="A4785" s="4" t="s">
        <v>6010</v>
      </c>
      <c r="B4785" s="4" t="s">
        <v>6013</v>
      </c>
      <c r="C4785" s="5" t="str">
        <f>IFERROR(__xludf.DUMMYFUNCTION("GOOGLETRANSLATE(B4785,""en"",""fr"")"),"Un garçon en arrière-plan grimpe une corde alors qu'elle démonte.")</f>
        <v>Un garçon en arrière-plan grimpe une corde alors qu'elle démonte.</v>
      </c>
    </row>
    <row r="4786">
      <c r="A4786" s="4" t="s">
        <v>6014</v>
      </c>
      <c r="B4786" s="4" t="s">
        <v>6015</v>
      </c>
      <c r="C4786" s="5" t="str">
        <f>IFERROR(__xludf.DUMMYFUNCTION("GOOGLETRANSLATE(B4786,""en"",""fr"")"),"Une femme en chemise blanche se tient près d'une machine d'exercice.")</f>
        <v>Une femme en chemise blanche se tient près d'une machine d'exercice.</v>
      </c>
    </row>
    <row r="4787">
      <c r="A4787" s="4" t="s">
        <v>6014</v>
      </c>
      <c r="B4787" s="4" t="s">
        <v>6016</v>
      </c>
      <c r="C4787" s="5" t="str">
        <f>IFERROR(__xludf.DUMMYFUNCTION("GOOGLETRANSLATE(B4787,""en"",""fr"")"),"Elle commence à travailler sur la machine d'exercice.")</f>
        <v>Elle commence à travailler sur la machine d'exercice.</v>
      </c>
    </row>
    <row r="4788">
      <c r="A4788" s="4" t="s">
        <v>6014</v>
      </c>
      <c r="B4788" s="4" t="s">
        <v>6017</v>
      </c>
      <c r="C4788" s="5" t="str">
        <f>IFERROR(__xludf.DUMMYFUNCTION("GOOGLETRANSLATE(B4788,""en"",""fr"")"),"Des informations sur la machine sont placées à l'écran.")</f>
        <v>Des informations sur la machine sont placées à l'écran.</v>
      </c>
    </row>
    <row r="4789">
      <c r="A4789" s="4" t="s">
        <v>6018</v>
      </c>
      <c r="B4789" s="4" t="s">
        <v>6019</v>
      </c>
      <c r="C4789" s="5" t="str">
        <f>IFERROR(__xludf.DUMMYFUNCTION("GOOGLETRANSLATE(B4789,""en"",""fr"")"),"Un homme jette des fléchettes dans une pièce.")</f>
        <v>Un homme jette des fléchettes dans une pièce.</v>
      </c>
    </row>
    <row r="4790">
      <c r="A4790" s="4" t="s">
        <v>6018</v>
      </c>
      <c r="B4790" s="4" t="s">
        <v>6020</v>
      </c>
      <c r="C4790" s="5" t="str">
        <f>IFERROR(__xludf.DUMMYFUNCTION("GOOGLETRANSLATE(B4790,""en"",""fr"")"),"Un autre homme se baisse donc il ne se fait pas frapper.")</f>
        <v>Un autre homme se baisse donc il ne se fait pas frapper.</v>
      </c>
    </row>
    <row r="4791">
      <c r="A4791" s="4" t="s">
        <v>6018</v>
      </c>
      <c r="B4791" s="4" t="s">
        <v>6021</v>
      </c>
      <c r="C4791" s="5" t="str">
        <f>IFERROR(__xludf.DUMMYFUNCTION("GOOGLETRANSLATE(B4791,""en"",""fr"")"),"Les fléchettes ont frappé la planche de fléchettes au ralenti.")</f>
        <v>Les fléchettes ont frappé la planche de fléchettes au ralenti.</v>
      </c>
    </row>
    <row r="4792">
      <c r="A4792" s="4" t="s">
        <v>6022</v>
      </c>
      <c r="B4792" s="4" t="s">
        <v>6023</v>
      </c>
      <c r="C4792" s="5" t="str">
        <f>IFERROR(__xludf.DUMMYFUNCTION("GOOGLETRANSLATE(B4792,""en"",""fr"")"),"Un gros plan d'un cheval est vu suivi par plusieurs personnes chevauchant des chevaux sur une plage.")</f>
        <v>Un gros plan d'un cheval est vu suivi par plusieurs personnes chevauchant des chevaux sur une plage.</v>
      </c>
    </row>
    <row r="4793">
      <c r="A4793" s="4" t="s">
        <v>6022</v>
      </c>
      <c r="B4793" s="6" t="s">
        <v>6024</v>
      </c>
      <c r="C4793" s="5" t="str">
        <f>IFERROR(__xludf.DUMMYFUNCTION("GOOGLETRANSLATE(B4793,""en"",""fr"")"),"Une personne est vue debout sur le cheval et la caméra continue de suivre les gens qui roulent sur les chevaux.")</f>
        <v>Une personne est vue debout sur le cheval et la caméra continue de suivre les gens qui roulent sur les chevaux.</v>
      </c>
    </row>
    <row r="4794">
      <c r="A4794" s="4" t="s">
        <v>6025</v>
      </c>
      <c r="B4794" s="6" t="s">
        <v>6026</v>
      </c>
      <c r="C4794" s="5" t="str">
        <f>IFERROR(__xludf.DUMMYFUNCTION("GOOGLETRANSLATE(B4794,""en"",""fr"")"),"Un homme et une femme dans une salle de poids de style garage montrent comment soulever une barre de poids avec la femme présentant la levée des poids.")</f>
        <v>Un homme et une femme dans une salle de poids de style garage montrent comment soulever une barre de poids avec la femme présentant la levée des poids.</v>
      </c>
    </row>
    <row r="4795">
      <c r="A4795" s="4" t="s">
        <v>6025</v>
      </c>
      <c r="B4795" s="4" t="s">
        <v>6027</v>
      </c>
      <c r="C4795" s="5" t="str">
        <f>IFERROR(__xludf.DUMMYFUNCTION("GOOGLETRANSLATE(B4795,""en"",""fr"")"),"Un homme en t-shirt noir et sandales se dresse à côté d'une femme dans une salle de poids de style garage.")</f>
        <v>Un homme en t-shirt noir et sandales se dresse à côté d'une femme dans une salle de poids de style garage.</v>
      </c>
    </row>
    <row r="4796">
      <c r="A4796" s="4" t="s">
        <v>6025</v>
      </c>
      <c r="B4796" s="6" t="s">
        <v>6028</v>
      </c>
      <c r="C4796" s="5" t="str">
        <f>IFERROR(__xludf.DUMMYFUNCTION("GOOGLETRANSLATE(B4796,""en"",""fr"")"),"La femme ramasse une barre de poids en utilisant les genoux pour se plier alors que l'homme parle et pointe ses groupes musculaires.")</f>
        <v>La femme ramasse une barre de poids en utilisant les genoux pour se plier alors que l'homme parle et pointe ses groupes musculaires.</v>
      </c>
    </row>
    <row r="4797">
      <c r="A4797" s="4" t="s">
        <v>6025</v>
      </c>
      <c r="B4797" s="6" t="s">
        <v>6029</v>
      </c>
      <c r="C4797" s="5" t="str">
        <f>IFERROR(__xludf.DUMMYFUNCTION("GOOGLETRANSLATE(B4797,""en"",""fr"")"),"La femme hisse la barre au-dessus de sa tête dans un mouvement de poids à plusieurs reprises avant de réduire la barre vers le sol.")</f>
        <v>La femme hisse la barre au-dessus de sa tête dans un mouvement de poids à plusieurs reprises avant de réduire la barre vers le sol.</v>
      </c>
    </row>
    <row r="4798">
      <c r="A4798" s="4" t="s">
        <v>6030</v>
      </c>
      <c r="B4798" s="4" t="s">
        <v>6031</v>
      </c>
      <c r="C4798" s="5" t="str">
        <f>IFERROR(__xludf.DUMMYFUNCTION("GOOGLETRANSLATE(B4798,""en"",""fr"")"),"Certains textes apparaissent à l'écran.")</f>
        <v>Certains textes apparaissent à l'écran.</v>
      </c>
    </row>
    <row r="4799">
      <c r="A4799" s="4" t="s">
        <v>6030</v>
      </c>
      <c r="B4799" s="4" t="s">
        <v>6032</v>
      </c>
      <c r="C4799" s="5" t="str">
        <f>IFERROR(__xludf.DUMMYFUNCTION("GOOGLETRANSLATE(B4799,""en"",""fr"")"),"Une vidéo de taureaux blessés par les gens commence à jouer.")</f>
        <v>Une vidéo de taureaux blessés par les gens commence à jouer.</v>
      </c>
    </row>
    <row r="4800">
      <c r="A4800" s="4" t="s">
        <v>6030</v>
      </c>
      <c r="B4800" s="4" t="s">
        <v>6033</v>
      </c>
      <c r="C4800" s="5" t="str">
        <f>IFERROR(__xludf.DUMMYFUNCTION("GOOGLETRANSLATE(B4800,""en"",""fr"")"),"Le texte apparaît à nouveau à l'écran.")</f>
        <v>Le texte apparaît à nouveau à l'écran.</v>
      </c>
    </row>
    <row r="4801">
      <c r="A4801" s="4" t="s">
        <v>6030</v>
      </c>
      <c r="B4801" s="4" t="s">
        <v>6034</v>
      </c>
      <c r="C4801" s="5" t="str">
        <f>IFERROR(__xludf.DUMMYFUNCTION("GOOGLETRANSLATE(B4801,""en"",""fr"")"),"Des images de personnes poignardées avec des flèches et pleines de sang sont montrées.")</f>
        <v>Des images de personnes poignardées avec des flèches et pleines de sang sont montrées.</v>
      </c>
    </row>
    <row r="4802">
      <c r="A4802" s="4" t="s">
        <v>6030</v>
      </c>
      <c r="B4802" s="4" t="s">
        <v>6035</v>
      </c>
      <c r="C4802" s="5" t="str">
        <f>IFERROR(__xludf.DUMMYFUNCTION("GOOGLETRANSLATE(B4802,""en"",""fr"")"),"Plus de texte avec des messages anti-taureaux apparaissent.")</f>
        <v>Plus de texte avec des messages anti-taureaux apparaissent.</v>
      </c>
    </row>
    <row r="4803">
      <c r="A4803" s="4" t="s">
        <v>6030</v>
      </c>
      <c r="B4803" s="4" t="s">
        <v>6036</v>
      </c>
      <c r="C4803" s="5" t="str">
        <f>IFERROR(__xludf.DUMMYFUNCTION("GOOGLETRANSLATE(B4803,""en"",""fr"")"),"Des images de taureaux blessés sont montrés.")</f>
        <v>Des images de taureaux blessés sont montrés.</v>
      </c>
    </row>
    <row r="4804">
      <c r="A4804" s="4" t="s">
        <v>6030</v>
      </c>
      <c r="B4804" s="4" t="s">
        <v>6037</v>
      </c>
      <c r="C4804" s="5" t="str">
        <f>IFERROR(__xludf.DUMMYFUNCTION("GOOGLETRANSLATE(B4804,""en"",""fr"")"),"Le texte anti-cruauté envers les animaux apparaît.")</f>
        <v>Le texte anti-cruauté envers les animaux apparaît.</v>
      </c>
    </row>
    <row r="4805">
      <c r="A4805" s="4" t="s">
        <v>6030</v>
      </c>
      <c r="B4805" s="4" t="s">
        <v>6038</v>
      </c>
      <c r="C4805" s="5" t="str">
        <f>IFERROR(__xludf.DUMMYFUNCTION("GOOGLETRANSLATE(B4805,""en"",""fr"")"),"Un combattant de taureau est montré en combattant un taureau.")</f>
        <v>Un combattant de taureau est montré en combattant un taureau.</v>
      </c>
    </row>
    <row r="4806">
      <c r="A4806" s="4" t="s">
        <v>6030</v>
      </c>
      <c r="B4806" s="4" t="s">
        <v>6039</v>
      </c>
      <c r="C4806" s="5" t="str">
        <f>IFERROR(__xludf.DUMMYFUNCTION("GOOGLETRANSLATE(B4806,""en"",""fr"")"),"Une vidéo est jouée de taureaux à être gênés.")</f>
        <v>Une vidéo est jouée de taureaux à être gênés.</v>
      </c>
    </row>
    <row r="4807">
      <c r="A4807" s="4" t="s">
        <v>6030</v>
      </c>
      <c r="B4807" s="4" t="s">
        <v>6040</v>
      </c>
      <c r="C4807" s="5" t="str">
        <f>IFERROR(__xludf.DUMMYFUNCTION("GOOGLETRANSLATE(B4807,""en"",""fr"")"),"Une nouvelle vidéo montrant des animaux morts joue.")</f>
        <v>Une nouvelle vidéo montrant des animaux morts joue.</v>
      </c>
    </row>
    <row r="4808">
      <c r="A4808" s="4" t="s">
        <v>6030</v>
      </c>
      <c r="B4808" s="6" t="s">
        <v>6041</v>
      </c>
      <c r="C4808" s="5" t="str">
        <f>IFERROR(__xludf.DUMMYFUNCTION("GOOGLETRANSLATE(B4808,""en"",""fr"")"),"Le texte condescendant apparaît dans la vidéo qui châtie les gens pour avoir mangé de la viande, étant cruelle envers les animaux.")</f>
        <v>Le texte condescendant apparaît dans la vidéo qui châtie les gens pour avoir mangé de la viande, étant cruelle envers les animaux.</v>
      </c>
    </row>
    <row r="4809">
      <c r="A4809" s="4" t="s">
        <v>6042</v>
      </c>
      <c r="B4809" s="4" t="s">
        <v>6043</v>
      </c>
      <c r="C4809" s="5" t="str">
        <f>IFERROR(__xludf.DUMMYFUNCTION("GOOGLETRANSLATE(B4809,""en"",""fr"")"),"Une tondeuse à gazon est poussée à travers l'herbe.")</f>
        <v>Une tondeuse à gazon est poussée à travers l'herbe.</v>
      </c>
    </row>
    <row r="4810">
      <c r="A4810" s="4" t="s">
        <v>6042</v>
      </c>
      <c r="B4810" s="4" t="s">
        <v>6044</v>
      </c>
      <c r="C4810" s="5" t="str">
        <f>IFERROR(__xludf.DUMMYFUNCTION("GOOGLETRANSLATE(B4810,""en"",""fr"")"),"Il est poussé le long d'un trottoir.")</f>
        <v>Il est poussé le long d'un trottoir.</v>
      </c>
    </row>
    <row r="4811">
      <c r="A4811" s="4" t="s">
        <v>6042</v>
      </c>
      <c r="B4811" s="4" t="s">
        <v>6045</v>
      </c>
      <c r="C4811" s="5" t="str">
        <f>IFERROR(__xludf.DUMMYFUNCTION("GOOGLETRANSLATE(B4811,""en"",""fr"")"),"Il est poussé le long d'un parterre de fleurs.")</f>
        <v>Il est poussé le long d'un parterre de fleurs.</v>
      </c>
    </row>
    <row r="4812">
      <c r="A4812" s="4" t="s">
        <v>6046</v>
      </c>
      <c r="B4812" s="4" t="s">
        <v>6047</v>
      </c>
      <c r="C4812" s="5" t="str">
        <f>IFERROR(__xludf.DUMMYFUNCTION("GOOGLETRANSLATE(B4812,""en"",""fr"")"),"Une personne montre le fond d'une grande vadrouille à poussière.")</f>
        <v>Une personne montre le fond d'une grande vadrouille à poussière.</v>
      </c>
    </row>
    <row r="4813">
      <c r="A4813" s="4" t="s">
        <v>6046</v>
      </c>
      <c r="B4813" s="4" t="s">
        <v>6048</v>
      </c>
      <c r="C4813" s="5" t="str">
        <f>IFERROR(__xludf.DUMMYFUNCTION("GOOGLETRANSLATE(B4813,""en"",""fr"")"),"Ensuite, la personne nettoie un gymnase avec la grande vadrouille.")</f>
        <v>Ensuite, la personne nettoie un gymnase avec la grande vadrouille.</v>
      </c>
    </row>
    <row r="4814">
      <c r="A4814" s="4" t="s">
        <v>6049</v>
      </c>
      <c r="B4814" s="4" t="s">
        <v>6050</v>
      </c>
      <c r="C4814" s="5" t="str">
        <f>IFERROR(__xludf.DUMMYFUNCTION("GOOGLETRANSLATE(B4814,""en"",""fr"")"),"La fille dans le swing se balance puis elle a sauté par terre.")</f>
        <v>La fille dans le swing se balance puis elle a sauté par terre.</v>
      </c>
    </row>
    <row r="4815">
      <c r="A4815" s="4" t="s">
        <v>6049</v>
      </c>
      <c r="B4815" s="6" t="s">
        <v>6051</v>
      </c>
      <c r="C4815" s="5" t="str">
        <f>IFERROR(__xludf.DUMMYFUNCTION("GOOGLETRANSLATE(B4815,""en"",""fr"")"),"La caméra se retourna, puis se tourna vers la fille se balançant, elle tordit les chaînes du swing, et elle tourbillonne avec le swing.")</f>
        <v>La caméra se retourna, puis se tourna vers la fille se balançant, elle tordit les chaînes du swing, et elle tourbillonne avec le swing.</v>
      </c>
    </row>
    <row r="4816">
      <c r="A4816" s="4" t="s">
        <v>6049</v>
      </c>
      <c r="B4816" s="6" t="s">
        <v>6052</v>
      </c>
      <c r="C4816" s="5" t="str">
        <f>IFERROR(__xludf.DUMMYFUNCTION("GOOGLETRANSLATE(B4816,""en"",""fr"")"),"La fille en chemise noire et en jupe noire et en collants continuent de se balancer si vite et haut, puis elle a sauté sur le sol sablonneux.")</f>
        <v>La fille en chemise noire et en jupe noire et en collants continuent de se balancer si vite et haut, puis elle a sauté sur le sol sablonneux.</v>
      </c>
    </row>
    <row r="4817">
      <c r="A4817" s="4" t="s">
        <v>6049</v>
      </c>
      <c r="B4817" s="4" t="s">
        <v>6053</v>
      </c>
      <c r="C4817" s="5" t="str">
        <f>IFERROR(__xludf.DUMMYFUNCTION("GOOGLETRANSLATE(B4817,""en"",""fr"")"),"La fille a grimpé le grimpeur, elle monta ses pieds pendant que ses bras et ses mains tiennent le bar.")</f>
        <v>La fille a grimpé le grimpeur, elle monta ses pieds pendant que ses bras et ses mains tiennent le bar.</v>
      </c>
    </row>
    <row r="4818">
      <c r="A4818" s="4" t="s">
        <v>6049</v>
      </c>
      <c r="B4818" s="6" t="s">
        <v>6054</v>
      </c>
      <c r="C4818" s="5" t="str">
        <f>IFERROR(__xludf.DUMMYFUNCTION("GOOGLETRANSLATE(B4818,""en"",""fr"")"),"La fille est tombée par terre, elle se leva, puis se dirigea de l'autre côté du grimpeur, atteignit le bar et se déplaça vers l'autre bar suivant.")</f>
        <v>La fille est tombée par terre, elle se leva, puis se dirigea de l'autre côté du grimpeur, atteignit le bar et se déplaça vers l'autre bar suivant.</v>
      </c>
    </row>
    <row r="4819">
      <c r="A4819" s="4" t="s">
        <v>6049</v>
      </c>
      <c r="B4819" s="6" t="s">
        <v>6055</v>
      </c>
      <c r="C4819" s="5" t="str">
        <f>IFERROR(__xludf.DUMMYFUNCTION("GOOGLETRANSLATE(B4819,""en"",""fr"")"),"La fille est assise sur une chaise bleue rebondissant pendant qu'elle regarde de son côté, elle se leva, continue de tirer son poids vers l'avant et en arrière.")</f>
        <v>La fille est assise sur une chaise bleue rebondissant pendant qu'elle regarde de son côté, elle se leva, continue de tirer son poids vers l'avant et en arrière.</v>
      </c>
    </row>
    <row r="4820">
      <c r="A4820" s="4" t="s">
        <v>6049</v>
      </c>
      <c r="B4820" s="6" t="s">
        <v>6056</v>
      </c>
      <c r="C4820" s="5" t="str">
        <f>IFERROR(__xludf.DUMMYFUNCTION("GOOGLETRANSLATE(B4820,""en"",""fr"")"),"La fille s'assit sur le dessus de la diapositive puis glissent vers le bas, mit sur ses pantoufles, puis retourna en haut de la diapositive et glissent vers le bas.")</f>
        <v>La fille s'assit sur le dessus de la diapositive puis glissent vers le bas, mit sur ses pantoufles, puis retourna en haut de la diapositive et glissent vers le bas.</v>
      </c>
    </row>
    <row r="4821">
      <c r="A4821" s="4" t="s">
        <v>6057</v>
      </c>
      <c r="B4821" s="4" t="s">
        <v>6058</v>
      </c>
      <c r="C4821" s="5" t="str">
        <f>IFERROR(__xludf.DUMMYFUNCTION("GOOGLETRANSLATE(B4821,""en"",""fr"")"),"Une toile de fond bleue est représentée avec des mots blancs disant qui tient: ""Tonte la pelouse en mai 2009"".")</f>
        <v>Une toile de fond bleue est représentée avec des mots blancs disant qui tient: "Tonte la pelouse en mai 2009".</v>
      </c>
    </row>
    <row r="4822">
      <c r="A4822" s="4" t="s">
        <v>6057</v>
      </c>
      <c r="B4822" s="6" t="s">
        <v>6059</v>
      </c>
      <c r="C4822" s="5" t="str">
        <f>IFERROR(__xludf.DUMMYFUNCTION("GOOGLETRANSLATE(B4822,""en"",""fr"")"),"Un homme d'âge moyen est à l'extérieur, portant un short court et rouge à muscle blanc poussant une tondeuse à gazon dans sa cour.")</f>
        <v>Un homme d'âge moyen est à l'extérieur, portant un short court et rouge à muscle blanc poussant une tondeuse à gazon dans sa cour.</v>
      </c>
    </row>
    <row r="4823">
      <c r="A4823" s="4" t="s">
        <v>6057</v>
      </c>
      <c r="B4823" s="6" t="s">
        <v>6060</v>
      </c>
      <c r="C4823" s="5" t="str">
        <f>IFERROR(__xludf.DUMMYFUNCTION("GOOGLETRANSLATE(B4823,""en"",""fr"")"),"Alors que l'homme tourne la tondeuse à gazon pour aller dans une direction différente, il commence à lutter et se confonde parce que la fontaine d'eau est sur son chemin.")</f>
        <v>Alors que l'homme tourne la tondeuse à gazon pour aller dans une direction différente, il commence à lutter et se confonde parce que la fontaine d'eau est sur son chemin.</v>
      </c>
    </row>
    <row r="4824">
      <c r="A4824" s="4" t="s">
        <v>6057</v>
      </c>
      <c r="B4824" s="6" t="s">
        <v>6061</v>
      </c>
      <c r="C4824" s="5" t="str">
        <f>IFERROR(__xludf.DUMMYFUNCTION("GOOGLETRANSLATE(B4824,""en"",""fr"")"),"Une fois, le mâle est devenu suffisamment frustré, il a juste décidé de ne pas le tondre et retourne à son lieu de coupe d'origine.")</f>
        <v>Une fois, le mâle est devenu suffisamment frustré, il a juste décidé de ne pas le tondre et retourne à son lieu de coupe d'origine.</v>
      </c>
    </row>
    <row r="4825">
      <c r="A4825" s="4" t="s">
        <v>6062</v>
      </c>
      <c r="B4825" s="4" t="s">
        <v>6063</v>
      </c>
      <c r="C4825" s="5" t="str">
        <f>IFERROR(__xludf.DUMMYFUNCTION("GOOGLETRANSLATE(B4825,""en"",""fr"")"),"Un gros plan de mains est montré suivi d'une fille se brossant les cheveux et souriant à la caméra.")</f>
        <v>Un gros plan de mains est montré suivi d'une fille se brossant les cheveux et souriant à la caméra.</v>
      </c>
    </row>
    <row r="4826">
      <c r="A4826" s="4" t="s">
        <v>6062</v>
      </c>
      <c r="B4826" s="4" t="s">
        <v>6064</v>
      </c>
      <c r="C4826" s="5" t="str">
        <f>IFERROR(__xludf.DUMMYFUNCTION("GOOGLETRANSLATE(B4826,""en"",""fr"")"),"La fille continue de se brosser les cheveux et de regarder au loin.")</f>
        <v>La fille continue de se brosser les cheveux et de regarder au loin.</v>
      </c>
    </row>
    <row r="4827">
      <c r="A4827" s="4" t="s">
        <v>6065</v>
      </c>
      <c r="B4827" s="6" t="s">
        <v>6066</v>
      </c>
      <c r="C4827" s="5" t="str">
        <f>IFERROR(__xludf.DUMMYFUNCTION("GOOGLETRANSLATE(B4827,""en"",""fr"")"),"Un événement sportif de compétition se déroule dans une arène en plein air et les concurrents sont sur le terrain pendant que les spectateurs sont dans les tribunes.")</f>
        <v>Un événement sportif de compétition se déroule dans une arène en plein air et les concurrents sont sur le terrain pendant que les spectateurs sont dans les tribunes.</v>
      </c>
    </row>
    <row r="4828">
      <c r="A4828" s="4" t="s">
        <v>6065</v>
      </c>
      <c r="B4828" s="6" t="s">
        <v>6067</v>
      </c>
      <c r="C4828" s="5" t="str">
        <f>IFERROR(__xludf.DUMMYFUNCTION("GOOGLETRANSLATE(B4828,""en"",""fr"")"),"Un homme se tient maintenant en cercle sur le terrain et il tient une balle et l'affichage de la bannière à l'écran indique que son nom est Krisztian Pars et qu'il est sur le point de faire un coup de marteau M alors qu'il balance le ballon qui est attach"&amp;"é à la corde , balance son corps puis laisse la corde aller alors qu'elle vole très loin sur le terrain.")</f>
        <v>Un homme se tient maintenant en cercle sur le terrain et il tient une balle et l'affichage de la bannière à l'écran indique que son nom est Krisztian Pars et qu'il est sur le point de faire un coup de marteau M alors qu'il balance le ballon qui est attaché à la corde , balance son corps puis laisse la corde aller alors qu'elle vole très loin sur le terrain.</v>
      </c>
    </row>
    <row r="4829">
      <c r="A4829" s="4" t="s">
        <v>6065</v>
      </c>
      <c r="B4829" s="6" t="s">
        <v>6068</v>
      </c>
      <c r="C4829" s="5" t="str">
        <f>IFERROR(__xludf.DUMMYFUNCTION("GOOGLETRANSLATE(B4829,""en"",""fr"")"),"L'homme est très fier de son lancer alors qu'il applaudit et d'autres concurrents ainsi que les gens dans les tribunes applaudir et l'encouragent ainsi qu'il s'éloigne de la zone dans laquelle il se tenait et continue de s'encourager un peu plus en donnan"&amp;"t Un coup de pouce à un groupe d'hommes de caméras prenant sa photo.")</f>
        <v>L'homme est très fier de son lancer alors qu'il applaudit et d'autres concurrents ainsi que les gens dans les tribunes applaudir et l'encouragent ainsi qu'il s'éloigne de la zone dans laquelle il se tenait et continue de s'encourager un peu plus en donnant Un coup de pouce à un groupe d'hommes de caméras prenant sa photo.</v>
      </c>
    </row>
    <row r="4830">
      <c r="A4830" s="4" t="s">
        <v>6065</v>
      </c>
      <c r="B4830" s="4" t="s">
        <v>6069</v>
      </c>
      <c r="C4830" s="5" t="str">
        <f>IFERROR(__xludf.DUMMYFUNCTION("GOOGLETRANSLATE(B4830,""en"",""fr"")"),"Une rediffusion de son lancer recommence, puis elle se termine par un plan large incliné de toute l'arène.")</f>
        <v>Une rediffusion de son lancer recommence, puis elle se termine par un plan large incliné de toute l'arène.</v>
      </c>
    </row>
    <row r="4831">
      <c r="A4831" s="4" t="s">
        <v>6070</v>
      </c>
      <c r="B4831" s="4" t="s">
        <v>6071</v>
      </c>
      <c r="C4831" s="5" t="str">
        <f>IFERROR(__xludf.DUMMYFUNCTION("GOOGLETRANSLATE(B4831,""en"",""fr"")"),"Une vidéo de l'équipe de hockey sur le terrain de l'UConn est montrée.")</f>
        <v>Une vidéo de l'équipe de hockey sur le terrain de l'UConn est montrée.</v>
      </c>
    </row>
    <row r="4832">
      <c r="A4832" s="4" t="s">
        <v>6070</v>
      </c>
      <c r="B4832" s="4" t="s">
        <v>6072</v>
      </c>
      <c r="C4832" s="5" t="str">
        <f>IFERROR(__xludf.DUMMYFUNCTION("GOOGLETRANSLATE(B4832,""en"",""fr"")"),"L'entraîneur parle aux joueurs et ils ont une pratique.")</f>
        <v>L'entraîneur parle aux joueurs et ils ont une pratique.</v>
      </c>
    </row>
    <row r="4833">
      <c r="A4833" s="4" t="s">
        <v>6073</v>
      </c>
      <c r="B4833" s="4" t="s">
        <v>6074</v>
      </c>
      <c r="C4833" s="5" t="str">
        <f>IFERROR(__xludf.DUMMYFUNCTION("GOOGLETRANSLATE(B4833,""en"",""fr"")"),"Deux hommes sont montrés en jouant au football dans un gymnase suivi d'un panoramique montrant plus de joueurs.")</f>
        <v>Deux hommes sont montrés en jouant au football dans un gymnase suivi d'un panoramique montrant plus de joueurs.</v>
      </c>
    </row>
    <row r="4834">
      <c r="A4834" s="4" t="s">
        <v>6073</v>
      </c>
      <c r="B4834" s="6" t="s">
        <v>6075</v>
      </c>
      <c r="C4834" s="5" t="str">
        <f>IFERROR(__xludf.DUMMYFUNCTION("GOOGLETRANSLATE(B4834,""en"",""fr"")"),"L'homme est blanc mène le ballon dans le gymnase à plusieurs reprises et effectuant divers trucs et buts.")</f>
        <v>L'homme est blanc mène le ballon dans le gymnase à plusieurs reprises et effectuant divers trucs et buts.</v>
      </c>
    </row>
    <row r="4835">
      <c r="A4835" s="4" t="s">
        <v>6073</v>
      </c>
      <c r="B4835" s="4" t="s">
        <v>6076</v>
      </c>
      <c r="C4835" s="5" t="str">
        <f>IFERROR(__xludf.DUMMYFUNCTION("GOOGLETRANSLATE(B4835,""en"",""fr"")"),"Le jeu se poursuit avec les hommes qui font le dos et le quatrième jouant avec le ballon de football.")</f>
        <v>Le jeu se poursuit avec les hommes qui font le dos et le quatrième jouant avec le ballon de football.</v>
      </c>
    </row>
    <row r="4836">
      <c r="A4836" s="4" t="s">
        <v>6077</v>
      </c>
      <c r="B4836" s="4" t="s">
        <v>6078</v>
      </c>
      <c r="C4836" s="5" t="str">
        <f>IFERROR(__xludf.DUMMYFUNCTION("GOOGLETRANSLATE(B4836,""en"",""fr"")"),"Une femme se fait serrer les sourcils.")</f>
        <v>Une femme se fait serrer les sourcils.</v>
      </c>
    </row>
    <row r="4837">
      <c r="A4837" s="4" t="s">
        <v>6077</v>
      </c>
      <c r="B4837" s="4" t="s">
        <v>6079</v>
      </c>
      <c r="C4837" s="5" t="str">
        <f>IFERROR(__xludf.DUMMYFUNCTION("GOOGLETRANSLATE(B4837,""en"",""fr"")"),"Une personne pousse une aiguille dans son sourcil.")</f>
        <v>Une personne pousse une aiguille dans son sourcil.</v>
      </c>
    </row>
    <row r="4838">
      <c r="A4838" s="4" t="s">
        <v>6077</v>
      </c>
      <c r="B4838" s="4" t="s">
        <v>6080</v>
      </c>
      <c r="C4838" s="5" t="str">
        <f>IFERROR(__xludf.DUMMYFUNCTION("GOOGLETRANSLATE(B4838,""en"",""fr"")"),"Ils tournent une boucle d'oreille dans le sourcil.")</f>
        <v>Ils tournent une boucle d'oreille dans le sourcil.</v>
      </c>
    </row>
    <row r="4839">
      <c r="A4839" s="4" t="s">
        <v>6077</v>
      </c>
      <c r="B4839" s="4" t="s">
        <v>6081</v>
      </c>
      <c r="C4839" s="5" t="str">
        <f>IFERROR(__xludf.DUMMYFUNCTION("GOOGLETRANSLATE(B4839,""en"",""fr"")"),"Ils nettoient autour de la boucle d'oreille avec un qtip.")</f>
        <v>Ils nettoient autour de la boucle d'oreille avec un qtip.</v>
      </c>
    </row>
    <row r="4840">
      <c r="A4840" s="4" t="s">
        <v>6082</v>
      </c>
      <c r="B4840" s="4" t="s">
        <v>6083</v>
      </c>
      <c r="C4840" s="5" t="str">
        <f>IFERROR(__xludf.DUMMYFUNCTION("GOOGLETRANSLATE(B4840,""en"",""fr"")"),"Un homme essaie de soulever des poids dans une salle de sport.")</f>
        <v>Un homme essaie de soulever des poids dans une salle de sport.</v>
      </c>
    </row>
    <row r="4841">
      <c r="A4841" s="4" t="s">
        <v>6082</v>
      </c>
      <c r="B4841" s="4" t="s">
        <v>6084</v>
      </c>
      <c r="C4841" s="5" t="str">
        <f>IFERROR(__xludf.DUMMYFUNCTION("GOOGLETRANSLATE(B4841,""en"",""fr"")"),"Il soulève l'haltère jusqu'à sa poitrine.")</f>
        <v>Il soulève l'haltère jusqu'à sa poitrine.</v>
      </c>
    </row>
    <row r="4842">
      <c r="A4842" s="4" t="s">
        <v>6082</v>
      </c>
      <c r="B4842" s="4" t="s">
        <v>6085</v>
      </c>
      <c r="C4842" s="5" t="str">
        <f>IFERROR(__xludf.DUMMYFUNCTION("GOOGLETRANSLATE(B4842,""en"",""fr"")"),"Il le soulève ensuite au-dessus de sa tête avant de le laisser tomber au sol.")</f>
        <v>Il le soulève ensuite au-dessus de sa tête avant de le laisser tomber au sol.</v>
      </c>
    </row>
    <row r="4843">
      <c r="A4843" s="4" t="s">
        <v>6086</v>
      </c>
      <c r="B4843" s="4" t="s">
        <v>6087</v>
      </c>
      <c r="C4843" s="5" t="str">
        <f>IFERROR(__xludf.DUMMYFUNCTION("GOOGLETRANSLATE(B4843,""en"",""fr"")"),"Un groupe est vu jouer plusieurs instruments sur une scène tandis que les gens dansent autour d'eux.")</f>
        <v>Un groupe est vu jouer plusieurs instruments sur une scène tandis que les gens dansent autour d'eux.</v>
      </c>
    </row>
    <row r="4844">
      <c r="A4844" s="4" t="s">
        <v>6086</v>
      </c>
      <c r="B4844" s="4" t="s">
        <v>6088</v>
      </c>
      <c r="C4844" s="5" t="str">
        <f>IFERROR(__xludf.DUMMYFUNCTION("GOOGLETRANSLATE(B4844,""en"",""fr"")"),"Le groupe continue de jouer pendant que les lumières clignotent tout autour et les gens continuent de danser.")</f>
        <v>Le groupe continue de jouer pendant que les lumières clignotent tout autour et les gens continuent de danser.</v>
      </c>
    </row>
    <row r="4845">
      <c r="A4845" s="4" t="s">
        <v>6089</v>
      </c>
      <c r="B4845" s="4" t="s">
        <v>6090</v>
      </c>
      <c r="C4845" s="5" t="str">
        <f>IFERROR(__xludf.DUMMYFUNCTION("GOOGLETRANSLATE(B4845,""en"",""fr"")"),"Un ciel d'escalier en bois en bois est illustré à l'extérieur d'un cheval blanc et brun.")</f>
        <v>Un ciel d'escalier en bois en bois est illustré à l'extérieur d'un cheval blanc et brun.</v>
      </c>
    </row>
    <row r="4846">
      <c r="A4846" s="4" t="s">
        <v>6089</v>
      </c>
      <c r="B4846" s="6" t="s">
        <v>6091</v>
      </c>
      <c r="C4846" s="5" t="str">
        <f>IFERROR(__xludf.DUMMYFUNCTION("GOOGLETRANSLATE(B4846,""en"",""fr"")"),"Tout d'un coup, un chien noir vient au coin de la rue et parcourt les escaliers et plusieurs rediffusions sont montrées.")</f>
        <v>Tout d'un coup, un chien noir vient au coin de la rue et parcourt les escaliers et plusieurs rediffusions sont montrées.</v>
      </c>
    </row>
    <row r="4847">
      <c r="A4847" s="4" t="s">
        <v>6089</v>
      </c>
      <c r="B4847" s="4" t="s">
        <v>6092</v>
      </c>
      <c r="C4847" s="5" t="str">
        <f>IFERROR(__xludf.DUMMYFUNCTION("GOOGLETRANSLATE(B4847,""en"",""fr"")"),"Une fois que le chien arrive au sommet, il commence à lécher la personne derrière la chaussure de la caméra.")</f>
        <v>Une fois que le chien arrive au sommet, il commence à lécher la personne derrière la chaussure de la caméra.</v>
      </c>
    </row>
    <row r="4848">
      <c r="A4848" s="4" t="s">
        <v>6093</v>
      </c>
      <c r="B4848" s="4" t="s">
        <v>6094</v>
      </c>
      <c r="C4848" s="5" t="str">
        <f>IFERROR(__xludf.DUMMYFUNCTION("GOOGLETRANSLATE(B4848,""en"",""fr"")"),"Une personne est vue debout sur une planche de réveil, souligne et se déplacer.")</f>
        <v>Une personne est vue debout sur une planche de réveil, souligne et se déplacer.</v>
      </c>
    </row>
    <row r="4849">
      <c r="A4849" s="4" t="s">
        <v>6093</v>
      </c>
      <c r="B4849" s="4" t="s">
        <v>6095</v>
      </c>
      <c r="C4849" s="5" t="str">
        <f>IFERROR(__xludf.DUMMYFUNCTION("GOOGLETRANSLATE(B4849,""en"",""fr"")"),"La caméra le suit glisser dans l'eau qui va progressivement en allant de plus en plus.")</f>
        <v>La caméra le suit glisser dans l'eau qui va progressivement en allant de plus en plus.</v>
      </c>
    </row>
    <row r="4850">
      <c r="A4850" s="4" t="s">
        <v>6096</v>
      </c>
      <c r="B4850" s="4" t="s">
        <v>6097</v>
      </c>
      <c r="C4850" s="5" t="str">
        <f>IFERROR(__xludf.DUMMYFUNCTION("GOOGLETRANSLATE(B4850,""en"",""fr"")"),"Nous voyons un écran d'ouverture noir.")</f>
        <v>Nous voyons un écran d'ouverture noir.</v>
      </c>
    </row>
    <row r="4851">
      <c r="A4851" s="4" t="s">
        <v>6096</v>
      </c>
      <c r="B4851" s="4" t="s">
        <v>6098</v>
      </c>
      <c r="C4851" s="5" t="str">
        <f>IFERROR(__xludf.DUMMYFUNCTION("GOOGLETRANSLATE(B4851,""en"",""fr"")"),"Nous voyons une piste bleue avec des gens qui courent dessus.")</f>
        <v>Nous voyons une piste bleue avec des gens qui courent dessus.</v>
      </c>
    </row>
    <row r="4852">
      <c r="A4852" s="4" t="s">
        <v>6096</v>
      </c>
      <c r="B4852" s="4" t="s">
        <v>6099</v>
      </c>
      <c r="C4852" s="5" t="str">
        <f>IFERROR(__xludf.DUMMYFUNCTION("GOOGLETRANSLATE(B4852,""en"",""fr"")"),"Nous voyons ensuite un homme faire un saut en hauteur à 5'9 "".")</f>
        <v>Nous voyons ensuite un homme faire un saut en hauteur à 5'9 ".</v>
      </c>
    </row>
    <row r="4853">
      <c r="A4853" s="4" t="s">
        <v>6096</v>
      </c>
      <c r="B4853" s="4" t="s">
        <v>6100</v>
      </c>
      <c r="C4853" s="5" t="str">
        <f>IFERROR(__xludf.DUMMYFUNCTION("GOOGLETRANSLATE(B4853,""en"",""fr"")"),"Nous voyons ensuite l'homme sauter à 6 '.")</f>
        <v>Nous voyons ensuite l'homme sauter à 6 '.</v>
      </c>
    </row>
    <row r="4854">
      <c r="A4854" s="4" t="s">
        <v>6096</v>
      </c>
      <c r="B4854" s="4" t="s">
        <v>6101</v>
      </c>
      <c r="C4854" s="5" t="str">
        <f>IFERROR(__xludf.DUMMYFUNCTION("GOOGLETRANSLATE(B4854,""en"",""fr"")"),"Nous voyons ensuite l'homme sauter à 6'2 ""et il renverse le poteau.")</f>
        <v>Nous voyons ensuite l'homme sauter à 6'2 "et il renverse le poteau.</v>
      </c>
    </row>
    <row r="4855">
      <c r="A4855" s="4" t="s">
        <v>6096</v>
      </c>
      <c r="B4855" s="4" t="s">
        <v>6102</v>
      </c>
      <c r="C4855" s="5" t="str">
        <f>IFERROR(__xludf.DUMMYFUNCTION("GOOGLETRANSLATE(B4855,""en"",""fr"")"),"Nous le voyons essayer à nouveau 6'2 ""et ne pas frapper le poteau.")</f>
        <v>Nous le voyons essayer à nouveau 6'2 "et ne pas frapper le poteau.</v>
      </c>
    </row>
    <row r="4856">
      <c r="A4856" s="4" t="s">
        <v>6096</v>
      </c>
      <c r="B4856" s="4" t="s">
        <v>6103</v>
      </c>
      <c r="C4856" s="5" t="str">
        <f>IFERROR(__xludf.DUMMYFUNCTION("GOOGLETRANSLATE(B4856,""en"",""fr"")"),"L'homme se dirige vers la caméra et l'éteint.")</f>
        <v>L'homme se dirige vers la caméra et l'éteint.</v>
      </c>
    </row>
    <row r="4857">
      <c r="A4857" s="4" t="s">
        <v>6104</v>
      </c>
      <c r="B4857" s="4" t="s">
        <v>6105</v>
      </c>
      <c r="C4857" s="5" t="str">
        <f>IFERROR(__xludf.DUMMYFUNCTION("GOOGLETRANSLATE(B4857,""en"",""fr"")"),"Un petit garçon tient un pinceau dans la cour.")</f>
        <v>Un petit garçon tient un pinceau dans la cour.</v>
      </c>
    </row>
    <row r="4858">
      <c r="A4858" s="4" t="s">
        <v>6104</v>
      </c>
      <c r="B4858" s="4" t="s">
        <v>6106</v>
      </c>
      <c r="C4858" s="5" t="str">
        <f>IFERROR(__xludf.DUMMYFUNCTION("GOOGLETRANSLATE(B4858,""en"",""fr"")"),"Il fait glisser une brosse recouverte d'eau sur la clôture.")</f>
        <v>Il fait glisser une brosse recouverte d'eau sur la clôture.</v>
      </c>
    </row>
    <row r="4859">
      <c r="A4859" s="4" t="s">
        <v>6104</v>
      </c>
      <c r="B4859" s="4" t="s">
        <v>6107</v>
      </c>
      <c r="C4859" s="5" t="str">
        <f>IFERROR(__xludf.DUMMYFUNCTION("GOOGLETRANSLATE(B4859,""en"",""fr"")"),"Il le plonge dans le seau, continuant à faire semblant de peindre.")</f>
        <v>Il le plonge dans le seau, continuant à faire semblant de peindre.</v>
      </c>
    </row>
    <row r="4860">
      <c r="A4860" s="4" t="s">
        <v>6108</v>
      </c>
      <c r="B4860" s="4" t="s">
        <v>6109</v>
      </c>
      <c r="C4860" s="5" t="str">
        <f>IFERROR(__xludf.DUMMYFUNCTION("GOOGLETRANSLATE(B4860,""en"",""fr"")"),"Un homme lave une voiture avec une brosse, tandis que trois personnes rincent la voiture avec des tuyaux.")</f>
        <v>Un homme lave une voiture avec une brosse, tandis que trois personnes rincent la voiture avec des tuyaux.</v>
      </c>
    </row>
    <row r="4861">
      <c r="A4861" s="4" t="s">
        <v>6108</v>
      </c>
      <c r="B4861" s="4" t="s">
        <v>6110</v>
      </c>
      <c r="C4861" s="5" t="str">
        <f>IFERROR(__xludf.DUMMYFUNCTION("GOOGLETRANSLATE(B4861,""en"",""fr"")"),"Un homme pulvérise le détergent sur une voiture.")</f>
        <v>Un homme pulvérise le détergent sur une voiture.</v>
      </c>
    </row>
    <row r="4862">
      <c r="A4862" s="4" t="s">
        <v>6108</v>
      </c>
      <c r="B4862" s="6" t="s">
        <v>6111</v>
      </c>
      <c r="C4862" s="5" t="str">
        <f>IFERROR(__xludf.DUMMYFUNCTION("GOOGLETRANSLATE(B4862,""en"",""fr"")"),"Une personne qui porte un t-shirt rouge pulvérise le détergent sur une voiture, puis deux hommes rincent la voiture avec des tuyaux, tandis que d'autres voitures sont recouvertes de détergent blanc.")</f>
        <v>Une personne qui porte un t-shirt rouge pulvérise le détergent sur une voiture, puis deux hommes rincent la voiture avec des tuyaux, tandis que d'autres voitures sont recouvertes de détergent blanc.</v>
      </c>
    </row>
    <row r="4863">
      <c r="A4863" s="4" t="s">
        <v>6112</v>
      </c>
      <c r="B4863" s="4" t="s">
        <v>6113</v>
      </c>
      <c r="C4863" s="5" t="str">
        <f>IFERROR(__xludf.DUMMYFUNCTION("GOOGLETRANSLATE(B4863,""en"",""fr"")"),"Un jeune enfant est vu debout devant un tapis regardant vers le bas.")</f>
        <v>Un jeune enfant est vu debout devant un tapis regardant vers le bas.</v>
      </c>
    </row>
    <row r="4864">
      <c r="A4864" s="4" t="s">
        <v>6112</v>
      </c>
      <c r="B4864" s="4" t="s">
        <v>6114</v>
      </c>
      <c r="C4864" s="5" t="str">
        <f>IFERROR(__xludf.DUMMYFUNCTION("GOOGLETRANSLATE(B4864,""en"",""fr"")"),"Elle commence ensuite à marcher le long du tapis jusqu'à la fin.")</f>
        <v>Elle commence ensuite à marcher le long du tapis jusqu'à la fin.</v>
      </c>
    </row>
    <row r="4865">
      <c r="A4865" s="4" t="s">
        <v>6112</v>
      </c>
      <c r="B4865" s="4" t="s">
        <v>6115</v>
      </c>
      <c r="C4865" s="5" t="str">
        <f>IFERROR(__xludf.DUMMYFUNCTION("GOOGLETRANSLATE(B4865,""en"",""fr"")"),"Elle revient à nouveau et quatrième tout en regardant la caméra.")</f>
        <v>Elle revient à nouveau et quatrième tout en regardant la caméra.</v>
      </c>
    </row>
    <row r="4866">
      <c r="A4866" s="4" t="s">
        <v>6116</v>
      </c>
      <c r="B4866" s="6" t="s">
        <v>6117</v>
      </c>
      <c r="C4866" s="5" t="str">
        <f>IFERROR(__xludf.DUMMYFUNCTION("GOOGLETRANSLATE(B4866,""en"",""fr"")"),"Un homme est vu parler à la caméra à côté d'un cheval et mène à des clips de lui sur le cheval et des gros plans d'autres chevaux.")</f>
        <v>Un homme est vu parler à la caméra à côté d'un cheval et mène à des clips de lui sur le cheval et des gros plans d'autres chevaux.</v>
      </c>
    </row>
    <row r="4867">
      <c r="A4867" s="4" t="s">
        <v>6116</v>
      </c>
      <c r="B4867" s="6" t="s">
        <v>6118</v>
      </c>
      <c r="C4867" s="5" t="str">
        <f>IFERROR(__xludf.DUMMYFUNCTION("GOOGLETRANSLATE(B4867,""en"",""fr"")"),"L'hôte parle à un autre homme tandis que davantage de coups de chevaux sont montrés ainsi qu'un homme frappant une balle.")</f>
        <v>L'hôte parle à un autre homme tandis que davantage de coups de chevaux sont montrés ainsi qu'un homme frappant une balle.</v>
      </c>
    </row>
    <row r="4868">
      <c r="A4868" s="4" t="s">
        <v>6116</v>
      </c>
      <c r="B4868" s="4" t="s">
        <v>6119</v>
      </c>
      <c r="C4868" s="5" t="str">
        <f>IFERROR(__xludf.DUMMYFUNCTION("GOOGLETRANSLATE(B4868,""en"",""fr"")"),"Les hommes montent ensuite sur des chevaux et apprennent à pratiquer un sport et se termine avec l'hôte parlant en uniforme.")</f>
        <v>Les hommes montent ensuite sur des chevaux et apprennent à pratiquer un sport et se termine avec l'hôte parlant en uniforme.</v>
      </c>
    </row>
    <row r="4869">
      <c r="A4869" s="4" t="s">
        <v>6120</v>
      </c>
      <c r="B4869" s="4" t="s">
        <v>1251</v>
      </c>
      <c r="C4869" s="5" t="str">
        <f>IFERROR(__xludf.DUMMYFUNCTION("GOOGLETRANSLATE(B4869,""en"",""fr"")"),"Les crédits du clip sont affichés.")</f>
        <v>Les crédits du clip sont affichés.</v>
      </c>
    </row>
    <row r="4870">
      <c r="A4870" s="4" t="s">
        <v>6120</v>
      </c>
      <c r="B4870" s="4" t="s">
        <v>6121</v>
      </c>
      <c r="C4870" s="5" t="str">
        <f>IFERROR(__xludf.DUMMYFUNCTION("GOOGLETRANSLATE(B4870,""en"",""fr"")"),"Un gars fait du vélo d'exercice.")</f>
        <v>Un gars fait du vélo d'exercice.</v>
      </c>
    </row>
    <row r="4871">
      <c r="A4871" s="4" t="s">
        <v>6120</v>
      </c>
      <c r="B4871" s="4" t="s">
        <v>6122</v>
      </c>
      <c r="C4871" s="5" t="str">
        <f>IFERROR(__xludf.DUMMYFUNCTION("GOOGLETRANSLATE(B4871,""en"",""fr"")"),"Le gars ajuste le siège du vélo d'exercice.")</f>
        <v>Le gars ajuste le siège du vélo d'exercice.</v>
      </c>
    </row>
    <row r="4872">
      <c r="A4872" s="4" t="s">
        <v>6120</v>
      </c>
      <c r="B4872" s="4" t="s">
        <v>573</v>
      </c>
      <c r="C4872" s="5" t="str">
        <f>IFERROR(__xludf.DUMMYFUNCTION("GOOGLETRANSLATE(B4872,""en"",""fr"")"),"Les crédits de la vidéo sont affichés.")</f>
        <v>Les crédits de la vidéo sont affichés.</v>
      </c>
    </row>
    <row r="4873">
      <c r="A4873" s="4" t="s">
        <v>6123</v>
      </c>
      <c r="B4873" s="4" t="s">
        <v>6124</v>
      </c>
      <c r="C4873" s="5" t="str">
        <f>IFERROR(__xludf.DUMMYFUNCTION("GOOGLETRANSLATE(B4873,""en"",""fr"")"),"Une femme est assise à un bureau.")</f>
        <v>Une femme est assise à un bureau.</v>
      </c>
    </row>
    <row r="4874">
      <c r="A4874" s="4" t="s">
        <v>6123</v>
      </c>
      <c r="B4874" s="4" t="s">
        <v>6125</v>
      </c>
      <c r="C4874" s="5" t="str">
        <f>IFERROR(__xludf.DUMMYFUNCTION("GOOGLETRANSLATE(B4874,""en"",""fr"")"),"Un homme assis devant elle joue un harmonica.")</f>
        <v>Un homme assis devant elle joue un harmonica.</v>
      </c>
    </row>
    <row r="4875">
      <c r="A4875" s="4" t="s">
        <v>6123</v>
      </c>
      <c r="B4875" s="4" t="s">
        <v>6126</v>
      </c>
      <c r="C4875" s="5" t="str">
        <f>IFERROR(__xludf.DUMMYFUNCTION("GOOGLETRANSLATE(B4875,""en"",""fr"")"),"La femme joue avec ses cheveux.")</f>
        <v>La femme joue avec ses cheveux.</v>
      </c>
    </row>
    <row r="4876">
      <c r="A4876" s="4" t="s">
        <v>6127</v>
      </c>
      <c r="B4876" s="6" t="s">
        <v>6128</v>
      </c>
      <c r="C4876" s="5" t="str">
        <f>IFERROR(__xludf.DUMMYFUNCTION("GOOGLETRANSLATE(B4876,""en"",""fr"")"),"Un éventail d'outils de chaussures brillants est montré, y compris différents types et couleurs de cirage de chaussures, un chiffon de polissage et une chaussure brillante noire.")</f>
        <v>Un éventail d'outils de chaussures brillants est montré, y compris différents types et couleurs de cirage de chaussures, un chiffon de polissage et une chaussure brillante noire.</v>
      </c>
    </row>
    <row r="4877">
      <c r="A4877" s="4" t="s">
        <v>6127</v>
      </c>
      <c r="B4877" s="6" t="s">
        <v>6129</v>
      </c>
      <c r="C4877" s="5" t="str">
        <f>IFERROR(__xludf.DUMMYFUNCTION("GOOGLETRANSLATE(B4877,""en"",""fr"")"),"Un groupe d'étudiants adultes est assis dans une salle de style en classe et regarde vers l'avant de la classe comme s'ils assistaient à une classe et écoutent intensément.")</f>
        <v>Un groupe d'étudiants adultes est assis dans une salle de style en classe et regarde vers l'avant de la classe comme s'ils assistaient à une classe et écoutent intensément.</v>
      </c>
    </row>
    <row r="4878">
      <c r="A4878" s="4" t="s">
        <v>6127</v>
      </c>
      <c r="B4878" s="6" t="s">
        <v>6130</v>
      </c>
      <c r="C4878" s="5" t="str">
        <f>IFERROR(__xludf.DUMMYFUNCTION("GOOGLETRANSLATE(B4878,""en"",""fr"")"),"Une démonstration de Shoe Shine a lieu avec un homme à genoux devant un groupe d'étudiants et en utilisant un échantillon de chaussure à titre d'exemple.")</f>
        <v>Une démonstration de Shoe Shine a lieu avec un homme à genoux devant un groupe d'étudiants et en utilisant un échantillon de chaussure à titre d'exemple.</v>
      </c>
    </row>
    <row r="4879">
      <c r="A4879" s="4" t="s">
        <v>6127</v>
      </c>
      <c r="B4879" s="6" t="s">
        <v>6131</v>
      </c>
      <c r="C4879" s="5" t="str">
        <f>IFERROR(__xludf.DUMMYFUNCTION("GOOGLETRANSLATE(B4879,""en"",""fr"")"),"Plusieurs personnes dans des tabliers, puis s'agenouillent devant les gens qui portent des chaussures et brillent les chaussures des gens sur des seaux rouges avec des vêtements de polissage et du vernis.")</f>
        <v>Plusieurs personnes dans des tabliers, puis s'agenouillent devant les gens qui portent des chaussures et brillent les chaussures des gens sur des seaux rouges avec des vêtements de polissage et du vernis.</v>
      </c>
    </row>
    <row r="4880">
      <c r="A4880" s="4" t="s">
        <v>6127</v>
      </c>
      <c r="B4880" s="4" t="s">
        <v>6132</v>
      </c>
      <c r="C4880" s="5" t="str">
        <f>IFERROR(__xludf.DUMMYFUNCTION("GOOGLETRANSLATE(B4880,""en"",""fr"")"),"Les chaussures Shiners se tiennent ensuite à l'unisson, avec leurs tabliers, et s'inclinent et serrent la main.")</f>
        <v>Les chaussures Shiners se tiennent ensuite à l'unisson, avec leurs tabliers, et s'inclinent et serrent la main.</v>
      </c>
    </row>
    <row r="4881">
      <c r="A4881" s="4" t="s">
        <v>6133</v>
      </c>
      <c r="B4881" s="4" t="s">
        <v>6134</v>
      </c>
      <c r="C4881" s="5" t="str">
        <f>IFERROR(__xludf.DUMMYFUNCTION("GOOGLETRANSLATE(B4881,""en"",""fr"")"),"Un homme soulève un poids très lourd au-dessus de sa tête et le laisse tomber.")</f>
        <v>Un homme soulève un poids très lourd au-dessus de sa tête et le laisse tomber.</v>
      </c>
    </row>
    <row r="4882">
      <c r="A4882" s="4" t="s">
        <v>6133</v>
      </c>
      <c r="B4882" s="4" t="s">
        <v>6135</v>
      </c>
      <c r="C4882" s="5" t="str">
        <f>IFERROR(__xludf.DUMMYFUNCTION("GOOGLETRANSLATE(B4882,""en"",""fr"")"),"Il le fait plusieurs fois pour la répétition, c'est une routine d'entraînement.")</f>
        <v>Il le fait plusieurs fois pour la répétition, c'est une routine d'entraînement.</v>
      </c>
    </row>
    <row r="4883">
      <c r="A4883" s="4" t="s">
        <v>6133</v>
      </c>
      <c r="B4883" s="4" t="s">
        <v>6136</v>
      </c>
      <c r="C4883" s="5" t="str">
        <f>IFERROR(__xludf.DUMMYFUNCTION("GOOGLETRANSLATE(B4883,""en"",""fr"")"),"Il s'éloigne ensuite en prenant une pause un peu et passe par des gens assis et discutant.")</f>
        <v>Il s'éloigne ensuite en prenant une pause un peu et passe par des gens assis et discutant.</v>
      </c>
    </row>
    <row r="4884">
      <c r="A4884" s="4" t="s">
        <v>6133</v>
      </c>
      <c r="B4884" s="4" t="s">
        <v>6137</v>
      </c>
      <c r="C4884" s="5" t="str">
        <f>IFERROR(__xludf.DUMMYFUNCTION("GOOGLETRANSLATE(B4884,""en"",""fr"")"),"Une fois qu'il a fini avec sa pause, il continue de revenir à sa routine.")</f>
        <v>Une fois qu'il a fini avec sa pause, il continue de revenir à sa routine.</v>
      </c>
    </row>
    <row r="4885">
      <c r="A4885" s="4" t="s">
        <v>6138</v>
      </c>
      <c r="B4885" s="4" t="s">
        <v>6139</v>
      </c>
      <c r="C4885" s="5" t="str">
        <f>IFERROR(__xludf.DUMMYFUNCTION("GOOGLETRANSLATE(B4885,""en"",""fr"")"),"Deux lutteurs de Sumo sont en intérieur se battant alors que l'arbitre se déplace autour d'eux.")</f>
        <v>Deux lutteurs de Sumo sont en intérieur se battant alors que l'arbitre se déplace autour d'eux.</v>
      </c>
    </row>
    <row r="4886">
      <c r="A4886" s="4" t="s">
        <v>6138</v>
      </c>
      <c r="B4886" s="4" t="s">
        <v>6140</v>
      </c>
      <c r="C4886" s="5" t="str">
        <f>IFERROR(__xludf.DUMMYFUNCTION("GOOGLETRANSLATE(B4886,""en"",""fr"")"),"Une personne est ensuite jetée du tapis et un autre ensemble de personnes est montré.")</f>
        <v>Une personne est ensuite jetée du tapis et un autre ensemble de personnes est montré.</v>
      </c>
    </row>
    <row r="4887">
      <c r="A4887" s="4" t="s">
        <v>6138</v>
      </c>
      <c r="B4887" s="4" t="s">
        <v>6141</v>
      </c>
      <c r="C4887" s="5" t="str">
        <f>IFERROR(__xludf.DUMMYFUNCTION("GOOGLETRANSLATE(B4887,""en"",""fr"")"),"Le plus petit des deux retourne ensuite le grand gars de l'air, puis le match est terminé.")</f>
        <v>Le plus petit des deux retourne ensuite le grand gars de l'air, puis le match est terminé.</v>
      </c>
    </row>
    <row r="4888">
      <c r="A4888" s="4" t="s">
        <v>6138</v>
      </c>
      <c r="B4888" s="6" t="s">
        <v>6142</v>
      </c>
      <c r="C4888" s="5" t="str">
        <f>IFERROR(__xludf.DUMMYFUNCTION("GOOGLETRANSLATE(B4888,""en"",""fr"")"),"La séquence se poursuit et plusieurs autres hommes sont montrés se battant les uns les autres et se donnent mutuellement des mariages.")</f>
        <v>La séquence se poursuit et plusieurs autres hommes sont montrés se battant les uns les autres et se donnent mutuellement des mariages.</v>
      </c>
    </row>
    <row r="4889">
      <c r="A4889" s="4" t="s">
        <v>6138</v>
      </c>
      <c r="B4889" s="6" t="s">
        <v>6143</v>
      </c>
      <c r="C4889" s="5" t="str">
        <f>IFERROR(__xludf.DUMMYFUNCTION("GOOGLETRANSLATE(B4889,""en"",""fr"")"),"Une fois le match terminé, deux hommes sont montrés assis à un bureau avec un numéro de téléphone sur une planche blanche.")</f>
        <v>Une fois le match terminé, deux hommes sont montrés assis à un bureau avec un numéro de téléphone sur une planche blanche.</v>
      </c>
    </row>
    <row r="4890">
      <c r="A4890" s="4" t="s">
        <v>6144</v>
      </c>
      <c r="B4890" s="4" t="s">
        <v>6145</v>
      </c>
      <c r="C4890" s="5" t="str">
        <f>IFERROR(__xludf.DUMMYFUNCTION("GOOGLETRANSLATE(B4890,""en"",""fr"")"),"Un homme se lave les mains dans l'évier.")</f>
        <v>Un homme se lave les mains dans l'évier.</v>
      </c>
    </row>
    <row r="4891">
      <c r="A4891" s="4" t="s">
        <v>6144</v>
      </c>
      <c r="B4891" s="4" t="s">
        <v>6146</v>
      </c>
      <c r="C4891" s="5" t="str">
        <f>IFERROR(__xludf.DUMMYFUNCTION("GOOGLETRANSLATE(B4891,""en"",""fr"")"),"Il prend un chiffon jaune et nettoie l'évier et le robinet.")</f>
        <v>Il prend un chiffon jaune et nettoie l'évier et le robinet.</v>
      </c>
    </row>
    <row r="4892">
      <c r="A4892" s="4" t="s">
        <v>6144</v>
      </c>
      <c r="B4892" s="4" t="s">
        <v>6147</v>
      </c>
      <c r="C4892" s="5" t="str">
        <f>IFERROR(__xludf.DUMMYFUNCTION("GOOGLETRANSLATE(B4892,""en"",""fr"")"),"Une bouteille blanche de nettoyage est montrée.")</f>
        <v>Une bouteille blanche de nettoyage est montrée.</v>
      </c>
    </row>
    <row r="4893">
      <c r="A4893" s="4" t="s">
        <v>6148</v>
      </c>
      <c r="B4893" s="4" t="s">
        <v>6149</v>
      </c>
      <c r="C4893" s="5" t="str">
        <f>IFERROR(__xludf.DUMMYFUNCTION("GOOGLETRANSLATE(B4893,""en"",""fr"")"),"Une fille portant un bikini sur la plage est montrée en faisant plusieurs s'assoit sur une balle et fixant ses cheveux.")</f>
        <v>Une fille portant un bikini sur la plage est montrée en faisant plusieurs s'assoit sur une balle et fixant ses cheveux.</v>
      </c>
    </row>
    <row r="4894">
      <c r="A4894" s="4" t="s">
        <v>6148</v>
      </c>
      <c r="B4894" s="4" t="s">
        <v>6150</v>
      </c>
      <c r="C4894" s="5" t="str">
        <f>IFERROR(__xludf.DUMMYFUNCTION("GOOGLETRANSLATE(B4894,""en"",""fr"")"),"Elle continue de faire l'exercice tout en souriant à la caméra.")</f>
        <v>Elle continue de faire l'exercice tout en souriant à la caméra.</v>
      </c>
    </row>
    <row r="4895">
      <c r="A4895" s="4" t="s">
        <v>6151</v>
      </c>
      <c r="B4895" s="4" t="s">
        <v>6152</v>
      </c>
      <c r="C4895" s="5" t="str">
        <f>IFERROR(__xludf.DUMMYFUNCTION("GOOGLETRANSLATE(B4895,""en"",""fr"")"),"Un homme prend une pesée sur le dos, puis il s'agenouille sur le sol.")</f>
        <v>Un homme prend une pesée sur le dos, puis il s'agenouille sur le sol.</v>
      </c>
    </row>
    <row r="4896">
      <c r="A4896" s="4" t="s">
        <v>6151</v>
      </c>
      <c r="B4896" s="4" t="s">
        <v>6153</v>
      </c>
      <c r="C4896" s="5" t="str">
        <f>IFERROR(__xludf.DUMMYFUNCTION("GOOGLETRANSLATE(B4896,""en"",""fr"")"),"Après, il saute du sol pour se tenir debout pendant que la pesée est sur le dos.")</f>
        <v>Après, il saute du sol pour se tenir debout pendant que la pesée est sur le dos.</v>
      </c>
    </row>
    <row r="4897">
      <c r="A4897" s="4" t="s">
        <v>6154</v>
      </c>
      <c r="B4897" s="4" t="s">
        <v>6155</v>
      </c>
      <c r="C4897" s="5" t="str">
        <f>IFERROR(__xludf.DUMMYFUNCTION("GOOGLETRANSLATE(B4897,""en"",""fr"")"),"Une femme montre comment envelopper correctement un cadeau derrière le comptoir d'une boutique de cadeaux.")</f>
        <v>Une femme montre comment envelopper correctement un cadeau derrière le comptoir d'une boutique de cadeaux.</v>
      </c>
    </row>
    <row r="4898">
      <c r="A4898" s="4" t="s">
        <v>6154</v>
      </c>
      <c r="B4898" s="6" t="s">
        <v>6156</v>
      </c>
      <c r="C4898" s="5" t="str">
        <f>IFERROR(__xludf.DUMMYFUNCTION("GOOGLETRANSLATE(B4898,""en"",""fr"")"),"Une femme se tient derrière un comptoir de vente devant plusieurs cadeaux enveloppés et matériaux d'emballage des cadeaux.")</f>
        <v>Une femme se tient derrière un comptoir de vente devant plusieurs cadeaux enveloppés et matériaux d'emballage des cadeaux.</v>
      </c>
    </row>
    <row r="4899">
      <c r="A4899" s="4" t="s">
        <v>6154</v>
      </c>
      <c r="B4899" s="4" t="s">
        <v>6157</v>
      </c>
      <c r="C4899" s="5" t="str">
        <f>IFERROR(__xludf.DUMMYFUNCTION("GOOGLETRANSLATE(B4899,""en"",""fr"")"),"Les matériaux d'emballage cadeaux sont affichés sur le comptoir, y compris la pellicule cadeau, les ciseaux et le ruban.")</f>
        <v>Les matériaux d'emballage cadeaux sont affichés sur le comptoir, y compris la pellicule cadeau, les ciseaux et le ruban.</v>
      </c>
    </row>
    <row r="4900">
      <c r="A4900" s="4" t="s">
        <v>6154</v>
      </c>
      <c r="B4900" s="6" t="s">
        <v>6158</v>
      </c>
      <c r="C4900" s="5" t="str">
        <f>IFERROR(__xludf.DUMMYFUNCTION("GOOGLETRANSLATE(B4900,""en"",""fr"")"),"La femme parle à l'appareil photo et commence à envelopper la boîte dans du papier d'emballage cadeau en utilisant une paire de ciseaux pour couper le papier d'emballage cadeau et effacer du ruban adhésif pour bande les bords du papier d'emballage.")</f>
        <v>La femme parle à l'appareil photo et commence à envelopper la boîte dans du papier d'emballage cadeau en utilisant une paire de ciseaux pour couper le papier d'emballage cadeau et effacer du ruban adhésif pour bande les bords du papier d'emballage.</v>
      </c>
    </row>
    <row r="4901">
      <c r="A4901" s="4" t="s">
        <v>6154</v>
      </c>
      <c r="B4901" s="6" t="s">
        <v>6159</v>
      </c>
      <c r="C4901" s="5" t="str">
        <f>IFERROR(__xludf.DUMMYFUNCTION("GOOGLETRANSLATE(B4901,""en"",""fr"")"),"La femme enveloppe ensuite le cadeau avec le ruban final et la caméra se ferme sur les finitions, enveloppées, le produit.")</f>
        <v>La femme enveloppe ensuite le cadeau avec le ruban final et la caméra se ferme sur les finitions, enveloppées, le produit.</v>
      </c>
    </row>
    <row r="4902">
      <c r="A4902" s="4" t="s">
        <v>6160</v>
      </c>
      <c r="B4902" s="4" t="s">
        <v>6161</v>
      </c>
      <c r="C4902" s="5" t="str">
        <f>IFERROR(__xludf.DUMMYFUNCTION("GOOGLETRANSLATE(B4902,""en"",""fr"")"),"Un homme lourd dans une chemise bleue joue les tuyaux de sac.")</f>
        <v>Un homme lourd dans une chemise bleue joue les tuyaux de sac.</v>
      </c>
    </row>
    <row r="4903">
      <c r="A4903" s="4" t="s">
        <v>6160</v>
      </c>
      <c r="B4903" s="4" t="s">
        <v>6162</v>
      </c>
      <c r="C4903" s="5" t="str">
        <f>IFERROR(__xludf.DUMMYFUNCTION("GOOGLETRANSLATE(B4903,""en"",""fr"")"),"Il souffle dans la pipe tout en faisant les notes avec ses doigts.")</f>
        <v>Il souffle dans la pipe tout en faisant les notes avec ses doigts.</v>
      </c>
    </row>
    <row r="4904">
      <c r="A4904" s="4" t="s">
        <v>6160</v>
      </c>
      <c r="B4904" s="4" t="s">
        <v>6163</v>
      </c>
      <c r="C4904" s="5" t="str">
        <f>IFERROR(__xludf.DUMMYFUNCTION("GOOGLETRANSLATE(B4904,""en"",""fr"")"),"Il danse légèrement pendant qu'il joue.")</f>
        <v>Il danse légèrement pendant qu'il joue.</v>
      </c>
    </row>
    <row r="4905">
      <c r="A4905" s="4" t="s">
        <v>6160</v>
      </c>
      <c r="B4905" s="4" t="s">
        <v>6164</v>
      </c>
      <c r="C4905" s="5" t="str">
        <f>IFERROR(__xludf.DUMMYFUNCTION("GOOGLETRANSLATE(B4905,""en"",""fr"")"),"Il ajuste le tuyau du sac et continue de jouer.")</f>
        <v>Il ajuste le tuyau du sac et continue de jouer.</v>
      </c>
    </row>
    <row r="4906">
      <c r="A4906" s="4" t="s">
        <v>6160</v>
      </c>
      <c r="B4906" s="4" t="s">
        <v>6165</v>
      </c>
      <c r="C4906" s="5" t="str">
        <f>IFERROR(__xludf.DUMMYFUNCTION("GOOGLETRANSLATE(B4906,""en"",""fr"")"),"Il termine sa chanson et arrive pour éteindre la caméra.")</f>
        <v>Il termine sa chanson et arrive pour éteindre la caméra.</v>
      </c>
    </row>
    <row r="4907">
      <c r="A4907" s="4" t="s">
        <v>6166</v>
      </c>
      <c r="B4907" s="4" t="s">
        <v>6167</v>
      </c>
      <c r="C4907" s="5" t="str">
        <f>IFERROR(__xludf.DUMMYFUNCTION("GOOGLETRANSLATE(B4907,""en"",""fr"")"),"Un homme est assis avec un masque chirurgical.")</f>
        <v>Un homme est assis avec un masque chirurgical.</v>
      </c>
    </row>
    <row r="4908">
      <c r="A4908" s="4" t="s">
        <v>6166</v>
      </c>
      <c r="B4908" s="4" t="s">
        <v>6168</v>
      </c>
      <c r="C4908" s="5" t="str">
        <f>IFERROR(__xludf.DUMMYFUNCTION("GOOGLETRANSLATE(B4908,""en"",""fr"")"),"Il coupe les citrons.")</f>
        <v>Il coupe les citrons.</v>
      </c>
    </row>
    <row r="4909">
      <c r="A4909" s="4" t="s">
        <v>6169</v>
      </c>
      <c r="B4909" s="4" t="s">
        <v>6170</v>
      </c>
      <c r="C4909" s="5" t="str">
        <f>IFERROR(__xludf.DUMMYFUNCTION("GOOGLETRANSLATE(B4909,""en"",""fr"")"),"Le titre et les crédits de la vidéo sont affichés.")</f>
        <v>Le titre et les crédits de la vidéo sont affichés.</v>
      </c>
    </row>
    <row r="4910">
      <c r="A4910" s="4" t="s">
        <v>6169</v>
      </c>
      <c r="B4910" s="4" t="s">
        <v>6171</v>
      </c>
      <c r="C4910" s="5" t="str">
        <f>IFERROR(__xludf.DUMMYFUNCTION("GOOGLETRANSLATE(B4910,""en"",""fr"")"),"Un homme fait un vélo sur un chemin avec des voitures en arrière-plan.")</f>
        <v>Un homme fait un vélo sur un chemin avec des voitures en arrière-plan.</v>
      </c>
    </row>
    <row r="4911">
      <c r="A4911" s="4" t="s">
        <v>6169</v>
      </c>
      <c r="B4911" s="4" t="s">
        <v>6172</v>
      </c>
      <c r="C4911" s="5" t="str">
        <f>IFERROR(__xludf.DUMMYFUNCTION("GOOGLETRANSLATE(B4911,""en"",""fr"")"),"L'homme démonte et répare le vélo.")</f>
        <v>L'homme démonte et répare le vélo.</v>
      </c>
    </row>
    <row r="4912">
      <c r="A4912" s="4" t="s">
        <v>6169</v>
      </c>
      <c r="B4912" s="4" t="s">
        <v>6173</v>
      </c>
      <c r="C4912" s="5" t="str">
        <f>IFERROR(__xludf.DUMMYFUNCTION("GOOGLETRANSLATE(B4912,""en"",""fr"")"),"L'homme conduit le vélo sur un chemin pavé en pierre.")</f>
        <v>L'homme conduit le vélo sur un chemin pavé en pierre.</v>
      </c>
    </row>
    <row r="4913">
      <c r="A4913" s="4" t="s">
        <v>6169</v>
      </c>
      <c r="B4913" s="4" t="s">
        <v>6174</v>
      </c>
      <c r="C4913" s="5" t="str">
        <f>IFERROR(__xludf.DUMMYFUNCTION("GOOGLETRANSLATE(B4913,""en"",""fr"")"),"L'homme fait le vélo sur une route le long des voitures garées.")</f>
        <v>L'homme fait le vélo sur une route le long des voitures garées.</v>
      </c>
    </row>
    <row r="4914">
      <c r="A4914" s="4" t="s">
        <v>6175</v>
      </c>
      <c r="B4914" s="4" t="s">
        <v>6176</v>
      </c>
      <c r="C4914" s="5" t="str">
        <f>IFERROR(__xludf.DUMMYFUNCTION("GOOGLETRANSLATE(B4914,""en"",""fr"")"),"Un homme parle d'un microphone.")</f>
        <v>Un homme parle d'un microphone.</v>
      </c>
    </row>
    <row r="4915">
      <c r="A4915" s="4" t="s">
        <v>6175</v>
      </c>
      <c r="B4915" s="4" t="s">
        <v>6177</v>
      </c>
      <c r="C4915" s="5" t="str">
        <f>IFERROR(__xludf.DUMMYFUNCTION("GOOGLETRANSLATE(B4915,""en"",""fr"")"),"Soudain, un homme saute sur le cou d'une personne et le jette au sol.")</f>
        <v>Soudain, un homme saute sur le cou d'une personne et le jette au sol.</v>
      </c>
    </row>
    <row r="4916">
      <c r="A4916" s="4" t="s">
        <v>6175</v>
      </c>
      <c r="B4916" s="4" t="s">
        <v>6178</v>
      </c>
      <c r="C4916" s="5" t="str">
        <f>IFERROR(__xludf.DUMMYFUNCTION("GOOGLETRANSLATE(B4916,""en"",""fr"")"),"D'autres hommes participent à la lutte et un homme saute et atterrit à la frontière d'un ring de lutte.")</f>
        <v>D'autres hommes participent à la lutte et un homme saute et atterrit à la frontière d'un ring de lutte.</v>
      </c>
    </row>
    <row r="4917">
      <c r="A4917" s="4" t="s">
        <v>6175</v>
      </c>
      <c r="B4917" s="4" t="s">
        <v>6179</v>
      </c>
      <c r="C4917" s="5" t="str">
        <f>IFERROR(__xludf.DUMMYFUNCTION("GOOGLETRANSLATE(B4917,""en"",""fr"")"),"Un lutteur saute sur le dos d'un homme pour rester à l'envers pendant que le juge regarde.")</f>
        <v>Un lutteur saute sur le dos d'un homme pour rester à l'envers pendant que le juge regarde.</v>
      </c>
    </row>
    <row r="4918">
      <c r="A4918" s="4" t="s">
        <v>6175</v>
      </c>
      <c r="B4918" s="4" t="s">
        <v>6180</v>
      </c>
      <c r="C4918" s="5" t="str">
        <f>IFERROR(__xludf.DUMMYFUNCTION("GOOGLETRANSLATE(B4918,""en"",""fr"")"),"Un grand homme frappe un autre lutteur, puis attrape sa tête un jet au sol.")</f>
        <v>Un grand homme frappe un autre lutteur, puis attrape sa tête un jet au sol.</v>
      </c>
    </row>
    <row r="4919">
      <c r="A4919" s="4" t="s">
        <v>6175</v>
      </c>
      <c r="B4919" s="4" t="s">
        <v>6181</v>
      </c>
      <c r="C4919" s="5" t="str">
        <f>IFERROR(__xludf.DUMMYFUNCTION("GOOGLETRANSLATE(B4919,""en"",""fr"")"),"Un enfant et une personne sautent pour célébrer.")</f>
        <v>Un enfant et une personne sautent pour célébrer.</v>
      </c>
    </row>
    <row r="4920">
      <c r="A4920" s="4" t="s">
        <v>6182</v>
      </c>
      <c r="B4920" s="4" t="s">
        <v>6183</v>
      </c>
      <c r="C4920" s="5" t="str">
        <f>IFERROR(__xludf.DUMMYFUNCTION("GOOGLETRANSLATE(B4920,""en"",""fr"")"),"Le papier parchemin est placé sur la plaque à pâtisserie.")</f>
        <v>Le papier parchemin est placé sur la plaque à pâtisserie.</v>
      </c>
    </row>
    <row r="4921">
      <c r="A4921" s="4" t="s">
        <v>6182</v>
      </c>
      <c r="B4921" s="4" t="s">
        <v>6184</v>
      </c>
      <c r="C4921" s="5" t="str">
        <f>IFERROR(__xludf.DUMMYFUNCTION("GOOGLETRANSLATE(B4921,""en"",""fr"")"),"Le beurre ramolli est placé dans un bol à mélanger.")</f>
        <v>Le beurre ramolli est placé dans un bol à mélanger.</v>
      </c>
    </row>
    <row r="4922">
      <c r="A4922" s="4" t="s">
        <v>6182</v>
      </c>
      <c r="B4922" s="4" t="s">
        <v>6185</v>
      </c>
      <c r="C4922" s="5" t="str">
        <f>IFERROR(__xludf.DUMMYFUNCTION("GOOGLETRANSLATE(B4922,""en"",""fr"")"),"Le mélangeur commence alors à crémer le beurre.")</f>
        <v>Le mélangeur commence alors à crémer le beurre.</v>
      </c>
    </row>
    <row r="4923">
      <c r="A4923" s="4" t="s">
        <v>6182</v>
      </c>
      <c r="B4923" s="4" t="s">
        <v>6186</v>
      </c>
      <c r="C4923" s="5" t="str">
        <f>IFERROR(__xludf.DUMMYFUNCTION("GOOGLETRANSLATE(B4923,""en"",""fr"")"),"Le sucre est ajouté au bol à mélanger pour être battu.")</f>
        <v>Le sucre est ajouté au bol à mélanger pour être battu.</v>
      </c>
    </row>
    <row r="4924">
      <c r="A4924" s="4" t="s">
        <v>6182</v>
      </c>
      <c r="B4924" s="4" t="s">
        <v>6187</v>
      </c>
      <c r="C4924" s="5" t="str">
        <f>IFERROR(__xludf.DUMMYFUNCTION("GOOGLETRANSLATE(B4924,""en"",""fr"")"),"La farine est mesurée et combinée avec la fécule de maïs qui est mesurée puis mélangée dans le bol.")</f>
        <v>La farine est mesurée et combinée avec la fécule de maïs qui est mesurée puis mélangée dans le bol.</v>
      </c>
    </row>
    <row r="4925">
      <c r="A4925" s="4" t="s">
        <v>6182</v>
      </c>
      <c r="B4925" s="4" t="s">
        <v>6188</v>
      </c>
      <c r="C4925" s="5" t="str">
        <f>IFERROR(__xludf.DUMMYFUNCTION("GOOGLETRANSLATE(B4925,""en"",""fr"")"),"La pâte est mesurée par une cuillerée, enroulée et placée sur une plaque à pâtisserie.")</f>
        <v>La pâte est mesurée par une cuillerée, enroulée et placée sur une plaque à pâtisserie.</v>
      </c>
    </row>
    <row r="4926">
      <c r="A4926" s="4" t="s">
        <v>6182</v>
      </c>
      <c r="B4926" s="4" t="s">
        <v>6189</v>
      </c>
      <c r="C4926" s="5" t="str">
        <f>IFERROR(__xludf.DUMMYFUNCTION("GOOGLETRANSLATE(B4926,""en"",""fr"")"),"La pâte est aplatie et cuite dans les biscuits.")</f>
        <v>La pâte est aplatie et cuite dans les biscuits.</v>
      </c>
    </row>
    <row r="4927">
      <c r="A4927" s="4" t="s">
        <v>6182</v>
      </c>
      <c r="B4927" s="4" t="s">
        <v>6190</v>
      </c>
      <c r="C4927" s="5" t="str">
        <f>IFERROR(__xludf.DUMMYFUNCTION("GOOGLETRANSLATE(B4927,""en"",""fr"")"),"Les cookies sont ensuite placés sur une plaque à pâtisserie, puis en rack pour refroidir avec une spatule.")</f>
        <v>Les cookies sont ensuite placés sur une plaque à pâtisserie, puis en rack pour refroidir avec une spatule.</v>
      </c>
    </row>
    <row r="4928">
      <c r="A4928" s="4" t="s">
        <v>6182</v>
      </c>
      <c r="B4928" s="4" t="s">
        <v>6191</v>
      </c>
      <c r="C4928" s="5" t="str">
        <f>IFERROR(__xludf.DUMMYFUNCTION("GOOGLETRANSLATE(B4928,""en"",""fr"")"),"Les cookies sont refroidis pour être appréciés.")</f>
        <v>Les cookies sont refroidis pour être appréciés.</v>
      </c>
    </row>
    <row r="4929">
      <c r="A4929" s="4" t="s">
        <v>6192</v>
      </c>
      <c r="B4929" s="4" t="s">
        <v>6193</v>
      </c>
      <c r="C4929" s="5" t="str">
        <f>IFERROR(__xludf.DUMMYFUNCTION("GOOGLETRANSLATE(B4929,""en"",""fr"")"),"Un barman parle derrière un bar.")</f>
        <v>Un barman parle derrière un bar.</v>
      </c>
    </row>
    <row r="4930">
      <c r="A4930" s="4" t="s">
        <v>6192</v>
      </c>
      <c r="B4930" s="4" t="s">
        <v>6194</v>
      </c>
      <c r="C4930" s="5" t="str">
        <f>IFERROR(__xludf.DUMMYFUNCTION("GOOGLETRANSLATE(B4930,""en"",""fr"")"),"Il se montre en préparant plusieurs boissons différentes.")</f>
        <v>Il se montre en préparant plusieurs boissons différentes.</v>
      </c>
    </row>
    <row r="4931">
      <c r="A4931" s="4" t="s">
        <v>6192</v>
      </c>
      <c r="B4931" s="4" t="s">
        <v>6195</v>
      </c>
      <c r="C4931" s="5" t="str">
        <f>IFERROR(__xludf.DUMMYFUNCTION("GOOGLETRANSLATE(B4931,""en"",""fr"")"),"Ensuite, il est montré en faisant une boisson rouge spécifique, en le secouant avant de le verser dans un verre.")</f>
        <v>Ensuite, il est montré en faisant une boisson rouge spécifique, en le secouant avant de le verser dans un verre.</v>
      </c>
    </row>
    <row r="4932">
      <c r="A4932" s="4" t="s">
        <v>6196</v>
      </c>
      <c r="B4932" s="4" t="s">
        <v>6197</v>
      </c>
      <c r="C4932" s="5" t="str">
        <f>IFERROR(__xludf.DUMMYFUNCTION("GOOGLETRANSLATE(B4932,""en"",""fr"")"),"Deux Tam Tams sont dans un salon.")</f>
        <v>Deux Tam Tams sont dans un salon.</v>
      </c>
    </row>
    <row r="4933">
      <c r="A4933" s="4" t="s">
        <v>6196</v>
      </c>
      <c r="B4933" s="4" t="s">
        <v>6198</v>
      </c>
      <c r="C4933" s="5" t="str">
        <f>IFERROR(__xludf.DUMMYFUNCTION("GOOGLETRANSLATE(B4933,""en"",""fr"")"),"Ensuite, un homme vient et parle à l'avant les Tam Tams.")</f>
        <v>Ensuite, un homme vient et parle à l'avant les Tam Tams.</v>
      </c>
    </row>
    <row r="4934">
      <c r="A4934" s="4" t="s">
        <v>6196</v>
      </c>
      <c r="B4934" s="4" t="s">
        <v>6199</v>
      </c>
      <c r="C4934" s="5" t="str">
        <f>IFERROR(__xludf.DUMMYFUNCTION("GOOGLETRANSLATE(B4934,""en"",""fr"")"),"Après, l'homme joue le Tam Tam dans un salon.")</f>
        <v>Après, l'homme joue le Tam Tam dans un salon.</v>
      </c>
    </row>
    <row r="4935">
      <c r="A4935" s="4" t="s">
        <v>6200</v>
      </c>
      <c r="B4935" s="4" t="s">
        <v>6201</v>
      </c>
      <c r="C4935" s="5" t="str">
        <f>IFERROR(__xludf.DUMMYFUNCTION("GOOGLETRANSLATE(B4935,""en"",""fr"")"),"Un homme sur le quai tend une corde à un skieur nautique.")</f>
        <v>Un homme sur le quai tend une corde à un skieur nautique.</v>
      </c>
    </row>
    <row r="4936">
      <c r="A4936" s="4" t="s">
        <v>6200</v>
      </c>
      <c r="B4936" s="4" t="s">
        <v>6202</v>
      </c>
      <c r="C4936" s="5" t="str">
        <f>IFERROR(__xludf.DUMMYFUNCTION("GOOGLETRANSLATE(B4936,""en"",""fr"")"),"Une personne skis nautique et saute par-dessus les rampes dans l'eau d'un lac.")</f>
        <v>Une personne skis nautique et saute par-dessus les rampes dans l'eau d'un lac.</v>
      </c>
    </row>
    <row r="4937">
      <c r="A4937" s="4" t="s">
        <v>6200</v>
      </c>
      <c r="B4937" s="4" t="s">
        <v>6203</v>
      </c>
      <c r="C4937" s="5" t="str">
        <f>IFERROR(__xludf.DUMMYFUNCTION("GOOGLETRANSLATE(B4937,""en"",""fr"")"),"Le skieur nautique tombe mais se rétablit puis lâche la corde et dérive vers le rivage.")</f>
        <v>Le skieur nautique tombe mais se rétablit puis lâche la corde et dérive vers le rivage.</v>
      </c>
    </row>
    <row r="4938">
      <c r="A4938" s="4" t="s">
        <v>6204</v>
      </c>
      <c r="B4938" s="4" t="s">
        <v>6205</v>
      </c>
      <c r="C4938" s="5" t="str">
        <f>IFERROR(__xludf.DUMMYFUNCTION("GOOGLETRANSLATE(B4938,""en"",""fr"")"),"Nous voyons un homme marcher et s'assoit sur une machine à aviron.")</f>
        <v>Nous voyons un homme marcher et s'assoit sur une machine à aviron.</v>
      </c>
    </row>
    <row r="4939">
      <c r="A4939" s="4" t="s">
        <v>6204</v>
      </c>
      <c r="B4939" s="4" t="s">
        <v>6206</v>
      </c>
      <c r="C4939" s="5" t="str">
        <f>IFERROR(__xludf.DUMMYFUNCTION("GOOGLETRANSLATE(B4939,""en"",""fr"")"),"L'homme boit de son eau.")</f>
        <v>L'homme boit de son eau.</v>
      </c>
    </row>
    <row r="4940">
      <c r="A4940" s="4" t="s">
        <v>6204</v>
      </c>
      <c r="B4940" s="4" t="s">
        <v>6207</v>
      </c>
      <c r="C4940" s="5" t="str">
        <f>IFERROR(__xludf.DUMMYFUNCTION("GOOGLETRANSLATE(B4940,""en"",""fr"")"),"L'homme se balance rapidement sur la machine.")</f>
        <v>L'homme se balance rapidement sur la machine.</v>
      </c>
    </row>
    <row r="4941">
      <c r="A4941" s="4" t="s">
        <v>6204</v>
      </c>
      <c r="B4941" s="4" t="s">
        <v>6208</v>
      </c>
      <c r="C4941" s="5" t="str">
        <f>IFERROR(__xludf.DUMMYFUNCTION("GOOGLETRANSLATE(B4941,""en"",""fr"")"),"Nous voyons un écran de titre.")</f>
        <v>Nous voyons un écran de titre.</v>
      </c>
    </row>
    <row r="4942">
      <c r="A4942" s="4" t="s">
        <v>6204</v>
      </c>
      <c r="B4942" s="4" t="s">
        <v>6209</v>
      </c>
      <c r="C4942" s="5" t="str">
        <f>IFERROR(__xludf.DUMMYFUNCTION("GOOGLETRANSLATE(B4942,""en"",""fr"")"),"Nous voyons l'homme arrêter de l'aviron et des promenades et obtient l'appareil photo.")</f>
        <v>Nous voyons l'homme arrêter de l'aviron et des promenades et obtient l'appareil photo.</v>
      </c>
    </row>
    <row r="4943">
      <c r="A4943" s="4" t="s">
        <v>6204</v>
      </c>
      <c r="B4943" s="4" t="s">
        <v>6210</v>
      </c>
      <c r="C4943" s="5" t="str">
        <f>IFERROR(__xludf.DUMMYFUNCTION("GOOGLETRANSLATE(B4943,""en"",""fr"")"),"L'homme affiche ensuite l'écran sur la machine à radiation.")</f>
        <v>L'homme affiche ensuite l'écran sur la machine à radiation.</v>
      </c>
    </row>
    <row r="4944">
      <c r="A4944" s="4" t="s">
        <v>6204</v>
      </c>
      <c r="B4944" s="4" t="s">
        <v>6211</v>
      </c>
      <c r="C4944" s="5" t="str">
        <f>IFERROR(__xludf.DUMMYFUNCTION("GOOGLETRANSLATE(B4944,""en"",""fr"")"),"L'homme embrasse ses doigts et la caméra tombe au sol.")</f>
        <v>L'homme embrasse ses doigts et la caméra tombe au sol.</v>
      </c>
    </row>
    <row r="4945">
      <c r="A4945" s="4" t="s">
        <v>6212</v>
      </c>
      <c r="B4945" s="4" t="s">
        <v>6213</v>
      </c>
      <c r="C4945" s="5" t="str">
        <f>IFERROR(__xludf.DUMMYFUNCTION("GOOGLETRANSLATE(B4945,""en"",""fr"")"),"Un homme se tient devant un logo d'entreprise et discute.")</f>
        <v>Un homme se tient devant un logo d'entreprise et discute.</v>
      </c>
    </row>
    <row r="4946">
      <c r="A4946" s="4" t="s">
        <v>6212</v>
      </c>
      <c r="B4946" s="4" t="s">
        <v>6214</v>
      </c>
      <c r="C4946" s="5" t="str">
        <f>IFERROR(__xludf.DUMMYFUNCTION("GOOGLETRANSLATE(B4946,""en"",""fr"")"),"Un cavalier fait le tour d'un virage et plante son pied dans la saleté pour se stabiliser.")</f>
        <v>Un cavalier fait le tour d'un virage et plante son pied dans la saleté pour se stabiliser.</v>
      </c>
    </row>
    <row r="4947">
      <c r="A4947" s="4" t="s">
        <v>6212</v>
      </c>
      <c r="B4947" s="4" t="s">
        <v>6215</v>
      </c>
      <c r="C4947" s="5" t="str">
        <f>IFERROR(__xludf.DUMMYFUNCTION("GOOGLETRANSLATE(B4947,""en"",""fr"")"),"Le cavalier accélère à partir d'un virage sur sa moto.")</f>
        <v>Le cavalier accélère à partir d'un virage sur sa moto.</v>
      </c>
    </row>
    <row r="4948">
      <c r="A4948" s="4" t="s">
        <v>6212</v>
      </c>
      <c r="B4948" s="4" t="s">
        <v>6216</v>
      </c>
      <c r="C4948" s="5" t="str">
        <f>IFERROR(__xludf.DUMMYFUNCTION("GOOGLETRANSLATE(B4948,""en"",""fr"")"),"Le cavalier passe par-dessus un saut sur sa moto.")</f>
        <v>Le cavalier passe par-dessus un saut sur sa moto.</v>
      </c>
    </row>
    <row r="4949">
      <c r="A4949" s="4" t="s">
        <v>6217</v>
      </c>
      <c r="B4949" s="4" t="s">
        <v>6218</v>
      </c>
      <c r="C4949" s="5" t="str">
        <f>IFERROR(__xludf.DUMMYFUNCTION("GOOGLETRANSLATE(B4949,""en"",""fr"")"),"Un chat est assis par terre en levant les yeux alors que son propriétaire tentait de l'attraper.")</f>
        <v>Un chat est assis par terre en levant les yeux alors que son propriétaire tentait de l'attraper.</v>
      </c>
    </row>
    <row r="4950">
      <c r="A4950" s="4" t="s">
        <v>6217</v>
      </c>
      <c r="B4950" s="4" t="s">
        <v>6219</v>
      </c>
      <c r="C4950" s="5" t="str">
        <f>IFERROR(__xludf.DUMMYFUNCTION("GOOGLETRANSLATE(B4950,""en"",""fr"")"),"Le propriétaire le ramasse et s'assoit avec lui et commence à couper ses ongles.")</f>
        <v>Le propriétaire le ramasse et s'assoit avec lui et commence à couper ses ongles.</v>
      </c>
    </row>
    <row r="4951">
      <c r="A4951" s="4" t="s">
        <v>6217</v>
      </c>
      <c r="B4951" s="4" t="s">
        <v>6220</v>
      </c>
      <c r="C4951" s="5" t="str">
        <f>IFERROR(__xludf.DUMMYFUNCTION("GOOGLETRANSLATE(B4951,""en"",""fr"")"),"Le chat bouge sa tête en remontant sa queue mais ne donne pas du fil à retordre.")</f>
        <v>Le chat bouge sa tête en remontant sa queue mais ne donne pas du fil à retordre.</v>
      </c>
    </row>
    <row r="4952">
      <c r="A4952" s="4" t="s">
        <v>6217</v>
      </c>
      <c r="B4952" s="6" t="s">
        <v>6221</v>
      </c>
      <c r="C4952" s="5" t="str">
        <f>IFERROR(__xludf.DUMMYFUNCTION("GOOGLETRANSLATE(B4952,""en"",""fr"")"),"Le propriétaire commence alors à frotter son ventre et à jouer avec ses pieds, avant de remettre le chat sur le sol.")</f>
        <v>Le propriétaire commence alors à frotter son ventre et à jouer avec ses pieds, avant de remettre le chat sur le sol.</v>
      </c>
    </row>
    <row r="4953">
      <c r="A4953" s="4" t="s">
        <v>6222</v>
      </c>
      <c r="B4953" s="4" t="s">
        <v>6223</v>
      </c>
      <c r="C4953" s="5" t="str">
        <f>IFERROR(__xludf.DUMMYFUNCTION("GOOGLETRANSLATE(B4953,""en"",""fr"")"),"Nous voyons des hommes jouer à un jeu de cricket.")</f>
        <v>Nous voyons des hommes jouer à un jeu de cricket.</v>
      </c>
    </row>
    <row r="4954">
      <c r="A4954" s="4" t="s">
        <v>6222</v>
      </c>
      <c r="B4954" s="4" t="s">
        <v>6224</v>
      </c>
      <c r="C4954" s="5" t="str">
        <f>IFERROR(__xludf.DUMMYFUNCTION("GOOGLETRANSLATE(B4954,""en"",""fr"")"),"Le lanceur lance et les hommes commencent tous à courir.")</f>
        <v>Le lanceur lance et les hommes commencent tous à courir.</v>
      </c>
    </row>
    <row r="4955">
      <c r="A4955" s="4" t="s">
        <v>6222</v>
      </c>
      <c r="B4955" s="4" t="s">
        <v>6225</v>
      </c>
      <c r="C4955" s="5" t="str">
        <f>IFERROR(__xludf.DUMMYFUNCTION("GOOGLETRANSLATE(B4955,""en"",""fr"")"),"Nous voyons un homme allongé sur le sol, avec des médecins autour.")</f>
        <v>Nous voyons un homme allongé sur le sol, avec des médecins autour.</v>
      </c>
    </row>
    <row r="4956">
      <c r="A4956" s="4" t="s">
        <v>6222</v>
      </c>
      <c r="B4956" s="4" t="s">
        <v>6226</v>
      </c>
      <c r="C4956" s="5" t="str">
        <f>IFERROR(__xludf.DUMMYFUNCTION("GOOGLETRANSLATE(B4956,""en"",""fr"")"),"Nous voyons des hommes marcher sur le terrain et un médecin met un sac de glace sur la tête de l'homme.")</f>
        <v>Nous voyons des hommes marcher sur le terrain et un médecin met un sac de glace sur la tête de l'homme.</v>
      </c>
    </row>
    <row r="4957">
      <c r="A4957" s="4" t="s">
        <v>6222</v>
      </c>
      <c r="B4957" s="4" t="s">
        <v>6227</v>
      </c>
      <c r="C4957" s="5" t="str">
        <f>IFERROR(__xludf.DUMMYFUNCTION("GOOGLETRANSLATE(B4957,""en"",""fr"")"),"Nous voyons au ralenti la collision qui a blessé l'homme.")</f>
        <v>Nous voyons au ralenti la collision qui a blessé l'homme.</v>
      </c>
    </row>
    <row r="4958">
      <c r="A4958" s="4" t="s">
        <v>6228</v>
      </c>
      <c r="B4958" s="4" t="s">
        <v>6229</v>
      </c>
      <c r="C4958" s="5" t="str">
        <f>IFERROR(__xludf.DUMMYFUNCTION("GOOGLETRANSLATE(B4958,""en"",""fr"")"),"L'homme est assis dans un salon en train de parler à la caméra.")</f>
        <v>L'homme est assis dans un salon en train de parler à la caméra.</v>
      </c>
    </row>
    <row r="4959">
      <c r="A4959" s="4" t="s">
        <v>6228</v>
      </c>
      <c r="B4959" s="4" t="s">
        <v>6230</v>
      </c>
      <c r="C4959" s="5" t="str">
        <f>IFERROR(__xludf.DUMMYFUNCTION("GOOGLETRANSLATE(B4959,""en"",""fr"")"),"L'homme commence à jouer de la flûte et continue de talknig.")</f>
        <v>L'homme commence à jouer de la flûte et continue de talknig.</v>
      </c>
    </row>
    <row r="4960">
      <c r="A4960" s="4" t="s">
        <v>6231</v>
      </c>
      <c r="B4960" s="4" t="s">
        <v>1251</v>
      </c>
      <c r="C4960" s="5" t="str">
        <f>IFERROR(__xludf.DUMMYFUNCTION("GOOGLETRANSLATE(B4960,""en"",""fr"")"),"Les crédits du clip sont affichés.")</f>
        <v>Les crédits du clip sont affichés.</v>
      </c>
    </row>
    <row r="4961">
      <c r="A4961" s="4" t="s">
        <v>6231</v>
      </c>
      <c r="B4961" s="4" t="s">
        <v>6232</v>
      </c>
      <c r="C4961" s="5" t="str">
        <f>IFERROR(__xludf.DUMMYFUNCTION("GOOGLETRANSLATE(B4961,""en"",""fr"")"),"Les hommes utilisent des échelles pour monter sur le toit pour travailler.")</f>
        <v>Les hommes utilisent des échelles pour monter sur le toit pour travailler.</v>
      </c>
    </row>
    <row r="4962">
      <c r="A4962" s="4" t="s">
        <v>6231</v>
      </c>
      <c r="B4962" s="4" t="s">
        <v>6233</v>
      </c>
      <c r="C4962" s="5" t="str">
        <f>IFERROR(__xludf.DUMMYFUNCTION("GOOGLETRANSLATE(B4962,""en"",""fr"")"),"Les hommes ont mis une bâche dans la maison.")</f>
        <v>Les hommes ont mis une bâche dans la maison.</v>
      </c>
    </row>
    <row r="4963">
      <c r="A4963" s="4" t="s">
        <v>6231</v>
      </c>
      <c r="B4963" s="4" t="s">
        <v>6234</v>
      </c>
      <c r="C4963" s="5" t="str">
        <f>IFERROR(__xludf.DUMMYFUNCTION("GOOGLETRANSLATE(B4963,""en"",""fr"")"),"Les hommes retirent les morceaux de toit et jettent sur la bâche.")</f>
        <v>Les hommes retirent les morceaux de toit et jettent sur la bâche.</v>
      </c>
    </row>
    <row r="4964">
      <c r="A4964" s="4" t="s">
        <v>6231</v>
      </c>
      <c r="B4964" s="4" t="s">
        <v>573</v>
      </c>
      <c r="C4964" s="5" t="str">
        <f>IFERROR(__xludf.DUMMYFUNCTION("GOOGLETRANSLATE(B4964,""en"",""fr"")"),"Les crédits de la vidéo sont affichés.")</f>
        <v>Les crédits de la vidéo sont affichés.</v>
      </c>
    </row>
    <row r="4965">
      <c r="A4965" s="4" t="s">
        <v>6235</v>
      </c>
      <c r="B4965" s="4" t="s">
        <v>6236</v>
      </c>
      <c r="C4965" s="5" t="str">
        <f>IFERROR(__xludf.DUMMYFUNCTION("GOOGLETRANSLATE(B4965,""en"",""fr"")"),"Une équipe de gymnastique pratique des routines qui impliquent le saut et le retournement.")</f>
        <v>Une équipe de gymnastique pratique des routines qui impliquent le saut et le retournement.</v>
      </c>
    </row>
    <row r="4966">
      <c r="A4966" s="4" t="s">
        <v>6235</v>
      </c>
      <c r="B4966" s="4" t="s">
        <v>6237</v>
      </c>
      <c r="C4966" s="5" t="str">
        <f>IFERROR(__xludf.DUMMYFUNCTION("GOOGLETRANSLATE(B4966,""en"",""fr"")"),"Ils passent ensuite à la cheerleading à l'extérieur.")</f>
        <v>Ils passent ensuite à la cheerleading à l'extérieur.</v>
      </c>
    </row>
    <row r="4967">
      <c r="A4967" s="4" t="s">
        <v>6238</v>
      </c>
      <c r="B4967" s="4" t="s">
        <v>6239</v>
      </c>
      <c r="C4967" s="5" t="str">
        <f>IFERROR(__xludf.DUMMYFUNCTION("GOOGLETRANSLATE(B4967,""en"",""fr"")"),"Une femme et un homme se battent dans un jeu de lutte des bras.")</f>
        <v>Une femme et un homme se battent dans un jeu de lutte des bras.</v>
      </c>
    </row>
    <row r="4968">
      <c r="A4968" s="4" t="s">
        <v>6238</v>
      </c>
      <c r="B4968" s="4" t="s">
        <v>6240</v>
      </c>
      <c r="C4968" s="5" t="str">
        <f>IFERROR(__xludf.DUMMYFUNCTION("GOOGLETRANSLATE(B4968,""en"",""fr"")"),"Elle le bat et présente ses muscles.")</f>
        <v>Elle le bat et présente ses muscles.</v>
      </c>
    </row>
    <row r="4969">
      <c r="A4969" s="4" t="s">
        <v>6238</v>
      </c>
      <c r="B4969" s="4" t="s">
        <v>6241</v>
      </c>
      <c r="C4969" s="5" t="str">
        <f>IFERROR(__xludf.DUMMYFUNCTION("GOOGLETRANSLATE(B4969,""en"",""fr"")"),"Ils recommencent, elle gagne à nouveau et montre ses muscles.")</f>
        <v>Ils recommencent, elle gagne à nouveau et montre ses muscles.</v>
      </c>
    </row>
    <row r="4970">
      <c r="A4970" s="4" t="s">
        <v>6242</v>
      </c>
      <c r="B4970" s="6" t="s">
        <v>6243</v>
      </c>
      <c r="C4970" s="5" t="str">
        <f>IFERROR(__xludf.DUMMYFUNCTION("GOOGLETRANSLATE(B4970,""en"",""fr"")"),"Une entraîneure de basket-ball est vue en train d'instruire un groupe de joueurs de basket-ball qui font la queue sur un terrain de basket.")</f>
        <v>Une entraîneure de basket-ball est vue en train d'instruire un groupe de joueurs de basket-ball qui font la queue sur un terrain de basket.</v>
      </c>
    </row>
    <row r="4971">
      <c r="A4971" s="4" t="s">
        <v>6242</v>
      </c>
      <c r="B4971" s="4" t="s">
        <v>6244</v>
      </c>
      <c r="C4971" s="5" t="str">
        <f>IFERROR(__xludf.DUMMYFUNCTION("GOOGLETRANSLATE(B4971,""en"",""fr"")"),"La première fille passe à un autre entraîneur, puis court sur le filet et prend un lay-up.")</f>
        <v>La première fille passe à un autre entraîneur, puis court sur le filet et prend un lay-up.</v>
      </c>
    </row>
    <row r="4972">
      <c r="A4972" s="4" t="s">
        <v>6242</v>
      </c>
      <c r="B4972" s="4" t="s">
        <v>6245</v>
      </c>
      <c r="C4972" s="5" t="str">
        <f>IFERROR(__xludf.DUMMYFUNCTION("GOOGLETRANSLATE(B4972,""en"",""fr"")"),"Les filles continuent de faire l'exercice sur le côté droit.")</f>
        <v>Les filles continuent de faire l'exercice sur le côté droit.</v>
      </c>
    </row>
    <row r="4973">
      <c r="A4973" s="4" t="s">
        <v>6242</v>
      </c>
      <c r="B4973" s="4" t="s">
        <v>6246</v>
      </c>
      <c r="C4973" s="5" t="str">
        <f>IFERROR(__xludf.DUMMYFUNCTION("GOOGLETRANSLATE(B4973,""en"",""fr"")"),"Les filles se déplacent sur le côté gauche et effectuent le même exercice sur le côté gauche du terrain.")</f>
        <v>Les filles se déplacent sur le côté gauche et effectuent le même exercice sur le côté gauche du terrain.</v>
      </c>
    </row>
    <row r="4974">
      <c r="A4974" s="4" t="s">
        <v>6247</v>
      </c>
      <c r="B4974" s="4" t="s">
        <v>6248</v>
      </c>
      <c r="C4974" s="5" t="str">
        <f>IFERROR(__xludf.DUMMYFUNCTION("GOOGLETRANSLATE(B4974,""en"",""fr"")"),"La femme se tient dans un gymnase couvert de poids.")</f>
        <v>La femme se tient dans un gymnase couvert de poids.</v>
      </c>
    </row>
    <row r="4975">
      <c r="A4975" s="4" t="s">
        <v>6247</v>
      </c>
      <c r="B4975" s="4" t="s">
        <v>6249</v>
      </c>
      <c r="C4975" s="5" t="str">
        <f>IFERROR(__xludf.DUMMYFUNCTION("GOOGLETRANSLATE(B4975,""en"",""fr"")"),"L'entraîneur se tient à côté du Gril l'entraîner et l'aidait.")</f>
        <v>L'entraîneur se tient à côté du Gril l'entraîner et l'aidait.</v>
      </c>
    </row>
    <row r="4976">
      <c r="A4976" s="4" t="s">
        <v>6247</v>
      </c>
      <c r="B4976" s="4" t="s">
        <v>6250</v>
      </c>
      <c r="C4976" s="5" t="str">
        <f>IFERROR(__xludf.DUMMYFUNCTION("GOOGLETRANSLATE(B4976,""en"",""fr"")"),"Après quelques conseils, la femme soulève à nouveau le poids.")</f>
        <v>Après quelques conseils, la femme soulève à nouveau le poids.</v>
      </c>
    </row>
    <row r="4977">
      <c r="A4977" s="4" t="s">
        <v>6251</v>
      </c>
      <c r="B4977" s="4" t="s">
        <v>6252</v>
      </c>
      <c r="C4977" s="5" t="str">
        <f>IFERROR(__xludf.DUMMYFUNCTION("GOOGLETRANSLATE(B4977,""en"",""fr"")"),"Un groupe d'enfants joue au football en salle.")</f>
        <v>Un groupe d'enfants joue au football en salle.</v>
      </c>
    </row>
    <row r="4978">
      <c r="A4978" s="4" t="s">
        <v>6251</v>
      </c>
      <c r="B4978" s="4" t="s">
        <v>6253</v>
      </c>
      <c r="C4978" s="5" t="str">
        <f>IFERROR(__xludf.DUMMYFUNCTION("GOOGLETRANSLATE(B4978,""en"",""fr"")"),"Les garçons courent, poursuivant le ballon et se battant pour l'éloigner les uns des autres.")</f>
        <v>Les garçons courent, poursuivant le ballon et se battant pour l'éloigner les uns des autres.</v>
      </c>
    </row>
    <row r="4979">
      <c r="A4979" s="4" t="s">
        <v>6251</v>
      </c>
      <c r="B4979" s="4" t="s">
        <v>6254</v>
      </c>
      <c r="C4979" s="5" t="str">
        <f>IFERROR(__xludf.DUMMYFUNCTION("GOOGLETRANSLATE(B4979,""en"",""fr"")"),"Un garçon entame le but de l'équipe adverse.")</f>
        <v>Un garçon entame le but de l'équipe adverse.</v>
      </c>
    </row>
    <row r="4980">
      <c r="A4980" s="4" t="s">
        <v>6251</v>
      </c>
      <c r="B4980" s="4" t="s">
        <v>6255</v>
      </c>
      <c r="C4980" s="5" t="str">
        <f>IFERROR(__xludf.DUMMYFUNCTION("GOOGLETRANSLATE(B4980,""en"",""fr"")"),"Il est rejoué au ralenti.")</f>
        <v>Il est rejoué au ralenti.</v>
      </c>
    </row>
    <row r="4981">
      <c r="A4981" s="4" t="s">
        <v>6251</v>
      </c>
      <c r="B4981" s="4" t="s">
        <v>6256</v>
      </c>
      <c r="C4981" s="5" t="str">
        <f>IFERROR(__xludf.DUMMYFUNCTION("GOOGLETRANSLATE(B4981,""en"",""fr"")"),"Les garçons continuent de jouer pour le reste du jeu.")</f>
        <v>Les garçons continuent de jouer pour le reste du jeu.</v>
      </c>
    </row>
    <row r="4982">
      <c r="A4982" s="4" t="s">
        <v>6251</v>
      </c>
      <c r="B4982" s="4" t="s">
        <v>6257</v>
      </c>
      <c r="C4982" s="5" t="str">
        <f>IFERROR(__xludf.DUMMYFUNCTION("GOOGLETRANSLATE(B4982,""en"",""fr"")"),"Sur l'écran final, un homme plus âgé est montré tenant un petit garçon dans ses bras.")</f>
        <v>Sur l'écran final, un homme plus âgé est montré tenant un petit garçon dans ses bras.</v>
      </c>
    </row>
    <row r="4983">
      <c r="A4983" s="4" t="s">
        <v>6258</v>
      </c>
      <c r="B4983" s="6" t="s">
        <v>6259</v>
      </c>
      <c r="C4983" s="5" t="str">
        <f>IFERROR(__xludf.DUMMYFUNCTION("GOOGLETRANSLATE(B4983,""en"",""fr"")"),"Une femme parle sur un téléphone sans fil en s'asseyant sur un trône, et tandis qu'une autre femme s'agenouille à ses pieds et les essuie avec ses vêtements.")</f>
        <v>Une femme parle sur un téléphone sans fil en s'asseyant sur un trône, et tandis qu'une autre femme s'agenouille à ses pieds et les essuie avec ses vêtements.</v>
      </c>
    </row>
    <row r="4984">
      <c r="A4984" s="4" t="s">
        <v>6258</v>
      </c>
      <c r="B4984" s="6" t="s">
        <v>6260</v>
      </c>
      <c r="C4984" s="5" t="str">
        <f>IFERROR(__xludf.DUMMYFUNCTION("GOOGLETRANSLATE(B4984,""en"",""fr"")"),"Une femme dans un sari violet s'agenouille au pied d'une autre femme qui est assise sur un trône en or et portant une couronne en or avec des plumes rouges dans ses cheveux.")</f>
        <v>Une femme dans un sari violet s'agenouille au pied d'une autre femme qui est assise sur un trône en or et portant une couronne en or avec des plumes rouges dans ses cheveux.</v>
      </c>
    </row>
    <row r="4985">
      <c r="A4985" s="4" t="s">
        <v>6258</v>
      </c>
      <c r="B4985" s="6" t="s">
        <v>6261</v>
      </c>
      <c r="C4985" s="5" t="str">
        <f>IFERROR(__xludf.DUMMYFUNCTION("GOOGLETRANSLATE(B4985,""en"",""fr"")"),"La femme sur le trône tire son pied devant la femme agenouillée et la femme agenouillée commence à essuyer les pieds de la femme avec son sari.")</f>
        <v>La femme sur le trône tire son pied devant la femme agenouillée et la femme agenouillée commence à essuyer les pieds de la femme avec son sari.</v>
      </c>
    </row>
    <row r="4986">
      <c r="A4986" s="4" t="s">
        <v>6258</v>
      </c>
      <c r="B4986" s="6" t="s">
        <v>6262</v>
      </c>
      <c r="C4986" s="5" t="str">
        <f>IFERROR(__xludf.DUMMYFUNCTION("GOOGLETRANSLATE(B4986,""en"",""fr"")"),"La femme sur le trône reçoit un appel téléphonique sur un téléphone sans fil noir et commence à parler avant que la scène ne se fane enfin à une image floue d'une autre femme parlant sur un téléphone.")</f>
        <v>La femme sur le trône reçoit un appel téléphonique sur un téléphone sans fil noir et commence à parler avant que la scène ne se fane enfin à une image floue d'une autre femme parlant sur un téléphone.</v>
      </c>
    </row>
    <row r="4987">
      <c r="A4987" s="4" t="s">
        <v>6263</v>
      </c>
      <c r="B4987" s="4" t="s">
        <v>6264</v>
      </c>
      <c r="C4987" s="5" t="str">
        <f>IFERROR(__xludf.DUMMYFUNCTION("GOOGLETRANSLATE(B4987,""en"",""fr"")"),"Un homme parle en se tenant devant une voiture intelligente.")</f>
        <v>Un homme parle en se tenant devant une voiture intelligente.</v>
      </c>
    </row>
    <row r="4988">
      <c r="A4988" s="4" t="s">
        <v>6263</v>
      </c>
      <c r="B4988" s="4" t="s">
        <v>6265</v>
      </c>
      <c r="C4988" s="5" t="str">
        <f>IFERROR(__xludf.DUMMYFUNCTION("GOOGLETRANSLATE(B4988,""en"",""fr"")"),"Il entre, continuant à parler alors qu'il montre la composante différente de la voiture, y compris le coffre.")</f>
        <v>Il entre, continuant à parler alors qu'il montre la composante différente de la voiture, y compris le coffre.</v>
      </c>
    </row>
    <row r="4989">
      <c r="A4989" s="4" t="s">
        <v>6263</v>
      </c>
      <c r="B4989" s="4" t="s">
        <v>6266</v>
      </c>
      <c r="C4989" s="5" t="str">
        <f>IFERROR(__xludf.DUMMYFUNCTION("GOOGLETRANSLATE(B4989,""en"",""fr"")"),"L'homme revient à l'avant du véhicule, terminant avec ses derniers mots.")</f>
        <v>L'homme revient à l'avant du véhicule, terminant avec ses derniers mots.</v>
      </c>
    </row>
    <row r="4990">
      <c r="A4990" s="4" t="s">
        <v>6267</v>
      </c>
      <c r="B4990" s="6" t="s">
        <v>6268</v>
      </c>
      <c r="C4990" s="5" t="str">
        <f>IFERROR(__xludf.DUMMYFUNCTION("GOOGLETRANSLATE(B4990,""en"",""fr"")"),"Une compilation du lutteur professionnel Kevin Owens effectuant des bombes électriques sur de nombreux lutteurs, au début de la vidéo qu'il entre dans le bâtiment avec un look confiant, alors qu'il continue de pénétrer, il effectue plusieurs bombes électr"&amp;"iques.")</f>
        <v>Une compilation du lutteur professionnel Kevin Owens effectuant des bombes électriques sur de nombreux lutteurs, au début de la vidéo qu'il entre dans le bâtiment avec un look confiant, alors qu'il continue de pénétrer, il effectue plusieurs bombes électriques.</v>
      </c>
    </row>
    <row r="4991">
      <c r="A4991" s="4" t="s">
        <v>6267</v>
      </c>
      <c r="B4991" s="4" t="s">
        <v>6269</v>
      </c>
      <c r="C4991" s="5" t="str">
        <f>IFERROR(__xludf.DUMMYFUNCTION("GOOGLETRANSLATE(B4991,""en"",""fr"")"),"La fin de la vidéo a un message d'abonné.")</f>
        <v>La fin de la vidéo a un message d'abonné.</v>
      </c>
    </row>
    <row r="4992">
      <c r="A4992" s="4" t="s">
        <v>6270</v>
      </c>
      <c r="B4992" s="4" t="s">
        <v>6271</v>
      </c>
      <c r="C4992" s="5" t="str">
        <f>IFERROR(__xludf.DUMMYFUNCTION("GOOGLETRANSLATE(B4992,""en"",""fr"")"),"Un homme dans une chaise de bureau est assis avec un certain type de stylo.")</f>
        <v>Un homme dans une chaise de bureau est assis avec un certain type de stylo.</v>
      </c>
    </row>
    <row r="4993">
      <c r="A4993" s="4" t="s">
        <v>6270</v>
      </c>
      <c r="B4993" s="4" t="s">
        <v>6272</v>
      </c>
      <c r="C4993" s="5" t="str">
        <f>IFERROR(__xludf.DUMMYFUNCTION("GOOGLETRANSLATE(B4993,""en"",""fr"")"),"Il en parle pendant un petit moment, puis le met dans sa bouche, il s'avère que c'est un E-Pen.")</f>
        <v>Il en parle pendant un petit moment, puis le met dans sa bouche, il s'avère que c'est un E-Pen.</v>
      </c>
    </row>
    <row r="4994">
      <c r="A4994" s="4" t="s">
        <v>6270</v>
      </c>
      <c r="B4994" s="4" t="s">
        <v>6273</v>
      </c>
      <c r="C4994" s="5" t="str">
        <f>IFERROR(__xludf.DUMMYFUNCTION("GOOGLETRANSLATE(B4994,""en"",""fr"")"),"C'est une nouvelle technologie que vous pouvez fumer comme une cigarette.")</f>
        <v>C'est une nouvelle technologie que vous pouvez fumer comme une cigarette.</v>
      </c>
    </row>
    <row r="4995">
      <c r="A4995" s="4" t="s">
        <v>6270</v>
      </c>
      <c r="B4995" s="4" t="s">
        <v>6274</v>
      </c>
      <c r="C4995" s="5" t="str">
        <f>IFERROR(__xludf.DUMMYFUNCTION("GOOGLETRANSLATE(B4995,""en"",""fr"")"),"Il le tient dans ses mains comme une cigarette et le met dans sa bouche et expire de la fumée.")</f>
        <v>Il le tient dans ses mains comme une cigarette et le met dans sa bouche et expire de la fumée.</v>
      </c>
    </row>
    <row r="4996">
      <c r="A4996" s="4" t="s">
        <v>6275</v>
      </c>
      <c r="B4996" s="6" t="s">
        <v>6276</v>
      </c>
      <c r="C4996" s="5" t="str">
        <f>IFERROR(__xludf.DUMMYFUNCTION("GOOGLETRANSLATE(B4996,""en"",""fr"")"),"Une femme aux cheveux noirs et aux lunettes encadrées en argent regarde autour de lui jusqu'à ce que son regard atterrit sur la caméra et qu'elle feins la surprise de la présence de la caméra et commence à parler à la caméra.")</f>
        <v>Une femme aux cheveux noirs et aux lunettes encadrées en argent regarde autour de lui jusqu'à ce que son regard atterrit sur la caméra et qu'elle feins la surprise de la présence de la caméra et commence à parler à la caméra.</v>
      </c>
    </row>
    <row r="4997">
      <c r="A4997" s="4" t="s">
        <v>6275</v>
      </c>
      <c r="B4997" s="6" t="s">
        <v>6277</v>
      </c>
      <c r="C4997" s="5" t="str">
        <f>IFERROR(__xludf.DUMMYFUNCTION("GOOGLETRANSLATE(B4997,""en"",""fr"")"),"La femme commence à contenir une paire de lentilles de contact et de solution de lentille à la caméra, puis procède à retirer les lentilles et parle à nouveau à la caméra.")</f>
        <v>La femme commence à contenir une paire de lentilles de contact et de solution de lentille à la caméra, puis procède à retirer les lentilles et parle à nouveau à la caméra.</v>
      </c>
    </row>
    <row r="4998">
      <c r="A4998" s="4" t="s">
        <v>6275</v>
      </c>
      <c r="B4998" s="6" t="s">
        <v>6278</v>
      </c>
      <c r="C4998" s="5" t="str">
        <f>IFERROR(__xludf.DUMMYFUNCTION("GOOGLETRANSLATE(B4998,""en"",""fr"")"),"La femme verse une solution dans sa main et nettoie l'objectif dans sa main avant de placer deux d'entre eux dans ses yeux et de montrer des yeux noirs complètement noirs pendant la caméra tout en parlant.")</f>
        <v>La femme verse une solution dans sa main et nettoie l'objectif dans sa main avant de placer deux d'entre eux dans ses yeux et de montrer des yeux noirs complètement noirs pendant la caméra tout en parlant.</v>
      </c>
    </row>
    <row r="4999">
      <c r="A4999" s="4" t="s">
        <v>6275</v>
      </c>
      <c r="B4999" s="4" t="s">
        <v>6279</v>
      </c>
      <c r="C4999" s="5" t="str">
        <f>IFERROR(__xludf.DUMMYFUNCTION("GOOGLETRANSLATE(B4999,""en"",""fr"")"),"La femme retire ensuite le contact de ses yeux, puis les remet sur le fondu.")</f>
        <v>La femme retire ensuite le contact de ses yeux, puis les remet sur le fondu.</v>
      </c>
    </row>
    <row r="5000">
      <c r="A5000" s="4" t="s">
        <v>6280</v>
      </c>
      <c r="B5000" s="6" t="s">
        <v>6281</v>
      </c>
      <c r="C5000" s="5" t="str">
        <f>IFERROR(__xludf.DUMMYFUNCTION("GOOGLETRANSLATE(B5000,""en"",""fr"")"),"On voit deux filles parler à la caméra suivie d'une personne qui déposait des fruits et de le mélanger dans un mélangeur.")</f>
        <v>On voit deux filles parler à la caméra suivie d'une personne qui déposait des fruits et de le mélanger dans un mélangeur.</v>
      </c>
    </row>
    <row r="5001">
      <c r="A5001" s="4" t="s">
        <v>6280</v>
      </c>
      <c r="B5001" s="6" t="s">
        <v>6282</v>
      </c>
      <c r="C5001" s="5" t="str">
        <f>IFERROR(__xludf.DUMMYFUNCTION("GOOGLETRANSLATE(B5001,""en"",""fr"")"),"Les filles continuent de mettre le fruit dans un mélangeur tout en prenant des piqûres sur le côté et en poussant plus loin dans le mélangeur.")</f>
        <v>Les filles continuent de mettre le fruit dans un mélangeur tout en prenant des piqûres sur le côté et en poussant plus loin dans le mélangeur.</v>
      </c>
    </row>
    <row r="5002">
      <c r="A5002" s="4" t="s">
        <v>6283</v>
      </c>
      <c r="B5002" s="6" t="s">
        <v>6284</v>
      </c>
      <c r="C5002" s="5" t="str">
        <f>IFERROR(__xludf.DUMMYFUNCTION("GOOGLETRANSLATE(B5002,""en"",""fr"")"),"Un groupe de pom-pom girls est vu hurler ensemble à la fois et les mène à effectuer une routine devant un large public.")</f>
        <v>Un groupe de pom-pom girls est vu hurler ensemble à la fois et les mène à effectuer une routine devant un large public.</v>
      </c>
    </row>
    <row r="5003">
      <c r="A5003" s="4" t="s">
        <v>6283</v>
      </c>
      <c r="B5003" s="6" t="s">
        <v>6285</v>
      </c>
      <c r="C5003" s="5" t="str">
        <f>IFERROR(__xludf.DUMMYFUNCTION("GOOGLETRANSLATE(B5003,""en"",""fr"")"),"Les gens continuent d'effectuer leur routine sur le tapis tout en effectuant divers flips et astuces et se termine avec eux qui coulent sur scène pendant que le public applaudit.")</f>
        <v>Les gens continuent d'effectuer leur routine sur le tapis tout en effectuant divers flips et astuces et se termine avec eux qui coulent sur scène pendant que le public applaudit.</v>
      </c>
    </row>
    <row r="5004">
      <c r="A5004" s="4" t="s">
        <v>6286</v>
      </c>
      <c r="B5004" s="4" t="s">
        <v>6287</v>
      </c>
      <c r="C5004" s="5" t="str">
        <f>IFERROR(__xludf.DUMMYFUNCTION("GOOGLETRANSLATE(B5004,""en"",""fr"")"),"Deux hommes sont assis à une table.")</f>
        <v>Deux hommes sont assis à une table.</v>
      </c>
    </row>
    <row r="5005">
      <c r="A5005" s="4" t="s">
        <v>6286</v>
      </c>
      <c r="B5005" s="4" t="s">
        <v>6288</v>
      </c>
      <c r="C5005" s="5" t="str">
        <f>IFERROR(__xludf.DUMMYFUNCTION("GOOGLETRANSLATE(B5005,""en"",""fr"")"),"Les hommes s'engagent dans un jeu de lutte des bras.")</f>
        <v>Les hommes s'engagent dans un jeu de lutte des bras.</v>
      </c>
    </row>
    <row r="5006">
      <c r="A5006" s="4" t="s">
        <v>6286</v>
      </c>
      <c r="B5006" s="4" t="s">
        <v>6289</v>
      </c>
      <c r="C5006" s="5" t="str">
        <f>IFERROR(__xludf.DUMMYFUNCTION("GOOGLETRANSLATE(B5006,""en"",""fr"")"),"L'un d'eux bat l'autre.")</f>
        <v>L'un d'eux bat l'autre.</v>
      </c>
    </row>
    <row r="5007">
      <c r="A5007" s="4" t="s">
        <v>6290</v>
      </c>
      <c r="B5007" s="4" t="s">
        <v>6291</v>
      </c>
      <c r="C5007" s="5" t="str">
        <f>IFERROR(__xludf.DUMMYFUNCTION("GOOGLETRANSLATE(B5007,""en"",""fr"")"),"Nous voyons des enfants avec des pieds sur des planches à roulettes.")</f>
        <v>Nous voyons des enfants avec des pieds sur des planches à roulettes.</v>
      </c>
    </row>
    <row r="5008">
      <c r="A5008" s="4" t="s">
        <v>6290</v>
      </c>
      <c r="B5008" s="4" t="s">
        <v>6292</v>
      </c>
      <c r="C5008" s="5" t="str">
        <f>IFERROR(__xludf.DUMMYFUNCTION("GOOGLETRANSLATE(B5008,""en"",""fr"")"),"Nous voyons les enfants monter dans la rue d'un POV patineux.")</f>
        <v>Nous voyons les enfants monter dans la rue d'un POV patineux.</v>
      </c>
    </row>
    <row r="5009">
      <c r="A5009" s="4" t="s">
        <v>6290</v>
      </c>
      <c r="B5009" s="4" t="s">
        <v>6293</v>
      </c>
      <c r="C5009" s="5" t="str">
        <f>IFERROR(__xludf.DUMMYFUNCTION("GOOGLETRANSLATE(B5009,""en"",""fr"")"),"Un enfant s'écrase et a du mal à se remettre.")</f>
        <v>Un enfant s'écrase et a du mal à se remettre.</v>
      </c>
    </row>
    <row r="5010">
      <c r="A5010" s="4" t="s">
        <v>6290</v>
      </c>
      <c r="B5010" s="4" t="s">
        <v>6294</v>
      </c>
      <c r="C5010" s="5" t="str">
        <f>IFERROR(__xludf.DUMMYFUNCTION("GOOGLETRANSLATE(B5010,""en"",""fr"")"),"Un garçon perd sa planche et doit courir après.")</f>
        <v>Un garçon perd sa planche et doit courir après.</v>
      </c>
    </row>
    <row r="5011">
      <c r="A5011" s="4" t="s">
        <v>6290</v>
      </c>
      <c r="B5011" s="4" t="s">
        <v>6295</v>
      </c>
      <c r="C5011" s="5" t="str">
        <f>IFERROR(__xludf.DUMMYFUNCTION("GOOGLETRANSLATE(B5011,""en"",""fr"")"),"Nous voyons la personne avec un bâton de selfie tomber dans l'herbe.")</f>
        <v>Nous voyons la personne avec un bâton de selfie tomber dans l'herbe.</v>
      </c>
    </row>
    <row r="5012">
      <c r="A5012" s="4" t="s">
        <v>6296</v>
      </c>
      <c r="B5012" s="4" t="s">
        <v>6297</v>
      </c>
      <c r="C5012" s="5" t="str">
        <f>IFERROR(__xludf.DUMMYFUNCTION("GOOGLETRANSLATE(B5012,""en"",""fr"")"),"Divers tirs sont représentés d'athlètes tenant un poteau dans leurs mains et se penchant en arrière.")</f>
        <v>Divers tirs sont représentés d'athlètes tenant un poteau dans leurs mains et se penchant en arrière.</v>
      </c>
    </row>
    <row r="5013">
      <c r="A5013" s="4" t="s">
        <v>6296</v>
      </c>
      <c r="B5013" s="4" t="s">
        <v>6298</v>
      </c>
      <c r="C5013" s="5" t="str">
        <f>IFERROR(__xludf.DUMMYFUNCTION("GOOGLETRANSLATE(B5013,""en"",""fr"")"),"Cela mène à plusieurs clips d'athlètes supplémentaires jetant des javelots au loin.")</f>
        <v>Cela mène à plusieurs clips d'athlètes supplémentaires jetant des javelots au loin.</v>
      </c>
    </row>
    <row r="5014">
      <c r="A5014" s="4" t="s">
        <v>6296</v>
      </c>
      <c r="B5014" s="4" t="s">
        <v>6299</v>
      </c>
      <c r="C5014" s="5" t="str">
        <f>IFERROR(__xludf.DUMMYFUNCTION("GOOGLETRANSLATE(B5014,""en"",""fr"")"),"De plus en plus de gens sont montrés en jetant des javelots.")</f>
        <v>De plus en plus de gens sont montrés en jetant des javelots.</v>
      </c>
    </row>
    <row r="5015">
      <c r="A5015" s="4" t="s">
        <v>6300</v>
      </c>
      <c r="B5015" s="4" t="s">
        <v>6301</v>
      </c>
      <c r="C5015" s="5" t="str">
        <f>IFERROR(__xludf.DUMMYFUNCTION("GOOGLETRANSLATE(B5015,""en"",""fr"")"),"Une fille joue un tambour dans une place de la ville pour passer des gens.")</f>
        <v>Une fille joue un tambour dans une place de la ville pour passer des gens.</v>
      </c>
    </row>
    <row r="5016">
      <c r="A5016" s="4" t="s">
        <v>6300</v>
      </c>
      <c r="B5016" s="4" t="s">
        <v>6302</v>
      </c>
      <c r="C5016" s="5" t="str">
        <f>IFERROR(__xludf.DUMMYFUNCTION("GOOGLETRANSLATE(B5016,""en"",""fr"")"),"Une dame s'approche pour regarder le batteur jouer.")</f>
        <v>Une dame s'approche pour regarder le batteur jouer.</v>
      </c>
    </row>
    <row r="5017">
      <c r="A5017" s="4" t="s">
        <v>6300</v>
      </c>
      <c r="B5017" s="4" t="s">
        <v>6303</v>
      </c>
      <c r="C5017" s="5" t="str">
        <f>IFERROR(__xludf.DUMMYFUNCTION("GOOGLETRANSLATE(B5017,""en"",""fr"")"),"Le batteur joue un solo sur la cymbale.")</f>
        <v>Le batteur joue un solo sur la cymbale.</v>
      </c>
    </row>
    <row r="5018">
      <c r="A5018" s="4" t="s">
        <v>6300</v>
      </c>
      <c r="B5018" s="4" t="s">
        <v>6304</v>
      </c>
      <c r="C5018" s="5" t="str">
        <f>IFERROR(__xludf.DUMMYFUNCTION("GOOGLETRANSLATE(B5018,""en"",""fr"")"),"Le batteur termine la chanson et s'incline au public.")</f>
        <v>Le batteur termine la chanson et s'incline au public.</v>
      </c>
    </row>
    <row r="5019">
      <c r="A5019" s="4" t="s">
        <v>6305</v>
      </c>
      <c r="B5019" s="4" t="s">
        <v>6306</v>
      </c>
      <c r="C5019" s="5" t="str">
        <f>IFERROR(__xludf.DUMMYFUNCTION("GOOGLETRANSLATE(B5019,""en"",""fr"")"),"Une personne se met en fourrure d'un chien avec une pomme de douche violette attachée à un tuyau vert.")</f>
        <v>Une personne se met en fourrure d'un chien avec une pomme de douche violette attachée à un tuyau vert.</v>
      </c>
    </row>
    <row r="5020">
      <c r="A5020" s="4" t="s">
        <v>6305</v>
      </c>
      <c r="B5020" s="4" t="s">
        <v>6307</v>
      </c>
      <c r="C5020" s="5" t="str">
        <f>IFERROR(__xludf.DUMMYFUNCTION("GOOGLETRANSLATE(B5020,""en"",""fr"")"),"Le chien secoue sa fourrure.")</f>
        <v>Le chien secoue sa fourrure.</v>
      </c>
    </row>
    <row r="5021">
      <c r="A5021" s="4" t="s">
        <v>6305</v>
      </c>
      <c r="B5021" s="4" t="s">
        <v>6308</v>
      </c>
      <c r="C5021" s="5" t="str">
        <f>IFERROR(__xludf.DUMMYFUNCTION("GOOGLETRANSLATE(B5021,""en"",""fr"")"),"La personne continue de mouiller le chien.")</f>
        <v>La personne continue de mouiller le chien.</v>
      </c>
    </row>
    <row r="5022">
      <c r="A5022" s="4" t="s">
        <v>6309</v>
      </c>
      <c r="B5022" s="4" t="s">
        <v>6310</v>
      </c>
      <c r="C5022" s="5" t="str">
        <f>IFERROR(__xludf.DUMMYFUNCTION("GOOGLETRANSLATE(B5022,""en"",""fr"")"),"Un petit enfant est vu debout sur le sol et commence à boxer avec un autre.")</f>
        <v>Un petit enfant est vu debout sur le sol et commence à boxer avec un autre.</v>
      </c>
    </row>
    <row r="5023">
      <c r="A5023" s="4" t="s">
        <v>6309</v>
      </c>
      <c r="B5023" s="4" t="s">
        <v>6311</v>
      </c>
      <c r="C5023" s="5" t="str">
        <f>IFERROR(__xludf.DUMMYFUNCTION("GOOGLETRANSLATE(B5023,""en"",""fr"")"),"Le garçon utilise des gants de boxe pour frapper un homme devant lui également portant des gants.")</f>
        <v>Le garçon utilise des gants de boxe pour frapper un homme devant lui également portant des gants.</v>
      </c>
    </row>
    <row r="5024">
      <c r="A5024" s="4" t="s">
        <v>6309</v>
      </c>
      <c r="B5024" s="4" t="s">
        <v>6312</v>
      </c>
      <c r="C5024" s="5" t="str">
        <f>IFERROR(__xludf.DUMMYFUNCTION("GOOGLETRANSLATE(B5024,""en"",""fr"")"),"Les deux continuent d'y aller et de partir avec l'homme debout.")</f>
        <v>Les deux continuent d'y aller et de partir avec l'homme debout.</v>
      </c>
    </row>
    <row r="5025">
      <c r="A5025" s="4" t="s">
        <v>6313</v>
      </c>
      <c r="B5025" s="4" t="s">
        <v>6314</v>
      </c>
      <c r="C5025" s="5" t="str">
        <f>IFERROR(__xludf.DUMMYFUNCTION("GOOGLETRANSLATE(B5025,""en"",""fr"")"),"Un homme dans une veste noire se tient à l'extérieur pour parler.")</f>
        <v>Un homme dans une veste noire se tient à l'extérieur pour parler.</v>
      </c>
    </row>
    <row r="5026">
      <c r="A5026" s="4" t="s">
        <v>6313</v>
      </c>
      <c r="B5026" s="4" t="s">
        <v>6315</v>
      </c>
      <c r="C5026" s="5" t="str">
        <f>IFERROR(__xludf.DUMMYFUNCTION("GOOGLETRANSLATE(B5026,""en"",""fr"")"),"Les gens patinent sur une patinoire.")</f>
        <v>Les gens patinent sur une patinoire.</v>
      </c>
    </row>
    <row r="5027">
      <c r="A5027" s="4" t="s">
        <v>6313</v>
      </c>
      <c r="B5027" s="4" t="s">
        <v>6316</v>
      </c>
      <c r="C5027" s="5" t="str">
        <f>IFERROR(__xludf.DUMMYFUNCTION("GOOGLETRANSLATE(B5027,""en"",""fr"")"),"Un homme dans un chapeau rouge joue du hockey et fait plusieurs buts.")</f>
        <v>Un homme dans un chapeau rouge joue du hockey et fait plusieurs buts.</v>
      </c>
    </row>
    <row r="5028">
      <c r="A5028" s="4" t="s">
        <v>6317</v>
      </c>
      <c r="B5028" s="4" t="s">
        <v>6318</v>
      </c>
      <c r="C5028" s="5" t="str">
        <f>IFERROR(__xludf.DUMMYFUNCTION("GOOGLETRANSLATE(B5028,""en"",""fr"")"),"Un homme plus âgé est montré en train de nettoyer une voiture devant une maison avec un grattoir à neige.")</f>
        <v>Un homme plus âgé est montré en train de nettoyer une voiture devant une maison avec un grattoir à neige.</v>
      </c>
    </row>
    <row r="5029">
      <c r="A5029" s="4" t="s">
        <v>6317</v>
      </c>
      <c r="B5029" s="4" t="s">
        <v>6319</v>
      </c>
      <c r="C5029" s="5" t="str">
        <f>IFERROR(__xludf.DUMMYFUNCTION("GOOGLETRANSLATE(B5029,""en"",""fr"")"),"La caméra se déroule autour de la voiture tandis que l'homme plus âgé continue de repousser la neige.")</f>
        <v>La caméra se déroule autour de la voiture tandis que l'homme plus âgé continue de repousser la neige.</v>
      </c>
    </row>
    <row r="5030">
      <c r="A5030" s="4" t="s">
        <v>6320</v>
      </c>
      <c r="B5030" s="4" t="s">
        <v>6321</v>
      </c>
      <c r="C5030" s="5" t="str">
        <f>IFERROR(__xludf.DUMMYFUNCTION("GOOGLETRANSLATE(B5030,""en"",""fr"")"),"Une femme est dans une cuisine faisant une sauce tomate dans la cuisine.")</f>
        <v>Une femme est dans une cuisine faisant une sauce tomate dans la cuisine.</v>
      </c>
    </row>
    <row r="5031">
      <c r="A5031" s="4" t="s">
        <v>6320</v>
      </c>
      <c r="B5031" s="4" t="s">
        <v>6322</v>
      </c>
      <c r="C5031" s="5" t="str">
        <f>IFERROR(__xludf.DUMMYFUNCTION("GOOGLETRANSLATE(B5031,""en"",""fr"")"),"La femme montre à la caméra sa nourriture plaqué.")</f>
        <v>La femme montre à la caméra sa nourriture plaqué.</v>
      </c>
    </row>
    <row r="5032">
      <c r="A5032" s="4" t="s">
        <v>6320</v>
      </c>
      <c r="B5032" s="4" t="s">
        <v>6323</v>
      </c>
      <c r="C5032" s="5" t="str">
        <f>IFERROR(__xludf.DUMMYFUNCTION("GOOGLETRANSLATE(B5032,""en"",""fr"")"),"La femme attrape alors un vert et une boîte de pâtes.")</f>
        <v>La femme attrape alors un vert et une boîte de pâtes.</v>
      </c>
    </row>
    <row r="5033">
      <c r="A5033" s="4" t="s">
        <v>6320</v>
      </c>
      <c r="B5033" s="4" t="s">
        <v>6324</v>
      </c>
      <c r="C5033" s="5" t="str">
        <f>IFERROR(__xludf.DUMMYFUNCTION("GOOGLETRANSLATE(B5033,""en"",""fr"")"),"La dame commence alors à remuer la sauce tomate et y met des légumes verts.")</f>
        <v>La dame commence alors à remuer la sauce tomate et y met des légumes verts.</v>
      </c>
    </row>
    <row r="5034">
      <c r="A5034" s="4" t="s">
        <v>6320</v>
      </c>
      <c r="B5034" s="4" t="s">
        <v>6325</v>
      </c>
      <c r="C5034" s="5" t="str">
        <f>IFERROR(__xludf.DUMMYFUNCTION("GOOGLETRANSLATE(B5034,""en"",""fr"")"),"Enfin, la dame verse les pâtes dans la sauce.")</f>
        <v>Enfin, la dame verse les pâtes dans la sauce.</v>
      </c>
    </row>
    <row r="5035">
      <c r="A5035" s="4" t="s">
        <v>6326</v>
      </c>
      <c r="B5035" s="6" t="s">
        <v>6327</v>
      </c>
      <c r="C5035" s="5" t="str">
        <f>IFERROR(__xludf.DUMMYFUNCTION("GOOGLETRANSLATE(B5035,""en"",""fr"")"),"Un nettoyeur de fenêtres dans des baskets et un bonnet raccroche et nettoie une fenêtre avec une serviette, avec d'autres nettoyeurs derrière lui au travail.")</f>
        <v>Un nettoyeur de fenêtres dans des baskets et un bonnet raccroche et nettoie une fenêtre avec une serviette, avec d'autres nettoyeurs derrière lui au travail.</v>
      </c>
    </row>
    <row r="5036">
      <c r="A5036" s="4" t="s">
        <v>6326</v>
      </c>
      <c r="B5036" s="4" t="s">
        <v>6328</v>
      </c>
      <c r="C5036" s="5" t="str">
        <f>IFERROR(__xludf.DUMMYFUNCTION("GOOGLETRANSLATE(B5036,""en"",""fr"")"),"Il s'abaisse vers une autre section de la fenêtre et l'essuie avec une lame.")</f>
        <v>Il s'abaisse vers une autre section de la fenêtre et l'essuie avec une lame.</v>
      </c>
    </row>
    <row r="5037">
      <c r="A5037" s="4" t="s">
        <v>6326</v>
      </c>
      <c r="B5037" s="4" t="s">
        <v>6329</v>
      </c>
      <c r="C5037" s="5" t="str">
        <f>IFERROR(__xludf.DUMMYFUNCTION("GOOGLETRANSLATE(B5037,""en"",""fr"")"),"La personne de l'appareil photo se déroule dans l'environnement.")</f>
        <v>La personne de l'appareil photo se déroule dans l'environnement.</v>
      </c>
    </row>
    <row r="5038">
      <c r="A5038" s="4" t="s">
        <v>6330</v>
      </c>
      <c r="B5038" s="4" t="s">
        <v>6331</v>
      </c>
      <c r="C5038" s="5" t="str">
        <f>IFERROR(__xludf.DUMMYFUNCTION("GOOGLETRANSLATE(B5038,""en"",""fr"")"),"Nous voyons de petits garçons jouer du remorqueur de guerre dans un champ.")</f>
        <v>Nous voyons de petits garçons jouer du remorqueur de guerre dans un champ.</v>
      </c>
    </row>
    <row r="5039">
      <c r="A5039" s="4" t="s">
        <v>6330</v>
      </c>
      <c r="B5039" s="4" t="s">
        <v>6332</v>
      </c>
      <c r="C5039" s="5" t="str">
        <f>IFERROR(__xludf.DUMMYFUNCTION("GOOGLETRANSLATE(B5039,""en"",""fr"")"),"Un homme en noir passe devant les enfants.")</f>
        <v>Un homme en noir passe devant les enfants.</v>
      </c>
    </row>
    <row r="5040">
      <c r="A5040" s="4" t="s">
        <v>6330</v>
      </c>
      <c r="B5040" s="4" t="s">
        <v>6333</v>
      </c>
      <c r="C5040" s="5" t="str">
        <f>IFERROR(__xludf.DUMMYFUNCTION("GOOGLETRANSLATE(B5040,""en"",""fr"")"),"L'enfant dans la chemise blanche lâche la corde et met ses mains en l'air.")</f>
        <v>L'enfant dans la chemise blanche lâche la corde et met ses mains en l'air.</v>
      </c>
    </row>
    <row r="5041">
      <c r="A5041" s="4" t="s">
        <v>6330</v>
      </c>
      <c r="B5041" s="4" t="s">
        <v>6334</v>
      </c>
      <c r="C5041" s="5" t="str">
        <f>IFERROR(__xludf.DUMMYFUNCTION("GOOGLETRANSLATE(B5041,""en"",""fr"")"),"Une dame s'approche et parle aux enfants.")</f>
        <v>Une dame s'approche et parle aux enfants.</v>
      </c>
    </row>
    <row r="5042">
      <c r="A5042" s="4" t="s">
        <v>6335</v>
      </c>
      <c r="B5042" s="4" t="s">
        <v>6336</v>
      </c>
      <c r="C5042" s="5" t="str">
        <f>IFERROR(__xludf.DUMMYFUNCTION("GOOGLETRANSLATE(B5042,""en"",""fr"")"),"Une pile de bâtons est représentée dans une pile suivie d'une personne parlant et en tenant un objet.")</f>
        <v>Une pile de bâtons est représentée dans une pile suivie d'une personne parlant et en tenant un objet.</v>
      </c>
    </row>
    <row r="5043">
      <c r="A5043" s="4" t="s">
        <v>6335</v>
      </c>
      <c r="B5043" s="6" t="s">
        <v>6337</v>
      </c>
      <c r="C5043" s="5" t="str">
        <f>IFERROR(__xludf.DUMMYFUNCTION("GOOGLETRANSLATE(B5043,""en"",""fr"")"),"Les mains d'une personne sont ensuite vues allumer un match dans la pile et créer un feu lorsqu'il montre à nouveau son visage à la fin.")</f>
        <v>Les mains d'une personne sont ensuite vues allumer un match dans la pile et créer un feu lorsqu'il montre à nouveau son visage à la fin.</v>
      </c>
    </row>
    <row r="5044">
      <c r="A5044" s="4" t="s">
        <v>6338</v>
      </c>
      <c r="B5044" s="4" t="s">
        <v>6339</v>
      </c>
      <c r="C5044" s="5" t="str">
        <f>IFERROR(__xludf.DUMMYFUNCTION("GOOGLETRANSLATE(B5044,""en"",""fr"")"),"Un homme est vu debout derrière un grand animal tenant un rasoir et parlant à la caméra.")</f>
        <v>Un homme est vu debout derrière un grand animal tenant un rasoir et parlant à la caméra.</v>
      </c>
    </row>
    <row r="5045">
      <c r="A5045" s="4" t="s">
        <v>6338</v>
      </c>
      <c r="B5045" s="4" t="s">
        <v>6340</v>
      </c>
      <c r="C5045" s="5" t="str">
        <f>IFERROR(__xludf.DUMMYFUNCTION("GOOGLETRANSLATE(B5045,""en"",""fr"")"),"L'homme se rase ensuite tout autour du chien tout en s'arrêtant pour parler à la caméra et caresser le chien.")</f>
        <v>L'homme se rase ensuite tout autour du chien tout en s'arrêtant pour parler à la caméra et caresser le chien.</v>
      </c>
    </row>
    <row r="5046">
      <c r="A5046" s="4" t="s">
        <v>6341</v>
      </c>
      <c r="B5046" s="4" t="s">
        <v>6342</v>
      </c>
      <c r="C5046" s="5" t="str">
        <f>IFERROR(__xludf.DUMMYFUNCTION("GOOGLETRANSLATE(B5046,""en"",""fr"")"),"Une femme fait des tours avec sa corde de saut.")</f>
        <v>Une femme fait des tours avec sa corde de saut.</v>
      </c>
    </row>
    <row r="5047">
      <c r="A5047" s="4" t="s">
        <v>6341</v>
      </c>
      <c r="B5047" s="4" t="s">
        <v>6343</v>
      </c>
      <c r="C5047" s="5" t="str">
        <f>IFERROR(__xludf.DUMMYFUNCTION("GOOGLETRANSLATE(B5047,""en"",""fr"")"),"Elle fait un support de main pendant le saut.")</f>
        <v>Elle fait un support de main pendant le saut.</v>
      </c>
    </row>
    <row r="5048">
      <c r="A5048" s="4" t="s">
        <v>6341</v>
      </c>
      <c r="B5048" s="4" t="s">
        <v>6344</v>
      </c>
      <c r="C5048" s="5" t="str">
        <f>IFERROR(__xludf.DUMMYFUNCTION("GOOGLETRANSLATE(B5048,""en"",""fr"")"),"Elle fait un flip avant tout en sautant.")</f>
        <v>Elle fait un flip avant tout en sautant.</v>
      </c>
    </row>
    <row r="5049">
      <c r="A5049" s="4" t="s">
        <v>6341</v>
      </c>
      <c r="B5049" s="4" t="s">
        <v>6345</v>
      </c>
      <c r="C5049" s="5" t="str">
        <f>IFERROR(__xludf.DUMMYFUNCTION("GOOGLETRANSLATE(B5049,""en"",""fr"")"),"Elle s'arrête et avance.")</f>
        <v>Elle s'arrête et avance.</v>
      </c>
    </row>
    <row r="5050">
      <c r="A5050" s="4" t="s">
        <v>6346</v>
      </c>
      <c r="B5050" s="4" t="s">
        <v>1251</v>
      </c>
      <c r="C5050" s="5" t="str">
        <f>IFERROR(__xludf.DUMMYFUNCTION("GOOGLETRANSLATE(B5050,""en"",""fr"")"),"Les crédits du clip sont affichés.")</f>
        <v>Les crédits du clip sont affichés.</v>
      </c>
    </row>
    <row r="5051">
      <c r="A5051" s="4" t="s">
        <v>6346</v>
      </c>
      <c r="B5051" s="4" t="s">
        <v>6347</v>
      </c>
      <c r="C5051" s="5" t="str">
        <f>IFERROR(__xludf.DUMMYFUNCTION("GOOGLETRANSLATE(B5051,""en"",""fr"")"),"Les gens chargent des pneus gonflés dans le plan d'eau.")</f>
        <v>Les gens chargent des pneus gonflés dans le plan d'eau.</v>
      </c>
    </row>
    <row r="5052">
      <c r="A5052" s="4" t="s">
        <v>6346</v>
      </c>
      <c r="B5052" s="4" t="s">
        <v>6348</v>
      </c>
      <c r="C5052" s="5" t="str">
        <f>IFERROR(__xludf.DUMMYFUNCTION("GOOGLETRANSLATE(B5052,""en"",""fr"")"),"Les gens flottent sur des pneus gonflés.")</f>
        <v>Les gens flottent sur des pneus gonflés.</v>
      </c>
    </row>
    <row r="5053">
      <c r="A5053" s="4" t="s">
        <v>6346</v>
      </c>
      <c r="B5053" s="4" t="s">
        <v>6349</v>
      </c>
      <c r="C5053" s="5" t="str">
        <f>IFERROR(__xludf.DUMMYFUNCTION("GOOGLETRANSLATE(B5053,""en"",""fr"")"),"Les gens pulvérisent les pistolets à eau allongés.")</f>
        <v>Les gens pulvérisent les pistolets à eau allongés.</v>
      </c>
    </row>
    <row r="5054">
      <c r="A5054" s="4" t="s">
        <v>6346</v>
      </c>
      <c r="B5054" s="4" t="s">
        <v>6350</v>
      </c>
      <c r="C5054" s="5" t="str">
        <f>IFERROR(__xludf.DUMMYFUNCTION("GOOGLETRANSLATE(B5054,""en"",""fr"")"),"Les gens pagayent des canoës dans le plan d'eau.")</f>
        <v>Les gens pagayent des canoës dans le plan d'eau.</v>
      </c>
    </row>
    <row r="5055">
      <c r="A5055" s="4" t="s">
        <v>6346</v>
      </c>
      <c r="B5055" s="4" t="s">
        <v>6351</v>
      </c>
      <c r="C5055" s="5" t="str">
        <f>IFERROR(__xludf.DUMMYFUNCTION("GOOGLETRANSLATE(B5055,""en"",""fr"")"),"Un gars présente sa boîte de bière.")</f>
        <v>Un gars présente sa boîte de bière.</v>
      </c>
    </row>
    <row r="5056">
      <c r="A5056" s="4" t="s">
        <v>6346</v>
      </c>
      <c r="B5056" s="4" t="s">
        <v>6352</v>
      </c>
      <c r="C5056" s="5" t="str">
        <f>IFERROR(__xludf.DUMMYFUNCTION("GOOGLETRANSLATE(B5056,""en"",""fr"")"),"La vitesse de la vidéo est accélérée.")</f>
        <v>La vitesse de la vidéo est accélérée.</v>
      </c>
    </row>
    <row r="5057">
      <c r="A5057" s="4" t="s">
        <v>6353</v>
      </c>
      <c r="B5057" s="4" t="s">
        <v>6354</v>
      </c>
      <c r="C5057" s="5" t="str">
        <f>IFERROR(__xludf.DUMMYFUNCTION("GOOGLETRANSLATE(B5057,""en"",""fr"")"),"Les enfants jouent à la crosse sur un terrain.")</f>
        <v>Les enfants jouent à la crosse sur un terrain.</v>
      </c>
    </row>
    <row r="5058">
      <c r="A5058" s="4" t="s">
        <v>6353</v>
      </c>
      <c r="B5058" s="4" t="s">
        <v>6355</v>
      </c>
      <c r="C5058" s="5" t="str">
        <f>IFERROR(__xludf.DUMMYFUNCTION("GOOGLETRANSLATE(B5058,""en"",""fr"")"),"Une femme dans une veste bleue se tient sur le terrain en les regardant.")</f>
        <v>Une femme dans une veste bleue se tient sur le terrain en les regardant.</v>
      </c>
    </row>
    <row r="5059">
      <c r="A5059" s="4" t="s">
        <v>6353</v>
      </c>
      <c r="B5059" s="4" t="s">
        <v>6356</v>
      </c>
      <c r="C5059" s="5" t="str">
        <f>IFERROR(__xludf.DUMMYFUNCTION("GOOGLETRANSLATE(B5059,""en"",""fr"")"),"Les enfants poursuivent une balle jaune.")</f>
        <v>Les enfants poursuivent une balle jaune.</v>
      </c>
    </row>
    <row r="5060">
      <c r="A5060" s="4" t="s">
        <v>6357</v>
      </c>
      <c r="B5060" s="4" t="s">
        <v>6358</v>
      </c>
      <c r="C5060" s="5" t="str">
        <f>IFERROR(__xludf.DUMMYFUNCTION("GOOGLETRANSLATE(B5060,""en"",""fr"")"),"Une femme commence à courir sur une piste.")</f>
        <v>Une femme commence à courir sur une piste.</v>
      </c>
    </row>
    <row r="5061">
      <c r="A5061" s="4" t="s">
        <v>6357</v>
      </c>
      <c r="B5061" s="4" t="s">
        <v>6359</v>
      </c>
      <c r="C5061" s="5" t="str">
        <f>IFERROR(__xludf.DUMMYFUNCTION("GOOGLETRANSLATE(B5061,""en"",""fr"")"),"Elle jette un javelot sur le terrain.")</f>
        <v>Elle jette un javelot sur le terrain.</v>
      </c>
    </row>
    <row r="5062">
      <c r="A5062" s="4" t="s">
        <v>6357</v>
      </c>
      <c r="B5062" s="4" t="s">
        <v>6360</v>
      </c>
      <c r="C5062" s="5" t="str">
        <f>IFERROR(__xludf.DUMMYFUNCTION("GOOGLETRANSLATE(B5062,""en"",""fr"")"),"Elle donne à quelqu'un derrière elle un high cinq.")</f>
        <v>Elle donne à quelqu'un derrière elle un high cinq.</v>
      </c>
    </row>
    <row r="5063">
      <c r="A5063" s="4" t="s">
        <v>6361</v>
      </c>
      <c r="B5063" s="4" t="s">
        <v>6362</v>
      </c>
      <c r="C5063" s="5" t="str">
        <f>IFERROR(__xludf.DUMMYFUNCTION("GOOGLETRANSLATE(B5063,""en"",""fr"")"),"Ces personnes sont présentées à l'exercice sur les vélos d'exercice.")</f>
        <v>Ces personnes sont présentées à l'exercice sur les vélos d'exercice.</v>
      </c>
    </row>
    <row r="5064">
      <c r="A5064" s="4" t="s">
        <v>6361</v>
      </c>
      <c r="B5064" s="6" t="s">
        <v>6363</v>
      </c>
      <c r="C5064" s="5" t="str">
        <f>IFERROR(__xludf.DUMMYFUNCTION("GOOGLETRANSLATE(B5064,""en"",""fr"")"),"Ces gens pédalent en utilisant une seule jambe et ils se tiennent au milieu du vélo avec l'autre levant la main.")</f>
        <v>Ces gens pédalent en utilisant une seule jambe et ils se tiennent au milieu du vélo avec l'autre levant la main.</v>
      </c>
    </row>
    <row r="5065">
      <c r="A5065" s="4" t="s">
        <v>6361</v>
      </c>
      <c r="B5065" s="6" t="s">
        <v>6364</v>
      </c>
      <c r="C5065" s="5" t="str">
        <f>IFERROR(__xludf.DUMMYFUNCTION("GOOGLETRANSLATE(B5065,""en"",""fr"")"),"Ensuite, ils font un exercice différent où ils mettent un pied sur la pédale, alors qu'ils ont un pied et ils rebondissent de haut en bas.")</f>
        <v>Ensuite, ils font un exercice différent où ils mettent un pied sur la pédale, alors qu'ils ont un pied et ils rebondissent de haut en bas.</v>
      </c>
    </row>
    <row r="5066">
      <c r="A5066" s="4" t="s">
        <v>6365</v>
      </c>
      <c r="B5066" s="4" t="s">
        <v>6366</v>
      </c>
      <c r="C5066" s="5" t="str">
        <f>IFERROR(__xludf.DUMMYFUNCTION("GOOGLETRANSLATE(B5066,""en"",""fr"")"),"Une femme se tient sur le devant une jeune femme et parle.")</f>
        <v>Une femme se tient sur le devant une jeune femme et parle.</v>
      </c>
    </row>
    <row r="5067">
      <c r="A5067" s="4" t="s">
        <v>6365</v>
      </c>
      <c r="B5067" s="4" t="s">
        <v>6367</v>
      </c>
      <c r="C5067" s="5" t="str">
        <f>IFERROR(__xludf.DUMMYFUNCTION("GOOGLETRANSLATE(B5067,""en"",""fr"")"),"Ensuite, la femme et la jeune femme font de l'exercice de fitness pendant que la femme parle.")</f>
        <v>Ensuite, la femme et la jeune femme font de l'exercice de fitness pendant que la femme parle.</v>
      </c>
    </row>
    <row r="5068">
      <c r="A5068" s="4" t="s">
        <v>6365</v>
      </c>
      <c r="B5068" s="6" t="s">
        <v>6368</v>
      </c>
      <c r="C5068" s="5" t="str">
        <f>IFERROR(__xludf.DUMMYFUNCTION("GOOGLETRANSLATE(B5068,""en"",""fr"")"),"Après, la femme et la jeune femme cessent d'exercer, et la femme parle tout en faisant des gestes avec ses mains.")</f>
        <v>Après, la femme et la jeune femme cessent d'exercer, et la femme parle tout en faisant des gestes avec ses mains.</v>
      </c>
    </row>
    <row r="5069">
      <c r="A5069" s="4" t="s">
        <v>6369</v>
      </c>
      <c r="B5069" s="4" t="s">
        <v>6370</v>
      </c>
      <c r="C5069" s="5" t="str">
        <f>IFERROR(__xludf.DUMMYFUNCTION("GOOGLETRANSLATE(B5069,""en"",""fr"")"),"Une dame qui travaille dans un casino vous montre comment jouer à Black Jack.")</f>
        <v>Une dame qui travaille dans un casino vous montre comment jouer à Black Jack.</v>
      </c>
    </row>
    <row r="5070">
      <c r="A5070" s="4" t="s">
        <v>6369</v>
      </c>
      <c r="B5070" s="4" t="s">
        <v>6371</v>
      </c>
      <c r="C5070" s="5" t="str">
        <f>IFERROR(__xludf.DUMMYFUNCTION("GOOGLETRANSLATE(B5070,""en"",""fr"")"),"La dame traite deux cartes chacune 5 fois et s'occupe de lui-même une carte.")</f>
        <v>La dame traite deux cartes chacune 5 fois et s'occupe de lui-même une carte.</v>
      </c>
    </row>
    <row r="5071">
      <c r="A5071" s="4" t="s">
        <v>6369</v>
      </c>
      <c r="B5071" s="6" t="s">
        <v>6372</v>
      </c>
      <c r="C5071" s="5" t="str">
        <f>IFERROR(__xludf.DUMMYFUNCTION("GOOGLETRANSLATE(B5071,""en"",""fr"")"),"La dame explique ensuite ce que vous êtes autorisé à faire avec les cartes avec lesquelles vous êtes traité, elle traite également deux autres cartes une chaque deck.")</f>
        <v>La dame explique ensuite ce que vous êtes autorisé à faire avec les cartes avec lesquelles vous êtes traité, elle traite également deux autres cartes une chaque deck.</v>
      </c>
    </row>
    <row r="5072">
      <c r="A5072" s="4" t="s">
        <v>6369</v>
      </c>
      <c r="B5072" s="6" t="s">
        <v>6373</v>
      </c>
      <c r="C5072" s="5" t="str">
        <f>IFERROR(__xludf.DUMMYFUNCTION("GOOGLETRANSLATE(B5072,""en"",""fr"")"),"Enfin, elle traite deux autres cartes à elle-même et montre le résultat de l'ajout de puces aux domaines qu'elle a traités à partir du début.")</f>
        <v>Enfin, elle traite deux autres cartes à elle-même et montre le résultat de l'ajout de puces aux domaines qu'elle a traités à partir du début.</v>
      </c>
    </row>
    <row r="5073">
      <c r="A5073" s="4" t="s">
        <v>6369</v>
      </c>
      <c r="B5073" s="4" t="s">
        <v>6374</v>
      </c>
      <c r="C5073" s="5" t="str">
        <f>IFERROR(__xludf.DUMMYFUNCTION("GOOGLETRANSLATE(B5073,""en"",""fr"")"),"La dame ramasse ensuite toutes les cartes sur la table et le tour est terminé.")</f>
        <v>La dame ramasse ensuite toutes les cartes sur la table et le tour est terminé.</v>
      </c>
    </row>
    <row r="5074">
      <c r="A5074" s="4" t="s">
        <v>6375</v>
      </c>
      <c r="B5074" s="4" t="s">
        <v>6376</v>
      </c>
      <c r="C5074" s="5" t="str">
        <f>IFERROR(__xludf.DUMMYFUNCTION("GOOGLETRANSLATE(B5074,""en"",""fr"")"),"Le premier clip de la vidéo montre la séquence de titre.")</f>
        <v>Le premier clip de la vidéo montre la séquence de titre.</v>
      </c>
    </row>
    <row r="5075">
      <c r="A5075" s="4" t="s">
        <v>6375</v>
      </c>
      <c r="B5075" s="4" t="s">
        <v>6377</v>
      </c>
      <c r="C5075" s="5" t="str">
        <f>IFERROR(__xludf.DUMMYFUNCTION("GOOGLETRANSLATE(B5075,""en"",""fr"")"),"Un homme est ensuite montré dans un magasin de bowling parlant à la caméra.")</f>
        <v>Un homme est ensuite montré dans un magasin de bowling parlant à la caméra.</v>
      </c>
    </row>
    <row r="5076">
      <c r="A5076" s="4" t="s">
        <v>6375</v>
      </c>
      <c r="B5076" s="4" t="s">
        <v>6378</v>
      </c>
      <c r="C5076" s="5" t="str">
        <f>IFERROR(__xludf.DUMMYFUNCTION("GOOGLETRANSLATE(B5076,""en"",""fr"")"),"Une autre diapositive de titre présente le clip suivant.")</f>
        <v>Une autre diapositive de titre présente le clip suivant.</v>
      </c>
    </row>
    <row r="5077">
      <c r="A5077" s="4" t="s">
        <v>6375</v>
      </c>
      <c r="B5077" s="6" t="s">
        <v>6379</v>
      </c>
      <c r="C5077" s="5" t="str">
        <f>IFERROR(__xludf.DUMMYFUNCTION("GOOGLETRANSLATE(B5077,""en"",""fr"")"),"Alors que l'homme parle de la caméra, plusieurs clips sont illustrés à un homme qui roule une boule de bowling dans la voie.")</f>
        <v>Alors que l'homme parle de la caméra, plusieurs clips sont illustrés à un homme qui roule une boule de bowling dans la voie.</v>
      </c>
    </row>
    <row r="5078">
      <c r="A5078" s="4" t="s">
        <v>6375</v>
      </c>
      <c r="B5078" s="4" t="s">
        <v>6380</v>
      </c>
      <c r="C5078" s="5" t="str">
        <f>IFERROR(__xludf.DUMMYFUNCTION("GOOGLETRANSLATE(B5078,""en"",""fr"")"),"La vidéo se termine par un clip montrant le logo du titre et les informations sur le site Web.")</f>
        <v>La vidéo se termine par un clip montrant le logo du titre et les informations sur le site Web.</v>
      </c>
    </row>
    <row r="5079">
      <c r="A5079" s="4" t="s">
        <v>6381</v>
      </c>
      <c r="B5079" s="4" t="s">
        <v>6382</v>
      </c>
      <c r="C5079" s="5" t="str">
        <f>IFERROR(__xludf.DUMMYFUNCTION("GOOGLETRANSLATE(B5079,""en"",""fr"")"),"Un homme pousse un enfant sur le swing d'un grand parc.")</f>
        <v>Un homme pousse un enfant sur le swing d'un grand parc.</v>
      </c>
    </row>
    <row r="5080">
      <c r="A5080" s="4" t="s">
        <v>6381</v>
      </c>
      <c r="B5080" s="4" t="s">
        <v>6383</v>
      </c>
      <c r="C5080" s="5" t="str">
        <f>IFERROR(__xludf.DUMMYFUNCTION("GOOGLETRANSLATE(B5080,""en"",""fr"")"),"L'homme tient le swing et arrête l'enfant.")</f>
        <v>L'homme tient le swing et arrête l'enfant.</v>
      </c>
    </row>
    <row r="5081">
      <c r="A5081" s="4" t="s">
        <v>6381</v>
      </c>
      <c r="B5081" s="4" t="s">
        <v>6384</v>
      </c>
      <c r="C5081" s="5" t="str">
        <f>IFERROR(__xludf.DUMMYFUNCTION("GOOGLETRANSLATE(B5081,""en"",""fr"")"),"L'homme pousse le swing pour recommencer l'enfant.")</f>
        <v>L'homme pousse le swing pour recommencer l'enfant.</v>
      </c>
    </row>
    <row r="5082">
      <c r="A5082" s="4" t="s">
        <v>6385</v>
      </c>
      <c r="B5082" s="4" t="s">
        <v>6386</v>
      </c>
      <c r="C5082" s="5" t="str">
        <f>IFERROR(__xludf.DUMMYFUNCTION("GOOGLETRANSLATE(B5082,""en"",""fr"")"),"Un homme en haut de construction jaune est à l'intérieur de peindre le mur beige.")</f>
        <v>Un homme en haut de construction jaune est à l'intérieur de peindre le mur beige.</v>
      </c>
    </row>
    <row r="5083">
      <c r="A5083" s="4" t="s">
        <v>6385</v>
      </c>
      <c r="B5083" s="4" t="s">
        <v>6387</v>
      </c>
      <c r="C5083" s="5" t="str">
        <f>IFERROR(__xludf.DUMMYFUNCTION("GOOGLETRANSLATE(B5083,""en"",""fr"")"),"Il va de bas en haut et attrape plus de peinture sur son outil.")</f>
        <v>Il va de bas en haut et attrape plus de peinture sur son outil.</v>
      </c>
    </row>
    <row r="5084">
      <c r="A5084" s="4" t="s">
        <v>6385</v>
      </c>
      <c r="B5084" s="4" t="s">
        <v>6388</v>
      </c>
      <c r="C5084" s="5" t="str">
        <f>IFERROR(__xludf.DUMMYFUNCTION("GOOGLETRANSLATE(B5084,""en"",""fr"")"),"Il progresse assez rapidement à travers le mur comme il le fait.")</f>
        <v>Il progresse assez rapidement à travers le mur comme il le fait.</v>
      </c>
    </row>
    <row r="5085">
      <c r="A5085" s="4" t="s">
        <v>6385</v>
      </c>
      <c r="B5085" s="4" t="s">
        <v>6389</v>
      </c>
      <c r="C5085" s="5" t="str">
        <f>IFERROR(__xludf.DUMMYFUNCTION("GOOGLETRANSLATE(B5085,""en"",""fr"")"),"Il passe à mi-chemin sur le mur mais le bas du mur est encore blanc.")</f>
        <v>Il passe à mi-chemin sur le mur mais le bas du mur est encore blanc.</v>
      </c>
    </row>
    <row r="5086">
      <c r="A5086" s="4" t="s">
        <v>6390</v>
      </c>
      <c r="B5086" s="4" t="s">
        <v>6391</v>
      </c>
      <c r="C5086" s="5" t="str">
        <f>IFERROR(__xludf.DUMMYFUNCTION("GOOGLETRANSLATE(B5086,""en"",""fr"")"),"Un graphique présente la vidéo de lavage de voiture à main.")</f>
        <v>Un graphique présente la vidéo de lavage de voiture à main.</v>
      </c>
    </row>
    <row r="5087">
      <c r="A5087" s="4" t="s">
        <v>6390</v>
      </c>
      <c r="B5087" s="4" t="s">
        <v>6392</v>
      </c>
      <c r="C5087" s="5" t="str">
        <f>IFERROR(__xludf.DUMMYFUNCTION("GOOGLETRANSLATE(B5087,""en"",""fr"")"),"La voiture est lavée d'abord doucement avec du savon.")</f>
        <v>La voiture est lavée d'abord doucement avec du savon.</v>
      </c>
    </row>
    <row r="5088">
      <c r="A5088" s="4" t="s">
        <v>6390</v>
      </c>
      <c r="B5088" s="4" t="s">
        <v>6393</v>
      </c>
      <c r="C5088" s="5" t="str">
        <f>IFERROR(__xludf.DUMMYFUNCTION("GOOGLETRANSLATE(B5088,""en"",""fr"")"),"Ensuite, les pneus sont savoureux et lavés soigneusement.")</f>
        <v>Ensuite, les pneus sont savoureux et lavés soigneusement.</v>
      </c>
    </row>
    <row r="5089">
      <c r="A5089" s="4" t="s">
        <v>6390</v>
      </c>
      <c r="B5089" s="4" t="s">
        <v>6394</v>
      </c>
      <c r="C5089" s="5" t="str">
        <f>IFERROR(__xludf.DUMMYFUNCTION("GOOGLETRANSLATE(B5089,""en"",""fr"")"),"Après cela, le moteur de la voiture est nettoyé à la vapeur.")</f>
        <v>Après cela, le moteur de la voiture est nettoyé à la vapeur.</v>
      </c>
    </row>
    <row r="5090">
      <c r="A5090" s="4" t="s">
        <v>6390</v>
      </c>
      <c r="B5090" s="4" t="s">
        <v>6395</v>
      </c>
      <c r="C5090" s="5" t="str">
        <f>IFERROR(__xludf.DUMMYFUNCTION("GOOGLETRANSLATE(B5090,""en"",""fr"")"),"Un dernier rinçage gratuit est appliqué et la voiture est séchée.")</f>
        <v>Un dernier rinçage gratuit est appliqué et la voiture est séchée.</v>
      </c>
    </row>
    <row r="5091">
      <c r="A5091" s="4" t="s">
        <v>6396</v>
      </c>
      <c r="B5091" s="6" t="s">
        <v>6397</v>
      </c>
      <c r="C5091" s="5" t="str">
        <f>IFERROR(__xludf.DUMMYFUNCTION("GOOGLETRANSLATE(B5091,""en"",""fr"")"),"Un homme est vu debout dans une grande pièce et commence à frapper une balle contre un mur avec une raquette de tennis.")</f>
        <v>Un homme est vu debout dans une grande pièce et commence à frapper une balle contre un mur avec une raquette de tennis.</v>
      </c>
    </row>
    <row r="5092">
      <c r="A5092" s="4" t="s">
        <v>6396</v>
      </c>
      <c r="B5092" s="4" t="s">
        <v>6398</v>
      </c>
      <c r="C5092" s="5" t="str">
        <f>IFERROR(__xludf.DUMMYFUNCTION("GOOGLETRANSLATE(B5092,""en"",""fr"")"),"Plus de photos de lui frappant le ballon sont représentées dans la pièce et le ballon lui revient à la fin.")</f>
        <v>Plus de photos de lui frappant le ballon sont représentées dans la pièce et le ballon lui revient à la fin.</v>
      </c>
    </row>
    <row r="5093">
      <c r="A5093" s="4" t="s">
        <v>6399</v>
      </c>
      <c r="B5093" s="4" t="s">
        <v>6400</v>
      </c>
      <c r="C5093" s="5" t="str">
        <f>IFERROR(__xludf.DUMMYFUNCTION("GOOGLETRANSLATE(B5093,""en"",""fr"")"),"Un verre de lever de tequila est montré.")</f>
        <v>Un verre de lever de tequila est montré.</v>
      </c>
    </row>
    <row r="5094">
      <c r="A5094" s="4" t="s">
        <v>6399</v>
      </c>
      <c r="B5094" s="4" t="s">
        <v>6401</v>
      </c>
      <c r="C5094" s="5" t="str">
        <f>IFERROR(__xludf.DUMMYFUNCTION("GOOGLETRANSLATE(B5094,""en"",""fr"")"),"Un homme parle devant une démonstration de boissons alcoolisées.")</f>
        <v>Un homme parle devant une démonstration de boissons alcoolisées.</v>
      </c>
    </row>
    <row r="5095">
      <c r="A5095" s="4" t="s">
        <v>6399</v>
      </c>
      <c r="B5095" s="6" t="s">
        <v>6402</v>
      </c>
      <c r="C5095" s="5" t="str">
        <f>IFERROR(__xludf.DUMMYFUNCTION("GOOGLETRANSLATE(B5095,""en"",""fr"")"),"Il place les ingrédients de l'alcool et du jus sur une table, ajouté les ingrédients, ainsi que la grenadine à un grand verre avec de la glace.")</f>
        <v>Il place les ingrédients de l'alcool et du jus sur une table, ajouté les ingrédients, ainsi que la grenadine à un grand verre avec de la glace.</v>
      </c>
    </row>
    <row r="5096">
      <c r="A5096" s="4" t="s">
        <v>6399</v>
      </c>
      <c r="B5096" s="4" t="s">
        <v>6403</v>
      </c>
      <c r="C5096" s="5" t="str">
        <f>IFERROR(__xludf.DUMMYFUNCTION("GOOGLETRANSLATE(B5096,""en"",""fr"")"),"Il affiche la belle boisson sur la table.")</f>
        <v>Il affiche la belle boisson sur la table.</v>
      </c>
    </row>
    <row r="5097">
      <c r="A5097" s="4" t="s">
        <v>6404</v>
      </c>
      <c r="B5097" s="4" t="s">
        <v>6405</v>
      </c>
      <c r="C5097" s="5" t="str">
        <f>IFERROR(__xludf.DUMMYFUNCTION("GOOGLETRANSLATE(B5097,""en"",""fr"")"),"Un garçon parle devant une caméra dans sa chambre.")</f>
        <v>Un garçon parle devant une caméra dans sa chambre.</v>
      </c>
    </row>
    <row r="5098">
      <c r="A5098" s="4" t="s">
        <v>6404</v>
      </c>
      <c r="B5098" s="4" t="s">
        <v>6406</v>
      </c>
      <c r="C5098" s="5" t="str">
        <f>IFERROR(__xludf.DUMMYFUNCTION("GOOGLETRANSLATE(B5098,""en"",""fr"")"),"Il fume une cigarette, puis souffle la fumée de sa bouche.")</f>
        <v>Il fume une cigarette, puis souffle la fumée de sa bouche.</v>
      </c>
    </row>
    <row r="5099">
      <c r="A5099" s="4" t="s">
        <v>6404</v>
      </c>
      <c r="B5099" s="4" t="s">
        <v>6407</v>
      </c>
      <c r="C5099" s="5" t="str">
        <f>IFERROR(__xludf.DUMMYFUNCTION("GOOGLETRANSLATE(B5099,""en"",""fr"")"),"Il commence à faire des anneaux alors qu'il souffle la fumée.")</f>
        <v>Il commence à faire des anneaux alors qu'il souffle la fumée.</v>
      </c>
    </row>
    <row r="5100">
      <c r="A5100" s="4" t="s">
        <v>6408</v>
      </c>
      <c r="B5100" s="4" t="s">
        <v>6409</v>
      </c>
      <c r="C5100" s="5" t="str">
        <f>IFERROR(__xludf.DUMMYFUNCTION("GOOGLETRANSLATE(B5100,""en"",""fr"")"),"Une femme est assise comme une personne aux mains gantées insère un trou dans sa langue.")</f>
        <v>Une femme est assise comme une personne aux mains gantées insère un trou dans sa langue.</v>
      </c>
    </row>
    <row r="5101">
      <c r="A5101" s="4" t="s">
        <v>6408</v>
      </c>
      <c r="B5101" s="4" t="s">
        <v>6410</v>
      </c>
      <c r="C5101" s="5" t="str">
        <f>IFERROR(__xludf.DUMMYFUNCTION("GOOGLETRANSLATE(B5101,""en"",""fr"")"),"La personne serre sa langue, puis insère un piercing.")</f>
        <v>La personne serre sa langue, puis insère un piercing.</v>
      </c>
    </row>
    <row r="5102">
      <c r="A5102" s="4" t="s">
        <v>6408</v>
      </c>
      <c r="B5102" s="4" t="s">
        <v>6411</v>
      </c>
      <c r="C5102" s="5" t="str">
        <f>IFERROR(__xludf.DUMMYFUNCTION("GOOGLETRANSLATE(B5102,""en"",""fr"")"),"Elle est ensuite montrée en souriant et en montrant son étalon.")</f>
        <v>Elle est ensuite montrée en souriant et en montrant son étalon.</v>
      </c>
    </row>
    <row r="5103">
      <c r="A5103" s="4" t="s">
        <v>6412</v>
      </c>
      <c r="B5103" s="4" t="s">
        <v>6413</v>
      </c>
      <c r="C5103" s="5" t="str">
        <f>IFERROR(__xludf.DUMMYFUNCTION("GOOGLETRANSLATE(B5103,""en"",""fr"")"),"Plusieurs lutteurs sont montrés alignés dans un jeu avec une personne choisissant ses personnages.")</f>
        <v>Plusieurs lutteurs sont montrés alignés dans un jeu avec une personne choisissant ses personnages.</v>
      </c>
    </row>
    <row r="5104">
      <c r="A5104" s="4" t="s">
        <v>6412</v>
      </c>
      <c r="B5104" s="4" t="s">
        <v>6414</v>
      </c>
      <c r="C5104" s="5" t="str">
        <f>IFERROR(__xludf.DUMMYFUNCTION("GOOGLETRANSLATE(B5104,""en"",""fr"")"),"Le jeu se charge des gens qui se luttent entre eux dans un anneau.")</f>
        <v>Le jeu se charge des gens qui se luttent entre eux dans un anneau.</v>
      </c>
    </row>
    <row r="5105">
      <c r="A5105" s="4" t="s">
        <v>6412</v>
      </c>
      <c r="B5105" s="4" t="s">
        <v>6415</v>
      </c>
      <c r="C5105" s="5" t="str">
        <f>IFERROR(__xludf.DUMMYFUNCTION("GOOGLETRANSLATE(B5105,""en"",""fr"")"),"Les hommes continuent de lutter dans le jeu et se terminent en regardant un joueur.")</f>
        <v>Les hommes continuent de lutter dans le jeu et se terminent en regardant un joueur.</v>
      </c>
    </row>
    <row r="5106">
      <c r="A5106" s="4" t="s">
        <v>6416</v>
      </c>
      <c r="B5106" s="4" t="s">
        <v>6417</v>
      </c>
      <c r="C5106" s="5" t="str">
        <f>IFERROR(__xludf.DUMMYFUNCTION("GOOGLETRANSLATE(B5106,""en"",""fr"")"),"Il y a un homme démontrant comment faire fondre la cire et enrober les surfaces de cire à l'aide d'un fer.")</f>
        <v>Il y a un homme démontrant comment faire fondre la cire et enrober les surfaces de cire à l'aide d'un fer.</v>
      </c>
    </row>
    <row r="5107">
      <c r="A5107" s="4" t="s">
        <v>6416</v>
      </c>
      <c r="B5107" s="4" t="s">
        <v>6418</v>
      </c>
      <c r="C5107" s="5" t="str">
        <f>IFERROR(__xludf.DUMMYFUNCTION("GOOGLETRANSLATE(B5107,""en"",""fr"")"),"Il fait fondre un morceau de cire contre la surface chauffée du fer.")</f>
        <v>Il fait fondre un morceau de cire contre la surface chauffée du fer.</v>
      </c>
    </row>
    <row r="5108">
      <c r="A5108" s="4" t="s">
        <v>6416</v>
      </c>
      <c r="B5108" s="4" t="s">
        <v>6419</v>
      </c>
      <c r="C5108" s="5" t="str">
        <f>IFERROR(__xludf.DUMMYFUNCTION("GOOGLETRANSLATE(B5108,""en"",""fr"")"),"Puis il mène la cire et enrobe sur une surface.")</f>
        <v>Puis il mène la cire et enrobe sur une surface.</v>
      </c>
    </row>
    <row r="5109">
      <c r="A5109" s="4" t="s">
        <v>6416</v>
      </c>
      <c r="B5109" s="4" t="s">
        <v>6420</v>
      </c>
      <c r="C5109" s="5" t="str">
        <f>IFERROR(__xludf.DUMMYFUNCTION("GOOGLETRANSLATE(B5109,""en"",""fr"")"),"Après le refroidissement de la cire et se solidifie, il le gratte de la surface.")</f>
        <v>Après le refroidissement de la cire et se solidifie, il le gratte de la surface.</v>
      </c>
    </row>
    <row r="5110">
      <c r="A5110" s="4" t="s">
        <v>6421</v>
      </c>
      <c r="B5110" s="4" t="s">
        <v>6422</v>
      </c>
      <c r="C5110" s="5" t="str">
        <f>IFERROR(__xludf.DUMMYFUNCTION("GOOGLETRANSLATE(B5110,""en"",""fr"")"),"Un groupe d'hommes traverse une salle de sport.")</f>
        <v>Un groupe d'hommes traverse une salle de sport.</v>
      </c>
    </row>
    <row r="5111">
      <c r="A5111" s="4" t="s">
        <v>6421</v>
      </c>
      <c r="B5111" s="4" t="s">
        <v>6423</v>
      </c>
      <c r="C5111" s="5" t="str">
        <f>IFERROR(__xludf.DUMMYFUNCTION("GOOGLETRANSLATE(B5111,""en"",""fr"")"),"Ils s'épuisent dans un anneau ensemble.")</f>
        <v>Ils s'épuisent dans un anneau ensemble.</v>
      </c>
    </row>
    <row r="5112">
      <c r="A5112" s="4" t="s">
        <v>6421</v>
      </c>
      <c r="B5112" s="4" t="s">
        <v>6424</v>
      </c>
      <c r="C5112" s="5" t="str">
        <f>IFERROR(__xludf.DUMMYFUNCTION("GOOGLETRANSLATE(B5112,""en"",""fr"")"),"Ils s'engagent ensuite dans un match de lutte.")</f>
        <v>Ils s'engagent ensuite dans un match de lutte.</v>
      </c>
    </row>
    <row r="5113">
      <c r="A5113" s="4" t="s">
        <v>6425</v>
      </c>
      <c r="B5113" s="4" t="s">
        <v>6426</v>
      </c>
      <c r="C5113" s="5" t="str">
        <f>IFERROR(__xludf.DUMMYFUNCTION("GOOGLETRANSLATE(B5113,""en"",""fr"")"),"Un garçon parle à la caméra sur une plage.")</f>
        <v>Un garçon parle à la caméra sur une plage.</v>
      </c>
    </row>
    <row r="5114">
      <c r="A5114" s="4" t="s">
        <v>6425</v>
      </c>
      <c r="B5114" s="4" t="s">
        <v>6427</v>
      </c>
      <c r="C5114" s="5" t="str">
        <f>IFERROR(__xludf.DUMMYFUNCTION("GOOGLETRANSLATE(B5114,""en"",""fr"")"),"Un homme marche de droite à gauche en arrière-plan.")</f>
        <v>Un homme marche de droite à gauche en arrière-plan.</v>
      </c>
    </row>
    <row r="5115">
      <c r="A5115" s="4" t="s">
        <v>6425</v>
      </c>
      <c r="B5115" s="4" t="s">
        <v>6428</v>
      </c>
      <c r="C5115" s="5" t="str">
        <f>IFERROR(__xludf.DUMMYFUNCTION("GOOGLETRANSLATE(B5115,""en"",""fr"")"),"Le garçon interagit avec un homme devant un château de sable.")</f>
        <v>Le garçon interagit avec un homme devant un château de sable.</v>
      </c>
    </row>
    <row r="5116">
      <c r="A5116" s="4" t="s">
        <v>6425</v>
      </c>
      <c r="B5116" s="4" t="s">
        <v>6429</v>
      </c>
      <c r="C5116" s="5" t="str">
        <f>IFERROR(__xludf.DUMMYFUNCTION("GOOGLETRANSLATE(B5116,""en"",""fr"")"),"Une femme marche de droite à gauche en arrière-plan.")</f>
        <v>Une femme marche de droite à gauche en arrière-plan.</v>
      </c>
    </row>
    <row r="5117">
      <c r="A5117" s="4" t="s">
        <v>6425</v>
      </c>
      <c r="B5117" s="6" t="s">
        <v>6430</v>
      </c>
      <c r="C5117" s="5" t="str">
        <f>IFERROR(__xludf.DUMMYFUNCTION("GOOGLETRANSLATE(B5117,""en"",""fr"")"),"Plusieurs images fixes du garçon et de l'homme, parfois avec d'autres personnes, sont montrées devant le château de Sand à différentes étapes de l'achèvement.")</f>
        <v>Plusieurs images fixes du garçon et de l'homme, parfois avec d'autres personnes, sont montrées devant le château de Sand à différentes étapes de l'achèvement.</v>
      </c>
    </row>
    <row r="5118">
      <c r="A5118" s="4" t="s">
        <v>6425</v>
      </c>
      <c r="B5118" s="6" t="s">
        <v>6431</v>
      </c>
      <c r="C5118" s="5" t="str">
        <f>IFERROR(__xludf.DUMMYFUNCTION("GOOGLETRANSLATE(B5118,""en"",""fr"")"),"Le garçon, maintenant avec deux petits enfants, interagit avec l'homme qui travaille toujours sur le château de sable.")</f>
        <v>Le garçon, maintenant avec deux petits enfants, interagit avec l'homme qui travaille toujours sur le château de sable.</v>
      </c>
    </row>
    <row r="5119">
      <c r="A5119" s="4" t="s">
        <v>6425</v>
      </c>
      <c r="B5119" s="4" t="s">
        <v>6432</v>
      </c>
      <c r="C5119" s="5" t="str">
        <f>IFERROR(__xludf.DUMMYFUNCTION("GOOGLETRANSLATE(B5119,""en"",""fr"")"),"Plus d'images fixes de divers groupes de personnes à côté du château de sable sont montrées.")</f>
        <v>Plus d'images fixes de divers groupes de personnes à côté du château de sable sont montrées.</v>
      </c>
    </row>
    <row r="5120">
      <c r="A5120" s="4" t="s">
        <v>6433</v>
      </c>
      <c r="B5120" s="4" t="s">
        <v>6434</v>
      </c>
      <c r="C5120" s="5" t="str">
        <f>IFERROR(__xludf.DUMMYFUNCTION("GOOGLETRANSLATE(B5120,""en"",""fr"")"),"Nous voyons des enfants se laver les mains dans une salle de classe à Kid Height Sinks.")</f>
        <v>Nous voyons des enfants se laver les mains dans une salle de classe à Kid Height Sinks.</v>
      </c>
    </row>
    <row r="5121">
      <c r="A5121" s="4" t="s">
        <v>6433</v>
      </c>
      <c r="B5121" s="4" t="s">
        <v>6435</v>
      </c>
      <c r="C5121" s="5" t="str">
        <f>IFERROR(__xludf.DUMMYFUNCTION("GOOGLETRANSLATE(B5121,""en"",""fr"")"),"Nous regardons le garçon essayer d'obtenir du savon.")</f>
        <v>Nous regardons le garçon essayer d'obtenir du savon.</v>
      </c>
    </row>
    <row r="5122">
      <c r="A5122" s="4" t="s">
        <v>6433</v>
      </c>
      <c r="B5122" s="4" t="s">
        <v>6436</v>
      </c>
      <c r="C5122" s="5" t="str">
        <f>IFERROR(__xludf.DUMMYFUNCTION("GOOGLETRANSLATE(B5122,""en"",""fr"")"),"Le garçon utilise à nouveau le distributeur de savon.")</f>
        <v>Le garçon utilise à nouveau le distributeur de savon.</v>
      </c>
    </row>
    <row r="5123">
      <c r="A5123" s="4" t="s">
        <v>6433</v>
      </c>
      <c r="B5123" s="4" t="s">
        <v>6437</v>
      </c>
      <c r="C5123" s="5" t="str">
        <f>IFERROR(__xludf.DUMMYFUNCTION("GOOGLETRANSLATE(B5123,""en"",""fr"")"),"Le garçon regarde la caméra et parle.")</f>
        <v>Le garçon regarde la caméra et parle.</v>
      </c>
    </row>
    <row r="5124">
      <c r="A5124" s="4" t="s">
        <v>6433</v>
      </c>
      <c r="B5124" s="4" t="s">
        <v>6438</v>
      </c>
      <c r="C5124" s="5" t="str">
        <f>IFERROR(__xludf.DUMMYFUNCTION("GOOGLETRANSLATE(B5124,""en"",""fr"")"),"Un adulte lui attrape la main quand il tente d'obtenir plus de savon.")</f>
        <v>Un adulte lui attrape la main quand il tente d'obtenir plus de savon.</v>
      </c>
    </row>
    <row r="5125">
      <c r="A5125" s="4" t="s">
        <v>6439</v>
      </c>
      <c r="B5125" s="4" t="s">
        <v>6440</v>
      </c>
      <c r="C5125" s="5" t="str">
        <f>IFERROR(__xludf.DUMMYFUNCTION("GOOGLETRANSLATE(B5125,""en"",""fr"")"),"Une introduction mène à plusieurs plans d'une piste de vélo ainsi qu'à des gens qui se déplacent le long de la piste pour courir.")</f>
        <v>Une introduction mène à plusieurs plans d'une piste de vélo ainsi qu'à des gens qui se déplacent le long de la piste pour courir.</v>
      </c>
    </row>
    <row r="5126">
      <c r="A5126" s="4" t="s">
        <v>6439</v>
      </c>
      <c r="B5126" s="6" t="s">
        <v>6441</v>
      </c>
      <c r="C5126" s="5" t="str">
        <f>IFERROR(__xludf.DUMMYFUNCTION("GOOGLETRANSLATE(B5126,""en"",""fr"")"),"La caméra continue de capturer les gens qui roulent sur la piste au ralenti avec une personne tombant et plusieurs regardant sur les côtés.")</f>
        <v>La caméra continue de capturer les gens qui roulent sur la piste au ralenti avec une personne tombant et plusieurs regardant sur les côtés.</v>
      </c>
    </row>
    <row r="5127">
      <c r="A5127" s="4" t="s">
        <v>6439</v>
      </c>
      <c r="B5127" s="4" t="s">
        <v>6442</v>
      </c>
      <c r="C5127" s="5" t="str">
        <f>IFERROR(__xludf.DUMMYFUNCTION("GOOGLETRANSLATE(B5127,""en"",""fr"")"),"Les gens traversent ensuite la ligne d'arrivée et jettent les bras en l'air.")</f>
        <v>Les gens traversent ensuite la ligne d'arrivée et jettent les bras en l'air.</v>
      </c>
    </row>
    <row r="5128">
      <c r="A5128" s="4" t="s">
        <v>6443</v>
      </c>
      <c r="B5128" s="4" t="s">
        <v>6444</v>
      </c>
      <c r="C5128" s="5" t="str">
        <f>IFERROR(__xludf.DUMMYFUNCTION("GOOGLETRANSLATE(B5128,""en"",""fr"")"),"Un vélo retourné à l'envers est contre le mur lorsqu'un changement orange est montré.")</f>
        <v>Un vélo retourné à l'envers est contre le mur lorsqu'un changement orange est montré.</v>
      </c>
    </row>
    <row r="5129">
      <c r="A5129" s="4" t="s">
        <v>6443</v>
      </c>
      <c r="B5129" s="4" t="s">
        <v>6445</v>
      </c>
      <c r="C5129" s="5" t="str">
        <f>IFERROR(__xludf.DUMMYFUNCTION("GOOGLETRANSLATE(B5129,""en"",""fr"")"),"Une personne vient alors et retire la chaîne du vélo et la place sur le sol.")</f>
        <v>Une personne vient alors et retire la chaîne du vélo et la place sur le sol.</v>
      </c>
    </row>
    <row r="5130">
      <c r="A5130" s="4" t="s">
        <v>6443</v>
      </c>
      <c r="B5130" s="4" t="s">
        <v>6446</v>
      </c>
      <c r="C5130" s="5" t="str">
        <f>IFERROR(__xludf.DUMMYFUNCTION("GOOGLETRANSLATE(B5130,""en"",""fr"")"),"L'homme sort ensuite un critère et commence à mesurer certaines parties du vélo.")</f>
        <v>L'homme sort ensuite un critère et commence à mesurer certaines parties du vélo.</v>
      </c>
    </row>
    <row r="5131">
      <c r="A5131" s="4" t="s">
        <v>6443</v>
      </c>
      <c r="B5131" s="6" t="s">
        <v>6447</v>
      </c>
      <c r="C5131" s="5" t="str">
        <f>IFERROR(__xludf.DUMMYFUNCTION("GOOGLETRANSLATE(B5131,""en"",""fr"")"),"Les pièces sont ensuite retirées et resserrées avec la clé et les anneaux sont placés à l'intérieur où va la chaîne.")</f>
        <v>Les pièces sont ensuite retirées et resserrées avec la clé et les anneaux sont placés à l'intérieur où va la chaîne.</v>
      </c>
    </row>
    <row r="5132">
      <c r="A5132" s="4" t="s">
        <v>6448</v>
      </c>
      <c r="B5132" s="4" t="s">
        <v>6449</v>
      </c>
      <c r="C5132" s="5" t="str">
        <f>IFERROR(__xludf.DUMMYFUNCTION("GOOGLETRANSLATE(B5132,""en"",""fr"")"),"Un homme fait du tai-chi se déplace sur une plage seule devant le soleil.")</f>
        <v>Un homme fait du tai-chi se déplace sur une plage seule devant le soleil.</v>
      </c>
    </row>
    <row r="5133">
      <c r="A5133" s="4" t="s">
        <v>6448</v>
      </c>
      <c r="B5133" s="6" t="s">
        <v>6450</v>
      </c>
      <c r="C5133" s="5" t="str">
        <f>IFERROR(__xludf.DUMMYFUNCTION("GOOGLETRANSLATE(B5133,""en"",""fr"")"),"Un groupe de personnes tous vêtus de blanc rejoint l'homme sur la plage et fait les mouvements des arts martiaux.")</f>
        <v>Un groupe de personnes tous vêtus de blanc rejoint l'homme sur la plage et fait les mouvements des arts martiaux.</v>
      </c>
    </row>
    <row r="5134">
      <c r="A5134" s="4" t="s">
        <v>6448</v>
      </c>
      <c r="B5134" s="4" t="s">
        <v>6451</v>
      </c>
      <c r="C5134" s="5" t="str">
        <f>IFERROR(__xludf.DUMMYFUNCTION("GOOGLETRANSLATE(B5134,""en"",""fr"")"),"L'homme est à nouveau seul à faire les mouvements.")</f>
        <v>L'homme est à nouveau seul à faire les mouvements.</v>
      </c>
    </row>
    <row r="5135">
      <c r="A5135" s="4" t="s">
        <v>6448</v>
      </c>
      <c r="B5135" s="4" t="s">
        <v>6452</v>
      </c>
      <c r="C5135" s="5" t="str">
        <f>IFERROR(__xludf.DUMMYFUNCTION("GOOGLETRANSLATE(B5135,""en"",""fr"")"),"Les gens sont avec l'homme qui fait du Tai Chi sur la plage.")</f>
        <v>Les gens sont avec l'homme qui fait du Tai Chi sur la plage.</v>
      </c>
    </row>
    <row r="5136">
      <c r="A5136" s="4" t="s">
        <v>6448</v>
      </c>
      <c r="B5136" s="4" t="s">
        <v>6453</v>
      </c>
      <c r="C5136" s="5" t="str">
        <f>IFERROR(__xludf.DUMMYFUNCTION("GOOGLETRANSLATE(B5136,""en"",""fr"")"),"L'homme est seul sur une colline en faisant les mouvements.")</f>
        <v>L'homme est seul sur une colline en faisant les mouvements.</v>
      </c>
    </row>
    <row r="5137">
      <c r="A5137" s="4" t="s">
        <v>6448</v>
      </c>
      <c r="B5137" s="4" t="s">
        <v>6454</v>
      </c>
      <c r="C5137" s="5" t="str">
        <f>IFERROR(__xludf.DUMMYFUNCTION("GOOGLETRANSLATE(B5137,""en"",""fr"")"),"L'homme est de retour sur la plage en faisant les mouvements alors que le soleil commence à se coucher.")</f>
        <v>L'homme est de retour sur la plage en faisant les mouvements alors que le soleil commence à se coucher.</v>
      </c>
    </row>
    <row r="5138">
      <c r="A5138" s="4" t="s">
        <v>6448</v>
      </c>
      <c r="B5138" s="4" t="s">
        <v>6455</v>
      </c>
      <c r="C5138" s="5" t="str">
        <f>IFERROR(__xludf.DUMMYFUNCTION("GOOGLETRANSLATE(B5138,""en"",""fr"")"),"Les gens font les mouvements avec lui sur la plage.")</f>
        <v>Les gens font les mouvements avec lui sur la plage.</v>
      </c>
    </row>
    <row r="5139">
      <c r="A5139" s="4" t="s">
        <v>6448</v>
      </c>
      <c r="B5139" s="4" t="s">
        <v>6456</v>
      </c>
      <c r="C5139" s="5" t="str">
        <f>IFERROR(__xludf.DUMMYFUNCTION("GOOGLETRANSLATE(B5139,""en"",""fr"")"),"Les mots tombent sur l'écran.")</f>
        <v>Les mots tombent sur l'écran.</v>
      </c>
    </row>
    <row r="5140">
      <c r="A5140" s="4" t="s">
        <v>6457</v>
      </c>
      <c r="B5140" s="4" t="s">
        <v>6458</v>
      </c>
      <c r="C5140" s="5" t="str">
        <f>IFERROR(__xludf.DUMMYFUNCTION("GOOGLETRANSLATE(B5140,""en"",""fr"")"),"Un garçon dans un chapeau parle.")</f>
        <v>Un garçon dans un chapeau parle.</v>
      </c>
    </row>
    <row r="5141">
      <c r="A5141" s="4" t="s">
        <v>6457</v>
      </c>
      <c r="B5141" s="4" t="s">
        <v>6459</v>
      </c>
      <c r="C5141" s="5" t="str">
        <f>IFERROR(__xludf.DUMMYFUNCTION("GOOGLETRANSLATE(B5141,""en"",""fr"")"),"Il fume quelque chose et souffle la fumée en l'air.")</f>
        <v>Il fume quelque chose et souffle la fumée en l'air.</v>
      </c>
    </row>
    <row r="5142">
      <c r="A5142" s="4" t="s">
        <v>6457</v>
      </c>
      <c r="B5142" s="4" t="s">
        <v>6460</v>
      </c>
      <c r="C5142" s="5" t="str">
        <f>IFERROR(__xludf.DUMMYFUNCTION("GOOGLETRANSLATE(B5142,""en"",""fr"")"),"Il continue de parler à la caméra.")</f>
        <v>Il continue de parler à la caméra.</v>
      </c>
    </row>
    <row r="5143">
      <c r="A5143" s="4" t="s">
        <v>6457</v>
      </c>
      <c r="B5143" s="4" t="s">
        <v>6461</v>
      </c>
      <c r="C5143" s="5" t="str">
        <f>IFERROR(__xludf.DUMMYFUNCTION("GOOGLETRANSLATE(B5143,""en"",""fr"")"),"Il fume à nouveau du tuyau et souffle la fumée plusieurs fois.")</f>
        <v>Il fume à nouveau du tuyau et souffle la fumée plusieurs fois.</v>
      </c>
    </row>
    <row r="5144">
      <c r="A5144" s="4" t="s">
        <v>6462</v>
      </c>
      <c r="B5144" s="4" t="s">
        <v>6463</v>
      </c>
      <c r="C5144" s="5" t="str">
        <f>IFERROR(__xludf.DUMMYFUNCTION("GOOGLETRANSLATE(B5144,""en"",""fr"")"),"Un tout-petit fer à repasser un vêtement sur une planche de jouets.")</f>
        <v>Un tout-petit fer à repasser un vêtement sur une planche de jouets.</v>
      </c>
    </row>
    <row r="5145">
      <c r="A5145" s="4" t="s">
        <v>6462</v>
      </c>
      <c r="B5145" s="4" t="s">
        <v>6464</v>
      </c>
      <c r="C5145" s="5" t="str">
        <f>IFERROR(__xludf.DUMMYFUNCTION("GOOGLETRANSLATE(B5145,""en"",""fr"")"),"Le tout-petit pulvérise le vêtement et les plis, puis elle continue de le repasser.")</f>
        <v>Le tout-petit pulvérise le vêtement et les plis, puis elle continue de le repasser.</v>
      </c>
    </row>
    <row r="5146">
      <c r="A5146" s="4" t="s">
        <v>6462</v>
      </c>
      <c r="B5146" s="4" t="s">
        <v>6465</v>
      </c>
      <c r="C5146" s="5" t="str">
        <f>IFERROR(__xludf.DUMMYFUNCTION("GOOGLETRANSLATE(B5146,""en"",""fr"")"),"Ensuite, le tout-petit se replie à nouveau le vêtement et le repousse.")</f>
        <v>Ensuite, le tout-petit se replie à nouveau le vêtement et le repousse.</v>
      </c>
    </row>
    <row r="5147">
      <c r="A5147" s="4" t="s">
        <v>6466</v>
      </c>
      <c r="B5147" s="4" t="s">
        <v>6467</v>
      </c>
      <c r="C5147" s="5" t="str">
        <f>IFERROR(__xludf.DUMMYFUNCTION("GOOGLETRANSLATE(B5147,""en"",""fr"")"),"Une personne est vue portant du matériel et errant dans une zone herbeuse.")</f>
        <v>Une personne est vue portant du matériel et errant dans une zone herbeuse.</v>
      </c>
    </row>
    <row r="5148">
      <c r="A5148" s="4" t="s">
        <v>6466</v>
      </c>
      <c r="B5148" s="4" t="s">
        <v>6468</v>
      </c>
      <c r="C5148" s="5" t="str">
        <f>IFERROR(__xludf.DUMMYFUNCTION("GOOGLETRANSLATE(B5148,""en"",""fr"")"),"L'homme utilise un outil pour couper le long de l'herbe.")</f>
        <v>L'homme utilise un outil pour couper le long de l'herbe.</v>
      </c>
    </row>
    <row r="5149">
      <c r="A5149" s="4" t="s">
        <v>6466</v>
      </c>
      <c r="B5149" s="4" t="s">
        <v>6469</v>
      </c>
      <c r="C5149" s="5" t="str">
        <f>IFERROR(__xludf.DUMMYFUNCTION("GOOGLETRANSLATE(B5149,""en"",""fr"")"),"Il continue de se déplacer le long de l'herbe et de montrer l'outil à la fin.")</f>
        <v>Il continue de se déplacer le long de l'herbe et de montrer l'outil à la fin.</v>
      </c>
    </row>
    <row r="5150">
      <c r="A5150" s="4" t="s">
        <v>6470</v>
      </c>
      <c r="B5150" s="4" t="s">
        <v>6471</v>
      </c>
      <c r="C5150" s="5" t="str">
        <f>IFERROR(__xludf.DUMMYFUNCTION("GOOGLETRANSLATE(B5150,""en"",""fr"")"),"Une personne fait du vélo de terre sur une colline.")</f>
        <v>Une personne fait du vélo de terre sur une colline.</v>
      </c>
    </row>
    <row r="5151">
      <c r="A5151" s="4" t="s">
        <v>6470</v>
      </c>
      <c r="B5151" s="4" t="s">
        <v>6472</v>
      </c>
      <c r="C5151" s="5" t="str">
        <f>IFERROR(__xludf.DUMMYFUNCTION("GOOGLETRANSLATE(B5151,""en"",""fr"")"),"Quelqu'un se tient au sommet d'une colline de terre.")</f>
        <v>Quelqu'un se tient au sommet d'une colline de terre.</v>
      </c>
    </row>
    <row r="5152">
      <c r="A5152" s="4" t="s">
        <v>6470</v>
      </c>
      <c r="B5152" s="4" t="s">
        <v>6473</v>
      </c>
      <c r="C5152" s="5" t="str">
        <f>IFERROR(__xludf.DUMMYFUNCTION("GOOGLETRANSLATE(B5152,""en"",""fr"")"),"Les gens se tiennent sur le côté de la colline.")</f>
        <v>Les gens se tiennent sur le côté de la colline.</v>
      </c>
    </row>
    <row r="5153">
      <c r="A5153" s="4" t="s">
        <v>6474</v>
      </c>
      <c r="B5153" s="4" t="s">
        <v>6475</v>
      </c>
      <c r="C5153" s="5" t="str">
        <f>IFERROR(__xludf.DUMMYFUNCTION("GOOGLETRANSLATE(B5153,""en"",""fr"")"),"Un homme remuait un pot sur un poêle.")</f>
        <v>Un homme remuait un pot sur un poêle.</v>
      </c>
    </row>
    <row r="5154">
      <c r="A5154" s="4" t="s">
        <v>6474</v>
      </c>
      <c r="B5154" s="4" t="s">
        <v>6476</v>
      </c>
      <c r="C5154" s="5" t="str">
        <f>IFERROR(__xludf.DUMMYFUNCTION("GOOGLETRANSLATE(B5154,""en"",""fr"")"),"Une assiette est amenée au poêle.")</f>
        <v>Une assiette est amenée au poêle.</v>
      </c>
    </row>
    <row r="5155">
      <c r="A5155" s="4" t="s">
        <v>6474</v>
      </c>
      <c r="B5155" s="4" t="s">
        <v>6477</v>
      </c>
      <c r="C5155" s="5" t="str">
        <f>IFERROR(__xludf.DUMMYFUNCTION("GOOGLETRANSLATE(B5155,""en"",""fr"")"),"Il jette ce qui était dans la casserole dans l'assiette.")</f>
        <v>Il jette ce qui était dans la casserole dans l'assiette.</v>
      </c>
    </row>
    <row r="5156">
      <c r="A5156" s="4" t="s">
        <v>6478</v>
      </c>
      <c r="B5156" s="6" t="s">
        <v>6479</v>
      </c>
      <c r="C5156" s="5" t="str">
        <f>IFERROR(__xludf.DUMMYFUNCTION("GOOGLETRANSLATE(B5156,""en"",""fr"")"),"De nombreuses femmes différentes portant de nombreuses chaussures différentes marchent sur un chien sur le trottoir, l'une portant des quartiers monte des escaliers.")</f>
        <v>De nombreuses femmes différentes portant de nombreuses chaussures différentes marchent sur un chien sur le trottoir, l'une portant des quartiers monte des escaliers.</v>
      </c>
    </row>
    <row r="5157">
      <c r="A5157" s="4" t="s">
        <v>6478</v>
      </c>
      <c r="B5157" s="4" t="s">
        <v>6480</v>
      </c>
      <c r="C5157" s="5" t="str">
        <f>IFERROR(__xludf.DUMMYFUNCTION("GOOGLETRANSLATE(B5157,""en"",""fr"")"),"Un homme commence à parler de ce qui semble être un salon de styliste de chien.")</f>
        <v>Un homme commence à parler de ce qui semble être un salon de styliste de chien.</v>
      </c>
    </row>
    <row r="5158">
      <c r="A5158" s="4" t="s">
        <v>6478</v>
      </c>
      <c r="B5158" s="4" t="s">
        <v>6481</v>
      </c>
      <c r="C5158" s="5" t="str">
        <f>IFERROR(__xludf.DUMMYFUNCTION("GOOGLETRANSLATE(B5158,""en"",""fr"")"),"Il y a beaucoup de chiens soignés et de jolies coupes de cheveux de fantaisie.")</f>
        <v>Il y a beaucoup de chiens soignés et de jolies coupes de cheveux de fantaisie.</v>
      </c>
    </row>
    <row r="5159">
      <c r="A5159" s="4" t="s">
        <v>6478</v>
      </c>
      <c r="B5159" s="4" t="s">
        <v>6482</v>
      </c>
      <c r="C5159" s="5" t="str">
        <f>IFERROR(__xludf.DUMMYFUNCTION("GOOGLETRANSLATE(B5159,""en"",""fr"")"),"L'un d'eux remue sa queue très excitée en profitant de la situation.")</f>
        <v>L'un d'eux remue sa queue très excitée en profitant de la situation.</v>
      </c>
    </row>
    <row r="5160">
      <c r="A5160" s="4" t="s">
        <v>6483</v>
      </c>
      <c r="B5160" s="4" t="s">
        <v>6484</v>
      </c>
      <c r="C5160" s="5" t="str">
        <f>IFERROR(__xludf.DUMMYFUNCTION("GOOGLETRANSLATE(B5160,""en"",""fr"")"),"À l'extérieur d'un Jack lombaire se tient avec une hache, il est habillé en manteau pour rester au chaud.")</f>
        <v>À l'extérieur d'un Jack lombaire se tient avec une hache, il est habillé en manteau pour rester au chaud.</v>
      </c>
    </row>
    <row r="5161">
      <c r="A5161" s="4" t="s">
        <v>6483</v>
      </c>
      <c r="B5161" s="4" t="s">
        <v>6485</v>
      </c>
      <c r="C5161" s="5" t="str">
        <f>IFERROR(__xludf.DUMMYFUNCTION("GOOGLETRANSLATE(B5161,""en"",""fr"")"),"Il y a beaucoup de bûches empilées sur le côté de lui.")</f>
        <v>Il y a beaucoup de bûches empilées sur le côté de lui.</v>
      </c>
    </row>
    <row r="5162">
      <c r="A5162" s="4" t="s">
        <v>6483</v>
      </c>
      <c r="B5162" s="4" t="s">
        <v>6486</v>
      </c>
      <c r="C5162" s="5" t="str">
        <f>IFERROR(__xludf.DUMMYFUNCTION("GOOGLETRANSLATE(B5162,""en"",""fr"")"),"Tous coupés et collectés très probablement par lui pour que les incendies gardent la maison au chaud pendant les nuits d'hiver.")</f>
        <v>Tous coupés et collectés très probablement par lui pour que les incendies gardent la maison au chaud pendant les nuits d'hiver.</v>
      </c>
    </row>
    <row r="5163">
      <c r="A5163" s="4" t="s">
        <v>6483</v>
      </c>
      <c r="B5163" s="4" t="s">
        <v>6487</v>
      </c>
      <c r="C5163" s="5" t="str">
        <f>IFERROR(__xludf.DUMMYFUNCTION("GOOGLETRANSLATE(B5163,""en"",""fr"")"),"Il prend sa hache et frappe la branche avec.")</f>
        <v>Il prend sa hache et frappe la branche avec.</v>
      </c>
    </row>
    <row r="5164">
      <c r="A5164" s="4" t="s">
        <v>6488</v>
      </c>
      <c r="B5164" s="4" t="s">
        <v>6489</v>
      </c>
      <c r="C5164" s="5" t="str">
        <f>IFERROR(__xludf.DUMMYFUNCTION("GOOGLETRANSLATE(B5164,""en"",""fr"")"),"Une grande arène est montrée avec un grand écran montrant les athlètes sur le terrain.")</f>
        <v>Une grande arène est montrée avec un grand écran montrant les athlètes sur le terrain.</v>
      </c>
    </row>
    <row r="5165">
      <c r="A5165" s="4" t="s">
        <v>6488</v>
      </c>
      <c r="B5165" s="6" t="s">
        <v>6490</v>
      </c>
      <c r="C5165" s="5" t="str">
        <f>IFERROR(__xludf.DUMMYFUNCTION("GOOGLETRANSLATE(B5165,""en"",""fr"")"),"Un homme est ensuite montré dans une cage qui tourne autour de lancer un lancer de poids que les gens commencent à mesurer.")</f>
        <v>Un homme est ensuite montré dans une cage qui tourne autour de lancer un lancer de poids que les gens commencent à mesurer.</v>
      </c>
    </row>
    <row r="5166">
      <c r="A5166" s="4" t="s">
        <v>6488</v>
      </c>
      <c r="B5166" s="4" t="s">
        <v>6491</v>
      </c>
      <c r="C5166" s="5" t="str">
        <f>IFERROR(__xludf.DUMMYFUNCTION("GOOGLETRANSLATE(B5166,""en"",""fr"")"),"Un autre homme s'approche du cercle, répète l'action et commence à sauter dans Glee.")</f>
        <v>Un autre homme s'approche du cercle, répète l'action et commence à sauter dans Glee.</v>
      </c>
    </row>
    <row r="5167">
      <c r="A5167" s="4" t="s">
        <v>6488</v>
      </c>
      <c r="B5167" s="6" t="s">
        <v>6492</v>
      </c>
      <c r="C5167" s="5" t="str">
        <f>IFERROR(__xludf.DUMMYFUNCTION("GOOGLETRANSLATE(B5167,""en"",""fr"")"),"Plus d'hommes s'approchent du stand et continue jusqu'à ce qu'ils aient terminé chacun de leurs tours, puis ils se tournent vers le public et saluent.")</f>
        <v>Plus d'hommes s'approchent du stand et continue jusqu'à ce qu'ils aient terminé chacun de leurs tours, puis ils se tournent vers le public et saluent.</v>
      </c>
    </row>
    <row r="5168">
      <c r="A5168" s="4" t="s">
        <v>6493</v>
      </c>
      <c r="B5168" s="4" t="s">
        <v>6494</v>
      </c>
      <c r="C5168" s="5" t="str">
        <f>IFERROR(__xludf.DUMMYFUNCTION("GOOGLETRANSLATE(B5168,""en"",""fr"")"),"Il y a un homme qui travaille une roue à vélo avec divers outils.")</f>
        <v>Il y a un homme qui travaille une roue à vélo avec divers outils.</v>
      </c>
    </row>
    <row r="5169">
      <c r="A5169" s="4" t="s">
        <v>6493</v>
      </c>
      <c r="B5169" s="6" t="s">
        <v>6495</v>
      </c>
      <c r="C5169" s="5" t="str">
        <f>IFERROR(__xludf.DUMMYFUNCTION("GOOGLETRANSLATE(B5169,""en"",""fr"")"),"Il commence par tourner l'essieu de la roue avec une paire de pinces pour positionner l'essieu au centre.")</f>
        <v>Il commence par tourner l'essieu de la roue avec une paire de pinces pour positionner l'essieu au centre.</v>
      </c>
    </row>
    <row r="5170">
      <c r="A5170" s="4" t="s">
        <v>6493</v>
      </c>
      <c r="B5170" s="4" t="s">
        <v>6496</v>
      </c>
      <c r="C5170" s="5" t="str">
        <f>IFERROR(__xludf.DUMMYFUNCTION("GOOGLETRANSLATE(B5170,""en"",""fr"")"),"Puis il répare l'écrou central et utilise une clé pour la desserrer.")</f>
        <v>Puis il répare l'écrou central et utilise une clé pour la desserrer.</v>
      </c>
    </row>
    <row r="5171">
      <c r="A5171" s="4" t="s">
        <v>6493</v>
      </c>
      <c r="B5171" s="4" t="s">
        <v>6497</v>
      </c>
      <c r="C5171" s="5" t="str">
        <f>IFERROR(__xludf.DUMMYFUNCTION("GOOGLETRANSLATE(B5171,""en"",""fr"")"),"Puis il utilise ses mains pour retirer l'essieu.")</f>
        <v>Puis il utilise ses mains pour retirer l'essieu.</v>
      </c>
    </row>
    <row r="5172">
      <c r="A5172" s="4" t="s">
        <v>6493</v>
      </c>
      <c r="B5172" s="4" t="s">
        <v>6498</v>
      </c>
      <c r="C5172" s="5" t="str">
        <f>IFERROR(__xludf.DUMMYFUNCTION("GOOGLETRANSLATE(B5172,""en"",""fr"")"),"Il utilise un autre outil pour dévisser une laveuse hors de l'essieu.")</f>
        <v>Il utilise un autre outil pour dévisser une laveuse hors de l'essieu.</v>
      </c>
    </row>
    <row r="5173">
      <c r="A5173" s="4" t="s">
        <v>6493</v>
      </c>
      <c r="B5173" s="4" t="s">
        <v>6499</v>
      </c>
      <c r="C5173" s="5" t="str">
        <f>IFERROR(__xludf.DUMMYFUNCTION("GOOGLETRANSLATE(B5173,""en"",""fr"")"),"Il utilise ensuite un outil avec une extrémité magnétique pour éliminer les minuscules particules métalliques de l'essieu.")</f>
        <v>Il utilise ensuite un outil avec une extrémité magnétique pour éliminer les minuscules particules métalliques de l'essieu.</v>
      </c>
    </row>
    <row r="5174">
      <c r="A5174" s="4" t="s">
        <v>6493</v>
      </c>
      <c r="B5174" s="4" t="s">
        <v>6500</v>
      </c>
      <c r="C5174" s="5" t="str">
        <f>IFERROR(__xludf.DUMMYFUNCTION("GOOGLETRANSLATE(B5174,""en"",""fr"")"),"Après cela, il nettoie le bord intérieur de l'essieu gras avec son doigt.")</f>
        <v>Après cela, il nettoie le bord intérieur de l'essieu gras avec son doigt.</v>
      </c>
    </row>
    <row r="5175">
      <c r="A5175" s="4" t="s">
        <v>6493</v>
      </c>
      <c r="B5175" s="4" t="s">
        <v>6501</v>
      </c>
      <c r="C5175" s="5" t="str">
        <f>IFERROR(__xludf.DUMMYFUNCTION("GOOGLETRANSLATE(B5175,""en"",""fr"")"),"Puis il prend la laveuse et le nettoie davantage pour le réparer dans l'essieu.")</f>
        <v>Puis il prend la laveuse et le nettoie davantage pour le réparer dans l'essieu.</v>
      </c>
    </row>
    <row r="5176">
      <c r="A5176" s="4" t="s">
        <v>6502</v>
      </c>
      <c r="B5176" s="4" t="s">
        <v>6503</v>
      </c>
      <c r="C5176" s="5" t="str">
        <f>IFERROR(__xludf.DUMMYFUNCTION("GOOGLETRANSLATE(B5176,""en"",""fr"")"),"Un gros plan de fruits est vu assis sur une assiette lorsque la main d'une personne les place dans un récipient.")</f>
        <v>Un gros plan de fruits est vu assis sur une assiette lorsque la main d'une personne les place dans un récipient.</v>
      </c>
    </row>
    <row r="5177">
      <c r="A5177" s="4" t="s">
        <v>6502</v>
      </c>
      <c r="B5177" s="4" t="s">
        <v>6504</v>
      </c>
      <c r="C5177" s="5" t="str">
        <f>IFERROR(__xludf.DUMMYFUNCTION("GOOGLETRANSLATE(B5177,""en"",""fr"")"),"La personne pousse ensuite les fruits autour du bol avec une cuillère encore et encore.")</f>
        <v>La personne pousse ensuite les fruits autour du bol avec une cuillère encore et encore.</v>
      </c>
    </row>
    <row r="5178">
      <c r="A5178" s="4" t="s">
        <v>6502</v>
      </c>
      <c r="B5178" s="4" t="s">
        <v>6505</v>
      </c>
      <c r="C5178" s="5" t="str">
        <f>IFERROR(__xludf.DUMMYFUNCTION("GOOGLETRANSLATE(B5178,""en"",""fr"")"),"La personne laisse tomber la cuillère dans le mélange et se termine par du texte à travers l'écran.")</f>
        <v>La personne laisse tomber la cuillère dans le mélange et se termine par du texte à travers l'écran.</v>
      </c>
    </row>
    <row r="5179">
      <c r="A5179" s="4" t="s">
        <v>6506</v>
      </c>
      <c r="B5179" s="4" t="s">
        <v>6507</v>
      </c>
      <c r="C5179" s="5" t="str">
        <f>IFERROR(__xludf.DUMMYFUNCTION("GOOGLETRANSLATE(B5179,""en"",""fr"")"),"Une femme est montrée dans une cour, parlant à la caméra.")</f>
        <v>Une femme est montrée dans une cour, parlant à la caméra.</v>
      </c>
    </row>
    <row r="5180">
      <c r="A5180" s="4" t="s">
        <v>6506</v>
      </c>
      <c r="B5180" s="4" t="s">
        <v>6508</v>
      </c>
      <c r="C5180" s="5" t="str">
        <f>IFERROR(__xludf.DUMMYFUNCTION("GOOGLETRANSLATE(B5180,""en"",""fr"")"),"Elle est ensuite à cheval, et une femme est montrée dans plusieurs scènes qui parlent de technique.")</f>
        <v>Elle est ensuite à cheval, et une femme est montrée dans plusieurs scènes qui parlent de technique.</v>
      </c>
    </row>
    <row r="5181">
      <c r="A5181" s="4" t="s">
        <v>6506</v>
      </c>
      <c r="B5181" s="4" t="s">
        <v>6509</v>
      </c>
      <c r="C5181" s="5" t="str">
        <f>IFERROR(__xludf.DUMMYFUNCTION("GOOGLETRANSLATE(B5181,""en"",""fr"")"),"La fille chevauche le cheval seul, puis avec d'autres personnes en bas de sentiers.")</f>
        <v>La fille chevauche le cheval seul, puis avec d'autres personnes en bas de sentiers.</v>
      </c>
    </row>
    <row r="5182">
      <c r="A5182" s="4" t="s">
        <v>6510</v>
      </c>
      <c r="B5182" s="4" t="s">
        <v>6511</v>
      </c>
      <c r="C5182" s="5" t="str">
        <f>IFERROR(__xludf.DUMMYFUNCTION("GOOGLETRANSLATE(B5182,""en"",""fr"")"),"Il y a un homme dans un gymnase utilisant une machine elliptique.")</f>
        <v>Il y a un homme dans un gymnase utilisant une machine elliptique.</v>
      </c>
    </row>
    <row r="5183">
      <c r="A5183" s="4" t="s">
        <v>6510</v>
      </c>
      <c r="B5183" s="4" t="s">
        <v>6512</v>
      </c>
      <c r="C5183" s="5" t="str">
        <f>IFERROR(__xludf.DUMMYFUNCTION("GOOGLETRANSLATE(B5183,""en"",""fr"")"),"Il porte une paire de pantalons de piste noirs, une chemise noire et une casquette.")</f>
        <v>Il porte une paire de pantalons de piste noirs, une chemise noire et une casquette.</v>
      </c>
    </row>
    <row r="5184">
      <c r="A5184" s="4" t="s">
        <v>6510</v>
      </c>
      <c r="B5184" s="4" t="s">
        <v>6513</v>
      </c>
      <c r="C5184" s="5" t="str">
        <f>IFERROR(__xludf.DUMMYFUNCTION("GOOGLETRANSLATE(B5184,""en"",""fr"")"),"Il montre comment utiliser correctement l'elliptique pour maintenir une vitesse cohérente.")</f>
        <v>Il montre comment utiliser correctement l'elliptique pour maintenir une vitesse cohérente.</v>
      </c>
    </row>
    <row r="5185">
      <c r="A5185" s="4" t="s">
        <v>6514</v>
      </c>
      <c r="B5185" s="6" t="s">
        <v>6515</v>
      </c>
      <c r="C5185" s="5" t="str">
        <f>IFERROR(__xludf.DUMMYFUNCTION("GOOGLETRANSLATE(B5185,""en"",""fr"")"),"Une cuillère est vue en train de tourner autour de divers aliments et liquides et mène à une main coupant des légumes sur une planche à découper.")</f>
        <v>Une cuillère est vue en train de tourner autour de divers aliments et liquides et mène à une main coupant des légumes sur une planche à découper.</v>
      </c>
    </row>
    <row r="5186">
      <c r="A5186" s="4" t="s">
        <v>6514</v>
      </c>
      <c r="B5186" s="6" t="s">
        <v>6516</v>
      </c>
      <c r="C5186" s="5" t="str">
        <f>IFERROR(__xludf.DUMMYFUNCTION("GOOGLETRANSLATE(B5186,""en"",""fr"")"),"Un bébé est vu regarder par derrière et la caméra zoome sur divers sites Web et aliments présents.")</f>
        <v>Un bébé est vu regarder par derrière et la caméra zoome sur divers sites Web et aliments présents.</v>
      </c>
    </row>
    <row r="5187">
      <c r="A5187" s="4" t="s">
        <v>6514</v>
      </c>
      <c r="B5187" s="4" t="s">
        <v>6517</v>
      </c>
      <c r="C5187" s="5" t="str">
        <f>IFERROR(__xludf.DUMMYFUNCTION("GOOGLETRANSLATE(B5187,""en"",""fr"")"),"Des pâtes sont vues assises dans un pot et la personne utilise une cuillère pour la faire tourner.")</f>
        <v>Des pâtes sont vues assises dans un pot et la personne utilise une cuillère pour la faire tourner.</v>
      </c>
    </row>
    <row r="5188">
      <c r="A5188" s="4" t="s">
        <v>6514</v>
      </c>
      <c r="B5188" s="6" t="s">
        <v>6518</v>
      </c>
      <c r="C5188" s="5" t="str">
        <f>IFERROR(__xludf.DUMMYFUNCTION("GOOGLETRANSLATE(B5188,""en"",""fr"")"),"Ils versent des ingrédients dans une casserole pour jouer et ajouter plus de légumes, se terminant avec tous les ingrédients assemblés sur une assiette pour présenter.")</f>
        <v>Ils versent des ingrédients dans une casserole pour jouer et ajouter plus de légumes, se terminant avec tous les ingrédients assemblés sur une assiette pour présenter.</v>
      </c>
    </row>
    <row r="5189">
      <c r="A5189" s="4" t="s">
        <v>6519</v>
      </c>
      <c r="B5189" s="4" t="s">
        <v>6520</v>
      </c>
      <c r="C5189" s="5" t="str">
        <f>IFERROR(__xludf.DUMMYFUNCTION("GOOGLETRANSLATE(B5189,""en"",""fr"")"),"On voit un gros plan qui tient un accordéon et assis devant une caméra.")</f>
        <v>On voit un gros plan qui tient un accordéon et assis devant une caméra.</v>
      </c>
    </row>
    <row r="5190">
      <c r="A5190" s="4" t="s">
        <v>6519</v>
      </c>
      <c r="B5190" s="4" t="s">
        <v>6521</v>
      </c>
      <c r="C5190" s="5" t="str">
        <f>IFERROR(__xludf.DUMMYFUNCTION("GOOGLETRANSLATE(B5190,""en"",""fr"")"),"L'homme commence à jouer de l'instrument tout en regardant vers la caméra.")</f>
        <v>L'homme commence à jouer de l'instrument tout en regardant vers la caméra.</v>
      </c>
    </row>
    <row r="5191">
      <c r="A5191" s="4" t="s">
        <v>6519</v>
      </c>
      <c r="B5191" s="4" t="s">
        <v>6522</v>
      </c>
      <c r="C5191" s="5" t="str">
        <f>IFERROR(__xludf.DUMMYFUNCTION("GOOGLETRANSLATE(B5191,""en"",""fr"")"),"Il s'arrête pour parler un instant puis continue de jouer.")</f>
        <v>Il s'arrête pour parler un instant puis continue de jouer.</v>
      </c>
    </row>
    <row r="5192">
      <c r="A5192" s="4" t="s">
        <v>6523</v>
      </c>
      <c r="B5192" s="4" t="s">
        <v>6524</v>
      </c>
      <c r="C5192" s="5" t="str">
        <f>IFERROR(__xludf.DUMMYFUNCTION("GOOGLETRANSLATE(B5192,""en"",""fr"")"),"Un homme portant une chemise jaune et un homme portant une boule de raquette de chemise noire.")</f>
        <v>Un homme portant une chemise jaune et un homme portant une boule de raquette de chemise noire.</v>
      </c>
    </row>
    <row r="5193">
      <c r="A5193" s="4" t="s">
        <v>6523</v>
      </c>
      <c r="B5193" s="4" t="s">
        <v>6525</v>
      </c>
      <c r="C5193" s="5" t="str">
        <f>IFERROR(__xludf.DUMMYFUNCTION("GOOGLETRANSLATE(B5193,""en"",""fr"")"),"L'homme en noir sert le ballon.")</f>
        <v>L'homme en noir sert le ballon.</v>
      </c>
    </row>
    <row r="5194">
      <c r="A5194" s="4" t="s">
        <v>6523</v>
      </c>
      <c r="B5194" s="4" t="s">
        <v>6526</v>
      </c>
      <c r="C5194" s="5" t="str">
        <f>IFERROR(__xludf.DUMMYFUNCTION("GOOGLETRANSLATE(B5194,""en"",""fr"")"),"L'homme en jaune sert le ballon.")</f>
        <v>L'homme en jaune sert le ballon.</v>
      </c>
    </row>
    <row r="5195">
      <c r="A5195" s="4" t="s">
        <v>6523</v>
      </c>
      <c r="B5195" s="4" t="s">
        <v>6527</v>
      </c>
      <c r="C5195" s="5" t="str">
        <f>IFERROR(__xludf.DUMMYFUNCTION("GOOGLETRANSLATE(B5195,""en"",""fr"")"),"L'homme en jaune sert à nouveau le ballon.")</f>
        <v>L'homme en jaune sert à nouveau le ballon.</v>
      </c>
    </row>
    <row r="5196">
      <c r="A5196" s="4" t="s">
        <v>6523</v>
      </c>
      <c r="B5196" s="4" t="s">
        <v>6528</v>
      </c>
      <c r="C5196" s="5" t="str">
        <f>IFERROR(__xludf.DUMMYFUNCTION("GOOGLETRANSLATE(B5196,""en"",""fr"")"),"L'homme en jaune joue seul tandis que l'homme en noir se dresse.")</f>
        <v>L'homme en jaune joue seul tandis que l'homme en noir se dresse.</v>
      </c>
    </row>
    <row r="5197">
      <c r="A5197" s="4" t="s">
        <v>6523</v>
      </c>
      <c r="B5197" s="4" t="s">
        <v>6529</v>
      </c>
      <c r="C5197" s="5" t="str">
        <f>IFERROR(__xludf.DUMMYFUNCTION("GOOGLETRANSLATE(B5197,""en"",""fr"")"),"Une main couvre l'objectif de la caméra.")</f>
        <v>Une main couvre l'objectif de la caméra.</v>
      </c>
    </row>
    <row r="5198">
      <c r="A5198" s="4" t="s">
        <v>6530</v>
      </c>
      <c r="B5198" s="4" t="s">
        <v>6531</v>
      </c>
      <c r="C5198" s="5" t="str">
        <f>IFERROR(__xludf.DUMMYFUNCTION("GOOGLETRANSLATE(B5198,""en"",""fr"")"),"Un homme se tient au sommet d'une formation rocheuse.")</f>
        <v>Un homme se tient au sommet d'une formation rocheuse.</v>
      </c>
    </row>
    <row r="5199">
      <c r="A5199" s="4" t="s">
        <v>6530</v>
      </c>
      <c r="B5199" s="6" t="s">
        <v>6532</v>
      </c>
      <c r="C5199" s="5" t="str">
        <f>IFERROR(__xludf.DUMMYFUNCTION("GOOGLETRANSLATE(B5199,""en"",""fr"")"),"Plusieurs scènes d'escalade d'individus sont présentées sous différents angles et paramètres, entrecoupées de brèves plans de gros plan des grimpeurs.")</f>
        <v>Plusieurs scènes d'escalade d'individus sont présentées sous différents angles et paramètres, entrecoupées de brèves plans de gros plan des grimpeurs.</v>
      </c>
    </row>
    <row r="5200">
      <c r="A5200" s="4" t="s">
        <v>6530</v>
      </c>
      <c r="B5200" s="4" t="s">
        <v>6533</v>
      </c>
      <c r="C5200" s="5" t="str">
        <f>IFERROR(__xludf.DUMMYFUNCTION("GOOGLETRANSLATE(B5200,""en"",""fr"")"),"Plusieurs crédits sont affichés sur un écran noir.")</f>
        <v>Plusieurs crédits sont affichés sur un écran noir.</v>
      </c>
    </row>
    <row r="5201">
      <c r="A5201" s="4" t="s">
        <v>6534</v>
      </c>
      <c r="B5201" s="4" t="s">
        <v>6535</v>
      </c>
      <c r="C5201" s="5" t="str">
        <f>IFERROR(__xludf.DUMMYFUNCTION("GOOGLETRANSLATE(B5201,""en"",""fr"")"),"L'eau se précipite entre les rochers dans une rivière.")</f>
        <v>L'eau se précipite entre les rochers dans une rivière.</v>
      </c>
    </row>
    <row r="5202">
      <c r="A5202" s="4" t="s">
        <v>6534</v>
      </c>
      <c r="B5202" s="4" t="s">
        <v>6536</v>
      </c>
      <c r="C5202" s="5" t="str">
        <f>IFERROR(__xludf.DUMMYFUNCTION("GOOGLETRANSLATE(B5202,""en"",""fr"")"),"Des chevrons apparaissent, pagayant à travers les courants précipités.")</f>
        <v>Des chevrons apparaissent, pagayant à travers les courants précipités.</v>
      </c>
    </row>
    <row r="5203">
      <c r="A5203" s="4" t="s">
        <v>6534</v>
      </c>
      <c r="B5203" s="4" t="s">
        <v>6537</v>
      </c>
      <c r="C5203" s="5" t="str">
        <f>IFERROR(__xludf.DUMMYFUNCTION("GOOGLETRANSLATE(B5203,""en"",""fr"")"),"Le chevron continue alors qu'il navigue dans la rivière.")</f>
        <v>Le chevron continue alors qu'il navigue dans la rivière.</v>
      </c>
    </row>
    <row r="5204">
      <c r="A5204" s="4" t="s">
        <v>6538</v>
      </c>
      <c r="B5204" s="4" t="s">
        <v>6539</v>
      </c>
      <c r="C5204" s="5" t="str">
        <f>IFERROR(__xludf.DUMMYFUNCTION("GOOGLETRANSLATE(B5204,""en"",""fr"")"),"Un logo bleu apparaît à travers l'écran avec des mots blancs.")</f>
        <v>Un logo bleu apparaît à travers l'écran avec des mots blancs.</v>
      </c>
    </row>
    <row r="5205">
      <c r="A5205" s="4" t="s">
        <v>6538</v>
      </c>
      <c r="B5205" s="4" t="s">
        <v>6540</v>
      </c>
      <c r="C5205" s="5" t="str">
        <f>IFERROR(__xludf.DUMMYFUNCTION("GOOGLETRANSLATE(B5205,""en"",""fr"")"),"Une jeune gymnaste masculine est ensuite représentée dans une pièce devant une poutre d'équilibre.")</f>
        <v>Une jeune gymnaste masculine est ensuite représentée dans une pièce devant une poutre d'équilibre.</v>
      </c>
    </row>
    <row r="5206">
      <c r="A5206" s="4" t="s">
        <v>6538</v>
      </c>
      <c r="B5206" s="4" t="s">
        <v>6541</v>
      </c>
      <c r="C5206" s="5" t="str">
        <f>IFERROR(__xludf.DUMMYFUNCTION("GOOGLETRANSLATE(B5206,""en"",""fr"")"),"La gymnaste commence alors à utiliser ses mains pour décrire les mouvements qu'il est sur le point de faire.")</f>
        <v>La gymnaste commence alors à utiliser ses mains pour décrire les mouvements qu'il est sur le point de faire.</v>
      </c>
    </row>
    <row r="5207">
      <c r="A5207" s="4" t="s">
        <v>6538</v>
      </c>
      <c r="B5207" s="6" t="s">
        <v>6542</v>
      </c>
      <c r="C5207" s="5" t="str">
        <f>IFERROR(__xludf.DUMMYFUNCTION("GOOGLETRANSLATE(B5207,""en"",""fr"")"),"Après, le mâle attrape les deux barres et se relève et tient son corps avant d'entrer dans un support, il descend et en fait un autre.")</f>
        <v>Après, le mâle attrape les deux barres et se relève et tient son corps avant d'entrer dans un support, il descend et en fait un autre.</v>
      </c>
    </row>
    <row r="5208">
      <c r="A5208" s="4" t="s">
        <v>6538</v>
      </c>
      <c r="B5208" s="4" t="s">
        <v>6543</v>
      </c>
      <c r="C5208" s="5" t="str">
        <f>IFERROR(__xludf.DUMMYFUNCTION("GOOGLETRANSLATE(B5208,""en"",""fr"")"),"La gymnaste fait plusieurs astuces et fait ensuite un retournement des barreaux.")</f>
        <v>La gymnaste fait plusieurs astuces et fait ensuite un retournement des barreaux.</v>
      </c>
    </row>
    <row r="5209">
      <c r="A5209" s="4" t="s">
        <v>6544</v>
      </c>
      <c r="B5209" s="4" t="s">
        <v>6545</v>
      </c>
      <c r="C5209" s="5" t="str">
        <f>IFERROR(__xludf.DUMMYFUNCTION("GOOGLETRANSLATE(B5209,""en"",""fr"")"),"Une femme vêtue d'une chemise bleue et d'un tablier noir commence à parler derrière la table.")</f>
        <v>Une femme vêtue d'une chemise bleue et d'un tablier noir commence à parler derrière la table.</v>
      </c>
    </row>
    <row r="5210">
      <c r="A5210" s="4" t="s">
        <v>6544</v>
      </c>
      <c r="B5210" s="6" t="s">
        <v>6546</v>
      </c>
      <c r="C5210" s="5" t="str">
        <f>IFERROR(__xludf.DUMMYFUNCTION("GOOGLETRANSLATE(B5210,""en"",""fr"")"),"Sur la table, elle a cinq types différents de peinture, pinceaux et autres fournitures nécessaires pour accomplir la tâche.")</f>
        <v>Sur la table, elle a cinq types différents de peinture, pinceaux et autres fournitures nécessaires pour accomplir la tâche.</v>
      </c>
    </row>
    <row r="5211">
      <c r="A5211" s="4" t="s">
        <v>6544</v>
      </c>
      <c r="B5211" s="4" t="s">
        <v>6547</v>
      </c>
      <c r="C5211" s="5" t="str">
        <f>IFERROR(__xludf.DUMMYFUNCTION("GOOGLETRANSLATE(B5211,""en"",""fr"")"),"Elle commence alors à parler alors qu'elle s'appuie sur un stand de table en bois à côté d'elle.")</f>
        <v>Elle commence alors à parler alors qu'elle s'appuie sur un stand de table en bois à côté d'elle.</v>
      </c>
    </row>
    <row r="5212">
      <c r="A5212" s="4" t="s">
        <v>6544</v>
      </c>
      <c r="B5212" s="6" t="s">
        <v>6548</v>
      </c>
      <c r="C5212" s="5" t="str">
        <f>IFERROR(__xludf.DUMMYFUNCTION("GOOGLETRANSLATE(B5212,""en"",""fr"")"),"La dame commence par prendre un tournevis et retirer le bouton du tiroir et l'essuyer avec un chiffon mouillé.")</f>
        <v>La dame commence par prendre un tournevis et retirer le bouton du tiroir et l'essuyer avec un chiffon mouillé.</v>
      </c>
    </row>
    <row r="5213">
      <c r="A5213" s="4" t="s">
        <v>6544</v>
      </c>
      <c r="B5213" s="4" t="s">
        <v>6549</v>
      </c>
      <c r="C5213" s="5" t="str">
        <f>IFERROR(__xludf.DUMMYFUNCTION("GOOGLETRANSLATE(B5213,""en"",""fr"")"),"Vient ensuite la peinture brune alors qu'elle commence à mettre divers accidents vasculaires sur elle pour le terminer.")</f>
        <v>Vient ensuite la peinture brune alors qu'elle commence à mettre divers accidents vasculaires sur elle pour le terminer.</v>
      </c>
    </row>
    <row r="5214">
      <c r="A5214" s="4" t="s">
        <v>6544</v>
      </c>
      <c r="B5214" s="4" t="s">
        <v>6550</v>
      </c>
      <c r="C5214" s="5" t="str">
        <f>IFERROR(__xludf.DUMMYFUNCTION("GOOGLETRANSLATE(B5214,""en"",""fr"")"),"Le support est terminé mais remonte ensuite et commence à ajouter une finition dessus.")</f>
        <v>Le support est terminé mais remonte ensuite et commence à ajouter une finition dessus.</v>
      </c>
    </row>
    <row r="5215">
      <c r="A5215" s="4" t="s">
        <v>6551</v>
      </c>
      <c r="B5215" s="4" t="s">
        <v>6552</v>
      </c>
      <c r="C5215" s="5" t="str">
        <f>IFERROR(__xludf.DUMMYFUNCTION("GOOGLETRANSLATE(B5215,""en"",""fr"")"),"Nous voyons des journaux dans une pile dans les bois.")</f>
        <v>Nous voyons des journaux dans une pile dans les bois.</v>
      </c>
    </row>
    <row r="5216">
      <c r="A5216" s="4" t="s">
        <v>6551</v>
      </c>
      <c r="B5216" s="4" t="s">
        <v>6553</v>
      </c>
      <c r="C5216" s="5" t="str">
        <f>IFERROR(__xludf.DUMMYFUNCTION("GOOGLETRANSLATE(B5216,""en"",""fr"")"),"Un homme dans un chapeau de cow-boy monte et attrape une hache.")</f>
        <v>Un homme dans un chapeau de cow-boy monte et attrape une hache.</v>
      </c>
    </row>
    <row r="5217">
      <c r="A5217" s="4" t="s">
        <v>6551</v>
      </c>
      <c r="B5217" s="4" t="s">
        <v>6554</v>
      </c>
      <c r="C5217" s="5" t="str">
        <f>IFERROR(__xludf.DUMMYFUNCTION("GOOGLETRANSLATE(B5217,""en"",""fr"")"),"L'homme fait ensuite frapper les journaux avec la hache et les diviser en deux coups sûrs.")</f>
        <v>L'homme fait ensuite frapper les journaux avec la hache et les diviser en deux coups sûrs.</v>
      </c>
    </row>
    <row r="5218">
      <c r="A5218" s="4" t="s">
        <v>6551</v>
      </c>
      <c r="B5218" s="4" t="s">
        <v>6555</v>
      </c>
      <c r="C5218" s="5" t="str">
        <f>IFERROR(__xludf.DUMMYFUNCTION("GOOGLETRANSLATE(B5218,""en"",""fr"")"),"L'homme laisse tomber la hache et éteint la caméra.")</f>
        <v>L'homme laisse tomber la hache et éteint la caméra.</v>
      </c>
    </row>
    <row r="5219">
      <c r="A5219" s="4" t="s">
        <v>6556</v>
      </c>
      <c r="B5219" s="4" t="s">
        <v>6557</v>
      </c>
      <c r="C5219" s="5" t="str">
        <f>IFERROR(__xludf.DUMMYFUNCTION("GOOGLETRANSLATE(B5219,""en"",""fr"")"),"Une personne se promène autour d'un court de tennis.")</f>
        <v>Une personne se promène autour d'un court de tennis.</v>
      </c>
    </row>
    <row r="5220">
      <c r="A5220" s="4" t="s">
        <v>6556</v>
      </c>
      <c r="B5220" s="4" t="s">
        <v>6558</v>
      </c>
      <c r="C5220" s="5" t="str">
        <f>IFERROR(__xludf.DUMMYFUNCTION("GOOGLETRANSLATE(B5220,""en"",""fr"")"),"Un autre homme apparaît se balançant autour d'une raquette de tennis.")</f>
        <v>Un autre homme apparaît se balançant autour d'une raquette de tennis.</v>
      </c>
    </row>
    <row r="5221">
      <c r="A5221" s="4" t="s">
        <v>6556</v>
      </c>
      <c r="B5221" s="4" t="s">
        <v>6559</v>
      </c>
      <c r="C5221" s="5" t="str">
        <f>IFERROR(__xludf.DUMMYFUNCTION("GOOGLETRANSLATE(B5221,""en"",""fr"")"),"Il fait rebondir une balle de tennis sur le sol tandis que l'autre homme entre dans le cadre.")</f>
        <v>Il fait rebondir une balle de tennis sur le sol tandis que l'autre homme entre dans le cadre.</v>
      </c>
    </row>
    <row r="5222">
      <c r="A5222" s="4" t="s">
        <v>6556</v>
      </c>
      <c r="B5222" s="4" t="s">
        <v>6560</v>
      </c>
      <c r="C5222" s="5" t="str">
        <f>IFERROR(__xludf.DUMMYFUNCTION("GOOGLETRANSLATE(B5222,""en"",""fr"")"),"Ils parlent un peu en se promenant et en se préparant à jouer.")</f>
        <v>Ils parlent un peu en se promenant et en se préparant à jouer.</v>
      </c>
    </row>
    <row r="5223">
      <c r="A5223" s="4" t="s">
        <v>6556</v>
      </c>
      <c r="B5223" s="4" t="s">
        <v>6561</v>
      </c>
      <c r="C5223" s="5" t="str">
        <f>IFERROR(__xludf.DUMMYFUNCTION("GOOGLETRANSLATE(B5223,""en"",""fr"")"),"L'homme revient en arrière et quatrième et a frappé le ballon sur le mur les uns contre les autres.")</f>
        <v>L'homme revient en arrière et quatrième et a frappé le ballon sur le mur les uns contre les autres.</v>
      </c>
    </row>
    <row r="5224">
      <c r="A5224" s="4" t="s">
        <v>6562</v>
      </c>
      <c r="B5224" s="4" t="s">
        <v>6563</v>
      </c>
      <c r="C5224" s="5" t="str">
        <f>IFERROR(__xludf.DUMMYFUNCTION("GOOGLETRANSLATE(B5224,""en"",""fr"")"),"Il y a un homme sur des échasses qui sautent et font des cascades dans une salle de sport intérieure.")</f>
        <v>Il y a un homme sur des échasses qui sautent et font des cascades dans une salle de sport intérieure.</v>
      </c>
    </row>
    <row r="5225">
      <c r="A5225" s="4" t="s">
        <v>6562</v>
      </c>
      <c r="B5225" s="4" t="s">
        <v>6564</v>
      </c>
      <c r="C5225" s="5" t="str">
        <f>IFERROR(__xludf.DUMMYFUNCTION("GOOGLETRANSLATE(B5225,""en"",""fr"")"),"Il y a plusieurs spectateurs et juges qui le regardent.")</f>
        <v>Il y a plusieurs spectateurs et juges qui le regardent.</v>
      </c>
    </row>
    <row r="5226">
      <c r="A5226" s="4" t="s">
        <v>6562</v>
      </c>
      <c r="B5226" s="4" t="s">
        <v>6565</v>
      </c>
      <c r="C5226" s="5" t="str">
        <f>IFERROR(__xludf.DUMMYFUNCTION("GOOGLETRANSLATE(B5226,""en"",""fr"")"),"Une fois que l'homme a terminé ses cascades, il descend des échasses et que les juges notent les scores.")</f>
        <v>Une fois que l'homme a terminé ses cascades, il descend des échasses et que les juges notent les scores.</v>
      </c>
    </row>
    <row r="5227">
      <c r="A5227" s="4" t="s">
        <v>6566</v>
      </c>
      <c r="B5227" s="4" t="s">
        <v>6567</v>
      </c>
      <c r="C5227" s="5" t="str">
        <f>IFERROR(__xludf.DUMMYFUNCTION("GOOGLETRANSLATE(B5227,""en"",""fr"")"),"Un groupe joue de la batterie en cercle autour d'un batteur en tête.")</f>
        <v>Un groupe joue de la batterie en cercle autour d'un batteur en tête.</v>
      </c>
    </row>
    <row r="5228">
      <c r="A5228" s="4" t="s">
        <v>6566</v>
      </c>
      <c r="B5228" s="4" t="s">
        <v>6568</v>
      </c>
      <c r="C5228" s="5" t="str">
        <f>IFERROR(__xludf.DUMMYFUNCTION("GOOGLETRANSLATE(B5228,""en"",""fr"")"),"Les batteurs femelles filent leurs bâtons en jouant.")</f>
        <v>Les batteurs femelles filent leurs bâtons en jouant.</v>
      </c>
    </row>
    <row r="5229">
      <c r="A5229" s="4" t="s">
        <v>6566</v>
      </c>
      <c r="B5229" s="4" t="s">
        <v>6569</v>
      </c>
      <c r="C5229" s="5" t="str">
        <f>IFERROR(__xludf.DUMMYFUNCTION("GOOGLETRANSLATE(B5229,""en"",""fr"")"),"Les batteurs tiennent leurs bâtons après avoir terminé la chanson.")</f>
        <v>Les batteurs tiennent leurs bâtons après avoir terminé la chanson.</v>
      </c>
    </row>
    <row r="5230">
      <c r="A5230" s="4" t="s">
        <v>6570</v>
      </c>
      <c r="B5230" s="4" t="s">
        <v>6571</v>
      </c>
      <c r="C5230" s="5" t="str">
        <f>IFERROR(__xludf.DUMMYFUNCTION("GOOGLETRANSLATE(B5230,""en"",""fr"")"),"Quelques cages sont sur le terrain.")</f>
        <v>Quelques cages sont sur le terrain.</v>
      </c>
    </row>
    <row r="5231">
      <c r="A5231" s="4" t="s">
        <v>6570</v>
      </c>
      <c r="B5231" s="4" t="s">
        <v>6572</v>
      </c>
      <c r="C5231" s="5" t="str">
        <f>IFERROR(__xludf.DUMMYFUNCTION("GOOGLETRANSLATE(B5231,""en"",""fr"")"),"Il y a des chiens dormant dans chaque cage.")</f>
        <v>Il y a des chiens dormant dans chaque cage.</v>
      </c>
    </row>
    <row r="5232">
      <c r="A5232" s="4" t="s">
        <v>6570</v>
      </c>
      <c r="B5232" s="4" t="s">
        <v>6573</v>
      </c>
      <c r="C5232" s="5" t="str">
        <f>IFERROR(__xludf.DUMMYFUNCTION("GOOGLETRANSLATE(B5232,""en"",""fr"")"),"Un homme est montré sur un terrain en train de jouer des tours avec un chien et un tas de frisbees.")</f>
        <v>Un homme est montré sur un terrain en train de jouer des tours avec un chien et un tas de frisbees.</v>
      </c>
    </row>
    <row r="5233">
      <c r="A5233" s="4" t="s">
        <v>6570</v>
      </c>
      <c r="B5233" s="4" t="s">
        <v>6574</v>
      </c>
      <c r="C5233" s="5" t="str">
        <f>IFERROR(__xludf.DUMMYFUNCTION("GOOGLETRANSLATE(B5233,""en"",""fr"")"),"Le chien attrape, retourne et poursuit les Frisbees.")</f>
        <v>Le chien attrape, retourne et poursuit les Frisbees.</v>
      </c>
    </row>
    <row r="5234">
      <c r="A5234" s="4" t="s">
        <v>6575</v>
      </c>
      <c r="B5234" s="4" t="s">
        <v>6576</v>
      </c>
      <c r="C5234" s="5" t="str">
        <f>IFERROR(__xludf.DUMMYFUNCTION("GOOGLETRANSLATE(B5234,""en"",""fr"")"),"Il y a un petit bébé portant un bavoir violet assis sur une chaise haute tenant et suçant un popsicle.")</f>
        <v>Il y a un petit bébé portant un bavoir violet assis sur une chaise haute tenant et suçant un popsicle.</v>
      </c>
    </row>
    <row r="5235">
      <c r="A5235" s="4" t="s">
        <v>6575</v>
      </c>
      <c r="B5235" s="4" t="s">
        <v>6577</v>
      </c>
      <c r="C5235" s="5" t="str">
        <f>IFERROR(__xludf.DUMMYFUNCTION("GOOGLETRANSLATE(B5235,""en"",""fr"")"),"Le bébé lèche le popsicle plusieurs fois puis le jette.")</f>
        <v>Le bébé lèche le popsicle plusieurs fois puis le jette.</v>
      </c>
    </row>
    <row r="5236">
      <c r="A5236" s="4" t="s">
        <v>6578</v>
      </c>
      <c r="B5236" s="4" t="s">
        <v>6579</v>
      </c>
      <c r="C5236" s="5" t="str">
        <f>IFERROR(__xludf.DUMMYFUNCTION("GOOGLETRANSLATE(B5236,""en"",""fr"")"),"La femme portant des vêtements noires joue de la courge dans une petite pièce en bois.")</f>
        <v>La femme portant des vêtements noires joue de la courge dans une petite pièce en bois.</v>
      </c>
    </row>
    <row r="5237">
      <c r="A5237" s="4" t="s">
        <v>6578</v>
      </c>
      <c r="B5237" s="4" t="s">
        <v>6580</v>
      </c>
      <c r="C5237" s="5" t="str">
        <f>IFERROR(__xludf.DUMMYFUNCTION("GOOGLETRANSLATE(B5237,""en"",""fr"")"),"L'homme avec une chemise dépouillée se tient dans une salle d'audience jouant à la courge.")</f>
        <v>L'homme avec une chemise dépouillée se tient dans une salle d'audience jouant à la courge.</v>
      </c>
    </row>
    <row r="5238">
      <c r="A5238" s="4" t="s">
        <v>6578</v>
      </c>
      <c r="B5238" s="4" t="s">
        <v>6581</v>
      </c>
      <c r="C5238" s="5" t="str">
        <f>IFERROR(__xludf.DUMMYFUNCTION("GOOGLETRANSLATE(B5238,""en"",""fr"")"),"Un homme et une femme sont debout dans un terrain en bois jouant à la courge.")</f>
        <v>Un homme et une femme sont debout dans un terrain en bois jouant à la courge.</v>
      </c>
    </row>
    <row r="5239">
      <c r="A5239" s="4" t="s">
        <v>6582</v>
      </c>
      <c r="B5239" s="4" t="s">
        <v>6583</v>
      </c>
      <c r="C5239" s="5" t="str">
        <f>IFERROR(__xludf.DUMMYFUNCTION("GOOGLETRANSLATE(B5239,""en"",""fr"")"),"Un Windsurfer monte le long de l'eau agitée sur un canal avec d'autres cyclistes en arrière-plan.")</f>
        <v>Un Windsurfer monte le long de l'eau agitée sur un canal avec d'autres cyclistes en arrière-plan.</v>
      </c>
    </row>
    <row r="5240">
      <c r="A5240" s="4" t="s">
        <v>6582</v>
      </c>
      <c r="B5240" s="4" t="s">
        <v>6584</v>
      </c>
      <c r="C5240" s="5" t="str">
        <f>IFERROR(__xludf.DUMMYFUNCTION("GOOGLETRANSLATE(B5240,""en"",""fr"")"),"Le tournant de la direction sur sa planche de planche à voile et pompe d'avant en arrière pour le manœuvrer.")</f>
        <v>Le tournant de la direction sur sa planche de planche à voile et pompe d'avant en arrière pour le manœuvrer.</v>
      </c>
    </row>
    <row r="5241">
      <c r="A5241" s="4" t="s">
        <v>6582</v>
      </c>
      <c r="B5241" s="4" t="s">
        <v>6585</v>
      </c>
      <c r="C5241" s="5" t="str">
        <f>IFERROR(__xludf.DUMMYFUNCTION("GOOGLETRANSLATE(B5241,""en"",""fr"")"),"Un groupe de planche à voile roule ensemble autour d'un petit bateau miteux.")</f>
        <v>Un groupe de planche à voile roule ensemble autour d'un petit bateau miteux.</v>
      </c>
    </row>
    <row r="5242">
      <c r="A5242" s="4" t="s">
        <v>6586</v>
      </c>
      <c r="B5242" s="4" t="s">
        <v>6587</v>
      </c>
      <c r="C5242" s="5" t="str">
        <f>IFERROR(__xludf.DUMMYFUNCTION("GOOGLETRANSLATE(B5242,""en"",""fr"")"),"Un groupe d'enfants se balance sur un équipement.")</f>
        <v>Un groupe d'enfants se balance sur un équipement.</v>
      </c>
    </row>
    <row r="5243">
      <c r="A5243" s="4" t="s">
        <v>6586</v>
      </c>
      <c r="B5243" s="4" t="s">
        <v>6588</v>
      </c>
      <c r="C5243" s="5" t="str">
        <f>IFERROR(__xludf.DUMMYFUNCTION("GOOGLETRANSLATE(B5243,""en"",""fr"")"),"Ils sont montrés en groupes, se balançant d'avant en arrière sur la plate-forme.")</f>
        <v>Ils sont montrés en groupes, se balançant d'avant en arrière sur la plate-forme.</v>
      </c>
    </row>
    <row r="5244">
      <c r="A5244" s="4" t="s">
        <v>6586</v>
      </c>
      <c r="B5244" s="4" t="s">
        <v>6589</v>
      </c>
      <c r="C5244" s="5" t="str">
        <f>IFERROR(__xludf.DUMMYFUNCTION("GOOGLETRANSLATE(B5244,""en"",""fr"")"),"Ils sont situés dans un parc extérieur.")</f>
        <v>Ils sont situés dans un parc extérieur.</v>
      </c>
    </row>
    <row r="5245">
      <c r="A5245" s="4" t="s">
        <v>6590</v>
      </c>
      <c r="B5245" s="4" t="s">
        <v>6591</v>
      </c>
      <c r="C5245" s="5" t="str">
        <f>IFERROR(__xludf.DUMMYFUNCTION("GOOGLETRANSLATE(B5245,""en"",""fr"")"),"Un athlète masculin se tient à l'extérieur sur un champ qui s'étend en se préparant à courir.")</f>
        <v>Un athlète masculin se tient à l'extérieur sur un champ qui s'étend en se préparant à courir.</v>
      </c>
    </row>
    <row r="5246">
      <c r="A5246" s="4" t="s">
        <v>6590</v>
      </c>
      <c r="B5246" s="4" t="s">
        <v>6592</v>
      </c>
      <c r="C5246" s="5" t="str">
        <f>IFERROR(__xludf.DUMMYFUNCTION("GOOGLETRANSLATE(B5246,""en"",""fr"")"),"Après qu'il soit prêt, l'homme décolle en courant et fait plusieurs sauts en longueur dans la fosse.")</f>
        <v>Après qu'il soit prêt, l'homme décolle en courant et fait plusieurs sauts en longueur dans la fosse.</v>
      </c>
    </row>
    <row r="5247">
      <c r="A5247" s="4" t="s">
        <v>6590</v>
      </c>
      <c r="B5247" s="4" t="s">
        <v>6593</v>
      </c>
      <c r="C5247" s="5" t="str">
        <f>IFERROR(__xludf.DUMMYFUNCTION("GOOGLETRANSLATE(B5247,""en"",""fr"")"),"Alors qu'il termine son dernier saut, deux personnes viennent à la fosse et commencent à mesurer la distance.")</f>
        <v>Alors qu'il termine son dernier saut, deux personnes viennent à la fosse et commencent à mesurer la distance.</v>
      </c>
    </row>
    <row r="5248">
      <c r="A5248" s="4" t="s">
        <v>6594</v>
      </c>
      <c r="B5248" s="4" t="s">
        <v>6595</v>
      </c>
      <c r="C5248" s="5" t="str">
        <f>IFERROR(__xludf.DUMMYFUNCTION("GOOGLETRANSLATE(B5248,""en"",""fr"")"),"Il y a plusieurs personnes qui patinent sur la route principale du centre-ville d'une ville la nuit.")</f>
        <v>Il y a plusieurs personnes qui patinent sur la route principale du centre-ville d'une ville la nuit.</v>
      </c>
    </row>
    <row r="5249">
      <c r="A5249" s="4" t="s">
        <v>6594</v>
      </c>
      <c r="B5249" s="4" t="s">
        <v>6596</v>
      </c>
      <c r="C5249" s="5" t="str">
        <f>IFERROR(__xludf.DUMMYFUNCTION("GOOGLETRANSLATE(B5249,""en"",""fr"")"),"La rue est allumée avec des réverbères et des magasins le long du trottoir.")</f>
        <v>La rue est allumée avec des réverbères et des magasins le long du trottoir.</v>
      </c>
    </row>
    <row r="5250">
      <c r="A5250" s="4" t="s">
        <v>6594</v>
      </c>
      <c r="B5250" s="4" t="s">
        <v>6597</v>
      </c>
      <c r="C5250" s="5" t="str">
        <f>IFERROR(__xludf.DUMMYFUNCTION("GOOGLETRANSLATE(B5250,""en"",""fr"")"),"Les gens patinent sur la route où il n'y a pas de voitures conduisant.")</f>
        <v>Les gens patinent sur la route où il n'y a pas de voitures conduisant.</v>
      </c>
    </row>
    <row r="5251">
      <c r="A5251" s="4" t="s">
        <v>6598</v>
      </c>
      <c r="B5251" s="4" t="s">
        <v>6599</v>
      </c>
      <c r="C5251" s="5" t="str">
        <f>IFERROR(__xludf.DUMMYFUNCTION("GOOGLETRANSLATE(B5251,""en"",""fr"")"),"Un homme est vu se rapprocher d'une pinata tandis qu'un grand groupe de personnes se tient autour de lui.")</f>
        <v>Un homme est vu se rapprocher d'une pinata tandis qu'un grand groupe de personnes se tient autour de lui.</v>
      </c>
    </row>
    <row r="5252">
      <c r="A5252" s="4" t="s">
        <v>6598</v>
      </c>
      <c r="B5252" s="4" t="s">
        <v>6600</v>
      </c>
      <c r="C5252" s="5" t="str">
        <f>IFERROR(__xludf.DUMMYFUNCTION("GOOGLETRANSLATE(B5252,""en"",""fr"")"),"L'homme manque la pinata et frappe une personne derrière lui, montrée à nouveau au ralenti.")</f>
        <v>L'homme manque la pinata et frappe une personne derrière lui, montrée à nouveau au ralenti.</v>
      </c>
    </row>
    <row r="5253">
      <c r="A5253" s="4" t="s">
        <v>6601</v>
      </c>
      <c r="B5253" s="4" t="s">
        <v>6602</v>
      </c>
      <c r="C5253" s="5" t="str">
        <f>IFERROR(__xludf.DUMMYFUNCTION("GOOGLETRANSLATE(B5253,""en"",""fr"")"),"Il existe de nombreuses tuiles différentes et il y a des planchers en bois.")</f>
        <v>Il existe de nombreuses tuiles différentes et il y a des planchers en bois.</v>
      </c>
    </row>
    <row r="5254">
      <c r="A5254" s="4" t="s">
        <v>6601</v>
      </c>
      <c r="B5254" s="4" t="s">
        <v>6603</v>
      </c>
      <c r="C5254" s="5" t="str">
        <f>IFERROR(__xludf.DUMMYFUNCTION("GOOGLETRANSLATE(B5254,""en"",""fr"")"),"Tout d'abord, l'homme enlève la plinthe, puis il obtient une perceuse et met des vis dans le sol.")</f>
        <v>Tout d'abord, l'homme enlève la plinthe, puis il obtient une perceuse et met des vis dans le sol.</v>
      </c>
    </row>
    <row r="5255">
      <c r="A5255" s="4" t="s">
        <v>6601</v>
      </c>
      <c r="B5255" s="4" t="s">
        <v>6604</v>
      </c>
      <c r="C5255" s="5" t="str">
        <f>IFERROR(__xludf.DUMMYFUNCTION("GOOGLETRANSLATE(B5255,""en"",""fr"")"),"Puis il trace des lignes pour mettre des carreaux sur le sol.")</f>
        <v>Puis il trace des lignes pour mettre des carreaux sur le sol.</v>
      </c>
    </row>
    <row r="5256">
      <c r="A5256" s="4" t="s">
        <v>6601</v>
      </c>
      <c r="B5256" s="4" t="s">
        <v>6605</v>
      </c>
      <c r="C5256" s="5" t="str">
        <f>IFERROR(__xludf.DUMMYFUNCTION("GOOGLETRANSLATE(B5256,""en"",""fr"")"),"Je le vois ensuite avec une machine qui coupe les carreaux en deux et il met la moitié d'une tuile sur le sol.")</f>
        <v>Je le vois ensuite avec une machine qui coupe les carreaux en deux et il met la moitié d'une tuile sur le sol.</v>
      </c>
    </row>
    <row r="5257">
      <c r="A5257" s="4" t="s">
        <v>6601</v>
      </c>
      <c r="B5257" s="4" t="s">
        <v>6606</v>
      </c>
      <c r="C5257" s="5" t="str">
        <f>IFERROR(__xludf.DUMMYFUNCTION("GOOGLETRANSLATE(B5257,""en"",""fr"")"),"Puis il salit le ciment sur le sol et se trouve les carreaux dessus.")</f>
        <v>Puis il salit le ciment sur le sol et se trouve les carreaux dessus.</v>
      </c>
    </row>
    <row r="5258">
      <c r="A5258" s="4" t="s">
        <v>6601</v>
      </c>
      <c r="B5258" s="4" t="s">
        <v>6607</v>
      </c>
      <c r="C5258" s="5" t="str">
        <f>IFERROR(__xludf.DUMMYFUNCTION("GOOGLETRANSLATE(B5258,""en"",""fr"")"),"Il martèle un peu les carreaux pour les rendre à plat.")</f>
        <v>Il martèle un peu les carreaux pour les rendre à plat.</v>
      </c>
    </row>
    <row r="5259">
      <c r="A5259" s="4" t="s">
        <v>6601</v>
      </c>
      <c r="B5259" s="4" t="s">
        <v>6608</v>
      </c>
      <c r="C5259" s="5" t="str">
        <f>IFERROR(__xludf.DUMMYFUNCTION("GOOGLETRANSLATE(B5259,""en"",""fr"")"),"Ensuite, le sol est maintenant terminé et il essuie les carreaux en les faisant briller.")</f>
        <v>Ensuite, le sol est maintenant terminé et il essuie les carreaux en les faisant briller.</v>
      </c>
    </row>
    <row r="5260">
      <c r="A5260" s="4" t="s">
        <v>6609</v>
      </c>
      <c r="B5260" s="4" t="s">
        <v>6610</v>
      </c>
      <c r="C5260" s="5" t="str">
        <f>IFERROR(__xludf.DUMMYFUNCTION("GOOGLETRANSLATE(B5260,""en"",""fr"")"),"Un bébé se tient sur le tapis.")</f>
        <v>Un bébé se tient sur le tapis.</v>
      </c>
    </row>
    <row r="5261">
      <c r="A5261" s="4" t="s">
        <v>6609</v>
      </c>
      <c r="B5261" s="4" t="s">
        <v>6611</v>
      </c>
      <c r="C5261" s="5" t="str">
        <f>IFERROR(__xludf.DUMMYFUNCTION("GOOGLETRANSLATE(B5261,""en"",""fr"")"),"Une personne brosse les dents de l'enfant avec une brosse à dents bleue.")</f>
        <v>Une personne brosse les dents de l'enfant avec une brosse à dents bleue.</v>
      </c>
    </row>
    <row r="5262">
      <c r="A5262" s="4" t="s">
        <v>6609</v>
      </c>
      <c r="B5262" s="4" t="s">
        <v>6612</v>
      </c>
      <c r="C5262" s="5" t="str">
        <f>IFERROR(__xludf.DUMMYFUNCTION("GOOGLETRANSLATE(B5262,""en"",""fr"")"),"L'enfant atteint la caméra.")</f>
        <v>L'enfant atteint la caméra.</v>
      </c>
    </row>
    <row r="5263">
      <c r="A5263" s="4" t="s">
        <v>6613</v>
      </c>
      <c r="B5263" s="4" t="s">
        <v>6614</v>
      </c>
      <c r="C5263" s="5" t="str">
        <f>IFERROR(__xludf.DUMMYFUNCTION("GOOGLETRANSLATE(B5263,""en"",""fr"")"),"Nous voyons une fille se produire avec des matraques.")</f>
        <v>Nous voyons une fille se produire avec des matraques.</v>
      </c>
    </row>
    <row r="5264">
      <c r="A5264" s="4" t="s">
        <v>6613</v>
      </c>
      <c r="B5264" s="4" t="s">
        <v>6615</v>
      </c>
      <c r="C5264" s="5" t="str">
        <f>IFERROR(__xludf.DUMMYFUNCTION("GOOGLETRANSLATE(B5264,""en"",""fr"")"),"La fille lance sa jambe dans l'air et tourne.")</f>
        <v>La fille lance sa jambe dans l'air et tourne.</v>
      </c>
    </row>
    <row r="5265">
      <c r="A5265" s="4" t="s">
        <v>6613</v>
      </c>
      <c r="B5265" s="4" t="s">
        <v>6616</v>
      </c>
      <c r="C5265" s="5" t="str">
        <f>IFERROR(__xludf.DUMMYFUNCTION("GOOGLETRANSLATE(B5265,""en"",""fr"")"),"La fille fait une roue de charrette.")</f>
        <v>La fille fait une roue de charrette.</v>
      </c>
    </row>
    <row r="5266">
      <c r="A5266" s="4" t="s">
        <v>6613</v>
      </c>
      <c r="B5266" s="4" t="s">
        <v>6617</v>
      </c>
      <c r="C5266" s="5" t="str">
        <f>IFERROR(__xludf.DUMMYFUNCTION("GOOGLETRANSLATE(B5266,""en"",""fr"")"),"La fille s'agenouille et ramasse un bâton.")</f>
        <v>La fille s'agenouille et ramasse un bâton.</v>
      </c>
    </row>
    <row r="5267">
      <c r="A5267" s="4" t="s">
        <v>6613</v>
      </c>
      <c r="B5267" s="4" t="s">
        <v>6618</v>
      </c>
      <c r="C5267" s="5" t="str">
        <f>IFERROR(__xludf.DUMMYFUNCTION("GOOGLETRANSLATE(B5267,""en"",""fr"")"),"Les filles finissent et jette ses bras en l'air.")</f>
        <v>Les filles finissent et jette ses bras en l'air.</v>
      </c>
    </row>
    <row r="5268">
      <c r="A5268" s="4" t="s">
        <v>6613</v>
      </c>
      <c r="B5268" s="4" t="s">
        <v>6619</v>
      </c>
      <c r="C5268" s="5" t="str">
        <f>IFERROR(__xludf.DUMMYFUNCTION("GOOGLETRANSLATE(B5268,""en"",""fr"")"),"La fille marche et serre son père dans ses bras.")</f>
        <v>La fille marche et serre son père dans ses bras.</v>
      </c>
    </row>
    <row r="5269">
      <c r="A5269" s="4" t="s">
        <v>6620</v>
      </c>
      <c r="B5269" s="4" t="s">
        <v>6621</v>
      </c>
      <c r="C5269" s="5" t="str">
        <f>IFERROR(__xludf.DUMMYFUNCTION("GOOGLETRANSLATE(B5269,""en"",""fr"")"),"Un homme regarde un jeu manger un cornet de crème glacée.")</f>
        <v>Un homme regarde un jeu manger un cornet de crème glacée.</v>
      </c>
    </row>
    <row r="5270">
      <c r="A5270" s="4" t="s">
        <v>6620</v>
      </c>
      <c r="B5270" s="4" t="s">
        <v>6622</v>
      </c>
      <c r="C5270" s="5" t="str">
        <f>IFERROR(__xludf.DUMMYFUNCTION("GOOGLETRANSLATE(B5270,""en"",""fr"")"),"Les gens sont assis derrière un bureau en riant.")</f>
        <v>Les gens sont assis derrière un bureau en riant.</v>
      </c>
    </row>
    <row r="5271">
      <c r="A5271" s="4" t="s">
        <v>6623</v>
      </c>
      <c r="B5271" s="4" t="s">
        <v>6624</v>
      </c>
      <c r="C5271" s="5" t="str">
        <f>IFERROR(__xludf.DUMMYFUNCTION("GOOGLETRANSLATE(B5271,""en"",""fr"")"),"Un homme se prépare à courir et à sauter.")</f>
        <v>Un homme se prépare à courir et à sauter.</v>
      </c>
    </row>
    <row r="5272">
      <c r="A5272" s="4" t="s">
        <v>6623</v>
      </c>
      <c r="B5272" s="4" t="s">
        <v>6625</v>
      </c>
      <c r="C5272" s="5" t="str">
        <f>IFERROR(__xludf.DUMMYFUNCTION("GOOGLETRANSLATE(B5272,""en"",""fr"")"),"Il court très rapidement sur la piste.")</f>
        <v>Il court très rapidement sur la piste.</v>
      </c>
    </row>
    <row r="5273">
      <c r="A5273" s="4" t="s">
        <v>6623</v>
      </c>
      <c r="B5273" s="4" t="s">
        <v>6626</v>
      </c>
      <c r="C5273" s="5" t="str">
        <f>IFERROR(__xludf.DUMMYFUNCTION("GOOGLETRANSLATE(B5273,""en"",""fr"")"),"Il prend un saut volant sur la barre haute sur un tapis.")</f>
        <v>Il prend un saut volant sur la barre haute sur un tapis.</v>
      </c>
    </row>
    <row r="5274">
      <c r="A5274" s="4" t="s">
        <v>6627</v>
      </c>
      <c r="B5274" s="4" t="s">
        <v>6628</v>
      </c>
      <c r="C5274" s="5" t="str">
        <f>IFERROR(__xludf.DUMMYFUNCTION("GOOGLETRANSLATE(B5274,""en"",""fr"")"),"Une fille est assise sur une chaise.")</f>
        <v>Une fille est assise sur une chaise.</v>
      </c>
    </row>
    <row r="5275">
      <c r="A5275" s="4" t="s">
        <v>6627</v>
      </c>
      <c r="B5275" s="4" t="s">
        <v>6629</v>
      </c>
      <c r="C5275" s="5" t="str">
        <f>IFERROR(__xludf.DUMMYFUNCTION("GOOGLETRANSLATE(B5275,""en"",""fr"")"),"Une autre personne se tient derrière elle.")</f>
        <v>Une autre personne se tient derrière elle.</v>
      </c>
    </row>
    <row r="5276">
      <c r="A5276" s="4" t="s">
        <v>6627</v>
      </c>
      <c r="B5276" s="4" t="s">
        <v>6630</v>
      </c>
      <c r="C5276" s="5" t="str">
        <f>IFERROR(__xludf.DUMMYFUNCTION("GOOGLETRANSLATE(B5276,""en"",""fr"")"),"La femme derrière elle commence à tresser ses cheveux.")</f>
        <v>La femme derrière elle commence à tresser ses cheveux.</v>
      </c>
    </row>
    <row r="5277">
      <c r="A5277" s="4" t="s">
        <v>6631</v>
      </c>
      <c r="B5277" s="6" t="s">
        <v>6632</v>
      </c>
      <c r="C5277" s="5" t="str">
        <f>IFERROR(__xludf.DUMMYFUNCTION("GOOGLETRANSLATE(B5277,""en"",""fr"")"),"Deux hommes sont vus à genoux et assis devant un mur avec un parlant à la caméra et commencent à poser du métal sur le côté.")</f>
        <v>Deux hommes sont vus à genoux et assis devant un mur avec un parlant à la caméra et commencent à poser du métal sur le côté.</v>
      </c>
    </row>
    <row r="5278">
      <c r="A5278" s="4" t="s">
        <v>6631</v>
      </c>
      <c r="B5278" s="6" t="s">
        <v>6633</v>
      </c>
      <c r="C5278" s="5" t="str">
        <f>IFERROR(__xludf.DUMMYFUNCTION("GOOGLETRANSLATE(B5278,""en"",""fr"")"),"Les deux le ralentissent ainsi que de percer le métal en place tout en continuant à explorer davantage pendant que l'homme parle à la caméra et montre plus de coups de l'équipage en travaillant à la fin.")</f>
        <v>Les deux le ralentissent ainsi que de percer le métal en place tout en continuant à explorer davantage pendant que l'homme parle à la caméra et montre plus de coups de l'équipage en travaillant à la fin.</v>
      </c>
    </row>
    <row r="5279">
      <c r="A5279" s="4" t="s">
        <v>6634</v>
      </c>
      <c r="B5279" s="4" t="s">
        <v>6635</v>
      </c>
      <c r="C5279" s="5" t="str">
        <f>IFERROR(__xludf.DUMMYFUNCTION("GOOGLETRANSLATE(B5279,""en"",""fr"")"),"Une femme cuit des biscuits sur un tapis de silicone.")</f>
        <v>Une femme cuit des biscuits sur un tapis de silicone.</v>
      </c>
    </row>
    <row r="5280">
      <c r="A5280" s="4" t="s">
        <v>6634</v>
      </c>
      <c r="B5280" s="4" t="s">
        <v>6636</v>
      </c>
      <c r="C5280" s="5" t="str">
        <f>IFERROR(__xludf.DUMMYFUNCTION("GOOGLETRANSLATE(B5280,""en"",""fr"")"),"Les ingrédients sont préparés et les biscuits sont coupés.")</f>
        <v>Les ingrédients sont préparés et les biscuits sont coupés.</v>
      </c>
    </row>
    <row r="5281">
      <c r="A5281" s="4" t="s">
        <v>6637</v>
      </c>
      <c r="B5281" s="4" t="s">
        <v>6638</v>
      </c>
      <c r="C5281" s="5" t="str">
        <f>IFERROR(__xludf.DUMMYFUNCTION("GOOGLETRANSLATE(B5281,""en"",""fr"")"),"Un récif corallien sous-marin est montré.")</f>
        <v>Un récif corallien sous-marin est montré.</v>
      </c>
    </row>
    <row r="5282">
      <c r="A5282" s="4" t="s">
        <v>6637</v>
      </c>
      <c r="B5282" s="4" t="s">
        <v>6639</v>
      </c>
      <c r="C5282" s="5" t="str">
        <f>IFERROR(__xludf.DUMMYFUNCTION("GOOGLETRANSLATE(B5282,""en"",""fr"")"),"Le plongeur de plongée monte à cheval puis regarde les rayons.")</f>
        <v>Le plongeur de plongée monte à cheval puis regarde les rayons.</v>
      </c>
    </row>
    <row r="5283">
      <c r="A5283" s="4" t="s">
        <v>6640</v>
      </c>
      <c r="B5283" s="6" t="s">
        <v>6641</v>
      </c>
      <c r="C5283" s="5" t="str">
        <f>IFERROR(__xludf.DUMMYFUNCTION("GOOGLETRANSLATE(B5283,""en"",""fr"")"),"Un jeune enfant est vu monter et descendre dans une zone de briques tout en se tenant devant un jeu Scotch tiré.")</f>
        <v>Un jeune enfant est vu monter et descendre dans une zone de briques tout en se tenant devant un jeu Scotch tiré.</v>
      </c>
    </row>
    <row r="5284">
      <c r="A5284" s="4" t="s">
        <v>6640</v>
      </c>
      <c r="B5284" s="6" t="s">
        <v>6642</v>
      </c>
      <c r="C5284" s="5" t="str">
        <f>IFERROR(__xludf.DUMMYFUNCTION("GOOGLETRANSLATE(B5284,""en"",""fr"")"),"La fille saute ensuite le long de la craie tout en regardant la caméra et en tenant ses cheveux hors de son visage.")</f>
        <v>La fille saute ensuite le long de la craie tout en regardant la caméra et en tenant ses cheveux hors de son visage.</v>
      </c>
    </row>
    <row r="5285">
      <c r="A5285" s="4" t="s">
        <v>6640</v>
      </c>
      <c r="B5285" s="4" t="s">
        <v>6643</v>
      </c>
      <c r="C5285" s="5" t="str">
        <f>IFERROR(__xludf.DUMMYFUNCTION("GOOGLETRANSLATE(B5285,""en"",""fr"")"),"En fin de compte, elle donne à la personne qui ait une caméra à donner.")</f>
        <v>En fin de compte, elle donne à la personne qui ait une caméra à donner.</v>
      </c>
    </row>
    <row r="5286">
      <c r="A5286" s="4" t="s">
        <v>6644</v>
      </c>
      <c r="B5286" s="4" t="s">
        <v>6645</v>
      </c>
      <c r="C5286" s="5" t="str">
        <f>IFERROR(__xludf.DUMMYFUNCTION("GOOGLETRANSLATE(B5286,""en"",""fr"")"),"Divers clips sont montrés en gros plan de nourriture ainsi que des personnes qui parlent à la caméra.")</f>
        <v>Divers clips sont montrés en gros plan de nourriture ainsi que des personnes qui parlent à la caméra.</v>
      </c>
    </row>
    <row r="5287">
      <c r="A5287" s="4" t="s">
        <v>6644</v>
      </c>
      <c r="B5287" s="6" t="s">
        <v>6646</v>
      </c>
      <c r="C5287" s="5" t="str">
        <f>IFERROR(__xludf.DUMMYFUNCTION("GOOGLETRANSLATE(B5287,""en"",""fr"")"),"Des coups de feu sont montrés de l'extérieur d'un restaurant ainsi que des chefs qui cuisinent la nourriture et les gens qui mangent la nourriture.")</f>
        <v>Des coups de feu sont montrés de l'extérieur d'un restaurant ainsi que des chefs qui cuisinent la nourriture et les gens qui mangent la nourriture.</v>
      </c>
    </row>
    <row r="5288">
      <c r="A5288" s="4" t="s">
        <v>6647</v>
      </c>
      <c r="B5288" s="6" t="s">
        <v>6648</v>
      </c>
      <c r="C5288" s="5" t="str">
        <f>IFERROR(__xludf.DUMMYFUNCTION("GOOGLETRANSLATE(B5288,""en"",""fr"")"),"Un écran blanc apparaît avec un logo vert et des mots verts et gris apparaissent et il dit ""Howdini Get Yourself A Guru"".")</f>
        <v>Un écran blanc apparaît avec un logo vert et des mots verts et gris apparaissent et il dit "Howdini Get Yourself A Guru".</v>
      </c>
    </row>
    <row r="5289">
      <c r="A5289" s="4" t="s">
        <v>6647</v>
      </c>
      <c r="B5289" s="6" t="s">
        <v>6649</v>
      </c>
      <c r="C5289" s="5" t="str">
        <f>IFERROR(__xludf.DUMMYFUNCTION("GOOGLETRANSLATE(B5289,""en"",""fr"")"),"Une femme brune debout dans une cuisine parle et les mots à l'écran disent ""Howdini Guru Cricket Azima Chef and Auteur"", puis un écran vert apparaît rapidement et il dit ""Recettes d'échange de cookies"", et revient à la femme en train de parler.")</f>
        <v>Une femme brune debout dans une cuisine parle et les mots à l'écran disent "Howdini Guru Cricket Azima Chef and Auteur", puis un écran vert apparaît rapidement et il dit "Recettes d'échange de cookies", et revient à la femme en train de parler.</v>
      </c>
    </row>
    <row r="5290">
      <c r="A5290" s="4" t="s">
        <v>6647</v>
      </c>
      <c r="B5290" s="6" t="s">
        <v>6650</v>
      </c>
      <c r="C5290" s="5" t="str">
        <f>IFERROR(__xludf.DUMMYFUNCTION("GOOGLETRANSLATE(B5290,""en"",""fr"")"),"Les biscuits sur une assiette sont représentés et les mots à l'écran disent qu'ils sont des ""fleurs de beurre d'arachide"" et commencent à montrer à la femme verser tous les ingrédients dans un bol pour les faire, les rouler dans du sucre, les mettre sur"&amp;" un plateau pour la cuisson , puis afficher le produit final lorsqu'ils ont terminé la cuisson et le site Web pour voir la recette complète.")</f>
        <v>Les biscuits sur une assiette sont représentés et les mots à l'écran disent qu'ils sont des "fleurs de beurre d'arachide" et commencent à montrer à la femme verser tous les ingrédients dans un bol pour les faire, les rouler dans du sucre, les mettre sur un plateau pour la cuisson , puis afficher le produit final lorsqu'ils ont terminé la cuisson et le site Web pour voir la recette complète.</v>
      </c>
    </row>
    <row r="5291">
      <c r="A5291" s="4" t="s">
        <v>6647</v>
      </c>
      <c r="B5291" s="6" t="s">
        <v>6651</v>
      </c>
      <c r="C5291" s="5" t="str">
        <f>IFERROR(__xludf.DUMMYFUNCTION("GOOGLETRANSLATE(B5291,""en"",""fr"")"),"La femme parle à nouveau et le prochain cookie qu'elle fait s'appelle s'appelle ""Cookie Snowball"" et cela montre tous les ingrédients nécessaires, une liste sur combien de temps pour le cuisiner, et elle démontre pas à pas jusqu'à ce que tout soit cuit "&amp;"et sur un Assiette à côté des autres cookies.")</f>
        <v>La femme parle à nouveau et le prochain cookie qu'elle fait s'appelle s'appelle "Cookie Snowball" et cela montre tous les ingrédients nécessaires, une liste sur combien de temps pour le cuisiner, et elle démontre pas à pas jusqu'à ce que tout soit cuit et sur un Assiette à côté des autres cookies.</v>
      </c>
    </row>
    <row r="5292">
      <c r="A5292" s="4" t="s">
        <v>6647</v>
      </c>
      <c r="B5292" s="6" t="s">
        <v>6652</v>
      </c>
      <c r="C5292" s="5" t="str">
        <f>IFERROR(__xludf.DUMMYFUNCTION("GOOGLETRANSLATE(B5292,""en"",""fr"")"),"La vidéo se termine par plus de photos d'autres cookies qu'elle n'a pas été affichés, puis sur un écran vert qui a des mots blancs qui incluent un message pour aller sur leur site Web si vous voulez voir plus de vidéos de leurs recettes de cookies.")</f>
        <v>La vidéo se termine par plus de photos d'autres cookies qu'elle n'a pas été affichés, puis sur un écran vert qui a des mots blancs qui incluent un message pour aller sur leur site Web si vous voulez voir plus de vidéos de leurs recettes de cookies.</v>
      </c>
    </row>
    <row r="5293">
      <c r="A5293" s="4" t="s">
        <v>6653</v>
      </c>
      <c r="B5293" s="4" t="s">
        <v>6654</v>
      </c>
      <c r="C5293" s="5" t="str">
        <f>IFERROR(__xludf.DUMMYFUNCTION("GOOGLETRANSLATE(B5293,""en"",""fr"")"),"Une dame sur une machine à aviron dans une salle de sport est immobile.")</f>
        <v>Une dame sur une machine à aviron dans une salle de sport est immobile.</v>
      </c>
    </row>
    <row r="5294">
      <c r="A5294" s="4" t="s">
        <v>6653</v>
      </c>
      <c r="B5294" s="4" t="s">
        <v>6655</v>
      </c>
      <c r="C5294" s="5" t="str">
        <f>IFERROR(__xludf.DUMMYFUNCTION("GOOGLETRANSLATE(B5294,""en"",""fr"")"),"La dame se penche en avant et s'entraîne lentement sur la machine.")</f>
        <v>La dame se penche en avant et s'entraîne lentement sur la machine.</v>
      </c>
    </row>
    <row r="5295">
      <c r="A5295" s="4" t="s">
        <v>6653</v>
      </c>
      <c r="B5295" s="4" t="s">
        <v>6656</v>
      </c>
      <c r="C5295" s="5" t="str">
        <f>IFERROR(__xludf.DUMMYFUNCTION("GOOGLETRANSLATE(B5295,""en"",""fr"")"),"La dame commence à ramer un peu plus vite et l'écran s'estompe en noir.")</f>
        <v>La dame commence à ramer un peu plus vite et l'écran s'estompe en noir.</v>
      </c>
    </row>
    <row r="5296">
      <c r="A5296" s="4" t="s">
        <v>6657</v>
      </c>
      <c r="B5296" s="6" t="s">
        <v>6658</v>
      </c>
      <c r="C5296" s="5" t="str">
        <f>IFERROR(__xludf.DUMMYFUNCTION("GOOGLETRANSLATE(B5296,""en"",""fr"")"),"On voit deux danseurs tenant une pose au milieu d'un grand gymnase et commencent à effectuer une routine en utilisant des matraques.")</f>
        <v>On voit deux danseurs tenant une pose au milieu d'un grand gymnase et commencent à effectuer une routine en utilisant des matraques.</v>
      </c>
    </row>
    <row r="5297">
      <c r="A5297" s="4" t="s">
        <v>6657</v>
      </c>
      <c r="B5297" s="4" t="s">
        <v>6659</v>
      </c>
      <c r="C5297" s="5" t="str">
        <f>IFERROR(__xludf.DUMMYFUNCTION("GOOGLETRANSLATE(B5297,""en"",""fr"")"),"Les filles continuent de danser et de tourner avec les bâtons et de se terminer en tenant une pose.")</f>
        <v>Les filles continuent de danser et de tourner avec les bâtons et de se terminer en tenant une pose.</v>
      </c>
    </row>
    <row r="5298">
      <c r="A5298" s="4" t="s">
        <v>6660</v>
      </c>
      <c r="B5298" s="4" t="s">
        <v>6661</v>
      </c>
      <c r="C5298" s="5" t="str">
        <f>IFERROR(__xludf.DUMMYFUNCTION("GOOGLETRANSLATE(B5298,""en"",""fr"")"),"Nous voyons des coureurs BMX sur le terrain et à divers endroits et rouler à vélo.")</f>
        <v>Nous voyons des coureurs BMX sur le terrain et à divers endroits et rouler à vélo.</v>
      </c>
    </row>
    <row r="5299">
      <c r="A5299" s="4" t="s">
        <v>6660</v>
      </c>
      <c r="B5299" s="4" t="s">
        <v>6662</v>
      </c>
      <c r="C5299" s="5" t="str">
        <f>IFERROR(__xludf.DUMMYFUNCTION("GOOGLETRANSLATE(B5299,""en"",""fr"")"),"Deux hommes tombent de leurs vélos.")</f>
        <v>Deux hommes tombent de leurs vélos.</v>
      </c>
    </row>
    <row r="5300">
      <c r="A5300" s="4" t="s">
        <v>6660</v>
      </c>
      <c r="B5300" s="4" t="s">
        <v>6663</v>
      </c>
      <c r="C5300" s="5" t="str">
        <f>IFERROR(__xludf.DUMMYFUNCTION("GOOGLETRANSLATE(B5300,""en"",""fr"")"),"Nous voyons les courses commencer haut sur une plate-forme.")</f>
        <v>Nous voyons les courses commencer haut sur une plate-forme.</v>
      </c>
    </row>
    <row r="5301">
      <c r="A5301" s="4" t="s">
        <v>6660</v>
      </c>
      <c r="B5301" s="4" t="s">
        <v>6664</v>
      </c>
      <c r="C5301" s="5" t="str">
        <f>IFERROR(__xludf.DUMMYFUNCTION("GOOGLETRANSLATE(B5301,""en"",""fr"")"),"Un homme tient une planche de surf et un homme porte un vélo en haut.")</f>
        <v>Un homme tient une planche de surf et un homme porte un vélo en haut.</v>
      </c>
    </row>
    <row r="5302">
      <c r="A5302" s="4" t="s">
        <v>6660</v>
      </c>
      <c r="B5302" s="4" t="s">
        <v>6665</v>
      </c>
      <c r="C5302" s="5" t="str">
        <f>IFERROR(__xludf.DUMMYFUNCTION("GOOGLETRANSLATE(B5302,""en"",""fr"")"),"Nous voyons un homme qui rie tenant une planche de surf.")</f>
        <v>Nous voyons un homme qui rie tenant une planche de surf.</v>
      </c>
    </row>
    <row r="5303">
      <c r="A5303" s="4" t="s">
        <v>6660</v>
      </c>
      <c r="B5303" s="4" t="s">
        <v>6666</v>
      </c>
      <c r="C5303" s="5" t="str">
        <f>IFERROR(__xludf.DUMMYFUNCTION("GOOGLETRANSLATE(B5303,""en"",""fr"")"),"Une dame jette un signe de la main à la caméra.")</f>
        <v>Une dame jette un signe de la main à la caméra.</v>
      </c>
    </row>
    <row r="5304">
      <c r="A5304" s="4" t="s">
        <v>6660</v>
      </c>
      <c r="B5304" s="4" t="s">
        <v>6667</v>
      </c>
      <c r="C5304" s="5" t="str">
        <f>IFERROR(__xludf.DUMMYFUNCTION("GOOGLETRANSLATE(B5304,""en"",""fr"")"),"Nous voyons des photos aériennes des champs.")</f>
        <v>Nous voyons des photos aériennes des champs.</v>
      </c>
    </row>
    <row r="5305">
      <c r="A5305" s="4" t="s">
        <v>6660</v>
      </c>
      <c r="B5305" s="4" t="s">
        <v>6668</v>
      </c>
      <c r="C5305" s="5" t="str">
        <f>IFERROR(__xludf.DUMMYFUNCTION("GOOGLETRANSLATE(B5305,""en"",""fr"")"),"Un homme prend une photo et un homme tient un nouveau drapeau de Zeland.")</f>
        <v>Un homme prend une photo et un homme tient un nouveau drapeau de Zeland.</v>
      </c>
    </row>
    <row r="5306">
      <c r="A5306" s="4" t="s">
        <v>6660</v>
      </c>
      <c r="B5306" s="4" t="s">
        <v>6669</v>
      </c>
      <c r="C5306" s="5" t="str">
        <f>IFERROR(__xludf.DUMMYFUNCTION("GOOGLETRANSLATE(B5306,""en"",""fr"")"),"Un homme tombe fort de son vélo.")</f>
        <v>Un homme tombe fort de son vélo.</v>
      </c>
    </row>
    <row r="5307">
      <c r="A5307" s="4" t="s">
        <v>6660</v>
      </c>
      <c r="B5307" s="4" t="s">
        <v>6670</v>
      </c>
      <c r="C5307" s="5" t="str">
        <f>IFERROR(__xludf.DUMMYFUNCTION("GOOGLETRANSLATE(B5307,""en"",""fr"")"),"La vidéo s'estompe au noir.")</f>
        <v>La vidéo s'estompe au noir.</v>
      </c>
    </row>
    <row r="5308">
      <c r="A5308" s="4" t="s">
        <v>6671</v>
      </c>
      <c r="B5308" s="6" t="s">
        <v>6672</v>
      </c>
      <c r="C5308" s="5" t="str">
        <f>IFERROR(__xludf.DUMMYFUNCTION("GOOGLETRANSLATE(B5308,""en"",""fr"")"),"Divers clips sont illustrés à l'intérieur et à l'extérieur d'une arène ainsi que la caméra qui se pose de la glace et deux personnes se parlent.")</f>
        <v>Divers clips sont illustrés à l'intérieur et à l'extérieur d'une arène ainsi que la caméra qui se pose de la glace et deux personnes se parlent.</v>
      </c>
    </row>
    <row r="5309">
      <c r="A5309" s="4" t="s">
        <v>6671</v>
      </c>
      <c r="B5309" s="4" t="s">
        <v>6673</v>
      </c>
      <c r="C5309" s="5" t="str">
        <f>IFERROR(__xludf.DUMMYFUNCTION("GOOGLETRANSLATE(B5309,""en"",""fr"")"),"Plusieurs plans sont ensuite représentés des personnes à curling et à des gros plans des rondelles.")</f>
        <v>Plusieurs plans sont ensuite représentés des personnes à curling et à des gros plans des rondelles.</v>
      </c>
    </row>
    <row r="5310">
      <c r="A5310" s="4" t="s">
        <v>6671</v>
      </c>
      <c r="B5310" s="4" t="s">
        <v>6674</v>
      </c>
      <c r="C5310" s="5" t="str">
        <f>IFERROR(__xludf.DUMMYFUNCTION("GOOGLETRANSLATE(B5310,""en"",""fr"")"),"Plus de clips sont montrés des personnes jouant au jeu ainsi que des coéquipiers.")</f>
        <v>Plus de clips sont montrés des personnes jouant au jeu ainsi que des coéquipiers.</v>
      </c>
    </row>
    <row r="5311">
      <c r="A5311" s="4" t="s">
        <v>6675</v>
      </c>
      <c r="B5311" s="4" t="s">
        <v>6676</v>
      </c>
      <c r="C5311" s="5" t="str">
        <f>IFERROR(__xludf.DUMMYFUNCTION("GOOGLETRANSLATE(B5311,""en"",""fr"")"),"Un homme en chemise blanche se penche et prend un gros poids.")</f>
        <v>Un homme en chemise blanche se penche et prend un gros poids.</v>
      </c>
    </row>
    <row r="5312">
      <c r="A5312" s="4" t="s">
        <v>6675</v>
      </c>
      <c r="B5312" s="4" t="s">
        <v>6677</v>
      </c>
      <c r="C5312" s="5" t="str">
        <f>IFERROR(__xludf.DUMMYFUNCTION("GOOGLETRANSLATE(B5312,""en"",""fr"")"),"Il soulève le poids jusqu'à ses épaules.")</f>
        <v>Il soulève le poids jusqu'à ses épaules.</v>
      </c>
    </row>
    <row r="5313">
      <c r="A5313" s="4" t="s">
        <v>6675</v>
      </c>
      <c r="B5313" s="4" t="s">
        <v>6678</v>
      </c>
      <c r="C5313" s="5" t="str">
        <f>IFERROR(__xludf.DUMMYFUNCTION("GOOGLETRANSLATE(B5313,""en"",""fr"")"),"Il se penche et soulève le poids sur sa tête.")</f>
        <v>Il se penche et soulève le poids sur sa tête.</v>
      </c>
    </row>
    <row r="5314">
      <c r="A5314" s="4" t="s">
        <v>6679</v>
      </c>
      <c r="B5314" s="6" t="s">
        <v>6680</v>
      </c>
      <c r="C5314" s="5" t="str">
        <f>IFERROR(__xludf.DUMMYFUNCTION("GOOGLETRANSLATE(B5314,""en"",""fr"")"),"Un homme du nom d'Alex al-Aameen sourit et parle et les mots ci-dessous son nom disent qu'il a été ""sélectionné pour les jeux de jeux du Commonwealth 2014 110 mètres"".")</f>
        <v>Un homme du nom d'Alex al-Aameen sourit et parle et les mots ci-dessous son nom disent qu'il a été "sélectionné pour les jeux de jeux du Commonwealth 2014 110 mètres".</v>
      </c>
    </row>
    <row r="5315">
      <c r="A5315" s="4" t="s">
        <v>6679</v>
      </c>
      <c r="B5315" s="6" t="s">
        <v>6681</v>
      </c>
      <c r="C5315" s="5" t="str">
        <f>IFERROR(__xludf.DUMMYFUNCTION("GOOGLETRANSLATE(B5315,""en"",""fr"")"),"Un homme est ensuite montré sur la piste assis sur le sol en préparant ses pieds pour ses chaussures alors qu'il enroule du ruban adhésif autour de son pied.")</f>
        <v>Un homme est ensuite montré sur la piste assis sur le sol en préparant ses pieds pour ses chaussures alors qu'il enroule du ruban adhésif autour de son pied.</v>
      </c>
    </row>
    <row r="5316">
      <c r="A5316" s="4" t="s">
        <v>6679</v>
      </c>
      <c r="B5316" s="6" t="s">
        <v>6682</v>
      </c>
      <c r="C5316" s="5" t="str">
        <f>IFERROR(__xludf.DUMMYFUNCTION("GOOGLETRANSLATE(B5316,""en"",""fr"")"),"Trois hommes se dirigent maintenant vers une piste où diverses personnes courent et se relayent à tour de rôle, sautent, sautent et sautent.")</f>
        <v>Trois hommes se dirigent maintenant vers une piste où diverses personnes courent et se relayent à tour de rôle, sautent, sautent et sautent.</v>
      </c>
    </row>
    <row r="5317">
      <c r="A5317" s="4" t="s">
        <v>6679</v>
      </c>
      <c r="B5317" s="4" t="s">
        <v>6683</v>
      </c>
      <c r="C5317" s="5" t="str">
        <f>IFERROR(__xludf.DUMMYFUNCTION("GOOGLETRANSLATE(B5317,""en"",""fr"")"),"Un homme s'arrête brièvement et parle à la caméra pendant qu'il apparaît un peu à bout de souffle.")</f>
        <v>Un homme s'arrête brièvement et parle à la caméra pendant qu'il apparaît un peu à bout de souffle.</v>
      </c>
    </row>
    <row r="5318">
      <c r="A5318" s="4" t="s">
        <v>6679</v>
      </c>
      <c r="B5318" s="4" t="s">
        <v>6684</v>
      </c>
      <c r="C5318" s="5" t="str">
        <f>IFERROR(__xludf.DUMMYFUNCTION("GOOGLETRANSLATE(B5318,""en"",""fr"")"),"Un autre homme s'agenouille maintenant et applique du ruban adhésif à côté de la zone sablonneuse du saut pendant qu'il parle.")</f>
        <v>Un autre homme s'agenouille maintenant et applique du ruban adhésif à côté de la zone sablonneuse du saut pendant qu'il parle.</v>
      </c>
    </row>
    <row r="5319">
      <c r="A5319" s="4" t="s">
        <v>6679</v>
      </c>
      <c r="B5319" s="6" t="s">
        <v>6685</v>
      </c>
      <c r="C5319" s="5" t="str">
        <f>IFERROR(__xludf.DUMMYFUNCTION("GOOGLETRANSLATE(B5319,""en"",""fr"")"),"L'homme se tient maintenant dans une cloche de bar avec des poids très lourds et il commence lentement à le soulever, puis le laisse tomber.")</f>
        <v>L'homme se tient maintenant dans une cloche de bar avec des poids très lourds et il commence lentement à le soulever, puis le laisse tomber.</v>
      </c>
    </row>
    <row r="5320">
      <c r="A5320" s="4" t="s">
        <v>6679</v>
      </c>
      <c r="B5320" s="6" t="s">
        <v>6686</v>
      </c>
      <c r="C5320" s="5" t="str">
        <f>IFERROR(__xludf.DUMMYFUNCTION("GOOGLETRANSLATE(B5320,""en"",""fr"")"),"Une femme tient maintenant des haltères pendant qu'elle marche dans des escaliers, et l'homme est à nouveau en train de montrer, mais cette fois, il tire un équipement d'exercice.")</f>
        <v>Une femme tient maintenant des haltères pendant qu'elle marche dans des escaliers, et l'homme est à nouveau en train de montrer, mais cette fois, il tire un équipement d'exercice.</v>
      </c>
    </row>
    <row r="5321">
      <c r="A5321" s="4" t="s">
        <v>6679</v>
      </c>
      <c r="B5321" s="6" t="s">
        <v>6687</v>
      </c>
      <c r="C5321" s="5" t="str">
        <f>IFERROR(__xludf.DUMMYFUNCTION("GOOGLETRANSLATE(B5321,""en"",""fr"")"),"L'écran outro blanc apparaît avec leur logo et les mots disant de s'abonner à leur chaîne YouTube.")</f>
        <v>L'écran outro blanc apparaît avec leur logo et les mots disant de s'abonner à leur chaîne YouTube.</v>
      </c>
    </row>
    <row r="5322">
      <c r="A5322" s="4" t="s">
        <v>6688</v>
      </c>
      <c r="B5322" s="4" t="s">
        <v>6689</v>
      </c>
      <c r="C5322" s="5" t="str">
        <f>IFERROR(__xludf.DUMMYFUNCTION("GOOGLETRANSLATE(B5322,""en"",""fr"")"),"Trois garçons jouent à un jeu de croquet sur une grande pelouse verte avec des maillets de croquet et des balles de croquet.")</f>
        <v>Trois garçons jouent à un jeu de croquet sur une grande pelouse verte avec des maillets de croquet et des balles de croquet.</v>
      </c>
    </row>
    <row r="5323">
      <c r="A5323" s="4" t="s">
        <v>6688</v>
      </c>
      <c r="B5323" s="4" t="s">
        <v>6690</v>
      </c>
      <c r="C5323" s="5" t="str">
        <f>IFERROR(__xludf.DUMMYFUNCTION("GOOGLETRANSLATE(B5323,""en"",""fr"")"),"Le garçon est assis sur un banc à l'extérieur avec un sac de maillets et de balles de croquet et se parler.")</f>
        <v>Le garçon est assis sur un banc à l'extérieur avec un sac de maillets et de balles de croquet et se parler.</v>
      </c>
    </row>
    <row r="5324">
      <c r="A5324" s="4" t="s">
        <v>6688</v>
      </c>
      <c r="B5324" s="4" t="s">
        <v>6691</v>
      </c>
      <c r="C5324" s="5" t="str">
        <f>IFERROR(__xludf.DUMMYFUNCTION("GOOGLETRANSLATE(B5324,""en"",""fr"")"),"Les garçons entrent ensuite sur le terrain et se blessent en essayant de démêler les outils de croquet.")</f>
        <v>Les garçons entrent ensuite sur le terrain et se blessent en essayant de démêler les outils de croquet.</v>
      </c>
    </row>
    <row r="5325">
      <c r="A5325" s="4" t="s">
        <v>6688</v>
      </c>
      <c r="B5325" s="6" t="s">
        <v>6692</v>
      </c>
      <c r="C5325" s="5" t="str">
        <f>IFERROR(__xludf.DUMMYFUNCTION("GOOGLETRANSLATE(B5325,""en"",""fr"")"),"Les garçons commencent alors à jouer, se parlent à travers et finissent par se poursuivre sur le terrain et s'attaquer les uns aux autres sur le sol.")</f>
        <v>Les garçons commencent alors à jouer, se parlent à travers et finissent par se poursuivre sur le terrain et s'attaquer les uns aux autres sur le sol.</v>
      </c>
    </row>
    <row r="5326">
      <c r="A5326" s="4" t="s">
        <v>6688</v>
      </c>
      <c r="B5326" s="6" t="s">
        <v>6693</v>
      </c>
      <c r="C5326" s="5" t="str">
        <f>IFERROR(__xludf.DUMMYFUNCTION("GOOGLETRANSLATE(B5326,""en"",""fr"")"),"Les garçons regardent enfin un téléphone portable ensemble sur le terrain, puis superposent leurs maillets de croquet les uns sur les autres dans une tentative apparente pour franchir les balles à travers le but de croquet en les guidant à travers les tro"&amp;"us dans les maillets en couches.")</f>
        <v>Les garçons regardent enfin un téléphone portable ensemble sur le terrain, puis superposent leurs maillets de croquet les uns sur les autres dans une tentative apparente pour franchir les balles à travers le but de croquet en les guidant à travers les trous dans les maillets en couches.</v>
      </c>
    </row>
    <row r="5327">
      <c r="A5327" s="4" t="s">
        <v>6694</v>
      </c>
      <c r="B5327" s="4" t="s">
        <v>6695</v>
      </c>
      <c r="C5327" s="5" t="str">
        <f>IFERROR(__xludf.DUMMYFUNCTION("GOOGLETRANSLATE(B5327,""en"",""fr"")"),"Un grand groupe de personnes est vu nager autour d'une piscine avec un homme qui parle sur le côté.")</f>
        <v>Un grand groupe de personnes est vu nager autour d'une piscine avec un homme qui parle sur le côté.</v>
      </c>
    </row>
    <row r="5328">
      <c r="A5328" s="4" t="s">
        <v>6694</v>
      </c>
      <c r="B5328" s="4" t="s">
        <v>6696</v>
      </c>
      <c r="C5328" s="5" t="str">
        <f>IFERROR(__xludf.DUMMYFUNCTION("GOOGLETRANSLATE(B5328,""en"",""fr"")"),"Le groupe commence à lancer le ballon tout en nageant les uns aux autres.")</f>
        <v>Le groupe commence à lancer le ballon tout en nageant les uns aux autres.</v>
      </c>
    </row>
    <row r="5329">
      <c r="A5329" s="4" t="s">
        <v>6694</v>
      </c>
      <c r="B5329" s="4" t="s">
        <v>6697</v>
      </c>
      <c r="C5329" s="5" t="str">
        <f>IFERROR(__xludf.DUMMYFUNCTION("GOOGLETRANSLATE(B5329,""en"",""fr"")"),"Le groupe continue de nager et de jouer au ballon les uns avec les autres.")</f>
        <v>Le groupe continue de nager et de jouer au ballon les uns avec les autres.</v>
      </c>
    </row>
    <row r="5330">
      <c r="A5330" s="4" t="s">
        <v>6698</v>
      </c>
      <c r="B5330" s="4" t="s">
        <v>6699</v>
      </c>
      <c r="C5330" s="5" t="str">
        <f>IFERROR(__xludf.DUMMYFUNCTION("GOOGLETRANSLATE(B5330,""en"",""fr"")"),"Un homme est assis dans un stand entouré de tuyaux, parle et geste.")</f>
        <v>Un homme est assis dans un stand entouré de tuyaux, parle et geste.</v>
      </c>
    </row>
    <row r="5331">
      <c r="A5331" s="4" t="s">
        <v>6698</v>
      </c>
      <c r="B5331" s="4" t="s">
        <v>6700</v>
      </c>
      <c r="C5331" s="5" t="str">
        <f>IFERROR(__xludf.DUMMYFUNCTION("GOOGLETRANSLATE(B5331,""en"",""fr"")"),"L'homme tient une extrémité du tuyau.")</f>
        <v>L'homme tient une extrémité du tuyau.</v>
      </c>
    </row>
    <row r="5332">
      <c r="A5332" s="4" t="s">
        <v>6698</v>
      </c>
      <c r="B5332" s="4" t="s">
        <v>6701</v>
      </c>
      <c r="C5332" s="5" t="str">
        <f>IFERROR(__xludf.DUMMYFUNCTION("GOOGLETRANSLATE(B5332,""en"",""fr"")"),"L'homme montre comment fumer en utilisant le tuyau, alors qu'il souffle de la fumée annuelle de sa bouche.")</f>
        <v>L'homme montre comment fumer en utilisant le tuyau, alors qu'il souffle de la fumée annuelle de sa bouche.</v>
      </c>
    </row>
    <row r="5333">
      <c r="A5333" s="4" t="s">
        <v>6698</v>
      </c>
      <c r="B5333" s="4" t="s">
        <v>6702</v>
      </c>
      <c r="C5333" s="5" t="str">
        <f>IFERROR(__xludf.DUMMYFUNCTION("GOOGLETRANSLATE(B5333,""en"",""fr"")"),"Il continue de parler et de faire un geste.")</f>
        <v>Il continue de parler et de faire un geste.</v>
      </c>
    </row>
    <row r="5334">
      <c r="A5334" s="4" t="s">
        <v>6703</v>
      </c>
      <c r="B5334" s="4" t="s">
        <v>6704</v>
      </c>
      <c r="C5334" s="5" t="str">
        <f>IFERROR(__xludf.DUMMYFUNCTION("GOOGLETRANSLATE(B5334,""en"",""fr"")"),"Image des fournitures qui sont nécessaires pour faire la coiffure.")</f>
        <v>Image des fournitures qui sont nécessaires pour faire la coiffure.</v>
      </c>
    </row>
    <row r="5335">
      <c r="A5335" s="4" t="s">
        <v>6703</v>
      </c>
      <c r="B5335" s="4" t="s">
        <v>6705</v>
      </c>
      <c r="C5335" s="5" t="str">
        <f>IFERROR(__xludf.DUMMYFUNCTION("GOOGLETRANSLATE(B5335,""en"",""fr"")"),"Séparer les cheveux en deux parties au milieu.")</f>
        <v>Séparer les cheveux en deux parties au milieu.</v>
      </c>
    </row>
    <row r="5336">
      <c r="A5336" s="4" t="s">
        <v>6703</v>
      </c>
      <c r="B5336" s="4" t="s">
        <v>6706</v>
      </c>
      <c r="C5336" s="5" t="str">
        <f>IFERROR(__xludf.DUMMYFUNCTION("GOOGLETRANSLATE(B5336,""en"",""fr"")"),"Les cheveux de tressage français de gauche à droite jusqu'à la fin.")</f>
        <v>Les cheveux de tressage français de gauche à droite jusqu'à la fin.</v>
      </c>
    </row>
    <row r="5337">
      <c r="A5337" s="4" t="s">
        <v>6703</v>
      </c>
      <c r="B5337" s="4" t="s">
        <v>6707</v>
      </c>
      <c r="C5337" s="5" t="str">
        <f>IFERROR(__xludf.DUMMYFUNCTION("GOOGLETRANSLATE(B5337,""en"",""fr"")"),"Les cheveux de tressage français de l'arrière allant à droite à gauche jusqu'à la fin.")</f>
        <v>Les cheveux de tressage français de l'arrière allant à droite à gauche jusqu'à la fin.</v>
      </c>
    </row>
    <row r="5338">
      <c r="A5338" s="4" t="s">
        <v>6703</v>
      </c>
      <c r="B5338" s="4" t="s">
        <v>6708</v>
      </c>
      <c r="C5338" s="5" t="str">
        <f>IFERROR(__xludf.DUMMYFUNCTION("GOOGLETRANSLATE(B5338,""en"",""fr"")"),"Connectez les tresses ensemble à l'aide d'une broche à bobby.")</f>
        <v>Connectez les tresses ensemble à l'aide d'une broche à bobby.</v>
      </c>
    </row>
    <row r="5339">
      <c r="A5339" s="4" t="s">
        <v>6703</v>
      </c>
      <c r="B5339" s="4" t="s">
        <v>6709</v>
      </c>
      <c r="C5339" s="5" t="str">
        <f>IFERROR(__xludf.DUMMYFUNCTION("GOOGLETRANSLATE(B5339,""en"",""fr"")"),"Séparez les tresses partout pour rendre les tresses plus pleines pour former une couronne.")</f>
        <v>Séparez les tresses partout pour rendre les tresses plus pleines pour former une couronne.</v>
      </c>
    </row>
    <row r="5340">
      <c r="A5340" s="4" t="s">
        <v>6710</v>
      </c>
      <c r="B5340" s="4" t="s">
        <v>6711</v>
      </c>
      <c r="C5340" s="5" t="str">
        <f>IFERROR(__xludf.DUMMYFUNCTION("GOOGLETRANSLATE(B5340,""en"",""fr"")"),"Cinq personnes se lancent sur un tapis bleu.")</f>
        <v>Cinq personnes se lancent sur un tapis bleu.</v>
      </c>
    </row>
    <row r="5341">
      <c r="A5341" s="4" t="s">
        <v>6710</v>
      </c>
      <c r="B5341" s="4" t="s">
        <v>6712</v>
      </c>
      <c r="C5341" s="5" t="str">
        <f>IFERROR(__xludf.DUMMYFUNCTION("GOOGLETRANSLATE(B5341,""en"",""fr"")"),"Ils font des flips et des astuces tout en sautant.")</f>
        <v>Ils font des flips et des astuces tout en sautant.</v>
      </c>
    </row>
    <row r="5342">
      <c r="A5342" s="4" t="s">
        <v>6710</v>
      </c>
      <c r="B5342" s="4" t="s">
        <v>6713</v>
      </c>
      <c r="C5342" s="5" t="str">
        <f>IFERROR(__xludf.DUMMYFUNCTION("GOOGLETRANSLATE(B5342,""en"",""fr"")"),"Ils finissent et s'embrassent avant de s'éloigner.")</f>
        <v>Ils finissent et s'embrassent avant de s'éloigner.</v>
      </c>
    </row>
    <row r="5343">
      <c r="A5343" s="4" t="s">
        <v>6714</v>
      </c>
      <c r="B5343" s="4" t="s">
        <v>6097</v>
      </c>
      <c r="C5343" s="5" t="str">
        <f>IFERROR(__xludf.DUMMYFUNCTION("GOOGLETRANSLATE(B5343,""en"",""fr"")"),"Nous voyons un écran d'ouverture noir.")</f>
        <v>Nous voyons un écran d'ouverture noir.</v>
      </c>
    </row>
    <row r="5344">
      <c r="A5344" s="4" t="s">
        <v>6714</v>
      </c>
      <c r="B5344" s="4" t="s">
        <v>6715</v>
      </c>
      <c r="C5344" s="5" t="str">
        <f>IFERROR(__xludf.DUMMYFUNCTION("GOOGLETRANSLATE(B5344,""en"",""fr"")"),"Une dame est assise dans une chaise de tatouage qui parle.")</f>
        <v>Une dame est assise dans une chaise de tatouage qui parle.</v>
      </c>
    </row>
    <row r="5345">
      <c r="A5345" s="4" t="s">
        <v>6714</v>
      </c>
      <c r="B5345" s="4" t="s">
        <v>2814</v>
      </c>
      <c r="C5345" s="5" t="str">
        <f>IFERROR(__xludf.DUMMYFUNCTION("GOOGLETRANSLATE(B5345,""en"",""fr"")"),"Nous voyons l'opérateur de la caméra.")</f>
        <v>Nous voyons l'opérateur de la caméra.</v>
      </c>
    </row>
    <row r="5346">
      <c r="A5346" s="4" t="s">
        <v>6714</v>
      </c>
      <c r="B5346" s="4" t="s">
        <v>6716</v>
      </c>
      <c r="C5346" s="5" t="str">
        <f>IFERROR(__xludf.DUMMYFUNCTION("GOOGLETRANSLATE(B5346,""en"",""fr"")"),"La dame a un tatouage ajouté à son dos.")</f>
        <v>La dame a un tatouage ajouté à son dos.</v>
      </c>
    </row>
    <row r="5347">
      <c r="A5347" s="4" t="s">
        <v>6714</v>
      </c>
      <c r="B5347" s="4" t="s">
        <v>6717</v>
      </c>
      <c r="C5347" s="5" t="str">
        <f>IFERROR(__xludf.DUMMYFUNCTION("GOOGLETRANSLATE(B5347,""en"",""fr"")"),"L'autre dame est assise sur la chaise.")</f>
        <v>L'autre dame est assise sur la chaise.</v>
      </c>
    </row>
    <row r="5348">
      <c r="A5348" s="4" t="s">
        <v>6714</v>
      </c>
      <c r="B5348" s="4" t="s">
        <v>6718</v>
      </c>
      <c r="C5348" s="5" t="str">
        <f>IFERROR(__xludf.DUMMYFUNCTION("GOOGLETRANSLATE(B5348,""en"",""fr"")"),"La deuxième dame est tatouée.")</f>
        <v>La deuxième dame est tatouée.</v>
      </c>
    </row>
    <row r="5349">
      <c r="A5349" s="4" t="s">
        <v>6714</v>
      </c>
      <c r="B5349" s="4" t="s">
        <v>6719</v>
      </c>
      <c r="C5349" s="5" t="str">
        <f>IFERROR(__xludf.DUMMYFUNCTION("GOOGLETRANSLATE(B5349,""en"",""fr"")"),"Nous voyons les tatouages ​​finis.")</f>
        <v>Nous voyons les tatouages ​​finis.</v>
      </c>
    </row>
    <row r="5350">
      <c r="A5350" s="4" t="s">
        <v>6720</v>
      </c>
      <c r="B5350" s="4" t="s">
        <v>6721</v>
      </c>
      <c r="C5350" s="5" t="str">
        <f>IFERROR(__xludf.DUMMYFUNCTION("GOOGLETRANSLATE(B5350,""en"",""fr"")"),"Deux hommes poussent un petit hélicoptère privé hors de son hangar.")</f>
        <v>Deux hommes poussent un petit hélicoptère privé hors de son hangar.</v>
      </c>
    </row>
    <row r="5351">
      <c r="A5351" s="4" t="s">
        <v>6720</v>
      </c>
      <c r="B5351" s="4" t="s">
        <v>6722</v>
      </c>
      <c r="C5351" s="5" t="str">
        <f>IFERROR(__xludf.DUMMYFUNCTION("GOOGLETRANSLATE(B5351,""en"",""fr"")"),"Ils atterrissent sur une plage, puis volent sur l'eau claire de l'océan.")</f>
        <v>Ils atterrissent sur une plage, puis volent sur l'eau claire de l'océan.</v>
      </c>
    </row>
    <row r="5352">
      <c r="A5352" s="4" t="s">
        <v>6720</v>
      </c>
      <c r="B5352" s="4" t="s">
        <v>6723</v>
      </c>
      <c r="C5352" s="5" t="str">
        <f>IFERROR(__xludf.DUMMYFUNCTION("GOOGLETRANSLATE(B5352,""en"",""fr"")"),"Ils paroidusent, ouvrant leurs parachutes en se rapprochant de l'eau.")</f>
        <v>Ils paroidusent, ouvrant leurs parachutes en se rapprochant de l'eau.</v>
      </c>
    </row>
    <row r="5353">
      <c r="A5353" s="4" t="s">
        <v>6720</v>
      </c>
      <c r="B5353" s="4" t="s">
        <v>6724</v>
      </c>
      <c r="C5353" s="5" t="str">
        <f>IFERROR(__xludf.DUMMYFUNCTION("GOOGLETRANSLATE(B5353,""en"",""fr"")"),"Ils plongent ensuite au fond et ont mis un équipement de plongée pour explorer le fond de l'océan.")</f>
        <v>Ils plongent ensuite au fond et ont mis un équipement de plongée pour explorer le fond de l'océan.</v>
      </c>
    </row>
    <row r="5354">
      <c r="A5354" s="4" t="s">
        <v>6725</v>
      </c>
      <c r="B5354" s="4" t="s">
        <v>6726</v>
      </c>
      <c r="C5354" s="5" t="str">
        <f>IFERROR(__xludf.DUMMYFUNCTION("GOOGLETRANSLATE(B5354,""en"",""fr"")"),"Un grand groupe de personnes est vue debout dans une zone et conduit à des personnes jouant au remorqueur.")</f>
        <v>Un grand groupe de personnes est vue debout dans une zone et conduit à des personnes jouant au remorqueur.</v>
      </c>
    </row>
    <row r="5355">
      <c r="A5355" s="4" t="s">
        <v>6725</v>
      </c>
      <c r="B5355" s="6" t="s">
        <v>6727</v>
      </c>
      <c r="C5355" s="5" t="str">
        <f>IFERROR(__xludf.DUMMYFUNCTION("GOOGLETRANSLATE(B5355,""en"",""fr"")"),"Les gens en costume les encouragent alors qu'ils continuent de jouer et montrent aux gens qui dansent dans la ville.")</f>
        <v>Les gens en costume les encouragent alors qu'ils continuent de jouer et montrent aux gens qui dansent dans la ville.</v>
      </c>
    </row>
    <row r="5356">
      <c r="A5356" s="4" t="s">
        <v>6725</v>
      </c>
      <c r="B5356" s="4" t="s">
        <v>6728</v>
      </c>
      <c r="C5356" s="5" t="str">
        <f>IFERROR(__xludf.DUMMYFUNCTION("GOOGLETRANSLATE(B5356,""en"",""fr"")"),"D'autres images sont montrées de l'événement ainsi que des gens qui se parlent.")</f>
        <v>D'autres images sont montrées de l'événement ainsi que des gens qui se parlent.</v>
      </c>
    </row>
    <row r="5357">
      <c r="A5357" s="4" t="s">
        <v>6729</v>
      </c>
      <c r="B5357" s="4" t="s">
        <v>6730</v>
      </c>
      <c r="C5357" s="5" t="str">
        <f>IFERROR(__xludf.DUMMYFUNCTION("GOOGLETRANSLATE(B5357,""en"",""fr"")"),"Un tatoueur est vu tatouer un pied de filles et mène à un homme parlant à la caméra.")</f>
        <v>Un tatoueur est vu tatouer un pied de filles et mène à un homme parlant à la caméra.</v>
      </c>
    </row>
    <row r="5358">
      <c r="A5358" s="4" t="s">
        <v>6729</v>
      </c>
      <c r="B5358" s="4" t="s">
        <v>6731</v>
      </c>
      <c r="C5358" s="5" t="str">
        <f>IFERROR(__xludf.DUMMYFUNCTION("GOOGLETRANSLATE(B5358,""en"",""fr"")"),"L'homme continue de parler à la caméra ainsi que de pointer et de détourner les yeux.")</f>
        <v>L'homme continue de parler à la caméra ainsi que de pointer et de détourner les yeux.</v>
      </c>
    </row>
    <row r="5359">
      <c r="A5359" s="4" t="s">
        <v>6732</v>
      </c>
      <c r="B5359" s="4" t="s">
        <v>6733</v>
      </c>
      <c r="C5359" s="5" t="str">
        <f>IFERROR(__xludf.DUMMYFUNCTION("GOOGLETRANSLATE(B5359,""en"",""fr"")"),"Un jeune garçon joue le violon.")</f>
        <v>Un jeune garçon joue le violon.</v>
      </c>
    </row>
    <row r="5360">
      <c r="A5360" s="4" t="s">
        <v>6732</v>
      </c>
      <c r="B5360" s="4" t="s">
        <v>6734</v>
      </c>
      <c r="C5360" s="5" t="str">
        <f>IFERROR(__xludf.DUMMYFUNCTION("GOOGLETRANSLATE(B5360,""en"",""fr"")"),"Il arrête de jouer du violon.")</f>
        <v>Il arrête de jouer du violon.</v>
      </c>
    </row>
    <row r="5361">
      <c r="A5361" s="4" t="s">
        <v>6735</v>
      </c>
      <c r="B5361" s="4" t="s">
        <v>6736</v>
      </c>
      <c r="C5361" s="5" t="str">
        <f>IFERROR(__xludf.DUMMYFUNCTION("GOOGLETRANSLATE(B5361,""en"",""fr"")"),"Un homme en tablier blanc et pantalon se tient sur une échelle tenant un crayon et un papier peint.")</f>
        <v>Un homme en tablier blanc et pantalon se tient sur une échelle tenant un crayon et un papier peint.</v>
      </c>
    </row>
    <row r="5362">
      <c r="A5362" s="4" t="s">
        <v>6735</v>
      </c>
      <c r="B5362" s="4" t="s">
        <v>6737</v>
      </c>
      <c r="C5362" s="5" t="str">
        <f>IFERROR(__xludf.DUMMYFUNCTION("GOOGLETRANSLATE(B5362,""en"",""fr"")"),"L'homme applique une bande de papier peint à un mur et lisse avec sa main.")</f>
        <v>L'homme applique une bande de papier peint à un mur et lisse avec sa main.</v>
      </c>
    </row>
    <row r="5363">
      <c r="A5363" s="4" t="s">
        <v>6735</v>
      </c>
      <c r="B5363" s="4" t="s">
        <v>6738</v>
      </c>
      <c r="C5363" s="5" t="str">
        <f>IFERROR(__xludf.DUMMYFUNCTION("GOOGLETRANSLATE(B5363,""en"",""fr"")"),"L'homme utilise un chiffon puis une brosse pour lisser le papier peint à la surface du mur.")</f>
        <v>L'homme utilise un chiffon puis une brosse pour lisser le papier peint à la surface du mur.</v>
      </c>
    </row>
    <row r="5364">
      <c r="A5364" s="4" t="s">
        <v>6735</v>
      </c>
      <c r="B5364" s="6" t="s">
        <v>6739</v>
      </c>
      <c r="C5364" s="5" t="str">
        <f>IFERROR(__xludf.DUMMYFUNCTION("GOOGLETRANSLATE(B5364,""en"",""fr"")"),"Le peintre utilise une spatule et une lame pour couper une ligne droite sur le bord des fonds d'écran le long du plafond.")</f>
        <v>Le peintre utilise une spatule et une lame pour couper une ligne droite sur le bord des fonds d'écran le long du plafond.</v>
      </c>
    </row>
    <row r="5365">
      <c r="A5365" s="4" t="s">
        <v>6735</v>
      </c>
      <c r="B5365" s="4" t="s">
        <v>6740</v>
      </c>
      <c r="C5365" s="5" t="str">
        <f>IFERROR(__xludf.DUMMYFUNCTION("GOOGLETRANSLATE(B5365,""en"",""fr"")"),"L'homme descend de l'échelle et déroute le papier peint au sol.")</f>
        <v>L'homme descend de l'échelle et déroute le papier peint au sol.</v>
      </c>
    </row>
    <row r="5366">
      <c r="A5366" s="4" t="s">
        <v>6735</v>
      </c>
      <c r="B5366" s="6" t="s">
        <v>6741</v>
      </c>
      <c r="C5366" s="5" t="str">
        <f>IFERROR(__xludf.DUMMYFUNCTION("GOOGLETRANSLATE(B5366,""en"",""fr"")"),"L'homme continue de lisser la section inférieure du papier peint avec un pinceau jusqu'au plancher.")</f>
        <v>L'homme continue de lisser la section inférieure du papier peint avec un pinceau jusqu'au plancher.</v>
      </c>
    </row>
    <row r="5367">
      <c r="A5367" s="4" t="s">
        <v>6735</v>
      </c>
      <c r="B5367" s="4" t="s">
        <v>6742</v>
      </c>
      <c r="C5367" s="5" t="str">
        <f>IFERROR(__xludf.DUMMYFUNCTION("GOOGLETRANSLATE(B5367,""en"",""fr"")"),"L'homme coupe le bord inférieur du papier peint avec une lame contre le plancher du sol.")</f>
        <v>L'homme coupe le bord inférieur du papier peint avec une lame contre le plancher du sol.</v>
      </c>
    </row>
    <row r="5368">
      <c r="A5368" s="4" t="s">
        <v>6735</v>
      </c>
      <c r="B5368" s="4" t="s">
        <v>6743</v>
      </c>
      <c r="C5368" s="5" t="str">
        <f>IFERROR(__xludf.DUMMYFUNCTION("GOOGLETRANSLATE(B5368,""en"",""fr"")"),"L'homme coupe le coin du papier peint du plafond sur le sol.")</f>
        <v>L'homme coupe le coin du papier peint du plafond sur le sol.</v>
      </c>
    </row>
    <row r="5369">
      <c r="A5369" s="4" t="s">
        <v>6744</v>
      </c>
      <c r="B5369" s="4" t="s">
        <v>6745</v>
      </c>
      <c r="C5369" s="5" t="str">
        <f>IFERROR(__xludf.DUMMYFUNCTION("GOOGLETRANSLATE(B5369,""en"",""fr"")"),"Deux enfants sont vus assis dans une baignoire se frottant le visage et les mains d'une autre personne interagissant.")</f>
        <v>Deux enfants sont vus assis dans une baignoire se frottant le visage et les mains d'une autre personne interagissant.</v>
      </c>
    </row>
    <row r="5370">
      <c r="A5370" s="4" t="s">
        <v>6744</v>
      </c>
      <c r="B5370" s="6" t="s">
        <v>6746</v>
      </c>
      <c r="C5370" s="5" t="str">
        <f>IFERROR(__xludf.DUMMYFUNCTION("GOOGLETRANSLATE(B5370,""en"",""fr"")"),"Le garçon continue de frotter de l'eau sur tout le visage et de jouer avec des jouets et de sourire au caméraman.")</f>
        <v>Le garçon continue de frotter de l'eau sur tout le visage et de jouer avec des jouets et de sourire au caméraman.</v>
      </c>
    </row>
    <row r="5371">
      <c r="A5371" s="4" t="s">
        <v>6747</v>
      </c>
      <c r="B5371" s="4" t="s">
        <v>6748</v>
      </c>
      <c r="C5371" s="5" t="str">
        <f>IFERROR(__xludf.DUMMYFUNCTION("GOOGLETRANSLATE(B5371,""en"",""fr"")"),"Un homme se dirige vers une voie dans un bowling.")</f>
        <v>Un homme se dirige vers une voie dans un bowling.</v>
      </c>
    </row>
    <row r="5372">
      <c r="A5372" s="4" t="s">
        <v>6747</v>
      </c>
      <c r="B5372" s="4" t="s">
        <v>6749</v>
      </c>
      <c r="C5372" s="5" t="str">
        <f>IFERROR(__xludf.DUMMYFUNCTION("GOOGLETRANSLATE(B5372,""en"",""fr"")"),"Il lance le ballon et le regarde glisser sur la voie plusieurs fois.")</f>
        <v>Il lance le ballon et le regarde glisser sur la voie plusieurs fois.</v>
      </c>
    </row>
    <row r="5373">
      <c r="A5373" s="4" t="s">
        <v>6747</v>
      </c>
      <c r="B5373" s="4" t="s">
        <v>6750</v>
      </c>
      <c r="C5373" s="5" t="str">
        <f>IFERROR(__xludf.DUMMYFUNCTION("GOOGLETRANSLATE(B5373,""en"",""fr"")"),"Il renverse toutes les épingles sauf deux, ce qui lui manque la deuxième fois.")</f>
        <v>Il renverse toutes les épingles sauf deux, ce qui lui manque la deuxième fois.</v>
      </c>
    </row>
    <row r="5374">
      <c r="A5374" s="4" t="s">
        <v>6751</v>
      </c>
      <c r="B5374" s="6" t="s">
        <v>6752</v>
      </c>
      <c r="C5374" s="5" t="str">
        <f>IFERROR(__xludf.DUMMYFUNCTION("GOOGLETRANSLATE(B5374,""en"",""fr"")"),"Little Girl est en scène dans une compétition et fait un saut dans un parallèle pour faire de la gymnastique et des sautsrelt.")</f>
        <v>Little Girl est en scène dans une compétition et fait un saut dans un parallèle pour faire de la gymnastique et des sautsrelt.</v>
      </c>
    </row>
    <row r="5375">
      <c r="A5375" s="4" t="s">
        <v>6751</v>
      </c>
      <c r="B5375" s="4" t="s">
        <v>6753</v>
      </c>
      <c r="C5375" s="5" t="str">
        <f>IFERROR(__xludf.DUMMYFUNCTION("GOOGLETRANSLATE(B5375,""en"",""fr"")"),"Peolpe se tient derrière la scène à parler.")</f>
        <v>Peolpe se tient derrière la scène à parler.</v>
      </c>
    </row>
    <row r="5376">
      <c r="A5376" s="4" t="s">
        <v>6754</v>
      </c>
      <c r="B5376" s="4" t="s">
        <v>6755</v>
      </c>
      <c r="C5376" s="5" t="str">
        <f>IFERROR(__xludf.DUMMYFUNCTION("GOOGLETRANSLATE(B5376,""en"",""fr"")"),"Une femme tricote au lit.")</f>
        <v>Une femme tricote au lit.</v>
      </c>
    </row>
    <row r="5377">
      <c r="A5377" s="4" t="s">
        <v>6754</v>
      </c>
      <c r="B5377" s="4" t="s">
        <v>6756</v>
      </c>
      <c r="C5377" s="5" t="str">
        <f>IFERROR(__xludf.DUMMYFUNCTION("GOOGLETRANSLATE(B5377,""en"",""fr"")"),"La femme pose ses bras pour attraper le fil.")</f>
        <v>La femme pose ses bras pour attraper le fil.</v>
      </c>
    </row>
    <row r="5378">
      <c r="A5378" s="4" t="s">
        <v>6754</v>
      </c>
      <c r="B5378" s="4" t="s">
        <v>6757</v>
      </c>
      <c r="C5378" s="5" t="str">
        <f>IFERROR(__xludf.DUMMYFUNCTION("GOOGLETRANSLATE(B5378,""en"",""fr"")"),"La femme montre ce qu'elle faisait.")</f>
        <v>La femme montre ce qu'elle faisait.</v>
      </c>
    </row>
    <row r="5379">
      <c r="A5379" s="4" t="s">
        <v>6758</v>
      </c>
      <c r="B5379" s="4" t="s">
        <v>6759</v>
      </c>
      <c r="C5379" s="5" t="str">
        <f>IFERROR(__xludf.DUMMYFUNCTION("GOOGLETRANSLATE(B5379,""en"",""fr"")"),"Les gens se tiennent sur un champ d'herbe.")</f>
        <v>Les gens se tiennent sur un champ d'herbe.</v>
      </c>
    </row>
    <row r="5380">
      <c r="A5380" s="4" t="s">
        <v>6758</v>
      </c>
      <c r="B5380" s="4" t="s">
        <v>6760</v>
      </c>
      <c r="C5380" s="5" t="str">
        <f>IFERROR(__xludf.DUMMYFUNCTION("GOOGLETRANSLATE(B5380,""en"",""fr"")"),"Un homme tient une balle près de son cou et tourne autour.")</f>
        <v>Un homme tient une balle près de son cou et tourne autour.</v>
      </c>
    </row>
    <row r="5381">
      <c r="A5381" s="4" t="s">
        <v>6758</v>
      </c>
      <c r="B5381" s="4" t="s">
        <v>6761</v>
      </c>
      <c r="C5381" s="5" t="str">
        <f>IFERROR(__xludf.DUMMYFUNCTION("GOOGLETRANSLATE(B5381,""en"",""fr"")"),"Il le jette sur le terrain.")</f>
        <v>Il le jette sur le terrain.</v>
      </c>
    </row>
    <row r="5382">
      <c r="A5382" s="4" t="s">
        <v>6762</v>
      </c>
      <c r="B5382" s="4" t="s">
        <v>6763</v>
      </c>
      <c r="C5382" s="5" t="str">
        <f>IFERROR(__xludf.DUMMYFUNCTION("GOOGLETRANSLATE(B5382,""en"",""fr"")"),"Une femme ouvre une porte de placard blanc.")</f>
        <v>Une femme ouvre une porte de placard blanc.</v>
      </c>
    </row>
    <row r="5383">
      <c r="A5383" s="4" t="s">
        <v>6762</v>
      </c>
      <c r="B5383" s="4" t="s">
        <v>6764</v>
      </c>
      <c r="C5383" s="5" t="str">
        <f>IFERROR(__xludf.DUMMYFUNCTION("GOOGLETRANSLATE(B5383,""en"",""fr"")"),"Elle retire quelques chaussures du placard.")</f>
        <v>Elle retire quelques chaussures du placard.</v>
      </c>
    </row>
    <row r="5384">
      <c r="A5384" s="4" t="s">
        <v>6762</v>
      </c>
      <c r="B5384" s="4" t="s">
        <v>6765</v>
      </c>
      <c r="C5384" s="5" t="str">
        <f>IFERROR(__xludf.DUMMYFUNCTION("GOOGLETRANSLATE(B5384,""en"",""fr"")"),"Elle met les chaussures.")</f>
        <v>Elle met les chaussures.</v>
      </c>
    </row>
    <row r="5385">
      <c r="A5385" s="4" t="s">
        <v>6762</v>
      </c>
      <c r="B5385" s="4" t="s">
        <v>6766</v>
      </c>
      <c r="C5385" s="5" t="str">
        <f>IFERROR(__xludf.DUMMYFUNCTION("GOOGLETRANSLATE(B5385,""en"",""fr"")"),"Elle les lace ensuite.")</f>
        <v>Elle les lace ensuite.</v>
      </c>
    </row>
    <row r="5386">
      <c r="A5386" s="4" t="s">
        <v>6767</v>
      </c>
      <c r="B5386" s="4" t="s">
        <v>6768</v>
      </c>
      <c r="C5386" s="5" t="str">
        <f>IFERROR(__xludf.DUMMYFUNCTION("GOOGLETRANSLATE(B5386,""en"",""fr"")"),"Une jeune femme blonde parle à la caméra à l'intérieur de sa chambre.")</f>
        <v>Une jeune femme blonde parle à la caméra à l'intérieur de sa chambre.</v>
      </c>
    </row>
    <row r="5387">
      <c r="A5387" s="4" t="s">
        <v>6767</v>
      </c>
      <c r="B5387" s="4" t="s">
        <v>6769</v>
      </c>
      <c r="C5387" s="5" t="str">
        <f>IFERROR(__xludf.DUMMYFUNCTION("GOOGLETRANSLATE(B5387,""en"",""fr"")"),"Elle sépare ses cheveux en sections.")</f>
        <v>Elle sépare ses cheveux en sections.</v>
      </c>
    </row>
    <row r="5388">
      <c r="A5388" s="4" t="s">
        <v>6767</v>
      </c>
      <c r="B5388" s="4" t="s">
        <v>6770</v>
      </c>
      <c r="C5388" s="5" t="str">
        <f>IFERROR(__xludf.DUMMYFUNCTION("GOOGLETRANSLATE(B5388,""en"",""fr"")"),"Elle montre ensuite comment tresser les sections et l'épingler en place.")</f>
        <v>Elle montre ensuite comment tresser les sections et l'épingler en place.</v>
      </c>
    </row>
    <row r="5389">
      <c r="A5389" s="4" t="s">
        <v>6771</v>
      </c>
      <c r="B5389" s="4" t="s">
        <v>6772</v>
      </c>
      <c r="C5389" s="5" t="str">
        <f>IFERROR(__xludf.DUMMYFUNCTION("GOOGLETRANSLATE(B5389,""en"",""fr"")"),"Un homme est à l'intérieur, portant des gants de boxe.")</f>
        <v>Un homme est à l'intérieur, portant des gants de boxe.</v>
      </c>
    </row>
    <row r="5390">
      <c r="A5390" s="4" t="s">
        <v>6771</v>
      </c>
      <c r="B5390" s="4" t="s">
        <v>6773</v>
      </c>
      <c r="C5390" s="5" t="str">
        <f>IFERROR(__xludf.DUMMYFUNCTION("GOOGLETRANSLATE(B5390,""en"",""fr"")"),"Il lance un gros sac de poinçonnage, le coupant et le frappe encore et encore.")</f>
        <v>Il lance un gros sac de poinçonnage, le coupant et le frappe encore et encore.</v>
      </c>
    </row>
    <row r="5391">
      <c r="A5391" s="4" t="s">
        <v>6774</v>
      </c>
      <c r="B5391" s="4" t="s">
        <v>6775</v>
      </c>
      <c r="C5391" s="5" t="str">
        <f>IFERROR(__xludf.DUMMYFUNCTION("GOOGLETRANSLATE(B5391,""en"",""fr"")"),"Les gens marchent en tenant des planches de surf, puis ils montent à bord d'un bateau.")</f>
        <v>Les gens marchent en tenant des planches de surf, puis ils montent à bord d'un bateau.</v>
      </c>
    </row>
    <row r="5392">
      <c r="A5392" s="4" t="s">
        <v>6774</v>
      </c>
      <c r="B5392" s="4" t="s">
        <v>6776</v>
      </c>
      <c r="C5392" s="5" t="str">
        <f>IFERROR(__xludf.DUMMYFUNCTION("GOOGLETRANSLATE(B5392,""en"",""fr"")"),"Un homme skiable derrière le bateau sautant haut et tournant.")</f>
        <v>Un homme skiable derrière le bateau sautant haut et tournant.</v>
      </c>
    </row>
    <row r="5393">
      <c r="A5393" s="4" t="s">
        <v>6774</v>
      </c>
      <c r="B5393" s="4" t="s">
        <v>6777</v>
      </c>
      <c r="C5393" s="5" t="str">
        <f>IFERROR(__xludf.DUMMYFUNCTION("GOOGLETRANSLATE(B5393,""en"",""fr"")"),"Ensuite, une femme et un ski nautique faisant des sauts acrobatiques.")</f>
        <v>Ensuite, une femme et un ski nautique faisant des sauts acrobatiques.</v>
      </c>
    </row>
    <row r="5394">
      <c r="A5394" s="4" t="s">
        <v>6774</v>
      </c>
      <c r="B5394" s="4" t="s">
        <v>6778</v>
      </c>
      <c r="C5394" s="5" t="str">
        <f>IFERROR(__xludf.DUMMYFUNCTION("GOOGLETRANSLATE(B5394,""en"",""fr"")"),"Un bateau navigue vide dans la rivière.")</f>
        <v>Un bateau navigue vide dans la rivière.</v>
      </c>
    </row>
    <row r="5395">
      <c r="A5395" s="4" t="s">
        <v>6774</v>
      </c>
      <c r="B5395" s="4" t="s">
        <v>6779</v>
      </c>
      <c r="C5395" s="5" t="str">
        <f>IFERROR(__xludf.DUMMYFUNCTION("GOOGLETRANSLATE(B5395,""en"",""fr"")"),"Après, les hommes ski au ski et se retournant.")</f>
        <v>Après, les hommes ski au ski et se retournant.</v>
      </c>
    </row>
    <row r="5396">
      <c r="A5396" s="4" t="s">
        <v>6774</v>
      </c>
      <c r="B5396" s="6" t="s">
        <v>6780</v>
      </c>
      <c r="C5396" s="5" t="str">
        <f>IFERROR(__xludf.DUMMYFUNCTION("GOOGLETRANSLATE(B5396,""en"",""fr"")"),"Ensuite, une personne surfait sur les vagues créées par le bateau, après que le ski nautique de l'homme saute et se retourne haut.")</f>
        <v>Ensuite, une personne surfait sur les vagues créées par le bateau, après que le ski nautique de l'homme saute et se retourne haut.</v>
      </c>
    </row>
    <row r="5397">
      <c r="A5397" s="4" t="s">
        <v>6781</v>
      </c>
      <c r="B5397" s="6" t="s">
        <v>6782</v>
      </c>
      <c r="C5397" s="5" t="str">
        <f>IFERROR(__xludf.DUMMYFUNCTION("GOOGLETRANSLATE(B5397,""en"",""fr"")"),"Une personne est vue debout devant un évier à l'eau courante et poussant ses mains sous l'eau.")</f>
        <v>Une personne est vue debout devant un évier à l'eau courante et poussant ses mains sous l'eau.</v>
      </c>
    </row>
    <row r="5398">
      <c r="A5398" s="4" t="s">
        <v>6781</v>
      </c>
      <c r="B5398" s="4" t="s">
        <v>6783</v>
      </c>
      <c r="C5398" s="5" t="str">
        <f>IFERROR(__xludf.DUMMYFUNCTION("GOOGLETRANSLATE(B5398,""en"",""fr"")"),"Ils ont ensuite mis du savon dans leurs mains, se frottent un peu, puis passent leurs mains sous l'eau.")</f>
        <v>Ils ont ensuite mis du savon dans leurs mains, se frottent un peu, puis passent leurs mains sous l'eau.</v>
      </c>
    </row>
    <row r="5399">
      <c r="A5399" s="4" t="s">
        <v>6781</v>
      </c>
      <c r="B5399" s="4" t="s">
        <v>6784</v>
      </c>
      <c r="C5399" s="5" t="str">
        <f>IFERROR(__xludf.DUMMYFUNCTION("GOOGLETRANSLATE(B5399,""en"",""fr"")"),"Enfin, elle passe ses mains sous l'eau et sèche sa main avec une serviette en papier.")</f>
        <v>Enfin, elle passe ses mains sous l'eau et sèche sa main avec une serviette en papier.</v>
      </c>
    </row>
    <row r="5400">
      <c r="A5400" s="4" t="s">
        <v>6785</v>
      </c>
      <c r="B5400" s="4" t="s">
        <v>6786</v>
      </c>
      <c r="C5400" s="5" t="str">
        <f>IFERROR(__xludf.DUMMYFUNCTION("GOOGLETRANSLATE(B5400,""en"",""fr"")"),"Sur une rivière, les gens se réunissent pour regarder les gens sur les beignets et les bateaux kayaking des eaux rugueuses.")</f>
        <v>Sur une rivière, les gens se réunissent pour regarder les gens sur les beignets et les bateaux kayaking des eaux rugueuses.</v>
      </c>
    </row>
    <row r="5401">
      <c r="A5401" s="4" t="s">
        <v>6785</v>
      </c>
      <c r="B5401" s="4" t="s">
        <v>6787</v>
      </c>
      <c r="C5401" s="5" t="str">
        <f>IFERROR(__xludf.DUMMYFUNCTION("GOOGLETRANSLATE(B5401,""en"",""fr"")"),"Quelques personnes sur un kayak sont retournées et tombent dans la rivière.")</f>
        <v>Quelques personnes sur un kayak sont retournées et tombent dans la rivière.</v>
      </c>
    </row>
    <row r="5402">
      <c r="A5402" s="4" t="s">
        <v>6788</v>
      </c>
      <c r="B5402" s="4" t="s">
        <v>6789</v>
      </c>
      <c r="C5402" s="5" t="str">
        <f>IFERROR(__xludf.DUMMYFUNCTION("GOOGLETRANSLATE(B5402,""en"",""fr"")"),"Une femme avec un long conte de poney blonde commence à courir sur un grand champ vert jetant une balle.")</f>
        <v>Une femme avec un long conte de poney blonde commence à courir sur un grand champ vert jetant une balle.</v>
      </c>
    </row>
    <row r="5403">
      <c r="A5403" s="4" t="s">
        <v>6788</v>
      </c>
      <c r="B5403" s="6" t="s">
        <v>6790</v>
      </c>
      <c r="C5403" s="5" t="str">
        <f>IFERROR(__xludf.DUMMYFUNCTION("GOOGLETRANSLATE(B5403,""en"",""fr"")"),"Elle continue ensuite à courir sur le terrain et commence à regarder les gradins et à anticiper un match de softball.")</f>
        <v>Elle continue ensuite à courir sur le terrain et commence à regarder les gradins et à anticiper un match de softball.</v>
      </c>
    </row>
    <row r="5404">
      <c r="A5404" s="4" t="s">
        <v>6788</v>
      </c>
      <c r="B5404" s="6" t="s">
        <v>6791</v>
      </c>
      <c r="C5404" s="5" t="str">
        <f>IFERROR(__xludf.DUMMYFUNCTION("GOOGLETRANSLATE(B5404,""en"",""fr"")"),"Alors que l'action continue, elle progresse à travers les gradins et une URL apparaît sur le dernier écran pour regarder des jeux de cricket en direct.")</f>
        <v>Alors que l'action continue, elle progresse à travers les gradins et une URL apparaît sur le dernier écran pour regarder des jeux de cricket en direct.</v>
      </c>
    </row>
    <row r="5405">
      <c r="A5405" s="4" t="s">
        <v>6792</v>
      </c>
      <c r="B5405" s="6" t="s">
        <v>6793</v>
      </c>
      <c r="C5405" s="5" t="str">
        <f>IFERROR(__xludf.DUMMYFUNCTION("GOOGLETRANSLATE(B5405,""en"",""fr"")"),"Une vidéo en noir et blanc joue et l'un des hommes est Bruce Lee et il frappe très habilement et de manière créative le ballon de ping-pong d'avant en arrière à un autre homme qui tient une pagaie de ping-pong, tandis que Bruce Lee frappe le ballon de pin"&amp;"g-pong avec nanchucks et L'homme avec une pagaie ne peut pas garder le ballon sur la table.")</f>
        <v>Une vidéo en noir et blanc joue et l'un des hommes est Bruce Lee et il frappe très habilement et de manière créative le ballon de ping-pong d'avant en arrière à un autre homme qui tient une pagaie de ping-pong, tandis que Bruce Lee frappe le ballon de ping-pong avec nanchucks et L'homme avec une pagaie ne peut pas garder le ballon sur la table.</v>
      </c>
    </row>
    <row r="5406">
      <c r="A5406" s="4" t="s">
        <v>6792</v>
      </c>
      <c r="B5406" s="6" t="s">
        <v>6794</v>
      </c>
      <c r="C5406" s="5" t="str">
        <f>IFERROR(__xludf.DUMMYFUNCTION("GOOGLETRANSLATE(B5406,""en"",""fr"")"),"Maintenant, il y a deux hommes à la fin de la table qui tiennent tous les deux des pagaies et jouent contre Bruce Lee alors qu'ils tentent de garder le ballon sur la table mais qui échouent finalement.")</f>
        <v>Maintenant, il y a deux hommes à la fin de la table qui tiennent tous les deux des pagaies et jouent contre Bruce Lee alors qu'ils tentent de garder le ballon sur la table mais qui échouent finalement.</v>
      </c>
    </row>
    <row r="5407">
      <c r="A5407" s="4" t="s">
        <v>6792</v>
      </c>
      <c r="B5407" s="6" t="s">
        <v>6795</v>
      </c>
      <c r="C5407" s="5" t="str">
        <f>IFERROR(__xludf.DUMMYFUNCTION("GOOGLETRANSLATE(B5407,""en"",""fr"")"),"Un écran noir apparaît avec un lettrage asiatique blanc au milieu, puis un site Web qui dit ""www lee35 come cn"".")</f>
        <v>Un écran noir apparaît avec un lettrage asiatique blanc au milieu, puis un site Web qui dit "www lee35 come cn".</v>
      </c>
    </row>
    <row r="5408">
      <c r="A5408" s="4" t="s">
        <v>6796</v>
      </c>
      <c r="B5408" s="4" t="s">
        <v>6797</v>
      </c>
      <c r="C5408" s="5" t="str">
        <f>IFERROR(__xludf.DUMMYFUNCTION("GOOGLETRANSLATE(B5408,""en"",""fr"")"),"La caméra suit plusieurs personnes sur une passerelle du point de vue de la première personne.")</f>
        <v>La caméra suit plusieurs personnes sur une passerelle du point de vue de la première personne.</v>
      </c>
    </row>
    <row r="5409">
      <c r="A5409" s="4" t="s">
        <v>6796</v>
      </c>
      <c r="B5409" s="4" t="s">
        <v>6798</v>
      </c>
      <c r="C5409" s="5" t="str">
        <f>IFERROR(__xludf.DUMMYFUNCTION("GOOGLETRANSLATE(B5409,""en"",""fr"")"),"La caméra montre glisser sur une pente enneigée du point de vue de la première personne aux côtés des autres.")</f>
        <v>La caméra montre glisser sur une pente enneigée du point de vue de la première personne aux côtés des autres.</v>
      </c>
    </row>
    <row r="5410">
      <c r="A5410" s="4" t="s">
        <v>6796</v>
      </c>
      <c r="B5410" s="4" t="s">
        <v>6799</v>
      </c>
      <c r="C5410" s="5" t="str">
        <f>IFERROR(__xludf.DUMMYFUNCTION("GOOGLETRANSLATE(B5410,""en"",""fr"")"),"La caméra montre glisser sur une pente enneigée du point de vue de la première personne en regardant vers l'arrière.")</f>
        <v>La caméra montre glisser sur une pente enneigée du point de vue de la première personne en regardant vers l'arrière.</v>
      </c>
    </row>
    <row r="5411">
      <c r="A5411" s="4" t="s">
        <v>6796</v>
      </c>
      <c r="B5411" s="4" t="s">
        <v>6800</v>
      </c>
      <c r="C5411" s="5" t="str">
        <f>IFERROR(__xludf.DUMMYFUNCTION("GOOGLETRANSLATE(B5411,""en"",""fr"")"),"La caméra montre une autre glissière sur la pente du point de vue d'une personne à côté des autres.")</f>
        <v>La caméra montre une autre glissière sur la pente du point de vue d'une personne à côté des autres.</v>
      </c>
    </row>
    <row r="5412">
      <c r="A5412" s="4" t="s">
        <v>6796</v>
      </c>
      <c r="B5412" s="4" t="s">
        <v>6801</v>
      </c>
      <c r="C5412" s="5" t="str">
        <f>IFERROR(__xludf.DUMMYFUNCTION("GOOGLETRANSLATE(B5412,""en"",""fr"")"),"La caméra regarde plusieurs autres personnes glisser sur la pente.")</f>
        <v>La caméra regarde plusieurs autres personnes glisser sur la pente.</v>
      </c>
    </row>
    <row r="5413">
      <c r="A5413" s="4" t="s">
        <v>6796</v>
      </c>
      <c r="B5413" s="4" t="s">
        <v>6802</v>
      </c>
      <c r="C5413" s="5" t="str">
        <f>IFERROR(__xludf.DUMMYFUNCTION("GOOGLETRANSLATE(B5413,""en"",""fr"")"),"La caméra attrape une autre glissière sur la pente du point de vue de la première personne lors de la tournure.")</f>
        <v>La caméra attrape une autre glissière sur la pente du point de vue de la première personne lors de la tournure.</v>
      </c>
    </row>
    <row r="5414">
      <c r="A5414" s="4" t="s">
        <v>6796</v>
      </c>
      <c r="B5414" s="6" t="s">
        <v>6803</v>
      </c>
      <c r="C5414" s="5" t="str">
        <f>IFERROR(__xludf.DUMMYFUNCTION("GOOGLETRANSLATE(B5414,""en"",""fr"")"),"La caméra attrape plus de diapositives sur la pente du point de vue d'une première personne tout en regardant à gauche et à droite.")</f>
        <v>La caméra attrape plus de diapositives sur la pente du point de vue d'une première personne tout en regardant à gauche et à droite.</v>
      </c>
    </row>
    <row r="5415">
      <c r="A5415" s="4" t="s">
        <v>6804</v>
      </c>
      <c r="B5415" s="4" t="s">
        <v>6805</v>
      </c>
      <c r="C5415" s="5" t="str">
        <f>IFERROR(__xludf.DUMMYFUNCTION("GOOGLETRANSLATE(B5415,""en"",""fr"")"),"Une personne est vue assise sur une chaise, le bras en train de faire un tatouage d'un artiste masculin.")</f>
        <v>Une personne est vue assise sur une chaise, le bras en train de faire un tatouage d'un artiste masculin.</v>
      </c>
    </row>
    <row r="5416">
      <c r="A5416" s="4" t="s">
        <v>6804</v>
      </c>
      <c r="B5416" s="4" t="s">
        <v>6806</v>
      </c>
      <c r="C5416" s="5" t="str">
        <f>IFERROR(__xludf.DUMMYFUNCTION("GOOGLETRANSLATE(B5416,""en"",""fr"")"),"Les hommes se parlent et quatrième les uns les autres et la caméra zoome sur le bras en cours.")</f>
        <v>Les hommes se parlent et quatrième les uns les autres et la caméra zoome sur le bras en cours.</v>
      </c>
    </row>
    <row r="5417">
      <c r="A5417" s="4" t="s">
        <v>6804</v>
      </c>
      <c r="B5417" s="4" t="s">
        <v>6807</v>
      </c>
      <c r="C5417" s="5" t="str">
        <f>IFERROR(__xludf.DUMMYFUNCTION("GOOGLETRANSLATE(B5417,""en"",""fr"")"),"À la fin, les photos des hommes debout ensemble sont montrées ainsi que le tatouage.")</f>
        <v>À la fin, les photos des hommes debout ensemble sont montrées ainsi que le tatouage.</v>
      </c>
    </row>
    <row r="5418">
      <c r="A5418" s="4" t="s">
        <v>6808</v>
      </c>
      <c r="B5418" s="6" t="s">
        <v>6809</v>
      </c>
      <c r="C5418" s="5" t="str">
        <f>IFERROR(__xludf.DUMMYFUNCTION("GOOGLETRANSLATE(B5418,""en"",""fr"")"),"Un grand groupe de personnes est vu nager dans un océan tandis que deux hommes passent un ballon de football et quatrième les uns contre les autres sur le rivage.")</f>
        <v>Un grand groupe de personnes est vu nager dans un océan tandis que deux hommes passent un ballon de football et quatrième les uns contre les autres sur le rivage.</v>
      </c>
    </row>
    <row r="5419">
      <c r="A5419" s="4" t="s">
        <v>6808</v>
      </c>
      <c r="B5419" s="6" t="s">
        <v>6810</v>
      </c>
      <c r="C5419" s="5" t="str">
        <f>IFERROR(__xludf.DUMMYFUNCTION("GOOGLETRANSLATE(B5419,""en"",""fr"")"),"Plus de gens entrent et sortent du cadre alors que les hommes continuent de repousser le ballon et le quatrième.")</f>
        <v>Plus de gens entrent et sortent du cadre alors que les hommes continuent de repousser le ballon et le quatrième.</v>
      </c>
    </row>
    <row r="5420">
      <c r="A5420" s="4" t="s">
        <v>6811</v>
      </c>
      <c r="B5420" s="4" t="s">
        <v>6812</v>
      </c>
      <c r="C5420" s="5" t="str">
        <f>IFERROR(__xludf.DUMMYFUNCTION("GOOGLETRANSLATE(B5420,""en"",""fr"")"),"Une femme parle à la caméra tout en tenant une carte.")</f>
        <v>Une femme parle à la caméra tout en tenant une carte.</v>
      </c>
    </row>
    <row r="5421">
      <c r="A5421" s="4" t="s">
        <v>6811</v>
      </c>
      <c r="B5421" s="4" t="s">
        <v>6813</v>
      </c>
      <c r="C5421" s="5" t="str">
        <f>IFERROR(__xludf.DUMMYFUNCTION("GOOGLETRANSLATE(B5421,""en"",""fr"")"),"Un couple apparaît sur une scène professionnelle sous les projecteurs et interprète une routine de danse.")</f>
        <v>Un couple apparaît sur une scène professionnelle sous les projecteurs et interprète une routine de danse.</v>
      </c>
    </row>
    <row r="5422">
      <c r="A5422" s="4" t="s">
        <v>6811</v>
      </c>
      <c r="B5422" s="4" t="s">
        <v>6814</v>
      </c>
      <c r="C5422" s="5" t="str">
        <f>IFERROR(__xludf.DUMMYFUNCTION("GOOGLETRANSLATE(B5422,""en"",""fr"")"),"La paire termine leur routine, il embrasse sa main et le public applaudit.")</f>
        <v>La paire termine leur routine, il embrasse sa main et le public applaudit.</v>
      </c>
    </row>
    <row r="5423">
      <c r="A5423" s="4" t="s">
        <v>6815</v>
      </c>
      <c r="B5423" s="6" t="s">
        <v>6816</v>
      </c>
      <c r="C5423" s="5" t="str">
        <f>IFERROR(__xludf.DUMMYFUNCTION("GOOGLETRANSLATE(B5423,""en"",""fr"")"),"Un homme vêtu de shorts noirs, de t-shirts, de baskets et de casquette de baseball rouge se promène dans une pièce à parois orange avec des planchers de bois franc et montre un exercice de lifting des bras avec deux haltères noirs en métal.")</f>
        <v>Un homme vêtu de shorts noirs, de t-shirts, de baskets et de casquette de baseball rouge se promène dans une pièce à parois orange avec des planchers de bois franc et montre un exercice de lifting des bras avec deux haltères noirs en métal.</v>
      </c>
    </row>
    <row r="5424">
      <c r="A5424" s="4" t="s">
        <v>6815</v>
      </c>
      <c r="B5424" s="4" t="s">
        <v>6817</v>
      </c>
      <c r="C5424" s="5" t="str">
        <f>IFERROR(__xludf.DUMMYFUNCTION("GOOGLETRANSLATE(B5424,""en"",""fr"")"),"Une pièce à parois orange est vide à l'exception de deux haltères noirs allongés horizontaux sur le sol.")</f>
        <v>Une pièce à parois orange est vide à l'exception de deux haltères noirs allongés horizontaux sur le sol.</v>
      </c>
    </row>
    <row r="5425">
      <c r="A5425" s="4" t="s">
        <v>6815</v>
      </c>
      <c r="B5425" s="6" t="s">
        <v>6818</v>
      </c>
      <c r="C5425" s="5" t="str">
        <f>IFERROR(__xludf.DUMMYFUNCTION("GOOGLETRANSLATE(B5425,""en"",""fr"")"),"L'homme entre dans la pièce et se tient devant les haltères, puis tombe à genoux où il parle et montre son profil puis se tourne, à genoux, encore une fois, pour affronter la tête de la caméra.")</f>
        <v>L'homme entre dans la pièce et se tient devant les haltères, puis tombe à genoux où il parle et montre son profil puis se tourne, à genoux, encore une fois, pour affronter la tête de la caméra.</v>
      </c>
    </row>
    <row r="5426">
      <c r="A5426" s="4" t="s">
        <v>6815</v>
      </c>
      <c r="B5426" s="6" t="s">
        <v>6819</v>
      </c>
      <c r="C5426" s="5" t="str">
        <f>IFERROR(__xludf.DUMMYFUNCTION("GOOGLETRANSLATE(B5426,""en"",""fr"")"),"L'homme ramasse ensuite les haltères et commence à les soulever directement au-dessus de sa tête, face à la caméra, puis à nouveau sous un angle de profil, avant de placer les haltères, verticalement, et de quitter la pièce.")</f>
        <v>L'homme ramasse ensuite les haltères et commence à les soulever directement au-dessus de sa tête, face à la caméra, puis à nouveau sous un angle de profil, avant de placer les haltères, verticalement, et de quitter la pièce.</v>
      </c>
    </row>
    <row r="5427">
      <c r="A5427" s="4" t="s">
        <v>6820</v>
      </c>
      <c r="B5427" s="6" t="s">
        <v>6821</v>
      </c>
      <c r="C5427" s="5" t="str">
        <f>IFERROR(__xludf.DUMMYFUNCTION("GOOGLETRANSLATE(B5427,""en"",""fr"")"),"Une jeune fille parle à une caméra vidéo avec un curleur dans sa frange, tenant parfois un téléphone portable sur son visage et présentant une personne plus jeune dans la pièce avec elle en arrière-plan.")</f>
        <v>Une jeune fille parle à une caméra vidéo avec un curleur dans sa frange, tenant parfois un téléphone portable sur son visage et présentant une personne plus jeune dans la pièce avec elle en arrière-plan.</v>
      </c>
    </row>
    <row r="5428">
      <c r="A5428" s="4" t="s">
        <v>6820</v>
      </c>
      <c r="B5428" s="4" t="s">
        <v>6822</v>
      </c>
      <c r="C5428" s="5" t="str">
        <f>IFERROR(__xludf.DUMMYFUNCTION("GOOGLETRANSLATE(B5428,""en"",""fr"")"),"La fille avec burler dans son bang parle à la caméra sous un angle de gros plan.")</f>
        <v>La fille avec burler dans son bang parle à la caméra sous un angle de gros plan.</v>
      </c>
    </row>
    <row r="5429">
      <c r="A5429" s="4" t="s">
        <v>6820</v>
      </c>
      <c r="B5429" s="6" t="s">
        <v>6823</v>
      </c>
      <c r="C5429" s="5" t="str">
        <f>IFERROR(__xludf.DUMMYFUNCTION("GOOGLETRANSLATE(B5429,""en"",""fr"")"),"La fille pointe vers le curleur dans son coup et tient un téléphone portable pour jeter la lumière sur son visage qu'elle rapproche de la caméra.")</f>
        <v>La fille pointe vers le curleur dans son coup et tient un téléphone portable pour jeter la lumière sur son visage qu'elle rapproche de la caméra.</v>
      </c>
    </row>
    <row r="5430">
      <c r="A5430" s="4" t="s">
        <v>6820</v>
      </c>
      <c r="B5430" s="6" t="s">
        <v>6824</v>
      </c>
      <c r="C5430" s="5" t="str">
        <f>IFERROR(__xludf.DUMMYFUNCTION("GOOGLETRANSLATE(B5430,""en"",""fr"")"),"La fille rit quand une jeune fille dans la pièce avec une perruque rose est montrée en arrière-plan, elle rit à nouveau lorsque la jeune fille met sa perruque rose dans la caméra.")</f>
        <v>La fille rit quand une jeune fille dans la pièce avec une perruque rose est montrée en arrière-plan, elle rit à nouveau lorsque la jeune fille met sa perruque rose dans la caméra.</v>
      </c>
    </row>
    <row r="5431">
      <c r="A5431" s="4" t="s">
        <v>6825</v>
      </c>
      <c r="B5431" s="4" t="s">
        <v>6826</v>
      </c>
      <c r="C5431" s="5" t="str">
        <f>IFERROR(__xludf.DUMMYFUNCTION("GOOGLETRANSLATE(B5431,""en"",""fr"")"),"Un tas d'hommes sont à l'intérieur d'une salle de sport de couleur verte.")</f>
        <v>Un tas d'hommes sont à l'intérieur d'une salle de sport de couleur verte.</v>
      </c>
    </row>
    <row r="5432">
      <c r="A5432" s="4" t="s">
        <v>6825</v>
      </c>
      <c r="B5432" s="4" t="s">
        <v>6827</v>
      </c>
      <c r="C5432" s="5" t="str">
        <f>IFERROR(__xludf.DUMMYFUNCTION("GOOGLETRANSLATE(B5432,""en"",""fr"")"),"Ils lancent une balle de tennis d'avant en arrière.")</f>
        <v>Ils lancent une balle de tennis d'avant en arrière.</v>
      </c>
    </row>
    <row r="5433">
      <c r="A5433" s="4" t="s">
        <v>6825</v>
      </c>
      <c r="B5433" s="4" t="s">
        <v>6828</v>
      </c>
      <c r="C5433" s="5" t="str">
        <f>IFERROR(__xludf.DUMMYFUNCTION("GOOGLETRANSLATE(B5433,""en"",""fr"")"),"Ils sont engagés dans un jeu de tennis.")</f>
        <v>Ils sont engagés dans un jeu de tennis.</v>
      </c>
    </row>
    <row r="5434">
      <c r="A5434" s="4" t="s">
        <v>6829</v>
      </c>
      <c r="B5434" s="4" t="s">
        <v>6830</v>
      </c>
      <c r="C5434" s="5" t="str">
        <f>IFERROR(__xludf.DUMMYFUNCTION("GOOGLETRANSLATE(B5434,""en"",""fr"")"),"Un homme est assis sur un toit.")</f>
        <v>Un homme est assis sur un toit.</v>
      </c>
    </row>
    <row r="5435">
      <c r="A5435" s="4" t="s">
        <v>6829</v>
      </c>
      <c r="B5435" s="4" t="s">
        <v>6831</v>
      </c>
      <c r="C5435" s="5" t="str">
        <f>IFERROR(__xludf.DUMMYFUNCTION("GOOGLETRANSLATE(B5435,""en"",""fr"")"),"Il commence à tirer la toiture sur un toit.")</f>
        <v>Il commence à tirer la toiture sur un toit.</v>
      </c>
    </row>
    <row r="5436">
      <c r="A5436" s="4" t="s">
        <v>6829</v>
      </c>
      <c r="B5436" s="4" t="s">
        <v>6832</v>
      </c>
      <c r="C5436" s="5" t="str">
        <f>IFERROR(__xludf.DUMMYFUNCTION("GOOGLETRANSLATE(B5436,""en"",""fr"")"),"Un homme monte une échelle sur le toit.")</f>
        <v>Un homme monte une échelle sur le toit.</v>
      </c>
    </row>
    <row r="5437">
      <c r="A5437" s="4" t="s">
        <v>6833</v>
      </c>
      <c r="B5437" s="4" t="s">
        <v>6834</v>
      </c>
      <c r="C5437" s="5" t="str">
        <f>IFERROR(__xludf.DUMMYFUNCTION("GOOGLETRANSLATE(B5437,""en"",""fr"")"),"Un garçon est vu s'agenouiller devant un mur et commence à utiliser un outil sur le tapis.")</f>
        <v>Un garçon est vu s'agenouiller devant un mur et commence à utiliser un outil sur le tapis.</v>
      </c>
    </row>
    <row r="5438">
      <c r="A5438" s="4" t="s">
        <v>6833</v>
      </c>
      <c r="B5438" s="4" t="s">
        <v>6835</v>
      </c>
      <c r="C5438" s="5" t="str">
        <f>IFERROR(__xludf.DUMMYFUNCTION("GOOGLETRANSLATE(B5438,""en"",""fr"")"),"L'homme se frotte la main le long du tapis et continue de couper.")</f>
        <v>L'homme se frotte la main le long du tapis et continue de couper.</v>
      </c>
    </row>
    <row r="5439">
      <c r="A5439" s="4" t="s">
        <v>6833</v>
      </c>
      <c r="B5439" s="4" t="s">
        <v>6836</v>
      </c>
      <c r="C5439" s="5" t="str">
        <f>IFERROR(__xludf.DUMMYFUNCTION("GOOGLETRANSLATE(B5439,""en"",""fr"")"),"L'homme continue de couper le tapis tout en se frottant la main.")</f>
        <v>L'homme continue de couper le tapis tout en se frottant la main.</v>
      </c>
    </row>
    <row r="5440">
      <c r="A5440" s="4" t="s">
        <v>6837</v>
      </c>
      <c r="B5440" s="6" t="s">
        <v>6838</v>
      </c>
      <c r="C5440" s="5" t="str">
        <f>IFERROR(__xludf.DUMMYFUNCTION("GOOGLETRANSLATE(B5440,""en"",""fr"")"),"Un jeune garçon blond se tient dans un évier de cuisine avec un pulvérisateur portable dans sa main et il pulvérise tous les plats.")</f>
        <v>Un jeune garçon blond se tient dans un évier de cuisine avec un pulvérisateur portable dans sa main et il pulvérise tous les plats.</v>
      </c>
    </row>
    <row r="5441">
      <c r="A5441" s="4" t="s">
        <v>6837</v>
      </c>
      <c r="B5441" s="6" t="s">
        <v>6839</v>
      </c>
      <c r="C5441" s="5" t="str">
        <f>IFERROR(__xludf.DUMMYFUNCTION("GOOGLETRANSLATE(B5441,""en"",""fr"")"),"Le garçon met ensuite le pulvérisateur dans un pot vert sur le comptoir et commence à pulvériser l'eau là-dedans.")</f>
        <v>Le garçon met ensuite le pulvérisateur dans un pot vert sur le comptoir et commence à pulvériser l'eau là-dedans.</v>
      </c>
    </row>
    <row r="5442">
      <c r="A5442" s="4" t="s">
        <v>6837</v>
      </c>
      <c r="B5442" s="6" t="s">
        <v>6840</v>
      </c>
      <c r="C5442" s="5" t="str">
        <f>IFERROR(__xludf.DUMMYFUNCTION("GOOGLETRANSLATE(B5442,""en"",""fr"")"),"Le garçon laisse tomber le pulvérisateur puis prend une tasse de l'évier, le remplit d'eau puis verse l'eau dans le pot, le remplit à nouveau et le verse dans un bol sur le comptoir.")</f>
        <v>Le garçon laisse tomber le pulvérisateur puis prend une tasse de l'évier, le remplit d'eau puis verse l'eau dans le pot, le remplit à nouveau et le verse dans un bol sur le comptoir.</v>
      </c>
    </row>
    <row r="5443">
      <c r="A5443" s="4" t="s">
        <v>6837</v>
      </c>
      <c r="B5443" s="6" t="s">
        <v>6841</v>
      </c>
      <c r="C5443" s="5" t="str">
        <f>IFERROR(__xludf.DUMMYFUNCTION("GOOGLETRANSLATE(B5443,""en"",""fr"")"),"Le garçon ramasse ensuite un verre transparent rempli de liquide rouge, en boit une partie, le met sous le robinet et y ajoute de l'eau, le boit plusieurs fois puis le jette dans l'évier.")</f>
        <v>Le garçon ramasse ensuite un verre transparent rempli de liquide rouge, en boit une partie, le met sous le robinet et y ajoute de l'eau, le boit plusieurs fois puis le jette dans l'évier.</v>
      </c>
    </row>
    <row r="5444">
      <c r="A5444" s="4" t="s">
        <v>6837</v>
      </c>
      <c r="B5444" s="6" t="s">
        <v>6842</v>
      </c>
      <c r="C5444" s="5" t="str">
        <f>IFERROR(__xludf.DUMMYFUNCTION("GOOGLETRANSLATE(B5444,""en"",""fr"")"),"Le garçon prend ensuite un plat de l'évier qui a le jus rouge et essaie de le verser dans le pot sur le comptoir, mais à la place, il déborde à la place sur le comptoir et il obtient une éponge et essaie de le nettoyer.")</f>
        <v>Le garçon prend ensuite un plat de l'évier qui a le jus rouge et essaie de le verser dans le pot sur le comptoir, mais à la place, il déborde à la place sur le comptoir et il obtient une éponge et essaie de le nettoyer.</v>
      </c>
    </row>
    <row r="5445">
      <c r="A5445" s="4" t="s">
        <v>6843</v>
      </c>
      <c r="B5445" s="4" t="s">
        <v>6844</v>
      </c>
      <c r="C5445" s="5" t="str">
        <f>IFERROR(__xludf.DUMMYFUNCTION("GOOGLETRANSLATE(B5445,""en"",""fr"")"),"Nous voyons des pom-pom girls debout sur scène.")</f>
        <v>Nous voyons des pom-pom girls debout sur scène.</v>
      </c>
    </row>
    <row r="5446">
      <c r="A5446" s="4" t="s">
        <v>6843</v>
      </c>
      <c r="B5446" s="4" t="s">
        <v>6845</v>
      </c>
      <c r="C5446" s="5" t="str">
        <f>IFERROR(__xludf.DUMMYFUNCTION("GOOGLETRANSLATE(B5446,""en"",""fr"")"),"Les pom-pom girls effectuent une routine.")</f>
        <v>Les pom-pom girls effectuent une routine.</v>
      </c>
    </row>
    <row r="5447">
      <c r="A5447" s="4" t="s">
        <v>6843</v>
      </c>
      <c r="B5447" s="4" t="s">
        <v>6846</v>
      </c>
      <c r="C5447" s="5" t="str">
        <f>IFERROR(__xludf.DUMMYFUNCTION("GOOGLETRANSLATE(B5447,""en"",""fr"")"),"Quatre filles sont levées et ils tiennent une fille entre elles se coucher.")</f>
        <v>Quatre filles sont levées et ils tiennent une fille entre elles se coucher.</v>
      </c>
    </row>
    <row r="5448">
      <c r="A5448" s="4" t="s">
        <v>6843</v>
      </c>
      <c r="B5448" s="4" t="s">
        <v>6847</v>
      </c>
      <c r="C5448" s="5" t="str">
        <f>IFERROR(__xludf.DUMMYFUNCTION("GOOGLETRANSLATE(B5448,""en"",""fr"")"),"Les dames tiennent des dames qui tiennent et secouent leurs pompons.")</f>
        <v>Les dames tiennent des dames qui tiennent et secouent leurs pompons.</v>
      </c>
    </row>
    <row r="5449">
      <c r="A5449" s="4" t="s">
        <v>6843</v>
      </c>
      <c r="B5449" s="4" t="s">
        <v>6848</v>
      </c>
      <c r="C5449" s="5" t="str">
        <f>IFERROR(__xludf.DUMMYFUNCTION("GOOGLETRANSLATE(B5449,""en"",""fr"")"),"Quatre dames sont levées et contiennent deux autres dames, puis une septième dame.")</f>
        <v>Quatre dames sont levées et contiennent deux autres dames, puis une septième dame.</v>
      </c>
    </row>
    <row r="5450">
      <c r="A5450" s="4" t="s">
        <v>6843</v>
      </c>
      <c r="B5450" s="4" t="s">
        <v>6849</v>
      </c>
      <c r="C5450" s="5" t="str">
        <f>IFERROR(__xludf.DUMMYFUNCTION("GOOGLETRANSLATE(B5450,""en"",""fr"")"),"L'équipe termine et se câline.")</f>
        <v>L'équipe termine et se câline.</v>
      </c>
    </row>
    <row r="5451">
      <c r="A5451" s="4" t="s">
        <v>6843</v>
      </c>
      <c r="B5451" s="4" t="s">
        <v>6850</v>
      </c>
      <c r="C5451" s="5" t="str">
        <f>IFERROR(__xludf.DUMMYFUNCTION("GOOGLETRANSLATE(B5451,""en"",""fr"")"),"Nous voyons des crédits de fin et des photos.")</f>
        <v>Nous voyons des crédits de fin et des photos.</v>
      </c>
    </row>
    <row r="5452">
      <c r="A5452" s="4" t="s">
        <v>6843</v>
      </c>
      <c r="B5452" s="4" t="s">
        <v>6851</v>
      </c>
      <c r="C5452" s="5" t="str">
        <f>IFERROR(__xludf.DUMMYFUNCTION("GOOGLETRANSLATE(B5452,""en"",""fr"")"),"Un devis et un site Web apparaît à l'écran.")</f>
        <v>Un devis et un site Web apparaît à l'écran.</v>
      </c>
    </row>
    <row r="5453">
      <c r="A5453" s="4" t="s">
        <v>6852</v>
      </c>
      <c r="B5453" s="4" t="s">
        <v>6853</v>
      </c>
      <c r="C5453" s="5" t="str">
        <f>IFERROR(__xludf.DUMMYFUNCTION("GOOGLETRANSLATE(B5453,""en"",""fr"")"),"Plusieurs plans d'un lac sont représentés, suivis d'une personne qui grimpe derrière un bateau sur une planche de réveil.")</f>
        <v>Plusieurs plans d'un lac sont représentés, suivis d'une personne qui grimpe derrière un bateau sur une planche de réveil.</v>
      </c>
    </row>
    <row r="5454">
      <c r="A5454" s="4" t="s">
        <v>6852</v>
      </c>
      <c r="B5454" s="6" t="s">
        <v>6854</v>
      </c>
      <c r="C5454" s="5" t="str">
        <f>IFERROR(__xludf.DUMMYFUNCTION("GOOGLETRANSLATE(B5454,""en"",""fr"")"),"La personne monte le sillage le long de l'eau tandis que plusieurs caméras capturent ses mouvements et sautent derrière le bateau.")</f>
        <v>La personne monte le sillage le long de l'eau tandis que plusieurs caméras capturent ses mouvements et sautent derrière le bateau.</v>
      </c>
    </row>
    <row r="5455">
      <c r="A5455" s="4" t="s">
        <v>6852</v>
      </c>
      <c r="B5455" s="6" t="s">
        <v>6855</v>
      </c>
      <c r="C5455" s="5" t="str">
        <f>IFERROR(__xludf.DUMMYFUNCTION("GOOGLETRANSLATE(B5455,""en"",""fr"")"),"La caméra capture la personne qui conduit le bateau ainsi que le suivi du Wake Boarder près du bateau.")</f>
        <v>La caméra capture la personne qui conduit le bateau ainsi que le suivi du Wake Boarder près du bateau.</v>
      </c>
    </row>
    <row r="5456">
      <c r="A5456" s="4" t="s">
        <v>6852</v>
      </c>
      <c r="B5456" s="4" t="s">
        <v>6856</v>
      </c>
      <c r="C5456" s="5" t="str">
        <f>IFERROR(__xludf.DUMMYFUNCTION("GOOGLETRANSLATE(B5456,""en"",""fr"")"),"À la fin, trois garçons montent sur le bateau et conduisent.")</f>
        <v>À la fin, trois garçons montent sur le bateau et conduisent.</v>
      </c>
    </row>
    <row r="5457">
      <c r="A5457" s="4" t="s">
        <v>6857</v>
      </c>
      <c r="B5457" s="4" t="s">
        <v>6858</v>
      </c>
      <c r="C5457" s="5" t="str">
        <f>IFERROR(__xludf.DUMMYFUNCTION("GOOGLETRANSLATE(B5457,""en"",""fr"")"),"Un homme arrête son vélo sur le trottoir.")</f>
        <v>Un homme arrête son vélo sur le trottoir.</v>
      </c>
    </row>
    <row r="5458">
      <c r="A5458" s="4" t="s">
        <v>6857</v>
      </c>
      <c r="B5458" s="4" t="s">
        <v>6859</v>
      </c>
      <c r="C5458" s="5" t="str">
        <f>IFERROR(__xludf.DUMMYFUNCTION("GOOGLETRANSLATE(B5458,""en"",""fr"")"),"Il saute pour regarder la roue, puis utilise un outil pour appuyer dans le caoutchouc.")</f>
        <v>Il saute pour regarder la roue, puis utilise un outil pour appuyer dans le caoutchouc.</v>
      </c>
    </row>
    <row r="5459">
      <c r="A5459" s="4" t="s">
        <v>6857</v>
      </c>
      <c r="B5459" s="6" t="s">
        <v>6860</v>
      </c>
      <c r="C5459" s="5" t="str">
        <f>IFERROR(__xludf.DUMMYFUNCTION("GOOGLETRANSLATE(B5459,""en"",""fr"")"),"Il continue de parler de l'outil avant de se joindre à une course de vélo, puis de revenir à parler sur le trottoir.")</f>
        <v>Il continue de parler de l'outil avant de se joindre à une course de vélo, puis de revenir à parler sur le trottoir.</v>
      </c>
    </row>
    <row r="5460">
      <c r="A5460" s="4" t="s">
        <v>6861</v>
      </c>
      <c r="B5460" s="4" t="s">
        <v>6862</v>
      </c>
      <c r="C5460" s="5" t="str">
        <f>IFERROR(__xludf.DUMMYFUNCTION("GOOGLETRANSLATE(B5460,""en"",""fr"")"),"Les hommes se balancent avec une balle de marteau avant de le relâcher.")</f>
        <v>Les hommes se balancent avec une balle de marteau avant de le relâcher.</v>
      </c>
    </row>
    <row r="5461">
      <c r="A5461" s="4" t="s">
        <v>6861</v>
      </c>
      <c r="B5461" s="4" t="s">
        <v>6863</v>
      </c>
      <c r="C5461" s="5" t="str">
        <f>IFERROR(__xludf.DUMMYFUNCTION("GOOGLETRANSLATE(B5461,""en"",""fr"")"),"Un homme tire sur un bar.")</f>
        <v>Un homme tire sur un bar.</v>
      </c>
    </row>
    <row r="5462">
      <c r="A5462" s="4" t="s">
        <v>6861</v>
      </c>
      <c r="B5462" s="4" t="s">
        <v>6864</v>
      </c>
      <c r="C5462" s="5" t="str">
        <f>IFERROR(__xludf.DUMMYFUNCTION("GOOGLETRANSLATE(B5462,""en"",""fr"")"),"Un homme soulève un gros poids sur ses épaules et aussi l'épaule le presse au-dessus de sa tête.")</f>
        <v>Un homme soulève un gros poids sur ses épaules et aussi l'épaule le presse au-dessus de sa tête.</v>
      </c>
    </row>
    <row r="5463">
      <c r="A5463" s="4" t="s">
        <v>6861</v>
      </c>
      <c r="B5463" s="4" t="s">
        <v>6865</v>
      </c>
      <c r="C5463" s="5" t="str">
        <f>IFERROR(__xludf.DUMMYFUNCTION("GOOGLETRANSLATE(B5463,""en"",""fr"")"),"Deux hommes courent une piste ensemble.")</f>
        <v>Deux hommes courent une piste ensemble.</v>
      </c>
    </row>
    <row r="5464">
      <c r="A5464" s="4" t="s">
        <v>6866</v>
      </c>
      <c r="B5464" s="4" t="s">
        <v>6867</v>
      </c>
      <c r="C5464" s="5" t="str">
        <f>IFERROR(__xludf.DUMMYFUNCTION("GOOGLETRANSLATE(B5464,""en"",""fr"")"),"Un drapeau agite sur un poteau dans un champ.")</f>
        <v>Un drapeau agite sur un poteau dans un champ.</v>
      </c>
    </row>
    <row r="5465">
      <c r="A5465" s="4" t="s">
        <v>6866</v>
      </c>
      <c r="B5465" s="4" t="s">
        <v>6868</v>
      </c>
      <c r="C5465" s="5" t="str">
        <f>IFERROR(__xludf.DUMMYFUNCTION("GOOGLETRANSLATE(B5465,""en"",""fr"")"),"Nous voyons une mascotte faire rouler une balle au marbre et tomber quand il est reculé et le frappe.")</f>
        <v>Nous voyons une mascotte faire rouler une balle au marbre et tomber quand il est reculé et le frappe.</v>
      </c>
    </row>
    <row r="5466">
      <c r="A5466" s="4" t="s">
        <v>6866</v>
      </c>
      <c r="B5466" s="4" t="s">
        <v>6869</v>
      </c>
      <c r="C5466" s="5" t="str">
        <f>IFERROR(__xludf.DUMMYFUNCTION("GOOGLETRANSLATE(B5466,""en"",""fr"")"),"Nous voyons ensuite la mascotte botter le ballon et gérer un home run.")</f>
        <v>Nous voyons ensuite la mascotte botter le ballon et gérer un home run.</v>
      </c>
    </row>
    <row r="5467">
      <c r="A5467" s="4" t="s">
        <v>6866</v>
      </c>
      <c r="B5467" s="4" t="s">
        <v>6870</v>
      </c>
      <c r="C5467" s="5" t="str">
        <f>IFERROR(__xludf.DUMMYFUNCTION("GOOGLETRANSLATE(B5467,""en"",""fr"")"),"La mascotte court et attrape une balle sur le terrain.")</f>
        <v>La mascotte court et attrape une balle sur le terrain.</v>
      </c>
    </row>
    <row r="5468">
      <c r="A5468" s="4" t="s">
        <v>6866</v>
      </c>
      <c r="B5468" s="4" t="s">
        <v>6871</v>
      </c>
      <c r="C5468" s="5" t="str">
        <f>IFERROR(__xludf.DUMMYFUNCTION("GOOGLETRANSLATE(B5468,""en"",""fr"")"),"La mascotte high fives une ligne de personnes et de poitrine baisse le dernier homme qui le frappe.")</f>
        <v>La mascotte high fives une ligne de personnes et de poitrine baisse le dernier homme qui le frappe.</v>
      </c>
    </row>
    <row r="5469">
      <c r="A5469" s="4" t="s">
        <v>6872</v>
      </c>
      <c r="B5469" s="6" t="s">
        <v>6873</v>
      </c>
      <c r="C5469" s="5" t="str">
        <f>IFERROR(__xludf.DUMMYFUNCTION("GOOGLETRANSLATE(B5469,""en"",""fr"")"),"Un gros plan de baskets est montré suivi par une personne qui tient divers objets et les mélangeant dans un bol.")</f>
        <v>Un gros plan de baskets est montré suivi par une personne qui tient divers objets et les mélangeant dans un bol.</v>
      </c>
    </row>
    <row r="5470">
      <c r="A5470" s="4" t="s">
        <v>6872</v>
      </c>
      <c r="B5470" s="6" t="s">
        <v>6874</v>
      </c>
      <c r="C5470" s="5" t="str">
        <f>IFERROR(__xludf.DUMMYFUNCTION("GOOGLETRANSLATE(B5470,""en"",""fr"")"),"La personne utilise ensuite une brosse à dents tout autour de la chaussure à l'aide des ingrédients et montrant la chaussure.")</f>
        <v>La personne utilise ensuite une brosse à dents tout autour de la chaussure à l'aide des ingrédients et montrant la chaussure.</v>
      </c>
    </row>
    <row r="5471">
      <c r="A5471" s="4" t="s">
        <v>6875</v>
      </c>
      <c r="B5471" s="4" t="s">
        <v>6876</v>
      </c>
      <c r="C5471" s="5" t="str">
        <f>IFERROR(__xludf.DUMMYFUNCTION("GOOGLETRANSLATE(B5471,""en"",""fr"")"),"Une personne explique la tenue d'une raquette et fait des mouvements avec une raquette dans un court de tennis.")</f>
        <v>Une personne explique la tenue d'une raquette et fait des mouvements avec une raquette dans un court de tennis.</v>
      </c>
    </row>
    <row r="5472">
      <c r="A5472" s="4" t="s">
        <v>6875</v>
      </c>
      <c r="B5472" s="4" t="s">
        <v>6877</v>
      </c>
      <c r="C5472" s="5" t="str">
        <f>IFERROR(__xludf.DUMMYFUNCTION("GOOGLETRANSLATE(B5472,""en"",""fr"")"),"Puis un homme portant des vêtements noirs sert une boule de tennis qui est retournée, et il le renvoie.")</f>
        <v>Puis un homme portant des vêtements noirs sert une boule de tennis qui est retournée, et il le renvoie.</v>
      </c>
    </row>
    <row r="5473">
      <c r="A5473" s="4" t="s">
        <v>6875</v>
      </c>
      <c r="B5473" s="4" t="s">
        <v>6878</v>
      </c>
      <c r="C5473" s="5" t="str">
        <f>IFERROR(__xludf.DUMMYFUNCTION("GOOGLETRANSLATE(B5473,""en"",""fr"")"),"Ensuite, la personne parle en tenant deux balles, après que l'homme sert à nouveau et que la personne parle.")</f>
        <v>Ensuite, la personne parle en tenant deux balles, après que l'homme sert à nouveau et que la personne parle.</v>
      </c>
    </row>
    <row r="5474">
      <c r="A5474" s="4" t="s">
        <v>6875</v>
      </c>
      <c r="B5474" s="4" t="s">
        <v>6879</v>
      </c>
      <c r="C5474" s="5" t="str">
        <f>IFERROR(__xludf.DUMMYFUNCTION("GOOGLETRANSLATE(B5474,""en"",""fr"")"),"Après, l'homme continue de parler.")</f>
        <v>Après, l'homme continue de parler.</v>
      </c>
    </row>
    <row r="5475">
      <c r="A5475" s="4" t="s">
        <v>6880</v>
      </c>
      <c r="B5475" s="4" t="s">
        <v>6881</v>
      </c>
      <c r="C5475" s="5" t="str">
        <f>IFERROR(__xludf.DUMMYFUNCTION("GOOGLETRANSLATE(B5475,""en"",""fr"")"),"Un gardien de but est vu dans plusieurs clips en arrière et quatrième et bloquant les balles de Getting by.")</f>
        <v>Un gardien de but est vu dans plusieurs clips en arrière et quatrième et bloquant les balles de Getting by.</v>
      </c>
    </row>
    <row r="5476">
      <c r="A5476" s="4" t="s">
        <v>6880</v>
      </c>
      <c r="B5476" s="4" t="s">
        <v>6882</v>
      </c>
      <c r="C5476" s="5" t="str">
        <f>IFERROR(__xludf.DUMMYFUNCTION("GOOGLETRANSLATE(B5476,""en"",""fr"")"),"Le joueur continue de courir en arrière et quatrième tandis qu'un autre homme s'assoit devant lui.")</f>
        <v>Le joueur continue de courir en arrière et quatrième tandis qu'un autre homme s'assoit devant lui.</v>
      </c>
    </row>
    <row r="5477">
      <c r="A5477" s="4" t="s">
        <v>6883</v>
      </c>
      <c r="B5477" s="6" t="s">
        <v>6884</v>
      </c>
      <c r="C5477" s="5" t="str">
        <f>IFERROR(__xludf.DUMMYFUNCTION("GOOGLETRANSLATE(B5477,""en"",""fr"")"),"Un jeune homme met dans une huile de poêle, des oignons, des tomates, des feuilles vertes et du sel, puis mélanger pour cuire les légumes.")</f>
        <v>Un jeune homme met dans une huile de poêle, des oignons, des tomates, des feuilles vertes et du sel, puis mélanger pour cuire les légumes.</v>
      </c>
    </row>
    <row r="5478">
      <c r="A5478" s="4" t="s">
        <v>6883</v>
      </c>
      <c r="B5478" s="4" t="s">
        <v>6885</v>
      </c>
      <c r="C5478" s="5" t="str">
        <f>IFERROR(__xludf.DUMMYFUNCTION("GOOGLETRANSLATE(B5478,""en"",""fr"")"),"Après, l'homme met de côté les légumes et cuit une omelette dans la poêle.")</f>
        <v>Après, l'homme met de côté les légumes et cuit une omelette dans la poêle.</v>
      </c>
    </row>
    <row r="5479">
      <c r="A5479" s="4" t="s">
        <v>6883</v>
      </c>
      <c r="B5479" s="4" t="s">
        <v>6886</v>
      </c>
      <c r="C5479" s="5" t="str">
        <f>IFERROR(__xludf.DUMMYFUNCTION("GOOGLETRANSLATE(B5479,""en"",""fr"")"),"Après, l'homme met les légumes sur l'omelette et le plie, puis il sert l'omelette.")</f>
        <v>Après, l'homme met les légumes sur l'omelette et le plie, puis il sert l'omelette.</v>
      </c>
    </row>
    <row r="5480">
      <c r="A5480" s="4" t="s">
        <v>6887</v>
      </c>
      <c r="B5480" s="4" t="s">
        <v>6888</v>
      </c>
      <c r="C5480" s="5" t="str">
        <f>IFERROR(__xludf.DUMMYFUNCTION("GOOGLETRANSLATE(B5480,""en"",""fr"")"),"Un grand groupe de soldats de la Marine est montré sur un quai jouant à un jeu de lutte contre la guerre.")</f>
        <v>Un grand groupe de soldats de la Marine est montré sur un quai jouant à un jeu de lutte contre la guerre.</v>
      </c>
    </row>
    <row r="5481">
      <c r="A5481" s="4" t="s">
        <v>6887</v>
      </c>
      <c r="B5481" s="4" t="s">
        <v>6889</v>
      </c>
      <c r="C5481" s="5" t="str">
        <f>IFERROR(__xludf.DUMMYFUNCTION("GOOGLETRANSLATE(B5481,""en"",""fr"")"),"D'un côté de la corde se trouve une équipe qui tire aussi fort que possible tout en étant acclamée.")</f>
        <v>D'un côté de la corde se trouve une équipe qui tire aussi fort que possible tout en étant acclamée.</v>
      </c>
    </row>
    <row r="5482">
      <c r="A5482" s="4" t="s">
        <v>6887</v>
      </c>
      <c r="B5482" s="4" t="s">
        <v>6890</v>
      </c>
      <c r="C5482" s="5" t="str">
        <f>IFERROR(__xludf.DUMMYFUNCTION("GOOGLETRANSLATE(B5482,""en"",""fr"")"),"Un autre soldat de la Marine est montré en prenant des photos du jeu.")</f>
        <v>Un autre soldat de la Marine est montré en prenant des photos du jeu.</v>
      </c>
    </row>
    <row r="5483">
      <c r="A5483" s="4" t="s">
        <v>6887</v>
      </c>
      <c r="B5483" s="4" t="s">
        <v>6891</v>
      </c>
      <c r="C5483" s="5" t="str">
        <f>IFERROR(__xludf.DUMMYFUNCTION("GOOGLETRANSLATE(B5483,""en"",""fr"")"),"L'autre côté de la corde est montré.")</f>
        <v>L'autre côté de la corde est montré.</v>
      </c>
    </row>
    <row r="5484">
      <c r="A5484" s="4" t="s">
        <v>6887</v>
      </c>
      <c r="B5484" s="4" t="s">
        <v>6892</v>
      </c>
      <c r="C5484" s="5" t="str">
        <f>IFERROR(__xludf.DUMMYFUNCTION("GOOGLETRANSLATE(B5484,""en"",""fr"")"),"Une équipe est tirée sur une ligne rouge sur le sol, mettant fin au jeu.")</f>
        <v>Une équipe est tirée sur une ligne rouge sur le sol, mettant fin au jeu.</v>
      </c>
    </row>
    <row r="5485">
      <c r="A5485" s="4" t="s">
        <v>6887</v>
      </c>
      <c r="B5485" s="4" t="s">
        <v>6893</v>
      </c>
      <c r="C5485" s="5" t="str">
        <f>IFERROR(__xludf.DUMMYFUNCTION("GOOGLETRANSLATE(B5485,""en"",""fr"")"),"Les hommes se lèvent pour se détendre.")</f>
        <v>Les hommes se lèvent pour se détendre.</v>
      </c>
    </row>
    <row r="5486">
      <c r="A5486" s="4" t="s">
        <v>6894</v>
      </c>
      <c r="B5486" s="4" t="s">
        <v>6895</v>
      </c>
      <c r="C5486" s="5" t="str">
        <f>IFERROR(__xludf.DUMMYFUNCTION("GOOGLETRANSLATE(B5486,""en"",""fr"")"),"Une introduction arrive sur l'écran pour une compétition de levage de poids féminin.")</f>
        <v>Une introduction arrive sur l'écran pour une compétition de levage de poids féminin.</v>
      </c>
    </row>
    <row r="5487">
      <c r="A5487" s="4" t="s">
        <v>6894</v>
      </c>
      <c r="B5487" s="6" t="s">
        <v>6896</v>
      </c>
      <c r="C5487" s="5" t="str">
        <f>IFERROR(__xludf.DUMMYFUNCTION("GOOGLETRANSLATE(B5487,""en"",""fr"")"),"L'une des haltérophiles féminines est montrée à l'écran car elle passe par plusieurs niveaux croissants de levant les ascenseurs un par un.")</f>
        <v>L'une des haltérophiles féminines est montrée à l'écran car elle passe par plusieurs niveaux croissants de levant les ascenseurs un par un.</v>
      </c>
    </row>
    <row r="5488">
      <c r="A5488" s="4" t="s">
        <v>6894</v>
      </c>
      <c r="B5488" s="4" t="s">
        <v>6897</v>
      </c>
      <c r="C5488" s="5" t="str">
        <f>IFERROR(__xludf.DUMMYFUNCTION("GOOGLETRANSLATE(B5488,""en"",""fr"")"),"Quand elle atteint enfin un poids trop lourd pour qu'elle puisse soulever, elle laisse le défi.")</f>
        <v>Quand elle atteint enfin un poids trop lourd pour qu'elle puisse soulever, elle laisse le défi.</v>
      </c>
    </row>
    <row r="5489">
      <c r="A5489" s="4" t="s">
        <v>6898</v>
      </c>
      <c r="B5489" s="6" t="s">
        <v>6899</v>
      </c>
      <c r="C5489" s="5" t="str">
        <f>IFERROR(__xludf.DUMMYFUNCTION("GOOGLETRANSLATE(B5489,""en"",""fr"")"),"Un homme en polo se tient avec un vélo sur un rack et montre que ses différentes fonctionnalités dans un magasin de vélos.")</f>
        <v>Un homme en polo se tient avec un vélo sur un rack et montre que ses différentes fonctionnalités dans un magasin de vélos.</v>
      </c>
    </row>
    <row r="5490">
      <c r="A5490" s="4" t="s">
        <v>6898</v>
      </c>
      <c r="B5490" s="6" t="s">
        <v>6900</v>
      </c>
      <c r="C5490" s="5" t="str">
        <f>IFERROR(__xludf.DUMMYFUNCTION("GOOGLETRANSLATE(B5490,""en"",""fr"")"),"L'homme sort un outil et fait un réglage du pignon de roue, puis tourne la roue avant de s'ajuster davantage.")</f>
        <v>L'homme sort un outil et fait un réglage du pignon de roue, puis tourne la roue avant de s'ajuster davantage.</v>
      </c>
    </row>
    <row r="5491">
      <c r="A5491" s="4" t="s">
        <v>6898</v>
      </c>
      <c r="B5491" s="4" t="s">
        <v>6901</v>
      </c>
      <c r="C5491" s="5" t="str">
        <f>IFERROR(__xludf.DUMMYFUNCTION("GOOGLETRANSLATE(B5491,""en"",""fr"")"),"L'homme ajuste un levier de vitesses sur le guidon.")</f>
        <v>L'homme ajuste un levier de vitesses sur le guidon.</v>
      </c>
    </row>
    <row r="5492">
      <c r="A5492" s="4" t="s">
        <v>6902</v>
      </c>
      <c r="B5492" s="4" t="s">
        <v>6903</v>
      </c>
      <c r="C5492" s="5" t="str">
        <f>IFERROR(__xludf.DUMMYFUNCTION("GOOGLETRANSLATE(B5492,""en"",""fr"")"),"Un homme repasse une chemise sur une planche à repasser.")</f>
        <v>Un homme repasse une chemise sur une planche à repasser.</v>
      </c>
    </row>
    <row r="5493">
      <c r="A5493" s="4" t="s">
        <v>6902</v>
      </c>
      <c r="B5493" s="4" t="s">
        <v>6904</v>
      </c>
      <c r="C5493" s="5" t="str">
        <f>IFERROR(__xludf.DUMMYFUNCTION("GOOGLETRANSLATE(B5493,""en"",""fr"")"),"Des sacs sont représentés assis sur le lit.")</f>
        <v>Des sacs sont représentés assis sur le lit.</v>
      </c>
    </row>
    <row r="5494">
      <c r="A5494" s="4" t="s">
        <v>6905</v>
      </c>
      <c r="B5494" s="6" t="s">
        <v>6906</v>
      </c>
      <c r="C5494" s="5" t="str">
        <f>IFERROR(__xludf.DUMMYFUNCTION("GOOGLETRANSLATE(B5494,""en"",""fr"")"),"Un petit groupe de personnes est vu nager autour du mur pendant que la caméra se déroule et les regarde.")</f>
        <v>Un petit groupe de personnes est vu nager autour du mur pendant que la caméra se déroule et les regarde.</v>
      </c>
    </row>
    <row r="5495">
      <c r="A5495" s="4" t="s">
        <v>6905</v>
      </c>
      <c r="B5495" s="4" t="s">
        <v>6907</v>
      </c>
      <c r="C5495" s="5" t="str">
        <f>IFERROR(__xludf.DUMMYFUNCTION("GOOGLETRANSLATE(B5495,""en"",""fr"")"),"Les enfants continuent de se déplacer dans l'eau alors que les adultes passent également.")</f>
        <v>Les enfants continuent de se déplacer dans l'eau alors que les adultes passent également.</v>
      </c>
    </row>
    <row r="5496">
      <c r="A5496" s="4" t="s">
        <v>6905</v>
      </c>
      <c r="B5496" s="4" t="s">
        <v>6908</v>
      </c>
      <c r="C5496" s="5" t="str">
        <f>IFERROR(__xludf.DUMMYFUNCTION("GOOGLETRANSLATE(B5496,""en"",""fr"")"),"Plus de coups de feu sont montrés des enfants qui jouent dans le sable.")</f>
        <v>Plus de coups de feu sont montrés des enfants qui jouent dans le sable.</v>
      </c>
    </row>
    <row r="5497">
      <c r="A5497" s="4" t="s">
        <v>6909</v>
      </c>
      <c r="B5497" s="4" t="s">
        <v>6910</v>
      </c>
      <c r="C5497" s="5" t="str">
        <f>IFERROR(__xludf.DUMMYFUNCTION("GOOGLETRANSLATE(B5497,""en"",""fr"")"),"La vidéo qui est tournée horizontalement montre plusieurs personnes en vulgusur dans l'océan par une journée ensoleillée.")</f>
        <v>La vidéo qui est tournée horizontalement montre plusieurs personnes en vulgusur dans l'océan par une journée ensoleillée.</v>
      </c>
    </row>
    <row r="5498">
      <c r="A5498" s="4" t="s">
        <v>6909</v>
      </c>
      <c r="B5498" s="4" t="s">
        <v>6911</v>
      </c>
      <c r="C5498" s="5" t="str">
        <f>IFERROR(__xludf.DUMMYFUNCTION("GOOGLETRANSLATE(B5498,""en"",""fr"")"),"L'un des surfeurs va à très grande vitesse contre les vagues.")</f>
        <v>L'un des surfeurs va à très grande vitesse contre les vagues.</v>
      </c>
    </row>
    <row r="5499">
      <c r="A5499" s="4" t="s">
        <v>6909</v>
      </c>
      <c r="B5499" s="4" t="s">
        <v>6912</v>
      </c>
      <c r="C5499" s="5" t="str">
        <f>IFERROR(__xludf.DUMMYFUNCTION("GOOGLETRANSLATE(B5499,""en"",""fr"")"),"Un surfeur sur un surf orange vient à vitesse maximale et perd le contrôle et tombe dans l'eau.")</f>
        <v>Un surfeur sur un surf orange vient à vitesse maximale et perd le contrôle et tombe dans l'eau.</v>
      </c>
    </row>
    <row r="5500">
      <c r="A5500" s="4" t="s">
        <v>6909</v>
      </c>
      <c r="B5500" s="4" t="s">
        <v>6913</v>
      </c>
      <c r="C5500" s="5" t="str">
        <f>IFERROR(__xludf.DUMMYFUNCTION("GOOGLETRANSLATE(B5500,""en"",""fr"")"),"Le surfeur avec Blue Sails parvient à rester à bord alors qu'il surfait dans l'océan.")</f>
        <v>Le surfeur avec Blue Sails parvient à rester à bord alors qu'il surfait dans l'océan.</v>
      </c>
    </row>
    <row r="5501">
      <c r="A5501" s="4" t="s">
        <v>6914</v>
      </c>
      <c r="B5501" s="4" t="s">
        <v>6915</v>
      </c>
      <c r="C5501" s="5" t="str">
        <f>IFERROR(__xludf.DUMMYFUNCTION("GOOGLETRANSLATE(B5501,""en"",""fr"")"),"Une femme plus âgée est vue assise devant un tambour jouant un ensemble de tambours.")</f>
        <v>Une femme plus âgée est vue assise devant un tambour jouant un ensemble de tambours.</v>
      </c>
    </row>
    <row r="5502">
      <c r="A5502" s="4" t="s">
        <v>6914</v>
      </c>
      <c r="B5502" s="6" t="s">
        <v>6916</v>
      </c>
      <c r="C5502" s="5" t="str">
        <f>IFERROR(__xludf.DUMMYFUNCTION("GOOGLETRANSLATE(B5502,""en"",""fr"")"),"Elle tourne les tambours à travers le bout de ses doigts et continue de jouer de l'instrument pendant que la caméra la capture.")</f>
        <v>Elle tourne les tambours à travers le bout de ses doigts et continue de jouer de l'instrument pendant que la caméra la capture.</v>
      </c>
    </row>
    <row r="5503">
      <c r="A5503" s="4" t="s">
        <v>6917</v>
      </c>
      <c r="B5503" s="6" t="s">
        <v>6918</v>
      </c>
      <c r="C5503" s="5" t="str">
        <f>IFERROR(__xludf.DUMMYFUNCTION("GOOGLETRANSLATE(B5503,""en"",""fr"")"),"Un homme effectue un saut en hauteur avec un poteau, il saute sur trois lignes horizontales qui en touchent deux.")</f>
        <v>Un homme effectue un saut en hauteur avec un poteau, il saute sur trois lignes horizontales qui en touchent deux.</v>
      </c>
    </row>
    <row r="5504">
      <c r="A5504" s="4" t="s">
        <v>6917</v>
      </c>
      <c r="B5504" s="4" t="s">
        <v>6919</v>
      </c>
      <c r="C5504" s="5" t="str">
        <f>IFERROR(__xludf.DUMMYFUNCTION("GOOGLETRANSLATE(B5504,""en"",""fr"")"),"L'homme tente de sauter plus haut que lors du saut avec le poteau.")</f>
        <v>L'homme tente de sauter plus haut que lors du saut avec le poteau.</v>
      </c>
    </row>
    <row r="5505">
      <c r="A5505" s="4" t="s">
        <v>6917</v>
      </c>
      <c r="B5505" s="4" t="s">
        <v>6920</v>
      </c>
      <c r="C5505" s="5" t="str">
        <f>IFERROR(__xludf.DUMMYFUNCTION("GOOGLETRANSLATE(B5505,""en"",""fr"")"),"Encore une fois, l'homme tente de sauter plus haut, mais il fait tomber la ligne horizontale.")</f>
        <v>Encore une fois, l'homme tente de sauter plus haut, mais il fait tomber la ligne horizontale.</v>
      </c>
    </row>
    <row r="5506">
      <c r="A5506" s="4" t="s">
        <v>6921</v>
      </c>
      <c r="B5506" s="4" t="s">
        <v>6922</v>
      </c>
      <c r="C5506" s="5" t="str">
        <f>IFERROR(__xludf.DUMMYFUNCTION("GOOGLETRANSLATE(B5506,""en"",""fr"")"),"Nous voyons un homme assis sur un canapé.")</f>
        <v>Nous voyons un homme assis sur un canapé.</v>
      </c>
    </row>
    <row r="5507">
      <c r="A5507" s="4" t="s">
        <v>6921</v>
      </c>
      <c r="B5507" s="4" t="s">
        <v>6923</v>
      </c>
      <c r="C5507" s="5" t="str">
        <f>IFERROR(__xludf.DUMMYFUNCTION("GOOGLETRANSLATE(B5507,""en"",""fr"")"),"L'homme joue la cornemuse.")</f>
        <v>L'homme joue la cornemuse.</v>
      </c>
    </row>
    <row r="5508">
      <c r="A5508" s="4" t="s">
        <v>6921</v>
      </c>
      <c r="B5508" s="4" t="s">
        <v>6924</v>
      </c>
      <c r="C5508" s="5" t="str">
        <f>IFERROR(__xludf.DUMMYFUNCTION("GOOGLETRANSLATE(B5508,""en"",""fr"")"),"L'homme rit et arrête de jouer.")</f>
        <v>L'homme rit et arrête de jouer.</v>
      </c>
    </row>
    <row r="5509">
      <c r="A5509" s="4" t="s">
        <v>6921</v>
      </c>
      <c r="B5509" s="4" t="s">
        <v>6925</v>
      </c>
      <c r="C5509" s="5" t="str">
        <f>IFERROR(__xludf.DUMMYFUNCTION("GOOGLETRANSLATE(B5509,""en"",""fr"")"),"L'homme recommence à jouer de la cornemuse.")</f>
        <v>L'homme recommence à jouer de la cornemuse.</v>
      </c>
    </row>
    <row r="5510">
      <c r="A5510" s="4" t="s">
        <v>6921</v>
      </c>
      <c r="B5510" s="4" t="s">
        <v>6926</v>
      </c>
      <c r="C5510" s="5" t="str">
        <f>IFERROR(__xludf.DUMMYFUNCTION("GOOGLETRANSLATE(B5510,""en"",""fr"")"),"L'homme rit fort.")</f>
        <v>L'homme rit fort.</v>
      </c>
    </row>
    <row r="5511">
      <c r="A5511" s="4" t="s">
        <v>6921</v>
      </c>
      <c r="B5511" s="4" t="s">
        <v>6927</v>
      </c>
      <c r="C5511" s="5" t="str">
        <f>IFERROR(__xludf.DUMMYFUNCTION("GOOGLETRANSLATE(B5511,""en"",""fr"")"),"L'homme arrête de jouer de la cornemuse.")</f>
        <v>L'homme arrête de jouer de la cornemuse.</v>
      </c>
    </row>
    <row r="5512">
      <c r="A5512" s="4" t="s">
        <v>6921</v>
      </c>
      <c r="B5512" s="4" t="s">
        <v>6928</v>
      </c>
      <c r="C5512" s="5" t="str">
        <f>IFERROR(__xludf.DUMMYFUNCTION("GOOGLETRANSLATE(B5512,""en"",""fr"")"),"L'homme agite sa main devant la caméra.")</f>
        <v>L'homme agite sa main devant la caméra.</v>
      </c>
    </row>
    <row r="5513">
      <c r="A5513" s="4" t="s">
        <v>6929</v>
      </c>
      <c r="B5513" s="4" t="s">
        <v>6930</v>
      </c>
      <c r="C5513" s="5" t="str">
        <f>IFERROR(__xludf.DUMMYFUNCTION("GOOGLETRANSLATE(B5513,""en"",""fr"")"),"Une femme est à l'extérieur de pelleter avec un robo-main.")</f>
        <v>Une femme est à l'extérieur de pelleter avec un robo-main.</v>
      </c>
    </row>
    <row r="5514">
      <c r="A5514" s="4" t="s">
        <v>6929</v>
      </c>
      <c r="B5514" s="6" t="s">
        <v>6931</v>
      </c>
      <c r="C5514" s="5" t="str">
        <f>IFERROR(__xludf.DUMMYFUNCTION("GOOGLETRANSLATE(B5514,""en"",""fr"")"),"Il rend le processus beaucoup plus rapide car il est d'une taille décente et ramasse beaucoup de neige à la fois.")</f>
        <v>Il rend le processus beaucoup plus rapide car il est d'une taille décente et ramasse beaucoup de neige à la fois.</v>
      </c>
    </row>
    <row r="5515">
      <c r="A5515" s="4" t="s">
        <v>6929</v>
      </c>
      <c r="B5515" s="4" t="s">
        <v>6932</v>
      </c>
      <c r="C5515" s="5" t="str">
        <f>IFERROR(__xludf.DUMMYFUNCTION("GOOGLETRANSLATE(B5515,""en"",""fr"")"),"Elle fait beaucoup de progrès dans une si petite fenêtre de temps en utilisant ce robo-main de neige.")</f>
        <v>Elle fait beaucoup de progrès dans une si petite fenêtre de temps en utilisant ce robo-main de neige.</v>
      </c>
    </row>
    <row r="5516">
      <c r="A5516" s="4" t="s">
        <v>6929</v>
      </c>
      <c r="B5516" s="4" t="s">
        <v>6933</v>
      </c>
      <c r="C5516" s="5" t="str">
        <f>IFERROR(__xludf.DUMMYFUNCTION("GOOGLETRANSLATE(B5516,""en"",""fr"")"),"Honnêtement, la poignée ressemble à deux grosses pelles.")</f>
        <v>Honnêtement, la poignée ressemble à deux grosses pelles.</v>
      </c>
    </row>
    <row r="5517">
      <c r="A5517" s="4" t="s">
        <v>6934</v>
      </c>
      <c r="B5517" s="4" t="s">
        <v>6935</v>
      </c>
      <c r="C5517" s="5" t="str">
        <f>IFERROR(__xludf.DUMMYFUNCTION("GOOGLETRANSLATE(B5517,""en"",""fr"")"),"Le texte apparaît brièvement à l'écran.")</f>
        <v>Le texte apparaît brièvement à l'écran.</v>
      </c>
    </row>
    <row r="5518">
      <c r="A5518" s="4" t="s">
        <v>6934</v>
      </c>
      <c r="B5518" s="4" t="s">
        <v>6936</v>
      </c>
      <c r="C5518" s="5" t="str">
        <f>IFERROR(__xludf.DUMMYFUNCTION("GOOGLETRANSLATE(B5518,""en"",""fr"")"),"Un éléphant passe devant une vache.")</f>
        <v>Un éléphant passe devant une vache.</v>
      </c>
    </row>
    <row r="5519">
      <c r="A5519" s="4" t="s">
        <v>6934</v>
      </c>
      <c r="B5519" s="4" t="s">
        <v>6937</v>
      </c>
      <c r="C5519" s="5" t="str">
        <f>IFERROR(__xludf.DUMMYFUNCTION("GOOGLETRANSLATE(B5519,""en"",""fr"")"),"Les gens sont dans un tube sur une rivière.")</f>
        <v>Les gens sont dans un tube sur une rivière.</v>
      </c>
    </row>
    <row r="5520">
      <c r="A5520" s="4" t="s">
        <v>6938</v>
      </c>
      <c r="B5520" s="4" t="s">
        <v>6939</v>
      </c>
      <c r="C5520" s="5" t="str">
        <f>IFERROR(__xludf.DUMMYFUNCTION("GOOGLETRANSLATE(B5520,""en"",""fr"")"),"Les gens dansent sur une piste de danse lors d'un mariage.")</f>
        <v>Les gens dansent sur une piste de danse lors d'un mariage.</v>
      </c>
    </row>
    <row r="5521">
      <c r="A5521" s="4" t="s">
        <v>6938</v>
      </c>
      <c r="B5521" s="4" t="s">
        <v>6940</v>
      </c>
      <c r="C5521" s="5" t="str">
        <f>IFERROR(__xludf.DUMMYFUNCTION("GOOGLETRANSLATE(B5521,""en"",""fr"")"),"Une femme en robe de mariée danse avec un homme dans un smoking.")</f>
        <v>Une femme en robe de mariée danse avec un homme dans un smoking.</v>
      </c>
    </row>
    <row r="5522">
      <c r="A5522" s="4" t="s">
        <v>6938</v>
      </c>
      <c r="B5522" s="4" t="s">
        <v>6941</v>
      </c>
      <c r="C5522" s="5" t="str">
        <f>IFERROR(__xludf.DUMMYFUNCTION("GOOGLETRANSLATE(B5522,""en"",""fr"")"),"Un homme en chemise violette danse avec une femme.")</f>
        <v>Un homme en chemise violette danse avec une femme.</v>
      </c>
    </row>
    <row r="5523">
      <c r="A5523" s="4" t="s">
        <v>6942</v>
      </c>
      <c r="B5523" s="4" t="s">
        <v>6943</v>
      </c>
      <c r="C5523" s="5" t="str">
        <f>IFERROR(__xludf.DUMMYFUNCTION("GOOGLETRANSLATE(B5523,""en"",""fr"")"),"Les gens se préparent pour une course de vélo BMX.")</f>
        <v>Les gens se préparent pour une course de vélo BMX.</v>
      </c>
    </row>
    <row r="5524">
      <c r="A5524" s="4" t="s">
        <v>6942</v>
      </c>
      <c r="B5524" s="4" t="s">
        <v>6944</v>
      </c>
      <c r="C5524" s="5" t="str">
        <f>IFERROR(__xludf.DUMMYFUNCTION("GOOGLETRANSLATE(B5524,""en"",""fr"")"),"Une personne s'aligne puis va.")</f>
        <v>Une personne s'aligne puis va.</v>
      </c>
    </row>
    <row r="5525">
      <c r="A5525" s="4" t="s">
        <v>6945</v>
      </c>
      <c r="B5525" s="4" t="s">
        <v>6946</v>
      </c>
      <c r="C5525" s="5" t="str">
        <f>IFERROR(__xludf.DUMMYFUNCTION("GOOGLETRANSLATE(B5525,""en"",""fr"")"),"Une fille dans une chemise jaune se brosse les dents dans une salle de bain.")</f>
        <v>Une fille dans une chemise jaune se brosse les dents dans une salle de bain.</v>
      </c>
    </row>
    <row r="5526">
      <c r="A5526" s="4" t="s">
        <v>6945</v>
      </c>
      <c r="B5526" s="4" t="s">
        <v>6947</v>
      </c>
      <c r="C5526" s="5" t="str">
        <f>IFERROR(__xludf.DUMMYFUNCTION("GOOGLETRANSLATE(B5526,""en"",""fr"")"),"Une fille à côté d'elle dans une chemise bleue se brosse également les dents.")</f>
        <v>Une fille à côté d'elle dans une chemise bleue se brosse également les dents.</v>
      </c>
    </row>
    <row r="5527">
      <c r="A5527" s="4" t="s">
        <v>6945</v>
      </c>
      <c r="B5527" s="4" t="s">
        <v>6948</v>
      </c>
      <c r="C5527" s="5" t="str">
        <f>IFERROR(__xludf.DUMMYFUNCTION("GOOGLETRANSLATE(B5527,""en"",""fr"")"),"Ils regardent tous les deux dans le miroir.")</f>
        <v>Ils regardent tous les deux dans le miroir.</v>
      </c>
    </row>
    <row r="5528">
      <c r="A5528" s="4" t="s">
        <v>6949</v>
      </c>
      <c r="B5528" s="4" t="s">
        <v>6950</v>
      </c>
      <c r="C5528" s="5" t="str">
        <f>IFERROR(__xludf.DUMMYFUNCTION("GOOGLETRANSLATE(B5528,""en"",""fr"")"),"Une femme roule rapidement d'un vélo couché dans la cuisine.")</f>
        <v>Une femme roule rapidement d'un vélo couché dans la cuisine.</v>
      </c>
    </row>
    <row r="5529">
      <c r="A5529" s="4" t="s">
        <v>6949</v>
      </c>
      <c r="B5529" s="4" t="s">
        <v>6951</v>
      </c>
      <c r="C5529" s="5" t="str">
        <f>IFERROR(__xludf.DUMMYFUNCTION("GOOGLETRANSLATE(B5529,""en"",""fr"")"),"Elle s'assoit près du poêle, craquant des œufs dans une casserole et faisant une omelette pendant qu'elle roule.")</f>
        <v>Elle s'assoit près du poêle, craquant des œufs dans une casserole et faisant une omelette pendant qu'elle roule.</v>
      </c>
    </row>
    <row r="5530">
      <c r="A5530" s="4" t="s">
        <v>6949</v>
      </c>
      <c r="B5530" s="4" t="s">
        <v>6952</v>
      </c>
      <c r="C5530" s="5" t="str">
        <f>IFERROR(__xludf.DUMMYFUNCTION("GOOGLETRANSLATE(B5530,""en"",""fr"")"),"Elle remue l'œuf, puis l'assiette tout en roulant.")</f>
        <v>Elle remue l'œuf, puis l'assiette tout en roulant.</v>
      </c>
    </row>
    <row r="5531">
      <c r="A5531" s="4" t="s">
        <v>6949</v>
      </c>
      <c r="B5531" s="4" t="s">
        <v>6953</v>
      </c>
      <c r="C5531" s="5" t="str">
        <f>IFERROR(__xludf.DUMMYFUNCTION("GOOGLETRANSLATE(B5531,""en"",""fr"")"),"Elle mange ensuite pendant qu'elle continue de monter.")</f>
        <v>Elle mange ensuite pendant qu'elle continue de monter.</v>
      </c>
    </row>
    <row r="5532">
      <c r="A5532" s="4" t="s">
        <v>6954</v>
      </c>
      <c r="B5532" s="6" t="s">
        <v>6955</v>
      </c>
      <c r="C5532" s="5" t="str">
        <f>IFERROR(__xludf.DUMMYFUNCTION("GOOGLETRANSLATE(B5532,""en"",""fr"")"),"Une femme est vue agenouillée sur un tapis dans une cour arrière et mène à sa flexion en arrière en utilisant ses mains.")</f>
        <v>Une femme est vue agenouillée sur un tapis dans une cour arrière et mène à sa flexion en arrière en utilisant ses mains.</v>
      </c>
    </row>
    <row r="5533">
      <c r="A5533" s="4" t="s">
        <v>6954</v>
      </c>
      <c r="B5533" s="4" t="s">
        <v>6956</v>
      </c>
      <c r="C5533" s="5" t="str">
        <f>IFERROR(__xludf.DUMMYFUNCTION("GOOGLETRANSLATE(B5533,""en"",""fr"")"),"Elle met ensuite ses mains tout le long du sol tout en continuant à lever les yeux.")</f>
        <v>Elle met ensuite ses mains tout le long du sol tout en continuant à lever les yeux.</v>
      </c>
    </row>
    <row r="5534">
      <c r="A5534" s="4" t="s">
        <v>6957</v>
      </c>
      <c r="B5534" s="4" t="s">
        <v>6958</v>
      </c>
      <c r="C5534" s="5" t="str">
        <f>IFERROR(__xludf.DUMMYFUNCTION("GOOGLETRANSLATE(B5534,""en"",""fr"")"),"Nous voyons un écran d'ouverture blanc.")</f>
        <v>Nous voyons un écran d'ouverture blanc.</v>
      </c>
    </row>
    <row r="5535">
      <c r="A5535" s="4" t="s">
        <v>6957</v>
      </c>
      <c r="B5535" s="4" t="s">
        <v>6959</v>
      </c>
      <c r="C5535" s="5" t="str">
        <f>IFERROR(__xludf.DUMMYFUNCTION("GOOGLETRANSLATE(B5535,""en"",""fr"")"),"Nous voyons une dame repasser une chemise sur une planche à repasser et parler à la caméra.")</f>
        <v>Nous voyons une dame repasser une chemise sur une planche à repasser et parler à la caméra.</v>
      </c>
    </row>
    <row r="5536">
      <c r="A5536" s="4" t="s">
        <v>6957</v>
      </c>
      <c r="B5536" s="4" t="s">
        <v>6960</v>
      </c>
      <c r="C5536" s="5" t="str">
        <f>IFERROR(__xludf.DUMMYFUNCTION("GOOGLETRANSLATE(B5536,""en"",""fr"")"),"La dame repose une manche.")</f>
        <v>La dame repose une manche.</v>
      </c>
    </row>
    <row r="5537">
      <c r="A5537" s="4" t="s">
        <v>6957</v>
      </c>
      <c r="B5537" s="4" t="s">
        <v>6961</v>
      </c>
      <c r="C5537" s="5" t="str">
        <f>IFERROR(__xludf.DUMMYFUNCTION("GOOGLETRANSLATE(B5537,""en"",""fr"")"),"La dame fout à l'arrière de la chemise.")</f>
        <v>La dame fout à l'arrière de la chemise.</v>
      </c>
    </row>
    <row r="5538">
      <c r="A5538" s="4" t="s">
        <v>6957</v>
      </c>
      <c r="B5538" s="4" t="s">
        <v>6962</v>
      </c>
      <c r="C5538" s="5" t="str">
        <f>IFERROR(__xludf.DUMMYFUNCTION("GOOGLETRANSLATE(B5538,""en"",""fr"")"),"La dame termine et tient la chemise.")</f>
        <v>La dame termine et tient la chemise.</v>
      </c>
    </row>
    <row r="5539">
      <c r="A5539" s="4" t="s">
        <v>6957</v>
      </c>
      <c r="B5539" s="4" t="s">
        <v>6963</v>
      </c>
      <c r="C5539" s="5" t="str">
        <f>IFERROR(__xludf.DUMMYFUNCTION("GOOGLETRANSLATE(B5539,""en"",""fr"")"),"Nous voyons un écran de clôture de titre brillant.")</f>
        <v>Nous voyons un écran de clôture de titre brillant.</v>
      </c>
    </row>
    <row r="5540">
      <c r="A5540" s="4" t="s">
        <v>6964</v>
      </c>
      <c r="B5540" s="4" t="s">
        <v>6965</v>
      </c>
      <c r="C5540" s="5" t="str">
        <f>IFERROR(__xludf.DUMMYFUNCTION("GOOGLETRANSLATE(B5540,""en"",""fr"")"),"Nous voyons l'écran de titre pour Howcast.")</f>
        <v>Nous voyons l'écran de titre pour Howcast.</v>
      </c>
    </row>
    <row r="5541">
      <c r="A5541" s="4" t="s">
        <v>6964</v>
      </c>
      <c r="B5541" s="4" t="s">
        <v>6966</v>
      </c>
      <c r="C5541" s="5" t="str">
        <f>IFERROR(__xludf.DUMMYFUNCTION("GOOGLETRANSLATE(B5541,""en"",""fr"")"),"Une dame est debout dans une salle blanche en parlant à la caméra.")</f>
        <v>Une dame est debout dans une salle blanche en parlant à la caméra.</v>
      </c>
    </row>
    <row r="5542">
      <c r="A5542" s="4" t="s">
        <v>6964</v>
      </c>
      <c r="B5542" s="4" t="s">
        <v>6967</v>
      </c>
      <c r="C5542" s="5" t="str">
        <f>IFERROR(__xludf.DUMMYFUNCTION("GOOGLETRANSLATE(B5542,""en"",""fr"")"),"La dame nous montre comment danser le ventre en dansant.")</f>
        <v>La dame nous montre comment danser le ventre en dansant.</v>
      </c>
    </row>
    <row r="5543">
      <c r="A5543" s="4" t="s">
        <v>6964</v>
      </c>
      <c r="B5543" s="4" t="s">
        <v>6968</v>
      </c>
      <c r="C5543" s="5" t="str">
        <f>IFERROR(__xludf.DUMMYFUNCTION("GOOGLETRANSLATE(B5543,""en"",""fr"")"),"Elle se déplace vers elle à l'époque et soulève ses hanches pendant la danse du ventre.")</f>
        <v>Elle se déplace vers elle à l'époque et soulève ses hanches pendant la danse du ventre.</v>
      </c>
    </row>
    <row r="5544">
      <c r="A5544" s="4" t="s">
        <v>6964</v>
      </c>
      <c r="B5544" s="4" t="s">
        <v>6969</v>
      </c>
      <c r="C5544" s="5" t="str">
        <f>IFERROR(__xludf.DUMMYFUNCTION("GOOGLETRANSLATE(B5544,""en"",""fr"")"),"La dame montre comment soulever vos hanches une à la fois.")</f>
        <v>La dame montre comment soulever vos hanches une à la fois.</v>
      </c>
    </row>
    <row r="5545">
      <c r="A5545" s="4" t="s">
        <v>6964</v>
      </c>
      <c r="B5545" s="4" t="s">
        <v>6970</v>
      </c>
      <c r="C5545" s="5" t="str">
        <f>IFERROR(__xludf.DUMMYFUNCTION("GOOGLETRANSLATE(B5545,""en"",""fr"")"),"Elle se tape la tête et secoue ses hanches plus rapidement.")</f>
        <v>Elle se tape la tête et secoue ses hanches plus rapidement.</v>
      </c>
    </row>
    <row r="5546">
      <c r="A5546" s="4" t="s">
        <v>6964</v>
      </c>
      <c r="B5546" s="4" t="s">
        <v>6971</v>
      </c>
      <c r="C5546" s="5" t="str">
        <f>IFERROR(__xludf.DUMMYFUNCTION("GOOGLETRANSLATE(B5546,""en"",""fr"")"),"La dame secoue ses hanches plus rapidement et agite ses bras sur sa tête.")</f>
        <v>La dame secoue ses hanches plus rapidement et agite ses bras sur sa tête.</v>
      </c>
    </row>
    <row r="5547">
      <c r="A5547" s="4" t="s">
        <v>6964</v>
      </c>
      <c r="B5547" s="4" t="s">
        <v>6972</v>
      </c>
      <c r="C5547" s="5" t="str">
        <f>IFERROR(__xludf.DUMMYFUNCTION("GOOGLETRANSLATE(B5547,""en"",""fr"")"),"Elle arrête de danser et reste immobile.")</f>
        <v>Elle arrête de danser et reste immobile.</v>
      </c>
    </row>
    <row r="5548">
      <c r="A5548" s="4" t="s">
        <v>6964</v>
      </c>
      <c r="B5548" s="4" t="s">
        <v>6973</v>
      </c>
      <c r="C5548" s="5" t="str">
        <f>IFERROR(__xludf.DUMMYFUNCTION("GOOGLETRANSLATE(B5548,""en"",""fr"")"),"Les crédits de fin se chargent à l'écran.")</f>
        <v>Les crédits de fin se chargent à l'écran.</v>
      </c>
    </row>
    <row r="5549">
      <c r="A5549" s="4" t="s">
        <v>6974</v>
      </c>
      <c r="B5549" s="4" t="s">
        <v>6975</v>
      </c>
      <c r="C5549" s="5" t="str">
        <f>IFERROR(__xludf.DUMMYFUNCTION("GOOGLETRANSLATE(B5549,""en"",""fr"")"),"Une gymnaste se produit sur les barres inégales tandis que les spectateurs regardent la performance.")</f>
        <v>Une gymnaste se produit sur les barres inégales tandis que les spectateurs regardent la performance.</v>
      </c>
    </row>
    <row r="5550">
      <c r="A5550" s="4" t="s">
        <v>6974</v>
      </c>
      <c r="B5550" s="6" t="s">
        <v>6976</v>
      </c>
      <c r="C5550" s="5" t="str">
        <f>IFERROR(__xludf.DUMMYFUNCTION("GOOGLETRANSLATE(B5550,""en"",""fr"")"),"La gymnaste met fin à la performance et a formidable le public, puis elle rejoint ses amis pour attendre le score.")</f>
        <v>La gymnaste met fin à la performance et a formidable le public, puis elle rejoint ses amis pour attendre le score.</v>
      </c>
    </row>
    <row r="5551">
      <c r="A5551" s="4" t="s">
        <v>6974</v>
      </c>
      <c r="B5551" s="4" t="s">
        <v>6977</v>
      </c>
      <c r="C5551" s="5" t="str">
        <f>IFERROR(__xludf.DUMMYFUNCTION("GOOGLETRANSLATE(B5551,""en"",""fr"")"),"Une femme regarde la gymnaste et applaudir.")</f>
        <v>Une femme regarde la gymnaste et applaudir.</v>
      </c>
    </row>
    <row r="5552">
      <c r="A5552" s="4" t="s">
        <v>6978</v>
      </c>
      <c r="B5552" s="4" t="s">
        <v>6979</v>
      </c>
      <c r="C5552" s="5" t="str">
        <f>IFERROR(__xludf.DUMMYFUNCTION("GOOGLETRANSLATE(B5552,""en"",""fr"")"),"Un lanceur de poids est dans un gymnase et il soulève une haltère.")</f>
        <v>Un lanceur de poids est dans un gymnase et il soulève une haltère.</v>
      </c>
    </row>
    <row r="5553">
      <c r="A5553" s="4" t="s">
        <v>6978</v>
      </c>
      <c r="B5553" s="4" t="s">
        <v>6980</v>
      </c>
      <c r="C5553" s="5" t="str">
        <f>IFERROR(__xludf.DUMMYFUNCTION("GOOGLETRANSLATE(B5553,""en"",""fr"")"),"Il le soulève au-dessus de sa tête, puis le laisse tomber au sol avant de s'éloigner.")</f>
        <v>Il le soulève au-dessus de sa tête, puis le laisse tomber au sol avant de s'éloigner.</v>
      </c>
    </row>
    <row r="5554">
      <c r="A5554" s="4" t="s">
        <v>6981</v>
      </c>
      <c r="B5554" s="4" t="s">
        <v>6982</v>
      </c>
      <c r="C5554" s="5" t="str">
        <f>IFERROR(__xludf.DUMMYFUNCTION("GOOGLETRANSLATE(B5554,""en"",""fr"")"),"Un gros plan de plusieurs voitures est visible qui mène à une personne qui nettoie les voitures.")</f>
        <v>Un gros plan de plusieurs voitures est visible qui mène à une personne qui nettoie les voitures.</v>
      </c>
    </row>
    <row r="5555">
      <c r="A5555" s="4" t="s">
        <v>6981</v>
      </c>
      <c r="B5555" s="4" t="s">
        <v>6983</v>
      </c>
      <c r="C5555" s="5" t="str">
        <f>IFERROR(__xludf.DUMMYFUNCTION("GOOGLETRANSLATE(B5555,""en"",""fr"")"),"La personne essuie à l'avant des voitures avec un chiffon incluant le long des pneus.")</f>
        <v>La personne essuie à l'avant des voitures avec un chiffon incluant le long des pneus.</v>
      </c>
    </row>
    <row r="5556">
      <c r="A5556" s="4" t="s">
        <v>6981</v>
      </c>
      <c r="B5556" s="4" t="s">
        <v>6984</v>
      </c>
      <c r="C5556" s="5" t="str">
        <f>IFERROR(__xludf.DUMMYFUNCTION("GOOGLETRANSLATE(B5556,""en"",""fr"")"),"Les voitures sont représentées par la suite et représentées toutes nettoyées.")</f>
        <v>Les voitures sont représentées par la suite et représentées toutes nettoyées.</v>
      </c>
    </row>
    <row r="5557">
      <c r="A5557" s="4" t="s">
        <v>6985</v>
      </c>
      <c r="B5557" s="4" t="s">
        <v>6986</v>
      </c>
      <c r="C5557" s="5" t="str">
        <f>IFERROR(__xludf.DUMMYFUNCTION("GOOGLETRANSLATE(B5557,""en"",""fr"")"),"Une fanfare défilée dans la rue.")</f>
        <v>Une fanfare défilée dans la rue.</v>
      </c>
    </row>
    <row r="5558">
      <c r="A5558" s="4" t="s">
        <v>6985</v>
      </c>
      <c r="B5558" s="4" t="s">
        <v>6987</v>
      </c>
      <c r="C5558" s="5" t="str">
        <f>IFERROR(__xludf.DUMMYFUNCTION("GOOGLETRANSLATE(B5558,""en"",""fr"")"),"Les gens des deux côtés de la rue regardent le défilé et applaudissent.")</f>
        <v>Les gens des deux côtés de la rue regardent le défilé et applaudissent.</v>
      </c>
    </row>
    <row r="5559">
      <c r="A5559" s="4" t="s">
        <v>6988</v>
      </c>
      <c r="B5559" s="4" t="s">
        <v>6989</v>
      </c>
      <c r="C5559" s="5" t="str">
        <f>IFERROR(__xludf.DUMMYFUNCTION("GOOGLETRANSLATE(B5559,""en"",""fr"")"),"Une personne est vue en plaçant des boules de pâte sur une casserole, puis en les plaçant dans un four.")</f>
        <v>Une personne est vue en plaçant des boules de pâte sur une casserole, puis en les plaçant dans un four.</v>
      </c>
    </row>
    <row r="5560">
      <c r="A5560" s="4" t="s">
        <v>6988</v>
      </c>
      <c r="B5560" s="4" t="s">
        <v>6990</v>
      </c>
      <c r="C5560" s="5" t="str">
        <f>IFERROR(__xludf.DUMMYFUNCTION("GOOGLETRANSLATE(B5560,""en"",""fr"")"),"Elle les sort ensuite du four et met les biscuits sur une assiette.")</f>
        <v>Elle les sort ensuite du four et met les biscuits sur une assiette.</v>
      </c>
    </row>
    <row r="5561">
      <c r="A5561" s="4" t="s">
        <v>6991</v>
      </c>
      <c r="B5561" s="4" t="s">
        <v>6992</v>
      </c>
      <c r="C5561" s="5" t="str">
        <f>IFERROR(__xludf.DUMMYFUNCTION("GOOGLETRANSLATE(B5561,""en"",""fr"")"),"Un jeune enfant est vu en fermant une chemise sur une table et en regardant dans la caméra.")</f>
        <v>Un jeune enfant est vu en fermant une chemise sur une table et en regardant dans la caméra.</v>
      </c>
    </row>
    <row r="5562">
      <c r="A5562" s="4" t="s">
        <v>6991</v>
      </c>
      <c r="B5562" s="4" t="s">
        <v>6993</v>
      </c>
      <c r="C5562" s="5" t="str">
        <f>IFERROR(__xludf.DUMMYFUNCTION("GOOGLETRANSLATE(B5562,""en"",""fr"")"),"Le garçon continue de faire semblant de repasser la chemise et finit par mettre une robe sur la table en fer.")</f>
        <v>Le garçon continue de faire semblant de repasser la chemise et finit par mettre une robe sur la table en fer.</v>
      </c>
    </row>
    <row r="5563">
      <c r="A5563" s="4" t="s">
        <v>6991</v>
      </c>
      <c r="B5563" s="4" t="s">
        <v>6994</v>
      </c>
      <c r="C5563" s="5" t="str">
        <f>IFERROR(__xludf.DUMMYFUNCTION("GOOGLETRANSLATE(B5563,""en"",""fr"")"),"Il fout la robe et le balance.")</f>
        <v>Il fout la robe et le balance.</v>
      </c>
    </row>
    <row r="5564">
      <c r="A5564" s="4" t="s">
        <v>6995</v>
      </c>
      <c r="B5564" s="4" t="s">
        <v>6996</v>
      </c>
      <c r="C5564" s="5" t="str">
        <f>IFERROR(__xludf.DUMMYFUNCTION("GOOGLETRANSLATE(B5564,""en"",""fr"")"),"Un homme marche avec un souffleur de feuilles.")</f>
        <v>Un homme marche avec un souffleur de feuilles.</v>
      </c>
    </row>
    <row r="5565">
      <c r="A5565" s="4" t="s">
        <v>6995</v>
      </c>
      <c r="B5565" s="4" t="s">
        <v>6997</v>
      </c>
      <c r="C5565" s="5" t="str">
        <f>IFERROR(__xludf.DUMMYFUNCTION("GOOGLETRANSLATE(B5565,""en"",""fr"")"),"Il souffle de feuilles sur le sol.")</f>
        <v>Il souffle de feuilles sur le sol.</v>
      </c>
    </row>
    <row r="5566">
      <c r="A5566" s="4" t="s">
        <v>6995</v>
      </c>
      <c r="B5566" s="4" t="s">
        <v>6998</v>
      </c>
      <c r="C5566" s="5" t="str">
        <f>IFERROR(__xludf.DUMMYFUNCTION("GOOGLETRANSLATE(B5566,""en"",""fr"")"),"Les feuilles se déplacent contre l'asphalte.")</f>
        <v>Les feuilles se déplacent contre l'asphalte.</v>
      </c>
    </row>
    <row r="5567">
      <c r="A5567" s="4" t="s">
        <v>6995</v>
      </c>
      <c r="B5567" s="4" t="s">
        <v>6999</v>
      </c>
      <c r="C5567" s="5" t="str">
        <f>IFERROR(__xludf.DUMMYFUNCTION("GOOGLETRANSLATE(B5567,""en"",""fr"")"),"L'homme souffle un autre homme avec le ventilateur.")</f>
        <v>L'homme souffle un autre homme avec le ventilateur.</v>
      </c>
    </row>
    <row r="5568">
      <c r="A5568" s="4" t="s">
        <v>7000</v>
      </c>
      <c r="B5568" s="6" t="s">
        <v>7001</v>
      </c>
      <c r="C5568" s="5" t="str">
        <f>IFERROR(__xludf.DUMMYFUNCTION("GOOGLETRANSLATE(B5568,""en"",""fr"")"),"Un homme est vu debout derrière un comptoir parlant à la caméra et en tenant des produits de nettoyage.")</f>
        <v>Un homme est vu debout derrière un comptoir parlant à la caméra et en tenant des produits de nettoyage.</v>
      </c>
    </row>
    <row r="5569">
      <c r="A5569" s="4" t="s">
        <v>7000</v>
      </c>
      <c r="B5569" s="4" t="s">
        <v>7002</v>
      </c>
      <c r="C5569" s="5" t="str">
        <f>IFERROR(__xludf.DUMMYFUNCTION("GOOGLETRANSLATE(B5569,""en"",""fr"")"),"Il met les produits dans un évier et commence à frotter sur les côtés.")</f>
        <v>Il met les produits dans un évier et commence à frotter sur les côtés.</v>
      </c>
    </row>
    <row r="5570">
      <c r="A5570" s="4" t="s">
        <v>7000</v>
      </c>
      <c r="B5570" s="4" t="s">
        <v>7003</v>
      </c>
      <c r="C5570" s="5" t="str">
        <f>IFERROR(__xludf.DUMMYFUNCTION("GOOGLETRANSLATE(B5570,""en"",""fr"")"),"Il essuie le comptoir et montre l'évier fini.")</f>
        <v>Il essuie le comptoir et montre l'évier fini.</v>
      </c>
    </row>
    <row r="5571">
      <c r="A5571" s="4" t="s">
        <v>7004</v>
      </c>
      <c r="B5571" s="4" t="s">
        <v>7005</v>
      </c>
      <c r="C5571" s="5" t="str">
        <f>IFERROR(__xludf.DUMMYFUNCTION("GOOGLETRANSLATE(B5571,""en"",""fr"")"),"Un homme jetant le frisbee à son chien et le chien attrape.")</f>
        <v>Un homme jetant le frisbee à son chien et le chien attrape.</v>
      </c>
    </row>
    <row r="5572">
      <c r="A5572" s="4" t="s">
        <v>7004</v>
      </c>
      <c r="B5572" s="4" t="s">
        <v>7006</v>
      </c>
      <c r="C5572" s="5" t="str">
        <f>IFERROR(__xludf.DUMMYFUNCTION("GOOGLETRANSLATE(B5572,""en"",""fr"")"),"Un propriétaire fait une main, je lance le frisbee à son chien, qui est capable de rattraper.")</f>
        <v>Un propriétaire fait une main, je lance le frisbee à son chien, qui est capable de rattraper.</v>
      </c>
    </row>
    <row r="5573">
      <c r="A5573" s="4" t="s">
        <v>7004</v>
      </c>
      <c r="B5573" s="4" t="s">
        <v>7007</v>
      </c>
      <c r="C5573" s="5" t="str">
        <f>IFERROR(__xludf.DUMMYFUNCTION("GOOGLETRANSLATE(B5573,""en"",""fr"")"),"De nombreux propriétaires et chiens lançant et attrapant des frisbees et faisant des tours en le faisant.")</f>
        <v>De nombreux propriétaires et chiens lançant et attrapant des frisbees et faisant des tours en le faisant.</v>
      </c>
    </row>
    <row r="5574">
      <c r="A5574" s="4" t="s">
        <v>7004</v>
      </c>
      <c r="B5574" s="4" t="s">
        <v>7008</v>
      </c>
      <c r="C5574" s="5" t="str">
        <f>IFERROR(__xludf.DUMMYFUNCTION("GOOGLETRANSLATE(B5574,""en"",""fr"")"),"Une femme ouvre les bras et ses chiens s'y sautent, elle attrape le chien.")</f>
        <v>Une femme ouvre les bras et ses chiens s'y sautent, elle attrape le chien.</v>
      </c>
    </row>
    <row r="5575">
      <c r="A5575" s="4" t="s">
        <v>7009</v>
      </c>
      <c r="B5575" s="4" t="s">
        <v>1251</v>
      </c>
      <c r="C5575" s="5" t="str">
        <f>IFERROR(__xludf.DUMMYFUNCTION("GOOGLETRANSLATE(B5575,""en"",""fr"")"),"Les crédits du clip sont affichés.")</f>
        <v>Les crédits du clip sont affichés.</v>
      </c>
    </row>
    <row r="5576">
      <c r="A5576" s="4" t="s">
        <v>7009</v>
      </c>
      <c r="B5576" s="4" t="s">
        <v>7010</v>
      </c>
      <c r="C5576" s="5" t="str">
        <f>IFERROR(__xludf.DUMMYFUNCTION("GOOGLETRANSLATE(B5576,""en"",""fr"")"),"Un gars tient un bâton de crosse et instruit.")</f>
        <v>Un gars tient un bâton de crosse et instruit.</v>
      </c>
    </row>
    <row r="5577">
      <c r="A5577" s="4" t="s">
        <v>7009</v>
      </c>
      <c r="B5577" s="4" t="s">
        <v>7011</v>
      </c>
      <c r="C5577" s="5" t="str">
        <f>IFERROR(__xludf.DUMMYFUNCTION("GOOGLETRANSLATE(B5577,""en"",""fr"")"),"Un gars déplace une balle avec le bâton de crosse.")</f>
        <v>Un gars déplace une balle avec le bâton de crosse.</v>
      </c>
    </row>
    <row r="5578">
      <c r="A5578" s="4" t="s">
        <v>7009</v>
      </c>
      <c r="B5578" s="4" t="s">
        <v>7012</v>
      </c>
      <c r="C5578" s="5" t="str">
        <f>IFERROR(__xludf.DUMMYFUNCTION("GOOGLETRANSLATE(B5578,""en"",""fr"")"),"Un gars jette une balle dans un but.")</f>
        <v>Un gars jette une balle dans un but.</v>
      </c>
    </row>
    <row r="5579">
      <c r="A5579" s="4" t="s">
        <v>7013</v>
      </c>
      <c r="B5579" s="4" t="s">
        <v>7014</v>
      </c>
      <c r="C5579" s="5" t="str">
        <f>IFERROR(__xludf.DUMMYFUNCTION("GOOGLETRANSLATE(B5579,""en"",""fr"")"),"Une personne fait du vélo sur le chemin de terre.")</f>
        <v>Une personne fait du vélo sur le chemin de terre.</v>
      </c>
    </row>
    <row r="5580">
      <c r="A5580" s="4" t="s">
        <v>7013</v>
      </c>
      <c r="B5580" s="4" t="s">
        <v>7015</v>
      </c>
      <c r="C5580" s="5" t="str">
        <f>IFERROR(__xludf.DUMMYFUNCTION("GOOGLETRANSLATE(B5580,""en"",""fr"")"),"Le motard a sauté dans des rampes hautes.")</f>
        <v>Le motard a sauté dans des rampes hautes.</v>
      </c>
    </row>
    <row r="5581">
      <c r="A5581" s="4" t="s">
        <v>7013</v>
      </c>
      <c r="B5581" s="4" t="s">
        <v>7016</v>
      </c>
      <c r="C5581" s="5" t="str">
        <f>IFERROR(__xludf.DUMMYFUNCTION("GOOGLETRANSLATE(B5581,""en"",""fr"")"),"Le motard a conduit sur le chemin de la courbe, puis sur la rampe haute.")</f>
        <v>Le motard a conduit sur le chemin de la courbe, puis sur la rampe haute.</v>
      </c>
    </row>
    <row r="5582">
      <c r="A5582" s="4" t="s">
        <v>7017</v>
      </c>
      <c r="B5582" s="6" t="s">
        <v>7018</v>
      </c>
      <c r="C5582" s="5" t="str">
        <f>IFERROR(__xludf.DUMMYFUNCTION("GOOGLETRANSLATE(B5582,""en"",""fr"")"),"Il y a deux équipes représentées par la couleur verte et couleur blanc jouant de la crosse l'une contre l'autre dans un champ extérieur.")</f>
        <v>Il y a deux équipes représentées par la couleur verte et couleur blanc jouant de la crosse l'une contre l'autre dans un champ extérieur.</v>
      </c>
    </row>
    <row r="5583">
      <c r="A5583" s="4" t="s">
        <v>7017</v>
      </c>
      <c r="B5583" s="6" t="s">
        <v>7019</v>
      </c>
      <c r="C5583" s="5" t="str">
        <f>IFERROR(__xludf.DUMMYFUNCTION("GOOGLETRANSLATE(B5583,""en"",""fr"")"),"Le joueur de l'équipe verte commence à courir avec son bâton aux côtés de son adversaire pour aller vers le ballon.")</f>
        <v>Le joueur de l'équipe verte commence à courir avec son bâton aux côtés de son adversaire pour aller vers le ballon.</v>
      </c>
    </row>
    <row r="5584">
      <c r="A5584" s="4" t="s">
        <v>7017</v>
      </c>
      <c r="B5584" s="4" t="s">
        <v>7020</v>
      </c>
      <c r="C5584" s="5" t="str">
        <f>IFERROR(__xludf.DUMMYFUNCTION("GOOGLETRANSLATE(B5584,""en"",""fr"")"),"Les deux équipes s'affrontent alors qu'ils se précipitaient pour frapper le ballon dans le but.")</f>
        <v>Les deux équipes s'affrontent alors qu'ils se précipitaient pour frapper le ballon dans le but.</v>
      </c>
    </row>
    <row r="5585">
      <c r="A5585" s="4" t="s">
        <v>7017</v>
      </c>
      <c r="B5585" s="4" t="s">
        <v>7021</v>
      </c>
      <c r="C5585" s="5" t="str">
        <f>IFERROR(__xludf.DUMMYFUNCTION("GOOGLETRANSLATE(B5585,""en"",""fr"")"),"Les joueurs de l'équipe verte courent rapidement pour empêcher l'équipe blanche d'obtenir le ballon.")</f>
        <v>Les joueurs de l'équipe verte courent rapidement pour empêcher l'équipe blanche d'obtenir le ballon.</v>
      </c>
    </row>
    <row r="5586">
      <c r="A5586" s="4" t="s">
        <v>7017</v>
      </c>
      <c r="B5586" s="6" t="s">
        <v>7022</v>
      </c>
      <c r="C5586" s="5" t="str">
        <f>IFERROR(__xludf.DUMMYFUNCTION("GOOGLETRANSLATE(B5586,""en"",""fr"")"),"Les joueurs de l'équipe blanche essaient de suivre leurs adversaires et de se concentrer sur la frappe du ballon dans le but.")</f>
        <v>Les joueurs de l'équipe blanche essaient de suivre leurs adversaires et de se concentrer sur la frappe du ballon dans le but.</v>
      </c>
    </row>
    <row r="5587">
      <c r="A5587" s="4" t="s">
        <v>7017</v>
      </c>
      <c r="B5587" s="6" t="s">
        <v>7023</v>
      </c>
      <c r="C5587" s="5" t="str">
        <f>IFERROR(__xludf.DUMMYFUNCTION("GOOGLETRANSLATE(B5587,""en"",""fr"")"),"Deux joueurs des deux équipes se présentent l'un vers l'autre et se battent pour le ballon, faisant tomber l'un des joueurs de l'équipe verte.")</f>
        <v>Deux joueurs des deux équipes se présentent l'un vers l'autre et se battent pour le ballon, faisant tomber l'un des joueurs de l'équipe verte.</v>
      </c>
    </row>
    <row r="5588">
      <c r="A5588" s="4" t="s">
        <v>7017</v>
      </c>
      <c r="B5588" s="4" t="s">
        <v>7024</v>
      </c>
      <c r="C5588" s="5" t="str">
        <f>IFERROR(__xludf.DUMMYFUNCTION("GOOGLETRANSLATE(B5588,""en"",""fr"")"),"Ils prennent une pause avant de pouvoir redémarrer le jeu alors qu'ils marchent vers le côté du terrain.")</f>
        <v>Ils prennent une pause avant de pouvoir redémarrer le jeu alors qu'ils marchent vers le côté du terrain.</v>
      </c>
    </row>
    <row r="5589">
      <c r="A5589" s="4" t="s">
        <v>7025</v>
      </c>
      <c r="B5589" s="6" t="s">
        <v>7026</v>
      </c>
      <c r="C5589" s="5" t="str">
        <f>IFERROR(__xludf.DUMMYFUNCTION("GOOGLETRANSLATE(B5589,""en"",""fr"")"),"Un concessionnaire dans une table de casino traite plusieurs clients alors qu'il y a un flux constant d'activité en arrière-plan.")</f>
        <v>Un concessionnaire dans une table de casino traite plusieurs clients alors qu'il y a un flux constant d'activité en arrière-plan.</v>
      </c>
    </row>
    <row r="5590">
      <c r="A5590" s="4" t="s">
        <v>7025</v>
      </c>
      <c r="B5590" s="4" t="s">
        <v>7027</v>
      </c>
      <c r="C5590" s="5" t="str">
        <f>IFERROR(__xludf.DUMMYFUNCTION("GOOGLETRANSLATE(B5590,""en"",""fr"")"),"L'un des joueurs commence à rire.")</f>
        <v>L'un des joueurs commence à rire.</v>
      </c>
    </row>
    <row r="5591">
      <c r="A5591" s="4" t="s">
        <v>7028</v>
      </c>
      <c r="B5591" s="4" t="s">
        <v>7029</v>
      </c>
      <c r="C5591" s="5" t="str">
        <f>IFERROR(__xludf.DUMMYFUNCTION("GOOGLETRANSLATE(B5591,""en"",""fr"")"),"Nous voyons des cartes assises sur la table avec des jetons.")</f>
        <v>Nous voyons des cartes assises sur la table avec des jetons.</v>
      </c>
    </row>
    <row r="5592">
      <c r="A5592" s="4" t="s">
        <v>7028</v>
      </c>
      <c r="B5592" s="4" t="s">
        <v>7030</v>
      </c>
      <c r="C5592" s="5" t="str">
        <f>IFERROR(__xludf.DUMMYFUNCTION("GOOGLETRANSLATE(B5592,""en"",""fr"")"),"Le concessionnaire traite plus de cartes.")</f>
        <v>Le concessionnaire traite plus de cartes.</v>
      </c>
    </row>
    <row r="5593">
      <c r="A5593" s="4" t="s">
        <v>7028</v>
      </c>
      <c r="B5593" s="4" t="s">
        <v>7031</v>
      </c>
      <c r="C5593" s="5" t="str">
        <f>IFERROR(__xludf.DUMMYFUNCTION("GOOGLETRANSLATE(B5593,""en"",""fr"")"),"Le concessionnaire pointe à deux cartes.")</f>
        <v>Le concessionnaire pointe à deux cartes.</v>
      </c>
    </row>
    <row r="5594">
      <c r="A5594" s="4" t="s">
        <v>7028</v>
      </c>
      <c r="B5594" s="4" t="s">
        <v>7032</v>
      </c>
      <c r="C5594" s="5" t="str">
        <f>IFERROR(__xludf.DUMMYFUNCTION("GOOGLETRANSLATE(B5594,""en"",""fr"")"),"Le concessionnaire retourne une carte et prend les jetons de l'homme.")</f>
        <v>Le concessionnaire retourne une carte et prend les jetons de l'homme.</v>
      </c>
    </row>
    <row r="5595">
      <c r="A5595" s="4" t="s">
        <v>7033</v>
      </c>
      <c r="B5595" s="4" t="s">
        <v>7034</v>
      </c>
      <c r="C5595" s="5" t="str">
        <f>IFERROR(__xludf.DUMMYFUNCTION("GOOGLETRANSLATE(B5595,""en"",""fr"")"),"Une publicité affiche la présentation de deux danseurs.")</f>
        <v>Une publicité affiche la présentation de deux danseurs.</v>
      </c>
    </row>
    <row r="5596">
      <c r="A5596" s="4" t="s">
        <v>7033</v>
      </c>
      <c r="B5596" s="4" t="s">
        <v>7035</v>
      </c>
      <c r="C5596" s="5" t="str">
        <f>IFERROR(__xludf.DUMMYFUNCTION("GOOGLETRANSLATE(B5596,""en"",""fr"")"),"Le couple danse se tenant la main se retournant les deux.")</f>
        <v>Le couple danse se tenant la main se retournant les deux.</v>
      </c>
    </row>
    <row r="5597">
      <c r="A5597" s="4" t="s">
        <v>7033</v>
      </c>
      <c r="B5597" s="4" t="s">
        <v>7036</v>
      </c>
      <c r="C5597" s="5" t="str">
        <f>IFERROR(__xludf.DUMMYFUNCTION("GOOGLETRANSLATE(B5597,""en"",""fr"")"),"La femme se retourne en tenant la main de l'homme.")</f>
        <v>La femme se retourne en tenant la main de l'homme.</v>
      </c>
    </row>
    <row r="5598">
      <c r="A5598" s="4" t="s">
        <v>7037</v>
      </c>
      <c r="B5598" s="4" t="s">
        <v>7038</v>
      </c>
      <c r="C5598" s="5" t="str">
        <f>IFERROR(__xludf.DUMMYFUNCTION("GOOGLETRANSLATE(B5598,""en"",""fr"")"),"Les femmes marchent sur un bord de lac et mettent leurs chaussures et leur harnais.")</f>
        <v>Les femmes marchent sur un bord de lac et mettent leurs chaussures et leur harnais.</v>
      </c>
    </row>
    <row r="5599">
      <c r="A5599" s="4" t="s">
        <v>7037</v>
      </c>
      <c r="B5599" s="4" t="s">
        <v>7039</v>
      </c>
      <c r="C5599" s="5" t="str">
        <f>IFERROR(__xludf.DUMMYFUNCTION("GOOGLETRANSLATE(B5599,""en"",""fr"")"),"Les femmes grimpent une paroi rocheuse attachée à un harnais.")</f>
        <v>Les femmes grimpent une paroi rocheuse attachée à un harnais.</v>
      </c>
    </row>
    <row r="5600">
      <c r="A5600" s="4" t="s">
        <v>7037</v>
      </c>
      <c r="B5600" s="4" t="s">
        <v>7040</v>
      </c>
      <c r="C5600" s="5" t="str">
        <f>IFERROR(__xludf.DUMMYFUNCTION("GOOGLETRANSLATE(B5600,""en"",""fr"")"),"La femme descend et quand est dans le sol serrer la main avec une autre femme.")</f>
        <v>La femme descend et quand est dans le sol serrer la main avec une autre femme.</v>
      </c>
    </row>
    <row r="5601">
      <c r="A5601" s="4" t="s">
        <v>7041</v>
      </c>
      <c r="B5601" s="4" t="s">
        <v>7042</v>
      </c>
      <c r="C5601" s="5" t="str">
        <f>IFERROR(__xludf.DUMMYFUNCTION("GOOGLETRANSLATE(B5601,""en"",""fr"")"),"Une femme se tient derrière un comptoir tenant un verre martini.")</f>
        <v>Une femme se tient derrière un comptoir tenant un verre martini.</v>
      </c>
    </row>
    <row r="5602">
      <c r="A5602" s="4" t="s">
        <v>7041</v>
      </c>
      <c r="B5602" s="4" t="s">
        <v>7043</v>
      </c>
      <c r="C5602" s="5" t="str">
        <f>IFERROR(__xludf.DUMMYFUNCTION("GOOGLETRANSLATE(B5602,""en"",""fr"")"),"Elle jette de la glace dans le verre.")</f>
        <v>Elle jette de la glace dans le verre.</v>
      </c>
    </row>
    <row r="5603">
      <c r="A5603" s="4" t="s">
        <v>7041</v>
      </c>
      <c r="B5603" s="4" t="s">
        <v>7044</v>
      </c>
      <c r="C5603" s="5" t="str">
        <f>IFERROR(__xludf.DUMMYFUNCTION("GOOGLETRANSLATE(B5603,""en"",""fr"")"),"Elle met de la glace dans un autre verre et ajoute des coups d'alcool.")</f>
        <v>Elle met de la glace dans un autre verre et ajoute des coups d'alcool.</v>
      </c>
    </row>
    <row r="5604">
      <c r="A5604" s="4" t="s">
        <v>7041</v>
      </c>
      <c r="B5604" s="4" t="s">
        <v>7045</v>
      </c>
      <c r="C5604" s="5" t="str">
        <f>IFERROR(__xludf.DUMMYFUNCTION("GOOGLETRANSLATE(B5604,""en"",""fr"")"),"Elle secoue la boisson dans un shaker noir.")</f>
        <v>Elle secoue la boisson dans un shaker noir.</v>
      </c>
    </row>
    <row r="5605">
      <c r="A5605" s="4" t="s">
        <v>7041</v>
      </c>
      <c r="B5605" s="4" t="s">
        <v>7046</v>
      </c>
      <c r="C5605" s="5" t="str">
        <f>IFERROR(__xludf.DUMMYFUNCTION("GOOGLETRANSLATE(B5605,""en"",""fr"")"),"Elle verse la glace d'un verre martini.")</f>
        <v>Elle verse la glace d'un verre martini.</v>
      </c>
    </row>
    <row r="5606">
      <c r="A5606" s="4" t="s">
        <v>7041</v>
      </c>
      <c r="B5606" s="4" t="s">
        <v>7047</v>
      </c>
      <c r="C5606" s="5" t="str">
        <f>IFERROR(__xludf.DUMMYFUNCTION("GOOGLETRANSLATE(B5606,""en"",""fr"")"),"Elle verse la boisson dans le verre Martini.")</f>
        <v>Elle verse la boisson dans le verre Martini.</v>
      </c>
    </row>
    <row r="5607">
      <c r="A5607" s="4" t="s">
        <v>7041</v>
      </c>
      <c r="B5607" s="4" t="s">
        <v>7048</v>
      </c>
      <c r="C5607" s="5" t="str">
        <f>IFERROR(__xludf.DUMMYFUNCTION("GOOGLETRANSLATE(B5607,""en"",""fr"")"),"Elle tient le verre martini dans sa main.")</f>
        <v>Elle tient le verre martini dans sa main.</v>
      </c>
    </row>
    <row r="5608">
      <c r="A5608" s="4" t="s">
        <v>7049</v>
      </c>
      <c r="B5608" s="6" t="s">
        <v>7050</v>
      </c>
      <c r="C5608" s="5" t="str">
        <f>IFERROR(__xludf.DUMMYFUNCTION("GOOGLETRANSLATE(B5608,""en"",""fr"")"),"Deux lutteurs de sumo sont vus des combats qui mènent des gens qui entrent et d'autres dansant ensemble.")</f>
        <v>Deux lutteurs de sumo sont vus des combats qui mènent des gens qui entrent et d'autres dansant ensemble.</v>
      </c>
    </row>
    <row r="5609">
      <c r="A5609" s="4" t="s">
        <v>7049</v>
      </c>
      <c r="B5609" s="6" t="s">
        <v>7051</v>
      </c>
      <c r="C5609" s="5" t="str">
        <f>IFERROR(__xludf.DUMMYFUNCTION("GOOGLETRANSLATE(B5609,""en"",""fr"")"),"De plus en plus de lutteurs se penchent les uns vers les autres et commencent à lutter pendant que les gens se produisent sur le côté.")</f>
        <v>De plus en plus de lutteurs se penchent les uns vers les autres et commencent à lutter pendant que les gens se produisent sur le côté.</v>
      </c>
    </row>
    <row r="5610">
      <c r="A5610" s="4" t="s">
        <v>7049</v>
      </c>
      <c r="B5610" s="4" t="s">
        <v>7052</v>
      </c>
      <c r="C5610" s="5" t="str">
        <f>IFERROR(__xludf.DUMMYFUNCTION("GOOGLETRANSLATE(B5610,""en"",""fr"")"),"Plus de gens sont entrés et continuent de lutter sur la fosse.")</f>
        <v>Plus de gens sont entrés et continuent de lutter sur la fosse.</v>
      </c>
    </row>
    <row r="5611">
      <c r="A5611" s="4" t="s">
        <v>7053</v>
      </c>
      <c r="B5611" s="4" t="s">
        <v>7054</v>
      </c>
      <c r="C5611" s="5" t="str">
        <f>IFERROR(__xludf.DUMMYFUNCTION("GOOGLETRANSLATE(B5611,""en"",""fr"")"),"Un homme est vu assis sur un équipement d'exercice en reculer et quatrième.")</f>
        <v>Un homme est vu assis sur un équipement d'exercice en reculer et quatrième.</v>
      </c>
    </row>
    <row r="5612">
      <c r="A5612" s="4" t="s">
        <v>7053</v>
      </c>
      <c r="B5612" s="4" t="s">
        <v>7055</v>
      </c>
      <c r="C5612" s="5" t="str">
        <f>IFERROR(__xludf.DUMMYFUNCTION("GOOGLETRANSLATE(B5612,""en"",""fr"")"),"L'homme continue de se déplacer à différentes vitesses et de reculer.")</f>
        <v>L'homme continue de se déplacer à différentes vitesses et de reculer.</v>
      </c>
    </row>
    <row r="5613">
      <c r="A5613" s="4" t="s">
        <v>7056</v>
      </c>
      <c r="B5613" s="6" t="s">
        <v>7057</v>
      </c>
      <c r="C5613" s="5" t="str">
        <f>IFERROR(__xludf.DUMMYFUNCTION("GOOGLETRANSLATE(B5613,""en"",""fr"")"),"Un groupe de personnes se tient au milieu d'une forêt avec une trace de cailloux les séparant d'un beau plan d'eau cristallin.")</f>
        <v>Un groupe de personnes se tient au milieu d'une forêt avec une trace de cailloux les séparant d'un beau plan d'eau cristallin.</v>
      </c>
    </row>
    <row r="5614">
      <c r="A5614" s="4" t="s">
        <v>7056</v>
      </c>
      <c r="B5614" s="6" t="s">
        <v>7058</v>
      </c>
      <c r="C5614" s="5" t="str">
        <f>IFERROR(__xludf.DUMMYFUNCTION("GOOGLETRANSLATE(B5614,""en"",""fr"")"),"La caméra se déplace à travers l'eau et plusieurs personnes sur les bateaux et les jet-skis se déplacent dans l'eau près d'une grande vague.")</f>
        <v>La caméra se déplace à travers l'eau et plusieurs personnes sur les bateaux et les jet-skis se déplacent dans l'eau près d'une grande vague.</v>
      </c>
    </row>
    <row r="5615">
      <c r="A5615" s="4" t="s">
        <v>7056</v>
      </c>
      <c r="B5615" s="4" t="s">
        <v>7059</v>
      </c>
      <c r="C5615" s="5" t="str">
        <f>IFERROR(__xludf.DUMMYFUNCTION("GOOGLETRANSLATE(B5615,""en"",""fr"")"),"Plus de grosses vagues commencent à faire surface et un homme commence à surfer sur les vagues.")</f>
        <v>Plus de grosses vagues commencent à faire surface et un homme commence à surfer sur les vagues.</v>
      </c>
    </row>
    <row r="5616">
      <c r="A5616" s="4" t="s">
        <v>7056</v>
      </c>
      <c r="B5616" s="6" t="s">
        <v>7060</v>
      </c>
      <c r="C5616" s="5" t="str">
        <f>IFERROR(__xludf.DUMMYFUNCTION("GOOGLETRANSLATE(B5616,""en"",""fr"")"),"La forêt est ensuite montrée et des planches de surf apparaissent qui sont lavées contre les rives de l'eau.")</f>
        <v>La forêt est ensuite montrée et des planches de surf apparaissent qui sont lavées contre les rives de l'eau.</v>
      </c>
    </row>
    <row r="5617">
      <c r="A5617" s="4" t="s">
        <v>7061</v>
      </c>
      <c r="B5617" s="4" t="s">
        <v>7062</v>
      </c>
      <c r="C5617" s="5" t="str">
        <f>IFERROR(__xludf.DUMMYFUNCTION("GOOGLETRANSLATE(B5617,""en"",""fr"")"),"Une voiture roule sur l'autoroute à une vitesse rapide, il prend une sortie pour se garer.")</f>
        <v>Une voiture roule sur l'autoroute à une vitesse rapide, il prend une sortie pour se garer.</v>
      </c>
    </row>
    <row r="5618">
      <c r="A5618" s="4" t="s">
        <v>7061</v>
      </c>
      <c r="B5618" s="4" t="s">
        <v>7063</v>
      </c>
      <c r="C5618" s="5" t="str">
        <f>IFERROR(__xludf.DUMMYFUNCTION("GOOGLETRANSLATE(B5618,""en"",""fr"")"),"Ensuite, ils sont au gymnase et c'est une classe pleine de gens qui sautent une corde.")</f>
        <v>Ensuite, ils sont au gymnase et c'est une classe pleine de gens qui sautent une corde.</v>
      </c>
    </row>
    <row r="5619">
      <c r="A5619" s="4" t="s">
        <v>7061</v>
      </c>
      <c r="B5619" s="6" t="s">
        <v>7064</v>
      </c>
      <c r="C5619" s="5" t="str">
        <f>IFERROR(__xludf.DUMMYFUNCTION("GOOGLETRANSLATE(B5619,""en"",""fr"")"),"Entraîneuse et un enfant sauter une corde en tête, elle fait de l'instruire d'autres élèves dans la classe.")</f>
        <v>Entraîneuse et un enfant sauter une corde en tête, elle fait de l'instruire d'autres élèves dans la classe.</v>
      </c>
    </row>
    <row r="5620">
      <c r="A5620" s="4" t="s">
        <v>7061</v>
      </c>
      <c r="B5620" s="4" t="s">
        <v>7065</v>
      </c>
      <c r="C5620" s="5" t="str">
        <f>IFERROR(__xludf.DUMMYFUNCTION("GOOGLETRANSLATE(B5620,""en"",""fr"")"),"La classe se termine par des photos de l'entraîneur et de ses élèves.")</f>
        <v>La classe se termine par des photos de l'entraîneur et de ses élèves.</v>
      </c>
    </row>
    <row r="5621">
      <c r="A5621" s="4" t="s">
        <v>7066</v>
      </c>
      <c r="B5621" s="4" t="s">
        <v>7067</v>
      </c>
      <c r="C5621" s="5" t="str">
        <f>IFERROR(__xludf.DUMMYFUNCTION("GOOGLETRANSLATE(B5621,""en"",""fr"")"),"Un homme conduit une tondeuse à pelouse sur une pelouse.")</f>
        <v>Un homme conduit une tondeuse à pelouse sur une pelouse.</v>
      </c>
    </row>
    <row r="5622">
      <c r="A5622" s="4" t="s">
        <v>7066</v>
      </c>
      <c r="B5622" s="4" t="s">
        <v>7068</v>
      </c>
      <c r="C5622" s="5" t="str">
        <f>IFERROR(__xludf.DUMMYFUNCTION("GOOGLETRANSLATE(B5622,""en"",""fr"")"),"L'homme se tourne vers sa gauche.")</f>
        <v>L'homme se tourne vers sa gauche.</v>
      </c>
    </row>
    <row r="5623">
      <c r="A5623" s="4" t="s">
        <v>7066</v>
      </c>
      <c r="B5623" s="4" t="s">
        <v>7069</v>
      </c>
      <c r="C5623" s="5" t="str">
        <f>IFERROR(__xludf.DUMMYFUNCTION("GOOGLETRANSLATE(B5623,""en"",""fr"")"),"Un wagon derrière l'homme est tiré avec des enfants en remorque.")</f>
        <v>Un wagon derrière l'homme est tiré avec des enfants en remorque.</v>
      </c>
    </row>
    <row r="5624">
      <c r="A5624" s="4" t="s">
        <v>7066</v>
      </c>
      <c r="B5624" s="4" t="s">
        <v>7070</v>
      </c>
      <c r="C5624" s="5" t="str">
        <f>IFERROR(__xludf.DUMMYFUNCTION("GOOGLETRANSLATE(B5624,""en"",""fr"")"),"L'homme fait ensuite le tour de la pelouse.")</f>
        <v>L'homme fait ensuite le tour de la pelouse.</v>
      </c>
    </row>
    <row r="5625">
      <c r="A5625" s="4" t="s">
        <v>7071</v>
      </c>
      <c r="B5625" s="4" t="s">
        <v>7072</v>
      </c>
      <c r="C5625" s="5" t="str">
        <f>IFERROR(__xludf.DUMMYFUNCTION("GOOGLETRANSLATE(B5625,""en"",""fr"")"),"Une femme et une jeune fille marchent chacune dans un chien dans une zone herbeuse.")</f>
        <v>Une femme et une jeune fille marchent chacune dans un chien dans une zone herbeuse.</v>
      </c>
    </row>
    <row r="5626">
      <c r="A5626" s="4" t="s">
        <v>7071</v>
      </c>
      <c r="B5626" s="4" t="s">
        <v>7073</v>
      </c>
      <c r="C5626" s="5" t="str">
        <f>IFERROR(__xludf.DUMMYFUNCTION("GOOGLETRANSLATE(B5626,""en"",""fr"")"),"Ils s'approchent d'une autre femme assise sur une chaise.")</f>
        <v>Ils s'approchent d'une autre femme assise sur une chaise.</v>
      </c>
    </row>
    <row r="5627">
      <c r="A5627" s="4" t="s">
        <v>7071</v>
      </c>
      <c r="B5627" s="4" t="s">
        <v>7074</v>
      </c>
      <c r="C5627" s="5" t="str">
        <f>IFERROR(__xludf.DUMMYFUNCTION("GOOGLETRANSLATE(B5627,""en"",""fr"")"),"Elle caresse l'un des chiens.")</f>
        <v>Elle caresse l'un des chiens.</v>
      </c>
    </row>
    <row r="5628">
      <c r="A5628" s="4" t="s">
        <v>7071</v>
      </c>
      <c r="B5628" s="4" t="s">
        <v>7075</v>
      </c>
      <c r="C5628" s="5" t="str">
        <f>IFERROR(__xludf.DUMMYFUNCTION("GOOGLETRANSLATE(B5628,""en"",""fr"")"),"Une autre femme est assise derrière la femme qui caresse le chien.")</f>
        <v>Une autre femme est assise derrière la femme qui caresse le chien.</v>
      </c>
    </row>
    <row r="5629">
      <c r="A5629" s="4" t="s">
        <v>7071</v>
      </c>
      <c r="B5629" s="6" t="s">
        <v>7076</v>
      </c>
      <c r="C5629" s="5" t="str">
        <f>IFERROR(__xludf.DUMMYFUNCTION("GOOGLETRANSLATE(B5629,""en"",""fr"")"),"La femme avec le chien s'approche et prend la laisse du deuxième chien de la jeune fille et s'éloigne avec les deux chiens et la jeune fille tenant toujours une partie d'une laisse.")</f>
        <v>La femme avec le chien s'approche et prend la laisse du deuxième chien de la jeune fille et s'éloigne avec les deux chiens et la jeune fille tenant toujours une partie d'une laisse.</v>
      </c>
    </row>
    <row r="5630">
      <c r="A5630" s="4" t="s">
        <v>7071</v>
      </c>
      <c r="B5630" s="4" t="s">
        <v>7077</v>
      </c>
      <c r="C5630" s="5" t="str">
        <f>IFERROR(__xludf.DUMMYFUNCTION("GOOGLETRANSLATE(B5630,""en"",""fr"")"),"Un homme se tient sur le côté en regardant.")</f>
        <v>Un homme se tient sur le côté en regardant.</v>
      </c>
    </row>
    <row r="5631">
      <c r="A5631" s="4" t="s">
        <v>7071</v>
      </c>
      <c r="B5631" s="6" t="s">
        <v>7078</v>
      </c>
      <c r="C5631" s="5" t="str">
        <f>IFERROR(__xludf.DUMMYFUNCTION("GOOGLETRANSLATE(B5631,""en"",""fr"")"),"La femme et la jeune fille, chacune avec un chien à nouveau, s'arrêtent dans la zone herbeuse, parle puis continuent de marcher.")</f>
        <v>La femme et la jeune fille, chacune avec un chien à nouveau, s'arrêtent dans la zone herbeuse, parle puis continuent de marcher.</v>
      </c>
    </row>
    <row r="5632">
      <c r="A5632" s="4" t="s">
        <v>7079</v>
      </c>
      <c r="B5632" s="4" t="s">
        <v>7080</v>
      </c>
      <c r="C5632" s="5" t="str">
        <f>IFERROR(__xludf.DUMMYFUNCTION("GOOGLETRANSLATE(B5632,""en"",""fr"")"),"Nous voyons un écran de titre sombre.")</f>
        <v>Nous voyons un écran de titre sombre.</v>
      </c>
    </row>
    <row r="5633">
      <c r="A5633" s="4" t="s">
        <v>7079</v>
      </c>
      <c r="B5633" s="4" t="s">
        <v>7081</v>
      </c>
      <c r="C5633" s="5" t="str">
        <f>IFERROR(__xludf.DUMMYFUNCTION("GOOGLETRANSLATE(B5633,""en"",""fr"")"),"Nous voyons des titres à l'écran et voyons les hommes.")</f>
        <v>Nous voyons des titres à l'écran et voyons les hommes.</v>
      </c>
    </row>
    <row r="5634">
      <c r="A5634" s="4" t="s">
        <v>7079</v>
      </c>
      <c r="B5634" s="4" t="s">
        <v>7082</v>
      </c>
      <c r="C5634" s="5" t="str">
        <f>IFERROR(__xludf.DUMMYFUNCTION("GOOGLETRANSLATE(B5634,""en"",""fr"")"),"Nous voyons deux hommes combattre le MMA dans un anneau.")</f>
        <v>Nous voyons deux hommes combattre le MMA dans un anneau.</v>
      </c>
    </row>
    <row r="5635">
      <c r="A5635" s="4" t="s">
        <v>7079</v>
      </c>
      <c r="B5635" s="4" t="s">
        <v>7083</v>
      </c>
      <c r="C5635" s="5" t="str">
        <f>IFERROR(__xludf.DUMMYFUNCTION("GOOGLETRANSLATE(B5635,""en"",""fr"")"),"Le grand homme perd son emprise sur le petit homme.")</f>
        <v>Le grand homme perd son emprise sur le petit homme.</v>
      </c>
    </row>
    <row r="5636">
      <c r="A5636" s="4" t="s">
        <v>7079</v>
      </c>
      <c r="B5636" s="4" t="s">
        <v>7084</v>
      </c>
      <c r="C5636" s="5" t="str">
        <f>IFERROR(__xludf.DUMMYFUNCTION("GOOGLETRANSLATE(B5636,""en"",""fr"")"),"L'arbitre vient aux hommes et agite ses bras.")</f>
        <v>L'arbitre vient aux hommes et agite ses bras.</v>
      </c>
    </row>
    <row r="5637">
      <c r="A5637" s="4" t="s">
        <v>7079</v>
      </c>
      <c r="B5637" s="4" t="s">
        <v>7085</v>
      </c>
      <c r="C5637" s="5" t="str">
        <f>IFERROR(__xludf.DUMMYFUNCTION("GOOGLETRANSLATE(B5637,""en"",""fr"")"),"Nous voyons le résultat du jeu à l'écran.")</f>
        <v>Nous voyons le résultat du jeu à l'écran.</v>
      </c>
    </row>
    <row r="5638">
      <c r="A5638" s="4" t="s">
        <v>7079</v>
      </c>
      <c r="B5638" s="4" t="s">
        <v>7086</v>
      </c>
      <c r="C5638" s="5" t="str">
        <f>IFERROR(__xludf.DUMMYFUNCTION("GOOGLETRANSLATE(B5638,""en"",""fr"")"),"Le plus petit combattant dans ses bras un autre homme.")</f>
        <v>Le plus petit combattant dans ses bras un autre homme.</v>
      </c>
    </row>
    <row r="5639">
      <c r="A5639" s="4" t="s">
        <v>7079</v>
      </c>
      <c r="B5639" s="4" t="s">
        <v>7087</v>
      </c>
      <c r="C5639" s="5" t="str">
        <f>IFERROR(__xludf.DUMMYFUNCTION("GOOGLETRANSLATE(B5639,""en"",""fr"")"),"Nous voyons ensuite les crédits de fin de clôture.")</f>
        <v>Nous voyons ensuite les crédits de fin de clôture.</v>
      </c>
    </row>
    <row r="5640">
      <c r="A5640" s="4" t="s">
        <v>7088</v>
      </c>
      <c r="B5640" s="4" t="s">
        <v>7089</v>
      </c>
      <c r="C5640" s="5" t="str">
        <f>IFERROR(__xludf.DUMMYFUNCTION("GOOGLETRANSLATE(B5640,""en"",""fr"")"),"Un groupe de personnes est montré en plein essor à Paris.")</f>
        <v>Un groupe de personnes est montré en plein essor à Paris.</v>
      </c>
    </row>
    <row r="5641">
      <c r="A5641" s="4" t="s">
        <v>7088</v>
      </c>
      <c r="B5641" s="6" t="s">
        <v>7090</v>
      </c>
      <c r="C5641" s="5" t="str">
        <f>IFERROR(__xludf.DUMMYFUNCTION("GOOGLETRANSLATE(B5641,""en"",""fr"")"),"Ils se déplacent lentement et il y en a beaucoup alors que certains d'entre eux regardent dans la caméra lorsqu'ils passent.")</f>
        <v>Ils se déplacent lentement et il y en a beaucoup alors que certains d'entre eux regardent dans la caméra lorsqu'ils passent.</v>
      </c>
    </row>
    <row r="5642">
      <c r="A5642" s="4" t="s">
        <v>7088</v>
      </c>
      <c r="B5642" s="4" t="s">
        <v>7091</v>
      </c>
      <c r="C5642" s="5" t="str">
        <f>IFERROR(__xludf.DUMMYFUNCTION("GOOGLETRANSLATE(B5642,""en"",""fr"")"),"La procession continue alors que les spectateurs regardent.")</f>
        <v>La procession continue alors que les spectateurs regardent.</v>
      </c>
    </row>
    <row r="5643">
      <c r="A5643" s="4" t="s">
        <v>7088</v>
      </c>
      <c r="B5643" s="4" t="s">
        <v>7092</v>
      </c>
      <c r="C5643" s="5" t="str">
        <f>IFERROR(__xludf.DUMMYFUNCTION("GOOGLETRANSLATE(B5643,""en"",""fr"")"),"La vidéo passe à un angle latéral des rouleaux qui passent.")</f>
        <v>La vidéo passe à un angle latéral des rouleaux qui passent.</v>
      </c>
    </row>
    <row r="5644">
      <c r="A5644" s="4" t="s">
        <v>7088</v>
      </c>
      <c r="B5644" s="6" t="s">
        <v>7093</v>
      </c>
      <c r="C5644" s="5" t="str">
        <f>IFERROR(__xludf.DUMMYFUNCTION("GOOGLETRANSLATE(B5644,""en"",""fr"")"),"Un autre coup latéral est montré et une voiture de flic et plusieurs véhicules d'escorte apparaissent alors que la vidéo s'estompe en noir.")</f>
        <v>Un autre coup latéral est montré et une voiture de flic et plusieurs véhicules d'escorte apparaissent alors que la vidéo s'estompe en noir.</v>
      </c>
    </row>
    <row r="5645">
      <c r="A5645" s="4" t="s">
        <v>7094</v>
      </c>
      <c r="B5645" s="4" t="s">
        <v>7095</v>
      </c>
      <c r="C5645" s="5" t="str">
        <f>IFERROR(__xludf.DUMMYFUNCTION("GOOGLETRANSLATE(B5645,""en"",""fr"")"),"Une personne est une vidéo enregistrant un événement de combat taureau de son téléviseur.")</f>
        <v>Une personne est une vidéo enregistrant un événement de combat taureau de son téléviseur.</v>
      </c>
    </row>
    <row r="5646">
      <c r="A5646" s="4" t="s">
        <v>7094</v>
      </c>
      <c r="B5646" s="6" t="s">
        <v>7096</v>
      </c>
      <c r="C5646" s="5" t="str">
        <f>IFERROR(__xludf.DUMMYFUNCTION("GOOGLETRANSLATE(B5646,""en"",""fr"")"),"La scène de combat taureau se trouve dans une grande arène ouverte qui est remplie de milliers de spectateurs qui applaudissent.")</f>
        <v>La scène de combat taureau se trouve dans une grande arène ouverte qui est remplie de milliers de spectateurs qui applaudissent.</v>
      </c>
    </row>
    <row r="5647">
      <c r="A5647" s="4" t="s">
        <v>7094</v>
      </c>
      <c r="B5647" s="6" t="s">
        <v>7097</v>
      </c>
      <c r="C5647" s="5" t="str">
        <f>IFERROR(__xludf.DUMMYFUNCTION("GOOGLETRANSLATE(B5647,""en"",""fr"")"),"Les deux taureaux déchaînés se font constamment des têtes tandis que les Matadors essaient de contenir les taureaux dans une zone spécifiée.")</f>
        <v>Les deux taureaux déchaînés se font constamment des têtes tandis que les Matadors essaient de contenir les taureaux dans une zone spécifiée.</v>
      </c>
    </row>
    <row r="5648">
      <c r="A5648" s="4" t="s">
        <v>7094</v>
      </c>
      <c r="B5648" s="4" t="s">
        <v>7098</v>
      </c>
      <c r="C5648" s="5" t="str">
        <f>IFERROR(__xludf.DUMMYFUNCTION("GOOGLETRANSLATE(B5648,""en"",""fr"")"),"La foule continue de réjouir au fil de l'événement.")</f>
        <v>La foule continue de réjouir au fil de l'événement.</v>
      </c>
    </row>
    <row r="5649">
      <c r="A5649" s="4" t="s">
        <v>7099</v>
      </c>
      <c r="B5649" s="4" t="s">
        <v>7100</v>
      </c>
      <c r="C5649" s="5" t="str">
        <f>IFERROR(__xludf.DUMMYFUNCTION("GOOGLETRANSLATE(B5649,""en"",""fr"")"),"Une intro mène à une femme tenant un accordéon et une femme dans une robe de mariée à côté d'elle.")</f>
        <v>Une intro mène à une femme tenant un accordéon et une femme dans une robe de mariée à côté d'elle.</v>
      </c>
    </row>
    <row r="5650">
      <c r="A5650" s="4" t="s">
        <v>7099</v>
      </c>
      <c r="B5650" s="6" t="s">
        <v>7101</v>
      </c>
      <c r="C5650" s="5" t="str">
        <f>IFERROR(__xludf.DUMMYFUNCTION("GOOGLETRANSLATE(B5650,""en"",""fr"")"),"La femme commence alors à jouer de l'instrument tandis que d'autres se tiennent autour d'elle et regardent et d'autres jouer.")</f>
        <v>La femme commence alors à jouer de l'instrument tandis que d'autres se tiennent autour d'elle et regardent et d'autres jouer.</v>
      </c>
    </row>
    <row r="5651">
      <c r="A5651" s="4" t="s">
        <v>7102</v>
      </c>
      <c r="B5651" s="4" t="s">
        <v>7103</v>
      </c>
      <c r="C5651" s="5" t="str">
        <f>IFERROR(__xludf.DUMMYFUNCTION("GOOGLETRANSLATE(B5651,""en"",""fr"")"),"Une femme macule une crème blanche sur son front et ses joues.")</f>
        <v>Une femme macule une crème blanche sur son front et ses joues.</v>
      </c>
    </row>
    <row r="5652">
      <c r="A5652" s="4" t="s">
        <v>7102</v>
      </c>
      <c r="B5652" s="4" t="s">
        <v>7104</v>
      </c>
      <c r="C5652" s="5" t="str">
        <f>IFERROR(__xludf.DUMMYFUNCTION("GOOGLETRANSLATE(B5652,""en"",""fr"")"),"Elle le propage, le lissant.")</f>
        <v>Elle le propage, le lissant.</v>
      </c>
    </row>
    <row r="5653">
      <c r="A5653" s="4" t="s">
        <v>7105</v>
      </c>
      <c r="B5653" s="4" t="s">
        <v>7106</v>
      </c>
      <c r="C5653" s="5" t="str">
        <f>IFERROR(__xludf.DUMMYFUNCTION("GOOGLETRANSLATE(B5653,""en"",""fr"")"),"Un homme perce la joue d'une femme.")</f>
        <v>Un homme perce la joue d'une femme.</v>
      </c>
    </row>
    <row r="5654">
      <c r="A5654" s="4" t="s">
        <v>7105</v>
      </c>
      <c r="B5654" s="4" t="s">
        <v>7107</v>
      </c>
      <c r="C5654" s="5" t="str">
        <f>IFERROR(__xludf.DUMMYFUNCTION("GOOGLETRANSLATE(B5654,""en"",""fr"")"),"Elle ressort sa langue, puis le processus est terminé.")</f>
        <v>Elle ressort sa langue, puis le processus est terminé.</v>
      </c>
    </row>
    <row r="5655">
      <c r="A5655" s="4" t="s">
        <v>7108</v>
      </c>
      <c r="B5655" s="4" t="s">
        <v>7109</v>
      </c>
      <c r="C5655" s="5" t="str">
        <f>IFERROR(__xludf.DUMMYFUNCTION("GOOGLETRANSLATE(B5655,""en"",""fr"")"),"Une personne se fait cirer les jambes sur une table.")</f>
        <v>Une personne se fait cirer les jambes sur une table.</v>
      </c>
    </row>
    <row r="5656">
      <c r="A5656" s="4" t="s">
        <v>7108</v>
      </c>
      <c r="B5656" s="4" t="s">
        <v>7110</v>
      </c>
      <c r="C5656" s="5" t="str">
        <f>IFERROR(__xludf.DUMMYFUNCTION("GOOGLETRANSLATE(B5656,""en"",""fr"")"),"Ils frottent un peu de lotion sur leurs jambes après.")</f>
        <v>Ils frottent un peu de lotion sur leurs jambes après.</v>
      </c>
    </row>
    <row r="5657">
      <c r="A5657" s="4" t="s">
        <v>7108</v>
      </c>
      <c r="B5657" s="4" t="s">
        <v>7111</v>
      </c>
      <c r="C5657" s="5" t="str">
        <f>IFERROR(__xludf.DUMMYFUNCTION("GOOGLETRANSLATE(B5657,""en"",""fr"")"),"Ils montrent leurs jambes cirées propres.")</f>
        <v>Ils montrent leurs jambes cirées propres.</v>
      </c>
    </row>
    <row r="5658">
      <c r="A5658" s="4" t="s">
        <v>7112</v>
      </c>
      <c r="B5658" s="4" t="s">
        <v>7113</v>
      </c>
      <c r="C5658" s="5" t="str">
        <f>IFERROR(__xludf.DUMMYFUNCTION("GOOGLETRANSLATE(B5658,""en"",""fr"")"),"Un homme est vu héberger un segment d'actualités qui l'amène à parler avec deux autres personnes.")</f>
        <v>Un homme est vu héberger un segment d'actualités qui l'amène à parler avec deux autres personnes.</v>
      </c>
    </row>
    <row r="5659">
      <c r="A5659" s="4" t="s">
        <v>7112</v>
      </c>
      <c r="B5659" s="4" t="s">
        <v>7114</v>
      </c>
      <c r="C5659" s="5" t="str">
        <f>IFERROR(__xludf.DUMMYFUNCTION("GOOGLETRANSLATE(B5659,""en"",""fr"")"),"Les coups de feu sont montrés d'un jeune homme jouant au billard avec son père qui regarde sur le côté.")</f>
        <v>Les coups de feu sont montrés d'un jeune homme jouant au billard avec son père qui regarde sur le côté.</v>
      </c>
    </row>
    <row r="5660">
      <c r="A5660" s="4" t="s">
        <v>7112</v>
      </c>
      <c r="B5660" s="4" t="s">
        <v>7115</v>
      </c>
      <c r="C5660" s="5" t="str">
        <f>IFERROR(__xludf.DUMMYFUNCTION("GOOGLETRANSLATE(B5660,""en"",""fr"")"),"L'homme continue de jouer pendant que son père regarde et parle à l'hôte de l'actualité.")</f>
        <v>L'homme continue de jouer pendant que son père regarde et parle à l'hôte de l'actualité.</v>
      </c>
    </row>
    <row r="5661">
      <c r="A5661" s="4" t="s">
        <v>7116</v>
      </c>
      <c r="B5661" s="4" t="s">
        <v>7117</v>
      </c>
      <c r="C5661" s="5" t="str">
        <f>IFERROR(__xludf.DUMMYFUNCTION("GOOGLETRANSLATE(B5661,""en"",""fr"")"),"Une femme est vue se diriger vers un swingset avec un petit garçon et le mettant sur le swing.")</f>
        <v>Une femme est vue se diriger vers un swingset avec un petit garçon et le mettant sur le swing.</v>
      </c>
    </row>
    <row r="5662">
      <c r="A5662" s="4" t="s">
        <v>7116</v>
      </c>
      <c r="B5662" s="6" t="s">
        <v>7118</v>
      </c>
      <c r="C5662" s="5" t="str">
        <f>IFERROR(__xludf.DUMMYFUNCTION("GOOGLETRANSLATE(B5662,""en"",""fr"")"),"Plusieurs femmes avec leurs enfants sont vues en arrière et quatrième les unes avec les autres ainsi que les papas jouant avec leurs enfants.")</f>
        <v>Plusieurs femmes avec leurs enfants sont vues en arrière et quatrième les unes avec les autres ainsi que les papas jouant avec leurs enfants.</v>
      </c>
    </row>
    <row r="5663">
      <c r="A5663" s="4" t="s">
        <v>7119</v>
      </c>
      <c r="B5663" s="6" t="s">
        <v>7120</v>
      </c>
      <c r="C5663" s="5" t="str">
        <f>IFERROR(__xludf.DUMMYFUNCTION("GOOGLETRANSLATE(B5663,""en"",""fr"")"),"Une femme chef démontre, dans une cuisine, devant un comptoir de cuisine et des ingrédients, comment préparer une salade.")</f>
        <v>Une femme chef démontre, dans une cuisine, devant un comptoir de cuisine et des ingrédients, comment préparer une salade.</v>
      </c>
    </row>
    <row r="5664">
      <c r="A5664" s="4" t="s">
        <v>7119</v>
      </c>
      <c r="B5664" s="6" t="s">
        <v>7121</v>
      </c>
      <c r="C5664" s="5" t="str">
        <f>IFERROR(__xludf.DUMMYFUNCTION("GOOGLETRANSLATE(B5664,""en"",""fr"")"),"Une femme se tient devant un comptoir de cuisine avec des légumes verts, du fromage, des légumes et des huiles et parle à la caméra.")</f>
        <v>Une femme se tient devant un comptoir de cuisine avec des légumes verts, du fromage, des légumes et des huiles et parle à la caméra.</v>
      </c>
    </row>
    <row r="5665">
      <c r="A5665" s="4" t="s">
        <v>7119</v>
      </c>
      <c r="B5665" s="6" t="s">
        <v>7122</v>
      </c>
      <c r="C5665" s="5" t="str">
        <f>IFERROR(__xludf.DUMMYFUNCTION("GOOGLETRANSLATE(B5665,""en"",""fr"")"),"La femme commence à couper les verts et à les mettre dans un bol blanc avant de se tourner pour tirer le four à choux de Bruxelles rôtis du four.")</f>
        <v>La femme commence à couper les verts et à les mettre dans un bol blanc avant de se tourner pour tirer le four à choux de Bruxelles rôtis du four.</v>
      </c>
    </row>
    <row r="5666">
      <c r="A5666" s="4" t="s">
        <v>7119</v>
      </c>
      <c r="B5666" s="6" t="s">
        <v>7123</v>
      </c>
      <c r="C5666" s="5" t="str">
        <f>IFERROR(__xludf.DUMMYFUNCTION("GOOGLETRANSLATE(B5666,""en"",""fr"")"),"La femme serre ensuite et orange et verse le jus d'orange sur la salade avec les germes de Brussell et l'huile avant que la scène ne se fonde.")</f>
        <v>La femme serre ensuite et orange et verse le jus d'orange sur la salade avec les germes de Brussell et l'huile avant que la scène ne se fonde.</v>
      </c>
    </row>
    <row r="5667">
      <c r="A5667" s="4" t="s">
        <v>7124</v>
      </c>
      <c r="B5667" s="4" t="s">
        <v>7125</v>
      </c>
      <c r="C5667" s="5" t="str">
        <f>IFERROR(__xludf.DUMMYFUNCTION("GOOGLETRANSLATE(B5667,""en"",""fr"")"),"Un homme est vu danser dans un club et attraper une femme.")</f>
        <v>Un homme est vu danser dans un club et attraper une femme.</v>
      </c>
    </row>
    <row r="5668">
      <c r="A5668" s="4" t="s">
        <v>7124</v>
      </c>
      <c r="B5668" s="4" t="s">
        <v>7126</v>
      </c>
      <c r="C5668" s="5" t="str">
        <f>IFERROR(__xludf.DUMMYFUNCTION("GOOGLETRANSLATE(B5668,""en"",""fr"")"),"L'homme et la femme commencent alors à danser les uns contre les autres au milieu du club.")</f>
        <v>L'homme et la femme commencent alors à danser les uns contre les autres au milieu du club.</v>
      </c>
    </row>
    <row r="5669">
      <c r="A5669" s="4" t="s">
        <v>7124</v>
      </c>
      <c r="B5669" s="4" t="s">
        <v>7127</v>
      </c>
      <c r="C5669" s="5" t="str">
        <f>IFERROR(__xludf.DUMMYFUNCTION("GOOGLETRANSLATE(B5669,""en"",""fr"")"),"Ils continuent de danser les uns avec les autres tandis que les autres dansent à côté d'eux.")</f>
        <v>Ils continuent de danser les uns avec les autres tandis que les autres dansent à côté d'eux.</v>
      </c>
    </row>
    <row r="5670">
      <c r="A5670" s="4" t="s">
        <v>7128</v>
      </c>
      <c r="B5670" s="4" t="s">
        <v>7129</v>
      </c>
      <c r="C5670" s="5" t="str">
        <f>IFERROR(__xludf.DUMMYFUNCTION("GOOGLETRANSLATE(B5670,""en"",""fr"")"),"Un gros plan d'une femme est vu regarder au loin et tenir une fléchette.")</f>
        <v>Un gros plan d'une femme est vu regarder au loin et tenir une fléchette.</v>
      </c>
    </row>
    <row r="5671">
      <c r="A5671" s="4" t="s">
        <v>7128</v>
      </c>
      <c r="B5671" s="4" t="s">
        <v>7130</v>
      </c>
      <c r="C5671" s="5" t="str">
        <f>IFERROR(__xludf.DUMMYFUNCTION("GOOGLETRANSLATE(B5671,""en"",""fr"")"),"Elle jette la fléchette sur la planche qui se rapproche de près.")</f>
        <v>Elle jette la fléchette sur la planche qui se rapproche de près.</v>
      </c>
    </row>
    <row r="5672">
      <c r="A5672" s="4" t="s">
        <v>7128</v>
      </c>
      <c r="B5672" s="4" t="s">
        <v>7131</v>
      </c>
      <c r="C5672" s="5" t="str">
        <f>IFERROR(__xludf.DUMMYFUNCTION("GOOGLETRANSLATE(B5672,""en"",""fr"")"),"La femme serre ensuite ses poings et son lancer est à nouveau montré.")</f>
        <v>La femme serre ensuite ses poings et son lancer est à nouveau montré.</v>
      </c>
    </row>
    <row r="5673">
      <c r="A5673" s="4" t="s">
        <v>7132</v>
      </c>
      <c r="B5673" s="4" t="s">
        <v>7133</v>
      </c>
      <c r="C5673" s="5" t="str">
        <f>IFERROR(__xludf.DUMMYFUNCTION("GOOGLETRANSLATE(B5673,""en"",""fr"")"),"Deux équipes jouent à un stade plein de gens.")</f>
        <v>Deux équipes jouent à un stade plein de gens.</v>
      </c>
    </row>
    <row r="5674">
      <c r="A5674" s="4" t="s">
        <v>7132</v>
      </c>
      <c r="B5674" s="4" t="s">
        <v>7134</v>
      </c>
      <c r="C5674" s="5" t="str">
        <f>IFERROR(__xludf.DUMMYFUNCTION("GOOGLETRANSLATE(B5674,""en"",""fr"")"),"Un joueur sert une balle avec le bâton et les équipes continuent de jouer.")</f>
        <v>Un joueur sert une balle avec le bâton et les équipes continuent de jouer.</v>
      </c>
    </row>
    <row r="5675">
      <c r="A5675" s="4" t="s">
        <v>7132</v>
      </c>
      <c r="B5675" s="4" t="s">
        <v>7135</v>
      </c>
      <c r="C5675" s="5" t="str">
        <f>IFERROR(__xludf.DUMMYFUNCTION("GOOGLETRANSLATE(B5675,""en"",""fr"")"),"Deux joueurs contestent le ballon dans les airs, puis ils continuent de jouer.")</f>
        <v>Deux joueurs contestent le ballon dans les airs, puis ils continuent de jouer.</v>
      </c>
    </row>
    <row r="5676">
      <c r="A5676" s="4" t="s">
        <v>7136</v>
      </c>
      <c r="B5676" s="6" t="s">
        <v>7137</v>
      </c>
      <c r="C5676" s="5" t="str">
        <f>IFERROR(__xludf.DUMMYFUNCTION("GOOGLETRANSLATE(B5676,""en"",""fr"")"),"Un grand groupe de personnes est vue debout autour d'un puits de sable serrant la main et se parlant les uns avec les autres.")</f>
        <v>Un grand groupe de personnes est vue debout autour d'un puits de sable serrant la main et se parlant les uns avec les autres.</v>
      </c>
    </row>
    <row r="5677">
      <c r="A5677" s="4" t="s">
        <v>7136</v>
      </c>
      <c r="B5677" s="4" t="s">
        <v>7138</v>
      </c>
      <c r="C5677" s="5" t="str">
        <f>IFERROR(__xludf.DUMMYFUNCTION("GOOGLETRANSLATE(B5677,""en"",""fr"")"),"Les hommes commencent alors un match de football les uns avec les autres et encouragent lorsqu'ils marquent un but.")</f>
        <v>Les hommes commencent alors un match de football les uns avec les autres et encouragent lorsqu'ils marquent un but.</v>
      </c>
    </row>
    <row r="5678">
      <c r="A5678" s="4" t="s">
        <v>7136</v>
      </c>
      <c r="B5678" s="6" t="s">
        <v>7139</v>
      </c>
      <c r="C5678" s="5" t="str">
        <f>IFERROR(__xludf.DUMMYFUNCTION("GOOGLETRANSLATE(B5678,""en"",""fr"")"),"Les hommes continuent de jouer les uns contre les autres pendant que le public applaudit et que l'arbitre se tient sur le côté.")</f>
        <v>Les hommes continuent de jouer les uns contre les autres pendant que le public applaudit et que l'arbitre se tient sur le côté.</v>
      </c>
    </row>
    <row r="5679">
      <c r="A5679" s="4" t="s">
        <v>7140</v>
      </c>
      <c r="B5679" s="4" t="s">
        <v>7141</v>
      </c>
      <c r="C5679" s="5" t="str">
        <f>IFERROR(__xludf.DUMMYFUNCTION("GOOGLETRANSLATE(B5679,""en"",""fr"")"),"L'homme est en train de porter des échasses dans un parc skaet.")</f>
        <v>L'homme est en train de porter des échasses dans un parc skaet.</v>
      </c>
    </row>
    <row r="5680">
      <c r="A5680" s="4" t="s">
        <v>7140</v>
      </c>
      <c r="B5680" s="4" t="s">
        <v>7142</v>
      </c>
      <c r="C5680" s="5" t="str">
        <f>IFERROR(__xludf.DUMMYFUNCTION("GOOGLETRANSLATE(B5680,""en"",""fr"")"),"Un autre homme saute avec le premier homme du skate park.")</f>
        <v>Un autre homme saute avec le premier homme du skate park.</v>
      </c>
    </row>
    <row r="5681">
      <c r="A5681" s="4" t="s">
        <v>7140</v>
      </c>
      <c r="B5681" s="4" t="s">
        <v>7143</v>
      </c>
      <c r="C5681" s="5" t="str">
        <f>IFERROR(__xludf.DUMMYFUNCTION("GOOGLETRANSLATE(B5681,""en"",""fr"")"),"L'homme à Skate Park court pendant qu'une voiture passe dans la rue.")</f>
        <v>L'homme à Skate Park court pendant qu'une voiture passe dans la rue.</v>
      </c>
    </row>
    <row r="5682">
      <c r="A5682" s="4" t="s">
        <v>7144</v>
      </c>
      <c r="B5682" s="4" t="s">
        <v>7145</v>
      </c>
      <c r="C5682" s="5" t="str">
        <f>IFERROR(__xludf.DUMMYFUNCTION("GOOGLETRANSLATE(B5682,""en"",""fr"")"),"Les mains d'une femme sont montrées enroulant quelque chose.")</f>
        <v>Les mains d'une femme sont montrées enroulant quelque chose.</v>
      </c>
    </row>
    <row r="5683">
      <c r="A5683" s="4" t="s">
        <v>7144</v>
      </c>
      <c r="B5683" s="4" t="s">
        <v>7146</v>
      </c>
      <c r="C5683" s="5" t="str">
        <f>IFERROR(__xludf.DUMMYFUNCTION("GOOGLETRANSLATE(B5683,""en"",""fr"")"),"La femme parle à la caméra.")</f>
        <v>La femme parle à la caméra.</v>
      </c>
    </row>
    <row r="5684">
      <c r="A5684" s="4" t="s">
        <v>7144</v>
      </c>
      <c r="B5684" s="4" t="s">
        <v>7147</v>
      </c>
      <c r="C5684" s="5" t="str">
        <f>IFERROR(__xludf.DUMMYFUNCTION("GOOGLETRANSLATE(B5684,""en"",""fr"")"),"Les gros plans de l'équipement nécessaire pour cette opération sont indiqués.")</f>
        <v>Les gros plans de l'équipement nécessaire pour cette opération sont indiqués.</v>
      </c>
    </row>
    <row r="5685">
      <c r="A5685" s="4" t="s">
        <v>7144</v>
      </c>
      <c r="B5685" s="4" t="s">
        <v>7148</v>
      </c>
      <c r="C5685" s="5" t="str">
        <f>IFERROR(__xludf.DUMMYFUNCTION("GOOGLETRANSLATE(B5685,""en"",""fr"")"),"La femme enroule un livre avec du papier de soie et de la bande.")</f>
        <v>La femme enroule un livre avec du papier de soie et de la bande.</v>
      </c>
    </row>
    <row r="5686">
      <c r="A5686" s="4" t="s">
        <v>7144</v>
      </c>
      <c r="B5686" s="4" t="s">
        <v>7149</v>
      </c>
      <c r="C5686" s="5" t="str">
        <f>IFERROR(__xludf.DUMMYFUNCTION("GOOGLETRANSLATE(B5686,""en"",""fr"")"),"La femme coupe du papier à façonner pour le livre.")</f>
        <v>La femme coupe du papier à façonner pour le livre.</v>
      </c>
    </row>
    <row r="5687">
      <c r="A5687" s="4" t="s">
        <v>7144</v>
      </c>
      <c r="B5687" s="4" t="s">
        <v>7150</v>
      </c>
      <c r="C5687" s="5" t="str">
        <f>IFERROR(__xludf.DUMMYFUNCTION("GOOGLETRANSLATE(B5687,""en"",""fr"")"),"La femme enveloppe le livre avec le papier et la bande.")</f>
        <v>La femme enveloppe le livre avec le papier et la bande.</v>
      </c>
    </row>
    <row r="5688">
      <c r="A5688" s="4" t="s">
        <v>7144</v>
      </c>
      <c r="B5688" s="4" t="s">
        <v>7151</v>
      </c>
      <c r="C5688" s="5" t="str">
        <f>IFERROR(__xludf.DUMMYFUNCTION("GOOGLETRANSLATE(B5688,""en"",""fr"")"),"La femme parle à la caméra entière tenant le livre enveloppé et en ruban.")</f>
        <v>La femme parle à la caméra entière tenant le livre enveloppé et en ruban.</v>
      </c>
    </row>
    <row r="5689">
      <c r="A5689" s="4" t="s">
        <v>7144</v>
      </c>
      <c r="B5689" s="4" t="s">
        <v>7152</v>
      </c>
      <c r="C5689" s="5" t="str">
        <f>IFERROR(__xludf.DUMMYFUNCTION("GOOGLETRANSLATE(B5689,""en"",""fr"")"),"Un gros plan du livre enveloppé et en ruban est montré.")</f>
        <v>Un gros plan du livre enveloppé et en ruban est montré.</v>
      </c>
    </row>
    <row r="5690">
      <c r="A5690" s="4" t="s">
        <v>7153</v>
      </c>
      <c r="B5690" s="6" t="s">
        <v>7154</v>
      </c>
      <c r="C5690" s="5" t="str">
        <f>IFERROR(__xludf.DUMMYFUNCTION("GOOGLETRANSLATE(B5690,""en"",""fr"")"),"Un petit groupe de personnes est vue assis autour d'une table de casino se parlant et jouant à un jeu de poker.")</f>
        <v>Un petit groupe de personnes est vue assis autour d'une table de casino se parlant et jouant à un jeu de poker.</v>
      </c>
    </row>
    <row r="5691">
      <c r="A5691" s="4" t="s">
        <v>7153</v>
      </c>
      <c r="B5691" s="6" t="s">
        <v>7155</v>
      </c>
      <c r="C5691" s="5" t="str">
        <f>IFERROR(__xludf.DUMMYFUNCTION("GOOGLETRANSLATE(B5691,""en"",""fr"")"),"Beaucoup de gens regardent sur les côtés pendant que le concessionnaire traite des cartes et que les gens placent leurs jetons au milieu.")</f>
        <v>Beaucoup de gens regardent sur les côtés pendant que le concessionnaire traite des cartes et que les gens placent leurs jetons au milieu.</v>
      </c>
    </row>
    <row r="5692">
      <c r="A5692" s="4" t="s">
        <v>7153</v>
      </c>
      <c r="B5692" s="4" t="s">
        <v>7156</v>
      </c>
      <c r="C5692" s="5" t="str">
        <f>IFERROR(__xludf.DUMMYFUNCTION("GOOGLETRANSLATE(B5692,""en"",""fr"")"),"Plus de photos du jeu sont affichées pendant que la caméra se déroule sur le visage d'une personne.")</f>
        <v>Plus de photos du jeu sont affichées pendant que la caméra se déroule sur le visage d'une personne.</v>
      </c>
    </row>
    <row r="5693">
      <c r="A5693" s="4" t="s">
        <v>7157</v>
      </c>
      <c r="B5693" s="4" t="s">
        <v>7158</v>
      </c>
      <c r="C5693" s="5" t="str">
        <f>IFERROR(__xludf.DUMMYFUNCTION("GOOGLETRANSLATE(B5693,""en"",""fr"")"),"Une dame parle dans un bureau et tient un objet rose.")</f>
        <v>Une dame parle dans un bureau et tient un objet rose.</v>
      </c>
    </row>
    <row r="5694">
      <c r="A5694" s="4" t="s">
        <v>7157</v>
      </c>
      <c r="B5694" s="4" t="s">
        <v>7159</v>
      </c>
      <c r="C5694" s="5" t="str">
        <f>IFERROR(__xludf.DUMMYFUNCTION("GOOGLETRANSLATE(B5694,""en"",""fr"")"),"La dame jette l'objet rose sur une planche de jeu sur le sol.")</f>
        <v>La dame jette l'objet rose sur une planche de jeu sur le sol.</v>
      </c>
    </row>
    <row r="5695">
      <c r="A5695" s="4" t="s">
        <v>7157</v>
      </c>
      <c r="B5695" s="4" t="s">
        <v>7160</v>
      </c>
      <c r="C5695" s="5" t="str">
        <f>IFERROR(__xludf.DUMMYFUNCTION("GOOGLETRANSLATE(B5695,""en"",""fr"")"),"Elle saute ensuite la marelle et ramasse l'objet rose.")</f>
        <v>Elle saute ensuite la marelle et ramasse l'objet rose.</v>
      </c>
    </row>
    <row r="5696">
      <c r="A5696" s="4" t="s">
        <v>7157</v>
      </c>
      <c r="B5696" s="4" t="s">
        <v>7161</v>
      </c>
      <c r="C5696" s="5" t="str">
        <f>IFERROR(__xludf.DUMMYFUNCTION("GOOGLETRANSLATE(B5696,""en"",""fr"")"),"Elle le jette à nouveau et saute à nouveau et revient en ramassant l'objet rose.")</f>
        <v>Elle le jette à nouveau et saute à nouveau et revient en ramassant l'objet rose.</v>
      </c>
    </row>
    <row r="5697">
      <c r="A5697" s="4" t="s">
        <v>7162</v>
      </c>
      <c r="B5697" s="4" t="s">
        <v>7163</v>
      </c>
      <c r="C5697" s="5" t="str">
        <f>IFERROR(__xludf.DUMMYFUNCTION("GOOGLETRANSLATE(B5697,""en"",""fr"")"),"Une personne fonctionne sur une machine à exercice.")</f>
        <v>Une personne fonctionne sur une machine à exercice.</v>
      </c>
    </row>
    <row r="5698">
      <c r="A5698" s="4" t="s">
        <v>7162</v>
      </c>
      <c r="B5698" s="4" t="s">
        <v>7164</v>
      </c>
      <c r="C5698" s="5" t="str">
        <f>IFERROR(__xludf.DUMMYFUNCTION("GOOGLETRANSLATE(B5698,""en"",""fr"")"),"La caméra zoome sur les pieds.")</f>
        <v>La caméra zoome sur les pieds.</v>
      </c>
    </row>
    <row r="5699">
      <c r="A5699" s="4" t="s">
        <v>7162</v>
      </c>
      <c r="B5699" s="4" t="s">
        <v>7165</v>
      </c>
      <c r="C5699" s="5" t="str">
        <f>IFERROR(__xludf.DUMMYFUNCTION("GOOGLETRANSLATE(B5699,""en"",""fr"")"),"La caméra se déroule lentement à droite.")</f>
        <v>La caméra se déroule lentement à droite.</v>
      </c>
    </row>
    <row r="5700">
      <c r="A5700" s="4" t="s">
        <v>7166</v>
      </c>
      <c r="B5700" s="4" t="s">
        <v>7167</v>
      </c>
      <c r="C5700" s="5" t="str">
        <f>IFERROR(__xludf.DUMMYFUNCTION("GOOGLETRANSLATE(B5700,""en"",""fr"")"),"Un homme met un chapeau de chef sur une fille tandis qu'un chef lui enseigne comment cuisiner.")</f>
        <v>Un homme met un chapeau de chef sur une fille tandis qu'un chef lui enseigne comment cuisiner.</v>
      </c>
    </row>
    <row r="5701">
      <c r="A5701" s="4" t="s">
        <v>7166</v>
      </c>
      <c r="B5701" s="6" t="s">
        <v>7168</v>
      </c>
      <c r="C5701" s="5" t="str">
        <f>IFERROR(__xludf.DUMMYFUNCTION("GOOGLETRANSLATE(B5701,""en"",""fr"")"),"Elle mélange divers ingrédients ensemble en suivant les ordres du chef et en accordant une attention particulière à ses instructions.")</f>
        <v>Elle mélange divers ingrédients ensemble en suivant les ordres du chef et en accordant une attention particulière à ses instructions.</v>
      </c>
    </row>
    <row r="5702">
      <c r="A5702" s="4" t="s">
        <v>7166</v>
      </c>
      <c r="B5702" s="6" t="s">
        <v>7169</v>
      </c>
      <c r="C5702" s="5" t="str">
        <f>IFERROR(__xludf.DUMMYFUNCTION("GOOGLETRANSLATE(B5702,""en"",""fr"")"),"La fille fait un joli lot de biscuits et se retrouve à en profiter à la fin, ainsi que la compagnie des autres.")</f>
        <v>La fille fait un joli lot de biscuits et se retrouve à en profiter à la fin, ainsi que la compagnie des autres.</v>
      </c>
    </row>
    <row r="5703">
      <c r="A5703" s="4" t="s">
        <v>7170</v>
      </c>
      <c r="B5703" s="4" t="s">
        <v>7171</v>
      </c>
      <c r="C5703" s="5" t="str">
        <f>IFERROR(__xludf.DUMMYFUNCTION("GOOGLETRANSLATE(B5703,""en"",""fr"")"),"Plusieurs hommes se tiennent ensemble pour la caméra.")</f>
        <v>Plusieurs hommes se tiennent ensemble pour la caméra.</v>
      </c>
    </row>
    <row r="5704">
      <c r="A5704" s="4" t="s">
        <v>7170</v>
      </c>
      <c r="B5704" s="6" t="s">
        <v>7172</v>
      </c>
      <c r="C5704" s="5" t="str">
        <f>IFERROR(__xludf.DUMMYFUNCTION("GOOGLETRANSLATE(B5704,""en"",""fr"")"),"Des scènes de plusieurs personnes effectuant des démonstrations de capoeira sont présentées avec un public en arrière-plan et au premier plan.")</f>
        <v>Des scènes de plusieurs personnes effectuant des démonstrations de capoeira sont présentées avec un public en arrière-plan et au premier plan.</v>
      </c>
    </row>
    <row r="5705">
      <c r="A5705" s="4" t="s">
        <v>7173</v>
      </c>
      <c r="B5705" s="4" t="s">
        <v>7174</v>
      </c>
      <c r="C5705" s="5" t="str">
        <f>IFERROR(__xludf.DUMMYFUNCTION("GOOGLETRANSLATE(B5705,""en"",""fr"")"),"Un homme plus âgé est montré en hachant sur un arbre abattu avec une hache.")</f>
        <v>Un homme plus âgé est montré en hachant sur un arbre abattu avec une hache.</v>
      </c>
    </row>
    <row r="5706">
      <c r="A5706" s="4" t="s">
        <v>7173</v>
      </c>
      <c r="B5706" s="4" t="s">
        <v>7175</v>
      </c>
      <c r="C5706" s="5" t="str">
        <f>IFERROR(__xludf.DUMMYFUNCTION("GOOGLETRANSLATE(B5706,""en"",""fr"")"),"Il essaie très fort et ne fait pas beaucoup de progrès.")</f>
        <v>Il essaie très fort et ne fait pas beaucoup de progrès.</v>
      </c>
    </row>
    <row r="5707">
      <c r="A5707" s="4" t="s">
        <v>7173</v>
      </c>
      <c r="B5707" s="4" t="s">
        <v>7176</v>
      </c>
      <c r="C5707" s="5" t="str">
        <f>IFERROR(__xludf.DUMMYFUNCTION("GOOGLETRANSLATE(B5707,""en"",""fr"")"),"Il semble frustré et essaie encore et encore pour hacher de l'arbre.")</f>
        <v>Il semble frustré et essaie encore et encore pour hacher de l'arbre.</v>
      </c>
    </row>
    <row r="5708">
      <c r="A5708" s="4" t="s">
        <v>7173</v>
      </c>
      <c r="B5708" s="4" t="s">
        <v>7177</v>
      </c>
      <c r="C5708" s="5" t="str">
        <f>IFERROR(__xludf.DUMMYFUNCTION("GOOGLETRANSLATE(B5708,""en"",""fr"")"),"Il regarde ensuite la caméra et sourit légèrement avant de continuer à essayer de couper l'arbre.")</f>
        <v>Il regarde ensuite la caméra et sourit légèrement avant de continuer à essayer de couper l'arbre.</v>
      </c>
    </row>
    <row r="5709">
      <c r="A5709" s="4" t="s">
        <v>7173</v>
      </c>
      <c r="B5709" s="4" t="s">
        <v>7178</v>
      </c>
      <c r="C5709" s="5" t="str">
        <f>IFERROR(__xludf.DUMMYFUNCTION("GOOGLETRANSLATE(B5709,""en"",""fr"")"),"Il s'arrête à nouveau et regarde la caméra.")</f>
        <v>Il s'arrête à nouveau et regarde la caméra.</v>
      </c>
    </row>
    <row r="5710">
      <c r="A5710" s="4" t="s">
        <v>7173</v>
      </c>
      <c r="B5710" s="4" t="s">
        <v>7179</v>
      </c>
      <c r="C5710" s="5" t="str">
        <f>IFERROR(__xludf.DUMMYFUNCTION("GOOGLETRANSLATE(B5710,""en"",""fr"")"),"Un gros plan est montré de lui en essayant encore et encore avant de zoomer.")</f>
        <v>Un gros plan est montré de lui en essayant encore et encore avant de zoomer.</v>
      </c>
    </row>
    <row r="5711">
      <c r="A5711" s="4" t="s">
        <v>7173</v>
      </c>
      <c r="B5711" s="4" t="s">
        <v>7180</v>
      </c>
      <c r="C5711" s="5" t="str">
        <f>IFERROR(__xludf.DUMMYFUNCTION("GOOGLETRANSLATE(B5711,""en"",""fr"")"),"La caméra se retrouve ensuite à son visage pendant qu'il continue.")</f>
        <v>La caméra se retrouve ensuite à son visage pendant qu'il continue.</v>
      </c>
    </row>
    <row r="5712">
      <c r="A5712" s="4" t="s">
        <v>7181</v>
      </c>
      <c r="B5712" s="4" t="s">
        <v>7182</v>
      </c>
      <c r="C5712" s="5" t="str">
        <f>IFERROR(__xludf.DUMMYFUNCTION("GOOGLETRANSLATE(B5712,""en"",""fr"")"),"Trois femmes se présentent à l'écran en faisant une danse tribale dans un studio d'entraînement.")</f>
        <v>Trois femmes se présentent à l'écran en faisant une danse tribale dans un studio d'entraînement.</v>
      </c>
    </row>
    <row r="5713">
      <c r="A5713" s="4" t="s">
        <v>7181</v>
      </c>
      <c r="B5713" s="4" t="s">
        <v>7183</v>
      </c>
      <c r="C5713" s="5" t="str">
        <f>IFERROR(__xludf.DUMMYFUNCTION("GOOGLETRANSLATE(B5713,""en"",""fr"")"),"L'une des femmes fait une performance solo pendant que la musique joue en arrière-plan.")</f>
        <v>L'une des femmes fait une performance solo pendant que la musique joue en arrière-plan.</v>
      </c>
    </row>
    <row r="5714">
      <c r="A5714" s="4" t="s">
        <v>7181</v>
      </c>
      <c r="B5714" s="6" t="s">
        <v>7184</v>
      </c>
      <c r="C5714" s="5" t="str">
        <f>IFERROR(__xludf.DUMMYFUNCTION("GOOGLETRANSLATE(B5714,""en"",""fr"")"),"Les trois femmes sont à nouveau montrées en faisant la danse sur la scène tandis que d'autres personnes font la même danse devant la scène.")</f>
        <v>Les trois femmes sont à nouveau montrées en faisant la danse sur la scène tandis que d'autres personnes font la même danse devant la scène.</v>
      </c>
    </row>
    <row r="5715">
      <c r="A5715" s="4" t="s">
        <v>7181</v>
      </c>
      <c r="B5715" s="4" t="s">
        <v>7185</v>
      </c>
      <c r="C5715" s="5" t="str">
        <f>IFERROR(__xludf.DUMMYFUNCTION("GOOGLETRANSLATE(B5715,""en"",""fr"")"),"Le trio de femmes revient à l'écran et continue la danse en studio.")</f>
        <v>Le trio de femmes revient à l'écran et continue la danse en studio.</v>
      </c>
    </row>
    <row r="5716">
      <c r="A5716" s="4" t="s">
        <v>7181</v>
      </c>
      <c r="B5716" s="4" t="s">
        <v>7186</v>
      </c>
      <c r="C5716" s="5" t="str">
        <f>IFERROR(__xludf.DUMMYFUNCTION("GOOGLETRANSLATE(B5716,""en"",""fr"")"),"Ils se présentent sur scène en faisant la danse alors que la caméra les filme.")</f>
        <v>Ils se présentent sur scène en faisant la danse alors que la caméra les filme.</v>
      </c>
    </row>
    <row r="5717">
      <c r="A5717" s="4" t="s">
        <v>7181</v>
      </c>
      <c r="B5717" s="6" t="s">
        <v>7187</v>
      </c>
      <c r="C5717" s="5" t="str">
        <f>IFERROR(__xludf.DUMMYFUNCTION("GOOGLETRANSLATE(B5717,""en"",""fr"")"),"La caméra va et vient entre eux en faisant la danse sur la scène et hors de la scène montrant différents angles.")</f>
        <v>La caméra va et vient entre eux en faisant la danse sur la scène et hors de la scène montrant différents angles.</v>
      </c>
    </row>
    <row r="5718">
      <c r="A5718" s="4" t="s">
        <v>7188</v>
      </c>
      <c r="B5718" s="4" t="s">
        <v>7189</v>
      </c>
      <c r="C5718" s="5" t="str">
        <f>IFERROR(__xludf.DUMMYFUNCTION("GOOGLETRANSLATE(B5718,""en"",""fr"")"),"Deux hommes sont à l'intérieur d'un gymnase intérieur.")</f>
        <v>Deux hommes sont à l'intérieur d'un gymnase intérieur.</v>
      </c>
    </row>
    <row r="5719">
      <c r="A5719" s="4" t="s">
        <v>7188</v>
      </c>
      <c r="B5719" s="4" t="s">
        <v>7190</v>
      </c>
      <c r="C5719" s="5" t="str">
        <f>IFERROR(__xludf.DUMMYFUNCTION("GOOGLETRANSLATE(B5719,""en"",""fr"")"),"Ils sont engagés dans un art martial appelé Kickboxing.")</f>
        <v>Ils sont engagés dans un art martial appelé Kickboxing.</v>
      </c>
    </row>
    <row r="5720">
      <c r="A5720" s="4" t="s">
        <v>7188</v>
      </c>
      <c r="B5720" s="4" t="s">
        <v>7191</v>
      </c>
      <c r="C5720" s="5" t="str">
        <f>IFERROR(__xludf.DUMMYFUNCTION("GOOGLETRANSLATE(B5720,""en"",""fr"")"),"Ils se frappent et se frappent, essayant de se frapper.")</f>
        <v>Ils se frappent et se frappent, essayant de se frapper.</v>
      </c>
    </row>
    <row r="5721">
      <c r="A5721" s="4" t="s">
        <v>7192</v>
      </c>
      <c r="B5721" s="4" t="s">
        <v>7193</v>
      </c>
      <c r="C5721" s="5" t="str">
        <f>IFERROR(__xludf.DUMMYFUNCTION("GOOGLETRANSLATE(B5721,""en"",""fr"")"),"Deux mecs parlent idiot dans la caméra avec des choses enroulées autour de leur tête.")</f>
        <v>Deux mecs parlent idiot dans la caméra avec des choses enroulées autour de leur tête.</v>
      </c>
    </row>
    <row r="5722">
      <c r="A5722" s="4" t="s">
        <v>7192</v>
      </c>
      <c r="B5722" s="4" t="s">
        <v>7194</v>
      </c>
      <c r="C5722" s="5" t="str">
        <f>IFERROR(__xludf.DUMMYFUNCTION("GOOGLETRANSLATE(B5722,""en"",""fr"")"),"Ensuite, vous voyez tout le monde jouer à Beer Pong passer un bon moment à l'extérieur de plaisanter et de danser.")</f>
        <v>Ensuite, vous voyez tout le monde jouer à Beer Pong passer un bon moment à l'extérieur de plaisanter et de danser.</v>
      </c>
    </row>
    <row r="5723">
      <c r="A5723" s="4" t="s">
        <v>7192</v>
      </c>
      <c r="B5723" s="4" t="s">
        <v>7195</v>
      </c>
      <c r="C5723" s="5" t="str">
        <f>IFERROR(__xludf.DUMMYFUNCTION("GOOGLETRANSLATE(B5723,""en"",""fr"")"),"Un groupe commence à prendre des selfies et tout le monde est habillé vraiment drôle.")</f>
        <v>Un groupe commence à prendre des selfies et tout le monde est habillé vraiment drôle.</v>
      </c>
    </row>
    <row r="5724">
      <c r="A5724" s="4" t="s">
        <v>7192</v>
      </c>
      <c r="B5724" s="6" t="s">
        <v>7196</v>
      </c>
      <c r="C5724" s="5" t="str">
        <f>IFERROR(__xludf.DUMMYFUNCTION("GOOGLETRANSLATE(B5724,""en"",""fr"")"),"L'un des mecs déclenche la caméra et tout le monde continue de jouer à Bee Pong et d'être sauvage en profitant de leur temps.")</f>
        <v>L'un des mecs déclenche la caméra et tout le monde continue de jouer à Bee Pong et d'être sauvage en profitant de leur temps.</v>
      </c>
    </row>
    <row r="5725">
      <c r="A5725" s="4" t="s">
        <v>7197</v>
      </c>
      <c r="B5725" s="6" t="s">
        <v>7198</v>
      </c>
      <c r="C5725" s="5" t="str">
        <f>IFERROR(__xludf.DUMMYFUNCTION("GOOGLETRANSLATE(B5725,""en"",""fr"")"),"Plusieurs plans de personnes jouant au basket-ball sont présentées et mène à deux hommes démontrant un mouvement.")</f>
        <v>Plusieurs plans de personnes jouant au basket-ball sont présentées et mène à deux hommes démontrant un mouvement.</v>
      </c>
    </row>
    <row r="5726">
      <c r="A5726" s="4" t="s">
        <v>7197</v>
      </c>
      <c r="B5726" s="4" t="s">
        <v>7199</v>
      </c>
      <c r="C5726" s="5" t="str">
        <f>IFERROR(__xludf.DUMMYFUNCTION("GOOGLETRANSLATE(B5726,""en"",""fr"")"),"Le même mouvement est à nouveau affiché sous différents angles et instructeur l'utilisateur comment le faire.")</f>
        <v>Le même mouvement est à nouveau affiché sous différents angles et instructeur l'utilisateur comment le faire.</v>
      </c>
    </row>
    <row r="5727">
      <c r="A5727" s="4" t="s">
        <v>7197</v>
      </c>
      <c r="B5727" s="4" t="s">
        <v>7200</v>
      </c>
      <c r="C5727" s="5" t="str">
        <f>IFERROR(__xludf.DUMMYFUNCTION("GOOGLETRANSLATE(B5727,""en"",""fr"")"),"D'autres astuces sont affichées ainsi que des instructions étape par étape sur la façon de le faire correctement.")</f>
        <v>D'autres astuces sont affichées ainsi que des instructions étape par étape sur la façon de le faire correctement.</v>
      </c>
    </row>
    <row r="5728">
      <c r="A5728" s="4" t="s">
        <v>7201</v>
      </c>
      <c r="B5728" s="4" t="s">
        <v>7202</v>
      </c>
      <c r="C5728" s="5" t="str">
        <f>IFERROR(__xludf.DUMMYFUNCTION("GOOGLETRANSLATE(B5728,""en"",""fr"")"),"Une femme se tient derrière un éventail de confiseries dans une cuisine.")</f>
        <v>Une femme se tient derrière un éventail de confiseries dans une cuisine.</v>
      </c>
    </row>
    <row r="5729">
      <c r="A5729" s="4" t="s">
        <v>7201</v>
      </c>
      <c r="B5729" s="4" t="s">
        <v>7203</v>
      </c>
      <c r="C5729" s="5" t="str">
        <f>IFERROR(__xludf.DUMMYFUNCTION("GOOGLETRANSLATE(B5729,""en"",""fr"")"),"Plusieurs pops de gâteaux différents sont montrés.")</f>
        <v>Plusieurs pops de gâteaux différents sont montrés.</v>
      </c>
    </row>
    <row r="5730">
      <c r="A5730" s="4" t="s">
        <v>7201</v>
      </c>
      <c r="B5730" s="4" t="s">
        <v>7204</v>
      </c>
      <c r="C5730" s="5" t="str">
        <f>IFERROR(__xludf.DUMMYFUNCTION("GOOGLETRANSLATE(B5730,""en"",""fr"")"),"Les ingrédients sont affichés à côté des actions mélangeant des ingrédients.")</f>
        <v>Les ingrédients sont affichés à côté des actions mélangeant des ingrédients.</v>
      </c>
    </row>
    <row r="5731">
      <c r="A5731" s="4" t="s">
        <v>7201</v>
      </c>
      <c r="B5731" s="4" t="s">
        <v>7205</v>
      </c>
      <c r="C5731" s="5" t="str">
        <f>IFERROR(__xludf.DUMMYFUNCTION("GOOGLETRANSLATE(B5731,""en"",""fr"")"),"La femme frappe le gâteau dans un bol, puis ajoute du glaçage pendant qu'elle parle.")</f>
        <v>La femme frappe le gâteau dans un bol, puis ajoute du glaçage pendant qu'elle parle.</v>
      </c>
    </row>
    <row r="5732">
      <c r="A5732" s="4" t="s">
        <v>7201</v>
      </c>
      <c r="B5732" s="4" t="s">
        <v>7206</v>
      </c>
      <c r="C5732" s="5" t="str">
        <f>IFERROR(__xludf.DUMMYFUNCTION("GOOGLETRANSLATE(B5732,""en"",""fr"")"),"Elle leur permet de s'asseoir avant de fondre le revêtement de bonbons, dans lequel elle trempe ensuite les boules de gâteau.")</f>
        <v>Elle leur permet de s'asseoir avant de fondre le revêtement de bonbons, dans lequel elle trempe ensuite les boules de gâteau.</v>
      </c>
    </row>
    <row r="5733">
      <c r="A5733" s="4" t="s">
        <v>7201</v>
      </c>
      <c r="B5733" s="4" t="s">
        <v>7207</v>
      </c>
      <c r="C5733" s="5" t="str">
        <f>IFERROR(__xludf.DUMMYFUNCTION("GOOGLETRANSLATE(B5733,""en"",""fr"")"),"Elle décore la boule à gâteau dans les étapes finales.")</f>
        <v>Elle décore la boule à gâteau dans les étapes finales.</v>
      </c>
    </row>
    <row r="5734">
      <c r="A5734" s="4" t="s">
        <v>7201</v>
      </c>
      <c r="B5734" s="4" t="s">
        <v>7208</v>
      </c>
      <c r="C5734" s="5" t="str">
        <f>IFERROR(__xludf.DUMMYFUNCTION("GOOGLETRANSLATE(B5734,""en"",""fr"")"),"Une dernière gamme de pops à gâteaux est montrée lorsqu'elle termine le segment.")</f>
        <v>Une dernière gamme de pops à gâteaux est montrée lorsqu'elle termine le segment.</v>
      </c>
    </row>
    <row r="5735">
      <c r="A5735" s="4" t="s">
        <v>7209</v>
      </c>
      <c r="B5735" s="4" t="s">
        <v>7210</v>
      </c>
      <c r="C5735" s="5" t="str">
        <f>IFERROR(__xludf.DUMMYFUNCTION("GOOGLETRANSLATE(B5735,""en"",""fr"")"),"Une femme soulève et s'accroupie dans une salle de sport avec une haltère sur ses épaules.")</f>
        <v>Une femme soulève et s'accroupie dans une salle de sport avec une haltère sur ses épaules.</v>
      </c>
    </row>
    <row r="5736">
      <c r="A5736" s="4" t="s">
        <v>7209</v>
      </c>
      <c r="B5736" s="4" t="s">
        <v>7211</v>
      </c>
      <c r="C5736" s="5" t="str">
        <f>IFERROR(__xludf.DUMMYFUNCTION("GOOGLETRANSLATE(B5736,""en"",""fr"")"),"Elle se soulève puis s'assoit encore et encore.")</f>
        <v>Elle se soulève puis s'assoit encore et encore.</v>
      </c>
    </row>
    <row r="5737">
      <c r="A5737" s="4" t="s">
        <v>7212</v>
      </c>
      <c r="B5737" s="4" t="s">
        <v>7213</v>
      </c>
      <c r="C5737" s="5" t="str">
        <f>IFERROR(__xludf.DUMMYFUNCTION("GOOGLETRANSLATE(B5737,""en"",""fr"")"),"Un homme en chemise noire tient un saxophone.")</f>
        <v>Un homme en chemise noire tient un saxophone.</v>
      </c>
    </row>
    <row r="5738">
      <c r="A5738" s="4" t="s">
        <v>7212</v>
      </c>
      <c r="B5738" s="4" t="s">
        <v>7214</v>
      </c>
      <c r="C5738" s="5" t="str">
        <f>IFERROR(__xludf.DUMMYFUNCTION("GOOGLETRANSLATE(B5738,""en"",""fr"")"),"Il commence à jouer du saxophone.")</f>
        <v>Il commence à jouer du saxophone.</v>
      </c>
    </row>
    <row r="5739">
      <c r="A5739" s="4" t="s">
        <v>7212</v>
      </c>
      <c r="B5739" s="4" t="s">
        <v>7215</v>
      </c>
      <c r="C5739" s="5" t="str">
        <f>IFERROR(__xludf.DUMMYFUNCTION("GOOGLETRANSLATE(B5739,""en"",""fr"")"),"Il arrête de jouer et continue de parler.")</f>
        <v>Il arrête de jouer et continue de parler.</v>
      </c>
    </row>
    <row r="5740">
      <c r="A5740" s="4" t="s">
        <v>7216</v>
      </c>
      <c r="B5740" s="6" t="s">
        <v>7217</v>
      </c>
      <c r="C5740" s="5" t="str">
        <f>IFERROR(__xludf.DUMMYFUNCTION("GOOGLETRANSLATE(B5740,""en"",""fr"")"),"Une introduction mène à plusieurs plans de divers ingrédients disposés sur une planche en bois, suivi d'un ensemble de mains coupant certains ingrédients.")</f>
        <v>Une introduction mène à plusieurs plans de divers ingrédients disposés sur une planche en bois, suivi d'un ensemble de mains coupant certains ingrédients.</v>
      </c>
    </row>
    <row r="5741">
      <c r="A5741" s="4" t="s">
        <v>7216</v>
      </c>
      <c r="B5741" s="4" t="s">
        <v>7218</v>
      </c>
      <c r="C5741" s="5" t="str">
        <f>IFERROR(__xludf.DUMMYFUNCTION("GOOGLETRANSLATE(B5741,""en"",""fr"")"),"Une personne note ensuite du fromage dans un bol et ouvre les pâtes.")</f>
        <v>Une personne note ensuite du fromage dans un bol et ouvre les pâtes.</v>
      </c>
    </row>
    <row r="5742">
      <c r="A5742" s="4" t="s">
        <v>7216</v>
      </c>
      <c r="B5742" s="6" t="s">
        <v>7219</v>
      </c>
      <c r="C5742" s="5" t="str">
        <f>IFERROR(__xludf.DUMMYFUNCTION("GOOGLETRANSLATE(B5742,""en"",""fr"")"),"Ils ont mis les pâtes dans un bol ainsi que faire frire les crevettes et met tous les ingrédients dans une casserole.")</f>
        <v>Ils ont mis les pâtes dans un bol ainsi que faire frire les crevettes et met tous les ingrédients dans une casserole.</v>
      </c>
    </row>
    <row r="5743">
      <c r="A5743" s="4" t="s">
        <v>7216</v>
      </c>
      <c r="B5743" s="4" t="s">
        <v>7220</v>
      </c>
      <c r="C5743" s="5" t="str">
        <f>IFERROR(__xludf.DUMMYFUNCTION("GOOGLETRANSLATE(B5743,""en"",""fr"")"),"La personne sert ensuite la nourriture sur une assiette et le texte apparaît sur l'écran.")</f>
        <v>La personne sert ensuite la nourriture sur une assiette et le texte apparaît sur l'écran.</v>
      </c>
    </row>
    <row r="5744">
      <c r="A5744" s="4" t="s">
        <v>7221</v>
      </c>
      <c r="B5744" s="4" t="s">
        <v>7222</v>
      </c>
      <c r="C5744" s="5" t="str">
        <f>IFERROR(__xludf.DUMMYFUNCTION("GOOGLETRANSLATE(B5744,""en"",""fr"")"),"Le titre apparaît et s'estompe.")</f>
        <v>Le titre apparaît et s'estompe.</v>
      </c>
    </row>
    <row r="5745">
      <c r="A5745" s="4" t="s">
        <v>7221</v>
      </c>
      <c r="B5745" s="4" t="s">
        <v>7223</v>
      </c>
      <c r="C5745" s="5" t="str">
        <f>IFERROR(__xludf.DUMMYFUNCTION("GOOGLETRANSLATE(B5745,""en"",""fr"")"),"Nous voyons un homme prendre du poids près de sa tête.")</f>
        <v>Nous voyons un homme prendre du poids près de sa tête.</v>
      </c>
    </row>
    <row r="5746">
      <c r="A5746" s="4" t="s">
        <v>7221</v>
      </c>
      <c r="B5746" s="4" t="s">
        <v>7224</v>
      </c>
      <c r="C5746" s="5" t="str">
        <f>IFERROR(__xludf.DUMMYFUNCTION("GOOGLETRANSLATE(B5746,""en"",""fr"")"),"Trois hommes passent dans le miroir.")</f>
        <v>Trois hommes passent dans le miroir.</v>
      </c>
    </row>
    <row r="5747">
      <c r="A5747" s="4" t="s">
        <v>7221</v>
      </c>
      <c r="B5747" s="4" t="s">
        <v>7225</v>
      </c>
      <c r="C5747" s="5" t="str">
        <f>IFERROR(__xludf.DUMMYFUNCTION("GOOGLETRANSLATE(B5747,""en"",""fr"")"),"La caméra zoome sur le sujet principal.")</f>
        <v>La caméra zoome sur le sujet principal.</v>
      </c>
    </row>
    <row r="5748">
      <c r="A5748" s="4" t="s">
        <v>7221</v>
      </c>
      <c r="B5748" s="4" t="s">
        <v>7226</v>
      </c>
      <c r="C5748" s="5" t="str">
        <f>IFERROR(__xludf.DUMMYFUNCTION("GOOGLETRANSLATE(B5748,""en"",""fr"")"),"Un homme en gris passe dans le miroir.")</f>
        <v>Un homme en gris passe dans le miroir.</v>
      </c>
    </row>
    <row r="5749">
      <c r="A5749" s="4" t="s">
        <v>7221</v>
      </c>
      <c r="B5749" s="4" t="s">
        <v>7227</v>
      </c>
      <c r="C5749" s="5" t="str">
        <f>IFERROR(__xludf.DUMMYFUNCTION("GOOGLETRANSLATE(B5749,""en"",""fr"")"),"L'écran devient noir et nous voyons les crédits de fin.")</f>
        <v>L'écran devient noir et nous voyons les crédits de fin.</v>
      </c>
    </row>
    <row r="5750">
      <c r="A5750" s="4" t="s">
        <v>7228</v>
      </c>
      <c r="B5750" s="4" t="s">
        <v>7229</v>
      </c>
      <c r="C5750" s="5" t="str">
        <f>IFERROR(__xludf.DUMMYFUNCTION("GOOGLETRANSLATE(B5750,""en"",""fr"")"),"Une bouteille de gel de nettoyage en profondeur est montrée.")</f>
        <v>Une bouteille de gel de nettoyage en profondeur est montrée.</v>
      </c>
    </row>
    <row r="5751">
      <c r="A5751" s="4" t="s">
        <v>7228</v>
      </c>
      <c r="B5751" s="6" t="s">
        <v>7230</v>
      </c>
      <c r="C5751" s="5" t="str">
        <f>IFERROR(__xludf.DUMMYFUNCTION("GOOGLETRANSLATE(B5751,""en"",""fr"")"),"Une femme tient la bouteille, puis est montrée en utilisant plusieurs solutions différentes qu'elle s'aligne ensemble sur le comptoir.")</f>
        <v>Une femme tient la bouteille, puis est montrée en utilisant plusieurs solutions différentes qu'elle s'aligne ensemble sur le comptoir.</v>
      </c>
    </row>
    <row r="5752">
      <c r="A5752" s="4" t="s">
        <v>7228</v>
      </c>
      <c r="B5752" s="4" t="s">
        <v>7231</v>
      </c>
      <c r="C5752" s="5" t="str">
        <f>IFERROR(__xludf.DUMMYFUNCTION("GOOGLETRANSLATE(B5752,""en"",""fr"")"),"Elle utilise chacun sur son visage, puis les rince.")</f>
        <v>Elle utilise chacun sur son visage, puis les rince.</v>
      </c>
    </row>
    <row r="5753">
      <c r="A5753" s="4" t="s">
        <v>7232</v>
      </c>
      <c r="B5753" s="4" t="s">
        <v>7233</v>
      </c>
      <c r="C5753" s="5" t="str">
        <f>IFERROR(__xludf.DUMMYFUNCTION("GOOGLETRANSLATE(B5753,""en"",""fr"")"),"Nous voyons un écran de titre bleu avec des lettres blanches.")</f>
        <v>Nous voyons un écran de titre bleu avec des lettres blanches.</v>
      </c>
    </row>
    <row r="5754">
      <c r="A5754" s="4" t="s">
        <v>7232</v>
      </c>
      <c r="B5754" s="4" t="s">
        <v>7234</v>
      </c>
      <c r="C5754" s="5" t="str">
        <f>IFERROR(__xludf.DUMMYFUNCTION("GOOGLETRANSLATE(B5754,""en"",""fr"")"),"Nous voyons deux filles debout dans une pièce, puis effectuer un flip.")</f>
        <v>Nous voyons deux filles debout dans une pièce, puis effectuer un flip.</v>
      </c>
    </row>
    <row r="5755">
      <c r="A5755" s="4" t="s">
        <v>7232</v>
      </c>
      <c r="B5755" s="4" t="s">
        <v>7235</v>
      </c>
      <c r="C5755" s="5" t="str">
        <f>IFERROR(__xludf.DUMMYFUNCTION("GOOGLETRANSLATE(B5755,""en"",""fr"")"),"Nous voyons 2 filles différentes faire des flips différents.")</f>
        <v>Nous voyons 2 filles différentes faire des flips différents.</v>
      </c>
    </row>
    <row r="5756">
      <c r="A5756" s="4" t="s">
        <v>7232</v>
      </c>
      <c r="B5756" s="4" t="s">
        <v>7236</v>
      </c>
      <c r="C5756" s="5" t="str">
        <f>IFERROR(__xludf.DUMMYFUNCTION("GOOGLETRANSLATE(B5756,""en"",""fr"")"),"Une fille fait un retournement du dos.")</f>
        <v>Une fille fait un retournement du dos.</v>
      </c>
    </row>
    <row r="5757">
      <c r="A5757" s="4" t="s">
        <v>7232</v>
      </c>
      <c r="B5757" s="4" t="s">
        <v>7237</v>
      </c>
      <c r="C5757" s="5" t="str">
        <f>IFERROR(__xludf.DUMMYFUNCTION("GOOGLETRANSLATE(B5757,""en"",""fr"")"),"Nous voyons ensuite quatre filles faire un retour en arrière.")</f>
        <v>Nous voyons ensuite quatre filles faire un retour en arrière.</v>
      </c>
    </row>
    <row r="5758">
      <c r="A5758" s="4" t="s">
        <v>7238</v>
      </c>
      <c r="B5758" s="4" t="s">
        <v>7239</v>
      </c>
      <c r="C5758" s="5" t="str">
        <f>IFERROR(__xludf.DUMMYFUNCTION("GOOGLETRANSLATE(B5758,""en"",""fr"")"),"Nous voyons un écran de titre noir.")</f>
        <v>Nous voyons un écran de titre noir.</v>
      </c>
    </row>
    <row r="5759">
      <c r="A5759" s="4" t="s">
        <v>7238</v>
      </c>
      <c r="B5759" s="4" t="s">
        <v>7240</v>
      </c>
      <c r="C5759" s="5" t="str">
        <f>IFERROR(__xludf.DUMMYFUNCTION("GOOGLETRANSLATE(B5759,""en"",""fr"")"),"Nous voyons un homme avoir ses poils du visage garni d'un rasoir électrique.")</f>
        <v>Nous voyons un homme avoir ses poils du visage garni d'un rasoir électrique.</v>
      </c>
    </row>
    <row r="5760">
      <c r="A5760" s="4" t="s">
        <v>7238</v>
      </c>
      <c r="B5760" s="4" t="s">
        <v>7241</v>
      </c>
      <c r="C5760" s="5" t="str">
        <f>IFERROR(__xludf.DUMMYFUNCTION("GOOGLETRANSLATE(B5760,""en"",""fr"")"),"Nous voyons un homme rasé avec un rasoir droit.")</f>
        <v>Nous voyons un homme rasé avec un rasoir droit.</v>
      </c>
    </row>
    <row r="5761">
      <c r="A5761" s="4" t="s">
        <v>7238</v>
      </c>
      <c r="B5761" s="4" t="s">
        <v>7242</v>
      </c>
      <c r="C5761" s="5" t="str">
        <f>IFERROR(__xludf.DUMMYFUNCTION("GOOGLETRANSLATE(B5761,""en"",""fr"")"),"Nous voyons ensuite l'écran de clôture.")</f>
        <v>Nous voyons ensuite l'écran de clôture.</v>
      </c>
    </row>
    <row r="5762">
      <c r="A5762" s="4" t="s">
        <v>7243</v>
      </c>
      <c r="B5762" s="4" t="s">
        <v>7244</v>
      </c>
      <c r="C5762" s="5" t="str">
        <f>IFERROR(__xludf.DUMMYFUNCTION("GOOGLETRANSLATE(B5762,""en"",""fr"")"),"Un homme se dirige vers une haltère et se penche, se soulevant aux genoux.")</f>
        <v>Un homme se dirige vers une haltère et se penche, se soulevant aux genoux.</v>
      </c>
    </row>
    <row r="5763">
      <c r="A5763" s="4" t="s">
        <v>7243</v>
      </c>
      <c r="B5763" s="4" t="s">
        <v>7245</v>
      </c>
      <c r="C5763" s="5" t="str">
        <f>IFERROR(__xludf.DUMMYFUNCTION("GOOGLETRANSLATE(B5763,""en"",""fr"")"),"Il soulève l'haltère jusqu'à sa poitrine, repose un instant, puis le soulève au-dessus de sa tête.")</f>
        <v>Il soulève l'haltère jusqu'à sa poitrine, repose un instant, puis le soulève au-dessus de sa tête.</v>
      </c>
    </row>
    <row r="5764">
      <c r="A5764" s="4" t="s">
        <v>7243</v>
      </c>
      <c r="B5764" s="4" t="s">
        <v>7246</v>
      </c>
      <c r="C5764" s="5" t="str">
        <f>IFERROR(__xludf.DUMMYFUNCTION("GOOGLETRANSLATE(B5764,""en"",""fr"")"),"Il tient la pose pendant quelques secondes avant de la laisser tomber au sol.")</f>
        <v>Il tient la pose pendant quelques secondes avant de la laisser tomber au sol.</v>
      </c>
    </row>
    <row r="5765">
      <c r="A5765" s="4" t="s">
        <v>7247</v>
      </c>
      <c r="B5765" s="4" t="s">
        <v>7248</v>
      </c>
      <c r="C5765" s="5" t="str">
        <f>IFERROR(__xludf.DUMMYFUNCTION("GOOGLETRANSLATE(B5765,""en"",""fr"")"),"Une ombre est vue dans la salle fumée.")</f>
        <v>Une ombre est vue dans la salle fumée.</v>
      </c>
    </row>
    <row r="5766">
      <c r="A5766" s="4" t="s">
        <v>7247</v>
      </c>
      <c r="B5766" s="4" t="s">
        <v>7249</v>
      </c>
      <c r="C5766" s="5" t="str">
        <f>IFERROR(__xludf.DUMMYFUNCTION("GOOGLETRANSLATE(B5766,""en"",""fr"")"),"Une femme prend une douche et se lave les cheveux.")</f>
        <v>Une femme prend une douche et se lave les cheveux.</v>
      </c>
    </row>
    <row r="5767">
      <c r="A5767" s="4" t="s">
        <v>7247</v>
      </c>
      <c r="B5767" s="4" t="s">
        <v>7250</v>
      </c>
      <c r="C5767" s="5" t="str">
        <f>IFERROR(__xludf.DUMMYFUNCTION("GOOGLETRANSLATE(B5767,""en"",""fr"")"),"Elle le sépare par des brins, mettant le revitalisant dessus.")</f>
        <v>Elle le sépare par des brins, mettant le revitalisant dessus.</v>
      </c>
    </row>
    <row r="5768">
      <c r="A5768" s="4" t="s">
        <v>7251</v>
      </c>
      <c r="B5768" s="4" t="s">
        <v>7252</v>
      </c>
      <c r="C5768" s="5" t="str">
        <f>IFERROR(__xludf.DUMMYFUNCTION("GOOGLETRANSLATE(B5768,""en"",""fr"")"),"Une femme est vue portant un chapeau drôle tout en parlant à la caméra et en s'asseyant sur une chaise.")</f>
        <v>Une femme est vue portant un chapeau drôle tout en parlant à la caméra et en s'asseyant sur une chaise.</v>
      </c>
    </row>
    <row r="5769">
      <c r="A5769" s="4" t="s">
        <v>7251</v>
      </c>
      <c r="B5769" s="4" t="s">
        <v>7253</v>
      </c>
      <c r="C5769" s="5" t="str">
        <f>IFERROR(__xludf.DUMMYFUNCTION("GOOGLETRANSLATE(B5769,""en"",""fr"")"),"La femme tricote ensuite dans sa chaise tout en se terminant par une autre photo d'elle.")</f>
        <v>La femme tricote ensuite dans sa chaise tout en se terminant par une autre photo d'elle.</v>
      </c>
    </row>
    <row r="5770">
      <c r="A5770" s="4" t="s">
        <v>7254</v>
      </c>
      <c r="B5770" s="6" t="s">
        <v>7255</v>
      </c>
      <c r="C5770" s="5" t="str">
        <f>IFERROR(__xludf.DUMMYFUNCTION("GOOGLETRANSLATE(B5770,""en"",""fr"")"),"Un jeune garçon est assis sur une chaise avec une robe de protection et se fait couper les cheveux avec des tondeuses électriques par maman à la maison.")</f>
        <v>Un jeune garçon est assis sur une chaise avec une robe de protection et se fait couper les cheveux avec des tondeuses électriques par maman à la maison.</v>
      </c>
    </row>
    <row r="5771">
      <c r="A5771" s="4" t="s">
        <v>7254</v>
      </c>
      <c r="B5771" s="4" t="s">
        <v>7256</v>
      </c>
      <c r="C5771" s="5" t="str">
        <f>IFERROR(__xludf.DUMMYFUNCTION("GOOGLETRANSLATE(B5771,""en"",""fr"")"),"La mère enlève les poils coupés de la tête des garçons avec des doigts.")</f>
        <v>La mère enlève les poils coupés de la tête des garçons avec des doigts.</v>
      </c>
    </row>
    <row r="5772">
      <c r="A5772" s="4" t="s">
        <v>7254</v>
      </c>
      <c r="B5772" s="4" t="s">
        <v>7257</v>
      </c>
      <c r="C5772" s="5" t="str">
        <f>IFERROR(__xludf.DUMMYFUNCTION("GOOGLETRANSLATE(B5772,""en"",""fr"")"),"Une fille est vue en train de regarder dans la pièce.")</f>
        <v>Une fille est vue en train de regarder dans la pièce.</v>
      </c>
    </row>
    <row r="5773">
      <c r="A5773" s="4" t="s">
        <v>7258</v>
      </c>
      <c r="B5773" s="6" t="s">
        <v>7259</v>
      </c>
      <c r="C5773" s="5" t="str">
        <f>IFERROR(__xludf.DUMMYFUNCTION("GOOGLETRANSLATE(B5773,""en"",""fr"")"),"Une femme est vue en parlant à la caméra tout en levant une épingle à bobby, puis se retourne les cheveux et commence à tresser.")</f>
        <v>Une femme est vue en parlant à la caméra tout en levant une épingle à bobby, puis se retourne les cheveux et commence à tresser.</v>
      </c>
    </row>
    <row r="5774">
      <c r="A5774" s="4" t="s">
        <v>7258</v>
      </c>
      <c r="B5774" s="4" t="s">
        <v>7260</v>
      </c>
      <c r="C5774" s="5" t="str">
        <f>IFERROR(__xludf.DUMMYFUNCTION("GOOGLETRANSLATE(B5774,""en"",""fr"")"),"La fille met ensuite ses cheveux dans une queue de poney et enroule ses cheveux pour faire un jeu de mots.")</f>
        <v>La fille met ensuite ses cheveux dans une queue de poney et enroule ses cheveux pour faire un jeu de mots.</v>
      </c>
    </row>
    <row r="5775">
      <c r="A5775" s="4" t="s">
        <v>7258</v>
      </c>
      <c r="B5775" s="4" t="s">
        <v>7261</v>
      </c>
      <c r="C5775" s="5" t="str">
        <f>IFERROR(__xludf.DUMMYFUNCTION("GOOGLETRANSLATE(B5775,""en"",""fr"")"),"Elle épingle enfin ses cheveux, puis montre ses cheveux tout en pointant la caméra.")</f>
        <v>Elle épingle enfin ses cheveux, puis montre ses cheveux tout en pointant la caméra.</v>
      </c>
    </row>
    <row r="5776">
      <c r="A5776" s="4" t="s">
        <v>7262</v>
      </c>
      <c r="B5776" s="4" t="s">
        <v>7263</v>
      </c>
      <c r="C5776" s="5" t="str">
        <f>IFERROR(__xludf.DUMMYFUNCTION("GOOGLETRANSLATE(B5776,""en"",""fr"")"),"Une journaliste de presse parle dans une salle de nouvelles.")</f>
        <v>Une journaliste de presse parle dans une salle de nouvelles.</v>
      </c>
    </row>
    <row r="5777">
      <c r="A5777" s="4" t="s">
        <v>7262</v>
      </c>
      <c r="B5777" s="4" t="s">
        <v>7264</v>
      </c>
      <c r="C5777" s="5" t="str">
        <f>IFERROR(__xludf.DUMMYFUNCTION("GOOGLETRANSLATE(B5777,""en"",""fr"")"),"Nous voyons plusieurs personnes monter sur des chevaux comme une foule regarde.")</f>
        <v>Nous voyons plusieurs personnes monter sur des chevaux comme une foule regarde.</v>
      </c>
    </row>
    <row r="5778">
      <c r="A5778" s="4" t="s">
        <v>7262</v>
      </c>
      <c r="B5778" s="4" t="s">
        <v>7265</v>
      </c>
      <c r="C5778" s="5" t="str">
        <f>IFERROR(__xludf.DUMMYFUNCTION("GOOGLETRANSLATE(B5778,""en"",""fr"")"),"Les gens frappent les sacs avec des bâtons pendant qu'ils montent.")</f>
        <v>Les gens frappent les sacs avec des bâtons pendant qu'ils montent.</v>
      </c>
    </row>
    <row r="5779">
      <c r="A5779" s="4" t="s">
        <v>7262</v>
      </c>
      <c r="B5779" s="4" t="s">
        <v>7266</v>
      </c>
      <c r="C5779" s="5" t="str">
        <f>IFERROR(__xludf.DUMMYFUNCTION("GOOGLETRANSLATE(B5779,""en"",""fr"")"),"Les gens sont ensuite interviewés au sujet du jeu, et un homme est montré dans des flèches de tir.")</f>
        <v>Les gens sont ensuite interviewés au sujet du jeu, et un homme est montré dans des flèches de tir.</v>
      </c>
    </row>
    <row r="5780">
      <c r="A5780" s="4" t="s">
        <v>7267</v>
      </c>
      <c r="B5780" s="4" t="s">
        <v>7268</v>
      </c>
      <c r="C5780" s="5" t="str">
        <f>IFERROR(__xludf.DUMMYFUNCTION("GOOGLETRANSLATE(B5780,""en"",""fr"")"),"L'homme est en haltérophilie de gymnase.")</f>
        <v>L'homme est en haltérophilie de gymnase.</v>
      </c>
    </row>
    <row r="5781">
      <c r="A5781" s="4" t="s">
        <v>7267</v>
      </c>
      <c r="B5781" s="4" t="s">
        <v>7269</v>
      </c>
      <c r="C5781" s="5" t="str">
        <f>IFERROR(__xludf.DUMMYFUNCTION("GOOGLETRANSLATE(B5781,""en"",""fr"")"),"La femme marche derrière l'homme qui regarde l'homme.")</f>
        <v>La femme marche derrière l'homme qui regarde l'homme.</v>
      </c>
    </row>
    <row r="5782">
      <c r="A5782" s="4" t="s">
        <v>7267</v>
      </c>
      <c r="B5782" s="4" t="s">
        <v>7270</v>
      </c>
      <c r="C5782" s="5" t="str">
        <f>IFERROR(__xludf.DUMMYFUNCTION("GOOGLETRANSLATE(B5782,""en"",""fr"")"),"La femme soulève huit pendant que son homme s'assoit pour la regarder.")</f>
        <v>La femme soulève huit pendant que son homme s'assoit pour la regarder.</v>
      </c>
    </row>
    <row r="5783">
      <c r="A5783" s="4" t="s">
        <v>7271</v>
      </c>
      <c r="B5783" s="4" t="s">
        <v>7272</v>
      </c>
      <c r="C5783" s="5" t="str">
        <f>IFERROR(__xludf.DUMMYFUNCTION("GOOGLETRANSLATE(B5783,""en"",""fr"")"),"Un homme se tient à l'extérieur en tenant un violon.")</f>
        <v>Un homme se tient à l'extérieur en tenant un violon.</v>
      </c>
    </row>
    <row r="5784">
      <c r="A5784" s="4" t="s">
        <v>7271</v>
      </c>
      <c r="B5784" s="4" t="s">
        <v>7273</v>
      </c>
      <c r="C5784" s="5" t="str">
        <f>IFERROR(__xludf.DUMMYFUNCTION("GOOGLETRANSLATE(B5784,""en"",""fr"")"),"Il commence à jouer du violon.")</f>
        <v>Il commence à jouer du violon.</v>
      </c>
    </row>
    <row r="5785">
      <c r="A5785" s="4" t="s">
        <v>7271</v>
      </c>
      <c r="B5785" s="4" t="s">
        <v>7274</v>
      </c>
      <c r="C5785" s="5" t="str">
        <f>IFERROR(__xludf.DUMMYFUNCTION("GOOGLETRANSLATE(B5785,""en"",""fr"")"),"Il s'arrête et place le violon à ses côtés.")</f>
        <v>Il s'arrête et place le violon à ses côtés.</v>
      </c>
    </row>
    <row r="5786">
      <c r="A5786" s="4" t="s">
        <v>7275</v>
      </c>
      <c r="B5786" s="6" t="s">
        <v>7276</v>
      </c>
      <c r="C5786" s="5" t="str">
        <f>IFERROR(__xludf.DUMMYFUNCTION("GOOGLETRANSLATE(B5786,""en"",""fr"")"),"Il y a deux hommes vêtus de chemises blanches portant des chapeaux faisant de la lutte libre dans un stade intérieur.")</f>
        <v>Il y a deux hommes vêtus de chemises blanches portant des chapeaux faisant de la lutte libre dans un stade intérieur.</v>
      </c>
    </row>
    <row r="5787">
      <c r="A5787" s="4" t="s">
        <v>7275</v>
      </c>
      <c r="B5787" s="6" t="s">
        <v>7277</v>
      </c>
      <c r="C5787" s="5" t="str">
        <f>IFERROR(__xludf.DUMMYFUNCTION("GOOGLETRANSLATE(B5787,""en"",""fr"")"),"Il y a plusieurs spectateurs qui les regardent, certains assis sur des chaises et certains assis par terre.")</f>
        <v>Il y a plusieurs spectateurs qui les regardent, certains assis sur des chaises et certains assis par terre.</v>
      </c>
    </row>
    <row r="5788">
      <c r="A5788" s="4" t="s">
        <v>7275</v>
      </c>
      <c r="B5788" s="6" t="s">
        <v>7278</v>
      </c>
      <c r="C5788" s="5" t="str">
        <f>IFERROR(__xludf.DUMMYFUNCTION("GOOGLETRANSLATE(B5788,""en"",""fr"")"),"Il y a des gens assis sur des chaises jouant divers instruments à main et chantant pour encourager les combattants.")</f>
        <v>Il y a des gens assis sur des chaises jouant divers instruments à main et chantant pour encourager les combattants.</v>
      </c>
    </row>
    <row r="5789">
      <c r="A5789" s="4" t="s">
        <v>7275</v>
      </c>
      <c r="B5789" s="6" t="s">
        <v>7279</v>
      </c>
      <c r="C5789" s="5" t="str">
        <f>IFERROR(__xludf.DUMMYFUNCTION("GOOGLETRANSLATE(B5789,""en"",""fr"")"),"Les deux hommes continuent de lutter de manière non agressive en attaquant à tour de rôle l'adversaire.")</f>
        <v>Les deux hommes continuent de lutter de manière non agressive en attaquant à tour de rôle l'adversaire.</v>
      </c>
    </row>
    <row r="5790">
      <c r="A5790" s="4" t="s">
        <v>7275</v>
      </c>
      <c r="B5790" s="4" t="s">
        <v>7280</v>
      </c>
      <c r="C5790" s="5" t="str">
        <f>IFERROR(__xludf.DUMMYFUNCTION("GOOGLETRANSLATE(B5790,""en"",""fr"")"),"Ils continuent de se battre alors qu'un homme fait un retournement avant.")</f>
        <v>Ils continuent de se battre alors qu'un homme fait un retournement avant.</v>
      </c>
    </row>
    <row r="5791">
      <c r="A5791" s="4" t="s">
        <v>7275</v>
      </c>
      <c r="B5791" s="4" t="s">
        <v>7281</v>
      </c>
      <c r="C5791" s="5" t="str">
        <f>IFERROR(__xludf.DUMMYFUNCTION("GOOGLETRANSLATE(B5791,""en"",""fr"")"),"Dans le tour final, ils accélèrent le combat avec des coups de pied et des mouvements plus rapides.")</f>
        <v>Dans le tour final, ils accélèrent le combat avec des coups de pied et des mouvements plus rapides.</v>
      </c>
    </row>
    <row r="5792">
      <c r="A5792" s="4" t="s">
        <v>7282</v>
      </c>
      <c r="B5792" s="4" t="s">
        <v>7283</v>
      </c>
      <c r="C5792" s="5" t="str">
        <f>IFERROR(__xludf.DUMMYFUNCTION("GOOGLETRANSLATE(B5792,""en"",""fr"")"),"Un groupe de garçons ciseliers un nom de sable sur la plage avec leurs mains.")</f>
        <v>Un groupe de garçons ciseliers un nom de sable sur la plage avec leurs mains.</v>
      </c>
    </row>
    <row r="5793">
      <c r="A5793" s="4" t="s">
        <v>7282</v>
      </c>
      <c r="B5793" s="4" t="s">
        <v>7284</v>
      </c>
      <c r="C5793" s="5" t="str">
        <f>IFERROR(__xludf.DUMMYFUNCTION("GOOGLETRANSLATE(B5793,""en"",""fr"")"),"Les garçons quittent l'art d'art en laissant un seul garçon dans un t-shirt rouge pour y travailler seul.")</f>
        <v>Les garçons quittent l'art d'art en laissant un seul garçon dans un t-shirt rouge pour y travailler seul.</v>
      </c>
    </row>
    <row r="5794">
      <c r="A5794" s="4" t="s">
        <v>7282</v>
      </c>
      <c r="B5794" s="6" t="s">
        <v>7285</v>
      </c>
      <c r="C5794" s="5" t="str">
        <f>IFERROR(__xludf.DUMMYFUNCTION("GOOGLETRANSLATE(B5794,""en"",""fr"")"),"Deux garçons reviennent avec deux boules de sable en rond et s'asseyent à côté de l'art d'art alors qu'ils travaillent sur les boules de sable qu'ils ont rassemblées pendant qu'un groupe d'enfants se rassemble pour regarder.")</f>
        <v>Deux garçons reviennent avec deux boules de sable en rond et s'asseyent à côté de l'art d'art alors qu'ils travaillent sur les boules de sable qu'ils ont rassemblées pendant qu'un groupe d'enfants se rassemble pour regarder.</v>
      </c>
    </row>
    <row r="5795">
      <c r="A5795" s="4" t="s">
        <v>7286</v>
      </c>
      <c r="B5795" s="6" t="s">
        <v>7287</v>
      </c>
      <c r="C5795" s="5" t="str">
        <f>IFERROR(__xludf.DUMMYFUNCTION("GOOGLETRANSLATE(B5795,""en"",""fr"")"),"Une intro mène à plusieurs plans de graffitis sur un mur ainsi que des gens qui se déplacent et se parlent.")</f>
        <v>Une intro mène à plusieurs plans de graffitis sur un mur ainsi que des gens qui se déplacent et se parlent.</v>
      </c>
    </row>
    <row r="5796">
      <c r="A5796" s="4" t="s">
        <v>7286</v>
      </c>
      <c r="B5796" s="6" t="s">
        <v>7288</v>
      </c>
      <c r="C5796" s="5" t="str">
        <f>IFERROR(__xludf.DUMMYFUNCTION("GOOGLETRANSLATE(B5796,""en"",""fr"")"),"Un rappeur est ensuite vu se faire tatouer d'un homme tandis que la caméra capture plusieurs angles et montrent des œuvres d'art.")</f>
        <v>Un rappeur est ensuite vu se faire tatouer d'un homme tandis que la caméra capture plusieurs angles et montrent des œuvres d'art.</v>
      </c>
    </row>
    <row r="5797">
      <c r="A5797" s="4" t="s">
        <v>7286</v>
      </c>
      <c r="B5797" s="6" t="s">
        <v>7289</v>
      </c>
      <c r="C5797" s="5" t="str">
        <f>IFERROR(__xludf.DUMMYFUNCTION("GOOGLETRANSLATE(B5797,""en"",""fr"")"),"Plus de gens montrent leurs tatouages ​​et le rappeur pointe vers la caméra et montre le tatouage et la couverture d'album finis.")</f>
        <v>Plus de gens montrent leurs tatouages ​​et le rappeur pointe vers la caméra et montre le tatouage et la couverture d'album finis.</v>
      </c>
    </row>
    <row r="5798">
      <c r="A5798" s="4" t="s">
        <v>7290</v>
      </c>
      <c r="B5798" s="4" t="s">
        <v>7291</v>
      </c>
      <c r="C5798" s="5" t="str">
        <f>IFERROR(__xludf.DUMMYFUNCTION("GOOGLETRANSLATE(B5798,""en"",""fr"")"),"Un groupe s'entraîne dans un gymnase.")</f>
        <v>Un groupe s'entraîne dans un gymnase.</v>
      </c>
    </row>
    <row r="5799">
      <c r="A5799" s="4" t="s">
        <v>7290</v>
      </c>
      <c r="B5799" s="4" t="s">
        <v>7292</v>
      </c>
      <c r="C5799" s="5" t="str">
        <f>IFERROR(__xludf.DUMMYFUNCTION("GOOGLETRANSLATE(B5799,""en"",""fr"")"),"Les gens tournoient des drapeaux tout en se tenant dans une ligne.")</f>
        <v>Les gens tournoient des drapeaux tout en se tenant dans une ligne.</v>
      </c>
    </row>
    <row r="5800">
      <c r="A5800" s="4" t="s">
        <v>7290</v>
      </c>
      <c r="B5800" s="4" t="s">
        <v>7293</v>
      </c>
      <c r="C5800" s="5" t="str">
        <f>IFERROR(__xludf.DUMMYFUNCTION("GOOGLETRANSLATE(B5800,""en"",""fr"")"),"Les batteurs marchent dans le gymnase.")</f>
        <v>Les batteurs marchent dans le gymnase.</v>
      </c>
    </row>
    <row r="5801">
      <c r="A5801" s="4" t="s">
        <v>7290</v>
      </c>
      <c r="B5801" s="4" t="s">
        <v>7294</v>
      </c>
      <c r="C5801" s="5" t="str">
        <f>IFERROR(__xludf.DUMMYFUNCTION("GOOGLETRANSLATE(B5801,""en"",""fr"")"),"Ils entrent dans une ligne et dansent du gymnase.")</f>
        <v>Ils entrent dans une ligne et dansent du gymnase.</v>
      </c>
    </row>
    <row r="5802">
      <c r="A5802" s="4" t="s">
        <v>7295</v>
      </c>
      <c r="B5802" s="4" t="s">
        <v>7296</v>
      </c>
      <c r="C5802" s="5" t="str">
        <f>IFERROR(__xludf.DUMMYFUNCTION("GOOGLETRANSLATE(B5802,""en"",""fr"")"),"Une personne est vue en parlant à la caméra et en fumant dans une pipe de narguilé.")</f>
        <v>Une personne est vue en parlant à la caméra et en fumant dans une pipe de narguilé.</v>
      </c>
    </row>
    <row r="5803">
      <c r="A5803" s="4" t="s">
        <v>7295</v>
      </c>
      <c r="B5803" s="6" t="s">
        <v>7297</v>
      </c>
      <c r="C5803" s="5" t="str">
        <f>IFERROR(__xludf.DUMMYFUNCTION("GOOGLETRANSLATE(B5803,""en"",""fr"")"),"La caméra se déroule dans la zone et continue de parler à l'homme et mène à une photo d'un bateau passant et d'un feu proche.")</f>
        <v>La caméra se déroule dans la zone et continue de parler à l'homme et mène à une photo d'un bateau passant et d'un feu proche.</v>
      </c>
    </row>
    <row r="5804">
      <c r="A5804" s="4" t="s">
        <v>7298</v>
      </c>
      <c r="B5804" s="4" t="s">
        <v>7299</v>
      </c>
      <c r="C5804" s="5" t="str">
        <f>IFERROR(__xludf.DUMMYFUNCTION("GOOGLETRANSLATE(B5804,""en"",""fr"")"),"Une femme commence à danser à côté d'un homme devant une foule rassemblée.")</f>
        <v>Une femme commence à danser à côté d'un homme devant une foule rassemblée.</v>
      </c>
    </row>
    <row r="5805">
      <c r="A5805" s="4" t="s">
        <v>7298</v>
      </c>
      <c r="B5805" s="4" t="s">
        <v>7300</v>
      </c>
      <c r="C5805" s="5" t="str">
        <f>IFERROR(__xludf.DUMMYFUNCTION("GOOGLETRANSLATE(B5805,""en"",""fr"")"),"Ils tournent en rond pendant qu'ils dansent.")</f>
        <v>Ils tournent en rond pendant qu'ils dansent.</v>
      </c>
    </row>
    <row r="5806">
      <c r="A5806" s="4" t="s">
        <v>7298</v>
      </c>
      <c r="B5806" s="4" t="s">
        <v>7301</v>
      </c>
      <c r="C5806" s="5" t="str">
        <f>IFERROR(__xludf.DUMMYFUNCTION("GOOGLETRANSLATE(B5806,""en"",""fr"")"),"Elle va entre ses jambes, glissant vers l'extérieur et se blessant le cou.")</f>
        <v>Elle va entre ses jambes, glissant vers l'extérieur et se blessant le cou.</v>
      </c>
    </row>
    <row r="5807">
      <c r="A5807" s="4" t="s">
        <v>7298</v>
      </c>
      <c r="B5807" s="4" t="s">
        <v>7302</v>
      </c>
      <c r="C5807" s="5" t="str">
        <f>IFERROR(__xludf.DUMMYFUNCTION("GOOGLETRANSLATE(B5807,""en"",""fr"")"),"Elle se lève en riant et fait un câlin à l'homme.")</f>
        <v>Elle se lève en riant et fait un câlin à l'homme.</v>
      </c>
    </row>
    <row r="5808">
      <c r="A5808" s="4" t="s">
        <v>7303</v>
      </c>
      <c r="B5808" s="6" t="s">
        <v>7304</v>
      </c>
      <c r="C5808" s="5" t="str">
        <f>IFERROR(__xludf.DUMMYFUNCTION("GOOGLETRANSLATE(B5808,""en"",""fr"")"),"On voit une femme qui séchent ses cheveux tout en utilisant un peigne dans diverses modes et en utilisant différents produits.")</f>
        <v>On voit une femme qui séchent ses cheveux tout en utilisant un peigne dans diverses modes et en utilisant différents produits.</v>
      </c>
    </row>
    <row r="5809">
      <c r="A5809" s="4" t="s">
        <v>7303</v>
      </c>
      <c r="B5809" s="4" t="s">
        <v>7305</v>
      </c>
      <c r="C5809" s="5" t="str">
        <f>IFERROR(__xludf.DUMMYFUNCTION("GOOGLETRANSLATE(B5809,""en"",""fr"")"),"La femme continue d'utiliser le sèche-linge sur ses cheveux et se termine en montrant ses cheveux finis.")</f>
        <v>La femme continue d'utiliser le sèche-linge sur ses cheveux et se termine en montrant ses cheveux finis.</v>
      </c>
    </row>
    <row r="5810">
      <c r="A5810" s="4" t="s">
        <v>7306</v>
      </c>
      <c r="B5810" s="4" t="s">
        <v>7307</v>
      </c>
      <c r="C5810" s="5" t="str">
        <f>IFERROR(__xludf.DUMMYFUNCTION("GOOGLETRANSLATE(B5810,""en"",""fr"")"),"Un homme en costume jaune et noir soulève un acier.")</f>
        <v>Un homme en costume jaune et noir soulève un acier.</v>
      </c>
    </row>
    <row r="5811">
      <c r="A5811" s="4" t="s">
        <v>7306</v>
      </c>
      <c r="B5811" s="4" t="s">
        <v>7308</v>
      </c>
      <c r="C5811" s="5" t="str">
        <f>IFERROR(__xludf.DUMMYFUNCTION("GOOGLETRANSLATE(B5811,""en"",""fr"")"),"Il arrête le travail de soudage.")</f>
        <v>Il arrête le travail de soudage.</v>
      </c>
    </row>
    <row r="5812">
      <c r="A5812" s="4" t="s">
        <v>7306</v>
      </c>
      <c r="B5812" s="4" t="s">
        <v>7309</v>
      </c>
      <c r="C5812" s="5" t="str">
        <f>IFERROR(__xludf.DUMMYFUNCTION("GOOGLETRANSLATE(B5812,""en"",""fr"")"),"Puis il s'éloigne et l'inspecte.")</f>
        <v>Puis il s'éloigne et l'inspecte.</v>
      </c>
    </row>
    <row r="5813">
      <c r="A5813" s="4" t="s">
        <v>7310</v>
      </c>
      <c r="B5813" s="6" t="s">
        <v>7311</v>
      </c>
      <c r="C5813" s="5" t="str">
        <f>IFERROR(__xludf.DUMMYFUNCTION("GOOGLETRANSLATE(B5813,""en"",""fr"")"),"Trois athlètes de différents pays concourent l'haltérophilie à l'avant du jury, au cours du premier tour, tous les athlètes soulèvent le poids avec succès.")</f>
        <v>Trois athlètes de différents pays concourent l'haltérophilie à l'avant du jury, au cours du premier tour, tous les athlètes soulèvent le poids avec succès.</v>
      </c>
    </row>
    <row r="5814">
      <c r="A5814" s="4" t="s">
        <v>7310</v>
      </c>
      <c r="B5814" s="6" t="s">
        <v>7312</v>
      </c>
      <c r="C5814" s="5" t="str">
        <f>IFERROR(__xludf.DUMMYFUNCTION("GOOGLETRANSLATE(B5814,""en"",""fr"")"),"Au deuxième tour, l'athlète avec un uniforme bleu se lève avec succès et embrasse la barre du poids, les autres athlètes réussissent également.")</f>
        <v>Au deuxième tour, l'athlète avec un uniforme bleu se lève avec succès et embrasse la barre du poids, les autres athlètes réussissent également.</v>
      </c>
    </row>
    <row r="5815">
      <c r="A5815" s="4" t="s">
        <v>7310</v>
      </c>
      <c r="B5815" s="4" t="s">
        <v>7313</v>
      </c>
      <c r="C5815" s="5" t="str">
        <f>IFERROR(__xludf.DUMMYFUNCTION("GOOGLETRANSLATE(B5815,""en"",""fr"")"),"Au troisième tour, l'athlète indien a laissé tomber le poids.")</f>
        <v>Au troisième tour, l'athlète indien a laissé tomber le poids.</v>
      </c>
    </row>
    <row r="5816">
      <c r="A5816" s="4" t="s">
        <v>7310</v>
      </c>
      <c r="B5816" s="6" t="s">
        <v>7314</v>
      </c>
      <c r="C5816" s="5" t="str">
        <f>IFERROR(__xludf.DUMMYFUNCTION("GOOGLETRANSLATE(B5816,""en"",""fr"")"),"L'athlète avec un uniforme rouge est félicité, puis se tiendra sur la première place du podium et des pourparlers.")</f>
        <v>L'athlète avec un uniforme rouge est félicité, puis se tiendra sur la première place du podium et des pourparlers.</v>
      </c>
    </row>
    <row r="5817">
      <c r="A5817" s="4" t="s">
        <v>7315</v>
      </c>
      <c r="B5817" s="4" t="s">
        <v>7316</v>
      </c>
      <c r="C5817" s="5" t="str">
        <f>IFERROR(__xludf.DUMMYFUNCTION("GOOGLETRANSLATE(B5817,""en"",""fr"")"),"Une pièce est couverte pour éviter que la peinture soit éclaboussée sur des objets dans la pièce.")</f>
        <v>Une pièce est couverte pour éviter que la peinture soit éclaboussée sur des objets dans la pièce.</v>
      </c>
    </row>
    <row r="5818">
      <c r="A5818" s="4" t="s">
        <v>7315</v>
      </c>
      <c r="B5818" s="4" t="s">
        <v>7317</v>
      </c>
      <c r="C5818" s="5" t="str">
        <f>IFERROR(__xludf.DUMMYFUNCTION("GOOGLETRANSLATE(B5818,""en"",""fr"")"),"Une pièce est vue avec du ruban bleu sur ses bordures et ses murs.")</f>
        <v>Une pièce est vue avec du ruban bleu sur ses bordures et ses murs.</v>
      </c>
    </row>
    <row r="5819">
      <c r="A5819" s="4" t="s">
        <v>7315</v>
      </c>
      <c r="B5819" s="4" t="s">
        <v>7318</v>
      </c>
      <c r="C5819" s="5" t="str">
        <f>IFERROR(__xludf.DUMMYFUNCTION("GOOGLETRANSLATE(B5819,""en"",""fr"")"),"Les sols de la pièce ont également un sac sur le tapis.")</f>
        <v>Les sols de la pièce ont également un sac sur le tapis.</v>
      </c>
    </row>
    <row r="5820">
      <c r="A5820" s="4" t="s">
        <v>7315</v>
      </c>
      <c r="B5820" s="4" t="s">
        <v>7319</v>
      </c>
      <c r="C5820" s="5" t="str">
        <f>IFERROR(__xludf.DUMMYFUNCTION("GOOGLETRANSLATE(B5820,""en"",""fr"")"),"L'escalier d'une maison a des sacs dessus pour éviter les dommages causés par la peinture.")</f>
        <v>L'escalier d'une maison a des sacs dessus pour éviter les dommages causés par la peinture.</v>
      </c>
    </row>
    <row r="5821">
      <c r="A5821" s="4" t="s">
        <v>7315</v>
      </c>
      <c r="B5821" s="4" t="s">
        <v>7320</v>
      </c>
      <c r="C5821" s="5" t="str">
        <f>IFERROR(__xludf.DUMMYFUNCTION("GOOGLETRANSLATE(B5821,""en"",""fr"")"),"Un plafond scintillant est vu.")</f>
        <v>Un plafond scintillant est vu.</v>
      </c>
    </row>
    <row r="5822">
      <c r="A5822" s="4" t="s">
        <v>7321</v>
      </c>
      <c r="B5822" s="4" t="s">
        <v>7322</v>
      </c>
      <c r="C5822" s="5" t="str">
        <f>IFERROR(__xludf.DUMMYFUNCTION("GOOGLETRANSLATE(B5822,""en"",""fr"")"),"Un bateau est vu rouler le long de l'eau avec une personne sur des skis derrière.")</f>
        <v>Un bateau est vu rouler le long de l'eau avec une personne sur des skis derrière.</v>
      </c>
    </row>
    <row r="5823">
      <c r="A5823" s="4" t="s">
        <v>7321</v>
      </c>
      <c r="B5823" s="4" t="s">
        <v>7323</v>
      </c>
      <c r="C5823" s="5" t="str">
        <f>IFERROR(__xludf.DUMMYFUNCTION("GOOGLETRANSLATE(B5823,""en"",""fr"")"),"La personne fait un flip et atterrit vers l'arrière dans l'eau.")</f>
        <v>La personne fait un flip et atterrit vers l'arrière dans l'eau.</v>
      </c>
    </row>
    <row r="5824">
      <c r="A5824" s="4" t="s">
        <v>7324</v>
      </c>
      <c r="B5824" s="4" t="s">
        <v>7325</v>
      </c>
      <c r="C5824" s="5" t="str">
        <f>IFERROR(__xludf.DUMMYFUNCTION("GOOGLETRANSLATE(B5824,""en"",""fr"")"),"Une femme et un homme sont à l'intérieur d'une voiture qui parle, puis l'homme tourne la tête.")</f>
        <v>Une femme et un homme sont à l'intérieur d'une voiture qui parle, puis l'homme tourne la tête.</v>
      </c>
    </row>
    <row r="5825">
      <c r="A5825" s="4" t="s">
        <v>7324</v>
      </c>
      <c r="B5825" s="6" t="s">
        <v>7326</v>
      </c>
      <c r="C5825" s="5" t="str">
        <f>IFERROR(__xludf.DUMMYFUNCTION("GOOGLETRANSLATE(B5825,""en"",""fr"")"),"Une jeune femme lave une voiture portant seulement un soutien-gorge et un short, puis elle saupoudre de l'eau sur la tête un tournant.")</f>
        <v>Une jeune femme lave une voiture portant seulement un soutien-gorge et un short, puis elle saupoudre de l'eau sur la tête un tournant.</v>
      </c>
    </row>
    <row r="5826">
      <c r="A5826" s="4" t="s">
        <v>7324</v>
      </c>
      <c r="B5826" s="4" t="s">
        <v>7327</v>
      </c>
      <c r="C5826" s="5" t="str">
        <f>IFERROR(__xludf.DUMMYFUNCTION("GOOGLETRANSLATE(B5826,""en"",""fr"")"),"Après, l'homme se tourne pour voir la femme en colère et crier.")</f>
        <v>Après, l'homme se tourne pour voir la femme en colère et crier.</v>
      </c>
    </row>
    <row r="5827">
      <c r="A5827" s="4" t="s">
        <v>7328</v>
      </c>
      <c r="B5827" s="4" t="s">
        <v>7329</v>
      </c>
      <c r="C5827" s="5" t="str">
        <f>IFERROR(__xludf.DUMMYFUNCTION("GOOGLETRANSLATE(B5827,""en"",""fr"")"),"Little Kid est dans le sable en faisant un château à l'aide d'une petite pelle à pellets pour enfants.")</f>
        <v>Little Kid est dans le sable en faisant un château à l'aide d'une petite pelle à pellets pour enfants.</v>
      </c>
    </row>
    <row r="5828">
      <c r="A5828" s="4" t="s">
        <v>7328</v>
      </c>
      <c r="B5828" s="6" t="s">
        <v>7330</v>
      </c>
      <c r="C5828" s="5" t="str">
        <f>IFERROR(__xludf.DUMMYFUNCTION("GOOGLETRANSLATE(B5828,""en"",""fr"")"),"Les ennemis de petite fille dans le château dans le sable et commencent à jouer pendant que l'enfant apporte plus d'eau de la mer.")</f>
        <v>Les ennemis de petite fille dans le château dans le sable et commencent à jouer pendant que l'enfant apporte plus d'eau de la mer.</v>
      </c>
    </row>
    <row r="5829">
      <c r="A5829" s="4" t="s">
        <v>7331</v>
      </c>
      <c r="B5829" s="4" t="s">
        <v>7332</v>
      </c>
      <c r="C5829" s="5" t="str">
        <f>IFERROR(__xludf.DUMMYFUNCTION("GOOGLETRANSLATE(B5829,""en"",""fr"")"),"Une femme est assise avec un bébé dans ses bras.")</f>
        <v>Une femme est assise avec un bébé dans ses bras.</v>
      </c>
    </row>
    <row r="5830">
      <c r="A5830" s="4" t="s">
        <v>7331</v>
      </c>
      <c r="B5830" s="4" t="s">
        <v>7333</v>
      </c>
      <c r="C5830" s="5" t="str">
        <f>IFERROR(__xludf.DUMMYFUNCTION("GOOGLETRANSLATE(B5830,""en"",""fr"")"),"Elle prend des coups de pouce d'un cornet de crème glacée, et le bébé rit hystériquement à chaque fois.")</f>
        <v>Elle prend des coups de pouce d'un cornet de crème glacée, et le bébé rit hystériquement à chaque fois.</v>
      </c>
    </row>
    <row r="5831">
      <c r="A5831" s="4" t="s">
        <v>7331</v>
      </c>
      <c r="B5831" s="4" t="s">
        <v>7334</v>
      </c>
      <c r="C5831" s="5" t="str">
        <f>IFERROR(__xludf.DUMMYFUNCTION("GOOGLETRANSLATE(B5831,""en"",""fr"")"),"Elle lui propose des morsures, retirant le cône et le faisant rire.")</f>
        <v>Elle lui propose des morsures, retirant le cône et le faisant rire.</v>
      </c>
    </row>
    <row r="5832">
      <c r="A5832" s="4" t="s">
        <v>7335</v>
      </c>
      <c r="B5832" s="4" t="s">
        <v>7336</v>
      </c>
      <c r="C5832" s="5" t="str">
        <f>IFERROR(__xludf.DUMMYFUNCTION("GOOGLETRANSLATE(B5832,""en"",""fr"")"),"Un homme balance un canoë sur une rivière.")</f>
        <v>Un homme balance un canoë sur une rivière.</v>
      </c>
    </row>
    <row r="5833">
      <c r="A5833" s="4" t="s">
        <v>7335</v>
      </c>
      <c r="B5833" s="4" t="s">
        <v>7337</v>
      </c>
      <c r="C5833" s="5" t="str">
        <f>IFERROR(__xludf.DUMMYFUNCTION("GOOGLETRANSLATE(B5833,""en"",""fr"")"),"Plusieurs autres personnes rameuses aussi.")</f>
        <v>Plusieurs autres personnes rameuses aussi.</v>
      </c>
    </row>
    <row r="5834">
      <c r="A5834" s="4" t="s">
        <v>7335</v>
      </c>
      <c r="B5834" s="4" t="s">
        <v>7338</v>
      </c>
      <c r="C5834" s="5" t="str">
        <f>IFERROR(__xludf.DUMMYFUNCTION("GOOGLETRANSLATE(B5834,""en"",""fr"")"),"Son canoë est coloré rouge.")</f>
        <v>Son canoë est coloré rouge.</v>
      </c>
    </row>
    <row r="5835">
      <c r="A5835" s="4" t="s">
        <v>7335</v>
      </c>
      <c r="B5835" s="4" t="s">
        <v>7339</v>
      </c>
      <c r="C5835" s="5" t="str">
        <f>IFERROR(__xludf.DUMMYFUNCTION("GOOGLETRANSLATE(B5835,""en"",""fr"")"),"Il passe finalement le point.")</f>
        <v>Il passe finalement le point.</v>
      </c>
    </row>
    <row r="5836">
      <c r="A5836" s="4" t="s">
        <v>7340</v>
      </c>
      <c r="B5836" s="4" t="s">
        <v>7341</v>
      </c>
      <c r="C5836" s="5" t="str">
        <f>IFERROR(__xludf.DUMMYFUNCTION("GOOGLETRANSLATE(B5836,""en"",""fr"")"),"Une femme utilise un rouleau à pâtisserie pour dérouler la pâte sur le comptoir.")</f>
        <v>Une femme utilise un rouleau à pâtisserie pour dérouler la pâte sur le comptoir.</v>
      </c>
    </row>
    <row r="5837">
      <c r="A5837" s="4" t="s">
        <v>7340</v>
      </c>
      <c r="B5837" s="4" t="s">
        <v>7342</v>
      </c>
      <c r="C5837" s="5" t="str">
        <f>IFERROR(__xludf.DUMMYFUNCTION("GOOGLETRANSLATE(B5837,""en"",""fr"")"),"Une autre femme enlève quelque chose d'une plaque à pâtisserie.")</f>
        <v>Une autre femme enlève quelque chose d'une plaque à pâtisserie.</v>
      </c>
    </row>
    <row r="5838">
      <c r="A5838" s="4" t="s">
        <v>7343</v>
      </c>
      <c r="B5838" s="4" t="s">
        <v>7344</v>
      </c>
      <c r="C5838" s="5" t="str">
        <f>IFERROR(__xludf.DUMMYFUNCTION("GOOGLETRANSLATE(B5838,""en"",""fr"")"),"Les femmes se tiennent dans une table en train de lutter contre les bras dans une compétition.")</f>
        <v>Les femmes se tiennent dans une table en train de lutter contre les bras dans une compétition.</v>
      </c>
    </row>
    <row r="5839">
      <c r="A5839" s="4" t="s">
        <v>7343</v>
      </c>
      <c r="B5839" s="4" t="s">
        <v>7345</v>
      </c>
      <c r="C5839" s="5" t="str">
        <f>IFERROR(__xludf.DUMMYFUNCTION("GOOGLETRANSLATE(B5839,""en"",""fr"")"),"Deux arbitres sur le côté des tables et se regardent.")</f>
        <v>Deux arbitres sur le côté des tables et se regardent.</v>
      </c>
    </row>
    <row r="5840">
      <c r="A5840" s="4" t="s">
        <v>7343</v>
      </c>
      <c r="B5840" s="4" t="s">
        <v>7346</v>
      </c>
      <c r="C5840" s="5" t="str">
        <f>IFERROR(__xludf.DUMMYFUNCTION("GOOGLETRANSLATE(B5840,""en"",""fr"")"),"Les femmes se luttent à nouveau dans le tableau et à la fin des autres.")</f>
        <v>Les femmes se luttent à nouveau dans le tableau et à la fin des autres.</v>
      </c>
    </row>
    <row r="5841">
      <c r="A5841" s="4" t="s">
        <v>7347</v>
      </c>
      <c r="B5841" s="4" t="s">
        <v>7348</v>
      </c>
      <c r="C5841" s="5" t="str">
        <f>IFERROR(__xludf.DUMMYFUNCTION("GOOGLETRANSLATE(B5841,""en"",""fr"")"),"Les gens jouent au croquet sur un champ d'herbe.")</f>
        <v>Les gens jouent au croquet sur un champ d'herbe.</v>
      </c>
    </row>
    <row r="5842">
      <c r="A5842" s="4" t="s">
        <v>7347</v>
      </c>
      <c r="B5842" s="4" t="s">
        <v>7349</v>
      </c>
      <c r="C5842" s="5" t="str">
        <f>IFERROR(__xludf.DUMMYFUNCTION("GOOGLETRANSLATE(B5842,""en"",""fr"")"),"Une carte du monde est montrée.")</f>
        <v>Une carte du monde est montrée.</v>
      </c>
    </row>
    <row r="5843">
      <c r="A5843" s="4" t="s">
        <v>7347</v>
      </c>
      <c r="B5843" s="4" t="s">
        <v>7350</v>
      </c>
      <c r="C5843" s="5" t="str">
        <f>IFERROR(__xludf.DUMMYFUNCTION("GOOGLETRANSLATE(B5843,""en"",""fr"")"),"Les trophées sont affichés à l'écran.")</f>
        <v>Les trophées sont affichés à l'écran.</v>
      </c>
    </row>
    <row r="5844">
      <c r="A5844" s="4" t="s">
        <v>7351</v>
      </c>
      <c r="B5844" s="4" t="s">
        <v>7352</v>
      </c>
      <c r="C5844" s="5" t="str">
        <f>IFERROR(__xludf.DUMMYFUNCTION("GOOGLETRANSLATE(B5844,""en"",""fr"")"),"Un homme porte un chapeau et à genoux sur un tapis bleu.")</f>
        <v>Un homme porte un chapeau et à genoux sur un tapis bleu.</v>
      </c>
    </row>
    <row r="5845">
      <c r="A5845" s="4" t="s">
        <v>7351</v>
      </c>
      <c r="B5845" s="4" t="s">
        <v>7353</v>
      </c>
      <c r="C5845" s="5" t="str">
        <f>IFERROR(__xludf.DUMMYFUNCTION("GOOGLETRANSLATE(B5845,""en"",""fr"")"),"Il commence à tirer sur une corde sur une machine d'entraînement.")</f>
        <v>Il commence à tirer sur une corde sur une machine d'entraînement.</v>
      </c>
    </row>
    <row r="5846">
      <c r="A5846" s="4" t="s">
        <v>7354</v>
      </c>
      <c r="B5846" s="4" t="s">
        <v>7355</v>
      </c>
      <c r="C5846" s="5" t="str">
        <f>IFERROR(__xludf.DUMMYFUNCTION("GOOGLETRANSLATE(B5846,""en"",""fr"")"),"Une femme en haut rose tient un cerceau et parle à la caméra.")</f>
        <v>Une femme en haut rose tient un cerceau et parle à la caméra.</v>
      </c>
    </row>
    <row r="5847">
      <c r="A5847" s="4" t="s">
        <v>7354</v>
      </c>
      <c r="B5847" s="4" t="s">
        <v>7356</v>
      </c>
      <c r="C5847" s="5" t="str">
        <f>IFERROR(__xludf.DUMMYFUNCTION("GOOGLETRANSLATE(B5847,""en"",""fr"")"),"La femme a mis le cerceau à sa taille et a commencé à cerceau.")</f>
        <v>La femme a mis le cerceau à sa taille et a commencé à cerceau.</v>
      </c>
    </row>
    <row r="5848">
      <c r="A5848" s="4" t="s">
        <v>7354</v>
      </c>
      <c r="B5848" s="6" t="s">
        <v>7357</v>
      </c>
      <c r="C5848" s="5" t="str">
        <f>IFERROR(__xludf.DUMMYFUNCTION("GOOGLETRANSLATE(B5848,""en"",""fr"")"),"La femme s'arrêta et se retourna et commence à secouer ses hanches, elle a changé ses cerceaux en plus petite, mais la petite continue de tomber, puis a changé les cerceaux en plus gros et elle a commencé à secouer ses hanches avec les cerceaux.")</f>
        <v>La femme s'arrêta et se retourna et commence à secouer ses hanches, elle a changé ses cerceaux en plus petite, mais la petite continue de tomber, puis a changé les cerceaux en plus gros et elle a commencé à secouer ses hanches avec les cerceaux.</v>
      </c>
    </row>
    <row r="5849">
      <c r="A5849" s="4" t="s">
        <v>7358</v>
      </c>
      <c r="B5849" s="4" t="s">
        <v>7359</v>
      </c>
      <c r="C5849" s="5" t="str">
        <f>IFERROR(__xludf.DUMMYFUNCTION("GOOGLETRANSLATE(B5849,""en"",""fr"")"),"Un groupe d'hommes est à l'intérieur d'un club sombre.")</f>
        <v>Un groupe d'hommes est à l'intérieur d'un club sombre.</v>
      </c>
    </row>
    <row r="5850">
      <c r="A5850" s="4" t="s">
        <v>7358</v>
      </c>
      <c r="B5850" s="4" t="s">
        <v>7360</v>
      </c>
      <c r="C5850" s="5" t="str">
        <f>IFERROR(__xludf.DUMMYFUNCTION("GOOGLETRANSLATE(B5850,""en"",""fr"")"),"Un homme commence à jeter des fléchettes sur quelque chose d'écran.")</f>
        <v>Un homme commence à jeter des fléchettes sur quelque chose d'écran.</v>
      </c>
    </row>
    <row r="5851">
      <c r="A5851" s="4" t="s">
        <v>7358</v>
      </c>
      <c r="B5851" s="6" t="s">
        <v>7361</v>
      </c>
      <c r="C5851" s="5" t="str">
        <f>IFERROR(__xludf.DUMMYFUNCTION("GOOGLETRANSLATE(B5851,""en"",""fr"")"),"Il le répète plusieurs fois avant d'abandonner, de hausser les épaules et de tourner la caméra vers la planche DART.")</f>
        <v>Il le répète plusieurs fois avant d'abandonner, de hausser les épaules et de tourner la caméra vers la planche DART.</v>
      </c>
    </row>
    <row r="5852">
      <c r="A5852" s="4" t="s">
        <v>7358</v>
      </c>
      <c r="B5852" s="4" t="s">
        <v>7362</v>
      </c>
      <c r="C5852" s="5" t="str">
        <f>IFERROR(__xludf.DUMMYFUNCTION("GOOGLETRANSLATE(B5852,""en"",""fr"")"),"Nous voyons que quatre des fléchettes ont frappé exactement le même endroit.")</f>
        <v>Nous voyons que quatre des fléchettes ont frappé exactement le même endroit.</v>
      </c>
    </row>
    <row r="5853">
      <c r="A5853" s="4" t="s">
        <v>7363</v>
      </c>
      <c r="B5853" s="6" t="s">
        <v>7364</v>
      </c>
      <c r="C5853" s="5" t="str">
        <f>IFERROR(__xludf.DUMMYFUNCTION("GOOGLETRANSLATE(B5853,""en"",""fr"")"),"Un petit groupe de personnes est vu nager autour d'une piscine et mène à plusieurs plans d'un nageur jetant une balle dans un filet.")</f>
        <v>Un petit groupe de personnes est vu nager autour d'une piscine et mène à plusieurs plans d'un nageur jetant une balle dans un filet.</v>
      </c>
    </row>
    <row r="5854">
      <c r="A5854" s="4" t="s">
        <v>7363</v>
      </c>
      <c r="B5854" s="6" t="s">
        <v>7365</v>
      </c>
      <c r="C5854" s="5" t="str">
        <f>IFERROR(__xludf.DUMMYFUNCTION("GOOGLETRANSLATE(B5854,""en"",""fr"")"),"Le gardien de but bloque quelques tirs, puis passe avec un autre coéquipier pendant que le public applaudit.")</f>
        <v>Le gardien de but bloque quelques tirs, puis passe avec un autre coéquipier pendant que le public applaudit.</v>
      </c>
    </row>
    <row r="5855">
      <c r="A5855" s="4" t="s">
        <v>7363</v>
      </c>
      <c r="B5855" s="6" t="s">
        <v>7366</v>
      </c>
      <c r="C5855" s="5" t="str">
        <f>IFERROR(__xludf.DUMMYFUNCTION("GOOGLETRANSLATE(B5855,""en"",""fr"")"),"Les gens changent en continu et conduisent à gagner une équipe et à célébrer tous ensemble dans l'eau.")</f>
        <v>Les gens changent en continu et conduisent à gagner une équipe et à célébrer tous ensemble dans l'eau.</v>
      </c>
    </row>
    <row r="5856">
      <c r="A5856" s="4" t="s">
        <v>7367</v>
      </c>
      <c r="B5856" s="6" t="s">
        <v>7368</v>
      </c>
      <c r="C5856" s="5" t="str">
        <f>IFERROR(__xludf.DUMMYFUNCTION("GOOGLETRANSLATE(B5856,""en"",""fr"")"),"Plusieurs hommes sont représentés à différents rodéos chevauchant des chevaux et capturant le veau attaché à la chaîne.")</f>
        <v>Plusieurs hommes sont représentés à différents rodéos chevauchant des chevaux et capturant le veau attaché à la chaîne.</v>
      </c>
    </row>
    <row r="5857">
      <c r="A5857" s="4" t="s">
        <v>7367</v>
      </c>
      <c r="B5857" s="6" t="s">
        <v>7369</v>
      </c>
      <c r="C5857" s="5" t="str">
        <f>IFERROR(__xludf.DUMMYFUNCTION("GOOGLETRANSLATE(B5857,""en"",""fr"")"),"Au fur et à mesure que davantage d'emplacements sont montrés, plus d'animaux sont capturés et plus de gens sont montrés en regardant les actions.")</f>
        <v>Au fur et à mesure que davantage d'emplacements sont montrés, plus d'animaux sont capturés et plus de gens sont montrés en regardant les actions.</v>
      </c>
    </row>
    <row r="5858">
      <c r="A5858" s="4" t="s">
        <v>7370</v>
      </c>
      <c r="B5858" s="4" t="s">
        <v>7371</v>
      </c>
      <c r="C5858" s="5" t="str">
        <f>IFERROR(__xludf.DUMMYFUNCTION("GOOGLETRANSLATE(B5858,""en"",""fr"")"),"Une jeune femme fait des grimaces à la caméra.")</f>
        <v>Une jeune femme fait des grimaces à la caméra.</v>
      </c>
    </row>
    <row r="5859">
      <c r="A5859" s="4" t="s">
        <v>7370</v>
      </c>
      <c r="B5859" s="4" t="s">
        <v>7372</v>
      </c>
      <c r="C5859" s="5" t="str">
        <f>IFERROR(__xludf.DUMMYFUNCTION("GOOGLETRANSLATE(B5859,""en"",""fr"")"),"Elle tient une boîte qui a des codes à barres et lit ""Sterling Gray"" dessus.")</f>
        <v>Elle tient une boîte qui a des codes à barres et lit "Sterling Gray" dessus.</v>
      </c>
    </row>
    <row r="5860">
      <c r="A5860" s="4" t="s">
        <v>7370</v>
      </c>
      <c r="B5860" s="4" t="s">
        <v>7373</v>
      </c>
      <c r="C5860" s="5" t="str">
        <f>IFERROR(__xludf.DUMMYFUNCTION("GOOGLETRANSLATE(B5860,""en"",""fr"")"),"Elle montre une bouteille de caisses de lentilles de contact et de contact visuel.")</f>
        <v>Elle montre une bouteille de caisses de lentilles de contact et de contact visuel.</v>
      </c>
    </row>
    <row r="5861">
      <c r="A5861" s="4" t="s">
        <v>7370</v>
      </c>
      <c r="B5861" s="4" t="s">
        <v>7374</v>
      </c>
      <c r="C5861" s="5" t="str">
        <f>IFERROR(__xludf.DUMMYFUNCTION("GOOGLETRANSLATE(B5861,""en"",""fr"")"),"Elle applique à la fois les lentilles de contact et les cris.")</f>
        <v>Elle applique à la fois les lentilles de contact et les cris.</v>
      </c>
    </row>
    <row r="5862">
      <c r="A5862" s="4" t="s">
        <v>7375</v>
      </c>
      <c r="B5862" s="4" t="s">
        <v>7376</v>
      </c>
      <c r="C5862" s="5" t="str">
        <f>IFERROR(__xludf.DUMMYFUNCTION("GOOGLETRANSLATE(B5862,""en"",""fr"")"),"L'homme ouvre une boîte avec des ciseaux et prend un vélo non armé.")</f>
        <v>L'homme ouvre une boîte avec des ciseaux et prend un vélo non armé.</v>
      </c>
    </row>
    <row r="5863">
      <c r="A5863" s="4" t="s">
        <v>7375</v>
      </c>
      <c r="B5863" s="4" t="s">
        <v>7377</v>
      </c>
      <c r="C5863" s="5" t="str">
        <f>IFERROR(__xludf.DUMMYFUNCTION("GOOGLETRANSLATE(B5863,""en"",""fr"")"),"L'homme arme le vélo à l'intérieur d'une pièce avec du sol en bois.")</f>
        <v>L'homme arme le vélo à l'intérieur d'une pièce avec du sol en bois.</v>
      </c>
    </row>
    <row r="5864">
      <c r="A5864" s="4" t="s">
        <v>7378</v>
      </c>
      <c r="B5864" s="4" t="s">
        <v>7379</v>
      </c>
      <c r="C5864" s="5" t="str">
        <f>IFERROR(__xludf.DUMMYFUNCTION("GOOGLETRANSLATE(B5864,""en"",""fr"")"),"La personne tient une lame pour l'affûter.")</f>
        <v>La personne tient une lame pour l'affûter.</v>
      </c>
    </row>
    <row r="5865">
      <c r="A5865" s="4" t="s">
        <v>7378</v>
      </c>
      <c r="B5865" s="4" t="s">
        <v>7380</v>
      </c>
      <c r="C5865" s="5" t="str">
        <f>IFERROR(__xludf.DUMMYFUNCTION("GOOGLETRANSLATE(B5865,""en"",""fr"")"),"La personne enlève la ceinture de la machine.")</f>
        <v>La personne enlève la ceinture de la machine.</v>
      </c>
    </row>
    <row r="5866">
      <c r="A5866" s="4" t="s">
        <v>7378</v>
      </c>
      <c r="B5866" s="4" t="s">
        <v>7381</v>
      </c>
      <c r="C5866" s="5" t="str">
        <f>IFERROR(__xludf.DUMMYFUNCTION("GOOGLETRANSLATE(B5866,""en"",""fr"")"),"La personne met une nouvelle ceinture sur la machine.")</f>
        <v>La personne met une nouvelle ceinture sur la machine.</v>
      </c>
    </row>
    <row r="5867">
      <c r="A5867" s="4" t="s">
        <v>7378</v>
      </c>
      <c r="B5867" s="4" t="s">
        <v>7382</v>
      </c>
      <c r="C5867" s="5" t="str">
        <f>IFERROR(__xludf.DUMMYFUNCTION("GOOGLETRANSLATE(B5867,""en"",""fr"")"),"La personne ne fait que la lame sur la deuxième ceinture.")</f>
        <v>La personne ne fait que la lame sur la deuxième ceinture.</v>
      </c>
    </row>
    <row r="5868">
      <c r="A5868" s="4" t="s">
        <v>7378</v>
      </c>
      <c r="B5868" s="4" t="s">
        <v>7383</v>
      </c>
      <c r="C5868" s="5" t="str">
        <f>IFERROR(__xludf.DUMMYFUNCTION("GOOGLETRANSLATE(B5868,""en"",""fr"")"),"La personne enlève la deuxième ceinture.")</f>
        <v>La personne enlève la deuxième ceinture.</v>
      </c>
    </row>
    <row r="5869">
      <c r="A5869" s="4" t="s">
        <v>7378</v>
      </c>
      <c r="B5869" s="4" t="s">
        <v>7384</v>
      </c>
      <c r="C5869" s="5" t="str">
        <f>IFERROR(__xludf.DUMMYFUNCTION("GOOGLETRANSLATE(B5869,""en"",""fr"")"),"La personne met une troisième ceinture.")</f>
        <v>La personne met une troisième ceinture.</v>
      </c>
    </row>
    <row r="5870">
      <c r="A5870" s="4" t="s">
        <v>7378</v>
      </c>
      <c r="B5870" s="4" t="s">
        <v>7385</v>
      </c>
      <c r="C5870" s="5" t="str">
        <f>IFERROR(__xludf.DUMMYFUNCTION("GOOGLETRANSLATE(B5870,""en"",""fr"")"),"La personne aiguise la lame sur la troisième ceinture.")</f>
        <v>La personne aiguise la lame sur la troisième ceinture.</v>
      </c>
    </row>
    <row r="5871">
      <c r="A5871" s="4" t="s">
        <v>7378</v>
      </c>
      <c r="B5871" s="4" t="s">
        <v>7386</v>
      </c>
      <c r="C5871" s="5" t="str">
        <f>IFERROR(__xludf.DUMMYFUNCTION("GOOGLETRANSLATE(B5871,""en"",""fr"")"),"La personne démontre le bord de la lame.")</f>
        <v>La personne démontre le bord de la lame.</v>
      </c>
    </row>
    <row r="5872">
      <c r="A5872" s="4" t="s">
        <v>7387</v>
      </c>
      <c r="B5872" s="4" t="s">
        <v>7388</v>
      </c>
      <c r="C5872" s="5" t="str">
        <f>IFERROR(__xludf.DUMMYFUNCTION("GOOGLETRANSLATE(B5872,""en"",""fr"")"),"Une voiture est vue en train de conduire et mène à un homme pompant de l'air dans le pneu.")</f>
        <v>Une voiture est vue en train de conduire et mène à un homme pompant de l'air dans le pneu.</v>
      </c>
    </row>
    <row r="5873">
      <c r="A5873" s="4" t="s">
        <v>7387</v>
      </c>
      <c r="B5873" s="4" t="s">
        <v>7389</v>
      </c>
      <c r="C5873" s="5" t="str">
        <f>IFERROR(__xludf.DUMMYFUNCTION("GOOGLETRANSLATE(B5873,""en"",""fr"")"),"L'homme met un fil le long du pneu et continue de le faire tourner.")</f>
        <v>L'homme met un fil le long du pneu et continue de le faire tourner.</v>
      </c>
    </row>
    <row r="5874">
      <c r="A5874" s="4" t="s">
        <v>7387</v>
      </c>
      <c r="B5874" s="4" t="s">
        <v>7390</v>
      </c>
      <c r="C5874" s="5" t="str">
        <f>IFERROR(__xludf.DUMMYFUNCTION("GOOGLETRANSLATE(B5874,""en"",""fr"")"),"Il pompe plus de cheveux dans le pneu et enlève la prise en train de la chasser.")</f>
        <v>Il pompe plus de cheveux dans le pneu et enlève la prise en train de la chasser.</v>
      </c>
    </row>
    <row r="5875">
      <c r="A5875" s="4" t="s">
        <v>7391</v>
      </c>
      <c r="B5875" s="4" t="s">
        <v>7392</v>
      </c>
      <c r="C5875" s="5" t="str">
        <f>IFERROR(__xludf.DUMMYFUNCTION("GOOGLETRANSLATE(B5875,""en"",""fr"")"),"Une femme se brosse les dents dans une salle de bain.")</f>
        <v>Une femme se brosse les dents dans une salle de bain.</v>
      </c>
    </row>
    <row r="5876">
      <c r="A5876" s="4" t="s">
        <v>7391</v>
      </c>
      <c r="B5876" s="4" t="s">
        <v>7393</v>
      </c>
      <c r="C5876" s="5" t="str">
        <f>IFERROR(__xludf.DUMMYFUNCTION("GOOGLETRANSLATE(B5876,""en"",""fr"")"),"Quelqu'un la filme derrière elle.")</f>
        <v>Quelqu'un la filme derrière elle.</v>
      </c>
    </row>
    <row r="5877">
      <c r="A5877" s="4" t="s">
        <v>7391</v>
      </c>
      <c r="B5877" s="4" t="s">
        <v>7394</v>
      </c>
      <c r="C5877" s="5" t="str">
        <f>IFERROR(__xludf.DUMMYFUNCTION("GOOGLETRANSLATE(B5877,""en"",""fr"")"),"Elle crache le dentifrice dans l'évier devant elle.")</f>
        <v>Elle crache le dentifrice dans l'évier devant elle.</v>
      </c>
    </row>
    <row r="5878">
      <c r="A5878" s="4" t="s">
        <v>7395</v>
      </c>
      <c r="B5878" s="4" t="s">
        <v>7396</v>
      </c>
      <c r="C5878" s="5" t="str">
        <f>IFERROR(__xludf.DUMMYFUNCTION("GOOGLETRANSLATE(B5878,""en"",""fr"")"),"Un petit groupe d'hommes est vu dans une pièce contenant des raquettes de tennis.")</f>
        <v>Un petit groupe d'hommes est vu dans une pièce contenant des raquettes de tennis.</v>
      </c>
    </row>
    <row r="5879">
      <c r="A5879" s="4" t="s">
        <v>7395</v>
      </c>
      <c r="B5879" s="4" t="s">
        <v>7397</v>
      </c>
      <c r="C5879" s="5" t="str">
        <f>IFERROR(__xludf.DUMMYFUNCTION("GOOGLETRANSLATE(B5879,""en"",""fr"")"),"Les hommes commencent alors à jouer au tennis les uns avec les autres tout en frappant le ballon.")</f>
        <v>Les hommes commencent alors à jouer au tennis les uns avec les autres tout en frappant le ballon.</v>
      </c>
    </row>
    <row r="5880">
      <c r="A5880" s="4" t="s">
        <v>7395</v>
      </c>
      <c r="B5880" s="4" t="s">
        <v>7398</v>
      </c>
      <c r="C5880" s="5" t="str">
        <f>IFERROR(__xludf.DUMMYFUNCTION("GOOGLETRANSLATE(B5880,""en"",""fr"")"),"Les hommes continuent de frapper le ballon dans la pièce et se termine avec plusieurs qui sortaient.")</f>
        <v>Les hommes continuent de frapper le ballon dans la pièce et se termine avec plusieurs qui sortaient.</v>
      </c>
    </row>
    <row r="5881">
      <c r="A5881" s="4" t="s">
        <v>7399</v>
      </c>
      <c r="B5881" s="4" t="s">
        <v>7400</v>
      </c>
      <c r="C5881" s="5" t="str">
        <f>IFERROR(__xludf.DUMMYFUNCTION("GOOGLETRANSLATE(B5881,""en"",""fr"")"),"Un homme en chemise blanche coupe un morceau de bois avec une hache.")</f>
        <v>Un homme en chemise blanche coupe un morceau de bois avec une hache.</v>
      </c>
    </row>
    <row r="5882">
      <c r="A5882" s="4" t="s">
        <v>7399</v>
      </c>
      <c r="B5882" s="4" t="s">
        <v>7401</v>
      </c>
      <c r="C5882" s="5" t="str">
        <f>IFERROR(__xludf.DUMMYFUNCTION("GOOGLETRANSLATE(B5882,""en"",""fr"")"),"Il balance le bois et manque et touche le sol.")</f>
        <v>Il balance le bois et manque et touche le sol.</v>
      </c>
    </row>
    <row r="5883">
      <c r="A5883" s="4" t="s">
        <v>7399</v>
      </c>
      <c r="B5883" s="4" t="s">
        <v>7402</v>
      </c>
      <c r="C5883" s="5" t="str">
        <f>IFERROR(__xludf.DUMMYFUNCTION("GOOGLETRANSLATE(B5883,""en"",""fr"")"),"Un autre homme portant un pot s'approche de lui.")</f>
        <v>Un autre homme portant un pot s'approche de lui.</v>
      </c>
    </row>
    <row r="5884">
      <c r="A5884" s="4" t="s">
        <v>7403</v>
      </c>
      <c r="B5884" s="4" t="s">
        <v>7404</v>
      </c>
      <c r="C5884" s="5" t="str">
        <f>IFERROR(__xludf.DUMMYFUNCTION("GOOGLETRANSLATE(B5884,""en"",""fr"")"),"Nous voyons une gymnaste jeune fille parler à la caméra.")</f>
        <v>Nous voyons une gymnaste jeune fille parler à la caméra.</v>
      </c>
    </row>
    <row r="5885">
      <c r="A5885" s="4" t="s">
        <v>7403</v>
      </c>
      <c r="B5885" s="4" t="s">
        <v>991</v>
      </c>
      <c r="C5885" s="5" t="str">
        <f>IFERROR(__xludf.DUMMYFUNCTION("GOOGLETRANSLATE(B5885,""en"",""fr"")"),"Nous voyons ensuite l'écran de titre.")</f>
        <v>Nous voyons ensuite l'écran de titre.</v>
      </c>
    </row>
    <row r="5886">
      <c r="A5886" s="4" t="s">
        <v>7403</v>
      </c>
      <c r="B5886" s="4" t="s">
        <v>7405</v>
      </c>
      <c r="C5886" s="5" t="str">
        <f>IFERROR(__xludf.DUMMYFUNCTION("GOOGLETRANSLATE(B5886,""en"",""fr"")"),"Nous voyons la fille jouer des flips.")</f>
        <v>Nous voyons la fille jouer des flips.</v>
      </c>
    </row>
    <row r="5887">
      <c r="A5887" s="4" t="s">
        <v>7403</v>
      </c>
      <c r="B5887" s="4" t="s">
        <v>7406</v>
      </c>
      <c r="C5887" s="5" t="str">
        <f>IFERROR(__xludf.DUMMYFUNCTION("GOOGLETRANSLATE(B5887,""en"",""fr"")"),"La fille se retourne sur un trampoline.")</f>
        <v>La fille se retourne sur un trampoline.</v>
      </c>
    </row>
    <row r="5888">
      <c r="A5888" s="4" t="s">
        <v>7403</v>
      </c>
      <c r="B5888" s="4" t="s">
        <v>7407</v>
      </c>
      <c r="C5888" s="5" t="str">
        <f>IFERROR(__xludf.DUMMYFUNCTION("GOOGLETRANSLATE(B5888,""en"",""fr"")"),"Elle saute et fait une scission dans les airs.")</f>
        <v>Elle saute et fait une scission dans les airs.</v>
      </c>
    </row>
    <row r="5889">
      <c r="A5889" s="4" t="s">
        <v>7403</v>
      </c>
      <c r="B5889" s="4" t="s">
        <v>7408</v>
      </c>
      <c r="C5889" s="5" t="str">
        <f>IFERROR(__xludf.DUMMYFUNCTION("GOOGLETRANSLATE(B5889,""en"",""fr"")"),"Nous voyons les Bloopers où elle tombe et un écran de titre.")</f>
        <v>Nous voyons les Bloopers où elle tombe et un écran de titre.</v>
      </c>
    </row>
    <row r="5890">
      <c r="A5890" s="4" t="s">
        <v>7403</v>
      </c>
      <c r="B5890" s="4" t="s">
        <v>7409</v>
      </c>
      <c r="C5890" s="5" t="str">
        <f>IFERROR(__xludf.DUMMYFUNCTION("GOOGLETRANSLATE(B5890,""en"",""fr"")"),"Nous voyons ensuite les écrans de fin.")</f>
        <v>Nous voyons ensuite les écrans de fin.</v>
      </c>
    </row>
    <row r="5891">
      <c r="A5891" s="4" t="s">
        <v>7410</v>
      </c>
      <c r="B5891" s="4" t="s">
        <v>7411</v>
      </c>
      <c r="C5891" s="5" t="str">
        <f>IFERROR(__xludf.DUMMYFUNCTION("GOOGLETRANSLATE(B5891,""en"",""fr"")"),"Nous voyons un écran d'ouverture bleu.")</f>
        <v>Nous voyons un écran d'ouverture bleu.</v>
      </c>
    </row>
    <row r="5892">
      <c r="A5892" s="4" t="s">
        <v>7410</v>
      </c>
      <c r="B5892" s="4" t="s">
        <v>7412</v>
      </c>
      <c r="C5892" s="5" t="str">
        <f>IFERROR(__xludf.DUMMYFUNCTION("GOOGLETRANSLATE(B5892,""en"",""fr"")"),"Nous voyons un homme retourner et effectuer une capoeira coupée avec des écrans de titre bleu.")</f>
        <v>Nous voyons un homme retourner et effectuer une capoeira coupée avec des écrans de titre bleu.</v>
      </c>
    </row>
    <row r="5893">
      <c r="A5893" s="4" t="s">
        <v>7410</v>
      </c>
      <c r="B5893" s="4" t="s">
        <v>7413</v>
      </c>
      <c r="C5893" s="5" t="str">
        <f>IFERROR(__xludf.DUMMYFUNCTION("GOOGLETRANSLATE(B5893,""en"",""fr"")"),"L'homme fait un coup de pied.")</f>
        <v>L'homme fait un coup de pied.</v>
      </c>
    </row>
    <row r="5894">
      <c r="A5894" s="4" t="s">
        <v>7410</v>
      </c>
      <c r="B5894" s="4" t="s">
        <v>7414</v>
      </c>
      <c r="C5894" s="5" t="str">
        <f>IFERROR(__xludf.DUMMYFUNCTION("GOOGLETRANSLATE(B5894,""en"",""fr"")"),"L'homme fait un tour et un canard.")</f>
        <v>L'homme fait un tour et un canard.</v>
      </c>
    </row>
    <row r="5895">
      <c r="A5895" s="4" t="s">
        <v>7410</v>
      </c>
      <c r="B5895" s="4" t="s">
        <v>7415</v>
      </c>
      <c r="C5895" s="5" t="str">
        <f>IFERROR(__xludf.DUMMYFUNCTION("GOOGLETRANSLATE(B5895,""en"",""fr"")"),"L'homme fait un balayage sur le sol.")</f>
        <v>L'homme fait un balayage sur le sol.</v>
      </c>
    </row>
    <row r="5896">
      <c r="A5896" s="4" t="s">
        <v>7416</v>
      </c>
      <c r="B5896" s="4" t="s">
        <v>7417</v>
      </c>
      <c r="C5896" s="5" t="str">
        <f>IFERROR(__xludf.DUMMYFUNCTION("GOOGLETRANSLATE(B5896,""en"",""fr"")"),"Un petit tout-petit est dans la salle de bain se brossant les dents.")</f>
        <v>Un petit tout-petit est dans la salle de bain se brossant les dents.</v>
      </c>
    </row>
    <row r="5897">
      <c r="A5897" s="4" t="s">
        <v>7416</v>
      </c>
      <c r="B5897" s="6" t="s">
        <v>7418</v>
      </c>
      <c r="C5897" s="5" t="str">
        <f>IFERROR(__xludf.DUMMYFUNCTION("GOOGLETRANSLATE(B5897,""en"",""fr"")"),"Alors qu'il se brosse frénétiquement, une femme vient l'aider alors qu'il pointe des choses différentes sur le comptoir.")</f>
        <v>Alors qu'il se brosse frénétiquement, une femme vient l'aider alors qu'il pointe des choses différentes sur le comptoir.</v>
      </c>
    </row>
    <row r="5898">
      <c r="A5898" s="4" t="s">
        <v>7416</v>
      </c>
      <c r="B5898" s="4" t="s">
        <v>7419</v>
      </c>
      <c r="C5898" s="5" t="str">
        <f>IFERROR(__xludf.DUMMYFUNCTION("GOOGLETRANSLATE(B5898,""en"",""fr"")"),"Le jeune garçon continue de se brosser, puis ils finissent par changer de pinceau à dents.")</f>
        <v>Le jeune garçon continue de se brosser, puis ils finissent par changer de pinceau à dents.</v>
      </c>
    </row>
    <row r="5899">
      <c r="A5899" s="4" t="s">
        <v>7416</v>
      </c>
      <c r="B5899" s="4" t="s">
        <v>7420</v>
      </c>
      <c r="C5899" s="5" t="str">
        <f>IFERROR(__xludf.DUMMYFUNCTION("GOOGLETRANSLATE(B5899,""en"",""fr"")"),"Finalement, la femme met le dentifrice sur la brosse et le garçon nettoie ses dents.")</f>
        <v>Finalement, la femme met le dentifrice sur la brosse et le garçon nettoie ses dents.</v>
      </c>
    </row>
    <row r="5900">
      <c r="A5900" s="4" t="s">
        <v>7416</v>
      </c>
      <c r="B5900" s="4" t="s">
        <v>7421</v>
      </c>
      <c r="C5900" s="5" t="str">
        <f>IFERROR(__xludf.DUMMYFUNCTION("GOOGLETRANSLATE(B5900,""en"",""fr"")"),"Une fois qu'il a terminé, il reçoit une barre de savon et doit se laver les mains.")</f>
        <v>Une fois qu'il a terminé, il reçoit une barre de savon et doit se laver les mains.</v>
      </c>
    </row>
    <row r="5901">
      <c r="A5901" s="4" t="s">
        <v>7416</v>
      </c>
      <c r="B5901" s="4" t="s">
        <v>7422</v>
      </c>
      <c r="C5901" s="5" t="str">
        <f>IFERROR(__xludf.DUMMYFUNCTION("GOOGLETRANSLATE(B5901,""en"",""fr"")"),"Enfin, il a fini et il attrape son jouet et sort de la salle de bain.")</f>
        <v>Enfin, il a fini et il attrape son jouet et sort de la salle de bain.</v>
      </c>
    </row>
    <row r="5902">
      <c r="A5902" s="4" t="s">
        <v>7423</v>
      </c>
      <c r="B5902" s="4" t="s">
        <v>7424</v>
      </c>
      <c r="C5902" s="5" t="str">
        <f>IFERROR(__xludf.DUMMYFUNCTION("GOOGLETRANSLATE(B5902,""en"",""fr"")"),"La vidéo mène à plusieurs plans de personnes roulant sur des planches à roulettes et des astuces.")</f>
        <v>La vidéo mène à plusieurs plans de personnes roulant sur des planches à roulettes et des astuces.</v>
      </c>
    </row>
    <row r="5903">
      <c r="A5903" s="4" t="s">
        <v>7423</v>
      </c>
      <c r="B5903" s="6" t="s">
        <v>7425</v>
      </c>
      <c r="C5903" s="5" t="str">
        <f>IFERROR(__xludf.DUMMYFUNCTION("GOOGLETRANSLATE(B5903,""en"",""fr"")"),"Beaucoup plus de personnes roulant sont montrées et conduisent à un jeune homme qui parle à la caméra et à une photo d'un t-shirt.")</f>
        <v>Beaucoup plus de personnes roulant sont montrées et conduisent à un jeune homme qui parle à la caméra et à une photo d'un t-shirt.</v>
      </c>
    </row>
    <row r="5904">
      <c r="A5904" s="4" t="s">
        <v>7426</v>
      </c>
      <c r="B5904" s="6" t="s">
        <v>7427</v>
      </c>
      <c r="C5904" s="5" t="str">
        <f>IFERROR(__xludf.DUMMYFUNCTION("GOOGLETRANSLATE(B5904,""en"",""fr"")"),"Un homme est vu parler à la caméra et conduit en lui coupant des carreaux et les mesurant le long d'un mur.")</f>
        <v>Un homme est vu parler à la caméra et conduit en lui coupant des carreaux et les mesurant le long d'un mur.</v>
      </c>
    </row>
    <row r="5905">
      <c r="A5905" s="4" t="s">
        <v>7426</v>
      </c>
      <c r="B5905" s="6" t="s">
        <v>7428</v>
      </c>
      <c r="C5905" s="5" t="str">
        <f>IFERROR(__xludf.DUMMYFUNCTION("GOOGLETRANSLATE(B5905,""en"",""fr"")"),"L'homme utilise une scie pour couper le mur ainsi que la tuile tout en utilisant divers autres outils pour couper les côtés.")</f>
        <v>L'homme utilise une scie pour couper le mur ainsi que la tuile tout en utilisant divers autres outils pour couper les côtés.</v>
      </c>
    </row>
    <row r="5906">
      <c r="A5906" s="4" t="s">
        <v>7426</v>
      </c>
      <c r="B5906" s="6" t="s">
        <v>7429</v>
      </c>
      <c r="C5906" s="5" t="str">
        <f>IFERROR(__xludf.DUMMYFUNCTION("GOOGLETRANSLATE(B5906,""en"",""fr"")"),"Plus de carreaux sont montrés découpés alors que l'homme continue de parler et les déposer sur le sol.")</f>
        <v>Plus de carreaux sont montrés découpés alors que l'homme continue de parler et les déposer sur le sol.</v>
      </c>
    </row>
    <row r="5907">
      <c r="A5907" s="4" t="s">
        <v>7430</v>
      </c>
      <c r="B5907" s="4" t="s">
        <v>7431</v>
      </c>
      <c r="C5907" s="5" t="str">
        <f>IFERROR(__xludf.DUMMYFUNCTION("GOOGLETRANSLATE(B5907,""en"",""fr"")"),"Une fille parle à la caméra en utilisant ses mains.")</f>
        <v>Une fille parle à la caméra en utilisant ses mains.</v>
      </c>
    </row>
    <row r="5908">
      <c r="A5908" s="4" t="s">
        <v>7430</v>
      </c>
      <c r="B5908" s="4" t="s">
        <v>7432</v>
      </c>
      <c r="C5908" s="5" t="str">
        <f>IFERROR(__xludf.DUMMYFUNCTION("GOOGLETRANSLATE(B5908,""en"",""fr"")"),"La caméra fait un changement de scène floue.")</f>
        <v>La caméra fait un changement de scène floue.</v>
      </c>
    </row>
    <row r="5909">
      <c r="A5909" s="4" t="s">
        <v>7430</v>
      </c>
      <c r="B5909" s="4" t="s">
        <v>7433</v>
      </c>
      <c r="C5909" s="5" t="str">
        <f>IFERROR(__xludf.DUMMYFUNCTION("GOOGLETRANSLATE(B5909,""en"",""fr"")"),"La fille pointe et essuie ses cheveux.")</f>
        <v>La fille pointe et essuie ses cheveux.</v>
      </c>
    </row>
    <row r="5910">
      <c r="A5910" s="4" t="s">
        <v>7430</v>
      </c>
      <c r="B5910" s="4" t="s">
        <v>7434</v>
      </c>
      <c r="C5910" s="5" t="str">
        <f>IFERROR(__xludf.DUMMYFUNCTION("GOOGLETRANSLATE(B5910,""en"",""fr"")"),"La fille agite à l'écran.")</f>
        <v>La fille agite à l'écran.</v>
      </c>
    </row>
    <row r="5911">
      <c r="A5911" s="4" t="s">
        <v>7430</v>
      </c>
      <c r="B5911" s="4" t="s">
        <v>7435</v>
      </c>
      <c r="C5911" s="5" t="str">
        <f>IFERROR(__xludf.DUMMYFUNCTION("GOOGLETRANSLATE(B5911,""en"",""fr"")"),"La scène change à la fille debout sous une douche.")</f>
        <v>La scène change à la fille debout sous une douche.</v>
      </c>
    </row>
    <row r="5912">
      <c r="A5912" s="4" t="s">
        <v>7430</v>
      </c>
      <c r="B5912" s="4" t="s">
        <v>7436</v>
      </c>
      <c r="C5912" s="5" t="str">
        <f>IFERROR(__xludf.DUMMYFUNCTION("GOOGLETRANSLATE(B5912,""en"",""fr"")"),"La fille se rase les jambes sous la douche.")</f>
        <v>La fille se rase les jambes sous la douche.</v>
      </c>
    </row>
    <row r="5913">
      <c r="A5913" s="4" t="s">
        <v>7430</v>
      </c>
      <c r="B5913" s="4" t="s">
        <v>7437</v>
      </c>
      <c r="C5913" s="5" t="str">
        <f>IFERROR(__xludf.DUMMYFUNCTION("GOOGLETRANSLATE(B5913,""en"",""fr"")"),"Elle nous montre son produit de rasage dans la boîte et sur ses mains.")</f>
        <v>Elle nous montre son produit de rasage dans la boîte et sur ses mains.</v>
      </c>
    </row>
    <row r="5914">
      <c r="A5914" s="4" t="s">
        <v>7430</v>
      </c>
      <c r="B5914" s="4" t="s">
        <v>7438</v>
      </c>
      <c r="C5914" s="5" t="str">
        <f>IFERROR(__xludf.DUMMYFUNCTION("GOOGLETRANSLATE(B5914,""en"",""fr"")"),"La fille nous montre son rasoir puis commence à se raser.")</f>
        <v>La fille nous montre son rasoir puis commence à se raser.</v>
      </c>
    </row>
    <row r="5915">
      <c r="A5915" s="4" t="s">
        <v>7439</v>
      </c>
      <c r="B5915" s="4" t="s">
        <v>7440</v>
      </c>
      <c r="C5915" s="5" t="str">
        <f>IFERROR(__xludf.DUMMYFUNCTION("GOOGLETRANSLATE(B5915,""en"",""fr"")"),"Deux personnes sont vues debout derrière un ensemble de tambours en regardant la caméra.")</f>
        <v>Deux personnes sont vues debout derrière un ensemble de tambours en regardant la caméra.</v>
      </c>
    </row>
    <row r="5916">
      <c r="A5916" s="4" t="s">
        <v>7439</v>
      </c>
      <c r="B5916" s="4" t="s">
        <v>7441</v>
      </c>
      <c r="C5916" s="5" t="str">
        <f>IFERROR(__xludf.DUMMYFUNCTION("GOOGLETRANSLATE(B5916,""en"",""fr"")"),"Les deux commencent alors à jouer de la batterie pendant qu'une petite fille entre dans et hors du cadre.")</f>
        <v>Les deux commencent alors à jouer de la batterie pendant qu'une petite fille entre dans et hors du cadre.</v>
      </c>
    </row>
    <row r="5917">
      <c r="A5917" s="4" t="s">
        <v>7439</v>
      </c>
      <c r="B5917" s="4" t="s">
        <v>7442</v>
      </c>
      <c r="C5917" s="5" t="str">
        <f>IFERROR(__xludf.DUMMYFUNCTION("GOOGLETRANSLATE(B5917,""en"",""fr"")"),"Les deux s'arrêtent pendant un moment puis continuent de jouer avec un arrêt et laissant l'autre finir.")</f>
        <v>Les deux s'arrêtent pendant un moment puis continuent de jouer avec un arrêt et laissant l'autre finir.</v>
      </c>
    </row>
    <row r="5918">
      <c r="A5918" s="4" t="s">
        <v>7443</v>
      </c>
      <c r="B5918" s="4" t="s">
        <v>7444</v>
      </c>
      <c r="C5918" s="5" t="str">
        <f>IFERROR(__xludf.DUMMYFUNCTION("GOOGLETRANSLATE(B5918,""en"",""fr"")"),"Un homme en kilt se prépare à lancer un grand marteau dans une compétition.")</f>
        <v>Un homme en kilt se prépare à lancer un grand marteau dans une compétition.</v>
      </c>
    </row>
    <row r="5919">
      <c r="A5919" s="4" t="s">
        <v>7443</v>
      </c>
      <c r="B5919" s="4" t="s">
        <v>7445</v>
      </c>
      <c r="C5919" s="5" t="str">
        <f>IFERROR(__xludf.DUMMYFUNCTION("GOOGLETRANSLATE(B5919,""en"",""fr"")"),"Après ses préparatifs, il balance le marteau en cercle et le jette aussi loin que possible.")</f>
        <v>Après ses préparatifs, il balance le marteau en cercle et le jette aussi loin que possible.</v>
      </c>
    </row>
    <row r="5920">
      <c r="A5920" s="4" t="s">
        <v>7446</v>
      </c>
      <c r="B5920" s="6" t="s">
        <v>7447</v>
      </c>
      <c r="C5920" s="5" t="str">
        <f>IFERROR(__xludf.DUMMYFUNCTION("GOOGLETRANSLATE(B5920,""en"",""fr"")"),"On voit un petit groupe de personnes jouer à la crosse sur un terrain montée et descendu sur le terrain et se poussant.")</f>
        <v>On voit un petit groupe de personnes jouer à la crosse sur un terrain montée et descendu sur le terrain et se poussant.</v>
      </c>
    </row>
    <row r="5921">
      <c r="A5921" s="4" t="s">
        <v>7446</v>
      </c>
      <c r="B5921" s="4" t="s">
        <v>7448</v>
      </c>
      <c r="C5921" s="5" t="str">
        <f>IFERROR(__xludf.DUMMYFUNCTION("GOOGLETRANSLATE(B5921,""en"",""fr"")"),"Plusieurs plans de joueurs se frappent ainsi que les joueurs poussent d'autres personnes.")</f>
        <v>Plusieurs plans de joueurs se frappent ainsi que les joueurs poussent d'autres personnes.</v>
      </c>
    </row>
    <row r="5922">
      <c r="A5922" s="4" t="s">
        <v>7446</v>
      </c>
      <c r="B5922" s="4" t="s">
        <v>7449</v>
      </c>
      <c r="C5922" s="5" t="str">
        <f>IFERROR(__xludf.DUMMYFUNCTION("GOOGLETRANSLATE(B5922,""en"",""fr"")"),"Une équipe marque plusieurs buts et sont immédiatement suivies par des coéquipiers applaudissements.")</f>
        <v>Une équipe marque plusieurs buts et sont immédiatement suivies par des coéquipiers applaudissements.</v>
      </c>
    </row>
    <row r="5923">
      <c r="A5923" s="4" t="s">
        <v>7450</v>
      </c>
      <c r="B5923" s="4" t="s">
        <v>7451</v>
      </c>
      <c r="C5923" s="5" t="str">
        <f>IFERROR(__xludf.DUMMYFUNCTION("GOOGLETRANSLATE(B5923,""en"",""fr"")"),"Un médecin est entré dans la pièce, puis elle se lave les mains, s'essuya les mains avec une serviette en papier.")</f>
        <v>Un médecin est entré dans la pièce, puis elle se lave les mains, s'essuya les mains avec une serviette en papier.</v>
      </c>
    </row>
    <row r="5924">
      <c r="A5924" s="4" t="s">
        <v>7450</v>
      </c>
      <c r="B5924" s="6" t="s">
        <v>7452</v>
      </c>
      <c r="C5924" s="5" t="str">
        <f>IFERROR(__xludf.DUMMYFUNCTION("GOOGLETRANSLATE(B5924,""en"",""fr"")"),"Un médecin se lave la main avec du savon et de l'eau, tandis que l'autre médecin en manteau blanc est sur son téléphone.")</f>
        <v>Un médecin se lave la main avec du savon et de l'eau, tandis que l'autre médecin en manteau blanc est sur son téléphone.</v>
      </c>
    </row>
    <row r="5925">
      <c r="A5925" s="4" t="s">
        <v>7450</v>
      </c>
      <c r="B5925" s="4" t="s">
        <v>7453</v>
      </c>
      <c r="C5925" s="5" t="str">
        <f>IFERROR(__xludf.DUMMYFUNCTION("GOOGLETRANSLATE(B5925,""en"",""fr"")"),"Un homme en manteau jaune se lave les mains, puis l'homme en chemise bleue donne un entretien.")</f>
        <v>Un homme en manteau jaune se lave les mains, puis l'homme en chemise bleue donne un entretien.</v>
      </c>
    </row>
    <row r="5926">
      <c r="A5926" s="4" t="s">
        <v>7454</v>
      </c>
      <c r="B5926" s="4" t="s">
        <v>7455</v>
      </c>
      <c r="C5926" s="5" t="str">
        <f>IFERROR(__xludf.DUMMYFUNCTION("GOOGLETRANSLATE(B5926,""en"",""fr"")"),"Un homme parle tout en tenant des cornemas.")</f>
        <v>Un homme parle tout en tenant des cornemas.</v>
      </c>
    </row>
    <row r="5927">
      <c r="A5927" s="4" t="s">
        <v>7454</v>
      </c>
      <c r="B5927" s="4" t="s">
        <v>7456</v>
      </c>
      <c r="C5927" s="5" t="str">
        <f>IFERROR(__xludf.DUMMYFUNCTION("GOOGLETRANSLATE(B5927,""en"",""fr"")"),"Il joue ensuite les cornemas.")</f>
        <v>Il joue ensuite les cornemas.</v>
      </c>
    </row>
    <row r="5928">
      <c r="A5928" s="4" t="s">
        <v>7454</v>
      </c>
      <c r="B5928" s="4" t="s">
        <v>7457</v>
      </c>
      <c r="C5928" s="5" t="str">
        <f>IFERROR(__xludf.DUMMYFUNCTION("GOOGLETRANSLATE(B5928,""en"",""fr"")"),"L'homme bouge ses doigts pour changer le son pendant qu'il joue.")</f>
        <v>L'homme bouge ses doigts pour changer le son pendant qu'il joue.</v>
      </c>
    </row>
    <row r="5929">
      <c r="A5929" s="4" t="s">
        <v>7458</v>
      </c>
      <c r="B5929" s="4" t="s">
        <v>7459</v>
      </c>
      <c r="C5929" s="5" t="str">
        <f>IFERROR(__xludf.DUMMYFUNCTION("GOOGLETRANSLATE(B5929,""en"",""fr"")"),"Une personne skie sur une colline de neige.")</f>
        <v>Une personne skie sur une colline de neige.</v>
      </c>
    </row>
    <row r="5930">
      <c r="A5930" s="4" t="s">
        <v>7458</v>
      </c>
      <c r="B5930" s="4" t="s">
        <v>7460</v>
      </c>
      <c r="C5930" s="5" t="str">
        <f>IFERROR(__xludf.DUMMYFUNCTION("GOOGLETRANSLATE(B5930,""en"",""fr"")"),"Ils sortent d'un saut et volent en l'air.")</f>
        <v>Ils sortent d'un saut et volent en l'air.</v>
      </c>
    </row>
    <row r="5931">
      <c r="A5931" s="4" t="s">
        <v>7458</v>
      </c>
      <c r="B5931" s="4" t="s">
        <v>7461</v>
      </c>
      <c r="C5931" s="5" t="str">
        <f>IFERROR(__xludf.DUMMYFUNCTION("GOOGLETRANSLATE(B5931,""en"",""fr"")"),"Ils atterrissent sur la neige et continuent de skier en bas de la colline.")</f>
        <v>Ils atterrissent sur la neige et continuent de skier en bas de la colline.</v>
      </c>
    </row>
    <row r="5932">
      <c r="A5932" s="4" t="s">
        <v>7462</v>
      </c>
      <c r="B5932" s="6" t="s">
        <v>7463</v>
      </c>
      <c r="C5932" s="5" t="str">
        <f>IFERROR(__xludf.DUMMYFUNCTION("GOOGLETRANSLATE(B5932,""en"",""fr"")"),"Une caméra zoome sur un grand camion qui montre une personne se promenant par derrière ainsi qu'une autre.")</f>
        <v>Une caméra zoome sur un grand camion qui montre une personne se promenant par derrière ainsi qu'une autre.</v>
      </c>
    </row>
    <row r="5933">
      <c r="A5933" s="4" t="s">
        <v>7462</v>
      </c>
      <c r="B5933" s="6" t="s">
        <v>7464</v>
      </c>
      <c r="C5933" s="5" t="str">
        <f>IFERROR(__xludf.DUMMYFUNCTION("GOOGLETRANSLATE(B5933,""en"",""fr"")"),"Les hommes commencent à tirer une corde et à travailler de l'arrière pendant que le caméraman parle à la caméra.")</f>
        <v>Les hommes commencent à tirer une corde et à travailler de l'arrière pendant que le caméraman parle à la caméra.</v>
      </c>
    </row>
    <row r="5934">
      <c r="A5934" s="4" t="s">
        <v>7462</v>
      </c>
      <c r="B5934" s="4" t="s">
        <v>7465</v>
      </c>
      <c r="C5934" s="5" t="str">
        <f>IFERROR(__xludf.DUMMYFUNCTION("GOOGLETRANSLATE(B5934,""en"",""fr"")"),"L'homme continue de se lancer dans la zone enneigée et de regarder les hommes travailler par derrière.")</f>
        <v>L'homme continue de se lancer dans la zone enneigée et de regarder les hommes travailler par derrière.</v>
      </c>
    </row>
    <row r="5935">
      <c r="A5935" s="4" t="s">
        <v>7466</v>
      </c>
      <c r="B5935" s="4" t="s">
        <v>7467</v>
      </c>
      <c r="C5935" s="5" t="str">
        <f>IFERROR(__xludf.DUMMYFUNCTION("GOOGLETRANSLATE(B5935,""en"",""fr"")"),"Un petit enfant est vu assis sur une diapositive tout en regardant un autre enfant jouer.")</f>
        <v>Un petit enfant est vu assis sur une diapositive tout en regardant un autre enfant jouer.</v>
      </c>
    </row>
    <row r="5936">
      <c r="A5936" s="4" t="s">
        <v>7466</v>
      </c>
      <c r="B5936" s="6" t="s">
        <v>7468</v>
      </c>
      <c r="C5936" s="5" t="str">
        <f>IFERROR(__xludf.DUMMYFUNCTION("GOOGLETRANSLATE(B5936,""en"",""fr"")"),"Le garçon descend la diapositive plusieurs fois avec l'aide de la fille et un homme debout tenant un bébé et regardant.")</f>
        <v>Le garçon descend la diapositive plusieurs fois avec l'aide de la fille et un homme debout tenant un bébé et regardant.</v>
      </c>
    </row>
    <row r="5937">
      <c r="A5937" s="4" t="s">
        <v>7469</v>
      </c>
      <c r="B5937" s="4" t="s">
        <v>7470</v>
      </c>
      <c r="C5937" s="5" t="str">
        <f>IFERROR(__xludf.DUMMYFUNCTION("GOOGLETRANSLATE(B5937,""en"",""fr"")"),"Une fille regarde la caméra.")</f>
        <v>Une fille regarde la caméra.</v>
      </c>
    </row>
    <row r="5938">
      <c r="A5938" s="4" t="s">
        <v>7469</v>
      </c>
      <c r="B5938" s="4" t="s">
        <v>7471</v>
      </c>
      <c r="C5938" s="5" t="str">
        <f>IFERROR(__xludf.DUMMYFUNCTION("GOOGLETRANSLATE(B5938,""en"",""fr"")"),"Elle se retourne et se fait brosser les cheveux.")</f>
        <v>Elle se retourne et se fait brosser les cheveux.</v>
      </c>
    </row>
    <row r="5939">
      <c r="A5939" s="4" t="s">
        <v>7469</v>
      </c>
      <c r="B5939" s="4" t="s">
        <v>7472</v>
      </c>
      <c r="C5939" s="5" t="str">
        <f>IFERROR(__xludf.DUMMYFUNCTION("GOOGLETRANSLATE(B5939,""en"",""fr"")"),"Elle regarde son téléphone.")</f>
        <v>Elle regarde son téléphone.</v>
      </c>
    </row>
    <row r="5940">
      <c r="A5940" s="4" t="s">
        <v>7473</v>
      </c>
      <c r="B5940" s="4" t="s">
        <v>7474</v>
      </c>
      <c r="C5940" s="5" t="str">
        <f>IFERROR(__xludf.DUMMYFUNCTION("GOOGLETRANSLATE(B5940,""en"",""fr"")"),"Les pieds d'une femme sont montrés alors qu'elle se réchauffe au ballet.")</f>
        <v>Les pieds d'une femme sont montrés alors qu'elle se réchauffe au ballet.</v>
      </c>
    </row>
    <row r="5941">
      <c r="A5941" s="4" t="s">
        <v>7473</v>
      </c>
      <c r="B5941" s="6" t="s">
        <v>7475</v>
      </c>
      <c r="C5941" s="5" t="str">
        <f>IFERROR(__xludf.DUMMYFUNCTION("GOOGLETRANSLATE(B5941,""en"",""fr"")"),"Une femme blonde parle à la caméra, qui se déroule à elle effectuer divers mouvements de danse tout en parlant.")</f>
        <v>Une femme blonde parle à la caméra, qui se déroule à elle effectuer divers mouvements de danse tout en parlant.</v>
      </c>
    </row>
    <row r="5942">
      <c r="A5942" s="4" t="s">
        <v>7473</v>
      </c>
      <c r="B5942" s="4" t="s">
        <v>7476</v>
      </c>
      <c r="C5942" s="5" t="str">
        <f>IFERROR(__xludf.DUMMYFUNCTION("GOOGLETRANSLATE(B5942,""en"",""fr"")"),"Elle se déplace lentement à chaque étape.")</f>
        <v>Elle se déplace lentement à chaque étape.</v>
      </c>
    </row>
    <row r="5943">
      <c r="A5943" s="4" t="s">
        <v>7473</v>
      </c>
      <c r="B5943" s="4" t="s">
        <v>7477</v>
      </c>
      <c r="C5943" s="5" t="str">
        <f>IFERROR(__xludf.DUMMYFUNCTION("GOOGLETRANSLATE(B5943,""en"",""fr"")"),"Elle s'arrête ensuite et prononce ses derniers mots.")</f>
        <v>Elle s'arrête ensuite et prononce ses derniers mots.</v>
      </c>
    </row>
    <row r="5944">
      <c r="A5944" s="4" t="s">
        <v>7478</v>
      </c>
      <c r="B5944" s="4" t="s">
        <v>7479</v>
      </c>
      <c r="C5944" s="5" t="str">
        <f>IFERROR(__xludf.DUMMYFUNCTION("GOOGLETRANSLATE(B5944,""en"",""fr"")"),"On voit un grand homme se lancer dans un cercle et jette plusieurs tirs qui repoussent au loin.")</f>
        <v>On voit un grand homme se lancer dans un cercle et jette plusieurs tirs qui repoussent au loin.</v>
      </c>
    </row>
    <row r="5945">
      <c r="A5945" s="4" t="s">
        <v>7478</v>
      </c>
      <c r="B5945" s="4" t="s">
        <v>7480</v>
      </c>
      <c r="C5945" s="5" t="str">
        <f>IFERROR(__xludf.DUMMYFUNCTION("GOOGLETRANSLATE(B5945,""en"",""fr"")"),"Plusieurs autres hommes sont vus se diriger vers le cercle en jetant un tir en arrière.")</f>
        <v>Plusieurs autres hommes sont vus se diriger vers le cercle en jetant un tir en arrière.</v>
      </c>
    </row>
    <row r="5946">
      <c r="A5946" s="4" t="s">
        <v>7478</v>
      </c>
      <c r="B5946" s="4" t="s">
        <v>7481</v>
      </c>
      <c r="C5946" s="5" t="str">
        <f>IFERROR(__xludf.DUMMYFUNCTION("GOOGLETRANSLATE(B5946,""en"",""fr"")"),"Les gens dans le public sont vus se encourager les uns aux autres comme leurs scores sont finalement montrés.")</f>
        <v>Les gens dans le public sont vus se encourager les uns aux autres comme leurs scores sont finalement montrés.</v>
      </c>
    </row>
    <row r="5947">
      <c r="A5947" s="4" t="s">
        <v>7482</v>
      </c>
      <c r="B5947" s="4" t="s">
        <v>7483</v>
      </c>
      <c r="C5947" s="5" t="str">
        <f>IFERROR(__xludf.DUMMYFUNCTION("GOOGLETRANSLATE(B5947,""en"",""fr"")"),"Un homme parle à la caméra tandis qu'un autre homme s'assoit sur un équipement d'exercice derrière lui.")</f>
        <v>Un homme parle à la caméra tandis qu'un autre homme s'assoit sur un équipement d'exercice derrière lui.</v>
      </c>
    </row>
    <row r="5948">
      <c r="A5948" s="4" t="s">
        <v>7482</v>
      </c>
      <c r="B5948" s="4" t="s">
        <v>7484</v>
      </c>
      <c r="C5948" s="5" t="str">
        <f>IFERROR(__xludf.DUMMYFUNCTION("GOOGLETRANSLATE(B5948,""en"",""fr"")"),"L'instructeur continue de se déplacer près de l'homme et lui fait montrer comment fonctionne la machine.")</f>
        <v>L'instructeur continue de se déplacer près de l'homme et lui fait montrer comment fonctionne la machine.</v>
      </c>
    </row>
    <row r="5949">
      <c r="A5949" s="4" t="s">
        <v>7482</v>
      </c>
      <c r="B5949" s="4" t="s">
        <v>7485</v>
      </c>
      <c r="C5949" s="5" t="str">
        <f>IFERROR(__xludf.DUMMYFUNCTION("GOOGLETRANSLATE(B5949,""en"",""fr"")"),"Il pointe son corps montrant que les muscles fonctionnaient et se promène dans l'homme en train de faire de l'exercice.")</f>
        <v>Il pointe son corps montrant que les muscles fonctionnaient et se promène dans l'homme en train de faire de l'exercice.</v>
      </c>
    </row>
    <row r="5950">
      <c r="A5950" s="4" t="s">
        <v>7486</v>
      </c>
      <c r="B5950" s="4" t="s">
        <v>7487</v>
      </c>
      <c r="C5950" s="5" t="str">
        <f>IFERROR(__xludf.DUMMYFUNCTION("GOOGLETRANSLATE(B5950,""en"",""fr"")"),"Un gymnaste s'essuie de la craie sur ses mains tout en se préparant.")</f>
        <v>Un gymnaste s'essuie de la craie sur ses mains tout en se préparant.</v>
      </c>
    </row>
    <row r="5951">
      <c r="A5951" s="4" t="s">
        <v>7486</v>
      </c>
      <c r="B5951" s="4" t="s">
        <v>7488</v>
      </c>
      <c r="C5951" s="5" t="str">
        <f>IFERROR(__xludf.DUMMYFUNCTION("GOOGLETRANSLATE(B5951,""en"",""fr"")"),"La gymnaste se tient sur des plates-formes et se balance sur un ensemble de bars doubles.")</f>
        <v>La gymnaste se tient sur des plates-formes et se balance sur un ensemble de bars doubles.</v>
      </c>
    </row>
    <row r="5952">
      <c r="A5952" s="4" t="s">
        <v>7486</v>
      </c>
      <c r="B5952" s="4" t="s">
        <v>7489</v>
      </c>
      <c r="C5952" s="5" t="str">
        <f>IFERROR(__xludf.DUMMYFUNCTION("GOOGLETRANSLATE(B5952,""en"",""fr"")"),"La gymnaste fait une routine à double bar lors d'une compétition.")</f>
        <v>La gymnaste fait une routine à double bar lors d'une compétition.</v>
      </c>
    </row>
    <row r="5953">
      <c r="A5953" s="4" t="s">
        <v>7486</v>
      </c>
      <c r="B5953" s="4" t="s">
        <v>7490</v>
      </c>
      <c r="C5953" s="5" t="str">
        <f>IFERROR(__xludf.DUMMYFUNCTION("GOOGLETRANSLATE(B5953,""en"",""fr"")"),"La gymnaste frappe accidentellement sa jambe sur les barreaux en l'arrachant.")</f>
        <v>La gymnaste frappe accidentellement sa jambe sur les barreaux en l'arrachant.</v>
      </c>
    </row>
    <row r="5954">
      <c r="A5954" s="4" t="s">
        <v>7486</v>
      </c>
      <c r="B5954" s="4" t="s">
        <v>7491</v>
      </c>
      <c r="C5954" s="5" t="str">
        <f>IFERROR(__xludf.DUMMYFUNCTION("GOOGLETRANSLATE(B5954,""en"",""fr"")"),"La gymnaste démarre des doubles bars et atterrit sur le tapis.")</f>
        <v>La gymnaste démarre des doubles bars et atterrit sur le tapis.</v>
      </c>
    </row>
    <row r="5955">
      <c r="A5955" s="4" t="s">
        <v>7486</v>
      </c>
      <c r="B5955" s="4" t="s">
        <v>7492</v>
      </c>
      <c r="C5955" s="5" t="str">
        <f>IFERROR(__xludf.DUMMYFUNCTION("GOOGLETRANSLATE(B5955,""en"",""fr"")"),"Une gymnaste féminine est assise sur une chaise et attend son tour.")</f>
        <v>Une gymnaste féminine est assise sur une chaise et attend son tour.</v>
      </c>
    </row>
    <row r="5956">
      <c r="A5956" s="4" t="s">
        <v>7486</v>
      </c>
      <c r="B5956" s="4" t="s">
        <v>7493</v>
      </c>
      <c r="C5956" s="5" t="str">
        <f>IFERROR(__xludf.DUMMYFUNCTION("GOOGLETRANSLATE(B5956,""en"",""fr"")"),"Les gymnastes féminines étendent ses bras avant la routine.")</f>
        <v>Les gymnastes féminines étendent ses bras avant la routine.</v>
      </c>
    </row>
    <row r="5957">
      <c r="A5957" s="4" t="s">
        <v>7486</v>
      </c>
      <c r="B5957" s="4" t="s">
        <v>7494</v>
      </c>
      <c r="C5957" s="5" t="str">
        <f>IFERROR(__xludf.DUMMYFUNCTION("GOOGLETRANSLATE(B5957,""en"",""fr"")"),"Une rediffusion montre les points forts de la routine des gymnastes sur les doubles barres.")</f>
        <v>Une rediffusion montre les points forts de la routine des gymnastes sur les doubles barres.</v>
      </c>
    </row>
    <row r="5958">
      <c r="A5958" s="4" t="s">
        <v>7495</v>
      </c>
      <c r="B5958" s="4" t="s">
        <v>7496</v>
      </c>
      <c r="C5958" s="5" t="str">
        <f>IFERROR(__xludf.DUMMYFUNCTION("GOOGLETRANSLATE(B5958,""en"",""fr"")"),"Un homme met une lentille noire dans ses yeux.")</f>
        <v>Un homme met une lentille noire dans ses yeux.</v>
      </c>
    </row>
    <row r="5959">
      <c r="A5959" s="4" t="s">
        <v>7495</v>
      </c>
      <c r="B5959" s="4" t="s">
        <v>7497</v>
      </c>
      <c r="C5959" s="5" t="str">
        <f>IFERROR(__xludf.DUMMYFUNCTION("GOOGLETRANSLATE(B5959,""en"",""fr"")"),"Ensuite, l'homme enlève l'objectif et l'a dit à nouveau.")</f>
        <v>Ensuite, l'homme enlève l'objectif et l'a dit à nouveau.</v>
      </c>
    </row>
    <row r="5960">
      <c r="A5960" s="4" t="s">
        <v>7498</v>
      </c>
      <c r="B5960" s="4" t="s">
        <v>7499</v>
      </c>
      <c r="C5960" s="5" t="str">
        <f>IFERROR(__xludf.DUMMYFUNCTION("GOOGLETRANSLATE(B5960,""en"",""fr"")"),"Un homme est vu en avant en saisissant un grand ensemble de poids et en le soulevant sur ses épaules.")</f>
        <v>Un homme est vu en avant en saisissant un grand ensemble de poids et en le soulevant sur ses épaules.</v>
      </c>
    </row>
    <row r="5961">
      <c r="A5961" s="4" t="s">
        <v>7498</v>
      </c>
      <c r="B5961" s="4" t="s">
        <v>7500</v>
      </c>
      <c r="C5961" s="5" t="str">
        <f>IFERROR(__xludf.DUMMYFUNCTION("GOOGLETRANSLATE(B5961,""en"",""fr"")"),"L'homme le soulève alors sur sa tête et se termine en le jetant vers le bas.")</f>
        <v>L'homme le soulève alors sur sa tête et se termine en le jetant vers le bas.</v>
      </c>
    </row>
    <row r="5962">
      <c r="A5962" s="4" t="s">
        <v>7501</v>
      </c>
      <c r="B5962" s="4" t="s">
        <v>7502</v>
      </c>
      <c r="C5962" s="5" t="str">
        <f>IFERROR(__xludf.DUMMYFUNCTION("GOOGLETRANSLATE(B5962,""en"",""fr"")"),"Un athlète masculin noir coule sur le terrain puis a sauté et a sauté et a atterri sur le terrain de sable.")</f>
        <v>Un athlète masculin noir coule sur le terrain puis a sauté et a sauté et a atterri sur le terrain de sable.</v>
      </c>
    </row>
    <row r="5963">
      <c r="A5963" s="4" t="s">
        <v>7501</v>
      </c>
      <c r="B5963" s="4" t="s">
        <v>7503</v>
      </c>
      <c r="C5963" s="5" t="str">
        <f>IFERROR(__xludf.DUMMYFUNCTION("GOOGLETRANSLATE(B5963,""en"",""fr"")"),"L'athlète coule et s'agenêt et s'agenouille et prie.")</f>
        <v>L'athlète coule et s'agenêt et s'agenouille et prie.</v>
      </c>
    </row>
    <row r="5964">
      <c r="A5964" s="4" t="s">
        <v>7501</v>
      </c>
      <c r="B5964" s="6" t="s">
        <v>7504</v>
      </c>
      <c r="C5964" s="5" t="str">
        <f>IFERROR(__xludf.DUMMYFUNCTION("GOOGLETRANSLATE(B5964,""en"",""fr"")"),"L'athlète court et arracha sa chemise, alors qu'il atteigne la femme et lui fait un câlin et lui a applaudi.")</f>
        <v>L'athlète court et arracha sa chemise, alors qu'il atteigne la femme et lui fait un câlin et lui a applaudi.</v>
      </c>
    </row>
    <row r="5965">
      <c r="A5965" s="4" t="s">
        <v>7505</v>
      </c>
      <c r="B5965" s="4" t="s">
        <v>7506</v>
      </c>
      <c r="C5965" s="5" t="str">
        <f>IFERROR(__xludf.DUMMYFUNCTION("GOOGLETRANSLATE(B5965,""en"",""fr"")"),"Un homme s'agenouille devant un évier.")</f>
        <v>Un homme s'agenouille devant un évier.</v>
      </c>
    </row>
    <row r="5966">
      <c r="A5966" s="4" t="s">
        <v>7505</v>
      </c>
      <c r="B5966" s="4" t="s">
        <v>7507</v>
      </c>
      <c r="C5966" s="5" t="str">
        <f>IFERROR(__xludf.DUMMYFUNCTION("GOOGLETRANSLATE(B5966,""en"",""fr"")"),"Il commence à frotter l'intérieur de l'évier avec une éponge.")</f>
        <v>Il commence à frotter l'intérieur de l'évier avec une éponge.</v>
      </c>
    </row>
    <row r="5967">
      <c r="A5967" s="4" t="s">
        <v>7505</v>
      </c>
      <c r="B5967" s="4" t="s">
        <v>7508</v>
      </c>
      <c r="C5967" s="5" t="str">
        <f>IFERROR(__xludf.DUMMYFUNCTION("GOOGLETRANSLATE(B5967,""en"",""fr"")"),"Il prend une serviette blanche et essuie le comptoir et coule.")</f>
        <v>Il prend une serviette blanche et essuie le comptoir et coule.</v>
      </c>
    </row>
    <row r="5968">
      <c r="A5968" s="4" t="s">
        <v>7505</v>
      </c>
      <c r="B5968" s="4" t="s">
        <v>7509</v>
      </c>
      <c r="C5968" s="5" t="str">
        <f>IFERROR(__xludf.DUMMYFUNCTION("GOOGLETRANSLATE(B5968,""en"",""fr"")"),"Il pulvérise le miroir avec Windex et essuie le miroir.")</f>
        <v>Il pulvérise le miroir avec Windex et essuie le miroir.</v>
      </c>
    </row>
    <row r="5969">
      <c r="A5969" s="4" t="s">
        <v>7510</v>
      </c>
      <c r="B5969" s="4" t="s">
        <v>7511</v>
      </c>
      <c r="C5969" s="5" t="str">
        <f>IFERROR(__xludf.DUMMYFUNCTION("GOOGLETRANSLATE(B5969,""en"",""fr"")"),"Une rivière rapide passe devant un arbre.")</f>
        <v>Une rivière rapide passe devant un arbre.</v>
      </c>
    </row>
    <row r="5970">
      <c r="A5970" s="4" t="s">
        <v>7510</v>
      </c>
      <c r="B5970" s="4" t="s">
        <v>7512</v>
      </c>
      <c r="C5970" s="5" t="str">
        <f>IFERROR(__xludf.DUMMYFUNCTION("GOOGLETRANSLATE(B5970,""en"",""fr"")"),"Un groupe de chevrons enfile son équipement, poussant leur radeau dans l'eau.")</f>
        <v>Un groupe de chevrons enfile son équipement, poussant leur radeau dans l'eau.</v>
      </c>
    </row>
    <row r="5971">
      <c r="A5971" s="4" t="s">
        <v>7510</v>
      </c>
      <c r="B5971" s="4" t="s">
        <v>7513</v>
      </c>
      <c r="C5971" s="5" t="str">
        <f>IFERROR(__xludf.DUMMYFUNCTION("GOOGLETRANSLATE(B5971,""en"",""fr"")"),"La pagaie à travers les rapides, essayant de rester debout et ensemble.")</f>
        <v>La pagaie à travers les rapides, essayant de rester debout et ensemble.</v>
      </c>
    </row>
    <row r="5972">
      <c r="A5972" s="4" t="s">
        <v>7514</v>
      </c>
      <c r="B5972" s="4" t="s">
        <v>7515</v>
      </c>
      <c r="C5972" s="5" t="str">
        <f>IFERROR(__xludf.DUMMYFUNCTION("GOOGLETRANSLATE(B5972,""en"",""fr"")"),"Un grand groupe d'enfants est vu debout autour d'un terrain en jouant un jeu les uns avec les autres.")</f>
        <v>Un grand groupe d'enfants est vu debout autour d'un terrain en jouant un jeu les uns avec les autres.</v>
      </c>
    </row>
    <row r="5973">
      <c r="A5973" s="4" t="s">
        <v>7514</v>
      </c>
      <c r="B5973" s="4" t="s">
        <v>7516</v>
      </c>
      <c r="C5973" s="5" t="str">
        <f>IFERROR(__xludf.DUMMYFUNCTION("GOOGLETRANSLATE(B5973,""en"",""fr"")"),"Un garçon lance une balle à un autre et l'autre le lance au loin.")</f>
        <v>Un garçon lance une balle à un autre et l'autre le lance au loin.</v>
      </c>
    </row>
    <row r="5974">
      <c r="A5974" s="4" t="s">
        <v>7514</v>
      </c>
      <c r="B5974" s="4" t="s">
        <v>7517</v>
      </c>
      <c r="C5974" s="5" t="str">
        <f>IFERROR(__xludf.DUMMYFUNCTION("GOOGLETRANSLATE(B5974,""en"",""fr"")"),"Les enfants continuent de jouer les uns avec les autres et de courir le long du terrain.")</f>
        <v>Les enfants continuent de jouer les uns avec les autres et de courir le long du terrain.</v>
      </c>
    </row>
    <row r="5975">
      <c r="A5975" s="4" t="s">
        <v>7518</v>
      </c>
      <c r="B5975" s="4" t="s">
        <v>7519</v>
      </c>
      <c r="C5975" s="5" t="str">
        <f>IFERROR(__xludf.DUMMYFUNCTION("GOOGLETRANSLATE(B5975,""en"",""fr"")"),"Trois hommes se tiennent ensemble avec des vêtements fortement rembourrés avec des bretelles.")</f>
        <v>Trois hommes se tiennent ensemble avec des vêtements fortement rembourrés avec des bretelles.</v>
      </c>
    </row>
    <row r="5976">
      <c r="A5976" s="4" t="s">
        <v>7518</v>
      </c>
      <c r="B5976" s="6" t="s">
        <v>7520</v>
      </c>
      <c r="C5976" s="5" t="str">
        <f>IFERROR(__xludf.DUMMYFUNCTION("GOOGLETRANSLATE(B5976,""en"",""fr"")"),"Les deux hommes sur la fin frappent celui au milieu sous la ceinture et il tombe au sol de douleur.")</f>
        <v>Les deux hommes sur la fin frappent celui au milieu sous la ceinture et il tombe au sol de douleur.</v>
      </c>
    </row>
    <row r="5977">
      <c r="A5977" s="4" t="s">
        <v>7518</v>
      </c>
      <c r="B5977" s="4" t="s">
        <v>7521</v>
      </c>
      <c r="C5977" s="5" t="str">
        <f>IFERROR(__xludf.DUMMYFUNCTION("GOOGLETRANSLATE(B5977,""en"",""fr"")"),"L'un des hommes est vu derrière la marche dans un couloir.")</f>
        <v>L'un des hommes est vu derrière la marche dans un couloir.</v>
      </c>
    </row>
    <row r="5978">
      <c r="A5978" s="4" t="s">
        <v>7518</v>
      </c>
      <c r="B5978" s="4" t="s">
        <v>7522</v>
      </c>
      <c r="C5978" s="5" t="str">
        <f>IFERROR(__xludf.DUMMYFUNCTION("GOOGLETRANSLATE(B5978,""en"",""fr"")"),"L'homme est assis sur un vélo BMX sur le dessus d'une rampe se préparant.")</f>
        <v>L'homme est assis sur un vélo BMX sur le dessus d'une rampe se préparant.</v>
      </c>
    </row>
    <row r="5979">
      <c r="A5979" s="4" t="s">
        <v>7518</v>
      </c>
      <c r="B5979" s="4" t="s">
        <v>7523</v>
      </c>
      <c r="C5979" s="5" t="str">
        <f>IFERROR(__xludf.DUMMYFUNCTION("GOOGLETRANSLATE(B5979,""en"",""fr"")"),"L'homme tombe dans la rampe et tombe durement claquer sur le fond.")</f>
        <v>L'homme tombe dans la rampe et tombe durement claquer sur le fond.</v>
      </c>
    </row>
    <row r="5980">
      <c r="A5980" s="4" t="s">
        <v>7518</v>
      </c>
      <c r="B5980" s="4" t="s">
        <v>7524</v>
      </c>
      <c r="C5980" s="5" t="str">
        <f>IFERROR(__xludf.DUMMYFUNCTION("GOOGLETRANSLATE(B5980,""en"",""fr"")"),"L'homme fait des tours et saute sur la rampe à vélo.")</f>
        <v>L'homme fait des tours et saute sur la rampe à vélo.</v>
      </c>
    </row>
    <row r="5981">
      <c r="A5981" s="4" t="s">
        <v>7518</v>
      </c>
      <c r="B5981" s="4" t="s">
        <v>7525</v>
      </c>
      <c r="C5981" s="5" t="str">
        <f>IFERROR(__xludf.DUMMYFUNCTION("GOOGLETRANSLATE(B5981,""en"",""fr"")"),"L'un des hommes en violet parcourt un parc de skateboard portant le costume rembourré.")</f>
        <v>L'un des hommes en violet parcourt un parc de skateboard portant le costume rembourré.</v>
      </c>
    </row>
    <row r="5982">
      <c r="A5982" s="4" t="s">
        <v>7518</v>
      </c>
      <c r="B5982" s="4" t="s">
        <v>7526</v>
      </c>
      <c r="C5982" s="5" t="str">
        <f>IFERROR(__xludf.DUMMYFUNCTION("GOOGLETRANSLATE(B5982,""en"",""fr"")"),"Un autre homme en chemise grise monte une planche à roulettes sur la rampe de demi-pipe et fait des tours.")</f>
        <v>Un autre homme en chemise grise monte une planche à roulettes sur la rampe de demi-pipe et fait des tours.</v>
      </c>
    </row>
    <row r="5983">
      <c r="A5983" s="4" t="s">
        <v>7518</v>
      </c>
      <c r="B5983" s="4" t="s">
        <v>7527</v>
      </c>
      <c r="C5983" s="5" t="str">
        <f>IFERROR(__xludf.DUMMYFUNCTION("GOOGLETRANSLATE(B5983,""en"",""fr"")"),"Les trois hommes montent ensemble sur la grande rampe en formation.")</f>
        <v>Les trois hommes montent ensemble sur la grande rampe en formation.</v>
      </c>
    </row>
    <row r="5984">
      <c r="A5984" s="4" t="s">
        <v>7518</v>
      </c>
      <c r="B5984" s="4" t="s">
        <v>7528</v>
      </c>
      <c r="C5984" s="5" t="str">
        <f>IFERROR(__xludf.DUMMYFUNCTION("GOOGLETRANSLATE(B5984,""en"",""fr"")"),"L'homme à Purple Falls et est frappé au visage avec sa planche à roulettes.")</f>
        <v>L'homme à Purple Falls et est frappé au visage avec sa planche à roulettes.</v>
      </c>
    </row>
    <row r="5985">
      <c r="A5985" s="4" t="s">
        <v>7529</v>
      </c>
      <c r="B5985" s="4" t="s">
        <v>7530</v>
      </c>
      <c r="C5985" s="5" t="str">
        <f>IFERROR(__xludf.DUMMYFUNCTION("GOOGLETRANSLATE(B5985,""en"",""fr"")"),"Deux hommes s'agenouillent en tenant des pistolets de paintball.")</f>
        <v>Deux hommes s'agenouillent en tenant des pistolets de paintball.</v>
      </c>
    </row>
    <row r="5986">
      <c r="A5986" s="4" t="s">
        <v>7529</v>
      </c>
      <c r="B5986" s="4" t="s">
        <v>7531</v>
      </c>
      <c r="C5986" s="5" t="str">
        <f>IFERROR(__xludf.DUMMYFUNCTION("GOOGLETRANSLATE(B5986,""en"",""fr"")"),"Ils marchent dans la rue en tenant leurs canons de paintball.")</f>
        <v>Ils marchent dans la rue en tenant leurs canons de paintball.</v>
      </c>
    </row>
    <row r="5987">
      <c r="A5987" s="4" t="s">
        <v>7529</v>
      </c>
      <c r="B5987" s="4" t="s">
        <v>7532</v>
      </c>
      <c r="C5987" s="5" t="str">
        <f>IFERROR(__xludf.DUMMYFUNCTION("GOOGLETRANSLATE(B5987,""en"",""fr"")"),"Ils commencent à jouer à un jeu de paintball.")</f>
        <v>Ils commencent à jouer à un jeu de paintball.</v>
      </c>
    </row>
    <row r="5988">
      <c r="A5988" s="4" t="s">
        <v>7533</v>
      </c>
      <c r="B5988" s="4" t="s">
        <v>7534</v>
      </c>
      <c r="C5988" s="5" t="str">
        <f>IFERROR(__xludf.DUMMYFUNCTION("GOOGLETRANSLATE(B5988,""en"",""fr"")"),"Une personne est vue portant une chemise bleue et debout devant une clôture.")</f>
        <v>Une personne est vue portant une chemise bleue et debout devant une clôture.</v>
      </c>
    </row>
    <row r="5989">
      <c r="A5989" s="4" t="s">
        <v>7533</v>
      </c>
      <c r="B5989" s="4" t="s">
        <v>7535</v>
      </c>
      <c r="C5989" s="5" t="str">
        <f>IFERROR(__xludf.DUMMYFUNCTION("GOOGLETRANSLATE(B5989,""en"",""fr"")"),"La personne se penche devant la clôture et commence à le vaporiser.")</f>
        <v>La personne se penche devant la clôture et commence à le vaporiser.</v>
      </c>
    </row>
    <row r="5990">
      <c r="A5990" s="4" t="s">
        <v>7533</v>
      </c>
      <c r="B5990" s="4" t="s">
        <v>7536</v>
      </c>
      <c r="C5990" s="5" t="str">
        <f>IFERROR(__xludf.DUMMYFUNCTION("GOOGLETRANSLATE(B5990,""en"",""fr"")"),"La personne continue de pulvériser la clôture pendant que la caméra capture par derrière.")</f>
        <v>La personne continue de pulvériser la clôture pendant que la caméra capture par derrière.</v>
      </c>
    </row>
    <row r="5991">
      <c r="A5991" s="4" t="s">
        <v>7537</v>
      </c>
      <c r="B5991" s="6" t="s">
        <v>7538</v>
      </c>
      <c r="C5991" s="5" t="str">
        <f>IFERROR(__xludf.DUMMYFUNCTION("GOOGLETRANSLATE(B5991,""en"",""fr"")"),"Trois hommes sont assis sur un canapé avec l'homme au milieu en souriant, l'homme à droite jouant une harmonica et l'homme à l'extrême gauche tenant son doigt à sa zone de lèvre supérieure et faisant un bruit avec sa lèvre inférieure en le pliant avec sa "&amp;"main.")</f>
        <v>Trois hommes sont assis sur un canapé avec l'homme au milieu en souriant, l'homme à droite jouant une harmonica et l'homme à l'extrême gauche tenant son doigt à sa zone de lèvre supérieure et faisant un bruit avec sa lèvre inférieure en le pliant avec sa main.</v>
      </c>
    </row>
    <row r="5992">
      <c r="A5992" s="4" t="s">
        <v>7537</v>
      </c>
      <c r="B5992" s="4" t="s">
        <v>7539</v>
      </c>
      <c r="C5992" s="5" t="str">
        <f>IFERROR(__xludf.DUMMYFUNCTION("GOOGLETRANSLATE(B5992,""en"",""fr"")"),"L'homme à droite lui tape le pied alors que les deux hommes jouent de la musique.")</f>
        <v>L'homme à droite lui tape le pied alors que les deux hommes jouent de la musique.</v>
      </c>
    </row>
    <row r="5993">
      <c r="A5993" s="4" t="s">
        <v>7537</v>
      </c>
      <c r="B5993" s="4" t="s">
        <v>7540</v>
      </c>
      <c r="C5993" s="5" t="str">
        <f>IFERROR(__xludf.DUMMYFUNCTION("GOOGLETRANSLATE(B5993,""en"",""fr"")"),"La caméra passe à un spectateur debout sur le côté de la pièce en regardant et en souriant.")</f>
        <v>La caméra passe à un spectateur debout sur le côté de la pièce en regardant et en souriant.</v>
      </c>
    </row>
    <row r="5994">
      <c r="A5994" s="4" t="s">
        <v>7537</v>
      </c>
      <c r="B5994" s="4" t="s">
        <v>7541</v>
      </c>
      <c r="C5994" s="5" t="str">
        <f>IFERROR(__xludf.DUMMYFUNCTION("GOOGLETRANSLATE(B5994,""en"",""fr"")"),"Les deux hommes cessent de jouer et l'homme au milieu hausse les épaules alors que les deux autres hommes sourient.")</f>
        <v>Les deux hommes cessent de jouer et l'homme au milieu hausse les épaules alors que les deux autres hommes sourient.</v>
      </c>
    </row>
    <row r="5995">
      <c r="A5995" s="4" t="s">
        <v>7542</v>
      </c>
      <c r="B5995" s="6" t="s">
        <v>7543</v>
      </c>
      <c r="C5995" s="5" t="str">
        <f>IFERROR(__xludf.DUMMYFUNCTION("GOOGLETRANSLATE(B5995,""en"",""fr"")"),"Trois jeunes enfants, 2 filles et un garçon, jouent à une plage et empilent du sable sur un gros tas alors que les vagues continuent d'entrer et de sortir.")</f>
        <v>Trois jeunes enfants, 2 filles et un garçon, jouent à une plage et empilent du sable sur un gros tas alors que les vagues continuent d'entrer et de sortir.</v>
      </c>
    </row>
    <row r="5996">
      <c r="A5996" s="4" t="s">
        <v>7542</v>
      </c>
      <c r="B5996" s="6" t="s">
        <v>7544</v>
      </c>
      <c r="C5996" s="5" t="str">
        <f>IFERROR(__xludf.DUMMYFUNCTION("GOOGLETRANSLATE(B5996,""en"",""fr"")"),"La personne de l'appareil photo se déroule ensuite autour de la plage pour montrer le reste de la plage et diverses autres personnes qui sont là.")</f>
        <v>La personne de l'appareil photo se déroule ensuite autour de la plage pour montrer le reste de la plage et diverses autres personnes qui sont là.</v>
      </c>
    </row>
    <row r="5997">
      <c r="A5997" s="4" t="s">
        <v>7542</v>
      </c>
      <c r="B5997" s="4" t="s">
        <v>7545</v>
      </c>
      <c r="C5997" s="5" t="str">
        <f>IFERROR(__xludf.DUMMYFUNCTION("GOOGLETRANSLATE(B5997,""en"",""fr"")"),"La personne de l'appareil photo se concentre ensuite sur deux femmes qui parlent et se tiennent ensemble.")</f>
        <v>La personne de l'appareil photo se concentre ensuite sur deux femmes qui parlent et se tiennent ensemble.</v>
      </c>
    </row>
    <row r="5998">
      <c r="A5998" s="4" t="s">
        <v>7542</v>
      </c>
      <c r="B5998" s="6" t="s">
        <v>7546</v>
      </c>
      <c r="C5998" s="5" t="str">
        <f>IFERROR(__xludf.DUMMYFUNCTION("GOOGLETRANSLATE(B5998,""en"",""fr"")"),"Se concentre ensuite sur les enfants du sable qui continuent de creuser dans le sable et de piler le sable dans un gros tas.")</f>
        <v>Se concentre ensuite sur les enfants du sable qui continuent de creuser dans le sable et de piler le sable dans un gros tas.</v>
      </c>
    </row>
    <row r="5999">
      <c r="A5999" s="4" t="s">
        <v>7542</v>
      </c>
      <c r="B5999" s="6" t="s">
        <v>7547</v>
      </c>
      <c r="C5999" s="5" t="str">
        <f>IFERROR(__xludf.DUMMYFUNCTION("GOOGLETRANSLATE(B5999,""en"",""fr"")"),"L'une des filles manque ensuite du tir et de l'autre fille et le seul garçon reste près de leur petit tas de sable.")</f>
        <v>L'une des filles manque ensuite du tir et de l'autre fille et le seul garçon reste près de leur petit tas de sable.</v>
      </c>
    </row>
    <row r="6000">
      <c r="A6000" s="4" t="s">
        <v>7548</v>
      </c>
      <c r="B6000" s="6" t="s">
        <v>7549</v>
      </c>
      <c r="C6000" s="5" t="str">
        <f>IFERROR(__xludf.DUMMYFUNCTION("GOOGLETRANSLATE(B6000,""en"",""fr"")"),"Une fille aux cheveux blonds et aux ongles rouges est assis sur une chaise dans la chambre et parle à la caméra tout en fumant et en montrant une bouteille de barreau bleu.")</f>
        <v>Une fille aux cheveux blonds et aux ongles rouges est assis sur une chaise dans la chambre et parle à la caméra tout en fumant et en montrant une bouteille de barreau bleu.</v>
      </c>
    </row>
    <row r="6001">
      <c r="A6001" s="4" t="s">
        <v>7548</v>
      </c>
      <c r="B6001" s="6" t="s">
        <v>7550</v>
      </c>
      <c r="C6001" s="5" t="str">
        <f>IFERROR(__xludf.DUMMYFUNCTION("GOOGLETRANSLATE(B6001,""en"",""fr"")"),"La fille s'éloigne de la caméra sur la chaise pour obtenir une bouteille de vernis à ongles bleu et la maintenez sur l'écran.")</f>
        <v>La fille s'éloigne de la caméra sur la chaise pour obtenir une bouteille de vernis à ongles bleu et la maintenez sur l'écran.</v>
      </c>
    </row>
    <row r="6002">
      <c r="A6002" s="4" t="s">
        <v>7548</v>
      </c>
      <c r="B6002" s="4" t="s">
        <v>7551</v>
      </c>
      <c r="C6002" s="5" t="str">
        <f>IFERROR(__xludf.DUMMYFUNCTION("GOOGLETRANSLATE(B6002,""en"",""fr"")"),"La fille commence alors à fumer une cigarette devant la caméra en parlant.")</f>
        <v>La fille commence alors à fumer une cigarette devant la caméra en parlant.</v>
      </c>
    </row>
    <row r="6003">
      <c r="A6003" s="4" t="s">
        <v>7548</v>
      </c>
      <c r="B6003" s="4" t="s">
        <v>7552</v>
      </c>
      <c r="C6003" s="5" t="str">
        <f>IFERROR(__xludf.DUMMYFUNCTION("GOOGLETRANSLATE(B6003,""en"",""fr"")"),"La fille, enfin, prend une longue inspiration et se penche pour expirer dans la caméra avant de retomber.")</f>
        <v>La fille, enfin, prend une longue inspiration et se penche pour expirer dans la caméra avant de retomber.</v>
      </c>
    </row>
    <row r="6004">
      <c r="A6004" s="4" t="s">
        <v>7553</v>
      </c>
      <c r="B6004" s="4" t="s">
        <v>7554</v>
      </c>
      <c r="C6004" s="5" t="str">
        <f>IFERROR(__xludf.DUMMYFUNCTION("GOOGLETRANSLATE(B6004,""en"",""fr"")"),"Une caméra de casque est mise en place, puis un homme fait du skateboard.")</f>
        <v>Une caméra de casque est mise en place, puis un homme fait du skateboard.</v>
      </c>
    </row>
    <row r="6005">
      <c r="A6005" s="4" t="s">
        <v>7553</v>
      </c>
      <c r="B6005" s="4" t="s">
        <v>7555</v>
      </c>
      <c r="C6005" s="5" t="str">
        <f>IFERROR(__xludf.DUMMYFUNCTION("GOOGLETRANSLATE(B6005,""en"",""fr"")"),"Il zoome dans la ville et part sur une autoroute.")</f>
        <v>Il zoome dans la ville et part sur une autoroute.</v>
      </c>
    </row>
    <row r="6006">
      <c r="A6006" s="4" t="s">
        <v>7553</v>
      </c>
      <c r="B6006" s="4" t="s">
        <v>7556</v>
      </c>
      <c r="C6006" s="5" t="str">
        <f>IFERROR(__xludf.DUMMYFUNCTION("GOOGLETRANSLATE(B6006,""en"",""fr"")"),"Il passe un camion et d'autres personnes.")</f>
        <v>Il passe un camion et d'autres personnes.</v>
      </c>
    </row>
    <row r="6007">
      <c r="A6007" s="4" t="s">
        <v>7557</v>
      </c>
      <c r="B6007" s="4" t="s">
        <v>7558</v>
      </c>
      <c r="C6007" s="5" t="str">
        <f>IFERROR(__xludf.DUMMYFUNCTION("GOOGLETRANSLATE(B6007,""en"",""fr"")"),"Un homme se tient dans un champ qui parle.")</f>
        <v>Un homme se tient dans un champ qui parle.</v>
      </c>
    </row>
    <row r="6008">
      <c r="A6008" s="4" t="s">
        <v>7557</v>
      </c>
      <c r="B6008" s="4" t="s">
        <v>7559</v>
      </c>
      <c r="C6008" s="5" t="str">
        <f>IFERROR(__xludf.DUMMYFUNCTION("GOOGLETRANSLATE(B6008,""en"",""fr"")"),"Il frappe une boule de bowling avec un maillet de croquet, puis tient une boule de bowling avec un gros 8 dessus.")</f>
        <v>Il frappe une boule de bowling avec un maillet de croquet, puis tient une boule de bowling avec un gros 8 dessus.</v>
      </c>
    </row>
    <row r="6009">
      <c r="A6009" s="4" t="s">
        <v>7557</v>
      </c>
      <c r="B6009" s="4" t="s">
        <v>7560</v>
      </c>
      <c r="C6009" s="5" t="str">
        <f>IFERROR(__xludf.DUMMYFUNCTION("GOOGLETRANSLATE(B6009,""en"",""fr"")"),"Une femme avec un grand calice est dans le même domaine à parler.")</f>
        <v>Une femme avec un grand calice est dans le même domaine à parler.</v>
      </c>
    </row>
    <row r="6010">
      <c r="A6010" s="4" t="s">
        <v>7557</v>
      </c>
      <c r="B6010" s="4" t="s">
        <v>7561</v>
      </c>
      <c r="C6010" s="5" t="str">
        <f>IFERROR(__xludf.DUMMYFUNCTION("GOOGLETRANSLATE(B6010,""en"",""fr"")"),"Les voitures passent et les gens se promènent en arrière-plan.")</f>
        <v>Les voitures passent et les gens se promènent en arrière-plan.</v>
      </c>
    </row>
    <row r="6011">
      <c r="A6011" s="4" t="s">
        <v>7557</v>
      </c>
      <c r="B6011" s="4" t="s">
        <v>7562</v>
      </c>
      <c r="C6011" s="5" t="str">
        <f>IFERROR(__xludf.DUMMYFUNCTION("GOOGLETRANSLATE(B6011,""en"",""fr"")"),"Une boule de bowling qui est coupée en deux est au sol.")</f>
        <v>Une boule de bowling qui est coupée en deux est au sol.</v>
      </c>
    </row>
    <row r="6012">
      <c r="A6012" s="4" t="s">
        <v>7557</v>
      </c>
      <c r="B6012" s="4" t="s">
        <v>7563</v>
      </c>
      <c r="C6012" s="5" t="str">
        <f>IFERROR(__xludf.DUMMYFUNCTION("GOOGLETRANSLATE(B6012,""en"",""fr"")"),"Quelques enfants regardent la demi-boule de bowling.")</f>
        <v>Quelques enfants regardent la demi-boule de bowling.</v>
      </c>
    </row>
    <row r="6013">
      <c r="A6013" s="4" t="s">
        <v>7557</v>
      </c>
      <c r="B6013" s="4" t="s">
        <v>7564</v>
      </c>
      <c r="C6013" s="5" t="str">
        <f>IFERROR(__xludf.DUMMYFUNCTION("GOOGLETRANSLATE(B6013,""en"",""fr"")"),"Un homme frappe le ballon ""8"" avec un maillet de croquet et fait une petite danse.")</f>
        <v>Un homme frappe le ballon "8" avec un maillet de croquet et fait une petite danse.</v>
      </c>
    </row>
    <row r="6014">
      <c r="A6014" s="4" t="s">
        <v>7557</v>
      </c>
      <c r="B6014" s="4" t="s">
        <v>7565</v>
      </c>
      <c r="C6014" s="5" t="str">
        <f>IFERROR(__xludf.DUMMYFUNCTION("GOOGLETRANSLATE(B6014,""en"",""fr"")"),"Une femme frappe 1 balle de bowling contre une autre avec un maillet.")</f>
        <v>Une femme frappe 1 balle de bowling contre une autre avec un maillet.</v>
      </c>
    </row>
    <row r="6015">
      <c r="A6015" s="4" t="s">
        <v>7557</v>
      </c>
      <c r="B6015" s="4" t="s">
        <v>7566</v>
      </c>
      <c r="C6015" s="5" t="str">
        <f>IFERROR(__xludf.DUMMYFUNCTION("GOOGLETRANSLATE(B6015,""en"",""fr"")"),"Un homme différent frappe une boule de bowling avec un maillet.")</f>
        <v>Un homme différent frappe une boule de bowling avec un maillet.</v>
      </c>
    </row>
    <row r="6016">
      <c r="A6016" s="4" t="s">
        <v>7557</v>
      </c>
      <c r="B6016" s="4" t="s">
        <v>7567</v>
      </c>
      <c r="C6016" s="5" t="str">
        <f>IFERROR(__xludf.DUMMYFUNCTION("GOOGLETRANSLATE(B6016,""en"",""fr"")"),"Une jeune fille frappe le ballon avec le maillet.")</f>
        <v>Une jeune fille frappe le ballon avec le maillet.</v>
      </c>
    </row>
    <row r="6017">
      <c r="A6017" s="4" t="s">
        <v>7557</v>
      </c>
      <c r="B6017" s="6" t="s">
        <v>7568</v>
      </c>
      <c r="C6017" s="5" t="str">
        <f>IFERROR(__xludf.DUMMYFUNCTION("GOOGLETRANSLATE(B6017,""en"",""fr"")"),"Un autre homme frappe une boule de bowling et fait une danse, les jeunes filles jouent tandis qu'un homme habillé comme un Joker parle.")</f>
        <v>Un autre homme frappe une boule de bowling et fait une danse, les jeunes filles jouent tandis qu'un homme habillé comme un Joker parle.</v>
      </c>
    </row>
    <row r="6018">
      <c r="A6018" s="4" t="s">
        <v>7557</v>
      </c>
      <c r="B6018" s="4" t="s">
        <v>7569</v>
      </c>
      <c r="C6018" s="5" t="str">
        <f>IFERROR(__xludf.DUMMYFUNCTION("GOOGLETRANSLATE(B6018,""en"",""fr"")"),"Le jeu se termine et tous les matériaux du jeu sont rassemblés.")</f>
        <v>Le jeu se termine et tous les matériaux du jeu sont rassemblés.</v>
      </c>
    </row>
    <row r="6019">
      <c r="A6019" s="4" t="s">
        <v>7557</v>
      </c>
      <c r="B6019" s="4" t="s">
        <v>7570</v>
      </c>
      <c r="C6019" s="5" t="str">
        <f>IFERROR(__xludf.DUMMYFUNCTION("GOOGLETRANSLATE(B6019,""en"",""fr"")"),"La femme lui donne du calice aux jeunes filles qui sont très excitées.")</f>
        <v>La femme lui donne du calice aux jeunes filles qui sont très excitées.</v>
      </c>
    </row>
    <row r="6020">
      <c r="A6020" s="4" t="s">
        <v>7571</v>
      </c>
      <c r="B6020" s="4" t="s">
        <v>7572</v>
      </c>
      <c r="C6020" s="5" t="str">
        <f>IFERROR(__xludf.DUMMYFUNCTION("GOOGLETRANSLATE(B6020,""en"",""fr"")"),"Le texte indique que la vidéo montrera comment craie de la peinture.")</f>
        <v>Le texte indique que la vidéo montrera comment craie de la peinture.</v>
      </c>
    </row>
    <row r="6021">
      <c r="A6021" s="4" t="s">
        <v>7571</v>
      </c>
      <c r="B6021" s="4" t="s">
        <v>7573</v>
      </c>
      <c r="C6021" s="5" t="str">
        <f>IFERROR(__xludf.DUMMYFUNCTION("GOOGLETRANSLATE(B6021,""en"",""fr"")"),"Une armoire est montrée et une femme tient l'un des tiroirs.")</f>
        <v>Une armoire est montrée et une femme tient l'un des tiroirs.</v>
      </c>
    </row>
    <row r="6022">
      <c r="A6022" s="4" t="s">
        <v>7571</v>
      </c>
      <c r="B6022" s="4" t="s">
        <v>7574</v>
      </c>
      <c r="C6022" s="5" t="str">
        <f>IFERROR(__xludf.DUMMYFUNCTION("GOOGLETRANSLATE(B6022,""en"",""fr"")"),"Elle ponce le bois avant d'appliquer une couche de peinture à la craie avec une brosse.")</f>
        <v>Elle ponce le bois avant d'appliquer une couche de peinture à la craie avec une brosse.</v>
      </c>
    </row>
    <row r="6023">
      <c r="A6023" s="4" t="s">
        <v>7571</v>
      </c>
      <c r="B6023" s="4" t="s">
        <v>7575</v>
      </c>
      <c r="C6023" s="5" t="str">
        <f>IFERROR(__xludf.DUMMYFUNCTION("GOOGLETRANSLATE(B6023,""en"",""fr"")"),"Elle détient les canettes de peinture alors qu'elle parle du produit fini.")</f>
        <v>Elle détient les canettes de peinture alors qu'elle parle du produit fini.</v>
      </c>
    </row>
    <row r="6024">
      <c r="A6024" s="4" t="s">
        <v>7571</v>
      </c>
      <c r="B6024" s="4" t="s">
        <v>7576</v>
      </c>
      <c r="C6024" s="5" t="str">
        <f>IFERROR(__xludf.DUMMYFUNCTION("GOOGLETRANSLATE(B6024,""en"",""fr"")"),"L'armoire peinte est montrée une dernière fois.")</f>
        <v>L'armoire peinte est montrée une dernière fois.</v>
      </c>
    </row>
    <row r="6025">
      <c r="A6025" s="4" t="s">
        <v>7577</v>
      </c>
      <c r="B6025" s="4" t="s">
        <v>7578</v>
      </c>
      <c r="C6025" s="5" t="str">
        <f>IFERROR(__xludf.DUMMYFUNCTION("GOOGLETRANSLATE(B6025,""en"",""fr"")"),"Un spectacle d'une benne à ordures est montré ainsi que des femmes en équipement debout devant elle.")</f>
        <v>Un spectacle d'une benne à ordures est montré ainsi que des femmes en équipement debout devant elle.</v>
      </c>
    </row>
    <row r="6026">
      <c r="A6026" s="4" t="s">
        <v>7577</v>
      </c>
      <c r="B6026" s="4" t="s">
        <v>7579</v>
      </c>
      <c r="C6026" s="5" t="str">
        <f>IFERROR(__xludf.DUMMYFUNCTION("GOOGLETRANSLATE(B6026,""en"",""fr"")"),"La femme se frappe le long de la benne à ordures tandis que d'autres personnes entrent dans le cadre.")</f>
        <v>La femme se frappe le long de la benne à ordures tandis que d'autres personnes entrent dans le cadre.</v>
      </c>
    </row>
    <row r="6027">
      <c r="A6027" s="4" t="s">
        <v>7577</v>
      </c>
      <c r="B6027" s="6" t="s">
        <v>7580</v>
      </c>
      <c r="C6027" s="5" t="str">
        <f>IFERROR(__xludf.DUMMYFUNCTION("GOOGLETRANSLATE(B6027,""en"",""fr"")"),"La femme se déplace ensuite sur des lames à rouleaux pendant que la caméra suit ses mouvements.")</f>
        <v>La femme se déplace ensuite sur des lames à rouleaux pendant que la caméra suit ses mouvements.</v>
      </c>
    </row>
    <row r="6028">
      <c r="A6028" s="4" t="s">
        <v>7581</v>
      </c>
      <c r="B6028" s="4" t="s">
        <v>7582</v>
      </c>
      <c r="C6028" s="5" t="str">
        <f>IFERROR(__xludf.DUMMYFUNCTION("GOOGLETRANSLATE(B6028,""en"",""fr"")"),"Nous voyons un écran de titre rapide.")</f>
        <v>Nous voyons un écran de titre rapide.</v>
      </c>
    </row>
    <row r="6029">
      <c r="A6029" s="4" t="s">
        <v>7581</v>
      </c>
      <c r="B6029" s="4" t="s">
        <v>7583</v>
      </c>
      <c r="C6029" s="5" t="str">
        <f>IFERROR(__xludf.DUMMYFUNCTION("GOOGLETRANSLATE(B6029,""en"",""fr"")"),"Nous voyons ensuite un homme travailler sur diverses choses dans une usine de vélos.")</f>
        <v>Nous voyons ensuite un homme travailler sur diverses choses dans une usine de vélos.</v>
      </c>
    </row>
    <row r="6030">
      <c r="A6030" s="4" t="s">
        <v>7581</v>
      </c>
      <c r="B6030" s="4" t="s">
        <v>7584</v>
      </c>
      <c r="C6030" s="5" t="str">
        <f>IFERROR(__xludf.DUMMYFUNCTION("GOOGLETRANSLATE(B6030,""en"",""fr"")"),"L'homme rassemble un vélo rapidement, le place dans une boîte, puis sur un tapis roulant.")</f>
        <v>L'homme rassemble un vélo rapidement, le place dans une boîte, puis sur un tapis roulant.</v>
      </c>
    </row>
    <row r="6031">
      <c r="A6031" s="4" t="s">
        <v>7581</v>
      </c>
      <c r="B6031" s="4" t="s">
        <v>7585</v>
      </c>
      <c r="C6031" s="5" t="str">
        <f>IFERROR(__xludf.DUMMYFUNCTION("GOOGLETRANSLATE(B6031,""en"",""fr"")"),"Nous voyons ensuite une personne mettre des outils sur la boîte à vélo.")</f>
        <v>Nous voyons ensuite une personne mettre des outils sur la boîte à vélo.</v>
      </c>
    </row>
    <row r="6032">
      <c r="A6032" s="4" t="s">
        <v>7581</v>
      </c>
      <c r="B6032" s="4" t="s">
        <v>7586</v>
      </c>
      <c r="C6032" s="5" t="str">
        <f>IFERROR(__xludf.DUMMYFUNCTION("GOOGLETRANSLATE(B6032,""en"",""fr"")"),"L'homme commence à prendre la pièce des pièces et à assembler le vélo.")</f>
        <v>L'homme commence à prendre la pièce des pièces et à assembler le vélo.</v>
      </c>
    </row>
    <row r="6033">
      <c r="A6033" s="4" t="s">
        <v>7581</v>
      </c>
      <c r="B6033" s="4" t="s">
        <v>7587</v>
      </c>
      <c r="C6033" s="5" t="str">
        <f>IFERROR(__xludf.DUMMYFUNCTION("GOOGLETRANSLATE(B6033,""en"",""fr"")"),"Nous voyons brièvement l'usine.")</f>
        <v>Nous voyons brièvement l'usine.</v>
      </c>
    </row>
    <row r="6034">
      <c r="A6034" s="4" t="s">
        <v>7581</v>
      </c>
      <c r="B6034" s="4" t="s">
        <v>7588</v>
      </c>
      <c r="C6034" s="5" t="str">
        <f>IFERROR(__xludf.DUMMYFUNCTION("GOOGLETRANSLATE(B6034,""en"",""fr"")"),"Nous retournons à l'homme en train de rassembler le vélo.")</f>
        <v>Nous retournons à l'homme en train de rassembler le vélo.</v>
      </c>
    </row>
    <row r="6035">
      <c r="A6035" s="4" t="s">
        <v>7581</v>
      </c>
      <c r="B6035" s="4" t="s">
        <v>7589</v>
      </c>
      <c r="C6035" s="5" t="str">
        <f>IFERROR(__xludf.DUMMYFUNCTION("GOOGLETRANSLATE(B6035,""en"",""fr"")"),"Il termine et nous voyons le numéro de téléphone du service client.")</f>
        <v>Il termine et nous voyons le numéro de téléphone du service client.</v>
      </c>
    </row>
    <row r="6036">
      <c r="A6036" s="4" t="s">
        <v>7581</v>
      </c>
      <c r="B6036" s="4" t="s">
        <v>7590</v>
      </c>
      <c r="C6036" s="5" t="str">
        <f>IFERROR(__xludf.DUMMYFUNCTION("GOOGLETRANSLATE(B6036,""en"",""fr"")"),"Nous voyons ensuite l'écran du titre de fin.")</f>
        <v>Nous voyons ensuite l'écran du titre de fin.</v>
      </c>
    </row>
    <row r="6037">
      <c r="A6037" s="4" t="s">
        <v>7591</v>
      </c>
      <c r="B6037" s="4" t="s">
        <v>7592</v>
      </c>
      <c r="C6037" s="5" t="str">
        <f>IFERROR(__xludf.DUMMYFUNCTION("GOOGLETRANSLATE(B6037,""en"",""fr"")"),"Un groupe d'un homme et de trois femmes est sur un sol de gym.")</f>
        <v>Un groupe d'un homme et de trois femmes est sur un sol de gym.</v>
      </c>
    </row>
    <row r="6038">
      <c r="A6038" s="4" t="s">
        <v>7591</v>
      </c>
      <c r="B6038" s="4" t="s">
        <v>7593</v>
      </c>
      <c r="C6038" s="5" t="str">
        <f>IFERROR(__xludf.DUMMYFUNCTION("GOOGLETRANSLATE(B6038,""en"",""fr"")"),"Ils dansent à l'unisson, effectuant plusieurs mouvements.")</f>
        <v>Ils dansent à l'unisson, effectuant plusieurs mouvements.</v>
      </c>
    </row>
    <row r="6039">
      <c r="A6039" s="4" t="s">
        <v>7591</v>
      </c>
      <c r="B6039" s="4" t="s">
        <v>7594</v>
      </c>
      <c r="C6039" s="5" t="str">
        <f>IFERROR(__xludf.DUMMYFUNCTION("GOOGLETRANSLATE(B6039,""en"",""fr"")"),"Quand ils ont fini, une femme rit et s'enfuit.")</f>
        <v>Quand ils ont fini, une femme rit et s'enfuit.</v>
      </c>
    </row>
    <row r="6040">
      <c r="A6040" s="4" t="s">
        <v>7595</v>
      </c>
      <c r="B6040" s="4" t="s">
        <v>7596</v>
      </c>
      <c r="C6040" s="5" t="str">
        <f>IFERROR(__xludf.DUMMYFUNCTION("GOOGLETRANSLATE(B6040,""en"",""fr"")"),"Un homme monte sur une planche à roulettes à l'intérieur et le monte sur un court poteau debout sur le sol.")</f>
        <v>Un homme monte sur une planche à roulettes à l'intérieur et le monte sur un court poteau debout sur le sol.</v>
      </c>
    </row>
    <row r="6041">
      <c r="A6041" s="4" t="s">
        <v>7595</v>
      </c>
      <c r="B6041" s="6" t="s">
        <v>7597</v>
      </c>
      <c r="C6041" s="5" t="str">
        <f>IFERROR(__xludf.DUMMYFUNCTION("GOOGLETRANSLATE(B6041,""en"",""fr"")"),"Le même homme se tient maintenant à l'extérieur pour parler et les mots en bas de l'écran disent que son nom est ""Shawn Connelly"" et il est le fondateur - San Francisco Skate Club et pendant qu'il parle divers mots apparaissent en bas de l'écran à diffé"&amp;"rents moments ainsi que des clips de son skateboard montrant différents mouvements que les mots mentionnent.")</f>
        <v>Le même homme se tient maintenant à l'extérieur pour parler et les mots en bas de l'écran disent que son nom est "Shawn Connelly" et il est le fondateur - San Francisco Skate Club et pendant qu'il parle divers mots apparaissent en bas de l'écran à différents moments ainsi que des clips de son skateboard montrant différents mouvements que les mots mentionnent.</v>
      </c>
    </row>
    <row r="6042">
      <c r="A6042" s="4" t="s">
        <v>7595</v>
      </c>
      <c r="B6042" s="6" t="s">
        <v>7598</v>
      </c>
      <c r="C6042" s="5" t="str">
        <f>IFERROR(__xludf.DUMMYFUNCTION("GOOGLETRANSLATE(B6042,""en"",""fr"")"),"L'homme met fin à la vidéo de lui qui parle, pas de texte à l'écran, et aucun autre clips ne montrant pendant qu'il parle.")</f>
        <v>L'homme met fin à la vidéo de lui qui parle, pas de texte à l'écran, et aucun autre clips ne montrant pendant qu'il parle.</v>
      </c>
    </row>
    <row r="6043">
      <c r="A6043" s="4" t="s">
        <v>7599</v>
      </c>
      <c r="B6043" s="4" t="s">
        <v>7600</v>
      </c>
      <c r="C6043" s="5" t="str">
        <f>IFERROR(__xludf.DUMMYFUNCTION("GOOGLETRANSLATE(B6043,""en"",""fr"")"),"Un homme en kayak rouge roule dans l'eau et hors de l'eau.")</f>
        <v>Un homme en kayak rouge roule dans l'eau et hors de l'eau.</v>
      </c>
    </row>
    <row r="6044">
      <c r="A6044" s="4" t="s">
        <v>7599</v>
      </c>
      <c r="B6044" s="4" t="s">
        <v>7601</v>
      </c>
      <c r="C6044" s="5" t="str">
        <f>IFERROR(__xludf.DUMMYFUNCTION("GOOGLETRANSLATE(B6044,""en"",""fr"")"),"Il roule à nouveau dans l'eau.")</f>
        <v>Il roule à nouveau dans l'eau.</v>
      </c>
    </row>
    <row r="6045">
      <c r="A6045" s="4" t="s">
        <v>7599</v>
      </c>
      <c r="B6045" s="4" t="s">
        <v>7602</v>
      </c>
      <c r="C6045" s="5" t="str">
        <f>IFERROR(__xludf.DUMMYFUNCTION("GOOGLETRANSLATE(B6045,""en"",""fr"")"),"Il est ensuite dans un kayak bleu et roule dans l'eau et hors de l'eau.")</f>
        <v>Il est ensuite dans un kayak bleu et roule dans l'eau et hors de l'eau.</v>
      </c>
    </row>
    <row r="6046">
      <c r="A6046" s="4" t="s">
        <v>7599</v>
      </c>
      <c r="B6046" s="4" t="s">
        <v>7603</v>
      </c>
      <c r="C6046" s="5" t="str">
        <f>IFERROR(__xludf.DUMMYFUNCTION("GOOGLETRANSLATE(B6046,""en"",""fr"")"),"Il le fait à nouveau.")</f>
        <v>Il le fait à nouveau.</v>
      </c>
    </row>
    <row r="6047">
      <c r="A6047" s="4" t="s">
        <v>7604</v>
      </c>
      <c r="B6047" s="4" t="s">
        <v>7605</v>
      </c>
      <c r="C6047" s="5" t="str">
        <f>IFERROR(__xludf.DUMMYFUNCTION("GOOGLETRANSLATE(B6047,""en"",""fr"")"),"Un homme portant une chemise noire ouvre un sac de pain et sort trois tranches de pain.")</f>
        <v>Un homme portant une chemise noire ouvre un sac de pain et sort trois tranches de pain.</v>
      </c>
    </row>
    <row r="6048">
      <c r="A6048" s="4" t="s">
        <v>7604</v>
      </c>
      <c r="B6048" s="4" t="s">
        <v>7606</v>
      </c>
      <c r="C6048" s="5" t="str">
        <f>IFERROR(__xludf.DUMMYFUNCTION("GOOGLETRANSLATE(B6048,""en"",""fr"")"),"L'homme lève une bouteille vide de miracle et la jette en revers.")</f>
        <v>L'homme lève une bouteille vide de miracle et la jette en revers.</v>
      </c>
    </row>
    <row r="6049">
      <c r="A6049" s="4" t="s">
        <v>7604</v>
      </c>
      <c r="B6049" s="4" t="s">
        <v>7607</v>
      </c>
      <c r="C6049" s="5" t="str">
        <f>IFERROR(__xludf.DUMMYFUNCTION("GOOGLETRANSLATE(B6049,""en"",""fr"")"),"L'homme ouvre ensuite le réfrigérateur et sort une nouvelle bouteille de fouet miracle.")</f>
        <v>L'homme ouvre ensuite le réfrigérateur et sort une nouvelle bouteille de fouet miracle.</v>
      </c>
    </row>
    <row r="6050">
      <c r="A6050" s="4" t="s">
        <v>7604</v>
      </c>
      <c r="B6050" s="4" t="s">
        <v>7608</v>
      </c>
      <c r="C6050" s="5" t="str">
        <f>IFERROR(__xludf.DUMMYFUNCTION("GOOGLETRANSLATE(B6050,""en"",""fr"")"),"Il utilise ensuite un couteau pour retirer le fouet miracle sur les tranches de pain.")</f>
        <v>Il utilise ensuite un couteau pour retirer le fouet miracle sur les tranches de pain.</v>
      </c>
    </row>
    <row r="6051">
      <c r="A6051" s="4" t="s">
        <v>7604</v>
      </c>
      <c r="B6051" s="4" t="s">
        <v>7609</v>
      </c>
      <c r="C6051" s="5" t="str">
        <f>IFERROR(__xludf.DUMMYFUNCTION("GOOGLETRANSLATE(B6051,""en"",""fr"")"),"L'homme ouvre ensuite un sac de fromage suisse et place une tranche sur chaque tranche de pain.")</f>
        <v>L'homme ouvre ensuite un sac de fromage suisse et place une tranche sur chaque tranche de pain.</v>
      </c>
    </row>
    <row r="6052">
      <c r="A6052" s="4" t="s">
        <v>7604</v>
      </c>
      <c r="B6052" s="6" t="s">
        <v>7610</v>
      </c>
      <c r="C6052" s="5" t="str">
        <f>IFERROR(__xludf.DUMMYFUNCTION("GOOGLETRANSLATE(B6052,""en"",""fr"")"),"L'homme obtient ensuite un récipient de Salami Gênes du réfrigérateur et empile les tranches sur les tranches de pain.")</f>
        <v>L'homme obtient ensuite un récipient de Salami Gênes du réfrigérateur et empile les tranches sur les tranches de pain.</v>
      </c>
    </row>
    <row r="6053">
      <c r="A6053" s="4" t="s">
        <v>7604</v>
      </c>
      <c r="B6053" s="4" t="s">
        <v>7611</v>
      </c>
      <c r="C6053" s="5" t="str">
        <f>IFERROR(__xludf.DUMMYFUNCTION("GOOGLETRANSLATE(B6053,""en"",""fr"")"),"Il met ensuite les tranches de pain les unes sur les autres et complète le sandwich.")</f>
        <v>Il met ensuite les tranches de pain les unes sur les autres et complète le sandwich.</v>
      </c>
    </row>
    <row r="6054">
      <c r="A6054" s="4" t="s">
        <v>7612</v>
      </c>
      <c r="B6054" s="4" t="s">
        <v>7613</v>
      </c>
      <c r="C6054" s="5" t="str">
        <f>IFERROR(__xludf.DUMMYFUNCTION("GOOGLETRANSLATE(B6054,""en"",""fr"")"),"Nous voyons un homme et une femme debout le front.")</f>
        <v>Nous voyons un homme et une femme debout le front.</v>
      </c>
    </row>
    <row r="6055">
      <c r="A6055" s="4" t="s">
        <v>7612</v>
      </c>
      <c r="B6055" s="4" t="s">
        <v>7614</v>
      </c>
      <c r="C6055" s="5" t="str">
        <f>IFERROR(__xludf.DUMMYFUNCTION("GOOGLETRANSLATE(B6055,""en"",""fr"")"),"Les gens dansent alors ensemble.")</f>
        <v>Les gens dansent alors ensemble.</v>
      </c>
    </row>
    <row r="6056">
      <c r="A6056" s="4" t="s">
        <v>7612</v>
      </c>
      <c r="B6056" s="4" t="s">
        <v>7615</v>
      </c>
      <c r="C6056" s="5" t="str">
        <f>IFERROR(__xludf.DUMMYFUNCTION("GOOGLETRANSLATE(B6056,""en"",""fr"")"),"La dame tient ses jambes à ses côtés.")</f>
        <v>La dame tient ses jambes à ses côtés.</v>
      </c>
    </row>
    <row r="6057">
      <c r="A6057" s="4" t="s">
        <v>7612</v>
      </c>
      <c r="B6057" s="4" t="s">
        <v>7616</v>
      </c>
      <c r="C6057" s="5" t="str">
        <f>IFERROR(__xludf.DUMMYFUNCTION("GOOGLETRANSLATE(B6057,""en"",""fr"")"),"L'homme balance la femme.")</f>
        <v>L'homme balance la femme.</v>
      </c>
    </row>
    <row r="6058">
      <c r="A6058" s="4" t="s">
        <v>7612</v>
      </c>
      <c r="B6058" s="4" t="s">
        <v>7617</v>
      </c>
      <c r="C6058" s="5" t="str">
        <f>IFERROR(__xludf.DUMMYFUNCTION("GOOGLETRANSLATE(B6058,""en"",""fr"")"),"La dame secoue ses hanches.")</f>
        <v>La dame secoue ses hanches.</v>
      </c>
    </row>
    <row r="6059">
      <c r="A6059" s="4" t="s">
        <v>7612</v>
      </c>
      <c r="B6059" s="4" t="s">
        <v>7618</v>
      </c>
      <c r="C6059" s="5" t="str">
        <f>IFERROR(__xludf.DUMMYFUNCTION("GOOGLETRANSLATE(B6059,""en"",""fr"")"),"La dame se penche et l'homme enroule ses bras autour d'elle.")</f>
        <v>La dame se penche et l'homme enroule ses bras autour d'elle.</v>
      </c>
    </row>
    <row r="6060">
      <c r="A6060" s="4" t="s">
        <v>7612</v>
      </c>
      <c r="B6060" s="4" t="s">
        <v>7619</v>
      </c>
      <c r="C6060" s="5" t="str">
        <f>IFERROR(__xludf.DUMMYFUNCTION("GOOGLETRANSLATE(B6060,""en"",""fr"")"),"Les gens se remettent les uns des autres.")</f>
        <v>Les gens se remettent les uns des autres.</v>
      </c>
    </row>
    <row r="6061">
      <c r="A6061" s="4" t="s">
        <v>7620</v>
      </c>
      <c r="B6061" s="6" t="s">
        <v>7621</v>
      </c>
      <c r="C6061" s="5" t="str">
        <f>IFERROR(__xludf.DUMMYFUNCTION("GOOGLETRANSLATE(B6061,""en"",""fr"")"),"Un joueur de crosse portant un maillot blanc et tenant un bâton de crosse parle des positions de la crosse.")</f>
        <v>Un joueur de crosse portant un maillot blanc et tenant un bâton de crosse parle des positions de la crosse.</v>
      </c>
    </row>
    <row r="6062">
      <c r="A6062" s="4" t="s">
        <v>7620</v>
      </c>
      <c r="B6062" s="4" t="s">
        <v>7622</v>
      </c>
      <c r="C6062" s="5" t="str">
        <f>IFERROR(__xludf.DUMMYFUNCTION("GOOGLETRANSLATE(B6062,""en"",""fr"")"),"Il se tient dans un champ qui est à côté d'une route très fréquentée avec de nombreuses voitures qui passent.")</f>
        <v>Il se tient dans un champ qui est à côté d'une route très fréquentée avec de nombreuses voitures qui passent.</v>
      </c>
    </row>
    <row r="6063">
      <c r="A6063" s="4" t="s">
        <v>7620</v>
      </c>
      <c r="B6063" s="4" t="s">
        <v>7623</v>
      </c>
      <c r="C6063" s="5" t="str">
        <f>IFERROR(__xludf.DUMMYFUNCTION("GOOGLETRANSLATE(B6063,""en"",""fr"")"),"Il démontre les différentes positions et façons d'utiliser le bâton de crosse avec un autre homme.")</f>
        <v>Il démontre les différentes positions et façons d'utiliser le bâton de crosse avec un autre homme.</v>
      </c>
    </row>
    <row r="6064">
      <c r="A6064" s="4" t="s">
        <v>7620</v>
      </c>
      <c r="B6064" s="4" t="s">
        <v>7624</v>
      </c>
      <c r="C6064" s="5" t="str">
        <f>IFERROR(__xludf.DUMMYFUNCTION("GOOGLETRANSLATE(B6064,""en"",""fr"")"),"Il explique comment les objectifs sont marqués en crosse.")</f>
        <v>Il explique comment les objectifs sont marqués en crosse.</v>
      </c>
    </row>
    <row r="6065">
      <c r="A6065" s="4" t="s">
        <v>7625</v>
      </c>
      <c r="B6065" s="4" t="s">
        <v>7626</v>
      </c>
      <c r="C6065" s="5" t="str">
        <f>IFERROR(__xludf.DUMMYFUNCTION("GOOGLETRANSLATE(B6065,""en"",""fr"")"),"Un garçon tient une guitare dans une pièce.")</f>
        <v>Un garçon tient une guitare dans une pièce.</v>
      </c>
    </row>
    <row r="6066">
      <c r="A6066" s="4" t="s">
        <v>7625</v>
      </c>
      <c r="B6066" s="4" t="s">
        <v>7627</v>
      </c>
      <c r="C6066" s="5" t="str">
        <f>IFERROR(__xludf.DUMMYFUNCTION("GOOGLETRANSLATE(B6066,""en"",""fr"")"),"Il est assis sur un lit.")</f>
        <v>Il est assis sur un lit.</v>
      </c>
    </row>
    <row r="6067">
      <c r="A6067" s="4" t="s">
        <v>7625</v>
      </c>
      <c r="B6067" s="4" t="s">
        <v>7628</v>
      </c>
      <c r="C6067" s="5" t="str">
        <f>IFERROR(__xludf.DUMMYFUNCTION("GOOGLETRANSLATE(B6067,""en"",""fr"")"),"Il commence à jouer de la guitare.")</f>
        <v>Il commence à jouer de la guitare.</v>
      </c>
    </row>
    <row r="6068">
      <c r="A6068" s="4" t="s">
        <v>7625</v>
      </c>
      <c r="B6068" s="4" t="s">
        <v>7629</v>
      </c>
      <c r="C6068" s="5" t="str">
        <f>IFERROR(__xludf.DUMMYFUNCTION("GOOGLETRANSLATE(B6068,""en"",""fr"")"),"Finalement, il termine la chanson.")</f>
        <v>Finalement, il termine la chanson.</v>
      </c>
    </row>
    <row r="6069">
      <c r="A6069" s="4" t="s">
        <v>7630</v>
      </c>
      <c r="B6069" s="4" t="s">
        <v>7631</v>
      </c>
      <c r="C6069" s="5" t="str">
        <f>IFERROR(__xludf.DUMMYFUNCTION("GOOGLETRANSLATE(B6069,""en"",""fr"")"),"Il y a une personne marchant sur des échasses sur un trottoir où plusieurs voitures sont garées.")</f>
        <v>Il y a une personne marchant sur des échasses sur un trottoir où plusieurs voitures sont garées.</v>
      </c>
    </row>
    <row r="6070">
      <c r="A6070" s="4" t="s">
        <v>7630</v>
      </c>
      <c r="B6070" s="4" t="s">
        <v>7632</v>
      </c>
      <c r="C6070" s="5" t="str">
        <f>IFERROR(__xludf.DUMMYFUNCTION("GOOGLETRANSLATE(B6070,""en"",""fr"")"),"Il montre comment marcher sur des échasses.")</f>
        <v>Il montre comment marcher sur des échasses.</v>
      </c>
    </row>
    <row r="6071">
      <c r="A6071" s="4" t="s">
        <v>7630</v>
      </c>
      <c r="B6071" s="4" t="s">
        <v>7633</v>
      </c>
      <c r="C6071" s="5" t="str">
        <f>IFERROR(__xludf.DUMMYFUNCTION("GOOGLETRANSLATE(B6071,""en"",""fr"")"),"Il est rejoint par deux autres hommes qui le rejoignent également dans le tutoriel.")</f>
        <v>Il est rejoint par deux autres hommes qui le rejoignent également dans le tutoriel.</v>
      </c>
    </row>
    <row r="6072">
      <c r="A6072" s="4" t="s">
        <v>7630</v>
      </c>
      <c r="B6072" s="4" t="s">
        <v>7634</v>
      </c>
      <c r="C6072" s="5" t="str">
        <f>IFERROR(__xludf.DUMMYFUNCTION("GOOGLETRANSLATE(B6072,""en"",""fr"")"),"L'homme sur des échasses montre à quelle vitesse il peut courir sur les échasses et sauter haut.")</f>
        <v>L'homme sur des échasses montre à quelle vitesse il peut courir sur les échasses et sauter haut.</v>
      </c>
    </row>
    <row r="6073">
      <c r="A6073" s="4" t="s">
        <v>7630</v>
      </c>
      <c r="B6073" s="4" t="s">
        <v>7635</v>
      </c>
      <c r="C6073" s="5" t="str">
        <f>IFERROR(__xludf.DUMMYFUNCTION("GOOGLETRANSLATE(B6073,""en"",""fr"")"),"Pendant qu'il court sur les échasses, son ami roule à ses côtés dans une voiture.")</f>
        <v>Pendant qu'il court sur les échasses, son ami roule à ses côtés dans une voiture.</v>
      </c>
    </row>
    <row r="6074">
      <c r="A6074" s="4" t="s">
        <v>7630</v>
      </c>
      <c r="B6074" s="4" t="s">
        <v>7636</v>
      </c>
      <c r="C6074" s="5" t="str">
        <f>IFERROR(__xludf.DUMMYFUNCTION("GOOGLETRANSLATE(B6074,""en"",""fr"")"),"L'homme continue de faire des cascades sur les échasses.")</f>
        <v>L'homme continue de faire des cascades sur les échasses.</v>
      </c>
    </row>
    <row r="6075">
      <c r="A6075" s="4" t="s">
        <v>7637</v>
      </c>
      <c r="B6075" s="4" t="s">
        <v>7638</v>
      </c>
      <c r="C6075" s="5" t="str">
        <f>IFERROR(__xludf.DUMMYFUNCTION("GOOGLETRANSLATE(B6075,""en"",""fr"")"),"Une jeune fille est vue debout dans un bar de ballet effectuant des mouvements de ballet.")</f>
        <v>Une jeune fille est vue debout dans un bar de ballet effectuant des mouvements de ballet.</v>
      </c>
    </row>
    <row r="6076">
      <c r="A6076" s="4" t="s">
        <v>7637</v>
      </c>
      <c r="B6076" s="4" t="s">
        <v>7639</v>
      </c>
      <c r="C6076" s="5" t="str">
        <f>IFERROR(__xludf.DUMMYFUNCTION("GOOGLETRANSLATE(B6076,""en"",""fr"")"),"Une fille est vue danser sur scène, suivie d'un grand groupe de filles qui se réchauffent.")</f>
        <v>Une fille est vue danser sur scène, suivie d'un grand groupe de filles qui se réchauffent.</v>
      </c>
    </row>
    <row r="6077">
      <c r="A6077" s="4" t="s">
        <v>7637</v>
      </c>
      <c r="B6077" s="4" t="s">
        <v>7640</v>
      </c>
      <c r="C6077" s="5" t="str">
        <f>IFERROR(__xludf.DUMMYFUNCTION("GOOGLETRANSLATE(B6077,""en"",""fr"")"),"Les filles continuent de s'étirer et mènent à la femme pointant son pied.")</f>
        <v>Les filles continuent de s'étirer et mènent à la femme pointant son pied.</v>
      </c>
    </row>
    <row r="6078">
      <c r="A6078" s="4" t="s">
        <v>7641</v>
      </c>
      <c r="B6078" s="4" t="s">
        <v>7642</v>
      </c>
      <c r="C6078" s="5" t="str">
        <f>IFERROR(__xludf.DUMMYFUNCTION("GOOGLETRANSLATE(B6078,""en"",""fr"")"),"Un adolescent met à un homme sur son visage.")</f>
        <v>Un adolescent met à un homme sur son visage.</v>
      </c>
    </row>
    <row r="6079">
      <c r="A6079" s="4" t="s">
        <v>7641</v>
      </c>
      <c r="B6079" s="4" t="s">
        <v>7643</v>
      </c>
      <c r="C6079" s="5" t="str">
        <f>IFERROR(__xludf.DUMMYFUNCTION("GOOGLETRANSLATE(B6079,""en"",""fr"")"),"Ensuite, l'adolescent met du mascara, des bâtons de lèvres et peint la paupière avec un eye-liner.")</f>
        <v>Ensuite, l'adolescent met du mascara, des bâtons de lèvres et peint la paupière avec un eye-liner.</v>
      </c>
    </row>
    <row r="6080">
      <c r="A6080" s="4" t="s">
        <v>7641</v>
      </c>
      <c r="B6080" s="4" t="s">
        <v>7644</v>
      </c>
      <c r="C6080" s="5" t="str">
        <f>IFERROR(__xludf.DUMMYFUNCTION("GOOGLETRANSLATE(B6080,""en"",""fr"")"),"Ensuite, l'adolescente met de la couleur sur les joues, puis elle se lance les paupières.")</f>
        <v>Ensuite, l'adolescente met de la couleur sur les joues, puis elle se lance les paupières.</v>
      </c>
    </row>
    <row r="6081">
      <c r="A6081" s="4" t="s">
        <v>7641</v>
      </c>
      <c r="B6081" s="4" t="s">
        <v>7645</v>
      </c>
      <c r="C6081" s="5" t="str">
        <f>IFERROR(__xludf.DUMMYFUNCTION("GOOGLETRANSLATE(B6081,""en"",""fr"")"),"Après, l'adolescent peint la bouche et mettait du rouge à lèvres sur les joues et peint les paupières.")</f>
        <v>Après, l'adolescent peint la bouche et mettait du rouge à lèvres sur les joues et peint les paupières.</v>
      </c>
    </row>
    <row r="6082">
      <c r="A6082" s="4" t="s">
        <v>7646</v>
      </c>
      <c r="B6082" s="4" t="s">
        <v>7647</v>
      </c>
      <c r="C6082" s="5" t="str">
        <f>IFERROR(__xludf.DUMMYFUNCTION("GOOGLETRANSLATE(B6082,""en"",""fr"")"),"Deux personnes clôturent dans une pièce.")</f>
        <v>Deux personnes clôturent dans une pièce.</v>
      </c>
    </row>
    <row r="6083">
      <c r="A6083" s="4" t="s">
        <v>7646</v>
      </c>
      <c r="B6083" s="4" t="s">
        <v>7648</v>
      </c>
      <c r="C6083" s="5" t="str">
        <f>IFERROR(__xludf.DUMMYFUNCTION("GOOGLETRANSLATE(B6083,""en"",""fr"")"),"Une personne se tient à côté d'un mur en les regardant.")</f>
        <v>Une personne se tient à côté d'un mur en les regardant.</v>
      </c>
    </row>
    <row r="6084">
      <c r="A6084" s="4" t="s">
        <v>7646</v>
      </c>
      <c r="B6084" s="4" t="s">
        <v>7649</v>
      </c>
      <c r="C6084" s="5" t="str">
        <f>IFERROR(__xludf.DUMMYFUNCTION("GOOGLETRANSLATE(B6084,""en"",""fr"")"),"Ils arrêtent les clôtures et s'éloignent.")</f>
        <v>Ils arrêtent les clôtures et s'éloignent.</v>
      </c>
    </row>
    <row r="6085">
      <c r="A6085" s="4" t="s">
        <v>7650</v>
      </c>
      <c r="B6085" s="4" t="s">
        <v>7651</v>
      </c>
      <c r="C6085" s="5" t="str">
        <f>IFERROR(__xludf.DUMMYFUNCTION("GOOGLETRANSLATE(B6085,""en"",""fr"")"),"Un garçon est sur un court de tennis à l'extérieur.")</f>
        <v>Un garçon est sur un court de tennis à l'extérieur.</v>
      </c>
    </row>
    <row r="6086">
      <c r="A6086" s="4" t="s">
        <v>7650</v>
      </c>
      <c r="B6086" s="4" t="s">
        <v>7652</v>
      </c>
      <c r="C6086" s="5" t="str">
        <f>IFERROR(__xludf.DUMMYFUNCTION("GOOGLETRANSLATE(B6086,""en"",""fr"")"),"Il sert le ballon avec une raquette.")</f>
        <v>Il sert le ballon avec une raquette.</v>
      </c>
    </row>
    <row r="6087">
      <c r="A6087" s="4" t="s">
        <v>7650</v>
      </c>
      <c r="B6087" s="4" t="s">
        <v>7653</v>
      </c>
      <c r="C6087" s="5" t="str">
        <f>IFERROR(__xludf.DUMMYFUNCTION("GOOGLETRANSLATE(B6087,""en"",""fr"")"),"Il le sert plusieurs fois, le frappant à chaque fois.")</f>
        <v>Il le sert plusieurs fois, le frappant à chaque fois.</v>
      </c>
    </row>
    <row r="6088">
      <c r="A6088" s="4" t="s">
        <v>7654</v>
      </c>
      <c r="B6088" s="4" t="s">
        <v>7655</v>
      </c>
      <c r="C6088" s="5" t="str">
        <f>IFERROR(__xludf.DUMMYFUNCTION("GOOGLETRANSLATE(B6088,""en"",""fr"")"),"Le café est moulu dans un broyeur électrique.")</f>
        <v>Le café est moulu dans un broyeur électrique.</v>
      </c>
    </row>
    <row r="6089">
      <c r="A6089" s="4" t="s">
        <v>7654</v>
      </c>
      <c r="B6089" s="4" t="s">
        <v>7656</v>
      </c>
      <c r="C6089" s="5" t="str">
        <f>IFERROR(__xludf.DUMMYFUNCTION("GOOGLETRANSLATE(B6089,""en"",""fr"")"),"Une tasse de café et de café sont placées sur une table.")</f>
        <v>Une tasse de café et de café sont placées sur une table.</v>
      </c>
    </row>
    <row r="6090">
      <c r="A6090" s="4" t="s">
        <v>7654</v>
      </c>
      <c r="B6090" s="4" t="s">
        <v>7657</v>
      </c>
      <c r="C6090" s="5" t="str">
        <f>IFERROR(__xludf.DUMMYFUNCTION("GOOGLETRANSLATE(B6090,""en"",""fr"")"),"Le lait est versé dans la tasse de café.")</f>
        <v>Le lait est versé dans la tasse de café.</v>
      </c>
    </row>
    <row r="6091">
      <c r="A6091" s="4" t="s">
        <v>7654</v>
      </c>
      <c r="B6091" s="4" t="s">
        <v>7658</v>
      </c>
      <c r="C6091" s="5" t="str">
        <f>IFERROR(__xludf.DUMMYFUNCTION("GOOGLETRANSLATE(B6091,""en"",""fr"")"),"La tasse de café est ramassée et recule sur la soucoupe.")</f>
        <v>La tasse de café est ramassée et recule sur la soucoupe.</v>
      </c>
    </row>
    <row r="6092">
      <c r="A6092" s="4" t="s">
        <v>7659</v>
      </c>
      <c r="B6092" s="6" t="s">
        <v>7660</v>
      </c>
      <c r="C6092" s="5" t="str">
        <f>IFERROR(__xludf.DUMMYFUNCTION("GOOGLETRANSLATE(B6092,""en"",""fr"")"),"Une silhouette masculine est vue dans un gymnase se pliant sur un tapis et effectuant des instructions à la caméra sur la façon d'effectuer un exercice.")</f>
        <v>Une silhouette masculine est vue dans un gymnase se pliant sur un tapis et effectuant des instructions à la caméra sur la façon d'effectuer un exercice.</v>
      </c>
    </row>
    <row r="6093">
      <c r="A6093" s="4" t="s">
        <v>7659</v>
      </c>
      <c r="B6093" s="6" t="s">
        <v>7661</v>
      </c>
      <c r="C6093" s="5" t="str">
        <f>IFERROR(__xludf.DUMMYFUNCTION("GOOGLETRANSLATE(B6093,""en"",""fr"")"),"Il montre comment faire correctement les exercices sur une bande élastique qui est attachée à un poteau fixe.")</f>
        <v>Il montre comment faire correctement les exercices sur une bande élastique qui est attachée à un poteau fixe.</v>
      </c>
    </row>
    <row r="6094">
      <c r="A6094" s="4" t="s">
        <v>7659</v>
      </c>
      <c r="B6094" s="4" t="s">
        <v>7662</v>
      </c>
      <c r="C6094" s="5" t="str">
        <f>IFERROR(__xludf.DUMMYFUNCTION("GOOGLETRANSLATE(B6094,""en"",""fr"")"),"Il attrape le groupe élastique et le tire vers lui-même.")</f>
        <v>Il attrape le groupe élastique et le tire vers lui-même.</v>
      </c>
    </row>
    <row r="6095">
      <c r="A6095" s="4" t="s">
        <v>7659</v>
      </c>
      <c r="B6095" s="6" t="s">
        <v>7663</v>
      </c>
      <c r="C6095" s="5" t="str">
        <f>IFERROR(__xludf.DUMMYFUNCTION("GOOGLETRANSLATE(B6095,""en"",""fr"")"),"Ensuite, il repousse le groupe de lui-même pendant lui et démontre la bonne utilisation de l'équipement.")</f>
        <v>Ensuite, il repousse le groupe de lui-même pendant lui et démontre la bonne utilisation de l'équipement.</v>
      </c>
    </row>
    <row r="6096">
      <c r="A6096" s="4" t="s">
        <v>7664</v>
      </c>
      <c r="B6096" s="4" t="s">
        <v>7665</v>
      </c>
      <c r="C6096" s="5" t="str">
        <f>IFERROR(__xludf.DUMMYFUNCTION("GOOGLETRANSLATE(B6096,""en"",""fr"")"),"On voit une femme mener un chameau avec deux petits enfants chevauchant le dos.")</f>
        <v>On voit une femme mener un chameau avec deux petits enfants chevauchant le dos.</v>
      </c>
    </row>
    <row r="6097">
      <c r="A6097" s="4" t="s">
        <v>7664</v>
      </c>
      <c r="B6097" s="4" t="s">
        <v>7666</v>
      </c>
      <c r="C6097" s="5" t="str">
        <f>IFERROR(__xludf.DUMMYFUNCTION("GOOGLETRANSLATE(B6097,""en"",""fr"")"),"Les enfants agitent à la caméra pendant qu'il se déroule autour de leur trajet et le chameau crachant en l'air.")</f>
        <v>Les enfants agitent à la caméra pendant qu'il se déroule autour de leur trajet et le chameau crachant en l'air.</v>
      </c>
    </row>
    <row r="6098">
      <c r="A6098" s="4" t="s">
        <v>7667</v>
      </c>
      <c r="B6098" s="4" t="s">
        <v>7668</v>
      </c>
      <c r="C6098" s="5" t="str">
        <f>IFERROR(__xludf.DUMMYFUNCTION("GOOGLETRANSLATE(B6098,""en"",""fr"")"),"Une gymnaste féminine est inactive tout en étant surveillée par une foule.")</f>
        <v>Une gymnaste féminine est inactive tout en étant surveillée par une foule.</v>
      </c>
    </row>
    <row r="6099">
      <c r="A6099" s="4" t="s">
        <v>7667</v>
      </c>
      <c r="B6099" s="4" t="s">
        <v>7669</v>
      </c>
      <c r="C6099" s="5" t="str">
        <f>IFERROR(__xludf.DUMMYFUNCTION("GOOGLETRANSLATE(B6099,""en"",""fr"")"),"Un gros plan d'une deuxième femme disant que quelque chose est montré.")</f>
        <v>Un gros plan d'une deuxième femme disant que quelque chose est montré.</v>
      </c>
    </row>
    <row r="6100">
      <c r="A6100" s="4" t="s">
        <v>7667</v>
      </c>
      <c r="B6100" s="4" t="s">
        <v>7670</v>
      </c>
      <c r="C6100" s="5" t="str">
        <f>IFERROR(__xludf.DUMMYFUNCTION("GOOGLETRANSLATE(B6100,""en"",""fr"")"),"La gymnaste effectue une routine sur une poutre.")</f>
        <v>La gymnaste effectue une routine sur une poutre.</v>
      </c>
    </row>
    <row r="6101">
      <c r="A6101" s="4" t="s">
        <v>7667</v>
      </c>
      <c r="B6101" s="4" t="s">
        <v>7671</v>
      </c>
      <c r="C6101" s="5" t="str">
        <f>IFERROR(__xludf.DUMMYFUNCTION("GOOGLETRANSLATE(B6101,""en"",""fr"")"),"La gymnaste féminine termine sa routine et démonte.")</f>
        <v>La gymnaste féminine termine sa routine et démonte.</v>
      </c>
    </row>
    <row r="6102">
      <c r="A6102" s="4" t="s">
        <v>7667</v>
      </c>
      <c r="B6102" s="4" t="s">
        <v>7672</v>
      </c>
      <c r="C6102" s="5" t="str">
        <f>IFERROR(__xludf.DUMMYFUNCTION("GOOGLETRANSLATE(B6102,""en"",""fr"")"),"On montre aux gens applaudissant la gymnaste.")</f>
        <v>On montre aux gens applaudissant la gymnaste.</v>
      </c>
    </row>
    <row r="6103">
      <c r="A6103" s="4" t="s">
        <v>7667</v>
      </c>
      <c r="B6103" s="4" t="s">
        <v>7673</v>
      </c>
      <c r="C6103" s="5" t="str">
        <f>IFERROR(__xludf.DUMMYFUNCTION("GOOGLETRANSLATE(B6103,""en"",""fr"")"),"Le gymnaste s'éloigne du faisceau.")</f>
        <v>Le gymnaste s'éloigne du faisceau.</v>
      </c>
    </row>
    <row r="6104">
      <c r="A6104" s="4" t="s">
        <v>7674</v>
      </c>
      <c r="B6104" s="4" t="s">
        <v>7675</v>
      </c>
      <c r="C6104" s="5" t="str">
        <f>IFERROR(__xludf.DUMMYFUNCTION("GOOGLETRANSLATE(B6104,""en"",""fr"")"),"Un homme est vu se plier sur un grand ensemble de poids avec une autre marche derrière lui.")</f>
        <v>Un homme est vu se plier sur un grand ensemble de poids avec une autre marche derrière lui.</v>
      </c>
    </row>
    <row r="6105">
      <c r="A6105" s="4" t="s">
        <v>7674</v>
      </c>
      <c r="B6105" s="4" t="s">
        <v>7676</v>
      </c>
      <c r="C6105" s="5" t="str">
        <f>IFERROR(__xludf.DUMMYFUNCTION("GOOGLETRANSLATE(B6105,""en"",""fr"")"),"L'homme soulève la barre au-dessus de sa tête et le jette vers le bas.")</f>
        <v>L'homme soulève la barre au-dessus de sa tête et le jette vers le bas.</v>
      </c>
    </row>
    <row r="6106">
      <c r="A6106" s="4" t="s">
        <v>7674</v>
      </c>
      <c r="B6106" s="4" t="s">
        <v>7677</v>
      </c>
      <c r="C6106" s="5" t="str">
        <f>IFERROR(__xludf.DUMMYFUNCTION("GOOGLETRANSLATE(B6106,""en"",""fr"")"),"L'homme recommence pendant que les gens regardent sur les côtés.")</f>
        <v>L'homme recommence pendant que les gens regardent sur les côtés.</v>
      </c>
    </row>
    <row r="6107">
      <c r="A6107" s="4" t="s">
        <v>7678</v>
      </c>
      <c r="B6107" s="4" t="s">
        <v>7679</v>
      </c>
      <c r="C6107" s="5" t="str">
        <f>IFERROR(__xludf.DUMMYFUNCTION("GOOGLETRANSLATE(B6107,""en"",""fr"")"),"Une pinata est vue se balançant autour du milieu des gens, suivie d'une fille saisissant un bâton.")</f>
        <v>Une pinata est vue se balançant autour du milieu des gens, suivie d'une fille saisissant un bâton.</v>
      </c>
    </row>
    <row r="6108">
      <c r="A6108" s="4" t="s">
        <v>7678</v>
      </c>
      <c r="B6108" s="6" t="s">
        <v>7680</v>
      </c>
      <c r="C6108" s="5" t="str">
        <f>IFERROR(__xludf.DUMMYFUNCTION("GOOGLETRANSLATE(B6108,""en"",""fr"")"),"Elle se déplace tout autour de la pièce se balançant à la Pinata ainsi qu'une autre fille se balançant avec son père.")</f>
        <v>Elle se déplace tout autour de la pièce se balançant à la Pinata ainsi qu'une autre fille se balançant avec son père.</v>
      </c>
    </row>
    <row r="6109">
      <c r="A6109" s="4" t="s">
        <v>7678</v>
      </c>
      <c r="B6109" s="4" t="s">
        <v>7681</v>
      </c>
      <c r="C6109" s="5" t="str">
        <f>IFERROR(__xludf.DUMMYFUNCTION("GOOGLETRANSLATE(B6109,""en"",""fr"")"),"Un jeune garçon s'approche pour essayer de le frapper ainsi qu'un autre garçon.")</f>
        <v>Un jeune garçon s'approche pour essayer de le frapper ainsi qu'un autre garçon.</v>
      </c>
    </row>
    <row r="6110">
      <c r="A6110" s="4" t="s">
        <v>7682</v>
      </c>
      <c r="B6110" s="4" t="s">
        <v>7683</v>
      </c>
      <c r="C6110" s="5" t="str">
        <f>IFERROR(__xludf.DUMMYFUNCTION("GOOGLETRANSLATE(B6110,""en"",""fr"")"),"Un gars salue puis parle.")</f>
        <v>Un gars salue puis parle.</v>
      </c>
    </row>
    <row r="6111">
      <c r="A6111" s="4" t="s">
        <v>7682</v>
      </c>
      <c r="B6111" s="4" t="s">
        <v>7684</v>
      </c>
      <c r="C6111" s="5" t="str">
        <f>IFERROR(__xludf.DUMMYFUNCTION("GOOGLETRANSLATE(B6111,""en"",""fr"")"),"Un homme s'approche et attrape une assiette.")</f>
        <v>Un homme s'approche et attrape une assiette.</v>
      </c>
    </row>
    <row r="6112">
      <c r="A6112" s="4" t="s">
        <v>7682</v>
      </c>
      <c r="B6112" s="4" t="s">
        <v>7685</v>
      </c>
      <c r="C6112" s="5" t="str">
        <f>IFERROR(__xludf.DUMMYFUNCTION("GOOGLETRANSLATE(B6112,""en"",""fr"")"),"Le mâle emmène l'assiette dans l'évier.")</f>
        <v>Le mâle emmène l'assiette dans l'évier.</v>
      </c>
    </row>
    <row r="6113">
      <c r="A6113" s="4" t="s">
        <v>7682</v>
      </c>
      <c r="B6113" s="4" t="s">
        <v>7686</v>
      </c>
      <c r="C6113" s="5" t="str">
        <f>IFERROR(__xludf.DUMMYFUNCTION("GOOGLETRANSLATE(B6113,""en"",""fr"")"),"Le mâle plonge la plaque dans l'eau et utilise un tapis blanc pour le laver.")</f>
        <v>Le mâle plonge la plaque dans l'eau et utilise un tapis blanc pour le laver.</v>
      </c>
    </row>
    <row r="6114">
      <c r="A6114" s="4" t="s">
        <v>7682</v>
      </c>
      <c r="B6114" s="4" t="s">
        <v>7687</v>
      </c>
      <c r="C6114" s="5" t="str">
        <f>IFERROR(__xludf.DUMMYFUNCTION("GOOGLETRANSLATE(B6114,""en"",""fr"")"),"Le mâle rince la plaque lavée.")</f>
        <v>Le mâle rince la plaque lavée.</v>
      </c>
    </row>
    <row r="6115">
      <c r="A6115" s="4" t="s">
        <v>7682</v>
      </c>
      <c r="B6115" s="4" t="s">
        <v>7688</v>
      </c>
      <c r="C6115" s="5" t="str">
        <f>IFERROR(__xludf.DUMMYFUNCTION("GOOGLETRANSLATE(B6115,""en"",""fr"")"),"Le mâle trempe l'assiette blanche puis la met sur un support de séchage.")</f>
        <v>Le mâle trempe l'assiette blanche puis la met sur un support de séchage.</v>
      </c>
    </row>
    <row r="6116">
      <c r="A6116" s="4" t="s">
        <v>7682</v>
      </c>
      <c r="B6116" s="4" t="s">
        <v>7689</v>
      </c>
      <c r="C6116" s="5" t="str">
        <f>IFERROR(__xludf.DUMMYFUNCTION("GOOGLETRANSLATE(B6116,""en"",""fr"")"),"Le mâle donne un coup de pouce.")</f>
        <v>Le mâle donne un coup de pouce.</v>
      </c>
    </row>
    <row r="6117">
      <c r="A6117" s="4" t="s">
        <v>7690</v>
      </c>
      <c r="B6117" s="6" t="s">
        <v>7691</v>
      </c>
      <c r="C6117" s="5" t="str">
        <f>IFERROR(__xludf.DUMMYFUNCTION("GOOGLETRANSLATE(B6117,""en"",""fr"")"),"Un homme est vu faire tourner un cube Rubix dans ses mains, suivi par plus de gens qui tentent de résoudre le puzzle et de parler à la caméra.")</f>
        <v>Un homme est vu faire tourner un cube Rubix dans ses mains, suivi par plus de gens qui tentent de résoudre le puzzle et de parler à la caméra.</v>
      </c>
    </row>
    <row r="6118">
      <c r="A6118" s="4" t="s">
        <v>7690</v>
      </c>
      <c r="B6118" s="6" t="s">
        <v>7692</v>
      </c>
      <c r="C6118" s="5" t="str">
        <f>IFERROR(__xludf.DUMMYFUNCTION("GOOGLETRANSLATE(B6118,""en"",""fr"")"),"Plus de gens sont montrés en essayant de résoudre le puzzle ainsi que de parler à la caméra et de sourire.")</f>
        <v>Plus de gens sont montrés en essayant de résoudre le puzzle ainsi que de parler à la caméra et de sourire.</v>
      </c>
    </row>
    <row r="6119">
      <c r="A6119" s="4" t="s">
        <v>7693</v>
      </c>
      <c r="B6119" s="6" t="s">
        <v>7694</v>
      </c>
      <c r="C6119" s="5" t="str">
        <f>IFERROR(__xludf.DUMMYFUNCTION("GOOGLETRANSLATE(B6119,""en"",""fr"")"),"Un grand groupe de personnes est montrée assise sur la touche ainsi que diverses plans d'athlètes se préparant pour un événement.")</f>
        <v>Un grand groupe de personnes est montrée assise sur la touche ainsi que diverses plans d'athlètes se préparant pour un événement.</v>
      </c>
    </row>
    <row r="6120">
      <c r="A6120" s="4" t="s">
        <v>7693</v>
      </c>
      <c r="B6120" s="4" t="s">
        <v>7695</v>
      </c>
      <c r="C6120" s="5" t="str">
        <f>IFERROR(__xludf.DUMMYFUNCTION("GOOGLETRANSLATE(B6120,""en"",""fr"")"),"Une femme est vue en train de soulever un bar à plusieurs reprises pendant que son entraîneur crie pour l'encourager.")</f>
        <v>Une femme est vue en train de soulever un bar à plusieurs reprises pendant que son entraîneur crie pour l'encourager.</v>
      </c>
    </row>
    <row r="6121">
      <c r="A6121" s="4" t="s">
        <v>7693</v>
      </c>
      <c r="B6121" s="4" t="s">
        <v>7696</v>
      </c>
      <c r="C6121" s="5" t="str">
        <f>IFERROR(__xludf.DUMMYFUNCTION("GOOGLETRANSLATE(B6121,""en"",""fr"")"),"Elle termine son set et s'éloigne avec plusieurs autres personnes à proximité.")</f>
        <v>Elle termine son set et s'éloigne avec plusieurs autres personnes à proximité.</v>
      </c>
    </row>
    <row r="6122">
      <c r="A6122" s="4" t="s">
        <v>7697</v>
      </c>
      <c r="B6122" s="4" t="s">
        <v>7698</v>
      </c>
      <c r="C6122" s="5" t="str">
        <f>IFERROR(__xludf.DUMMYFUNCTION("GOOGLETRANSLATE(B6122,""en"",""fr"")"),"Un caméraman suit un homme alors qu'il monte un plongeon.")</f>
        <v>Un caméraman suit un homme alors qu'il monte un plongeon.</v>
      </c>
    </row>
    <row r="6123">
      <c r="A6123" s="4" t="s">
        <v>7697</v>
      </c>
      <c r="B6123" s="4" t="s">
        <v>7699</v>
      </c>
      <c r="C6123" s="5" t="str">
        <f>IFERROR(__xludf.DUMMYFUNCTION("GOOGLETRANSLATE(B6123,""en"",""fr"")"),"Le plongeur arrive au bord de la planche et s'étend avant de tomber vers l'avant dans l'eau.")</f>
        <v>Le plongeur arrive au bord de la planche et s'étend avant de tomber vers l'avant dans l'eau.</v>
      </c>
    </row>
    <row r="6124">
      <c r="A6124" s="4" t="s">
        <v>7697</v>
      </c>
      <c r="B6124" s="4" t="s">
        <v>7700</v>
      </c>
      <c r="C6124" s="5" t="str">
        <f>IFERROR(__xludf.DUMMYFUNCTION("GOOGLETRANSLATE(B6124,""en"",""fr"")"),"Le plongeur plonge dans l'eau une deuxième fois.")</f>
        <v>Le plongeur plonge dans l'eau une deuxième fois.</v>
      </c>
    </row>
    <row r="6125">
      <c r="A6125" s="4" t="s">
        <v>7697</v>
      </c>
      <c r="B6125" s="4" t="s">
        <v>7701</v>
      </c>
      <c r="C6125" s="5" t="str">
        <f>IFERROR(__xludf.DUMMYFUNCTION("GOOGLETRANSLATE(B6125,""en"",""fr"")"),"Le plongeur sort de l'eau et s'éloigne alors qu'un caméraman le suit.")</f>
        <v>Le plongeur sort de l'eau et s'éloigne alors qu'un caméraman le suit.</v>
      </c>
    </row>
    <row r="6126">
      <c r="A6126" s="4" t="s">
        <v>7702</v>
      </c>
      <c r="B6126" s="4" t="s">
        <v>7703</v>
      </c>
      <c r="C6126" s="5" t="str">
        <f>IFERROR(__xludf.DUMMYFUNCTION("GOOGLETRANSLATE(B6126,""en"",""fr"")"),"Un homme balance et jette le marteau à plusieurs reprises.")</f>
        <v>Un homme balance et jette le marteau à plusieurs reprises.</v>
      </c>
    </row>
    <row r="6127">
      <c r="A6127" s="4" t="s">
        <v>7702</v>
      </c>
      <c r="B6127" s="4" t="s">
        <v>7704</v>
      </c>
      <c r="C6127" s="5" t="str">
        <f>IFERROR(__xludf.DUMMYFUNCTION("GOOGLETRANSLATE(B6127,""en"",""fr"")"),"L'homme saute sur une jambe à la fin et s'éloigne.")</f>
        <v>L'homme saute sur une jambe à la fin et s'éloigne.</v>
      </c>
    </row>
    <row r="6128">
      <c r="A6128" s="4" t="s">
        <v>7702</v>
      </c>
      <c r="B6128" s="4" t="s">
        <v>7705</v>
      </c>
      <c r="C6128" s="5" t="str">
        <f>IFERROR(__xludf.DUMMYFUNCTION("GOOGLETRANSLATE(B6128,""en"",""fr"")"),"Nous passons à un homme lançant le lancer du poids.")</f>
        <v>Nous passons à un homme lançant le lancer du poids.</v>
      </c>
    </row>
    <row r="6129">
      <c r="A6129" s="4" t="s">
        <v>7702</v>
      </c>
      <c r="B6129" s="4" t="s">
        <v>7706</v>
      </c>
      <c r="C6129" s="5" t="str">
        <f>IFERROR(__xludf.DUMMYFUNCTION("GOOGLETRANSLATE(B6129,""en"",""fr"")"),"Les hommes sur la touche applaudissent et sautent.")</f>
        <v>Les hommes sur la touche applaudissent et sautent.</v>
      </c>
    </row>
    <row r="6130">
      <c r="A6130" s="4" t="s">
        <v>7702</v>
      </c>
      <c r="B6130" s="4" t="s">
        <v>7707</v>
      </c>
      <c r="C6130" s="5" t="str">
        <f>IFERROR(__xludf.DUMMYFUNCTION("GOOGLETRANSLATE(B6130,""en"",""fr"")"),"L'homme en rouge et bleu soulève un drapeau rouge.")</f>
        <v>L'homme en rouge et bleu soulève un drapeau rouge.</v>
      </c>
    </row>
    <row r="6131">
      <c r="A6131" s="4" t="s">
        <v>7702</v>
      </c>
      <c r="B6131" s="4" t="s">
        <v>7708</v>
      </c>
      <c r="C6131" s="5" t="str">
        <f>IFERROR(__xludf.DUMMYFUNCTION("GOOGLETRANSLATE(B6131,""en"",""fr"")"),"Nous voyons un homme jeter le marteau à plusieurs reprises.")</f>
        <v>Nous voyons un homme jeter le marteau à plusieurs reprises.</v>
      </c>
    </row>
    <row r="6132">
      <c r="A6132" s="4" t="s">
        <v>7709</v>
      </c>
      <c r="B6132" s="4" t="s">
        <v>7710</v>
      </c>
      <c r="C6132" s="5" t="str">
        <f>IFERROR(__xludf.DUMMYFUNCTION("GOOGLETRANSLATE(B6132,""en"",""fr"")"),"Il y a deux voitures blanches qui arrivent dans une zone isolée où il y a des entrepôts.")</f>
        <v>Il y a deux voitures blanches qui arrivent dans une zone isolée où il y a des entrepôts.</v>
      </c>
    </row>
    <row r="6133">
      <c r="A6133" s="4" t="s">
        <v>7709</v>
      </c>
      <c r="B6133" s="4" t="s">
        <v>7711</v>
      </c>
      <c r="C6133" s="5" t="str">
        <f>IFERROR(__xludf.DUMMYFUNCTION("GOOGLETRANSLATE(B6133,""en"",""fr"")"),"Quatre hommes quittent la voiture et marchent vers un homme portant un masque pour se couvrir le visage.")</f>
        <v>Quatre hommes quittent la voiture et marchent vers un homme portant un masque pour se couvrir le visage.</v>
      </c>
    </row>
    <row r="6134">
      <c r="A6134" s="4" t="s">
        <v>7709</v>
      </c>
      <c r="B6134" s="4" t="s">
        <v>7712</v>
      </c>
      <c r="C6134" s="5" t="str">
        <f>IFERROR(__xludf.DUMMYFUNCTION("GOOGLETRANSLATE(B6134,""en"",""fr"")"),"Il y a des gens qui se cachent derrière des camions avec des fusils dans leurs mains.")</f>
        <v>Il y a des gens qui se cachent derrière des camions avec des fusils dans leurs mains.</v>
      </c>
    </row>
    <row r="6135">
      <c r="A6135" s="4" t="s">
        <v>7709</v>
      </c>
      <c r="B6135" s="4" t="s">
        <v>7713</v>
      </c>
      <c r="C6135" s="5" t="str">
        <f>IFERROR(__xludf.DUMMYFUNCTION("GOOGLETRANSLATE(B6135,""en"",""fr"")"),"L'un des hommes sort et ouvre le feu.")</f>
        <v>L'un des hommes sort et ouvre le feu.</v>
      </c>
    </row>
    <row r="6136">
      <c r="A6136" s="4" t="s">
        <v>7709</v>
      </c>
      <c r="B6136" s="4" t="s">
        <v>7714</v>
      </c>
      <c r="C6136" s="5" t="str">
        <f>IFERROR(__xludf.DUMMYFUNCTION("GOOGLETRANSLATE(B6136,""en"",""fr"")"),"Il tire son arme en l'air.")</f>
        <v>Il tire son arme en l'air.</v>
      </c>
    </row>
    <row r="6137">
      <c r="A6137" s="4" t="s">
        <v>7709</v>
      </c>
      <c r="B6137" s="4" t="s">
        <v>7715</v>
      </c>
      <c r="C6137" s="5" t="str">
        <f>IFERROR(__xludf.DUMMYFUNCTION("GOOGLETRANSLATE(B6137,""en"",""fr"")"),"Cela provoque les autres personnes et un énorme combat d'armes à feu éclate.")</f>
        <v>Cela provoque les autres personnes et un énorme combat d'armes à feu éclate.</v>
      </c>
    </row>
    <row r="6138">
      <c r="A6138" s="4" t="s">
        <v>7709</v>
      </c>
      <c r="B6138" s="4" t="s">
        <v>7716</v>
      </c>
      <c r="C6138" s="5" t="str">
        <f>IFERROR(__xludf.DUMMYFUNCTION("GOOGLETRANSLATE(B6138,""en"",""fr"")"),"Les hommes commencent au hasard à se tirer dessus.")</f>
        <v>Les hommes commencent au hasard à se tirer dessus.</v>
      </c>
    </row>
    <row r="6139">
      <c r="A6139" s="4" t="s">
        <v>7709</v>
      </c>
      <c r="B6139" s="4" t="s">
        <v>7717</v>
      </c>
      <c r="C6139" s="5" t="str">
        <f>IFERROR(__xludf.DUMMYFUNCTION("GOOGLETRANSLATE(B6139,""en"",""fr"")"),"Pendant ce temps, l'un des hommes se fait tirer dessus dans la tête et il s'effondre et tombe.")</f>
        <v>Pendant ce temps, l'un des hommes se fait tirer dessus dans la tête et il s'effondre et tombe.</v>
      </c>
    </row>
    <row r="6140">
      <c r="A6140" s="4" t="s">
        <v>7718</v>
      </c>
      <c r="B6140" s="6" t="s">
        <v>7719</v>
      </c>
      <c r="C6140" s="5" t="str">
        <f>IFERROR(__xludf.DUMMYFUNCTION("GOOGLETRANSLATE(B6140,""en"",""fr"")"),"Un musicien joue un ensemble de tambours sur un écran Jumbo surélevé alors qu'une caméra entre et sort sur la performance.")</f>
        <v>Un musicien joue un ensemble de tambours sur un écran Jumbo surélevé alors qu'une caméra entre et sort sur la performance.</v>
      </c>
    </row>
    <row r="6141">
      <c r="A6141" s="4" t="s">
        <v>7718</v>
      </c>
      <c r="B6141" s="4" t="s">
        <v>7720</v>
      </c>
      <c r="C6141" s="5" t="str">
        <f>IFERROR(__xludf.DUMMYFUNCTION("GOOGLETRANSLATE(B6141,""en"",""fr"")"),"Un musicien avec un casque attaché à ses oreilles et au-dessus de sa bouche, commence à jouer un ensemble de tambours.")</f>
        <v>Un musicien avec un casque attaché à ses oreilles et au-dessus de sa bouche, commence à jouer un ensemble de tambours.</v>
      </c>
    </row>
    <row r="6142">
      <c r="A6142" s="4" t="s">
        <v>7718</v>
      </c>
      <c r="B6142" s="4" t="s">
        <v>7721</v>
      </c>
      <c r="C6142" s="5" t="str">
        <f>IFERROR(__xludf.DUMMYFUNCTION("GOOGLETRANSLATE(B6142,""en"",""fr"")"),"Alors que le musicien joue les tambours, la caméra est en gros plan pour un gros plan, puis se déroule.")</f>
        <v>Alors que le musicien joue les tambours, la caméra est en gros plan pour un gros plan, puis se déroule.</v>
      </c>
    </row>
    <row r="6143">
      <c r="A6143" s="4" t="s">
        <v>7718</v>
      </c>
      <c r="B6143" s="4" t="s">
        <v>7722</v>
      </c>
      <c r="C6143" s="5" t="str">
        <f>IFERROR(__xludf.DUMMYFUNCTION("GOOGLETRANSLATE(B6143,""en"",""fr"")"),"Le musicien met fin à la performance, se lève et renonce aux deux bâtons au public.")</f>
        <v>Le musicien met fin à la performance, se lève et renonce aux deux bâtons au public.</v>
      </c>
    </row>
    <row r="6144">
      <c r="A6144" s="4" t="s">
        <v>7723</v>
      </c>
      <c r="B6144" s="4" t="s">
        <v>7724</v>
      </c>
      <c r="C6144" s="5" t="str">
        <f>IFERROR(__xludf.DUMMYFUNCTION("GOOGLETRANSLATE(B6144,""en"",""fr"")"),"Les mâles tirent une corde dans un match d'étiquette de guerre.")</f>
        <v>Les mâles tirent une corde dans un match d'étiquette de guerre.</v>
      </c>
    </row>
    <row r="6145">
      <c r="A6145" s="4" t="s">
        <v>7723</v>
      </c>
      <c r="B6145" s="4" t="s">
        <v>7725</v>
      </c>
      <c r="C6145" s="5" t="str">
        <f>IFERROR(__xludf.DUMMYFUNCTION("GOOGLETRANSLATE(B6145,""en"",""fr"")"),"Les mâles prennent des mesures vers la droite.")</f>
        <v>Les mâles prennent des mesures vers la droite.</v>
      </c>
    </row>
    <row r="6146">
      <c r="A6146" s="4" t="s">
        <v>7723</v>
      </c>
      <c r="B6146" s="4" t="s">
        <v>7726</v>
      </c>
      <c r="C6146" s="5" t="str">
        <f>IFERROR(__xludf.DUMMYFUNCTION("GOOGLETRANSLATE(B6146,""en"",""fr"")"),"Les mâles sont tirés vers la gauche.")</f>
        <v>Les mâles sont tirés vers la gauche.</v>
      </c>
    </row>
    <row r="6147">
      <c r="A6147" s="4" t="s">
        <v>7723</v>
      </c>
      <c r="B6147" s="4" t="s">
        <v>7727</v>
      </c>
      <c r="C6147" s="5" t="str">
        <f>IFERROR(__xludf.DUMMYFUNCTION("GOOGLETRANSLATE(B6147,""en"",""fr"")"),"Les mâles se soulèvent et lâchent la corde maintenant plus près de la gauche.")</f>
        <v>Les mâles se soulèvent et lâchent la corde maintenant plus près de la gauche.</v>
      </c>
    </row>
    <row r="6148">
      <c r="A6148" s="4" t="s">
        <v>7728</v>
      </c>
      <c r="B6148" s="4" t="s">
        <v>7729</v>
      </c>
      <c r="C6148" s="5" t="str">
        <f>IFERROR(__xludf.DUMMYFUNCTION("GOOGLETRANSLATE(B6148,""en"",""fr"")"),"Un gros plan d'une personne est vu parler à une personne derrière eux et pagayer le long de l'eau.")</f>
        <v>Un gros plan d'une personne est vu parler à une personne derrière eux et pagayer le long de l'eau.</v>
      </c>
    </row>
    <row r="6149">
      <c r="A6149" s="4" t="s">
        <v>7728</v>
      </c>
      <c r="B6149" s="6" t="s">
        <v>7730</v>
      </c>
      <c r="C6149" s="5" t="str">
        <f>IFERROR(__xludf.DUMMYFUNCTION("GOOGLETRANSLATE(B6149,""en"",""fr"")"),"Les gens continuent de rouler le long de l'eau alors que l'eau éclabousse autour d'eux et que la femme s'arrête pour essuyer son visage.")</f>
        <v>Les gens continuent de rouler le long de l'eau alors que l'eau éclabousse autour d'eux et que la femme s'arrête pour essuyer son visage.</v>
      </c>
    </row>
    <row r="6150">
      <c r="A6150" s="4" t="s">
        <v>7731</v>
      </c>
      <c r="B6150" s="4" t="s">
        <v>7732</v>
      </c>
      <c r="C6150" s="5" t="str">
        <f>IFERROR(__xludf.DUMMYFUNCTION("GOOGLETRANSLATE(B6150,""en"",""fr"")"),"Un groupe d'athlètes ramenez sur des canoës lors d'une course entre les bouées sur une voie navigable.")</f>
        <v>Un groupe d'athlètes ramenez sur des canoës lors d'une course entre les bouées sur une voie navigable.</v>
      </c>
    </row>
    <row r="6151">
      <c r="A6151" s="4" t="s">
        <v>7731</v>
      </c>
      <c r="B6151" s="4" t="s">
        <v>7733</v>
      </c>
      <c r="C6151" s="5" t="str">
        <f>IFERROR(__xludf.DUMMYFUNCTION("GOOGLETRANSLATE(B6151,""en"",""fr"")"),"Les hommes traversent les bouées finales et glissent tout en ralentissant après la course.")</f>
        <v>Les hommes traversent les bouées finales et glissent tout en ralentissant après la course.</v>
      </c>
    </row>
    <row r="6152">
      <c r="A6152" s="4" t="s">
        <v>7734</v>
      </c>
      <c r="B6152" s="6" t="s">
        <v>7735</v>
      </c>
      <c r="C6152" s="5" t="str">
        <f>IFERROR(__xludf.DUMMYFUNCTION("GOOGLETRANSLATE(B6152,""en"",""fr"")"),"Une femme dans un environnement extérieur enseigne à un jeune garçon et une fille à laver les vêtements à l'aide d'une planche à laver et d'un seau en métal.")</f>
        <v>Une femme dans un environnement extérieur enseigne à un jeune garçon et une fille à laver les vêtements à l'aide d'une planche à laver et d'un seau en métal.</v>
      </c>
    </row>
    <row r="6153">
      <c r="A6153" s="4" t="s">
        <v>7734</v>
      </c>
      <c r="B6153" s="4" t="s">
        <v>7736</v>
      </c>
      <c r="C6153" s="5" t="str">
        <f>IFERROR(__xludf.DUMMYFUNCTION("GOOGLETRANSLATE(B6153,""en"",""fr"")"),"Un jeune garçon tire sur un levier métallique dépassant d'un seau en métal avec une planche à laver.")</f>
        <v>Un jeune garçon tire sur un levier métallique dépassant d'un seau en métal avec une planche à laver.</v>
      </c>
    </row>
    <row r="6154">
      <c r="A6154" s="4" t="s">
        <v>7734</v>
      </c>
      <c r="B6154" s="6" t="s">
        <v>7737</v>
      </c>
      <c r="C6154" s="5" t="str">
        <f>IFERROR(__xludf.DUMMYFUNCTION("GOOGLETRANSLATE(B6154,""en"",""fr"")"),"Deux jeunes filles regardent une femme dans un tablier blanc démontre au garçon et à la fille comment tourner le levier et accroche également des vêtements sur une corde à linge.")</f>
        <v>Deux jeunes filles regardent une femme dans un tablier blanc démontre au garçon et à la fille comment tourner le levier et accroche également des vêtements sur une corde à linge.</v>
      </c>
    </row>
    <row r="6155">
      <c r="A6155" s="4" t="s">
        <v>7734</v>
      </c>
      <c r="B6155" s="6" t="s">
        <v>7738</v>
      </c>
      <c r="C6155" s="5" t="str">
        <f>IFERROR(__xludf.DUMMYFUNCTION("GOOGLETRANSLATE(B6155,""en"",""fr"")"),"La jeune fille commence à tirer le levier pendant que le garçon aide la femme à accrocher des vêtements, puis tous les enfants exploitant différentes parties du mécanisme de la planche de lavage.")</f>
        <v>La jeune fille commence à tirer le levier pendant que le garçon aide la femme à accrocher des vêtements, puis tous les enfants exploitant différentes parties du mécanisme de la planche de lavage.</v>
      </c>
    </row>
    <row r="6156">
      <c r="A6156" s="4" t="s">
        <v>7739</v>
      </c>
      <c r="B6156" s="4" t="s">
        <v>7740</v>
      </c>
      <c r="C6156" s="5" t="str">
        <f>IFERROR(__xludf.DUMMYFUNCTION("GOOGLETRANSLATE(B6156,""en"",""fr"")"),"La vidéo se déroule dans un théâtre montrant une pièce symphonique une chanson.")</f>
        <v>La vidéo se déroule dans un théâtre montrant une pièce symphonique une chanson.</v>
      </c>
    </row>
    <row r="6157">
      <c r="A6157" s="4" t="s">
        <v>7739</v>
      </c>
      <c r="B6157" s="4" t="s">
        <v>7741</v>
      </c>
      <c r="C6157" s="5" t="str">
        <f>IFERROR(__xludf.DUMMYFUNCTION("GOOGLETRANSLATE(B6157,""en"",""fr"")"),"La vidéo montre des gros plans de plusieurs membres de la Symphonie alors qu'ils jouent leurs instruments.")</f>
        <v>La vidéo montre des gros plans de plusieurs membres de la Symphonie alors qu'ils jouent leurs instruments.</v>
      </c>
    </row>
    <row r="6158">
      <c r="A6158" s="4" t="s">
        <v>7739</v>
      </c>
      <c r="B6158" s="4" t="s">
        <v>7742</v>
      </c>
      <c r="C6158" s="5" t="str">
        <f>IFERROR(__xludf.DUMMYFUNCTION("GOOGLETRANSLATE(B6158,""en"",""fr"")"),"La caméra se déroule ensuite pour montrer le public.")</f>
        <v>La caméra se déroule ensuite pour montrer le public.</v>
      </c>
    </row>
    <row r="6159">
      <c r="A6159" s="4" t="s">
        <v>7739</v>
      </c>
      <c r="B6159" s="4" t="s">
        <v>7743</v>
      </c>
      <c r="C6159" s="5" t="str">
        <f>IFERROR(__xludf.DUMMYFUNCTION("GOOGLETRANSLATE(B6159,""en"",""fr"")"),"La symphonie continue de jouer à mesure que le chef d'orchestre mène.")</f>
        <v>La symphonie continue de jouer à mesure que le chef d'orchestre mène.</v>
      </c>
    </row>
    <row r="6160">
      <c r="A6160" s="4" t="s">
        <v>7739</v>
      </c>
      <c r="B6160" s="4" t="s">
        <v>7744</v>
      </c>
      <c r="C6160" s="5" t="str">
        <f>IFERROR(__xludf.DUMMYFUNCTION("GOOGLETRANSLATE(B6160,""en"",""fr"")"),"La vidéo se termine montrant toute la symphonie.")</f>
        <v>La vidéo se termine montrant toute la symphonie.</v>
      </c>
    </row>
    <row r="6161">
      <c r="A6161" s="4" t="s">
        <v>7745</v>
      </c>
      <c r="B6161" s="4" t="s">
        <v>7746</v>
      </c>
      <c r="C6161" s="5" t="str">
        <f>IFERROR(__xludf.DUMMYFUNCTION("GOOGLETRANSLATE(B6161,""en"",""fr"")"),"Une femme est vue debout devant un bar et se penche devant lui.")</f>
        <v>Une femme est vue debout devant un bar et se penche devant lui.</v>
      </c>
    </row>
    <row r="6162">
      <c r="A6162" s="4" t="s">
        <v>7745</v>
      </c>
      <c r="B6162" s="4" t="s">
        <v>7747</v>
      </c>
      <c r="C6162" s="5" t="str">
        <f>IFERROR(__xludf.DUMMYFUNCTION("GOOGLETRANSLATE(B6162,""en"",""fr"")"),"Elle attrape les poids et le soulève au-dessus de sa tête puis redescendit.")</f>
        <v>Elle attrape les poids et le soulève au-dessus de sa tête puis redescendit.</v>
      </c>
    </row>
    <row r="6163">
      <c r="A6163" s="4" t="s">
        <v>7745</v>
      </c>
      <c r="B6163" s="4" t="s">
        <v>7748</v>
      </c>
      <c r="C6163" s="5" t="str">
        <f>IFERROR(__xludf.DUMMYFUNCTION("GOOGLETRANSLATE(B6163,""en"",""fr"")"),"Elle soulève continuellement le poids au-dessus de sa tête.")</f>
        <v>Elle soulève continuellement le poids au-dessus de sa tête.</v>
      </c>
    </row>
    <row r="6164">
      <c r="A6164" s="4" t="s">
        <v>7749</v>
      </c>
      <c r="B6164" s="4" t="s">
        <v>7750</v>
      </c>
      <c r="C6164" s="5" t="str">
        <f>IFERROR(__xludf.DUMMYFUNCTION("GOOGLETRANSLATE(B6164,""en"",""fr"")"),"La jeune femme est debout dans la cuisine en parlant à la caméra.")</f>
        <v>La jeune femme est debout dans la cuisine en parlant à la caméra.</v>
      </c>
    </row>
    <row r="6165">
      <c r="A6165" s="4" t="s">
        <v>7749</v>
      </c>
      <c r="B6165" s="6" t="s">
        <v>7751</v>
      </c>
      <c r="C6165" s="5" t="str">
        <f>IFERROR(__xludf.DUMMYFUNCTION("GOOGLETRANSLATE(B6165,""en"",""fr"")"),"La femelle a mis les pâtes dans de l'eau bouillante, a coupé l'ail et verser de l'huile d'olive dans la poêle, elle déchiquetait la peau d'orange et mettait dans la poêle et ajoute des tomates et des fruits de mer.")</f>
        <v>La femelle a mis les pâtes dans de l'eau bouillante, a coupé l'ail et verser de l'huile d'olive dans la poêle, elle déchiquetait la peau d'orange et mettait dans la poêle et ajoute des tomates et des fruits de mer.</v>
      </c>
    </row>
    <row r="6166">
      <c r="A6166" s="4" t="s">
        <v>7749</v>
      </c>
      <c r="B6166" s="4" t="s">
        <v>7752</v>
      </c>
      <c r="C6166" s="5" t="str">
        <f>IFERROR(__xludf.DUMMYFUNCTION("GOOGLETRANSLATE(B6166,""en"",""fr"")"),"La femme draine les pâtes, et la mette sur la sauce et les met dans les bols blancs.")</f>
        <v>La femme draine les pâtes, et la mette sur la sauce et les met dans les bols blancs.</v>
      </c>
    </row>
    <row r="6167">
      <c r="A6167" s="4" t="s">
        <v>7753</v>
      </c>
      <c r="B6167" s="4" t="s">
        <v>7754</v>
      </c>
      <c r="C6167" s="5" t="str">
        <f>IFERROR(__xludf.DUMMYFUNCTION("GOOGLETRANSLATE(B6167,""en"",""fr"")"),"Un grand groupe de personnes roule dans un énorme radeau.")</f>
        <v>Un grand groupe de personnes roule dans un énorme radeau.</v>
      </c>
    </row>
    <row r="6168">
      <c r="A6168" s="4" t="s">
        <v>7753</v>
      </c>
      <c r="B6168" s="4" t="s">
        <v>7755</v>
      </c>
      <c r="C6168" s="5" t="str">
        <f>IFERROR(__xludf.DUMMYFUNCTION("GOOGLETRANSLATE(B6168,""en"",""fr"")"),"Ils pagayent les rapides, essayant de rester debout.")</f>
        <v>Ils pagayent les rapides, essayant de rester debout.</v>
      </c>
    </row>
    <row r="6169">
      <c r="A6169" s="4" t="s">
        <v>7753</v>
      </c>
      <c r="B6169" s="4" t="s">
        <v>7756</v>
      </c>
      <c r="C6169" s="5" t="str">
        <f>IFERROR(__xludf.DUMMYFUNCTION("GOOGLETRANSLATE(B6169,""en"",""fr"")"),"Ils se retournent, tombant du radeau.")</f>
        <v>Ils se retournent, tombant du radeau.</v>
      </c>
    </row>
    <row r="6170">
      <c r="A6170" s="4" t="s">
        <v>7757</v>
      </c>
      <c r="B6170" s="4" t="s">
        <v>7758</v>
      </c>
      <c r="C6170" s="5" t="str">
        <f>IFERROR(__xludf.DUMMYFUNCTION("GOOGLETRANSLATE(B6170,""en"",""fr"")"),"Nous voyons la carte de titre et une commode douloureuse.")</f>
        <v>Nous voyons la carte de titre et une commode douloureuse.</v>
      </c>
    </row>
    <row r="6171">
      <c r="A6171" s="4" t="s">
        <v>7757</v>
      </c>
      <c r="B6171" s="4" t="s">
        <v>7759</v>
      </c>
      <c r="C6171" s="5" t="str">
        <f>IFERROR(__xludf.DUMMYFUNCTION("GOOGLETRANSLATE(B6171,""en"",""fr"")"),"Une dame est assise sur le sol et discute de la peinture.")</f>
        <v>Une dame est assise sur le sol et discute de la peinture.</v>
      </c>
    </row>
    <row r="6172">
      <c r="A6172" s="4" t="s">
        <v>7757</v>
      </c>
      <c r="B6172" s="4" t="s">
        <v>7760</v>
      </c>
      <c r="C6172" s="5" t="str">
        <f>IFERROR(__xludf.DUMMYFUNCTION("GOOGLETRANSLATE(B6172,""en"",""fr"")"),"La dame peint la commode tout en en parlant.")</f>
        <v>La dame peint la commode tout en en parlant.</v>
      </c>
    </row>
    <row r="6173">
      <c r="A6173" s="4" t="s">
        <v>7757</v>
      </c>
      <c r="B6173" s="4" t="s">
        <v>7761</v>
      </c>
      <c r="C6173" s="5" t="str">
        <f>IFERROR(__xludf.DUMMYFUNCTION("GOOGLETRANSLATE(B6173,""en"",""fr"")"),"Nous voyons le produit final peint.")</f>
        <v>Nous voyons le produit final peint.</v>
      </c>
    </row>
    <row r="6174">
      <c r="A6174" s="4" t="s">
        <v>7757</v>
      </c>
      <c r="B6174" s="4" t="s">
        <v>7762</v>
      </c>
      <c r="C6174" s="5" t="str">
        <f>IFERROR(__xludf.DUMMYFUNCTION("GOOGLETRANSLATE(B6174,""en"",""fr"")"),"Nous voyons les cartes de fin de la vidéo.")</f>
        <v>Nous voyons les cartes de fin de la vidéo.</v>
      </c>
    </row>
    <row r="6175">
      <c r="A6175" s="4" t="s">
        <v>7763</v>
      </c>
      <c r="B6175" s="4" t="s">
        <v>7764</v>
      </c>
      <c r="C6175" s="5" t="str">
        <f>IFERROR(__xludf.DUMMYFUNCTION("GOOGLETRANSLATE(B6175,""en"",""fr"")"),"Une dame marche dans une salle tout en portant un seau de fournitures de nettoyage.")</f>
        <v>Une dame marche dans une salle tout en portant un seau de fournitures de nettoyage.</v>
      </c>
    </row>
    <row r="6176">
      <c r="A6176" s="4" t="s">
        <v>7763</v>
      </c>
      <c r="B6176" s="4" t="s">
        <v>7765</v>
      </c>
      <c r="C6176" s="5" t="str">
        <f>IFERROR(__xludf.DUMMYFUNCTION("GOOGLETRANSLATE(B6176,""en"",""fr"")"),"Une dame nettoie une fenêtre avec des journaux.")</f>
        <v>Une dame nettoie une fenêtre avec des journaux.</v>
      </c>
    </row>
    <row r="6177">
      <c r="A6177" s="4" t="s">
        <v>7763</v>
      </c>
      <c r="B6177" s="4" t="s">
        <v>7766</v>
      </c>
      <c r="C6177" s="5" t="str">
        <f>IFERROR(__xludf.DUMMYFUNCTION("GOOGLETRANSLATE(B6177,""en"",""fr"")"),"La dame pulvérise le journal.")</f>
        <v>La dame pulvérise le journal.</v>
      </c>
    </row>
    <row r="6178">
      <c r="A6178" s="4" t="s">
        <v>7763</v>
      </c>
      <c r="B6178" s="4" t="s">
        <v>7767</v>
      </c>
      <c r="C6178" s="5" t="str">
        <f>IFERROR(__xludf.DUMMYFUNCTION("GOOGLETRANSLATE(B6178,""en"",""fr"")"),"Les ingrédients pour fabriquer le pulvérisation sont montrés.")</f>
        <v>Les ingrédients pour fabriquer le pulvérisation sont montrés.</v>
      </c>
    </row>
    <row r="6179">
      <c r="A6179" s="4" t="s">
        <v>7763</v>
      </c>
      <c r="B6179" s="4" t="s">
        <v>7768</v>
      </c>
      <c r="C6179" s="5" t="str">
        <f>IFERROR(__xludf.DUMMYFUNCTION("GOOGLETRANSLATE(B6179,""en"",""fr"")"),"La dame pulvérise la fenêtre.")</f>
        <v>La dame pulvérise la fenêtre.</v>
      </c>
    </row>
    <row r="6180">
      <c r="A6180" s="4" t="s">
        <v>7769</v>
      </c>
      <c r="B6180" s="4" t="s">
        <v>7770</v>
      </c>
      <c r="C6180" s="5" t="str">
        <f>IFERROR(__xludf.DUMMYFUNCTION("GOOGLETRANSLATE(B6180,""en"",""fr"")"),"Des tuyaux sont montrés sur un rocher.")</f>
        <v>Des tuyaux sont montrés sur un rocher.</v>
      </c>
    </row>
    <row r="6181">
      <c r="A6181" s="4" t="s">
        <v>7769</v>
      </c>
      <c r="B6181" s="4" t="s">
        <v>7771</v>
      </c>
      <c r="C6181" s="5" t="str">
        <f>IFERROR(__xludf.DUMMYFUNCTION("GOOGLETRANSLATE(B6181,""en"",""fr"")"),"Un homme marche sur un sentier.")</f>
        <v>Un homme marche sur un sentier.</v>
      </c>
    </row>
    <row r="6182">
      <c r="A6182" s="4" t="s">
        <v>7769</v>
      </c>
      <c r="B6182" s="4" t="s">
        <v>7772</v>
      </c>
      <c r="C6182" s="5" t="str">
        <f>IFERROR(__xludf.DUMMYFUNCTION("GOOGLETRANSLATE(B6182,""en"",""fr"")"),"Une grande structure derrière une clôture est montrée.")</f>
        <v>Une grande structure derrière une clôture est montrée.</v>
      </c>
    </row>
    <row r="6183">
      <c r="A6183" s="4" t="s">
        <v>7769</v>
      </c>
      <c r="B6183" s="4" t="s">
        <v>7773</v>
      </c>
      <c r="C6183" s="5" t="str">
        <f>IFERROR(__xludf.DUMMYFUNCTION("GOOGLETRANSLATE(B6183,""en"",""fr"")"),"Un bateau est dans l'eau entourant un rocher.")</f>
        <v>Un bateau est dans l'eau entourant un rocher.</v>
      </c>
    </row>
    <row r="6184">
      <c r="A6184" s="4" t="s">
        <v>7769</v>
      </c>
      <c r="B6184" s="4" t="s">
        <v>7774</v>
      </c>
      <c r="C6184" s="5" t="str">
        <f>IFERROR(__xludf.DUMMYFUNCTION("GOOGLETRANSLATE(B6184,""en"",""fr"")"),"Un homme est assis au-dessus d'un rocher.")</f>
        <v>Un homme est assis au-dessus d'un rocher.</v>
      </c>
    </row>
    <row r="6185">
      <c r="A6185" s="4" t="s">
        <v>7769</v>
      </c>
      <c r="B6185" s="4" t="s">
        <v>7775</v>
      </c>
      <c r="C6185" s="5" t="str">
        <f>IFERROR(__xludf.DUMMYFUNCTION("GOOGLETRANSLATE(B6185,""en"",""fr"")"),"Un homme commence à jouer un instrument.")</f>
        <v>Un homme commence à jouer un instrument.</v>
      </c>
    </row>
    <row r="6186">
      <c r="A6186" s="4" t="s">
        <v>7769</v>
      </c>
      <c r="B6186" s="4" t="s">
        <v>7776</v>
      </c>
      <c r="C6186" s="5" t="str">
        <f>IFERROR(__xludf.DUMMYFUNCTION("GOOGLETRANSLATE(B6186,""en"",""fr"")"),"Une grande paroi rocheuse est montrée.")</f>
        <v>Une grande paroi rocheuse est montrée.</v>
      </c>
    </row>
    <row r="6187">
      <c r="A6187" s="4" t="s">
        <v>7769</v>
      </c>
      <c r="B6187" s="4" t="s">
        <v>7777</v>
      </c>
      <c r="C6187" s="5" t="str">
        <f>IFERROR(__xludf.DUMMYFUNCTION("GOOGLETRANSLATE(B6187,""en"",""fr"")"),"L'homme continue de jouer de l'instrument.")</f>
        <v>L'homme continue de jouer de l'instrument.</v>
      </c>
    </row>
    <row r="6188">
      <c r="A6188" s="4" t="s">
        <v>7778</v>
      </c>
      <c r="B6188" s="4" t="s">
        <v>7779</v>
      </c>
      <c r="C6188" s="5" t="str">
        <f>IFERROR(__xludf.DUMMYFUNCTION("GOOGLETRANSLATE(B6188,""en"",""fr"")"),"La caméra regarde un homme dans un chapeau parler avec quelqu'un sous un angle bas.")</f>
        <v>La caméra regarde un homme dans un chapeau parler avec quelqu'un sous un angle bas.</v>
      </c>
    </row>
    <row r="6189">
      <c r="A6189" s="4" t="s">
        <v>7778</v>
      </c>
      <c r="B6189" s="4" t="s">
        <v>7780</v>
      </c>
      <c r="C6189" s="5" t="str">
        <f>IFERROR(__xludf.DUMMYFUNCTION("GOOGLETRANSLATE(B6189,""en"",""fr"")"),"Le cadre change et l'homme dans le chapeau parle avec un autre homme tandis que les deux regardent les papiers.")</f>
        <v>Le cadre change et l'homme dans le chapeau parle avec un autre homme tandis que les deux regardent les papiers.</v>
      </c>
    </row>
    <row r="6190">
      <c r="A6190" s="4" t="s">
        <v>7778</v>
      </c>
      <c r="B6190" s="4" t="s">
        <v>7781</v>
      </c>
      <c r="C6190" s="5" t="str">
        <f>IFERROR(__xludf.DUMMYFUNCTION("GOOGLETRANSLATE(B6190,""en"",""fr"")"),"L'homme dans le chapeau s'assoit et parle à la caméra.")</f>
        <v>L'homme dans le chapeau s'assoit et parle à la caméra.</v>
      </c>
    </row>
    <row r="6191">
      <c r="A6191" s="4" t="s">
        <v>7778</v>
      </c>
      <c r="B6191" s="4" t="s">
        <v>7782</v>
      </c>
      <c r="C6191" s="5" t="str">
        <f>IFERROR(__xludf.DUMMYFUNCTION("GOOGLETRANSLATE(B6191,""en"",""fr"")"),"L'homme boit dans une bouteille d'eau.")</f>
        <v>L'homme boit dans une bouteille d'eau.</v>
      </c>
    </row>
    <row r="6192">
      <c r="A6192" s="4" t="s">
        <v>7778</v>
      </c>
      <c r="B6192" s="4" t="s">
        <v>7783</v>
      </c>
      <c r="C6192" s="5" t="str">
        <f>IFERROR(__xludf.DUMMYFUNCTION("GOOGLETRANSLATE(B6192,""en"",""fr"")"),"Une femme applique un modèle d'encre au corps de l'homme.")</f>
        <v>Une femme applique un modèle d'encre au corps de l'homme.</v>
      </c>
    </row>
    <row r="6193">
      <c r="A6193" s="4" t="s">
        <v>7778</v>
      </c>
      <c r="B6193" s="4" t="s">
        <v>7784</v>
      </c>
      <c r="C6193" s="5" t="str">
        <f>IFERROR(__xludf.DUMMYFUNCTION("GOOGLETRANSLATE(B6193,""en"",""fr"")"),"L'homme se couche de son côté tandis que la femme tatouage sur le motif de l'encre.")</f>
        <v>L'homme se couche de son côté tandis que la femme tatouage sur le motif de l'encre.</v>
      </c>
    </row>
    <row r="6194">
      <c r="A6194" s="4" t="s">
        <v>7778</v>
      </c>
      <c r="B6194" s="4" t="s">
        <v>7785</v>
      </c>
      <c r="C6194" s="5" t="str">
        <f>IFERROR(__xludf.DUMMYFUNCTION("GOOGLETRANSLATE(B6194,""en"",""fr"")"),"Des images fixes du tatouage terminées sont affichées.")</f>
        <v>Des images fixes du tatouage terminées sont affichées.</v>
      </c>
    </row>
    <row r="6195">
      <c r="A6195" s="4" t="s">
        <v>7786</v>
      </c>
      <c r="B6195" s="4" t="s">
        <v>7787</v>
      </c>
      <c r="C6195" s="5" t="str">
        <f>IFERROR(__xludf.DUMMYFUNCTION("GOOGLETRANSLATE(B6195,""en"",""fr"")"),"Une femme est montrée tenant un chat pendant qu'un chien se tient près de ses pieds.")</f>
        <v>Une femme est montrée tenant un chat pendant qu'un chien se tient près de ses pieds.</v>
      </c>
    </row>
    <row r="6196">
      <c r="A6196" s="4" t="s">
        <v>7786</v>
      </c>
      <c r="B6196" s="4" t="s">
        <v>7788</v>
      </c>
      <c r="C6196" s="5" t="str">
        <f>IFERROR(__xludf.DUMMYFUNCTION("GOOGLETRANSLATE(B6196,""en"",""fr"")"),"Elle parle à la caméra et montre ses ongles de chat.")</f>
        <v>Elle parle à la caméra et montre ses ongles de chat.</v>
      </c>
    </row>
    <row r="6197">
      <c r="A6197" s="4" t="s">
        <v>7786</v>
      </c>
      <c r="B6197" s="4" t="s">
        <v>7789</v>
      </c>
      <c r="C6197" s="5" t="str">
        <f>IFERROR(__xludf.DUMMYFUNCTION("GOOGLETRANSLATE(B6197,""en"",""fr"")"),"Elle attrape un outil et commence à couper les griffes du chat.")</f>
        <v>Elle attrape un outil et commence à couper les griffes du chat.</v>
      </c>
    </row>
    <row r="6198">
      <c r="A6198" s="4" t="s">
        <v>7786</v>
      </c>
      <c r="B6198" s="4" t="s">
        <v>7790</v>
      </c>
      <c r="C6198" s="5" t="str">
        <f>IFERROR(__xludf.DUMMYFUNCTION("GOOGLETRANSLATE(B6198,""en"",""fr"")"),"Elle ajuste un peu le chat mais finit ses ongles et la laisse partir.")</f>
        <v>Elle ajuste un peu le chat mais finit ses ongles et la laisse partir.</v>
      </c>
    </row>
    <row r="6199">
      <c r="A6199" s="4" t="s">
        <v>7791</v>
      </c>
      <c r="B6199" s="6" t="s">
        <v>7792</v>
      </c>
      <c r="C6199" s="5" t="str">
        <f>IFERROR(__xludf.DUMMYFUNCTION("GOOGLETRANSLATE(B6199,""en"",""fr"")"),"Une classe d'enfants vêtus de Gi blancs marche, donne des coups de pied et frappe dans une salle de classe pendant que leur professeur se promène autour d'eux.")</f>
        <v>Une classe d'enfants vêtus de Gi blancs marche, donne des coups de pied et frappe dans une salle de classe pendant que leur professeur se promène autour d'eux.</v>
      </c>
    </row>
    <row r="6200">
      <c r="A6200" s="4" t="s">
        <v>7791</v>
      </c>
      <c r="B6200" s="4" t="s">
        <v>7793</v>
      </c>
      <c r="C6200" s="5" t="str">
        <f>IFERROR(__xludf.DUMMYFUNCTION("GOOGLETRANSLATE(B6200,""en"",""fr"")"),"La classe s'arrête et l'instructeur parle et se promène autour d'eux.")</f>
        <v>La classe s'arrête et l'instructeur parle et se promène autour d'eux.</v>
      </c>
    </row>
    <row r="6201">
      <c r="A6201" s="4" t="s">
        <v>7791</v>
      </c>
      <c r="B6201" s="6" t="s">
        <v>7794</v>
      </c>
      <c r="C6201" s="5" t="str">
        <f>IFERROR(__xludf.DUMMYFUNCTION("GOOGLETRANSLATE(B6201,""en"",""fr"")"),"La classe se retourne ensuite et commence à marcher, à donner des coups de pied et à frapper dans la direction dont ils viennent.")</f>
        <v>La classe se retourne ensuite et commence à marcher, à donner des coups de pied et à frapper dans la direction dont ils viennent.</v>
      </c>
    </row>
    <row r="6202">
      <c r="A6202" s="4" t="s">
        <v>7791</v>
      </c>
      <c r="B6202" s="6" t="s">
        <v>7795</v>
      </c>
      <c r="C6202" s="5" t="str">
        <f>IFERROR(__xludf.DUMMYFUNCTION("GOOGLETRANSLATE(B6202,""en"",""fr"")"),"La classe se retourne quand ils arrivent à la fin, s'arrête, et l'instructeur commence à parler et à démontrer un coup de pied et un coup de poing, s'éloigne et la classe reprend.")</f>
        <v>La classe se retourne quand ils arrivent à la fin, s'arrête, et l'instructeur commence à parler et à démontrer un coup de pied et un coup de poing, s'éloigne et la classe reprend.</v>
      </c>
    </row>
    <row r="6203">
      <c r="A6203" s="4" t="s">
        <v>7791</v>
      </c>
      <c r="B6203" s="6" t="s">
        <v>7796</v>
      </c>
      <c r="C6203" s="5" t="str">
        <f>IFERROR(__xludf.DUMMYFUNCTION("GOOGLETRANSLATE(B6203,""en"",""fr"")"),"Quand ils atteignent la fin, ils se retournent à nouveau pour marcher, se remettre dans la direction dans laquelle ils sont venus et une fois de plus, l'instructeur les empêche de parler et de démontrer les mouvements et encore une fois, la classe reprend"&amp;" leurs mouvements et quand il arrive à la fin de la pièce, ils se retournent et mettent fin à leur routine avec leurs jambes et les bras devant eux.")</f>
        <v>Quand ils atteignent la fin, ils se retournent à nouveau pour marcher, se remettre dans la direction dans laquelle ils sont venus et une fois de plus, l'instructeur les empêche de parler et de démontrer les mouvements et encore une fois, la classe reprend leurs mouvements et quand il arrive à la fin de la pièce, ils se retournent et mettent fin à leur routine avec leurs jambes et les bras devant eux.</v>
      </c>
    </row>
    <row r="6204">
      <c r="A6204" s="4" t="s">
        <v>7797</v>
      </c>
      <c r="B6204" s="4" t="s">
        <v>7798</v>
      </c>
      <c r="C6204" s="5" t="str">
        <f>IFERROR(__xludf.DUMMYFUNCTION("GOOGLETRANSLATE(B6204,""en"",""fr"")"),"On voit un homme tenant un accordéon tout en parlant à la caméra et en souriant.")</f>
        <v>On voit un homme tenant un accordéon tout en parlant à la caméra et en souriant.</v>
      </c>
    </row>
    <row r="6205">
      <c r="A6205" s="4" t="s">
        <v>7797</v>
      </c>
      <c r="B6205" s="6" t="s">
        <v>7799</v>
      </c>
      <c r="C6205" s="5" t="str">
        <f>IFERROR(__xludf.DUMMYFUNCTION("GOOGLETRANSLATE(B6205,""en"",""fr"")"),"Il joue ensuite l'instrument tout en regardant la caméra et se termine en parlant davantage à la caméra.")</f>
        <v>Il joue ensuite l'instrument tout en regardant la caméra et se termine en parlant davantage à la caméra.</v>
      </c>
    </row>
    <row r="6206">
      <c r="A6206" s="4" t="s">
        <v>7800</v>
      </c>
      <c r="B6206" s="4" t="s">
        <v>7801</v>
      </c>
      <c r="C6206" s="5" t="str">
        <f>IFERROR(__xludf.DUMMYFUNCTION("GOOGLETRANSLATE(B6206,""en"",""fr"")"),"Un garçon se tient sur un tabouret devant un évier de cuisine.")</f>
        <v>Un garçon se tient sur un tabouret devant un évier de cuisine.</v>
      </c>
    </row>
    <row r="6207">
      <c r="A6207" s="4" t="s">
        <v>7800</v>
      </c>
      <c r="B6207" s="4" t="s">
        <v>7802</v>
      </c>
      <c r="C6207" s="5" t="str">
        <f>IFERROR(__xludf.DUMMYFUNCTION("GOOGLETRANSLATE(B6207,""en"",""fr"")"),"Il lave la vaisselle sous l'eau.")</f>
        <v>Il lave la vaisselle sous l'eau.</v>
      </c>
    </row>
    <row r="6208">
      <c r="A6208" s="4" t="s">
        <v>7800</v>
      </c>
      <c r="B6208" s="4" t="s">
        <v>7803</v>
      </c>
      <c r="C6208" s="5" t="str">
        <f>IFERROR(__xludf.DUMMYFUNCTION("GOOGLETRANSLATE(B6208,""en"",""fr"")"),"Il met la vaisselle dans une passoire noire.")</f>
        <v>Il met la vaisselle dans une passoire noire.</v>
      </c>
    </row>
    <row r="6209">
      <c r="A6209" s="4" t="s">
        <v>7804</v>
      </c>
      <c r="B6209" s="6" t="s">
        <v>7805</v>
      </c>
      <c r="C6209" s="5" t="str">
        <f>IFERROR(__xludf.DUMMYFUNCTION("GOOGLETRANSLATE(B6209,""en"",""fr"")"),"Plusieurs plans de personnes qui roulent autour de Kite Surfing sont montrés ainsi que des personnes qui parlent à la caméra.")</f>
        <v>Plusieurs plans de personnes qui roulent autour de Kite Surfing sont montrés ainsi que des personnes qui parlent à la caméra.</v>
      </c>
    </row>
    <row r="6210">
      <c r="A6210" s="4" t="s">
        <v>7804</v>
      </c>
      <c r="B6210" s="6" t="s">
        <v>7806</v>
      </c>
      <c r="C6210" s="5" t="str">
        <f>IFERROR(__xludf.DUMMYFUNCTION("GOOGLETRANSLATE(B6210,""en"",""fr"")"),"Les enfants tentent de surfer sur le vent et sont vus bouger leurs bras et leurs jambes et agiter la caméra.")</f>
        <v>Les enfants tentent de surfer sur le vent et sont vus bouger leurs bras et leurs jambes et agiter la caméra.</v>
      </c>
    </row>
    <row r="6211">
      <c r="A6211" s="4" t="s">
        <v>7804</v>
      </c>
      <c r="B6211" s="6" t="s">
        <v>7807</v>
      </c>
      <c r="C6211" s="5" t="str">
        <f>IFERROR(__xludf.DUMMYFUNCTION("GOOGLETRANSLATE(B6211,""en"",""fr"")"),"On voit deux filles dansant ainsi que des gens qui parlent à la caméra et aux enfants qui regardent la caméra.")</f>
        <v>On voit deux filles dansant ainsi que des gens qui parlent à la caméra et aux enfants qui regardent la caméra.</v>
      </c>
    </row>
    <row r="6212">
      <c r="A6212" s="4" t="s">
        <v>7808</v>
      </c>
      <c r="B6212" s="4" t="s">
        <v>7809</v>
      </c>
      <c r="C6212" s="5" t="str">
        <f>IFERROR(__xludf.DUMMYFUNCTION("GOOGLETRANSLATE(B6212,""en"",""fr"")"),"Une femme explique comment retirer le papier peint.")</f>
        <v>Une femme explique comment retirer le papier peint.</v>
      </c>
    </row>
    <row r="6213">
      <c r="A6213" s="4" t="s">
        <v>7808</v>
      </c>
      <c r="B6213" s="4" t="s">
        <v>7810</v>
      </c>
      <c r="C6213" s="5" t="str">
        <f>IFERROR(__xludf.DUMMYFUNCTION("GOOGLETRANSLATE(B6213,""en"",""fr"")"),"Elle se retourne et se penche pour ramasser un bateau à vapeur.")</f>
        <v>Elle se retourne et se penche pour ramasser un bateau à vapeur.</v>
      </c>
    </row>
    <row r="6214">
      <c r="A6214" s="4" t="s">
        <v>7808</v>
      </c>
      <c r="B6214" s="4" t="s">
        <v>7811</v>
      </c>
      <c r="C6214" s="5" t="str">
        <f>IFERROR(__xludf.DUMMYFUNCTION("GOOGLETRANSLATE(B6214,""en"",""fr"")"),"Elle montre comment cuire à la vapeur du papier peint en sections.")</f>
        <v>Elle montre comment cuire à la vapeur du papier peint en sections.</v>
      </c>
    </row>
    <row r="6215">
      <c r="A6215" s="4" t="s">
        <v>7808</v>
      </c>
      <c r="B6215" s="4" t="s">
        <v>7812</v>
      </c>
      <c r="C6215" s="5" t="str">
        <f>IFERROR(__xludf.DUMMYFUNCTION("GOOGLETRANSLATE(B6215,""en"",""fr"")"),"Elle sort de l'échelle et continue de cuire à la vapeur dans le papier peint.")</f>
        <v>Elle sort de l'échelle et continue de cuire à la vapeur dans le papier peint.</v>
      </c>
    </row>
    <row r="6216">
      <c r="A6216" s="4" t="s">
        <v>7808</v>
      </c>
      <c r="B6216" s="6" t="s">
        <v>7813</v>
      </c>
      <c r="C6216" s="5" t="str">
        <f>IFERROR(__xludf.DUMMYFUNCTION("GOOGLETRANSLATE(B6216,""en"",""fr"")"),"Elle déplace l'échelle à l'écart, puis elle cuit plus de papier peint, jusqu'en bas, en face et au milieu.")</f>
        <v>Elle déplace l'échelle à l'écart, puis elle cuit plus de papier peint, jusqu'en bas, en face et au milieu.</v>
      </c>
    </row>
    <row r="6217">
      <c r="A6217" s="4" t="s">
        <v>7808</v>
      </c>
      <c r="B6217" s="6" t="s">
        <v>7814</v>
      </c>
      <c r="C6217" s="5" t="str">
        <f>IFERROR(__xludf.DUMMYFUNCTION("GOOGLETRANSLATE(B6217,""en"",""fr"")"),"Elle déplace l'échelle, la grimpe et décolle le papier peint du mur, cueillant les pièces qui collent du mur.")</f>
        <v>Elle déplace l'échelle, la grimpe et décolle le papier peint du mur, cueillant les pièces qui collent du mur.</v>
      </c>
    </row>
    <row r="6218">
      <c r="A6218" s="4" t="s">
        <v>7808</v>
      </c>
      <c r="B6218" s="4" t="s">
        <v>7815</v>
      </c>
      <c r="C6218" s="5" t="str">
        <f>IFERROR(__xludf.DUMMYFUNCTION("GOOGLETRANSLATE(B6218,""en"",""fr"")"),"Elle tire les résidus du mur.")</f>
        <v>Elle tire les résidus du mur.</v>
      </c>
    </row>
    <row r="6219">
      <c r="A6219" s="4" t="s">
        <v>7808</v>
      </c>
      <c r="B6219" s="4" t="s">
        <v>7816</v>
      </c>
      <c r="C6219" s="5" t="str">
        <f>IFERROR(__xludf.DUMMYFUNCTION("GOOGLETRANSLATE(B6219,""en"",""fr"")"),"Elle sort de la gamme de caméras et revient avec un grattoir pour retirer les pièces de gauche.")</f>
        <v>Elle sort de la gamme de caméras et revient avec un grattoir pour retirer les pièces de gauche.</v>
      </c>
    </row>
    <row r="6220">
      <c r="A6220" s="4" t="s">
        <v>7808</v>
      </c>
      <c r="B6220" s="4" t="s">
        <v>7817</v>
      </c>
      <c r="C6220" s="5" t="str">
        <f>IFERROR(__xludf.DUMMYFUNCTION("GOOGLETRANSLATE(B6220,""en"",""fr"")"),"Elle se penche à nouveau et sort à nouveau de la gamme de caméras.")</f>
        <v>Elle se penche à nouveau et sort à nouveau de la gamme de caméras.</v>
      </c>
    </row>
    <row r="6221">
      <c r="A6221" s="4" t="s">
        <v>7808</v>
      </c>
      <c r="B6221" s="4" t="s">
        <v>7818</v>
      </c>
      <c r="C6221" s="5" t="str">
        <f>IFERROR(__xludf.DUMMYFUNCTION("GOOGLETRANSLATE(B6221,""en"",""fr"")"),"Elle a une éponge et nettoie le mur.")</f>
        <v>Elle a une éponge et nettoie le mur.</v>
      </c>
    </row>
    <row r="6222">
      <c r="A6222" s="4" t="s">
        <v>7808</v>
      </c>
      <c r="B6222" s="4" t="s">
        <v>7819</v>
      </c>
      <c r="C6222" s="5" t="str">
        <f>IFERROR(__xludf.DUMMYFUNCTION("GOOGLETRANSLATE(B6222,""en"",""fr"")"),"Elle fait plus de grattage et de nettoyage.")</f>
        <v>Elle fait plus de grattage et de nettoyage.</v>
      </c>
    </row>
    <row r="6223">
      <c r="A6223" s="4" t="s">
        <v>7808</v>
      </c>
      <c r="B6223" s="4" t="s">
        <v>7820</v>
      </c>
      <c r="C6223" s="5" t="str">
        <f>IFERROR(__xludf.DUMMYFUNCTION("GOOGLETRANSLATE(B6223,""en"",""fr"")"),"Elle se retourne et sourit.")</f>
        <v>Elle se retourne et sourit.</v>
      </c>
    </row>
    <row r="6224">
      <c r="A6224" s="4" t="s">
        <v>7821</v>
      </c>
      <c r="B6224" s="4" t="s">
        <v>7822</v>
      </c>
      <c r="C6224" s="5" t="str">
        <f>IFERROR(__xludf.DUMMYFUNCTION("GOOGLETRANSLATE(B6224,""en"",""fr"")"),"Il y a des flocons de neige tombant sur une forêt.")</f>
        <v>Il y a des flocons de neige tombant sur une forêt.</v>
      </c>
    </row>
    <row r="6225">
      <c r="A6225" s="4" t="s">
        <v>7821</v>
      </c>
      <c r="B6225" s="4" t="s">
        <v>7823</v>
      </c>
      <c r="C6225" s="5" t="str">
        <f>IFERROR(__xludf.DUMMYFUNCTION("GOOGLETRANSLATE(B6225,""en"",""fr"")"),"Un homme en motoneige à veste orange sur un champ enneigé.")</f>
        <v>Un homme en motoneige à veste orange sur un champ enneigé.</v>
      </c>
    </row>
    <row r="6226">
      <c r="A6226" s="4" t="s">
        <v>7821</v>
      </c>
      <c r="B6226" s="4" t="s">
        <v>7824</v>
      </c>
      <c r="C6226" s="5" t="str">
        <f>IFERROR(__xludf.DUMMYFUNCTION("GOOGLETRANSLATE(B6226,""en"",""fr"")"),"L'homme snowboards en bas de la montagne.")</f>
        <v>L'homme snowboards en bas de la montagne.</v>
      </c>
    </row>
    <row r="6227">
      <c r="A6227" s="4" t="s">
        <v>7821</v>
      </c>
      <c r="B6227" s="4" t="s">
        <v>7825</v>
      </c>
      <c r="C6227" s="5" t="str">
        <f>IFERROR(__xludf.DUMMYFUNCTION("GOOGLETRANSLATE(B6227,""en"",""fr"")"),"Deux hommes en motoneige à travers la forêt.")</f>
        <v>Deux hommes en motoneige à travers la forêt.</v>
      </c>
    </row>
    <row r="6228">
      <c r="A6228" s="4" t="s">
        <v>7821</v>
      </c>
      <c r="B6228" s="4" t="s">
        <v>7826</v>
      </c>
      <c r="C6228" s="5" t="str">
        <f>IFERROR(__xludf.DUMMYFUNCTION("GOOGLETRANSLATE(B6228,""en"",""fr"")"),"Un homme dans une veste noire snowboards à travers un itinéraire rempli d'arbres.")</f>
        <v>Un homme dans une veste noire snowboards à travers un itinéraire rempli d'arbres.</v>
      </c>
    </row>
    <row r="6229">
      <c r="A6229" s="4" t="s">
        <v>7821</v>
      </c>
      <c r="B6229" s="4" t="s">
        <v>7827</v>
      </c>
      <c r="C6229" s="5" t="str">
        <f>IFERROR(__xludf.DUMMYFUNCTION("GOOGLETRANSLATE(B6229,""en"",""fr"")"),"L'homme dans la veste orange regarde la caméra.")</f>
        <v>L'homme dans la veste orange regarde la caméra.</v>
      </c>
    </row>
    <row r="6230">
      <c r="A6230" s="4" t="s">
        <v>7821</v>
      </c>
      <c r="B6230" s="4" t="s">
        <v>7828</v>
      </c>
      <c r="C6230" s="5" t="str">
        <f>IFERROR(__xludf.DUMMYFUNCTION("GOOGLETRANSLATE(B6230,""en"",""fr"")"),"L'homme en motoneige de veste orange dans une montagne très raide.")</f>
        <v>L'homme en motoneige de veste orange dans une montagne très raide.</v>
      </c>
    </row>
    <row r="6231">
      <c r="A6231" s="4" t="s">
        <v>7821</v>
      </c>
      <c r="B6231" s="4" t="s">
        <v>7829</v>
      </c>
      <c r="C6231" s="5" t="str">
        <f>IFERROR(__xludf.DUMMYFUNCTION("GOOGLETRANSLATE(B6231,""en"",""fr"")"),"L'homme dans la veste orange en motoneige de saut et fait des tours.")</f>
        <v>L'homme dans la veste orange en motoneige de saut et fait des tours.</v>
      </c>
    </row>
    <row r="6232">
      <c r="A6232" s="4" t="s">
        <v>7821</v>
      </c>
      <c r="B6232" s="4" t="s">
        <v>7830</v>
      </c>
      <c r="C6232" s="5" t="str">
        <f>IFERROR(__xludf.DUMMYFUNCTION("GOOGLETRANSLATE(B6232,""en"",""fr"")"),"L'homme dans la veste orange déclenche un feu.")</f>
        <v>L'homme dans la veste orange déclenche un feu.</v>
      </c>
    </row>
    <row r="6233">
      <c r="A6233" s="4" t="s">
        <v>7821</v>
      </c>
      <c r="B6233" s="4" t="s">
        <v>7831</v>
      </c>
      <c r="C6233" s="5" t="str">
        <f>IFERROR(__xludf.DUMMYFUNCTION("GOOGLETRANSLATE(B6233,""en"",""fr"")"),"L'homme dans la veste noire continue de skier à travers des zones perfides remplies d'arbres.")</f>
        <v>L'homme dans la veste noire continue de skier à travers des zones perfides remplies d'arbres.</v>
      </c>
    </row>
    <row r="6234">
      <c r="A6234" s="4" t="s">
        <v>7832</v>
      </c>
      <c r="B6234" s="4" t="s">
        <v>7833</v>
      </c>
      <c r="C6234" s="5" t="str">
        <f>IFERROR(__xludf.DUMMYFUNCTION("GOOGLETRANSLATE(B6234,""en"",""fr"")"),"L'homme soude une machine dans une pièce sombre.")</f>
        <v>L'homme soude une machine dans une pièce sombre.</v>
      </c>
    </row>
    <row r="6235">
      <c r="A6235" s="4" t="s">
        <v>7832</v>
      </c>
      <c r="B6235" s="4" t="s">
        <v>7834</v>
      </c>
      <c r="C6235" s="5" t="str">
        <f>IFERROR(__xludf.DUMMYFUNCTION("GOOGLETRANSLATE(B6235,""en"",""fr"")"),"L'homme soude un pot en métal et la fumée se propage hors du pot.")</f>
        <v>L'homme soude un pot en métal et la fumée se propage hors du pot.</v>
      </c>
    </row>
    <row r="6236">
      <c r="A6236" s="4" t="s">
        <v>7832</v>
      </c>
      <c r="B6236" s="4" t="s">
        <v>7835</v>
      </c>
      <c r="C6236" s="5" t="str">
        <f>IFERROR(__xludf.DUMMYFUNCTION("GOOGLETRANSLATE(B6236,""en"",""fr"")"),"L'homme porte un masque de soudage dans une pièce sombre de souder quelque chose.")</f>
        <v>L'homme porte un masque de soudage dans une pièce sombre de souder quelque chose.</v>
      </c>
    </row>
    <row r="6237">
      <c r="A6237" s="4" t="s">
        <v>7836</v>
      </c>
      <c r="B6237" s="4" t="s">
        <v>7837</v>
      </c>
      <c r="C6237" s="5" t="str">
        <f>IFERROR(__xludf.DUMMYFUNCTION("GOOGLETRANSLATE(B6237,""en"",""fr"")"),"Les plans rapprochés d'un homme qui roulent sont montrés et mène à lui enlever une partie de ses spectacles.")</f>
        <v>Les plans rapprochés d'un homme qui roulent sont montrés et mène à lui enlever une partie de ses spectacles.</v>
      </c>
    </row>
    <row r="6238">
      <c r="A6238" s="4" t="s">
        <v>7836</v>
      </c>
      <c r="B6238" s="6" t="s">
        <v>7838</v>
      </c>
      <c r="C6238" s="5" t="str">
        <f>IFERROR(__xludf.DUMMYFUNCTION("GOOGLETRANSLATE(B6238,""en"",""fr"")"),"Il montre plusieurs objets et pousse une rondelle le long de la glace tandis que la caméra est assise sur l'objet et l'homme suit derrière.")</f>
        <v>Il montre plusieurs objets et pousse une rondelle le long de la glace tandis que la caméra est assise sur l'objet et l'homme suit derrière.</v>
      </c>
    </row>
    <row r="6239">
      <c r="A6239" s="4" t="s">
        <v>7839</v>
      </c>
      <c r="B6239" s="4" t="s">
        <v>7840</v>
      </c>
      <c r="C6239" s="5" t="str">
        <f>IFERROR(__xludf.DUMMYFUNCTION("GOOGLETRANSLATE(B6239,""en"",""fr"")"),"Un bateau sort une personne de l'eau.")</f>
        <v>Un bateau sort une personne de l'eau.</v>
      </c>
    </row>
    <row r="6240">
      <c r="A6240" s="4" t="s">
        <v>7839</v>
      </c>
      <c r="B6240" s="4" t="s">
        <v>7841</v>
      </c>
      <c r="C6240" s="5" t="str">
        <f>IFERROR(__xludf.DUMMYFUNCTION("GOOGLETRANSLATE(B6240,""en"",""fr"")"),"Ils se lèvent et commencent le ski nautique derrière le bateau.")</f>
        <v>Ils se lèvent et commencent le ski nautique derrière le bateau.</v>
      </c>
    </row>
    <row r="6241">
      <c r="A6241" s="4" t="s">
        <v>7839</v>
      </c>
      <c r="B6241" s="4" t="s">
        <v>7842</v>
      </c>
      <c r="C6241" s="5" t="str">
        <f>IFERROR(__xludf.DUMMYFUNCTION("GOOGLETRANSLATE(B6241,""en"",""fr"")"),"La personne tombe et lâche la corde.")</f>
        <v>La personne tombe et lâche la corde.</v>
      </c>
    </row>
    <row r="6242">
      <c r="A6242" s="4" t="s">
        <v>7843</v>
      </c>
      <c r="B6242" s="4" t="s">
        <v>7844</v>
      </c>
      <c r="C6242" s="5" t="str">
        <f>IFERROR(__xludf.DUMMYFUNCTION("GOOGLETRANSLATE(B6242,""en"",""fr"")"),"Une grande diapositive est représentée avec des dizaines d'enfants qui grimpent et descendaient.")</f>
        <v>Une grande diapositive est représentée avec des dizaines d'enfants qui grimpent et descendaient.</v>
      </c>
    </row>
    <row r="6243">
      <c r="A6243" s="4" t="s">
        <v>7843</v>
      </c>
      <c r="B6243" s="4" t="s">
        <v>7845</v>
      </c>
      <c r="C6243" s="5" t="str">
        <f>IFERROR(__xludf.DUMMYFUNCTION("GOOGLETRANSLATE(B6243,""en"",""fr"")"),"Les enfants montent et descendent sur le côté et continuent de descendre la diapositive.")</f>
        <v>Les enfants montent et descendent sur le côté et continuent de descendre la diapositive.</v>
      </c>
    </row>
    <row r="6244">
      <c r="A6244" s="4" t="s">
        <v>7843</v>
      </c>
      <c r="B6244" s="4" t="s">
        <v>7846</v>
      </c>
      <c r="C6244" s="5" t="str">
        <f>IFERROR(__xludf.DUMMYFUNCTION("GOOGLETRANSLATE(B6244,""en"",""fr"")"),"La caméra se déroule tout autour des diapositives et montre aux enfants descendant.")</f>
        <v>La caméra se déroule tout autour des diapositives et montre aux enfants descendant.</v>
      </c>
    </row>
    <row r="6245">
      <c r="A6245" s="4" t="s">
        <v>7847</v>
      </c>
      <c r="B6245" s="4" t="s">
        <v>7848</v>
      </c>
      <c r="C6245" s="5" t="str">
        <f>IFERROR(__xludf.DUMMYFUNCTION("GOOGLETRANSLATE(B6245,""en"",""fr"")"),"Une femme fait une routine de coiffure en brossant et en broyant les cheveux.")</f>
        <v>Une femme fait une routine de coiffure en brossant et en broyant les cheveux.</v>
      </c>
    </row>
    <row r="6246">
      <c r="A6246" s="4" t="s">
        <v>7847</v>
      </c>
      <c r="B6246" s="4" t="s">
        <v>7849</v>
      </c>
      <c r="C6246" s="5" t="str">
        <f>IFERROR(__xludf.DUMMYFUNCTION("GOOGLETRANSLATE(B6246,""en"",""fr"")"),"La femme s'assoit et fait travailler sa magie en moins de dix minutes.")</f>
        <v>La femme s'assoit et fait travailler sa magie en moins de dix minutes.</v>
      </c>
    </row>
    <row r="6247">
      <c r="A6247" s="4" t="s">
        <v>7850</v>
      </c>
      <c r="B6247" s="4" t="s">
        <v>7851</v>
      </c>
      <c r="C6247" s="5" t="str">
        <f>IFERROR(__xludf.DUMMYFUNCTION("GOOGLETRANSLATE(B6247,""en"",""fr"")"),"Une femme peint un cadre carré avec des jambes.")</f>
        <v>Une femme peint un cadre carré avec des jambes.</v>
      </c>
    </row>
    <row r="6248">
      <c r="A6248" s="4" t="s">
        <v>7850</v>
      </c>
      <c r="B6248" s="4" t="s">
        <v>7852</v>
      </c>
      <c r="C6248" s="5" t="str">
        <f>IFERROR(__xludf.DUMMYFUNCTION("GOOGLETRANSLATE(B6248,""en"",""fr"")"),"Elle le tourne et peint un autre côté.")</f>
        <v>Elle le tourne et peint un autre côté.</v>
      </c>
    </row>
    <row r="6249">
      <c r="A6249" s="4" t="s">
        <v>7850</v>
      </c>
      <c r="B6249" s="4" t="s">
        <v>7853</v>
      </c>
      <c r="C6249" s="5" t="str">
        <f>IFERROR(__xludf.DUMMYFUNCTION("GOOGLETRANSLATE(B6249,""en"",""fr"")"),"La caméra passe à des fleurs.")</f>
        <v>La caméra passe à des fleurs.</v>
      </c>
    </row>
    <row r="6250">
      <c r="A6250" s="4" t="s">
        <v>7854</v>
      </c>
      <c r="B6250" s="4" t="s">
        <v>7855</v>
      </c>
      <c r="C6250" s="5" t="str">
        <f>IFERROR(__xludf.DUMMYFUNCTION("GOOGLETRANSLATE(B6250,""en"",""fr"")"),"Une personne est vue assise sur une chaise avec une femme debout derrière lui coupant ses cheveux.")</f>
        <v>Une personne est vue assise sur une chaise avec une femme debout derrière lui coupant ses cheveux.</v>
      </c>
    </row>
    <row r="6251">
      <c r="A6251" s="4" t="s">
        <v>7854</v>
      </c>
      <c r="B6251" s="4" t="s">
        <v>7856</v>
      </c>
      <c r="C6251" s="5" t="str">
        <f>IFERROR(__xludf.DUMMYFUNCTION("GOOGLETRANSLATE(B6251,""en"",""fr"")"),"Elle peigne continuellement ses cheveux et les mesure sur le côté.")</f>
        <v>Elle peigne continuellement ses cheveux et les mesure sur le côté.</v>
      </c>
    </row>
    <row r="6252">
      <c r="A6252" s="4" t="s">
        <v>7854</v>
      </c>
      <c r="B6252" s="4" t="s">
        <v>7857</v>
      </c>
      <c r="C6252" s="5" t="str">
        <f>IFERROR(__xludf.DUMMYFUNCTION("GOOGLETRANSLATE(B6252,""en"",""fr"")"),"Elle finit enfin la coupe et s'évanouit de son visage.")</f>
        <v>Elle finit enfin la coupe et s'évanouit de son visage.</v>
      </c>
    </row>
    <row r="6253">
      <c r="A6253" s="4" t="s">
        <v>7858</v>
      </c>
      <c r="B6253" s="6" t="s">
        <v>7859</v>
      </c>
      <c r="C6253" s="5" t="str">
        <f>IFERROR(__xludf.DUMMYFUNCTION("GOOGLETRANSLATE(B6253,""en"",""fr"")"),"Une personne nettoie un écran de fenêtre, puis met le détergent sur la partie inférieure de la fenêtre et le brossage.")</f>
        <v>Une personne nettoie un écran de fenêtre, puis met le détergent sur la partie inférieure de la fenêtre et le brossage.</v>
      </c>
    </row>
    <row r="6254">
      <c r="A6254" s="4" t="s">
        <v>7858</v>
      </c>
      <c r="B6254" s="4" t="s">
        <v>7860</v>
      </c>
      <c r="C6254" s="5" t="str">
        <f>IFERROR(__xludf.DUMMYFUNCTION("GOOGLETRANSLATE(B6254,""en"",""fr"")"),"Ensuite, la personne nettoie les bordures de la fenêtre avec un tissu et montre la saleté dans le tissu.")</f>
        <v>Ensuite, la personne nettoie les bordures de la fenêtre avec un tissu et montre la saleté dans le tissu.</v>
      </c>
    </row>
    <row r="6255">
      <c r="A6255" s="4" t="s">
        <v>7858</v>
      </c>
      <c r="B6255" s="6" t="s">
        <v>7861</v>
      </c>
      <c r="C6255" s="5" t="str">
        <f>IFERROR(__xludf.DUMMYFUNCTION("GOOGLETRANSLATE(B6255,""en"",""fr"")"),"Après, la personne prend une bouteille du seuil et continue de nettoyer les bordures de l'écran de la fenêtre.")</f>
        <v>Après, la personne prend une bouteille du seuil et continue de nettoyer les bordures de l'écran de la fenêtre.</v>
      </c>
    </row>
    <row r="6256">
      <c r="A6256" s="4" t="s">
        <v>7862</v>
      </c>
      <c r="B6256" s="4" t="s">
        <v>7863</v>
      </c>
      <c r="C6256" s="5" t="str">
        <f>IFERROR(__xludf.DUMMYFUNCTION("GOOGLETRANSLATE(B6256,""en"",""fr"")"),"Une jeune femme est assise sur un pas, puis une affiche disant que je peux le faire est montrée.")</f>
        <v>Une jeune femme est assise sur un pas, puis une affiche disant que je peux le faire est montrée.</v>
      </c>
    </row>
    <row r="6257">
      <c r="A6257" s="4" t="s">
        <v>7862</v>
      </c>
      <c r="B6257" s="4" t="s">
        <v>7864</v>
      </c>
      <c r="C6257" s="5" t="str">
        <f>IFERROR(__xludf.DUMMYFUNCTION("GOOGLETRANSLATE(B6257,""en"",""fr"")"),"La fille revient et continue de parler de ce qu'elle est sur le point de faire.")</f>
        <v>La fille revient et continue de parler de ce qu'elle est sur le point de faire.</v>
      </c>
    </row>
    <row r="6258">
      <c r="A6258" s="4" t="s">
        <v>7862</v>
      </c>
      <c r="B6258" s="4" t="s">
        <v>7865</v>
      </c>
      <c r="C6258" s="5" t="str">
        <f>IFERROR(__xludf.DUMMYFUNCTION("GOOGLETRANSLATE(B6258,""en"",""fr"")"),"Elle évoque ensuite un couteau et en parle alors que la caméra zoome dessus.")</f>
        <v>Elle évoque ensuite un couteau et en parle alors que la caméra zoome dessus.</v>
      </c>
    </row>
    <row r="6259">
      <c r="A6259" s="4" t="s">
        <v>7862</v>
      </c>
      <c r="B6259" s="6" t="s">
        <v>7866</v>
      </c>
      <c r="C6259" s="5" t="str">
        <f>IFERROR(__xludf.DUMMYFUNCTION("GOOGLETRANSLATE(B6259,""en"",""fr"")"),"Elle commence ensuite à couper un bâton et les mots sont affichés en bas, montrant les étapes nécessaires pour terminer le feu.")</f>
        <v>Elle commence ensuite à couper un bâton et les mots sont affichés en bas, montrant les étapes nécessaires pour terminer le feu.</v>
      </c>
    </row>
    <row r="6260">
      <c r="A6260" s="4" t="s">
        <v>7862</v>
      </c>
      <c r="B6260" s="4" t="s">
        <v>7867</v>
      </c>
      <c r="C6260" s="5" t="str">
        <f>IFERROR(__xludf.DUMMYFUNCTION("GOOGLETRANSLATE(B6260,""en"",""fr"")"),"Un couteau de poche est retiré et elle commence à couper un petit morceau d'amoder.")</f>
        <v>Un couteau de poche est retiré et elle commence à couper un petit morceau d'amoder.</v>
      </c>
    </row>
    <row r="6261">
      <c r="A6261" s="4" t="s">
        <v>7868</v>
      </c>
      <c r="B6261" s="4" t="s">
        <v>7869</v>
      </c>
      <c r="C6261" s="5" t="str">
        <f>IFERROR(__xludf.DUMMYFUNCTION("GOOGLETRANSLATE(B6261,""en"",""fr"")"),"Un homme portant une boucle d'oreille regarde sur le côté.")</f>
        <v>Un homme portant une boucle d'oreille regarde sur le côté.</v>
      </c>
    </row>
    <row r="6262">
      <c r="A6262" s="4" t="s">
        <v>7868</v>
      </c>
      <c r="B6262" s="4" t="s">
        <v>7870</v>
      </c>
      <c r="C6262" s="5" t="str">
        <f>IFERROR(__xludf.DUMMYFUNCTION("GOOGLETRANSLATE(B6262,""en"",""fr"")"),"On lui montre un arc et une flèche, visant, puis tirant sur sa cible.")</f>
        <v>On lui montre un arc et une flèche, visant, puis tirant sur sa cible.</v>
      </c>
    </row>
    <row r="6263">
      <c r="A6263" s="4" t="s">
        <v>7868</v>
      </c>
      <c r="B6263" s="4" t="s">
        <v>7871</v>
      </c>
      <c r="C6263" s="5" t="str">
        <f>IFERROR(__xludf.DUMMYFUNCTION("GOOGLETRANSLATE(B6263,""en"",""fr"")"),"La scène est répétée plusieurs fois.")</f>
        <v>La scène est répétée plusieurs fois.</v>
      </c>
    </row>
    <row r="6264">
      <c r="A6264" s="4" t="s">
        <v>7872</v>
      </c>
      <c r="B6264" s="4" t="s">
        <v>7873</v>
      </c>
      <c r="C6264" s="5" t="str">
        <f>IFERROR(__xludf.DUMMYFUNCTION("GOOGLETRANSLATE(B6264,""en"",""fr"")"),"Une vidéo de laps de temps est montrée des gens qui se promènent dans une maison.")</f>
        <v>Une vidéo de laps de temps est montrée des gens qui se promènent dans une maison.</v>
      </c>
    </row>
    <row r="6265">
      <c r="A6265" s="4" t="s">
        <v>7872</v>
      </c>
      <c r="B6265" s="4" t="s">
        <v>7874</v>
      </c>
      <c r="C6265" s="5" t="str">
        <f>IFERROR(__xludf.DUMMYFUNCTION("GOOGLETRANSLATE(B6265,""en"",""fr"")"),"Plus tard, ils commencent à installer un arbre de Noël avec deux personnes impliquées dans le processus.")</f>
        <v>Plus tard, ils commencent à installer un arbre de Noël avec deux personnes impliquées dans le processus.</v>
      </c>
    </row>
    <row r="6266">
      <c r="A6266" s="4" t="s">
        <v>7872</v>
      </c>
      <c r="B6266" s="4" t="s">
        <v>7875</v>
      </c>
      <c r="C6266" s="5" t="str">
        <f>IFERROR(__xludf.DUMMYFUNCTION("GOOGLETRANSLATE(B6266,""en"",""fr"")"),"Ils mettent des lumières sur l'arbre et les éclairent.")</f>
        <v>Ils mettent des lumières sur l'arbre et les éclairent.</v>
      </c>
    </row>
    <row r="6267">
      <c r="A6267" s="4" t="s">
        <v>7872</v>
      </c>
      <c r="B6267" s="4" t="s">
        <v>7876</v>
      </c>
      <c r="C6267" s="5" t="str">
        <f>IFERROR(__xludf.DUMMYFUNCTION("GOOGLETRANSLATE(B6267,""en"",""fr"")"),"Ensuite, ils commencent à mettre plusieurs ornements différents sur l'arbre.")</f>
        <v>Ensuite, ils commencent à mettre plusieurs ornements différents sur l'arbre.</v>
      </c>
    </row>
    <row r="6268">
      <c r="A6268" s="4" t="s">
        <v>7872</v>
      </c>
      <c r="B6268" s="4" t="s">
        <v>7877</v>
      </c>
      <c r="C6268" s="5" t="str">
        <f>IFERROR(__xludf.DUMMYFUNCTION("GOOGLETRANSLATE(B6268,""en"",""fr"")"),"Enfin, ils ont mis la jupe sous l'arbre et terminent la vidéo avec un baiser.")</f>
        <v>Enfin, ils ont mis la jupe sous l'arbre et terminent la vidéo avec un baiser.</v>
      </c>
    </row>
    <row r="6269">
      <c r="A6269" s="4" t="s">
        <v>7878</v>
      </c>
      <c r="B6269" s="4" t="s">
        <v>7879</v>
      </c>
      <c r="C6269" s="5" t="str">
        <f>IFERROR(__xludf.DUMMYFUNCTION("GOOGLETRANSLATE(B6269,""en"",""fr"")"),"Le groupe est en scène et le front mange.")</f>
        <v>Le groupe est en scène et le front mange.</v>
      </c>
    </row>
    <row r="6270">
      <c r="A6270" s="4" t="s">
        <v>7878</v>
      </c>
      <c r="B6270" s="4" t="s">
        <v>7880</v>
      </c>
      <c r="C6270" s="5" t="str">
        <f>IFERROR(__xludf.DUMMYFUNCTION("GOOGLETRANSLATE(B6270,""en"",""fr"")"),"La femme joue de la batterie avec une casquette noire.")</f>
        <v>La femme joue de la batterie avec une casquette noire.</v>
      </c>
    </row>
    <row r="6271">
      <c r="A6271" s="4" t="s">
        <v>7881</v>
      </c>
      <c r="B6271" s="4" t="s">
        <v>7882</v>
      </c>
      <c r="C6271" s="5" t="str">
        <f>IFERROR(__xludf.DUMMYFUNCTION("GOOGLETRANSLATE(B6271,""en"",""fr"")"),"Un jardin est montré de l'extérieur d'une maison.")</f>
        <v>Un jardin est montré de l'extérieur d'une maison.</v>
      </c>
    </row>
    <row r="6272">
      <c r="A6272" s="4" t="s">
        <v>7881</v>
      </c>
      <c r="B6272" s="4" t="s">
        <v>7883</v>
      </c>
      <c r="C6272" s="5" t="str">
        <f>IFERROR(__xludf.DUMMYFUNCTION("GOOGLETRANSLATE(B6272,""en"",""fr"")"),"La caméra se tourne pour admirer diverses plantes et fleurs.")</f>
        <v>La caméra se tourne pour admirer diverses plantes et fleurs.</v>
      </c>
    </row>
    <row r="6273">
      <c r="A6273" s="4" t="s">
        <v>7881</v>
      </c>
      <c r="B6273" s="4" t="s">
        <v>7884</v>
      </c>
      <c r="C6273" s="5" t="str">
        <f>IFERROR(__xludf.DUMMYFUNCTION("GOOGLETRANSLATE(B6273,""en"",""fr"")"),"Nous avons ensuite un bon aperçu de l'herbe.")</f>
        <v>Nous avons ensuite un bon aperçu de l'herbe.</v>
      </c>
    </row>
    <row r="6274">
      <c r="A6274" s="4" t="s">
        <v>7885</v>
      </c>
      <c r="B6274" s="4" t="s">
        <v>7886</v>
      </c>
      <c r="C6274" s="5" t="str">
        <f>IFERROR(__xludf.DUMMYFUNCTION("GOOGLETRANSLATE(B6274,""en"",""fr"")"),"Les garçons équilibrent sur les lignes lâches et font diverses astuces.")</f>
        <v>Les garçons équilibrent sur les lignes lâches et font diverses astuces.</v>
      </c>
    </row>
    <row r="6275">
      <c r="A6275" s="4" t="s">
        <v>7885</v>
      </c>
      <c r="B6275" s="6" t="s">
        <v>7887</v>
      </c>
      <c r="C6275" s="5" t="str">
        <f>IFERROR(__xludf.DUMMYFUNCTION("GOOGLETRANSLATE(B6275,""en"",""fr"")"),"Les gens équilibrent sur une ligne lâche dans un parc et traversent lentement la longueur de la corde entre deux arbres.")</f>
        <v>Les gens équilibrent sur une ligne lâche dans un parc et traversent lentement la longueur de la corde entre deux arbres.</v>
      </c>
    </row>
    <row r="6276">
      <c r="A6276" s="4" t="s">
        <v>7885</v>
      </c>
      <c r="B6276" s="4" t="s">
        <v>7888</v>
      </c>
      <c r="C6276" s="5" t="str">
        <f>IFERROR(__xludf.DUMMYFUNCTION("GOOGLETRANSLATE(B6276,""en"",""fr"")"),"Les garçons équilibrent une ligne lâche placée sur un petit étang dans un parc.")</f>
        <v>Les garçons équilibrent une ligne lâche placée sur un petit étang dans un parc.</v>
      </c>
    </row>
    <row r="6277">
      <c r="A6277" s="4" t="s">
        <v>7889</v>
      </c>
      <c r="B6277" s="4" t="s">
        <v>7890</v>
      </c>
      <c r="C6277" s="5" t="str">
        <f>IFERROR(__xludf.DUMMYFUNCTION("GOOGLETRANSLATE(B6277,""en"",""fr"")"),"La femme est assise sur un trottoir en train de parler à la caméra à côté d'un seau vert.")</f>
        <v>La femme est assise sur un trottoir en train de parler à la caméra à côté d'un seau vert.</v>
      </c>
    </row>
    <row r="6278">
      <c r="A6278" s="4" t="s">
        <v>7889</v>
      </c>
      <c r="B6278" s="4" t="s">
        <v>7891</v>
      </c>
      <c r="C6278" s="5" t="str">
        <f>IFERROR(__xludf.DUMMYFUNCTION("GOOGLETRANSLATE(B6278,""en"",""fr"")"),"La femme saute sur le trottoir en jouant un tour.")</f>
        <v>La femme saute sur le trottoir en jouant un tour.</v>
      </c>
    </row>
    <row r="6279">
      <c r="A6279" s="4" t="s">
        <v>7889</v>
      </c>
      <c r="B6279" s="4" t="s">
        <v>7892</v>
      </c>
      <c r="C6279" s="5" t="str">
        <f>IFERROR(__xludf.DUMMYFUNCTION("GOOGLETRANSLATE(B6279,""en"",""fr"")"),"Une autre femme est dans le trottoir de jeu de trottoir.")</f>
        <v>Une autre femme est dans le trottoir de jeu de trottoir.</v>
      </c>
    </row>
    <row r="6280">
      <c r="A6280" s="4" t="s">
        <v>7893</v>
      </c>
      <c r="B6280" s="4" t="s">
        <v>7894</v>
      </c>
      <c r="C6280" s="5" t="str">
        <f>IFERROR(__xludf.DUMMYFUNCTION("GOOGLETRANSLATE(B6280,""en"",""fr"")"),"Une bande est assise à l'extérieur sur l'asphalte.")</f>
        <v>Une bande est assise à l'extérieur sur l'asphalte.</v>
      </c>
    </row>
    <row r="6281">
      <c r="A6281" s="4" t="s">
        <v>7893</v>
      </c>
      <c r="B6281" s="4" t="s">
        <v>7895</v>
      </c>
      <c r="C6281" s="5" t="str">
        <f>IFERROR(__xludf.DUMMYFUNCTION("GOOGLETRANSLATE(B6281,""en"",""fr"")"),"Ils jouent une série de tambours avec des bâtons et leurs mains.")</f>
        <v>Ils jouent une série de tambours avec des bâtons et leurs mains.</v>
      </c>
    </row>
    <row r="6282">
      <c r="A6282" s="4" t="s">
        <v>7893</v>
      </c>
      <c r="B6282" s="4" t="s">
        <v>7896</v>
      </c>
      <c r="C6282" s="5" t="str">
        <f>IFERROR(__xludf.DUMMYFUNCTION("GOOGLETRANSLATE(B6282,""en"",""fr"")"),"De nombreuses personnes passent à pied et à vélo.")</f>
        <v>De nombreuses personnes passent à pied et à vélo.</v>
      </c>
    </row>
    <row r="6283">
      <c r="A6283" s="4" t="s">
        <v>7897</v>
      </c>
      <c r="B6283" s="4" t="s">
        <v>7898</v>
      </c>
      <c r="C6283" s="5" t="str">
        <f>IFERROR(__xludf.DUMMYFUNCTION("GOOGLETRANSLATE(B6283,""en"",""fr"")"),"Les gens sautent une corde sur une scène.")</f>
        <v>Les gens sautent une corde sur une scène.</v>
      </c>
    </row>
    <row r="6284">
      <c r="A6284" s="4" t="s">
        <v>7897</v>
      </c>
      <c r="B6284" s="4" t="s">
        <v>7899</v>
      </c>
      <c r="C6284" s="5" t="str">
        <f>IFERROR(__xludf.DUMMYFUNCTION("GOOGLETRANSLATE(B6284,""en"",""fr"")"),"Ils changent de place et une personne différente commence à sauter.")</f>
        <v>Ils changent de place et une personne différente commence à sauter.</v>
      </c>
    </row>
    <row r="6285">
      <c r="A6285" s="4" t="s">
        <v>7897</v>
      </c>
      <c r="B6285" s="4" t="s">
        <v>7900</v>
      </c>
      <c r="C6285" s="5" t="str">
        <f>IFERROR(__xludf.DUMMYFUNCTION("GOOGLETRANSLATE(B6285,""en"",""fr"")"),"Un homme se lève et tient la corde de saut.")</f>
        <v>Un homme se lève et tient la corde de saut.</v>
      </c>
    </row>
    <row r="6286">
      <c r="A6286" s="4" t="s">
        <v>7901</v>
      </c>
      <c r="B6286" s="4" t="s">
        <v>7902</v>
      </c>
      <c r="C6286" s="5" t="str">
        <f>IFERROR(__xludf.DUMMYFUNCTION("GOOGLETRANSLATE(B6286,""en"",""fr"")"),"La province d'Albay SEAL est montrée.")</f>
        <v>La province d'Albay SEAL est montrée.</v>
      </c>
    </row>
    <row r="6287">
      <c r="A6287" s="4" t="s">
        <v>7901</v>
      </c>
      <c r="B6287" s="4" t="s">
        <v>7903</v>
      </c>
      <c r="C6287" s="5" t="str">
        <f>IFERROR(__xludf.DUMMYFUNCTION("GOOGLETRANSLATE(B6287,""en"",""fr"")"),"Plusieurs membres de l'équipe sont sur un terrain à l'extérieur, jouant au volleyball.")</f>
        <v>Plusieurs membres de l'équipe sont sur un terrain à l'extérieur, jouant au volleyball.</v>
      </c>
    </row>
    <row r="6288">
      <c r="A6288" s="4" t="s">
        <v>7901</v>
      </c>
      <c r="B6288" s="4" t="s">
        <v>7904</v>
      </c>
      <c r="C6288" s="5" t="str">
        <f>IFERROR(__xludf.DUMMYFUNCTION("GOOGLETRANSLATE(B6288,""en"",""fr"")"),"Ils lobent le ballon d'avant en arrière sur le filet devant un public.")</f>
        <v>Ils lobent le ballon d'avant en arrière sur le filet devant un public.</v>
      </c>
    </row>
    <row r="6289">
      <c r="A6289" s="4" t="s">
        <v>7901</v>
      </c>
      <c r="B6289" s="4" t="s">
        <v>7905</v>
      </c>
      <c r="C6289" s="5" t="str">
        <f>IFERROR(__xludf.DUMMYFUNCTION("GOOGLETRANSLATE(B6289,""en"",""fr"")"),"Par la suite, ils célèbrent, riant et souriant.")</f>
        <v>Par la suite, ils célèbrent, riant et souriant.</v>
      </c>
    </row>
    <row r="6290">
      <c r="A6290" s="4" t="s">
        <v>7906</v>
      </c>
      <c r="B6290" s="4" t="s">
        <v>7907</v>
      </c>
      <c r="C6290" s="5" t="str">
        <f>IFERROR(__xludf.DUMMYFUNCTION("GOOGLETRANSLATE(B6290,""en"",""fr"")"),"Il y a deux hommes en boxe dans une salle de boxe intérieure qui a des miroirs sur un mur entier.")</f>
        <v>Il y a deux hommes en boxe dans une salle de boxe intérieure qui a des miroirs sur un mur entier.</v>
      </c>
    </row>
    <row r="6291">
      <c r="A6291" s="4" t="s">
        <v>7906</v>
      </c>
      <c r="B6291" s="4" t="s">
        <v>7908</v>
      </c>
      <c r="C6291" s="5" t="str">
        <f>IFERROR(__xludf.DUMMYFUNCTION("GOOGLETRANSLATE(B6291,""en"",""fr"")"),"Il y a une autre personne debout dans la même pièce qui est une vidéo qui les enregistre.")</f>
        <v>Il y a une autre personne debout dans la même pièce qui est une vidéo qui les enregistre.</v>
      </c>
    </row>
    <row r="6292">
      <c r="A6292" s="4" t="s">
        <v>7906</v>
      </c>
      <c r="B6292" s="4" t="s">
        <v>7909</v>
      </c>
      <c r="C6292" s="5" t="str">
        <f>IFERROR(__xludf.DUMMYFUNCTION("GOOGLETRANSLATE(B6292,""en"",""fr"")"),"Le boxeur du short rouge frappe le boxeur du short noir.")</f>
        <v>Le boxeur du short rouge frappe le boxeur du short noir.</v>
      </c>
    </row>
    <row r="6293">
      <c r="A6293" s="4" t="s">
        <v>7906</v>
      </c>
      <c r="B6293" s="4" t="s">
        <v>7910</v>
      </c>
      <c r="C6293" s="5" t="str">
        <f>IFERROR(__xludf.DUMMYFUNCTION("GOOGLETRANSLATE(B6293,""en"",""fr"")"),"Le boxeur de Black tombe et atterrit sur le dos et gémit.")</f>
        <v>Le boxeur de Black tombe et atterrit sur le dos et gémit.</v>
      </c>
    </row>
    <row r="6294">
      <c r="A6294" s="4" t="s">
        <v>7906</v>
      </c>
      <c r="B6294" s="4" t="s">
        <v>7911</v>
      </c>
      <c r="C6294" s="5" t="str">
        <f>IFERROR(__xludf.DUMMYFUNCTION("GOOGLETRANSLATE(B6294,""en"",""fr"")"),"Puis il se remonte tout de suite tandis que le boxeur en rouge marche autour de lui.")</f>
        <v>Puis il se remonte tout de suite tandis que le boxeur en rouge marche autour de lui.</v>
      </c>
    </row>
    <row r="6295">
      <c r="A6295" s="4" t="s">
        <v>7912</v>
      </c>
      <c r="B6295" s="4" t="s">
        <v>7913</v>
      </c>
      <c r="C6295" s="5" t="str">
        <f>IFERROR(__xludf.DUMMYFUNCTION("GOOGLETRANSLATE(B6295,""en"",""fr"")"),"Un jeune homme porte des écouteurs et se tient devant un microphone.")</f>
        <v>Un jeune homme porte des écouteurs et se tient devant un microphone.</v>
      </c>
    </row>
    <row r="6296">
      <c r="A6296" s="4" t="s">
        <v>7912</v>
      </c>
      <c r="B6296" s="4" t="s">
        <v>7914</v>
      </c>
      <c r="C6296" s="5" t="str">
        <f>IFERROR(__xludf.DUMMYFUNCTION("GOOGLETRANSLATE(B6296,""en"",""fr"")"),"Il commence à jouer du violon.")</f>
        <v>Il commence à jouer du violon.</v>
      </c>
    </row>
    <row r="6297">
      <c r="A6297" s="4" t="s">
        <v>7912</v>
      </c>
      <c r="B6297" s="4" t="s">
        <v>7915</v>
      </c>
      <c r="C6297" s="5" t="str">
        <f>IFERROR(__xludf.DUMMYFUNCTION("GOOGLETRANSLATE(B6297,""en"",""fr"")"),"Il ferme les yeux, écoutant lui-même pendant qu'il joue.")</f>
        <v>Il ferme les yeux, écoutant lui-même pendant qu'il joue.</v>
      </c>
    </row>
    <row r="6298">
      <c r="A6298" s="4" t="s">
        <v>7916</v>
      </c>
      <c r="B6298" s="4" t="s">
        <v>7917</v>
      </c>
      <c r="C6298" s="5" t="str">
        <f>IFERROR(__xludf.DUMMYFUNCTION("GOOGLETRANSLATE(B6298,""en"",""fr"")"),"Une salle de gym avec plusieurs grands sacs de boxe alignés le long du périmètre de la pièce est montré.")</f>
        <v>Une salle de gym avec plusieurs grands sacs de boxe alignés le long du périmètre de la pièce est montré.</v>
      </c>
    </row>
    <row r="6299">
      <c r="A6299" s="4" t="s">
        <v>7916</v>
      </c>
      <c r="B6299" s="4" t="s">
        <v>7918</v>
      </c>
      <c r="C6299" s="5" t="str">
        <f>IFERROR(__xludf.DUMMYFUNCTION("GOOGLETRANSLATE(B6299,""en"",""fr"")"),"Un groupe de gars vient alors dans le bâtiment et ils commencent à courir dans les sacs comme un échauffement.")</f>
        <v>Un groupe de gars vient alors dans le bâtiment et ils commencent à courir dans les sacs comme un échauffement.</v>
      </c>
    </row>
    <row r="6300">
      <c r="A6300" s="4" t="s">
        <v>7916</v>
      </c>
      <c r="B6300" s="6" t="s">
        <v>7919</v>
      </c>
      <c r="C6300" s="5" t="str">
        <f>IFERROR(__xludf.DUMMYFUNCTION("GOOGLETRANSLATE(B6300,""en"",""fr"")"),"Une fois terminés, les hommes se sont assortis et trois groupes se sont montrés les uns les autres.")</f>
        <v>Une fois terminés, les hommes se sont assortis et trois groupes se sont montrés les uns les autres.</v>
      </c>
    </row>
    <row r="6301">
      <c r="A6301" s="4" t="s">
        <v>7916</v>
      </c>
      <c r="B6301" s="6" t="s">
        <v>7920</v>
      </c>
      <c r="C6301" s="5" t="str">
        <f>IFERROR(__xludf.DUMMYFUNCTION("GOOGLETRANSLATE(B6301,""en"",""fr"")"),"Un autocollant pour pare-chocs apparaît alors en disant: ""Gardez les yeux sur le prix"", puis plus de paires d'hommes commencent à donner des coups de pied.")</f>
        <v>Un autocollant pour pare-chocs apparaît alors en disant: "Gardez les yeux sur le prix", puis plus de paires d'hommes commencent à donner des coups de pied.</v>
      </c>
    </row>
    <row r="6302">
      <c r="A6302" s="4" t="s">
        <v>7921</v>
      </c>
      <c r="B6302" s="4" t="s">
        <v>7922</v>
      </c>
      <c r="C6302" s="5" t="str">
        <f>IFERROR(__xludf.DUMMYFUNCTION("GOOGLETRANSLATE(B6302,""en"",""fr"")"),"Un homme est dans une cour avec une batte de cricket.")</f>
        <v>Un homme est dans une cour avec une batte de cricket.</v>
      </c>
    </row>
    <row r="6303">
      <c r="A6303" s="4" t="s">
        <v>7921</v>
      </c>
      <c r="B6303" s="4" t="s">
        <v>7923</v>
      </c>
      <c r="C6303" s="5" t="str">
        <f>IFERROR(__xludf.DUMMYFUNCTION("GOOGLETRANSLATE(B6303,""en"",""fr"")"),"Il retourne la batte encore et encore.")</f>
        <v>Il retourne la batte encore et encore.</v>
      </c>
    </row>
    <row r="6304">
      <c r="A6304" s="4" t="s">
        <v>7921</v>
      </c>
      <c r="B6304" s="4" t="s">
        <v>7924</v>
      </c>
      <c r="C6304" s="5" t="str">
        <f>IFERROR(__xludf.DUMMYFUNCTION("GOOGLETRANSLATE(B6304,""en"",""fr"")"),"Il trébuche, puis donne le coup de pied dans les airs, le frappant.")</f>
        <v>Il trébuche, puis donne le coup de pied dans les airs, le frappant.</v>
      </c>
    </row>
    <row r="6305">
      <c r="A6305" s="4" t="s">
        <v>7925</v>
      </c>
      <c r="B6305" s="4" t="s">
        <v>7926</v>
      </c>
      <c r="C6305" s="5" t="str">
        <f>IFERROR(__xludf.DUMMYFUNCTION("GOOGLETRANSLATE(B6305,""en"",""fr"")"),"Une femme se tient sur une piste à parler.")</f>
        <v>Une femme se tient sur une piste à parler.</v>
      </c>
    </row>
    <row r="6306">
      <c r="A6306" s="4" t="s">
        <v>7925</v>
      </c>
      <c r="B6306" s="4" t="s">
        <v>7927</v>
      </c>
      <c r="C6306" s="5" t="str">
        <f>IFERROR(__xludf.DUMMYFUNCTION("GOOGLETRANSLATE(B6306,""en"",""fr"")"),"Elle saute dans un tas de sable.")</f>
        <v>Elle saute dans un tas de sable.</v>
      </c>
    </row>
    <row r="6307">
      <c r="A6307" s="4" t="s">
        <v>7925</v>
      </c>
      <c r="B6307" s="4" t="s">
        <v>7928</v>
      </c>
      <c r="C6307" s="5" t="str">
        <f>IFERROR(__xludf.DUMMYFUNCTION("GOOGLETRANSLATE(B6307,""en"",""fr"")"),"Elle sprinte sur la piste.")</f>
        <v>Elle sprinte sur la piste.</v>
      </c>
    </row>
    <row r="6308">
      <c r="A6308" s="4" t="s">
        <v>7925</v>
      </c>
      <c r="B6308" s="4" t="s">
        <v>7929</v>
      </c>
      <c r="C6308" s="5" t="str">
        <f>IFERROR(__xludf.DUMMYFUNCTION("GOOGLETRANSLATE(B6308,""en"",""fr"")"),"Cela la montre s'étirer et sauter dans un tas de sable.")</f>
        <v>Cela la montre s'étirer et sauter dans un tas de sable.</v>
      </c>
    </row>
    <row r="6309">
      <c r="A6309" s="4" t="s">
        <v>7930</v>
      </c>
      <c r="B6309" s="6" t="s">
        <v>7931</v>
      </c>
      <c r="C6309" s="5" t="str">
        <f>IFERROR(__xludf.DUMMYFUNCTION("GOOGLETRANSLATE(B6309,""en"",""fr"")"),"La caméra se déroule autour d'un grand groupe de personnes errant et mène aux personnes jouant un match de football.")</f>
        <v>La caméra se déroule autour d'un grand groupe de personnes errant et mène aux personnes jouant un match de football.</v>
      </c>
    </row>
    <row r="6310">
      <c r="A6310" s="4" t="s">
        <v>7930</v>
      </c>
      <c r="B6310" s="4" t="s">
        <v>7932</v>
      </c>
      <c r="C6310" s="5" t="str">
        <f>IFERROR(__xludf.DUMMYFUNCTION("GOOGLETRANSLATE(B6310,""en"",""fr"")"),"Les joueurs sont montrés en regardant sur le côté et montrent plus de photos des gens et de la ville.")</f>
        <v>Les joueurs sont montrés en regardant sur le côté et montrent plus de photos des gens et de la ville.</v>
      </c>
    </row>
    <row r="6311">
      <c r="A6311" s="4" t="s">
        <v>7933</v>
      </c>
      <c r="B6311" s="4" t="s">
        <v>7934</v>
      </c>
      <c r="C6311" s="5" t="str">
        <f>IFERROR(__xludf.DUMMYFUNCTION("GOOGLETRANSLATE(B6311,""en"",""fr"")"),"Un jeune garçon plaisante en train de s'asseoir dans un set de batterie.")</f>
        <v>Un jeune garçon plaisante en train de s'asseoir dans un set de batterie.</v>
      </c>
    </row>
    <row r="6312">
      <c r="A6312" s="4" t="s">
        <v>7933</v>
      </c>
      <c r="B6312" s="4" t="s">
        <v>7935</v>
      </c>
      <c r="C6312" s="5" t="str">
        <f>IFERROR(__xludf.DUMMYFUNCTION("GOOGLETRANSLATE(B6312,""en"",""fr"")"),"Un garçon joue un tambour à la maison.")</f>
        <v>Un garçon joue un tambour à la maison.</v>
      </c>
    </row>
    <row r="6313">
      <c r="A6313" s="4" t="s">
        <v>7933</v>
      </c>
      <c r="B6313" s="4" t="s">
        <v>7936</v>
      </c>
      <c r="C6313" s="5" t="str">
        <f>IFERROR(__xludf.DUMMYFUNCTION("GOOGLETRANSLATE(B6313,""en"",""fr"")"),"Les parents regardent le garçon jouer de la batterie.")</f>
        <v>Les parents regardent le garçon jouer de la batterie.</v>
      </c>
    </row>
    <row r="6314">
      <c r="A6314" s="4" t="s">
        <v>7937</v>
      </c>
      <c r="B6314" s="4" t="s">
        <v>7938</v>
      </c>
      <c r="C6314" s="5" t="str">
        <f>IFERROR(__xludf.DUMMYFUNCTION("GOOGLETRANSLATE(B6314,""en"",""fr"")"),"Une main frotte une craie à une pointe bleue.")</f>
        <v>Une main frotte une craie à une pointe bleue.</v>
      </c>
    </row>
    <row r="6315">
      <c r="A6315" s="4" t="s">
        <v>7937</v>
      </c>
      <c r="B6315" s="4" t="s">
        <v>7939</v>
      </c>
      <c r="C6315" s="5" t="str">
        <f>IFERROR(__xludf.DUMMYFUNCTION("GOOGLETRANSLATE(B6315,""en"",""fr"")"),"L'homme se concentre sur la table de billard, a lentement frappé le ballon avec le bâton de billard.")</f>
        <v>L'homme se concentre sur la table de billard, a lentement frappé le ballon avec le bâton de billard.</v>
      </c>
    </row>
    <row r="6316">
      <c r="A6316" s="4" t="s">
        <v>7937</v>
      </c>
      <c r="B6316" s="4" t="s">
        <v>7940</v>
      </c>
      <c r="C6316" s="5" t="str">
        <f>IFERROR(__xludf.DUMMYFUNCTION("GOOGLETRANSLATE(B6316,""en"",""fr"")"),"Un vieil homme avec Beard donne un entretien.")</f>
        <v>Un vieil homme avec Beard donne un entretien.</v>
      </c>
    </row>
    <row r="6317">
      <c r="A6317" s="4" t="s">
        <v>7937</v>
      </c>
      <c r="B6317" s="4" t="s">
        <v>7941</v>
      </c>
      <c r="C6317" s="5" t="str">
        <f>IFERROR(__xludf.DUMMYFUNCTION("GOOGLETRANSLATE(B6317,""en"",""fr"")"),"L'homme organise le ballon sur la table puis les a frappés et ils sont tous entrés dans les trous.")</f>
        <v>L'homme organise le ballon sur la table puis les a frappés et ils sont tous entrés dans les trous.</v>
      </c>
    </row>
    <row r="6318">
      <c r="A6318" s="4" t="s">
        <v>7942</v>
      </c>
      <c r="B6318" s="6" t="s">
        <v>7943</v>
      </c>
      <c r="C6318" s="5" t="str">
        <f>IFERROR(__xludf.DUMMYFUNCTION("GOOGLETRANSLATE(B6318,""en"",""fr"")"),"L'athlète qui porte des collants gris et une chemise noire avec le numéro 2 dessus a commencé à aller sur la poutre et a commencé à tourbillonner.")</f>
        <v>L'athlète qui porte des collants gris et une chemise noire avec le numéro 2 dessus a commencé à aller sur la poutre et a commencé à tourbillonner.</v>
      </c>
    </row>
    <row r="6319">
      <c r="A6319" s="4" t="s">
        <v>7942</v>
      </c>
      <c r="B6319" s="6" t="s">
        <v>7944</v>
      </c>
      <c r="C6319" s="5" t="str">
        <f>IFERROR(__xludf.DUMMYFUNCTION("GOOGLETRANSLATE(B6319,""en"",""fr"")"),"Quand il est sorti de la poutre, il se dirigea vers le récipient jaune qui contient de la poudre blanche, puis retourna au faisceau et faisait ses tours en tourbillonnant.")</f>
        <v>Quand il est sorti de la poutre, il se dirigea vers le récipient jaune qui contient de la poudre blanche, puis retourna au faisceau et faisait ses tours en tourbillonnant.</v>
      </c>
    </row>
    <row r="6320">
      <c r="A6320" s="4" t="s">
        <v>7945</v>
      </c>
      <c r="B6320" s="4" t="s">
        <v>7946</v>
      </c>
      <c r="C6320" s="5" t="str">
        <f>IFERROR(__xludf.DUMMYFUNCTION("GOOGLETRANSLATE(B6320,""en"",""fr"")"),"Une femme athlétique est montrée en courant sur une piste et sautant dans un grand fosse de sable.")</f>
        <v>Une femme athlétique est montrée en courant sur une piste et sautant dans un grand fosse de sable.</v>
      </c>
    </row>
    <row r="6321">
      <c r="A6321" s="4" t="s">
        <v>7945</v>
      </c>
      <c r="B6321" s="6" t="s">
        <v>7947</v>
      </c>
      <c r="C6321" s="5" t="str">
        <f>IFERROR(__xludf.DUMMYFUNCTION("GOOGLETRANSLATE(B6321,""en"",""fr"")"),"Son saut est ensuite affiché plusieurs fois au ralenti et un autre coureur prend un tour au saut.")</f>
        <v>Son saut est ensuite affiché plusieurs fois au ralenti et un autre coureur prend un tour au saut.</v>
      </c>
    </row>
    <row r="6322">
      <c r="A6322" s="4" t="s">
        <v>7945</v>
      </c>
      <c r="B6322" s="4" t="s">
        <v>7948</v>
      </c>
      <c r="C6322" s="5" t="str">
        <f>IFERROR(__xludf.DUMMYFUNCTION("GOOGLETRANSLATE(B6322,""en"",""fr"")"),"Son saut est à nouveau montré au ralenti et elle fait signe au public tout en souriant.")</f>
        <v>Son saut est à nouveau montré au ralenti et elle fait signe au public tout en souriant.</v>
      </c>
    </row>
    <row r="6323">
      <c r="A6323" s="4" t="s">
        <v>7949</v>
      </c>
      <c r="B6323" s="4" t="s">
        <v>7950</v>
      </c>
      <c r="C6323" s="5" t="str">
        <f>IFERROR(__xludf.DUMMYFUNCTION("GOOGLETRANSLATE(B6323,""en"",""fr"")"),"Un homme torse nu pousse la neige à l'extérieur au bord du trottoir.")</f>
        <v>Un homme torse nu pousse la neige à l'extérieur au bord du trottoir.</v>
      </c>
    </row>
    <row r="6324">
      <c r="A6324" s="4" t="s">
        <v>7949</v>
      </c>
      <c r="B6324" s="4" t="s">
        <v>7951</v>
      </c>
      <c r="C6324" s="5" t="str">
        <f>IFERROR(__xludf.DUMMYFUNCTION("GOOGLETRANSLATE(B6324,""en"",""fr"")"),"Il agite ses mains et se dirige vers les voitures qui passent.")</f>
        <v>Il agite ses mains et se dirige vers les voitures qui passent.</v>
      </c>
    </row>
    <row r="6325">
      <c r="A6325" s="4" t="s">
        <v>7949</v>
      </c>
      <c r="B6325" s="4" t="s">
        <v>7952</v>
      </c>
      <c r="C6325" s="5" t="str">
        <f>IFERROR(__xludf.DUMMYFUNCTION("GOOGLETRANSLATE(B6325,""en"",""fr"")"),"Il continue de saluer et de rouler les mains en l'air alors que de plus en plus de voitures passent.")</f>
        <v>Il continue de saluer et de rouler les mains en l'air alors que de plus en plus de voitures passent.</v>
      </c>
    </row>
    <row r="6326">
      <c r="A6326" s="4" t="s">
        <v>7949</v>
      </c>
      <c r="B6326" s="4" t="s">
        <v>7953</v>
      </c>
      <c r="C6326" s="5" t="str">
        <f>IFERROR(__xludf.DUMMYFUNCTION("GOOGLETRANSLATE(B6326,""en"",""fr"")"),"Il continue de pelleter la neige.")</f>
        <v>Il continue de pelleter la neige.</v>
      </c>
    </row>
    <row r="6327">
      <c r="A6327" s="4" t="s">
        <v>7954</v>
      </c>
      <c r="B6327" s="4" t="s">
        <v>7955</v>
      </c>
      <c r="C6327" s="5" t="str">
        <f>IFERROR(__xludf.DUMMYFUNCTION("GOOGLETRANSLATE(B6327,""en"",""fr"")"),"Un petit groupe d'hommes est vu debout sur un champ de sable qui frappe une balle en arrière et quatrième.")</f>
        <v>Un petit groupe d'hommes est vu debout sur un champ de sable qui frappe une balle en arrière et quatrième.</v>
      </c>
    </row>
    <row r="6328">
      <c r="A6328" s="4" t="s">
        <v>7954</v>
      </c>
      <c r="B6328" s="4" t="s">
        <v>7956</v>
      </c>
      <c r="C6328" s="5" t="str">
        <f>IFERROR(__xludf.DUMMYFUNCTION("GOOGLETRANSLATE(B6328,""en"",""fr"")"),"Les hommes commencent un match de volleyball et frappent le ballon tout autour de la région.")</f>
        <v>Les hommes commencent un match de volleyball et frappent le ballon tout autour de la région.</v>
      </c>
    </row>
    <row r="6329">
      <c r="A6329" s="4" t="s">
        <v>7954</v>
      </c>
      <c r="B6329" s="4" t="s">
        <v>7957</v>
      </c>
      <c r="C6329" s="5" t="str">
        <f>IFERROR(__xludf.DUMMYFUNCTION("GOOGLETRANSLATE(B6329,""en"",""fr"")"),"Les hommes continuent de jouer pendant que la caméra les capture en se déplaçant.")</f>
        <v>Les hommes continuent de jouer pendant que la caméra les capture en se déplaçant.</v>
      </c>
    </row>
    <row r="6330">
      <c r="A6330" s="4" t="s">
        <v>7958</v>
      </c>
      <c r="B6330" s="6" t="s">
        <v>7959</v>
      </c>
      <c r="C6330" s="5" t="str">
        <f>IFERROR(__xludf.DUMMYFUNCTION("GOOGLETRANSLATE(B6330,""en"",""fr"")"),"Un jeune garçon est vu ouvrir des cadeaux avec l'aide d'un autre et divers plans de lui jouant un tambour qu'il a reçu.")</f>
        <v>Un jeune garçon est vu ouvrir des cadeaux avec l'aide d'un autre et divers plans de lui jouant un tambour qu'il a reçu.</v>
      </c>
    </row>
    <row r="6331">
      <c r="A6331" s="4" t="s">
        <v>7958</v>
      </c>
      <c r="B6331" s="4" t="s">
        <v>7960</v>
      </c>
      <c r="C6331" s="5" t="str">
        <f>IFERROR(__xludf.DUMMYFUNCTION("GOOGLETRANSLATE(B6331,""en"",""fr"")"),"La mère est interviewée et montre plus de photos du garçon jouant plusieurs instruments différents.")</f>
        <v>La mère est interviewée et montre plus de photos du garçon jouant plusieurs instruments différents.</v>
      </c>
    </row>
    <row r="6332">
      <c r="A6332" s="4" t="s">
        <v>7958</v>
      </c>
      <c r="B6332" s="4" t="s">
        <v>7961</v>
      </c>
      <c r="C6332" s="5" t="str">
        <f>IFERROR(__xludf.DUMMYFUNCTION("GOOGLETRANSLATE(B6332,""en"",""fr"")"),"Il montre enfin le garçon adulte et se termine par des informations pour une bande-annonce de film.")</f>
        <v>Il montre enfin le garçon adulte et se termine par des informations pour une bande-annonce de film.</v>
      </c>
    </row>
    <row r="6333">
      <c r="A6333" s="4" t="s">
        <v>7962</v>
      </c>
      <c r="B6333" s="4" t="s">
        <v>7963</v>
      </c>
      <c r="C6333" s="5" t="str">
        <f>IFERROR(__xludf.DUMMYFUNCTION("GOOGLETRANSLATE(B6333,""en"",""fr"")"),"Un homme est vu parler à la caméra et conduit à des acteurs interviewés à propos d'un film.")</f>
        <v>Un homme est vu parler à la caméra et conduit à des acteurs interviewés à propos d'un film.</v>
      </c>
    </row>
    <row r="6334">
      <c r="A6334" s="4" t="s">
        <v>7962</v>
      </c>
      <c r="B6334" s="4" t="s">
        <v>7964</v>
      </c>
      <c r="C6334" s="5" t="str">
        <f>IFERROR(__xludf.DUMMYFUNCTION("GOOGLETRANSLATE(B6334,""en"",""fr"")"),"Plusieurs plans du film sont montrés ainsi que des images fixes d'autres films et apparitions ensemble.")</f>
        <v>Plusieurs plans du film sont montrés ainsi que des images fixes d'autres films et apparitions ensemble.</v>
      </c>
    </row>
    <row r="6335">
      <c r="A6335" s="4" t="s">
        <v>7962</v>
      </c>
      <c r="B6335" s="6" t="s">
        <v>7965</v>
      </c>
      <c r="C6335" s="5" t="str">
        <f>IFERROR(__xludf.DUMMYFUNCTION("GOOGLETRANSLATE(B6335,""en"",""fr"")"),"Le couple est ensuite montré en effectuant une routine de tango sur une grande scène et se termine en posant sur scène avec le public applaudissant.")</f>
        <v>Le couple est ensuite montré en effectuant une routine de tango sur une grande scène et se termine en posant sur scène avec le public applaudissant.</v>
      </c>
    </row>
    <row r="6336">
      <c r="A6336" s="4" t="s">
        <v>7966</v>
      </c>
      <c r="B6336" s="4" t="s">
        <v>7967</v>
      </c>
      <c r="C6336" s="5" t="str">
        <f>IFERROR(__xludf.DUMMYFUNCTION("GOOGLETRANSLATE(B6336,""en"",""fr"")"),"Une femme parle d'une machine d'exercice elliptique spécialement conçue pour les femmes.")</f>
        <v>Une femme parle d'une machine d'exercice elliptique spécialement conçue pour les femmes.</v>
      </c>
    </row>
    <row r="6337">
      <c r="A6337" s="4" t="s">
        <v>7966</v>
      </c>
      <c r="B6337" s="4" t="s">
        <v>7968</v>
      </c>
      <c r="C6337" s="5" t="str">
        <f>IFERROR(__xludf.DUMMYFUNCTION("GOOGLETRANSLATE(B6337,""en"",""fr"")"),"À côté d'elle se trouve l'expert professionnel de fitness qui montre comment fonctionne la machine.")</f>
        <v>À côté d'elle se trouve l'expert professionnel de fitness qui montre comment fonctionne la machine.</v>
      </c>
    </row>
    <row r="6338">
      <c r="A6338" s="4" t="s">
        <v>7966</v>
      </c>
      <c r="B6338" s="4" t="s">
        <v>7969</v>
      </c>
      <c r="C6338" s="5" t="str">
        <f>IFERROR(__xludf.DUMMYFUNCTION("GOOGLETRANSLATE(B6338,""en"",""fr"")"),"Il montre les boutons qui doivent être pressés afin de démarrer l'elliptique.")</f>
        <v>Il montre les boutons qui doivent être pressés afin de démarrer l'elliptique.</v>
      </c>
    </row>
    <row r="6339">
      <c r="A6339" s="4" t="s">
        <v>7966</v>
      </c>
      <c r="B6339" s="4" t="s">
        <v>7970</v>
      </c>
      <c r="C6339" s="5" t="str">
        <f>IFERROR(__xludf.DUMMYFUNCTION("GOOGLETRANSLATE(B6339,""en"",""fr"")"),"Après avoir démarré la machine, la Lady saute sur la machine et commence à utiliser l'elliptique.")</f>
        <v>Après avoir démarré la machine, la Lady saute sur la machine et commence à utiliser l'elliptique.</v>
      </c>
    </row>
    <row r="6340">
      <c r="A6340" s="4" t="s">
        <v>7966</v>
      </c>
      <c r="B6340" s="6" t="s">
        <v>7971</v>
      </c>
      <c r="C6340" s="5" t="str">
        <f>IFERROR(__xludf.DUMMYFUNCTION("GOOGLETRANSLATE(B6340,""en"",""fr"")"),"Elle continue de faire de l'exercice sur la machine alors que l'entraîneur de fitness lui donne des conseils sur la façon dont la machine lui sera bénéfique.")</f>
        <v>Elle continue de faire de l'exercice sur la machine alors que l'entraîneur de fitness lui donne des conseils sur la façon dont la machine lui sera bénéfique.</v>
      </c>
    </row>
    <row r="6341">
      <c r="A6341" s="4" t="s">
        <v>7972</v>
      </c>
      <c r="B6341" s="4" t="s">
        <v>7973</v>
      </c>
      <c r="C6341" s="5" t="str">
        <f>IFERROR(__xludf.DUMMYFUNCTION("GOOGLETRANSLATE(B6341,""en"",""fr"")"),"Nous voyons un écran d'intro avec des lentilles de contact.")</f>
        <v>Nous voyons un écran d'intro avec des lentilles de contact.</v>
      </c>
    </row>
    <row r="6342">
      <c r="A6342" s="4" t="s">
        <v>7972</v>
      </c>
      <c r="B6342" s="4" t="s">
        <v>7974</v>
      </c>
      <c r="C6342" s="5" t="str">
        <f>IFERROR(__xludf.DUMMYFUNCTION("GOOGLETRANSLATE(B6342,""en"",""fr"")"),"Nous voyons un homme se laver la main et prendre un contact d'un nouveau colis.")</f>
        <v>Nous voyons un homme se laver la main et prendre un contact d'un nouveau colis.</v>
      </c>
    </row>
    <row r="6343">
      <c r="A6343" s="4" t="s">
        <v>7972</v>
      </c>
      <c r="B6343" s="4" t="s">
        <v>7975</v>
      </c>
      <c r="C6343" s="5" t="str">
        <f>IFERROR(__xludf.DUMMYFUNCTION("GOOGLETRANSLATE(B6343,""en"",""fr"")"),"La personne tient l'œil ouvert et insère la lentille de contact.")</f>
        <v>La personne tient l'œil ouvert et insère la lentille de contact.</v>
      </c>
    </row>
    <row r="6344">
      <c r="A6344" s="4" t="s">
        <v>7972</v>
      </c>
      <c r="B6344" s="4" t="s">
        <v>7976</v>
      </c>
      <c r="C6344" s="5" t="str">
        <f>IFERROR(__xludf.DUMMYFUNCTION("GOOGLETRANSLATE(B6344,""en"",""fr"")"),"L'homme sourit et nous voyons son visage.")</f>
        <v>L'homme sourit et nous voyons son visage.</v>
      </c>
    </row>
    <row r="6345">
      <c r="A6345" s="4" t="s">
        <v>7972</v>
      </c>
      <c r="B6345" s="4" t="s">
        <v>7977</v>
      </c>
      <c r="C6345" s="5" t="str">
        <f>IFERROR(__xludf.DUMMYFUNCTION("GOOGLETRANSLATE(B6345,""en"",""fr"")"),"On nous montre ensuite comment retirer l'objectif de contact avec des instructions.")</f>
        <v>On nous montre ensuite comment retirer l'objectif de contact avec des instructions.</v>
      </c>
    </row>
    <row r="6346">
      <c r="A6346" s="4" t="s">
        <v>7972</v>
      </c>
      <c r="B6346" s="4" t="s">
        <v>4452</v>
      </c>
      <c r="C6346" s="5" t="str">
        <f>IFERROR(__xludf.DUMMYFUNCTION("GOOGLETRANSLATE(B6346,""en"",""fr"")"),"Nous voyons ensuite l'écran de fin.")</f>
        <v>Nous voyons ensuite l'écran de fin.</v>
      </c>
    </row>
    <row r="6347">
      <c r="A6347" s="4" t="s">
        <v>7978</v>
      </c>
      <c r="B6347" s="4" t="s">
        <v>7979</v>
      </c>
      <c r="C6347" s="5" t="str">
        <f>IFERROR(__xludf.DUMMYFUNCTION("GOOGLETRANSLATE(B6347,""en"",""fr"")"),"Une corde violette est attachée à un bleu, qui est ensuite étendu entre deux arbres.")</f>
        <v>Une corde violette est attachée à un bleu, qui est ensuite étendu entre deux arbres.</v>
      </c>
    </row>
    <row r="6348">
      <c r="A6348" s="4" t="s">
        <v>7978</v>
      </c>
      <c r="B6348" s="4" t="s">
        <v>7980</v>
      </c>
      <c r="C6348" s="5" t="str">
        <f>IFERROR(__xludf.DUMMYFUNCTION("GOOGLETRANSLATE(B6348,""en"",""fr"")"),"Un homme rebondit et équilibre sur la corde alors que trois autres hommes regardent.")</f>
        <v>Un homme rebondit et équilibre sur la corde alors que trois autres hommes regardent.</v>
      </c>
    </row>
    <row r="6349">
      <c r="A6349" s="4" t="s">
        <v>7978</v>
      </c>
      <c r="B6349" s="4" t="s">
        <v>7981</v>
      </c>
      <c r="C6349" s="5" t="str">
        <f>IFERROR(__xludf.DUMMYFUNCTION("GOOGLETRANSLATE(B6349,""en"",""fr"")"),"Les autres hommes se relayèrent, certains tombent et rééquilibrent.")</f>
        <v>Les autres hommes se relayèrent, certains tombent et rééquilibrent.</v>
      </c>
    </row>
    <row r="6350">
      <c r="A6350" s="4" t="s">
        <v>7982</v>
      </c>
      <c r="B6350" s="4" t="s">
        <v>7983</v>
      </c>
      <c r="C6350" s="5" t="str">
        <f>IFERROR(__xludf.DUMMYFUNCTION("GOOGLETRANSLATE(B6350,""en"",""fr"")"),"Tout d'abord, la femme est montrée en traçant son doigt le long de son cou.")</f>
        <v>Tout d'abord, la femme est montrée en traçant son doigt le long de son cou.</v>
      </c>
    </row>
    <row r="6351">
      <c r="A6351" s="4" t="s">
        <v>7982</v>
      </c>
      <c r="B6351" s="4" t="s">
        <v>7984</v>
      </c>
      <c r="C6351" s="5" t="str">
        <f>IFERROR(__xludf.DUMMYFUNCTION("GOOGLETRANSLATE(B6351,""en"",""fr"")"),"Puis elle déplace une partie de ses cheveux hors de son chemin et commence à tresser une partie de ses cheveux.")</f>
        <v>Puis elle déplace une partie de ses cheveux hors de son chemin et commence à tresser une partie de ses cheveux.</v>
      </c>
    </row>
    <row r="6352">
      <c r="A6352" s="4" t="s">
        <v>7982</v>
      </c>
      <c r="B6352" s="6" t="s">
        <v>7985</v>
      </c>
      <c r="C6352" s="5" t="str">
        <f>IFERROR(__xludf.DUMMYFUNCTION("GOOGLETRANSLATE(B6352,""en"",""fr"")"),"Ensuite, elle tresse une autre tresse qui est plus petite que la première, mais elle relie les cheveux, en utilisant quelques mèches de la dernière tresse.")</f>
        <v>Ensuite, elle tresse une autre tresse qui est plus petite que la première, mais elle relie les cheveux, en utilisant quelques mèches de la dernière tresse.</v>
      </c>
    </row>
    <row r="6353">
      <c r="A6353" s="4" t="s">
        <v>7986</v>
      </c>
      <c r="B6353" s="4" t="s">
        <v>7987</v>
      </c>
      <c r="C6353" s="5" t="str">
        <f>IFERROR(__xludf.DUMMYFUNCTION("GOOGLETRANSLATE(B6353,""en"",""fr"")"),"Une femme fait une routine de karaté avec un partenaire et jette un tas qui est bloqué deux fois.")</f>
        <v>Une femme fait une routine de karaté avec un partenaire et jette un tas qui est bloqué deux fois.</v>
      </c>
    </row>
    <row r="6354">
      <c r="A6354" s="4" t="s">
        <v>7986</v>
      </c>
      <c r="B6354" s="4" t="s">
        <v>7988</v>
      </c>
      <c r="C6354" s="5" t="str">
        <f>IFERROR(__xludf.DUMMYFUNCTION("GOOGLETRANSLATE(B6354,""en"",""fr"")"),"La femme pratique un karaté à son partenaire qui regarde et soulève les mains.")</f>
        <v>La femme pratique un karaté à son partenaire qui regarde et soulève les mains.</v>
      </c>
    </row>
    <row r="6355">
      <c r="A6355" s="4" t="s">
        <v>7986</v>
      </c>
      <c r="B6355" s="4" t="s">
        <v>7989</v>
      </c>
      <c r="C6355" s="5" t="str">
        <f>IFERROR(__xludf.DUMMYFUNCTION("GOOGLETRANSLATE(B6355,""en"",""fr"")"),"La femme lance un coup à son partenaire qui l'attrape et la jette au sol.")</f>
        <v>La femme lance un coup à son partenaire qui l'attrape et la jette au sol.</v>
      </c>
    </row>
    <row r="6356">
      <c r="A6356" s="4" t="s">
        <v>7990</v>
      </c>
      <c r="B6356" s="4" t="s">
        <v>7991</v>
      </c>
      <c r="C6356" s="5" t="str">
        <f>IFERROR(__xludf.DUMMYFUNCTION("GOOGLETRANSLATE(B6356,""en"",""fr"")"),"Quelques outils sont assis sur le bord d'une table.")</f>
        <v>Quelques outils sont assis sur le bord d'une table.</v>
      </c>
    </row>
    <row r="6357">
      <c r="A6357" s="4" t="s">
        <v>7990</v>
      </c>
      <c r="B6357" s="4" t="s">
        <v>7992</v>
      </c>
      <c r="C6357" s="5" t="str">
        <f>IFERROR(__xludf.DUMMYFUNCTION("GOOGLETRANSLATE(B6357,""en"",""fr"")"),"Un homme ajuste la position des outils.")</f>
        <v>Un homme ajuste la position des outils.</v>
      </c>
    </row>
    <row r="6358">
      <c r="A6358" s="4" t="s">
        <v>7990</v>
      </c>
      <c r="B6358" s="4" t="s">
        <v>7993</v>
      </c>
      <c r="C6358" s="5" t="str">
        <f>IFERROR(__xludf.DUMMYFUNCTION("GOOGLETRANSLATE(B6358,""en"",""fr"")"),"Il utilise un couteau dans les crevasses, aiguisant le couteau.")</f>
        <v>Il utilise un couteau dans les crevasses, aiguisant le couteau.</v>
      </c>
    </row>
    <row r="6359">
      <c r="A6359" s="4" t="s">
        <v>7994</v>
      </c>
      <c r="B6359" s="4" t="s">
        <v>7995</v>
      </c>
      <c r="C6359" s="5" t="str">
        <f>IFERROR(__xludf.DUMMYFUNCTION("GOOGLETRANSLATE(B6359,""en"",""fr"")"),"Vassen Cloud neuf contacts de couleur rouge sont dans le récipient dans lequel ils appartiennent.")</f>
        <v>Vassen Cloud neuf contacts de couleur rouge sont dans le récipient dans lequel ils appartiennent.</v>
      </c>
    </row>
    <row r="6360">
      <c r="A6360" s="4" t="s">
        <v>7994</v>
      </c>
      <c r="B6360" s="4" t="s">
        <v>7996</v>
      </c>
      <c r="C6360" s="5" t="str">
        <f>IFERROR(__xludf.DUMMYFUNCTION("GOOGLETRANSLATE(B6360,""en"",""fr"")"),"Une femme aux cheveux blonds aux yeux bruns place l'un d'eux dans ses yeux.")</f>
        <v>Une femme aux cheveux blonds aux yeux bruns place l'un d'eux dans ses yeux.</v>
      </c>
    </row>
    <row r="6361">
      <c r="A6361" s="4" t="s">
        <v>7994</v>
      </c>
      <c r="B6361" s="4" t="s">
        <v>7997</v>
      </c>
      <c r="C6361" s="5" t="str">
        <f>IFERROR(__xludf.DUMMYFUNCTION("GOOGLETRANSLATE(B6361,""en"",""fr"")"),"Vous pouvez voir la différence du brun et le contact très clairement et il a l'air plutôt génial.")</f>
        <v>Vous pouvez voir la différence du brun et le contact très clairement et il a l'air plutôt génial.</v>
      </c>
    </row>
    <row r="6362">
      <c r="A6362" s="4" t="s">
        <v>7994</v>
      </c>
      <c r="B6362" s="4" t="s">
        <v>7998</v>
      </c>
      <c r="C6362" s="5" t="str">
        <f>IFERROR(__xludf.DUMMYFUNCTION("GOOGLETRANSLATE(B6362,""en"",""fr"")"),"Elle a ensuite mis l'autre contact afin que vous puissiez voir à quoi les deux objectifs regardent sur une distance.")</f>
        <v>Elle a ensuite mis l'autre contact afin que vous puissiez voir à quoi les deux objectifs regardent sur une distance.</v>
      </c>
    </row>
    <row r="6363">
      <c r="A6363" s="4" t="s">
        <v>7999</v>
      </c>
      <c r="B6363" s="4" t="s">
        <v>8000</v>
      </c>
      <c r="C6363" s="5" t="str">
        <f>IFERROR(__xludf.DUMMYFUNCTION("GOOGLETRANSLATE(B6363,""en"",""fr"")"),"Un jeune homme se tient dans une zone circulaire verte nette.")</f>
        <v>Un jeune homme se tient dans une zone circulaire verte nette.</v>
      </c>
    </row>
    <row r="6364">
      <c r="A6364" s="4" t="s">
        <v>7999</v>
      </c>
      <c r="B6364" s="6" t="s">
        <v>8001</v>
      </c>
      <c r="C6364" s="5" t="str">
        <f>IFERROR(__xludf.DUMMYFUNCTION("GOOGLETRANSLATE(B6364,""en"",""fr"")"),"L'homme tient une balle et commence à se tourner autour et autour de plusieurs fois, puis lance le ballon.")</f>
        <v>L'homme tient une balle et commence à se tourner autour et autour de plusieurs fois, puis lance le ballon.</v>
      </c>
    </row>
    <row r="6365">
      <c r="A6365" s="4" t="s">
        <v>7999</v>
      </c>
      <c r="B6365" s="4" t="s">
        <v>8002</v>
      </c>
      <c r="C6365" s="5" t="str">
        <f>IFERROR(__xludf.DUMMYFUNCTION("GOOGLETRANSLATE(B6365,""en"",""fr"")"),"Après avoir lancé le ballon, il tombe fort et rapidement sur le sol.")</f>
        <v>Après avoir lancé le ballon, il tombe fort et rapidement sur le sol.</v>
      </c>
    </row>
    <row r="6366">
      <c r="A6366" s="4" t="s">
        <v>8003</v>
      </c>
      <c r="B6366" s="4" t="s">
        <v>8004</v>
      </c>
      <c r="C6366" s="5" t="str">
        <f>IFERROR(__xludf.DUMMYFUNCTION("GOOGLETRANSLATE(B6366,""en"",""fr"")"),"La vidéo de TMZ montre plusieurs hommes en surpoids dans le cadre de l'événement de destruction de Sumo.")</f>
        <v>La vidéo de TMZ montre plusieurs hommes en surpoids dans le cadre de l'événement de destruction de Sumo.</v>
      </c>
    </row>
    <row r="6367">
      <c r="A6367" s="4" t="s">
        <v>8003</v>
      </c>
      <c r="B6367" s="4" t="s">
        <v>8005</v>
      </c>
      <c r="C6367" s="5" t="str">
        <f>IFERROR(__xludf.DUMMYFUNCTION("GOOGLETRANSLATE(B6367,""en"",""fr"")"),"Il montre aussi une photo du chanteur George Michael.")</f>
        <v>Il montre aussi une photo du chanteur George Michael.</v>
      </c>
    </row>
    <row r="6368">
      <c r="A6368" s="4" t="s">
        <v>8003</v>
      </c>
      <c r="B6368" s="4" t="s">
        <v>8006</v>
      </c>
      <c r="C6368" s="5" t="str">
        <f>IFERROR(__xludf.DUMMYFUNCTION("GOOGLETRANSLATE(B6368,""en"",""fr"")"),"Il y a un panel de personnes assises dans un studio qui parlent de l'événement.")</f>
        <v>Il y a un panel de personnes assises dans un studio qui parlent de l'événement.</v>
      </c>
    </row>
    <row r="6369">
      <c r="A6369" s="4" t="s">
        <v>8003</v>
      </c>
      <c r="B6369" s="4" t="s">
        <v>8007</v>
      </c>
      <c r="C6369" s="5" t="str">
        <f>IFERROR(__xludf.DUMMYFUNCTION("GOOGLETRANSLATE(B6369,""en"",""fr"")"),"Ils lisent un script et rient.")</f>
        <v>Ils lisent un script et rient.</v>
      </c>
    </row>
    <row r="6370">
      <c r="A6370" s="4" t="s">
        <v>8003</v>
      </c>
      <c r="B6370" s="4" t="s">
        <v>8008</v>
      </c>
      <c r="C6370" s="5" t="str">
        <f>IFERROR(__xludf.DUMMYFUNCTION("GOOGLETRANSLATE(B6370,""en"",""fr"")"),"Il y a aussi des photos de lutteurs de sumo.")</f>
        <v>Il y a aussi des photos de lutteurs de sumo.</v>
      </c>
    </row>
    <row r="6371">
      <c r="A6371" s="4" t="s">
        <v>8003</v>
      </c>
      <c r="B6371" s="4" t="s">
        <v>8009</v>
      </c>
      <c r="C6371" s="5" t="str">
        <f>IFERROR(__xludf.DUMMYFUNCTION("GOOGLETRANSLATE(B6371,""en"",""fr"")"),"Il montre également que les lutteurs de sumo se luttent alors que les spectateurs regardent l'événement.")</f>
        <v>Il montre également que les lutteurs de sumo se luttent alors que les spectateurs regardent l'événement.</v>
      </c>
    </row>
    <row r="6372">
      <c r="A6372" s="4" t="s">
        <v>8010</v>
      </c>
      <c r="B6372" s="4" t="s">
        <v>8011</v>
      </c>
      <c r="C6372" s="5" t="str">
        <f>IFERROR(__xludf.DUMMYFUNCTION("GOOGLETRANSLATE(B6372,""en"",""fr"")"),"Trois femmes marchent à côté d'une maison dans un parking.")</f>
        <v>Trois femmes marchent à côté d'une maison dans un parking.</v>
      </c>
    </row>
    <row r="6373">
      <c r="A6373" s="4" t="s">
        <v>8010</v>
      </c>
      <c r="B6373" s="4" t="s">
        <v>8012</v>
      </c>
      <c r="C6373" s="5" t="str">
        <f>IFERROR(__xludf.DUMMYFUNCTION("GOOGLETRANSLATE(B6373,""en"",""fr"")"),"Les gens sont du snowboard entre deux clôtures dans une petite salle descendant une petite pente.")</f>
        <v>Les gens sont du snowboard entre deux clôtures dans une petite salle descendant une petite pente.</v>
      </c>
    </row>
    <row r="6374">
      <c r="A6374" s="4" t="s">
        <v>8010</v>
      </c>
      <c r="B6374" s="4" t="s">
        <v>8013</v>
      </c>
      <c r="C6374" s="5" t="str">
        <f>IFERROR(__xludf.DUMMYFUNCTION("GOOGLETRANSLATE(B6374,""en"",""fr"")"),"Les gens se tiennent dans une montagne enneigée dans les snowboards.")</f>
        <v>Les gens se tiennent dans une montagne enneigée dans les snowboards.</v>
      </c>
    </row>
    <row r="6375">
      <c r="A6375" s="4" t="s">
        <v>8010</v>
      </c>
      <c r="B6375" s="4" t="s">
        <v>8014</v>
      </c>
      <c r="C6375" s="5" t="str">
        <f>IFERROR(__xludf.DUMMYFUNCTION("GOOGLETRANSLATE(B6375,""en"",""fr"")"),"Les gens mangent assis à l'extérieur d'une tente.")</f>
        <v>Les gens mangent assis à l'extérieur d'une tente.</v>
      </c>
    </row>
    <row r="6376">
      <c r="A6376" s="4" t="s">
        <v>8010</v>
      </c>
      <c r="B6376" s="4" t="s">
        <v>8015</v>
      </c>
      <c r="C6376" s="5" t="str">
        <f>IFERROR(__xludf.DUMMYFUNCTION("GOOGLETRANSLATE(B6376,""en"",""fr"")"),"Les gens sont snwoboarding descendant une annonce de la pente enneigée faisant des astuces dans les montagnes.")</f>
        <v>Les gens sont snwoboarding descendant une annonce de la pente enneigée faisant des astuces dans les montagnes.</v>
      </c>
    </row>
    <row r="6377">
      <c r="A6377" s="4" t="s">
        <v>8016</v>
      </c>
      <c r="B6377" s="4" t="s">
        <v>8017</v>
      </c>
      <c r="C6377" s="5" t="str">
        <f>IFERROR(__xludf.DUMMYFUNCTION("GOOGLETRANSLATE(B6377,""en"",""fr"")"),"Un homme tire une flèche avec son arc.")</f>
        <v>Un homme tire une flèche avec son arc.</v>
      </c>
    </row>
    <row r="6378">
      <c r="A6378" s="4" t="s">
        <v>8016</v>
      </c>
      <c r="B6378" s="4" t="s">
        <v>8018</v>
      </c>
      <c r="C6378" s="5" t="str">
        <f>IFERROR(__xludf.DUMMYFUNCTION("GOOGLETRANSLATE(B6378,""en"",""fr"")"),"Il attrape une autre flèche et tire à nouveau.")</f>
        <v>Il attrape une autre flèche et tire à nouveau.</v>
      </c>
    </row>
    <row r="6379">
      <c r="A6379" s="4" t="s">
        <v>8016</v>
      </c>
      <c r="B6379" s="4" t="s">
        <v>8019</v>
      </c>
      <c r="C6379" s="5" t="str">
        <f>IFERROR(__xludf.DUMMYFUNCTION("GOOGLETRANSLATE(B6379,""en"",""fr"")"),"Une fois de plus, il tire une flèche.")</f>
        <v>Une fois de plus, il tire une flèche.</v>
      </c>
    </row>
    <row r="6380">
      <c r="A6380" s="4" t="s">
        <v>8016</v>
      </c>
      <c r="B6380" s="4" t="s">
        <v>8020</v>
      </c>
      <c r="C6380" s="5" t="str">
        <f>IFERROR(__xludf.DUMMYFUNCTION("GOOGLETRANSLATE(B6380,""en"",""fr"")"),"Il trouve une autre flèche et tire.")</f>
        <v>Il trouve une autre flèche et tire.</v>
      </c>
    </row>
    <row r="6381">
      <c r="A6381" s="4" t="s">
        <v>8016</v>
      </c>
      <c r="B6381" s="4" t="s">
        <v>8021</v>
      </c>
      <c r="C6381" s="5" t="str">
        <f>IFERROR(__xludf.DUMMYFUNCTION("GOOGLETRANSLATE(B6381,""en"",""fr"")"),"Il prend un autre coup de flèche.")</f>
        <v>Il prend un autre coup de flèche.</v>
      </c>
    </row>
    <row r="6382">
      <c r="A6382" s="4" t="s">
        <v>8016</v>
      </c>
      <c r="B6382" s="4" t="s">
        <v>8022</v>
      </c>
      <c r="C6382" s="5" t="str">
        <f>IFERROR(__xludf.DUMMYFUNCTION("GOOGLETRANSLATE(B6382,""en"",""fr"")"),"Une autre flèche est saisie et il tire.")</f>
        <v>Une autre flèche est saisie et il tire.</v>
      </c>
    </row>
    <row r="6383">
      <c r="A6383" s="4" t="s">
        <v>8016</v>
      </c>
      <c r="B6383" s="4" t="s">
        <v>8023</v>
      </c>
      <c r="C6383" s="5" t="str">
        <f>IFERROR(__xludf.DUMMYFUNCTION("GOOGLETRANSLATE(B6383,""en"",""fr"")"),"Il en prend un autre et le tire.")</f>
        <v>Il en prend un autre et le tire.</v>
      </c>
    </row>
    <row r="6384">
      <c r="A6384" s="4" t="s">
        <v>8016</v>
      </c>
      <c r="B6384" s="4" t="s">
        <v>8024</v>
      </c>
      <c r="C6384" s="5" t="str">
        <f>IFERROR(__xludf.DUMMYFUNCTION("GOOGLETRANSLATE(B6384,""en"",""fr"")"),"Il attrape une autre flèche de sa taille et tire à nouveau.")</f>
        <v>Il attrape une autre flèche de sa taille et tire à nouveau.</v>
      </c>
    </row>
    <row r="6385">
      <c r="A6385" s="4" t="s">
        <v>8016</v>
      </c>
      <c r="B6385" s="4" t="s">
        <v>8025</v>
      </c>
      <c r="C6385" s="5" t="str">
        <f>IFERROR(__xludf.DUMMYFUNCTION("GOOGLETRANSLATE(B6385,""en"",""fr"")"),"Il tire à nouveau une flèche.")</f>
        <v>Il tire à nouveau une flèche.</v>
      </c>
    </row>
    <row r="6386">
      <c r="A6386" s="4" t="s">
        <v>8016</v>
      </c>
      <c r="B6386" s="4" t="s">
        <v>8026</v>
      </c>
      <c r="C6386" s="5" t="str">
        <f>IFERROR(__xludf.DUMMYFUNCTION("GOOGLETRANSLATE(B6386,""en"",""fr"")"),"Il attrape une dernière flèche et tire.")</f>
        <v>Il attrape une dernière flèche et tire.</v>
      </c>
    </row>
    <row r="6387">
      <c r="A6387" s="4" t="s">
        <v>8016</v>
      </c>
      <c r="B6387" s="4" t="s">
        <v>8027</v>
      </c>
      <c r="C6387" s="5" t="str">
        <f>IFERROR(__xludf.DUMMYFUNCTION("GOOGLETRANSLATE(B6387,""en"",""fr"")"),"Une personne se dirige vers le foin où les flèches ont été abattues.")</f>
        <v>Une personne se dirige vers le foin où les flèches ont été abattues.</v>
      </c>
    </row>
    <row r="6388">
      <c r="A6388" s="4" t="s">
        <v>8028</v>
      </c>
      <c r="B6388" s="4" t="s">
        <v>8029</v>
      </c>
      <c r="C6388" s="5" t="str">
        <f>IFERROR(__xludf.DUMMYFUNCTION("GOOGLETRANSLATE(B6388,""en"",""fr"")"),"Un homme se prépare à descendre une piste.")</f>
        <v>Un homme se prépare à descendre une piste.</v>
      </c>
    </row>
    <row r="6389">
      <c r="A6389" s="4" t="s">
        <v>8028</v>
      </c>
      <c r="B6389" s="4" t="s">
        <v>8030</v>
      </c>
      <c r="C6389" s="5" t="str">
        <f>IFERROR(__xludf.DUMMYFUNCTION("GOOGLETRANSLATE(B6389,""en"",""fr"")"),"Il court très vite sur le chemin.")</f>
        <v>Il court très vite sur le chemin.</v>
      </c>
    </row>
    <row r="6390">
      <c r="A6390" s="4" t="s">
        <v>8028</v>
      </c>
      <c r="B6390" s="4" t="s">
        <v>8031</v>
      </c>
      <c r="C6390" s="5" t="str">
        <f>IFERROR(__xludf.DUMMYFUNCTION("GOOGLETRANSLATE(B6390,""en"",""fr"")"),"Il fait un saut géant, atterrissant dans le sable.")</f>
        <v>Il fait un saut géant, atterrissant dans le sable.</v>
      </c>
    </row>
    <row r="6391">
      <c r="A6391" s="4" t="s">
        <v>8032</v>
      </c>
      <c r="B6391" s="6" t="s">
        <v>8033</v>
      </c>
      <c r="C6391" s="5" t="str">
        <f>IFERROR(__xludf.DUMMYFUNCTION("GOOGLETRANSLATE(B6391,""en"",""fr"")"),"Un homme vêtu d'une tenue d'affaires entre dans une cuisine avec des enfants derrière lui, il serre la main d'une femme, frotte son épaule puis présente les enfants à la femme, et tout le temps du texte noir sur le dessus de l'écran se lit Ryan a quelques"&amp;" minutes à tuer avant un vol "".")</f>
        <v>Un homme vêtu d'une tenue d'affaires entre dans une cuisine avec des enfants derrière lui, il serre la main d'une femme, frotte son épaule puis présente les enfants à la femme, et tout le temps du texte noir sur le dessus de l'écran se lit Ryan a quelques minutes à tuer avant un vol ".</v>
      </c>
    </row>
    <row r="6392">
      <c r="A6392" s="4" t="s">
        <v>8032</v>
      </c>
      <c r="B6392" s="6" t="s">
        <v>8034</v>
      </c>
      <c r="C6392" s="5" t="str">
        <f>IFERROR(__xludf.DUMMYFUNCTION("GOOGLETRANSLATE(B6392,""en"",""fr"")"),"Plus de clips continuent de jouer de l'homme dans la cuisine, de parler, de manipuler des produits de nettoyage et de laver la vaisselle, mais beaucoup de mots négatifs à son sujet apparaissent à l'écran.")</f>
        <v>Plus de clips continuent de jouer de l'homme dans la cuisine, de parler, de manipuler des produits de nettoyage et de laver la vaisselle, mais beaucoup de mots négatifs à son sujet apparaissent à l'écran.</v>
      </c>
    </row>
    <row r="6393">
      <c r="A6393" s="4" t="s">
        <v>8032</v>
      </c>
      <c r="B6393" s="6" t="s">
        <v>8035</v>
      </c>
      <c r="C6393" s="5" t="str">
        <f>IFERROR(__xludf.DUMMYFUNCTION("GOOGLETRANSLATE(B6393,""en"",""fr"")"),"L'homme est sorti de la cuisine maintenant et marche puis s'arrête pour se serrer la main et parler à un homme, mais un message négatif à son sujet apparaît toujours à l'écran.")</f>
        <v>L'homme est sorti de la cuisine maintenant et marche puis s'arrête pour se serrer la main et parler à un homme, mais un message négatif à son sujet apparaît toujours à l'écran.</v>
      </c>
    </row>
    <row r="6394">
      <c r="A6394" s="4" t="s">
        <v>8036</v>
      </c>
      <c r="B6394" s="6" t="s">
        <v>8037</v>
      </c>
      <c r="C6394" s="5" t="str">
        <f>IFERROR(__xludf.DUMMYFUNCTION("GOOGLETRANSLATE(B6394,""en"",""fr"")"),"Une femme est vue courir sur une route tout en regardant sa montre et en pointant des choses devant elle.")</f>
        <v>Une femme est vue courir sur une route tout en regardant sa montre et en pointant des choses devant elle.</v>
      </c>
    </row>
    <row r="6395">
      <c r="A6395" s="4" t="s">
        <v>8036</v>
      </c>
      <c r="B6395" s="4" t="s">
        <v>8038</v>
      </c>
      <c r="C6395" s="5" t="str">
        <f>IFERROR(__xludf.DUMMYFUNCTION("GOOGLETRANSLATE(B6395,""en"",""fr"")"),"Elle continue de courir dans la rue tandis que d'autres personnes l'applaudissent et elle continue de courir.")</f>
        <v>Elle continue de courir dans la rue tandis que d'autres personnes l'applaudissent et elle continue de courir.</v>
      </c>
    </row>
    <row r="6396">
      <c r="A6396" s="4" t="s">
        <v>8039</v>
      </c>
      <c r="B6396" s="4" t="s">
        <v>8040</v>
      </c>
      <c r="C6396" s="5" t="str">
        <f>IFERROR(__xludf.DUMMYFUNCTION("GOOGLETRANSLATE(B6396,""en"",""fr"")"),"L'homme est assis dans un kayak à côté du trottoir.")</f>
        <v>L'homme est assis dans un kayak à côté du trottoir.</v>
      </c>
    </row>
    <row r="6397">
      <c r="A6397" s="4" t="s">
        <v>8039</v>
      </c>
      <c r="B6397" s="4" t="s">
        <v>8041</v>
      </c>
      <c r="C6397" s="5" t="str">
        <f>IFERROR(__xludf.DUMMYFUNCTION("GOOGLETRANSLATE(B6397,""en"",""fr"")"),"L'homme sort le kayak de l'eau.")</f>
        <v>L'homme sort le kayak de l'eau.</v>
      </c>
    </row>
    <row r="6398">
      <c r="A6398" s="4" t="s">
        <v>8039</v>
      </c>
      <c r="B6398" s="4" t="s">
        <v>8042</v>
      </c>
      <c r="C6398" s="5" t="str">
        <f>IFERROR(__xludf.DUMMYFUNCTION("GOOGLETRANSLATE(B6398,""en"",""fr"")"),"L'homme est dans la rivière tenant la rangée et fait du kayak et d'autres hommes sont à côté de lui.")</f>
        <v>L'homme est dans la rivière tenant la rangée et fait du kayak et d'autres hommes sont à côté de lui.</v>
      </c>
    </row>
    <row r="6399">
      <c r="A6399" s="4" t="s">
        <v>8043</v>
      </c>
      <c r="B6399" s="4" t="s">
        <v>8044</v>
      </c>
      <c r="C6399" s="5" t="str">
        <f>IFERROR(__xludf.DUMMYFUNCTION("GOOGLETRANSLATE(B6399,""en"",""fr"")"),"Un homme s'enregistre dans un levier avec un autre homme.")</f>
        <v>Un homme s'enregistre dans un levier avec un autre homme.</v>
      </c>
    </row>
    <row r="6400">
      <c r="A6400" s="4" t="s">
        <v>8043</v>
      </c>
      <c r="B6400" s="4" t="s">
        <v>8045</v>
      </c>
      <c r="C6400" s="5" t="str">
        <f>IFERROR(__xludf.DUMMYFUNCTION("GOOGLETRANSLATE(B6400,""en"",""fr"")"),"Le trajet monte plus haut et l'homme avec un chapeau parle à l'autre.")</f>
        <v>Le trajet monte plus haut et l'homme avec un chapeau parle à l'autre.</v>
      </c>
    </row>
    <row r="6401">
      <c r="A6401" s="4" t="s">
        <v>8043</v>
      </c>
      <c r="B6401" s="4" t="s">
        <v>8046</v>
      </c>
      <c r="C6401" s="5" t="str">
        <f>IFERROR(__xludf.DUMMYFUNCTION("GOOGLETRANSLATE(B6401,""en"",""fr"")"),"La balade atteint le sommet et l'homme tend ses bras.")</f>
        <v>La balade atteint le sommet et l'homme tend ses bras.</v>
      </c>
    </row>
    <row r="6402">
      <c r="A6402" s="4" t="s">
        <v>8043</v>
      </c>
      <c r="B6402" s="4" t="s">
        <v>8047</v>
      </c>
      <c r="C6402" s="5" t="str">
        <f>IFERROR(__xludf.DUMMYFUNCTION("GOOGLETRANSLATE(B6402,""en"",""fr"")"),"Il compte et laisse tomber l'homme en saut à l'élastique.")</f>
        <v>Il compte et laisse tomber l'homme en saut à l'élastique.</v>
      </c>
    </row>
    <row r="6403">
      <c r="A6403" s="4" t="s">
        <v>8043</v>
      </c>
      <c r="B6403" s="4" t="s">
        <v>8048</v>
      </c>
      <c r="C6403" s="5" t="str">
        <f>IFERROR(__xludf.DUMMYFUNCTION("GOOGLETRANSLATE(B6403,""en"",""fr"")"),"L'homme arrive au fond en toute sécurité et le trajet redescende.")</f>
        <v>L'homme arrive au fond en toute sécurité et le trajet redescende.</v>
      </c>
    </row>
    <row r="6404">
      <c r="A6404" s="4" t="s">
        <v>8049</v>
      </c>
      <c r="B6404" s="4" t="s">
        <v>8050</v>
      </c>
      <c r="C6404" s="5" t="str">
        <f>IFERROR(__xludf.DUMMYFUNCTION("GOOGLETRANSLATE(B6404,""en"",""fr"")"),"À l'extérieur à Oak Creek, il y a des motards qui se préparent dans la saleté.")</f>
        <v>À l'extérieur à Oak Creek, il y a des motards qui se préparent dans la saleté.</v>
      </c>
    </row>
    <row r="6405">
      <c r="A6405" s="4" t="s">
        <v>8049</v>
      </c>
      <c r="B6405" s="4" t="s">
        <v>8051</v>
      </c>
      <c r="C6405" s="5" t="str">
        <f>IFERROR(__xludf.DUMMYFUNCTION("GOOGLETRANSLATE(B6405,""en"",""fr"")"),"Lorsque les portes descendent, elles vont toutes aussi vite que possible à travers l'obstacle de la saleté.")</f>
        <v>Lorsque les portes descendent, elles vont toutes aussi vite que possible à travers l'obstacle de la saleté.</v>
      </c>
    </row>
    <row r="6406">
      <c r="A6406" s="4" t="s">
        <v>8049</v>
      </c>
      <c r="B6406" s="4" t="s">
        <v>8052</v>
      </c>
      <c r="C6406" s="5" t="str">
        <f>IFERROR(__xludf.DUMMYFUNCTION("GOOGLETRANSLATE(B6406,""en"",""fr"")"),"Il y a quelques personnes assis dans les tribunes en regardant les motards se déclencher.")</f>
        <v>Il y a quelques personnes assis dans les tribunes en regardant les motards se déclencher.</v>
      </c>
    </row>
    <row r="6407">
      <c r="A6407" s="4" t="s">
        <v>8049</v>
      </c>
      <c r="B6407" s="4" t="s">
        <v>8053</v>
      </c>
      <c r="C6407" s="5" t="str">
        <f>IFERROR(__xludf.DUMMYFUNCTION("GOOGLETRANSLATE(B6407,""en"",""fr"")"),"Ils montrent même que certains enfants attendent et passent un bon moment à regarder la course.")</f>
        <v>Ils montrent même que certains enfants attendent et passent un bon moment à regarder la course.</v>
      </c>
    </row>
    <row r="6408">
      <c r="A6408" s="4" t="s">
        <v>8054</v>
      </c>
      <c r="B6408" s="4" t="s">
        <v>8055</v>
      </c>
      <c r="C6408" s="5" t="str">
        <f>IFERROR(__xludf.DUMMYFUNCTION("GOOGLETRANSLATE(B6408,""en"",""fr"")"),"Une femme pratique la gymnastique au sol tandis que d'autres s'engagent dans diverses activités en arrière-plan.")</f>
        <v>Une femme pratique la gymnastique au sol tandis que d'autres s'engagent dans diverses activités en arrière-plan.</v>
      </c>
    </row>
    <row r="6409">
      <c r="A6409" s="4" t="s">
        <v>8054</v>
      </c>
      <c r="B6409" s="4" t="s">
        <v>8056</v>
      </c>
      <c r="C6409" s="5" t="str">
        <f>IFERROR(__xludf.DUMMYFUNCTION("GOOGLETRANSLATE(B6409,""en"",""fr"")"),"Une deuxième femme pratique la gymnastique au sol.")</f>
        <v>Une deuxième femme pratique la gymnastique au sol.</v>
      </c>
    </row>
    <row r="6410">
      <c r="A6410" s="4" t="s">
        <v>8054</v>
      </c>
      <c r="B6410" s="4" t="s">
        <v>8057</v>
      </c>
      <c r="C6410" s="5" t="str">
        <f>IFERROR(__xludf.DUMMYFUNCTION("GOOGLETRANSLATE(B6410,""en"",""fr"")"),"Les deux femmes sont présentées à tour de temps la même action.")</f>
        <v>Les deux femmes sont présentées à tour de temps la même action.</v>
      </c>
    </row>
    <row r="6411">
      <c r="A6411" s="4" t="s">
        <v>8054</v>
      </c>
      <c r="B6411" s="6" t="s">
        <v>8058</v>
      </c>
      <c r="C6411" s="5" t="str">
        <f>IFERROR(__xludf.DUMMYFUNCTION("GOOGLETRANSLATE(B6411,""en"",""fr"")"),"La première femme est montrée pratiquant plus de gymnastique au sol, avec des rediffusions de mouvement occasionnelles de son action.")</f>
        <v>La première femme est montrée pratiquant plus de gymnastique au sol, avec des rediffusions de mouvement occasionnelles de son action.</v>
      </c>
    </row>
    <row r="6412">
      <c r="A6412" s="4" t="s">
        <v>8054</v>
      </c>
      <c r="B6412" s="4" t="s">
        <v>8059</v>
      </c>
      <c r="C6412" s="5" t="str">
        <f>IFERROR(__xludf.DUMMYFUNCTION("GOOGLETRANSLATE(B6412,""en"",""fr"")"),"La deuxième femme est montrée en effectuant une sorte de pose.")</f>
        <v>La deuxième femme est montrée en effectuant une sorte de pose.</v>
      </c>
    </row>
    <row r="6413">
      <c r="A6413" s="4" t="s">
        <v>8054</v>
      </c>
      <c r="B6413" s="4" t="s">
        <v>8060</v>
      </c>
      <c r="C6413" s="5" t="str">
        <f>IFERROR(__xludf.DUMMYFUNCTION("GOOGLETRANSLATE(B6413,""en"",""fr"")"),"La première femme est montrée à nouveau en train de jouer de la gymnastique.")</f>
        <v>La première femme est montrée à nouveau en train de jouer de la gymnastique.</v>
      </c>
    </row>
    <row r="6414">
      <c r="A6414" s="4" t="s">
        <v>8054</v>
      </c>
      <c r="B6414" s="4" t="s">
        <v>8061</v>
      </c>
      <c r="C6414" s="5" t="str">
        <f>IFERROR(__xludf.DUMMYFUNCTION("GOOGLETRANSLATE(B6414,""en"",""fr"")"),"La deuxième femme est montrée en étirant la jambe en l'air.")</f>
        <v>La deuxième femme est montrée en étirant la jambe en l'air.</v>
      </c>
    </row>
    <row r="6415">
      <c r="A6415" s="4" t="s">
        <v>8054</v>
      </c>
      <c r="B6415" s="4" t="s">
        <v>8062</v>
      </c>
      <c r="C6415" s="5" t="str">
        <f>IFERROR(__xludf.DUMMYFUNCTION("GOOGLETRANSLATE(B6415,""en"",""fr"")"),"La première femme est montrée en train de jouer une fois de plus de gymnastique.")</f>
        <v>La première femme est montrée en train de jouer une fois de plus de gymnastique.</v>
      </c>
    </row>
    <row r="6416">
      <c r="A6416" s="4" t="s">
        <v>8054</v>
      </c>
      <c r="B6416" s="4" t="s">
        <v>8063</v>
      </c>
      <c r="C6416" s="5" t="str">
        <f>IFERROR(__xludf.DUMMYFUNCTION("GOOGLETRANSLATE(B6416,""en"",""fr"")"),"La deuxième femme est à nouveau montrée dans une sorte de pose.")</f>
        <v>La deuxième femme est à nouveau montrée dans une sorte de pose.</v>
      </c>
    </row>
    <row r="6417">
      <c r="A6417" s="4" t="s">
        <v>8054</v>
      </c>
      <c r="B6417" s="4" t="s">
        <v>8064</v>
      </c>
      <c r="C6417" s="5" t="str">
        <f>IFERROR(__xludf.DUMMYFUNCTION("GOOGLETRANSLATE(B6417,""en"",""fr"")"),"La première femme est montrée en gymnastique à nouveau.")</f>
        <v>La première femme est montrée en gymnastique à nouveau.</v>
      </c>
    </row>
    <row r="6418">
      <c r="A6418" s="4" t="s">
        <v>8065</v>
      </c>
      <c r="B6418" s="6" t="s">
        <v>8066</v>
      </c>
      <c r="C6418" s="5" t="str">
        <f>IFERROR(__xludf.DUMMYFUNCTION("GOOGLETRANSLATE(B6418,""en"",""fr"")"),"Un navire rouge, noir et blanc mouent est montré sur l'eau, puis un plus petit navire s'approche rapidement du bateau qui tourne et soudain il s'écrase dans le bateau et il a de la fumée noire provenant du haut de celui-ci.")</f>
        <v>Un navire rouge, noir et blanc mouent est montré sur l'eau, puis un plus petit navire s'approche rapidement du bateau qui tourne et soudain il s'écrase dans le bateau et il a de la fumée noire provenant du haut de celui-ci.</v>
      </c>
    </row>
    <row r="6419">
      <c r="A6419" s="4" t="s">
        <v>8065</v>
      </c>
      <c r="B6419" s="6" t="s">
        <v>8067</v>
      </c>
      <c r="C6419" s="5" t="str">
        <f>IFERROR(__xludf.DUMMYFUNCTION("GOOGLETRANSLATE(B6419,""en"",""fr"")"),"Beaucoup de gens sont montrés sur le bateau avec des gilets de durée de vie qui se déplacent rapidement autour du navire, et les hommes tirent frénétiquement sur la corde.")</f>
        <v>Beaucoup de gens sont montrés sur le bateau avec des gilets de durée de vie qui se déplacent rapidement autour du navire, et les hommes tirent frénétiquement sur la corde.</v>
      </c>
    </row>
    <row r="6420">
      <c r="A6420" s="4" t="s">
        <v>8065</v>
      </c>
      <c r="B6420" s="6" t="s">
        <v>8068</v>
      </c>
      <c r="C6420" s="5" t="str">
        <f>IFERROR(__xludf.DUMMYFUNCTION("GOOGLETRANSLATE(B6420,""en"",""fr"")"),"Un homme et une femme balayent maintenant la zone où le bateau a été touché et un autre homme aide à ramasser des morceaux cassés.")</f>
        <v>Un homme et une femme balayent maintenant la zone où le bateau a été touché et un autre homme aide à ramasser des morceaux cassés.</v>
      </c>
    </row>
    <row r="6421">
      <c r="A6421" s="4" t="s">
        <v>8069</v>
      </c>
      <c r="B6421" s="6" t="s">
        <v>8070</v>
      </c>
      <c r="C6421" s="5" t="str">
        <f>IFERROR(__xludf.DUMMYFUNCTION("GOOGLETRANSLATE(B6421,""en"",""fr"")"),"Une dame joue la harpe et une autre joue la flûte dans un orchestre et nous voyons le chef d'orchestre et retournons à la flûte.")</f>
        <v>Une dame joue la harpe et une autre joue la flûte dans un orchestre et nous voyons le chef d'orchestre et retournons à la flûte.</v>
      </c>
    </row>
    <row r="6422">
      <c r="A6422" s="4" t="s">
        <v>8069</v>
      </c>
      <c r="B6422" s="6" t="s">
        <v>8071</v>
      </c>
      <c r="C6422" s="5" t="str">
        <f>IFERROR(__xludf.DUMMYFUNCTION("GOOGLETRANSLATE(B6422,""en"",""fr"")"),"Nous voyons tout l'orchestre jouer et retourner à la flûte et l'orchestre couler dans les deux sens.")</f>
        <v>Nous voyons tout l'orchestre jouer et retourner à la flûte et l'orchestre couler dans les deux sens.</v>
      </c>
    </row>
    <row r="6423">
      <c r="A6423" s="4" t="s">
        <v>8069</v>
      </c>
      <c r="B6423" s="4" t="s">
        <v>8072</v>
      </c>
      <c r="C6423" s="5" t="str">
        <f>IFERROR(__xludf.DUMMYFUNCTION("GOOGLETRANSLATE(B6423,""en"",""fr"")"),"Nous regardons le chef d'orchestre pendant qu'il travaille et voyons l'orchestre.")</f>
        <v>Nous regardons le chef d'orchestre pendant qu'il travaille et voyons l'orchestre.</v>
      </c>
    </row>
    <row r="6424">
      <c r="A6424" s="4" t="s">
        <v>8069</v>
      </c>
      <c r="B6424" s="4" t="s">
        <v>8073</v>
      </c>
      <c r="C6424" s="5" t="str">
        <f>IFERROR(__xludf.DUMMYFUNCTION("GOOGLETRANSLATE(B6424,""en"",""fr"")"),"Nous voyons à nouveau la harpe et l'orchestre avant de retourner dans la harpe.")</f>
        <v>Nous voyons à nouveau la harpe et l'orchestre avant de retourner dans la harpe.</v>
      </c>
    </row>
    <row r="6425">
      <c r="A6425" s="4" t="s">
        <v>8074</v>
      </c>
      <c r="B6425" s="4" t="s">
        <v>8075</v>
      </c>
      <c r="C6425" s="5" t="str">
        <f>IFERROR(__xludf.DUMMYFUNCTION("GOOGLETRANSLATE(B6425,""en"",""fr"")"),"Une femme est assise sur le bord d'une baignoire.")</f>
        <v>Une femme est assise sur le bord d'une baignoire.</v>
      </c>
    </row>
    <row r="6426">
      <c r="A6426" s="4" t="s">
        <v>8074</v>
      </c>
      <c r="B6426" s="4" t="s">
        <v>8076</v>
      </c>
      <c r="C6426" s="5" t="str">
        <f>IFERROR(__xludf.DUMMYFUNCTION("GOOGLETRANSLATE(B6426,""en"",""fr"")"),"Elle commence à se raser la jambe avec un rasoir.")</f>
        <v>Elle commence à se raser la jambe avec un rasoir.</v>
      </c>
    </row>
    <row r="6427">
      <c r="A6427" s="4" t="s">
        <v>8074</v>
      </c>
      <c r="B6427" s="4" t="s">
        <v>8077</v>
      </c>
      <c r="C6427" s="5" t="str">
        <f>IFERROR(__xludf.DUMMYFUNCTION("GOOGLETRANSLATE(B6427,""en"",""fr"")"),"Elle regarde le bas du rasoir.")</f>
        <v>Elle regarde le bas du rasoir.</v>
      </c>
    </row>
    <row r="6428">
      <c r="A6428" s="4" t="s">
        <v>8078</v>
      </c>
      <c r="B6428" s="6" t="s">
        <v>8079</v>
      </c>
      <c r="C6428" s="5" t="str">
        <f>IFERROR(__xludf.DUMMYFUNCTION("GOOGLETRANSLATE(B6428,""en"",""fr"")"),"Il y a un athlète qui fait le marteau dans un grand stade avec des spectateurs et peu d'autres joueurs le regardant.")</f>
        <v>Il y a un athlète qui fait le marteau dans un grand stade avec des spectateurs et peu d'autres joueurs le regardant.</v>
      </c>
    </row>
    <row r="6429">
      <c r="A6429" s="4" t="s">
        <v>8078</v>
      </c>
      <c r="B6429" s="4" t="s">
        <v>8080</v>
      </c>
      <c r="C6429" s="5" t="str">
        <f>IFERROR(__xludf.DUMMYFUNCTION("GOOGLETRANSLATE(B6429,""en"",""fr"")"),"Il commence par balancer la corde de marteau dans ses mains tout en faisant tourner son corps.")</f>
        <v>Il commence par balancer la corde de marteau dans ses mains tout en faisant tourner son corps.</v>
      </c>
    </row>
    <row r="6430">
      <c r="A6430" s="4" t="s">
        <v>8078</v>
      </c>
      <c r="B6430" s="4" t="s">
        <v>8081</v>
      </c>
      <c r="C6430" s="5" t="str">
        <f>IFERROR(__xludf.DUMMYFUNCTION("GOOGLETRANSLATE(B6430,""en"",""fr"")"),"Deux personnes s'avancent pour voir où la balle de l'athlète a atterri.")</f>
        <v>Deux personnes s'avancent pour voir où la balle de l'athlète a atterri.</v>
      </c>
    </row>
    <row r="6431">
      <c r="A6431" s="4" t="s">
        <v>8078</v>
      </c>
      <c r="B6431" s="6" t="s">
        <v>8082</v>
      </c>
      <c r="C6431" s="5" t="str">
        <f>IFERROR(__xludf.DUMMYFUNCTION("GOOGLETRANSLATE(B6431,""en"",""fr"")"),"L'athlète fait un autre lancer du marteau et la distance de son lancer est mesurée et ses statistiques sont affichées à l'écran.")</f>
        <v>L'athlète fait un autre lancer du marteau et la distance de son lancer est mesurée et ses statistiques sont affichées à l'écran.</v>
      </c>
    </row>
    <row r="6432">
      <c r="A6432" s="4" t="s">
        <v>8078</v>
      </c>
      <c r="B6432" s="4" t="s">
        <v>8083</v>
      </c>
      <c r="C6432" s="5" t="str">
        <f>IFERROR(__xludf.DUMMYFUNCTION("GOOGLETRANSLATE(B6432,""en"",""fr"")"),"Les spectateurs des gradins regardent l'événement sportif.")</f>
        <v>Les spectateurs des gradins regardent l'événement sportif.</v>
      </c>
    </row>
    <row r="6433">
      <c r="A6433" s="4" t="s">
        <v>8084</v>
      </c>
      <c r="B6433" s="4" t="s">
        <v>8085</v>
      </c>
      <c r="C6433" s="5" t="str">
        <f>IFERROR(__xludf.DUMMYFUNCTION("GOOGLETRANSLATE(B6433,""en"",""fr"")"),"Une femme et un chien sont vus debout dans un grand terrain en train de jouer avec un frisbee.")</f>
        <v>Une femme et un chien sont vus debout dans un grand terrain en train de jouer avec un frisbee.</v>
      </c>
    </row>
    <row r="6434">
      <c r="A6434" s="4" t="s">
        <v>8084</v>
      </c>
      <c r="B6434" s="6" t="s">
        <v>8086</v>
      </c>
      <c r="C6434" s="5" t="str">
        <f>IFERROR(__xludf.DUMMYFUNCTION("GOOGLETRANSLATE(B6434,""en"",""fr"")"),"La femme et le chien sont montrés dans plusieurs autres clips jouant avec le Frisbee et des astuces.")</f>
        <v>La femme et le chien sont montrés dans plusieurs autres clips jouant avec le Frisbee et des astuces.</v>
      </c>
    </row>
    <row r="6435">
      <c r="A6435" s="4" t="s">
        <v>8084</v>
      </c>
      <c r="B6435" s="6" t="s">
        <v>8087</v>
      </c>
      <c r="C6435" s="5" t="str">
        <f>IFERROR(__xludf.DUMMYFUNCTION("GOOGLETRANSLATE(B6435,""en"",""fr"")"),"Le chien saute de haut en bas ainsi que des poursuites après le frisbee pendant que la femme regarde sur le côté.")</f>
        <v>Le chien saute de haut en bas ainsi que des poursuites après le frisbee pendant que la femme regarde sur le côté.</v>
      </c>
    </row>
    <row r="6436">
      <c r="A6436" s="4" t="s">
        <v>8088</v>
      </c>
      <c r="B6436" s="4" t="s">
        <v>8089</v>
      </c>
      <c r="C6436" s="5" t="str">
        <f>IFERROR(__xludf.DUMMYFUNCTION("GOOGLETRANSLATE(B6436,""en"",""fr"")"),"Deux paires de femmes sont dans une pièce en jouant à un jeu de football.")</f>
        <v>Deux paires de femmes sont dans une pièce en jouant à un jeu de football.</v>
      </c>
    </row>
    <row r="6437">
      <c r="A6437" s="4" t="s">
        <v>8088</v>
      </c>
      <c r="B6437" s="4" t="s">
        <v>8090</v>
      </c>
      <c r="C6437" s="5" t="str">
        <f>IFERROR(__xludf.DUMMYFUNCTION("GOOGLETRANSLATE(B6437,""en"",""fr"")"),"Les filles de gauche font deux buts et commencent à applaudir.")</f>
        <v>Les filles de gauche font deux buts et commencent à applaudir.</v>
      </c>
    </row>
    <row r="6438">
      <c r="A6438" s="4" t="s">
        <v>8091</v>
      </c>
      <c r="B6438" s="4" t="s">
        <v>8092</v>
      </c>
      <c r="C6438" s="5" t="str">
        <f>IFERROR(__xludf.DUMMYFUNCTION("GOOGLETRANSLATE(B6438,""en"",""fr"")"),"Un homme court et plonge dans l'eau sur une plage.")</f>
        <v>Un homme court et plonge dans l'eau sur une plage.</v>
      </c>
    </row>
    <row r="6439">
      <c r="A6439" s="4" t="s">
        <v>8091</v>
      </c>
      <c r="B6439" s="4" t="s">
        <v>8093</v>
      </c>
      <c r="C6439" s="5" t="str">
        <f>IFERROR(__xludf.DUMMYFUNCTION("GOOGLETRANSLATE(B6439,""en"",""fr"")"),"Un homme portant une planche de surf marche sur la plage.")</f>
        <v>Un homme portant une planche de surf marche sur la plage.</v>
      </c>
    </row>
    <row r="6440">
      <c r="A6440" s="4" t="s">
        <v>8091</v>
      </c>
      <c r="B6440" s="4" t="s">
        <v>8094</v>
      </c>
      <c r="C6440" s="5" t="str">
        <f>IFERROR(__xludf.DUMMYFUNCTION("GOOGLETRANSLATE(B6440,""en"",""fr"")"),"Les gens surfent dans l'eau.")</f>
        <v>Les gens surfent dans l'eau.</v>
      </c>
    </row>
    <row r="6441">
      <c r="A6441" s="4" t="s">
        <v>8091</v>
      </c>
      <c r="B6441" s="4" t="s">
        <v>8095</v>
      </c>
      <c r="C6441" s="5" t="str">
        <f>IFERROR(__xludf.DUMMYFUNCTION("GOOGLETRANSLATE(B6441,""en"",""fr"")"),"Un homme est assis dans le sable.")</f>
        <v>Un homme est assis dans le sable.</v>
      </c>
    </row>
    <row r="6442">
      <c r="A6442" s="4" t="s">
        <v>8091</v>
      </c>
      <c r="B6442" s="4" t="s">
        <v>8096</v>
      </c>
      <c r="C6442" s="5" t="str">
        <f>IFERROR(__xludf.DUMMYFUNCTION("GOOGLETRANSLATE(B6442,""en"",""fr"")"),"Plus de gens surfent dans l'eau.")</f>
        <v>Plus de gens surfent dans l'eau.</v>
      </c>
    </row>
    <row r="6443">
      <c r="A6443" s="4" t="s">
        <v>8091</v>
      </c>
      <c r="B6443" s="4" t="s">
        <v>8097</v>
      </c>
      <c r="C6443" s="5" t="str">
        <f>IFERROR(__xludf.DUMMYFUNCTION("GOOGLETRANSLATE(B6443,""en"",""fr"")"),"Deux dames en bikinis sont sur la plage.")</f>
        <v>Deux dames en bikinis sont sur la plage.</v>
      </c>
    </row>
    <row r="6444">
      <c r="A6444" s="4" t="s">
        <v>8091</v>
      </c>
      <c r="B6444" s="4" t="s">
        <v>8098</v>
      </c>
      <c r="C6444" s="5" t="str">
        <f>IFERROR(__xludf.DUMMYFUNCTION("GOOGLETRANSLATE(B6444,""en"",""fr"")"),"Les gens chevauchent des vagues dans l'eau surfant.")</f>
        <v>Les gens chevauchent des vagues dans l'eau surfant.</v>
      </c>
    </row>
    <row r="6445">
      <c r="A6445" s="4" t="s">
        <v>8099</v>
      </c>
      <c r="B6445" s="4" t="s">
        <v>8100</v>
      </c>
      <c r="C6445" s="5" t="str">
        <f>IFERROR(__xludf.DUMMYFUNCTION("GOOGLETRANSLATE(B6445,""en"",""fr"")"),"La vidéo mène à plusieurs clips de jeunes enfants pratiquant les mouvements de gymnastique dans une grande salle de sport.")</f>
        <v>La vidéo mène à plusieurs clips de jeunes enfants pratiquant les mouvements de gymnastique dans une grande salle de sport.</v>
      </c>
    </row>
    <row r="6446">
      <c r="A6446" s="4" t="s">
        <v>8099</v>
      </c>
      <c r="B6446" s="4" t="s">
        <v>8101</v>
      </c>
      <c r="C6446" s="5" t="str">
        <f>IFERROR(__xludf.DUMMYFUNCTION("GOOGLETRANSLATE(B6446,""en"",""fr"")"),"La vidéo continue avec les enfants se retournant et sautant sur les tapis.")</f>
        <v>La vidéo continue avec les enfants se retournant et sautant sur les tapis.</v>
      </c>
    </row>
    <row r="6447">
      <c r="A6447" s="4" t="s">
        <v>8102</v>
      </c>
      <c r="B6447" s="4" t="s">
        <v>8103</v>
      </c>
      <c r="C6447" s="5" t="str">
        <f>IFERROR(__xludf.DUMMYFUNCTION("GOOGLETRANSLATE(B6447,""en"",""fr"")"),"L'homme est de plongée sous-marine sous l'eau et dit bonjour à la caméra.")</f>
        <v>L'homme est de plongée sous-marine sous l'eau et dit bonjour à la caméra.</v>
      </c>
    </row>
    <row r="6448">
      <c r="A6448" s="4" t="s">
        <v>8102</v>
      </c>
      <c r="B6448" s="4" t="s">
        <v>8104</v>
      </c>
      <c r="C6448" s="5" t="str">
        <f>IFERROR(__xludf.DUMMYFUNCTION("GOOGLETRANSLATE(B6448,""en"",""fr"")"),"Les gens sont de plongée sous-marine en regardant les poissons nager entre les rochers.")</f>
        <v>Les gens sont de plongée sous-marine en regardant les poissons nager entre les rochers.</v>
      </c>
    </row>
    <row r="6449">
      <c r="A6449" s="4" t="s">
        <v>8102</v>
      </c>
      <c r="B6449" s="4" t="s">
        <v>8105</v>
      </c>
      <c r="C6449" s="5" t="str">
        <f>IFERROR(__xludf.DUMMYFUNCTION("GOOGLETRANSLATE(B6449,""en"",""fr"")"),"Les gens sont sous la plongée sous la plongée en mer en enregistrant tout.")</f>
        <v>Les gens sont sous la plongée sous la plongée en mer en enregistrant tout.</v>
      </c>
    </row>
    <row r="6450">
      <c r="A6450" s="4" t="s">
        <v>8106</v>
      </c>
      <c r="B6450" s="4" t="s">
        <v>8107</v>
      </c>
      <c r="C6450" s="5" t="str">
        <f>IFERROR(__xludf.DUMMYFUNCTION("GOOGLETRANSLATE(B6450,""en"",""fr"")"),"Un homme tourne et lance une balle sur le terrain.")</f>
        <v>Un homme tourne et lance une balle sur le terrain.</v>
      </c>
    </row>
    <row r="6451">
      <c r="A6451" s="4" t="s">
        <v>8106</v>
      </c>
      <c r="B6451" s="4" t="s">
        <v>8108</v>
      </c>
      <c r="C6451" s="5" t="str">
        <f>IFERROR(__xludf.DUMMYFUNCTION("GOOGLETRANSLATE(B6451,""en"",""fr"")"),"Un autre homme tourne et lance une balle sur le terrain.")</f>
        <v>Un autre homme tourne et lance une balle sur le terrain.</v>
      </c>
    </row>
    <row r="6452">
      <c r="A6452" s="4" t="s">
        <v>8106</v>
      </c>
      <c r="B6452" s="4" t="s">
        <v>8109</v>
      </c>
      <c r="C6452" s="5" t="str">
        <f>IFERROR(__xludf.DUMMYFUNCTION("GOOGLETRANSLATE(B6452,""en"",""fr"")"),"Les gens dans les tribunes émoussent l'athlète.")</f>
        <v>Les gens dans les tribunes émoussent l'athlète.</v>
      </c>
    </row>
    <row r="6453">
      <c r="A6453" s="4" t="s">
        <v>8110</v>
      </c>
      <c r="B6453" s="6" t="s">
        <v>8111</v>
      </c>
      <c r="C6453" s="5" t="str">
        <f>IFERROR(__xludf.DUMMYFUNCTION("GOOGLETRANSLATE(B6453,""en"",""fr"")"),"Une introduction arrive à l'écran pour une vidéo sur la façon de jouer différentes chansons sur le violon.")</f>
        <v>Une introduction arrive à l'écran pour une vidéo sur la façon de jouer différentes chansons sur le violon.</v>
      </c>
    </row>
    <row r="6454">
      <c r="A6454" s="4" t="s">
        <v>8110</v>
      </c>
      <c r="B6454" s="6" t="s">
        <v>8112</v>
      </c>
      <c r="C6454" s="5" t="str">
        <f>IFERROR(__xludf.DUMMYFUNCTION("GOOGLETRANSLATE(B6454,""en"",""fr"")"),"Un homme vient à l'écran avec un violon et commence à expliquer différentes techniques pour jouer du violon.")</f>
        <v>Un homme vient à l'écran avec un violon et commence à expliquer différentes techniques pour jouer du violon.</v>
      </c>
    </row>
    <row r="6455">
      <c r="A6455" s="4" t="s">
        <v>8110</v>
      </c>
      <c r="B6455" s="4" t="s">
        <v>8113</v>
      </c>
      <c r="C6455" s="5" t="str">
        <f>IFERROR(__xludf.DUMMYFUNCTION("GOOGLETRANSLATE(B6455,""en"",""fr"")"),"Il se rapproche de la caméra afin que vous puissiez voir le détail de ce qu'il fait avec ses mains.")</f>
        <v>Il se rapproche de la caméra afin que vous puissiez voir le détail de ce qu'il fait avec ses mains.</v>
      </c>
    </row>
    <row r="6456">
      <c r="A6456" s="4" t="s">
        <v>8110</v>
      </c>
      <c r="B6456" s="4" t="s">
        <v>8114</v>
      </c>
      <c r="C6456" s="5" t="str">
        <f>IFERROR(__xludf.DUMMYFUNCTION("GOOGLETRANSLATE(B6456,""en"",""fr"")"),"Il commence à jouer différentes notes sur le violon alors qu'il bouge les doigts.")</f>
        <v>Il commence à jouer différentes notes sur le violon alors qu'il bouge les doigts.</v>
      </c>
    </row>
    <row r="6457">
      <c r="A6457" s="4" t="s">
        <v>8110</v>
      </c>
      <c r="B6457" s="4" t="s">
        <v>8115</v>
      </c>
      <c r="C6457" s="5" t="str">
        <f>IFERROR(__xludf.DUMMYFUNCTION("GOOGLETRANSLATE(B6457,""en"",""fr"")"),"La vidéo se termine par les crédits de clôture affichés à travers l'écran.")</f>
        <v>La vidéo se termine par les crédits de clôture affichés à travers l'écran.</v>
      </c>
    </row>
    <row r="6458">
      <c r="A6458" s="4" t="s">
        <v>8116</v>
      </c>
      <c r="B6458" s="4" t="s">
        <v>8117</v>
      </c>
      <c r="C6458" s="5" t="str">
        <f>IFERROR(__xludf.DUMMYFUNCTION("GOOGLETRANSLATE(B6458,""en"",""fr"")"),"Un homme se tient devant la caméra en train de parler puis se déplace derrière la table.")</f>
        <v>Un homme se tient devant la caméra en train de parler puis se déplace derrière la table.</v>
      </c>
    </row>
    <row r="6459">
      <c r="A6459" s="4" t="s">
        <v>8116</v>
      </c>
      <c r="B6459" s="6" t="s">
        <v>8118</v>
      </c>
      <c r="C6459" s="5" t="str">
        <f>IFERROR(__xludf.DUMMYFUNCTION("GOOGLETRANSLATE(B6459,""en"",""fr"")"),"Sur la table, il a du papier d'emballage, un bâton de cour, du ruban adhésif et un crayon et les déplace de l'autre côté de la boîte.")</f>
        <v>Sur la table, il a du papier d'emballage, un bâton de cour, du ruban adhésif et un crayon et les déplace de l'autre côté de la boîte.</v>
      </c>
    </row>
    <row r="6460">
      <c r="A6460" s="4" t="s">
        <v>8116</v>
      </c>
      <c r="B6460" s="6" t="s">
        <v>8119</v>
      </c>
      <c r="C6460" s="5" t="str">
        <f>IFERROR(__xludf.DUMMYFUNCTION("GOOGLETRANSLATE(B6460,""en"",""fr"")"),"La boîte est ensuite ramassée et placée sur le papier d'emballage et l'homme mesure le papier d'emballage.")</f>
        <v>La boîte est ensuite ramassée et placée sur le papier d'emballage et l'homme mesure le papier d'emballage.</v>
      </c>
    </row>
    <row r="6461">
      <c r="A6461" s="4" t="s">
        <v>8116</v>
      </c>
      <c r="B6461" s="4" t="s">
        <v>8120</v>
      </c>
      <c r="C6461" s="5" t="str">
        <f>IFERROR(__xludf.DUMMYFUNCTION("GOOGLETRANSLATE(B6461,""en"",""fr"")"),"Le papier d'emballage est ensuite collé et le reste est mesuré avant qu'il ne sache.")</f>
        <v>Le papier d'emballage est ensuite collé et le reste est mesuré avant qu'il ne sache.</v>
      </c>
    </row>
    <row r="6462">
      <c r="A6462" s="4" t="s">
        <v>8121</v>
      </c>
      <c r="B6462" s="4" t="s">
        <v>8122</v>
      </c>
      <c r="C6462" s="5" t="str">
        <f>IFERROR(__xludf.DUMMYFUNCTION("GOOGLETRANSLATE(B6462,""en"",""fr"")"),"Une femme et un homme jouent à un jeu de palets à l'extérieur.")</f>
        <v>Une femme et un homme jouent à un jeu de palets à l'extérieur.</v>
      </c>
    </row>
    <row r="6463">
      <c r="A6463" s="4" t="s">
        <v>8121</v>
      </c>
      <c r="B6463" s="4" t="s">
        <v>8123</v>
      </c>
      <c r="C6463" s="5" t="str">
        <f>IFERROR(__xludf.DUMMYFUNCTION("GOOGLETRANSLATE(B6463,""en"",""fr"")"),"La femme part en premier, puis l'homme prend son tour.")</f>
        <v>La femme part en premier, puis l'homme prend son tour.</v>
      </c>
    </row>
    <row r="6464">
      <c r="A6464" s="4" t="s">
        <v>8124</v>
      </c>
      <c r="B6464" s="4" t="s">
        <v>8125</v>
      </c>
      <c r="C6464" s="5" t="str">
        <f>IFERROR(__xludf.DUMMYFUNCTION("GOOGLETRANSLATE(B6464,""en"",""fr"")"),"Un homme est montré portant un casque et grimpant sur une paroi rocheuse.")</f>
        <v>Un homme est montré portant un casque et grimpant sur une paroi rocheuse.</v>
      </c>
    </row>
    <row r="6465">
      <c r="A6465" s="4" t="s">
        <v>8124</v>
      </c>
      <c r="B6465" s="6" t="s">
        <v>8126</v>
      </c>
      <c r="C6465" s="5" t="str">
        <f>IFERROR(__xludf.DUMMYFUNCTION("GOOGLETRANSLATE(B6465,""en"",""fr"")"),"Il continue de monter dans la paroi rocheuse tandis que la caméra capture ses mouvements et se balançant autour des montagnes et de l'eau autour d'eux.")</f>
        <v>Il continue de monter dans la paroi rocheuse tandis que la caméra capture ses mouvements et se balançant autour des montagnes et de l'eau autour d'eux.</v>
      </c>
    </row>
    <row r="6466">
      <c r="A6466" s="4" t="s">
        <v>8124</v>
      </c>
      <c r="B6466" s="4" t="s">
        <v>8127</v>
      </c>
      <c r="C6466" s="5" t="str">
        <f>IFERROR(__xludf.DUMMYFUNCTION("GOOGLETRANSLATE(B6466,""en"",""fr"")"),"Le grimpeur vérifie sa corde et secoue le clip de sa corde.")</f>
        <v>Le grimpeur vérifie sa corde et secoue le clip de sa corde.</v>
      </c>
    </row>
    <row r="6467">
      <c r="A6467" s="4" t="s">
        <v>8128</v>
      </c>
      <c r="B6467" s="4" t="s">
        <v>1251</v>
      </c>
      <c r="C6467" s="5" t="str">
        <f>IFERROR(__xludf.DUMMYFUNCTION("GOOGLETRANSLATE(B6467,""en"",""fr"")"),"Les crédits du clip sont affichés.")</f>
        <v>Les crédits du clip sont affichés.</v>
      </c>
    </row>
    <row r="6468">
      <c r="A6468" s="4" t="s">
        <v>8128</v>
      </c>
      <c r="B6468" s="4" t="s">
        <v>8129</v>
      </c>
      <c r="C6468" s="5" t="str">
        <f>IFERROR(__xludf.DUMMYFUNCTION("GOOGLETRANSLATE(B6468,""en"",""fr"")"),"Les gens se chargent en canoës orange.")</f>
        <v>Les gens se chargent en canoës orange.</v>
      </c>
    </row>
    <row r="6469">
      <c r="A6469" s="4" t="s">
        <v>8128</v>
      </c>
      <c r="B6469" s="4" t="s">
        <v>8130</v>
      </c>
      <c r="C6469" s="5" t="str">
        <f>IFERROR(__xludf.DUMMYFUNCTION("GOOGLETRANSLATE(B6469,""en"",""fr"")"),"Les gens rampent des canoës sur un plan d'eau.")</f>
        <v>Les gens rampent des canoës sur un plan d'eau.</v>
      </c>
    </row>
    <row r="6470">
      <c r="A6470" s="4" t="s">
        <v>8128</v>
      </c>
      <c r="B6470" s="4" t="s">
        <v>8131</v>
      </c>
      <c r="C6470" s="5" t="str">
        <f>IFERROR(__xludf.DUMMYFUNCTION("GOOGLETRANSLATE(B6470,""en"",""fr"")"),"Deux gars pagayent leur canoë.")</f>
        <v>Deux gars pagayent leur canoë.</v>
      </c>
    </row>
    <row r="6471">
      <c r="A6471" s="4" t="s">
        <v>8128</v>
      </c>
      <c r="B6471" s="4" t="s">
        <v>573</v>
      </c>
      <c r="C6471" s="5" t="str">
        <f>IFERROR(__xludf.DUMMYFUNCTION("GOOGLETRANSLATE(B6471,""en"",""fr"")"),"Les crédits de la vidéo sont affichés.")</f>
        <v>Les crédits de la vidéo sont affichés.</v>
      </c>
    </row>
    <row r="6472">
      <c r="A6472" s="4" t="s">
        <v>8132</v>
      </c>
      <c r="B6472" s="6" t="s">
        <v>8133</v>
      </c>
      <c r="C6472" s="5" t="str">
        <f>IFERROR(__xludf.DUMMYFUNCTION("GOOGLETRANSLATE(B6472,""en"",""fr"")"),"Une fille souriante portant des accolades et des lunettes soulève un sac rose au-dessus de sa tête alors qu'elle se tient devant le corps du milieu d'un cheval, et les mots ""toiletant avec Erin"".")</f>
        <v>Une fille souriante portant des accolades et des lunettes soulève un sac rose au-dessus de sa tête alors qu'elle se tient devant le corps du milieu d'un cheval, et les mots "toiletant avec Erin".</v>
      </c>
    </row>
    <row r="6473">
      <c r="A6473" s="4" t="s">
        <v>8132</v>
      </c>
      <c r="B6473" s="6" t="s">
        <v>8134</v>
      </c>
      <c r="C6473" s="5" t="str">
        <f>IFERROR(__xludf.DUMMYFUNCTION("GOOGLETRANSLATE(B6473,""en"",""fr"")"),"Maintenant, le cheval est entièrement visible et la fille atteint son sac rose pour prendre une brosse et commence à brosser le cheval sur tout le corps de l'avant en arrière et de chaque côté.")</f>
        <v>Maintenant, le cheval est entièrement visible et la fille atteint son sac rose pour prendre une brosse et commence à brosser le cheval sur tout le corps de l'avant en arrière et de chaque côté.</v>
      </c>
    </row>
    <row r="6474">
      <c r="A6474" s="4" t="s">
        <v>8132</v>
      </c>
      <c r="B6474" s="6" t="s">
        <v>8135</v>
      </c>
      <c r="C6474" s="5" t="str">
        <f>IFERROR(__xludf.DUMMYFUNCTION("GOOGLETRANSLATE(B6474,""en"",""fr"")"),"La fille retourne dans le sac rose, attrape une autre brosse et recommence à brosser le cheval de la tête aux pieds et tout autour de son corps de chaque côté.")</f>
        <v>La fille retourne dans le sac rose, attrape une autre brosse et recommence à brosser le cheval de la tête aux pieds et tout autour de son corps de chaque côté.</v>
      </c>
    </row>
    <row r="6475">
      <c r="A6475" s="4" t="s">
        <v>8132</v>
      </c>
      <c r="B6475" s="6" t="s">
        <v>8136</v>
      </c>
      <c r="C6475" s="5" t="str">
        <f>IFERROR(__xludf.DUMMYFUNCTION("GOOGLETRANSLATE(B6475,""en"",""fr"")"),"La fille va encore une fois au rose pour retourner le pinceau qu'elle utilisait et attrape un autre pinceau où elle commence à nouveau à brosser le cheval de la tête aux pieds et de tous les côtés.")</f>
        <v>La fille va encore une fois au rose pour retourner le pinceau qu'elle utilisait et attrape un autre pinceau où elle commence à nouveau à brosser le cheval de la tête aux pieds et de tous les côtés.</v>
      </c>
    </row>
    <row r="6476">
      <c r="A6476" s="4" t="s">
        <v>8132</v>
      </c>
      <c r="B6476" s="6" t="s">
        <v>8137</v>
      </c>
      <c r="C6476" s="5" t="str">
        <f>IFERROR(__xludf.DUMMYFUNCTION("GOOGLETRANSLATE(B6476,""en"",""fr"")"),"Les filles du sac pour laisser tomber la brosse, puis attrape un outil vert, se dirigent vers les chevaux avant gauche, le ramasse et commence à nettoyer la chaussure, puis se promène autour du cheval et fait le reste de ses chaussures.")</f>
        <v>Les filles du sac pour laisser tomber la brosse, puis attrape un outil vert, se dirigent vers les chevaux avant gauche, le ramasse et commence à nettoyer la chaussure, puis se promène autour du cheval et fait le reste de ses chaussures.</v>
      </c>
    </row>
    <row r="6477">
      <c r="A6477" s="4" t="s">
        <v>8132</v>
      </c>
      <c r="B6477" s="6" t="s">
        <v>8138</v>
      </c>
      <c r="C6477" s="5" t="str">
        <f>IFERROR(__xludf.DUMMYFUNCTION("GOOGLETRANSLATE(B6477,""en"",""fr"")"),"Lorsque la fille a terminé avec le nettoyage des chaussures, elle ramène l'outil dans le sac rose et attrape une brosse de hors caméra, brosse la crinière, embrasse le cheval, puis ramène le pinceau vers le sac rose, se dirige vers le Caméra et sourit gra"&amp;"nd.")</f>
        <v>Lorsque la fille a terminé avec le nettoyage des chaussures, elle ramène l'outil dans le sac rose et attrape une brosse de hors caméra, brosse la crinière, embrasse le cheval, puis ramène le pinceau vers le sac rose, se dirige vers le Caméra et sourit grand.</v>
      </c>
    </row>
    <row r="6478">
      <c r="A6478" s="4" t="s">
        <v>8139</v>
      </c>
      <c r="B6478" s="6" t="s">
        <v>8140</v>
      </c>
      <c r="C6478" s="5" t="str">
        <f>IFERROR(__xludf.DUMMYFUNCTION("GOOGLETRANSLATE(B6478,""en"",""fr"")"),"Une femme tourne une tige sur l'air tout en tournant et en dansant, puis elle jette la tige haute et tourne avant pour attraper la tige.")</f>
        <v>Une femme tourne une tige sur l'air tout en tournant et en dansant, puis elle jette la tige haute et tourne avant pour attraper la tige.</v>
      </c>
    </row>
    <row r="6479">
      <c r="A6479" s="4" t="s">
        <v>8139</v>
      </c>
      <c r="B6479" s="4" t="s">
        <v>8141</v>
      </c>
      <c r="C6479" s="5" t="str">
        <f>IFERROR(__xludf.DUMMYFUNCTION("GOOGLETRANSLATE(B6479,""en"",""fr"")"),"La femme continue de tourner la tige autour du corps, jette également la tige en l'air.")</f>
        <v>La femme continue de tourner la tige autour du corps, jette également la tige en l'air.</v>
      </c>
    </row>
    <row r="6480">
      <c r="A6480" s="4" t="s">
        <v>8139</v>
      </c>
      <c r="B6480" s="6" t="s">
        <v>8142</v>
      </c>
      <c r="C6480" s="5" t="str">
        <f>IFERROR(__xludf.DUMMYFUNCTION("GOOGLETRANSLATE(B6480,""en"",""fr"")"),"Ensuite, la femme roule la tige sur ses bras, puis elle jette la tige en l'air et fait une roue de charrette avant d'attraper la tige.")</f>
        <v>Ensuite, la femme roule la tige sur ses bras, puis elle jette la tige en l'air et fait une roue de charrette avant d'attraper la tige.</v>
      </c>
    </row>
    <row r="6481">
      <c r="A6481" s="4" t="s">
        <v>8139</v>
      </c>
      <c r="B6481" s="4" t="s">
        <v>8143</v>
      </c>
      <c r="C6481" s="5" t="str">
        <f>IFERROR(__xludf.DUMMYFUNCTION("GOOGLETRANSLATE(B6481,""en"",""fr"")"),"Ensuite, la femme roule la tige sur son cou gracieusement et met fin à sa performance.")</f>
        <v>Ensuite, la femme roule la tige sur son cou gracieusement et met fin à sa performance.</v>
      </c>
    </row>
    <row r="6482">
      <c r="A6482" s="4" t="s">
        <v>8144</v>
      </c>
      <c r="B6482" s="6" t="s">
        <v>8145</v>
      </c>
      <c r="C6482" s="5" t="str">
        <f>IFERROR(__xludf.DUMMYFUNCTION("GOOGLETRANSLATE(B6482,""en"",""fr"")"),"D'abord, la femme âgée va embrasser le jeune homme, puis un homme en chemise bleue joue magnifiquement le piano de différentes mélodies.")</f>
        <v>D'abord, la femme âgée va embrasser le jeune homme, puis un homme en chemise bleue joue magnifiquement le piano de différentes mélodies.</v>
      </c>
    </row>
    <row r="6483">
      <c r="A6483" s="4" t="s">
        <v>8144</v>
      </c>
      <c r="B6483" s="6" t="s">
        <v>8146</v>
      </c>
      <c r="C6483" s="5" t="str">
        <f>IFERROR(__xludf.DUMMYFUNCTION("GOOGLETRANSLATE(B6483,""en"",""fr"")"),"Puis deux petits garçons courent devant la porte tandis que l'homme qui se tient près de la porte a l'air fatigué et pitoyable.")</f>
        <v>Puis deux petits garçons courent devant la porte tandis que l'homme qui se tient près de la porte a l'air fatigué et pitoyable.</v>
      </c>
    </row>
    <row r="6484">
      <c r="A6484" s="4" t="s">
        <v>8147</v>
      </c>
      <c r="B6484" s="4" t="s">
        <v>8148</v>
      </c>
      <c r="C6484" s="5" t="str">
        <f>IFERROR(__xludf.DUMMYFUNCTION("GOOGLETRANSLATE(B6484,""en"",""fr"")"),"Un grand groupe de personnes est vue debout dans un grand champ de détention.")</f>
        <v>Un grand groupe de personnes est vue debout dans un grand champ de détention.</v>
      </c>
    </row>
    <row r="6485">
      <c r="A6485" s="4" t="s">
        <v>8147</v>
      </c>
      <c r="B6485" s="4" t="s">
        <v>8149</v>
      </c>
      <c r="C6485" s="5" t="str">
        <f>IFERROR(__xludf.DUMMYFUNCTION("GOOGLETRANSLATE(B6485,""en"",""fr"")"),"Un homme mène devant alors que le groupe s'éloigne et commence à jouer en tant que groupe.")</f>
        <v>Un homme mène devant alors que le groupe s'éloigne et commence à jouer en tant que groupe.</v>
      </c>
    </row>
    <row r="6486">
      <c r="A6486" s="4" t="s">
        <v>8147</v>
      </c>
      <c r="B6486" s="4" t="s">
        <v>8150</v>
      </c>
      <c r="C6486" s="5" t="str">
        <f>IFERROR(__xludf.DUMMYFUNCTION("GOOGLETRANSLATE(B6486,""en"",""fr"")"),"Le groupe continue de jouer ensemble et se termine en s'éloignant.")</f>
        <v>Le groupe continue de jouer ensemble et se termine en s'éloignant.</v>
      </c>
    </row>
    <row r="6487">
      <c r="A6487" s="4" t="s">
        <v>8151</v>
      </c>
      <c r="B6487" s="4" t="s">
        <v>8152</v>
      </c>
      <c r="C6487" s="5" t="str">
        <f>IFERROR(__xludf.DUMMYFUNCTION("GOOGLETRANSLATE(B6487,""en"",""fr"")"),"Un jeune homme avec un sac à dos parle et se promène dans une station.")</f>
        <v>Un jeune homme avec un sac à dos parle et se promène dans une station.</v>
      </c>
    </row>
    <row r="6488">
      <c r="A6488" s="4" t="s">
        <v>8151</v>
      </c>
      <c r="B6488" s="4" t="s">
        <v>8153</v>
      </c>
      <c r="C6488" s="5" t="str">
        <f>IFERROR(__xludf.DUMMYFUNCTION("GOOGLETRANSLATE(B6488,""en"",""fr"")"),"Il y a un homme assis sur le sol à briller une chaussure.")</f>
        <v>Il y a un homme assis sur le sol à briller une chaussure.</v>
      </c>
    </row>
    <row r="6489">
      <c r="A6489" s="4" t="s">
        <v>8151</v>
      </c>
      <c r="B6489" s="4" t="s">
        <v>8154</v>
      </c>
      <c r="C6489" s="5" t="str">
        <f>IFERROR(__xludf.DUMMYFUNCTION("GOOGLETRANSLATE(B6489,""en"",""fr"")"),"Il applique la pommade à la chaussure et reprend en buffant la chaussure.")</f>
        <v>Il applique la pommade à la chaussure et reprend en buffant la chaussure.</v>
      </c>
    </row>
    <row r="6490">
      <c r="A6490" s="4" t="s">
        <v>8151</v>
      </c>
      <c r="B6490" s="6" t="s">
        <v>8155</v>
      </c>
      <c r="C6490" s="5" t="str">
        <f>IFERROR(__xludf.DUMMYFUNCTION("GOOGLETRANSLATE(B6490,""en"",""fr"")"),"Le client déplace son pied droit vers le bas et place son pied gauche sur le stand et l'homme commence à polir la chaussure.")</f>
        <v>Le client déplace son pied droit vers le bas et place son pied gauche sur le stand et l'homme commence à polir la chaussure.</v>
      </c>
    </row>
    <row r="6491">
      <c r="A6491" s="4" t="s">
        <v>8151</v>
      </c>
      <c r="B6491" s="4" t="s">
        <v>8156</v>
      </c>
      <c r="C6491" s="5" t="str">
        <f>IFERROR(__xludf.DUMMYFUNCTION("GOOGLETRANSLATE(B6491,""en"",""fr"")"),"Deux hommes de chaque côté de la chaussure Shiner observent la foule.")</f>
        <v>Deux hommes de chaque côté de la chaussure Shiner observent la foule.</v>
      </c>
    </row>
    <row r="6492">
      <c r="A6492" s="4" t="s">
        <v>8151</v>
      </c>
      <c r="B6492" s="4" t="s">
        <v>8157</v>
      </c>
      <c r="C6492" s="5" t="str">
        <f>IFERROR(__xludf.DUMMYFUNCTION("GOOGLETRANSLATE(B6492,""en"",""fr"")"),"Le Shiner continue de polir la chaussure gauche.")</f>
        <v>Le Shiner continue de polir la chaussure gauche.</v>
      </c>
    </row>
    <row r="6493">
      <c r="A6493" s="4" t="s">
        <v>8151</v>
      </c>
      <c r="B6493" s="4" t="s">
        <v>8158</v>
      </c>
      <c r="C6493" s="5" t="str">
        <f>IFERROR(__xludf.DUMMYFUNCTION("GOOGLETRANSLATE(B6493,""en"",""fr"")"),"Le train se déplace le long de la gare alors qu'une foule passe.")</f>
        <v>Le train se déplace le long de la gare alors qu'une foule passe.</v>
      </c>
    </row>
    <row r="6494">
      <c r="A6494" s="4" t="s">
        <v>8151</v>
      </c>
      <c r="B6494" s="4" t="s">
        <v>8159</v>
      </c>
      <c r="C6494" s="5" t="str">
        <f>IFERROR(__xludf.DUMMYFUNCTION("GOOGLETRANSLATE(B6494,""en"",""fr"")"),"Le Shiner revient à la bonne chaussure.")</f>
        <v>Le Shiner revient à la bonne chaussure.</v>
      </c>
    </row>
    <row r="6495">
      <c r="A6495" s="4" t="s">
        <v>8151</v>
      </c>
      <c r="B6495" s="4" t="s">
        <v>8160</v>
      </c>
      <c r="C6495" s="5" t="str">
        <f>IFERROR(__xludf.DUMMYFUNCTION("GOOGLETRANSLATE(B6495,""en"",""fr"")"),"Le Shiner essuie la chaussure avec un tissu.")</f>
        <v>Le Shiner essuie la chaussure avec un tissu.</v>
      </c>
    </row>
    <row r="6496">
      <c r="A6496" s="4" t="s">
        <v>8151</v>
      </c>
      <c r="B6496" s="4" t="s">
        <v>8161</v>
      </c>
      <c r="C6496" s="5" t="str">
        <f>IFERROR(__xludf.DUMMYFUNCTION("GOOGLETRANSLATE(B6496,""en"",""fr"")"),"L'homme reprend polir la chaussure de gauche.")</f>
        <v>L'homme reprend polir la chaussure de gauche.</v>
      </c>
    </row>
    <row r="6497">
      <c r="A6497" s="4" t="s">
        <v>8151</v>
      </c>
      <c r="B6497" s="4" t="s">
        <v>8162</v>
      </c>
      <c r="C6497" s="5" t="str">
        <f>IFERROR(__xludf.DUMMYFUNCTION("GOOGLETRANSLATE(B6497,""en"",""fr"")"),"L'homme laisse tomber son bloc et reprend le polissage.")</f>
        <v>L'homme laisse tomber son bloc et reprend le polissage.</v>
      </c>
    </row>
    <row r="6498">
      <c r="A6498" s="4" t="s">
        <v>8151</v>
      </c>
      <c r="B6498" s="4" t="s">
        <v>8163</v>
      </c>
      <c r="C6498" s="5" t="str">
        <f>IFERROR(__xludf.DUMMYFUNCTION("GOOGLETRANSLATE(B6498,""en"",""fr"")"),"L'homme prend le tissu pour briller la chaussure gauche.")</f>
        <v>L'homme prend le tissu pour briller la chaussure gauche.</v>
      </c>
    </row>
    <row r="6499">
      <c r="A6499" s="4" t="s">
        <v>8151</v>
      </c>
      <c r="B6499" s="4" t="s">
        <v>8164</v>
      </c>
      <c r="C6499" s="5" t="str">
        <f>IFERROR(__xludf.DUMMYFUNCTION("GOOGLETRANSLATE(B6499,""en"",""fr"")"),"Le client observe ses chaussures brillantes.")</f>
        <v>Le client observe ses chaussures brillantes.</v>
      </c>
    </row>
    <row r="6500">
      <c r="A6500" s="4" t="s">
        <v>8151</v>
      </c>
      <c r="B6500" s="4" t="s">
        <v>8165</v>
      </c>
      <c r="C6500" s="5" t="str">
        <f>IFERROR(__xludf.DUMMYFUNCTION("GOOGLETRANSLATE(B6500,""en"",""fr"")"),"Le client s'éloigne du cachet de la chaussure.")</f>
        <v>Le client s'éloigne du cachet de la chaussure.</v>
      </c>
    </row>
    <row r="6501">
      <c r="A6501" s="4" t="s">
        <v>8166</v>
      </c>
      <c r="B6501" s="4" t="s">
        <v>8167</v>
      </c>
      <c r="C6501" s="5" t="str">
        <f>IFERROR(__xludf.DUMMYFUNCTION("GOOGLETRANSLATE(B6501,""en"",""fr"")"),"Un homme est vu portant un souffleur de récif et soufflant tout autour d'un trampoline.")</f>
        <v>Un homme est vu portant un souffleur de récif et soufflant tout autour d'un trampoline.</v>
      </c>
    </row>
    <row r="6502">
      <c r="A6502" s="4" t="s">
        <v>8166</v>
      </c>
      <c r="B6502" s="4" t="s">
        <v>8168</v>
      </c>
      <c r="C6502" s="5" t="str">
        <f>IFERROR(__xludf.DUMMYFUNCTION("GOOGLETRANSLATE(B6502,""en"",""fr"")"),"On voit des enfants sauter sur le trampoline pendant que l'homme souffle autour d'eux.")</f>
        <v>On voit des enfants sauter sur le trampoline pendant que l'homme souffle autour d'eux.</v>
      </c>
    </row>
    <row r="6503">
      <c r="A6503" s="4" t="s">
        <v>8166</v>
      </c>
      <c r="B6503" s="4" t="s">
        <v>8169</v>
      </c>
      <c r="C6503" s="5" t="str">
        <f>IFERROR(__xludf.DUMMYFUNCTION("GOOGLETRANSLATE(B6503,""en"",""fr"")"),"L'homme continue de souffler lorsque les enfants sautent autour.")</f>
        <v>L'homme continue de souffler lorsque les enfants sautent autour.</v>
      </c>
    </row>
    <row r="6504">
      <c r="A6504" s="4" t="s">
        <v>8170</v>
      </c>
      <c r="B6504" s="4" t="s">
        <v>8171</v>
      </c>
      <c r="C6504" s="5" t="str">
        <f>IFERROR(__xludf.DUMMYFUNCTION("GOOGLETRANSLATE(B6504,""en"",""fr"")"),"Une équipe de crosse se blottit puis s'entraîne.")</f>
        <v>Une équipe de crosse se blottit puis s'entraîne.</v>
      </c>
    </row>
    <row r="6505">
      <c r="A6505" s="4" t="s">
        <v>8170</v>
      </c>
      <c r="B6505" s="4" t="s">
        <v>8172</v>
      </c>
      <c r="C6505" s="5" t="str">
        <f>IFERROR(__xludf.DUMMYFUNCTION("GOOGLETRANSLATE(B6505,""en"",""fr"")"),"Un bébé est montré, puis il y a des personnes interrogées.")</f>
        <v>Un bébé est montré, puis il y a des personnes interrogées.</v>
      </c>
    </row>
    <row r="6506">
      <c r="A6506" s="4" t="s">
        <v>8170</v>
      </c>
      <c r="B6506" s="4" t="s">
        <v>8173</v>
      </c>
      <c r="C6506" s="5" t="str">
        <f>IFERROR(__xludf.DUMMYFUNCTION("GOOGLETRANSLATE(B6506,""en"",""fr"")"),"Un casque est montré et davantage d'interviews sont menées.")</f>
        <v>Un casque est montré et davantage d'interviews sont menées.</v>
      </c>
    </row>
    <row r="6507">
      <c r="A6507" s="4" t="s">
        <v>8174</v>
      </c>
      <c r="B6507" s="4" t="s">
        <v>8175</v>
      </c>
      <c r="C6507" s="5" t="str">
        <f>IFERROR(__xludf.DUMMYFUNCTION("GOOGLETRANSLATE(B6507,""en"",""fr"")"),"Un homme asiatique se tient près du clavier, il porte une chemise rouge avec un haut noir à l'intérieur.")</f>
        <v>Un homme asiatique se tient près du clavier, il porte une chemise rouge avec un haut noir à l'intérieur.</v>
      </c>
    </row>
    <row r="6508">
      <c r="A6508" s="4" t="s">
        <v>8174</v>
      </c>
      <c r="B6508" s="6" t="s">
        <v>8176</v>
      </c>
      <c r="C6508" s="5" t="str">
        <f>IFERROR(__xludf.DUMMYFUNCTION("GOOGLETRANSLATE(B6508,""en"",""fr"")"),"Deux personnes, une fille et un garçon sont assis, la fille porte un haut blanc, tandis que le garçon porte un pull à rayures blanc.")</f>
        <v>Deux personnes, une fille et un garçon sont assis, la fille porte un haut blanc, tandis que le garçon porte un pull à rayures blanc.</v>
      </c>
    </row>
    <row r="6509">
      <c r="A6509" s="4" t="s">
        <v>8174</v>
      </c>
      <c r="B6509" s="6" t="s">
        <v>8177</v>
      </c>
      <c r="C6509" s="5" t="str">
        <f>IFERROR(__xludf.DUMMYFUNCTION("GOOGLETRANSLATE(B6509,""en"",""fr"")"),"L'homme a commencé à jouer sur le clavier, il a montré ses mains, il porte un bracelet de perle noir, puis il continue de jouer tandis que les deux personnes en blanc écoutent.")</f>
        <v>L'homme a commencé à jouer sur le clavier, il a montré ses mains, il porte un bracelet de perle noir, puis il continue de jouer tandis que les deux personnes en blanc écoutent.</v>
      </c>
    </row>
    <row r="6510">
      <c r="A6510" s="4" t="s">
        <v>8174</v>
      </c>
      <c r="B6510" s="4" t="s">
        <v>8178</v>
      </c>
      <c r="C6510" s="5" t="str">
        <f>IFERROR(__xludf.DUMMYFUNCTION("GOOGLETRANSLATE(B6510,""en"",""fr"")"),"Lorsque l'homme a fini de jouer son clavier, les gens ont applaudi pour lui.")</f>
        <v>Lorsque l'homme a fini de jouer son clavier, les gens ont applaudi pour lui.</v>
      </c>
    </row>
    <row r="6511">
      <c r="A6511" s="4" t="s">
        <v>8179</v>
      </c>
      <c r="B6511" s="4" t="s">
        <v>8180</v>
      </c>
      <c r="C6511" s="5" t="str">
        <f>IFERROR(__xludf.DUMMYFUNCTION("GOOGLETRANSLATE(B6511,""en"",""fr"")"),"Une caméra se déroule autour d'un grand plan d'eau suivie de gens qui nagent dans l'eau.")</f>
        <v>Une caméra se déroule autour d'un grand plan d'eau suivie de gens qui nagent dans l'eau.</v>
      </c>
    </row>
    <row r="6512">
      <c r="A6512" s="4" t="s">
        <v>8179</v>
      </c>
      <c r="B6512" s="4" t="s">
        <v>8181</v>
      </c>
      <c r="C6512" s="5" t="str">
        <f>IFERROR(__xludf.DUMMYFUNCTION("GOOGLETRANSLATE(B6512,""en"",""fr"")"),"Les clips sont illustrés à des personnes surfant ainsi que la natation dans l'eau et souriant à la caméra.")</f>
        <v>Les clips sont illustrés à des personnes surfant ainsi que la natation dans l'eau et souriant à la caméra.</v>
      </c>
    </row>
    <row r="6513">
      <c r="A6513" s="4" t="s">
        <v>8179</v>
      </c>
      <c r="B6513" s="4" t="s">
        <v>8182</v>
      </c>
      <c r="C6513" s="5" t="str">
        <f>IFERROR(__xludf.DUMMYFUNCTION("GOOGLETRANSLATE(B6513,""en"",""fr"")"),"Plus de clips sont illustrés aux personnes de près en se déplaçant le long de l'eau.")</f>
        <v>Plus de clips sont illustrés aux personnes de près en se déplaçant le long de l'eau.</v>
      </c>
    </row>
    <row r="6514">
      <c r="A6514" s="4" t="s">
        <v>8183</v>
      </c>
      <c r="B6514" s="4" t="s">
        <v>8184</v>
      </c>
      <c r="C6514" s="5" t="str">
        <f>IFERROR(__xludf.DUMMYFUNCTION("GOOGLETRANSLATE(B6514,""en"",""fr"")"),"Un enfant boxe un adulte ganté à genoux sur le sol.")</f>
        <v>Un enfant boxe un adulte ganté à genoux sur le sol.</v>
      </c>
    </row>
    <row r="6515">
      <c r="A6515" s="4" t="s">
        <v>8183</v>
      </c>
      <c r="B6515" s="4" t="s">
        <v>8185</v>
      </c>
      <c r="C6515" s="5" t="str">
        <f>IFERROR(__xludf.DUMMYFUNCTION("GOOGLETRANSLATE(B6515,""en"",""fr"")"),"L'enfant pratique également les coups de pied au karaté.")</f>
        <v>L'enfant pratique également les coups de pied au karaté.</v>
      </c>
    </row>
    <row r="6516">
      <c r="A6516" s="4" t="s">
        <v>8183</v>
      </c>
      <c r="B6516" s="4" t="s">
        <v>8186</v>
      </c>
      <c r="C6516" s="5" t="str">
        <f>IFERROR(__xludf.DUMMYFUNCTION("GOOGLETRANSLATE(B6516,""en"",""fr"")"),"L'adulte et l'enfant sont plus élevés avec des mains gantées.")</f>
        <v>L'adulte et l'enfant sont plus élevés avec des mains gantées.</v>
      </c>
    </row>
    <row r="6517">
      <c r="A6517" s="4" t="s">
        <v>8183</v>
      </c>
      <c r="B6517" s="4" t="s">
        <v>8187</v>
      </c>
      <c r="C6517" s="5" t="str">
        <f>IFERROR(__xludf.DUMMYFUNCTION("GOOGLETRANSLATE(B6517,""en"",""fr"")"),"L'adulte commence à descendre du sol.")</f>
        <v>L'adulte commence à descendre du sol.</v>
      </c>
    </row>
    <row r="6518">
      <c r="A6518" s="4" t="s">
        <v>8188</v>
      </c>
      <c r="B6518" s="4" t="s">
        <v>8189</v>
      </c>
      <c r="C6518" s="5" t="str">
        <f>IFERROR(__xludf.DUMMYFUNCTION("GOOGLETRANSLATE(B6518,""en"",""fr"")"),"Un enfant joue avec une pièce d'attachement sous vide dans une chambre.")</f>
        <v>Un enfant joue avec une pièce d'attachement sous vide dans une chambre.</v>
      </c>
    </row>
    <row r="6519">
      <c r="A6519" s="4" t="s">
        <v>8188</v>
      </c>
      <c r="B6519" s="4" t="s">
        <v>8190</v>
      </c>
      <c r="C6519" s="5" t="str">
        <f>IFERROR(__xludf.DUMMYFUNCTION("GOOGLETRANSLATE(B6519,""en"",""fr"")"),"La mère aspire le sol de la chambre.")</f>
        <v>La mère aspire le sol de la chambre.</v>
      </c>
    </row>
    <row r="6520">
      <c r="A6520" s="4" t="s">
        <v>8188</v>
      </c>
      <c r="B6520" s="4" t="s">
        <v>8191</v>
      </c>
      <c r="C6520" s="5" t="str">
        <f>IFERROR(__xludf.DUMMYFUNCTION("GOOGLETRANSLATE(B6520,""en"",""fr"")"),"L'enfant apporte l'attache d'aspiration dans la chambre suivante.")</f>
        <v>L'enfant apporte l'attache d'aspiration dans la chambre suivante.</v>
      </c>
    </row>
    <row r="6521">
      <c r="A6521" s="4" t="s">
        <v>8192</v>
      </c>
      <c r="B6521" s="4" t="s">
        <v>8193</v>
      </c>
      <c r="C6521" s="5" t="str">
        <f>IFERROR(__xludf.DUMMYFUNCTION("GOOGLETRANSLATE(B6521,""en"",""fr"")"),"Les gens sont en train de rouler et font des astuces.")</f>
        <v>Les gens sont en train de rouler et font des astuces.</v>
      </c>
    </row>
    <row r="6522">
      <c r="A6522" s="4" t="s">
        <v>8192</v>
      </c>
      <c r="B6522" s="4" t="s">
        <v>8194</v>
      </c>
      <c r="C6522" s="5" t="str">
        <f>IFERROR(__xludf.DUMMYFUNCTION("GOOGLETRANSLATE(B6522,""en"",""fr"")"),"Une personne fait du skateboard dans un skate park.")</f>
        <v>Une personne fait du skateboard dans un skate park.</v>
      </c>
    </row>
    <row r="6523">
      <c r="A6523" s="4" t="s">
        <v>8192</v>
      </c>
      <c r="B6523" s="4" t="s">
        <v>8195</v>
      </c>
      <c r="C6523" s="5" t="str">
        <f>IFERROR(__xludf.DUMMYFUNCTION("GOOGLETRANSLATE(B6523,""en"",""fr"")"),"Une voiture blanche est dans la rue.")</f>
        <v>Une voiture blanche est dans la rue.</v>
      </c>
    </row>
    <row r="6524">
      <c r="A6524" s="4" t="s">
        <v>8196</v>
      </c>
      <c r="B6524" s="6" t="s">
        <v>8197</v>
      </c>
      <c r="C6524" s="5" t="str">
        <f>IFERROR(__xludf.DUMMYFUNCTION("GOOGLETRANSLATE(B6524,""en"",""fr"")"),"À l'extérieur sur le terrain de jeu, un garçon a grimpé au sommet du swing pendant que d'autres enfants se balancent.")</f>
        <v>À l'extérieur sur le terrain de jeu, un garçon a grimpé au sommet du swing pendant que d'autres enfants se balancent.</v>
      </c>
    </row>
    <row r="6525">
      <c r="A6525" s="4" t="s">
        <v>8196</v>
      </c>
      <c r="B6525" s="6" t="s">
        <v>8198</v>
      </c>
      <c r="C6525" s="5" t="str">
        <f>IFERROR(__xludf.DUMMYFUNCTION("GOOGLETRANSLATE(B6525,""en"",""fr"")"),"Le garçon au sommet est assis avec désinvolture tandis qu'un autre enfant est poussé par un ami sur le swing.")</f>
        <v>Le garçon au sommet est assis avec désinvolture tandis qu'un autre enfant est poussé par un ami sur le swing.</v>
      </c>
    </row>
    <row r="6526">
      <c r="A6526" s="4" t="s">
        <v>8196</v>
      </c>
      <c r="B6526" s="4" t="s">
        <v>8199</v>
      </c>
      <c r="C6526" s="5" t="str">
        <f>IFERROR(__xludf.DUMMYFUNCTION("GOOGLETRANSLATE(B6526,""en"",""fr"")"),"Elle accumule beaucoup de vitesse et va très haut.")</f>
        <v>Elle accumule beaucoup de vitesse et va très haut.</v>
      </c>
    </row>
    <row r="6527">
      <c r="A6527" s="4" t="s">
        <v>8196</v>
      </c>
      <c r="B6527" s="4" t="s">
        <v>8200</v>
      </c>
      <c r="C6527" s="5" t="str">
        <f>IFERROR(__xludf.DUMMYFUNCTION("GOOGLETRANSLATE(B6527,""en"",""fr"")"),"Elle saute mais n'atterris pas du tout, elle s'est écrasée dans l'herbe.")</f>
        <v>Elle saute mais n'atterris pas du tout, elle s'est écrasée dans l'herbe.</v>
      </c>
    </row>
    <row r="6528">
      <c r="A6528" s="4" t="s">
        <v>8201</v>
      </c>
      <c r="B6528" s="4" t="s">
        <v>8202</v>
      </c>
      <c r="C6528" s="5" t="str">
        <f>IFERROR(__xludf.DUMMYFUNCTION("GOOGLETRANSLATE(B6528,""en"",""fr"")"),"Un homme se tient sur un champ.")</f>
        <v>Un homme se tient sur un champ.</v>
      </c>
    </row>
    <row r="6529">
      <c r="A6529" s="4" t="s">
        <v>8201</v>
      </c>
      <c r="B6529" s="4" t="s">
        <v>8203</v>
      </c>
      <c r="C6529" s="5" t="str">
        <f>IFERROR(__xludf.DUMMYFUNCTION("GOOGLETRANSLATE(B6529,""en"",""fr"")"),"La foule du stade applaudit.")</f>
        <v>La foule du stade applaudit.</v>
      </c>
    </row>
    <row r="6530">
      <c r="A6530" s="4" t="s">
        <v>8201</v>
      </c>
      <c r="B6530" s="4" t="s">
        <v>8204</v>
      </c>
      <c r="C6530" s="5" t="str">
        <f>IFERROR(__xludf.DUMMYFUNCTION("GOOGLETRANSLATE(B6530,""en"",""fr"")"),"Les joueurs sur le terrain se préparent à commencer un jeu.")</f>
        <v>Les joueurs sur le terrain se préparent à commencer un jeu.</v>
      </c>
    </row>
    <row r="6531">
      <c r="A6531" s="4" t="s">
        <v>8201</v>
      </c>
      <c r="B6531" s="4" t="s">
        <v>8205</v>
      </c>
      <c r="C6531" s="5" t="str">
        <f>IFERROR(__xludf.DUMMYFUNCTION("GOOGLETRANSLATE(B6531,""en"",""fr"")"),"Le lanceur lance le ballon.")</f>
        <v>Le lanceur lance le ballon.</v>
      </c>
    </row>
    <row r="6532">
      <c r="A6532" s="4" t="s">
        <v>8201</v>
      </c>
      <c r="B6532" s="4" t="s">
        <v>8206</v>
      </c>
      <c r="C6532" s="5" t="str">
        <f>IFERROR(__xludf.DUMMYFUNCTION("GOOGLETRANSLATE(B6532,""en"",""fr"")"),"Le frappeur essaie de frapper le ballon mais manque.")</f>
        <v>Le frappeur essaie de frapper le ballon mais manque.</v>
      </c>
    </row>
    <row r="6533">
      <c r="A6533" s="4" t="s">
        <v>8201</v>
      </c>
      <c r="B6533" s="4" t="s">
        <v>8207</v>
      </c>
      <c r="C6533" s="5" t="str">
        <f>IFERROR(__xludf.DUMMYFUNCTION("GOOGLETRANSLATE(B6533,""en"",""fr"")"),"L'équipe des lanceurs quitte avec enthousiasme le terrain.")</f>
        <v>L'équipe des lanceurs quitte avec enthousiasme le terrain.</v>
      </c>
    </row>
    <row r="6534">
      <c r="A6534" s="4" t="s">
        <v>8208</v>
      </c>
      <c r="B6534" s="4" t="s">
        <v>8209</v>
      </c>
      <c r="C6534" s="5" t="str">
        <f>IFERROR(__xludf.DUMMYFUNCTION("GOOGLETRANSLATE(B6534,""en"",""fr"")"),"Il y a un cheval brun attaché dans une écurie.")</f>
        <v>Il y a un cheval brun attaché dans une écurie.</v>
      </c>
    </row>
    <row r="6535">
      <c r="A6535" s="4" t="s">
        <v>8208</v>
      </c>
      <c r="B6535" s="4" t="s">
        <v>8210</v>
      </c>
      <c r="C6535" s="5" t="str">
        <f>IFERROR(__xludf.DUMMYFUNCTION("GOOGLETRANSLATE(B6535,""en"",""fr"")"),"Une femme dans une chemise verte et des bottes brunes entre et commence à frotter le cheval.")</f>
        <v>Une femme dans une chemise verte et des bottes brunes entre et commence à frotter le cheval.</v>
      </c>
    </row>
    <row r="6536">
      <c r="A6536" s="4" t="s">
        <v>8208</v>
      </c>
      <c r="B6536" s="4" t="s">
        <v>8211</v>
      </c>
      <c r="C6536" s="5" t="str">
        <f>IFERROR(__xludf.DUMMYFUNCTION("GOOGLETRANSLATE(B6536,""en"",""fr"")"),"Elle continue de nettoyer et de nettoyer le cheval sur le ventre.")</f>
        <v>Elle continue de nettoyer et de nettoyer le cheval sur le ventre.</v>
      </c>
    </row>
    <row r="6537">
      <c r="A6537" s="4" t="s">
        <v>8208</v>
      </c>
      <c r="B6537" s="4" t="s">
        <v>8212</v>
      </c>
      <c r="C6537" s="5" t="str">
        <f>IFERROR(__xludf.DUMMYFUNCTION("GOOGLETRANSLATE(B6537,""en"",""fr"")"),"Elle frotte soigneusement la zone du cou et le dos du cheval.")</f>
        <v>Elle frotte soigneusement la zone du cou et le dos du cheval.</v>
      </c>
    </row>
    <row r="6538">
      <c r="A6538" s="4" t="s">
        <v>8208</v>
      </c>
      <c r="B6538" s="4" t="s">
        <v>8213</v>
      </c>
      <c r="C6538" s="5" t="str">
        <f>IFERROR(__xludf.DUMMYFUNCTION("GOOGLETRANSLATE(B6538,""en"",""fr"")"),"Elle se dirige ensuite vers l'autre côté du cheval et continue de se frotter.")</f>
        <v>Elle se dirige ensuite vers l'autre côté du cheval et continue de se frotter.</v>
      </c>
    </row>
    <row r="6539">
      <c r="A6539" s="4" t="s">
        <v>8208</v>
      </c>
      <c r="B6539" s="4" t="s">
        <v>8214</v>
      </c>
      <c r="C6539" s="5" t="str">
        <f>IFERROR(__xludf.DUMMYFUNCTION("GOOGLETRANSLATE(B6539,""en"",""fr"")"),"Le cheval commence à bouger le cou et la tête alors qu'elle continue de frotter.")</f>
        <v>Le cheval commence à bouger le cou et la tête alors qu'elle continue de frotter.</v>
      </c>
    </row>
    <row r="6540">
      <c r="A6540" s="4" t="s">
        <v>8208</v>
      </c>
      <c r="B6540" s="4" t="s">
        <v>8215</v>
      </c>
      <c r="C6540" s="5" t="str">
        <f>IFERROR(__xludf.DUMMYFUNCTION("GOOGLETRANSLATE(B6540,""en"",""fr"")"),"Puis elle va devant le cheval et nettoie sa bouche.")</f>
        <v>Puis elle va devant le cheval et nettoie sa bouche.</v>
      </c>
    </row>
    <row r="6541">
      <c r="A6541" s="4" t="s">
        <v>8216</v>
      </c>
      <c r="B6541" s="4" t="s">
        <v>8217</v>
      </c>
      <c r="C6541" s="5" t="str">
        <f>IFERROR(__xludf.DUMMYFUNCTION("GOOGLETRANSLATE(B6541,""en"",""fr"")"),"Trois filles roulent sur des vélos stationnaires.")</f>
        <v>Trois filles roulent sur des vélos stationnaires.</v>
      </c>
    </row>
    <row r="6542">
      <c r="A6542" s="4" t="s">
        <v>8216</v>
      </c>
      <c r="B6542" s="4" t="s">
        <v>8218</v>
      </c>
      <c r="C6542" s="5" t="str">
        <f>IFERROR(__xludf.DUMMYFUNCTION("GOOGLETRANSLATE(B6542,""en"",""fr"")"),"Un homme se tient devant eux tenant une caméra.")</f>
        <v>Un homme se tient devant eux tenant une caméra.</v>
      </c>
    </row>
    <row r="6543">
      <c r="A6543" s="4" t="s">
        <v>8216</v>
      </c>
      <c r="B6543" s="4" t="s">
        <v>8219</v>
      </c>
      <c r="C6543" s="5" t="str">
        <f>IFERROR(__xludf.DUMMYFUNCTION("GOOGLETRANSLATE(B6543,""en"",""fr"")"),"Un autre homme marche devant eux.")</f>
        <v>Un autre homme marche devant eux.</v>
      </c>
    </row>
    <row r="6544">
      <c r="A6544" s="4" t="s">
        <v>8220</v>
      </c>
      <c r="B6544" s="4" t="s">
        <v>8221</v>
      </c>
      <c r="C6544" s="5" t="str">
        <f>IFERROR(__xludf.DUMMYFUNCTION("GOOGLETRANSLATE(B6544,""en"",""fr"")"),"Une vue sous-marine est montrée comme une femme habillée comme une sirène nage.")</f>
        <v>Une vue sous-marine est montrée comme une femme habillée comme une sirène nage.</v>
      </c>
    </row>
    <row r="6545">
      <c r="A6545" s="4" t="s">
        <v>8220</v>
      </c>
      <c r="B6545" s="4" t="s">
        <v>8222</v>
      </c>
      <c r="C6545" s="5" t="str">
        <f>IFERROR(__xludf.DUMMYFUNCTION("GOOGLETRANSLATE(B6545,""en"",""fr"")"),"Une grande infirmière baleine nage à côté d'elle.")</f>
        <v>Une grande infirmière baleine nage à côté d'elle.</v>
      </c>
    </row>
    <row r="6546">
      <c r="A6546" s="4" t="s">
        <v>8220</v>
      </c>
      <c r="B6546" s="4" t="s">
        <v>8223</v>
      </c>
      <c r="C6546" s="5" t="str">
        <f>IFERROR(__xludf.DUMMYFUNCTION("GOOGLETRANSLATE(B6546,""en"",""fr"")"),"Plusieurs photos de la sirène de natation sont présentées.")</f>
        <v>Plusieurs photos de la sirène de natation sont présentées.</v>
      </c>
    </row>
    <row r="6547">
      <c r="A6547" s="4" t="s">
        <v>8224</v>
      </c>
      <c r="B6547" s="4" t="s">
        <v>8225</v>
      </c>
      <c r="C6547" s="5" t="str">
        <f>IFERROR(__xludf.DUMMYFUNCTION("GOOGLETRANSLATE(B6547,""en"",""fr"")"),"Une image d'un épurateur est montrée suivie d'un homme utilisant l'élément sur un ensemble de fenêtres.")</f>
        <v>Une image d'un épurateur est montrée suivie d'un homme utilisant l'élément sur un ensemble de fenêtres.</v>
      </c>
    </row>
    <row r="6548">
      <c r="A6548" s="4" t="s">
        <v>8224</v>
      </c>
      <c r="B6548" s="6" t="s">
        <v>8226</v>
      </c>
      <c r="C6548" s="5" t="str">
        <f>IFERROR(__xludf.DUMMYFUNCTION("GOOGLETRANSLATE(B6548,""en"",""fr"")"),"Il essuie ensuite le verre avec un autre chiffon et pointe vers la fenêtre et le fermant pendant que les crédits roulaient.")</f>
        <v>Il essuie ensuite le verre avec un autre chiffon et pointe vers la fenêtre et le fermant pendant que les crédits roulaient.</v>
      </c>
    </row>
    <row r="6549">
      <c r="A6549" s="4" t="s">
        <v>8227</v>
      </c>
      <c r="B6549" s="4" t="s">
        <v>8228</v>
      </c>
      <c r="C6549" s="5" t="str">
        <f>IFERROR(__xludf.DUMMYFUNCTION("GOOGLETRANSLATE(B6549,""en"",""fr"")"),"Les gens se réunissent dans une exposition intérieure.")</f>
        <v>Les gens se réunissent dans une exposition intérieure.</v>
      </c>
    </row>
    <row r="6550">
      <c r="A6550" s="4" t="s">
        <v>8227</v>
      </c>
      <c r="B6550" s="4" t="s">
        <v>8229</v>
      </c>
      <c r="C6550" s="5" t="str">
        <f>IFERROR(__xludf.DUMMYFUNCTION("GOOGLETRANSLATE(B6550,""en"",""fr"")"),"Un homme et un robot jouent ping-pong dans l'exposition.")</f>
        <v>Un homme et un robot jouent ping-pong dans l'exposition.</v>
      </c>
    </row>
    <row r="6551">
      <c r="A6551" s="4" t="s">
        <v>8227</v>
      </c>
      <c r="B6551" s="6" t="s">
        <v>8230</v>
      </c>
      <c r="C6551" s="5" t="str">
        <f>IFERROR(__xludf.DUMMYFUNCTION("GOOGLETRANSLATE(B6551,""en"",""fr"")"),"Les gens portent des longes et veillent autour des expositions, tandis qu'un homme explique une personne qui tient deux disques.")</f>
        <v>Les gens portent des longes et veillent autour des expositions, tandis qu'un homme explique une personne qui tient deux disques.</v>
      </c>
    </row>
    <row r="6552">
      <c r="A6552" s="4" t="s">
        <v>8227</v>
      </c>
      <c r="B6552" s="4" t="s">
        <v>8231</v>
      </c>
      <c r="C6552" s="5" t="str">
        <f>IFERROR(__xludf.DUMMYFUNCTION("GOOGLETRANSLATE(B6552,""en"",""fr"")"),"D'autres personnes se trouvent dans un coin repas lors de la lecture et des SMS.")</f>
        <v>D'autres personnes se trouvent dans un coin repas lors de la lecture et des SMS.</v>
      </c>
    </row>
    <row r="6553">
      <c r="A6553" s="4" t="s">
        <v>8232</v>
      </c>
      <c r="B6553" s="4" t="s">
        <v>8233</v>
      </c>
      <c r="C6553" s="5" t="str">
        <f>IFERROR(__xludf.DUMMYFUNCTION("GOOGLETRANSLATE(B6553,""en"",""fr"")"),"Les gens mangent des cornets de crème glacée.")</f>
        <v>Les gens mangent des cornets de crème glacée.</v>
      </c>
    </row>
    <row r="6554">
      <c r="A6554" s="4" t="s">
        <v>8232</v>
      </c>
      <c r="B6554" s="4" t="s">
        <v>8234</v>
      </c>
      <c r="C6554" s="5" t="str">
        <f>IFERROR(__xludf.DUMMYFUNCTION("GOOGLETRANSLATE(B6554,""en"",""fr"")"),"Une personne met de la crème glacée dans un cornet de crème glacée.")</f>
        <v>Une personne met de la crème glacée dans un cornet de crème glacée.</v>
      </c>
    </row>
    <row r="6555">
      <c r="A6555" s="4" t="s">
        <v>8232</v>
      </c>
      <c r="B6555" s="4" t="s">
        <v>8235</v>
      </c>
      <c r="C6555" s="5" t="str">
        <f>IFERROR(__xludf.DUMMYFUNCTION("GOOGLETRANSLATE(B6555,""en"",""fr"")"),"Une femme dans des lunettes parle à la caméra.")</f>
        <v>Une femme dans des lunettes parle à la caméra.</v>
      </c>
    </row>
    <row r="6556">
      <c r="A6556" s="4" t="s">
        <v>8236</v>
      </c>
      <c r="B6556" s="4" t="s">
        <v>8237</v>
      </c>
      <c r="C6556" s="5" t="str">
        <f>IFERROR(__xludf.DUMMYFUNCTION("GOOGLETRANSLATE(B6556,""en"",""fr"")"),"Deux très grands hommes sont au milieu d'une bague portant des tenues de lutte de sumo.")</f>
        <v>Deux très grands hommes sont au milieu d'une bague portant des tenues de lutte de sumo.</v>
      </c>
    </row>
    <row r="6557">
      <c r="A6557" s="4" t="s">
        <v>8236</v>
      </c>
      <c r="B6557" s="4" t="s">
        <v>8238</v>
      </c>
      <c r="C6557" s="5" t="str">
        <f>IFERROR(__xludf.DUMMYFUNCTION("GOOGLETRANSLATE(B6557,""en"",""fr"")"),"Ils se mettent en position et attendent que l'arbitre leur dise de commencer le match.")</f>
        <v>Ils se mettent en position et attendent que l'arbitre leur dise de commencer le match.</v>
      </c>
    </row>
    <row r="6558">
      <c r="A6558" s="4" t="s">
        <v>8236</v>
      </c>
      <c r="B6558" s="4" t="s">
        <v>8239</v>
      </c>
      <c r="C6558" s="5" t="str">
        <f>IFERROR(__xludf.DUMMYFUNCTION("GOOGLETRANSLATE(B6558,""en"",""fr"")"),"Une fois que l'arbitre dit de commencer, ils commencent le match à la fois en courant immédiatement.")</f>
        <v>Une fois que l'arbitre dit de commencer, ils commencent le match à la fois en courant immédiatement.</v>
      </c>
    </row>
    <row r="6559">
      <c r="A6559" s="4" t="s">
        <v>8236</v>
      </c>
      <c r="B6559" s="4" t="s">
        <v>8240</v>
      </c>
      <c r="C6559" s="5" t="str">
        <f>IFERROR(__xludf.DUMMYFUNCTION("GOOGLETRANSLATE(B6559,""en"",""fr"")"),"L'homme à la peau bronzée fait tomber l'autre homme sur le sol et il remporte le match.")</f>
        <v>L'homme à la peau bronzée fait tomber l'autre homme sur le sol et il remporte le match.</v>
      </c>
    </row>
    <row r="6560">
      <c r="A6560" s="4" t="s">
        <v>8241</v>
      </c>
      <c r="B6560" s="4" t="s">
        <v>8242</v>
      </c>
      <c r="C6560" s="5" t="str">
        <f>IFERROR(__xludf.DUMMYFUNCTION("GOOGLETRANSLATE(B6560,""en"",""fr"")"),"Une femme manipule un cube de Rubik tandis qu'un homme regarde dans un cadre compétitif.")</f>
        <v>Une femme manipule un cube de Rubik tandis qu'un homme regarde dans un cadre compétitif.</v>
      </c>
    </row>
    <row r="6561">
      <c r="A6561" s="4" t="s">
        <v>8241</v>
      </c>
      <c r="B6561" s="4" t="s">
        <v>8243</v>
      </c>
      <c r="C6561" s="5" t="str">
        <f>IFERROR(__xludf.DUMMYFUNCTION("GOOGLETRANSLATE(B6561,""en"",""fr"")"),"Deux hommes traversent le cadre de la caméra en arrière-plan.")</f>
        <v>Deux hommes traversent le cadre de la caméra en arrière-plan.</v>
      </c>
    </row>
    <row r="6562">
      <c r="A6562" s="4" t="s">
        <v>8241</v>
      </c>
      <c r="B6562" s="4" t="s">
        <v>8244</v>
      </c>
      <c r="C6562" s="5" t="str">
        <f>IFERROR(__xludf.DUMMYFUNCTION("GOOGLETRANSLATE(B6562,""en"",""fr"")"),"La femme met le cube de Rubik résolu sur la table devant elle.")</f>
        <v>La femme met le cube de Rubik résolu sur la table devant elle.</v>
      </c>
    </row>
    <row r="6563">
      <c r="A6563" s="4" t="s">
        <v>8245</v>
      </c>
      <c r="B6563" s="6" t="s">
        <v>8246</v>
      </c>
      <c r="C6563" s="5" t="str">
        <f>IFERROR(__xludf.DUMMYFUNCTION("GOOGLETRANSLATE(B6563,""en"",""fr"")"),"Une intro mène à diverses images de filles aux cheveux longs ainsi qu'à des filles qui ont les cheveux tressés ensemble.")</f>
        <v>Une intro mène à diverses images de filles aux cheveux longs ainsi qu'à des filles qui ont les cheveux tressés ensemble.</v>
      </c>
    </row>
    <row r="6564">
      <c r="A6564" s="4" t="s">
        <v>8245</v>
      </c>
      <c r="B6564" s="6" t="s">
        <v>8247</v>
      </c>
      <c r="C6564" s="5" t="str">
        <f>IFERROR(__xludf.DUMMYFUNCTION("GOOGLETRANSLATE(B6564,""en"",""fr"")"),"La longueur des cheveux d'une fille est mesurée, suivie de plus de photos de ses cheveux longs et parlant à la caméra.")</f>
        <v>La longueur des cheveux d'une fille est mesurée, suivie de plus de photos de ses cheveux longs et parlant à la caméra.</v>
      </c>
    </row>
    <row r="6565">
      <c r="A6565" s="4" t="s">
        <v>8245</v>
      </c>
      <c r="B6565" s="4" t="s">
        <v>8248</v>
      </c>
      <c r="C6565" s="5" t="str">
        <f>IFERROR(__xludf.DUMMYFUNCTION("GOOGLETRANSLATE(B6565,""en"",""fr"")"),"Un ensemble de mains est ensuite vu coupant les cheveux de la fille et montrant sa queue de cheval à la fille.")</f>
        <v>Un ensemble de mains est ensuite vu coupant les cheveux de la fille et montrant sa queue de cheval à la fille.</v>
      </c>
    </row>
    <row r="6566">
      <c r="A6566" s="4" t="s">
        <v>8245</v>
      </c>
      <c r="B6566" s="4" t="s">
        <v>8249</v>
      </c>
      <c r="C6566" s="5" t="str">
        <f>IFERROR(__xludf.DUMMYFUNCTION("GOOGLETRANSLATE(B6566,""en"",""fr"")"),"Plus de photos des nouveaux cheveux de la fille sont montrées ainsi que de vieilles photos d'elle.")</f>
        <v>Plus de photos des nouveaux cheveux de la fille sont montrées ainsi que de vieilles photos d'elle.</v>
      </c>
    </row>
    <row r="6567">
      <c r="A6567" s="4" t="s">
        <v>8250</v>
      </c>
      <c r="B6567" s="4" t="s">
        <v>8251</v>
      </c>
      <c r="C6567" s="5" t="str">
        <f>IFERROR(__xludf.DUMMYFUNCTION("GOOGLETRANSLATE(B6567,""en"",""fr"")"),"Un homme portant une chemise noire et un short noir se tient à côté d'une machine d'exercice.")</f>
        <v>Un homme portant une chemise noire et un short noir se tient à côté d'une machine d'exercice.</v>
      </c>
    </row>
    <row r="6568">
      <c r="A6568" s="4" t="s">
        <v>8250</v>
      </c>
      <c r="B6568" s="4" t="s">
        <v>8252</v>
      </c>
      <c r="C6568" s="5" t="str">
        <f>IFERROR(__xludf.DUMMYFUNCTION("GOOGLETRANSLATE(B6568,""en"",""fr"")"),"Il est assis sur la machine d'exercice et commence à s'entraîner.")</f>
        <v>Il est assis sur la machine d'exercice et commence à s'entraîner.</v>
      </c>
    </row>
    <row r="6569">
      <c r="A6569" s="4" t="s">
        <v>8250</v>
      </c>
      <c r="B6569" s="4" t="s">
        <v>8253</v>
      </c>
      <c r="C6569" s="5" t="str">
        <f>IFERROR(__xludf.DUMMYFUNCTION("GOOGLETRANSLATE(B6569,""en"",""fr"")"),"Il cesse de s'entraîner et libère le bar.")</f>
        <v>Il cesse de s'entraîner et libère le bar.</v>
      </c>
    </row>
    <row r="6570">
      <c r="A6570" s="4" t="s">
        <v>8254</v>
      </c>
      <c r="B6570" s="4" t="s">
        <v>8255</v>
      </c>
      <c r="C6570" s="5" t="str">
        <f>IFERROR(__xludf.DUMMYFUNCTION("GOOGLETRANSLATE(B6570,""en"",""fr"")"),"Un homme fait frire des légumes dans une poêle et remuer avec une grande cuillère.")</f>
        <v>Un homme fait frire des légumes dans une poêle et remuer avec une grande cuillère.</v>
      </c>
    </row>
    <row r="6571">
      <c r="A6571" s="4" t="s">
        <v>8254</v>
      </c>
      <c r="B6571" s="6" t="s">
        <v>8256</v>
      </c>
      <c r="C6571" s="5" t="str">
        <f>IFERROR(__xludf.DUMMYFUNCTION("GOOGLETRANSLATE(B6571,""en"",""fr"")"),"Ensuite, l'homme freine les œufs dans un bol et bien mélanger, après que l'homme a ajouté les œufs dans la poêle pour faire une omelette.")</f>
        <v>Ensuite, l'homme freine les œufs dans un bol et bien mélanger, après que l'homme a ajouté les œufs dans la poêle pour faire une omelette.</v>
      </c>
    </row>
    <row r="6572">
      <c r="A6572" s="4" t="s">
        <v>8254</v>
      </c>
      <c r="B6572" s="4" t="s">
        <v>8257</v>
      </c>
      <c r="C6572" s="5" t="str">
        <f>IFERROR(__xludf.DUMMYFUNCTION("GOOGLETRANSLATE(B6572,""en"",""fr"")"),"Il roule l'omelette et le retourne dans l'air, puis l'homme sert la omelette sur un plat.")</f>
        <v>Il roule l'omelette et le retourne dans l'air, puis l'homme sert la omelette sur un plat.</v>
      </c>
    </row>
    <row r="6573">
      <c r="A6573" s="4" t="s">
        <v>8258</v>
      </c>
      <c r="B6573" s="4" t="s">
        <v>8259</v>
      </c>
      <c r="C6573" s="5" t="str">
        <f>IFERROR(__xludf.DUMMYFUNCTION("GOOGLETRANSLATE(B6573,""en"",""fr"")"),"Une femme danse dans de la musique tout en se tenant devant une télévision.")</f>
        <v>Une femme danse dans de la musique tout en se tenant devant une télévision.</v>
      </c>
    </row>
    <row r="6574">
      <c r="A6574" s="4" t="s">
        <v>8258</v>
      </c>
      <c r="B6574" s="4" t="s">
        <v>8260</v>
      </c>
      <c r="C6574" s="5" t="str">
        <f>IFERROR(__xludf.DUMMYFUNCTION("GOOGLETRANSLATE(B6574,""en"",""fr"")"),"Alors qu'elle danse, elle commence à fumer une pipe de narguilé.")</f>
        <v>Alors qu'elle danse, elle commence à fumer une pipe de narguilé.</v>
      </c>
    </row>
    <row r="6575">
      <c r="A6575" s="4" t="s">
        <v>8258</v>
      </c>
      <c r="B6575" s="6" t="s">
        <v>8261</v>
      </c>
      <c r="C6575" s="5" t="str">
        <f>IFERROR(__xludf.DUMMYFUNCTION("GOOGLETRANSLATE(B6575,""en"",""fr"")"),"La caméra montre deux autres femmes dans la pièce alors qu'elles dansent et fument la pipe narguilée avec elle.")</f>
        <v>La caméra montre deux autres femmes dans la pièce alors qu'elles dansent et fument la pipe narguilée avec elle.</v>
      </c>
    </row>
    <row r="6576">
      <c r="A6576" s="4" t="s">
        <v>8258</v>
      </c>
      <c r="B6576" s="4" t="s">
        <v>8262</v>
      </c>
      <c r="C6576" s="5" t="str">
        <f>IFERROR(__xludf.DUMMYFUNCTION("GOOGLETRANSLATE(B6576,""en"",""fr"")"),"La caméra se tourne vers un homme qui est dans la pièce avec une caméra prenant des photos.")</f>
        <v>La caméra se tourne vers un homme qui est dans la pièce avec une caméra prenant des photos.</v>
      </c>
    </row>
    <row r="6577">
      <c r="A6577" s="4" t="s">
        <v>8263</v>
      </c>
      <c r="B6577" s="4" t="s">
        <v>8264</v>
      </c>
      <c r="C6577" s="5" t="str">
        <f>IFERROR(__xludf.DUMMYFUNCTION("GOOGLETRANSLATE(B6577,""en"",""fr"")"),"Une petite fille fait des biscuits avec sa mère dans sa cuisine.")</f>
        <v>Une petite fille fait des biscuits avec sa mère dans sa cuisine.</v>
      </c>
    </row>
    <row r="6578">
      <c r="A6578" s="4" t="s">
        <v>8263</v>
      </c>
      <c r="B6578" s="4" t="s">
        <v>8265</v>
      </c>
      <c r="C6578" s="5" t="str">
        <f>IFERROR(__xludf.DUMMYFUNCTION("GOOGLETRANSLATE(B6578,""en"",""fr"")"),"Elle veut que sa maman prétend qu'elle est le Père Noël.")</f>
        <v>Elle veut que sa maman prétend qu'elle est le Père Noël.</v>
      </c>
    </row>
    <row r="6579">
      <c r="A6579" s="4" t="s">
        <v>8263</v>
      </c>
      <c r="B6579" s="4" t="s">
        <v>8266</v>
      </c>
      <c r="C6579" s="5" t="str">
        <f>IFERROR(__xludf.DUMMYFUNCTION("GOOGLETRANSLATE(B6579,""en"",""fr"")"),"Les rires et roulent la pâte à biscuits sur la planche à découper.")</f>
        <v>Les rires et roulent la pâte à biscuits sur la planche à découper.</v>
      </c>
    </row>
    <row r="6580">
      <c r="A6580" s="4" t="s">
        <v>8263</v>
      </c>
      <c r="B6580" s="4" t="s">
        <v>8267</v>
      </c>
      <c r="C6580" s="5" t="str">
        <f>IFERROR(__xludf.DUMMYFUNCTION("GOOGLETRANSLATE(B6580,""en"",""fr"")"),"La mère ouvre le four et place le plateau plein de pâte à biscuits dans le four pour la cuisson.")</f>
        <v>La mère ouvre le four et place le plateau plein de pâte à biscuits dans le four pour la cuisson.</v>
      </c>
    </row>
    <row r="6581">
      <c r="A6581" s="4" t="s">
        <v>8263</v>
      </c>
      <c r="B6581" s="6" t="s">
        <v>8268</v>
      </c>
      <c r="C6581" s="5" t="str">
        <f>IFERROR(__xludf.DUMMYFUNCTION("GOOGLETRANSLATE(B6581,""en"",""fr"")"),"La mère prend ensuite le coupe-biscuits et fait plus de biscuits pour la cuisson, puis la mère et la fille passent par la recette de biscuits alors qu'ils placent la pâte à biscuits sur le plateau.")</f>
        <v>La mère prend ensuite le coupe-biscuits et fait plus de biscuits pour la cuisson, puis la mère et la fille passent par la recette de biscuits alors qu'ils placent la pâte à biscuits sur le plateau.</v>
      </c>
    </row>
    <row r="6582">
      <c r="A6582" s="4" t="s">
        <v>8263</v>
      </c>
      <c r="B6582" s="4" t="s">
        <v>8269</v>
      </c>
      <c r="C6582" s="5" t="str">
        <f>IFERROR(__xludf.DUMMYFUNCTION("GOOGLETRANSLATE(B6582,""en"",""fr"")"),"Une fois les biscuits cuits, ils décorent les biscuits avec des paillettes et du glaçage.")</f>
        <v>Une fois les biscuits cuits, ils décorent les biscuits avec des paillettes et du glaçage.</v>
      </c>
    </row>
    <row r="6583">
      <c r="A6583" s="4" t="s">
        <v>8263</v>
      </c>
      <c r="B6583" s="4" t="s">
        <v>8270</v>
      </c>
      <c r="C6583" s="5" t="str">
        <f>IFERROR(__xludf.DUMMYFUNCTION("GOOGLETRANSLATE(B6583,""en"",""fr"")"),"La fille montre fièrement le cookie fini après sa fin.")</f>
        <v>La fille montre fièrement le cookie fini après sa fin.</v>
      </c>
    </row>
    <row r="6584">
      <c r="A6584" s="4" t="s">
        <v>8271</v>
      </c>
      <c r="B6584" s="4" t="s">
        <v>8272</v>
      </c>
      <c r="C6584" s="5" t="str">
        <f>IFERROR(__xludf.DUMMYFUNCTION("GOOGLETRANSLATE(B6584,""en"",""fr"")"),"Deux personnes sont présentées autour d'une tondeuse à la pelouse et coupe la pelouse.")</f>
        <v>Deux personnes sont présentées autour d'une tondeuse à la pelouse et coupe la pelouse.</v>
      </c>
    </row>
    <row r="6585">
      <c r="A6585" s="4" t="s">
        <v>8271</v>
      </c>
      <c r="B6585" s="4" t="s">
        <v>8273</v>
      </c>
      <c r="C6585" s="5" t="str">
        <f>IFERROR(__xludf.DUMMYFUNCTION("GOOGLETRANSLATE(B6585,""en"",""fr"")"),"La bosse les unes aux autres lorsque l'une tourne autour de l'autre suit de près.")</f>
        <v>La bosse les unes aux autres lorsque l'une tourne autour de l'autre suit de près.</v>
      </c>
    </row>
    <row r="6586">
      <c r="A6586" s="4" t="s">
        <v>8271</v>
      </c>
      <c r="B6586" s="4" t="s">
        <v>8274</v>
      </c>
      <c r="C6586" s="5" t="str">
        <f>IFERROR(__xludf.DUMMYFUNCTION("GOOGLETRANSLATE(B6586,""en"",""fr"")"),"Le mâle se dirige vers la maison et continue de revenir vers la femme.")</f>
        <v>Le mâle se dirige vers la maison et continue de revenir vers la femme.</v>
      </c>
    </row>
    <row r="6587">
      <c r="A6587" s="4" t="s">
        <v>8275</v>
      </c>
      <c r="B6587" s="4" t="s">
        <v>8276</v>
      </c>
      <c r="C6587" s="5" t="str">
        <f>IFERROR(__xludf.DUMMYFUNCTION("GOOGLETRANSLATE(B6587,""en"",""fr"")"),"Une personne est vue rouler le long d'une piste cyclable tandis qu'une personne portant une caméra suivant par derrière.")</f>
        <v>Une personne est vue rouler le long d'une piste cyclable tandis qu'une personne portant une caméra suivant par derrière.</v>
      </c>
    </row>
    <row r="6588">
      <c r="A6588" s="4" t="s">
        <v>8275</v>
      </c>
      <c r="B6588" s="6" t="s">
        <v>8277</v>
      </c>
      <c r="C6588" s="5" t="str">
        <f>IFERROR(__xludf.DUMMYFUNCTION("GOOGLETRANSLATE(B6588,""en"",""fr"")"),"Plus de clips sont illustrés à des personnes qui roulent sur les vélos le long du sentier tandis que la caméra la capture sous plusieurs angles.")</f>
        <v>Plus de clips sont illustrés à des personnes qui roulent sur les vélos le long du sentier tandis que la caméra la capture sous plusieurs angles.</v>
      </c>
    </row>
    <row r="6589">
      <c r="A6589" s="4" t="s">
        <v>8278</v>
      </c>
      <c r="B6589" s="4" t="s">
        <v>8279</v>
      </c>
      <c r="C6589" s="5" t="str">
        <f>IFERROR(__xludf.DUMMYFUNCTION("GOOGLETRANSLATE(B6589,""en"",""fr"")"),"Un gros plan d'un jeu de crosse est montré qui mène à un homme en parlant à la caméra.")</f>
        <v>Un gros plan d'un jeu de crosse est montré qui mène à un homme en parlant à la caméra.</v>
      </c>
    </row>
    <row r="6590">
      <c r="A6590" s="4" t="s">
        <v>8278</v>
      </c>
      <c r="B6590" s="6" t="s">
        <v>8280</v>
      </c>
      <c r="C6590" s="5" t="str">
        <f>IFERROR(__xludf.DUMMYFUNCTION("GOOGLETRANSLATE(B6590,""en"",""fr"")"),"D'autres tirs sont montrés du jeu avec les joueurs qui montent et descendent sur le terrain ainsi que beaucoup d'autres parlant à la caméra.")</f>
        <v>D'autres tirs sont montrés du jeu avec les joueurs qui montent et descendent sur le terrain ainsi que beaucoup d'autres parlant à la caméra.</v>
      </c>
    </row>
    <row r="6591">
      <c r="A6591" s="4" t="s">
        <v>8281</v>
      </c>
      <c r="B6591" s="4" t="s">
        <v>8282</v>
      </c>
      <c r="C6591" s="5" t="str">
        <f>IFERROR(__xludf.DUMMYFUNCTION("GOOGLETRANSLATE(B6591,""en"",""fr"")"),"Un homme est vu portant un casque et agenouillé dans une grande pièce.")</f>
        <v>Un homme est vu portant un casque et agenouillé dans une grande pièce.</v>
      </c>
    </row>
    <row r="6592">
      <c r="A6592" s="4" t="s">
        <v>8281</v>
      </c>
      <c r="B6592" s="4" t="s">
        <v>8283</v>
      </c>
      <c r="C6592" s="5" t="str">
        <f>IFERROR(__xludf.DUMMYFUNCTION("GOOGLETRANSLATE(B6592,""en"",""fr"")"),"Utilise une torche sur un objet tandis qu'une autre personne entre dans le cadre.")</f>
        <v>Utilise une torche sur un objet tandis qu'une autre personne entre dans le cadre.</v>
      </c>
    </row>
    <row r="6593">
      <c r="A6593" s="4" t="s">
        <v>8281</v>
      </c>
      <c r="B6593" s="4" t="s">
        <v>8284</v>
      </c>
      <c r="C6593" s="5" t="str">
        <f>IFERROR(__xludf.DUMMYFUNCTION("GOOGLETRANSLATE(B6593,""en"",""fr"")"),"À la fin, il zoome sur l'objet qu'il a incendié.")</f>
        <v>À la fin, il zoome sur l'objet qu'il a incendié.</v>
      </c>
    </row>
    <row r="6594">
      <c r="A6594" s="4" t="s">
        <v>8285</v>
      </c>
      <c r="B6594" s="4" t="s">
        <v>8286</v>
      </c>
      <c r="C6594" s="5" t="str">
        <f>IFERROR(__xludf.DUMMYFUNCTION("GOOGLETRANSLATE(B6594,""en"",""fr"")"),"Une femme se tient derrière une table.")</f>
        <v>Une femme se tient derrière une table.</v>
      </c>
    </row>
    <row r="6595">
      <c r="A6595" s="4" t="s">
        <v>8285</v>
      </c>
      <c r="B6595" s="4" t="s">
        <v>8287</v>
      </c>
      <c r="C6595" s="5" t="str">
        <f>IFERROR(__xludf.DUMMYFUNCTION("GOOGLETRANSLATE(B6595,""en"",""fr"")"),"Elle ramasse un chiffon et une bouteille d'huile.")</f>
        <v>Elle ramasse un chiffon et une bouteille d'huile.</v>
      </c>
    </row>
    <row r="6596">
      <c r="A6596" s="4" t="s">
        <v>8285</v>
      </c>
      <c r="B6596" s="4" t="s">
        <v>8288</v>
      </c>
      <c r="C6596" s="5" t="str">
        <f>IFERROR(__xludf.DUMMYFUNCTION("GOOGLETRANSLATE(B6596,""en"",""fr"")"),"Elle met de l'huile sur le chiffon et commence à nettoyer ses bottes avec.")</f>
        <v>Elle met de l'huile sur le chiffon et commence à nettoyer ses bottes avec.</v>
      </c>
    </row>
    <row r="6597">
      <c r="A6597" s="4" t="s">
        <v>8289</v>
      </c>
      <c r="B6597" s="4" t="s">
        <v>8290</v>
      </c>
      <c r="C6597" s="5" t="str">
        <f>IFERROR(__xludf.DUMMYFUNCTION("GOOGLETRANSLATE(B6597,""en"",""fr"")"),"Un garçon est assis à une table avec une fille à côté de lui.")</f>
        <v>Un garçon est assis à une table avec une fille à côté de lui.</v>
      </c>
    </row>
    <row r="6598">
      <c r="A6598" s="4" t="s">
        <v>8289</v>
      </c>
      <c r="B6598" s="4" t="s">
        <v>8291</v>
      </c>
      <c r="C6598" s="5" t="str">
        <f>IFERROR(__xludf.DUMMYFUNCTION("GOOGLETRANSLATE(B6598,""en"",""fr"")"),"Il essaie de résoudre un cube de Rubik pendant qu'elle le tourne.")</f>
        <v>Il essaie de résoudre un cube de Rubik pendant qu'elle le tourne.</v>
      </c>
    </row>
    <row r="6599">
      <c r="A6599" s="4" t="s">
        <v>8289</v>
      </c>
      <c r="B6599" s="4" t="s">
        <v>8292</v>
      </c>
      <c r="C6599" s="5" t="str">
        <f>IFERROR(__xludf.DUMMYFUNCTION("GOOGLETRANSLATE(B6599,""en"",""fr"")"),"Un compteur compte rapidement alors qu'il fait de son mieux pour résoudre le puzzle.")</f>
        <v>Un compteur compte rapidement alors qu'il fait de son mieux pour résoudre le puzzle.</v>
      </c>
    </row>
    <row r="6600">
      <c r="A6600" s="4" t="s">
        <v>8289</v>
      </c>
      <c r="B6600" s="4" t="s">
        <v>8293</v>
      </c>
      <c r="C6600" s="5" t="str">
        <f>IFERROR(__xludf.DUMMYFUNCTION("GOOGLETRANSLATE(B6600,""en"",""fr"")"),"Il résout enfin le cube et se lève de la table.")</f>
        <v>Il résout enfin le cube et se lève de la table.</v>
      </c>
    </row>
    <row r="6601">
      <c r="A6601" s="4" t="s">
        <v>8294</v>
      </c>
      <c r="B6601" s="4" t="s">
        <v>8295</v>
      </c>
      <c r="C6601" s="5" t="str">
        <f>IFERROR(__xludf.DUMMYFUNCTION("GOOGLETRANSLATE(B6601,""en"",""fr"")"),"Un homme aide un garçon à piloter un cerf-volant.")</f>
        <v>Un homme aide un garçon à piloter un cerf-volant.</v>
      </c>
    </row>
    <row r="6602">
      <c r="A6602" s="4" t="s">
        <v>8294</v>
      </c>
      <c r="B6602" s="4" t="s">
        <v>8296</v>
      </c>
      <c r="C6602" s="5" t="str">
        <f>IFERROR(__xludf.DUMMYFUNCTION("GOOGLETRANSLATE(B6602,""en"",""fr"")"),"Une femme se tient à côté d'eux.")</f>
        <v>Une femme se tient à côté d'eux.</v>
      </c>
    </row>
    <row r="6603">
      <c r="A6603" s="4" t="s">
        <v>8294</v>
      </c>
      <c r="B6603" s="4" t="s">
        <v>8297</v>
      </c>
      <c r="C6603" s="5" t="str">
        <f>IFERROR(__xludf.DUMMYFUNCTION("GOOGLETRANSLATE(B6603,""en"",""fr"")"),"Les cerfs-volants volent dans le ciel au-dessus de l'eau.")</f>
        <v>Les cerfs-volants volent dans le ciel au-dessus de l'eau.</v>
      </c>
    </row>
    <row r="6604">
      <c r="A6604" s="4" t="s">
        <v>8294</v>
      </c>
      <c r="B6604" s="4" t="s">
        <v>8298</v>
      </c>
      <c r="C6604" s="5" t="str">
        <f>IFERROR(__xludf.DUMMYFUNCTION("GOOGLETRANSLATE(B6604,""en"",""fr"")"),"L'homme monte la colline.")</f>
        <v>L'homme monte la colline.</v>
      </c>
    </row>
    <row r="6605">
      <c r="A6605" s="4" t="s">
        <v>8299</v>
      </c>
      <c r="B6605" s="4" t="s">
        <v>8300</v>
      </c>
      <c r="C6605" s="5" t="str">
        <f>IFERROR(__xludf.DUMMYFUNCTION("GOOGLETRANSLATE(B6605,""en"",""fr"")"),"La gymnaste féminine leva le bras alors que le juge soulève le drapeau.")</f>
        <v>La gymnaste féminine leva le bras alors que le juge soulève le drapeau.</v>
      </c>
    </row>
    <row r="6606">
      <c r="A6606" s="4" t="s">
        <v>8299</v>
      </c>
      <c r="B6606" s="6" t="s">
        <v>8301</v>
      </c>
      <c r="C6606" s="5" t="str">
        <f>IFERROR(__xludf.DUMMYFUNCTION("GOOGLETRANSLATE(B6606,""en"",""fr"")"),"La gymnaste saute au faisceau, s'est équilibrée, a fait du battement à plusieurs reprises et s'est équilibrée et s'est effondrée.")</f>
        <v>La gymnaste saute au faisceau, s'est équilibrée, a fait du battement à plusieurs reprises et s'est équilibrée et s'est effondrée.</v>
      </c>
    </row>
    <row r="6607">
      <c r="A6607" s="4" t="s">
        <v>8299</v>
      </c>
      <c r="B6607" s="4" t="s">
        <v>8302</v>
      </c>
      <c r="C6607" s="5" t="str">
        <f>IFERROR(__xludf.DUMMYFUNCTION("GOOGLETRANSLATE(B6607,""en"",""fr"")"),"Le saut de fille du faisceau atterrissant sur le tapis bleu.")</f>
        <v>Le saut de fille du faisceau atterrissant sur le tapis bleu.</v>
      </c>
    </row>
    <row r="6608">
      <c r="A6608" s="4" t="s">
        <v>8303</v>
      </c>
      <c r="B6608" s="4" t="s">
        <v>8304</v>
      </c>
      <c r="C6608" s="5" t="str">
        <f>IFERROR(__xludf.DUMMYFUNCTION("GOOGLETRANSLATE(B6608,""en"",""fr"")"),"Une autoroute avec des panneaux au-dessus est montrée avant de voir une scène de plage et un ensemble de trophées.")</f>
        <v>Une autoroute avec des panneaux au-dessus est montrée avant de voir une scène de plage et un ensemble de trophées.</v>
      </c>
    </row>
    <row r="6609">
      <c r="A6609" s="4" t="s">
        <v>8303</v>
      </c>
      <c r="B6609" s="4" t="s">
        <v>8305</v>
      </c>
      <c r="C6609" s="5" t="str">
        <f>IFERROR(__xludf.DUMMYFUNCTION("GOOGLETRANSLATE(B6609,""en"",""fr"")"),"Un tas de joueurs de volleyball se réunissent pour commencer un match.")</f>
        <v>Un tas de joueurs de volleyball se réunissent pour commencer un match.</v>
      </c>
    </row>
    <row r="6610">
      <c r="A6610" s="4" t="s">
        <v>8303</v>
      </c>
      <c r="B6610" s="4" t="s">
        <v>8306</v>
      </c>
      <c r="C6610" s="5" t="str">
        <f>IFERROR(__xludf.DUMMYFUNCTION("GOOGLETRANSLATE(B6610,""en"",""fr"")"),"Le jeu commence, les gens qui font de leur mieux pour gagner.")</f>
        <v>Le jeu commence, les gens qui font de leur mieux pour gagner.</v>
      </c>
    </row>
    <row r="6611">
      <c r="A6611" s="4" t="s">
        <v>8307</v>
      </c>
      <c r="B6611" s="4" t="s">
        <v>8308</v>
      </c>
      <c r="C6611" s="5" t="str">
        <f>IFERROR(__xludf.DUMMYFUNCTION("GOOGLETRANSLATE(B6611,""en"",""fr"")"),"Une caméra se déroule autour des visages de la personne sur une colline enneigée ainsi que de rouler sur une montagne.")</f>
        <v>Une caméra se déroule autour des visages de la personne sur une colline enneigée ainsi que de rouler sur une montagne.</v>
      </c>
    </row>
    <row r="6612">
      <c r="A6612" s="4" t="s">
        <v>8307</v>
      </c>
      <c r="B6612" s="6" t="s">
        <v>8309</v>
      </c>
      <c r="C6612" s="5" t="str">
        <f>IFERROR(__xludf.DUMMYFUNCTION("GOOGLETRANSLATE(B6612,""en"",""fr"")"),"Les gens continuent de skier sur le chemin enneigé en reculer et quatrième et se terminant en s'arrêtant en bas.")</f>
        <v>Les gens continuent de skier sur le chemin enneigé en reculer et quatrième et se terminant en s'arrêtant en bas.</v>
      </c>
    </row>
    <row r="6613">
      <c r="A6613" s="4" t="s">
        <v>8310</v>
      </c>
      <c r="B6613" s="4" t="s">
        <v>8311</v>
      </c>
      <c r="C6613" s="5" t="str">
        <f>IFERROR(__xludf.DUMMYFUNCTION("GOOGLETRANSLATE(B6613,""en"",""fr"")"),"Un homme portant un chapeau est vu en tenant un harmonica et commence à jouer avec ses mains.")</f>
        <v>Un homme portant un chapeau est vu en tenant un harmonica et commence à jouer avec ses mains.</v>
      </c>
    </row>
    <row r="6614">
      <c r="A6614" s="4" t="s">
        <v>8310</v>
      </c>
      <c r="B6614" s="6" t="s">
        <v>8312</v>
      </c>
      <c r="C6614" s="5" t="str">
        <f>IFERROR(__xludf.DUMMYFUNCTION("GOOGLETRANSLATE(B6614,""en"",""fr"")"),"Il continue de jouer de l'instrument à la caméra et se termine avec lui en train de mettre l'instrument vers le bas puis le retenir.")</f>
        <v>Il continue de jouer de l'instrument à la caméra et se termine avec lui en train de mettre l'instrument vers le bas puis le retenir.</v>
      </c>
    </row>
    <row r="6615">
      <c r="A6615" s="4" t="s">
        <v>8313</v>
      </c>
      <c r="B6615" s="6" t="s">
        <v>8314</v>
      </c>
      <c r="C6615" s="5" t="str">
        <f>IFERROR(__xludf.DUMMYFUNCTION("GOOGLETRANSLATE(B6615,""en"",""fr"")"),"On voit deux petits enfants en dessiner avec de la craie sur une promenade latérale pendant qu'ils regardaient occasionnellement la caméra.")</f>
        <v>On voit deux petits enfants en dessiner avec de la craie sur une promenade latérale pendant qu'ils regardaient occasionnellement la caméra.</v>
      </c>
    </row>
    <row r="6616">
      <c r="A6616" s="4" t="s">
        <v>8313</v>
      </c>
      <c r="B6616" s="4" t="s">
        <v>8315</v>
      </c>
      <c r="C6616" s="5" t="str">
        <f>IFERROR(__xludf.DUMMYFUNCTION("GOOGLETRANSLATE(B6616,""en"",""fr"")"),"La fille est alors vue jouer au scotch Hop sautant sur la craie pendant que le garçon regarde par derrière.")</f>
        <v>La fille est alors vue jouer au scotch Hop sautant sur la craie pendant que le garçon regarde par derrière.</v>
      </c>
    </row>
    <row r="6617">
      <c r="A6617" s="4" t="s">
        <v>8313</v>
      </c>
      <c r="B6617" s="4" t="s">
        <v>8316</v>
      </c>
      <c r="C6617" s="5" t="str">
        <f>IFERROR(__xludf.DUMMYFUNCTION("GOOGLETRANSLATE(B6617,""en"",""fr"")"),"Une femme aide ensuite le garçon à sauter suivi de la jeune fille aidant.")</f>
        <v>Une femme aide ensuite le garçon à sauter suivi de la jeune fille aidant.</v>
      </c>
    </row>
    <row r="6618">
      <c r="A6618" s="4" t="s">
        <v>8313</v>
      </c>
      <c r="B6618" s="4" t="s">
        <v>8317</v>
      </c>
      <c r="C6618" s="5" t="str">
        <f>IFERROR(__xludf.DUMMYFUNCTION("GOOGLETRANSLATE(B6618,""en"",""fr"")"),"Le garçon saute seul, puis mène dans les deux marchant sur un faisceau de trottoir.")</f>
        <v>Le garçon saute seul, puis mène dans les deux marchant sur un faisceau de trottoir.</v>
      </c>
    </row>
    <row r="6619">
      <c r="A6619" s="4" t="s">
        <v>8313</v>
      </c>
      <c r="B6619" s="4" t="s">
        <v>8318</v>
      </c>
      <c r="C6619" s="5" t="str">
        <f>IFERROR(__xludf.DUMMYFUNCTION("GOOGLETRANSLATE(B6619,""en"",""fr"")"),"La fille fait basculer ses bras, puis les deux sautent vers le bas.")</f>
        <v>La fille fait basculer ses bras, puis les deux sautent vers le bas.</v>
      </c>
    </row>
    <row r="6620">
      <c r="A6620" s="4" t="s">
        <v>8319</v>
      </c>
      <c r="B6620" s="4" t="s">
        <v>8320</v>
      </c>
      <c r="C6620" s="5" t="str">
        <f>IFERROR(__xludf.DUMMYFUNCTION("GOOGLETRANSLATE(B6620,""en"",""fr"")"),"Un homme athlétique s'intensifie devant une piste tout en tenant une annonce en javelot debout.")</f>
        <v>Un homme athlétique s'intensifie devant une piste tout en tenant une annonce en javelot debout.</v>
      </c>
    </row>
    <row r="6621">
      <c r="A6621" s="4" t="s">
        <v>8319</v>
      </c>
      <c r="B6621" s="6" t="s">
        <v>8321</v>
      </c>
      <c r="C6621" s="5" t="str">
        <f>IFERROR(__xludf.DUMMYFUNCTION("GOOGLETRANSLATE(B6621,""en"",""fr"")"),"L'homme s'enfonce, jette le javelot et revient pendant que son lancer est à nouveau plusieurs fois au ralenti.")</f>
        <v>L'homme s'enfonce, jette le javelot et revient pendant que son lancer est à nouveau plusieurs fois au ralenti.</v>
      </c>
    </row>
    <row r="6622">
      <c r="A6622" s="4" t="s">
        <v>8319</v>
      </c>
      <c r="B6622" s="4" t="s">
        <v>8322</v>
      </c>
      <c r="C6622" s="5" t="str">
        <f>IFERROR(__xludf.DUMMYFUNCTION("GOOGLETRANSLATE(B6622,""en"",""fr"")"),"En fin de compte, il est vu célébrer et courir sur le terrain.")</f>
        <v>En fin de compte, il est vu célébrer et courir sur le terrain.</v>
      </c>
    </row>
    <row r="6623">
      <c r="A6623" s="4" t="s">
        <v>8323</v>
      </c>
      <c r="B6623" s="6" t="s">
        <v>8324</v>
      </c>
      <c r="C6623" s="5" t="str">
        <f>IFERROR(__xludf.DUMMYFUNCTION("GOOGLETRANSLATE(B6623,""en"",""fr"")"),"Six personnes dans des casques courent sur des vélos de terre autour d'une piste circulaire pavée entourée d'herbe, de tentes de jeu et de spectateurs.")</f>
        <v>Six personnes dans des casques courent sur des vélos de terre autour d'une piste circulaire pavée entourée d'herbe, de tentes de jeu et de spectateurs.</v>
      </c>
    </row>
    <row r="6624">
      <c r="A6624" s="4" t="s">
        <v>8323</v>
      </c>
      <c r="B6624" s="6" t="s">
        <v>8325</v>
      </c>
      <c r="C6624" s="5" t="str">
        <f>IFERROR(__xludf.DUMMYFUNCTION("GOOGLETRANSLATE(B6624,""en"",""fr"")"),"Les gens commencent la course derrière une clôture fermée et râpée, qui s'ouvre ensuite et leur permet de commencer à courir à partir d'une plate-forme surélevée sur le chemin de course pavé.")</f>
        <v>Les gens commencent la course derrière une clôture fermée et râpée, qui s'ouvre ensuite et leur permet de commencer à courir à partir d'une plate-forme surélevée sur le chemin de course pavé.</v>
      </c>
    </row>
    <row r="6625">
      <c r="A6625" s="4" t="s">
        <v>8323</v>
      </c>
      <c r="B6625" s="4" t="s">
        <v>8326</v>
      </c>
      <c r="C6625" s="5" t="str">
        <f>IFERROR(__xludf.DUMMYFUNCTION("GOOGLETRANSLATE(B6625,""en"",""fr"")"),"Les coureurs pédalent avec une personne dans une veste blanche en tête.")</f>
        <v>Les coureurs pédalent avec une personne dans une veste blanche en tête.</v>
      </c>
    </row>
    <row r="6626">
      <c r="A6626" s="4" t="s">
        <v>8323</v>
      </c>
      <c r="B6626" s="6" t="s">
        <v>8327</v>
      </c>
      <c r="C6626" s="5" t="str">
        <f>IFERROR(__xludf.DUMMYFUNCTION("GOOGLETRANSLATE(B6626,""en"",""fr"")"),"La course se termine avec la même personne dans la veste blanche restant en tête jusqu'à ce qu'elle s'approche de la fin de la piste et d'un cône à rayures orange et blanc.")</f>
        <v>La course se termine avec la même personne dans la veste blanche restant en tête jusqu'à ce qu'elle s'approche de la fin de la piste et d'un cône à rayures orange et blanc.</v>
      </c>
    </row>
    <row r="6627">
      <c r="A6627" s="4" t="s">
        <v>8328</v>
      </c>
      <c r="B6627" s="6" t="s">
        <v>8329</v>
      </c>
      <c r="C6627" s="5" t="str">
        <f>IFERROR(__xludf.DUMMYFUNCTION("GOOGLETRANSLATE(B6627,""en"",""fr"")"),"Un jeune homme est montré balançant une raquette de tennis encore et encore tout en frappant une balle en même temps.")</f>
        <v>Un jeune homme est montré balançant une raquette de tennis encore et encore tout en frappant une balle en même temps.</v>
      </c>
    </row>
    <row r="6628">
      <c r="A6628" s="4" t="s">
        <v>8328</v>
      </c>
      <c r="B6628" s="4" t="s">
        <v>8330</v>
      </c>
      <c r="C6628" s="5" t="str">
        <f>IFERROR(__xludf.DUMMYFUNCTION("GOOGLETRANSLATE(B6628,""en"",""fr"")"),"Il continue d'effectuer ce swing plusieurs fois et frappe le ballon à chaque fois.")</f>
        <v>Il continue d'effectuer ce swing plusieurs fois et frappe le ballon à chaque fois.</v>
      </c>
    </row>
    <row r="6629">
      <c r="A6629" s="4" t="s">
        <v>8331</v>
      </c>
      <c r="B6629" s="4" t="s">
        <v>8332</v>
      </c>
      <c r="C6629" s="5" t="str">
        <f>IFERROR(__xludf.DUMMYFUNCTION("GOOGLETRANSLATE(B6629,""en"",""fr"")"),"Une machine à moulin est indiquée sur un patio.")</f>
        <v>Une machine à moulin est indiquée sur un patio.</v>
      </c>
    </row>
    <row r="6630">
      <c r="A6630" s="4" t="s">
        <v>8331</v>
      </c>
      <c r="B6630" s="4" t="s">
        <v>8333</v>
      </c>
      <c r="C6630" s="5" t="str">
        <f>IFERROR(__xludf.DUMMYFUNCTION("GOOGLETRANSLATE(B6630,""en"",""fr"")"),"Un homme parle pendant qu'il montre les parties de la machine.")</f>
        <v>Un homme parle pendant qu'il montre les parties de la machine.</v>
      </c>
    </row>
    <row r="6631">
      <c r="A6631" s="4" t="s">
        <v>8331</v>
      </c>
      <c r="B6631" s="4" t="s">
        <v>8334</v>
      </c>
      <c r="C6631" s="5" t="str">
        <f>IFERROR(__xludf.DUMMYFUNCTION("GOOGLETRANSLATE(B6631,""en"",""fr"")"),"Il montre ensuite comment la machine est utilisée.")</f>
        <v>Il montre ensuite comment la machine est utilisée.</v>
      </c>
    </row>
    <row r="6632">
      <c r="A6632" s="4" t="s">
        <v>8335</v>
      </c>
      <c r="B6632" s="4" t="s">
        <v>8336</v>
      </c>
      <c r="C6632" s="5" t="str">
        <f>IFERROR(__xludf.DUMMYFUNCTION("GOOGLETRANSLATE(B6632,""en"",""fr"")"),"Un homme s'agenouille dans un garage en regardant des outils au sol.")</f>
        <v>Un homme s'agenouille dans un garage en regardant des outils au sol.</v>
      </c>
    </row>
    <row r="6633">
      <c r="A6633" s="4" t="s">
        <v>8335</v>
      </c>
      <c r="B6633" s="4" t="s">
        <v>8337</v>
      </c>
      <c r="C6633" s="5" t="str">
        <f>IFERROR(__xludf.DUMMYFUNCTION("GOOGLETRANSLATE(B6633,""en"",""fr"")"),"Il attrape ensuite un masque en métal et se positionne correctement sur le sol.")</f>
        <v>Il attrape ensuite un masque en métal et se positionne correctement sur le sol.</v>
      </c>
    </row>
    <row r="6634">
      <c r="A6634" s="4" t="s">
        <v>8335</v>
      </c>
      <c r="B6634" s="6" t="s">
        <v>8338</v>
      </c>
      <c r="C6634" s="5" t="str">
        <f>IFERROR(__xludf.DUMMYFUNCTION("GOOGLETRANSLATE(B6634,""en"",""fr"")"),"Une fois confortable, le masque est maintenu en position et il commence à tirer sur l'objet au sol.")</f>
        <v>Une fois confortable, le masque est maintenu en position et il commence à tirer sur l'objet au sol.</v>
      </c>
    </row>
    <row r="6635">
      <c r="A6635" s="4" t="s">
        <v>8335</v>
      </c>
      <c r="B6635" s="4" t="s">
        <v>8339</v>
      </c>
      <c r="C6635" s="5" t="str">
        <f>IFERROR(__xludf.DUMMYFUNCTION("GOOGLETRANSLATE(B6635,""en"",""fr"")"),"Enfin, il l'enlève et commence à ciseler l'objet et à battre la rouille.")</f>
        <v>Enfin, il l'enlève et commence à ciseler l'objet et à battre la rouille.</v>
      </c>
    </row>
    <row r="6636">
      <c r="A6636" s="4" t="s">
        <v>8340</v>
      </c>
      <c r="B6636" s="4" t="s">
        <v>8341</v>
      </c>
      <c r="C6636" s="5" t="str">
        <f>IFERROR(__xludf.DUMMYFUNCTION("GOOGLETRANSLATE(B6636,""en"",""fr"")"),"Une personne est vue portant un masque sur son visage et tenant un tuyau à la main.")</f>
        <v>Une personne est vue portant un masque sur son visage et tenant un tuyau à la main.</v>
      </c>
    </row>
    <row r="6637">
      <c r="A6637" s="4" t="s">
        <v>8340</v>
      </c>
      <c r="B6637" s="4" t="s">
        <v>8342</v>
      </c>
      <c r="C6637" s="5" t="str">
        <f>IFERROR(__xludf.DUMMYFUNCTION("GOOGLETRANSLATE(B6637,""en"",""fr"")"),"La personne commence alors à pulvériser la clôture avec le tuyau.")</f>
        <v>La personne commence alors à pulvériser la clôture avec le tuyau.</v>
      </c>
    </row>
    <row r="6638">
      <c r="A6638" s="4" t="s">
        <v>8340</v>
      </c>
      <c r="B6638" s="4" t="s">
        <v>8343</v>
      </c>
      <c r="C6638" s="5" t="str">
        <f>IFERROR(__xludf.DUMMYFUNCTION("GOOGLETRANSLATE(B6638,""en"",""fr"")"),"La personne se propage continuellement le long de la clôture tandis que la caméra capture ses mouvements.")</f>
        <v>La personne se propage continuellement le long de la clôture tandis que la caméra capture ses mouvements.</v>
      </c>
    </row>
    <row r="6639">
      <c r="A6639" s="4" t="s">
        <v>8344</v>
      </c>
      <c r="B6639" s="6" t="s">
        <v>8345</v>
      </c>
      <c r="C6639" s="5" t="str">
        <f>IFERROR(__xludf.DUMMYFUNCTION("GOOGLETRANSLATE(B6639,""en"",""fr"")"),"Une introduction arrive sur l'écran montrant une fille qui montrera comment elle souffle sèche ses cheveux.")</f>
        <v>Une introduction arrive sur l'écran montrant une fille qui montrera comment elle souffle sèche ses cheveux.</v>
      </c>
    </row>
    <row r="6640">
      <c r="A6640" s="4" t="s">
        <v>8344</v>
      </c>
      <c r="B6640" s="4" t="s">
        <v>8346</v>
      </c>
      <c r="C6640" s="5" t="str">
        <f>IFERROR(__xludf.DUMMYFUNCTION("GOOGLETRANSLATE(B6640,""en"",""fr"")"),"Elle met une certaine mousse dans sa main et procède à la transformer dans ses cheveux.")</f>
        <v>Elle met une certaine mousse dans sa main et procède à la transformer dans ses cheveux.</v>
      </c>
    </row>
    <row r="6641">
      <c r="A6641" s="4" t="s">
        <v>8344</v>
      </c>
      <c r="B6641" s="4" t="s">
        <v>8347</v>
      </c>
      <c r="C6641" s="5" t="str">
        <f>IFERROR(__xludf.DUMMYFUNCTION("GOOGLETRANSLATE(B6641,""en"",""fr"")"),"Elle sort une sécheuse des sourcils et commence à sécher ses cheveux de l'arrière à l'avant.")</f>
        <v>Elle sort une sécheuse des sourcils et commence à sécher ses cheveux de l'arrière à l'avant.</v>
      </c>
    </row>
    <row r="6642">
      <c r="A6642" s="4" t="s">
        <v>8344</v>
      </c>
      <c r="B6642" s="4" t="s">
        <v>8348</v>
      </c>
      <c r="C6642" s="5" t="str">
        <f>IFERROR(__xludf.DUMMYFUNCTION("GOOGLETRANSLATE(B6642,""en"",""fr"")"),"Elle sections ses cheveux, sort une brosse et commence à sécher ses cheveux avec la brosse.")</f>
        <v>Elle sections ses cheveux, sort une brosse et commence à sécher ses cheveux avec la brosse.</v>
      </c>
    </row>
    <row r="6643">
      <c r="A6643" s="4" t="s">
        <v>8344</v>
      </c>
      <c r="B6643" s="4" t="s">
        <v>8349</v>
      </c>
      <c r="C6643" s="5" t="str">
        <f>IFERROR(__xludf.DUMMYFUNCTION("GOOGLETRANSLATE(B6643,""en"",""fr"")"),"Quand elle a terminé, les crédits de clôture de l'émission vidéo à l'écran.")</f>
        <v>Quand elle a terminé, les crédits de clôture de l'émission vidéo à l'écran.</v>
      </c>
    </row>
    <row r="6644">
      <c r="A6644" s="4" t="s">
        <v>8350</v>
      </c>
      <c r="B6644" s="4" t="s">
        <v>8351</v>
      </c>
      <c r="C6644" s="5" t="str">
        <f>IFERROR(__xludf.DUMMYFUNCTION("GOOGLETRANSLATE(B6644,""en"",""fr"")"),"Une femme se tient à l'extérieur d'une poutre.")</f>
        <v>Une femme se tient à l'extérieur d'une poutre.</v>
      </c>
    </row>
    <row r="6645">
      <c r="A6645" s="4" t="s">
        <v>8350</v>
      </c>
      <c r="B6645" s="4" t="s">
        <v>8352</v>
      </c>
      <c r="C6645" s="5" t="str">
        <f>IFERROR(__xludf.DUMMYFUNCTION("GOOGLETRANSLATE(B6645,""en"",""fr"")"),"Elle monte le faisceau, puis fait plusieurs flips et ressorts à la main sur la barre.")</f>
        <v>Elle monte le faisceau, puis fait plusieurs flips et ressorts à la main sur la barre.</v>
      </c>
    </row>
    <row r="6646">
      <c r="A6646" s="4" t="s">
        <v>8350</v>
      </c>
      <c r="B6646" s="4" t="s">
        <v>8353</v>
      </c>
      <c r="C6646" s="5" t="str">
        <f>IFERROR(__xludf.DUMMYFUNCTION("GOOGLETRANSLATE(B6646,""en"",""fr"")"),"Elle démonte, levant les bras en l'air.")</f>
        <v>Elle démonte, levant les bras en l'air.</v>
      </c>
    </row>
    <row r="6647">
      <c r="A6647" s="4" t="s">
        <v>8354</v>
      </c>
      <c r="B6647" s="4" t="s">
        <v>8355</v>
      </c>
      <c r="C6647" s="5" t="str">
        <f>IFERROR(__xludf.DUMMYFUNCTION("GOOGLETRANSLATE(B6647,""en"",""fr"")"),"Une personne est montrée en nageant dans une piscine tandis que d'autres nagent autour d'elle.")</f>
        <v>Une personne est montrée en nageant dans une piscine tandis que d'autres nagent autour d'elle.</v>
      </c>
    </row>
    <row r="6648">
      <c r="A6648" s="4" t="s">
        <v>8354</v>
      </c>
      <c r="B6648" s="4" t="s">
        <v>8356</v>
      </c>
      <c r="C6648" s="5" t="str">
        <f>IFERROR(__xludf.DUMMYFUNCTION("GOOGLETRANSLATE(B6648,""en"",""fr"")"),"Les gens passent une balle dans l'eau tandis qu'une autre équipe de joueurs joue dans le fond.")</f>
        <v>Les gens passent une balle dans l'eau tandis qu'une autre équipe de joueurs joue dans le fond.</v>
      </c>
    </row>
    <row r="6649">
      <c r="A6649" s="4" t="s">
        <v>8357</v>
      </c>
      <c r="B6649" s="4" t="s">
        <v>8358</v>
      </c>
      <c r="C6649" s="5" t="str">
        <f>IFERROR(__xludf.DUMMYFUNCTION("GOOGLETRANSLATE(B6649,""en"",""fr"")"),"Une dame tient un chat sur ses genoux sur le sol.")</f>
        <v>Une dame tient un chat sur ses genoux sur le sol.</v>
      </c>
    </row>
    <row r="6650">
      <c r="A6650" s="4" t="s">
        <v>8357</v>
      </c>
      <c r="B6650" s="4" t="s">
        <v>8359</v>
      </c>
      <c r="C6650" s="5" t="str">
        <f>IFERROR(__xludf.DUMMYFUNCTION("GOOGLETRANSLATE(B6650,""en"",""fr"")"),"La dame coupe ensuite les griffes des chats.")</f>
        <v>La dame coupe ensuite les griffes des chats.</v>
      </c>
    </row>
    <row r="6651">
      <c r="A6651" s="4" t="s">
        <v>8357</v>
      </c>
      <c r="B6651" s="4" t="s">
        <v>8360</v>
      </c>
      <c r="C6651" s="5" t="str">
        <f>IFERROR(__xludf.DUMMYFUNCTION("GOOGLETRANSLATE(B6651,""en"",""fr"")"),"Le chat essaie de s'échapper et la personne calme le chat avec un porte-cheveux.")</f>
        <v>Le chat essaie de s'échapper et la personne calme le chat avec un porte-cheveux.</v>
      </c>
    </row>
    <row r="6652">
      <c r="A6652" s="4" t="s">
        <v>8357</v>
      </c>
      <c r="B6652" s="4" t="s">
        <v>8361</v>
      </c>
      <c r="C6652" s="5" t="str">
        <f>IFERROR(__xludf.DUMMYFUNCTION("GOOGLETRANSLATE(B6652,""en"",""fr"")"),"Le chat s'efforce de s'échapper.")</f>
        <v>Le chat s'efforce de s'échapper.</v>
      </c>
    </row>
    <row r="6653">
      <c r="A6653" s="4" t="s">
        <v>8357</v>
      </c>
      <c r="B6653" s="6" t="s">
        <v>8362</v>
      </c>
      <c r="C6653" s="5" t="str">
        <f>IFERROR(__xludf.DUMMYFUNCTION("GOOGLETRANSLATE(B6653,""en"",""fr"")"),"La dame termine un chat qui s'enfuit et nous voyons un autre chat assis sur un lit entouré d'encombrement.")</f>
        <v>La dame termine un chat qui s'enfuit et nous voyons un autre chat assis sur un lit entouré d'encombrement.</v>
      </c>
    </row>
    <row r="6654">
      <c r="A6654" s="4" t="s">
        <v>8363</v>
      </c>
      <c r="B6654" s="4" t="s">
        <v>8364</v>
      </c>
      <c r="C6654" s="5" t="str">
        <f>IFERROR(__xludf.DUMMYFUNCTION("GOOGLETRANSLATE(B6654,""en"",""fr"")"),"Deux hommes se battent avec des arcs et des flèches dans une pièce.")</f>
        <v>Deux hommes se battent avec des arcs et des flèches dans une pièce.</v>
      </c>
    </row>
    <row r="6655">
      <c r="A6655" s="4" t="s">
        <v>8363</v>
      </c>
      <c r="B6655" s="4" t="s">
        <v>8365</v>
      </c>
      <c r="C6655" s="5" t="str">
        <f>IFERROR(__xludf.DUMMYFUNCTION("GOOGLETRANSLATE(B6655,""en"",""fr"")"),"Un homme saute d'une pile de tapis.")</f>
        <v>Un homme saute d'une pile de tapis.</v>
      </c>
    </row>
    <row r="6656">
      <c r="A6656" s="4" t="s">
        <v>8363</v>
      </c>
      <c r="B6656" s="4" t="s">
        <v>8366</v>
      </c>
      <c r="C6656" s="5" t="str">
        <f>IFERROR(__xludf.DUMMYFUNCTION("GOOGLETRANSLATE(B6656,""en"",""fr"")"),"Un autre homme fait un retournement du mur.")</f>
        <v>Un autre homme fait un retournement du mur.</v>
      </c>
    </row>
    <row r="6657">
      <c r="A6657" s="4" t="s">
        <v>8367</v>
      </c>
      <c r="B6657" s="4" t="s">
        <v>8368</v>
      </c>
      <c r="C6657" s="5" t="str">
        <f>IFERROR(__xludf.DUMMYFUNCTION("GOOGLETRANSLATE(B6657,""en"",""fr"")"),"Un homme nettoie une petite planche de bois avec un chiffon dans un atelier.")</f>
        <v>Un homme nettoie une petite planche de bois avec un chiffon dans un atelier.</v>
      </c>
    </row>
    <row r="6658">
      <c r="A6658" s="4" t="s">
        <v>8367</v>
      </c>
      <c r="B6658" s="4" t="s">
        <v>8369</v>
      </c>
      <c r="C6658" s="5" t="str">
        <f>IFERROR(__xludf.DUMMYFUNCTION("GOOGLETRANSLATE(B6658,""en"",""fr"")"),"Ensuite, l'homme utilise une flanelle pour polir bien la planche en bois.")</f>
        <v>Ensuite, l'homme utilise une flanelle pour polir bien la planche en bois.</v>
      </c>
    </row>
    <row r="6659">
      <c r="A6659" s="4" t="s">
        <v>8370</v>
      </c>
      <c r="B6659" s="4" t="s">
        <v>8371</v>
      </c>
      <c r="C6659" s="5" t="str">
        <f>IFERROR(__xludf.DUMMYFUNCTION("GOOGLETRANSLATE(B6659,""en"",""fr"")"),"Les citrons sont jus un à la fois puis mettent dans une casserole avec du sucre.")</f>
        <v>Les citrons sont jus un à la fois puis mettent dans une casserole avec du sucre.</v>
      </c>
    </row>
    <row r="6660">
      <c r="A6660" s="4" t="s">
        <v>8370</v>
      </c>
      <c r="B6660" s="4" t="s">
        <v>8372</v>
      </c>
      <c r="C6660" s="5" t="str">
        <f>IFERROR(__xludf.DUMMYFUNCTION("GOOGLETRANSLATE(B6660,""en"",""fr"")"),"De l'eau scintillante est ajoutée, puis le mélange est ajouté à cette création de limonade étincelante.")</f>
        <v>De l'eau scintillante est ajoutée, puis le mélange est ajouté à cette création de limonade étincelante.</v>
      </c>
    </row>
    <row r="6661">
      <c r="A6661" s="4" t="s">
        <v>8373</v>
      </c>
      <c r="B6661" s="4" t="s">
        <v>8374</v>
      </c>
      <c r="C6661" s="5" t="str">
        <f>IFERROR(__xludf.DUMMYFUNCTION("GOOGLETRANSLATE(B6661,""en"",""fr"")"),"Un homme est en dehors d'un bâtiment.")</f>
        <v>Un homme est en dehors d'un bâtiment.</v>
      </c>
    </row>
    <row r="6662">
      <c r="A6662" s="4" t="s">
        <v>8373</v>
      </c>
      <c r="B6662" s="4" t="s">
        <v>8375</v>
      </c>
      <c r="C6662" s="5" t="str">
        <f>IFERROR(__xludf.DUMMYFUNCTION("GOOGLETRANSLATE(B6662,""en"",""fr"")"),"Il utilise du matériel de tonte de pelouse commercial.")</f>
        <v>Il utilise du matériel de tonte de pelouse commercial.</v>
      </c>
    </row>
    <row r="6663">
      <c r="A6663" s="4" t="s">
        <v>8373</v>
      </c>
      <c r="B6663" s="4" t="s">
        <v>8376</v>
      </c>
      <c r="C6663" s="5" t="str">
        <f>IFERROR(__xludf.DUMMYFUNCTION("GOOGLETRANSLATE(B6663,""en"",""fr"")"),"Il fait des allers-retours en tondant l'herbe.")</f>
        <v>Il fait des allers-retours en tondant l'herbe.</v>
      </c>
    </row>
    <row r="6664">
      <c r="A6664" s="4" t="s">
        <v>8377</v>
      </c>
      <c r="B6664" s="4" t="s">
        <v>8378</v>
      </c>
      <c r="C6664" s="5" t="str">
        <f>IFERROR(__xludf.DUMMYFUNCTION("GOOGLETRANSLATE(B6664,""en"",""fr"")"),"Une femme âgée portant des lunettes se tient devant une voiture.")</f>
        <v>Une femme âgée portant des lunettes se tient devant une voiture.</v>
      </c>
    </row>
    <row r="6665">
      <c r="A6665" s="4" t="s">
        <v>8377</v>
      </c>
      <c r="B6665" s="4" t="s">
        <v>8379</v>
      </c>
      <c r="C6665" s="5" t="str">
        <f>IFERROR(__xludf.DUMMYFUNCTION("GOOGLETRANSLATE(B6665,""en"",""fr"")"),"Elle se dirige vers la voiture et ne peut pas ouvrir la porte au début.")</f>
        <v>Elle se dirige vers la voiture et ne peut pas ouvrir la porte au début.</v>
      </c>
    </row>
    <row r="6666">
      <c r="A6666" s="4" t="s">
        <v>8377</v>
      </c>
      <c r="B6666" s="6" t="s">
        <v>8380</v>
      </c>
      <c r="C6666" s="5" t="str">
        <f>IFERROR(__xludf.DUMMYFUNCTION("GOOGLETRANSLATE(B6666,""en"",""fr"")"),"Elle monte à l'intérieur de la voiture, puis sort et nettoie la neige de la voiture avant de rentrer et de partir.")</f>
        <v>Elle monte à l'intérieur de la voiture, puis sort et nettoie la neige de la voiture avant de rentrer et de partir.</v>
      </c>
    </row>
    <row r="6667">
      <c r="A6667" s="4" t="s">
        <v>8381</v>
      </c>
      <c r="B6667" s="4" t="s">
        <v>8382</v>
      </c>
      <c r="C6667" s="5" t="str">
        <f>IFERROR(__xludf.DUMMYFUNCTION("GOOGLETRANSLATE(B6667,""en"",""fr"")"),"Un gros plan du visage d'un homme est vu suivi d'un rasoir sur le côté et de la personne qui peigne ses cheveux.")</f>
        <v>Un gros plan du visage d'un homme est vu suivi d'un rasoir sur le côté et de la personne qui peigne ses cheveux.</v>
      </c>
    </row>
    <row r="6668">
      <c r="A6668" s="4" t="s">
        <v>8381</v>
      </c>
      <c r="B6668" s="6" t="s">
        <v>8383</v>
      </c>
      <c r="C6668" s="5" t="str">
        <f>IFERROR(__xludf.DUMMYFUNCTION("GOOGLETRANSLATE(B6668,""en"",""fr"")"),"La personne continue de se raser et de peigner les cheveux de l'homme ainsi que de se raser sa barbe couvrant de la crème à raser.")</f>
        <v>La personne continue de se raser et de peigner les cheveux de l'homme ainsi que de se raser sa barbe couvrant de la crème à raser.</v>
      </c>
    </row>
    <row r="6669">
      <c r="A6669" s="4" t="s">
        <v>8381</v>
      </c>
      <c r="B6669" s="4" t="s">
        <v>8384</v>
      </c>
      <c r="C6669" s="5" t="str">
        <f>IFERROR(__xludf.DUMMYFUNCTION("GOOGLETRANSLATE(B6669,""en"",""fr"")"),"L'homme essuie le visage quand il a fini et montrant le rasage propre.")</f>
        <v>L'homme essuie le visage quand il a fini et montrant le rasage propre.</v>
      </c>
    </row>
    <row r="6670">
      <c r="A6670" s="4" t="s">
        <v>8385</v>
      </c>
      <c r="B6670" s="4" t="s">
        <v>8386</v>
      </c>
      <c r="C6670" s="5" t="str">
        <f>IFERROR(__xludf.DUMMYFUNCTION("GOOGLETRANSLATE(B6670,""en"",""fr"")"),"Des dessins de bouteilles de savon à main et d'humains sont représentés.")</f>
        <v>Des dessins de bouteilles de savon à main et d'humains sont représentés.</v>
      </c>
    </row>
    <row r="6671">
      <c r="A6671" s="4" t="s">
        <v>8385</v>
      </c>
      <c r="B6671" s="6" t="s">
        <v>8387</v>
      </c>
      <c r="C6671" s="5" t="str">
        <f>IFERROR(__xludf.DUMMYFUNCTION("GOOGLETRANSLATE(B6671,""en"",""fr"")"),"Une petite fille se tient à côté d'un évier blanc, elle ouvrit le robinet, se lavait la main, se frottait la main avec du savon, se rincera soigneusement la main, éteint l'eau et sourit à la caméra.")</f>
        <v>Une petite fille se tient à côté d'un évier blanc, elle ouvrit le robinet, se lavait la main, se frottait la main avec du savon, se rincera soigneusement la main, éteint l'eau et sourit à la caméra.</v>
      </c>
    </row>
    <row r="6672">
      <c r="A6672" s="4" t="s">
        <v>8388</v>
      </c>
      <c r="B6672" s="4" t="s">
        <v>8389</v>
      </c>
      <c r="C6672" s="5" t="str">
        <f>IFERROR(__xludf.DUMMYFUNCTION("GOOGLETRANSLATE(B6672,""en"",""fr"")"),"Nous voyons un lanceur devant une foule et tenons le ballon.")</f>
        <v>Nous voyons un lanceur devant une foule et tenons le ballon.</v>
      </c>
    </row>
    <row r="6673">
      <c r="A6673" s="4" t="s">
        <v>8388</v>
      </c>
      <c r="B6673" s="6" t="s">
        <v>8390</v>
      </c>
      <c r="C6673" s="5" t="str">
        <f>IFERROR(__xludf.DUMMYFUNCTION("GOOGLETRANSLATE(B6673,""en"",""fr"")"),"Le lanceur lance une grève et la foule applaudit, une dame tient ses mains devant son visage et le lanceur essuie ses mains.")</f>
        <v>Le lanceur lance une grève et la foule applaudit, une dame tient ses mains devant son visage et le lanceur essuie ses mains.</v>
      </c>
    </row>
    <row r="6674">
      <c r="A6674" s="4" t="s">
        <v>8388</v>
      </c>
      <c r="B6674" s="4" t="s">
        <v>8391</v>
      </c>
      <c r="C6674" s="5" t="str">
        <f>IFERROR(__xludf.DUMMYFUNCTION("GOOGLETRANSLATE(B6674,""en"",""fr"")"),"L'homme lance une autre grève et tombe.")</f>
        <v>L'homme lance une autre grève et tombe.</v>
      </c>
    </row>
    <row r="6675">
      <c r="A6675" s="4" t="s">
        <v>8388</v>
      </c>
      <c r="B6675" s="4" t="s">
        <v>8392</v>
      </c>
      <c r="C6675" s="5" t="str">
        <f>IFERROR(__xludf.DUMMYFUNCTION("GOOGLETRANSLATE(B6675,""en"",""fr"")"),"Il se lève du sol tandis que la foule applaudit.")</f>
        <v>Il se lève du sol tandis que la foule applaudit.</v>
      </c>
    </row>
    <row r="6676">
      <c r="A6676" s="4" t="s">
        <v>8388</v>
      </c>
      <c r="B6676" s="4" t="s">
        <v>8393</v>
      </c>
      <c r="C6676" s="5" t="str">
        <f>IFERROR(__xludf.DUMMYFUNCTION("GOOGLETRANSLATE(B6676,""en"",""fr"")"),"L'homme lance une troisième frappe et est vu allongé sur le sol.")</f>
        <v>L'homme lance une troisième frappe et est vu allongé sur le sol.</v>
      </c>
    </row>
    <row r="6677">
      <c r="A6677" s="4" t="s">
        <v>8388</v>
      </c>
      <c r="B6677" s="6" t="s">
        <v>8394</v>
      </c>
      <c r="C6677" s="5" t="str">
        <f>IFERROR(__xludf.DUMMYFUNCTION("GOOGLETRANSLATE(B6677,""en"",""fr"")"),"Il se lève et secoue la main des hommes et nous voyons une dame se tenant les mains devant son visage.")</f>
        <v>Il se lève et secoue la main des hommes et nous voyons une dame se tenant les mains devant son visage.</v>
      </c>
    </row>
    <row r="6678">
      <c r="A6678" s="4" t="s">
        <v>8388</v>
      </c>
      <c r="B6678" s="4" t="s">
        <v>8395</v>
      </c>
      <c r="C6678" s="5" t="str">
        <f>IFERROR(__xludf.DUMMYFUNCTION("GOOGLETRANSLATE(B6678,""en"",""fr"")"),"Nous voyons ensuite un homme plus âgé parler seul dans une pièce.")</f>
        <v>Nous voyons ensuite un homme plus âgé parler seul dans une pièce.</v>
      </c>
    </row>
    <row r="6679">
      <c r="A6679" s="4" t="s">
        <v>8396</v>
      </c>
      <c r="B6679" s="4" t="s">
        <v>8397</v>
      </c>
      <c r="C6679" s="5" t="str">
        <f>IFERROR(__xludf.DUMMYFUNCTION("GOOGLETRANSLATE(B6679,""en"",""fr"")"),"Il y a un garçon assis sur une plage de construction de châteaux de sable avec une bouteille d'eau et un seau de sable.")</f>
        <v>Il y a un garçon assis sur une plage de construction de châteaux de sable avec une bouteille d'eau et un seau de sable.</v>
      </c>
    </row>
    <row r="6680">
      <c r="A6680" s="4" t="s">
        <v>8396</v>
      </c>
      <c r="B6680" s="4" t="s">
        <v>8398</v>
      </c>
      <c r="C6680" s="5" t="str">
        <f>IFERROR(__xludf.DUMMYFUNCTION("GOOGLETRANSLATE(B6680,""en"",""fr"")"),"Un autre petit garçon portant un flotteur rose vient en courant et le rejoint.")</f>
        <v>Un autre petit garçon portant un flotteur rose vient en courant et le rejoint.</v>
      </c>
    </row>
    <row r="6681">
      <c r="A6681" s="4" t="s">
        <v>8396</v>
      </c>
      <c r="B6681" s="4" t="s">
        <v>8399</v>
      </c>
      <c r="C6681" s="5" t="str">
        <f>IFERROR(__xludf.DUMMYFUNCTION("GOOGLETRANSLATE(B6681,""en"",""fr"")"),"Le garçon verse de l'eau sur le château de sable.")</f>
        <v>Le garçon verse de l'eau sur le château de sable.</v>
      </c>
    </row>
    <row r="6682">
      <c r="A6682" s="4" t="s">
        <v>8396</v>
      </c>
      <c r="B6682" s="4" t="s">
        <v>8400</v>
      </c>
      <c r="C6682" s="5" t="str">
        <f>IFERROR(__xludf.DUMMYFUNCTION("GOOGLETRANSLATE(B6682,""en"",""fr"")"),"Ensuite, une fille portant un maillot de bain à fleurs roses rejoint les garçons et les aide à construire le château de sable.")</f>
        <v>Ensuite, une fille portant un maillot de bain à fleurs roses rejoint les garçons et les aide à construire le château de sable.</v>
      </c>
    </row>
    <row r="6683">
      <c r="A6683" s="4" t="s">
        <v>8401</v>
      </c>
      <c r="B6683" s="4" t="s">
        <v>8402</v>
      </c>
      <c r="C6683" s="5" t="str">
        <f>IFERROR(__xludf.DUMMYFUNCTION("GOOGLETRANSLATE(B6683,""en"",""fr"")"),"Un homme dans les lunettes et le béret parle.")</f>
        <v>Un homme dans les lunettes et le béret parle.</v>
      </c>
    </row>
    <row r="6684">
      <c r="A6684" s="4" t="s">
        <v>8401</v>
      </c>
      <c r="B6684" s="4" t="s">
        <v>8403</v>
      </c>
      <c r="C6684" s="5" t="str">
        <f>IFERROR(__xludf.DUMMYFUNCTION("GOOGLETRANSLATE(B6684,""en"",""fr"")"),"On montre qu'il jouait une harmonica pendant qu'il joue également un clavier.")</f>
        <v>On montre qu'il jouait une harmonica pendant qu'il joue également un clavier.</v>
      </c>
    </row>
    <row r="6685">
      <c r="A6685" s="4" t="s">
        <v>8401</v>
      </c>
      <c r="B6685" s="4" t="s">
        <v>8404</v>
      </c>
      <c r="C6685" s="5" t="str">
        <f>IFERROR(__xludf.DUMMYFUNCTION("GOOGLETRANSLATE(B6685,""en"",""fr"")"),"Il parle des mécanismes de l'hormonica entre le jeu.")</f>
        <v>Il parle des mécanismes de l'hormonica entre le jeu.</v>
      </c>
    </row>
    <row r="6686">
      <c r="A6686" s="4" t="s">
        <v>8405</v>
      </c>
      <c r="B6686" s="4" t="s">
        <v>8406</v>
      </c>
      <c r="C6686" s="5" t="str">
        <f>IFERROR(__xludf.DUMMYFUNCTION("GOOGLETRANSLATE(B6686,""en"",""fr"")"),"Un groupe d'hommes, de garçons et de chameaux est dans une zone désertique.")</f>
        <v>Un groupe d'hommes, de garçons et de chameaux est dans une zone désertique.</v>
      </c>
    </row>
    <row r="6687">
      <c r="A6687" s="4" t="s">
        <v>8405</v>
      </c>
      <c r="B6687" s="4" t="s">
        <v>8407</v>
      </c>
      <c r="C6687" s="5" t="str">
        <f>IFERROR(__xludf.DUMMYFUNCTION("GOOGLETRANSLATE(B6687,""en"",""fr"")"),"Un homme est assis sur un chameau.")</f>
        <v>Un homme est assis sur un chameau.</v>
      </c>
    </row>
    <row r="6688">
      <c r="A6688" s="4" t="s">
        <v>8405</v>
      </c>
      <c r="B6688" s="4" t="s">
        <v>8408</v>
      </c>
      <c r="C6688" s="5" t="str">
        <f>IFERROR(__xludf.DUMMYFUNCTION("GOOGLETRANSLATE(B6688,""en"",""fr"")"),"L'homme explique la bonne façon de monter sur un chameau.")</f>
        <v>L'homme explique la bonne façon de monter sur un chameau.</v>
      </c>
    </row>
    <row r="6689">
      <c r="A6689" s="4" t="s">
        <v>8405</v>
      </c>
      <c r="B6689" s="4" t="s">
        <v>8409</v>
      </c>
      <c r="C6689" s="5" t="str">
        <f>IFERROR(__xludf.DUMMYFUNCTION("GOOGLETRANSLATE(B6689,""en"",""fr"")"),"Un homme en arrière-plan tient une caméra vidéo.")</f>
        <v>Un homme en arrière-plan tient une caméra vidéo.</v>
      </c>
    </row>
    <row r="6690">
      <c r="A6690" s="4" t="s">
        <v>8405</v>
      </c>
      <c r="B6690" s="4" t="s">
        <v>8410</v>
      </c>
      <c r="C6690" s="5" t="str">
        <f>IFERROR(__xludf.DUMMYFUNCTION("GOOGLETRANSLATE(B6690,""en"",""fr"")"),"Un autre homme tend les règnes des chameaux à l'homme qui roule et le chameau commence à marcher.")</f>
        <v>Un autre homme tend les règnes des chameaux à l'homme qui roule et le chameau commence à marcher.</v>
      </c>
    </row>
    <row r="6691">
      <c r="A6691" s="4" t="s">
        <v>8405</v>
      </c>
      <c r="B6691" s="4" t="s">
        <v>8411</v>
      </c>
      <c r="C6691" s="5" t="str">
        <f>IFERROR(__xludf.DUMMYFUNCTION("GOOGLETRANSLATE(B6691,""en"",""fr"")"),"Le chameau tourne la tête et crie à l'homme qui le monte.")</f>
        <v>Le chameau tourne la tête et crie à l'homme qui le monte.</v>
      </c>
    </row>
    <row r="6692">
      <c r="A6692" s="4" t="s">
        <v>8405</v>
      </c>
      <c r="B6692" s="4" t="s">
        <v>8412</v>
      </c>
      <c r="C6692" s="5" t="str">
        <f>IFERROR(__xludf.DUMMYFUNCTION("GOOGLETRANSLATE(B6692,""en"",""fr"")"),"L'homme qui monte frappe le chameau sur le côté et il recommence à marcher.")</f>
        <v>L'homme qui monte frappe le chameau sur le côté et il recommence à marcher.</v>
      </c>
    </row>
    <row r="6693">
      <c r="A6693" s="4" t="s">
        <v>8413</v>
      </c>
      <c r="B6693" s="4" t="s">
        <v>8414</v>
      </c>
      <c r="C6693" s="5" t="str">
        <f>IFERROR(__xludf.DUMMYFUNCTION("GOOGLETRANSLATE(B6693,""en"",""fr"")"),"Plusieurs hommes différents sont vus essayer de neige à neige mais, tombant encore et encore.")</f>
        <v>Plusieurs hommes différents sont vus essayer de neige à neige mais, tombant encore et encore.</v>
      </c>
    </row>
    <row r="6694">
      <c r="A6694" s="4" t="s">
        <v>8413</v>
      </c>
      <c r="B6694" s="4" t="s">
        <v>8415</v>
      </c>
      <c r="C6694" s="5" t="str">
        <f>IFERROR(__xludf.DUMMYFUNCTION("GOOGLETRANSLATE(B6694,""en"",""fr"")"),"Beaucoup de personnes différentes sont en arrière-plan et font des choses différentes dans la neige.")</f>
        <v>Beaucoup de personnes différentes sont en arrière-plan et font des choses différentes dans la neige.</v>
      </c>
    </row>
    <row r="6695">
      <c r="A6695" s="4" t="s">
        <v>8413</v>
      </c>
      <c r="B6695" s="4" t="s">
        <v>8416</v>
      </c>
      <c r="C6695" s="5" t="str">
        <f>IFERROR(__xludf.DUMMYFUNCTION("GOOGLETRANSLATE(B6695,""en"",""fr"")"),"L'homme qui tombait abandonné et reste en position assise.")</f>
        <v>L'homme qui tombait abandonné et reste en position assise.</v>
      </c>
    </row>
    <row r="6696">
      <c r="A6696" s="4" t="s">
        <v>8417</v>
      </c>
      <c r="B6696" s="4" t="s">
        <v>8418</v>
      </c>
      <c r="C6696" s="5" t="str">
        <f>IFERROR(__xludf.DUMMYFUNCTION("GOOGLETRANSLATE(B6696,""en"",""fr"")"),"Un homme est vu parler à la caméra tout en levant une cigarette.")</f>
        <v>Un homme est vu parler à la caméra tout en levant une cigarette.</v>
      </c>
    </row>
    <row r="6697">
      <c r="A6697" s="4" t="s">
        <v>8417</v>
      </c>
      <c r="B6697" s="4" t="s">
        <v>8419</v>
      </c>
      <c r="C6697" s="5" t="str">
        <f>IFERROR(__xludf.DUMMYFUNCTION("GOOGLETRANSLATE(B6697,""en"",""fr"")"),"L'homme sort plusieurs bouffées de la cigarette tout en regardant en arrière vers la caméra.")</f>
        <v>L'homme sort plusieurs bouffées de la cigarette tout en regardant en arrière vers la caméra.</v>
      </c>
    </row>
    <row r="6698">
      <c r="A6698" s="4" t="s">
        <v>8417</v>
      </c>
      <c r="B6698" s="4" t="s">
        <v>8420</v>
      </c>
      <c r="C6698" s="5" t="str">
        <f>IFERROR(__xludf.DUMMYFUNCTION("GOOGLETRANSLATE(B6698,""en"",""fr"")"),"Il continue de fumer et de regarder vers la caméra.")</f>
        <v>Il continue de fumer et de regarder vers la caméra.</v>
      </c>
    </row>
    <row r="6699">
      <c r="A6699" s="4" t="s">
        <v>8421</v>
      </c>
      <c r="B6699" s="4" t="s">
        <v>8422</v>
      </c>
      <c r="C6699" s="5" t="str">
        <f>IFERROR(__xludf.DUMMYFUNCTION("GOOGLETRANSLATE(B6699,""en"",""fr"")"),"Un homme est vu debout sur un tribunal en tenant une raquette de tennis.")</f>
        <v>Un homme est vu debout sur un tribunal en tenant une raquette de tennis.</v>
      </c>
    </row>
    <row r="6700">
      <c r="A6700" s="4" t="s">
        <v>8421</v>
      </c>
      <c r="B6700" s="4" t="s">
        <v>8423</v>
      </c>
      <c r="C6700" s="5" t="str">
        <f>IFERROR(__xludf.DUMMYFUNCTION("GOOGLETRANSLATE(B6700,""en"",""fr"")"),"L'homme rebondit ensuite la raquette et frappe la balle de tennis en équilibre sur le dessus.")</f>
        <v>L'homme rebondit ensuite la raquette et frappe la balle de tennis en équilibre sur le dessus.</v>
      </c>
    </row>
    <row r="6701">
      <c r="A6701" s="4" t="s">
        <v>8421</v>
      </c>
      <c r="B6701" s="4" t="s">
        <v>8424</v>
      </c>
      <c r="C6701" s="5" t="str">
        <f>IFERROR(__xludf.DUMMYFUNCTION("GOOGLETRANSLATE(B6701,""en"",""fr"")"),"Son coup est à nouveau montré au ralenti.")</f>
        <v>Son coup est à nouveau montré au ralenti.</v>
      </c>
    </row>
    <row r="6702">
      <c r="A6702" s="4" t="s">
        <v>8425</v>
      </c>
      <c r="B6702" s="4" t="s">
        <v>8426</v>
      </c>
      <c r="C6702" s="5" t="str">
        <f>IFERROR(__xludf.DUMMYFUNCTION("GOOGLETRANSLATE(B6702,""en"",""fr"")"),"Nous voyons un garçon dans une veste debout à l'extérieur et parlant.")</f>
        <v>Nous voyons un garçon dans une veste debout à l'extérieur et parlant.</v>
      </c>
    </row>
    <row r="6703">
      <c r="A6703" s="4" t="s">
        <v>8425</v>
      </c>
      <c r="B6703" s="4" t="s">
        <v>8427</v>
      </c>
      <c r="C6703" s="5" t="str">
        <f>IFERROR(__xludf.DUMMYFUNCTION("GOOGLETRANSLATE(B6703,""en"",""fr"")"),"Le garçon va dans un bâtiment.")</f>
        <v>Le garçon va dans un bâtiment.</v>
      </c>
    </row>
    <row r="6704">
      <c r="A6704" s="4" t="s">
        <v>8425</v>
      </c>
      <c r="B6704" s="4" t="s">
        <v>8428</v>
      </c>
      <c r="C6704" s="5" t="str">
        <f>IFERROR(__xludf.DUMMYFUNCTION("GOOGLETRANSLATE(B6704,""en"",""fr"")"),"Le garçon est assis sur une chaise et teste une coupe de cheveux.")</f>
        <v>Le garçon est assis sur une chaise et teste une coupe de cheveux.</v>
      </c>
    </row>
    <row r="6705">
      <c r="A6705" s="4" t="s">
        <v>8425</v>
      </c>
      <c r="B6705" s="4" t="s">
        <v>8429</v>
      </c>
      <c r="C6705" s="5" t="str">
        <f>IFERROR(__xludf.DUMMYFUNCTION("GOOGLETRANSLATE(B6705,""en"",""fr"")"),"La dame utilise ensuite des ciseaux.")</f>
        <v>La dame utilise ensuite des ciseaux.</v>
      </c>
    </row>
    <row r="6706">
      <c r="A6706" s="4" t="s">
        <v>8425</v>
      </c>
      <c r="B6706" s="4" t="s">
        <v>8430</v>
      </c>
      <c r="C6706" s="5" t="str">
        <f>IFERROR(__xludf.DUMMYFUNCTION("GOOGLETRANSLATE(B6706,""en"",""fr"")"),"Nous voyons l'enfant avec sa nouvelle coupe de cheveux.")</f>
        <v>Nous voyons l'enfant avec sa nouvelle coupe de cheveux.</v>
      </c>
    </row>
    <row r="6707">
      <c r="A6707" s="4" t="s">
        <v>8425</v>
      </c>
      <c r="B6707" s="4" t="s">
        <v>8431</v>
      </c>
      <c r="C6707" s="5" t="str">
        <f>IFERROR(__xludf.DUMMYFUNCTION("GOOGLETRANSLATE(B6707,""en"",""fr"")"),"La dame donne au petit garçon un ballon rouge.")</f>
        <v>La dame donne au petit garçon un ballon rouge.</v>
      </c>
    </row>
    <row r="6708">
      <c r="A6708" s="4" t="s">
        <v>8425</v>
      </c>
      <c r="B6708" s="4" t="s">
        <v>8432</v>
      </c>
      <c r="C6708" s="5" t="str">
        <f>IFERROR(__xludf.DUMMYFUNCTION("GOOGLETRANSLATE(B6708,""en"",""fr"")"),"Nous voyons le garçon alors qu'il se dirige vers la porte.")</f>
        <v>Nous voyons le garçon alors qu'il se dirige vers la porte.</v>
      </c>
    </row>
    <row r="6709">
      <c r="A6709" s="4" t="s">
        <v>8433</v>
      </c>
      <c r="B6709" s="4" t="s">
        <v>8434</v>
      </c>
      <c r="C6709" s="5" t="str">
        <f>IFERROR(__xludf.DUMMYFUNCTION("GOOGLETRANSLATE(B6709,""en"",""fr"")"),"Un homme se présente à la caméra et dit qu'il montrera comment construire un feu.")</f>
        <v>Un homme se présente à la caméra et dit qu'il montrera comment construire un feu.</v>
      </c>
    </row>
    <row r="6710">
      <c r="A6710" s="4" t="s">
        <v>8433</v>
      </c>
      <c r="B6710" s="4" t="s">
        <v>8435</v>
      </c>
      <c r="C6710" s="5" t="str">
        <f>IFERROR(__xludf.DUMMYFUNCTION("GOOGLETRANSLATE(B6710,""en"",""fr"")"),"Il commence à casser son bâton de départ et à mettre des feuilles au fond de son foyer rempli.")</f>
        <v>Il commence à casser son bâton de départ et à mettre des feuilles au fond de son foyer rempli.</v>
      </c>
    </row>
    <row r="6711">
      <c r="A6711" s="4" t="s">
        <v>8433</v>
      </c>
      <c r="B6711" s="4" t="s">
        <v>8436</v>
      </c>
      <c r="C6711" s="5" t="str">
        <f>IFERROR(__xludf.DUMMYFUNCTION("GOOGLETRANSLATE(B6711,""en"",""fr"")"),"Il allume le briquet et commence au fond avec les feuilles.")</f>
        <v>Il allume le briquet et commence au fond avec les feuilles.</v>
      </c>
    </row>
    <row r="6712">
      <c r="A6712" s="4" t="s">
        <v>8433</v>
      </c>
      <c r="B6712" s="4" t="s">
        <v>8437</v>
      </c>
      <c r="C6712" s="5" t="str">
        <f>IFERROR(__xludf.DUMMYFUNCTION("GOOGLETRANSLATE(B6712,""en"",""fr"")"),"Nous voyons le feu complet la nuit.")</f>
        <v>Nous voyons le feu complet la nuit.</v>
      </c>
    </row>
    <row r="6713">
      <c r="A6713" s="4" t="s">
        <v>8438</v>
      </c>
      <c r="B6713" s="4" t="s">
        <v>8439</v>
      </c>
      <c r="C6713" s="5" t="str">
        <f>IFERROR(__xludf.DUMMYFUNCTION("GOOGLETRANSLATE(B6713,""en"",""fr"")"),"Un garçon en salopette rouge joue de la marelle.")</f>
        <v>Un garçon en salopette rouge joue de la marelle.</v>
      </c>
    </row>
    <row r="6714">
      <c r="A6714" s="4" t="s">
        <v>8438</v>
      </c>
      <c r="B6714" s="4" t="s">
        <v>8440</v>
      </c>
      <c r="C6714" s="5" t="str">
        <f>IFERROR(__xludf.DUMMYFUNCTION("GOOGLETRANSLATE(B6714,""en"",""fr"")"),"Une femme marche derrière lui et s'assoit.")</f>
        <v>Une femme marche derrière lui et s'assoit.</v>
      </c>
    </row>
    <row r="6715">
      <c r="A6715" s="4" t="s">
        <v>8438</v>
      </c>
      <c r="B6715" s="4" t="s">
        <v>8441</v>
      </c>
      <c r="C6715" s="5" t="str">
        <f>IFERROR(__xludf.DUMMYFUNCTION("GOOGLETRANSLATE(B6715,""en"",""fr"")"),"Le garçon termine et atteint la personne qui tourne.")</f>
        <v>Le garçon termine et atteint la personne qui tourne.</v>
      </c>
    </row>
    <row r="6716">
      <c r="A6716" s="4" t="s">
        <v>8442</v>
      </c>
      <c r="B6716" s="6" t="s">
        <v>8443</v>
      </c>
      <c r="C6716" s="5" t="str">
        <f>IFERROR(__xludf.DUMMYFUNCTION("GOOGLETRANSLATE(B6716,""en"",""fr"")"),"Quatre petites filles, vêtues de robes blanches avec des ceintures rouges, se tiennent en ligne, sur une scène et jouent le violon ensemble.")</f>
        <v>Quatre petites filles, vêtues de robes blanches avec des ceintures rouges, se tiennent en ligne, sur une scène et jouent le violon ensemble.</v>
      </c>
    </row>
    <row r="6717">
      <c r="A6717" s="4" t="s">
        <v>8442</v>
      </c>
      <c r="B6717" s="4" t="s">
        <v>8444</v>
      </c>
      <c r="C6717" s="5" t="str">
        <f>IFERROR(__xludf.DUMMYFUNCTION("GOOGLETRANSLATE(B6717,""en"",""fr"")"),"Quatre petites filles commencent à jouer du violon sur une scène sur une scène avec une toile de fond rose.")</f>
        <v>Quatre petites filles commencent à jouer du violon sur une scène sur une scène avec une toile de fond rose.</v>
      </c>
    </row>
    <row r="6718">
      <c r="A6718" s="4" t="s">
        <v>8442</v>
      </c>
      <c r="B6718" s="6" t="s">
        <v>8445</v>
      </c>
      <c r="C6718" s="5" t="str">
        <f>IFERROR(__xludf.DUMMYFUNCTION("GOOGLETRANSLATE(B6718,""en"",""fr"")"),"La fille joue ensemble en utilisant les deux mains pour jouer du violon avant de terminer la performance et de prendre un arc ensemble.")</f>
        <v>La fille joue ensemble en utilisant les deux mains pour jouer du violon avant de terminer la performance et de prendre un arc ensemble.</v>
      </c>
    </row>
    <row r="6719">
      <c r="A6719" s="4" t="s">
        <v>8446</v>
      </c>
      <c r="B6719" s="6" t="s">
        <v>8447</v>
      </c>
      <c r="C6719" s="5" t="str">
        <f>IFERROR(__xludf.DUMMYFUNCTION("GOOGLETRANSLATE(B6719,""en"",""fr"")"),"Un petit groupe d'hommes est vu rouler sur divers chevaux tenant des bâtons à la main et se préparant pour un match.")</f>
        <v>Un petit groupe d'hommes est vu rouler sur divers chevaux tenant des bâtons à la main et se préparant pour un match.</v>
      </c>
    </row>
    <row r="6720">
      <c r="A6720" s="4" t="s">
        <v>8446</v>
      </c>
      <c r="B6720" s="6" t="s">
        <v>8448</v>
      </c>
      <c r="C6720" s="5" t="str">
        <f>IFERROR(__xludf.DUMMYFUNCTION("GOOGLETRANSLATE(B6720,""en"",""fr"")"),"Les hommes jettent ensuite le ballon et roulent tous sur des chevaux tentant de frapper le ballon et on marque un but.")</f>
        <v>Les hommes jettent ensuite le ballon et roulent tous sur des chevaux tentant de frapper le ballon et on marque un but.</v>
      </c>
    </row>
    <row r="6721">
      <c r="A6721" s="4" t="s">
        <v>8446</v>
      </c>
      <c r="B6721" s="4" t="s">
        <v>8449</v>
      </c>
      <c r="C6721" s="5" t="str">
        <f>IFERROR(__xludf.DUMMYFUNCTION("GOOGLETRANSLATE(B6721,""en"",""fr"")"),"Une personne tient un drapeau et montre d'autres personnes qui regardent sur les côtés.")</f>
        <v>Une personne tient un drapeau et montre d'autres personnes qui regardent sur les côtés.</v>
      </c>
    </row>
    <row r="6722">
      <c r="A6722" s="4" t="s">
        <v>8446</v>
      </c>
      <c r="B6722" s="4" t="s">
        <v>8450</v>
      </c>
      <c r="C6722" s="5" t="str">
        <f>IFERROR(__xludf.DUMMYFUNCTION("GOOGLETRANSLATE(B6722,""en"",""fr"")"),"Une personne marque ensuite deux buts supplémentaires et les gardiens augmentent son drapeau à chaque fois.")</f>
        <v>Une personne marque ensuite deux buts supplémentaires et les gardiens augmentent son drapeau à chaque fois.</v>
      </c>
    </row>
    <row r="6723">
      <c r="A6723" s="4" t="s">
        <v>8451</v>
      </c>
      <c r="B6723" s="4" t="s">
        <v>8452</v>
      </c>
      <c r="C6723" s="5" t="str">
        <f>IFERROR(__xludf.DUMMYFUNCTION("GOOGLETRANSLATE(B6723,""en"",""fr"")"),"Un garçon tient un très long poteau.")</f>
        <v>Un garçon tient un très long poteau.</v>
      </c>
    </row>
    <row r="6724">
      <c r="A6724" s="4" t="s">
        <v>8451</v>
      </c>
      <c r="B6724" s="4" t="s">
        <v>8453</v>
      </c>
      <c r="C6724" s="5" t="str">
        <f>IFERROR(__xludf.DUMMYFUNCTION("GOOGLETRANSLATE(B6724,""en"",""fr"")"),"La caméra devient soudainement debout.")</f>
        <v>La caméra devient soudainement debout.</v>
      </c>
    </row>
    <row r="6725">
      <c r="A6725" s="4" t="s">
        <v>8451</v>
      </c>
      <c r="B6725" s="4" t="s">
        <v>8454</v>
      </c>
      <c r="C6725" s="5" t="str">
        <f>IFERROR(__xludf.DUMMYFUNCTION("GOOGLETRANSLATE(B6725,""en"",""fr"")"),"Le garçon court avec le poteau, sautant sur une barre et sur un tapis.")</f>
        <v>Le garçon court avec le poteau, sautant sur une barre et sur un tapis.</v>
      </c>
    </row>
    <row r="6726">
      <c r="A6726" s="4" t="s">
        <v>8455</v>
      </c>
      <c r="B6726" s="4" t="s">
        <v>8456</v>
      </c>
      <c r="C6726" s="5" t="str">
        <f>IFERROR(__xludf.DUMMYFUNCTION("GOOGLETRANSLATE(B6726,""en"",""fr"")"),"Une introduction arrive sur l'écran pour une vidéo sur le mélange d'une boisson appelée le ""yah yah"".")</f>
        <v>Une introduction arrive sur l'écran pour une vidéo sur le mélange d'une boisson appelée le "yah yah".</v>
      </c>
    </row>
    <row r="6727">
      <c r="A6727" s="4" t="s">
        <v>8455</v>
      </c>
      <c r="B6727" s="4" t="s">
        <v>8457</v>
      </c>
      <c r="C6727" s="5" t="str">
        <f>IFERROR(__xludf.DUMMYFUNCTION("GOOGLETRANSLATE(B6727,""en"",""fr"")"),"Elle passe en revue tous les ingrédients nécessaires pour le verre.")</f>
        <v>Elle passe en revue tous les ingrédients nécessaires pour le verre.</v>
      </c>
    </row>
    <row r="6728">
      <c r="A6728" s="4" t="s">
        <v>8455</v>
      </c>
      <c r="B6728" s="4" t="s">
        <v>8458</v>
      </c>
      <c r="C6728" s="5" t="str">
        <f>IFERROR(__xludf.DUMMYFUNCTION("GOOGLETRANSLATE(B6728,""en"",""fr"")"),"Elle commence par prendre un verre et le remplir de glace.")</f>
        <v>Elle commence par prendre un verre et le remplir de glace.</v>
      </c>
    </row>
    <row r="6729">
      <c r="A6729" s="4" t="s">
        <v>8455</v>
      </c>
      <c r="B6729" s="4" t="s">
        <v>8459</v>
      </c>
      <c r="C6729" s="5" t="str">
        <f>IFERROR(__xludf.DUMMYFUNCTION("GOOGLETRANSLATE(B6729,""en"",""fr"")"),"Elle ajoute tous les ingrédients au verre sur la glace.")</f>
        <v>Elle ajoute tous les ingrédients au verre sur la glace.</v>
      </c>
    </row>
    <row r="6730">
      <c r="A6730" s="4" t="s">
        <v>8455</v>
      </c>
      <c r="B6730" s="4" t="s">
        <v>4959</v>
      </c>
      <c r="C6730" s="5" t="str">
        <f>IFERROR(__xludf.DUMMYFUNCTION("GOOGLETRANSLATE(B6730,""en"",""fr"")"),"La vidéo se termine par les crédits de clôture.")</f>
        <v>La vidéo se termine par les crédits de clôture.</v>
      </c>
    </row>
    <row r="6731">
      <c r="A6731" s="4" t="s">
        <v>8460</v>
      </c>
      <c r="B6731" s="4" t="s">
        <v>8461</v>
      </c>
      <c r="C6731" s="5" t="str">
        <f>IFERROR(__xludf.DUMMYFUNCTION("GOOGLETRANSLATE(B6731,""en"",""fr"")"),"Nous voyons une personne agiter quelque chose.")</f>
        <v>Nous voyons une personne agiter quelque chose.</v>
      </c>
    </row>
    <row r="6732">
      <c r="A6732" s="4" t="s">
        <v>8460</v>
      </c>
      <c r="B6732" s="4" t="s">
        <v>8462</v>
      </c>
      <c r="C6732" s="5" t="str">
        <f>IFERROR(__xludf.DUMMYFUNCTION("GOOGLETRANSLATE(B6732,""en"",""fr"")"),"Un écran blanc puis deux garçons dans la cuisine.")</f>
        <v>Un écran blanc puis deux garçons dans la cuisine.</v>
      </c>
    </row>
    <row r="6733">
      <c r="A6733" s="4" t="s">
        <v>8460</v>
      </c>
      <c r="B6733" s="4" t="s">
        <v>8463</v>
      </c>
      <c r="C6733" s="5" t="str">
        <f>IFERROR(__xludf.DUMMYFUNCTION("GOOGLETRANSLATE(B6733,""en"",""fr"")"),"Nous voyons un comptoir avec l'ingrédient.")</f>
        <v>Nous voyons un comptoir avec l'ingrédient.</v>
      </c>
    </row>
    <row r="6734">
      <c r="A6734" s="4" t="s">
        <v>8460</v>
      </c>
      <c r="B6734" s="4" t="s">
        <v>8464</v>
      </c>
      <c r="C6734" s="5" t="str">
        <f>IFERROR(__xludf.DUMMYFUNCTION("GOOGLETRANSLATE(B6734,""en"",""fr"")"),"Les garçons mélangent ensuite les ingrédients dans un bol.")</f>
        <v>Les garçons mélangent ensuite les ingrédients dans un bol.</v>
      </c>
    </row>
    <row r="6735">
      <c r="A6735" s="4" t="s">
        <v>8460</v>
      </c>
      <c r="B6735" s="4" t="s">
        <v>8465</v>
      </c>
      <c r="C6735" s="5" t="str">
        <f>IFERROR(__xludf.DUMMYFUNCTION("GOOGLETRANSLATE(B6735,""en"",""fr"")"),"Nous voyons une personne changer de farine dans un bol.")</f>
        <v>Nous voyons une personne changer de farine dans un bol.</v>
      </c>
    </row>
    <row r="6736">
      <c r="A6736" s="4" t="s">
        <v>8460</v>
      </c>
      <c r="B6736" s="4" t="s">
        <v>8466</v>
      </c>
      <c r="C6736" s="5" t="str">
        <f>IFERROR(__xludf.DUMMYFUNCTION("GOOGLETRANSLATE(B6736,""en"",""fr"")"),"Quelqu'un remue la pâte à biscuits dans un bol.")</f>
        <v>Quelqu'un remue la pâte à biscuits dans un bol.</v>
      </c>
    </row>
    <row r="6737">
      <c r="A6737" s="4" t="s">
        <v>8460</v>
      </c>
      <c r="B6737" s="4" t="s">
        <v>8467</v>
      </c>
      <c r="C6737" s="5" t="str">
        <f>IFERROR(__xludf.DUMMYFUNCTION("GOOGLETRANSLATE(B6737,""en"",""fr"")"),"La pâte est mise sur une feuille.")</f>
        <v>La pâte est mise sur une feuille.</v>
      </c>
    </row>
    <row r="6738">
      <c r="A6738" s="4" t="s">
        <v>8460</v>
      </c>
      <c r="B6738" s="4" t="s">
        <v>8468</v>
      </c>
      <c r="C6738" s="5" t="str">
        <f>IFERROR(__xludf.DUMMYFUNCTION("GOOGLETRANSLATE(B6738,""en"",""fr"")"),"Un garçon lave la vaisselle.")</f>
        <v>Un garçon lave la vaisselle.</v>
      </c>
    </row>
    <row r="6739">
      <c r="A6739" s="4" t="s">
        <v>8460</v>
      </c>
      <c r="B6739" s="4" t="s">
        <v>8469</v>
      </c>
      <c r="C6739" s="5" t="str">
        <f>IFERROR(__xludf.DUMMYFUNCTION("GOOGLETRANSLATE(B6739,""en"",""fr"")"),"Les cookies sont placés dans un four.")</f>
        <v>Les cookies sont placés dans un four.</v>
      </c>
    </row>
    <row r="6740">
      <c r="A6740" s="4" t="s">
        <v>8460</v>
      </c>
      <c r="B6740" s="4" t="s">
        <v>8470</v>
      </c>
      <c r="C6740" s="5" t="str">
        <f>IFERROR(__xludf.DUMMYFUNCTION("GOOGLETRANSLATE(B6740,""en"",""fr"")"),"Un garçon joue une guitare que l'autre garçon chante.")</f>
        <v>Un garçon joue une guitare que l'autre garçon chante.</v>
      </c>
    </row>
    <row r="6741">
      <c r="A6741" s="4" t="s">
        <v>8460</v>
      </c>
      <c r="B6741" s="4" t="s">
        <v>8471</v>
      </c>
      <c r="C6741" s="5" t="str">
        <f>IFERROR(__xludf.DUMMYFUNCTION("GOOGLETRANSLATE(B6741,""en"",""fr"")"),"Chaque garçon mange un cookie et nous les voyons sortir du four.")</f>
        <v>Chaque garçon mange un cookie et nous les voyons sortir du four.</v>
      </c>
    </row>
    <row r="6742">
      <c r="A6742" s="4" t="s">
        <v>8460</v>
      </c>
      <c r="B6742" s="4" t="s">
        <v>8472</v>
      </c>
      <c r="C6742" s="5" t="str">
        <f>IFERROR(__xludf.DUMMYFUNCTION("GOOGLETRANSLATE(B6742,""en"",""fr"")"),"Un biscuit foulé se sépare.")</f>
        <v>Un biscuit foulé se sépare.</v>
      </c>
    </row>
    <row r="6743">
      <c r="A6743" s="4" t="s">
        <v>8460</v>
      </c>
      <c r="B6743" s="4" t="s">
        <v>8473</v>
      </c>
      <c r="C6743" s="5" t="str">
        <f>IFERROR(__xludf.DUMMYFUNCTION("GOOGLETRANSLATE(B6743,""en"",""fr"")"),"Un garçon secoue la tête oui et joue avec un gros chien noir.")</f>
        <v>Un garçon secoue la tête oui et joue avec un gros chien noir.</v>
      </c>
    </row>
    <row r="6744">
      <c r="A6744" s="4" t="s">
        <v>8474</v>
      </c>
      <c r="B6744" s="4" t="s">
        <v>8475</v>
      </c>
      <c r="C6744" s="5" t="str">
        <f>IFERROR(__xludf.DUMMYFUNCTION("GOOGLETRANSLATE(B6744,""en"",""fr"")"),"Un homme montre son visage avec de l'eau dans un évier et met la lotion dans sa main.")</f>
        <v>Un homme montre son visage avec de l'eau dans un évier et met la lotion dans sa main.</v>
      </c>
    </row>
    <row r="6745">
      <c r="A6745" s="4" t="s">
        <v>8474</v>
      </c>
      <c r="B6745" s="4" t="s">
        <v>8476</v>
      </c>
      <c r="C6745" s="5" t="str">
        <f>IFERROR(__xludf.DUMMYFUNCTION("GOOGLETRANSLATE(B6745,""en"",""fr"")"),"Il frotte le savon ensemble dans ses mains et ses massages sur son visage.")</f>
        <v>Il frotte le savon ensemble dans ses mains et ses massages sur son visage.</v>
      </c>
    </row>
    <row r="6746">
      <c r="A6746" s="4" t="s">
        <v>8474</v>
      </c>
      <c r="B6746" s="4" t="s">
        <v>8477</v>
      </c>
      <c r="C6746" s="5" t="str">
        <f>IFERROR(__xludf.DUMMYFUNCTION("GOOGLETRANSLATE(B6746,""en"",""fr"")"),"Il essuie ensuite son visage avec une serviette et parlant à la caméra et versant plus de lotion.")</f>
        <v>Il essuie ensuite son visage avec une serviette et parlant à la caméra et versant plus de lotion.</v>
      </c>
    </row>
    <row r="6747">
      <c r="A6747" s="4" t="s">
        <v>8474</v>
      </c>
      <c r="B6747" s="4" t="s">
        <v>8478</v>
      </c>
      <c r="C6747" s="5" t="str">
        <f>IFERROR(__xludf.DUMMYFUNCTION("GOOGLETRANSLATE(B6747,""en"",""fr"")"),"Il presse une fois de plus la lotion dans son visage et un récapitulatif est montré de son visage.")</f>
        <v>Il presse une fois de plus la lotion dans son visage et un récapitulatif est montré de son visage.</v>
      </c>
    </row>
    <row r="6748">
      <c r="A6748" s="4" t="s">
        <v>8479</v>
      </c>
      <c r="B6748" s="6" t="s">
        <v>8480</v>
      </c>
      <c r="C6748" s="5" t="str">
        <f>IFERROR(__xludf.DUMMYFUNCTION("GOOGLETRANSLATE(B6748,""en"",""fr"")"),"Un groupe de jeunes joue au hockey sur le terrain sur un terrain tandis qu'un homme regarde d'une clôture bordant le terrain de jeu.")</f>
        <v>Un groupe de jeunes joue au hockey sur le terrain sur un terrain tandis qu'un homme regarde d'une clôture bordant le terrain de jeu.</v>
      </c>
    </row>
    <row r="6749">
      <c r="A6749" s="4" t="s">
        <v>8479</v>
      </c>
      <c r="B6749" s="6" t="s">
        <v>8481</v>
      </c>
      <c r="C6749" s="5" t="str">
        <f>IFERROR(__xludf.DUMMYFUNCTION("GOOGLETRANSLATE(B6749,""en"",""fr"")"),"Un homme de hockey sur le terrain se tient au centre d'un semi-cercle formé par des jeunes vêtus de tenue de hockey sur le terrain.")</f>
        <v>Un homme de hockey sur le terrain se tient au centre d'un semi-cercle formé par des jeunes vêtus de tenue de hockey sur le terrain.</v>
      </c>
    </row>
    <row r="6750">
      <c r="A6750" s="4" t="s">
        <v>8479</v>
      </c>
      <c r="B6750" s="6" t="s">
        <v>8482</v>
      </c>
      <c r="C6750" s="5" t="str">
        <f>IFERROR(__xludf.DUMMYFUNCTION("GOOGLETRANSLATE(B6750,""en"",""fr"")"),"L'homme interviewe de la ligne de touche tandis que les gens jouent au hockey sur le terrain et à un moment donné est présenté avec un maillot bordeaux des joueurs.")</f>
        <v>L'homme interviewe de la ligne de touche tandis que les gens jouent au hockey sur le terrain et à un moment donné est présenté avec un maillot bordeaux des joueurs.</v>
      </c>
    </row>
    <row r="6751">
      <c r="A6751" s="4" t="s">
        <v>8479</v>
      </c>
      <c r="B6751" s="6" t="s">
        <v>8483</v>
      </c>
      <c r="C6751" s="5" t="str">
        <f>IFERROR(__xludf.DUMMYFUNCTION("GOOGLETRANSLATE(B6751,""en"",""fr"")"),"L'homme joue ensuite à un jeu de hockey sur le terrain dans lequel il se termine debout dans le semi-cercle jetant à nouveau une balle de haut en bas et en regardant dans la caméra alors qu'il était entouré de joueurs.")</f>
        <v>L'homme joue ensuite à un jeu de hockey sur le terrain dans lequel il se termine debout dans le semi-cercle jetant à nouveau une balle de haut en bas et en regardant dans la caméra alors qu'il était entouré de joueurs.</v>
      </c>
    </row>
    <row r="6752">
      <c r="A6752" s="4" t="s">
        <v>8484</v>
      </c>
      <c r="B6752" s="4" t="s">
        <v>8485</v>
      </c>
      <c r="C6752" s="5" t="str">
        <f>IFERROR(__xludf.DUMMYFUNCTION("GOOGLETRANSLATE(B6752,""en"",""fr"")"),"Un homme entre dans une pièce et empile le plâtre sur une base.")</f>
        <v>Un homme entre dans une pièce et empile le plâtre sur une base.</v>
      </c>
    </row>
    <row r="6753">
      <c r="A6753" s="4" t="s">
        <v>8484</v>
      </c>
      <c r="B6753" s="4" t="s">
        <v>8486</v>
      </c>
      <c r="C6753" s="5" t="str">
        <f>IFERROR(__xludf.DUMMYFUNCTION("GOOGLETRANSLATE(B6753,""en"",""fr"")"),"L'homme ajoute des balayages du plâtre sur le mur puis obtient plus et l'ajoute.")</f>
        <v>L'homme ajoute des balayages du plâtre sur le mur puis obtient plus et l'ajoute.</v>
      </c>
    </row>
    <row r="6754">
      <c r="A6754" s="4" t="s">
        <v>8484</v>
      </c>
      <c r="B6754" s="4" t="s">
        <v>8487</v>
      </c>
      <c r="C6754" s="5" t="str">
        <f>IFERROR(__xludf.DUMMYFUNCTION("GOOGLETRANSLATE(B6754,""en"",""fr"")"),"L'homme obtient plus de plâtre et le glisse sur le mur.")</f>
        <v>L'homme obtient plus de plâtre et le glisse sur le mur.</v>
      </c>
    </row>
    <row r="6755">
      <c r="A6755" s="4" t="s">
        <v>8484</v>
      </c>
      <c r="B6755" s="4" t="s">
        <v>8488</v>
      </c>
      <c r="C6755" s="5" t="str">
        <f>IFERROR(__xludf.DUMMYFUNCTION("GOOGLETRANSLATE(B6755,""en"",""fr"")"),"L'homme marche et éteint ensuite la caméra.")</f>
        <v>L'homme marche et éteint ensuite la caméra.</v>
      </c>
    </row>
    <row r="6756">
      <c r="A6756" s="4" t="s">
        <v>8489</v>
      </c>
      <c r="B6756" s="4" t="s">
        <v>8490</v>
      </c>
      <c r="C6756" s="5" t="str">
        <f>IFERROR(__xludf.DUMMYFUNCTION("GOOGLETRANSLATE(B6756,""en"",""fr"")"),"L'homme et la femme se tiennent au sommet d'un gros rocher sautant dans un lac.")</f>
        <v>L'homme et la femme se tiennent au sommet d'un gros rocher sautant dans un lac.</v>
      </c>
    </row>
    <row r="6757">
      <c r="A6757" s="4" t="s">
        <v>8489</v>
      </c>
      <c r="B6757" s="4" t="s">
        <v>8491</v>
      </c>
      <c r="C6757" s="5" t="str">
        <f>IFERROR(__xludf.DUMMYFUNCTION("GOOGLETRANSLATE(B6757,""en"",""fr"")"),"Les gars sont assis sur un côté du rocher pour parler avec une femme sur le lac.")</f>
        <v>Les gars sont assis sur un côté du rocher pour parler avec une femme sur le lac.</v>
      </c>
    </row>
    <row r="6758">
      <c r="A6758" s="4" t="s">
        <v>8492</v>
      </c>
      <c r="B6758" s="4" t="s">
        <v>8493</v>
      </c>
      <c r="C6758" s="5" t="str">
        <f>IFERROR(__xludf.DUMMYFUNCTION("GOOGLETRANSLATE(B6758,""en"",""fr"")"),"Une grande falaise est vue près de l'océan.")</f>
        <v>Une grande falaise est vue près de l'océan.</v>
      </c>
    </row>
    <row r="6759">
      <c r="A6759" s="4" t="s">
        <v>8492</v>
      </c>
      <c r="B6759" s="4" t="s">
        <v>8494</v>
      </c>
      <c r="C6759" s="5" t="str">
        <f>IFERROR(__xludf.DUMMYFUNCTION("GOOGLETRANSLATE(B6759,""en"",""fr"")"),"Plusieurs bateaux sont à proximité et les gens font du kayak dans la région.")</f>
        <v>Plusieurs bateaux sont à proximité et les gens font du kayak dans la région.</v>
      </c>
    </row>
    <row r="6760">
      <c r="A6760" s="4" t="s">
        <v>8492</v>
      </c>
      <c r="B6760" s="4" t="s">
        <v>8495</v>
      </c>
      <c r="C6760" s="5" t="str">
        <f>IFERROR(__xludf.DUMMYFUNCTION("GOOGLETRANSLATE(B6760,""en"",""fr"")"),"Un homme est en rappel sur le côté de la falaise.")</f>
        <v>Un homme est en rappel sur le côté de la falaise.</v>
      </c>
    </row>
    <row r="6761">
      <c r="A6761" s="4" t="s">
        <v>8492</v>
      </c>
      <c r="B6761" s="4" t="s">
        <v>8496</v>
      </c>
      <c r="C6761" s="5" t="str">
        <f>IFERROR(__xludf.DUMMYFUNCTION("GOOGLETRANSLATE(B6761,""en"",""fr"")"),"Il se tient triomphalement à l'arrière d'un petit bateau.")</f>
        <v>Il se tient triomphalement à l'arrière d'un petit bateau.</v>
      </c>
    </row>
    <row r="6762">
      <c r="A6762" s="4" t="s">
        <v>8497</v>
      </c>
      <c r="B6762" s="4" t="s">
        <v>8498</v>
      </c>
      <c r="C6762" s="5" t="str">
        <f>IFERROR(__xludf.DUMMYFUNCTION("GOOGLETRANSLATE(B6762,""en"",""fr"")"),"Un homme démontre le combat au tai-chi avec une autre personne.")</f>
        <v>Un homme démontre le combat au tai-chi avec une autre personne.</v>
      </c>
    </row>
    <row r="6763">
      <c r="A6763" s="4" t="s">
        <v>8497</v>
      </c>
      <c r="B6763" s="4" t="s">
        <v>8499</v>
      </c>
      <c r="C6763" s="5" t="str">
        <f>IFERROR(__xludf.DUMMYFUNCTION("GOOGLETRANSLATE(B6763,""en"",""fr"")"),"L'homme interprète le Tai Chi en parlant, puis il montre les mouvements avec l'homme.")</f>
        <v>L'homme interprète le Tai Chi en parlant, puis il montre les mouvements avec l'homme.</v>
      </c>
    </row>
    <row r="6764">
      <c r="A6764" s="4" t="s">
        <v>8497</v>
      </c>
      <c r="B6764" s="4" t="s">
        <v>8500</v>
      </c>
      <c r="C6764" s="5" t="str">
        <f>IFERROR(__xludf.DUMMYFUNCTION("GOOGLETRANSLATE(B6764,""en"",""fr"")"),"Après, l'homme déplace le corps et les mains tout en expliquant.")</f>
        <v>Après, l'homme déplace le corps et les mains tout en expliquant.</v>
      </c>
    </row>
    <row r="6765">
      <c r="A6765" s="4" t="s">
        <v>8501</v>
      </c>
      <c r="B6765" s="4" t="s">
        <v>8502</v>
      </c>
      <c r="C6765" s="5" t="str">
        <f>IFERROR(__xludf.DUMMYFUNCTION("GOOGLETRANSLATE(B6765,""en"",""fr"")"),"Une paire de chaussures est sur le sol, et un homme portant des chaussettes se tient derrière eux.")</f>
        <v>Une paire de chaussures est sur le sol, et un homme portant des chaussettes se tient derrière eux.</v>
      </c>
    </row>
    <row r="6766">
      <c r="A6766" s="4" t="s">
        <v>8501</v>
      </c>
      <c r="B6766" s="4" t="s">
        <v>8503</v>
      </c>
      <c r="C6766" s="5" t="str">
        <f>IFERROR(__xludf.DUMMYFUNCTION("GOOGLETRANSLATE(B6766,""en"",""fr"")"),"Il sort un bustring et commence à lacer les chaussures.")</f>
        <v>Il sort un bustring et commence à lacer les chaussures.</v>
      </c>
    </row>
    <row r="6767">
      <c r="A6767" s="4" t="s">
        <v>8501</v>
      </c>
      <c r="B6767" s="4" t="s">
        <v>8504</v>
      </c>
      <c r="C6767" s="5" t="str">
        <f>IFERROR(__xludf.DUMMYFUNCTION("GOOGLETRANSLATE(B6767,""en"",""fr"")"),"Il met ensuite les chaussures et montre à quoi ils ressemblent.")</f>
        <v>Il met ensuite les chaussures et montre à quoi ils ressemblent.</v>
      </c>
    </row>
    <row r="6768">
      <c r="A6768" s="4" t="s">
        <v>8505</v>
      </c>
      <c r="B6768" s="4" t="s">
        <v>8506</v>
      </c>
      <c r="C6768" s="5" t="str">
        <f>IFERROR(__xludf.DUMMYFUNCTION("GOOGLETRANSLATE(B6768,""en"",""fr"")"),"Des scènes d'un petit village rural sous une forte tempête de pluie sont montrées.")</f>
        <v>Des scènes d'un petit village rural sous une forte tempête de pluie sont montrées.</v>
      </c>
    </row>
    <row r="6769">
      <c r="A6769" s="4" t="s">
        <v>8505</v>
      </c>
      <c r="B6769" s="4" t="s">
        <v>8507</v>
      </c>
      <c r="C6769" s="5" t="str">
        <f>IFERROR(__xludf.DUMMYFUNCTION("GOOGLETRANSLATE(B6769,""en"",""fr"")"),"Une femme lave les objets par un récipient sous la pluie pendant que d'autres personnes se restent.")</f>
        <v>Une femme lave les objets par un récipient sous la pluie pendant que d'autres personnes se restent.</v>
      </c>
    </row>
    <row r="6770">
      <c r="A6770" s="4" t="s">
        <v>8505</v>
      </c>
      <c r="B6770" s="4" t="s">
        <v>8508</v>
      </c>
      <c r="C6770" s="5" t="str">
        <f>IFERROR(__xludf.DUMMYFUNCTION("GOOGLETRANSLATE(B6770,""en"",""fr"")"),"Un gros plan d'un lavabo par le récipient est illustré.")</f>
        <v>Un gros plan d'un lavabo par le récipient est illustré.</v>
      </c>
    </row>
    <row r="6771">
      <c r="A6771" s="4" t="s">
        <v>8509</v>
      </c>
      <c r="B6771" s="4" t="s">
        <v>8510</v>
      </c>
      <c r="C6771" s="5" t="str">
        <f>IFERROR(__xludf.DUMMYFUNCTION("GOOGLETRANSLATE(B6771,""en"",""fr"")"),"Une femme est vue debout sur un équipement d'exercice et se déplaçant.")</f>
        <v>Une femme est vue debout sur un équipement d'exercice et se déplaçant.</v>
      </c>
    </row>
    <row r="6772">
      <c r="A6772" s="4" t="s">
        <v>8509</v>
      </c>
      <c r="B6772" s="4" t="s">
        <v>8511</v>
      </c>
      <c r="C6772" s="5" t="str">
        <f>IFERROR(__xludf.DUMMYFUNCTION("GOOGLETRANSLATE(B6772,""en"",""fr"")"),"La femme bouge ses pieds sur la machine et montrant comment la machine fonctionne.")</f>
        <v>La femme bouge ses pieds sur la machine et montrant comment la machine fonctionne.</v>
      </c>
    </row>
    <row r="6773">
      <c r="A6773" s="4" t="s">
        <v>8509</v>
      </c>
      <c r="B6773" s="4" t="s">
        <v>8512</v>
      </c>
      <c r="C6773" s="5" t="str">
        <f>IFERROR(__xludf.DUMMYFUNCTION("GOOGLETRANSLATE(B6773,""en"",""fr"")"),"Un autre homme est vu faire de l'exercice et se termine par du texte à l'écran.")</f>
        <v>Un autre homme est vu faire de l'exercice et se termine par du texte à l'écran.</v>
      </c>
    </row>
    <row r="6774">
      <c r="A6774" s="4" t="s">
        <v>8513</v>
      </c>
      <c r="B6774" s="4" t="s">
        <v>8514</v>
      </c>
      <c r="C6774" s="5" t="str">
        <f>IFERROR(__xludf.DUMMYFUNCTION("GOOGLETRANSLATE(B6774,""en"",""fr"")"),"Une femme est vue assise sur une chaise en regardant avec d'autres à côté d'elle.")</f>
        <v>Une femme est vue assise sur une chaise en regardant avec d'autres à côté d'elle.</v>
      </c>
    </row>
    <row r="6775">
      <c r="A6775" s="4" t="s">
        <v>8513</v>
      </c>
      <c r="B6775" s="4" t="s">
        <v>8515</v>
      </c>
      <c r="C6775" s="5" t="str">
        <f>IFERROR(__xludf.DUMMYFUNCTION("GOOGLETRANSLATE(B6775,""en"",""fr"")"),"La caméra se déroule tout autour des gens assis et conduit à un objet sur sa jambe.")</f>
        <v>La caméra se déroule tout autour des gens assis et conduit à un objet sur sa jambe.</v>
      </c>
    </row>
    <row r="6776">
      <c r="A6776" s="4" t="s">
        <v>8513</v>
      </c>
      <c r="B6776" s="4" t="s">
        <v>8516</v>
      </c>
      <c r="C6776" s="5" t="str">
        <f>IFERROR(__xludf.DUMMYFUNCTION("GOOGLETRANSLATE(B6776,""en"",""fr"")"),"Elle déchire l'objet montrant les cheveux ainsi que sa jambe et ses autres riant.")</f>
        <v>Elle déchire l'objet montrant les cheveux ainsi que sa jambe et ses autres riant.</v>
      </c>
    </row>
    <row r="6777">
      <c r="A6777" s="4" t="s">
        <v>8517</v>
      </c>
      <c r="B6777" s="4" t="s">
        <v>8518</v>
      </c>
      <c r="C6777" s="5" t="str">
        <f>IFERROR(__xludf.DUMMYFUNCTION("GOOGLETRANSLATE(B6777,""en"",""fr"")"),"Un policier tourne en dansant.")</f>
        <v>Un policier tourne en dansant.</v>
      </c>
    </row>
    <row r="6778">
      <c r="A6778" s="4" t="s">
        <v>8517</v>
      </c>
      <c r="B6778" s="4" t="s">
        <v>8519</v>
      </c>
      <c r="C6778" s="5" t="str">
        <f>IFERROR(__xludf.DUMMYFUNCTION("GOOGLETRANSLATE(B6778,""en"",""fr"")"),"Le garçon fait une main.")</f>
        <v>Le garçon fait une main.</v>
      </c>
    </row>
    <row r="6779">
      <c r="A6779" s="4" t="s">
        <v>8517</v>
      </c>
      <c r="B6779" s="4" t="s">
        <v>8520</v>
      </c>
      <c r="C6779" s="5" t="str">
        <f>IFERROR(__xludf.DUMMYFUNCTION("GOOGLETRANSLATE(B6779,""en"",""fr"")"),"Le policier fait une danse disco John Travolta.")</f>
        <v>Le policier fait une danse disco John Travolta.</v>
      </c>
    </row>
    <row r="6780">
      <c r="A6780" s="4" t="s">
        <v>8517</v>
      </c>
      <c r="B6780" s="4" t="s">
        <v>8521</v>
      </c>
      <c r="C6780" s="5" t="str">
        <f>IFERROR(__xludf.DUMMYFUNCTION("GOOGLETRANSLATE(B6780,""en"",""fr"")"),"Le policier fait une routine de danse de pause.")</f>
        <v>Le policier fait une routine de danse de pause.</v>
      </c>
    </row>
    <row r="6781">
      <c r="A6781" s="4" t="s">
        <v>8517</v>
      </c>
      <c r="B6781" s="4" t="s">
        <v>8522</v>
      </c>
      <c r="C6781" s="5" t="str">
        <f>IFERROR(__xludf.DUMMYFUNCTION("GOOGLETRANSLATE(B6781,""en"",""fr"")"),"Le groupe d'enfants marche ensemble sur l'herbe.")</f>
        <v>Le groupe d'enfants marche ensemble sur l'herbe.</v>
      </c>
    </row>
    <row r="6782">
      <c r="A6782" s="4" t="s">
        <v>8523</v>
      </c>
      <c r="B6782" s="6" t="s">
        <v>8524</v>
      </c>
      <c r="C6782" s="5" t="str">
        <f>IFERROR(__xludf.DUMMYFUNCTION("GOOGLETRANSLATE(B6782,""en"",""fr"")"),"Un grand groupe de personnes est vue debout de chaque côté d'une corde avec de nombreuses personnes qui regardent sur les côtés.")</f>
        <v>Un grand groupe de personnes est vue debout de chaque côté d'une corde avec de nombreuses personnes qui regardent sur les côtés.</v>
      </c>
    </row>
    <row r="6783">
      <c r="A6783" s="4" t="s">
        <v>8523</v>
      </c>
      <c r="B6783" s="6" t="s">
        <v>8525</v>
      </c>
      <c r="C6783" s="5" t="str">
        <f>IFERROR(__xludf.DUMMYFUNCTION("GOOGLETRANSLATE(B6783,""en"",""fr"")"),"Les hommes commencent alors un jeu de tir à tir avec l'autre avec un homme aidant les équipes sur le côté et se termine par une équipe qui tombe.")</f>
        <v>Les hommes commencent alors un jeu de tir à tir avec l'autre avec un homme aidant les équipes sur le côté et se termine par une équipe qui tombe.</v>
      </c>
    </row>
    <row r="6784">
      <c r="A6784" s="4" t="s">
        <v>8526</v>
      </c>
      <c r="B6784" s="4" t="s">
        <v>8527</v>
      </c>
      <c r="C6784" s="5" t="str">
        <f>IFERROR(__xludf.DUMMYFUNCTION("GOOGLETRANSLATE(B6784,""en"",""fr"")"),"Un homme se tient devant un filet.")</f>
        <v>Un homme se tient devant un filet.</v>
      </c>
    </row>
    <row r="6785">
      <c r="A6785" s="4" t="s">
        <v>8526</v>
      </c>
      <c r="B6785" s="4" t="s">
        <v>8528</v>
      </c>
      <c r="C6785" s="5" t="str">
        <f>IFERROR(__xludf.DUMMYFUNCTION("GOOGLETRANSLATE(B6785,""en"",""fr"")"),"Un homme se tient devant une clôture en bois.")</f>
        <v>Un homme se tient devant une clôture en bois.</v>
      </c>
    </row>
    <row r="6786">
      <c r="A6786" s="4" t="s">
        <v>8526</v>
      </c>
      <c r="B6786" s="4" t="s">
        <v>8529</v>
      </c>
      <c r="C6786" s="5" t="str">
        <f>IFERROR(__xludf.DUMMYFUNCTION("GOOGLETRANSLATE(B6786,""en"",""fr"")"),"Les hommes jouent à la crosse sur un terrain.")</f>
        <v>Les hommes jouent à la crosse sur un terrain.</v>
      </c>
    </row>
    <row r="6787">
      <c r="A6787" s="4" t="s">
        <v>8530</v>
      </c>
      <c r="B6787" s="4" t="s">
        <v>8531</v>
      </c>
      <c r="C6787" s="5" t="str">
        <f>IFERROR(__xludf.DUMMYFUNCTION("GOOGLETRANSLATE(B6787,""en"",""fr"")"),"Un homme conduit en rond une moto de quatre roues dans un champ avec des mauvaises herbes élevées pendant la poussière.")</f>
        <v>Un homme conduit en rond une moto de quatre roues dans un champ avec des mauvaises herbes élevées pendant la poussière.</v>
      </c>
    </row>
    <row r="6788">
      <c r="A6788" s="4" t="s">
        <v>8530</v>
      </c>
      <c r="B6788" s="4" t="s">
        <v>8532</v>
      </c>
      <c r="C6788" s="5" t="str">
        <f>IFERROR(__xludf.DUMMYFUNCTION("GOOGLETRANSLATE(B6788,""en"",""fr"")"),"Ensuite, l'homme se rend dans un autre endroit pour continuer à conduire en rond.")</f>
        <v>Ensuite, l'homme se rend dans un autre endroit pour continuer à conduire en rond.</v>
      </c>
    </row>
    <row r="6789">
      <c r="A6789" s="4" t="s">
        <v>8533</v>
      </c>
      <c r="B6789" s="4" t="s">
        <v>8534</v>
      </c>
      <c r="C6789" s="5" t="str">
        <f>IFERROR(__xludf.DUMMYFUNCTION("GOOGLETRANSLATE(B6789,""en"",""fr"")"),"Deux personnes sont vues assises devant les caméras jouant des instruments pendant que la caméra fait un zoom avant.")</f>
        <v>Deux personnes sont vues assises devant les caméras jouant des instruments pendant que la caméra fait un zoom avant.</v>
      </c>
    </row>
    <row r="6790">
      <c r="A6790" s="4" t="s">
        <v>8533</v>
      </c>
      <c r="B6790" s="6" t="s">
        <v>8535</v>
      </c>
      <c r="C6790" s="5" t="str">
        <f>IFERROR(__xludf.DUMMYFUNCTION("GOOGLETRANSLATE(B6790,""en"",""fr"")"),"L'homme chante ensuite à la caméra en jouant son instrument et parle à la caméra, se terminant avec les deux en jouant à nouveau.")</f>
        <v>L'homme chante ensuite à la caméra en jouant son instrument et parle à la caméra, se terminant avec les deux en jouant à nouveau.</v>
      </c>
    </row>
    <row r="6791">
      <c r="A6791" s="4" t="s">
        <v>8536</v>
      </c>
      <c r="B6791" s="6" t="s">
        <v>8537</v>
      </c>
      <c r="C6791" s="5" t="str">
        <f>IFERROR(__xludf.DUMMYFUNCTION("GOOGLETRANSLATE(B6791,""en"",""fr"")"),"Il y a un homme portant une chemise bleue et un autre homme en noir assis sur un rocher, parlant de l'escalade.")</f>
        <v>Il y a un homme portant une chemise bleue et un autre homme en noir assis sur un rocher, parlant de l'escalade.</v>
      </c>
    </row>
    <row r="6792">
      <c r="A6792" s="4" t="s">
        <v>8536</v>
      </c>
      <c r="B6792" s="4" t="s">
        <v>8538</v>
      </c>
      <c r="C6792" s="5" t="str">
        <f>IFERROR(__xludf.DUMMYFUNCTION("GOOGLETRANSLATE(B6792,""en"",""fr"")"),"Ils sont assis à une très haute altitude dans les montagnes.")</f>
        <v>Ils sont assis à une très haute altitude dans les montagnes.</v>
      </c>
    </row>
    <row r="6793">
      <c r="A6793" s="4" t="s">
        <v>8536</v>
      </c>
      <c r="B6793" s="4" t="s">
        <v>8539</v>
      </c>
      <c r="C6793" s="5" t="str">
        <f>IFERROR(__xludf.DUMMYFUNCTION("GOOGLETRANSLATE(B6793,""en"",""fr"")"),"La personne en bleu montre comment la corde est fixée des rochers.")</f>
        <v>La personne en bleu montre comment la corde est fixée des rochers.</v>
      </c>
    </row>
    <row r="6794">
      <c r="A6794" s="4" t="s">
        <v>8536</v>
      </c>
      <c r="B6794" s="4" t="s">
        <v>8540</v>
      </c>
      <c r="C6794" s="5" t="str">
        <f>IFERROR(__xludf.DUMMYFUNCTION("GOOGLETRANSLATE(B6794,""en"",""fr"")"),"Il montre également une corde serrée marchant d'un bout à l'autre.")</f>
        <v>Il montre également une corde serrée marchant d'un bout à l'autre.</v>
      </c>
    </row>
    <row r="6795">
      <c r="A6795" s="4" t="s">
        <v>8536</v>
      </c>
      <c r="B6795" s="4" t="s">
        <v>8541</v>
      </c>
      <c r="C6795" s="5" t="str">
        <f>IFERROR(__xludf.DUMMYFUNCTION("GOOGLETRANSLATE(B6795,""en"",""fr"")"),"Ensuite, la personne en noir marche également sur une corde serrée.")</f>
        <v>Ensuite, la personne en noir marche également sur une corde serrée.</v>
      </c>
    </row>
    <row r="6796">
      <c r="A6796" s="4" t="s">
        <v>8542</v>
      </c>
      <c r="B6796" s="4" t="s">
        <v>8543</v>
      </c>
      <c r="C6796" s="5" t="str">
        <f>IFERROR(__xludf.DUMMYFUNCTION("GOOGLETRANSLATE(B6796,""en"",""fr"")"),"Un garçon est à l'intérieur d'une salle de sport.")</f>
        <v>Un garçon est à l'intérieur d'une salle de sport.</v>
      </c>
    </row>
    <row r="6797">
      <c r="A6797" s="4" t="s">
        <v>8542</v>
      </c>
      <c r="B6797" s="4" t="s">
        <v>8544</v>
      </c>
      <c r="C6797" s="5" t="str">
        <f>IFERROR(__xludf.DUMMYFUNCTION("GOOGLETRANSLATE(B6797,""en"",""fr"")"),"Il soulève une haltère jusqu'à sa poitrine.")</f>
        <v>Il soulève une haltère jusqu'à sa poitrine.</v>
      </c>
    </row>
    <row r="6798">
      <c r="A6798" s="4" t="s">
        <v>8542</v>
      </c>
      <c r="B6798" s="4" t="s">
        <v>8545</v>
      </c>
      <c r="C6798" s="5" t="str">
        <f>IFERROR(__xludf.DUMMYFUNCTION("GOOGLETRANSLATE(B6798,""en"",""fr"")"),"Il s'arrête, puis le soulève au-dessus de sa tête.")</f>
        <v>Il s'arrête, puis le soulève au-dessus de sa tête.</v>
      </c>
    </row>
    <row r="6799">
      <c r="A6799" s="4" t="s">
        <v>8546</v>
      </c>
      <c r="B6799" s="4" t="s">
        <v>8547</v>
      </c>
      <c r="C6799" s="5" t="str">
        <f>IFERROR(__xludf.DUMMYFUNCTION("GOOGLETRANSLATE(B6799,""en"",""fr"")"),"Un groupe de garçons est vu assis autour des autres et jouant à divers jeux.")</f>
        <v>Un groupe de garçons est vu assis autour des autres et jouant à divers jeux.</v>
      </c>
    </row>
    <row r="6800">
      <c r="A6800" s="4" t="s">
        <v>8546</v>
      </c>
      <c r="B6800" s="4" t="s">
        <v>8548</v>
      </c>
      <c r="C6800" s="5" t="str">
        <f>IFERROR(__xludf.DUMMYFUNCTION("GOOGLETRANSLATE(B6800,""en"",""fr"")"),"Les hommes se frappent pendant qu'ils changent de place et continuent de jouer à plus de jeux.")</f>
        <v>Les hommes se frappent pendant qu'ils changent de place et continuent de jouer à plus de jeux.</v>
      </c>
    </row>
    <row r="6801">
      <c r="A6801" s="4" t="s">
        <v>8549</v>
      </c>
      <c r="B6801" s="4" t="s">
        <v>8550</v>
      </c>
      <c r="C6801" s="5" t="str">
        <f>IFERROR(__xludf.DUMMYFUNCTION("GOOGLETRANSLATE(B6801,""en"",""fr"")"),"Une famille est montrée en rince-bouche.")</f>
        <v>Une famille est montrée en rince-bouche.</v>
      </c>
    </row>
    <row r="6802">
      <c r="A6802" s="4" t="s">
        <v>8549</v>
      </c>
      <c r="B6802" s="4" t="s">
        <v>8551</v>
      </c>
      <c r="C6802" s="5" t="str">
        <f>IFERROR(__xludf.DUMMYFUNCTION("GOOGLETRANSLATE(B6802,""en"",""fr"")"),"Une femme essaie de rire et réussit à ne pas le cracher.")</f>
        <v>Une femme essaie de rire et réussit à ne pas le cracher.</v>
      </c>
    </row>
    <row r="6803">
      <c r="A6803" s="4" t="s">
        <v>8552</v>
      </c>
      <c r="B6803" s="4" t="s">
        <v>8553</v>
      </c>
      <c r="C6803" s="5" t="str">
        <f>IFERROR(__xludf.DUMMYFUNCTION("GOOGLETRANSLATE(B6803,""en"",""fr"")"),"Plusieurs plans d'eau sont représentés et un homme semble pagayer d'un petit bateau.")</f>
        <v>Plusieurs plans d'eau sont représentés et un homme semble pagayer d'un petit bateau.</v>
      </c>
    </row>
    <row r="6804">
      <c r="A6804" s="4" t="s">
        <v>8552</v>
      </c>
      <c r="B6804" s="6" t="s">
        <v>8554</v>
      </c>
      <c r="C6804" s="5" t="str">
        <f>IFERROR(__xludf.DUMMYFUNCTION("GOOGLETRANSLATE(B6804,""en"",""fr"")"),"Plusieurs autres personnes sont ensuite présentées à pagayer dans toute la ville dans des petits bateaux, passant plusieurs arbres et bâtiments de la ville.")</f>
        <v>Plusieurs autres personnes sont ensuite présentées à pagayer dans toute la ville dans des petits bateaux, passant plusieurs arbres et bâtiments de la ville.</v>
      </c>
    </row>
    <row r="6805">
      <c r="A6805" s="4" t="s">
        <v>8552</v>
      </c>
      <c r="B6805" s="6" t="s">
        <v>8555</v>
      </c>
      <c r="C6805" s="5" t="str">
        <f>IFERROR(__xludf.DUMMYFUNCTION("GOOGLETRANSLATE(B6805,""en"",""fr"")"),"Alors qu'ils continuent là par voie, ils passent sous les ponts, les restaurants et autres points de repère, puis les noms apparaissent sur l'écran.")</f>
        <v>Alors qu'ils continuent là par voie, ils passent sous les ponts, les restaurants et autres points de repère, puis les noms apparaissent sur l'écran.</v>
      </c>
    </row>
    <row r="6806">
      <c r="A6806" s="4" t="s">
        <v>8556</v>
      </c>
      <c r="B6806" s="4" t="s">
        <v>8557</v>
      </c>
      <c r="C6806" s="5" t="str">
        <f>IFERROR(__xludf.DUMMYFUNCTION("GOOGLETRANSLATE(B6806,""en"",""fr"")"),"Une personne mène un grand chien sur un dos en laisse et quatrième sur un plancher en bois dur.")</f>
        <v>Une personne mène un grand chien sur un dos en laisse et quatrième sur un plancher en bois dur.</v>
      </c>
    </row>
    <row r="6807">
      <c r="A6807" s="4" t="s">
        <v>8556</v>
      </c>
      <c r="B6807" s="4" t="s">
        <v>8558</v>
      </c>
      <c r="C6807" s="5" t="str">
        <f>IFERROR(__xludf.DUMMYFUNCTION("GOOGLETRANSLATE(B6807,""en"",""fr"")"),"Le chien traîne la femme autour de lui et regarde par la porte et sourit.")</f>
        <v>Le chien traîne la femme autour de lui et regarde par la porte et sourit.</v>
      </c>
    </row>
    <row r="6808">
      <c r="A6808" s="4" t="s">
        <v>8559</v>
      </c>
      <c r="B6808" s="4" t="s">
        <v>8560</v>
      </c>
      <c r="C6808" s="5" t="str">
        <f>IFERROR(__xludf.DUMMYFUNCTION("GOOGLETRANSLATE(B6808,""en"",""fr"")"),"Deux personnes montent sur un sentier enneigé.")</f>
        <v>Deux personnes montent sur un sentier enneigé.</v>
      </c>
    </row>
    <row r="6809">
      <c r="A6809" s="4" t="s">
        <v>8559</v>
      </c>
      <c r="B6809" s="4" t="s">
        <v>8561</v>
      </c>
      <c r="C6809" s="5" t="str">
        <f>IFERROR(__xludf.DUMMYFUNCTION("GOOGLETRANSLATE(B6809,""en"",""fr"")"),"Pendant qu'ils montent, ils passent un ensemble d'igloos en verre plantés sur le domaine.")</f>
        <v>Pendant qu'ils montent, ils passent un ensemble d'igloos en verre plantés sur le domaine.</v>
      </c>
    </row>
    <row r="6810">
      <c r="A6810" s="4" t="s">
        <v>8559</v>
      </c>
      <c r="B6810" s="4" t="s">
        <v>8562</v>
      </c>
      <c r="C6810" s="5" t="str">
        <f>IFERROR(__xludf.DUMMYFUNCTION("GOOGLETRANSLATE(B6810,""en"",""fr"")"),"Ils atteignent une clairière où il y a des terres ouvertes et plusieurs arbres.")</f>
        <v>Ils atteignent une clairière où il y a des terres ouvertes et plusieurs arbres.</v>
      </c>
    </row>
    <row r="6811">
      <c r="A6811" s="4" t="s">
        <v>8563</v>
      </c>
      <c r="B6811" s="4" t="s">
        <v>8564</v>
      </c>
      <c r="C6811" s="5" t="str">
        <f>IFERROR(__xludf.DUMMYFUNCTION("GOOGLETRANSLATE(B6811,""en"",""fr"")"),"Nous voyons une dame jouer lentement un tambour.")</f>
        <v>Nous voyons une dame jouer lentement un tambour.</v>
      </c>
    </row>
    <row r="6812">
      <c r="A6812" s="4" t="s">
        <v>8563</v>
      </c>
      <c r="B6812" s="4" t="s">
        <v>8565</v>
      </c>
      <c r="C6812" s="5" t="str">
        <f>IFERROR(__xludf.DUMMYFUNCTION("GOOGLETRANSLATE(B6812,""en"",""fr"")"),"Nous nous panous à droite et voyons un homme à la batterie.")</f>
        <v>Nous nous panous à droite et voyons un homme à la batterie.</v>
      </c>
    </row>
    <row r="6813">
      <c r="A6813" s="4" t="s">
        <v>8563</v>
      </c>
      <c r="B6813" s="4" t="s">
        <v>8566</v>
      </c>
      <c r="C6813" s="5" t="str">
        <f>IFERROR(__xludf.DUMMYFUNCTION("GOOGLETRANSLATE(B6813,""en"",""fr"")"),"Nous voyons une personne en orange entrer.")</f>
        <v>Nous voyons une personne en orange entrer.</v>
      </c>
    </row>
    <row r="6814">
      <c r="A6814" s="4" t="s">
        <v>8563</v>
      </c>
      <c r="B6814" s="4" t="s">
        <v>8567</v>
      </c>
      <c r="C6814" s="5" t="str">
        <f>IFERROR(__xludf.DUMMYFUNCTION("GOOGLETRANSLATE(B6814,""en"",""fr"")"),"La dame arrête de tambour et montre ses mains.")</f>
        <v>La dame arrête de tambour et montre ses mains.</v>
      </c>
    </row>
    <row r="6815">
      <c r="A6815" s="4" t="s">
        <v>8563</v>
      </c>
      <c r="B6815" s="4" t="s">
        <v>8568</v>
      </c>
      <c r="C6815" s="5" t="str">
        <f>IFERROR(__xludf.DUMMYFUNCTION("GOOGLETRANSLATE(B6815,""en"",""fr"")"),"Nous voyons ensuite l'opérateur de la caméra.")</f>
        <v>Nous voyons ensuite l'opérateur de la caméra.</v>
      </c>
    </row>
    <row r="6816">
      <c r="A6816" s="4" t="s">
        <v>8563</v>
      </c>
      <c r="B6816" s="4" t="s">
        <v>8569</v>
      </c>
      <c r="C6816" s="5" t="str">
        <f>IFERROR(__xludf.DUMMYFUNCTION("GOOGLETRANSLATE(B6816,""en"",""fr"")"),"La dame et le garçon en orange luttent pour un instrument.")</f>
        <v>La dame et le garçon en orange luttent pour un instrument.</v>
      </c>
    </row>
    <row r="6817">
      <c r="A6817" s="4" t="s">
        <v>8563</v>
      </c>
      <c r="B6817" s="4" t="s">
        <v>8570</v>
      </c>
      <c r="C6817" s="5" t="str">
        <f>IFERROR(__xludf.DUMMYFUNCTION("GOOGLETRANSLATE(B6817,""en"",""fr"")"),"La dame prétend mordre le garçon, puis rit.")</f>
        <v>La dame prétend mordre le garçon, puis rit.</v>
      </c>
    </row>
    <row r="6818">
      <c r="A6818" s="4" t="s">
        <v>8563</v>
      </c>
      <c r="B6818" s="4" t="s">
        <v>8571</v>
      </c>
      <c r="C6818" s="5" t="str">
        <f>IFERROR(__xludf.DUMMYFUNCTION("GOOGLETRANSLATE(B6818,""en"",""fr"")"),"Nous voyons un homme entrer dans la pièce.")</f>
        <v>Nous voyons un homme entrer dans la pièce.</v>
      </c>
    </row>
    <row r="6819">
      <c r="A6819" s="4" t="s">
        <v>8572</v>
      </c>
      <c r="B6819" s="4" t="s">
        <v>8573</v>
      </c>
      <c r="C6819" s="5" t="str">
        <f>IFERROR(__xludf.DUMMYFUNCTION("GOOGLETRANSLATE(B6819,""en"",""fr"")"),"Les joueurs de hockey sortent les commodes sur un terrain.")</f>
        <v>Les joueurs de hockey sortent les commodes sur un terrain.</v>
      </c>
    </row>
    <row r="6820">
      <c r="A6820" s="4" t="s">
        <v>8572</v>
      </c>
      <c r="B6820" s="4" t="s">
        <v>8574</v>
      </c>
      <c r="C6820" s="5" t="str">
        <f>IFERROR(__xludf.DUMMYFUNCTION("GOOGLETRANSLATE(B6820,""en"",""fr"")"),"Les joueurs de hockey patinent dans un terrain de glace dans un gymnase couvert.")</f>
        <v>Les joueurs de hockey patinent dans un terrain de glace dans un gymnase couvert.</v>
      </c>
    </row>
    <row r="6821">
      <c r="A6821" s="4" t="s">
        <v>8572</v>
      </c>
      <c r="B6821" s="4" t="s">
        <v>8575</v>
      </c>
      <c r="C6821" s="5" t="str">
        <f>IFERROR(__xludf.DUMMYFUNCTION("GOOGLETRANSLATE(B6821,""en"",""fr"")"),"Mani Soudage quelque chose dans une pièce sombre et les joueurs sont dans le terrain en jouant.")</f>
        <v>Mani Soudage quelque chose dans une pièce sombre et les joueurs sont dans le terrain en jouant.</v>
      </c>
    </row>
    <row r="6822">
      <c r="A6822" s="4" t="s">
        <v>8572</v>
      </c>
      <c r="B6822" s="6" t="s">
        <v>8576</v>
      </c>
      <c r="C6822" s="5" t="str">
        <f>IFERROR(__xludf.DUMMYFUNCTION("GOOGLETRANSLATE(B6822,""en"",""fr"")"),"Les hommes sont assis dans le bus en regardant ses téléphones et voyant la fenêtre et dans les commodes se préparant à jouer et sur le terrain.")</f>
        <v>Les hommes sont assis dans le bus en regardant ses téléphones et voyant la fenêtre et dans les commodes se préparant à jouer et sur le terrain.</v>
      </c>
    </row>
    <row r="6823">
      <c r="A6823" s="4" t="s">
        <v>8577</v>
      </c>
      <c r="B6823" s="4" t="s">
        <v>8578</v>
      </c>
      <c r="C6823" s="5" t="str">
        <f>IFERROR(__xludf.DUMMYFUNCTION("GOOGLETRANSLATE(B6823,""en"",""fr"")"),"Une personne retourne une autre personne et est jetée dans les buissons.")</f>
        <v>Une personne retourne une autre personne et est jetée dans les buissons.</v>
      </c>
    </row>
    <row r="6824">
      <c r="A6824" s="4" t="s">
        <v>8577</v>
      </c>
      <c r="B6824" s="4" t="s">
        <v>8579</v>
      </c>
      <c r="C6824" s="5" t="str">
        <f>IFERROR(__xludf.DUMMYFUNCTION("GOOGLETRANSLATE(B6824,""en"",""fr"")"),"Une personne en chemise rouge commence à courir vers elle.")</f>
        <v>Une personne en chemise rouge commence à courir vers elle.</v>
      </c>
    </row>
    <row r="6825">
      <c r="A6825" s="4" t="s">
        <v>8580</v>
      </c>
      <c r="B6825" s="4" t="s">
        <v>8581</v>
      </c>
      <c r="C6825" s="5" t="str">
        <f>IFERROR(__xludf.DUMMYFUNCTION("GOOGLETRANSLATE(B6825,""en"",""fr"")"),"Une femme tient un chat noir blotti dans une couverture violette.")</f>
        <v>Une femme tient un chat noir blotti dans une couverture violette.</v>
      </c>
    </row>
    <row r="6826">
      <c r="A6826" s="4" t="s">
        <v>8580</v>
      </c>
      <c r="B6826" s="4" t="s">
        <v>8582</v>
      </c>
      <c r="C6826" s="5" t="str">
        <f>IFERROR(__xludf.DUMMYFUNCTION("GOOGLETRANSLATE(B6826,""en"",""fr"")"),"Le chat miaule alors que la femme tient ses pattes.")</f>
        <v>Le chat miaule alors que la femme tient ses pattes.</v>
      </c>
    </row>
    <row r="6827">
      <c r="A6827" s="4" t="s">
        <v>8580</v>
      </c>
      <c r="B6827" s="4" t="s">
        <v>8583</v>
      </c>
      <c r="C6827" s="5" t="str">
        <f>IFERROR(__xludf.DUMMYFUNCTION("GOOGLETRANSLATE(B6827,""en"",""fr"")"),"Il y a un autre homme avec des tondeuses à ongles, glissant les ongles du chat.")</f>
        <v>Il y a un autre homme avec des tondeuses à ongles, glissant les ongles du chat.</v>
      </c>
    </row>
    <row r="6828">
      <c r="A6828" s="4" t="s">
        <v>8580</v>
      </c>
      <c r="B6828" s="4" t="s">
        <v>8584</v>
      </c>
      <c r="C6828" s="5" t="str">
        <f>IFERROR(__xludf.DUMMYFUNCTION("GOOGLETRANSLATE(B6828,""en"",""fr"")"),"Le chat miame bruyamment dans la douleur et la femme embrasse le chat pour la calmer.")</f>
        <v>Le chat miame bruyamment dans la douleur et la femme embrasse le chat pour la calmer.</v>
      </c>
    </row>
    <row r="6829">
      <c r="A6829" s="4" t="s">
        <v>8580</v>
      </c>
      <c r="B6829" s="4" t="s">
        <v>8585</v>
      </c>
      <c r="C6829" s="5" t="str">
        <f>IFERROR(__xludf.DUMMYFUNCTION("GOOGLETRANSLATE(B6829,""en"",""fr"")"),"L'homme continue de couper les ongles du chat tandis que la femme cajole le chat et embrasse les oreilles du chat.")</f>
        <v>L'homme continue de couper les ongles du chat tandis que la femme cajole le chat et embrasse les oreilles du chat.</v>
      </c>
    </row>
    <row r="6830">
      <c r="A6830" s="4" t="s">
        <v>8580</v>
      </c>
      <c r="B6830" s="4" t="s">
        <v>8586</v>
      </c>
      <c r="C6830" s="5" t="str">
        <f>IFERROR(__xludf.DUMMYFUNCTION("GOOGLETRANSLATE(B6830,""en"",""fr"")"),"L'homme continue d'écraser les ongles jusqu'à ce qu'il ait fini.")</f>
        <v>L'homme continue d'écraser les ongles jusqu'à ce qu'il ait fini.</v>
      </c>
    </row>
    <row r="6831">
      <c r="A6831" s="4" t="s">
        <v>8587</v>
      </c>
      <c r="B6831" s="4" t="s">
        <v>8588</v>
      </c>
      <c r="C6831" s="5" t="str">
        <f>IFERROR(__xludf.DUMMYFUNCTION("GOOGLETRANSLATE(B6831,""en"",""fr"")"),"Une petite fille est assise sur une chaise à bascule.")</f>
        <v>Une petite fille est assise sur une chaise à bascule.</v>
      </c>
    </row>
    <row r="6832">
      <c r="A6832" s="4" t="s">
        <v>8587</v>
      </c>
      <c r="B6832" s="4" t="s">
        <v>8589</v>
      </c>
      <c r="C6832" s="5" t="str">
        <f>IFERROR(__xludf.DUMMYFUNCTION("GOOGLETRANSLATE(B6832,""en"",""fr"")"),"Elle se maquille compacte à partir d'un cas.")</f>
        <v>Elle se maquille compacte à partir d'un cas.</v>
      </c>
    </row>
    <row r="6833">
      <c r="A6833" s="4" t="s">
        <v>8587</v>
      </c>
      <c r="B6833" s="4" t="s">
        <v>8590</v>
      </c>
      <c r="C6833" s="5" t="str">
        <f>IFERROR(__xludf.DUMMYFUNCTION("GOOGLETRANSLATE(B6833,""en"",""fr"")"),"Elle applique ensuite l'ombre à paupières et le rouge à lèvres.")</f>
        <v>Elle applique ensuite l'ombre à paupières et le rouge à lèvres.</v>
      </c>
    </row>
    <row r="6834">
      <c r="A6834" s="4" t="s">
        <v>8591</v>
      </c>
      <c r="B6834" s="6" t="s">
        <v>8592</v>
      </c>
      <c r="C6834" s="5" t="str">
        <f>IFERROR(__xludf.DUMMYFUNCTION("GOOGLETRANSLATE(B6834,""en"",""fr"")"),"Plusieurs plans de coureurs se tenant autour d'un puits de sable sont représentés, suivis par de nombreux angles de personnes qui roulent sur des sauts.")</f>
        <v>Plusieurs plans de coureurs se tenant autour d'un puits de sable sont représentés, suivis par de nombreux angles de personnes qui roulent sur des sauts.</v>
      </c>
    </row>
    <row r="6835">
      <c r="A6835" s="4" t="s">
        <v>8591</v>
      </c>
      <c r="B6835" s="6" t="s">
        <v>8593</v>
      </c>
      <c r="C6835" s="5" t="str">
        <f>IFERROR(__xludf.DUMMYFUNCTION("GOOGLETRANSLATE(B6835,""en"",""fr"")"),"La caméra capture plusieurs angles de personnes roulant le long d'une piste de vélo et les interviewant entre les coups.")</f>
        <v>La caméra capture plusieurs angles de personnes roulant le long d'une piste de vélo et les interviewant entre les coups.</v>
      </c>
    </row>
    <row r="6836">
      <c r="A6836" s="4" t="s">
        <v>8591</v>
      </c>
      <c r="B6836" s="6" t="s">
        <v>8594</v>
      </c>
      <c r="C6836" s="5" t="str">
        <f>IFERROR(__xludf.DUMMYFUNCTION("GOOGLETRANSLATE(B6836,""en"",""fr"")"),"À la fin, tous les coureurs sont affichés à l'écran ainsi que pour être interviewés et sauter une dernière fois.")</f>
        <v>À la fin, tous les coureurs sont affichés à l'écran ainsi que pour être interviewés et sauter une dernière fois.</v>
      </c>
    </row>
    <row r="6837">
      <c r="A6837" s="4" t="s">
        <v>8595</v>
      </c>
      <c r="B6837" s="6" t="s">
        <v>8596</v>
      </c>
      <c r="C6837" s="5" t="str">
        <f>IFERROR(__xludf.DUMMYFUNCTION("GOOGLETRANSLATE(B6837,""en"",""fr"")"),"Une femme adulte et une jeune femme est à la plage, la femme adulte jette le sable du seau au sol.")</f>
        <v>Une femme adulte et une jeune femme est à la plage, la femme adulte jette le sable du seau au sol.</v>
      </c>
    </row>
    <row r="6838">
      <c r="A6838" s="4" t="s">
        <v>8595</v>
      </c>
      <c r="B6838" s="4" t="s">
        <v>8597</v>
      </c>
      <c r="C6838" s="5" t="str">
        <f>IFERROR(__xludf.DUMMYFUNCTION("GOOGLETRANSLATE(B6838,""en"",""fr"")"),"La femme à Polka Dots est assise sur le sol et montre son pantalon.")</f>
        <v>La femme à Polka Dots est assise sur le sol et montre son pantalon.</v>
      </c>
    </row>
    <row r="6839">
      <c r="A6839" s="4" t="s">
        <v>8595</v>
      </c>
      <c r="B6839" s="4" t="s">
        <v>8598</v>
      </c>
      <c r="C6839" s="5" t="str">
        <f>IFERROR(__xludf.DUMMYFUNCTION("GOOGLETRANSLATE(B6839,""en"",""fr"")"),"La jeune fille pointe vers quelque chose et agita la caméra.")</f>
        <v>La jeune fille pointe vers quelque chose et agita la caméra.</v>
      </c>
    </row>
    <row r="6840">
      <c r="A6840" s="4" t="s">
        <v>8599</v>
      </c>
      <c r="B6840" s="6" t="s">
        <v>8600</v>
      </c>
      <c r="C6840" s="5" t="str">
        <f>IFERROR(__xludf.DUMMYFUNCTION("GOOGLETRANSLATE(B6840,""en"",""fr"")"),"Trois hommes sont vus assis sur le sol se parlant et les conduisant sur une route.")</f>
        <v>Trois hommes sont vus assis sur le sol se parlant et les conduisant sur une route.</v>
      </c>
    </row>
    <row r="6841">
      <c r="A6841" s="4" t="s">
        <v>8599</v>
      </c>
      <c r="B6841" s="6" t="s">
        <v>8601</v>
      </c>
      <c r="C6841" s="5" t="str">
        <f>IFERROR(__xludf.DUMMYFUNCTION("GOOGLETRANSLATE(B6841,""en"",""fr"")"),"Plus de tirs sont montrés des personnes à roulettes sur une route en effectuant plusieurs tours et en s'éloignant.")</f>
        <v>Plus de tirs sont montrés des personnes à roulettes sur une route en effectuant plusieurs tours et en s'éloignant.</v>
      </c>
    </row>
    <row r="6842">
      <c r="A6842" s="4" t="s">
        <v>8602</v>
      </c>
      <c r="B6842" s="4" t="s">
        <v>8603</v>
      </c>
      <c r="C6842" s="5" t="str">
        <f>IFERROR(__xludf.DUMMYFUNCTION("GOOGLETRANSLATE(B6842,""en"",""fr"")"),"Un gros plan d'un rasoir est montré aux mètres de plusieurs clips de chiens se faisant coupés.")</f>
        <v>Un gros plan d'un rasoir est montré aux mètres de plusieurs clips de chiens se faisant coupés.</v>
      </c>
    </row>
    <row r="6843">
      <c r="A6843" s="4" t="s">
        <v>8602</v>
      </c>
      <c r="B6843" s="4" t="s">
        <v>8604</v>
      </c>
      <c r="C6843" s="5" t="str">
        <f>IFERROR(__xludf.DUMMYFUNCTION("GOOGLETRANSLATE(B6843,""en"",""fr"")"),"Plusieurs outils sont affichés sont ensuite indiqués sur les chats et les allongés en tant que TEP.")</f>
        <v>Plusieurs outils sont affichés sont ensuite indiqués sur les chats et les allongés en tant que TEP.</v>
      </c>
    </row>
    <row r="6844">
      <c r="A6844" s="4" t="s">
        <v>8605</v>
      </c>
      <c r="B6844" s="4" t="s">
        <v>8606</v>
      </c>
      <c r="C6844" s="5" t="str">
        <f>IFERROR(__xludf.DUMMYFUNCTION("GOOGLETRANSLATE(B6844,""en"",""fr"")"),"Un homme court dans une rue.")</f>
        <v>Un homme court dans une rue.</v>
      </c>
    </row>
    <row r="6845">
      <c r="A6845" s="4" t="s">
        <v>8605</v>
      </c>
      <c r="B6845" s="4" t="s">
        <v>8607</v>
      </c>
      <c r="C6845" s="5" t="str">
        <f>IFERROR(__xludf.DUMMYFUNCTION("GOOGLETRANSLATE(B6845,""en"",""fr"")"),"Une voiture blanche est juste derrière lui dans la rue.")</f>
        <v>Une voiture blanche est juste derrière lui dans la rue.</v>
      </c>
    </row>
    <row r="6846">
      <c r="A6846" s="4" t="s">
        <v>8605</v>
      </c>
      <c r="B6846" s="4" t="s">
        <v>8608</v>
      </c>
      <c r="C6846" s="5" t="str">
        <f>IFERROR(__xludf.DUMMYFUNCTION("GOOGLETRANSLATE(B6846,""en"",""fr"")"),"Les gens conduisent des vélos à côté de lui.")</f>
        <v>Les gens conduisent des vélos à côté de lui.</v>
      </c>
    </row>
    <row r="6847">
      <c r="A6847" s="4" t="s">
        <v>8609</v>
      </c>
      <c r="B6847" s="4" t="s">
        <v>8610</v>
      </c>
      <c r="C6847" s="5" t="str">
        <f>IFERROR(__xludf.DUMMYFUNCTION("GOOGLETRANSLATE(B6847,""en"",""fr"")"),"Une caméra montre un placard qui se déroule en deux filles vues monter sur un elliptique.")</f>
        <v>Une caméra montre un placard qui se déroule en deux filles vues monter sur un elliptique.</v>
      </c>
    </row>
    <row r="6848">
      <c r="A6848" s="4" t="s">
        <v>8609</v>
      </c>
      <c r="B6848" s="6" t="s">
        <v>8611</v>
      </c>
      <c r="C6848" s="5" t="str">
        <f>IFERROR(__xludf.DUMMYFUNCTION("GOOGLETRANSLATE(B6848,""en"",""fr"")"),"Une fille monte et descend sur la machine tandis que l'autre s'accroche devant, les conduisant à sauter et à parler à la caméra se cachant dans le placard.")</f>
        <v>Une fille monte et descend sur la machine tandis que l'autre s'accroche devant, les conduisant à sauter et à parler à la caméra se cachant dans le placard.</v>
      </c>
    </row>
    <row r="6849">
      <c r="A6849" s="4" t="s">
        <v>8612</v>
      </c>
      <c r="B6849" s="4" t="s">
        <v>8613</v>
      </c>
      <c r="C6849" s="5" t="str">
        <f>IFERROR(__xludf.DUMMYFUNCTION("GOOGLETRANSLATE(B6849,""en"",""fr"")"),"Un logo est montré avec des sons de chute d'eau jouant en arrière-plan.")</f>
        <v>Un logo est montré avec des sons de chute d'eau jouant en arrière-plan.</v>
      </c>
    </row>
    <row r="6850">
      <c r="A6850" s="4" t="s">
        <v>8612</v>
      </c>
      <c r="B6850" s="4" t="s">
        <v>8614</v>
      </c>
      <c r="C6850" s="5" t="str">
        <f>IFERROR(__xludf.DUMMYFUNCTION("GOOGLETRANSLATE(B6850,""en"",""fr"")"),"Un homme est ensuite montré portant du matériel de plongée et donnant divers signaux de main à la caméra.")</f>
        <v>Un homme est ensuite montré portant du matériel de plongée et donnant divers signaux de main à la caméra.</v>
      </c>
    </row>
    <row r="6851">
      <c r="A6851" s="4" t="s">
        <v>8612</v>
      </c>
      <c r="B6851" s="6" t="s">
        <v>8615</v>
      </c>
      <c r="C6851" s="5" t="str">
        <f>IFERROR(__xludf.DUMMYFUNCTION("GOOGLETRANSLATE(B6851,""en"",""fr"")"),"L'eau semble toujours jouer et l'homme vous montre divers mouvements et ce qu'ils signifient sous l'eau.")</f>
        <v>L'eau semble toujours jouer et l'homme vous montre divers mouvements et ce qu'ils signifient sous l'eau.</v>
      </c>
    </row>
    <row r="6852">
      <c r="A6852" s="4" t="s">
        <v>8612</v>
      </c>
      <c r="B6852" s="4" t="s">
        <v>8616</v>
      </c>
      <c r="C6852" s="5" t="str">
        <f>IFERROR(__xludf.DUMMYFUNCTION("GOOGLETRANSLATE(B6852,""en"",""fr"")"),"Le logo réapparaît ensuite à l'écran et la vidéo se termine.")</f>
        <v>Le logo réapparaît ensuite à l'écran et la vidéo se termine.</v>
      </c>
    </row>
    <row r="6853">
      <c r="A6853" s="4" t="s">
        <v>8617</v>
      </c>
      <c r="B6853" s="4" t="s">
        <v>8618</v>
      </c>
      <c r="C6853" s="5" t="str">
        <f>IFERROR(__xludf.DUMMYFUNCTION("GOOGLETRANSLATE(B6853,""en"",""fr"")"),"Un petit enfant est montré jouant de la batterie tandis qu'un groupe de personnes derrière lui regarde et sourit.")</f>
        <v>Un petit enfant est montré jouant de la batterie tandis qu'un groupe de personnes derrière lui regarde et sourit.</v>
      </c>
    </row>
    <row r="6854">
      <c r="A6854" s="4" t="s">
        <v>8617</v>
      </c>
      <c r="B6854" s="6" t="s">
        <v>8619</v>
      </c>
      <c r="C6854" s="5" t="str">
        <f>IFERROR(__xludf.DUMMYFUNCTION("GOOGLETRANSLATE(B6854,""en"",""fr"")"),"Le garçon continue de jouer de la batterie et un bébé dans les bras d'un homme derrière lui grimpe de ses genoux.")</f>
        <v>Le garçon continue de jouer de la batterie et un bébé dans les bras d'un homme derrière lui grimpe de ses genoux.</v>
      </c>
    </row>
    <row r="6855">
      <c r="A6855" s="4" t="s">
        <v>8620</v>
      </c>
      <c r="B6855" s="4" t="s">
        <v>8621</v>
      </c>
      <c r="C6855" s="5" t="str">
        <f>IFERROR(__xludf.DUMMYFUNCTION("GOOGLETRANSLATE(B6855,""en"",""fr"")"),"Un gros plan d'un canoë est montré suivi d'un homme poussant le canoë dans diverses zones.")</f>
        <v>Un gros plan d'un canoë est montré suivi d'un homme poussant le canoë dans diverses zones.</v>
      </c>
    </row>
    <row r="6856">
      <c r="A6856" s="4" t="s">
        <v>8620</v>
      </c>
      <c r="B6856" s="6" t="s">
        <v>8622</v>
      </c>
      <c r="C6856" s="5" t="str">
        <f>IFERROR(__xludf.DUMMYFUNCTION("GOOGLETRANSLATE(B6856,""en"",""fr"")"),"Sa pagaie est ralenti pour démontrer comment pagayer correctement tandis que plus de coups de pagayage de l'homme en mouvement rapide sont affichés.")</f>
        <v>Sa pagaie est ralenti pour démontrer comment pagayer correctement tandis que plus de coups de pagayage de l'homme en mouvement rapide sont affichés.</v>
      </c>
    </row>
    <row r="6857">
      <c r="A6857" s="4" t="s">
        <v>8620</v>
      </c>
      <c r="B6857" s="4" t="s">
        <v>8623</v>
      </c>
      <c r="C6857" s="5" t="str">
        <f>IFERROR(__xludf.DUMMYFUNCTION("GOOGLETRANSLATE(B6857,""en"",""fr"")"),"La fin montre une belle image d'un coucher de soleil.")</f>
        <v>La fin montre une belle image d'un coucher de soleil.</v>
      </c>
    </row>
    <row r="6858">
      <c r="A6858" s="4" t="s">
        <v>8624</v>
      </c>
      <c r="B6858" s="4" t="s">
        <v>8625</v>
      </c>
      <c r="C6858" s="5" t="str">
        <f>IFERROR(__xludf.DUMMYFUNCTION("GOOGLETRANSLATE(B6858,""en"",""fr"")"),"Une personne épluche un autocollant d'une chaussure blanche.")</f>
        <v>Une personne épluche un autocollant d'une chaussure blanche.</v>
      </c>
    </row>
    <row r="6859">
      <c r="A6859" s="4" t="s">
        <v>8624</v>
      </c>
      <c r="B6859" s="4" t="s">
        <v>8626</v>
      </c>
      <c r="C6859" s="5" t="str">
        <f>IFERROR(__xludf.DUMMYFUNCTION("GOOGLETRANSLATE(B6859,""en"",""fr"")"),"Ils essuient la chaussure avec une serviette.")</f>
        <v>Ils essuient la chaussure avec une serviette.</v>
      </c>
    </row>
    <row r="6860">
      <c r="A6860" s="4" t="s">
        <v>8627</v>
      </c>
      <c r="B6860" s="6" t="s">
        <v>8628</v>
      </c>
      <c r="C6860" s="5" t="str">
        <f>IFERROR(__xludf.DUMMYFUNCTION("GOOGLETRANSLATE(B6860,""en"",""fr"")"),"Une personne sort du fromage d'une boîte, puis il prend un pot qui met sur le comptoir avec deux serviettes, puis il ouvre le réfrigérateur.")</f>
        <v>Une personne sort du fromage d'une boîte, puis il prend un pot qui met sur le comptoir avec deux serviettes, puis il ouvre le réfrigérateur.</v>
      </c>
    </row>
    <row r="6861">
      <c r="A6861" s="4" t="s">
        <v>8627</v>
      </c>
      <c r="B6861" s="4" t="s">
        <v>8629</v>
      </c>
      <c r="C6861" s="5" t="str">
        <f>IFERROR(__xludf.DUMMYFUNCTION("GOOGLETRANSLATE(B6861,""en"",""fr"")"),"Un homme met de l'eau sur son visage en tenant un seau, puis prend une éponge et jette sur la table.")</f>
        <v>Un homme met de l'eau sur son visage en tenant un seau, puis prend une éponge et jette sur la table.</v>
      </c>
    </row>
    <row r="6862">
      <c r="A6862" s="4" t="s">
        <v>8627</v>
      </c>
      <c r="B6862" s="4" t="s">
        <v>8630</v>
      </c>
      <c r="C6862" s="5" t="str">
        <f>IFERROR(__xludf.DUMMYFUNCTION("GOOGLETRANSLATE(B6862,""en"",""fr"")"),"La personne met deux bouteilles et deux tranches de pain sur la table, puis il tranche le fromage.")</f>
        <v>La personne met deux bouteilles et deux tranches de pain sur la table, puis il tranche le fromage.</v>
      </c>
    </row>
    <row r="6863">
      <c r="A6863" s="4" t="s">
        <v>8627</v>
      </c>
      <c r="B6863" s="6" t="s">
        <v>8631</v>
      </c>
      <c r="C6863" s="5" t="str">
        <f>IFERROR(__xludf.DUMMYFUNCTION("GOOGLETRANSLATE(B6863,""en"",""fr"")"),"Après, la personne met le fromage et la confiture sur le pain, puis il mange le sandwich et boit de la soude dans la bouteille.")</f>
        <v>Après, la personne met le fromage et la confiture sur le pain, puis il mange le sandwich et boit de la soude dans la bouteille.</v>
      </c>
    </row>
    <row r="6864">
      <c r="A6864" s="4" t="s">
        <v>8632</v>
      </c>
      <c r="B6864" s="4" t="s">
        <v>8633</v>
      </c>
      <c r="C6864" s="5" t="str">
        <f>IFERROR(__xludf.DUMMYFUNCTION("GOOGLETRANSLATE(B6864,""en"",""fr"")"),"Un match d'escrime se déroule dans un auditorium.")</f>
        <v>Un match d'escrime se déroule dans un auditorium.</v>
      </c>
    </row>
    <row r="6865">
      <c r="A6865" s="4" t="s">
        <v>8632</v>
      </c>
      <c r="B6865" s="4" t="s">
        <v>8634</v>
      </c>
      <c r="C6865" s="5" t="str">
        <f>IFERROR(__xludf.DUMMYFUNCTION("GOOGLETRANSLATE(B6865,""en"",""fr"")"),"Deux hommes en équipement d'escrime complet commencent à se battre.")</f>
        <v>Deux hommes en équipement d'escrime complet commencent à se battre.</v>
      </c>
    </row>
    <row r="6866">
      <c r="A6866" s="4" t="s">
        <v>8632</v>
      </c>
      <c r="B6866" s="4" t="s">
        <v>8635</v>
      </c>
      <c r="C6866" s="5" t="str">
        <f>IFERROR(__xludf.DUMMYFUNCTION("GOOGLETRANSLATE(B6866,""en"",""fr"")"),"Ils poignardent et se balancent, clôture pour la foule.")</f>
        <v>Ils poignardent et se balancent, clôture pour la foule.</v>
      </c>
    </row>
    <row r="6867">
      <c r="A6867" s="4" t="s">
        <v>8632</v>
      </c>
      <c r="B6867" s="4" t="s">
        <v>8636</v>
      </c>
      <c r="C6867" s="5" t="str">
        <f>IFERROR(__xludf.DUMMYFUNCTION("GOOGLETRANSLATE(B6867,""en"",""fr"")"),"Plusieurs personnes sont présentées en effectuant divers sports dans les images de clôture.")</f>
        <v>Plusieurs personnes sont présentées en effectuant divers sports dans les images de clôture.</v>
      </c>
    </row>
    <row r="6868">
      <c r="A6868" s="4" t="s">
        <v>8637</v>
      </c>
      <c r="B6868" s="4" t="s">
        <v>8638</v>
      </c>
      <c r="C6868" s="5" t="str">
        <f>IFERROR(__xludf.DUMMYFUNCTION("GOOGLETRANSLATE(B6868,""en"",""fr"")"),"Un homme est montré tenant une longue coupe.")</f>
        <v>Un homme est montré tenant une longue coupe.</v>
      </c>
    </row>
    <row r="6869">
      <c r="A6869" s="4" t="s">
        <v>8637</v>
      </c>
      <c r="B6869" s="4" t="s">
        <v>8639</v>
      </c>
      <c r="C6869" s="5" t="str">
        <f>IFERROR(__xludf.DUMMYFUNCTION("GOOGLETRANSLATE(B6869,""en"",""fr"")"),"Il utilise la coupe pour désherber les buissons.")</f>
        <v>Il utilise la coupe pour désherber les buissons.</v>
      </c>
    </row>
    <row r="6870">
      <c r="A6870" s="4" t="s">
        <v>8637</v>
      </c>
      <c r="B6870" s="4" t="s">
        <v>8640</v>
      </c>
      <c r="C6870" s="5" t="str">
        <f>IFERROR(__xludf.DUMMYFUNCTION("GOOGLETRANSLATE(B6870,""en"",""fr"")"),"Les feuilles tombent au sol en masse alors qu'il coupe.")</f>
        <v>Les feuilles tombent au sol en masse alors qu'il coupe.</v>
      </c>
    </row>
    <row r="6871">
      <c r="A6871" s="4" t="s">
        <v>8641</v>
      </c>
      <c r="B6871" s="4" t="s">
        <v>1487</v>
      </c>
      <c r="C6871" s="5" t="str">
        <f>IFERROR(__xludf.DUMMYFUNCTION("GOOGLETRANSLATE(B6871,""en"",""fr"")"),"Nous voyons un écran de titre d'ouverture.")</f>
        <v>Nous voyons un écran de titre d'ouverture.</v>
      </c>
    </row>
    <row r="6872">
      <c r="A6872" s="4" t="s">
        <v>8641</v>
      </c>
      <c r="B6872" s="4" t="s">
        <v>8642</v>
      </c>
      <c r="C6872" s="5" t="str">
        <f>IFERROR(__xludf.DUMMYFUNCTION("GOOGLETRANSLATE(B6872,""en"",""fr"")"),"Un homme et des garçons standard sont assis sur la neige et le poisson glaciaire.")</f>
        <v>Un homme et des garçons standard sont assis sur la neige et le poisson glaciaire.</v>
      </c>
    </row>
    <row r="6873">
      <c r="A6873" s="4" t="s">
        <v>8641</v>
      </c>
      <c r="B6873" s="6" t="s">
        <v>8643</v>
      </c>
      <c r="C6873" s="5" t="str">
        <f>IFERROR(__xludf.DUMMYFUNCTION("GOOGLETRANSLATE(B6873,""en"",""fr"")"),"Nous voyons un écran de tittle et un avion vole au-dessus du ciel et nous voyons les gens sur la glace et un camion au loin.")</f>
        <v>Nous voyons un écran de tittle et un avion vole au-dessus du ciel et nous voyons les gens sur la glace et un camion au loin.</v>
      </c>
    </row>
    <row r="6874">
      <c r="A6874" s="4" t="s">
        <v>8641</v>
      </c>
      <c r="B6874" s="4" t="s">
        <v>8644</v>
      </c>
      <c r="C6874" s="5" t="str">
        <f>IFERROR(__xludf.DUMMYFUNCTION("GOOGLETRANSLATE(B6874,""en"",""fr"")"),"Un enfant se dirige vers le camion où une dame cuit des hot-dogs dans le lit de camion plein de nourriture.")</f>
        <v>Un enfant se dirige vers le camion où une dame cuit des hot-dogs dans le lit de camion plein de nourriture.</v>
      </c>
    </row>
    <row r="6875">
      <c r="A6875" s="4" t="s">
        <v>8641</v>
      </c>
      <c r="B6875" s="4" t="s">
        <v>8645</v>
      </c>
      <c r="C6875" s="5" t="str">
        <f>IFERROR(__xludf.DUMMYFUNCTION("GOOGLETRANSLATE(B6875,""en"",""fr"")"),"Nous voyons un écran de titre et voyons des poissons congelés assis dans la neige.")</f>
        <v>Nous voyons un écran de titre et voyons des poissons congelés assis dans la neige.</v>
      </c>
    </row>
    <row r="6876">
      <c r="A6876" s="4" t="s">
        <v>8646</v>
      </c>
      <c r="B6876" s="4" t="s">
        <v>8647</v>
      </c>
      <c r="C6876" s="5" t="str">
        <f>IFERROR(__xludf.DUMMYFUNCTION("GOOGLETRANSLATE(B6876,""en"",""fr"")"),"Une procession de parade marche dans la rue dans un défilé.")</f>
        <v>Une procession de parade marche dans la rue dans un défilé.</v>
      </c>
    </row>
    <row r="6877">
      <c r="A6877" s="4" t="s">
        <v>8646</v>
      </c>
      <c r="B6877" s="4" t="s">
        <v>8648</v>
      </c>
      <c r="C6877" s="5" t="str">
        <f>IFERROR(__xludf.DUMMYFUNCTION("GOOGLETRANSLATE(B6877,""en"",""fr"")"),"Un groupe de membres en uniformes verts marche en agitant des drapeaux.")</f>
        <v>Un groupe de membres en uniformes verts marche en agitant des drapeaux.</v>
      </c>
    </row>
    <row r="6878">
      <c r="A6878" s="4" t="s">
        <v>8646</v>
      </c>
      <c r="B6878" s="4" t="s">
        <v>8649</v>
      </c>
      <c r="C6878" s="5" t="str">
        <f>IFERROR(__xludf.DUMMYFUNCTION("GOOGLETRANSLATE(B6878,""en"",""fr"")"),"Les membres de la procession marchent dans la rue en tenant de petits instruments en laiton de cor.")</f>
        <v>Les membres de la procession marchent dans la rue en tenant de petits instruments en laiton de cor.</v>
      </c>
    </row>
    <row r="6879">
      <c r="A6879" s="4" t="s">
        <v>8646</v>
      </c>
      <c r="B6879" s="4" t="s">
        <v>8650</v>
      </c>
      <c r="C6879" s="5" t="str">
        <f>IFERROR(__xludf.DUMMYFUNCTION("GOOGLETRANSLATE(B6879,""en"",""fr"")"),"Une ligne de batterie passe en marchant dans la rue en jouant leurs instruments.")</f>
        <v>Une ligne de batterie passe en marchant dans la rue en jouant leurs instruments.</v>
      </c>
    </row>
    <row r="6880">
      <c r="A6880" s="4" t="s">
        <v>8646</v>
      </c>
      <c r="B6880" s="4" t="s">
        <v>8651</v>
      </c>
      <c r="C6880" s="5" t="str">
        <f>IFERROR(__xludf.DUMMYFUNCTION("GOOGLETRANSLATE(B6880,""en"",""fr"")"),"Les membres de la procession marchent dans la rue en tenant de grands instruments à cornes évasées.")</f>
        <v>Les membres de la procession marchent dans la rue en tenant de grands instruments à cornes évasées.</v>
      </c>
    </row>
    <row r="6881">
      <c r="A6881" s="4" t="s">
        <v>8652</v>
      </c>
      <c r="B6881" s="6" t="s">
        <v>8653</v>
      </c>
      <c r="C6881" s="5" t="str">
        <f>IFERROR(__xludf.DUMMYFUNCTION("GOOGLETRANSLATE(B6881,""en"",""fr"")"),"La vidéo est de très mauvaise qualité et il montre un homme tenant la caméra et il est dans un parc avec d'autres personnes qui comprend un autre adulte et un petit enfant qui ressemble à une fille.")</f>
        <v>La vidéo est de très mauvaise qualité et il montre un homme tenant la caméra et il est dans un parc avec d'autres personnes qui comprend un autre adulte et un petit enfant qui ressemble à une fille.</v>
      </c>
    </row>
    <row r="6882">
      <c r="A6882" s="4" t="s">
        <v>8652</v>
      </c>
      <c r="B6882" s="4" t="s">
        <v>8654</v>
      </c>
      <c r="C6882" s="5" t="str">
        <f>IFERROR(__xludf.DUMMYFUNCTION("GOOGLETRANSLATE(B6882,""en"",""fr"")"),"L'homme monte sur l'équipement du parc avec la petite fille.")</f>
        <v>L'homme monte sur l'équipement du parc avec la petite fille.</v>
      </c>
    </row>
    <row r="6883">
      <c r="A6883" s="4" t="s">
        <v>8652</v>
      </c>
      <c r="B6883" s="6" t="s">
        <v>8655</v>
      </c>
      <c r="C6883" s="5" t="str">
        <f>IFERROR(__xludf.DUMMYFUNCTION("GOOGLETRANSLATE(B6883,""en"",""fr"")"),"L'enfant et l'homme apparaissent ensuite sur la diapositive et la petite fille descend la diapositive seule tout en souriant tout le temps et l'homme reste au sommet de la diapositive.")</f>
        <v>L'enfant et l'homme apparaissent ensuite sur la diapositive et la petite fille descend la diapositive seule tout en souriant tout le temps et l'homme reste au sommet de la diapositive.</v>
      </c>
    </row>
    <row r="6884">
      <c r="A6884" s="4" t="s">
        <v>8656</v>
      </c>
      <c r="B6884" s="6" t="s">
        <v>8657</v>
      </c>
      <c r="C6884" s="5" t="str">
        <f>IFERROR(__xludf.DUMMYFUNCTION("GOOGLETRANSLATE(B6884,""en"",""fr"")"),"Une femme et un jeune garçon sont montrés en souriant et en se lavant les mains dans l'évier lorsque la femme commence à se laver le visage.")</f>
        <v>Une femme et un jeune garçon sont montrés en souriant et en se lavant les mains dans l'évier lorsque la femme commence à se laver le visage.</v>
      </c>
    </row>
    <row r="6885">
      <c r="A6885" s="4" t="s">
        <v>8656</v>
      </c>
      <c r="B6885" s="6" t="s">
        <v>8658</v>
      </c>
      <c r="C6885" s="5" t="str">
        <f>IFERROR(__xludf.DUMMYFUNCTION("GOOGLETRANSLATE(B6885,""en"",""fr"")"),"Le garçon sourit avec la femme se lavant le visage et la femme sèche son visage avec une serviette en papier.")</f>
        <v>Le garçon sourit avec la femme se lavant le visage et la femme sèche son visage avec une serviette en papier.</v>
      </c>
    </row>
    <row r="6886">
      <c r="A6886" s="4" t="s">
        <v>8659</v>
      </c>
      <c r="B6886" s="6" t="s">
        <v>8660</v>
      </c>
      <c r="C6886" s="5" t="str">
        <f>IFERROR(__xludf.DUMMYFUNCTION("GOOGLETRANSLATE(B6886,""en"",""fr"")"),"Une vue est vue sur une table de billard, des balles trianglées et de nombreuses personnes tirant les balles dans les poches du coin lors d'une compétition.")</f>
        <v>Une vue est vue sur une table de billard, des balles trianglées et de nombreuses personnes tirant les balles dans les poches du coin lors d'une compétition.</v>
      </c>
    </row>
    <row r="6887">
      <c r="A6887" s="4" t="s">
        <v>8659</v>
      </c>
      <c r="B6887" s="4" t="s">
        <v>8661</v>
      </c>
      <c r="C6887" s="5" t="str">
        <f>IFERROR(__xludf.DUMMYFUNCTION("GOOGLETRANSLATE(B6887,""en"",""fr"")"),"Une femme se promène en tenant un tableau de bord pendant qu'ils jouent.")</f>
        <v>Une femme se promène en tenant un tableau de bord pendant qu'ils jouent.</v>
      </c>
    </row>
    <row r="6888">
      <c r="A6888" s="4" t="s">
        <v>8662</v>
      </c>
      <c r="B6888" s="4" t="s">
        <v>8663</v>
      </c>
      <c r="C6888" s="5" t="str">
        <f>IFERROR(__xludf.DUMMYFUNCTION("GOOGLETRANSLATE(B6888,""en"",""fr"")"),"Les gens conduisent des voitures tamponneuses sur un étage brun.")</f>
        <v>Les gens conduisent des voitures tamponneuses sur un étage brun.</v>
      </c>
    </row>
    <row r="6889">
      <c r="A6889" s="4" t="s">
        <v>8662</v>
      </c>
      <c r="B6889" s="4" t="s">
        <v>8664</v>
      </c>
      <c r="C6889" s="5" t="str">
        <f>IFERROR(__xludf.DUMMYFUNCTION("GOOGLETRANSLATE(B6889,""en"",""fr"")"),"Les tampants entrent en collision les uns avec les autres.")</f>
        <v>Les tampants entrent en collision les uns avec les autres.</v>
      </c>
    </row>
    <row r="6890">
      <c r="A6890" s="4" t="s">
        <v>8662</v>
      </c>
      <c r="B6890" s="4" t="s">
        <v>8665</v>
      </c>
      <c r="C6890" s="5" t="str">
        <f>IFERROR(__xludf.DUMMYFUNCTION("GOOGLETRANSLATE(B6890,""en"",""fr"")"),"Une fille rit à haute voix.")</f>
        <v>Une fille rit à haute voix.</v>
      </c>
    </row>
    <row r="6891">
      <c r="A6891" s="4" t="s">
        <v>8666</v>
      </c>
      <c r="B6891" s="4" t="s">
        <v>8667</v>
      </c>
      <c r="C6891" s="5" t="str">
        <f>IFERROR(__xludf.DUMMYFUNCTION("GOOGLETRANSLATE(B6891,""en"",""fr"")"),"Un tas de gens montent des chameaux.")</f>
        <v>Un tas de gens montent des chameaux.</v>
      </c>
    </row>
    <row r="6892">
      <c r="A6892" s="4" t="s">
        <v>8666</v>
      </c>
      <c r="B6892" s="4" t="s">
        <v>8668</v>
      </c>
      <c r="C6892" s="5" t="str">
        <f>IFERROR(__xludf.DUMMYFUNCTION("GOOGLETRANSLATE(B6892,""en"",""fr"")"),"Le chameau descend et s'agenouille.")</f>
        <v>Le chameau descend et s'agenouille.</v>
      </c>
    </row>
    <row r="6893">
      <c r="A6893" s="4" t="s">
        <v>8669</v>
      </c>
      <c r="B6893" s="4" t="s">
        <v>8670</v>
      </c>
      <c r="C6893" s="5" t="str">
        <f>IFERROR(__xludf.DUMMYFUNCTION("GOOGLETRANSLATE(B6893,""en"",""fr"")"),"Nous voyons une dame et une fille sur un radeau sur une colline enneigée.")</f>
        <v>Nous voyons une dame et une fille sur un radeau sur une colline enneigée.</v>
      </c>
    </row>
    <row r="6894">
      <c r="A6894" s="4" t="s">
        <v>8669</v>
      </c>
      <c r="B6894" s="4" t="s">
        <v>8671</v>
      </c>
      <c r="C6894" s="5" t="str">
        <f>IFERROR(__xludf.DUMMYFUNCTION("GOOGLETRANSLATE(B6894,""en"",""fr"")"),"La dame et un homme poussent les gens en bas de la colline.")</f>
        <v>La dame et un homme poussent les gens en bas de la colline.</v>
      </c>
    </row>
    <row r="6895">
      <c r="A6895" s="4" t="s">
        <v>8669</v>
      </c>
      <c r="B6895" s="4" t="s">
        <v>8672</v>
      </c>
      <c r="C6895" s="5" t="str">
        <f>IFERROR(__xludf.DUMMYFUNCTION("GOOGLETRANSLATE(B6895,""en"",""fr"")"),"Les gens glissent dans des radeaux en bas de la colline.")</f>
        <v>Les gens glissent dans des radeaux en bas de la colline.</v>
      </c>
    </row>
    <row r="6896">
      <c r="A6896" s="4" t="s">
        <v>8669</v>
      </c>
      <c r="B6896" s="4" t="s">
        <v>8673</v>
      </c>
      <c r="C6896" s="5" t="str">
        <f>IFERROR(__xludf.DUMMYFUNCTION("GOOGLETRANSLATE(B6896,""en"",""fr"")"),"La petite fille se tient et regarde derrière elle.")</f>
        <v>La petite fille se tient et regarde derrière elle.</v>
      </c>
    </row>
    <row r="6897">
      <c r="A6897" s="4" t="s">
        <v>8674</v>
      </c>
      <c r="B6897" s="6" t="s">
        <v>8675</v>
      </c>
      <c r="C6897" s="5" t="str">
        <f>IFERROR(__xludf.DUMMYFUNCTION("GOOGLETRANSLATE(B6897,""en"",""fr"")"),"Un groupe de personnes est assis et applaudit tandis que les hommes se tenaient debout vêtus de gi le long d'un mur en miroir passent par différents mouvements de karaté.")</f>
        <v>Un groupe de personnes est assis et applaudit tandis que les hommes se tenaient debout vêtus de gi le long d'un mur en miroir passent par différents mouvements de karaté.</v>
      </c>
    </row>
    <row r="6898">
      <c r="A6898" s="4" t="s">
        <v>8674</v>
      </c>
      <c r="B6898" s="6" t="s">
        <v>8676</v>
      </c>
      <c r="C6898" s="5" t="str">
        <f>IFERROR(__xludf.DUMMYFUNCTION("GOOGLETRANSLATE(B6898,""en"",""fr"")"),"Elvis Presley est maintenant vêtu de ses vêtements de concert, debout sur scène en faisant ses mouvements de karaté, puis il revient vers lui debout devant le mur en miroir et démontrant ses mouvements de karaté pendant qu'il porte son gi.")</f>
        <v>Elvis Presley est maintenant vêtu de ses vêtements de concert, debout sur scène en faisant ses mouvements de karaté, puis il revient vers lui debout devant le mur en miroir et démontrant ses mouvements de karaté pendant qu'il porte son gi.</v>
      </c>
    </row>
    <row r="6899">
      <c r="A6899" s="4" t="s">
        <v>8674</v>
      </c>
      <c r="B6899" s="6" t="s">
        <v>8677</v>
      </c>
      <c r="C6899" s="5" t="str">
        <f>IFERROR(__xludf.DUMMYFUNCTION("GOOGLETRANSLATE(B6899,""en"",""fr"")"),"Une fois de plus, Elvis Presley est de retour sur scène dans ses vêtements de concert, la vidéo se termine avec lui faisant ses mouvements de karaté sur scène.")</f>
        <v>Une fois de plus, Elvis Presley est de retour sur scène dans ses vêtements de concert, la vidéo se termine avec lui faisant ses mouvements de karaté sur scène.</v>
      </c>
    </row>
    <row r="6900">
      <c r="A6900" s="4" t="s">
        <v>8678</v>
      </c>
      <c r="B6900" s="6" t="s">
        <v>8679</v>
      </c>
      <c r="C6900" s="5" t="str">
        <f>IFERROR(__xludf.DUMMYFUNCTION("GOOGLETRANSLATE(B6900,""en"",""fr"")"),"Un athlète portant une chemise blanche et un short rouge court avec un javelot à la main dans un stade avec plusieurs spectateurs.")</f>
        <v>Un athlète portant une chemise blanche et un short rouge court avec un javelot à la main dans un stade avec plusieurs spectateurs.</v>
      </c>
    </row>
    <row r="6901">
      <c r="A6901" s="4" t="s">
        <v>8678</v>
      </c>
      <c r="B6901" s="4" t="s">
        <v>8680</v>
      </c>
      <c r="C6901" s="5" t="str">
        <f>IFERROR(__xludf.DUMMYFUNCTION("GOOGLETRANSLATE(B6901,""en"",""fr"")"),"Il y a une personne assise sur un banc blanc portant un uniforme bleu, attachant ses lacets.")</f>
        <v>Il y a une personne assise sur un banc blanc portant un uniforme bleu, attachant ses lacets.</v>
      </c>
    </row>
    <row r="6902">
      <c r="A6902" s="4" t="s">
        <v>8678</v>
      </c>
      <c r="B6902" s="4" t="s">
        <v>8681</v>
      </c>
      <c r="C6902" s="5" t="str">
        <f>IFERROR(__xludf.DUMMYFUNCTION("GOOGLETRANSLATE(B6902,""en"",""fr"")"),"Le lanceur de javelot coule et jette le javelot et tombe au sol.")</f>
        <v>Le lanceur de javelot coule et jette le javelot et tombe au sol.</v>
      </c>
    </row>
    <row r="6903">
      <c r="A6903" s="4" t="s">
        <v>8678</v>
      </c>
      <c r="B6903" s="4" t="s">
        <v>8682</v>
      </c>
      <c r="C6903" s="5" t="str">
        <f>IFERROR(__xludf.DUMMYFUNCTION("GOOGLETRANSLATE(B6903,""en"",""fr"")"),"Il se lève et lève les mains en haut de la victoire.")</f>
        <v>Il se lève et lève les mains en haut de la victoire.</v>
      </c>
    </row>
    <row r="6904">
      <c r="A6904" s="4" t="s">
        <v>8678</v>
      </c>
      <c r="B6904" s="4" t="s">
        <v>8683</v>
      </c>
      <c r="C6904" s="5" t="str">
        <f>IFERROR(__xludf.DUMMYFUNCTION("GOOGLETRANSLATE(B6904,""en"",""fr"")"),"Il revient en courant et jette le javelot et tombe au sol.")</f>
        <v>Il revient en courant et jette le javelot et tombe au sol.</v>
      </c>
    </row>
    <row r="6905">
      <c r="A6905" s="4" t="s">
        <v>8678</v>
      </c>
      <c r="B6905" s="4" t="s">
        <v>8684</v>
      </c>
      <c r="C6905" s="5" t="str">
        <f>IFERROR(__xludf.DUMMYFUNCTION("GOOGLETRANSLATE(B6905,""en"",""fr"")"),"La troisième fois, son action est répétée au ralenti.")</f>
        <v>La troisième fois, son action est répétée au ralenti.</v>
      </c>
    </row>
    <row r="6906">
      <c r="A6906" s="4" t="s">
        <v>8685</v>
      </c>
      <c r="B6906" s="4" t="s">
        <v>8686</v>
      </c>
      <c r="C6906" s="5" t="str">
        <f>IFERROR(__xludf.DUMMYFUNCTION("GOOGLETRANSLATE(B6906,""en"",""fr"")"),"La crosse pratique des joueurs dans un champ.")</f>
        <v>La crosse pratique des joueurs dans un champ.</v>
      </c>
    </row>
    <row r="6907">
      <c r="A6907" s="4" t="s">
        <v>8685</v>
      </c>
      <c r="B6907" s="4" t="s">
        <v>8687</v>
      </c>
      <c r="C6907" s="5" t="str">
        <f>IFERROR(__xludf.DUMMYFUNCTION("GOOGLETRANSLATE(B6907,""en"",""fr"")"),"Ensuite, les équipes jouent à la crosse et un score de joueur pour son équipe.")</f>
        <v>Ensuite, les équipes jouent à la crosse et un score de joueur pour son équipe.</v>
      </c>
    </row>
    <row r="6908">
      <c r="A6908" s="4" t="s">
        <v>8685</v>
      </c>
      <c r="B6908" s="4" t="s">
        <v>8688</v>
      </c>
      <c r="C6908" s="5" t="str">
        <f>IFERROR(__xludf.DUMMYFUNCTION("GOOGLETRANSLATE(B6908,""en"",""fr"")"),"Un entraîneur prend des notes, puis les joueurs entraînent la crosse.")</f>
        <v>Un entraîneur prend des notes, puis les joueurs entraînent la crosse.</v>
      </c>
    </row>
    <row r="6909">
      <c r="A6909" s="4" t="s">
        <v>8685</v>
      </c>
      <c r="B6909" s="4" t="s">
        <v>8689</v>
      </c>
      <c r="C6909" s="5" t="str">
        <f>IFERROR(__xludf.DUMMYFUNCTION("GOOGLETRANSLATE(B6909,""en"",""fr"")"),"Ensuite, deux équipes jouent à la crosse dans un terrain lançant l'appel avec un bâton.")</f>
        <v>Ensuite, deux équipes jouent à la crosse dans un terrain lançant l'appel avec un bâton.</v>
      </c>
    </row>
    <row r="6910">
      <c r="A6910" s="4" t="s">
        <v>8690</v>
      </c>
      <c r="B6910" s="4" t="s">
        <v>8691</v>
      </c>
      <c r="C6910" s="5" t="str">
        <f>IFERROR(__xludf.DUMMYFUNCTION("GOOGLETRANSLATE(B6910,""en"",""fr"")"),"Un homme marche dans sa cour et récupère un souffleur de feuille de poussée.")</f>
        <v>Un homme marche dans sa cour et récupère un souffleur de feuille de poussée.</v>
      </c>
    </row>
    <row r="6911">
      <c r="A6911" s="4" t="s">
        <v>8690</v>
      </c>
      <c r="B6911" s="4" t="s">
        <v>8692</v>
      </c>
      <c r="C6911" s="5" t="str">
        <f>IFERROR(__xludf.DUMMYFUNCTION("GOOGLETRANSLATE(B6911,""en"",""fr"")"),"L'homme marche le ventilateur autour de la cour et souffle les feuilles sur le côté.")</f>
        <v>L'homme marche le ventilateur autour de la cour et souffle les feuilles sur le côté.</v>
      </c>
    </row>
    <row r="6912">
      <c r="A6912" s="4" t="s">
        <v>8690</v>
      </c>
      <c r="B6912" s="6" t="s">
        <v>8693</v>
      </c>
      <c r="C6912" s="5" t="str">
        <f>IFERROR(__xludf.DUMMYFUNCTION("GOOGLETRANSLATE(B6912,""en"",""fr"")"),"L'homme finit et pousse le souffleur de feuilles à côté de la clôture avec les autres machines puis s'éloigne.")</f>
        <v>L'homme finit et pousse le souffleur de feuilles à côté de la clôture avec les autres machines puis s'éloigne.</v>
      </c>
    </row>
    <row r="6913">
      <c r="A6913" s="4" t="s">
        <v>8694</v>
      </c>
      <c r="B6913" s="4" t="s">
        <v>8695</v>
      </c>
      <c r="C6913" s="5" t="str">
        <f>IFERROR(__xludf.DUMMYFUNCTION("GOOGLETRANSLATE(B6913,""en"",""fr"")"),"La femme en rose pointe le but.")</f>
        <v>La femme en rose pointe le but.</v>
      </c>
    </row>
    <row r="6914">
      <c r="A6914" s="4" t="s">
        <v>8694</v>
      </c>
      <c r="B6914" s="4" t="s">
        <v>8696</v>
      </c>
      <c r="C6914" s="5" t="str">
        <f>IFERROR(__xludf.DUMMYFUNCTION("GOOGLETRANSLATE(B6914,""en"",""fr"")"),"Girl in Black Shoes et marque de but.")</f>
        <v>Girl in Black Shoes et marque de but.</v>
      </c>
    </row>
    <row r="6915">
      <c r="A6915" s="4" t="s">
        <v>8694</v>
      </c>
      <c r="B6915" s="4" t="s">
        <v>8697</v>
      </c>
      <c r="C6915" s="5" t="str">
        <f>IFERROR(__xludf.DUMMYFUNCTION("GOOGLETRANSLATE(B6915,""en"",""fr"")"),"Les coéquipiers félicitent la fille en noir pour le but.")</f>
        <v>Les coéquipiers félicitent la fille en noir pour le but.</v>
      </c>
    </row>
    <row r="6916">
      <c r="A6916" s="4" t="s">
        <v>8694</v>
      </c>
      <c r="B6916" s="4" t="s">
        <v>8698</v>
      </c>
      <c r="C6916" s="5" t="str">
        <f>IFERROR(__xludf.DUMMYFUNCTION("GOOGLETRANSLATE(B6916,""en"",""fr"")"),"Les joueurs entrent dans leurs positions.")</f>
        <v>Les joueurs entrent dans leurs positions.</v>
      </c>
    </row>
    <row r="6917">
      <c r="A6917" s="4" t="s">
        <v>8694</v>
      </c>
      <c r="B6917" s="4" t="s">
        <v>8699</v>
      </c>
      <c r="C6917" s="5" t="str">
        <f>IFERROR(__xludf.DUMMYFUNCTION("GOOGLETRANSLATE(B6917,""en"",""fr"")"),"Fille en noir court après le ballon.")</f>
        <v>Fille en noir court après le ballon.</v>
      </c>
    </row>
    <row r="6918">
      <c r="A6918" s="4" t="s">
        <v>8694</v>
      </c>
      <c r="B6918" s="4" t="s">
        <v>8700</v>
      </c>
      <c r="C6918" s="5" t="str">
        <f>IFERROR(__xludf.DUMMYFUNCTION("GOOGLETRANSLATE(B6918,""en"",""fr"")"),"Girl in Black frappe le ballon à son coéquipier.")</f>
        <v>Girl in Black frappe le ballon à son coéquipier.</v>
      </c>
    </row>
    <row r="6919">
      <c r="A6919" s="4" t="s">
        <v>8694</v>
      </c>
      <c r="B6919" s="4" t="s">
        <v>8701</v>
      </c>
      <c r="C6919" s="5" t="str">
        <f>IFERROR(__xludf.DUMMYFUNCTION("GOOGLETRANSLATE(B6919,""en"",""fr"")"),"Les filles courent après le ballon.")</f>
        <v>Les filles courent après le ballon.</v>
      </c>
    </row>
    <row r="6920">
      <c r="A6920" s="4" t="s">
        <v>8702</v>
      </c>
      <c r="B6920" s="4" t="s">
        <v>8703</v>
      </c>
      <c r="C6920" s="5" t="str">
        <f>IFERROR(__xludf.DUMMYFUNCTION("GOOGLETRANSLATE(B6920,""en"",""fr"")"),"Un homme est assis dans une pièce avec deux congas entre ses jambes.")</f>
        <v>Un homme est assis dans une pièce avec deux congas entre ses jambes.</v>
      </c>
    </row>
    <row r="6921">
      <c r="A6921" s="4" t="s">
        <v>8702</v>
      </c>
      <c r="B6921" s="6" t="s">
        <v>8704</v>
      </c>
      <c r="C6921" s="5" t="str">
        <f>IFERROR(__xludf.DUMMYFUNCTION("GOOGLETRANSLATE(B6921,""en"",""fr"")"),"L'un d'eux est légèrement plus petit que l'autre et il a tendance à jouer de celui-ci et seulement frappant le plus grand tous les deux battements.")</f>
        <v>L'un d'eux est légèrement plus petit que l'autre et il a tendance à jouer de celui-ci et seulement frappant le plus grand tous les deux battements.</v>
      </c>
    </row>
    <row r="6922">
      <c r="A6922" s="4" t="s">
        <v>8702</v>
      </c>
      <c r="B6922" s="6" t="s">
        <v>8705</v>
      </c>
      <c r="C6922" s="5" t="str">
        <f>IFERROR(__xludf.DUMMYFUNCTION("GOOGLETRANSLATE(B6922,""en"",""fr"")"),"Tout son visage apparaît dans le cadre et vous pouvez le voir se balancer la tête et se concentrer davantage sur son son.")</f>
        <v>Tout son visage apparaît dans le cadre et vous pouvez le voir se balancer la tête et se concentrer davantage sur son son.</v>
      </c>
    </row>
    <row r="6923">
      <c r="A6923" s="4" t="s">
        <v>8706</v>
      </c>
      <c r="B6923" s="6" t="s">
        <v>8707</v>
      </c>
      <c r="C6923" s="5" t="str">
        <f>IFERROR(__xludf.DUMMYFUNCTION("GOOGLETRANSLATE(B6923,""en"",""fr"")"),"Une intro mène à une femme tenant un chien et un frisbee, puis jetant la fribee pour que le chien puisse attraper.")</f>
        <v>Une intro mène à une femme tenant un chien et un frisbee, puis jetant la fribee pour que le chien puisse attraper.</v>
      </c>
    </row>
    <row r="6924">
      <c r="A6924" s="4" t="s">
        <v>8706</v>
      </c>
      <c r="B6924" s="6" t="s">
        <v>8708</v>
      </c>
      <c r="C6924" s="5" t="str">
        <f>IFERROR(__xludf.DUMMYFUNCTION("GOOGLETRANSLATE(B6924,""en"",""fr"")"),"Le chien le ramène et la fille lance l'objet plusieurs fois, avec le chien qui coule et revenant à chaque fois.")</f>
        <v>Le chien le ramène et la fille lance l'objet plusieurs fois, avec le chien qui coule et revenant à chaque fois.</v>
      </c>
    </row>
    <row r="6925">
      <c r="A6925" s="4" t="s">
        <v>8709</v>
      </c>
      <c r="B6925" s="4" t="s">
        <v>1251</v>
      </c>
      <c r="C6925" s="5" t="str">
        <f>IFERROR(__xludf.DUMMYFUNCTION("GOOGLETRANSLATE(B6925,""en"",""fr"")"),"Les crédits du clip sont affichés.")</f>
        <v>Les crédits du clip sont affichés.</v>
      </c>
    </row>
    <row r="6926">
      <c r="A6926" s="4" t="s">
        <v>8709</v>
      </c>
      <c r="B6926" s="4" t="s">
        <v>8710</v>
      </c>
      <c r="C6926" s="5" t="str">
        <f>IFERROR(__xludf.DUMMYFUNCTION("GOOGLETRANSLATE(B6926,""en"",""fr"")"),"La dame met le contenu d'une bouteille dans ses paumes, et la dame le frotte sur son visage.")</f>
        <v>La dame met le contenu d'une bouteille dans ses paumes, et la dame le frotte sur son visage.</v>
      </c>
    </row>
    <row r="6927">
      <c r="A6927" s="4" t="s">
        <v>8709</v>
      </c>
      <c r="B6927" s="4" t="s">
        <v>8711</v>
      </c>
      <c r="C6927" s="5" t="str">
        <f>IFERROR(__xludf.DUMMYFUNCTION("GOOGLETRANSLATE(B6927,""en"",""fr"")"),"La dame fait des grimaces.")</f>
        <v>La dame fait des grimaces.</v>
      </c>
    </row>
    <row r="6928">
      <c r="A6928" s="4" t="s">
        <v>8709</v>
      </c>
      <c r="B6928" s="4" t="s">
        <v>8712</v>
      </c>
      <c r="C6928" s="5" t="str">
        <f>IFERROR(__xludf.DUMMYFUNCTION("GOOGLETRANSLATE(B6928,""en"",""fr"")"),"La dame se lave le visage.")</f>
        <v>La dame se lave le visage.</v>
      </c>
    </row>
    <row r="6929">
      <c r="A6929" s="4" t="s">
        <v>8709</v>
      </c>
      <c r="B6929" s="4" t="s">
        <v>8713</v>
      </c>
      <c r="C6929" s="5" t="str">
        <f>IFERROR(__xludf.DUMMYFUNCTION("GOOGLETRANSLATE(B6929,""en"",""fr"")"),"La serviette de dame sèche son visage.")</f>
        <v>La serviette de dame sèche son visage.</v>
      </c>
    </row>
    <row r="6930">
      <c r="A6930" s="4" t="s">
        <v>8709</v>
      </c>
      <c r="B6930" s="4" t="s">
        <v>8714</v>
      </c>
      <c r="C6930" s="5" t="str">
        <f>IFERROR(__xludf.DUMMYFUNCTION("GOOGLETRANSLATE(B6930,""en"",""fr"")"),"La dame met des taches de lotion blanche sur son visage et la frotte.")</f>
        <v>La dame met des taches de lotion blanche sur son visage et la frotte.</v>
      </c>
    </row>
    <row r="6931">
      <c r="A6931" s="4" t="s">
        <v>8709</v>
      </c>
      <c r="B6931" s="4" t="s">
        <v>8715</v>
      </c>
      <c r="C6931" s="5" t="str">
        <f>IFERROR(__xludf.DUMMYFUNCTION("GOOGLETRANSLATE(B6931,""en"",""fr"")"),"La dame présente un petit produit de tube.")</f>
        <v>La dame présente un petit produit de tube.</v>
      </c>
    </row>
    <row r="6932">
      <c r="A6932" s="4" t="s">
        <v>8709</v>
      </c>
      <c r="B6932" s="4" t="s">
        <v>573</v>
      </c>
      <c r="C6932" s="5" t="str">
        <f>IFERROR(__xludf.DUMMYFUNCTION("GOOGLETRANSLATE(B6932,""en"",""fr"")"),"Les crédits de la vidéo sont affichés.")</f>
        <v>Les crédits de la vidéo sont affichés.</v>
      </c>
    </row>
    <row r="6933">
      <c r="A6933" s="4" t="s">
        <v>8716</v>
      </c>
      <c r="B6933" s="4" t="s">
        <v>8717</v>
      </c>
      <c r="C6933" s="5" t="str">
        <f>IFERROR(__xludf.DUMMYFUNCTION("GOOGLETRANSLATE(B6933,""en"",""fr"")"),"Un jeune tient une corde car il est en train d'embarquer à travers la rivière.")</f>
        <v>Un jeune tient une corde car il est en train d'embarquer à travers la rivière.</v>
      </c>
    </row>
    <row r="6934">
      <c r="A6934" s="4" t="s">
        <v>8716</v>
      </c>
      <c r="B6934" s="6" t="s">
        <v>8718</v>
      </c>
      <c r="C6934" s="5" t="str">
        <f>IFERROR(__xludf.DUMMYFUNCTION("GOOGLETRANSLATE(B6934,""en"",""fr"")"),"Le jeune fait alors un flip à 360 dans l'eau et continue et peu de temps après, il fait une autre astuce.")</f>
        <v>Le jeune fait alors un flip à 360 dans l'eau et continue et peu de temps après, il fait une autre astuce.</v>
      </c>
    </row>
    <row r="6935">
      <c r="A6935" s="4" t="s">
        <v>8716</v>
      </c>
      <c r="B6935" s="4" t="s">
        <v>8719</v>
      </c>
      <c r="C6935" s="5" t="str">
        <f>IFERROR(__xludf.DUMMYFUNCTION("GOOGLETRANSLATE(B6935,""en"",""fr"")"),"Ensuite, une autre personne est montrée et commence à faire des astuces plus rigoureuses dans l'eau.")</f>
        <v>Ensuite, une autre personne est montrée et commence à faire des astuces plus rigoureuses dans l'eau.</v>
      </c>
    </row>
    <row r="6936">
      <c r="A6936" s="4" t="s">
        <v>8716</v>
      </c>
      <c r="B6936" s="4" t="s">
        <v>8720</v>
      </c>
      <c r="C6936" s="5" t="str">
        <f>IFERROR(__xludf.DUMMYFUNCTION("GOOGLETRANSLATE(B6936,""en"",""fr"")"),"Ensuite, une série d'images est présentée par d'autres personnes qui font des trucs.")</f>
        <v>Ensuite, une série d'images est présentée par d'autres personnes qui font des trucs.</v>
      </c>
    </row>
    <row r="6937">
      <c r="A6937" s="4" t="s">
        <v>8716</v>
      </c>
      <c r="B6937" s="6" t="s">
        <v>8721</v>
      </c>
      <c r="C6937" s="5" t="str">
        <f>IFERROR(__xludf.DUMMYFUNCTION("GOOGLETRANSLATE(B6937,""en"",""fr"")"),"Ensuite, un snowboarder est montré, puis ils reviennent avec une image immobile de lui et de ses récompenses.")</f>
        <v>Ensuite, un snowboarder est montré, puis ils reviennent avec une image immobile de lui et de ses récompenses.</v>
      </c>
    </row>
    <row r="6938">
      <c r="A6938" s="4" t="s">
        <v>8722</v>
      </c>
      <c r="B6938" s="4" t="s">
        <v>8723</v>
      </c>
      <c r="C6938" s="5" t="str">
        <f>IFERROR(__xludf.DUMMYFUNCTION("GOOGLETRANSLATE(B6938,""en"",""fr"")"),"Trois femmes se tiennent dans un parc dans un champ en faisant du yoga.")</f>
        <v>Trois femmes se tiennent dans un parc dans un champ en faisant du yoga.</v>
      </c>
    </row>
    <row r="6939">
      <c r="A6939" s="4" t="s">
        <v>8722</v>
      </c>
      <c r="B6939" s="4" t="s">
        <v>8724</v>
      </c>
      <c r="C6939" s="5" t="str">
        <f>IFERROR(__xludf.DUMMYFUNCTION("GOOGLETRANSLATE(B6939,""en"",""fr"")"),"L'homme court dans le parc derrière les femmes.")</f>
        <v>L'homme court dans le parc derrière les femmes.</v>
      </c>
    </row>
    <row r="6940">
      <c r="A6940" s="4" t="s">
        <v>8722</v>
      </c>
      <c r="B6940" s="4" t="s">
        <v>8725</v>
      </c>
      <c r="C6940" s="5" t="str">
        <f>IFERROR(__xludf.DUMMYFUNCTION("GOOGLETRANSLATE(B6940,""en"",""fr"")"),"Un vieil homme marche rapidement dans le parc.")</f>
        <v>Un vieil homme marche rapidement dans le parc.</v>
      </c>
    </row>
    <row r="6941">
      <c r="A6941" s="4" t="s">
        <v>8726</v>
      </c>
      <c r="B6941" s="6" t="s">
        <v>8727</v>
      </c>
      <c r="C6941" s="5" t="str">
        <f>IFERROR(__xludf.DUMMYFUNCTION("GOOGLETRANSLATE(B6941,""en"",""fr"")"),"Un homme est vu tenir une paire de chaussures tout en parlant à la caméra et en les pulvérisant.")</f>
        <v>Un homme est vu tenir une paire de chaussures tout en parlant à la caméra et en les pulvérisant.</v>
      </c>
    </row>
    <row r="6942">
      <c r="A6942" s="4" t="s">
        <v>8726</v>
      </c>
      <c r="B6942" s="4" t="s">
        <v>8728</v>
      </c>
      <c r="C6942" s="5" t="str">
        <f>IFERROR(__xludf.DUMMYFUNCTION("GOOGLETRANSLATE(B6942,""en"",""fr"")"),"L'homme frotte les chaussures avec un chiffon tout en continuant à parler à la caméra.")</f>
        <v>L'homme frotte les chaussures avec un chiffon tout en continuant à parler à la caméra.</v>
      </c>
    </row>
    <row r="6943">
      <c r="A6943" s="4" t="s">
        <v>8726</v>
      </c>
      <c r="B6943" s="4" t="s">
        <v>8729</v>
      </c>
      <c r="C6943" s="5" t="str">
        <f>IFERROR(__xludf.DUMMYFUNCTION("GOOGLETRANSLATE(B6943,""en"",""fr"")"),"À la fin, il tient les chaussures tout en parlant et en donnant la caméra un coup de pouce.")</f>
        <v>À la fin, il tient les chaussures tout en parlant et en donnant la caméra un coup de pouce.</v>
      </c>
    </row>
    <row r="6944">
      <c r="A6944" s="4" t="s">
        <v>8730</v>
      </c>
      <c r="B6944" s="4" t="s">
        <v>8731</v>
      </c>
      <c r="C6944" s="5" t="str">
        <f>IFERROR(__xludf.DUMMYFUNCTION("GOOGLETRANSLATE(B6944,""en"",""fr"")"),"Quelques équipes sont sur le terrain ouvert.")</f>
        <v>Quelques équipes sont sur le terrain ouvert.</v>
      </c>
    </row>
    <row r="6945">
      <c r="A6945" s="4" t="s">
        <v>8730</v>
      </c>
      <c r="B6945" s="4" t="s">
        <v>8732</v>
      </c>
      <c r="C6945" s="5" t="str">
        <f>IFERROR(__xludf.DUMMYFUNCTION("GOOGLETRANSLATE(B6945,""en"",""fr"")"),"Ils jouent à la crosse ensemble.")</f>
        <v>Ils jouent à la crosse ensemble.</v>
      </c>
    </row>
    <row r="6946">
      <c r="A6946" s="4" t="s">
        <v>8730</v>
      </c>
      <c r="B6946" s="4" t="s">
        <v>8733</v>
      </c>
      <c r="C6946" s="5" t="str">
        <f>IFERROR(__xludf.DUMMYFUNCTION("GOOGLETRANSLATE(B6946,""en"",""fr"")"),"Ils courent, essayant de frapper le ballon.")</f>
        <v>Ils courent, essayant de frapper le ballon.</v>
      </c>
    </row>
    <row r="6947">
      <c r="A6947" s="4" t="s">
        <v>8734</v>
      </c>
      <c r="B6947" s="4" t="s">
        <v>8735</v>
      </c>
      <c r="C6947" s="5" t="str">
        <f>IFERROR(__xludf.DUMMYFUNCTION("GOOGLETRANSLATE(B6947,""en"",""fr"")"),"Un petit groupe d'enfants coule autour d'un champ intérieur qui donne un coup de pied à un ballon de football.")</f>
        <v>Un petit groupe d'enfants coule autour d'un champ intérieur qui donne un coup de pied à un ballon de football.</v>
      </c>
    </row>
    <row r="6948">
      <c r="A6948" s="4" t="s">
        <v>8734</v>
      </c>
      <c r="B6948" s="4" t="s">
        <v>8736</v>
      </c>
      <c r="C6948" s="5" t="str">
        <f>IFERROR(__xludf.DUMMYFUNCTION("GOOGLETRANSLATE(B6948,""en"",""fr"")"),"Les enfants se déplacent de haut en bas entre les poteaux tout en faisant des coups de pied au ballon.")</f>
        <v>Les enfants se déplacent de haut en bas entre les poteaux tout en faisant des coups de pied au ballon.</v>
      </c>
    </row>
    <row r="6949">
      <c r="A6949" s="4" t="s">
        <v>8734</v>
      </c>
      <c r="B6949" s="4" t="s">
        <v>8737</v>
      </c>
      <c r="C6949" s="5" t="str">
        <f>IFERROR(__xludf.DUMMYFUNCTION("GOOGLETRANSLATE(B6949,""en"",""fr"")"),"Les enfants sont ensuite montrés en train de donner des coups de pied dans un but les uns après les autres.")</f>
        <v>Les enfants sont ensuite montrés en train de donner des coups de pied dans un but les uns après les autres.</v>
      </c>
    </row>
    <row r="6950">
      <c r="A6950" s="4" t="s">
        <v>8738</v>
      </c>
      <c r="B6950" s="6" t="s">
        <v>8739</v>
      </c>
      <c r="C6950" s="5" t="str">
        <f>IFERROR(__xludf.DUMMYFUNCTION("GOOGLETRANSLATE(B6950,""en"",""fr"")"),"Une fille se tient à l'arrière d'une pièce qui a du ballon aérien en papier, et elle commence à danser en bougeant ses jambes d'avant en arrière et en bougeant légèrement ses bras.")</f>
        <v>Une fille se tient à l'arrière d'une pièce qui a du ballon aérien en papier, et elle commence à danser en bougeant ses jambes d'avant en arrière et en bougeant légèrement ses bras.</v>
      </c>
    </row>
    <row r="6951">
      <c r="A6951" s="4" t="s">
        <v>8738</v>
      </c>
      <c r="B6951" s="6" t="s">
        <v>8740</v>
      </c>
      <c r="C6951" s="5" t="str">
        <f>IFERROR(__xludf.DUMMYFUNCTION("GOOGLETRANSLATE(B6951,""en"",""fr"")"),"La fille le ramasse ensuite et commence à bouger plus de ses bras avec ses jambes et ses danses dans une petite zone dans la pièce tout en faisant face à la caméra.")</f>
        <v>La fille le ramasse ensuite et commence à bouger plus de ses bras avec ses jambes et ses danses dans une petite zone dans la pièce tout en faisant face à la caméra.</v>
      </c>
    </row>
    <row r="6952">
      <c r="A6952" s="4" t="s">
        <v>8738</v>
      </c>
      <c r="B6952" s="6" t="s">
        <v>8741</v>
      </c>
      <c r="C6952" s="5" t="str">
        <f>IFERROR(__xludf.DUMMYFUNCTION("GOOGLETRANSLATE(B6952,""en"",""fr"")"),"La fille se tourne ensuite vers son côté et nous la voyons danser de côté, elle se tourne pour faire face au dos un peu de cette façon, puis se retourne encore et encore jusqu'à ce que nous ayons vu sa danse dans toutes les directions.")</f>
        <v>La fille se tourne ensuite vers son côté et nous la voyons danser de côté, elle se tourne pour faire face au dos un peu de cette façon, puis se retourne encore et encore jusqu'à ce que nous ayons vu sa danse dans toutes les directions.</v>
      </c>
    </row>
    <row r="6953">
      <c r="A6953" s="4" t="s">
        <v>8742</v>
      </c>
      <c r="B6953" s="6" t="s">
        <v>8743</v>
      </c>
      <c r="C6953" s="5" t="str">
        <f>IFERROR(__xludf.DUMMYFUNCTION("GOOGLETRANSLATE(B6953,""en"",""fr"")"),"Quatre motards au début de la ligne portent différentes couleurs d'uniformes et de casques, ils sont sur le point de commencer la course.")</f>
        <v>Quatre motards au début de la ligne portent différentes couleurs d'uniformes et de casques, ils sont sur le point de commencer la course.</v>
      </c>
    </row>
    <row r="6954">
      <c r="A6954" s="4" t="s">
        <v>8742</v>
      </c>
      <c r="B6954" s="6" t="s">
        <v>8744</v>
      </c>
      <c r="C6954" s="5" t="str">
        <f>IFERROR(__xludf.DUMMYFUNCTION("GOOGLETRANSLATE(B6954,""en"",""fr"")"),"La course a commencé, le vélo à vélo et la course sur la piste de course où ils ont sauté et sauté et sont allés au trottoir, le seul joueur, quand il a atteint la ligne d'arrivée, il est tombé de son côté et s'est levé et s'est dirigé vers les gens.")</f>
        <v>La course a commencé, le vélo à vélo et la course sur la piste de course où ils ont sauté et sauté et sont allés au trottoir, le seul joueur, quand il a atteint la ligne d'arrivée, il est tombé de son côté et s'est levé et s'est dirigé vers les gens.</v>
      </c>
    </row>
    <row r="6955">
      <c r="A6955" s="4" t="s">
        <v>8745</v>
      </c>
      <c r="B6955" s="6" t="s">
        <v>8746</v>
      </c>
      <c r="C6955" s="5" t="str">
        <f>IFERROR(__xludf.DUMMYFUNCTION("GOOGLETRANSLATE(B6955,""en"",""fr"")"),"Une caméra se déroule autour d'une commode suivie de plusieurs objets et ingrédients montrés à la caméra.")</f>
        <v>Une caméra se déroule autour d'une commode suivie de plusieurs objets et ingrédients montrés à la caméra.</v>
      </c>
    </row>
    <row r="6956">
      <c r="A6956" s="4" t="s">
        <v>8745</v>
      </c>
      <c r="B6956" s="4" t="s">
        <v>8747</v>
      </c>
      <c r="C6956" s="5" t="str">
        <f>IFERROR(__xludf.DUMMYFUNCTION("GOOGLETRANSLATE(B6956,""en"",""fr"")"),"Une femme est ensuite vue en train de peindre la commode avec plusieurs manteaux et de le poncer.")</f>
        <v>Une femme est ensuite vue en train de peindre la commode avec plusieurs manteaux et de le poncer.</v>
      </c>
    </row>
    <row r="6957">
      <c r="A6957" s="4" t="s">
        <v>8745</v>
      </c>
      <c r="B6957" s="4" t="s">
        <v>8748</v>
      </c>
      <c r="C6957" s="5" t="str">
        <f>IFERROR(__xludf.DUMMYFUNCTION("GOOGLETRANSLATE(B6957,""en"",""fr"")"),"Elle place les morceaux ensemble et se termine en souriant à la caméra.")</f>
        <v>Elle place les morceaux ensemble et se termine en souriant à la caméra.</v>
      </c>
    </row>
    <row r="6958">
      <c r="A6958" s="4" t="s">
        <v>8749</v>
      </c>
      <c r="B6958" s="4" t="s">
        <v>8750</v>
      </c>
      <c r="C6958" s="5" t="str">
        <f>IFERROR(__xludf.DUMMYFUNCTION("GOOGLETRANSLATE(B6958,""en"",""fr"")"),"Le dessin animé des héros se battant avec un caractère diabolique.")</f>
        <v>Le dessin animé des héros se battant avec un caractère diabolique.</v>
      </c>
    </row>
    <row r="6959">
      <c r="A6959" s="4" t="s">
        <v>8749</v>
      </c>
      <c r="B6959" s="4" t="s">
        <v>8751</v>
      </c>
      <c r="C6959" s="5" t="str">
        <f>IFERROR(__xludf.DUMMYFUNCTION("GOOGLETRANSLATE(B6959,""en"",""fr"")"),"Les héros se battent puis s'assoient sur un journal.")</f>
        <v>Les héros se battent puis s'assoient sur un journal.</v>
      </c>
    </row>
    <row r="6960">
      <c r="A6960" s="4" t="s">
        <v>8752</v>
      </c>
      <c r="B6960" s="4" t="s">
        <v>8753</v>
      </c>
      <c r="C6960" s="5" t="str">
        <f>IFERROR(__xludf.DUMMYFUNCTION("GOOGLETRANSLATE(B6960,""en"",""fr"")"),"Un logo tournant avec un fond violet puis le texte est vu à l'écran.")</f>
        <v>Un logo tournant avec un fond violet puis le texte est vu à l'écran.</v>
      </c>
    </row>
    <row r="6961">
      <c r="A6961" s="4" t="s">
        <v>8752</v>
      </c>
      <c r="B6961" s="4" t="s">
        <v>8754</v>
      </c>
      <c r="C6961" s="5" t="str">
        <f>IFERROR(__xludf.DUMMYFUNCTION("GOOGLETRANSLATE(B6961,""en"",""fr"")"),"Une femme en robe bleue joue un tambour dans un studio.")</f>
        <v>Une femme en robe bleue joue un tambour dans un studio.</v>
      </c>
    </row>
    <row r="6962">
      <c r="A6962" s="4" t="s">
        <v>8755</v>
      </c>
      <c r="B6962" s="6" t="s">
        <v>8756</v>
      </c>
      <c r="C6962" s="5" t="str">
        <f>IFERROR(__xludf.DUMMYFUNCTION("GOOGLETRANSLATE(B6962,""en"",""fr"")"),"La vidéo s'ouvre avec l'hôte utilisant du ruban adhésif violet pour créer un motif, en appliquant lentement et en s'assurant qu'il est droit.")</f>
        <v>La vidéo s'ouvre avec l'hôte utilisant du ruban adhésif violet pour créer un motif, en appliquant lentement et en s'assurant qu'il est droit.</v>
      </c>
    </row>
    <row r="6963">
      <c r="A6963" s="4" t="s">
        <v>8755</v>
      </c>
      <c r="B6963" s="4" t="s">
        <v>8757</v>
      </c>
      <c r="C6963" s="5" t="str">
        <f>IFERROR(__xludf.DUMMYFUNCTION("GOOGLETRANSLATE(B6963,""en"",""fr"")"),"Ensuite, une couche mate est appliquée sur l'ongle et le ruban adhésif.")</f>
        <v>Ensuite, une couche mate est appliquée sur l'ongle et le ruban adhésif.</v>
      </c>
    </row>
    <row r="6964">
      <c r="A6964" s="4" t="s">
        <v>8755</v>
      </c>
      <c r="B6964" s="4" t="s">
        <v>8758</v>
      </c>
      <c r="C6964" s="5" t="str">
        <f>IFERROR(__xludf.DUMMYFUNCTION("GOOGLETRANSLATE(B6964,""en"",""fr"")"),"Le ruban est légèrement décollé de l'ongle et une couche de finition est appliquée à l'intersection des lignes.")</f>
        <v>Le ruban est légèrement décollé de l'ongle et une couche de finition est appliquée à l'intersection des lignes.</v>
      </c>
    </row>
    <row r="6965">
      <c r="A6965" s="4" t="s">
        <v>8755</v>
      </c>
      <c r="B6965" s="4" t="s">
        <v>8759</v>
      </c>
      <c r="C6965" s="5" t="str">
        <f>IFERROR(__xludf.DUMMYFUNCTION("GOOGLETRANSLATE(B6965,""en"",""fr"")"),"Ensuite, un micro perle est placé où les lignes se rencontrent.")</f>
        <v>Ensuite, un micro perle est placé où les lignes se rencontrent.</v>
      </c>
    </row>
    <row r="6966">
      <c r="A6966" s="4" t="s">
        <v>8755</v>
      </c>
      <c r="B6966" s="6" t="s">
        <v>8760</v>
      </c>
      <c r="C6966" s="5" t="str">
        <f>IFERROR(__xludf.DUMMYFUNCTION("GOOGLETRANSLATE(B6966,""en"",""fr"")"),"Le prochain projet d'ongles comprend un ongle et l'hôte peint blancs fait deux C noirs pour imiter le logo Chanel.")</f>
        <v>Le prochain projet d'ongles comprend un ongle et l'hôte peint blancs fait deux C noirs pour imiter le logo Chanel.</v>
      </c>
    </row>
    <row r="6967">
      <c r="A6967" s="4" t="s">
        <v>8755</v>
      </c>
      <c r="B6967" s="4" t="s">
        <v>8761</v>
      </c>
      <c r="C6967" s="5" t="str">
        <f>IFERROR(__xludf.DUMMYFUNCTION("GOOGLETRANSLATE(B6967,""en"",""fr"")"),"Peu à peu, le logo est fait plus audacieux avec plus d'application.")</f>
        <v>Peu à peu, le logo est fait plus audacieux avec plus d'application.</v>
      </c>
    </row>
    <row r="6968">
      <c r="A6968" s="4" t="s">
        <v>8755</v>
      </c>
      <c r="B6968" s="4" t="s">
        <v>8762</v>
      </c>
      <c r="C6968" s="5" t="str">
        <f>IFERROR(__xludf.DUMMYFUNCTION("GOOGLETRANSLATE(B6968,""en"",""fr"")"),"Enfin, une couche de finition mate est appliquée pour la terminer.")</f>
        <v>Enfin, une couche de finition mate est appliquée pour la terminer.</v>
      </c>
    </row>
    <row r="6969">
      <c r="A6969" s="4" t="s">
        <v>8763</v>
      </c>
      <c r="B6969" s="4" t="s">
        <v>8764</v>
      </c>
      <c r="C6969" s="5" t="str">
        <f>IFERROR(__xludf.DUMMYFUNCTION("GOOGLETRANSLATE(B6969,""en"",""fr"")"),"Une vadrouille se tient debout à côté d'un seau.")</f>
        <v>Une vadrouille se tient debout à côté d'un seau.</v>
      </c>
    </row>
    <row r="6970">
      <c r="A6970" s="4" t="s">
        <v>8763</v>
      </c>
      <c r="B6970" s="4" t="s">
        <v>8765</v>
      </c>
      <c r="C6970" s="5" t="str">
        <f>IFERROR(__xludf.DUMMYFUNCTION("GOOGLETRANSLATE(B6970,""en"",""fr"")"),"Une personne absorbe toute l'eau d'un bol à l'aide d'une vadrouille.")</f>
        <v>Une personne absorbe toute l'eau d'un bol à l'aide d'une vadrouille.</v>
      </c>
    </row>
    <row r="6971">
      <c r="A6971" s="4" t="s">
        <v>8763</v>
      </c>
      <c r="B6971" s="4" t="s">
        <v>8766</v>
      </c>
      <c r="C6971" s="5" t="str">
        <f>IFERROR(__xludf.DUMMYFUNCTION("GOOGLETRANSLATE(B6971,""en"",""fr"")"),"L'eau est versée dans un grand seau.")</f>
        <v>L'eau est versée dans un grand seau.</v>
      </c>
    </row>
    <row r="6972">
      <c r="A6972" s="4" t="s">
        <v>8763</v>
      </c>
      <c r="B6972" s="4" t="s">
        <v>8767</v>
      </c>
      <c r="C6972" s="5" t="str">
        <f>IFERROR(__xludf.DUMMYFUNCTION("GOOGLETRANSLATE(B6972,""en"",""fr"")"),"La vadrouille dans le seau d'eau a ensuite filé dans le plateau.")</f>
        <v>La vadrouille dans le seau d'eau a ensuite filé dans le plateau.</v>
      </c>
    </row>
    <row r="6973">
      <c r="A6973" s="4" t="s">
        <v>8763</v>
      </c>
      <c r="B6973" s="4" t="s">
        <v>8768</v>
      </c>
      <c r="C6973" s="5" t="str">
        <f>IFERROR(__xludf.DUMMYFUNCTION("GOOGLETRANSLATE(B6973,""en"",""fr"")"),"Une zone souillée d'un plancher de bois franc est nettoyée.")</f>
        <v>Une zone souillée d'un plancher de bois franc est nettoyée.</v>
      </c>
    </row>
    <row r="6974">
      <c r="A6974" s="4" t="s">
        <v>8763</v>
      </c>
      <c r="B6974" s="4" t="s">
        <v>8769</v>
      </c>
      <c r="C6974" s="5" t="str">
        <f>IFERROR(__xludf.DUMMYFUNCTION("GOOGLETRANSLATE(B6974,""en"",""fr"")"),"Une vadrouille est utilisée autour de divers meubles et appareils pour entrer dans les coins des pièces.")</f>
        <v>Une vadrouille est utilisée autour de divers meubles et appareils pour entrer dans les coins des pièces.</v>
      </c>
    </row>
    <row r="6975">
      <c r="A6975" s="4" t="s">
        <v>8770</v>
      </c>
      <c r="B6975" s="6" t="s">
        <v>8771</v>
      </c>
      <c r="C6975" s="5" t="str">
        <f>IFERROR(__xludf.DUMMYFUNCTION("GOOGLETRANSLATE(B6975,""en"",""fr"")"),"Un chef est vu parler à la caméra et l'emmente en tenant une planche suivie d'une coupe de pâte.")</f>
        <v>Un chef est vu parler à la caméra et l'emmente en tenant une planche suivie d'une coupe de pâte.</v>
      </c>
    </row>
    <row r="6976">
      <c r="A6976" s="4" t="s">
        <v>8770</v>
      </c>
      <c r="B6976" s="4" t="s">
        <v>8772</v>
      </c>
      <c r="C6976" s="5" t="str">
        <f>IFERROR(__xludf.DUMMYFUNCTION("GOOGLETRANSLATE(B6976,""en"",""fr"")"),"L'homme décolle les morceaux de pâte avec une machine et les pose à plat pour dérouler la pâte.")</f>
        <v>L'homme décolle les morceaux de pâte avec une machine et les pose à plat pour dérouler la pâte.</v>
      </c>
    </row>
    <row r="6977">
      <c r="A6977" s="4" t="s">
        <v>8770</v>
      </c>
      <c r="B6977" s="4" t="s">
        <v>8773</v>
      </c>
      <c r="C6977" s="5" t="str">
        <f>IFERROR(__xludf.DUMMYFUNCTION("GOOGLETRANSLATE(B6977,""en"",""fr"")"),"L'homme déroule ensuite la pâte aplatie et montre ses pâtes finies.")</f>
        <v>L'homme déroule ensuite la pâte aplatie et montre ses pâtes finies.</v>
      </c>
    </row>
    <row r="6978">
      <c r="A6978" s="4" t="s">
        <v>8774</v>
      </c>
      <c r="B6978" s="4" t="s">
        <v>8775</v>
      </c>
      <c r="C6978" s="5" t="str">
        <f>IFERROR(__xludf.DUMMYFUNCTION("GOOGLETRANSLATE(B6978,""en"",""fr"")"),"Cette vidéo montre des gens qui participent au championnat mondial de piscine artistique.")</f>
        <v>Cette vidéo montre des gens qui participent au championnat mondial de piscine artistique.</v>
      </c>
    </row>
    <row r="6979">
      <c r="A6979" s="4" t="s">
        <v>8774</v>
      </c>
      <c r="B6979" s="6" t="s">
        <v>8776</v>
      </c>
      <c r="C6979" s="5" t="str">
        <f>IFERROR(__xludf.DUMMYFUNCTION("GOOGLETRANSLATE(B6979,""en"",""fr"")"),"Une musique lisse, mais plein de suspense joue dans toute la vidéo alors que les gens tirent sur eux-mêmes des balles de piscine dans les trous.")</f>
        <v>Une musique lisse, mais plein de suspense joue dans toute la vidéo alors que les gens tirent sur eux-mêmes des balles de piscine dans les trous.</v>
      </c>
    </row>
    <row r="6980">
      <c r="A6980" s="4" t="s">
        <v>8774</v>
      </c>
      <c r="B6980" s="6" t="s">
        <v>8777</v>
      </c>
      <c r="C6980" s="5" t="str">
        <f>IFERROR(__xludf.DUMMYFUNCTION("GOOGLETRANSLATE(B6980,""en"",""fr"")"),"Tout le monde ne participe pas, certaines personnes regardent et d'autres se promènent pour d'autres raisons.")</f>
        <v>Tout le monde ne participe pas, certaines personnes regardent et d'autres se promènent pour d'autres raisons.</v>
      </c>
    </row>
    <row r="6981">
      <c r="A6981" s="4" t="s">
        <v>8778</v>
      </c>
      <c r="B6981" s="4" t="s">
        <v>8779</v>
      </c>
      <c r="C6981" s="5" t="str">
        <f>IFERROR(__xludf.DUMMYFUNCTION("GOOGLETRANSLATE(B6981,""en"",""fr"")"),"Une femme est assise dans une chaise à tricoter.")</f>
        <v>Une femme est assise dans une chaise à tricoter.</v>
      </c>
    </row>
    <row r="6982">
      <c r="A6982" s="4" t="s">
        <v>8778</v>
      </c>
      <c r="B6982" s="4" t="s">
        <v>8780</v>
      </c>
      <c r="C6982" s="5" t="str">
        <f>IFERROR(__xludf.DUMMYFUNCTION("GOOGLETRANSLATE(B6982,""en"",""fr"")"),"Elle lève les yeux et parle à quelqu'un.")</f>
        <v>Elle lève les yeux et parle à quelqu'un.</v>
      </c>
    </row>
    <row r="6983">
      <c r="A6983" s="4" t="s">
        <v>8778</v>
      </c>
      <c r="B6983" s="4" t="s">
        <v>8781</v>
      </c>
      <c r="C6983" s="5" t="str">
        <f>IFERROR(__xludf.DUMMYFUNCTION("GOOGLETRANSLATE(B6983,""en"",""fr"")"),"Elle continue de tricoter dans ses mains.")</f>
        <v>Elle continue de tricoter dans ses mains.</v>
      </c>
    </row>
    <row r="6984">
      <c r="A6984" s="4" t="s">
        <v>8782</v>
      </c>
      <c r="B6984" s="4" t="s">
        <v>3561</v>
      </c>
      <c r="C6984" s="5" t="str">
        <f>IFERROR(__xludf.DUMMYFUNCTION("GOOGLETRANSLATE(B6984,""en"",""fr"")"),"Les crédits d'un clip sont affichés.")</f>
        <v>Les crédits d'un clip sont affichés.</v>
      </c>
    </row>
    <row r="6985">
      <c r="A6985" s="4" t="s">
        <v>8782</v>
      </c>
      <c r="B6985" s="4" t="s">
        <v>8783</v>
      </c>
      <c r="C6985" s="5" t="str">
        <f>IFERROR(__xludf.DUMMYFUNCTION("GOOGLETRANSLATE(B6985,""en"",""fr"")"),"Une personne cache et glisse sur une plate-forme.")</f>
        <v>Une personne cache et glisse sur une plate-forme.</v>
      </c>
    </row>
    <row r="6986">
      <c r="A6986" s="4" t="s">
        <v>8782</v>
      </c>
      <c r="B6986" s="4" t="s">
        <v>8784</v>
      </c>
      <c r="C6986" s="5" t="str">
        <f>IFERROR(__xludf.DUMMYFUNCTION("GOOGLETRANSLATE(B6986,""en"",""fr"")"),"Une personne tombe sur la glace.")</f>
        <v>Une personne tombe sur la glace.</v>
      </c>
    </row>
    <row r="6987">
      <c r="A6987" s="4" t="s">
        <v>8782</v>
      </c>
      <c r="B6987" s="4" t="s">
        <v>8785</v>
      </c>
      <c r="C6987" s="5" t="str">
        <f>IFERROR(__xludf.DUMMYFUNCTION("GOOGLETRANSLATE(B6987,""en"",""fr"")"),"Une personne cache et fait des retournements.")</f>
        <v>Une personne cache et fait des retournements.</v>
      </c>
    </row>
    <row r="6988">
      <c r="A6988" s="4" t="s">
        <v>8782</v>
      </c>
      <c r="B6988" s="4" t="s">
        <v>8786</v>
      </c>
      <c r="C6988" s="5" t="str">
        <f>IFERROR(__xludf.DUMMYFUNCTION("GOOGLETRANSLATE(B6988,""en"",""fr"")"),"Une personne met sa main gantée sur la caméra.")</f>
        <v>Une personne met sa main gantée sur la caméra.</v>
      </c>
    </row>
    <row r="6989">
      <c r="A6989" s="4" t="s">
        <v>8782</v>
      </c>
      <c r="B6989" s="4" t="s">
        <v>573</v>
      </c>
      <c r="C6989" s="5" t="str">
        <f>IFERROR(__xludf.DUMMYFUNCTION("GOOGLETRANSLATE(B6989,""en"",""fr"")"),"Les crédits de la vidéo sont affichés.")</f>
        <v>Les crédits de la vidéo sont affichés.</v>
      </c>
    </row>
    <row r="6990">
      <c r="A6990" s="4" t="s">
        <v>8787</v>
      </c>
      <c r="B6990" s="6" t="s">
        <v>8788</v>
      </c>
      <c r="C6990" s="5" t="str">
        <f>IFERROR(__xludf.DUMMYFUNCTION("GOOGLETRANSLATE(B6990,""en"",""fr"")"),"Un comédien est vu parler à la caméra et mène à un taureau qui coule dans une fosse et divers clips d'hommes combattant des taureaux.")</f>
        <v>Un comédien est vu parler à la caméra et mène à un taureau qui coule dans une fosse et divers clips d'hommes combattant des taureaux.</v>
      </c>
    </row>
    <row r="6991">
      <c r="A6991" s="4" t="s">
        <v>8787</v>
      </c>
      <c r="B6991" s="4" t="s">
        <v>8789</v>
      </c>
      <c r="C6991" s="5" t="str">
        <f>IFERROR(__xludf.DUMMYFUNCTION("GOOGLETRANSLATE(B6991,""en"",""fr"")"),"Un gros plan des combats de taureaux est montré et se reproduise au comédien en parlant à la caméra.")</f>
        <v>Un gros plan des combats de taureaux est montré et se reproduise au comédien en parlant à la caméra.</v>
      </c>
    </row>
    <row r="6992">
      <c r="A6992" s="4" t="s">
        <v>8790</v>
      </c>
      <c r="B6992" s="6" t="s">
        <v>8791</v>
      </c>
      <c r="C6992" s="5" t="str">
        <f>IFERROR(__xludf.DUMMYFUNCTION("GOOGLETRANSLATE(B6992,""en"",""fr"")"),"Deux personnes sont vues debout au fond d'une colline enneigée se parlant les unes aux autres lorsqu'une personne descendait sur un tube.")</f>
        <v>Deux personnes sont vues debout au fond d'une colline enneigée se parlant les unes aux autres lorsqu'une personne descendait sur un tube.</v>
      </c>
    </row>
    <row r="6993">
      <c r="A6993" s="4" t="s">
        <v>8790</v>
      </c>
      <c r="B6993" s="6" t="s">
        <v>8792</v>
      </c>
      <c r="C6993" s="5" t="str">
        <f>IFERROR(__xludf.DUMMYFUNCTION("GOOGLETRANSLATE(B6993,""en"",""fr"")"),"Plus de gens sont vus voler sur la montagne avec un s'écraser dans une autre et la personne qui sort pour faire glisser les tubes.")</f>
        <v>Plus de gens sont vus voler sur la montagne avec un s'écraser dans une autre et la personne qui sort pour faire glisser les tubes.</v>
      </c>
    </row>
    <row r="6994">
      <c r="A6994" s="4" t="s">
        <v>8793</v>
      </c>
      <c r="B6994" s="4" t="s">
        <v>8794</v>
      </c>
      <c r="C6994" s="5" t="str">
        <f>IFERROR(__xludf.DUMMYFUNCTION("GOOGLETRANSLATE(B6994,""en"",""fr"")"),"Une femme parle à l'intérieur d'un bureau à la caméra tout en affichant la langue des signes.")</f>
        <v>Une femme parle à l'intérieur d'un bureau à la caméra tout en affichant la langue des signes.</v>
      </c>
    </row>
    <row r="6995">
      <c r="A6995" s="4" t="s">
        <v>8793</v>
      </c>
      <c r="B6995" s="4" t="s">
        <v>8795</v>
      </c>
      <c r="C6995" s="5" t="str">
        <f>IFERROR(__xludf.DUMMYFUNCTION("GOOGLETRANSLATE(B6995,""en"",""fr"")"),"Deux mains apparaissent, démontrant plusieurs signes indiquant le jeu Rock, Paper, Scissors.")</f>
        <v>Deux mains apparaissent, démontrant plusieurs signes indiquant le jeu Rock, Paper, Scissors.</v>
      </c>
    </row>
    <row r="6996">
      <c r="A6996" s="4" t="s">
        <v>8793</v>
      </c>
      <c r="B6996" s="6" t="s">
        <v>8796</v>
      </c>
      <c r="C6996" s="5" t="str">
        <f>IFERROR(__xludf.DUMMYFUNCTION("GOOGLETRANSLATE(B6996,""en"",""fr"")"),"La femme continue de parler du jeu, puis il montre plusieurs clips de diverses personnes utilisant le jeu pour gagner ou prendre des décisions.")</f>
        <v>La femme continue de parler du jeu, puis il montre plusieurs clips de diverses personnes utilisant le jeu pour gagner ou prendre des décisions.</v>
      </c>
    </row>
    <row r="6997">
      <c r="A6997" s="4" t="s">
        <v>8793</v>
      </c>
      <c r="B6997" s="6" t="s">
        <v>8797</v>
      </c>
      <c r="C6997" s="5" t="str">
        <f>IFERROR(__xludf.DUMMYFUNCTION("GOOGLETRANSLATE(B6997,""en"",""fr"")"),"Cela coupe un article concernant les astuces pour gagner le match avant de conclure avec la femme parlant la dernière fois.")</f>
        <v>Cela coupe un article concernant les astuces pour gagner le match avant de conclure avec la femme parlant la dernière fois.</v>
      </c>
    </row>
    <row r="6998">
      <c r="A6998" s="4" t="s">
        <v>8798</v>
      </c>
      <c r="B6998" s="6" t="s">
        <v>8799</v>
      </c>
      <c r="C6998" s="5" t="str">
        <f>IFERROR(__xludf.DUMMYFUNCTION("GOOGLETRANSLATE(B6998,""en"",""fr"")"),"Une image montre un sac de M&amp;M et un sac de malters en suspension dans les airs, semblant verser sur un gâteau.")</f>
        <v>Une image montre un sac de M&amp;M et un sac de malters en suspension dans les airs, semblant verser sur un gâteau.</v>
      </c>
    </row>
    <row r="6999">
      <c r="A6999" s="4" t="s">
        <v>8798</v>
      </c>
      <c r="B6999" s="4" t="s">
        <v>8800</v>
      </c>
      <c r="C6999" s="5" t="str">
        <f>IFERROR(__xludf.DUMMYFUNCTION("GOOGLETRANSLATE(B6999,""en"",""fr"")"),"Une femme cuit un gâteau rond, le givrant et l'entourant de barres de chocolat.")</f>
        <v>Une femme cuit un gâteau rond, le givrant et l'entourant de barres de chocolat.</v>
      </c>
    </row>
    <row r="7000">
      <c r="A7000" s="4" t="s">
        <v>8798</v>
      </c>
      <c r="B7000" s="4" t="s">
        <v>8801</v>
      </c>
      <c r="C7000" s="5" t="str">
        <f>IFERROR(__xludf.DUMMYFUNCTION("GOOGLETRANSLATE(B7000,""en"",""fr"")"),"Elle verse ensuite des malters et des m &amp; ms dans des bols.")</f>
        <v>Elle verse ensuite des malters et des m &amp; ms dans des bols.</v>
      </c>
    </row>
    <row r="7001">
      <c r="A7001" s="4" t="s">
        <v>8798</v>
      </c>
      <c r="B7001" s="6" t="s">
        <v>8802</v>
      </c>
      <c r="C7001" s="5" t="str">
        <f>IFERROR(__xludf.DUMMYFUNCTION("GOOGLETRANSLATE(B7001,""en"",""fr"")"),"Elle prépare les sacs, les faisant paraître soignés avant de saupoudrer les bonbons sur le haut du gâteau, le couvrant complètement.")</f>
        <v>Elle prépare les sacs, les faisant paraître soignés avant de saupoudrer les bonbons sur le haut du gâteau, le couvrant complètement.</v>
      </c>
    </row>
    <row r="7002">
      <c r="A7002" s="4" t="s">
        <v>8798</v>
      </c>
      <c r="B7002" s="6" t="s">
        <v>8803</v>
      </c>
      <c r="C7002" s="5" t="str">
        <f>IFERROR(__xludf.DUMMYFUNCTION("GOOGLETRANSLATE(B7002,""en"",""fr"")"),"Elle place ensuite des bâtons dans le gâteau et lance le glaçage sur les côtés des fouettes avant d'adhérer les bougies aux bâtons.")</f>
        <v>Elle place ensuite des bâtons dans le gâteau et lance le glaçage sur les côtés des fouettes avant d'adhérer les bougies aux bâtons.</v>
      </c>
    </row>
    <row r="7003">
      <c r="A7003" s="4" t="s">
        <v>8798</v>
      </c>
      <c r="B7003" s="4" t="s">
        <v>8804</v>
      </c>
      <c r="C7003" s="5" t="str">
        <f>IFERROR(__xludf.DUMMYFUNCTION("GOOGLETRANSLATE(B7003,""en"",""fr"")"),"Elle équilibre ensuite les sacs au sommet des bâtons.")</f>
        <v>Elle équilibre ensuite les sacs au sommet des bâtons.</v>
      </c>
    </row>
    <row r="7004">
      <c r="A7004" s="4" t="s">
        <v>8805</v>
      </c>
      <c r="B7004" s="4" t="s">
        <v>8806</v>
      </c>
      <c r="C7004" s="5" t="str">
        <f>IFERROR(__xludf.DUMMYFUNCTION("GOOGLETRANSLATE(B7004,""en"",""fr"")"),"Plusieurs personnes se préparent à jouer au volleyball sur la plage.")</f>
        <v>Plusieurs personnes se préparent à jouer au volleyball sur la plage.</v>
      </c>
    </row>
    <row r="7005">
      <c r="A7005" s="4" t="s">
        <v>8805</v>
      </c>
      <c r="B7005" s="6" t="s">
        <v>8807</v>
      </c>
      <c r="C7005" s="5" t="str">
        <f>IFERROR(__xludf.DUMMYFUNCTION("GOOGLETRANSLATE(B7005,""en"",""fr"")"),"La caméra zoome et les gens commencent à jouer au jeu, jetant le ballon dans les deux sens.")</f>
        <v>La caméra zoome et les gens commencent à jouer au jeu, jetant le ballon dans les deux sens.</v>
      </c>
    </row>
    <row r="7006">
      <c r="A7006" s="4" t="s">
        <v>8808</v>
      </c>
      <c r="B7006" s="4" t="s">
        <v>8809</v>
      </c>
      <c r="C7006" s="5" t="str">
        <f>IFERROR(__xludf.DUMMYFUNCTION("GOOGLETRANSLATE(B7006,""en"",""fr"")"),"Un homme est vu debout devant une haie titulaire d'un outil.")</f>
        <v>Un homme est vu debout devant une haie titulaire d'un outil.</v>
      </c>
    </row>
    <row r="7007">
      <c r="A7007" s="4" t="s">
        <v>8808</v>
      </c>
      <c r="B7007" s="4" t="s">
        <v>8810</v>
      </c>
      <c r="C7007" s="5" t="str">
        <f>IFERROR(__xludf.DUMMYFUNCTION("GOOGLETRANSLATE(B7007,""en"",""fr"")"),"L'homme utilise l'outil tout au long de la haie tout en coupant le haut.")</f>
        <v>L'homme utilise l'outil tout au long de la haie tout en coupant le haut.</v>
      </c>
    </row>
    <row r="7008">
      <c r="A7008" s="4" t="s">
        <v>8808</v>
      </c>
      <c r="B7008" s="4" t="s">
        <v>8811</v>
      </c>
      <c r="C7008" s="5" t="str">
        <f>IFERROR(__xludf.DUMMYFUNCTION("GOOGLETRANSLATE(B7008,""en"",""fr"")"),"Il continue de pousser l'outil sur la haie en s'éloignant de la caméra.")</f>
        <v>Il continue de pousser l'outil sur la haie en s'éloignant de la caméra.</v>
      </c>
    </row>
    <row r="7009">
      <c r="A7009" s="4" t="s">
        <v>8812</v>
      </c>
      <c r="B7009" s="4" t="s">
        <v>8813</v>
      </c>
      <c r="C7009" s="5" t="str">
        <f>IFERROR(__xludf.DUMMYFUNCTION("GOOGLETRANSLATE(B7009,""en"",""fr"")"),"Un grand groupe de personnes est vue monter dans des tampants et se cogner.")</f>
        <v>Un grand groupe de personnes est vue monter dans des tampants et se cogner.</v>
      </c>
    </row>
    <row r="7010">
      <c r="A7010" s="4" t="s">
        <v>8812</v>
      </c>
      <c r="B7010" s="4" t="s">
        <v>8814</v>
      </c>
      <c r="C7010" s="5" t="str">
        <f>IFERROR(__xludf.DUMMYFUNCTION("GOOGLETRANSLATE(B7010,""en"",""fr"")"),"Les gens continuent de s'écraser les uns les autres tout en riant et en commençant à sortir de la voiture.")</f>
        <v>Les gens continuent de s'écraser les uns les autres tout en riant et en commençant à sortir de la voiture.</v>
      </c>
    </row>
    <row r="7011">
      <c r="A7011" s="4" t="s">
        <v>8815</v>
      </c>
      <c r="B7011" s="4" t="s">
        <v>8816</v>
      </c>
      <c r="C7011" s="5" t="str">
        <f>IFERROR(__xludf.DUMMYFUNCTION("GOOGLETRANSLATE(B7011,""en"",""fr"")"),"Deux hommes se luttent sur un anneau.")</f>
        <v>Deux hommes se luttent sur un anneau.</v>
      </c>
    </row>
    <row r="7012">
      <c r="A7012" s="4" t="s">
        <v>8815</v>
      </c>
      <c r="B7012" s="4" t="s">
        <v>8817</v>
      </c>
      <c r="C7012" s="5" t="str">
        <f>IFERROR(__xludf.DUMMYFUNCTION("GOOGLETRANSLATE(B7012,""en"",""fr"")"),"Un homme en robe se tient derrière eux.")</f>
        <v>Un homme en robe se tient derrière eux.</v>
      </c>
    </row>
    <row r="7013">
      <c r="A7013" s="4" t="s">
        <v>8815</v>
      </c>
      <c r="B7013" s="4" t="s">
        <v>8818</v>
      </c>
      <c r="C7013" s="5" t="str">
        <f>IFERROR(__xludf.DUMMYFUNCTION("GOOGLETRANSLATE(B7013,""en"",""fr"")"),"Un homme trébuche et tombe dans le public.")</f>
        <v>Un homme trébuche et tombe dans le public.</v>
      </c>
    </row>
    <row r="7014">
      <c r="A7014" s="4" t="s">
        <v>8819</v>
      </c>
      <c r="B7014" s="4" t="s">
        <v>8820</v>
      </c>
      <c r="C7014" s="5" t="str">
        <f>IFERROR(__xludf.DUMMYFUNCTION("GOOGLETRANSLATE(B7014,""en"",""fr"")"),"Un groupe d'hommes joue au croquet sur un grand terrain couvert d'herbe lors d'un événement social en plein air.")</f>
        <v>Un groupe d'hommes joue au croquet sur un grand terrain couvert d'herbe lors d'un événement social en plein air.</v>
      </c>
    </row>
    <row r="7015">
      <c r="A7015" s="4" t="s">
        <v>8819</v>
      </c>
      <c r="B7015" s="6" t="s">
        <v>8821</v>
      </c>
      <c r="C7015" s="5" t="str">
        <f>IFERROR(__xludf.DUMMYFUNCTION("GOOGLETRANSLATE(B7015,""en"",""fr"")"),"Les hommes commencent à jouer au croquet avec un homme faisant une référence sexuelle avec le bâton de croquet alors que les gens passent sur l'herbe.")</f>
        <v>Les hommes commencent à jouer au croquet avec un homme faisant une référence sexuelle avec le bâton de croquet alors que les gens passent sur l'herbe.</v>
      </c>
    </row>
    <row r="7016">
      <c r="A7016" s="4" t="s">
        <v>8819</v>
      </c>
      <c r="B7016" s="6" t="s">
        <v>8822</v>
      </c>
      <c r="C7016" s="5" t="str">
        <f>IFERROR(__xludf.DUMMYFUNCTION("GOOGLETRANSLATE(B7016,""en"",""fr"")"),"Le groupe d'hommes est accompagné de spectateurs alors qu'ils continuent de manœuvrer le bal de croquet avec leurs maillets.")</f>
        <v>Le groupe d'hommes est accompagné de spectateurs alors qu'ils continuent de manœuvrer le bal de croquet avec leurs maillets.</v>
      </c>
    </row>
    <row r="7017">
      <c r="A7017" s="4" t="s">
        <v>8819</v>
      </c>
      <c r="B7017" s="6" t="s">
        <v>8823</v>
      </c>
      <c r="C7017" s="5" t="str">
        <f>IFERROR(__xludf.DUMMYFUNCTION("GOOGLETRANSLATE(B7017,""en"",""fr"")"),"Un objectif de croquet est atteint sur l'herbe par un joueur de chaussures brunes et un pantalon bleu dans le clip final.")</f>
        <v>Un objectif de croquet est atteint sur l'herbe par un joueur de chaussures brunes et un pantalon bleu dans le clip final.</v>
      </c>
    </row>
    <row r="7018">
      <c r="A7018" s="4" t="s">
        <v>8824</v>
      </c>
      <c r="B7018" s="4" t="s">
        <v>8825</v>
      </c>
      <c r="C7018" s="5" t="str">
        <f>IFERROR(__xludf.DUMMYFUNCTION("GOOGLETRANSLATE(B7018,""en"",""fr"")"),"Un ruban de mesure est montré de près.")</f>
        <v>Un ruban de mesure est montré de près.</v>
      </c>
    </row>
    <row r="7019">
      <c r="A7019" s="4" t="s">
        <v>8824</v>
      </c>
      <c r="B7019" s="4" t="s">
        <v>8826</v>
      </c>
      <c r="C7019" s="5" t="str">
        <f>IFERROR(__xludf.DUMMYFUNCTION("GOOGLETRANSLATE(B7019,""en"",""fr"")"),"Nous voyons une personne sur piste se préparer à courir.")</f>
        <v>Nous voyons une personne sur piste se préparer à courir.</v>
      </c>
    </row>
    <row r="7020">
      <c r="A7020" s="4" t="s">
        <v>8824</v>
      </c>
      <c r="B7020" s="4" t="s">
        <v>8827</v>
      </c>
      <c r="C7020" s="5" t="str">
        <f>IFERROR(__xludf.DUMMYFUNCTION("GOOGLETRANSLATE(B7020,""en"",""fr"")"),"Il court, faisant un énorme saut dans le sable, atterrissant le numéro 18.")</f>
        <v>Il court, faisant un énorme saut dans le sable, atterrissant le numéro 18.</v>
      </c>
    </row>
    <row r="7021">
      <c r="A7021" s="4" t="s">
        <v>8828</v>
      </c>
      <c r="B7021" s="4" t="s">
        <v>8829</v>
      </c>
      <c r="C7021" s="5" t="str">
        <f>IFERROR(__xludf.DUMMYFUNCTION("GOOGLETRANSLATE(B7021,""en"",""fr"")"),"Plusieurs clips de personnes sont présentés en signe de la caméra et regardent des gens faire du vélo.")</f>
        <v>Plusieurs clips de personnes sont présentés en signe de la caméra et regardent des gens faire du vélo.</v>
      </c>
    </row>
    <row r="7022">
      <c r="A7022" s="4" t="s">
        <v>8828</v>
      </c>
      <c r="B7022" s="6" t="s">
        <v>8830</v>
      </c>
      <c r="C7022" s="5" t="str">
        <f>IFERROR(__xludf.DUMMYFUNCTION("GOOGLETRANSLATE(B7022,""en"",""fr"")"),"Beaucoup de gens sont montrés à travers des vélos autour d'une longue piste et de la caméra qui panorfait.")</f>
        <v>Beaucoup de gens sont montrés à travers des vélos autour d'une longue piste et de la caméra qui panorfait.</v>
      </c>
    </row>
    <row r="7023">
      <c r="A7023" s="4" t="s">
        <v>8831</v>
      </c>
      <c r="B7023" s="4" t="s">
        <v>8832</v>
      </c>
      <c r="C7023" s="5" t="str">
        <f>IFERROR(__xludf.DUMMYFUNCTION("GOOGLETRANSLATE(B7023,""en"",""fr"")"),"Une dame est assise dans une baignoire et se frotte les jambes avec de l'eau tout en portant un gant exfoliat.")</f>
        <v>Une dame est assise dans une baignoire et se frotte les jambes avec de l'eau tout en portant un gant exfoliat.</v>
      </c>
    </row>
    <row r="7024">
      <c r="A7024" s="4" t="s">
        <v>8831</v>
      </c>
      <c r="B7024" s="4" t="s">
        <v>8833</v>
      </c>
      <c r="C7024" s="5" t="str">
        <f>IFERROR(__xludf.DUMMYFUNCTION("GOOGLETRANSLATE(B7024,""en"",""fr"")"),"La caméra zoome et nous voyons que c'est un ensemble avec de l'équipement de la caméra autour.")</f>
        <v>La caméra zoome et nous voyons que c'est un ensemble avec de l'équipement de la caméra autour.</v>
      </c>
    </row>
    <row r="7025">
      <c r="A7025" s="4" t="s">
        <v>8831</v>
      </c>
      <c r="B7025" s="4" t="s">
        <v>8834</v>
      </c>
      <c r="C7025" s="5" t="str">
        <f>IFERROR(__xludf.DUMMYFUNCTION("GOOGLETRANSLATE(B7025,""en"",""fr"")"),"La dame se rasage ensuite les jambes avec un rasoir électrique.")</f>
        <v>La dame se rasage ensuite les jambes avec un rasoir électrique.</v>
      </c>
    </row>
    <row r="7026">
      <c r="A7026" s="4" t="s">
        <v>8831</v>
      </c>
      <c r="B7026" s="4" t="s">
        <v>8835</v>
      </c>
      <c r="C7026" s="5" t="str">
        <f>IFERROR(__xludf.DUMMYFUNCTION("GOOGLETRANSLATE(B7026,""en"",""fr"")"),"Nous voyons la dame sourire et continuer à se raser les jambes.")</f>
        <v>Nous voyons la dame sourire et continuer à se raser les jambes.</v>
      </c>
    </row>
    <row r="7027">
      <c r="A7027" s="4" t="s">
        <v>8836</v>
      </c>
      <c r="B7027" s="4" t="s">
        <v>8837</v>
      </c>
      <c r="C7027" s="5" t="str">
        <f>IFERROR(__xludf.DUMMYFUNCTION("GOOGLETRANSLATE(B7027,""en"",""fr"")"),"Un homme est montré en parlant à la caméra en marchant lentement sur le terrain avec un groupe de joueurs.")</f>
        <v>Un homme est montré en parlant à la caméra en marchant lentement sur le terrain avec un groupe de joueurs.</v>
      </c>
    </row>
    <row r="7028">
      <c r="A7028" s="4" t="s">
        <v>8836</v>
      </c>
      <c r="B7028" s="4" t="s">
        <v>8838</v>
      </c>
      <c r="C7028" s="5" t="str">
        <f>IFERROR(__xludf.DUMMYFUNCTION("GOOGLETRANSLATE(B7028,""en"",""fr"")"),"Divers joueurs sont montrés en une contre un avec plusieurs plans de stade et les villes sont présentées.")</f>
        <v>Divers joueurs sont montrés en une contre un avec plusieurs plans de stade et les villes sont présentées.</v>
      </c>
    </row>
    <row r="7029">
      <c r="A7029" s="4" t="s">
        <v>8836</v>
      </c>
      <c r="B7029" s="4" t="s">
        <v>8839</v>
      </c>
      <c r="C7029" s="5" t="str">
        <f>IFERROR(__xludf.DUMMYFUNCTION("GOOGLETRANSLATE(B7029,""en"",""fr"")"),"Les athlètes se préparent pour le match et sont montrés en jouant sur le terrain.")</f>
        <v>Les athlètes se préparent pour le match et sont montrés en jouant sur le terrain.</v>
      </c>
    </row>
    <row r="7030">
      <c r="A7030" s="4" t="s">
        <v>8836</v>
      </c>
      <c r="B7030" s="4" t="s">
        <v>8840</v>
      </c>
      <c r="C7030" s="5" t="str">
        <f>IFERROR(__xludf.DUMMYFUNCTION("GOOGLETRANSLATE(B7030,""en"",""fr"")"),"Les hommes applaudissent quand ils marquent un but et s'asseyent sur le banc après avoir été fatigué.")</f>
        <v>Les hommes applaudissent quand ils marquent un but et s'asseyent sur le banc après avoir été fatigué.</v>
      </c>
    </row>
    <row r="7031">
      <c r="A7031" s="4" t="s">
        <v>8836</v>
      </c>
      <c r="B7031" s="4" t="s">
        <v>8841</v>
      </c>
      <c r="C7031" s="5" t="str">
        <f>IFERROR(__xludf.DUMMYFUNCTION("GOOGLETRANSLATE(B7031,""en"",""fr"")"),"Ils traversent les stades et parlent à la caméra d'être un athlète professionnel.")</f>
        <v>Ils traversent les stades et parlent à la caméra d'être un athlète professionnel.</v>
      </c>
    </row>
    <row r="7032">
      <c r="A7032" s="4" t="s">
        <v>8842</v>
      </c>
      <c r="B7032" s="6" t="s">
        <v>8843</v>
      </c>
      <c r="C7032" s="5" t="str">
        <f>IFERROR(__xludf.DUMMYFUNCTION("GOOGLETRANSLATE(B7032,""en"",""fr"")"),"Il y a une femme dans sa cuisine démontrant comment utiliser Astra Clean Composite Evier Cleaner, elle pulvérise l'évier de la cuisine avec la bouteille de cruche Astra Clean, puis utilise une brosse pour frotter l'évier.")</f>
        <v>Il y a une femme dans sa cuisine démontrant comment utiliser Astra Clean Composite Evier Cleaner, elle pulvérise l'évier de la cuisine avec la bouteille de cruche Astra Clean, puis utilise une brosse pour frotter l'évier.</v>
      </c>
    </row>
    <row r="7033">
      <c r="A7033" s="4" t="s">
        <v>8842</v>
      </c>
      <c r="B7033" s="4" t="s">
        <v>8844</v>
      </c>
      <c r="C7033" s="5" t="str">
        <f>IFERROR(__xludf.DUMMYFUNCTION("GOOGLETRANSLATE(B7033,""en"",""fr"")"),"Après avoir terminé, elle a l'air impressionnée par l'évier de la cuisine propre scintillant.")</f>
        <v>Après avoir terminé, elle a l'air impressionnée par l'évier de la cuisine propre scintillant.</v>
      </c>
    </row>
    <row r="7034">
      <c r="A7034" s="4" t="s">
        <v>8842</v>
      </c>
      <c r="B7034" s="4" t="s">
        <v>8845</v>
      </c>
      <c r="C7034" s="5" t="str">
        <f>IFERROR(__xludf.DUMMYFUNCTION("GOOGLETRANSLATE(B7034,""en"",""fr"")"),"Elle pose la bouteille sur l'évier et s'éloigne.")</f>
        <v>Elle pose la bouteille sur l'évier et s'éloigne.</v>
      </c>
    </row>
    <row r="7035">
      <c r="A7035" s="4" t="s">
        <v>8846</v>
      </c>
      <c r="B7035" s="4" t="s">
        <v>8847</v>
      </c>
      <c r="C7035" s="5" t="str">
        <f>IFERROR(__xludf.DUMMYFUNCTION("GOOGLETRANSLATE(B7035,""en"",""fr"")"),"L'homme avec un tablier noir brosse le comptoir.")</f>
        <v>L'homme avec un tablier noir brosse le comptoir.</v>
      </c>
    </row>
    <row r="7036">
      <c r="A7036" s="4" t="s">
        <v>8846</v>
      </c>
      <c r="B7036" s="4" t="s">
        <v>8848</v>
      </c>
      <c r="C7036" s="5" t="str">
        <f>IFERROR(__xludf.DUMMYFUNCTION("GOOGLETRANSLATE(B7036,""en"",""fr"")"),"L'homme en tablier a lisse la planche de ski, puis a brossé la poussière.")</f>
        <v>L'homme en tablier a lisse la planche de ski, puis a brossé la poussière.</v>
      </c>
    </row>
    <row r="7037">
      <c r="A7037" s="4" t="s">
        <v>8846</v>
      </c>
      <c r="B7037" s="4" t="s">
        <v>8849</v>
      </c>
      <c r="C7037" s="5" t="str">
        <f>IFERROR(__xludf.DUMMYFUNCTION("GOOGLETRANSLATE(B7037,""en"",""fr"")"),"L'homme a mis du vernis sur la planche et continue de gratter et de brosser la planche.")</f>
        <v>L'homme a mis du vernis sur la planche et continue de gratter et de brosser la planche.</v>
      </c>
    </row>
    <row r="7038">
      <c r="A7038" s="4" t="s">
        <v>8850</v>
      </c>
      <c r="B7038" s="4" t="s">
        <v>8851</v>
      </c>
      <c r="C7038" s="5" t="str">
        <f>IFERROR(__xludf.DUMMYFUNCTION("GOOGLETRANSLATE(B7038,""en"",""fr"")"),"Une intro mène à plusieurs clips d'une personne qui roule sur une colline enneigée sur un snowboard.")</f>
        <v>Une intro mène à plusieurs clips d'une personne qui roule sur une colline enneigée sur un snowboard.</v>
      </c>
    </row>
    <row r="7039">
      <c r="A7039" s="4" t="s">
        <v>8850</v>
      </c>
      <c r="B7039" s="6" t="s">
        <v>8852</v>
      </c>
      <c r="C7039" s="5" t="str">
        <f>IFERROR(__xludf.DUMMYFUNCTION("GOOGLETRANSLATE(B7039,""en"",""fr"")"),"La personne continue de descendre dans la neige et de tomber à un moment donné mais de nettoyer ses lunettes et de parler aux autres.")</f>
        <v>La personne continue de descendre dans la neige et de tomber à un moment donné mais de nettoyer ses lunettes et de parler aux autres.</v>
      </c>
    </row>
    <row r="7040">
      <c r="A7040" s="4" t="s">
        <v>8853</v>
      </c>
      <c r="B7040" s="4" t="s">
        <v>8854</v>
      </c>
      <c r="C7040" s="5" t="str">
        <f>IFERROR(__xludf.DUMMYFUNCTION("GOOGLETRANSLATE(B7040,""en"",""fr"")"),"Une grande cour est représentée avec des feuilles posées à l'avant et un homme parlant à la caméra.")</f>
        <v>Une grande cour est représentée avec des feuilles posées à l'avant et un homme parlant à la caméra.</v>
      </c>
    </row>
    <row r="7041">
      <c r="A7041" s="4" t="s">
        <v>8853</v>
      </c>
      <c r="B7041" s="4" t="s">
        <v>8855</v>
      </c>
      <c r="C7041" s="5" t="str">
        <f>IFERROR(__xludf.DUMMYFUNCTION("GOOGLETRANSLATE(B7041,""en"",""fr"")"),"L'homme pousse les feuilles autour de la cour.")</f>
        <v>L'homme pousse les feuilles autour de la cour.</v>
      </c>
    </row>
    <row r="7042">
      <c r="A7042" s="4" t="s">
        <v>8853</v>
      </c>
      <c r="B7042" s="4" t="s">
        <v>8856</v>
      </c>
      <c r="C7042" s="5" t="str">
        <f>IFERROR(__xludf.DUMMYFUNCTION("GOOGLETRANSLATE(B7042,""en"",""fr"")"),"L'homme tient les feuilles et parle à la caméra.")</f>
        <v>L'homme tient les feuilles et parle à la caméra.</v>
      </c>
    </row>
    <row r="7043">
      <c r="A7043" s="4" t="s">
        <v>8857</v>
      </c>
      <c r="B7043" s="4" t="s">
        <v>8858</v>
      </c>
      <c r="C7043" s="5" t="str">
        <f>IFERROR(__xludf.DUMMYFUNCTION("GOOGLETRANSLATE(B7043,""en"",""fr"")"),"La personne dans un chien Costome marche à l'extérieur d'une maison enneigée.")</f>
        <v>La personne dans un chien Costome marche à l'extérieur d'une maison enneigée.</v>
      </c>
    </row>
    <row r="7044">
      <c r="A7044" s="4" t="s">
        <v>8857</v>
      </c>
      <c r="B7044" s="4" t="s">
        <v>8859</v>
      </c>
      <c r="C7044" s="5" t="str">
        <f>IFERROR(__xludf.DUMMYFUNCTION("GOOGLETRANSLATE(B7044,""en"",""fr"")"),"personne dans le costume et traverser la rue vers une voiture.")</f>
        <v>personne dans le costume et traverser la rue vers une voiture.</v>
      </c>
    </row>
    <row r="7045">
      <c r="A7045" s="4" t="s">
        <v>8857</v>
      </c>
      <c r="B7045" s="4" t="s">
        <v>8860</v>
      </c>
      <c r="C7045" s="5" t="str">
        <f>IFERROR(__xludf.DUMMYFUNCTION("GOOGLETRANSLATE(B7045,""en"",""fr"")"),"Man Sart Nettoyage, il neige de la fenêtre du conducteur et de la fenêtre arrière.")</f>
        <v>Man Sart Nettoyage, il neige de la fenêtre du conducteur et de la fenêtre arrière.</v>
      </c>
    </row>
    <row r="7046">
      <c r="A7046" s="4" t="s">
        <v>8861</v>
      </c>
      <c r="B7046" s="4" t="s">
        <v>8862</v>
      </c>
      <c r="C7046" s="5" t="str">
        <f>IFERROR(__xludf.DUMMYFUNCTION("GOOGLETRANSLATE(B7046,""en"",""fr"")"),"Une personne se tient au-dessus d'un bord de plongée élevé.")</f>
        <v>Une personne se tient au-dessus d'un bord de plongée élevé.</v>
      </c>
    </row>
    <row r="7047">
      <c r="A7047" s="4" t="s">
        <v>8861</v>
      </c>
      <c r="B7047" s="4" t="s">
        <v>8863</v>
      </c>
      <c r="C7047" s="5" t="str">
        <f>IFERROR(__xludf.DUMMYFUNCTION("GOOGLETRANSLATE(B7047,""en"",""fr"")"),"Ils sautent et se retournent dans l'eau.")</f>
        <v>Ils sautent et se retournent dans l'eau.</v>
      </c>
    </row>
    <row r="7048">
      <c r="A7048" s="4" t="s">
        <v>8861</v>
      </c>
      <c r="B7048" s="4" t="s">
        <v>8864</v>
      </c>
      <c r="C7048" s="5" t="str">
        <f>IFERROR(__xludf.DUMMYFUNCTION("GOOGLETRANSLATE(B7048,""en"",""fr"")"),"La foule regarde la personne plonger.")</f>
        <v>La foule regarde la personne plonger.</v>
      </c>
    </row>
    <row r="7049">
      <c r="A7049" s="4" t="s">
        <v>8865</v>
      </c>
      <c r="B7049" s="4" t="s">
        <v>8866</v>
      </c>
      <c r="C7049" s="5" t="str">
        <f>IFERROR(__xludf.DUMMYFUNCTION("GOOGLETRANSLATE(B7049,""en"",""fr"")"),"Un homme est vu assis sur un cheval et monte dans une fosse balançant une corde.")</f>
        <v>Un homme est vu assis sur un cheval et monte dans une fosse balançant une corde.</v>
      </c>
    </row>
    <row r="7050">
      <c r="A7050" s="4" t="s">
        <v>8865</v>
      </c>
      <c r="B7050" s="4" t="s">
        <v>8867</v>
      </c>
      <c r="C7050" s="5" t="str">
        <f>IFERROR(__xludf.DUMMYFUNCTION("GOOGLETRANSLATE(B7050,""en"",""fr"")"),"L'homme jette la corde sur un mollet et saute du cheval.")</f>
        <v>L'homme jette la corde sur un mollet et saute du cheval.</v>
      </c>
    </row>
    <row r="7051">
      <c r="A7051" s="4" t="s">
        <v>8865</v>
      </c>
      <c r="B7051" s="4" t="s">
        <v>8868</v>
      </c>
      <c r="C7051" s="5" t="str">
        <f>IFERROR(__xludf.DUMMYFUNCTION("GOOGLETRANSLATE(B7051,""en"",""fr"")"),"Il attache le mollet et se termine en courant au cheval.")</f>
        <v>Il attache le mollet et se termine en courant au cheval.</v>
      </c>
    </row>
    <row r="7052">
      <c r="A7052" s="4" t="s">
        <v>8869</v>
      </c>
      <c r="B7052" s="6" t="s">
        <v>8870</v>
      </c>
      <c r="C7052" s="5" t="str">
        <f>IFERROR(__xludf.DUMMYFUNCTION("GOOGLETRANSLATE(B7052,""en"",""fr"")"),"Une vue sur la campagne est observée dans plusieurs images, y compris des bâtiments, des arbres, des champs et des fleurs près de l'océan.")</f>
        <v>Une vue sur la campagne est observée dans plusieurs images, y compris des bâtiments, des arbres, des champs et des fleurs près de l'océan.</v>
      </c>
    </row>
    <row r="7053">
      <c r="A7053" s="4" t="s">
        <v>8869</v>
      </c>
      <c r="B7053" s="4" t="s">
        <v>8871</v>
      </c>
      <c r="C7053" s="5" t="str">
        <f>IFERROR(__xludf.DUMMYFUNCTION("GOOGLETRANSLATE(B7053,""en"",""fr"")"),"Un homme est montré en montagne grimpant sur le côté d'une falaise.")</f>
        <v>Un homme est montré en montagne grimpant sur le côté d'une falaise.</v>
      </c>
    </row>
    <row r="7054">
      <c r="A7054" s="4" t="s">
        <v>8872</v>
      </c>
      <c r="B7054" s="4" t="s">
        <v>8873</v>
      </c>
      <c r="C7054" s="5" t="str">
        <f>IFERROR(__xludf.DUMMYFUNCTION("GOOGLETRANSLATE(B7054,""en"",""fr"")"),"L'homme éponge le sol dans une buanderie.")</f>
        <v>L'homme éponge le sol dans une buanderie.</v>
      </c>
    </row>
    <row r="7055">
      <c r="A7055" s="4" t="s">
        <v>8872</v>
      </c>
      <c r="B7055" s="4" t="s">
        <v>8874</v>
      </c>
      <c r="C7055" s="5" t="str">
        <f>IFERROR(__xludf.DUMMYFUNCTION("GOOGLETRANSLATE(B7055,""en"",""fr"")"),"L'homme extrait la vadrouille dans un seau.")</f>
        <v>L'homme extrait la vadrouille dans un seau.</v>
      </c>
    </row>
    <row r="7056">
      <c r="A7056" s="4" t="s">
        <v>8875</v>
      </c>
      <c r="B7056" s="6" t="s">
        <v>8876</v>
      </c>
      <c r="C7056" s="5" t="str">
        <f>IFERROR(__xludf.DUMMYFUNCTION("GOOGLETRANSLATE(B7056,""en"",""fr"")"),"Une femme montre une petite fille pour tourner une poignée, puis, la petite fille décolle une orange tournant la poignée de la machine.")</f>
        <v>Une femme montre une petite fille pour tourner une poignée, puis, la petite fille décolle une orange tournant la poignée de la machine.</v>
      </c>
    </row>
    <row r="7057">
      <c r="A7057" s="4" t="s">
        <v>8875</v>
      </c>
      <c r="B7057" s="4" t="s">
        <v>8877</v>
      </c>
      <c r="C7057" s="5" t="str">
        <f>IFERROR(__xludf.DUMMYFUNCTION("GOOGLETRANSLATE(B7057,""en"",""fr"")"),"La poignée est coincée et la femme essaie d'aider la fille.")</f>
        <v>La poignée est coincée et la femme essaie d'aider la fille.</v>
      </c>
    </row>
    <row r="7058">
      <c r="A7058" s="4" t="s">
        <v>8875</v>
      </c>
      <c r="B7058" s="4" t="s">
        <v>8878</v>
      </c>
      <c r="C7058" s="5" t="str">
        <f>IFERROR(__xludf.DUMMYFUNCTION("GOOGLETRANSLATE(B7058,""en"",""fr"")"),"Après, la fille continue de tourner la poignée pour peler l'orange.")</f>
        <v>Après, la fille continue de tourner la poignée pour peler l'orange.</v>
      </c>
    </row>
    <row r="7059">
      <c r="A7059" s="4" t="s">
        <v>8879</v>
      </c>
      <c r="B7059" s="6" t="s">
        <v>8880</v>
      </c>
      <c r="C7059" s="5" t="str">
        <f>IFERROR(__xludf.DUMMYFUNCTION("GOOGLETRANSLATE(B7059,""en"",""fr"")"),"Un grand groupe de personnes coule sur un terrain en jouant un jeu les uns avec les autres pendant que la caméra se déroule dans la région.")</f>
        <v>Un grand groupe de personnes coule sur un terrain en jouant un jeu les uns avec les autres pendant que la caméra se déroule dans la région.</v>
      </c>
    </row>
    <row r="7060">
      <c r="A7060" s="4" t="s">
        <v>8879</v>
      </c>
      <c r="B7060" s="6" t="s">
        <v>8881</v>
      </c>
      <c r="C7060" s="5" t="str">
        <f>IFERROR(__xludf.DUMMYFUNCTION("GOOGLETRANSLATE(B7060,""en"",""fr"")"),"Les jeux se poursuivent alors que les gens encouragent les côtés et que les hommes continuent de jouer les uns avec les autres.")</f>
        <v>Les jeux se poursuivent alors que les gens encouragent les côtés et que les hommes continuent de jouer les uns avec les autres.</v>
      </c>
    </row>
    <row r="7061">
      <c r="A7061" s="4" t="s">
        <v>8882</v>
      </c>
      <c r="B7061" s="6" t="s">
        <v>8883</v>
      </c>
      <c r="C7061" s="5" t="str">
        <f>IFERROR(__xludf.DUMMYFUNCTION("GOOGLETRANSLATE(B7061,""en"",""fr"")"),"Les gens chevauchent des chameaux dans le sable, le chameau s'agenouille et l'homme et la femme descendent.")</f>
        <v>Les gens chevauchent des chameaux dans le sable, le chameau s'agenouille et l'homme et la femme descendent.</v>
      </c>
    </row>
    <row r="7062">
      <c r="A7062" s="4" t="s">
        <v>8882</v>
      </c>
      <c r="B7062" s="6" t="s">
        <v>8884</v>
      </c>
      <c r="C7062" s="5" t="str">
        <f>IFERROR(__xludf.DUMMYFUNCTION("GOOGLETRANSLATE(B7062,""en"",""fr"")"),"Les chameaux à l'arrière s'agenouillent et les gens descendent à l'arrière se trouvent des voitures et des gens qui marchent dans le parking et prennent des photos.")</f>
        <v>Les chameaux à l'arrière s'agenouillent et les gens descendent à l'arrière se trouvent des voitures et des gens qui marchent dans le parking et prennent des photos.</v>
      </c>
    </row>
    <row r="7063">
      <c r="A7063" s="4" t="s">
        <v>8882</v>
      </c>
      <c r="B7063" s="4" t="s">
        <v>8885</v>
      </c>
      <c r="C7063" s="5" t="str">
        <f>IFERROR(__xludf.DUMMYFUNCTION("GOOGLETRANSLATE(B7063,""en"",""fr"")"),"Les hommes vont sur un chameau et le chameau se lève.")</f>
        <v>Les hommes vont sur un chameau et le chameau se lève.</v>
      </c>
    </row>
    <row r="7064">
      <c r="A7064" s="4" t="s">
        <v>8886</v>
      </c>
      <c r="B7064" s="4" t="s">
        <v>8887</v>
      </c>
      <c r="C7064" s="5" t="str">
        <f>IFERROR(__xludf.DUMMYFUNCTION("GOOGLETRANSLATE(B7064,""en"",""fr"")"),"Un homme grimpe sur une montagne essayant de trouver les bons endroits pour se relever.")</f>
        <v>Un homme grimpe sur une montagne essayant de trouver les bons endroits pour se relever.</v>
      </c>
    </row>
    <row r="7065">
      <c r="A7065" s="4" t="s">
        <v>8886</v>
      </c>
      <c r="B7065" s="4" t="s">
        <v>8888</v>
      </c>
      <c r="C7065" s="5" t="str">
        <f>IFERROR(__xludf.DUMMYFUNCTION("GOOGLETRANSLATE(B7065,""en"",""fr"")"),"Il trouve un bon endroit pour accrocher sa corde sur la montagne et recommence à grimper.")</f>
        <v>Il trouve un bon endroit pour accrocher sa corde sur la montagne et recommence à grimper.</v>
      </c>
    </row>
    <row r="7066">
      <c r="A7066" s="4" t="s">
        <v>8886</v>
      </c>
      <c r="B7066" s="4" t="s">
        <v>8889</v>
      </c>
      <c r="C7066" s="5" t="str">
        <f>IFERROR(__xludf.DUMMYFUNCTION("GOOGLETRANSLATE(B7066,""en"",""fr"")"),"Il décide de le déplacer un peu plus vers un meilleur endroit.")</f>
        <v>Il décide de le déplacer un peu plus vers un meilleur endroit.</v>
      </c>
    </row>
    <row r="7067">
      <c r="A7067" s="4" t="s">
        <v>8886</v>
      </c>
      <c r="B7067" s="4" t="s">
        <v>8890</v>
      </c>
      <c r="C7067" s="5" t="str">
        <f>IFERROR(__xludf.DUMMYFUNCTION("GOOGLETRANSLATE(B7067,""en"",""fr"")"),"Ensuite, il recommence à grimper un peu en difficulté avant de finalement passer à la situation difficile.")</f>
        <v>Ensuite, il recommence à grimper un peu en difficulté avant de finalement passer à la situation difficile.</v>
      </c>
    </row>
    <row r="7068">
      <c r="A7068" s="4" t="s">
        <v>8891</v>
      </c>
      <c r="B7068" s="4" t="s">
        <v>8892</v>
      </c>
      <c r="C7068" s="5" t="str">
        <f>IFERROR(__xludf.DUMMYFUNCTION("GOOGLETRANSLATE(B7068,""en"",""fr"")"),"Un homme dans une chemise noire et des gants blancs place des boules de billard sur une table de billard.")</f>
        <v>Un homme dans une chemise noire et des gants blancs place des boules de billard sur une table de billard.</v>
      </c>
    </row>
    <row r="7069">
      <c r="A7069" s="4" t="s">
        <v>8891</v>
      </c>
      <c r="B7069" s="4" t="s">
        <v>8893</v>
      </c>
      <c r="C7069" s="5" t="str">
        <f>IFERROR(__xludf.DUMMYFUNCTION("GOOGLETRANSLATE(B7069,""en"",""fr"")"),"Un homme avec une chemise bleu clair inspecte la position des boules de billard de près.")</f>
        <v>Un homme avec une chemise bleu clair inspecte la position des boules de billard de près.</v>
      </c>
    </row>
    <row r="7070">
      <c r="A7070" s="4" t="s">
        <v>8891</v>
      </c>
      <c r="B7070" s="6" t="s">
        <v>8894</v>
      </c>
      <c r="C7070" s="5" t="str">
        <f>IFERROR(__xludf.DUMMYFUNCTION("GOOGLETRANSLATE(B7070,""en"",""fr"")"),"L'homme dans la chemise bleu clair se positionne avec le bâton de repère et brise les boules de billard et les balles vont dans de nombreuses directions.")</f>
        <v>L'homme dans la chemise bleu clair se positionne avec le bâton de repère et brise les boules de billard et les balles vont dans de nombreuses directions.</v>
      </c>
    </row>
    <row r="7071">
      <c r="A7071" s="4" t="s">
        <v>8891</v>
      </c>
      <c r="B7071" s="4" t="s">
        <v>8895</v>
      </c>
      <c r="C7071" s="5" t="str">
        <f>IFERROR(__xludf.DUMMYFUNCTION("GOOGLETRANSLATE(B7071,""en"",""fr"")"),"L'homme dans la chemise noire revient et inspecte la table puis recule.")</f>
        <v>L'homme dans la chemise noire revient et inspecte la table puis recule.</v>
      </c>
    </row>
    <row r="7072">
      <c r="A7072" s="4" t="s">
        <v>8891</v>
      </c>
      <c r="B7072" s="6" t="s">
        <v>8896</v>
      </c>
      <c r="C7072" s="5" t="str">
        <f>IFERROR(__xludf.DUMMYFUNCTION("GOOGLETRANSLATE(B7072,""en"",""fr"")"),"L'homme dans la chemise bleu clair se prépare pour son prochain coup en marchant d'un côté de la table de billard à l'autre à la recherche de son prochain coup.")</f>
        <v>L'homme dans la chemise bleu clair se prépare pour son prochain coup en marchant d'un côté de la table de billard à l'autre à la recherche de son prochain coup.</v>
      </c>
    </row>
    <row r="7073">
      <c r="A7073" s="4" t="s">
        <v>8891</v>
      </c>
      <c r="B7073" s="4" t="s">
        <v>8897</v>
      </c>
      <c r="C7073" s="5" t="str">
        <f>IFERROR(__xludf.DUMMYFUNCTION("GOOGLETRANSLATE(B7073,""en"",""fr"")"),"Il fait la pointe du bâton de repère avant de prendre son tir.")</f>
        <v>Il fait la pointe du bâton de repère avant de prendre son tir.</v>
      </c>
    </row>
    <row r="7074">
      <c r="A7074" s="4" t="s">
        <v>8891</v>
      </c>
      <c r="B7074" s="4" t="s">
        <v>8898</v>
      </c>
      <c r="C7074" s="5" t="str">
        <f>IFERROR(__xludf.DUMMYFUNCTION("GOOGLETRANSLATE(B7074,""en"",""fr"")"),"Il se prépare ensuite à son prochain tir se promenant dans la table du billard.")</f>
        <v>Il se prépare ensuite à son prochain tir se promenant dans la table du billard.</v>
      </c>
    </row>
    <row r="7075">
      <c r="A7075" s="4" t="s">
        <v>8899</v>
      </c>
      <c r="B7075" s="4" t="s">
        <v>8900</v>
      </c>
      <c r="C7075" s="5" t="str">
        <f>IFERROR(__xludf.DUMMYFUNCTION("GOOGLETRANSLATE(B7075,""en"",""fr"")"),"L'entraîneur entraîne son équipe.")</f>
        <v>L'entraîneur entraîne son équipe.</v>
      </c>
    </row>
    <row r="7076">
      <c r="A7076" s="4" t="s">
        <v>8899</v>
      </c>
      <c r="B7076" s="4" t="s">
        <v>8901</v>
      </c>
      <c r="C7076" s="5" t="str">
        <f>IFERROR(__xludf.DUMMYFUNCTION("GOOGLETRANSLATE(B7076,""en"",""fr"")"),"Le gars dans le noir à l'arrière s'éloigne.")</f>
        <v>Le gars dans le noir à l'arrière s'éloigne.</v>
      </c>
    </row>
    <row r="7077">
      <c r="A7077" s="4" t="s">
        <v>8899</v>
      </c>
      <c r="B7077" s="4" t="s">
        <v>8902</v>
      </c>
      <c r="C7077" s="5" t="str">
        <f>IFERROR(__xludf.DUMMYFUNCTION("GOOGLETRANSLATE(B7077,""en"",""fr"")"),"L'entraîneur parle ensuite aux parents.")</f>
        <v>L'entraîneur parle ensuite aux parents.</v>
      </c>
    </row>
    <row r="7078">
      <c r="A7078" s="4" t="s">
        <v>8899</v>
      </c>
      <c r="B7078" s="4" t="s">
        <v>8903</v>
      </c>
      <c r="C7078" s="5" t="str">
        <f>IFERROR(__xludf.DUMMYFUNCTION("GOOGLETRANSLATE(B7078,""en"",""fr"")"),"Deux nouveaux gars arrivent à l'arrière.")</f>
        <v>Deux nouveaux gars arrivent à l'arrière.</v>
      </c>
    </row>
    <row r="7079">
      <c r="A7079" s="4" t="s">
        <v>8899</v>
      </c>
      <c r="B7079" s="4" t="s">
        <v>8904</v>
      </c>
      <c r="C7079" s="5" t="str">
        <f>IFERROR(__xludf.DUMMYFUNCTION("GOOGLETRANSLATE(B7079,""en"",""fr"")"),"L'entraîneur est sur le terrain avec les équipes.")</f>
        <v>L'entraîneur est sur le terrain avec les équipes.</v>
      </c>
    </row>
    <row r="7080">
      <c r="A7080" s="4" t="s">
        <v>8899</v>
      </c>
      <c r="B7080" s="4" t="s">
        <v>8905</v>
      </c>
      <c r="C7080" s="5" t="str">
        <f>IFERROR(__xludf.DUMMYFUNCTION("GOOGLETRANSLATE(B7080,""en"",""fr"")"),"Le bus jaune passe.")</f>
        <v>Le bus jaune passe.</v>
      </c>
    </row>
    <row r="7081">
      <c r="A7081" s="4" t="s">
        <v>8899</v>
      </c>
      <c r="B7081" s="4" t="s">
        <v>8906</v>
      </c>
      <c r="C7081" s="5" t="str">
        <f>IFERROR(__xludf.DUMMYFUNCTION("GOOGLETRANSLATE(B7081,""en"",""fr"")"),"L'équipe rouge écoute l'entraîneur.")</f>
        <v>L'équipe rouge écoute l'entraîneur.</v>
      </c>
    </row>
    <row r="7082">
      <c r="A7082" s="4" t="s">
        <v>8899</v>
      </c>
      <c r="B7082" s="4" t="s">
        <v>8907</v>
      </c>
      <c r="C7082" s="5" t="str">
        <f>IFERROR(__xludf.DUMMYFUNCTION("GOOGLETRANSLATE(B7082,""en"",""fr"")"),"Les enfants jouent au jeu.")</f>
        <v>Les enfants jouent au jeu.</v>
      </c>
    </row>
    <row r="7083">
      <c r="A7083" s="4" t="s">
        <v>8899</v>
      </c>
      <c r="B7083" s="4" t="s">
        <v>8908</v>
      </c>
      <c r="C7083" s="5" t="str">
        <f>IFERROR(__xludf.DUMMYFUNCTION("GOOGLETRANSLATE(B7083,""en"",""fr"")"),"Les enfants écoutent l'entraîneur.")</f>
        <v>Les enfants écoutent l'entraîneur.</v>
      </c>
    </row>
    <row r="7084">
      <c r="A7084" s="4" t="s">
        <v>8899</v>
      </c>
      <c r="B7084" s="4" t="s">
        <v>8909</v>
      </c>
      <c r="C7084" s="5" t="str">
        <f>IFERROR(__xludf.DUMMYFUNCTION("GOOGLETRANSLATE(B7084,""en"",""fr"")"),"Le jeu est à nouveau en marche.")</f>
        <v>Le jeu est à nouveau en marche.</v>
      </c>
    </row>
    <row r="7085">
      <c r="A7085" s="4" t="s">
        <v>8899</v>
      </c>
      <c r="B7085" s="4" t="s">
        <v>8910</v>
      </c>
      <c r="C7085" s="5" t="str">
        <f>IFERROR(__xludf.DUMMYFUNCTION("GOOGLETRANSLATE(B7085,""en"",""fr"")"),"Un bus blanc passe.")</f>
        <v>Un bus blanc passe.</v>
      </c>
    </row>
    <row r="7086">
      <c r="A7086" s="4" t="s">
        <v>8911</v>
      </c>
      <c r="B7086" s="4" t="s">
        <v>8912</v>
      </c>
      <c r="C7086" s="5" t="str">
        <f>IFERROR(__xludf.DUMMYFUNCTION("GOOGLETRANSLATE(B7086,""en"",""fr"")"),"Le mot Surfer est à l'écran.")</f>
        <v>Le mot Surfer est à l'écran.</v>
      </c>
    </row>
    <row r="7087">
      <c r="A7087" s="4" t="s">
        <v>8911</v>
      </c>
      <c r="B7087" s="4" t="s">
        <v>8913</v>
      </c>
      <c r="C7087" s="5" t="str">
        <f>IFERROR(__xludf.DUMMYFUNCTION("GOOGLETRANSLATE(B7087,""en"",""fr"")"),"Un surfeur prend la caméra.")</f>
        <v>Un surfeur prend la caméra.</v>
      </c>
    </row>
    <row r="7088">
      <c r="A7088" s="4" t="s">
        <v>8911</v>
      </c>
      <c r="B7088" s="4" t="s">
        <v>8914</v>
      </c>
      <c r="C7088" s="5" t="str">
        <f>IFERROR(__xludf.DUMMYFUNCTION("GOOGLETRANSLATE(B7088,""en"",""fr"")"),"Un surfeur marche sur la plage.")</f>
        <v>Un surfeur marche sur la plage.</v>
      </c>
    </row>
    <row r="7089">
      <c r="A7089" s="4" t="s">
        <v>8911</v>
      </c>
      <c r="B7089" s="4" t="s">
        <v>8915</v>
      </c>
      <c r="C7089" s="5" t="str">
        <f>IFERROR(__xludf.DUMMYFUNCTION("GOOGLETRANSLATE(B7089,""en"",""fr"")"),"Un homme surfait dans l'eau pendant que l'homme reprend.")</f>
        <v>Un homme surfait dans l'eau pendant que l'homme reprend.</v>
      </c>
    </row>
    <row r="7090">
      <c r="A7090" s="4" t="s">
        <v>8911</v>
      </c>
      <c r="B7090" s="4" t="s">
        <v>8916</v>
      </c>
      <c r="C7090" s="5" t="str">
        <f>IFERROR(__xludf.DUMMYFUNCTION("GOOGLETRANSLATE(B7090,""en"",""fr"")"),"Il y a une foule de surfeurs sur l'île.")</f>
        <v>Il y a une foule de surfeurs sur l'île.</v>
      </c>
    </row>
    <row r="7091">
      <c r="A7091" s="4" t="s">
        <v>8911</v>
      </c>
      <c r="B7091" s="4" t="s">
        <v>8917</v>
      </c>
      <c r="C7091" s="5" t="str">
        <f>IFERROR(__xludf.DUMMYFUNCTION("GOOGLETRANSLATE(B7091,""en"",""fr"")"),"Plusieurs surfeurs sont dans l'eau et l'homme est toujours interviewé.")</f>
        <v>Plusieurs surfeurs sont dans l'eau et l'homme est toujours interviewé.</v>
      </c>
    </row>
    <row r="7092">
      <c r="A7092" s="4" t="s">
        <v>8918</v>
      </c>
      <c r="B7092" s="6" t="s">
        <v>8919</v>
      </c>
      <c r="C7092" s="5" t="str">
        <f>IFERROR(__xludf.DUMMYFUNCTION("GOOGLETRANSLATE(B7092,""en"",""fr"")"),"Deux personnes sont vues assises devant une piscine de vagues et l'une en mène une autre sur l'eau sur une planche.")</f>
        <v>Deux personnes sont vues assises devant une piscine de vagues et l'une en mène une autre sur l'eau sur une planche.</v>
      </c>
    </row>
    <row r="7093">
      <c r="A7093" s="4" t="s">
        <v>8918</v>
      </c>
      <c r="B7093" s="4" t="s">
        <v>8920</v>
      </c>
      <c r="C7093" s="5" t="str">
        <f>IFERROR(__xludf.DUMMYFUNCTION("GOOGLETRANSLATE(B7093,""en"",""fr"")"),"La personne tombe quand une autre tente de monter sur la planche sur l'eau.")</f>
        <v>La personne tombe quand une autre tente de monter sur la planche sur l'eau.</v>
      </c>
    </row>
    <row r="7094">
      <c r="A7094" s="4" t="s">
        <v>8918</v>
      </c>
      <c r="B7094" s="6" t="s">
        <v>8921</v>
      </c>
      <c r="C7094" s="5" t="str">
        <f>IFERROR(__xludf.DUMMYFUNCTION("GOOGLETRANSLATE(B7094,""en"",""fr"")"),"La personne continue de rouler le long de l'eau et se termine avec la caméra qui paning dans la zone et le garçon tombe.")</f>
        <v>La personne continue de rouler le long de l'eau et se termine avec la caméra qui paning dans la zone et le garçon tombe.</v>
      </c>
    </row>
    <row r="7095">
      <c r="A7095" s="4" t="s">
        <v>8922</v>
      </c>
      <c r="B7095" s="4" t="s">
        <v>8923</v>
      </c>
      <c r="C7095" s="5" t="str">
        <f>IFERROR(__xludf.DUMMYFUNCTION("GOOGLETRANSLATE(B7095,""en"",""fr"")"),"Plusieurs couples sont montrés en courant à l'extérieur et font diverses activités à l'extérieur au soleil.")</f>
        <v>Plusieurs couples sont montrés en courant à l'extérieur et font diverses activités à l'extérieur au soleil.</v>
      </c>
    </row>
    <row r="7096">
      <c r="A7096" s="4" t="s">
        <v>8922</v>
      </c>
      <c r="B7096" s="6" t="s">
        <v>8924</v>
      </c>
      <c r="C7096" s="5" t="str">
        <f>IFERROR(__xludf.DUMMYFUNCTION("GOOGLETRANSLATE(B7096,""en"",""fr"")"),"De plus en plus de gens commencent à parler et chacun d'eux a une bouteille d'écran solaire et commence à la gicler sur leurs bras pour protéger leur peau.")</f>
        <v>De plus en plus de gens commencent à parler et chacun d'eux a une bouteille d'écran solaire et commence à la gicler sur leurs bras pour protéger leur peau.</v>
      </c>
    </row>
    <row r="7097">
      <c r="A7097" s="4" t="s">
        <v>8922</v>
      </c>
      <c r="B7097" s="6" t="s">
        <v>8925</v>
      </c>
      <c r="C7097" s="5" t="str">
        <f>IFERROR(__xludf.DUMMYFUNCTION("GOOGLETRANSLATE(B7097,""en"",""fr"")"),"Une petite bouteille bleue de l'écran solaire est ensuite montrée et plusieurs autres personnes commencent à parler du produit.")</f>
        <v>Une petite bouteille bleue de l'écran solaire est ensuite montrée et plusieurs autres personnes commencent à parler du produit.</v>
      </c>
    </row>
    <row r="7098">
      <c r="A7098" s="4" t="s">
        <v>8922</v>
      </c>
      <c r="B7098" s="4" t="s">
        <v>8926</v>
      </c>
      <c r="C7098" s="5" t="str">
        <f>IFERROR(__xludf.DUMMYFUNCTION("GOOGLETRANSLATE(B7098,""en"",""fr"")"),"Le site Web pour acheter le produit est affiché et toute la vidéo se joue à nouveau comme si sa boucle.")</f>
        <v>Le site Web pour acheter le produit est affiché et toute la vidéo se joue à nouveau comme si sa boucle.</v>
      </c>
    </row>
    <row r="7099">
      <c r="A7099" s="4" t="s">
        <v>8927</v>
      </c>
      <c r="B7099" s="4" t="s">
        <v>8928</v>
      </c>
      <c r="C7099" s="5" t="str">
        <f>IFERROR(__xludf.DUMMYFUNCTION("GOOGLETRANSLATE(B7099,""en"",""fr"")"),"Un jeune garçon tient un gommage à plat pendant qu'il parle.")</f>
        <v>Un jeune garçon tient un gommage à plat pendant qu'il parle.</v>
      </c>
    </row>
    <row r="7100">
      <c r="A7100" s="4" t="s">
        <v>8927</v>
      </c>
      <c r="B7100" s="4" t="s">
        <v>8929</v>
      </c>
      <c r="C7100" s="5" t="str">
        <f>IFERROR(__xludf.DUMMYFUNCTION("GOOGLETRANSLATE(B7100,""en"",""fr"")"),"Il se tourne vers l'évier derrière lui où il y a des plats assis dans l'eau.")</f>
        <v>Il se tourne vers l'évier derrière lui où il y a des plats assis dans l'eau.</v>
      </c>
    </row>
    <row r="7101">
      <c r="A7101" s="4" t="s">
        <v>8927</v>
      </c>
      <c r="B7101" s="4" t="s">
        <v>8930</v>
      </c>
      <c r="C7101" s="5" t="str">
        <f>IFERROR(__xludf.DUMMYFUNCTION("GOOGLETRANSLATE(B7101,""en"",""fr"")"),"Il laisse tomber le gommage dans l'évier et pose un verre.")</f>
        <v>Il laisse tomber le gommage dans l'évier et pose un verre.</v>
      </c>
    </row>
    <row r="7102">
      <c r="A7102" s="4" t="s">
        <v>8927</v>
      </c>
      <c r="B7102" s="4" t="s">
        <v>8931</v>
      </c>
      <c r="C7102" s="5" t="str">
        <f>IFERROR(__xludf.DUMMYFUNCTION("GOOGLETRANSLATE(B7102,""en"",""fr"")"),"Il attrape une serviette et nettoie le verre et passe également à frotter le verre.")</f>
        <v>Il attrape une serviette et nettoie le verre et passe également à frotter le verre.</v>
      </c>
    </row>
    <row r="7103">
      <c r="A7103" s="4" t="s">
        <v>8927</v>
      </c>
      <c r="B7103" s="6" t="s">
        <v>8932</v>
      </c>
      <c r="C7103" s="5" t="str">
        <f>IFERROR(__xludf.DUMMYFUNCTION("GOOGLETRANSLATE(B7103,""en"",""fr"")"),"Il pose le gommage et attrape le verre pour le placer sur le côté droit de l'évier où il vanne le verre et le range dans le support de vaisselle.")</f>
        <v>Il pose le gommage et attrape le verre pour le placer sur le côté droit de l'évier où il vanne le verre et le range dans le support de vaisselle.</v>
      </c>
    </row>
    <row r="7104">
      <c r="A7104" s="4" t="s">
        <v>8927</v>
      </c>
      <c r="B7104" s="4" t="s">
        <v>8933</v>
      </c>
      <c r="C7104" s="5" t="str">
        <f>IFERROR(__xludf.DUMMYFUNCTION("GOOGLETRANSLATE(B7104,""en"",""fr"")"),"Il se déplace pour attraper la serviette et nettoyer un plat.")</f>
        <v>Il se déplace pour attraper la serviette et nettoyer un plat.</v>
      </c>
    </row>
    <row r="7105">
      <c r="A7105" s="4" t="s">
        <v>8927</v>
      </c>
      <c r="B7105" s="4" t="s">
        <v>8934</v>
      </c>
      <c r="C7105" s="5" t="str">
        <f>IFERROR(__xludf.DUMMYFUNCTION("GOOGLETRANSLATE(B7105,""en"",""fr"")"),"Il trempe le plat dans l'eau et le déplace vers le support de vaisselle.")</f>
        <v>Il trempe le plat dans l'eau et le déplace vers le support de vaisselle.</v>
      </c>
    </row>
    <row r="7106">
      <c r="A7106" s="4" t="s">
        <v>8927</v>
      </c>
      <c r="B7106" s="4" t="s">
        <v>8935</v>
      </c>
      <c r="C7106" s="5" t="str">
        <f>IFERROR(__xludf.DUMMYFUNCTION("GOOGLETRANSLATE(B7106,""en"",""fr"")"),"Il revient pour utiliser la serviette et nettoyer un couteau.")</f>
        <v>Il revient pour utiliser la serviette et nettoyer un couteau.</v>
      </c>
    </row>
    <row r="7107">
      <c r="A7107" s="4" t="s">
        <v>8927</v>
      </c>
      <c r="B7107" s="6" t="s">
        <v>8936</v>
      </c>
      <c r="C7107" s="5" t="str">
        <f>IFERROR(__xludf.DUMMYFUNCTION("GOOGLETRANSLATE(B7107,""en"",""fr"")"),"Il trempe le couteau dans l'eau et le déplace vers le support de vaisselle, le garçon revient pour nettoyer une fourchette avec la serviette.")</f>
        <v>Il trempe le couteau dans l'eau et le déplace vers le support de vaisselle, le garçon revient pour nettoyer une fourchette avec la serviette.</v>
      </c>
    </row>
    <row r="7108">
      <c r="A7108" s="4" t="s">
        <v>8927</v>
      </c>
      <c r="B7108" s="4" t="s">
        <v>8937</v>
      </c>
      <c r="C7108" s="5" t="str">
        <f>IFERROR(__xludf.DUMMYFUNCTION("GOOGLETRANSLATE(B7108,""en"",""fr"")"),"Il déplace la fourche vers l'eau pour rincer du savon.")</f>
        <v>Il déplace la fourche vers l'eau pour rincer du savon.</v>
      </c>
    </row>
    <row r="7109">
      <c r="A7109" s="4" t="s">
        <v>8927</v>
      </c>
      <c r="B7109" s="4" t="s">
        <v>8938</v>
      </c>
      <c r="C7109" s="5" t="str">
        <f>IFERROR(__xludf.DUMMYFUNCTION("GOOGLETRANSLATE(B7109,""en"",""fr"")"),"Le jeune garçon se tient devant la caméra, parlant.")</f>
        <v>Le jeune garçon se tient devant la caméra, parlant.</v>
      </c>
    </row>
    <row r="7110">
      <c r="A7110" s="4" t="s">
        <v>8939</v>
      </c>
      <c r="B7110" s="6" t="s">
        <v>8940</v>
      </c>
      <c r="C7110" s="5" t="str">
        <f>IFERROR(__xludf.DUMMYFUNCTION("GOOGLETRANSLATE(B7110,""en"",""fr"")"),"Un homme est vu enregistrer un petit enfant qui a les cheveux peignés par une femme debout derrière elle.")</f>
        <v>Un homme est vu enregistrer un petit enfant qui a les cheveux peignés par une femme debout derrière elle.</v>
      </c>
    </row>
    <row r="7111">
      <c r="A7111" s="4" t="s">
        <v>8939</v>
      </c>
      <c r="B7111" s="4" t="s">
        <v>8941</v>
      </c>
      <c r="C7111" s="5" t="str">
        <f>IFERROR(__xludf.DUMMYFUNCTION("GOOGLETRANSLATE(B7111,""en"",""fr"")"),"Plusieurs personnes et enfants regardent sur le côté et la femme met les cheveux des filles en queues de cheval.")</f>
        <v>Plusieurs personnes et enfants regardent sur le côté et la femme met les cheveux des filles en queues de cheval.</v>
      </c>
    </row>
    <row r="7112">
      <c r="A7112" s="4" t="s">
        <v>8939</v>
      </c>
      <c r="B7112" s="6" t="s">
        <v>8942</v>
      </c>
      <c r="C7112" s="5" t="str">
        <f>IFERROR(__xludf.DUMMYFUNCTION("GOOGLETRANSLATE(B7112,""en"",""fr"")"),"Elle parle à la caméra et coupe les cheveux des filles lorsque le père met les cheveux sur sa tête et fait rire les enfants.")</f>
        <v>Elle parle à la caméra et coupe les cheveux des filles lorsque le père met les cheveux sur sa tête et fait rire les enfants.</v>
      </c>
    </row>
    <row r="7113">
      <c r="A7113" s="4" t="s">
        <v>8939</v>
      </c>
      <c r="B7113" s="6" t="s">
        <v>8943</v>
      </c>
      <c r="C7113" s="5" t="str">
        <f>IFERROR(__xludf.DUMMYFUNCTION("GOOGLETRANSLATE(B7113,""en"",""fr"")"),"La femme continue de se couper les cheveux tandis que d'autres regardent et parlent à la caméra, suivie de la femme lisant les cheveux et la montrant au ralenti.")</f>
        <v>La femme continue de se couper les cheveux tandis que d'autres regardent et parlent à la caméra, suivie de la femme lisant les cheveux et la montrant au ralenti.</v>
      </c>
    </row>
    <row r="7114">
      <c r="A7114" s="4" t="s">
        <v>8939</v>
      </c>
      <c r="B7114" s="4" t="s">
        <v>8944</v>
      </c>
      <c r="C7114" s="5" t="str">
        <f>IFERROR(__xludf.DUMMYFUNCTION("GOOGLETRANSLATE(B7114,""en"",""fr"")"),"La fille tient ses cheveux et crie d'excitation à la caméra.")</f>
        <v>La fille tient ses cheveux et crie d'excitation à la caméra.</v>
      </c>
    </row>
    <row r="7115">
      <c r="A7115" s="4" t="s">
        <v>8945</v>
      </c>
      <c r="B7115" s="6" t="s">
        <v>8946</v>
      </c>
      <c r="C7115" s="5" t="str">
        <f>IFERROR(__xludf.DUMMYFUNCTION("GOOGLETRANSLATE(B7115,""en"",""fr"")"),"On voit deux filles parler à la caméra tout en tenant des tasses dans leurs mains et en se moquant les unes des autres.")</f>
        <v>On voit deux filles parler à la caméra tout en tenant des tasses dans leurs mains et en se moquant les unes des autres.</v>
      </c>
    </row>
    <row r="7116">
      <c r="A7116" s="4" t="s">
        <v>8945</v>
      </c>
      <c r="B7116" s="6" t="s">
        <v>8947</v>
      </c>
      <c r="C7116" s="5" t="str">
        <f>IFERROR(__xludf.DUMMYFUNCTION("GOOGLETRANSLATE(B7116,""en"",""fr"")"),"La caméra zoome sur les tasses et la fille continue de rire tout en buvant finalement dans la tasse.")</f>
        <v>La caméra zoome sur les tasses et la fille continue de rire tout en buvant finalement dans la tasse.</v>
      </c>
    </row>
    <row r="7117">
      <c r="A7117" s="4" t="s">
        <v>8945</v>
      </c>
      <c r="B7117" s="4" t="s">
        <v>8948</v>
      </c>
      <c r="C7117" s="5" t="str">
        <f>IFERROR(__xludf.DUMMYFUNCTION("GOOGLETRANSLATE(B7117,""en"",""fr"")"),"Ils tiennent le liquide dans leur bouche et le crachent et rient à la fin.")</f>
        <v>Ils tiennent le liquide dans leur bouche et le crachent et rient à la fin.</v>
      </c>
    </row>
    <row r="7118">
      <c r="A7118" s="4" t="s">
        <v>8949</v>
      </c>
      <c r="B7118" s="4" t="s">
        <v>8950</v>
      </c>
      <c r="C7118" s="5" t="str">
        <f>IFERROR(__xludf.DUMMYFUNCTION("GOOGLETRANSLATE(B7118,""en"",""fr"")"),"Un homme est vu parler à la caméra et s'incliner à la caméra.")</f>
        <v>Un homme est vu parler à la caméra et s'incliner à la caméra.</v>
      </c>
    </row>
    <row r="7119">
      <c r="A7119" s="4" t="s">
        <v>8949</v>
      </c>
      <c r="B7119" s="4" t="s">
        <v>8951</v>
      </c>
      <c r="C7119" s="5" t="str">
        <f>IFERROR(__xludf.DUMMYFUNCTION("GOOGLETRANSLATE(B7119,""en"",""fr"")"),"L'homme s'agenouille plusieurs fois sur ses genoux et s'incline à nouveau.")</f>
        <v>L'homme s'agenouille plusieurs fois sur ses genoux et s'incline à nouveau.</v>
      </c>
    </row>
    <row r="7120">
      <c r="A7120" s="4" t="s">
        <v>8949</v>
      </c>
      <c r="B7120" s="4" t="s">
        <v>8952</v>
      </c>
      <c r="C7120" s="5" t="str">
        <f>IFERROR(__xludf.DUMMYFUNCTION("GOOGLETRANSLATE(B7120,""en"",""fr"")"),"Il se retourne toujours s'incliner et se termine en se levant.")</f>
        <v>Il se retourne toujours s'incliner et se termine en se levant.</v>
      </c>
    </row>
    <row r="7121">
      <c r="A7121" s="4" t="s">
        <v>8953</v>
      </c>
      <c r="B7121" s="6" t="s">
        <v>8954</v>
      </c>
      <c r="C7121" s="5" t="str">
        <f>IFERROR(__xludf.DUMMYFUNCTION("GOOGLETRANSLATE(B7121,""en"",""fr"")"),"Avant un événement olympique de levage de poids, un concurrent chinois est montré en préparation en travaillant dans un gymnase.")</f>
        <v>Avant un événement olympique de levage de poids, un concurrent chinois est montré en préparation en travaillant dans un gymnase.</v>
      </c>
    </row>
    <row r="7122">
      <c r="A7122" s="4" t="s">
        <v>8953</v>
      </c>
      <c r="B7122" s="4" t="s">
        <v>8955</v>
      </c>
      <c r="C7122" s="5" t="str">
        <f>IFERROR(__xludf.DUMMYFUNCTION("GOOGLETRANSLATE(B7122,""en"",""fr"")"),"Il s'entraîne ensuite pour l'événement en soulevant les gros poids olympiques.")</f>
        <v>Il s'entraîne ensuite pour l'événement en soulevant les gros poids olympiques.</v>
      </c>
    </row>
    <row r="7123">
      <c r="A7123" s="4" t="s">
        <v>8953</v>
      </c>
      <c r="B7123" s="6" t="s">
        <v>8956</v>
      </c>
      <c r="C7123" s="5" t="str">
        <f>IFERROR(__xludf.DUMMYFUNCTION("GOOGLETRANSLATE(B7123,""en"",""fr"")"),"Lors de la compétition, il ramasse les poids d'une position accroupie avant de se lever puis de jeter les poids à la fin.")</f>
        <v>Lors de la compétition, il ramasse les poids d'une position accroupie avant de se lever puis de jeter les poids à la fin.</v>
      </c>
    </row>
    <row r="7124">
      <c r="A7124" s="4" t="s">
        <v>8953</v>
      </c>
      <c r="B7124" s="4" t="s">
        <v>8957</v>
      </c>
      <c r="C7124" s="5" t="str">
        <f>IFERROR(__xludf.DUMMYFUNCTION("GOOGLETRANSLATE(B7124,""en"",""fr"")"),"Diverses ascenseurs réussis sont montrés et le concurrent étreint son entraîneur.")</f>
        <v>Diverses ascenseurs réussis sont montrés et le concurrent étreint son entraîneur.</v>
      </c>
    </row>
    <row r="7125">
      <c r="A7125" s="4" t="s">
        <v>8958</v>
      </c>
      <c r="B7125" s="4" t="s">
        <v>8959</v>
      </c>
      <c r="C7125" s="5" t="str">
        <f>IFERROR(__xludf.DUMMYFUNCTION("GOOGLETRANSLATE(B7125,""en"",""fr"")"),"Les montagnes sont visibles au loin avec des nuages ​​se déplaçant sur le dessus pendant l'après-midi.")</f>
        <v>Les montagnes sont visibles au loin avec des nuages ​​se déplaçant sur le dessus pendant l'après-midi.</v>
      </c>
    </row>
    <row r="7126">
      <c r="A7126" s="4" t="s">
        <v>8958</v>
      </c>
      <c r="B7126" s="4" t="s">
        <v>8960</v>
      </c>
      <c r="C7126" s="5" t="str">
        <f>IFERROR(__xludf.DUMMYFUNCTION("GOOGLETRANSLATE(B7126,""en"",""fr"")"),"Les grimpeurs de montagne utilisent des cordes et des crochets aux clips métalliques le long des fissures sur un visage rocheux transparent.")</f>
        <v>Les grimpeurs de montagne utilisent des cordes et des crochets aux clips métalliques le long des fissures sur un visage rocheux transparent.</v>
      </c>
    </row>
    <row r="7127">
      <c r="A7127" s="4" t="s">
        <v>8958</v>
      </c>
      <c r="B7127" s="4" t="s">
        <v>8961</v>
      </c>
      <c r="C7127" s="5" t="str">
        <f>IFERROR(__xludf.DUMMYFUNCTION("GOOGLETRANSLATE(B7127,""en"",""fr"")"),"Le grimpeur installe des clips ronds en métal dans la fissure du visage rocheux.")</f>
        <v>Le grimpeur installe des clips ronds en métal dans la fissure du visage rocheux.</v>
      </c>
    </row>
    <row r="7128">
      <c r="A7128" s="4" t="s">
        <v>8958</v>
      </c>
      <c r="B7128" s="4" t="s">
        <v>8962</v>
      </c>
      <c r="C7128" s="5" t="str">
        <f>IFERROR(__xludf.DUMMYFUNCTION("GOOGLETRANSLATE(B7128,""en"",""fr"")"),"Les nuages ​​se déplacent sur une chaîne de montagnes au coucher du soleil.")</f>
        <v>Les nuages ​​se déplacent sur une chaîne de montagnes au coucher du soleil.</v>
      </c>
    </row>
    <row r="7129">
      <c r="A7129" s="4" t="s">
        <v>8963</v>
      </c>
      <c r="B7129" s="6" t="s">
        <v>8964</v>
      </c>
      <c r="C7129" s="5" t="str">
        <f>IFERROR(__xludf.DUMMYFUNCTION("GOOGLETRANSLATE(B7129,""en"",""fr"")"),"On voit une femme hébergeant un segment d'actualités s'adressant à la caméra et passe à un groupe d'hommes marchant en ligne droite.")</f>
        <v>On voit une femme hébergeant un segment d'actualités s'adressant à la caméra et passe à un groupe d'hommes marchant en ligne droite.</v>
      </c>
    </row>
    <row r="7130">
      <c r="A7130" s="4" t="s">
        <v>8963</v>
      </c>
      <c r="B7130" s="6" t="s">
        <v>8965</v>
      </c>
      <c r="C7130" s="5" t="str">
        <f>IFERROR(__xludf.DUMMYFUNCTION("GOOGLETRANSLATE(B7130,""en"",""fr"")"),"Les gens se produisent ensuite devant un grand groupe de personnes et un interprète est interviewé entre les deux.")</f>
        <v>Les gens se produisent ensuite devant un grand groupe de personnes et un interprète est interviewé entre les deux.</v>
      </c>
    </row>
    <row r="7131">
      <c r="A7131" s="4" t="s">
        <v>8963</v>
      </c>
      <c r="B7131" s="6" t="s">
        <v>8966</v>
      </c>
      <c r="C7131" s="5" t="str">
        <f>IFERROR(__xludf.DUMMYFUNCTION("GOOGLETRANSLATE(B7131,""en"",""fr"")"),"Le segment des nouvelles commence alors à parler à d'autres personnes du studio qui donnent leurs opinions et se terminent avec l'hôte en riant et en souriant.")</f>
        <v>Le segment des nouvelles commence alors à parler à d'autres personnes du studio qui donnent leurs opinions et se terminent avec l'hôte en riant et en souriant.</v>
      </c>
    </row>
    <row r="7132">
      <c r="A7132" s="4" t="s">
        <v>8967</v>
      </c>
      <c r="B7132" s="6" t="s">
        <v>8968</v>
      </c>
      <c r="C7132" s="5" t="str">
        <f>IFERROR(__xludf.DUMMYFUNCTION("GOOGLETRANSLATE(B7132,""en"",""fr"")"),"Une personne est vue debout devant une grande piste avec des gens assis et debout en le regardant.")</f>
        <v>Une personne est vue debout devant une grande piste avec des gens assis et debout en le regardant.</v>
      </c>
    </row>
    <row r="7133">
      <c r="A7133" s="4" t="s">
        <v>8967</v>
      </c>
      <c r="B7133" s="4" t="s">
        <v>8969</v>
      </c>
      <c r="C7133" s="5" t="str">
        <f>IFERROR(__xludf.DUMMYFUNCTION("GOOGLETRANSLATE(B7133,""en"",""fr"")"),"Les personnes cochent leurs bras et descendent la piste dans la fosse de repos et se retournent.")</f>
        <v>Les personnes cochent leurs bras et descendent la piste dans la fosse de repos et se retournent.</v>
      </c>
    </row>
    <row r="7134">
      <c r="A7134" s="4" t="s">
        <v>8970</v>
      </c>
      <c r="B7134" s="4" t="s">
        <v>8971</v>
      </c>
      <c r="C7134" s="5" t="str">
        <f>IFERROR(__xludf.DUMMYFUNCTION("GOOGLETRANSLATE(B7134,""en"",""fr"")"),"Un homme dans un chapeau blanc tient une boule noire et parle.")</f>
        <v>Un homme dans un chapeau blanc tient une boule noire et parle.</v>
      </c>
    </row>
    <row r="7135">
      <c r="A7135" s="4" t="s">
        <v>8970</v>
      </c>
      <c r="B7135" s="4" t="s">
        <v>8972</v>
      </c>
      <c r="C7135" s="5" t="str">
        <f>IFERROR(__xludf.DUMMYFUNCTION("GOOGLETRANSLATE(B7135,""en"",""fr"")"),"Les gens jouent à un jeu de football en salle.")</f>
        <v>Les gens jouent à un jeu de football en salle.</v>
      </c>
    </row>
    <row r="7136">
      <c r="A7136" s="4" t="s">
        <v>8970</v>
      </c>
      <c r="B7136" s="4" t="s">
        <v>8973</v>
      </c>
      <c r="C7136" s="5" t="str">
        <f>IFERROR(__xludf.DUMMYFUNCTION("GOOGLETRANSLATE(B7136,""en"",""fr"")"),"Un homme dans une veste blanche parle à la caméra.")</f>
        <v>Un homme dans une veste blanche parle à la caméra.</v>
      </c>
    </row>
    <row r="7137">
      <c r="A7137" s="4" t="s">
        <v>8974</v>
      </c>
      <c r="B7137" s="4" t="s">
        <v>8975</v>
      </c>
      <c r="C7137" s="5" t="str">
        <f>IFERROR(__xludf.DUMMYFUNCTION("GOOGLETRANSLATE(B7137,""en"",""fr"")"),"Un homme fait une routine de gymnastique sur des bars parallèles.")</f>
        <v>Un homme fait une routine de gymnastique sur des bars parallèles.</v>
      </c>
    </row>
    <row r="7138">
      <c r="A7138" s="4" t="s">
        <v>8974</v>
      </c>
      <c r="B7138" s="4" t="s">
        <v>8976</v>
      </c>
      <c r="C7138" s="5" t="str">
        <f>IFERROR(__xludf.DUMMYFUNCTION("GOOGLETRANSLATE(B7138,""en"",""fr"")"),"Il démonte et atterrit sur un tapis.")</f>
        <v>Il démonte et atterrit sur un tapis.</v>
      </c>
    </row>
    <row r="7139">
      <c r="A7139" s="4" t="s">
        <v>8974</v>
      </c>
      <c r="B7139" s="4" t="s">
        <v>8977</v>
      </c>
      <c r="C7139" s="5" t="str">
        <f>IFERROR(__xludf.DUMMYFUNCTION("GOOGLETRANSLATE(B7139,""en"",""fr"")"),"Il donne à plusieurs personnes les cinq ans alors qu'il quitte le tapis.")</f>
        <v>Il donne à plusieurs personnes les cinq ans alors qu'il quitte le tapis.</v>
      </c>
    </row>
    <row r="7140">
      <c r="A7140" s="4" t="s">
        <v>8978</v>
      </c>
      <c r="B7140" s="4" t="s">
        <v>8979</v>
      </c>
      <c r="C7140" s="5" t="str">
        <f>IFERROR(__xludf.DUMMYFUNCTION("GOOGLETRANSLATE(B7140,""en"",""fr"")"),"Une femme plus âgée est montrée parler à la caméra et commence à tricoter sur un canapé.")</f>
        <v>Une femme plus âgée est montrée parler à la caméra et commence à tricoter sur un canapé.</v>
      </c>
    </row>
    <row r="7141">
      <c r="A7141" s="4" t="s">
        <v>8978</v>
      </c>
      <c r="B7141" s="6" t="s">
        <v>8980</v>
      </c>
      <c r="C7141" s="5" t="str">
        <f>IFERROR(__xludf.DUMMYFUNCTION("GOOGLETRANSLATE(B7141,""en"",""fr"")"),"Elle continue de parler à la caméra tandis que l'objectif zoomez et hors de ses mains en continuant à tricoter.")</f>
        <v>Elle continue de parler à la caméra tandis que l'objectif zoomez et hors de ses mains en continuant à tricoter.</v>
      </c>
    </row>
    <row r="7142">
      <c r="A7142" s="4" t="s">
        <v>8978</v>
      </c>
      <c r="B7142" s="4" t="s">
        <v>8981</v>
      </c>
      <c r="C7142" s="5" t="str">
        <f>IFERROR(__xludf.DUMMYFUNCTION("GOOGLETRANSLATE(B7142,""en"",""fr"")"),"Elle montre son pull et met finalement son équipement de tricot.")</f>
        <v>Elle montre son pull et met finalement son équipement de tricot.</v>
      </c>
    </row>
    <row r="7143">
      <c r="A7143" s="4" t="s">
        <v>8982</v>
      </c>
      <c r="B7143" s="6" t="s">
        <v>8983</v>
      </c>
      <c r="C7143" s="5" t="str">
        <f>IFERROR(__xludf.DUMMYFUNCTION("GOOGLETRANSLATE(B7143,""en"",""fr"")"),"Il y a un jeune garçon debout dans sa cuisine avec une cruche d'eau, des citrons et des pommes derrière lui sur le comptoir.")</f>
        <v>Il y a un jeune garçon debout dans sa cuisine avec une cruche d'eau, des citrons et des pommes derrière lui sur le comptoir.</v>
      </c>
    </row>
    <row r="7144">
      <c r="A7144" s="4" t="s">
        <v>8982</v>
      </c>
      <c r="B7144" s="4" t="s">
        <v>8984</v>
      </c>
      <c r="C7144" s="5" t="str">
        <f>IFERROR(__xludf.DUMMYFUNCTION("GOOGLETRANSLATE(B7144,""en"",""fr"")"),"Il pointe vers les citrons.")</f>
        <v>Il pointe vers les citrons.</v>
      </c>
    </row>
    <row r="7145">
      <c r="A7145" s="4" t="s">
        <v>8982</v>
      </c>
      <c r="B7145" s="4" t="s">
        <v>8985</v>
      </c>
      <c r="C7145" s="5" t="str">
        <f>IFERROR(__xludf.DUMMYFUNCTION("GOOGLETRANSLATE(B7145,""en"",""fr"")"),"Sa mère vient et l'aide à faire sortir le jus des citrons.")</f>
        <v>Sa mère vient et l'aide à faire sortir le jus des citrons.</v>
      </c>
    </row>
    <row r="7146">
      <c r="A7146" s="4" t="s">
        <v>8982</v>
      </c>
      <c r="B7146" s="4" t="s">
        <v>8986</v>
      </c>
      <c r="C7146" s="5" t="str">
        <f>IFERROR(__xludf.DUMMYFUNCTION("GOOGLETRANSLATE(B7146,""en"",""fr"")"),"La mère et le fils utilisent un presse-agrumes de citron pour presser le jus et l'ajouter à la cruche d'eau.")</f>
        <v>La mère et le fils utilisent un presse-agrumes de citron pour presser le jus et l'ajouter à la cruche d'eau.</v>
      </c>
    </row>
    <row r="7147">
      <c r="A7147" s="4" t="s">
        <v>8982</v>
      </c>
      <c r="B7147" s="6" t="s">
        <v>8987</v>
      </c>
      <c r="C7147" s="5" t="str">
        <f>IFERROR(__xludf.DUMMYFUNCTION("GOOGLETRANSLATE(B7147,""en"",""fr"")"),"La mère s'assure que tout le jus est correctement serré hors des citrons, alors elle utilise ses mains.")</f>
        <v>La mère s'assure que tout le jus est correctement serré hors des citrons, alors elle utilise ses mains.</v>
      </c>
    </row>
    <row r="7148">
      <c r="A7148" s="4" t="s">
        <v>8982</v>
      </c>
      <c r="B7148" s="4" t="s">
        <v>8988</v>
      </c>
      <c r="C7148" s="5" t="str">
        <f>IFERROR(__xludf.DUMMYFUNCTION("GOOGLETRANSLATE(B7148,""en"",""fr"")"),"Ensuite, elle ajoute du colorant alimentaire à la limonade et le remue bien.")</f>
        <v>Ensuite, elle ajoute du colorant alimentaire à la limonade et le remue bien.</v>
      </c>
    </row>
    <row r="7149">
      <c r="A7149" s="4" t="s">
        <v>8982</v>
      </c>
      <c r="B7149" s="4" t="s">
        <v>8989</v>
      </c>
      <c r="C7149" s="5" t="str">
        <f>IFERROR(__xludf.DUMMYFUNCTION("GOOGLETRANSLATE(B7149,""en"",""fr"")"),"Elle verse ensuite la limonade dans un verre avec de la glace et la donne à son fils.")</f>
        <v>Elle verse ensuite la limonade dans un verre avec de la glace et la donne à son fils.</v>
      </c>
    </row>
    <row r="7150">
      <c r="A7150" s="4" t="s">
        <v>8982</v>
      </c>
      <c r="B7150" s="4" t="s">
        <v>8990</v>
      </c>
      <c r="C7150" s="5" t="str">
        <f>IFERROR(__xludf.DUMMYFUNCTION("GOOGLETRANSLATE(B7150,""en"",""fr"")"),"Il prend une gorgée de la limonade et sourit.")</f>
        <v>Il prend une gorgée de la limonade et sourit.</v>
      </c>
    </row>
    <row r="7151">
      <c r="A7151" s="4" t="s">
        <v>8991</v>
      </c>
      <c r="B7151" s="6" t="s">
        <v>8992</v>
      </c>
      <c r="C7151" s="5" t="str">
        <f>IFERROR(__xludf.DUMMYFUNCTION("GOOGLETRANSLATE(B7151,""en"",""fr"")"),"Une image d'un homme est vue et mène à un homme se penchant sur une pelouse et effectuant divers mouvements de danse.")</f>
        <v>Une image d'un homme est vue et mène à un homme se penchant sur une pelouse et effectuant divers mouvements de danse.</v>
      </c>
    </row>
    <row r="7152">
      <c r="A7152" s="4" t="s">
        <v>8991</v>
      </c>
      <c r="B7152" s="6" t="s">
        <v>8993</v>
      </c>
      <c r="C7152" s="5" t="str">
        <f>IFERROR(__xludf.DUMMYFUNCTION("GOOGLETRANSLATE(B7152,""en"",""fr"")"),"L'homme chante tout en effectuant sa routine et est ensuite vu traverser la cour avec une tondeuse à gazon.")</f>
        <v>L'homme chante tout en effectuant sa routine et est ensuite vu traverser la cour avec une tondeuse à gazon.</v>
      </c>
    </row>
    <row r="7153">
      <c r="A7153" s="4" t="s">
        <v>8991</v>
      </c>
      <c r="B7153" s="6" t="s">
        <v>8994</v>
      </c>
      <c r="C7153" s="5" t="str">
        <f>IFERROR(__xludf.DUMMYFUNCTION("GOOGLETRANSLATE(B7153,""en"",""fr"")"),"Plus de danse et de chant sont visibles, une photo des cartes de maintien est montrée et se termine avec lui coupant l'herbe et se tenant avec un ami.")</f>
        <v>Plus de danse et de chant sont visibles, une photo des cartes de maintien est montrée et se termine avec lui coupant l'herbe et se tenant avec un ami.</v>
      </c>
    </row>
    <row r="7154">
      <c r="A7154" s="4" t="s">
        <v>8995</v>
      </c>
      <c r="B7154" s="4" t="s">
        <v>8996</v>
      </c>
      <c r="C7154" s="5" t="str">
        <f>IFERROR(__xludf.DUMMYFUNCTION("GOOGLETRANSLATE(B7154,""en"",""fr"")"),"Une femme se dirige vers un paradis et une brouette alors qu'elle parle.")</f>
        <v>Une femme se dirige vers un paradis et une brouette alors qu'elle parle.</v>
      </c>
    </row>
    <row r="7155">
      <c r="A7155" s="4" t="s">
        <v>8995</v>
      </c>
      <c r="B7155" s="6" t="s">
        <v>8997</v>
      </c>
      <c r="C7155" s="5" t="str">
        <f>IFERROR(__xludf.DUMMYFUNCTION("GOOGLETRANSLATE(B7155,""en"",""fr"")"),"Elle montre comment paillir, ramasser le matériau et montrer comment l'emballer autour des plantes.")</f>
        <v>Elle montre comment paillir, ramasser le matériau et montrer comment l'emballer autour des plantes.</v>
      </c>
    </row>
    <row r="7156">
      <c r="A7156" s="4" t="s">
        <v>8998</v>
      </c>
      <c r="B7156" s="4" t="s">
        <v>8999</v>
      </c>
      <c r="C7156" s="5" t="str">
        <f>IFERROR(__xludf.DUMMYFUNCTION("GOOGLETRANSLATE(B7156,""en"",""fr"")"),"Deux filles sont sur un terrain de basket en salle.")</f>
        <v>Deux filles sont sur un terrain de basket en salle.</v>
      </c>
    </row>
    <row r="7157">
      <c r="A7157" s="4" t="s">
        <v>8998</v>
      </c>
      <c r="B7157" s="4" t="s">
        <v>9000</v>
      </c>
      <c r="C7157" s="5" t="str">
        <f>IFERROR(__xludf.DUMMYFUNCTION("GOOGLETRANSLATE(B7157,""en"",""fr"")"),"Ils jouent à l'aide de bâtons et portent des robes violettes.")</f>
        <v>Ils jouent à l'aide de bâtons et portent des robes violettes.</v>
      </c>
    </row>
    <row r="7158">
      <c r="A7158" s="4" t="s">
        <v>8998</v>
      </c>
      <c r="B7158" s="4" t="s">
        <v>9001</v>
      </c>
      <c r="C7158" s="5" t="str">
        <f>IFERROR(__xludf.DUMMYFUNCTION("GOOGLETRANSLATE(B7158,""en"",""fr"")"),"Ils tournent et jettent, jetant les matraques en l'air pendant qu'ils se produisent.")</f>
        <v>Ils tournent et jettent, jetant les matraques en l'air pendant qu'ils se produisent.</v>
      </c>
    </row>
    <row r="7159">
      <c r="A7159" s="4" t="s">
        <v>9002</v>
      </c>
      <c r="B7159" s="4" t="s">
        <v>9003</v>
      </c>
      <c r="C7159" s="5" t="str">
        <f>IFERROR(__xludf.DUMMYFUNCTION("GOOGLETRANSLATE(B7159,""en"",""fr"")"),"Une caméra et un logo apparaissent brièvement.")</f>
        <v>Une caméra et un logo apparaissent brièvement.</v>
      </c>
    </row>
    <row r="7160">
      <c r="A7160" s="4" t="s">
        <v>9002</v>
      </c>
      <c r="B7160" s="4" t="s">
        <v>9004</v>
      </c>
      <c r="C7160" s="5" t="str">
        <f>IFERROR(__xludf.DUMMYFUNCTION("GOOGLETRANSLATE(B7160,""en"",""fr"")"),"Une personne se réveille sur un lac tout en étant remorqué.")</f>
        <v>Une personne se réveille sur un lac tout en étant remorqué.</v>
      </c>
    </row>
    <row r="7161">
      <c r="A7161" s="4" t="s">
        <v>9002</v>
      </c>
      <c r="B7161" s="4" t="s">
        <v>9005</v>
      </c>
      <c r="C7161" s="5" t="str">
        <f>IFERROR(__xludf.DUMMYFUNCTION("GOOGLETRANSLATE(B7161,""en"",""fr"")"),"Ils passent une personne dans l'eau.")</f>
        <v>Ils passent une personne dans l'eau.</v>
      </c>
    </row>
    <row r="7162">
      <c r="A7162" s="4" t="s">
        <v>9002</v>
      </c>
      <c r="B7162" s="4" t="s">
        <v>9006</v>
      </c>
      <c r="C7162" s="5" t="str">
        <f>IFERROR(__xludf.DUMMYFUNCTION("GOOGLETRANSLATE(B7162,""en"",""fr"")"),"Ils s'arrêtent d'un quai.")</f>
        <v>Ils s'arrêtent d'un quai.</v>
      </c>
    </row>
    <row r="7163">
      <c r="A7163" s="4" t="s">
        <v>9007</v>
      </c>
      <c r="B7163" s="6" t="s">
        <v>9008</v>
      </c>
      <c r="C7163" s="5" t="str">
        <f>IFERROR(__xludf.DUMMYFUNCTION("GOOGLETRANSLATE(B7163,""en"",""fr"")"),"Un écran noir est illustré avec des mots verts, puis l'écran se déplace vers un livre blanc avec des mots noirs.")</f>
        <v>Un écran noir est illustré avec des mots verts, puis l'écran se déplace vers un livre blanc avec des mots noirs.</v>
      </c>
    </row>
    <row r="7164">
      <c r="A7164" s="4" t="s">
        <v>9007</v>
      </c>
      <c r="B7164" s="4" t="s">
        <v>9009</v>
      </c>
      <c r="C7164" s="5" t="str">
        <f>IFERROR(__xludf.DUMMYFUNCTION("GOOGLETRANSLATE(B7164,""en"",""fr"")"),"Après, une équipe de crosse verte apparaît et elle commence à concourir.")</f>
        <v>Après, une équipe de crosse verte apparaît et elle commence à concourir.</v>
      </c>
    </row>
    <row r="7165">
      <c r="A7165" s="4" t="s">
        <v>9007</v>
      </c>
      <c r="B7165" s="4" t="s">
        <v>9010</v>
      </c>
      <c r="C7165" s="5" t="str">
        <f>IFERROR(__xludf.DUMMYFUNCTION("GOOGLETRANSLATE(B7165,""en"",""fr"")"),"Quelqu'un fait un but, puis le ballon est remis au milieu du terrain.")</f>
        <v>Quelqu'un fait un but, puis le ballon est remis au milieu du terrain.</v>
      </c>
    </row>
    <row r="7166">
      <c r="A7166" s="4" t="s">
        <v>9007</v>
      </c>
      <c r="B7166" s="4" t="s">
        <v>9011</v>
      </c>
      <c r="C7166" s="5" t="str">
        <f>IFERROR(__xludf.DUMMYFUNCTION("GOOGLETRANSLATE(B7166,""en"",""fr"")"),"Quand ils sont terminés, les images fixes du jeu sont affichées.")</f>
        <v>Quand ils sont terminés, les images fixes du jeu sont affichées.</v>
      </c>
    </row>
    <row r="7167">
      <c r="A7167" s="4" t="s">
        <v>9007</v>
      </c>
      <c r="B7167" s="4" t="s">
        <v>9012</v>
      </c>
      <c r="C7167" s="5" t="str">
        <f>IFERROR(__xludf.DUMMYFUNCTION("GOOGLETRANSLATE(B7167,""en"",""fr"")"),"Enfin, un écran noir apparaît et le score est affiché en écriture bleu et vert.")</f>
        <v>Enfin, un écran noir apparaît et le score est affiché en écriture bleu et vert.</v>
      </c>
    </row>
    <row r="7168">
      <c r="A7168" s="4" t="s">
        <v>9013</v>
      </c>
      <c r="B7168" s="4" t="s">
        <v>9014</v>
      </c>
      <c r="C7168" s="5" t="str">
        <f>IFERROR(__xludf.DUMMYFUNCTION("GOOGLETRANSLATE(B7168,""en"",""fr"")"),"Les gens jouent des instruments marchant dans une rue.")</f>
        <v>Les gens jouent des instruments marchant dans une rue.</v>
      </c>
    </row>
    <row r="7169">
      <c r="A7169" s="4" t="s">
        <v>9013</v>
      </c>
      <c r="B7169" s="4" t="s">
        <v>9015</v>
      </c>
      <c r="C7169" s="5" t="str">
        <f>IFERROR(__xludf.DUMMYFUNCTION("GOOGLETRANSLATE(B7169,""en"",""fr"")"),"Ils commencent à marcher en cercle dans une pièce.")</f>
        <v>Ils commencent à marcher en cercle dans une pièce.</v>
      </c>
    </row>
    <row r="7170">
      <c r="A7170" s="4" t="s">
        <v>9013</v>
      </c>
      <c r="B7170" s="4" t="s">
        <v>9016</v>
      </c>
      <c r="C7170" s="5" t="str">
        <f>IFERROR(__xludf.DUMMYFUNCTION("GOOGLETRANSLATE(B7170,""en"",""fr"")"),"Une personne tenant un bâton se tient devant le groupe.")</f>
        <v>Une personne tenant un bâton se tient devant le groupe.</v>
      </c>
    </row>
    <row r="7171">
      <c r="A7171" s="4" t="s">
        <v>9017</v>
      </c>
      <c r="B7171" s="4" t="s">
        <v>9018</v>
      </c>
      <c r="C7171" s="5" t="str">
        <f>IFERROR(__xludf.DUMMYFUNCTION("GOOGLETRANSLATE(B7171,""en"",""fr"")"),"Un homme se tient sur le toit d'un bâtiment et deux autres apparaissent.")</f>
        <v>Un homme se tient sur le toit d'un bâtiment et deux autres apparaissent.</v>
      </c>
    </row>
    <row r="7172">
      <c r="A7172" s="4" t="s">
        <v>9017</v>
      </c>
      <c r="B7172" s="4" t="s">
        <v>9019</v>
      </c>
      <c r="C7172" s="5" t="str">
        <f>IFERROR(__xludf.DUMMYFUNCTION("GOOGLETRANSLATE(B7172,""en"",""fr"")"),"Ils volent des cerfs-volants en l'air au-dessus du bâtiment en brique.")</f>
        <v>Ils volent des cerfs-volants en l'air au-dessus du bâtiment en brique.</v>
      </c>
    </row>
    <row r="7173">
      <c r="A7173" s="4" t="s">
        <v>9017</v>
      </c>
      <c r="B7173" s="4" t="s">
        <v>9020</v>
      </c>
      <c r="C7173" s="5" t="str">
        <f>IFERROR(__xludf.DUMMYFUNCTION("GOOGLETRANSLATE(B7173,""en"",""fr"")"),"Les hommes font plonger les cerfs-volants et plonger pendant qu'ils parlent et interagissent.")</f>
        <v>Les hommes font plonger les cerfs-volants et plonger pendant qu'ils parlent et interagissent.</v>
      </c>
    </row>
    <row r="7174">
      <c r="A7174" s="4" t="s">
        <v>9021</v>
      </c>
      <c r="B7174" s="4" t="s">
        <v>9022</v>
      </c>
      <c r="C7174" s="5" t="str">
        <f>IFERROR(__xludf.DUMMYFUNCTION("GOOGLETRANSLATE(B7174,""en"",""fr"")"),"Une scène extérieure près de la plage montre une grande foule près d'une station balnéaire.")</f>
        <v>Une scène extérieure près de la plage montre une grande foule près d'une station balnéaire.</v>
      </c>
    </row>
    <row r="7175">
      <c r="A7175" s="4" t="s">
        <v>9021</v>
      </c>
      <c r="B7175" s="4" t="s">
        <v>9023</v>
      </c>
      <c r="C7175" s="5" t="str">
        <f>IFERROR(__xludf.DUMMYFUNCTION("GOOGLETRANSLATE(B7175,""en"",""fr"")"),"Ils applaudissent alors que plusieurs skateurs professionnels effectuent des cascades dans une fosse de rampe.")</f>
        <v>Ils applaudissent alors que plusieurs skateurs professionnels effectuent des cascades dans une fosse de rampe.</v>
      </c>
    </row>
    <row r="7176">
      <c r="A7176" s="4" t="s">
        <v>9021</v>
      </c>
      <c r="B7176" s="4" t="s">
        <v>9024</v>
      </c>
      <c r="C7176" s="5" t="str">
        <f>IFERROR(__xludf.DUMMYFUNCTION("GOOGLETRANSLATE(B7176,""en"",""fr"")"),"Le retournement et tournez dans l'air, montant et descendant la rampe.")</f>
        <v>Le retournement et tournez dans l'air, montant et descendant la rampe.</v>
      </c>
    </row>
    <row r="7177">
      <c r="A7177" s="4" t="s">
        <v>9021</v>
      </c>
      <c r="B7177" s="4" t="s">
        <v>9025</v>
      </c>
      <c r="C7177" s="5" t="str">
        <f>IFERROR(__xludf.DUMMYFUNCTION("GOOGLETRANSLATE(B7177,""en"",""fr"")"),"Les gagnants posent pour des photos avec des gâteaux lorsqu'ils ont terminé.")</f>
        <v>Les gagnants posent pour des photos avec des gâteaux lorsqu'ils ont terminé.</v>
      </c>
    </row>
    <row r="7178">
      <c r="A7178" s="4" t="s">
        <v>9026</v>
      </c>
      <c r="B7178" s="4" t="s">
        <v>9027</v>
      </c>
      <c r="C7178" s="5" t="str">
        <f>IFERROR(__xludf.DUMMYFUNCTION("GOOGLETRANSLATE(B7178,""en"",""fr"")"),"Les enfants conduisent sur les tampants qui tournent et se heurtent.")</f>
        <v>Les enfants conduisent sur les tampants qui tournent et se heurtent.</v>
      </c>
    </row>
    <row r="7179">
      <c r="A7179" s="4" t="s">
        <v>9026</v>
      </c>
      <c r="B7179" s="4" t="s">
        <v>9028</v>
      </c>
      <c r="C7179" s="5" t="str">
        <f>IFERROR(__xludf.DUMMYFUNCTION("GOOGLETRANSLATE(B7179,""en"",""fr"")"),"Kid porte une chemise bleue et se heurte à la clôture tenant les poignées avec les deux mains.")</f>
        <v>Kid porte une chemise bleue et se heurte à la clôture tenant les poignées avec les deux mains.</v>
      </c>
    </row>
    <row r="7180">
      <c r="A7180" s="4" t="s">
        <v>9026</v>
      </c>
      <c r="B7180" s="4" t="s">
        <v>9029</v>
      </c>
      <c r="C7180" s="5" t="str">
        <f>IFERROR(__xludf.DUMMYFUNCTION("GOOGLETRANSLATE(B7180,""en"",""fr"")"),"Girl porte une veste en cuir qui tourne dans la voiture de pare-chocs dans la voiture d'amusement.")</f>
        <v>Girl porte une veste en cuir qui tourne dans la voiture de pare-chocs dans la voiture d'amusement.</v>
      </c>
    </row>
    <row r="7181">
      <c r="A7181" s="4" t="s">
        <v>9030</v>
      </c>
      <c r="B7181" s="4" t="s">
        <v>9031</v>
      </c>
      <c r="C7181" s="5" t="str">
        <f>IFERROR(__xludf.DUMMYFUNCTION("GOOGLETRANSLATE(B7181,""en"",""fr"")"),"Il y a un jeune homme portant une chemise bleue et un skateboard de casque noir sur une route à double sens.")</f>
        <v>Il y a un jeune homme portant une chemise bleue et un skateboard de casque noir sur une route à double sens.</v>
      </c>
    </row>
    <row r="7182">
      <c r="A7182" s="4" t="s">
        <v>9030</v>
      </c>
      <c r="B7182" s="4" t="s">
        <v>9032</v>
      </c>
      <c r="C7182" s="5" t="str">
        <f>IFERROR(__xludf.DUMMYFUNCTION("GOOGLETRANSLATE(B7182,""en"",""fr"")"),"Il va à une vitesse régulière et rapide alors qu'il passe à travers quelques voitures et beaucoup d'arbres.")</f>
        <v>Il va à une vitesse régulière et rapide alors qu'il passe à travers quelques voitures et beaucoup d'arbres.</v>
      </c>
    </row>
    <row r="7183">
      <c r="A7183" s="4" t="s">
        <v>9030</v>
      </c>
      <c r="B7183" s="4" t="s">
        <v>9033</v>
      </c>
      <c r="C7183" s="5" t="str">
        <f>IFERROR(__xludf.DUMMYFUNCTION("GOOGLETRANSLATE(B7183,""en"",""fr"")"),"Il traverse également certaines zones résidentielles pendant les planches à roulettes.")</f>
        <v>Il traverse également certaines zones résidentielles pendant les planches à roulettes.</v>
      </c>
    </row>
    <row r="7184">
      <c r="A7184" s="4" t="s">
        <v>9030</v>
      </c>
      <c r="B7184" s="4" t="s">
        <v>9034</v>
      </c>
      <c r="C7184" s="5" t="str">
        <f>IFERROR(__xludf.DUMMYFUNCTION("GOOGLETRANSLATE(B7184,""en"",""fr"")"),"Il ralentit finalement alors que le caméraman s'approche d'une voiture grise.")</f>
        <v>Il ralentit finalement alors que le caméraman s'approche d'une voiture grise.</v>
      </c>
    </row>
    <row r="7185">
      <c r="A7185" s="4" t="s">
        <v>9030</v>
      </c>
      <c r="B7185" s="4" t="s">
        <v>9035</v>
      </c>
      <c r="C7185" s="5" t="str">
        <f>IFERROR(__xludf.DUMMYFUNCTION("GOOGLETRANSLATE(B7185,""en"",""fr"")"),"Le caméraman monte dans la voiture et emmène la planche à roulettes.")</f>
        <v>Le caméraman monte dans la voiture et emmène la planche à roulettes.</v>
      </c>
    </row>
    <row r="7186">
      <c r="A7186" s="4" t="s">
        <v>9030</v>
      </c>
      <c r="B7186" s="4" t="s">
        <v>9036</v>
      </c>
      <c r="C7186" s="5" t="str">
        <f>IFERROR(__xludf.DUMMYFUNCTION("GOOGLETRANSLATE(B7186,""en"",""fr"")"),"Le skateur est à genoux sur le côté de la route principale.")</f>
        <v>Le skateur est à genoux sur le côté de la route principale.</v>
      </c>
    </row>
    <row r="7187">
      <c r="A7187" s="4" t="s">
        <v>9030</v>
      </c>
      <c r="B7187" s="4" t="s">
        <v>9037</v>
      </c>
      <c r="C7187" s="5" t="str">
        <f>IFERROR(__xludf.DUMMYFUNCTION("GOOGLETRANSLATE(B7187,""en"",""fr"")"),"Il se lève ensuite et s'éloigne.")</f>
        <v>Il se lève ensuite et s'éloigne.</v>
      </c>
    </row>
    <row r="7188">
      <c r="A7188" s="4" t="s">
        <v>9038</v>
      </c>
      <c r="B7188" s="4" t="s">
        <v>9039</v>
      </c>
      <c r="C7188" s="5" t="str">
        <f>IFERROR(__xludf.DUMMYFUNCTION("GOOGLETRANSLATE(B7188,""en"",""fr"")"),"Nous voyons un magazine sur fond noir.")</f>
        <v>Nous voyons un magazine sur fond noir.</v>
      </c>
    </row>
    <row r="7189">
      <c r="A7189" s="4" t="s">
        <v>9038</v>
      </c>
      <c r="B7189" s="4" t="s">
        <v>9040</v>
      </c>
      <c r="C7189" s="5" t="str">
        <f>IFERROR(__xludf.DUMMYFUNCTION("GOOGLETRANSLATE(B7189,""en"",""fr"")"),"Les gens commencent à courir sur des routes de campagne dans un marathon.")</f>
        <v>Les gens commencent à courir sur des routes de campagne dans un marathon.</v>
      </c>
    </row>
    <row r="7190">
      <c r="A7190" s="4" t="s">
        <v>9038</v>
      </c>
      <c r="B7190" s="4" t="s">
        <v>9041</v>
      </c>
      <c r="C7190" s="5" t="str">
        <f>IFERROR(__xludf.DUMMYFUNCTION("GOOGLETRANSLATE(B7190,""en"",""fr"")"),"Nous les voyons prendre des boissons à une table.")</f>
        <v>Nous les voyons prendre des boissons à une table.</v>
      </c>
    </row>
    <row r="7191">
      <c r="A7191" s="4" t="s">
        <v>9038</v>
      </c>
      <c r="B7191" s="4" t="s">
        <v>9042</v>
      </c>
      <c r="C7191" s="5" t="str">
        <f>IFERROR(__xludf.DUMMYFUNCTION("GOOGLETRANSLATE(B7191,""en"",""fr"")"),"Un homme court et tient une caméra face à lui-même.")</f>
        <v>Un homme court et tient une caméra face à lui-même.</v>
      </c>
    </row>
    <row r="7192">
      <c r="A7192" s="4" t="s">
        <v>9038</v>
      </c>
      <c r="B7192" s="4" t="s">
        <v>9043</v>
      </c>
      <c r="C7192" s="5" t="str">
        <f>IFERROR(__xludf.DUMMYFUNCTION("GOOGLETRANSLATE(B7192,""en"",""fr"")"),"L'homme qui court est revu.")</f>
        <v>L'homme qui court est revu.</v>
      </c>
    </row>
    <row r="7193">
      <c r="A7193" s="4" t="s">
        <v>9038</v>
      </c>
      <c r="B7193" s="4" t="s">
        <v>9044</v>
      </c>
      <c r="C7193" s="5" t="str">
        <f>IFERROR(__xludf.DUMMYFUNCTION("GOOGLETRANSLATE(B7193,""en"",""fr"")"),"Nous voyons une personne pointer sur un lac.")</f>
        <v>Nous voyons une personne pointer sur un lac.</v>
      </c>
    </row>
    <row r="7194">
      <c r="A7194" s="4" t="s">
        <v>9038</v>
      </c>
      <c r="B7194" s="4" t="s">
        <v>9045</v>
      </c>
      <c r="C7194" s="5" t="str">
        <f>IFERROR(__xludf.DUMMYFUNCTION("GOOGLETRANSLATE(B7194,""en"",""fr"")"),"Nous franchissons la ligne d'arrivée.")</f>
        <v>Nous franchissons la ligne d'arrivée.</v>
      </c>
    </row>
    <row r="7195">
      <c r="A7195" s="4" t="s">
        <v>9038</v>
      </c>
      <c r="B7195" s="4" t="s">
        <v>9046</v>
      </c>
      <c r="C7195" s="5" t="str">
        <f>IFERROR(__xludf.DUMMYFUNCTION("GOOGLETRANSLATE(B7195,""en"",""fr"")"),"Un homme est dans un lac se refroidir.")</f>
        <v>Un homme est dans un lac se refroidir.</v>
      </c>
    </row>
    <row r="7196">
      <c r="A7196" s="4" t="s">
        <v>9038</v>
      </c>
      <c r="B7196" s="4" t="s">
        <v>3608</v>
      </c>
      <c r="C7196" s="5" t="str">
        <f>IFERROR(__xludf.DUMMYFUNCTION("GOOGLETRANSLATE(B7196,""en"",""fr"")"),"Nous voyons l'écran de fin.")</f>
        <v>Nous voyons l'écran de fin.</v>
      </c>
    </row>
    <row r="7197">
      <c r="A7197" s="4" t="s">
        <v>9047</v>
      </c>
      <c r="B7197" s="4" t="s">
        <v>9048</v>
      </c>
      <c r="C7197" s="5" t="str">
        <f>IFERROR(__xludf.DUMMYFUNCTION("GOOGLETRANSLATE(B7197,""en"",""fr"")"),"Un gros plan est illustré à une pièce avec une fenêtre.")</f>
        <v>Un gros plan est illustré à une pièce avec une fenêtre.</v>
      </c>
    </row>
    <row r="7198">
      <c r="A7198" s="4" t="s">
        <v>9047</v>
      </c>
      <c r="B7198" s="4" t="s">
        <v>9049</v>
      </c>
      <c r="C7198" s="5" t="str">
        <f>IFERROR(__xludf.DUMMYFUNCTION("GOOGLETRANSLATE(B7198,""en"",""fr"")"),"Un homme lisse la boue sur le mur.")</f>
        <v>Un homme lisse la boue sur le mur.</v>
      </c>
    </row>
    <row r="7199">
      <c r="A7199" s="4" t="s">
        <v>9047</v>
      </c>
      <c r="B7199" s="4" t="s">
        <v>9050</v>
      </c>
      <c r="C7199" s="5" t="str">
        <f>IFERROR(__xludf.DUMMYFUNCTION("GOOGLETRANSLATE(B7199,""en"",""fr"")"),"Il mesure et coupe puis se propage à nouveau.")</f>
        <v>Il mesure et coupe puis se propage à nouveau.</v>
      </c>
    </row>
    <row r="7200">
      <c r="A7200" s="4" t="s">
        <v>9047</v>
      </c>
      <c r="B7200" s="4" t="s">
        <v>9051</v>
      </c>
      <c r="C7200" s="5" t="str">
        <f>IFERROR(__xludf.DUMMYFUNCTION("GOOGLETRANSLATE(B7200,""en"",""fr"")"),"Quand il a terminé, le mur est complètement lisse.")</f>
        <v>Quand il a terminé, le mur est complètement lisse.</v>
      </c>
    </row>
    <row r="7201">
      <c r="A7201" s="4" t="s">
        <v>9052</v>
      </c>
      <c r="B7201" s="4" t="s">
        <v>9053</v>
      </c>
      <c r="C7201" s="5" t="str">
        <f>IFERROR(__xludf.DUMMYFUNCTION("GOOGLETRANSLATE(B7201,""en"",""fr"")"),"Un jeune enfant recule et quatrième sur une balançoire en riant et en souriant à la caméra.")</f>
        <v>Un jeune enfant recule et quatrième sur une balançoire en riant et en souriant à la caméra.</v>
      </c>
    </row>
    <row r="7202">
      <c r="A7202" s="4" t="s">
        <v>9052</v>
      </c>
      <c r="B7202" s="4" t="s">
        <v>9054</v>
      </c>
      <c r="C7202" s="5" t="str">
        <f>IFERROR(__xludf.DUMMYFUNCTION("GOOGLETRANSLATE(B7202,""en"",""fr"")"),"L'enfant continue de pomper les jambes puis est raide tout en regardant au loin.")</f>
        <v>L'enfant continue de pomper les jambes puis est raide tout en regardant au loin.</v>
      </c>
    </row>
    <row r="7203">
      <c r="A7203" s="4" t="s">
        <v>9055</v>
      </c>
      <c r="B7203" s="4" t="s">
        <v>9056</v>
      </c>
      <c r="C7203" s="5" t="str">
        <f>IFERROR(__xludf.DUMMYFUNCTION("GOOGLETRANSLATE(B7203,""en"",""fr"")"),"Un tas de gens jouent à Beer Pong dans différentes tenues.")</f>
        <v>Un tas de gens jouent à Beer Pong dans différentes tenues.</v>
      </c>
    </row>
    <row r="7204">
      <c r="A7204" s="4" t="s">
        <v>9055</v>
      </c>
      <c r="B7204" s="4" t="s">
        <v>9057</v>
      </c>
      <c r="C7204" s="5" t="str">
        <f>IFERROR(__xludf.DUMMYFUNCTION("GOOGLETRANSLATE(B7204,""en"",""fr"")"),"Ensuite, les gens bang une bière.")</f>
        <v>Ensuite, les gens bang une bière.</v>
      </c>
    </row>
    <row r="7205">
      <c r="A7205" s="4" t="s">
        <v>9055</v>
      </c>
      <c r="B7205" s="4" t="s">
        <v>9058</v>
      </c>
      <c r="C7205" s="5" t="str">
        <f>IFERROR(__xludf.DUMMYFUNCTION("GOOGLETRANSLATE(B7205,""en"",""fr"")"),"Beaucoup de danse se produit à la fin.")</f>
        <v>Beaucoup de danse se produit à la fin.</v>
      </c>
    </row>
    <row r="7206">
      <c r="A7206" s="4" t="s">
        <v>9059</v>
      </c>
      <c r="B7206" s="4" t="s">
        <v>9060</v>
      </c>
      <c r="C7206" s="5" t="str">
        <f>IFERROR(__xludf.DUMMYFUNCTION("GOOGLETRANSLATE(B7206,""en"",""fr"")"),"La femme est assise devant une table blanche tenant une citrouille d'Halloween.")</f>
        <v>La femme est assise devant une table blanche tenant une citrouille d'Halloween.</v>
      </c>
    </row>
    <row r="7207">
      <c r="A7207" s="4" t="s">
        <v>9059</v>
      </c>
      <c r="B7207" s="4" t="s">
        <v>9061</v>
      </c>
      <c r="C7207" s="5" t="str">
        <f>IFERROR(__xludf.DUMMYFUNCTION("GOOGLETRANSLATE(B7207,""en"",""fr"")"),"La femme tient un couteau et coupe la tête de citrouille et retire toutes les graines de l'intérieur.")</f>
        <v>La femme tient un couteau et coupe la tête de citrouille et retire toutes les graines de l'intérieur.</v>
      </c>
    </row>
    <row r="7208">
      <c r="A7208" s="4" t="s">
        <v>9059</v>
      </c>
      <c r="B7208" s="4" t="s">
        <v>9062</v>
      </c>
      <c r="C7208" s="5" t="str">
        <f>IFERROR(__xludf.DUMMYFUNCTION("GOOGLETRANSLATE(B7208,""en"",""fr"")"),"Femme Daw le visage avec des marqueurs noirs et ouvrez les trous sur la citrouille.")</f>
        <v>Femme Daw le visage avec des marqueurs noirs et ouvrez les trous sur la citrouille.</v>
      </c>
    </row>
    <row r="7209">
      <c r="A7209" s="4" t="s">
        <v>9063</v>
      </c>
      <c r="B7209" s="6" t="s">
        <v>9064</v>
      </c>
      <c r="C7209" s="5" t="str">
        <f>IFERROR(__xludf.DUMMYFUNCTION("GOOGLETRANSLATE(B7209,""en"",""fr"")"),"Un homme en chemise noire traque devant la caméra, puis le calendrier puis le dessin est illustré.")</f>
        <v>Un homme en chemise noire traque devant la caméra, puis le calendrier puis le dessin est illustré.</v>
      </c>
    </row>
    <row r="7210">
      <c r="A7210" s="4" t="s">
        <v>9063</v>
      </c>
      <c r="B7210" s="6" t="s">
        <v>9065</v>
      </c>
      <c r="C7210" s="5" t="str">
        <f>IFERROR(__xludf.DUMMYFUNCTION("GOOGLETRANSLATE(B7210,""en"",""fr"")"),"L'homme blonde parle devant la caméra, tandis que derrière lui est une rampe vide, puis la planche à roulettes dans une rampe en bois, puis montre comment skateboard, puis il skateboard et a fait des tours sur une rampe en bois, puis il continue Pour parl"&amp;"er, puis skateboard à nouveau.")</f>
        <v>L'homme blonde parle devant la caméra, tandis que derrière lui est une rampe vide, puis la planche à roulettes dans une rampe en bois, puis montre comment skateboard, puis il skateboard et a fait des tours sur une rampe en bois, puis il continue Pour parler, puis skateboard à nouveau.</v>
      </c>
    </row>
    <row r="7211">
      <c r="A7211" s="4" t="s">
        <v>9066</v>
      </c>
      <c r="B7211" s="4" t="s">
        <v>9067</v>
      </c>
      <c r="C7211" s="5" t="str">
        <f>IFERROR(__xludf.DUMMYFUNCTION("GOOGLETRANSLATE(B7211,""en"",""fr"")"),"Une femme portant une chemise rouge est à nouveau un bras en train de se laver une femme allongée sur le sol.")</f>
        <v>Une femme portant une chemise rouge est à nouveau un bras en train de se laver une femme allongée sur le sol.</v>
      </c>
    </row>
    <row r="7212">
      <c r="A7212" s="4" t="s">
        <v>9066</v>
      </c>
      <c r="B7212" s="4" t="s">
        <v>9068</v>
      </c>
      <c r="C7212" s="5" t="str">
        <f>IFERROR(__xludf.DUMMYFUNCTION("GOOGLETRANSLATE(B7212,""en"",""fr"")"),"Une femme blonde portant une chemise grise est le bras lutte avec une autre femme dans une pièce.")</f>
        <v>Une femme blonde portant une chemise grise est le bras lutte avec une autre femme dans une pièce.</v>
      </c>
    </row>
    <row r="7213">
      <c r="A7213" s="4" t="s">
        <v>9066</v>
      </c>
      <c r="B7213" s="4" t="s">
        <v>9069</v>
      </c>
      <c r="C7213" s="5" t="str">
        <f>IFERROR(__xludf.DUMMYFUNCTION("GOOGLETRANSLATE(B7213,""en"",""fr"")"),"La femme gagnante fait des poses allongées sur le sol.")</f>
        <v>La femme gagnante fait des poses allongées sur le sol.</v>
      </c>
    </row>
    <row r="7214">
      <c r="A7214" s="4" t="s">
        <v>9070</v>
      </c>
      <c r="B7214" s="4" t="s">
        <v>9071</v>
      </c>
      <c r="C7214" s="5" t="str">
        <f>IFERROR(__xludf.DUMMYFUNCTION("GOOGLETRANSLATE(B7214,""en"",""fr"")"),"Une jeune femme est vue en regardant la caméra tout en prenant un verre et en fixant ses cheveux.")</f>
        <v>Une jeune femme est vue en regardant la caméra tout en prenant un verre et en fixant ses cheveux.</v>
      </c>
    </row>
    <row r="7215">
      <c r="A7215" s="4" t="s">
        <v>9070</v>
      </c>
      <c r="B7215" s="4" t="s">
        <v>9072</v>
      </c>
      <c r="C7215" s="5" t="str">
        <f>IFERROR(__xludf.DUMMYFUNCTION("GOOGLETRANSLATE(B7215,""en"",""fr"")"),"La femme tient ensuite un paquet de cigarettes et commence à fumer une cigarette.")</f>
        <v>La femme tient ensuite un paquet de cigarettes et commence à fumer une cigarette.</v>
      </c>
    </row>
    <row r="7216">
      <c r="A7216" s="4" t="s">
        <v>9070</v>
      </c>
      <c r="B7216" s="6" t="s">
        <v>9073</v>
      </c>
      <c r="C7216" s="5" t="str">
        <f>IFERROR(__xludf.DUMMYFUNCTION("GOOGLETRANSLATE(B7216,""en"",""fr"")"),"La femme fume et boit continuellement l'une après l'autre tout en continuant à regarder vers la caméra.")</f>
        <v>La femme fume et boit continuellement l'une après l'autre tout en continuant à regarder vers la caméra.</v>
      </c>
    </row>
    <row r="7217">
      <c r="A7217" s="4" t="s">
        <v>9074</v>
      </c>
      <c r="B7217" s="6" t="s">
        <v>9075</v>
      </c>
      <c r="C7217" s="5" t="str">
        <f>IFERROR(__xludf.DUMMYFUNCTION("GOOGLETRANSLATE(B7217,""en"",""fr"")"),"Il y a différents athlètes au début de la vidéo, mais 2 personnes sont montrées en plongeant dans l'eau pendant qu'une énorme foule les regarde.")</f>
        <v>Il y a différents athlètes au début de la vidéo, mais 2 personnes sont montrées en plongeant dans l'eau pendant qu'une énorme foule les regarde.</v>
      </c>
    </row>
    <row r="7218">
      <c r="A7218" s="4" t="s">
        <v>9074</v>
      </c>
      <c r="B7218" s="4" t="s">
        <v>9076</v>
      </c>
      <c r="C7218" s="5" t="str">
        <f>IFERROR(__xludf.DUMMYFUNCTION("GOOGLETRANSLATE(B7218,""en"",""fr"")"),"En fin de compte, la plate-forme Synchro de 10 m masculine a lieu.")</f>
        <v>En fin de compte, la plate-forme Synchro de 10 m masculine a lieu.</v>
      </c>
    </row>
    <row r="7219">
      <c r="A7219" s="4" t="s">
        <v>9077</v>
      </c>
      <c r="B7219" s="4" t="s">
        <v>9078</v>
      </c>
      <c r="C7219" s="5" t="str">
        <f>IFERROR(__xludf.DUMMYFUNCTION("GOOGLETRANSLATE(B7219,""en"",""fr"")"),"Diverses plans de paysages sont montrés que les inhumations avec des personnes roulant dans un grand radeau.")</f>
        <v>Diverses plans de paysages sont montrés que les inhumations avec des personnes roulant dans un grand radeau.</v>
      </c>
    </row>
    <row r="7220">
      <c r="A7220" s="4" t="s">
        <v>9077</v>
      </c>
      <c r="B7220" s="4" t="s">
        <v>9079</v>
      </c>
      <c r="C7220" s="5" t="str">
        <f>IFERROR(__xludf.DUMMYFUNCTION("GOOGLETRANSLATE(B7220,""en"",""fr"")"),"À un moment donné, le radeau se retourne sur les hommes qui roulent sur la rivière.")</f>
        <v>À un moment donné, le radeau se retourne sur les hommes qui roulent sur la rivière.</v>
      </c>
    </row>
    <row r="7221">
      <c r="A7221" s="4" t="s">
        <v>9077</v>
      </c>
      <c r="B7221" s="4" t="s">
        <v>9080</v>
      </c>
      <c r="C7221" s="5" t="str">
        <f>IFERROR(__xludf.DUMMYFUNCTION("GOOGLETRANSLATE(B7221,""en"",""fr"")"),"Plus de photos de personnes qui roulent sur la rivière sont montrées ainsi que des personnes qui parlent à la caméra.")</f>
        <v>Plus de photos de personnes qui roulent sur la rivière sont montrées ainsi que des personnes qui parlent à la caméra.</v>
      </c>
    </row>
    <row r="7222">
      <c r="A7222" s="4" t="s">
        <v>9081</v>
      </c>
      <c r="B7222" s="4" t="s">
        <v>9082</v>
      </c>
      <c r="C7222" s="5" t="str">
        <f>IFERROR(__xludf.DUMMYFUNCTION("GOOGLETRANSLATE(B7222,""en"",""fr"")"),"Une femme de presse parle dans une salle de nouvelles.")</f>
        <v>Une femme de presse parle dans une salle de nouvelles.</v>
      </c>
    </row>
    <row r="7223">
      <c r="A7223" s="4" t="s">
        <v>9081</v>
      </c>
      <c r="B7223" s="4" t="s">
        <v>9083</v>
      </c>
      <c r="C7223" s="5" t="str">
        <f>IFERROR(__xludf.DUMMYFUNCTION("GOOGLETRANSLATE(B7223,""en"",""fr"")"),"Les taureaux sont représentés à l'intérieur d'un anneau.")</f>
        <v>Les taureaux sont représentés à l'intérieur d'un anneau.</v>
      </c>
    </row>
    <row r="7224">
      <c r="A7224" s="4" t="s">
        <v>9081</v>
      </c>
      <c r="B7224" s="4" t="s">
        <v>9084</v>
      </c>
      <c r="C7224" s="5" t="str">
        <f>IFERROR(__xludf.DUMMYFUNCTION("GOOGLETRANSLATE(B7224,""en"",""fr"")"),"Ils essaient d'attirer le taureau avec des capes.")</f>
        <v>Ils essaient d'attirer le taureau avec des capes.</v>
      </c>
    </row>
    <row r="7225">
      <c r="A7225" s="4" t="s">
        <v>9085</v>
      </c>
      <c r="B7225" s="4" t="s">
        <v>9086</v>
      </c>
      <c r="C7225" s="5" t="str">
        <f>IFERROR(__xludf.DUMMYFUNCTION("GOOGLETRANSLATE(B7225,""en"",""fr"")"),"Deux personnes dansent dans une pièce.")</f>
        <v>Deux personnes dansent dans une pièce.</v>
      </c>
    </row>
    <row r="7226">
      <c r="A7226" s="4" t="s">
        <v>9085</v>
      </c>
      <c r="B7226" s="4" t="s">
        <v>9087</v>
      </c>
      <c r="C7226" s="5" t="str">
        <f>IFERROR(__xludf.DUMMYFUNCTION("GOOGLETRANSLATE(B7226,""en"",""fr"")"),"Ils se tournent sur le côté et continuent de danser.")</f>
        <v>Ils se tournent sur le côté et continuent de danser.</v>
      </c>
    </row>
    <row r="7227">
      <c r="A7227" s="4" t="s">
        <v>9085</v>
      </c>
      <c r="B7227" s="4" t="s">
        <v>9088</v>
      </c>
      <c r="C7227" s="5" t="str">
        <f>IFERROR(__xludf.DUMMYFUNCTION("GOOGLETRANSLATE(B7227,""en"",""fr"")"),"Ils finissent et posent à la fin.")</f>
        <v>Ils finissent et posent à la fin.</v>
      </c>
    </row>
    <row r="7228">
      <c r="A7228" s="4" t="s">
        <v>9089</v>
      </c>
      <c r="B7228" s="4" t="s">
        <v>9090</v>
      </c>
      <c r="C7228" s="5" t="str">
        <f>IFERROR(__xludf.DUMMYFUNCTION("GOOGLETRANSLATE(B7228,""en"",""fr"")"),"Une femme debout à l'extérieur sur le toit en fumant une cigarette.")</f>
        <v>Une femme debout à l'extérieur sur le toit en fumant une cigarette.</v>
      </c>
    </row>
    <row r="7229">
      <c r="A7229" s="4" t="s">
        <v>9089</v>
      </c>
      <c r="B7229" s="4" t="s">
        <v>9091</v>
      </c>
      <c r="C7229" s="5" t="str">
        <f>IFERROR(__xludf.DUMMYFUNCTION("GOOGLETRANSLATE(B7229,""en"",""fr"")"),"Elle souffle de la fumée et joue avec ses cheveux.")</f>
        <v>Elle souffle de la fumée et joue avec ses cheveux.</v>
      </c>
    </row>
    <row r="7230">
      <c r="A7230" s="4" t="s">
        <v>9089</v>
      </c>
      <c r="B7230" s="4" t="s">
        <v>9092</v>
      </c>
      <c r="C7230" s="5" t="str">
        <f>IFERROR(__xludf.DUMMYFUNCTION("GOOGLETRANSLATE(B7230,""en"",""fr"")"),"Elle continue de fumer et de souffler de fumer avec désinvolture par son seul.")</f>
        <v>Elle continue de fumer et de souffler de fumer avec désinvolture par son seul.</v>
      </c>
    </row>
    <row r="7231">
      <c r="A7231" s="4" t="s">
        <v>9089</v>
      </c>
      <c r="B7231" s="4" t="s">
        <v>9093</v>
      </c>
      <c r="C7231" s="5" t="str">
        <f>IFERROR(__xludf.DUMMYFUNCTION("GOOGLETRANSLATE(B7231,""en"",""fr"")"),"Elle expire une dernière fois et a ensuite mis sa cigarette sur un mur.")</f>
        <v>Elle expire une dernière fois et a ensuite mis sa cigarette sur un mur.</v>
      </c>
    </row>
    <row r="7232">
      <c r="A7232" s="4" t="s">
        <v>9094</v>
      </c>
      <c r="B7232" s="4" t="s">
        <v>9095</v>
      </c>
      <c r="C7232" s="5" t="str">
        <f>IFERROR(__xludf.DUMMYFUNCTION("GOOGLETRANSLATE(B7232,""en"",""fr"")"),"Quelques équipes jouent à la crosse sur un terrain ouvert.")</f>
        <v>Quelques équipes jouent à la crosse sur un terrain ouvert.</v>
      </c>
    </row>
    <row r="7233">
      <c r="A7233" s="4" t="s">
        <v>9094</v>
      </c>
      <c r="B7233" s="4" t="s">
        <v>9096</v>
      </c>
      <c r="C7233" s="5" t="str">
        <f>IFERROR(__xludf.DUMMYFUNCTION("GOOGLETRANSLATE(B7233,""en"",""fr"")"),"Une foule regarde attentivement le jeu.")</f>
        <v>Une foule regarde attentivement le jeu.</v>
      </c>
    </row>
    <row r="7234">
      <c r="A7234" s="4" t="s">
        <v>9094</v>
      </c>
      <c r="B7234" s="4" t="s">
        <v>9097</v>
      </c>
      <c r="C7234" s="5" t="str">
        <f>IFERROR(__xludf.DUMMYFUNCTION("GOOGLETRANSLATE(B7234,""en"",""fr"")"),"Les joueurs traversent des allers-retours à travers le terrain, frappant le ballon en buts.")</f>
        <v>Les joueurs traversent des allers-retours à travers le terrain, frappant le ballon en buts.</v>
      </c>
    </row>
    <row r="7235">
      <c r="A7235" s="4" t="s">
        <v>9098</v>
      </c>
      <c r="B7235" s="4" t="s">
        <v>9099</v>
      </c>
      <c r="C7235" s="5" t="str">
        <f>IFERROR(__xludf.DUMMYFUNCTION("GOOGLETRANSLATE(B7235,""en"",""fr"")"),"Un homme est vu parler à la caméra tout en épultant des pommes de terre et en regardant la caméra.")</f>
        <v>Un homme est vu parler à la caméra tout en épultant des pommes de terre et en regardant la caméra.</v>
      </c>
    </row>
    <row r="7236">
      <c r="A7236" s="4" t="s">
        <v>9098</v>
      </c>
      <c r="B7236" s="4" t="s">
        <v>9100</v>
      </c>
      <c r="C7236" s="5" t="str">
        <f>IFERROR(__xludf.DUMMYFUNCTION("GOOGLETRANSLATE(B7236,""en"",""fr"")"),"L'appareil photo se déroule en continu alors qu'il continue de peler les pommes de terre et de parler.")</f>
        <v>L'appareil photo se déroule en continu alors qu'il continue de peler les pommes de terre et de parler.</v>
      </c>
    </row>
    <row r="7237">
      <c r="A7237" s="4" t="s">
        <v>9101</v>
      </c>
      <c r="B7237" s="4" t="s">
        <v>9102</v>
      </c>
      <c r="C7237" s="5" t="str">
        <f>IFERROR(__xludf.DUMMYFUNCTION("GOOGLETRANSLATE(B7237,""en"",""fr"")"),"Une femme parle à une webcam dans sa chambre.")</f>
        <v>Une femme parle à une webcam dans sa chambre.</v>
      </c>
    </row>
    <row r="7238">
      <c r="A7238" s="4" t="s">
        <v>9101</v>
      </c>
      <c r="B7238" s="4" t="s">
        <v>9103</v>
      </c>
      <c r="C7238" s="5" t="str">
        <f>IFERROR(__xludf.DUMMYFUNCTION("GOOGLETRANSLATE(B7238,""en"",""fr"")"),"Elle commence à jouer avec ses cheveux, en séparant une partie et en les tressant.")</f>
        <v>Elle commence à jouer avec ses cheveux, en séparant une partie et en les tressant.</v>
      </c>
    </row>
    <row r="7239">
      <c r="A7239" s="4" t="s">
        <v>9101</v>
      </c>
      <c r="B7239" s="4" t="s">
        <v>9104</v>
      </c>
      <c r="C7239" s="5" t="str">
        <f>IFERROR(__xludf.DUMMYFUNCTION("GOOGLETRANSLATE(B7239,""en"",""fr"")"),"Elle place la première tresse dans sa bouche tout en en créant un autre.")</f>
        <v>Elle place la première tresse dans sa bouche tout en en créant un autre.</v>
      </c>
    </row>
    <row r="7240">
      <c r="A7240" s="4" t="s">
        <v>9101</v>
      </c>
      <c r="B7240" s="4" t="s">
        <v>9105</v>
      </c>
      <c r="C7240" s="5" t="str">
        <f>IFERROR(__xludf.DUMMYFUNCTION("GOOGLETRANSLATE(B7240,""en"",""fr"")"),"Elle sillonne les tresses et place un caoutchouc dessus.")</f>
        <v>Elle sillonne les tresses et place un caoutchouc dessus.</v>
      </c>
    </row>
    <row r="7241">
      <c r="A7241" s="4" t="s">
        <v>9101</v>
      </c>
      <c r="B7241" s="4" t="s">
        <v>9106</v>
      </c>
      <c r="C7241" s="5" t="str">
        <f>IFERROR(__xludf.DUMMYFUNCTION("GOOGLETRANSLATE(B7241,""en"",""fr"")"),"Elle commence à faire le même processus avec l'autre côté de ses cheveux.")</f>
        <v>Elle commence à faire le même processus avec l'autre côté de ses cheveux.</v>
      </c>
    </row>
    <row r="7242">
      <c r="A7242" s="4" t="s">
        <v>9101</v>
      </c>
      <c r="B7242" s="4" t="s">
        <v>9107</v>
      </c>
      <c r="C7242" s="5" t="str">
        <f>IFERROR(__xludf.DUMMYFUNCTION("GOOGLETRANSLATE(B7242,""en"",""fr"")"),"La vidéo se termine en coupant une image immobile de la même fille et en panorant de haut en bas.")</f>
        <v>La vidéo se termine en coupant une image immobile de la même fille et en panorant de haut en bas.</v>
      </c>
    </row>
    <row r="7243">
      <c r="A7243" s="4" t="s">
        <v>9108</v>
      </c>
      <c r="B7243" s="4" t="s">
        <v>9109</v>
      </c>
      <c r="C7243" s="5" t="str">
        <f>IFERROR(__xludf.DUMMYFUNCTION("GOOGLETRANSLATE(B7243,""en"",""fr"")"),"Un homme se tient devant un écran blanc.")</f>
        <v>Un homme se tient devant un écran blanc.</v>
      </c>
    </row>
    <row r="7244">
      <c r="A7244" s="4" t="s">
        <v>9108</v>
      </c>
      <c r="B7244" s="4" t="s">
        <v>9110</v>
      </c>
      <c r="C7244" s="5" t="str">
        <f>IFERROR(__xludf.DUMMYFUNCTION("GOOGLETRANSLATE(B7244,""en"",""fr"")"),"Il parle du saxophone dans ses mains et montre les positions de la main appropriées.")</f>
        <v>Il parle du saxophone dans ses mains et montre les positions de la main appropriées.</v>
      </c>
    </row>
    <row r="7245">
      <c r="A7245" s="4" t="s">
        <v>9108</v>
      </c>
      <c r="B7245" s="4" t="s">
        <v>9111</v>
      </c>
      <c r="C7245" s="5" t="str">
        <f>IFERROR(__xludf.DUMMYFUNCTION("GOOGLETRANSLATE(B7245,""en"",""fr"")"),"Il montre comment jouer à l'instrument.")</f>
        <v>Il montre comment jouer à l'instrument.</v>
      </c>
    </row>
    <row r="7246">
      <c r="A7246" s="4" t="s">
        <v>9112</v>
      </c>
      <c r="B7246" s="4" t="s">
        <v>9113</v>
      </c>
      <c r="C7246" s="5" t="str">
        <f>IFERROR(__xludf.DUMMYFUNCTION("GOOGLETRANSLATE(B7246,""en"",""fr"")"),"Une personne portant un grand costume blanche est montrée en pulvérisant une clôture avec de l'eau.")</f>
        <v>Une personne portant un grand costume blanche est montrée en pulvérisant une clôture avec de l'eau.</v>
      </c>
    </row>
    <row r="7247">
      <c r="A7247" s="4" t="s">
        <v>9112</v>
      </c>
      <c r="B7247" s="6" t="s">
        <v>9114</v>
      </c>
      <c r="C7247" s="5" t="str">
        <f>IFERROR(__xludf.DUMMYFUNCTION("GOOGLETRANSLATE(B7247,""en"",""fr"")"),"La personne est montrée sous différents angles effectuant la tâche et rend la clôture tout nouvelle.")</f>
        <v>La personne est montrée sous différents angles effectuant la tâche et rend la clôture tout nouvelle.</v>
      </c>
    </row>
    <row r="7248">
      <c r="A7248" s="4" t="s">
        <v>9115</v>
      </c>
      <c r="B7248" s="4" t="s">
        <v>9116</v>
      </c>
      <c r="C7248" s="5" t="str">
        <f>IFERROR(__xludf.DUMMYFUNCTION("GOOGLETRANSLATE(B7248,""en"",""fr"")"),"Une femelle semble faire des astuces avec un cerceau tout en étant très flexible avec son corps.")</f>
        <v>Une femelle semble faire des astuces avec un cerceau tout en étant très flexible avec son corps.</v>
      </c>
    </row>
    <row r="7249">
      <c r="A7249" s="4" t="s">
        <v>9115</v>
      </c>
      <c r="B7249" s="4" t="s">
        <v>9117</v>
      </c>
      <c r="C7249" s="5" t="str">
        <f>IFERROR(__xludf.DUMMYFUNCTION("GOOGLETRANSLATE(B7249,""en"",""fr"")"),"La dame fait également un vélo à un vélo pendant le hula.")</f>
        <v>La dame fait également un vélo à un vélo pendant le hula.</v>
      </c>
    </row>
    <row r="7250">
      <c r="A7250" s="4" t="s">
        <v>9115</v>
      </c>
      <c r="B7250" s="6" t="s">
        <v>9118</v>
      </c>
      <c r="C7250" s="5" t="str">
        <f>IFERROR(__xludf.DUMMYFUNCTION("GOOGLETRANSLATE(B7250,""en"",""fr"")"),"La fille a ensuite des cerceaux tout en se tenant sur un tapis puis des cerceaux avec deux cerceaux de hula debout au même endroit.")</f>
        <v>La fille a ensuite des cerceaux tout en se tenant sur un tapis puis des cerceaux avec deux cerceaux de hula debout au même endroit.</v>
      </c>
    </row>
    <row r="7251">
      <c r="A7251" s="4" t="s">
        <v>9115</v>
      </c>
      <c r="B7251" s="6" t="s">
        <v>9119</v>
      </c>
      <c r="C7251" s="5" t="str">
        <f>IFERROR(__xludf.DUMMYFUNCTION("GOOGLETRANSLATE(B7251,""en"",""fr"")"),"La fille alors des cerceaux accrochés à l'envers, elle a aussi des cerceaux autour de sa main tout en faisant une scission sur un tapis.")</f>
        <v>La fille alors des cerceaux accrochés à l'envers, elle a aussi des cerceaux autour de sa main tout en faisant une scission sur un tapis.</v>
      </c>
    </row>
    <row r="7252">
      <c r="A7252" s="4" t="s">
        <v>9115</v>
      </c>
      <c r="B7252" s="6" t="s">
        <v>9120</v>
      </c>
      <c r="C7252" s="5" t="str">
        <f>IFERROR(__xludf.DUMMYFUNCTION("GOOGLETRANSLATE(B7252,""en"",""fr"")"),"La fille Hula Hoops a Big Tire Hula Hoop puis Hula Hoops avec trois cerceaux Hula utilisant ses deux mains et un pied dans les airs.")</f>
        <v>La fille Hula Hoops a Big Tire Hula Hoop puis Hula Hoops avec trois cerceaux Hula utilisant ses deux mains et un pied dans les airs.</v>
      </c>
    </row>
    <row r="7253">
      <c r="A7253" s="4" t="s">
        <v>9115</v>
      </c>
      <c r="B7253" s="6" t="s">
        <v>9121</v>
      </c>
      <c r="C7253" s="5" t="str">
        <f>IFERROR(__xludf.DUMMYFUNCTION("GOOGLETRANSLATE(B7253,""en"",""fr"")"),"La fille essaie ensuite de Hula Hoop beaucoup de cerceaux à la fois alors que d'autres filles continuent d'ajouter plus à elle.")</f>
        <v>La fille essaie ensuite de Hula Hoop beaucoup de cerceaux à la fois alors que d'autres filles continuent d'ajouter plus à elle.</v>
      </c>
    </row>
    <row r="7254">
      <c r="A7254" s="4" t="s">
        <v>9122</v>
      </c>
      <c r="B7254" s="4" t="s">
        <v>9123</v>
      </c>
      <c r="C7254" s="5" t="str">
        <f>IFERROR(__xludf.DUMMYFUNCTION("GOOGLETRANSLATE(B7254,""en"",""fr"")"),"Trois hommes vêtus d'équipement de clôture se tiennent dans une salle de sport.")</f>
        <v>Trois hommes vêtus d'équipement de clôture se tiennent dans une salle de sport.</v>
      </c>
    </row>
    <row r="7255">
      <c r="A7255" s="4" t="s">
        <v>9122</v>
      </c>
      <c r="B7255" s="4" t="s">
        <v>9124</v>
      </c>
      <c r="C7255" s="5" t="str">
        <f>IFERROR(__xludf.DUMMYFUNCTION("GOOGLETRANSLATE(B7255,""en"",""fr"")"),"L'homme au milieu parle et les deux autres restent immobiles.")</f>
        <v>L'homme au milieu parle et les deux autres restent immobiles.</v>
      </c>
    </row>
    <row r="7256">
      <c r="A7256" s="4" t="s">
        <v>9122</v>
      </c>
      <c r="B7256" s="6" t="s">
        <v>9125</v>
      </c>
      <c r="C7256" s="5" t="str">
        <f>IFERROR(__xludf.DUMMYFUNCTION("GOOGLETRANSLATE(B7256,""en"",""fr"")"),"Les deux hommes commencent à faire des mouvements pendant que l'homme leur demande de montrer les différentes techniques de clôture.")</f>
        <v>Les deux hommes commencent à faire des mouvements pendant que l'homme leur demande de montrer les différentes techniques de clôture.</v>
      </c>
    </row>
    <row r="7257">
      <c r="A7257" s="4" t="s">
        <v>9122</v>
      </c>
      <c r="B7257" s="4" t="s">
        <v>9126</v>
      </c>
      <c r="C7257" s="5" t="str">
        <f>IFERROR(__xludf.DUMMYFUNCTION("GOOGLETRANSLATE(B7257,""en"",""fr"")"),"Ils se battent lentement, montrant chaque étape avant de se terminer dans les derniers mots de l'homme à l'écran.")</f>
        <v>Ils se battent lentement, montrant chaque étape avant de se terminer dans les derniers mots de l'homme à l'écran.</v>
      </c>
    </row>
    <row r="7258">
      <c r="A7258" s="4" t="s">
        <v>9127</v>
      </c>
      <c r="B7258" s="4" t="s">
        <v>9128</v>
      </c>
      <c r="C7258" s="5" t="str">
        <f>IFERROR(__xludf.DUMMYFUNCTION("GOOGLETRANSLATE(B7258,""en"",""fr"")"),"Un homme parle dans sa cuisine.")</f>
        <v>Un homme parle dans sa cuisine.</v>
      </c>
    </row>
    <row r="7259">
      <c r="A7259" s="4" t="s">
        <v>9127</v>
      </c>
      <c r="B7259" s="4" t="s">
        <v>9129</v>
      </c>
      <c r="C7259" s="5" t="str">
        <f>IFERROR(__xludf.DUMMYFUNCTION("GOOGLETRANSLATE(B7259,""en"",""fr"")"),"Il montre comment mélanger une sauce aux pâtes et l'assaisonner.")</f>
        <v>Il montre comment mélanger une sauce aux pâtes et l'assaisonner.</v>
      </c>
    </row>
    <row r="7260">
      <c r="A7260" s="4" t="s">
        <v>9127</v>
      </c>
      <c r="B7260" s="4" t="s">
        <v>9130</v>
      </c>
      <c r="C7260" s="5" t="str">
        <f>IFERROR(__xludf.DUMMYFUNCTION("GOOGLETRANSLATE(B7260,""en"",""fr"")"),"Il montre ensuite comment assister et servir la nourriture.")</f>
        <v>Il montre ensuite comment assister et servir la nourriture.</v>
      </c>
    </row>
    <row r="7261">
      <c r="A7261" s="4" t="s">
        <v>9131</v>
      </c>
      <c r="B7261" s="4" t="s">
        <v>9132</v>
      </c>
      <c r="C7261" s="5" t="str">
        <f>IFERROR(__xludf.DUMMYFUNCTION("GOOGLETRANSLATE(B7261,""en"",""fr"")"),"Une femme saute en saut sur un grand bar.")</f>
        <v>Une femme saute en saut sur un grand bar.</v>
      </c>
    </row>
    <row r="7262">
      <c r="A7262" s="4" t="s">
        <v>9131</v>
      </c>
      <c r="B7262" s="4" t="s">
        <v>9133</v>
      </c>
      <c r="C7262" s="5" t="str">
        <f>IFERROR(__xludf.DUMMYFUNCTION("GOOGLETRANSLATE(B7262,""en"",""fr"")"),"Elle atterrit sur un tapis jaune sous elle.")</f>
        <v>Elle atterrit sur un tapis jaune sous elle.</v>
      </c>
    </row>
    <row r="7263">
      <c r="A7263" s="4" t="s">
        <v>9131</v>
      </c>
      <c r="B7263" s="4" t="s">
        <v>2042</v>
      </c>
      <c r="C7263" s="5" t="str">
        <f>IFERROR(__xludf.DUMMYFUNCTION("GOOGLETRANSLATE(B7263,""en"",""fr"")"),"Les mots viennent sur l'écran à la fin.")</f>
        <v>Les mots viennent sur l'écran à la fin.</v>
      </c>
    </row>
    <row r="7264">
      <c r="A7264" s="4" t="s">
        <v>9134</v>
      </c>
      <c r="B7264" s="4" t="s">
        <v>9135</v>
      </c>
      <c r="C7264" s="5" t="str">
        <f>IFERROR(__xludf.DUMMYFUNCTION("GOOGLETRANSLATE(B7264,""en"",""fr"")"),"Un jeune homme parle de la caméra.")</f>
        <v>Un jeune homme parle de la caméra.</v>
      </c>
    </row>
    <row r="7265">
      <c r="A7265" s="4" t="s">
        <v>9134</v>
      </c>
      <c r="B7265" s="4" t="s">
        <v>9136</v>
      </c>
      <c r="C7265" s="5" t="str">
        <f>IFERROR(__xludf.DUMMYFUNCTION("GOOGLETRANSLATE(B7265,""en"",""fr"")"),"L'homme se tient avec un bâton à la main.")</f>
        <v>L'homme se tient avec un bâton à la main.</v>
      </c>
    </row>
    <row r="7266">
      <c r="A7266" s="4" t="s">
        <v>9134</v>
      </c>
      <c r="B7266" s="4" t="s">
        <v>9137</v>
      </c>
      <c r="C7266" s="5" t="str">
        <f>IFERROR(__xludf.DUMMYFUNCTION("GOOGLETRANSLATE(B7266,""en"",""fr"")"),"L'homme pointe loin de lui-même.")</f>
        <v>L'homme pointe loin de lui-même.</v>
      </c>
    </row>
    <row r="7267">
      <c r="A7267" s="4" t="s">
        <v>9134</v>
      </c>
      <c r="B7267" s="4" t="s">
        <v>9138</v>
      </c>
      <c r="C7267" s="5" t="str">
        <f>IFERROR(__xludf.DUMMYFUNCTION("GOOGLETRANSLATE(B7267,""en"",""fr"")"),"L'homme prend le bâton et pousse les rondelles autour du sol.")</f>
        <v>L'homme prend le bâton et pousse les rondelles autour du sol.</v>
      </c>
    </row>
    <row r="7268">
      <c r="A7268" s="4" t="s">
        <v>9139</v>
      </c>
      <c r="B7268" s="4" t="s">
        <v>9140</v>
      </c>
      <c r="C7268" s="5" t="str">
        <f>IFERROR(__xludf.DUMMYFUNCTION("GOOGLETRANSLATE(B7268,""en"",""fr"")"),"Femme a mis un œuf sur un bol et le mélanger avec de la vanille.")</f>
        <v>Femme a mis un œuf sur un bol et le mélanger avec de la vanille.</v>
      </c>
    </row>
    <row r="7269">
      <c r="A7269" s="4" t="s">
        <v>9139</v>
      </c>
      <c r="B7269" s="4" t="s">
        <v>9141</v>
      </c>
      <c r="C7269" s="5" t="str">
        <f>IFERROR(__xludf.DUMMYFUNCTION("GOOGLETRANSLATE(B7269,""en"",""fr"")"),"L'avoine rapide et la levure chimique, la poudre de cacao et le sel sont mélangés dans un bol.")</f>
        <v>L'avoine rapide et la levure chimique, la poudre de cacao et le sel sont mélangés dans un bol.</v>
      </c>
    </row>
    <row r="7270">
      <c r="A7270" s="4" t="s">
        <v>9139</v>
      </c>
      <c r="B7270" s="4" t="s">
        <v>9142</v>
      </c>
      <c r="C7270" s="5" t="str">
        <f>IFERROR(__xludf.DUMMYFUNCTION("GOOGLETRANSLATE(B7270,""en"",""fr"")"),"Une barre de chocolat est coupée en morceaux de noix et placée dans un bol.")</f>
        <v>Une barre de chocolat est coupée en morceaux de noix et placée dans un bol.</v>
      </c>
    </row>
    <row r="7271">
      <c r="A7271" s="4" t="s">
        <v>9139</v>
      </c>
      <c r="B7271" s="6" t="s">
        <v>9143</v>
      </c>
      <c r="C7271" s="5" t="str">
        <f>IFERROR(__xludf.DUMMYFUNCTION("GOOGLETRANSLATE(B7271,""en"",""fr"")"),"Le sucre et le beurre sont mélangés dans un bol jusqu'à la crème et mettez la vanille et les ingrédients de poudre avec le chocolat et il fou.")</f>
        <v>Le sucre et le beurre sont mélangés dans un bol jusqu'à la crème et mettez la vanille et les ingrédients de poudre avec le chocolat et il fou.</v>
      </c>
    </row>
    <row r="7272">
      <c r="A7272" s="4" t="s">
        <v>9139</v>
      </c>
      <c r="B7272" s="4" t="s">
        <v>9144</v>
      </c>
      <c r="C7272" s="5" t="str">
        <f>IFERROR(__xludf.DUMMYFUNCTION("GOOGLETRANSLATE(B7272,""en"",""fr"")"),"Le themix est enveloppé et mis dans un réfrigérateur.")</f>
        <v>Le themix est enveloppé et mis dans un réfrigérateur.</v>
      </c>
    </row>
    <row r="7273">
      <c r="A7273" s="4" t="s">
        <v>9139</v>
      </c>
      <c r="B7273" s="4" t="s">
        <v>9145</v>
      </c>
      <c r="C7273" s="5" t="str">
        <f>IFERROR(__xludf.DUMMYFUNCTION("GOOGLETRANSLATE(B7273,""en"",""fr"")"),"Le lot est dans une casserole et AR prêt à manger.")</f>
        <v>Le lot est dans une casserole et AR prêt à manger.</v>
      </c>
    </row>
    <row r="7274">
      <c r="A7274" s="4" t="s">
        <v>9146</v>
      </c>
      <c r="B7274" s="4" t="s">
        <v>9147</v>
      </c>
      <c r="C7274" s="5" t="str">
        <f>IFERROR(__xludf.DUMMYFUNCTION("GOOGLETRANSLATE(B7274,""en"",""fr"")"),"Un homme est debout sur un spectacle en jouant aux cornemusets tandis que d'autres autour de lui regardent avec étonnement.")</f>
        <v>Un homme est debout sur un spectacle en jouant aux cornemusets tandis que d'autres autour de lui regardent avec étonnement.</v>
      </c>
    </row>
    <row r="7275">
      <c r="A7275" s="4" t="s">
        <v>9146</v>
      </c>
      <c r="B7275" s="4" t="s">
        <v>9148</v>
      </c>
      <c r="C7275" s="5" t="str">
        <f>IFERROR(__xludf.DUMMYFUNCTION("GOOGLETRANSLATE(B7275,""en"",""fr"")"),"L'homme continue de jouer et le public applaudit à sa fin.")</f>
        <v>L'homme continue de jouer et le public applaudit à sa fin.</v>
      </c>
    </row>
    <row r="7276">
      <c r="A7276" s="4" t="s">
        <v>9146</v>
      </c>
      <c r="B7276" s="4" t="s">
        <v>9149</v>
      </c>
      <c r="C7276" s="5" t="str">
        <f>IFERROR(__xludf.DUMMYFUNCTION("GOOGLETRANSLATE(B7276,""en"",""fr"")"),"Il remet l'instrument à un homme qui entre et donne à l'hôte une poignée de main.")</f>
        <v>Il remet l'instrument à un homme qui entre et donne à l'hôte une poignée de main.</v>
      </c>
    </row>
    <row r="7277">
      <c r="A7277" s="4" t="s">
        <v>9146</v>
      </c>
      <c r="B7277" s="4" t="s">
        <v>9150</v>
      </c>
      <c r="C7277" s="5" t="str">
        <f>IFERROR(__xludf.DUMMYFUNCTION("GOOGLETRANSLATE(B7277,""en"",""fr"")"),"Il parle un peu de l'hôte et prend une pose avant que l'hôte ne termine avec l'invité.")</f>
        <v>Il parle un peu de l'hôte et prend une pose avant que l'hôte ne termine avec l'invité.</v>
      </c>
    </row>
    <row r="7278">
      <c r="A7278" s="4" t="s">
        <v>9151</v>
      </c>
      <c r="B7278" s="6" t="s">
        <v>9152</v>
      </c>
      <c r="C7278" s="5" t="str">
        <f>IFERROR(__xludf.DUMMYFUNCTION("GOOGLETRANSLATE(B7278,""en"",""fr"")"),"Une personne pratique dribble et tire sur le ballon en marchant ou en courant sur le terrain, tandis qu'un homme regarde l'entraînement.")</f>
        <v>Une personne pratique dribble et tire sur le ballon en marchant ou en courant sur le terrain, tandis qu'un homme regarde l'entraînement.</v>
      </c>
    </row>
    <row r="7279">
      <c r="A7279" s="4" t="s">
        <v>9151</v>
      </c>
      <c r="B7279" s="4" t="s">
        <v>9153</v>
      </c>
      <c r="C7279" s="5" t="str">
        <f>IFERROR(__xludf.DUMMYFUNCTION("GOOGLETRANSLATE(B7279,""en"",""fr"")"),"L'homme se tient et quitte le tribunal.")</f>
        <v>L'homme se tient et quitte le tribunal.</v>
      </c>
    </row>
    <row r="7280">
      <c r="A7280" s="4" t="s">
        <v>9151</v>
      </c>
      <c r="B7280" s="4" t="s">
        <v>9154</v>
      </c>
      <c r="C7280" s="5" t="str">
        <f>IFERROR(__xludf.DUMMYFUNCTION("GOOGLETRANSLATE(B7280,""en"",""fr"")"),"Après, plusieurs hommes pratiquent le basket-ball dans un tribunal.")</f>
        <v>Après, plusieurs hommes pratiquent le basket-ball dans un tribunal.</v>
      </c>
    </row>
    <row r="7281">
      <c r="A7281" s="4" t="s">
        <v>9155</v>
      </c>
      <c r="B7281" s="4" t="s">
        <v>9156</v>
      </c>
      <c r="C7281" s="5" t="str">
        <f>IFERROR(__xludf.DUMMYFUNCTION("GOOGLETRANSLATE(B7281,""en"",""fr"")"),"Le mot heureux est écrit en galets sur le côté du sable.")</f>
        <v>Le mot heureux est écrit en galets sur le côté du sable.</v>
      </c>
    </row>
    <row r="7282">
      <c r="A7282" s="4" t="s">
        <v>9155</v>
      </c>
      <c r="B7282" s="4" t="s">
        <v>9157</v>
      </c>
      <c r="C7282" s="5" t="str">
        <f>IFERROR(__xludf.DUMMYFUNCTION("GOOGLETRANSLATE(B7282,""en"",""fr"")"),"Un grand corps d'eau bleu cristal est représenté et un grand bateau avec des gens y est.")</f>
        <v>Un grand corps d'eau bleu cristal est représenté et un grand bateau avec des gens y est.</v>
      </c>
    </row>
    <row r="7283">
      <c r="A7283" s="4" t="s">
        <v>9155</v>
      </c>
      <c r="B7283" s="4" t="s">
        <v>9158</v>
      </c>
      <c r="C7283" s="5" t="str">
        <f>IFERROR(__xludf.DUMMYFUNCTION("GOOGLETRANSLATE(B7283,""en"",""fr"")"),"Les individus ont commencé à danser et à sauter du bateau et à s'amuser dans l'eau.")</f>
        <v>Les individus ont commencé à danser et à sauter du bateau et à s'amuser dans l'eau.</v>
      </c>
    </row>
    <row r="7284">
      <c r="A7284" s="4" t="s">
        <v>9155</v>
      </c>
      <c r="B7284" s="4" t="s">
        <v>9159</v>
      </c>
      <c r="C7284" s="5" t="str">
        <f>IFERROR(__xludf.DUMMYFUNCTION("GOOGLETRANSLATE(B7284,""en"",""fr"")"),"Au fur et à mesure que les gens continuent, trois ou quatre personnes sont dans l'eau en nageant avec des lunettes.")</f>
        <v>Au fur et à mesure que les gens continuent, trois ou quatre personnes sont dans l'eau en nageant avec des lunettes.</v>
      </c>
    </row>
    <row r="7285">
      <c r="A7285" s="4" t="s">
        <v>9160</v>
      </c>
      <c r="B7285" s="4" t="s">
        <v>9161</v>
      </c>
      <c r="C7285" s="5" t="str">
        <f>IFERROR(__xludf.DUMMYFUNCTION("GOOGLETRANSLATE(B7285,""en"",""fr"")"),"Un homme en rouge se dresse sur une scène.")</f>
        <v>Un homme en rouge se dresse sur une scène.</v>
      </c>
    </row>
    <row r="7286">
      <c r="A7286" s="4" t="s">
        <v>9160</v>
      </c>
      <c r="B7286" s="4" t="s">
        <v>9162</v>
      </c>
      <c r="C7286" s="5" t="str">
        <f>IFERROR(__xludf.DUMMYFUNCTION("GOOGLETRANSLATE(B7286,""en"",""fr"")"),"Il soulève une haltère au-dessus de sa tête.")</f>
        <v>Il soulève une haltère au-dessus de sa tête.</v>
      </c>
    </row>
    <row r="7287">
      <c r="A7287" s="4" t="s">
        <v>9160</v>
      </c>
      <c r="B7287" s="4" t="s">
        <v>9163</v>
      </c>
      <c r="C7287" s="5" t="str">
        <f>IFERROR(__xludf.DUMMYFUNCTION("GOOGLETRANSLATE(B7287,""en"",""fr"")"),"Il laisse tomber l'haltère sur le sol.")</f>
        <v>Il laisse tomber l'haltère sur le sol.</v>
      </c>
    </row>
    <row r="7288">
      <c r="A7288" s="4" t="s">
        <v>9160</v>
      </c>
      <c r="B7288" s="4" t="s">
        <v>9164</v>
      </c>
      <c r="C7288" s="5" t="str">
        <f>IFERROR(__xludf.DUMMYFUNCTION("GOOGLETRANSLATE(B7288,""en"",""fr"")"),"Plusieurs personnes l'encouragent.")</f>
        <v>Plusieurs personnes l'encouragent.</v>
      </c>
    </row>
    <row r="7289">
      <c r="A7289" s="4" t="s">
        <v>9165</v>
      </c>
      <c r="B7289" s="4" t="s">
        <v>9166</v>
      </c>
      <c r="C7289" s="5" t="str">
        <f>IFERROR(__xludf.DUMMYFUNCTION("GOOGLETRANSLATE(B7289,""en"",""fr"")"),"La femme en chemise blanche est debout, puis s'agenouille à côté d'un grand sac en plastique au sol.")</f>
        <v>La femme en chemise blanche est debout, puis s'agenouille à côté d'un grand sac en plastique au sol.</v>
      </c>
    </row>
    <row r="7290">
      <c r="A7290" s="4" t="s">
        <v>9165</v>
      </c>
      <c r="B7290" s="6" t="s">
        <v>9167</v>
      </c>
      <c r="C7290" s="5" t="str">
        <f>IFERROR(__xludf.DUMMYFUNCTION("GOOGLETRANSLATE(B7290,""en"",""fr"")"),"Elle a ouvert le sac, a mis le contenu du sac dans le trou inégal sur le sol et l'a aplati en utilisant sa main gantée.")</f>
        <v>Elle a ouvert le sac, a mis le contenu du sac dans le trou inégal sur le sol et l'a aplati en utilisant sa main gantée.</v>
      </c>
    </row>
    <row r="7291">
      <c r="A7291" s="4" t="s">
        <v>9165</v>
      </c>
      <c r="B7291" s="4" t="s">
        <v>9168</v>
      </c>
      <c r="C7291" s="5" t="str">
        <f>IFERROR(__xludf.DUMMYFUNCTION("GOOGLETRANSLATE(B7291,""en"",""fr"")"),"Elle a regardé la caméra et a parlé pendant qu'elle est agenouillée à côté des sacs en plastique.")</f>
        <v>Elle a regardé la caméra et a parlé pendant qu'elle est agenouillée à côté des sacs en plastique.</v>
      </c>
    </row>
    <row r="7292">
      <c r="A7292" s="4" t="s">
        <v>9165</v>
      </c>
      <c r="B7292" s="4" t="s">
        <v>9169</v>
      </c>
      <c r="C7292" s="5" t="str">
        <f>IFERROR(__xludf.DUMMYFUNCTION("GOOGLETRANSLATE(B7292,""en"",""fr"")"),"Elle a mis un autre sac sur le sol, les aplatir en utilisant sa main jusqu'à ce que la zone soit couverte.")</f>
        <v>Elle a mis un autre sac sur le sol, les aplatir en utilisant sa main jusqu'à ce que la zone soit couverte.</v>
      </c>
    </row>
    <row r="7293">
      <c r="A7293" s="4" t="s">
        <v>9165</v>
      </c>
      <c r="B7293" s="4" t="s">
        <v>9170</v>
      </c>
      <c r="C7293" s="5" t="str">
        <f>IFERROR(__xludf.DUMMYFUNCTION("GOOGLETRANSLATE(B7293,""en"",""fr"")"),"Elle marche vers l'avant, se pliez à côté pour aplatir un peu plus de saleté.")</f>
        <v>Elle marche vers l'avant, se pliez à côté pour aplatir un peu plus de saleté.</v>
      </c>
    </row>
    <row r="7294">
      <c r="A7294" s="4" t="s">
        <v>9171</v>
      </c>
      <c r="B7294" s="4" t="s">
        <v>9172</v>
      </c>
      <c r="C7294" s="5" t="str">
        <f>IFERROR(__xludf.DUMMYFUNCTION("GOOGLETRANSLATE(B7294,""en"",""fr"")"),"Deux femmes sont sur un stand en face de l'autre à une table qui commence à se battre.")</f>
        <v>Deux femmes sont sur un stand en face de l'autre à une table qui commence à se battre.</v>
      </c>
    </row>
    <row r="7295">
      <c r="A7295" s="4" t="s">
        <v>9171</v>
      </c>
      <c r="B7295" s="4" t="s">
        <v>9173</v>
      </c>
      <c r="C7295" s="5" t="str">
        <f>IFERROR(__xludf.DUMMYFUNCTION("GOOGLETRANSLATE(B7295,""en"",""fr"")"),"Il y a un bref retenue avant de commencer, car leur pose de pouce est inexacte.")</f>
        <v>Il y a un bref retenue avant de commencer, car leur pose de pouce est inexacte.</v>
      </c>
    </row>
    <row r="7296">
      <c r="A7296" s="4" t="s">
        <v>9171</v>
      </c>
      <c r="B7296" s="6" t="s">
        <v>9174</v>
      </c>
      <c r="C7296" s="5" t="str">
        <f>IFERROR(__xludf.DUMMYFUNCTION("GOOGLETRANSLATE(B7296,""en"",""fr"")"),"Une fois qu'ils ont finalement commencé, la fille de gauche gagne mais elle est rapidement arrêtée et ils doivent redémarrer et la même fille gagne à nouveau.")</f>
        <v>Une fois qu'ils ont finalement commencé, la fille de gauche gagne mais elle est rapidement arrêtée et ils doivent redémarrer et la même fille gagne à nouveau.</v>
      </c>
    </row>
    <row r="7297">
      <c r="A7297" s="4" t="s">
        <v>9175</v>
      </c>
      <c r="B7297" s="4" t="s">
        <v>9176</v>
      </c>
      <c r="C7297" s="5" t="str">
        <f>IFERROR(__xludf.DUMMYFUNCTION("GOOGLETRANSLATE(B7297,""en"",""fr"")"),"Un enfant écarte du beurre d'arachide dans deux tranches de pain.")</f>
        <v>Un enfant écarte du beurre d'arachide dans deux tranches de pain.</v>
      </c>
    </row>
    <row r="7298">
      <c r="A7298" s="4" t="s">
        <v>9175</v>
      </c>
      <c r="B7298" s="4" t="s">
        <v>9177</v>
      </c>
      <c r="C7298" s="5" t="str">
        <f>IFERROR(__xludf.DUMMYFUNCTION("GOOGLETRANSLATE(B7298,""en"",""fr"")"),"Ensuite, l'enfant ajoute de la gelée.")</f>
        <v>Ensuite, l'enfant ajoute de la gelée.</v>
      </c>
    </row>
    <row r="7299">
      <c r="A7299" s="4" t="s">
        <v>9175</v>
      </c>
      <c r="B7299" s="4" t="s">
        <v>9178</v>
      </c>
      <c r="C7299" s="5" t="str">
        <f>IFERROR(__xludf.DUMMYFUNCTION("GOOGLETRANSLATE(B7299,""en"",""fr"")"),"Après, l'enfant donne un morceau au sandwich au beurre d'arachide et à la gelée.")</f>
        <v>Après, l'enfant donne un morceau au sandwich au beurre d'arachide et à la gelée.</v>
      </c>
    </row>
    <row r="7300">
      <c r="A7300" s="4" t="s">
        <v>9179</v>
      </c>
      <c r="B7300" s="6" t="s">
        <v>9180</v>
      </c>
      <c r="C7300" s="5" t="str">
        <f>IFERROR(__xludf.DUMMYFUNCTION("GOOGLETRANSLATE(B7300,""en"",""fr"")"),"Il y a une femme dans un chemisier blanc avec un homme en chemise blanche dans un studio pratiquant la danse de salle de bal.")</f>
        <v>Il y a une femme dans un chemisier blanc avec un homme en chemise blanche dans un studio pratiquant la danse de salle de bal.</v>
      </c>
    </row>
    <row r="7301">
      <c r="A7301" s="4" t="s">
        <v>9179</v>
      </c>
      <c r="B7301" s="4" t="s">
        <v>9181</v>
      </c>
      <c r="C7301" s="5" t="str">
        <f>IFERROR(__xludf.DUMMYFUNCTION("GOOGLETRANSLATE(B7301,""en"",""fr"")"),"Ils sont dans une pièce avec un mur plein de miroirs.")</f>
        <v>Ils sont dans une pièce avec un mur plein de miroirs.</v>
      </c>
    </row>
    <row r="7302">
      <c r="A7302" s="4" t="s">
        <v>9179</v>
      </c>
      <c r="B7302" s="6" t="s">
        <v>9182</v>
      </c>
      <c r="C7302" s="5" t="str">
        <f>IFERROR(__xludf.DUMMYFUNCTION("GOOGLETRANSLATE(B7302,""en"",""fr"")"),"La dame explique les étapes de la danse car ils démontrent tous les deux les mouvements et le travail des pieds impliqués dans la danse.")</f>
        <v>La dame explique les étapes de la danse car ils démontrent tous les deux les mouvements et le travail des pieds impliqués dans la danse.</v>
      </c>
    </row>
    <row r="7303">
      <c r="A7303" s="4" t="s">
        <v>9179</v>
      </c>
      <c r="B7303" s="4" t="s">
        <v>9183</v>
      </c>
      <c r="C7303" s="5" t="str">
        <f>IFERROR(__xludf.DUMMYFUNCTION("GOOGLETRANSLATE(B7303,""en"",""fr"")"),"Ils font des allers-retours alors qu'ils prennent leurs pas tout en se tenant les mains les uns des autres.")</f>
        <v>Ils font des allers-retours alors qu'ils prennent leurs pas tout en se tenant les mains les uns des autres.</v>
      </c>
    </row>
    <row r="7304">
      <c r="A7304" s="4" t="s">
        <v>9184</v>
      </c>
      <c r="B7304" s="4" t="s">
        <v>9185</v>
      </c>
      <c r="C7304" s="5" t="str">
        <f>IFERROR(__xludf.DUMMYFUNCTION("GOOGLETRANSLATE(B7304,""en"",""fr"")"),"Un homme passe devant une tempête qui approche.")</f>
        <v>Un homme passe devant une tempête qui approche.</v>
      </c>
    </row>
    <row r="7305">
      <c r="A7305" s="4" t="s">
        <v>9184</v>
      </c>
      <c r="B7305" s="4" t="s">
        <v>9186</v>
      </c>
      <c r="C7305" s="5" t="str">
        <f>IFERROR(__xludf.DUMMYFUNCTION("GOOGLETRANSLATE(B7305,""en"",""fr"")"),"Les surfeurs sont vus dans l'eau et les gens marchent avec leurs planches de surf.")</f>
        <v>Les surfeurs sont vus dans l'eau et les gens marchent avec leurs planches de surf.</v>
      </c>
    </row>
    <row r="7306">
      <c r="A7306" s="4" t="s">
        <v>9184</v>
      </c>
      <c r="B7306" s="4" t="s">
        <v>9187</v>
      </c>
      <c r="C7306" s="5" t="str">
        <f>IFERROR(__xludf.DUMMYFUNCTION("GOOGLETRANSLATE(B7306,""en"",""fr"")"),"Un groupe de femmes se rassemble et une mante priante est vue.")</f>
        <v>Un groupe de femmes se rassemble et une mante priante est vue.</v>
      </c>
    </row>
    <row r="7307">
      <c r="A7307" s="4" t="s">
        <v>9184</v>
      </c>
      <c r="B7307" s="4" t="s">
        <v>9188</v>
      </c>
      <c r="C7307" s="5" t="str">
        <f>IFERROR(__xludf.DUMMYFUNCTION("GOOGLETRANSLATE(B7307,""en"",""fr"")"),"De nombreux surfeurs sont ensuite montrés, en traversant et sur diverses vagues.")</f>
        <v>De nombreux surfeurs sont ensuite montrés, en traversant et sur diverses vagues.</v>
      </c>
    </row>
    <row r="7308">
      <c r="A7308" s="4" t="s">
        <v>9189</v>
      </c>
      <c r="B7308" s="4" t="s">
        <v>9190</v>
      </c>
      <c r="C7308" s="5" t="str">
        <f>IFERROR(__xludf.DUMMYFUNCTION("GOOGLETRANSLATE(B7308,""en"",""fr"")"),"La femme peint dans un papier blanc de feuilles vertes dans un arbre chinois.")</f>
        <v>La femme peint dans un papier blanc de feuilles vertes dans un arbre chinois.</v>
      </c>
    </row>
    <row r="7309">
      <c r="A7309" s="4" t="s">
        <v>9189</v>
      </c>
      <c r="B7309" s="4" t="s">
        <v>9191</v>
      </c>
      <c r="C7309" s="5" t="str">
        <f>IFERROR(__xludf.DUMMYFUNCTION("GOOGLETRANSLATE(B7309,""en"",""fr"")"),"Une peinture rouge est montrée et une femme a mis un tampon au coin du papier.")</f>
        <v>Une peinture rouge est montrée et une femme a mis un tampon au coin du papier.</v>
      </c>
    </row>
    <row r="7310">
      <c r="A7310" s="4" t="s">
        <v>9189</v>
      </c>
      <c r="B7310" s="4" t="s">
        <v>9192</v>
      </c>
      <c r="C7310" s="5" t="str">
        <f>IFERROR(__xludf.DUMMYFUNCTION("GOOGLETRANSLATE(B7310,""en"",""fr"")"),"La femme peint une fleur chinoise bleue et violet.")</f>
        <v>La femme peint une fleur chinoise bleue et violet.</v>
      </c>
    </row>
    <row r="7311">
      <c r="A7311" s="4" t="s">
        <v>9189</v>
      </c>
      <c r="B7311" s="6" t="s">
        <v>9193</v>
      </c>
      <c r="C7311" s="5" t="str">
        <f>IFERROR(__xludf.DUMMYFUNCTION("GOOGLETRANSLATE(B7311,""en"",""fr"")"),"Des fleurs rouges et noires sont peintes sur un papier blanc avec des détails très détaillés pour la même femme dans une pièce sombre.")</f>
        <v>Des fleurs rouges et noires sont peintes sur un papier blanc avec des détails très détaillés pour la même femme dans une pièce sombre.</v>
      </c>
    </row>
    <row r="7312">
      <c r="A7312" s="4" t="s">
        <v>9189</v>
      </c>
      <c r="B7312" s="6" t="s">
        <v>9194</v>
      </c>
      <c r="C7312" s="5" t="str">
        <f>IFERROR(__xludf.DUMMYFUNCTION("GOOGLETRANSLATE(B7312,""en"",""fr"")"),"La femme a utilisé une peinture noire pour faire des détails, mettre le timbre rouge dans le coin et terminer la peinture avec des fleurs jaunes et rouges sur les fleurs.")</f>
        <v>La femme a utilisé une peinture noire pour faire des détails, mettre le timbre rouge dans le coin et terminer la peinture avec des fleurs jaunes et rouges sur les fleurs.</v>
      </c>
    </row>
    <row r="7313">
      <c r="A7313" s="4" t="s">
        <v>9195</v>
      </c>
      <c r="B7313" s="4" t="s">
        <v>9196</v>
      </c>
      <c r="C7313" s="5" t="str">
        <f>IFERROR(__xludf.DUMMYFUNCTION("GOOGLETRANSLATE(B7313,""en"",""fr"")"),"Un gros plan d'un homme est montré suivi par lui poser une question à une femme sur la plage.")</f>
        <v>Un gros plan d'un homme est montré suivi par lui poser une question à une femme sur la plage.</v>
      </c>
    </row>
    <row r="7314">
      <c r="A7314" s="4" t="s">
        <v>9195</v>
      </c>
      <c r="B7314" s="4" t="s">
        <v>9197</v>
      </c>
      <c r="C7314" s="5" t="str">
        <f>IFERROR(__xludf.DUMMYFUNCTION("GOOGLETRANSLATE(B7314,""en"",""fr"")"),"Il est ensuite montré en parlant à plusieurs personnes différentes tenant un frisbee et jouant à un jeu.")</f>
        <v>Il est ensuite montré en parlant à plusieurs personnes différentes tenant un frisbee et jouant à un jeu.</v>
      </c>
    </row>
    <row r="7315">
      <c r="A7315" s="4" t="s">
        <v>9195</v>
      </c>
      <c r="B7315" s="4" t="s">
        <v>9198</v>
      </c>
      <c r="C7315" s="5" t="str">
        <f>IFERROR(__xludf.DUMMYFUNCTION("GOOGLETRANSLATE(B7315,""en"",""fr"")"),"Beaucoup de femmes rient avec les hommes et l'homme donne plusieurs d'entre eux un baiser.")</f>
        <v>Beaucoup de femmes rient avec les hommes et l'homme donne plusieurs d'entre eux un baiser.</v>
      </c>
    </row>
    <row r="7316">
      <c r="A7316" s="4" t="s">
        <v>9199</v>
      </c>
      <c r="B7316" s="4" t="s">
        <v>9200</v>
      </c>
      <c r="C7316" s="5" t="str">
        <f>IFERROR(__xludf.DUMMYFUNCTION("GOOGLETRANSLATE(B7316,""en"",""fr"")"),"Deux hommes sont vus sauter et se donner des coups de pied en effectuant divers flips et astuces.")</f>
        <v>Deux hommes sont vus sauter et se donner des coups de pied en effectuant divers flips et astuces.</v>
      </c>
    </row>
    <row r="7317">
      <c r="A7317" s="4" t="s">
        <v>9199</v>
      </c>
      <c r="B7317" s="6" t="s">
        <v>9201</v>
      </c>
      <c r="C7317" s="5" t="str">
        <f>IFERROR(__xludf.DUMMYFUNCTION("GOOGLETRANSLATE(B7317,""en"",""fr"")"),"Les hommes continuent de tourner les uns aux autres ainsi que des mouvements de gymnastique à différents endroits.")</f>
        <v>Les hommes continuent de tourner les uns aux autres ainsi que des mouvements de gymnastique à différents endroits.</v>
      </c>
    </row>
    <row r="7318">
      <c r="A7318" s="4" t="s">
        <v>9202</v>
      </c>
      <c r="B7318" s="4" t="s">
        <v>9203</v>
      </c>
      <c r="C7318" s="5" t="str">
        <f>IFERROR(__xludf.DUMMYFUNCTION("GOOGLETRANSLATE(B7318,""en"",""fr"")"),"Un planteur de fleurs est vu devant une maison.")</f>
        <v>Un planteur de fleurs est vu devant une maison.</v>
      </c>
    </row>
    <row r="7319">
      <c r="A7319" s="4" t="s">
        <v>9202</v>
      </c>
      <c r="B7319" s="4" t="s">
        <v>9204</v>
      </c>
      <c r="C7319" s="5" t="str">
        <f>IFERROR(__xludf.DUMMYFUNCTION("GOOGLETRANSLATE(B7319,""en"",""fr"")"),"Un couvreur cloue des carreaux dans les poutres de toit d'une maison.")</f>
        <v>Un couvreur cloue des carreaux dans les poutres de toit d'une maison.</v>
      </c>
    </row>
    <row r="7320">
      <c r="A7320" s="4" t="s">
        <v>9202</v>
      </c>
      <c r="B7320" s="4" t="s">
        <v>9205</v>
      </c>
      <c r="C7320" s="5" t="str">
        <f>IFERROR(__xludf.DUMMYFUNCTION("GOOGLETRANSLATE(B7320,""en"",""fr"")"),"Le travailleur de la construction glisse en place sur un toit.")</f>
        <v>Le travailleur de la construction glisse en place sur un toit.</v>
      </c>
    </row>
    <row r="7321">
      <c r="A7321" s="4" t="s">
        <v>9202</v>
      </c>
      <c r="B7321" s="4" t="s">
        <v>9206</v>
      </c>
      <c r="C7321" s="5" t="str">
        <f>IFERROR(__xludf.DUMMYFUNCTION("GOOGLETRANSLATE(B7321,""en"",""fr"")"),"Un équipage de travailleurs de la construction met des carreaux sur un toit.")</f>
        <v>Un équipage de travailleurs de la construction met des carreaux sur un toit.</v>
      </c>
    </row>
    <row r="7322">
      <c r="A7322" s="4" t="s">
        <v>9202</v>
      </c>
      <c r="B7322" s="4" t="s">
        <v>9207</v>
      </c>
      <c r="C7322" s="5" t="str">
        <f>IFERROR(__xludf.DUMMYFUNCTION("GOOGLETRANSLATE(B7322,""en"",""fr"")"),"Un toit en carrelage fini est vu lorsque le travail est terminé.")</f>
        <v>Un toit en carrelage fini est vu lorsque le travail est terminé.</v>
      </c>
    </row>
    <row r="7323">
      <c r="A7323" s="4" t="s">
        <v>9202</v>
      </c>
      <c r="B7323" s="4" t="s">
        <v>9208</v>
      </c>
      <c r="C7323" s="5" t="str">
        <f>IFERROR(__xludf.DUMMYFUNCTION("GOOGLETRANSLATE(B7323,""en"",""fr"")"),"Un travailleur utilise un outil de spatule pour appliquer le coulis entre les carreaux sur le toit.")</f>
        <v>Un travailleur utilise un outil de spatule pour appliquer le coulis entre les carreaux sur le toit.</v>
      </c>
    </row>
    <row r="7324">
      <c r="A7324" s="4" t="s">
        <v>9209</v>
      </c>
      <c r="B7324" s="4" t="s">
        <v>9210</v>
      </c>
      <c r="C7324" s="5" t="str">
        <f>IFERROR(__xludf.DUMMYFUNCTION("GOOGLETRANSLATE(B7324,""en"",""fr"")"),"Un terrain de basket est montré à l'extérieur.")</f>
        <v>Un terrain de basket est montré à l'extérieur.</v>
      </c>
    </row>
    <row r="7325">
      <c r="A7325" s="4" t="s">
        <v>9209</v>
      </c>
      <c r="B7325" s="4" t="s">
        <v>9211</v>
      </c>
      <c r="C7325" s="5" t="str">
        <f>IFERROR(__xludf.DUMMYFUNCTION("GOOGLETRANSLATE(B7325,""en"",""fr"")"),"Un homme repose et fait plusieurs dispositions consécutives.")</f>
        <v>Un homme repose et fait plusieurs dispositions consécutives.</v>
      </c>
    </row>
    <row r="7326">
      <c r="A7326" s="4" t="s">
        <v>9209</v>
      </c>
      <c r="B7326" s="4" t="s">
        <v>9212</v>
      </c>
      <c r="C7326" s="5" t="str">
        <f>IFERROR(__xludf.DUMMYFUNCTION("GOOGLETRANSLATE(B7326,""en"",""fr"")"),"Il fait quelques paniers, puis essaie encore et encore.")</f>
        <v>Il fait quelques paniers, puis essaie encore et encore.</v>
      </c>
    </row>
    <row r="7327">
      <c r="A7327" s="4" t="s">
        <v>9209</v>
      </c>
      <c r="B7327" s="4" t="s">
        <v>9213</v>
      </c>
      <c r="C7327" s="5" t="str">
        <f>IFERROR(__xludf.DUMMYFUNCTION("GOOGLETRANSLATE(B7327,""en"",""fr"")"),"Certains enfants sont passés, agitant à la caméra.")</f>
        <v>Certains enfants sont passés, agitant à la caméra.</v>
      </c>
    </row>
    <row r="7328">
      <c r="A7328" s="4" t="s">
        <v>9214</v>
      </c>
      <c r="B7328" s="4" t="s">
        <v>9215</v>
      </c>
      <c r="C7328" s="5" t="str">
        <f>IFERROR(__xludf.DUMMYFUNCTION("GOOGLETRANSLATE(B7328,""en"",""fr"")"),"Un homme se tient à l'extérieur pour parler.")</f>
        <v>Un homme se tient à l'extérieur pour parler.</v>
      </c>
    </row>
    <row r="7329">
      <c r="A7329" s="4" t="s">
        <v>9214</v>
      </c>
      <c r="B7329" s="4" t="s">
        <v>9216</v>
      </c>
      <c r="C7329" s="5" t="str">
        <f>IFERROR(__xludf.DUMMYFUNCTION("GOOGLETRANSLATE(B7329,""en"",""fr"")"),"Il monte sur une ligne Slack et commence à le traverser.")</f>
        <v>Il monte sur une ligne Slack et commence à le traverser.</v>
      </c>
    </row>
    <row r="7330">
      <c r="A7330" s="4" t="s">
        <v>9214</v>
      </c>
      <c r="B7330" s="4" t="s">
        <v>9217</v>
      </c>
      <c r="C7330" s="5" t="str">
        <f>IFERROR(__xludf.DUMMYFUNCTION("GOOGLETRANSLATE(B7330,""en"",""fr"")"),"Il tombe sur l'herbe.")</f>
        <v>Il tombe sur l'herbe.</v>
      </c>
    </row>
    <row r="7331">
      <c r="A7331" s="4" t="s">
        <v>9218</v>
      </c>
      <c r="B7331" s="4" t="s">
        <v>9219</v>
      </c>
      <c r="C7331" s="5" t="str">
        <f>IFERROR(__xludf.DUMMYFUNCTION("GOOGLETRANSLATE(B7331,""en"",""fr"")"),"Nous voyons une clause de Père Noël sous l'eau dans l'océan.")</f>
        <v>Nous voyons une clause de Père Noël sous l'eau dans l'océan.</v>
      </c>
    </row>
    <row r="7332">
      <c r="A7332" s="4" t="s">
        <v>9218</v>
      </c>
      <c r="B7332" s="4" t="s">
        <v>9220</v>
      </c>
      <c r="C7332" s="5" t="str">
        <f>IFERROR(__xludf.DUMMYFUNCTION("GOOGLETRANSLATE(B7332,""en"",""fr"")"),"Nous voyons des poissons blancs et jaunes nager autour de l'homme.")</f>
        <v>Nous voyons des poissons blancs et jaunes nager autour de l'homme.</v>
      </c>
    </row>
    <row r="7333">
      <c r="A7333" s="4" t="s">
        <v>9218</v>
      </c>
      <c r="B7333" s="4" t="s">
        <v>9221</v>
      </c>
      <c r="C7333" s="5" t="str">
        <f>IFERROR(__xludf.DUMMYFUNCTION("GOOGLETRANSLATE(B7333,""en"",""fr"")"),"Nous nous asseyons au-dessus de l'homme en voyant ses bulles.")</f>
        <v>Nous nous asseyons au-dessus de l'homme en voyant ses bulles.</v>
      </c>
    </row>
    <row r="7334">
      <c r="A7334" s="4" t="s">
        <v>9218</v>
      </c>
      <c r="B7334" s="4" t="s">
        <v>9222</v>
      </c>
      <c r="C7334" s="5" t="str">
        <f>IFERROR(__xludf.DUMMYFUNCTION("GOOGLETRANSLATE(B7334,""en"",""fr"")"),"L'homme nage sous un arc rocheux.")</f>
        <v>L'homme nage sous un arc rocheux.</v>
      </c>
    </row>
    <row r="7335">
      <c r="A7335" s="4" t="s">
        <v>9223</v>
      </c>
      <c r="B7335" s="6" t="s">
        <v>9224</v>
      </c>
      <c r="C7335" s="5" t="str">
        <f>IFERROR(__xludf.DUMMYFUNCTION("GOOGLETRANSLATE(B7335,""en"",""fr"")"),"L'homme se tient dans le botom d'un escalier et nettoie la neige dans la rue qu'un chasse-neige passe et l'homme nettoie la neige et fait un chemin.")</f>
        <v>L'homme se tient dans le botom d'un escalier et nettoie la neige dans la rue qu'un chasse-neige passe et l'homme nettoie la neige et fait un chemin.</v>
      </c>
    </row>
    <row r="7336">
      <c r="A7336" s="4" t="s">
        <v>9223</v>
      </c>
      <c r="B7336" s="4" t="s">
        <v>9225</v>
      </c>
      <c r="C7336" s="5" t="str">
        <f>IFERROR(__xludf.DUMMYFUNCTION("GOOGLETRANSLATE(B7336,""en"",""fr"")"),"L'homme se tient devant une voiture et nettoie le pare-brise et toutes les fenêtres.")</f>
        <v>L'homme se tient devant une voiture et nettoie le pare-brise et toutes les fenêtres.</v>
      </c>
    </row>
    <row r="7337">
      <c r="A7337" s="4" t="s">
        <v>9226</v>
      </c>
      <c r="B7337" s="4" t="s">
        <v>9227</v>
      </c>
      <c r="C7337" s="5" t="str">
        <f>IFERROR(__xludf.DUMMYFUNCTION("GOOGLETRANSLATE(B7337,""en"",""fr"")"),"Les gens se préparent à aller au canoë puis à lancer leurs bateaux.")</f>
        <v>Les gens se préparent à aller au canoë puis à lancer leurs bateaux.</v>
      </c>
    </row>
    <row r="7338">
      <c r="A7338" s="4" t="s">
        <v>9226</v>
      </c>
      <c r="B7338" s="4" t="s">
        <v>9228</v>
      </c>
      <c r="C7338" s="5" t="str">
        <f>IFERROR(__xludf.DUMMYFUNCTION("GOOGLETRANSLATE(B7338,""en"",""fr"")"),"Les gens descendent ensuite le ruisseau.")</f>
        <v>Les gens descendent ensuite le ruisseau.</v>
      </c>
    </row>
    <row r="7339">
      <c r="A7339" s="4" t="s">
        <v>9229</v>
      </c>
      <c r="B7339" s="4" t="s">
        <v>9230</v>
      </c>
      <c r="C7339" s="5" t="str">
        <f>IFERROR(__xludf.DUMMYFUNCTION("GOOGLETRANSLATE(B7339,""en"",""fr"")"),"Un homme dans une chemise Batman est assis à parler.")</f>
        <v>Un homme dans une chemise Batman est assis à parler.</v>
      </c>
    </row>
    <row r="7340">
      <c r="A7340" s="4" t="s">
        <v>9229</v>
      </c>
      <c r="B7340" s="4" t="s">
        <v>9231</v>
      </c>
      <c r="C7340" s="5" t="str">
        <f>IFERROR(__xludf.DUMMYFUNCTION("GOOGLETRANSLATE(B7340,""en"",""fr"")"),"Une personne commence à souder un morceau de métal.")</f>
        <v>Une personne commence à souder un morceau de métal.</v>
      </c>
    </row>
    <row r="7341">
      <c r="A7341" s="4" t="s">
        <v>9229</v>
      </c>
      <c r="B7341" s="4" t="s">
        <v>9232</v>
      </c>
      <c r="C7341" s="5" t="str">
        <f>IFERROR(__xludf.DUMMYFUNCTION("GOOGLETRANSLATE(B7341,""en"",""fr"")"),"Il enlève un pinceau et des brosses du morceau de métal.")</f>
        <v>Il enlève un pinceau et des brosses du morceau de métal.</v>
      </c>
    </row>
    <row r="7342">
      <c r="A7342" s="4" t="s">
        <v>9229</v>
      </c>
      <c r="B7342" s="4" t="s">
        <v>9233</v>
      </c>
      <c r="C7342" s="5" t="str">
        <f>IFERROR(__xludf.DUMMYFUNCTION("GOOGLETRANSLATE(B7342,""en"",""fr"")"),"Il met toutes les pièces dans un sac noir.")</f>
        <v>Il met toutes les pièces dans un sac noir.</v>
      </c>
    </row>
    <row r="7343">
      <c r="A7343" s="4" t="s">
        <v>9234</v>
      </c>
      <c r="B7343" s="4" t="s">
        <v>9235</v>
      </c>
      <c r="C7343" s="5" t="str">
        <f>IFERROR(__xludf.DUMMYFUNCTION("GOOGLETRANSLATE(B7343,""en"",""fr"")"),"Un petit groupe de personnes est vu debout sur les deux côtés d'un filet.")</f>
        <v>Un petit groupe de personnes est vu debout sur les deux côtés d'un filet.</v>
      </c>
    </row>
    <row r="7344">
      <c r="A7344" s="4" t="s">
        <v>9234</v>
      </c>
      <c r="B7344" s="4" t="s">
        <v>9236</v>
      </c>
      <c r="C7344" s="5" t="str">
        <f>IFERROR(__xludf.DUMMYFUNCTION("GOOGLETRANSLATE(B7344,""en"",""fr"")"),"Les gens commencent alors à jouer à un jeu de badminton les uns avec les autres.")</f>
        <v>Les gens commencent alors à jouer à un jeu de badminton les uns avec les autres.</v>
      </c>
    </row>
    <row r="7345">
      <c r="A7345" s="4" t="s">
        <v>9234</v>
      </c>
      <c r="B7345" s="4" t="s">
        <v>9237</v>
      </c>
      <c r="C7345" s="5" t="str">
        <f>IFERROR(__xludf.DUMMYFUNCTION("GOOGLETRANSLATE(B7345,""en"",""fr"")"),"Ils continuent de frapper le birdie tout en le servant de l'autre côté et en le frappant.")</f>
        <v>Ils continuent de frapper le birdie tout en le servant de l'autre côté et en le frappant.</v>
      </c>
    </row>
    <row r="7346">
      <c r="A7346" s="4" t="s">
        <v>9238</v>
      </c>
      <c r="B7346" s="4" t="s">
        <v>9239</v>
      </c>
      <c r="C7346" s="5" t="str">
        <f>IFERROR(__xludf.DUMMYFUNCTION("GOOGLETRANSLATE(B7346,""en"",""fr"")"),"Une foule d'environ mille personnes est à l'extérieur et dans le stade en regardant un combat taureau.")</f>
        <v>Une foule d'environ mille personnes est à l'extérieur et dans le stade en regardant un combat taureau.</v>
      </c>
    </row>
    <row r="7347">
      <c r="A7347" s="4" t="s">
        <v>9238</v>
      </c>
      <c r="B7347" s="4" t="s">
        <v>9240</v>
      </c>
      <c r="C7347" s="5" t="str">
        <f>IFERROR(__xludf.DUMMYFUNCTION("GOOGLETRANSLATE(B7347,""en"",""fr"")"),"Trois jeunes hommes sont au centre et commencent à altérer deux taureaux en noir et blanc.")</f>
        <v>Trois jeunes hommes sont au centre et commencent à altérer deux taureaux en noir et blanc.</v>
      </c>
    </row>
    <row r="7348">
      <c r="A7348" s="4" t="s">
        <v>9238</v>
      </c>
      <c r="B7348" s="6" t="s">
        <v>9241</v>
      </c>
      <c r="C7348" s="5" t="str">
        <f>IFERROR(__xludf.DUMMYFUNCTION("GOOGLETRANSLATE(B7348,""en"",""fr"")"),"Les deux taureaux se battent maintenant et la foule commence à se rapprocher pour voir l'action.")</f>
        <v>Les deux taureaux se battent maintenant et la foule commence à se rapprocher pour voir l'action.</v>
      </c>
    </row>
    <row r="7349">
      <c r="A7349" s="4" t="s">
        <v>9242</v>
      </c>
      <c r="B7349" s="4" t="s">
        <v>9243</v>
      </c>
      <c r="C7349" s="5" t="str">
        <f>IFERROR(__xludf.DUMMYFUNCTION("GOOGLETRANSLATE(B7349,""en"",""fr"")"),"Une caméra se déroule autour d'un lac et montre un bateau se déplaçant le long de l'eau.")</f>
        <v>Une caméra se déroule autour d'un lac et montre un bateau se déplaçant le long de l'eau.</v>
      </c>
    </row>
    <row r="7350">
      <c r="A7350" s="4" t="s">
        <v>9242</v>
      </c>
      <c r="B7350" s="4" t="s">
        <v>9244</v>
      </c>
      <c r="C7350" s="5" t="str">
        <f>IFERROR(__xludf.DUMMYFUNCTION("GOOGLETRANSLATE(B7350,""en"",""fr"")"),"Une personne est vue rouler derrière le bateau sur une paire de skis.")</f>
        <v>Une personne est vue rouler derrière le bateau sur une paire de skis.</v>
      </c>
    </row>
    <row r="7351">
      <c r="A7351" s="4" t="s">
        <v>9242</v>
      </c>
      <c r="B7351" s="4" t="s">
        <v>9245</v>
      </c>
      <c r="C7351" s="5" t="str">
        <f>IFERROR(__xludf.DUMMYFUNCTION("GOOGLETRANSLATE(B7351,""en"",""fr"")"),"Plus de coups de feu sont montrés du bateau qui roule avec une personne skiant dans le dos.")</f>
        <v>Plus de coups de feu sont montrés du bateau qui roule avec une personne skiant dans le dos.</v>
      </c>
    </row>
    <row r="7352">
      <c r="A7352" s="4" t="s">
        <v>9246</v>
      </c>
      <c r="B7352" s="6" t="s">
        <v>9247</v>
      </c>
      <c r="C7352" s="5" t="str">
        <f>IFERROR(__xludf.DUMMYFUNCTION("GOOGLETRANSLATE(B7352,""en"",""fr"")"),"Un grand groupe de personnes est vue debout ensemble habillée avec un homme parlant dans un micro et pointant.")</f>
        <v>Un grand groupe de personnes est vue debout ensemble habillée avec un homme parlant dans un micro et pointant.</v>
      </c>
    </row>
    <row r="7353">
      <c r="A7353" s="4" t="s">
        <v>9246</v>
      </c>
      <c r="B7353" s="6" t="s">
        <v>9248</v>
      </c>
      <c r="C7353" s="5" t="str">
        <f>IFERROR(__xludf.DUMMYFUNCTION("GOOGLETRANSLATE(B7353,""en"",""fr"")"),"L'homme se lance ensuite en chant et danse avec un autre homme et pointant progressivement le marié.")</f>
        <v>L'homme se lance ensuite en chant et danse avec un autre homme et pointant progressivement le marié.</v>
      </c>
    </row>
    <row r="7354">
      <c r="A7354" s="4" t="s">
        <v>9249</v>
      </c>
      <c r="B7354" s="4" t="s">
        <v>9250</v>
      </c>
      <c r="C7354" s="5" t="str">
        <f>IFERROR(__xludf.DUMMYFUNCTION("GOOGLETRANSLATE(B7354,""en"",""fr"")"),"Les hommes d'affaires traversent une foule animée.")</f>
        <v>Les hommes d'affaires traversent une foule animée.</v>
      </c>
    </row>
    <row r="7355">
      <c r="A7355" s="4" t="s">
        <v>9249</v>
      </c>
      <c r="B7355" s="4" t="s">
        <v>9251</v>
      </c>
      <c r="C7355" s="5" t="str">
        <f>IFERROR(__xludf.DUMMYFUNCTION("GOOGLETRANSLATE(B7355,""en"",""fr"")"),"Un homme d'affaires joue contre un professionnel du tennis de table.")</f>
        <v>Un homme d'affaires joue contre un professionnel du tennis de table.</v>
      </c>
    </row>
    <row r="7356">
      <c r="A7356" s="4" t="s">
        <v>9249</v>
      </c>
      <c r="B7356" s="4" t="s">
        <v>9252</v>
      </c>
      <c r="C7356" s="5" t="str">
        <f>IFERROR(__xludf.DUMMYFUNCTION("GOOGLETRANSLATE(B7356,""en"",""fr"")"),"Deux hommes d'affaires jouent dans une équipe contre le Table Tennis Pro.")</f>
        <v>Deux hommes d'affaires jouent dans une équipe contre le Table Tennis Pro.</v>
      </c>
    </row>
    <row r="7357">
      <c r="A7357" s="4" t="s">
        <v>9249</v>
      </c>
      <c r="B7357" s="4" t="s">
        <v>9253</v>
      </c>
      <c r="C7357" s="5" t="str">
        <f>IFERROR(__xludf.DUMMYFUNCTION("GOOGLETRANSLATE(B7357,""en"",""fr"")"),"Le match se termine et les hommes d'affaires serrent la main avec l'athlète.")</f>
        <v>Le match se termine et les hommes d'affaires serrent la main avec l'athlète.</v>
      </c>
    </row>
    <row r="7358">
      <c r="A7358" s="4" t="s">
        <v>9254</v>
      </c>
      <c r="B7358" s="4" t="s">
        <v>9255</v>
      </c>
      <c r="C7358" s="5" t="str">
        <f>IFERROR(__xludf.DUMMYFUNCTION("GOOGLETRANSLATE(B7358,""en"",""fr"")"),"Un garçon Preteen est dans un parc ouvert de tournage de défis sur les barres de singe, il pointe vers la gauche.")</f>
        <v>Un garçon Preteen est dans un parc ouvert de tournage de défis sur les barres de singe, il pointe vers la gauche.</v>
      </c>
    </row>
    <row r="7359">
      <c r="A7359" s="4" t="s">
        <v>9254</v>
      </c>
      <c r="B7359" s="4" t="s">
        <v>9256</v>
      </c>
      <c r="C7359" s="5" t="str">
        <f>IFERROR(__xludf.DUMMYFUNCTION("GOOGLETRANSLATE(B7359,""en"",""fr"")"),"La caméra se déroule vers la gauche pour montrer la diapositive dans une autre partie du gymnase de la jungle.")</f>
        <v>La caméra se déroule vers la gauche pour montrer la diapositive dans une autre partie du gymnase de la jungle.</v>
      </c>
    </row>
    <row r="7360">
      <c r="A7360" s="4" t="s">
        <v>9254</v>
      </c>
      <c r="B7360" s="4" t="s">
        <v>9257</v>
      </c>
      <c r="C7360" s="5" t="str">
        <f>IFERROR(__xludf.DUMMYFUNCTION("GOOGLETRANSLATE(B7360,""en"",""fr"")"),"L'appareil photo revient aux barres de singe.")</f>
        <v>L'appareil photo revient aux barres de singe.</v>
      </c>
    </row>
    <row r="7361">
      <c r="A7361" s="4" t="s">
        <v>9254</v>
      </c>
      <c r="B7361" s="6" t="s">
        <v>9258</v>
      </c>
      <c r="C7361" s="5" t="str">
        <f>IFERROR(__xludf.DUMMYFUNCTION("GOOGLETRANSLATE(B7361,""en"",""fr"")"),"Le garçon tente de gravir les barres de singe à partir du second de l'échelle supérieure de l'échelle à l'intérieur et tombe, il se lève et va à l'échelle.")</f>
        <v>Le garçon tente de gravir les barres de singe à partir du second de l'échelle supérieure de l'échelle à l'intérieur et tombe, il se lève et va à l'échelle.</v>
      </c>
    </row>
    <row r="7362">
      <c r="A7362" s="4" t="s">
        <v>9254</v>
      </c>
      <c r="B7362" s="6" t="s">
        <v>9259</v>
      </c>
      <c r="C7362" s="5" t="str">
        <f>IFERROR(__xludf.DUMMYFUNCTION("GOOGLETRANSLATE(B7362,""en"",""fr"")"),"Le garçon essaie à nouveau la montée, cette fois de l'échelle supérieure de l'échelle à l'intérieur et tombe, il se lève et revient à l'échelle.")</f>
        <v>Le garçon essaie à nouveau la montée, cette fois de l'échelle supérieure de l'échelle à l'intérieur et tombe, il se lève et revient à l'échelle.</v>
      </c>
    </row>
    <row r="7363">
      <c r="A7363" s="4" t="s">
        <v>9254</v>
      </c>
      <c r="B7363" s="6" t="s">
        <v>9260</v>
      </c>
      <c r="C7363" s="5" t="str">
        <f>IFERROR(__xludf.DUMMYFUNCTION("GOOGLETRANSLATE(B7363,""en"",""fr"")"),"Le garçon tente de grimper à nouveau, de la barre supérieure à l'intérieur et tombe à nouveau, il se lève et revient à l'échelle.")</f>
        <v>Le garçon tente de grimper à nouveau, de la barre supérieure à l'intérieur et tombe à nouveau, il se lève et revient à l'échelle.</v>
      </c>
    </row>
    <row r="7364">
      <c r="A7364" s="4" t="s">
        <v>9254</v>
      </c>
      <c r="B7364" s="6" t="s">
        <v>9261</v>
      </c>
      <c r="C7364" s="5" t="str">
        <f>IFERROR(__xludf.DUMMYFUNCTION("GOOGLETRANSLATE(B7364,""en"",""fr"")"),"Le garçon tente de grimper à nouveau, cette fois, il s'adapte à nouveau debout sur le deuxième échelon à l'intérieur et tombe à nouveau quand il tente de grimper.")</f>
        <v>Le garçon tente de grimper à nouveau, cette fois, il s'adapte à nouveau debout sur le deuxième échelon à l'intérieur et tombe à nouveau quand il tente de grimper.</v>
      </c>
    </row>
    <row r="7365">
      <c r="A7365" s="4" t="s">
        <v>9254</v>
      </c>
      <c r="B7365" s="6" t="s">
        <v>9262</v>
      </c>
      <c r="C7365" s="5" t="str">
        <f>IFERROR(__xludf.DUMMYFUNCTION("GOOGLETRANSLATE(B7365,""en"",""fr"")"),"Le garçon tente de grimper à nouveau en utilisant le même point de départ et tombe, il se lève et se dirige vers l'échelle mais décide qu'il a terminé et dit au revoir.")</f>
        <v>Le garçon tente de grimper à nouveau en utilisant le même point de départ et tombe, il se lève et se dirige vers l'échelle mais décide qu'il a terminé et dit au revoir.</v>
      </c>
    </row>
    <row r="7366">
      <c r="A7366" s="4" t="s">
        <v>9263</v>
      </c>
      <c r="B7366" s="4" t="s">
        <v>9264</v>
      </c>
      <c r="C7366" s="5" t="str">
        <f>IFERROR(__xludf.DUMMYFUNCTION("GOOGLETRANSLATE(B7366,""en"",""fr"")"),"Un homme est vu rouler sur un cheval tenant un bâton, puis s'arrêtant pour s'asseoir.")</f>
        <v>Un homme est vu rouler sur un cheval tenant un bâton, puis s'arrêtant pour s'asseoir.</v>
      </c>
    </row>
    <row r="7367">
      <c r="A7367" s="4" t="s">
        <v>9263</v>
      </c>
      <c r="B7367" s="6" t="s">
        <v>9265</v>
      </c>
      <c r="C7367" s="5" t="str">
        <f>IFERROR(__xludf.DUMMYFUNCTION("GOOGLETRANSLATE(B7367,""en"",""fr"")"),"Il est ensuite revu marcher avec un grand groupe de personnes buvant de l'eau, puis serre la main de plusieurs personnes en revenant.")</f>
        <v>Il est ensuite revu marcher avec un grand groupe de personnes buvant de l'eau, puis serre la main de plusieurs personnes en revenant.</v>
      </c>
    </row>
    <row r="7368">
      <c r="A7368" s="4" t="s">
        <v>9266</v>
      </c>
      <c r="B7368" s="4" t="s">
        <v>9267</v>
      </c>
      <c r="C7368" s="5" t="str">
        <f>IFERROR(__xludf.DUMMYFUNCTION("GOOGLETRANSLATE(B7368,""en"",""fr"")"),"Un gros plan d'une pâte est montré et mène à une personne répandant le glaçage sur une pâtisserie.")</f>
        <v>Un gros plan d'une pâte est montré et mène à une personne répandant le glaçage sur une pâtisserie.</v>
      </c>
    </row>
    <row r="7369">
      <c r="A7369" s="4" t="s">
        <v>9266</v>
      </c>
      <c r="B7369" s="4" t="s">
        <v>9268</v>
      </c>
      <c r="C7369" s="5" t="str">
        <f>IFERROR(__xludf.DUMMYFUNCTION("GOOGLETRANSLATE(B7369,""en"",""fr"")"),"Elle met la pâte sur le gâteau et continue de mettre du glaçage tout autour du gâteau.")</f>
        <v>Elle met la pâte sur le gâteau et continue de mettre du glaçage tout autour du gâteau.</v>
      </c>
    </row>
    <row r="7370">
      <c r="A7370" s="4" t="s">
        <v>9266</v>
      </c>
      <c r="B7370" s="6" t="s">
        <v>9269</v>
      </c>
      <c r="C7370" s="5" t="str">
        <f>IFERROR(__xludf.DUMMYFUNCTION("GOOGLETRANSLATE(B7370,""en"",""fr"")"),"La caméra zoome autour du gâteau et montre que la femme met un visage sur le gâteau et montrant le résultat fini.")</f>
        <v>La caméra zoome autour du gâteau et montre que la femme met un visage sur le gâteau et montrant le résultat fini.</v>
      </c>
    </row>
    <row r="7371">
      <c r="A7371" s="4" t="s">
        <v>9270</v>
      </c>
      <c r="B7371" s="4" t="s">
        <v>9271</v>
      </c>
      <c r="C7371" s="5" t="str">
        <f>IFERROR(__xludf.DUMMYFUNCTION("GOOGLETRANSLATE(B7371,""en"",""fr"")"),"Deux présentateurs de nouvelles parlent dans une pièce.")</f>
        <v>Deux présentateurs de nouvelles parlent dans une pièce.</v>
      </c>
    </row>
    <row r="7372">
      <c r="A7372" s="4" t="s">
        <v>9270</v>
      </c>
      <c r="B7372" s="4" t="s">
        <v>9272</v>
      </c>
      <c r="C7372" s="5" t="str">
        <f>IFERROR(__xludf.DUMMYFUNCTION("GOOGLETRANSLATE(B7372,""en"",""fr"")"),"Un homme fait de la nourriture dans une cuisine.")</f>
        <v>Un homme fait de la nourriture dans une cuisine.</v>
      </c>
    </row>
    <row r="7373">
      <c r="A7373" s="4" t="s">
        <v>9270</v>
      </c>
      <c r="B7373" s="4" t="s">
        <v>9273</v>
      </c>
      <c r="C7373" s="5" t="str">
        <f>IFERROR(__xludf.DUMMYFUNCTION("GOOGLETRANSLATE(B7373,""en"",""fr"")"),"Il cuisine des champignons dans une casserole.")</f>
        <v>Il cuisine des champignons dans une casserole.</v>
      </c>
    </row>
    <row r="7374">
      <c r="A7374" s="4" t="s">
        <v>9270</v>
      </c>
      <c r="B7374" s="4" t="s">
        <v>9274</v>
      </c>
      <c r="C7374" s="5" t="str">
        <f>IFERROR(__xludf.DUMMYFUNCTION("GOOGLETRANSLATE(B7374,""en"",""fr"")"),"Il ajoute la nourriture dans un bol.")</f>
        <v>Il ajoute la nourriture dans un bol.</v>
      </c>
    </row>
    <row r="7375">
      <c r="A7375" s="4" t="s">
        <v>9275</v>
      </c>
      <c r="B7375" s="4" t="s">
        <v>9276</v>
      </c>
      <c r="C7375" s="5" t="str">
        <f>IFERROR(__xludf.DUMMYFUNCTION("GOOGLETRANSLATE(B7375,""en"",""fr"")"),"Une longue écharpe colorée est vue sur les chaises.")</f>
        <v>Une longue écharpe colorée est vue sur les chaises.</v>
      </c>
    </row>
    <row r="7376">
      <c r="A7376" s="4" t="s">
        <v>9275</v>
      </c>
      <c r="B7376" s="4" t="s">
        <v>9277</v>
      </c>
      <c r="C7376" s="5" t="str">
        <f>IFERROR(__xludf.DUMMYFUNCTION("GOOGLETRANSLATE(B7376,""en"",""fr"")"),"Une femme est vue en train de tricoter l'écharpe dans une robe violette.")</f>
        <v>Une femme est vue en train de tricoter l'écharpe dans une robe violette.</v>
      </c>
    </row>
    <row r="7377">
      <c r="A7377" s="4" t="s">
        <v>9275</v>
      </c>
      <c r="B7377" s="4" t="s">
        <v>9278</v>
      </c>
      <c r="C7377" s="5" t="str">
        <f>IFERROR(__xludf.DUMMYFUNCTION("GOOGLETRANSLATE(B7377,""en"",""fr"")"),"Trois autres femmes s'assoient ensemble et tricotent une section de l'écharpe.")</f>
        <v>Trois autres femmes s'assoient ensemble et tricotent une section de l'écharpe.</v>
      </c>
    </row>
    <row r="7378">
      <c r="A7378" s="4" t="s">
        <v>9279</v>
      </c>
      <c r="B7378" s="4" t="s">
        <v>1487</v>
      </c>
      <c r="C7378" s="5" t="str">
        <f>IFERROR(__xludf.DUMMYFUNCTION("GOOGLETRANSLATE(B7378,""en"",""fr"")"),"Nous voyons un écran de titre d'ouverture.")</f>
        <v>Nous voyons un écran de titre d'ouverture.</v>
      </c>
    </row>
    <row r="7379">
      <c r="A7379" s="4" t="s">
        <v>9279</v>
      </c>
      <c r="B7379" s="4" t="s">
        <v>9280</v>
      </c>
      <c r="C7379" s="5" t="str">
        <f>IFERROR(__xludf.DUMMYFUNCTION("GOOGLETRANSLATE(B7379,""en"",""fr"")"),"Nous voyons des images d'un homme ouvrant des stores et transportant une pension à l'extérieur.")</f>
        <v>Nous voyons des images d'un homme ouvrant des stores et transportant une pension à l'extérieur.</v>
      </c>
    </row>
    <row r="7380">
      <c r="A7380" s="4" t="s">
        <v>9279</v>
      </c>
      <c r="B7380" s="4" t="s">
        <v>9281</v>
      </c>
      <c r="C7380" s="5" t="str">
        <f>IFERROR(__xludf.DUMMYFUNCTION("GOOGLETRANSLATE(B7380,""en"",""fr"")"),"Nous voyons un homme à jet skis et effectuons des flips.")</f>
        <v>Nous voyons un homme à jet skis et effectuons des flips.</v>
      </c>
    </row>
    <row r="7381">
      <c r="A7381" s="4" t="s">
        <v>9279</v>
      </c>
      <c r="B7381" s="4" t="s">
        <v>9282</v>
      </c>
      <c r="C7381" s="5" t="str">
        <f>IFERROR(__xludf.DUMMYFUNCTION("GOOGLETRANSLATE(B7381,""en"",""fr"")"),"Nous voyons un homme assis sur le quai.")</f>
        <v>Nous voyons un homme assis sur le quai.</v>
      </c>
    </row>
    <row r="7382">
      <c r="A7382" s="4" t="s">
        <v>9279</v>
      </c>
      <c r="B7382" s="4" t="s">
        <v>9283</v>
      </c>
      <c r="C7382" s="5" t="str">
        <f>IFERROR(__xludf.DUMMYFUNCTION("GOOGLETRANSLATE(B7382,""en"",""fr"")"),"Nous voyons le skieur à réaction rouler sur une rampe.")</f>
        <v>Nous voyons le skieur à réaction rouler sur une rampe.</v>
      </c>
    </row>
    <row r="7383">
      <c r="A7383" s="4" t="s">
        <v>9279</v>
      </c>
      <c r="B7383" s="4" t="s">
        <v>9284</v>
      </c>
      <c r="C7383" s="5" t="str">
        <f>IFERROR(__xludf.DUMMYFUNCTION("GOOGLETRANSLATE(B7383,""en"",""fr"")"),"Nous voyons une chaussure brièvement.")</f>
        <v>Nous voyons une chaussure brièvement.</v>
      </c>
    </row>
    <row r="7384">
      <c r="A7384" s="4" t="s">
        <v>9279</v>
      </c>
      <c r="B7384" s="4" t="s">
        <v>777</v>
      </c>
      <c r="C7384" s="5" t="str">
        <f>IFERROR(__xludf.DUMMYFUNCTION("GOOGLETRANSLATE(B7384,""en"",""fr"")"),"Nous voyons l'écran du titre de fin.")</f>
        <v>Nous voyons l'écran du titre de fin.</v>
      </c>
    </row>
    <row r="7385">
      <c r="A7385" s="4" t="s">
        <v>9285</v>
      </c>
      <c r="B7385" s="4" t="s">
        <v>9286</v>
      </c>
      <c r="C7385" s="5" t="str">
        <f>IFERROR(__xludf.DUMMYFUNCTION("GOOGLETRANSLATE(B7385,""en"",""fr"")"),"Les individus bassent sur leurs voies et renversent des épingles.")</f>
        <v>Les individus bassent sur leurs voies et renversent des épingles.</v>
      </c>
    </row>
    <row r="7386">
      <c r="A7386" s="4" t="s">
        <v>9285</v>
      </c>
      <c r="B7386" s="4" t="s">
        <v>9287</v>
      </c>
      <c r="C7386" s="5" t="str">
        <f>IFERROR(__xludf.DUMMYFUNCTION("GOOGLETRANSLATE(B7386,""en"",""fr"")"),"Un mec lance une grève et ouvre la bouche pour exprimer l'angoisse.")</f>
        <v>Un mec lance une grève et ouvre la bouche pour exprimer l'angoisse.</v>
      </c>
    </row>
    <row r="7387">
      <c r="A7387" s="4" t="s">
        <v>9288</v>
      </c>
      <c r="B7387" s="4" t="s">
        <v>9289</v>
      </c>
      <c r="C7387" s="5" t="str">
        <f>IFERROR(__xludf.DUMMYFUNCTION("GOOGLETRANSLATE(B7387,""en"",""fr"")"),"Les étudiants sont interviewés et courent ensuite une course.")</f>
        <v>Les étudiants sont interviewés et courent ensuite une course.</v>
      </c>
    </row>
    <row r="7388">
      <c r="A7388" s="4" t="s">
        <v>9288</v>
      </c>
      <c r="B7388" s="4" t="s">
        <v>9290</v>
      </c>
      <c r="C7388" s="5" t="str">
        <f>IFERROR(__xludf.DUMMYFUNCTION("GOOGLETRANSLATE(B7388,""en"",""fr"")"),"Tout le monde semble heureux d'être impliqué dans le Collège de Charleston.")</f>
        <v>Tout le monde semble heureux d'être impliqué dans le Collège de Charleston.</v>
      </c>
    </row>
    <row r="7389">
      <c r="A7389" s="4" t="s">
        <v>9291</v>
      </c>
      <c r="B7389" s="6" t="s">
        <v>9292</v>
      </c>
      <c r="C7389" s="5" t="str">
        <f>IFERROR(__xludf.DUMMYFUNCTION("GOOGLETRANSLATE(B7389,""en"",""fr"")"),"Un chef montre comment peler une pomme de terre à l'aide d'un éplucheur de pommes de terre et d'une pomme de terre, dans une cuisine devant la planche à découper.")</f>
        <v>Un chef montre comment peler une pomme de terre à l'aide d'un éplucheur de pommes de terre et d'une pomme de terre, dans une cuisine devant la planche à découper.</v>
      </c>
    </row>
    <row r="7390">
      <c r="A7390" s="4" t="s">
        <v>9291</v>
      </c>
      <c r="B7390" s="6" t="s">
        <v>9293</v>
      </c>
      <c r="C7390" s="5" t="str">
        <f>IFERROR(__xludf.DUMMYFUNCTION("GOOGLETRANSLATE(B7390,""en"",""fr"")"),"L'homme parle à la caméra et commence à peler la pomme de terre avec le pelage de tranches de tranches de peau et de gestes à la table.")</f>
        <v>L'homme parle à la caméra et commence à peler la pomme de terre avec le pelage de tranches de tranches de peau et de gestes à la table.</v>
      </c>
    </row>
    <row r="7391">
      <c r="A7391" s="4" t="s">
        <v>9291</v>
      </c>
      <c r="B7391" s="4" t="s">
        <v>9294</v>
      </c>
      <c r="C7391" s="5" t="str">
        <f>IFERROR(__xludf.DUMMYFUNCTION("GOOGLETRANSLATE(B7391,""en"",""fr"")"),"L'homme décolle la pomme de terre jusqu'à ce qu'il n'ait plus de peau dessus.")</f>
        <v>L'homme décolle la pomme de terre jusqu'à ce qu'il n'ait plus de peau dessus.</v>
      </c>
    </row>
    <row r="7392">
      <c r="A7392" s="4" t="s">
        <v>9295</v>
      </c>
      <c r="B7392" s="4" t="s">
        <v>9296</v>
      </c>
      <c r="C7392" s="5" t="str">
        <f>IFERROR(__xludf.DUMMYFUNCTION("GOOGLETRANSLATE(B7392,""en"",""fr"")"),"Deux hommes se tiennent ensemble sur une table avec leur poing alors que l'arbitre tient leur poignet.")</f>
        <v>Deux hommes se tiennent ensemble sur une table avec leur poing alors que l'arbitre tient leur poignet.</v>
      </c>
    </row>
    <row r="7393">
      <c r="A7393" s="4" t="s">
        <v>9295</v>
      </c>
      <c r="B7393" s="6" t="s">
        <v>9297</v>
      </c>
      <c r="C7393" s="5" t="str">
        <f>IFERROR(__xludf.DUMMYFUNCTION("GOOGLETRANSLATE(B7393,""en"",""fr"")"),"L'arbitre laisse aller et presque instantanément le match de lutte des bras est terminé et un gagnant est déclaré, le vainqueur passe à autre chose et plusieurs autres matchs commencent à avoir lieu et ils aussi sont terminés brusquement.")</f>
        <v>L'arbitre laisse aller et presque instantanément le match de lutte des bras est terminé et un gagnant est déclaré, le vainqueur passe à autre chose et plusieurs autres matchs commencent à avoir lieu et ils aussi sont terminés brusquement.</v>
      </c>
    </row>
    <row r="7394">
      <c r="A7394" s="4" t="s">
        <v>9295</v>
      </c>
      <c r="B7394" s="6" t="s">
        <v>9298</v>
      </c>
      <c r="C7394" s="5" t="str">
        <f>IFERROR(__xludf.DUMMYFUNCTION("GOOGLETRANSLATE(B7394,""en"",""fr"")"),"Vers la fin, cependant, les adversaires correspondent enfin et il faut une éternité pour déclarer un vainqueur alors qu'ils ont du mal à bouger les mains.")</f>
        <v>Vers la fin, cependant, les adversaires correspondent enfin et il faut une éternité pour déclarer un vainqueur alors qu'ils ont du mal à bouger les mains.</v>
      </c>
    </row>
    <row r="7395">
      <c r="A7395" s="4" t="s">
        <v>9299</v>
      </c>
      <c r="B7395" s="4" t="s">
        <v>9300</v>
      </c>
      <c r="C7395" s="5" t="str">
        <f>IFERROR(__xludf.DUMMYFUNCTION("GOOGLETRANSLATE(B7395,""en"",""fr"")"),"Les hommes jouent au panier dans une cour en bois en toile.")</f>
        <v>Les hommes jouent au panier dans une cour en bois en toile.</v>
      </c>
    </row>
    <row r="7396">
      <c r="A7396" s="4" t="s">
        <v>9299</v>
      </c>
      <c r="B7396" s="4" t="s">
        <v>9301</v>
      </c>
      <c r="C7396" s="5" t="str">
        <f>IFERROR(__xludf.DUMMYFUNCTION("GOOGLETRANSLATE(B7396,""en"",""fr"")"),"L'homme est seul à faire des licenciements vers le panier.")</f>
        <v>L'homme est seul à faire des licenciements vers le panier.</v>
      </c>
    </row>
    <row r="7397">
      <c r="A7397" s="4" t="s">
        <v>9299</v>
      </c>
      <c r="B7397" s="4" t="s">
        <v>9302</v>
      </c>
      <c r="C7397" s="5" t="str">
        <f>IFERROR(__xludf.DUMMYFUNCTION("GOOGLETRANSLATE(B7397,""en"",""fr"")"),"Un autre homme arrive à la cour et commence à jouer ensemble.")</f>
        <v>Un autre homme arrive à la cour et commence à jouer ensemble.</v>
      </c>
    </row>
    <row r="7398">
      <c r="A7398" s="4" t="s">
        <v>9303</v>
      </c>
      <c r="B7398" s="4" t="s">
        <v>9304</v>
      </c>
      <c r="C7398" s="5" t="str">
        <f>IFERROR(__xludf.DUMMYFUNCTION("GOOGLETRANSLATE(B7398,""en"",""fr"")"),"Un journal d'entreprise est à l'écran.")</f>
        <v>Un journal d'entreprise est à l'écran.</v>
      </c>
    </row>
    <row r="7399">
      <c r="A7399" s="4" t="s">
        <v>9303</v>
      </c>
      <c r="B7399" s="4" t="s">
        <v>9305</v>
      </c>
      <c r="C7399" s="5" t="str">
        <f>IFERROR(__xludf.DUMMYFUNCTION("GOOGLETRANSLATE(B7399,""en"",""fr"")"),"Un bateau flotte sur l'eau.")</f>
        <v>Un bateau flotte sur l'eau.</v>
      </c>
    </row>
    <row r="7400">
      <c r="A7400" s="4" t="s">
        <v>9303</v>
      </c>
      <c r="B7400" s="4" t="s">
        <v>9306</v>
      </c>
      <c r="C7400" s="5" t="str">
        <f>IFERROR(__xludf.DUMMYFUNCTION("GOOGLETRANSLATE(B7400,""en"",""fr"")"),"Un tube a de l'eau qui le traverse et il y a des flotteurs sur l'eau.")</f>
        <v>Un tube a de l'eau qui le traverse et il y a des flotteurs sur l'eau.</v>
      </c>
    </row>
    <row r="7401">
      <c r="A7401" s="4" t="s">
        <v>9303</v>
      </c>
      <c r="B7401" s="4" t="s">
        <v>9307</v>
      </c>
      <c r="C7401" s="5" t="str">
        <f>IFERROR(__xludf.DUMMYFUNCTION("GOOGLETRANSLATE(B7401,""en"",""fr"")"),"La caméra scanne le bateau.")</f>
        <v>La caméra scanne le bateau.</v>
      </c>
    </row>
    <row r="7402">
      <c r="A7402" s="4" t="s">
        <v>9303</v>
      </c>
      <c r="B7402" s="4" t="s">
        <v>9308</v>
      </c>
      <c r="C7402" s="5" t="str">
        <f>IFERROR(__xludf.DUMMYFUNCTION("GOOGLETRANSLATE(B7402,""en"",""fr"")"),"Deux femmes sont assises sur le bateau, l'une pique l'autre.")</f>
        <v>Deux femmes sont assises sur le bateau, l'une pique l'autre.</v>
      </c>
    </row>
    <row r="7403">
      <c r="A7403" s="4" t="s">
        <v>9303</v>
      </c>
      <c r="B7403" s="4" t="s">
        <v>9309</v>
      </c>
      <c r="C7403" s="5" t="str">
        <f>IFERROR(__xludf.DUMMYFUNCTION("GOOGLETRANSLATE(B7403,""en"",""fr"")"),"Un siège en plastique est gonflé puis une planche est placée dans l'eau.")</f>
        <v>Un siège en plastique est gonflé puis une planche est placée dans l'eau.</v>
      </c>
    </row>
    <row r="7404">
      <c r="A7404" s="4" t="s">
        <v>9303</v>
      </c>
      <c r="B7404" s="4" t="s">
        <v>9310</v>
      </c>
      <c r="C7404" s="5" t="str">
        <f>IFERROR(__xludf.DUMMYFUNCTION("GOOGLETRANSLATE(B7404,""en"",""fr"")"),"Une femme est au tableau et tient une ligne attachée au bateau.")</f>
        <v>Une femme est au tableau et tient une ligne attachée au bateau.</v>
      </c>
    </row>
    <row r="7405">
      <c r="A7405" s="4" t="s">
        <v>9303</v>
      </c>
      <c r="B7405" s="4" t="s">
        <v>9311</v>
      </c>
      <c r="C7405" s="5" t="str">
        <f>IFERROR(__xludf.DUMMYFUNCTION("GOOGLETRANSLATE(B7405,""en"",""fr"")"),"Une femme conduit le bateau pendant que l'autre femme monte à bord.")</f>
        <v>Une femme conduit le bateau pendant que l'autre femme monte à bord.</v>
      </c>
    </row>
    <row r="7406">
      <c r="A7406" s="4" t="s">
        <v>9303</v>
      </c>
      <c r="B7406" s="4" t="s">
        <v>9312</v>
      </c>
      <c r="C7406" s="5" t="str">
        <f>IFERROR(__xludf.DUMMYFUNCTION("GOOGLETRANSLATE(B7406,""en"",""fr"")"),"Une femme prend un selfie sur le bateau.")</f>
        <v>Une femme prend un selfie sur le bateau.</v>
      </c>
    </row>
    <row r="7407">
      <c r="A7407" s="4" t="s">
        <v>9303</v>
      </c>
      <c r="B7407" s="4" t="s">
        <v>9313</v>
      </c>
      <c r="C7407" s="5" t="str">
        <f>IFERROR(__xludf.DUMMYFUNCTION("GOOGLETRANSLATE(B7407,""en"",""fr"")"),"La femme fait des trucs avec la planche sur l'eau.")</f>
        <v>La femme fait des trucs avec la planche sur l'eau.</v>
      </c>
    </row>
    <row r="7408">
      <c r="A7408" s="4" t="s">
        <v>9303</v>
      </c>
      <c r="B7408" s="4" t="s">
        <v>9314</v>
      </c>
      <c r="C7408" s="5" t="str">
        <f>IFERROR(__xludf.DUMMYFUNCTION("GOOGLETRANSLATE(B7408,""en"",""fr"")"),"Elle lâcha la ligne et flotta librement.")</f>
        <v>Elle lâcha la ligne et flotta librement.</v>
      </c>
    </row>
    <row r="7409">
      <c r="A7409" s="4" t="s">
        <v>9315</v>
      </c>
      <c r="B7409" s="4" t="s">
        <v>9316</v>
      </c>
      <c r="C7409" s="5" t="str">
        <f>IFERROR(__xludf.DUMMYFUNCTION("GOOGLETRANSLATE(B7409,""en"",""fr"")"),"Une femme est vue se maquiller sur son visage et mène à plusieurs photos de maquillage.")</f>
        <v>Une femme est vue se maquiller sur son visage et mène à plusieurs photos de maquillage.</v>
      </c>
    </row>
    <row r="7410">
      <c r="A7410" s="4" t="s">
        <v>9315</v>
      </c>
      <c r="B7410" s="4" t="s">
        <v>9317</v>
      </c>
      <c r="C7410" s="5" t="str">
        <f>IFERROR(__xludf.DUMMYFUNCTION("GOOGLETRANSLATE(B7410,""en"",""fr"")"),"De nombreuses autres images de produits sont affichées avec du texte à travers l'écran.")</f>
        <v>De nombreuses autres images de produits sont affichées avec du texte à travers l'écran.</v>
      </c>
    </row>
    <row r="7411">
      <c r="A7411" s="4" t="s">
        <v>9315</v>
      </c>
      <c r="B7411" s="6" t="s">
        <v>9318</v>
      </c>
      <c r="C7411" s="5" t="str">
        <f>IFERROR(__xludf.DUMMYFUNCTION("GOOGLETRANSLATE(B7411,""en"",""fr"")"),"Plus de photos de produits sont montrées qui se terminent avec plus de texte et une femme repoussant le maquillage.")</f>
        <v>Plus de photos de produits sont montrées qui se terminent avec plus de texte et une femme repoussant le maquillage.</v>
      </c>
    </row>
    <row r="7412">
      <c r="A7412" s="4" t="s">
        <v>9319</v>
      </c>
      <c r="B7412" s="4" t="s">
        <v>9320</v>
      </c>
      <c r="C7412" s="5" t="str">
        <f>IFERROR(__xludf.DUMMYFUNCTION("GOOGLETRANSLATE(B7412,""en"",""fr"")"),"Une grande montagne enneigée est considérée comme des gens se rassemblent sur la glace.")</f>
        <v>Une grande montagne enneigée est considérée comme des gens se rassemblent sur la glace.</v>
      </c>
    </row>
    <row r="7413">
      <c r="A7413" s="4" t="s">
        <v>9319</v>
      </c>
      <c r="B7413" s="4" t="s">
        <v>9321</v>
      </c>
      <c r="C7413" s="5" t="str">
        <f>IFERROR(__xludf.DUMMYFUNCTION("GOOGLETRANSLATE(B7413,""en"",""fr"")"),"Ils ont frappé plusieurs rondelles, les balayant dans un match.")</f>
        <v>Ils ont frappé plusieurs rondelles, les balayant dans un match.</v>
      </c>
    </row>
    <row r="7414">
      <c r="A7414" s="4" t="s">
        <v>9322</v>
      </c>
      <c r="B7414" s="4" t="s">
        <v>9323</v>
      </c>
      <c r="C7414" s="5" t="str">
        <f>IFERROR(__xludf.DUMMYFUNCTION("GOOGLETRANSLATE(B7414,""en"",""fr"")"),"Une gymnaste féminine démontre une performance de gymnastique sur les bars.")</f>
        <v>Une gymnaste féminine démontre une performance de gymnastique sur les bars.</v>
      </c>
    </row>
    <row r="7415">
      <c r="A7415" s="4" t="s">
        <v>9322</v>
      </c>
      <c r="B7415" s="4" t="s">
        <v>9324</v>
      </c>
      <c r="C7415" s="5" t="str">
        <f>IFERROR(__xludf.DUMMYFUNCTION("GOOGLETRANSLATE(B7415,""en"",""fr"")"),"D'autres gymnastes et un instructeur regardent la gymnaste féminine se produire.")</f>
        <v>D'autres gymnastes et un instructeur regardent la gymnaste féminine se produire.</v>
      </c>
    </row>
    <row r="7416">
      <c r="A7416" s="4" t="s">
        <v>9322</v>
      </c>
      <c r="B7416" s="4" t="s">
        <v>9325</v>
      </c>
      <c r="C7416" s="5" t="str">
        <f>IFERROR(__xludf.DUMMYFUNCTION("GOOGLETRANSLATE(B7416,""en"",""fr"")"),"Une autre gymnaste féminine s'entraîne en arrière-plan.")</f>
        <v>Une autre gymnaste féminine s'entraîne en arrière-plan.</v>
      </c>
    </row>
    <row r="7417">
      <c r="A7417" s="4" t="s">
        <v>9326</v>
      </c>
      <c r="B7417" s="4" t="s">
        <v>9327</v>
      </c>
      <c r="C7417" s="5" t="str">
        <f>IFERROR(__xludf.DUMMYFUNCTION("GOOGLETRANSLATE(B7417,""en"",""fr"")"),"Un homme soulève des poids dans le gymnase.")</f>
        <v>Un homme soulève des poids dans le gymnase.</v>
      </c>
    </row>
    <row r="7418">
      <c r="A7418" s="4" t="s">
        <v>9326</v>
      </c>
      <c r="B7418" s="4" t="s">
        <v>9328</v>
      </c>
      <c r="C7418" s="5" t="str">
        <f>IFERROR(__xludf.DUMMYFUNCTION("GOOGLETRANSLATE(B7418,""en"",""fr"")"),"Le ballon va à la poitrine de l'homme pour la première fois.")</f>
        <v>Le ballon va à la poitrine de l'homme pour la première fois.</v>
      </c>
    </row>
    <row r="7419">
      <c r="A7419" s="4" t="s">
        <v>9326</v>
      </c>
      <c r="B7419" s="4" t="s">
        <v>9329</v>
      </c>
      <c r="C7419" s="5" t="str">
        <f>IFERROR(__xludf.DUMMYFUNCTION("GOOGLETRANSLATE(B7419,""en"",""fr"")"),"L'homme fait une pause.")</f>
        <v>L'homme fait une pause.</v>
      </c>
    </row>
    <row r="7420">
      <c r="A7420" s="4" t="s">
        <v>9330</v>
      </c>
      <c r="B7420" s="6" t="s">
        <v>9331</v>
      </c>
      <c r="C7420" s="5" t="str">
        <f>IFERROR(__xludf.DUMMYFUNCTION("GOOGLETRANSLATE(B7420,""en"",""fr"")"),"Une fille est vue en train d'écouter de la musique et de transitions vers elle interprétant une routine de danse à l'extérieur sur une marche.")</f>
        <v>Une fille est vue en train d'écouter de la musique et de transitions vers elle interprétant une routine de danse à l'extérieur sur une marche.</v>
      </c>
    </row>
    <row r="7421">
      <c r="A7421" s="4" t="s">
        <v>9330</v>
      </c>
      <c r="B7421" s="6" t="s">
        <v>9332</v>
      </c>
      <c r="C7421" s="5" t="str">
        <f>IFERROR(__xludf.DUMMYFUNCTION("GOOGLETRANSLATE(B7421,""en"",""fr"")"),"Elle continue de danser tout en souriant à la caméra et se termine en s'éloignant et en donnant deux panneaux de paix à la caméra.")</f>
        <v>Elle continue de danser tout en souriant à la caméra et se termine en s'éloignant et en donnant deux panneaux de paix à la caméra.</v>
      </c>
    </row>
    <row r="7422">
      <c r="A7422" s="4" t="s">
        <v>9333</v>
      </c>
      <c r="B7422" s="4" t="s">
        <v>9334</v>
      </c>
      <c r="C7422" s="5" t="str">
        <f>IFERROR(__xludf.DUMMYFUNCTION("GOOGLETRANSLATE(B7422,""en"",""fr"")"),"Une personne est vue entrant dans le cadre devant une paire de tambours.")</f>
        <v>Une personne est vue entrant dans le cadre devant une paire de tambours.</v>
      </c>
    </row>
    <row r="7423">
      <c r="A7423" s="4" t="s">
        <v>9333</v>
      </c>
      <c r="B7423" s="4" t="s">
        <v>9335</v>
      </c>
      <c r="C7423" s="5" t="str">
        <f>IFERROR(__xludf.DUMMYFUNCTION("GOOGLETRANSLATE(B7423,""en"",""fr"")"),"Il commence ensuite à jouer de la batterie et quatrième.")</f>
        <v>Il commence ensuite à jouer de la batterie et quatrième.</v>
      </c>
    </row>
    <row r="7424">
      <c r="A7424" s="4" t="s">
        <v>9333</v>
      </c>
      <c r="B7424" s="4" t="s">
        <v>9336</v>
      </c>
      <c r="C7424" s="5" t="str">
        <f>IFERROR(__xludf.DUMMYFUNCTION("GOOGLETRANSLATE(B7424,""en"",""fr"")"),"Il continue de jouer sur la batterie et se termine en éteignant la caméra.")</f>
        <v>Il continue de jouer sur la batterie et se termine en éteignant la caméra.</v>
      </c>
    </row>
    <row r="7425">
      <c r="A7425" s="4" t="s">
        <v>9337</v>
      </c>
      <c r="B7425" s="4" t="s">
        <v>9338</v>
      </c>
      <c r="C7425" s="5" t="str">
        <f>IFERROR(__xludf.DUMMYFUNCTION("GOOGLETRANSLATE(B7425,""en"",""fr"")"),"Une jeune fille interprète sa routine de gymnastique sur le faisceau d'équilibre.")</f>
        <v>Une jeune fille interprète sa routine de gymnastique sur le faisceau d'équilibre.</v>
      </c>
    </row>
    <row r="7426">
      <c r="A7426" s="4" t="s">
        <v>9337</v>
      </c>
      <c r="B7426" s="4" t="s">
        <v>9339</v>
      </c>
      <c r="C7426" s="5" t="str">
        <f>IFERROR(__xludf.DUMMYFUNCTION("GOOGLETRANSLATE(B7426,""en"",""fr"")"),"La jeune fille monte sur la poutre et continue sa routine.")</f>
        <v>La jeune fille monte sur la poutre et continue sa routine.</v>
      </c>
    </row>
    <row r="7427">
      <c r="A7427" s="4" t="s">
        <v>9337</v>
      </c>
      <c r="B7427" s="4" t="s">
        <v>9340</v>
      </c>
      <c r="C7427" s="5" t="str">
        <f>IFERROR(__xludf.DUMMYFUNCTION("GOOGLETRANSLATE(B7427,""en"",""fr"")"),"La jeune fille tombe du faisceau.")</f>
        <v>La jeune fille tombe du faisceau.</v>
      </c>
    </row>
    <row r="7428">
      <c r="A7428" s="4" t="s">
        <v>9337</v>
      </c>
      <c r="B7428" s="4" t="s">
        <v>9341</v>
      </c>
      <c r="C7428" s="5" t="str">
        <f>IFERROR(__xludf.DUMMYFUNCTION("GOOGLETRANSLATE(B7428,""en"",""fr"")"),"La jeune fille revient sur le faisceau et termine sa routine.")</f>
        <v>La jeune fille revient sur le faisceau et termine sa routine.</v>
      </c>
    </row>
    <row r="7429">
      <c r="A7429" s="4" t="s">
        <v>9342</v>
      </c>
      <c r="B7429" s="4" t="s">
        <v>9343</v>
      </c>
      <c r="C7429" s="5" t="str">
        <f>IFERROR(__xludf.DUMMYFUNCTION("GOOGLETRANSLATE(B7429,""en"",""fr"")"),"Un homme avec une chemise blanche se tient devant une machine.")</f>
        <v>Un homme avec une chemise blanche se tient devant une machine.</v>
      </c>
    </row>
    <row r="7430">
      <c r="A7430" s="4" t="s">
        <v>9342</v>
      </c>
      <c r="B7430" s="4" t="s">
        <v>9344</v>
      </c>
      <c r="C7430" s="5" t="str">
        <f>IFERROR(__xludf.DUMMYFUNCTION("GOOGLETRANSLATE(B7430,""en"",""fr"")"),"Il s'est retourné et a pointé la machine.")</f>
        <v>Il s'est retourné et a pointé la machine.</v>
      </c>
    </row>
    <row r="7431">
      <c r="A7431" s="4" t="s">
        <v>9342</v>
      </c>
      <c r="B7431" s="4" t="s">
        <v>9345</v>
      </c>
      <c r="C7431" s="5" t="str">
        <f>IFERROR(__xludf.DUMMYFUNCTION("GOOGLETRANSLATE(B7431,""en"",""fr"")"),"La machine est affichée.")</f>
        <v>La machine est affichée.</v>
      </c>
    </row>
    <row r="7432">
      <c r="A7432" s="4" t="s">
        <v>9342</v>
      </c>
      <c r="B7432" s="6" t="s">
        <v>9346</v>
      </c>
      <c r="C7432" s="5" t="str">
        <f>IFERROR(__xludf.DUMMYFUNCTION("GOOGLETRANSLATE(B7432,""en"",""fr"")"),"Un homme qui porte une chemise blanche continue de parler, tandis que derrière lui, un homme en chemise grise marchait et atteignit quelque chose dans la machine.")</f>
        <v>Un homme qui porte une chemise blanche continue de parler, tandis que derrière lui, un homme en chemise grise marchait et atteignit quelque chose dans la machine.</v>
      </c>
    </row>
    <row r="7433">
      <c r="A7433" s="4" t="s">
        <v>9342</v>
      </c>
      <c r="B7433" s="4" t="s">
        <v>9347</v>
      </c>
      <c r="C7433" s="5" t="str">
        <f>IFERROR(__xludf.DUMMYFUNCTION("GOOGLETRANSLATE(B7433,""en"",""fr"")"),"L'homme en chemise grise a mis un truc poudreux dans la machine.")</f>
        <v>L'homme en chemise grise a mis un truc poudreux dans la machine.</v>
      </c>
    </row>
    <row r="7434">
      <c r="A7434" s="4" t="s">
        <v>9342</v>
      </c>
      <c r="B7434" s="4" t="s">
        <v>9348</v>
      </c>
      <c r="C7434" s="5" t="str">
        <f>IFERROR(__xludf.DUMMYFUNCTION("GOOGLETRANSLATE(B7434,""en"",""fr"")"),"Il tremble le sac.")</f>
        <v>Il tremble le sac.</v>
      </c>
    </row>
    <row r="7435">
      <c r="A7435" s="4" t="s">
        <v>9342</v>
      </c>
      <c r="B7435" s="4" t="s">
        <v>9349</v>
      </c>
      <c r="C7435" s="5" t="str">
        <f>IFERROR(__xludf.DUMMYFUNCTION("GOOGLETRANSLATE(B7435,""en"",""fr"")"),"L'homme en chemise blanche met du ciment sur le mur.")</f>
        <v>L'homme en chemise blanche met du ciment sur le mur.</v>
      </c>
    </row>
    <row r="7436">
      <c r="A7436" s="4" t="s">
        <v>9342</v>
      </c>
      <c r="B7436" s="4" t="s">
        <v>9350</v>
      </c>
      <c r="C7436" s="5" t="str">
        <f>IFERROR(__xludf.DUMMYFUNCTION("GOOGLETRANSLATE(B7436,""en"",""fr"")"),"L'homme tient un tube long bleu pointant sur le mur.")</f>
        <v>L'homme tient un tube long bleu pointant sur le mur.</v>
      </c>
    </row>
    <row r="7437">
      <c r="A7437" s="4" t="s">
        <v>9342</v>
      </c>
      <c r="B7437" s="4" t="s">
        <v>9351</v>
      </c>
      <c r="C7437" s="5" t="str">
        <f>IFERROR(__xludf.DUMMYFUNCTION("GOOGLETRANSLATE(B7437,""en"",""fr"")"),"L'homme en uniforme gris a utilisé le tube / pompe et vaporiser le ciment sur le mur.")</f>
        <v>L'homme en uniforme gris a utilisé le tube / pompe et vaporiser le ciment sur le mur.</v>
      </c>
    </row>
    <row r="7438">
      <c r="A7438" s="4" t="s">
        <v>9342</v>
      </c>
      <c r="B7438" s="4" t="s">
        <v>9352</v>
      </c>
      <c r="C7438" s="5" t="str">
        <f>IFERROR(__xludf.DUMMYFUNCTION("GOOGLETRANSLATE(B7438,""en"",""fr"")"),"Un vieil homme lisse le ciment sur le mur.")</f>
        <v>Un vieil homme lisse le ciment sur le mur.</v>
      </c>
    </row>
    <row r="7439">
      <c r="A7439" s="4" t="s">
        <v>9353</v>
      </c>
      <c r="B7439" s="6" t="s">
        <v>9354</v>
      </c>
      <c r="C7439" s="5" t="str">
        <f>IFERROR(__xludf.DUMMYFUNCTION("GOOGLETRANSLATE(B7439,""en"",""fr"")"),"Un cerceau Lady Hula avec cinq cerceaux de hula et un à un, elle enlève d'elle et le jette jusqu'à ce qu'elle jette les cinq cerceaux de hula avec lesquels elle était Hula Hoop.")</f>
        <v>Un cerceau Lady Hula avec cinq cerceaux de hula et un à un, elle enlève d'elle et le jette jusqu'à ce qu'elle jette les cinq cerceaux de hula avec lesquels elle était Hula Hoop.</v>
      </c>
    </row>
    <row r="7440">
      <c r="A7440" s="4" t="s">
        <v>9353</v>
      </c>
      <c r="B7440" s="4" t="s">
        <v>9355</v>
      </c>
      <c r="C7440" s="5" t="str">
        <f>IFERROR(__xludf.DUMMYFUNCTION("GOOGLETRANSLATE(B7440,""en"",""fr"")"),"La dame puis Hula Hoops avec 300 cerceaux avec sera un record du monde.")</f>
        <v>La dame puis Hula Hoops avec 300 cerceaux avec sera un record du monde.</v>
      </c>
    </row>
    <row r="7441">
      <c r="A7441" s="4" t="s">
        <v>9353</v>
      </c>
      <c r="B7441" s="6" t="s">
        <v>9356</v>
      </c>
      <c r="C7441" s="5" t="str">
        <f>IFERROR(__xludf.DUMMYFUNCTION("GOOGLETRANSLATE(B7441,""en"",""fr"")"),"La dame commence par mettre les 300 cerceaux autour de son corps alors qu'elle se penchait pour attirer une bonne prise sur eux, elle se lève ensuite et commence à faire tournoyer les 300 cerceaux autour de son corps.")</f>
        <v>La dame commence par mettre les 300 cerceaux autour de son corps alors qu'elle se penchait pour attirer une bonne prise sur eux, elle se lève ensuite et commence à faire tournoyer les 300 cerceaux autour de son corps.</v>
      </c>
    </row>
    <row r="7442">
      <c r="A7442" s="4" t="s">
        <v>9353</v>
      </c>
      <c r="B7442" s="6" t="s">
        <v>9357</v>
      </c>
      <c r="C7442" s="5" t="str">
        <f>IFERROR(__xludf.DUMMYFUNCTION("GOOGLETRANSLATE(B7442,""en"",""fr"")"),"Enfin, elle parvient à faire tournoyer tout le cerceau autour de son corps de trou et se termine avec les cerceaux au sol et elle s'incline aux gens qui la regarde.")</f>
        <v>Enfin, elle parvient à faire tournoyer tout le cerceau autour de son corps de trou et se termine avec les cerceaux au sol et elle s'incline aux gens qui la regarde.</v>
      </c>
    </row>
    <row r="7443">
      <c r="A7443" s="4" t="s">
        <v>9358</v>
      </c>
      <c r="B7443" s="4" t="s">
        <v>9359</v>
      </c>
      <c r="C7443" s="5" t="str">
        <f>IFERROR(__xludf.DUMMYFUNCTION("GOOGLETRANSLATE(B7443,""en"",""fr"")"),"Un homme est vu faire du jogging sur le bord de la route ainsi que de parler à la caméra.")</f>
        <v>Un homme est vu faire du jogging sur le bord de la route ainsi que de parler à la caméra.</v>
      </c>
    </row>
    <row r="7444">
      <c r="A7444" s="4" t="s">
        <v>9358</v>
      </c>
      <c r="B7444" s="4" t="s">
        <v>9360</v>
      </c>
      <c r="C7444" s="5" t="str">
        <f>IFERROR(__xludf.DUMMYFUNCTION("GOOGLETRANSLATE(B7444,""en"",""fr"")"),"Les clips sont montrés de lui se réchauffant sur le côté et courent le long des flancs de montagnes.")</f>
        <v>Les clips sont montrés de lui se réchauffant sur le côté et courent le long des flancs de montagnes.</v>
      </c>
    </row>
    <row r="7445">
      <c r="A7445" s="4" t="s">
        <v>9358</v>
      </c>
      <c r="B7445" s="6" t="s">
        <v>9361</v>
      </c>
      <c r="C7445" s="5" t="str">
        <f>IFERROR(__xludf.DUMMYFUNCTION("GOOGLETRANSLATE(B7445,""en"",""fr"")"),"Il continue de parler à la caméra tout en courant dans un quartier et des gens montrant ses mouvements.")</f>
        <v>Il continue de parler à la caméra tout en courant dans un quartier et des gens montrant ses mouvements.</v>
      </c>
    </row>
    <row r="7446">
      <c r="A7446" s="4" t="s">
        <v>9362</v>
      </c>
      <c r="B7446" s="4" t="s">
        <v>9363</v>
      </c>
      <c r="C7446" s="5" t="str">
        <f>IFERROR(__xludf.DUMMYFUNCTION("GOOGLETRANSLATE(B7446,""en"",""fr"")"),"Un homme se tient derrière deux tambours inversés.")</f>
        <v>Un homme se tient derrière deux tambours inversés.</v>
      </c>
    </row>
    <row r="7447">
      <c r="A7447" s="4" t="s">
        <v>9362</v>
      </c>
      <c r="B7447" s="4" t="s">
        <v>9364</v>
      </c>
      <c r="C7447" s="5" t="str">
        <f>IFERROR(__xludf.DUMMYFUNCTION("GOOGLETRANSLATE(B7447,""en"",""fr"")"),"Il commence à les jouer avec de petits bâtons.")</f>
        <v>Il commence à les jouer avec de petits bâtons.</v>
      </c>
    </row>
    <row r="7448">
      <c r="A7448" s="4" t="s">
        <v>9362</v>
      </c>
      <c r="B7448" s="4" t="s">
        <v>9365</v>
      </c>
      <c r="C7448" s="5" t="str">
        <f>IFERROR(__xludf.DUMMYFUNCTION("GOOGLETRANSLATE(B7448,""en"",""fr"")"),"Il finit de jouer et s'éloigne.")</f>
        <v>Il finit de jouer et s'éloigne.</v>
      </c>
    </row>
    <row r="7449">
      <c r="A7449" s="4" t="s">
        <v>9366</v>
      </c>
      <c r="B7449" s="4" t="s">
        <v>9367</v>
      </c>
      <c r="C7449" s="5" t="str">
        <f>IFERROR(__xludf.DUMMYFUNCTION("GOOGLETRANSLATE(B7449,""en"",""fr"")"),"Un homme athlétique est vu debout devant une poutre et commence à effectuer une routine de gymnastique.")</f>
        <v>Un homme athlétique est vu debout devant une poutre et commence à effectuer une routine de gymnastique.</v>
      </c>
    </row>
    <row r="7450">
      <c r="A7450" s="4" t="s">
        <v>9366</v>
      </c>
      <c r="B7450" s="6" t="s">
        <v>9368</v>
      </c>
      <c r="C7450" s="5" t="str">
        <f>IFERROR(__xludf.DUMMYFUNCTION("GOOGLETRANSLATE(B7450,""en"",""fr"")"),"Il se balance autour et autour des flips et des tours et se termine en embrassant la foule et en s'éloignant.")</f>
        <v>Il se balance autour et autour des flips et des tours et se termine en embrassant la foule et en s'éloignant.</v>
      </c>
    </row>
    <row r="7451">
      <c r="A7451" s="4" t="s">
        <v>9369</v>
      </c>
      <c r="B7451" s="6" t="s">
        <v>9370</v>
      </c>
      <c r="C7451" s="5" t="str">
        <f>IFERROR(__xludf.DUMMYFUNCTION("GOOGLETRANSLATE(B7451,""en"",""fr"")"),"Un écran d'intro d'effet spécial apparaît qui est principalement des mots bleus et blancs au milieu de l'écran et ils lisent ""Sauter de corde"".")</f>
        <v>Un écran d'intro d'effet spécial apparaît qui est principalement des mots bleus et blancs au milieu de l'écran et ils lisent "Sauter de corde".</v>
      </c>
    </row>
    <row r="7452">
      <c r="A7452" s="4" t="s">
        <v>9369</v>
      </c>
      <c r="B7452" s="6" t="s">
        <v>9371</v>
      </c>
      <c r="C7452" s="5" t="str">
        <f>IFERROR(__xludf.DUMMYFUNCTION("GOOGLETRANSLATE(B7452,""en"",""fr"")"),"Derrière les mots, il y a 4 filles avec leurs propres cordes de saut et elles sautaient toutes de corde séparément et finalement elles sautent à l'unisson.")</f>
        <v>Derrière les mots, il y a 4 filles avec leurs propres cordes de saut et elles sautaient toutes de corde séparément et finalement elles sautent à l'unisson.</v>
      </c>
    </row>
    <row r="7453">
      <c r="A7453" s="4" t="s">
        <v>9369</v>
      </c>
      <c r="B7453" s="6" t="s">
        <v>9372</v>
      </c>
      <c r="C7453" s="5" t="str">
        <f>IFERROR(__xludf.DUMMYFUNCTION("GOOGLETRANSLATE(B7453,""en"",""fr"")"),"Les mots blancs apparaissent à l'écran qui lisent ""Klasse 7C / FR Leifels"", les filles tombent au sol pour mettre fin à leur routine et elles sourient et regardent autour.")</f>
        <v>Les mots blancs apparaissent à l'écran qui lisent "Klasse 7C / FR Leifels", les filles tombent au sol pour mettre fin à leur routine et elles sourient et regardent autour.</v>
      </c>
    </row>
    <row r="7454">
      <c r="A7454" s="4" t="s">
        <v>9373</v>
      </c>
      <c r="B7454" s="6" t="s">
        <v>9374</v>
      </c>
      <c r="C7454" s="5" t="str">
        <f>IFERROR(__xludf.DUMMYFUNCTION("GOOGLETRANSLATE(B7454,""en"",""fr"")"),"Un homme dans un sweat à capuche à imprimé gris se tient contre un mur se présentant et expliquant ensuite qu'il va donner un tutoriel pour quelques astuces.")</f>
        <v>Un homme dans un sweat à capuche à imprimé gris se tient contre un mur se présentant et expliquant ensuite qu'il va donner un tutoriel pour quelques astuces.</v>
      </c>
    </row>
    <row r="7455">
      <c r="A7455" s="4" t="s">
        <v>9373</v>
      </c>
      <c r="B7455" s="6" t="s">
        <v>9375</v>
      </c>
      <c r="C7455" s="5" t="str">
        <f>IFERROR(__xludf.DUMMYFUNCTION("GOOGLETRANSLATE(B7455,""en"",""fr"")"),"Une animation de démarrage d'arrêt avec un calendrier de bureau est montrée avec des dessins d'animation Flip se fondant dans l'animation encadrée menant au titre du groupe et au tutoriel de skateboard qu'ils sont sur le point d'expliquer.")</f>
        <v>Une animation de démarrage d'arrêt avec un calendrier de bureau est montrée avec des dessins d'animation Flip se fondant dans l'animation encadrée menant au titre du groupe et au tutoriel de skateboard qu'ils sont sur le point d'expliquer.</v>
      </c>
    </row>
    <row r="7456">
      <c r="A7456" s="4" t="s">
        <v>9373</v>
      </c>
      <c r="B7456" s="6" t="s">
        <v>9376</v>
      </c>
      <c r="C7456" s="5" t="str">
        <f>IFERROR(__xludf.DUMMYFUNCTION("GOOGLETRANSLATE(B7456,""en"",""fr"")"),"Les images d'un skateboard faisant une astuce devant une caméra sont suivis par l'homme dans le sweat à capuche gris expliquant qu'il va montrer comment faire un frontr apprendre l'astuce.")</f>
        <v>Les images d'un skateboard faisant une astuce devant une caméra sont suivis par l'homme dans le sweat à capuche gris expliquant qu'il va montrer comment faire un frontr apprendre l'astuce.</v>
      </c>
    </row>
    <row r="7457">
      <c r="A7457" s="4" t="s">
        <v>9373</v>
      </c>
      <c r="B7457" s="6" t="s">
        <v>9377</v>
      </c>
      <c r="C7457" s="5" t="str">
        <f>IFERROR(__xludf.DUMMYFUNCTION("GOOGLETRANSLATE(B7457,""en"",""fr"")"),"Il entre ensuite dans l'explication de la façon de faire l'astuce en profondeur ainsi que des images affichées pendant qu'il parle de l'astuce.")</f>
        <v>Il entre ensuite dans l'explication de la façon de faire l'astuce en profondeur ainsi que des images affichées pendant qu'il parle de l'astuce.</v>
      </c>
    </row>
    <row r="7458">
      <c r="A7458" s="4" t="s">
        <v>9373</v>
      </c>
      <c r="B7458" s="6" t="s">
        <v>9378</v>
      </c>
      <c r="C7458" s="5" t="str">
        <f>IFERROR(__xludf.DUMMYFUNCTION("GOOGLETRANSLATE(B7458,""en"",""fr"")"),"L'appareil photo se déroule et un écran noir apparaît avec des lettres blanches et une adresse de site Web suivie d'une société de cinéma et d'un canal de site.")</f>
        <v>L'appareil photo se déroule et un écran noir apparaît avec des lettres blanches et une adresse de site Web suivie d'une société de cinéma et d'un canal de site.</v>
      </c>
    </row>
    <row r="7459">
      <c r="A7459" s="4" t="s">
        <v>9379</v>
      </c>
      <c r="B7459" s="4" t="s">
        <v>9380</v>
      </c>
      <c r="C7459" s="5" t="str">
        <f>IFERROR(__xludf.DUMMYFUNCTION("GOOGLETRANSLATE(B7459,""en"",""fr"")"),"Un homme est montré fumer une cigarette en marchant plusieurs chiens attachés à des chaînes à sa ceinture.")</f>
        <v>Un homme est montré fumer une cigarette en marchant plusieurs chiens attachés à des chaînes à sa ceinture.</v>
      </c>
    </row>
    <row r="7460">
      <c r="A7460" s="4" t="s">
        <v>9379</v>
      </c>
      <c r="B7460" s="4" t="s">
        <v>9381</v>
      </c>
      <c r="C7460" s="5" t="str">
        <f>IFERROR(__xludf.DUMMYFUNCTION("GOOGLETRANSLATE(B7460,""en"",""fr"")"),"Un homme parle derrière une table.")</f>
        <v>Un homme parle derrière une table.</v>
      </c>
    </row>
    <row r="7461">
      <c r="A7461" s="4" t="s">
        <v>9379</v>
      </c>
      <c r="B7461" s="4" t="s">
        <v>9382</v>
      </c>
      <c r="C7461" s="5" t="str">
        <f>IFERROR(__xludf.DUMMYFUNCTION("GOOGLETRANSLATE(B7461,""en"",""fr"")"),"Plusieurs scènes sont ensuite montrées de l'acteur tandis que le journal parle de lui.")</f>
        <v>Plusieurs scènes sont ensuite montrées de l'acteur tandis que le journal parle de lui.</v>
      </c>
    </row>
    <row r="7462">
      <c r="A7462" s="4" t="s">
        <v>9383</v>
      </c>
      <c r="B7462" s="4" t="s">
        <v>9384</v>
      </c>
      <c r="C7462" s="5" t="str">
        <f>IFERROR(__xludf.DUMMYFUNCTION("GOOGLETRANSLATE(B7462,""en"",""fr"")"),"Une femme s'apprête à baigner son chien dans sa cour avant.")</f>
        <v>Une femme s'apprête à baigner son chien dans sa cour avant.</v>
      </c>
    </row>
    <row r="7463">
      <c r="A7463" s="4" t="s">
        <v>9383</v>
      </c>
      <c r="B7463" s="4" t="s">
        <v>9385</v>
      </c>
      <c r="C7463" s="5" t="str">
        <f>IFERROR(__xludf.DUMMYFUNCTION("GOOGLETRANSLATE(B7463,""en"",""fr"")"),"Elle prend un tuyau et assouplit d'abord le chien.")</f>
        <v>Elle prend un tuyau et assouplit d'abord le chien.</v>
      </c>
    </row>
    <row r="7464">
      <c r="A7464" s="4" t="s">
        <v>9383</v>
      </c>
      <c r="B7464" s="4" t="s">
        <v>9386</v>
      </c>
      <c r="C7464" s="5" t="str">
        <f>IFERROR(__xludf.DUMMYFUNCTION("GOOGLETRANSLATE(B7464,""en"",""fr"")"),"Il y a un autre petit chiot qui coule autour du chien et un petit chaton aussi.")</f>
        <v>Il y a un autre petit chiot qui coule autour du chien et un petit chaton aussi.</v>
      </c>
    </row>
    <row r="7465">
      <c r="A7465" s="4" t="s">
        <v>9383</v>
      </c>
      <c r="B7465" s="4" t="s">
        <v>9387</v>
      </c>
      <c r="C7465" s="5" t="str">
        <f>IFERROR(__xludf.DUMMYFUNCTION("GOOGLETRANSLATE(B7465,""en"",""fr"")"),"La femme prend du savon liquide et le frotte sur le chien.")</f>
        <v>La femme prend du savon liquide et le frotte sur le chien.</v>
      </c>
    </row>
    <row r="7466">
      <c r="A7466" s="4" t="s">
        <v>9383</v>
      </c>
      <c r="B7466" s="4" t="s">
        <v>9388</v>
      </c>
      <c r="C7466" s="5" t="str">
        <f>IFERROR(__xludf.DUMMYFUNCTION("GOOGLETRANSLATE(B7466,""en"",""fr"")"),"Après avoir fini de se laver, elle l'essuie à sec avec une serviette.")</f>
        <v>Après avoir fini de se laver, elle l'essuie à sec avec une serviette.</v>
      </c>
    </row>
    <row r="7467">
      <c r="A7467" s="4" t="s">
        <v>9383</v>
      </c>
      <c r="B7467" s="4" t="s">
        <v>9389</v>
      </c>
      <c r="C7467" s="5" t="str">
        <f>IFERROR(__xludf.DUMMYFUNCTION("GOOGLETRANSLATE(B7467,""en"",""fr"")"),"Puis elle baigne le petit chiot de la même manière avec du savon et de l'eau.")</f>
        <v>Puis elle baigne le petit chiot de la même manière avec du savon et de l'eau.</v>
      </c>
    </row>
    <row r="7468">
      <c r="A7468" s="4" t="s">
        <v>9383</v>
      </c>
      <c r="B7468" s="4" t="s">
        <v>9390</v>
      </c>
      <c r="C7468" s="5" t="str">
        <f>IFERROR(__xludf.DUMMYFUNCTION("GOOGLETRANSLATE(B7468,""en"",""fr"")"),"Le chien joue sur un tapis après la fin du bain avec une fourrure mouillée sur son corps.")</f>
        <v>Le chien joue sur un tapis après la fin du bain avec une fourrure mouillée sur son corps.</v>
      </c>
    </row>
    <row r="7469">
      <c r="A7469" s="4" t="s">
        <v>9383</v>
      </c>
      <c r="B7469" s="4" t="s">
        <v>9391</v>
      </c>
      <c r="C7469" s="5" t="str">
        <f>IFERROR(__xludf.DUMMYFUNCTION("GOOGLETRANSLATE(B7469,""en"",""fr"")"),"Le petit chiot coule également autour du chien avec de la fourrure mouillée.")</f>
        <v>Le petit chiot coule également autour du chien avec de la fourrure mouillée.</v>
      </c>
    </row>
    <row r="7470">
      <c r="A7470" s="4" t="s">
        <v>9392</v>
      </c>
      <c r="B7470" s="4" t="s">
        <v>9393</v>
      </c>
      <c r="C7470" s="5" t="str">
        <f>IFERROR(__xludf.DUMMYFUNCTION("GOOGLETRANSLATE(B7470,""en"",""fr"")"),"Un plateau de biscuits est montré, suivi d'un beurre battu dans un bol.")</f>
        <v>Un plateau de biscuits est montré, suivi d'un beurre battu dans un bol.</v>
      </c>
    </row>
    <row r="7471">
      <c r="A7471" s="4" t="s">
        <v>9392</v>
      </c>
      <c r="B7471" s="4" t="s">
        <v>9394</v>
      </c>
      <c r="C7471" s="5" t="str">
        <f>IFERROR(__xludf.DUMMYFUNCTION("GOOGLETRANSLATE(B7471,""en"",""fr"")"),"Les ingrédients sont ajoutés un à la fois, en les mélangeant tous ensemble.")</f>
        <v>Les ingrédients sont ajoutés un à la fois, en les mélangeant tous ensemble.</v>
      </c>
    </row>
    <row r="7472">
      <c r="A7472" s="4" t="s">
        <v>9392</v>
      </c>
      <c r="B7472" s="4" t="s">
        <v>9395</v>
      </c>
      <c r="C7472" s="5" t="str">
        <f>IFERROR(__xludf.DUMMYFUNCTION("GOOGLETRANSLATE(B7472,""en"",""fr"")"),"La pâte est siffée sur le plateau, puis cuite.")</f>
        <v>La pâte est siffée sur le plateau, puis cuite.</v>
      </c>
    </row>
    <row r="7473">
      <c r="A7473" s="4" t="s">
        <v>9396</v>
      </c>
      <c r="B7473" s="4" t="s">
        <v>9397</v>
      </c>
      <c r="C7473" s="5" t="str">
        <f>IFERROR(__xludf.DUMMYFUNCTION("GOOGLETRANSLATE(B7473,""en"",""fr"")"),"Une femme se tient dans une pièce à parler.")</f>
        <v>Une femme se tient dans une pièce à parler.</v>
      </c>
    </row>
    <row r="7474">
      <c r="A7474" s="4" t="s">
        <v>9396</v>
      </c>
      <c r="B7474" s="4" t="s">
        <v>9398</v>
      </c>
      <c r="C7474" s="5" t="str">
        <f>IFERROR(__xludf.DUMMYFUNCTION("GOOGLETRANSLATE(B7474,""en"",""fr"")"),"Elle ramasse une bouteille en plastique.")</f>
        <v>Elle ramasse une bouteille en plastique.</v>
      </c>
    </row>
    <row r="7475">
      <c r="A7475" s="4" t="s">
        <v>9396</v>
      </c>
      <c r="B7475" s="4" t="s">
        <v>9399</v>
      </c>
      <c r="C7475" s="5" t="str">
        <f>IFERROR(__xludf.DUMMYFUNCTION("GOOGLETRANSLATE(B7475,""en"",""fr"")"),"Elle commence à épousseter une commode.")</f>
        <v>Elle commence à épousseter une commode.</v>
      </c>
    </row>
    <row r="7476">
      <c r="A7476" s="4" t="s">
        <v>9396</v>
      </c>
      <c r="B7476" s="4" t="s">
        <v>9400</v>
      </c>
      <c r="C7476" s="5" t="str">
        <f>IFERROR(__xludf.DUMMYFUNCTION("GOOGLETRANSLATE(B7476,""en"",""fr"")"),"Elle l'essuie avec une serviette.")</f>
        <v>Elle l'essuie avec une serviette.</v>
      </c>
    </row>
    <row r="7477">
      <c r="A7477" s="4" t="s">
        <v>9396</v>
      </c>
      <c r="B7477" s="4" t="s">
        <v>9401</v>
      </c>
      <c r="C7477" s="5" t="str">
        <f>IFERROR(__xludf.DUMMYFUNCTION("GOOGLETRANSLATE(B7477,""en"",""fr"")"),"Elle jette l'huile d'olive sur un chiffon et la frotte sur la commode.")</f>
        <v>Elle jette l'huile d'olive sur un chiffon et la frotte sur la commode.</v>
      </c>
    </row>
    <row r="7478">
      <c r="A7478" s="4" t="s">
        <v>9402</v>
      </c>
      <c r="B7478" s="6" t="s">
        <v>9403</v>
      </c>
      <c r="C7478" s="5" t="str">
        <f>IFERROR(__xludf.DUMMYFUNCTION("GOOGLETRANSLATE(B7478,""en"",""fr"")"),"L'équipe est dans un tribunal en jouant au futsal, qui coule sur le terrain, tandis que les gens se trouvent sur les stands regardent le match.")</f>
        <v>L'équipe est dans un tribunal en jouant au futsal, qui coule sur le terrain, tandis que les gens se trouvent sur les stands regardent le match.</v>
      </c>
    </row>
    <row r="7479">
      <c r="A7479" s="4" t="s">
        <v>9402</v>
      </c>
      <c r="B7479" s="4" t="s">
        <v>9404</v>
      </c>
      <c r="C7479" s="5" t="str">
        <f>IFERROR(__xludf.DUMMYFUNCTION("GOOGLETRANSLATE(B7479,""en"",""fr"")"),"L'équipe est debout sur les côtés en chargeant une pénalité.")</f>
        <v>L'équipe est debout sur les côtés en chargeant une pénalité.</v>
      </c>
    </row>
    <row r="7480">
      <c r="A7480" s="4" t="s">
        <v>9402</v>
      </c>
      <c r="B7480" s="4" t="s">
        <v>9405</v>
      </c>
      <c r="C7480" s="5" t="str">
        <f>IFERROR(__xludf.DUMMYFUNCTION("GOOGLETRANSLATE(B7480,""en"",""fr"")"),"Les gens sont dans un gymnase couvert en train de jouer et d'imer le jeu.")</f>
        <v>Les gens sont dans un gymnase couvert en train de jouer et d'imer le jeu.</v>
      </c>
    </row>
    <row r="7481">
      <c r="A7481" s="4" t="s">
        <v>9406</v>
      </c>
      <c r="B7481" s="4" t="s">
        <v>9407</v>
      </c>
      <c r="C7481" s="5" t="str">
        <f>IFERROR(__xludf.DUMMYFUNCTION("GOOGLETRANSLATE(B7481,""en"",""fr"")"),"Nous voyons un homme parler en marchant dans une maison.")</f>
        <v>Nous voyons un homme parler en marchant dans une maison.</v>
      </c>
    </row>
    <row r="7482">
      <c r="A7482" s="4" t="s">
        <v>9406</v>
      </c>
      <c r="B7482" s="4" t="s">
        <v>9408</v>
      </c>
      <c r="C7482" s="5" t="str">
        <f>IFERROR(__xludf.DUMMYFUNCTION("GOOGLETRANSLATE(B7482,""en"",""fr"")"),"Nous voyons un autre homme travailler sur le sol.")</f>
        <v>Nous voyons un autre homme travailler sur le sol.</v>
      </c>
    </row>
    <row r="7483">
      <c r="A7483" s="4" t="s">
        <v>9406</v>
      </c>
      <c r="B7483" s="4" t="s">
        <v>9409</v>
      </c>
      <c r="C7483" s="5" t="str">
        <f>IFERROR(__xludf.DUMMYFUNCTION("GOOGLETRANSLATE(B7483,""en"",""fr"")"),"Nous voyons un homme pose des carreaux dans une autre pièce.")</f>
        <v>Nous voyons un homme pose des carreaux dans une autre pièce.</v>
      </c>
    </row>
    <row r="7484">
      <c r="A7484" s="4" t="s">
        <v>9406</v>
      </c>
      <c r="B7484" s="4" t="s">
        <v>9410</v>
      </c>
      <c r="C7484" s="5" t="str">
        <f>IFERROR(__xludf.DUMMYFUNCTION("GOOGLETRANSLATE(B7484,""en"",""fr"")"),"Deux hommes sont dans la même pièce en travaillant sur différents projets.")</f>
        <v>Deux hommes sont dans la même pièce en travaillant sur différents projets.</v>
      </c>
    </row>
    <row r="7485">
      <c r="A7485" s="4" t="s">
        <v>9406</v>
      </c>
      <c r="B7485" s="4" t="s">
        <v>9411</v>
      </c>
      <c r="C7485" s="5" t="str">
        <f>IFERROR(__xludf.DUMMYFUNCTION("GOOGLETRANSLATE(B7485,""en"",""fr"")"),"Nous voyons l'homme parler à nouveau à la caméra.")</f>
        <v>Nous voyons l'homme parler à nouveau à la caméra.</v>
      </c>
    </row>
    <row r="7486">
      <c r="A7486" s="4" t="s">
        <v>9412</v>
      </c>
      <c r="B7486" s="4" t="s">
        <v>9413</v>
      </c>
      <c r="C7486" s="5" t="str">
        <f>IFERROR(__xludf.DUMMYFUNCTION("GOOGLETRANSLATE(B7486,""en"",""fr"")"),"Une adresse de site Web est tapée.")</f>
        <v>Une adresse de site Web est tapée.</v>
      </c>
    </row>
    <row r="7487">
      <c r="A7487" s="4" t="s">
        <v>9412</v>
      </c>
      <c r="B7487" s="4" t="s">
        <v>9414</v>
      </c>
      <c r="C7487" s="5" t="str">
        <f>IFERROR(__xludf.DUMMYFUNCTION("GOOGLETRANSLATE(B7487,""en"",""fr"")"),"Les planches à roulettes patinent et font des astuces en bas des escaliers et sur des bancs dans une ville.")</f>
        <v>Les planches à roulettes patinent et font des astuces en bas des escaliers et sur des bancs dans une ville.</v>
      </c>
    </row>
    <row r="7488">
      <c r="A7488" s="4" t="s">
        <v>9412</v>
      </c>
      <c r="B7488" s="4" t="s">
        <v>9415</v>
      </c>
      <c r="C7488" s="5" t="str">
        <f>IFERROR(__xludf.DUMMYFUNCTION("GOOGLETRANSLATE(B7488,""en"",""fr"")"),"Un skateur monte une rampe en béton dans un skate park.")</f>
        <v>Un skateur monte une rampe en béton dans un skate park.</v>
      </c>
    </row>
    <row r="7489">
      <c r="A7489" s="4" t="s">
        <v>9412</v>
      </c>
      <c r="B7489" s="4" t="s">
        <v>9416</v>
      </c>
      <c r="C7489" s="5" t="str">
        <f>IFERROR(__xludf.DUMMYFUNCTION("GOOGLETRANSLATE(B7489,""en"",""fr"")"),"Les planchistes montent sur les rives d'un fossé de drainage.")</f>
        <v>Les planchistes montent sur les rives d'un fossé de drainage.</v>
      </c>
    </row>
    <row r="7490">
      <c r="A7490" s="4" t="s">
        <v>9412</v>
      </c>
      <c r="B7490" s="4" t="s">
        <v>9417</v>
      </c>
      <c r="C7490" s="5" t="str">
        <f>IFERROR(__xludf.DUMMYFUNCTION("GOOGLETRANSLATE(B7490,""en"",""fr"")"),"Différents planchistes roulent dans une rampe en béton faisant des astuces.")</f>
        <v>Différents planchistes roulent dans une rampe en béton faisant des astuces.</v>
      </c>
    </row>
    <row r="7491">
      <c r="A7491" s="4" t="s">
        <v>9412</v>
      </c>
      <c r="B7491" s="4" t="s">
        <v>9418</v>
      </c>
      <c r="C7491" s="5" t="str">
        <f>IFERROR(__xludf.DUMMYFUNCTION("GOOGLETRANSLATE(B7491,""en"",""fr"")"),"Les lumières de la ville sont visibles la nuit avec le passage du trafic en mouvement rapide.")</f>
        <v>Les lumières de la ville sont visibles la nuit avec le passage du trafic en mouvement rapide.</v>
      </c>
    </row>
    <row r="7492">
      <c r="A7492" s="4" t="s">
        <v>9419</v>
      </c>
      <c r="B7492" s="4" t="s">
        <v>9420</v>
      </c>
      <c r="C7492" s="5" t="str">
        <f>IFERROR(__xludf.DUMMYFUNCTION("GOOGLETRANSLATE(B7492,""en"",""fr"")"),"Les gens dansent sur une scène.")</f>
        <v>Les gens dansent sur une scène.</v>
      </c>
    </row>
    <row r="7493">
      <c r="A7493" s="4" t="s">
        <v>9419</v>
      </c>
      <c r="B7493" s="4" t="s">
        <v>9421</v>
      </c>
      <c r="C7493" s="5" t="str">
        <f>IFERROR(__xludf.DUMMYFUNCTION("GOOGLETRANSLATE(B7493,""en"",""fr"")"),"Les gens du public lelent les mains.")</f>
        <v>Les gens du public lelent les mains.</v>
      </c>
    </row>
    <row r="7494">
      <c r="A7494" s="4" t="s">
        <v>9419</v>
      </c>
      <c r="B7494" s="4" t="s">
        <v>9422</v>
      </c>
      <c r="C7494" s="5" t="str">
        <f>IFERROR(__xludf.DUMMYFUNCTION("GOOGLETRANSLATE(B7494,""en"",""fr"")"),"Un homme en chemise blanche commence à chanter et à danser sur scène.")</f>
        <v>Un homme en chemise blanche commence à chanter et à danser sur scène.</v>
      </c>
    </row>
    <row r="7495">
      <c r="A7495" s="4" t="s">
        <v>9423</v>
      </c>
      <c r="B7495" s="6" t="s">
        <v>9424</v>
      </c>
      <c r="C7495" s="5" t="str">
        <f>IFERROR(__xludf.DUMMYFUNCTION("GOOGLETRANSLATE(B7495,""en"",""fr"")"),"Un chef montre comment couper et couper plusieurs légumes alors qu'il prépare un repas inspiré de l'Asie.")</f>
        <v>Un chef montre comment couper et couper plusieurs légumes alors qu'il prépare un repas inspiré de l'Asie.</v>
      </c>
    </row>
    <row r="7496">
      <c r="A7496" s="4" t="s">
        <v>9423</v>
      </c>
      <c r="B7496" s="4" t="s">
        <v>9425</v>
      </c>
      <c r="C7496" s="5" t="str">
        <f>IFERROR(__xludf.DUMMYFUNCTION("GOOGLETRANSLATE(B7496,""en"",""fr"")"),"Un chef dans une tenue de chefs blancs dans une cuisine, fait bouillir des pommes de terre et des oignons dans un pot.")</f>
        <v>Un chef dans une tenue de chefs blancs dans une cuisine, fait bouillir des pommes de terre et des oignons dans un pot.</v>
      </c>
    </row>
    <row r="7497">
      <c r="A7497" s="4" t="s">
        <v>9423</v>
      </c>
      <c r="B7497" s="4" t="s">
        <v>9426</v>
      </c>
      <c r="C7497" s="5" t="str">
        <f>IFERROR(__xludf.DUMMYFUNCTION("GOOGLETRANSLATE(B7497,""en"",""fr"")"),"Le chef parle à la caméra et prend une série de légumes et les coupe sur un comptoir.")</f>
        <v>Le chef parle à la caméra et prend une série de légumes et les coupe sur un comptoir.</v>
      </c>
    </row>
    <row r="7498">
      <c r="A7498" s="4" t="s">
        <v>9423</v>
      </c>
      <c r="B7498" s="6" t="s">
        <v>9427</v>
      </c>
      <c r="C7498" s="5" t="str">
        <f>IFERROR(__xludf.DUMMYFUNCTION("GOOGLETRANSLATE(B7498,""en"",""fr"")"),"Le chef met ensuite les légumes avec de l'huile dans un bol et colle deux grosses baguettes pour présenter le produit fini.")</f>
        <v>Le chef met ensuite les légumes avec de l'huile dans un bol et colle deux grosses baguettes pour présenter le produit fini.</v>
      </c>
    </row>
    <row r="7499">
      <c r="A7499" s="4" t="s">
        <v>9428</v>
      </c>
      <c r="B7499" s="4" t="s">
        <v>9429</v>
      </c>
      <c r="C7499" s="5" t="str">
        <f>IFERROR(__xludf.DUMMYFUNCTION("GOOGLETRANSLATE(B7499,""en"",""fr"")"),"Une femme est vue allongée sur une table avec un homme la tatouant par derrière.")</f>
        <v>Une femme est vue allongée sur une table avec un homme la tatouant par derrière.</v>
      </c>
    </row>
    <row r="7500">
      <c r="A7500" s="4" t="s">
        <v>9428</v>
      </c>
      <c r="B7500" s="4" t="s">
        <v>9430</v>
      </c>
      <c r="C7500" s="5" t="str">
        <f>IFERROR(__xludf.DUMMYFUNCTION("GOOGLETRANSLATE(B7500,""en"",""fr"")"),"Une femme regarde sur le côté tandis que l'homme continue de tatouer et la femme le faisant s'arrêter.")</f>
        <v>Une femme regarde sur le côté tandis que l'homme continue de tatouer et la femme le faisant s'arrêter.</v>
      </c>
    </row>
    <row r="7501">
      <c r="A7501" s="4" t="s">
        <v>9428</v>
      </c>
      <c r="B7501" s="6" t="s">
        <v>9431</v>
      </c>
      <c r="C7501" s="5" t="str">
        <f>IFERROR(__xludf.DUMMYFUNCTION("GOOGLETRANSLATE(B7501,""en"",""fr"")"),"La femme continue d'essayer de se faire tatouer mais s'arrêter et parler à la caméra parce que ça faisait tellement mal.")</f>
        <v>La femme continue d'essayer de se faire tatouer mais s'arrêter et parler à la caméra parce que ça faisait tellement mal.</v>
      </c>
    </row>
    <row r="7502">
      <c r="A7502" s="4" t="s">
        <v>9432</v>
      </c>
      <c r="B7502" s="6" t="s">
        <v>9433</v>
      </c>
      <c r="C7502" s="5" t="str">
        <f>IFERROR(__xludf.DUMMYFUNCTION("GOOGLETRANSLATE(B7502,""en"",""fr"")"),"Un homme est vu debout sur une échelle et mène à plusieurs photos de lui sur l'échelle, puis peignant le mur avec un autre.")</f>
        <v>Un homme est vu debout sur une échelle et mène à plusieurs photos de lui sur l'échelle, puis peignant le mur avec un autre.</v>
      </c>
    </row>
    <row r="7503">
      <c r="A7503" s="4" t="s">
        <v>9432</v>
      </c>
      <c r="B7503" s="6" t="s">
        <v>9434</v>
      </c>
      <c r="C7503" s="5" t="str">
        <f>IFERROR(__xludf.DUMMYFUNCTION("GOOGLETRANSLATE(B7503,""en"",""fr"")"),"On les voit raccrocher des affiches, monter et descendre des échelles et enfin couper des aliments carieux sur un grand bâton par la suite.")</f>
        <v>On les voit raccrocher des affiches, monter et descendre des échelles et enfin couper des aliments carieux sur un grand bâton par la suite.</v>
      </c>
    </row>
    <row r="7504">
      <c r="A7504" s="4" t="s">
        <v>9435</v>
      </c>
      <c r="B7504" s="4" t="s">
        <v>9436</v>
      </c>
      <c r="C7504" s="5" t="str">
        <f>IFERROR(__xludf.DUMMYFUNCTION("GOOGLETRANSLATE(B7504,""en"",""fr"")"),"Un homme est assis sur une chaise.")</f>
        <v>Un homme est assis sur une chaise.</v>
      </c>
    </row>
    <row r="7505">
      <c r="A7505" s="4" t="s">
        <v>9435</v>
      </c>
      <c r="B7505" s="4" t="s">
        <v>9437</v>
      </c>
      <c r="C7505" s="5" t="str">
        <f>IFERROR(__xludf.DUMMYFUNCTION("GOOGLETRANSLATE(B7505,""en"",""fr"")"),"Il commence à jouer un accordéon sur ses genoux.")</f>
        <v>Il commence à jouer un accordéon sur ses genoux.</v>
      </c>
    </row>
    <row r="7506">
      <c r="A7506" s="4" t="s">
        <v>9435</v>
      </c>
      <c r="B7506" s="4" t="s">
        <v>9438</v>
      </c>
      <c r="C7506" s="5" t="str">
        <f>IFERROR(__xludf.DUMMYFUNCTION("GOOGLETRANSLATE(B7506,""en"",""fr"")"),"Il arrête de jouer et regarde la caméra.")</f>
        <v>Il arrête de jouer et regarde la caméra.</v>
      </c>
    </row>
    <row r="7507">
      <c r="A7507" s="4" t="s">
        <v>9439</v>
      </c>
      <c r="B7507" s="4" t="s">
        <v>9440</v>
      </c>
      <c r="C7507" s="5" t="str">
        <f>IFERROR(__xludf.DUMMYFUNCTION("GOOGLETRANSLATE(B7507,""en"",""fr"")"),"Un homme est vu en avant en parlant à la caméra et commence à laver une voiture.")</f>
        <v>Un homme est vu en avant en parlant à la caméra et commence à laver une voiture.</v>
      </c>
    </row>
    <row r="7508">
      <c r="A7508" s="4" t="s">
        <v>9439</v>
      </c>
      <c r="B7508" s="4" t="s">
        <v>9441</v>
      </c>
      <c r="C7508" s="5" t="str">
        <f>IFERROR(__xludf.DUMMYFUNCTION("GOOGLETRANSLATE(B7508,""en"",""fr"")"),"L'homme frappe tout autour de la voiture tout en parlant à la caméra.")</f>
        <v>L'homme frappe tout autour de la voiture tout en parlant à la caméra.</v>
      </c>
    </row>
    <row r="7509">
      <c r="A7509" s="4" t="s">
        <v>9439</v>
      </c>
      <c r="B7509" s="4" t="s">
        <v>9442</v>
      </c>
      <c r="C7509" s="5" t="str">
        <f>IFERROR(__xludf.DUMMYFUNCTION("GOOGLETRANSLATE(B7509,""en"",""fr"")"),"Il continue de laver la voiture et s'arrête un instant pour parler à la caméra.")</f>
        <v>Il continue de laver la voiture et s'arrête un instant pour parler à la caméra.</v>
      </c>
    </row>
    <row r="7510">
      <c r="A7510" s="4" t="s">
        <v>9443</v>
      </c>
      <c r="B7510" s="4" t="s">
        <v>9444</v>
      </c>
      <c r="C7510" s="5" t="str">
        <f>IFERROR(__xludf.DUMMYFUNCTION("GOOGLETRANSLATE(B7510,""en"",""fr"")"),"Une femme essaie de jouer à un mauvais mitaine.")</f>
        <v>Une femme essaie de jouer à un mauvais mitaine.</v>
      </c>
    </row>
    <row r="7511">
      <c r="A7511" s="4" t="s">
        <v>9443</v>
      </c>
      <c r="B7511" s="4" t="s">
        <v>9445</v>
      </c>
      <c r="C7511" s="5" t="str">
        <f>IFERROR(__xludf.DUMMYFUNCTION("GOOGLETRANSLATE(B7511,""en"",""fr"")"),"Elle frappe la bite de la navette.")</f>
        <v>Elle frappe la bite de la navette.</v>
      </c>
    </row>
    <row r="7512">
      <c r="A7512" s="4" t="s">
        <v>9443</v>
      </c>
      <c r="B7512" s="4" t="s">
        <v>9446</v>
      </c>
      <c r="C7512" s="5" t="str">
        <f>IFERROR(__xludf.DUMMYFUNCTION("GOOGLETRANSLATE(B7512,""en"",""fr"")"),"Elle se promène dans le terrain, regardant autour de lui.")</f>
        <v>Elle se promène dans le terrain, regardant autour de lui.</v>
      </c>
    </row>
    <row r="7513">
      <c r="A7513" s="4" t="s">
        <v>9443</v>
      </c>
      <c r="B7513" s="4" t="s">
        <v>9447</v>
      </c>
      <c r="C7513" s="5" t="str">
        <f>IFERROR(__xludf.DUMMYFUNCTION("GOOGLETRANSLATE(B7513,""en"",""fr"")"),"Elle essaie de jouer au jeu avec peu d'efforts.")</f>
        <v>Elle essaie de jouer au jeu avec peu d'efforts.</v>
      </c>
    </row>
    <row r="7514">
      <c r="A7514" s="4" t="s">
        <v>9443</v>
      </c>
      <c r="B7514" s="4" t="s">
        <v>9448</v>
      </c>
      <c r="C7514" s="5" t="str">
        <f>IFERROR(__xludf.DUMMYFUNCTION("GOOGLETRANSLATE(B7514,""en"",""fr"")"),"Elle tend une autre raquette à un ami.")</f>
        <v>Elle tend une autre raquette à un ami.</v>
      </c>
    </row>
    <row r="7515">
      <c r="A7515" s="4" t="s">
        <v>9443</v>
      </c>
      <c r="B7515" s="4" t="s">
        <v>9449</v>
      </c>
      <c r="C7515" s="5" t="str">
        <f>IFERROR(__xludf.DUMMYFUNCTION("GOOGLETRANSLATE(B7515,""en"",""fr"")"),"Elle ne joue pas vraiment.")</f>
        <v>Elle ne joue pas vraiment.</v>
      </c>
    </row>
    <row r="7516">
      <c r="A7516" s="4" t="s">
        <v>9443</v>
      </c>
      <c r="B7516" s="4" t="s">
        <v>9450</v>
      </c>
      <c r="C7516" s="5" t="str">
        <f>IFERROR(__xludf.DUMMYFUNCTION("GOOGLETRANSLATE(B7516,""en"",""fr"")"),"L'autre joueur est un joueur plus sérieux comme elle sert.")</f>
        <v>L'autre joueur est un joueur plus sérieux comme elle sert.</v>
      </c>
    </row>
    <row r="7517">
      <c r="A7517" s="4" t="s">
        <v>9443</v>
      </c>
      <c r="B7517" s="4" t="s">
        <v>9451</v>
      </c>
      <c r="C7517" s="5" t="str">
        <f>IFERROR(__xludf.DUMMYFUNCTION("GOOGLETRANSLATE(B7517,""en"",""fr"")"),"Le jeu de Bad-Mitten se poursuit alors que le premier joueur a raté encore et encore.")</f>
        <v>Le jeu de Bad-Mitten se poursuit alors que le premier joueur a raté encore et encore.</v>
      </c>
    </row>
    <row r="7518">
      <c r="A7518" s="4" t="s">
        <v>9443</v>
      </c>
      <c r="B7518" s="4" t="s">
        <v>9452</v>
      </c>
      <c r="C7518" s="5" t="str">
        <f>IFERROR(__xludf.DUMMYFUNCTION("GOOGLETRANSLATE(B7518,""en"",""fr"")"),"Les gens marchent devant la caméra.")</f>
        <v>Les gens marchent devant la caméra.</v>
      </c>
    </row>
    <row r="7519">
      <c r="A7519" s="4" t="s">
        <v>9443</v>
      </c>
      <c r="B7519" s="4" t="s">
        <v>9453</v>
      </c>
      <c r="C7519" s="5" t="str">
        <f>IFERROR(__xludf.DUMMYFUNCTION("GOOGLETRANSLATE(B7519,""en"",""fr"")"),"La caméra montre les deux autres joueurs.")</f>
        <v>La caméra montre les deux autres joueurs.</v>
      </c>
    </row>
    <row r="7520">
      <c r="A7520" s="4" t="s">
        <v>9443</v>
      </c>
      <c r="B7520" s="4" t="s">
        <v>9454</v>
      </c>
      <c r="C7520" s="5" t="str">
        <f>IFERROR(__xludf.DUMMYFUNCTION("GOOGLETRANSLATE(B7520,""en"",""fr"")"),"Le jeu continue un peu plus longtemps avant sa fin.")</f>
        <v>Le jeu continue un peu plus longtemps avant sa fin.</v>
      </c>
    </row>
    <row r="7521">
      <c r="A7521" s="4" t="s">
        <v>9455</v>
      </c>
      <c r="B7521" s="4" t="s">
        <v>9456</v>
      </c>
      <c r="C7521" s="5" t="str">
        <f>IFERROR(__xludf.DUMMYFUNCTION("GOOGLETRANSLATE(B7521,""en"",""fr"")"),"Une femme est vue en regardant la caméra et en tenant un morceau de maquillage.")</f>
        <v>Une femme est vue en regardant la caméra et en tenant un morceau de maquillage.</v>
      </c>
    </row>
    <row r="7522">
      <c r="A7522" s="4" t="s">
        <v>9455</v>
      </c>
      <c r="B7522" s="4" t="s">
        <v>9457</v>
      </c>
      <c r="C7522" s="5" t="str">
        <f>IFERROR(__xludf.DUMMYFUNCTION("GOOGLETRANSLATE(B7522,""en"",""fr"")"),"Elle sort ensuite ses contacts et maintient un autre conteneur.")</f>
        <v>Elle sort ensuite ses contacts et maintient un autre conteneur.</v>
      </c>
    </row>
    <row r="7523">
      <c r="A7523" s="4" t="s">
        <v>9455</v>
      </c>
      <c r="B7523" s="4" t="s">
        <v>9458</v>
      </c>
      <c r="C7523" s="5" t="str">
        <f>IFERROR(__xludf.DUMMYFUNCTION("GOOGLETRANSLATE(B7523,""en"",""fr"")"),"Elle met ensuite un autre ensemble de contacts et sourit à la caméra.")</f>
        <v>Elle met ensuite un autre ensemble de contacts et sourit à la caméra.</v>
      </c>
    </row>
    <row r="7524">
      <c r="A7524" s="4" t="s">
        <v>9459</v>
      </c>
      <c r="B7524" s="4" t="s">
        <v>9460</v>
      </c>
      <c r="C7524" s="5" t="str">
        <f>IFERROR(__xludf.DUMMYFUNCTION("GOOGLETRANSLATE(B7524,""en"",""fr"")"),"Un homme ajuste son appareil photo et capture un gros plan de sa main et de son visage.")</f>
        <v>Un homme ajuste son appareil photo et capture un gros plan de sa main et de son visage.</v>
      </c>
    </row>
    <row r="7525">
      <c r="A7525" s="4" t="s">
        <v>9459</v>
      </c>
      <c r="B7525" s="4" t="s">
        <v>9461</v>
      </c>
      <c r="C7525" s="5" t="str">
        <f>IFERROR(__xludf.DUMMYFUNCTION("GOOGLETRANSLATE(B7525,""en"",""fr"")"),"Un jeune enfant portant une chemise verte joue des instruments de percussion conga.")</f>
        <v>Un jeune enfant portant une chemise verte joue des instruments de percussion conga.</v>
      </c>
    </row>
    <row r="7526">
      <c r="A7526" s="4" t="s">
        <v>9459</v>
      </c>
      <c r="B7526" s="6" t="s">
        <v>9462</v>
      </c>
      <c r="C7526" s="5" t="str">
        <f>IFERROR(__xludf.DUMMYFUNCTION("GOOGLETRANSLATE(B7526,""en"",""fr"")"),"Un garçon plus âgé portant une chemise bordeaux entre dans l'image derrière l'enfant qui joue le conga et commence à danser.")</f>
        <v>Un garçon plus âgé portant une chemise bordeaux entre dans l'image derrière l'enfant qui joue le conga et commence à danser.</v>
      </c>
    </row>
    <row r="7527">
      <c r="A7527" s="4" t="s">
        <v>9459</v>
      </c>
      <c r="B7527" s="6" t="s">
        <v>9463</v>
      </c>
      <c r="C7527" s="5" t="str">
        <f>IFERROR(__xludf.DUMMYFUNCTION("GOOGLETRANSLATE(B7527,""en"",""fr"")"),"Le garçon de la chemise bordeaux sort de l'image alors que le jeune joueur de Conga s'éloigne également alors que la caméra le suit.")</f>
        <v>Le garçon de la chemise bordeaux sort de l'image alors que le jeune joueur de Conga s'éloigne également alors que la caméra le suit.</v>
      </c>
    </row>
    <row r="7528">
      <c r="A7528" s="4" t="s">
        <v>9459</v>
      </c>
      <c r="B7528" s="6" t="s">
        <v>9464</v>
      </c>
      <c r="C7528" s="5" t="str">
        <f>IFERROR(__xludf.DUMMYFUNCTION("GOOGLETRANSLATE(B7528,""en"",""fr"")"),"Le jeune enfant revient pour continuer à jouer au Conga comme un enfant portant une chemise bleue se promène derrière le jeune joueur de Conga.")</f>
        <v>Le jeune enfant revient pour continuer à jouer au Conga comme un enfant portant une chemise bleue se promène derrière le jeune joueur de Conga.</v>
      </c>
    </row>
    <row r="7529">
      <c r="A7529" s="4" t="s">
        <v>9465</v>
      </c>
      <c r="B7529" s="4" t="s">
        <v>9466</v>
      </c>
      <c r="C7529" s="5" t="str">
        <f>IFERROR(__xludf.DUMMYFUNCTION("GOOGLETRANSLATE(B7529,""en"",""fr"")"),"Un grand homme est vu assis au milieu d'un cercle en regardant loin de la caméra.")</f>
        <v>Un grand homme est vu assis au milieu d'un cercle en regardant loin de la caméra.</v>
      </c>
    </row>
    <row r="7530">
      <c r="A7530" s="4" t="s">
        <v>9465</v>
      </c>
      <c r="B7530" s="4" t="s">
        <v>9467</v>
      </c>
      <c r="C7530" s="5" t="str">
        <f>IFERROR(__xludf.DUMMYFUNCTION("GOOGLETRANSLATE(B7530,""en"",""fr"")"),"L'homme se tourne ensuite avec une discussion dans ses mains.")</f>
        <v>L'homme se tourne ensuite avec une discussion dans ses mains.</v>
      </c>
    </row>
    <row r="7531">
      <c r="A7531" s="4" t="s">
        <v>9465</v>
      </c>
      <c r="B7531" s="4" t="s">
        <v>9468</v>
      </c>
      <c r="C7531" s="5" t="str">
        <f>IFERROR(__xludf.DUMMYFUNCTION("GOOGLETRANSLATE(B7531,""en"",""fr"")"),"Enfin, il jette l'objet au loin.")</f>
        <v>Enfin, il jette l'objet au loin.</v>
      </c>
    </row>
    <row r="7532">
      <c r="A7532" s="4" t="s">
        <v>9469</v>
      </c>
      <c r="B7532" s="4" t="s">
        <v>9470</v>
      </c>
      <c r="C7532" s="5" t="str">
        <f>IFERROR(__xludf.DUMMYFUNCTION("GOOGLETRANSLATE(B7532,""en"",""fr"")"),"Une femme verse des ingrédients dans une aide à la cuisine.")</f>
        <v>Une femme verse des ingrédients dans une aide à la cuisine.</v>
      </c>
    </row>
    <row r="7533">
      <c r="A7533" s="4" t="s">
        <v>9469</v>
      </c>
      <c r="B7533" s="4" t="s">
        <v>9471</v>
      </c>
      <c r="C7533" s="5" t="str">
        <f>IFERROR(__xludf.DUMMYFUNCTION("GOOGLETRANSLATE(B7533,""en"",""fr"")"),"Elle l'allume et mélange les ingrédients ensemble.")</f>
        <v>Elle l'allume et mélange les ingrédients ensemble.</v>
      </c>
    </row>
    <row r="7534">
      <c r="A7534" s="4" t="s">
        <v>9469</v>
      </c>
      <c r="B7534" s="4" t="s">
        <v>9472</v>
      </c>
      <c r="C7534" s="5" t="str">
        <f>IFERROR(__xludf.DUMMYFUNCTION("GOOGLETRANSLATE(B7534,""en"",""fr"")"),"Elle verse le mélange dans des moules à gâteau.")</f>
        <v>Elle verse le mélange dans des moules à gâteau.</v>
      </c>
    </row>
    <row r="7535">
      <c r="A7535" s="4" t="s">
        <v>9469</v>
      </c>
      <c r="B7535" s="4" t="s">
        <v>9473</v>
      </c>
      <c r="C7535" s="5" t="str">
        <f>IFERROR(__xludf.DUMMYFUNCTION("GOOGLETRANSLATE(B7535,""en"",""fr"")"),"Un morceau de gâteau est illustré sur une assiette.")</f>
        <v>Un morceau de gâteau est illustré sur une assiette.</v>
      </c>
    </row>
    <row r="7536">
      <c r="A7536" s="4" t="s">
        <v>9474</v>
      </c>
      <c r="B7536" s="6" t="s">
        <v>9475</v>
      </c>
      <c r="C7536" s="5" t="str">
        <f>IFERROR(__xludf.DUMMYFUNCTION("GOOGLETRANSLATE(B7536,""en"",""fr"")"),"Un homme est vu jouer de la batterie sur un ensemble de seaux tandis que plusieurs personnes passent devant lui et d'autres l'enregistrent.")</f>
        <v>Un homme est vu jouer de la batterie sur un ensemble de seaux tandis que plusieurs personnes passent devant lui et d'autres l'enregistrent.</v>
      </c>
    </row>
    <row r="7537">
      <c r="A7537" s="4" t="s">
        <v>9474</v>
      </c>
      <c r="B7537" s="6" t="s">
        <v>9476</v>
      </c>
      <c r="C7537" s="5" t="str">
        <f>IFERROR(__xludf.DUMMYFUNCTION("GOOGLETRANSLATE(B7537,""en"",""fr"")"),"L'homme continue de jouer alors que la caméra se déroule tout autour de lui et que les gens continuent de se promener autour de lui et de montrer la région.")</f>
        <v>L'homme continue de jouer alors que la caméra se déroule tout autour de lui et que les gens continuent de se promener autour de lui et de montrer la région.</v>
      </c>
    </row>
    <row r="7538">
      <c r="A7538" s="4" t="s">
        <v>9477</v>
      </c>
      <c r="B7538" s="4" t="s">
        <v>9478</v>
      </c>
      <c r="C7538" s="5" t="str">
        <f>IFERROR(__xludf.DUMMYFUNCTION("GOOGLETRANSLATE(B7538,""en"",""fr"")"),"Deux équipes jouent à la crosse à l'extérieur.")</f>
        <v>Deux équipes jouent à la crosse à l'extérieur.</v>
      </c>
    </row>
    <row r="7539">
      <c r="A7539" s="4" t="s">
        <v>9477</v>
      </c>
      <c r="B7539" s="4" t="s">
        <v>9479</v>
      </c>
      <c r="C7539" s="5" t="str">
        <f>IFERROR(__xludf.DUMMYFUNCTION("GOOGLETRANSLATE(B7539,""en"",""fr"")"),"Les joueurs marquent et sautent et courent pour célébrer les scores.")</f>
        <v>Les joueurs marquent et sautent et courent pour célébrer les scores.</v>
      </c>
    </row>
    <row r="7540">
      <c r="A7540" s="4" t="s">
        <v>9477</v>
      </c>
      <c r="B7540" s="4" t="s">
        <v>9480</v>
      </c>
      <c r="C7540" s="5" t="str">
        <f>IFERROR(__xludf.DUMMYFUNCTION("GOOGLETRANSLATE(B7540,""en"",""fr"")"),"Un joueur prend le ballon sur le bâton et courent au but pour marquer, où un joueur marque.")</f>
        <v>Un joueur prend le ballon sur le bâton et courent au but pour marquer, où un joueur marque.</v>
      </c>
    </row>
    <row r="7541">
      <c r="A7541" s="4" t="s">
        <v>9477</v>
      </c>
      <c r="B7541" s="4" t="s">
        <v>9481</v>
      </c>
      <c r="C7541" s="5" t="str">
        <f>IFERROR(__xludf.DUMMYFUNCTION("GOOGLETRANSLATE(B7541,""en"",""fr"")"),"Le conseil d'administration montre le gagnant.")</f>
        <v>Le conseil d'administration montre le gagnant.</v>
      </c>
    </row>
    <row r="7542">
      <c r="A7542" s="4" t="s">
        <v>9482</v>
      </c>
      <c r="B7542" s="4" t="s">
        <v>9483</v>
      </c>
      <c r="C7542" s="5" t="str">
        <f>IFERROR(__xludf.DUMMYFUNCTION("GOOGLETRANSLATE(B7542,""en"",""fr"")"),"Il y a un homme portant une chemise blanche s jouant la tambour dans une pièce.")</f>
        <v>Il y a un homme portant une chemise blanche s jouant la tambour dans une pièce.</v>
      </c>
    </row>
    <row r="7543">
      <c r="A7543" s="4" t="s">
        <v>9482</v>
      </c>
      <c r="B7543" s="4" t="s">
        <v>9484</v>
      </c>
      <c r="C7543" s="5" t="str">
        <f>IFERROR(__xludf.DUMMYFUNCTION("GOOGLETRANSLATE(B7543,""en"",""fr"")"),"Il commence par jouer à la caisse claire et au tambour de la basse.")</f>
        <v>Il commence par jouer à la caisse claire et au tambour de la basse.</v>
      </c>
    </row>
    <row r="7544">
      <c r="A7544" s="4" t="s">
        <v>9482</v>
      </c>
      <c r="B7544" s="4" t="s">
        <v>9485</v>
      </c>
      <c r="C7544" s="5" t="str">
        <f>IFERROR(__xludf.DUMMYFUNCTION("GOOGLETRANSLATE(B7544,""en"",""fr"")"),"Puis il continue de jouer en frappant les cymbales et le hi-hat.")</f>
        <v>Puis il continue de jouer en frappant les cymbales et le hi-hat.</v>
      </c>
    </row>
    <row r="7545">
      <c r="A7545" s="4" t="s">
        <v>9482</v>
      </c>
      <c r="B7545" s="4" t="s">
        <v>9486</v>
      </c>
      <c r="C7545" s="5" t="str">
        <f>IFERROR(__xludf.DUMMYFUNCTION("GOOGLETRANSLATE(B7545,""en"",""fr"")"),"Il s'arrête un peu et reprend ensuite jouer de la batterie.")</f>
        <v>Il s'arrête un peu et reprend ensuite jouer de la batterie.</v>
      </c>
    </row>
    <row r="7546">
      <c r="A7546" s="4" t="s">
        <v>9482</v>
      </c>
      <c r="B7546" s="4" t="s">
        <v>9487</v>
      </c>
      <c r="C7546" s="5" t="str">
        <f>IFERROR(__xludf.DUMMYFUNCTION("GOOGLETRANSLATE(B7546,""en"",""fr"")"),"Il joue rythmiquement alors qu'il accélère la vitesse et joue le tambour.")</f>
        <v>Il joue rythmiquement alors qu'il accélère la vitesse et joue le tambour.</v>
      </c>
    </row>
    <row r="7547">
      <c r="A7547" s="4" t="s">
        <v>9482</v>
      </c>
      <c r="B7547" s="4" t="s">
        <v>9488</v>
      </c>
      <c r="C7547" s="5" t="str">
        <f>IFERROR(__xludf.DUMMYFUNCTION("GOOGLETRANSLATE(B7547,""en"",""fr"")"),"Puis il s'arrête et se lève pour éteindre la caméra.")</f>
        <v>Puis il s'arrête et se lève pour éteindre la caméra.</v>
      </c>
    </row>
    <row r="7548">
      <c r="A7548" s="4" t="s">
        <v>9489</v>
      </c>
      <c r="B7548" s="4" t="s">
        <v>9490</v>
      </c>
      <c r="C7548" s="5" t="str">
        <f>IFERROR(__xludf.DUMMYFUNCTION("GOOGLETRANSLATE(B7548,""en"",""fr"")"),"Un homme atteint l'eau et se lève le visage.")</f>
        <v>Un homme atteint l'eau et se lève le visage.</v>
      </c>
    </row>
    <row r="7549">
      <c r="A7549" s="4" t="s">
        <v>9489</v>
      </c>
      <c r="B7549" s="4" t="s">
        <v>9491</v>
      </c>
      <c r="C7549" s="5" t="str">
        <f>IFERROR(__xludf.DUMMYFUNCTION("GOOGLETRANSLATE(B7549,""en"",""fr"")"),"Une femme travaille sur les autres au bord de l'eau.")</f>
        <v>Une femme travaille sur les autres au bord de l'eau.</v>
      </c>
    </row>
    <row r="7550">
      <c r="A7550" s="4" t="s">
        <v>9489</v>
      </c>
      <c r="B7550" s="4" t="s">
        <v>9492</v>
      </c>
      <c r="C7550" s="5" t="str">
        <f>IFERROR(__xludf.DUMMYFUNCTION("GOOGLETRANSLATE(B7550,""en"",""fr"")"),"L'homme éclabousse le travailleur avec de l'eau.")</f>
        <v>L'homme éclabousse le travailleur avec de l'eau.</v>
      </c>
    </row>
    <row r="7551">
      <c r="A7551" s="4" t="s">
        <v>9489</v>
      </c>
      <c r="B7551" s="4" t="s">
        <v>9493</v>
      </c>
      <c r="C7551" s="5" t="str">
        <f>IFERROR(__xludf.DUMMYFUNCTION("GOOGLETRANSLATE(B7551,""en"",""fr"")"),"Une femme regarde et rit de l'homme.")</f>
        <v>Une femme regarde et rit de l'homme.</v>
      </c>
    </row>
    <row r="7552">
      <c r="A7552" s="4" t="s">
        <v>9494</v>
      </c>
      <c r="B7552" s="4" t="s">
        <v>9495</v>
      </c>
      <c r="C7552" s="5" t="str">
        <f>IFERROR(__xludf.DUMMYFUNCTION("GOOGLETRANSLATE(B7552,""en"",""fr"")"),"Un petit collie se tient sur une table.")</f>
        <v>Un petit collie se tient sur une table.</v>
      </c>
    </row>
    <row r="7553">
      <c r="A7553" s="4" t="s">
        <v>9494</v>
      </c>
      <c r="B7553" s="4" t="s">
        <v>9496</v>
      </c>
      <c r="C7553" s="5" t="str">
        <f>IFERROR(__xludf.DUMMYFUNCTION("GOOGLETRANSLATE(B7553,""en"",""fr"")"),"Il est attaché en place et un homme commence à le brosser partout.")</f>
        <v>Il est attaché en place et un homme commence à le brosser partout.</v>
      </c>
    </row>
    <row r="7554">
      <c r="A7554" s="4" t="s">
        <v>9494</v>
      </c>
      <c r="B7554" s="4" t="s">
        <v>9497</v>
      </c>
      <c r="C7554" s="5" t="str">
        <f>IFERROR(__xludf.DUMMYFUNCTION("GOOGLETRANSLATE(B7554,""en"",""fr"")"),"Il se tient immobile pendant qu'il est soigné.")</f>
        <v>Il se tient immobile pendant qu'il est soigné.</v>
      </c>
    </row>
    <row r="7555">
      <c r="A7555" s="4" t="s">
        <v>9498</v>
      </c>
      <c r="B7555" s="4" t="s">
        <v>9499</v>
      </c>
      <c r="C7555" s="5" t="str">
        <f>IFERROR(__xludf.DUMMYFUNCTION("GOOGLETRANSLATE(B7555,""en"",""fr"")"),"Une personne met un casque de soudage.")</f>
        <v>Une personne met un casque de soudage.</v>
      </c>
    </row>
    <row r="7556">
      <c r="A7556" s="4" t="s">
        <v>9498</v>
      </c>
      <c r="B7556" s="4" t="s">
        <v>9500</v>
      </c>
      <c r="C7556" s="5" t="str">
        <f>IFERROR(__xludf.DUMMYFUNCTION("GOOGLETRANSLATE(B7556,""en"",""fr"")"),"Ensuite, la personne soulève un morceau de métal.")</f>
        <v>Ensuite, la personne soulève un morceau de métal.</v>
      </c>
    </row>
    <row r="7557">
      <c r="A7557" s="4" t="s">
        <v>9498</v>
      </c>
      <c r="B7557" s="4" t="s">
        <v>9501</v>
      </c>
      <c r="C7557" s="5" t="str">
        <f>IFERROR(__xludf.DUMMYFUNCTION("GOOGLETRANSLATE(B7557,""en"",""fr"")"),"Ensuite, la personne finit pour souder et lever son casque mais il se replie.")</f>
        <v>Ensuite, la personne finit pour souder et lever son casque mais il se replie.</v>
      </c>
    </row>
    <row r="7558">
      <c r="A7558" s="4" t="s">
        <v>9502</v>
      </c>
      <c r="B7558" s="4" t="s">
        <v>9503</v>
      </c>
      <c r="C7558" s="5" t="str">
        <f>IFERROR(__xludf.DUMMYFUNCTION("GOOGLETRANSLATE(B7558,""en"",""fr"")"),"Il y a un événement de vélo de terre qui est parrainé par Monster Energy Drink.")</f>
        <v>Il y a un événement de vélo de terre qui est parrainé par Monster Energy Drink.</v>
      </c>
    </row>
    <row r="7559">
      <c r="A7559" s="4" t="s">
        <v>9502</v>
      </c>
      <c r="B7559" s="4" t="s">
        <v>9504</v>
      </c>
      <c r="C7559" s="5" t="str">
        <f>IFERROR(__xludf.DUMMYFUNCTION("GOOGLETRANSLATE(B7559,""en"",""fr"")"),"Il y a plusieurs candidats participant à l'événement.")</f>
        <v>Il y a plusieurs candidats participant à l'événement.</v>
      </c>
    </row>
    <row r="7560">
      <c r="A7560" s="4" t="s">
        <v>9502</v>
      </c>
      <c r="B7560" s="4" t="s">
        <v>9505</v>
      </c>
      <c r="C7560" s="5" t="str">
        <f>IFERROR(__xludf.DUMMYFUNCTION("GOOGLETRANSLATE(B7560,""en"",""fr"")"),"L'un des concurrents tombe de son vélo et semble être blessé.")</f>
        <v>L'un des concurrents tombe de son vélo et semble être blessé.</v>
      </c>
    </row>
    <row r="7561">
      <c r="A7561" s="4" t="s">
        <v>9502</v>
      </c>
      <c r="B7561" s="4" t="s">
        <v>9506</v>
      </c>
      <c r="C7561" s="5" t="str">
        <f>IFERROR(__xludf.DUMMYFUNCTION("GOOGLETRANSLATE(B7561,""en"",""fr"")"),"Il se lève tout de suite et se dirige vers le coin.")</f>
        <v>Il se lève tout de suite et se dirige vers le coin.</v>
      </c>
    </row>
    <row r="7562">
      <c r="A7562" s="4" t="s">
        <v>9507</v>
      </c>
      <c r="B7562" s="4" t="s">
        <v>9508</v>
      </c>
      <c r="C7562" s="5" t="str">
        <f>IFERROR(__xludf.DUMMYFUNCTION("GOOGLETRANSLATE(B7562,""en"",""fr"")"),"Un homme est vu parler à la caméra suivi par lui parler à des femmes aléatoires sur la plage.")</f>
        <v>Un homme est vu parler à la caméra suivi par lui parler à des femmes aléatoires sur la plage.</v>
      </c>
    </row>
    <row r="7563">
      <c r="A7563" s="4" t="s">
        <v>9507</v>
      </c>
      <c r="B7563" s="4" t="s">
        <v>9509</v>
      </c>
      <c r="C7563" s="5" t="str">
        <f>IFERROR(__xludf.DUMMYFUNCTION("GOOGLETRANSLATE(B7563,""en"",""fr"")"),"Ils jouent un jeu ensemble et quand il gagne, la fille lui donne un baiser.")</f>
        <v>Ils jouent un jeu ensemble et quand il gagne, la fille lui donne un baiser.</v>
      </c>
    </row>
    <row r="7564">
      <c r="A7564" s="4" t="s">
        <v>9507</v>
      </c>
      <c r="B7564" s="4" t="s">
        <v>9510</v>
      </c>
      <c r="C7564" s="5" t="str">
        <f>IFERROR(__xludf.DUMMYFUNCTION("GOOGLETRANSLATE(B7564,""en"",""fr"")"),"Quand ils perdent, la fille lui frappe.")</f>
        <v>Quand ils perdent, la fille lui frappe.</v>
      </c>
    </row>
    <row r="7565">
      <c r="A7565" s="4" t="s">
        <v>9507</v>
      </c>
      <c r="B7565" s="4" t="s">
        <v>9511</v>
      </c>
      <c r="C7565" s="5" t="str">
        <f>IFERROR(__xludf.DUMMYFUNCTION("GOOGLETRANSLATE(B7565,""en"",""fr"")"),"Plusieurs filles rient et jouent tout en faisant un baiser ou en giflant l'homme.")</f>
        <v>Plusieurs filles rient et jouent tout en faisant un baiser ou en giflant l'homme.</v>
      </c>
    </row>
    <row r="7566">
      <c r="A7566" s="4" t="s">
        <v>9512</v>
      </c>
      <c r="B7566" s="4" t="s">
        <v>9513</v>
      </c>
      <c r="C7566" s="5" t="str">
        <f>IFERROR(__xludf.DUMMYFUNCTION("GOOGLETRANSLATE(B7566,""en"",""fr"")"),"Une personne est vue portant un costume drôle tout en tenant un morceau de machinerie.")</f>
        <v>Une personne est vue portant un costume drôle tout en tenant un morceau de machinerie.</v>
      </c>
    </row>
    <row r="7567">
      <c r="A7567" s="4" t="s">
        <v>9512</v>
      </c>
      <c r="B7567" s="4" t="s">
        <v>9514</v>
      </c>
      <c r="C7567" s="5" t="str">
        <f>IFERROR(__xludf.DUMMYFUNCTION("GOOGLETRANSLATE(B7567,""en"",""fr"")"),"L'homme pousse les machines autour de la pelouse tout en regardant dans la caméra.")</f>
        <v>L'homme pousse les machines autour de la pelouse tout en regardant dans la caméra.</v>
      </c>
    </row>
    <row r="7568">
      <c r="A7568" s="4" t="s">
        <v>9512</v>
      </c>
      <c r="B7568" s="4" t="s">
        <v>9515</v>
      </c>
      <c r="C7568" s="5" t="str">
        <f>IFERROR(__xludf.DUMMYFUNCTION("GOOGLETRANSLATE(B7568,""en"",""fr"")"),"L'homme continue en utilisant la machine tout en regardant dans l'appareil photo.")</f>
        <v>L'homme continue en utilisant la machine tout en regardant dans l'appareil photo.</v>
      </c>
    </row>
    <row r="7569">
      <c r="A7569" s="4" t="s">
        <v>9516</v>
      </c>
      <c r="B7569" s="4" t="s">
        <v>9517</v>
      </c>
      <c r="C7569" s="5" t="str">
        <f>IFERROR(__xludf.DUMMYFUNCTION("GOOGLETRANSLATE(B7569,""en"",""fr"")"),"Un groupe d'hommes est montré encourageant et sautant au ralenti.")</f>
        <v>Un groupe d'hommes est montré encourageant et sautant au ralenti.</v>
      </c>
    </row>
    <row r="7570">
      <c r="A7570" s="4" t="s">
        <v>9516</v>
      </c>
      <c r="B7570" s="4" t="s">
        <v>9518</v>
      </c>
      <c r="C7570" s="5" t="str">
        <f>IFERROR(__xludf.DUMMYFUNCTION("GOOGLETRANSLATE(B7570,""en"",""fr"")"),"Beaucoup de gens sont présents à mesure que les trophées sont affichés.")</f>
        <v>Beaucoup de gens sont présents à mesure que les trophées sont affichés.</v>
      </c>
    </row>
    <row r="7571">
      <c r="A7571" s="4" t="s">
        <v>9516</v>
      </c>
      <c r="B7571" s="4" t="s">
        <v>9519</v>
      </c>
      <c r="C7571" s="5" t="str">
        <f>IFERROR(__xludf.DUMMYFUNCTION("GOOGLETRANSLATE(B7571,""en"",""fr"")"),"Un tas de gens se rassemblent pour jouer au pong de bière et boire.")</f>
        <v>Un tas de gens se rassemblent pour jouer au pong de bière et boire.</v>
      </c>
    </row>
    <row r="7572">
      <c r="A7572" s="4" t="s">
        <v>9516</v>
      </c>
      <c r="B7572" s="6" t="s">
        <v>9520</v>
      </c>
      <c r="C7572" s="5" t="str">
        <f>IFERROR(__xludf.DUMMYFUNCTION("GOOGLETRANSLATE(B7572,""en"",""fr"")"),"Divers plans de l'action à différentes tables sont affichés, puis la vidéo coupe à une adresse Internet pour en savoir plus d'informations.")</f>
        <v>Divers plans de l'action à différentes tables sont affichés, puis la vidéo coupe à une adresse Internet pour en savoir plus d'informations.</v>
      </c>
    </row>
    <row r="7573">
      <c r="A7573" s="4" t="s">
        <v>9521</v>
      </c>
      <c r="B7573" s="6" t="s">
        <v>9522</v>
      </c>
      <c r="C7573" s="5" t="str">
        <f>IFERROR(__xludf.DUMMYFUNCTION("GOOGLETRANSLATE(B7573,""en"",""fr"")"),"Il y a deux femmes dans une salle de bains de lavage dans des seaux bleus remplies d'eau de savon mousseuse.")</f>
        <v>Il y a deux femmes dans une salle de bains de lavage dans des seaux bleus remplies d'eau de savon mousseuse.</v>
      </c>
    </row>
    <row r="7574">
      <c r="A7574" s="4" t="s">
        <v>9521</v>
      </c>
      <c r="B7574" s="4" t="s">
        <v>9523</v>
      </c>
      <c r="C7574" s="5" t="str">
        <f>IFERROR(__xludf.DUMMYFUNCTION("GOOGLETRANSLATE(B7574,""en"",""fr"")"),"Les femmes trempent les vêtements dans l'eau du savon et les rincent pour les nettoyer.")</f>
        <v>Les femmes trempent les vêtements dans l'eau du savon et les rincent pour les nettoyer.</v>
      </c>
    </row>
    <row r="7575">
      <c r="A7575" s="4" t="s">
        <v>9521</v>
      </c>
      <c r="B7575" s="4" t="s">
        <v>9524</v>
      </c>
      <c r="C7575" s="5" t="str">
        <f>IFERROR(__xludf.DUMMYFUNCTION("GOOGLETRANSLATE(B7575,""en"",""fr"")"),"Ensuite, elle a mis les vêtements dans un grand tambour métallique qui tourne rapidement pour égoutter l'excès d'eau.")</f>
        <v>Ensuite, elle a mis les vêtements dans un grand tambour métallique qui tourne rapidement pour égoutter l'excès d'eau.</v>
      </c>
    </row>
    <row r="7576">
      <c r="A7576" s="4" t="s">
        <v>9521</v>
      </c>
      <c r="B7576" s="4" t="s">
        <v>9525</v>
      </c>
      <c r="C7576" s="5" t="str">
        <f>IFERROR(__xludf.DUMMYFUNCTION("GOOGLETRANSLATE(B7576,""en"",""fr"")"),"Ils vont ensuite sur leur bâtiment dans une terrasse ouverte où les cordes sont attachées à travers les murs.")</f>
        <v>Ils vont ensuite sur leur bâtiment dans une terrasse ouverte où les cordes sont attachées à travers les murs.</v>
      </c>
    </row>
    <row r="7577">
      <c r="A7577" s="4" t="s">
        <v>9521</v>
      </c>
      <c r="B7577" s="4" t="s">
        <v>9526</v>
      </c>
      <c r="C7577" s="5" t="str">
        <f>IFERROR(__xludf.DUMMYFUNCTION("GOOGLETRANSLATE(B7577,""en"",""fr"")"),"Ils commencent à accrocher les vêtements sur la corde à linge pour le séchage.")</f>
        <v>Ils commencent à accrocher les vêtements sur la corde à linge pour le séchage.</v>
      </c>
    </row>
    <row r="7578">
      <c r="A7578" s="4" t="s">
        <v>9527</v>
      </c>
      <c r="B7578" s="4" t="s">
        <v>9528</v>
      </c>
      <c r="C7578" s="5" t="str">
        <f>IFERROR(__xludf.DUMMYFUNCTION("GOOGLETRANSLATE(B7578,""en"",""fr"")"),"Un garçon est accroché aux bars de singe.")</f>
        <v>Un garçon est accroché aux bars de singe.</v>
      </c>
    </row>
    <row r="7579">
      <c r="A7579" s="4" t="s">
        <v>9527</v>
      </c>
      <c r="B7579" s="4" t="s">
        <v>9529</v>
      </c>
      <c r="C7579" s="5" t="str">
        <f>IFERROR(__xludf.DUMMYFUNCTION("GOOGLETRANSLATE(B7579,""en"",""fr"")"),"Il traverse facilement l'obstacle.")</f>
        <v>Il traverse facilement l'obstacle.</v>
      </c>
    </row>
    <row r="7580">
      <c r="A7580" s="4" t="s">
        <v>9527</v>
      </c>
      <c r="B7580" s="4" t="s">
        <v>9530</v>
      </c>
      <c r="C7580" s="5" t="str">
        <f>IFERROR(__xludf.DUMMYFUNCTION("GOOGLETRANSLATE(B7580,""en"",""fr"")"),"Il a l'air fier de lui.")</f>
        <v>Il a l'air fier de lui.</v>
      </c>
    </row>
    <row r="7581">
      <c r="A7581" s="4" t="s">
        <v>9527</v>
      </c>
      <c r="B7581" s="4" t="s">
        <v>9531</v>
      </c>
      <c r="C7581" s="5" t="str">
        <f>IFERROR(__xludf.DUMMYFUNCTION("GOOGLETRANSLATE(B7581,""en"",""fr"")"),"Il sourit à la caméra.")</f>
        <v>Il sourit à la caméra.</v>
      </c>
    </row>
    <row r="7582">
      <c r="A7582" s="4" t="s">
        <v>9532</v>
      </c>
      <c r="B7582" s="4" t="s">
        <v>9533</v>
      </c>
      <c r="C7582" s="5" t="str">
        <f>IFERROR(__xludf.DUMMYFUNCTION("GOOGLETRANSLATE(B7582,""en"",""fr"")"),"Une femme portant un châle se tient devant une plante tropicale à l'extérieur.")</f>
        <v>Une femme portant un châle se tient devant une plante tropicale à l'extérieur.</v>
      </c>
    </row>
    <row r="7583">
      <c r="A7583" s="4" t="s">
        <v>9532</v>
      </c>
      <c r="B7583" s="4" t="s">
        <v>9534</v>
      </c>
      <c r="C7583" s="5" t="str">
        <f>IFERROR(__xludf.DUMMYFUNCTION("GOOGLETRANSLATE(B7583,""en"",""fr"")"),"Une femme présente un groupe sur scène pour une performance.")</f>
        <v>Une femme présente un groupe sur scène pour une performance.</v>
      </c>
    </row>
    <row r="7584">
      <c r="A7584" s="4" t="s">
        <v>9532</v>
      </c>
      <c r="B7584" s="4" t="s">
        <v>9535</v>
      </c>
      <c r="C7584" s="5" t="str">
        <f>IFERROR(__xludf.DUMMYFUNCTION("GOOGLETRANSLATE(B7584,""en"",""fr"")"),"Un joueur de flûte joue une partie d'une chanson pendant la performance.")</f>
        <v>Un joueur de flûte joue une partie d'une chanson pendant la performance.</v>
      </c>
    </row>
    <row r="7585">
      <c r="A7585" s="4" t="s">
        <v>9532</v>
      </c>
      <c r="B7585" s="4" t="s">
        <v>9536</v>
      </c>
      <c r="C7585" s="5" t="str">
        <f>IFERROR(__xludf.DUMMYFUNCTION("GOOGLETRANSLATE(B7585,""en"",""fr"")"),"Le groupe joue une chanson ensemble pendant la performance.")</f>
        <v>Le groupe joue une chanson ensemble pendant la performance.</v>
      </c>
    </row>
    <row r="7586">
      <c r="A7586" s="4" t="s">
        <v>9537</v>
      </c>
      <c r="B7586" s="4" t="s">
        <v>9538</v>
      </c>
      <c r="C7586" s="5" t="str">
        <f>IFERROR(__xludf.DUMMYFUNCTION("GOOGLETRANSLATE(B7586,""en"",""fr"")"),"Une femme se tient dans une salle de tir en tenant un arc et en jetant la flèche dans une planche.")</f>
        <v>Une femme se tient dans une salle de tir en tenant un arc et en jetant la flèche dans une planche.</v>
      </c>
    </row>
    <row r="7587">
      <c r="A7587" s="4" t="s">
        <v>9537</v>
      </c>
      <c r="B7587" s="4" t="s">
        <v>9539</v>
      </c>
      <c r="C7587" s="5" t="str">
        <f>IFERROR(__xludf.DUMMYFUNCTION("GOOGLETRANSLATE(B7587,""en"",""fr"")"),"Woman se tient dans un grand champ BG tenant un arc et lançant une flèche à des balons.")</f>
        <v>Woman se tient dans un grand champ BG tenant un arc et lançant une flèche à des balons.</v>
      </c>
    </row>
    <row r="7588">
      <c r="A7588" s="4" t="s">
        <v>9537</v>
      </c>
      <c r="B7588" s="6" t="s">
        <v>9540</v>
      </c>
      <c r="C7588" s="5" t="str">
        <f>IFERROR(__xludf.DUMMYFUNCTION("GOOGLETRANSLATE(B7588,""en"",""fr"")"),"Une femme se tient dans un petit court tenant un arc et jetant un allonge à une pomme dans la tête d'un homme.")</f>
        <v>Une femme se tient dans un petit court tenant un arc et jetant un allonge à une pomme dans la tête d'un homme.</v>
      </c>
    </row>
    <row r="7589">
      <c r="A7589" s="4" t="s">
        <v>9537</v>
      </c>
      <c r="B7589" s="6" t="s">
        <v>9541</v>
      </c>
      <c r="C7589" s="5" t="str">
        <f>IFERROR(__xludf.DUMMYFUNCTION("GOOGLETRANSLATE(B7589,""en"",""fr"")"),"L'homme se tient dans un champ vert allge montrant une femme comment tirer une flèche et la femme sort un pistolet des poches et a tiré vers le tableau.")</f>
        <v>L'homme se tient dans un champ vert allge montrant une femme comment tirer une flèche et la femme sort un pistolet des poches et a tiré vers le tableau.</v>
      </c>
    </row>
    <row r="7590">
      <c r="A7590" s="4" t="s">
        <v>9537</v>
      </c>
      <c r="B7590" s="4" t="s">
        <v>9542</v>
      </c>
      <c r="C7590" s="5" t="str">
        <f>IFERROR(__xludf.DUMMYFUNCTION("GOOGLETRANSLATE(B7590,""en"",""fr"")"),"L'homme se tient à côté d'un arbre tenant une caméra.")</f>
        <v>L'homme se tient à côté d'un arbre tenant une caméra.</v>
      </c>
    </row>
    <row r="7591">
      <c r="A7591" s="4" t="s">
        <v>9537</v>
      </c>
      <c r="B7591" s="4" t="s">
        <v>9543</v>
      </c>
      <c r="C7591" s="5" t="str">
        <f>IFERROR(__xludf.DUMMYFUNCTION("GOOGLETRANSLATE(B7591,""en"",""fr"")"),"La femme lance Arros à une pastèque.")</f>
        <v>La femme lance Arros à une pastèque.</v>
      </c>
    </row>
    <row r="7592">
      <c r="A7592" s="4" t="s">
        <v>9537</v>
      </c>
      <c r="B7592" s="4" t="s">
        <v>9544</v>
      </c>
      <c r="C7592" s="5" t="str">
        <f>IFERROR(__xludf.DUMMYFUNCTION("GOOGLETRANSLATE(B7592,""en"",""fr"")"),"La femme lance des flèches aux affiches de cinéma et parle à la caméra.")</f>
        <v>La femme lance des flèches aux affiches de cinéma et parle à la caméra.</v>
      </c>
    </row>
    <row r="7593">
      <c r="A7593" s="4" t="s">
        <v>9545</v>
      </c>
      <c r="B7593" s="4" t="s">
        <v>9546</v>
      </c>
      <c r="C7593" s="5" t="str">
        <f>IFERROR(__xludf.DUMMYFUNCTION("GOOGLETRANSLATE(B7593,""en"",""fr"")"),"L'homme parle à la caméra debout à côté d'une boîte.")</f>
        <v>L'homme parle à la caméra debout à côté d'une boîte.</v>
      </c>
    </row>
    <row r="7594">
      <c r="A7594" s="4" t="s">
        <v>9545</v>
      </c>
      <c r="B7594" s="4" t="s">
        <v>9547</v>
      </c>
      <c r="C7594" s="5" t="str">
        <f>IFERROR(__xludf.DUMMYFUNCTION("GOOGLETRANSLATE(B7594,""en"",""fr"")"),"L'homme assemble un terrain de paletterie dans un trottoir.")</f>
        <v>L'homme assemble un terrain de paletterie dans un trottoir.</v>
      </c>
    </row>
    <row r="7595">
      <c r="A7595" s="4" t="s">
        <v>9545</v>
      </c>
      <c r="B7595" s="4" t="s">
        <v>9548</v>
      </c>
      <c r="C7595" s="5" t="str">
        <f>IFERROR(__xludf.DUMMYFUNCTION("GOOGLETRANSLATE(B7595,""en"",""fr"")"),"L'homme commence à jouer du suffle en frappant les rondelles.")</f>
        <v>L'homme commence à jouer du suffle en frappant les rondelles.</v>
      </c>
    </row>
    <row r="7596">
      <c r="A7596" s="4" t="s">
        <v>9549</v>
      </c>
      <c r="B7596" s="4" t="s">
        <v>9550</v>
      </c>
      <c r="C7596" s="5" t="str">
        <f>IFERROR(__xludf.DUMMYFUNCTION("GOOGLETRANSLATE(B7596,""en"",""fr"")"),"Une fille se dirige vers le bord de la plongée.")</f>
        <v>Une fille se dirige vers le bord de la plongée.</v>
      </c>
    </row>
    <row r="7597">
      <c r="A7597" s="4" t="s">
        <v>9549</v>
      </c>
      <c r="B7597" s="4" t="s">
        <v>9551</v>
      </c>
      <c r="C7597" s="5" t="str">
        <f>IFERROR(__xludf.DUMMYFUNCTION("GOOGLETRANSLATE(B7597,""en"",""fr"")"),"La fille étend ses mains.")</f>
        <v>La fille étend ses mains.</v>
      </c>
    </row>
    <row r="7598">
      <c r="A7598" s="4" t="s">
        <v>9549</v>
      </c>
      <c r="B7598" s="4" t="s">
        <v>9552</v>
      </c>
      <c r="C7598" s="5" t="str">
        <f>IFERROR(__xludf.DUMMYFUNCTION("GOOGLETRANSLATE(B7598,""en"",""fr"")"),"La fille plonge dans la piscine.")</f>
        <v>La fille plonge dans la piscine.</v>
      </c>
    </row>
    <row r="7599">
      <c r="A7599" s="4" t="s">
        <v>9549</v>
      </c>
      <c r="B7599" s="4" t="s">
        <v>9553</v>
      </c>
      <c r="C7599" s="5" t="str">
        <f>IFERROR(__xludf.DUMMYFUNCTION("GOOGLETRANSLATE(B7599,""en"",""fr"")"),"La fille nage jusqu'au bord de la piscine.")</f>
        <v>La fille nage jusqu'au bord de la piscine.</v>
      </c>
    </row>
    <row r="7600">
      <c r="A7600" s="4" t="s">
        <v>9554</v>
      </c>
      <c r="B7600" s="6" t="s">
        <v>9555</v>
      </c>
      <c r="C7600" s="5" t="str">
        <f>IFERROR(__xludf.DUMMYFUNCTION("GOOGLETRANSLATE(B7600,""en"",""fr"")"),"Un grand bâtiment de garage est illustré dans l'obscurité, puis plusieurs garçons adolescents apparaissent à l'intérieur à l'intérieur.")</f>
        <v>Un grand bâtiment de garage est illustré dans l'obscurité, puis plusieurs garçons adolescents apparaissent à l'intérieur à l'intérieur.</v>
      </c>
    </row>
    <row r="7601">
      <c r="A7601" s="4" t="s">
        <v>9554</v>
      </c>
      <c r="B7601" s="6" t="s">
        <v>9556</v>
      </c>
      <c r="C7601" s="5" t="str">
        <f>IFERROR(__xludf.DUMMYFUNCTION("GOOGLETRANSLATE(B7601,""en"",""fr"")"),"Au fur et à mesure qu'ils viennent au coin de la rue, ils s'accrochent à des chemises et descendent la route inclinée en une seule ligne de fichiers et un garçon est montré en tenant une caméra avec un bâton de selfie enregistrant l'action.")</f>
        <v>Au fur et à mesure qu'ils viennent au coin de la rue, ils s'accrochent à des chemises et descendent la route inclinée en une seule ligne de fichiers et un garçon est montré en tenant une caméra avec un bâton de selfie enregistrant l'action.</v>
      </c>
    </row>
    <row r="7602">
      <c r="A7602" s="4" t="s">
        <v>9554</v>
      </c>
      <c r="B7602" s="6" t="s">
        <v>9557</v>
      </c>
      <c r="C7602" s="5" t="str">
        <f>IFERROR(__xludf.DUMMYFUNCTION("GOOGLETRANSLATE(B7602,""en"",""fr"")"),"Après, un homme noir apparaît parlant dans la voiture et les garçons sont ensuite montrés en montant un escalier.")</f>
        <v>Après, un homme noir apparaît parlant dans la voiture et les garçons sont ensuite montrés en montant un escalier.</v>
      </c>
    </row>
    <row r="7603">
      <c r="A7603" s="4" t="s">
        <v>9554</v>
      </c>
      <c r="B7603" s="6" t="s">
        <v>9558</v>
      </c>
      <c r="C7603" s="5" t="str">
        <f>IFERROR(__xludf.DUMMYFUNCTION("GOOGLETRANSLATE(B7603,""en"",""fr"")"),"L'action continue et tous les garçons se rejoignent dans le garage et le mâle qui parlait dans la vidéo est vu patiner avec le reste des garçons.")</f>
        <v>L'action continue et tous les garçons se rejoignent dans le garage et le mâle qui parlait dans la vidéo est vu patiner avec le reste des garçons.</v>
      </c>
    </row>
    <row r="7604">
      <c r="A7604" s="4" t="s">
        <v>9559</v>
      </c>
      <c r="B7604" s="4" t="s">
        <v>9560</v>
      </c>
      <c r="C7604" s="5" t="str">
        <f>IFERROR(__xludf.DUMMYFUNCTION("GOOGLETRANSLATE(B7604,""en"",""fr"")"),"Les hommes en maillots se tiennent autour des bras croisés juste en quelque sorte dans l'espace.")</f>
        <v>Les hommes en maillots se tiennent autour des bras croisés juste en quelque sorte dans l'espace.</v>
      </c>
    </row>
    <row r="7605">
      <c r="A7605" s="4" t="s">
        <v>9559</v>
      </c>
      <c r="B7605" s="4" t="s">
        <v>9561</v>
      </c>
      <c r="C7605" s="5" t="str">
        <f>IFERROR(__xludf.DUMMYFUNCTION("GOOGLETRANSLATE(B7605,""en"",""fr"")"),"Ensuite, vous les voyez sur le terrain jouer à un jeu et en parler plus tard un peu.")</f>
        <v>Ensuite, vous les voyez sur le terrain jouer à un jeu et en parler plus tard un peu.</v>
      </c>
    </row>
    <row r="7606">
      <c r="A7606" s="4" t="s">
        <v>9559</v>
      </c>
      <c r="B7606" s="4" t="s">
        <v>9562</v>
      </c>
      <c r="C7606" s="5" t="str">
        <f>IFERROR(__xludf.DUMMYFUNCTION("GOOGLETRANSLATE(B7606,""en"",""fr"")"),"Ils semblent chacun se souvenir de leurs propres souvenirs, ils ont remporté la médaille et regarder leurs médailles.")</f>
        <v>Ils semblent chacun se souvenir de leurs propres souvenirs, ils ont remporté la médaille et regarder leurs médailles.</v>
      </c>
    </row>
    <row r="7607">
      <c r="A7607" s="4" t="s">
        <v>9559</v>
      </c>
      <c r="B7607" s="4" t="s">
        <v>9563</v>
      </c>
      <c r="C7607" s="5" t="str">
        <f>IFERROR(__xludf.DUMMYFUNCTION("GOOGLETRANSLATE(B7607,""en"",""fr"")"),"Ils se tiennent dans un petit groupe à parler, puis vous voyez un public applaudir et applaudir.")</f>
        <v>Ils se tiennent dans un petit groupe à parler, puis vous voyez un public applaudir et applaudir.</v>
      </c>
    </row>
    <row r="7608">
      <c r="A7608" s="4" t="s">
        <v>9564</v>
      </c>
      <c r="B7608" s="4" t="s">
        <v>9565</v>
      </c>
      <c r="C7608" s="5" t="str">
        <f>IFERROR(__xludf.DUMMYFUNCTION("GOOGLETRANSLATE(B7608,""en"",""fr"")"),"Une personne se présente sur une scène dansant dans l'obscurité avec un cerceau à LED.")</f>
        <v>Une personne se présente sur une scène dansant dans l'obscurité avec un cerceau à LED.</v>
      </c>
    </row>
    <row r="7609">
      <c r="A7609" s="4" t="s">
        <v>9564</v>
      </c>
      <c r="B7609" s="4" t="s">
        <v>9566</v>
      </c>
      <c r="C7609" s="5" t="str">
        <f>IFERROR(__xludf.DUMMYFUNCTION("GOOGLETRANSLATE(B7609,""en"",""fr"")"),"Au fur et à mesure que la personne danse, les lumières LED sur le cerceau commencent à changer de couleurs.")</f>
        <v>Au fur et à mesure que la personne danse, les lumières LED sur le cerceau commencent à changer de couleurs.</v>
      </c>
    </row>
    <row r="7610">
      <c r="A7610" s="4" t="s">
        <v>9564</v>
      </c>
      <c r="B7610" s="4" t="s">
        <v>9567</v>
      </c>
      <c r="C7610" s="5" t="str">
        <f>IFERROR(__xludf.DUMMYFUNCTION("GOOGLETRANSLATE(B7610,""en"",""fr"")"),"Les crédits de clôture apparaissent à l'écran à la fin de la vidéo.")</f>
        <v>Les crédits de clôture apparaissent à l'écran à la fin de la vidéo.</v>
      </c>
    </row>
    <row r="7611">
      <c r="A7611" s="4" t="s">
        <v>9568</v>
      </c>
      <c r="B7611" s="4" t="s">
        <v>9569</v>
      </c>
      <c r="C7611" s="5" t="str">
        <f>IFERROR(__xludf.DUMMYFUNCTION("GOOGLETRANSLATE(B7611,""en"",""fr"")"),"Les enfants jouent sur le terrain de jeu sur le terrain de l'école.")</f>
        <v>Les enfants jouent sur le terrain de jeu sur le terrain de l'école.</v>
      </c>
    </row>
    <row r="7612">
      <c r="A7612" s="4" t="s">
        <v>9568</v>
      </c>
      <c r="B7612" s="4" t="s">
        <v>9570</v>
      </c>
      <c r="C7612" s="5" t="str">
        <f>IFERROR(__xludf.DUMMYFUNCTION("GOOGLETRANSLATE(B7612,""en"",""fr"")"),"Les enfants se balancent dans le swing d'un côté.")</f>
        <v>Les enfants se balancent dans le swing d'un côté.</v>
      </c>
    </row>
    <row r="7613">
      <c r="A7613" s="4" t="s">
        <v>9568</v>
      </c>
      <c r="B7613" s="4" t="s">
        <v>9571</v>
      </c>
      <c r="C7613" s="5" t="str">
        <f>IFERROR(__xludf.DUMMYFUNCTION("GOOGLETRANSLATE(B7613,""en"",""fr"")"),"Little Kid se tient sur le bord de la diapositive.")</f>
        <v>Little Kid se tient sur le bord de la diapositive.</v>
      </c>
    </row>
    <row r="7614">
      <c r="A7614" s="4" t="s">
        <v>9572</v>
      </c>
      <c r="B7614" s="6" t="s">
        <v>9573</v>
      </c>
      <c r="C7614" s="5" t="str">
        <f>IFERROR(__xludf.DUMMYFUNCTION("GOOGLETRANSLATE(B7614,""en"",""fr"")"),"Un chef vêtu d'une tenue de chef blanc montre comment aiguiser les couteaux de cuisine à l'aide d'un outil appelé aiguillon de couteau Rada.")</f>
        <v>Un chef vêtu d'une tenue de chef blanc montre comment aiguiser les couteaux de cuisine à l'aide d'un outil appelé aiguillon de couteau Rada.</v>
      </c>
    </row>
    <row r="7615">
      <c r="A7615" s="4" t="s">
        <v>9572</v>
      </c>
      <c r="B7615" s="4" t="s">
        <v>9574</v>
      </c>
      <c r="C7615" s="5" t="str">
        <f>IFERROR(__xludf.DUMMYFUNCTION("GOOGLETRANSLATE(B7615,""en"",""fr"")"),"Il se tient dans une cuisine devant le comptoir qui a une variété de légumes crus affichés.")</f>
        <v>Il se tient dans une cuisine devant le comptoir qui a une variété de légumes crus affichés.</v>
      </c>
    </row>
    <row r="7616">
      <c r="A7616" s="4" t="s">
        <v>9572</v>
      </c>
      <c r="B7616" s="4" t="s">
        <v>9575</v>
      </c>
      <c r="C7616" s="5" t="str">
        <f>IFERROR(__xludf.DUMMYFUNCTION("GOOGLETRANSLATE(B7616,""en"",""fr"")"),"Il place un torchon sur le comptoir puis place le couteau dessus.")</f>
        <v>Il place un torchon sur le comptoir puis place le couteau dessus.</v>
      </c>
    </row>
    <row r="7617">
      <c r="A7617" s="4" t="s">
        <v>9572</v>
      </c>
      <c r="B7617" s="6" t="s">
        <v>9576</v>
      </c>
      <c r="C7617" s="5" t="str">
        <f>IFERROR(__xludf.DUMMYFUNCTION("GOOGLETRANSLATE(B7617,""en"",""fr"")"),"Il montre ensuite comment utiliser l'outil d'aiguisation de Rada pour affiner le couteau de cuisine en faisant fonctionner dans les deux sens dans un mouvement doux et régulier.")</f>
        <v>Il montre ensuite comment utiliser l'outil d'aiguisation de Rada pour affiner le couteau de cuisine en faisant fonctionner dans les deux sens dans un mouvement doux et régulier.</v>
      </c>
    </row>
    <row r="7618">
      <c r="A7618" s="4" t="s">
        <v>9577</v>
      </c>
      <c r="B7618" s="4" t="s">
        <v>9578</v>
      </c>
      <c r="C7618" s="5" t="str">
        <f>IFERROR(__xludf.DUMMYFUNCTION("GOOGLETRANSLATE(B7618,""en"",""fr"")"),"Un gars se lève.")</f>
        <v>Un gars se lève.</v>
      </c>
    </row>
    <row r="7619">
      <c r="A7619" s="4" t="s">
        <v>9577</v>
      </c>
      <c r="B7619" s="4" t="s">
        <v>9579</v>
      </c>
      <c r="C7619" s="5" t="str">
        <f>IFERROR(__xludf.DUMMYFUNCTION("GOOGLETRANSLATE(B7619,""en"",""fr"")"),"Le gars marche sur une corde serrée.")</f>
        <v>Le gars marche sur une corde serrée.</v>
      </c>
    </row>
    <row r="7620">
      <c r="A7620" s="4" t="s">
        <v>9577</v>
      </c>
      <c r="B7620" s="4" t="s">
        <v>9580</v>
      </c>
      <c r="C7620" s="5" t="str">
        <f>IFERROR(__xludf.DUMMYFUNCTION("GOOGLETRANSLATE(B7620,""en"",""fr"")"),"Le gars se retourne pour revenir.")</f>
        <v>Le gars se retourne pour revenir.</v>
      </c>
    </row>
    <row r="7621">
      <c r="A7621" s="4" t="s">
        <v>9577</v>
      </c>
      <c r="B7621" s="4" t="s">
        <v>9581</v>
      </c>
      <c r="C7621" s="5" t="str">
        <f>IFERROR(__xludf.DUMMYFUNCTION("GOOGLETRANSLATE(B7621,""en"",""fr"")"),"Le gars marche en arrière sur la corde serrée.")</f>
        <v>Le gars marche en arrière sur la corde serrée.</v>
      </c>
    </row>
    <row r="7622">
      <c r="A7622" s="4" t="s">
        <v>9577</v>
      </c>
      <c r="B7622" s="4" t="s">
        <v>9582</v>
      </c>
      <c r="C7622" s="5" t="str">
        <f>IFERROR(__xludf.DUMMYFUNCTION("GOOGLETRANSLATE(B7622,""en"",""fr"")"),"Le gars sort de la corde serrée et sourit.")</f>
        <v>Le gars sort de la corde serrée et sourit.</v>
      </c>
    </row>
    <row r="7623">
      <c r="A7623" s="4" t="s">
        <v>9583</v>
      </c>
      <c r="B7623" s="6" t="s">
        <v>9584</v>
      </c>
      <c r="C7623" s="5" t="str">
        <f>IFERROR(__xludf.DUMMYFUNCTION("GOOGLETRANSLATE(B7623,""en"",""fr"")"),"Un homme est vu parler à la caméra et mène à divers ingrédients commencent et une personne tranchant le fromage.")</f>
        <v>Un homme est vu parler à la caméra et mène à divers ingrédients commencent et une personne tranchant le fromage.</v>
      </c>
    </row>
    <row r="7624">
      <c r="A7624" s="4" t="s">
        <v>9583</v>
      </c>
      <c r="B7624" s="4" t="s">
        <v>9585</v>
      </c>
      <c r="C7624" s="5" t="str">
        <f>IFERROR(__xludf.DUMMYFUNCTION("GOOGLETRANSLATE(B7624,""en"",""fr"")"),"La personne mélange les ingrédients et les pose sur des tranches de pain pour créer un sandwich.")</f>
        <v>La personne mélange les ingrédients et les pose sur des tranches de pain pour créer un sandwich.</v>
      </c>
    </row>
    <row r="7625">
      <c r="A7625" s="4" t="s">
        <v>9583</v>
      </c>
      <c r="B7625" s="4" t="s">
        <v>9586</v>
      </c>
      <c r="C7625" s="5" t="str">
        <f>IFERROR(__xludf.DUMMYFUNCTION("GOOGLETRANSLATE(B7625,""en"",""fr"")"),"La personne presse la nourriture dans un presseur et prend une grosse bouchée par la suite.")</f>
        <v>La personne presse la nourriture dans un presseur et prend une grosse bouchée par la suite.</v>
      </c>
    </row>
    <row r="7626">
      <c r="A7626" s="4" t="s">
        <v>9587</v>
      </c>
      <c r="B7626" s="4" t="s">
        <v>9588</v>
      </c>
      <c r="C7626" s="5" t="str">
        <f>IFERROR(__xludf.DUMMYFUNCTION("GOOGLETRANSLATE(B7626,""en"",""fr"")"),"Un homme plus âgé est assis dans un tube tandis qu'une femme plus âgée grimpe dans le dos.")</f>
        <v>Un homme plus âgé est assis dans un tube tandis qu'une femme plus âgée grimpe dans le dos.</v>
      </c>
    </row>
    <row r="7627">
      <c r="A7627" s="4" t="s">
        <v>9587</v>
      </c>
      <c r="B7627" s="4" t="s">
        <v>9589</v>
      </c>
      <c r="C7627" s="5" t="str">
        <f>IFERROR(__xludf.DUMMYFUNCTION("GOOGLETRANSLATE(B7627,""en"",""fr"")"),"L'homme dans le tube porte des skiis et monte finalement derrière le bateau avec la femme sur le dessus.")</f>
        <v>L'homme dans le tube porte des skiis et monte finalement derrière le bateau avec la femme sur le dessus.</v>
      </c>
    </row>
    <row r="7628">
      <c r="A7628" s="4" t="s">
        <v>9587</v>
      </c>
      <c r="B7628" s="6" t="s">
        <v>9590</v>
      </c>
      <c r="C7628" s="5" t="str">
        <f>IFERROR(__xludf.DUMMYFUNCTION("GOOGLETRANSLATE(B7628,""en"",""fr"")"),"Le couple continue de rouler les uns sur les autres sur les skis tandis que la caméra zoome et sort pour capturer le mouvement.")</f>
        <v>Le couple continue de rouler les uns sur les autres sur les skis tandis que la caméra zoome et sort pour capturer le mouvement.</v>
      </c>
    </row>
    <row r="7629">
      <c r="A7629" s="4" t="s">
        <v>9591</v>
      </c>
      <c r="B7629" s="4" t="s">
        <v>9592</v>
      </c>
      <c r="C7629" s="5" t="str">
        <f>IFERROR(__xludf.DUMMYFUNCTION("GOOGLETRANSLATE(B7629,""en"",""fr"")"),"Une femme se tient dans une cuisine, fixant la caméra.")</f>
        <v>Une femme se tient dans une cuisine, fixant la caméra.</v>
      </c>
    </row>
    <row r="7630">
      <c r="A7630" s="4" t="s">
        <v>9591</v>
      </c>
      <c r="B7630" s="4" t="s">
        <v>9593</v>
      </c>
      <c r="C7630" s="5" t="str">
        <f>IFERROR(__xludf.DUMMYFUNCTION("GOOGLETRANSLATE(B7630,""en"",""fr"")"),"La personne ouvre un four et sort un plateau de biscuits aux pépites de chocolat.")</f>
        <v>La personne ouvre un four et sort un plateau de biscuits aux pépites de chocolat.</v>
      </c>
    </row>
    <row r="7631">
      <c r="A7631" s="4" t="s">
        <v>9591</v>
      </c>
      <c r="B7631" s="4" t="s">
        <v>9594</v>
      </c>
      <c r="C7631" s="5" t="str">
        <f>IFERROR(__xludf.DUMMYFUNCTION("GOOGLETRANSLATE(B7631,""en"",""fr"")"),"La femme regarde les cookies et un deuxième lot est vérifié.")</f>
        <v>La femme regarde les cookies et un deuxième lot est vérifié.</v>
      </c>
    </row>
    <row r="7632">
      <c r="A7632" s="4" t="s">
        <v>9591</v>
      </c>
      <c r="B7632" s="4" t="s">
        <v>9595</v>
      </c>
      <c r="C7632" s="5" t="str">
        <f>IFERROR(__xludf.DUMMYFUNCTION("GOOGLETRANSLATE(B7632,""en"",""fr"")"),"La femme ramasse les cookies du plateau, en les relâchant.")</f>
        <v>La femme ramasse les cookies du plateau, en les relâchant.</v>
      </c>
    </row>
    <row r="7633">
      <c r="A7633" s="4" t="s">
        <v>9596</v>
      </c>
      <c r="B7633" s="4" t="s">
        <v>9597</v>
      </c>
      <c r="C7633" s="5" t="str">
        <f>IFERROR(__xludf.DUMMYFUNCTION("GOOGLETRANSLATE(B7633,""en"",""fr"")"),"Un petit garçon sourit près de la caméra.")</f>
        <v>Un petit garçon sourit près de la caméra.</v>
      </c>
    </row>
    <row r="7634">
      <c r="A7634" s="4" t="s">
        <v>9596</v>
      </c>
      <c r="B7634" s="4" t="s">
        <v>9598</v>
      </c>
      <c r="C7634" s="5" t="str">
        <f>IFERROR(__xludf.DUMMYFUNCTION("GOOGLETRANSLATE(B7634,""en"",""fr"")"),"Il utilise une clé pour retirer les boulons des pneus de vélo pour enfants.")</f>
        <v>Il utilise une clé pour retirer les boulons des pneus de vélo pour enfants.</v>
      </c>
    </row>
    <row r="7635">
      <c r="A7635" s="4" t="s">
        <v>9596</v>
      </c>
      <c r="B7635" s="4" t="s">
        <v>9599</v>
      </c>
      <c r="C7635" s="5" t="str">
        <f>IFERROR(__xludf.DUMMYFUNCTION("GOOGLETRANSLATE(B7635,""en"",""fr"")"),"Quand il a fini, il rit fort.")</f>
        <v>Quand il a fini, il rit fort.</v>
      </c>
    </row>
    <row r="7636">
      <c r="A7636" s="4" t="s">
        <v>9600</v>
      </c>
      <c r="B7636" s="4" t="s">
        <v>9601</v>
      </c>
      <c r="C7636" s="5" t="str">
        <f>IFERROR(__xludf.DUMMYFUNCTION("GOOGLETRANSLATE(B7636,""en"",""fr"")"),"Un homme et une femme se sont dégagés sur scène en attendant de commencer leur performance.")</f>
        <v>Un homme et une femme se sont dégagés sur scène en attendant de commencer leur performance.</v>
      </c>
    </row>
    <row r="7637">
      <c r="A7637" s="4" t="s">
        <v>9600</v>
      </c>
      <c r="B7637" s="4" t="s">
        <v>9602</v>
      </c>
      <c r="C7637" s="5" t="str">
        <f>IFERROR(__xludf.DUMMYFUNCTION("GOOGLETRANSLATE(B7637,""en"",""fr"")"),"La performance commence et le début de la danse très magnifiquement.")</f>
        <v>La performance commence et le début de la danse très magnifiquement.</v>
      </c>
    </row>
    <row r="7638">
      <c r="A7638" s="4" t="s">
        <v>9600</v>
      </c>
      <c r="B7638" s="4" t="s">
        <v>9603</v>
      </c>
      <c r="C7638" s="5" t="str">
        <f>IFERROR(__xludf.DUMMYFUNCTION("GOOGLETRANSLATE(B7638,""en"",""fr"")"),"Ils travaillent très bien ensemble, il la prend sur ses épaules.")</f>
        <v>Ils travaillent très bien ensemble, il la prend sur ses épaules.</v>
      </c>
    </row>
    <row r="7639">
      <c r="A7639" s="4" t="s">
        <v>9600</v>
      </c>
      <c r="B7639" s="4" t="s">
        <v>9604</v>
      </c>
      <c r="C7639" s="5" t="str">
        <f>IFERROR(__xludf.DUMMYFUNCTION("GOOGLETRANSLATE(B7639,""en"",""fr"")"),"Ils utilisent la chaise comme accessoire et dansent jusqu'à ce qu'il s'arrête, puis ils se serrent embrassés.")</f>
        <v>Ils utilisent la chaise comme accessoire et dansent jusqu'à ce qu'il s'arrête, puis ils se serrent embrassés.</v>
      </c>
    </row>
    <row r="7640">
      <c r="A7640" s="4" t="s">
        <v>9605</v>
      </c>
      <c r="B7640" s="4" t="s">
        <v>1251</v>
      </c>
      <c r="C7640" s="5" t="str">
        <f>IFERROR(__xludf.DUMMYFUNCTION("GOOGLETRANSLATE(B7640,""en"",""fr"")"),"Les crédits du clip sont affichés.")</f>
        <v>Les crédits du clip sont affichés.</v>
      </c>
    </row>
    <row r="7641">
      <c r="A7641" s="4" t="s">
        <v>9605</v>
      </c>
      <c r="B7641" s="4" t="s">
        <v>9606</v>
      </c>
      <c r="C7641" s="5" t="str">
        <f>IFERROR(__xludf.DUMMYFUNCTION("GOOGLETRANSLATE(B7641,""en"",""fr"")"),"Une athlète féminine applaudie ses mains.")</f>
        <v>Une athlète féminine applaudie ses mains.</v>
      </c>
    </row>
    <row r="7642">
      <c r="A7642" s="4" t="s">
        <v>9605</v>
      </c>
      <c r="B7642" s="4" t="s">
        <v>9607</v>
      </c>
      <c r="C7642" s="5" t="str">
        <f>IFERROR(__xludf.DUMMYFUNCTION("GOOGLETRANSLATE(B7642,""en"",""fr"")"),"L'athlète féminine court et élève son corps sur un obstacle accru.")</f>
        <v>L'athlète féminine court et élève son corps sur un obstacle accru.</v>
      </c>
    </row>
    <row r="7643">
      <c r="A7643" s="4" t="s">
        <v>9605</v>
      </c>
      <c r="B7643" s="4" t="s">
        <v>9608</v>
      </c>
      <c r="C7643" s="5" t="str">
        <f>IFERROR(__xludf.DUMMYFUNCTION("GOOGLETRANSLATE(B7643,""en"",""fr"")"),"L'athlète féminine se lève et crie de joie.")</f>
        <v>L'athlète féminine se lève et crie de joie.</v>
      </c>
    </row>
    <row r="7644">
      <c r="A7644" s="4" t="s">
        <v>9605</v>
      </c>
      <c r="B7644" s="4" t="s">
        <v>9609</v>
      </c>
      <c r="C7644" s="5" t="str">
        <f>IFERROR(__xludf.DUMMYFUNCTION("GOOGLETRANSLATE(B7644,""en"",""fr"")"),"L'athlète féminine danse et tourne.")</f>
        <v>L'athlète féminine danse et tourne.</v>
      </c>
    </row>
    <row r="7645">
      <c r="A7645" s="4" t="s">
        <v>9605</v>
      </c>
      <c r="B7645" s="4" t="s">
        <v>9610</v>
      </c>
      <c r="C7645" s="5" t="str">
        <f>IFERROR(__xludf.DUMMYFUNCTION("GOOGLETRANSLATE(B7645,""en"",""fr"")"),"L'athlète féminine s'éloigne.")</f>
        <v>L'athlète féminine s'éloigne.</v>
      </c>
    </row>
    <row r="7646">
      <c r="A7646" s="4" t="s">
        <v>9605</v>
      </c>
      <c r="B7646" s="4" t="s">
        <v>573</v>
      </c>
      <c r="C7646" s="5" t="str">
        <f>IFERROR(__xludf.DUMMYFUNCTION("GOOGLETRANSLATE(B7646,""en"",""fr"")"),"Les crédits de la vidéo sont affichés.")</f>
        <v>Les crédits de la vidéo sont affichés.</v>
      </c>
    </row>
    <row r="7647">
      <c r="A7647" s="4" t="s">
        <v>9611</v>
      </c>
      <c r="B7647" s="4" t="s">
        <v>9612</v>
      </c>
      <c r="C7647" s="5" t="str">
        <f>IFERROR(__xludf.DUMMYFUNCTION("GOOGLETRANSLATE(B7647,""en"",""fr"")"),"Un parcours intérieur est balayé avec une caméra dans un entrepôt.")</f>
        <v>Un parcours intérieur est balayé avec une caméra dans un entrepôt.</v>
      </c>
    </row>
    <row r="7648">
      <c r="A7648" s="4" t="s">
        <v>9611</v>
      </c>
      <c r="B7648" s="4" t="s">
        <v>9613</v>
      </c>
      <c r="C7648" s="5" t="str">
        <f>IFERROR(__xludf.DUMMYFUNCTION("GOOGLETRANSLATE(B7648,""en"",""fr"")"),"Un athlète coule sur une piste et des sauts de poteau sur une barre haute et sur un pavé d'atterrissage rembourré.")</f>
        <v>Un athlète coule sur une piste et des sauts de poteau sur une barre haute et sur un pavé d'atterrissage rembourré.</v>
      </c>
    </row>
    <row r="7649">
      <c r="A7649" s="4" t="s">
        <v>9611</v>
      </c>
      <c r="B7649" s="4" t="s">
        <v>9614</v>
      </c>
      <c r="C7649" s="5" t="str">
        <f>IFERROR(__xludf.DUMMYFUNCTION("GOOGLETRANSLATE(B7649,""en"",""fr"")"),"Le vaulter à poteau discute des événements et décroche quelques piscines en bois avant utilisation.")</f>
        <v>Le vaulter à poteau discute des événements et décroche quelques piscines en bois avant utilisation.</v>
      </c>
    </row>
    <row r="7650">
      <c r="A7650" s="4" t="s">
        <v>9611</v>
      </c>
      <c r="B7650" s="4" t="s">
        <v>9615</v>
      </c>
      <c r="C7650" s="5" t="str">
        <f>IFERROR(__xludf.DUMMYFUNCTION("GOOGLETRANSLATE(B7650,""en"",""fr"")"),"L'athlète discute davantage et est vu sur les écrans de télévision faisant des socons à poteau précédents.")</f>
        <v>L'athlète discute davantage et est vu sur les écrans de télévision faisant des socons à poteau précédents.</v>
      </c>
    </row>
    <row r="7651">
      <c r="A7651" s="4" t="s">
        <v>9611</v>
      </c>
      <c r="B7651" s="4" t="s">
        <v>9616</v>
      </c>
      <c r="C7651" s="5" t="str">
        <f>IFERROR(__xludf.DUMMYFUNCTION("GOOGLETRANSLATE(B7651,""en"",""fr"")"),"L'athlète est assis avec un entraîneur et regarde un écran de télévision.")</f>
        <v>L'athlète est assis avec un entraîneur et regarde un écran de télévision.</v>
      </c>
    </row>
    <row r="7652">
      <c r="A7652" s="4" t="s">
        <v>9611</v>
      </c>
      <c r="B7652" s="4" t="s">
        <v>9617</v>
      </c>
      <c r="C7652" s="5" t="str">
        <f>IFERROR(__xludf.DUMMYFUNCTION("GOOGLETRANSLATE(B7652,""en"",""fr"")"),"L'athlète se lève et parle sur la piste et fait un saut de course d'échauffement sur les tapis.")</f>
        <v>L'athlète se lève et parle sur la piste et fait un saut de course d'échauffement sur les tapis.</v>
      </c>
    </row>
    <row r="7653">
      <c r="A7653" s="4" t="s">
        <v>9611</v>
      </c>
      <c r="B7653" s="4" t="s">
        <v>9618</v>
      </c>
      <c r="C7653" s="5" t="str">
        <f>IFERROR(__xludf.DUMMYFUNCTION("GOOGLETRANSLATE(B7653,""en"",""fr"")"),"L'athlète se couche sur un tapis à côté d'une athlète féminine et s'étire.")</f>
        <v>L'athlète se couche sur un tapis à côté d'une athlète féminine et s'étire.</v>
      </c>
    </row>
    <row r="7654">
      <c r="A7654" s="4" t="s">
        <v>9611</v>
      </c>
      <c r="B7654" s="4" t="s">
        <v>9619</v>
      </c>
      <c r="C7654" s="5" t="str">
        <f>IFERROR(__xludf.DUMMYFUNCTION("GOOGLETRANSLATE(B7654,""en"",""fr"")"),"L'athlète fait plusieurs voûtes à poteau pendant l'entraînement sur le tapis.")</f>
        <v>L'athlète fait plusieurs voûtes à poteau pendant l'entraînement sur le tapis.</v>
      </c>
    </row>
    <row r="7655">
      <c r="A7655" s="4" t="s">
        <v>9611</v>
      </c>
      <c r="B7655" s="4" t="s">
        <v>9620</v>
      </c>
      <c r="C7655" s="5" t="str">
        <f>IFERROR(__xludf.DUMMYFUNCTION("GOOGLETRANSLATE(B7655,""en"",""fr"")"),"L'extérieur de l'entrepôt est vu en ville.")</f>
        <v>L'extérieur de l'entrepôt est vu en ville.</v>
      </c>
    </row>
    <row r="7656">
      <c r="A7656" s="4" t="s">
        <v>9621</v>
      </c>
      <c r="B7656" s="4" t="s">
        <v>9622</v>
      </c>
      <c r="C7656" s="5" t="str">
        <f>IFERROR(__xludf.DUMMYFUNCTION("GOOGLETRANSLATE(B7656,""en"",""fr"")"),"Un gros plan d'un chat est vu assis sur les genoux d'une personne.")</f>
        <v>Un gros plan d'un chat est vu assis sur les genoux d'une personne.</v>
      </c>
    </row>
    <row r="7657">
      <c r="A7657" s="4" t="s">
        <v>9621</v>
      </c>
      <c r="B7657" s="4" t="s">
        <v>9623</v>
      </c>
      <c r="C7657" s="5" t="str">
        <f>IFERROR(__xludf.DUMMYFUNCTION("GOOGLETRANSLATE(B7657,""en"",""fr"")"),"La personne attrape ensuite une paire de tondeuses et commence à couper les ongles du chat.")</f>
        <v>La personne attrape ensuite une paire de tondeuses et commence à couper les ongles du chat.</v>
      </c>
    </row>
    <row r="7658">
      <c r="A7658" s="4" t="s">
        <v>9621</v>
      </c>
      <c r="B7658" s="4" t="s">
        <v>9624</v>
      </c>
      <c r="C7658" s="5" t="str">
        <f>IFERROR(__xludf.DUMMYFUNCTION("GOOGLETRANSLATE(B7658,""en"",""fr"")"),"Il continue de couper les ongles et montre les pattes de chat à la fin.")</f>
        <v>Il continue de couper les ongles et montre les pattes de chat à la fin.</v>
      </c>
    </row>
    <row r="7659">
      <c r="A7659" s="4" t="s">
        <v>9625</v>
      </c>
      <c r="B7659" s="4" t="s">
        <v>9626</v>
      </c>
      <c r="C7659" s="5" t="str">
        <f>IFERROR(__xludf.DUMMYFUNCTION("GOOGLETRANSLATE(B7659,""en"",""fr"")"),"Une voiture en argent est garée dans la rue.")</f>
        <v>Une voiture en argent est garée dans la rue.</v>
      </c>
    </row>
    <row r="7660">
      <c r="A7660" s="4" t="s">
        <v>9625</v>
      </c>
      <c r="B7660" s="4" t="s">
        <v>9627</v>
      </c>
      <c r="C7660" s="5" t="str">
        <f>IFERROR(__xludf.DUMMYFUNCTION("GOOGLETRANSLATE(B7660,""en"",""fr"")"),"Un homme puissant lave la voiture dans la rue.")</f>
        <v>Un homme puissant lave la voiture dans la rue.</v>
      </c>
    </row>
    <row r="7661">
      <c r="A7661" s="4" t="s">
        <v>9625</v>
      </c>
      <c r="B7661" s="4" t="s">
        <v>9628</v>
      </c>
      <c r="C7661" s="5" t="str">
        <f>IFERROR(__xludf.DUMMYFUNCTION("GOOGLETRANSLATE(B7661,""en"",""fr"")"),"Il le sèche ensuite.")</f>
        <v>Il le sèche ensuite.</v>
      </c>
    </row>
    <row r="7662">
      <c r="A7662" s="4" t="s">
        <v>9625</v>
      </c>
      <c r="B7662" s="4" t="s">
        <v>9629</v>
      </c>
      <c r="C7662" s="5" t="str">
        <f>IFERROR(__xludf.DUMMYFUNCTION("GOOGLETRANSLATE(B7662,""en"",""fr"")"),"La voiture est maintenant complètement propre.")</f>
        <v>La voiture est maintenant complètement propre.</v>
      </c>
    </row>
    <row r="7663">
      <c r="A7663" s="4" t="s">
        <v>9630</v>
      </c>
      <c r="B7663" s="4" t="s">
        <v>9631</v>
      </c>
      <c r="C7663" s="5" t="str">
        <f>IFERROR(__xludf.DUMMYFUNCTION("GOOGLETRANSLATE(B7663,""en"",""fr"")"),"Une femme parle à la caméra dans un environnement de rue tandis que les piétons et les voitures passent.")</f>
        <v>Une femme parle à la caméra dans un environnement de rue tandis que les piétons et les voitures passent.</v>
      </c>
    </row>
    <row r="7664">
      <c r="A7664" s="4" t="s">
        <v>9630</v>
      </c>
      <c r="B7664" s="4" t="s">
        <v>9632</v>
      </c>
      <c r="C7664" s="5" t="str">
        <f>IFERROR(__xludf.DUMMYFUNCTION("GOOGLETRANSLATE(B7664,""en"",""fr"")"),"La femme jette un coup d'œil derrière un mur.")</f>
        <v>La femme jette un coup d'œil derrière un mur.</v>
      </c>
    </row>
    <row r="7665">
      <c r="A7665" s="4" t="s">
        <v>9630</v>
      </c>
      <c r="B7665" s="4" t="s">
        <v>9633</v>
      </c>
      <c r="C7665" s="5" t="str">
        <f>IFERROR(__xludf.DUMMYFUNCTION("GOOGLETRANSLATE(B7665,""en"",""fr"")"),"La femme regarde un écran d'ordinateur portable avec un homme.")</f>
        <v>La femme regarde un écran d'ordinateur portable avec un homme.</v>
      </c>
    </row>
    <row r="7666">
      <c r="A7666" s="4" t="s">
        <v>9630</v>
      </c>
      <c r="B7666" s="6" t="s">
        <v>9634</v>
      </c>
      <c r="C7666" s="5" t="str">
        <f>IFERROR(__xludf.DUMMYFUNCTION("GOOGLETRANSLATE(B7666,""en"",""fr"")"),"L'homme applique un motif de tatouage au haut du bras de la femme, la vidéo passant parfois dans le temps accéléré.")</f>
        <v>L'homme applique un motif de tatouage au haut du bras de la femme, la vidéo passant parfois dans le temps accéléré.</v>
      </c>
    </row>
    <row r="7667">
      <c r="A7667" s="4" t="s">
        <v>9630</v>
      </c>
      <c r="B7667" s="4" t="s">
        <v>9635</v>
      </c>
      <c r="C7667" s="5" t="str">
        <f>IFERROR(__xludf.DUMMYFUNCTION("GOOGLETRANSLATE(B7667,""en"",""fr"")"),"La femme montre le tatouage terminé tout en parlant à la caméra.")</f>
        <v>La femme montre le tatouage terminé tout en parlant à la caméra.</v>
      </c>
    </row>
    <row r="7668">
      <c r="A7668" s="4" t="s">
        <v>9636</v>
      </c>
      <c r="B7668" s="4" t="s">
        <v>9637</v>
      </c>
      <c r="C7668" s="5" t="str">
        <f>IFERROR(__xludf.DUMMYFUNCTION("GOOGLETRANSLATE(B7668,""en"",""fr"")"),"Une vaste vue de l'océan est représentée comme une vague s'écrase.")</f>
        <v>Une vaste vue de l'océan est représentée comme une vague s'écrase.</v>
      </c>
    </row>
    <row r="7669">
      <c r="A7669" s="4" t="s">
        <v>9636</v>
      </c>
      <c r="B7669" s="4" t="s">
        <v>9638</v>
      </c>
      <c r="C7669" s="5" t="str">
        <f>IFERROR(__xludf.DUMMYFUNCTION("GOOGLETRANSLATE(B7669,""en"",""fr"")"),"Ceci est répété sous plusieurs angles différents.")</f>
        <v>Ceci est répété sous plusieurs angles différents.</v>
      </c>
    </row>
    <row r="7670">
      <c r="A7670" s="4" t="s">
        <v>9636</v>
      </c>
      <c r="B7670" s="4" t="s">
        <v>9639</v>
      </c>
      <c r="C7670" s="5" t="str">
        <f>IFERROR(__xludf.DUMMYFUNCTION("GOOGLETRANSLATE(B7670,""en"",""fr"")"),"On montre ensuite que les gens surfent à travers les vagues.")</f>
        <v>On montre ensuite que les gens surfent à travers les vagues.</v>
      </c>
    </row>
    <row r="7671">
      <c r="A7671" s="4" t="s">
        <v>9640</v>
      </c>
      <c r="B7671" s="4" t="s">
        <v>9641</v>
      </c>
      <c r="C7671" s="5" t="str">
        <f>IFERROR(__xludf.DUMMYFUNCTION("GOOGLETRANSLATE(B7671,""en"",""fr"")"),"Un homme se tient devant une table.")</f>
        <v>Un homme se tient devant une table.</v>
      </c>
    </row>
    <row r="7672">
      <c r="A7672" s="4" t="s">
        <v>9640</v>
      </c>
      <c r="B7672" s="4" t="s">
        <v>9642</v>
      </c>
      <c r="C7672" s="5" t="str">
        <f>IFERROR(__xludf.DUMMYFUNCTION("GOOGLETRANSLATE(B7672,""en"",""fr"")"),"Il tient une pomme de terre et un éplucheur sur un bol.")</f>
        <v>Il tient une pomme de terre et un éplucheur sur un bol.</v>
      </c>
    </row>
    <row r="7673">
      <c r="A7673" s="4" t="s">
        <v>9640</v>
      </c>
      <c r="B7673" s="4" t="s">
        <v>9643</v>
      </c>
      <c r="C7673" s="5" t="str">
        <f>IFERROR(__xludf.DUMMYFUNCTION("GOOGLETRANSLATE(B7673,""en"",""fr"")"),"Il décolle la pomme de terre une bande à la fois.")</f>
        <v>Il décolle la pomme de terre une bande à la fois.</v>
      </c>
    </row>
    <row r="7674">
      <c r="A7674" s="4" t="s">
        <v>9644</v>
      </c>
      <c r="B7674" s="4" t="s">
        <v>9645</v>
      </c>
      <c r="C7674" s="5" t="str">
        <f>IFERROR(__xludf.DUMMYFUNCTION("GOOGLETRANSLATE(B7674,""en"",""fr"")"),"Les voitures sont lavées à un lavage de voiture.")</f>
        <v>Les voitures sont lavées à un lavage de voiture.</v>
      </c>
    </row>
    <row r="7675">
      <c r="A7675" s="4" t="s">
        <v>9644</v>
      </c>
      <c r="B7675" s="4" t="s">
        <v>9646</v>
      </c>
      <c r="C7675" s="5" t="str">
        <f>IFERROR(__xludf.DUMMYFUNCTION("GOOGLETRANSLATE(B7675,""en"",""fr"")"),"Une salle de jeux dans le lavage de voitures est montrée.")</f>
        <v>Une salle de jeux dans le lavage de voitures est montrée.</v>
      </c>
    </row>
    <row r="7676">
      <c r="A7676" s="4" t="s">
        <v>9644</v>
      </c>
      <c r="B7676" s="4" t="s">
        <v>9647</v>
      </c>
      <c r="C7676" s="5" t="str">
        <f>IFERROR(__xludf.DUMMYFUNCTION("GOOGLETRANSLATE(B7676,""en"",""fr"")"),"L'extérieur du bâtiment de lavage de voitures est montré.")</f>
        <v>L'extérieur du bâtiment de lavage de voitures est montré.</v>
      </c>
    </row>
    <row r="7677">
      <c r="A7677" s="4" t="s">
        <v>9648</v>
      </c>
      <c r="B7677" s="4" t="s">
        <v>9649</v>
      </c>
      <c r="C7677" s="5" t="str">
        <f>IFERROR(__xludf.DUMMYFUNCTION("GOOGLETRANSLATE(B7677,""en"",""fr"")"),"Une intro montre les produits de la vidéo.")</f>
        <v>Une intro montre les produits de la vidéo.</v>
      </c>
    </row>
    <row r="7678">
      <c r="A7678" s="4" t="s">
        <v>9648</v>
      </c>
      <c r="B7678" s="4" t="s">
        <v>9650</v>
      </c>
      <c r="C7678" s="5" t="str">
        <f>IFERROR(__xludf.DUMMYFUNCTION("GOOGLETRANSLATE(B7678,""en"",""fr"")"),"L'hôte montre chaque produit et comment ils aident à nettoyer une chaussure.")</f>
        <v>L'hôte montre chaque produit et comment ils aident à nettoyer une chaussure.</v>
      </c>
    </row>
    <row r="7679">
      <c r="A7679" s="4" t="s">
        <v>9648</v>
      </c>
      <c r="B7679" s="4" t="s">
        <v>9651</v>
      </c>
      <c r="C7679" s="5" t="str">
        <f>IFERROR(__xludf.DUMMYFUNCTION("GOOGLETRANSLATE(B7679,""en"",""fr"")"),"Nous voyons d'abord que la sneaker se nettoyer.")</f>
        <v>Nous voyons d'abord que la sneaker se nettoyer.</v>
      </c>
    </row>
    <row r="7680">
      <c r="A7680" s="4" t="s">
        <v>9648</v>
      </c>
      <c r="B7680" s="4" t="s">
        <v>9652</v>
      </c>
      <c r="C7680" s="5" t="str">
        <f>IFERROR(__xludf.DUMMYFUNCTION("GOOGLETRANSLATE(B7680,""en"",""fr"")"),"Une chaussure de basket-ball est nettoyée ensuite.")</f>
        <v>Une chaussure de basket-ball est nettoyée ensuite.</v>
      </c>
    </row>
    <row r="7681">
      <c r="A7681" s="4" t="s">
        <v>9648</v>
      </c>
      <c r="B7681" s="4" t="s">
        <v>9653</v>
      </c>
      <c r="C7681" s="5" t="str">
        <f>IFERROR(__xludf.DUMMYFUNCTION("GOOGLETRANSLATE(B7681,""en"",""fr"")"),"Certaines publicités jouent pour fermer la vidéo.")</f>
        <v>Certaines publicités jouent pour fermer la vidéo.</v>
      </c>
    </row>
    <row r="7682">
      <c r="A7682" s="4" t="s">
        <v>9654</v>
      </c>
      <c r="B7682" s="4" t="s">
        <v>9655</v>
      </c>
      <c r="C7682" s="5" t="str">
        <f>IFERROR(__xludf.DUMMYFUNCTION("GOOGLETRANSLATE(B7682,""en"",""fr"")"),"Un couple danse en tenues rouges sur une scène pour un large public sur une scène allumée avec un éclairage coloré.")</f>
        <v>Un couple danse en tenues rouges sur une scène pour un large public sur une scène allumée avec un éclairage coloré.</v>
      </c>
    </row>
    <row r="7683">
      <c r="A7683" s="4" t="s">
        <v>9654</v>
      </c>
      <c r="B7683" s="4" t="s">
        <v>9656</v>
      </c>
      <c r="C7683" s="5" t="str">
        <f>IFERROR(__xludf.DUMMYFUNCTION("GOOGLETRANSLATE(B7683,""en"",""fr"")"),"Un homme et une femme se tiennent passionnément debout dans une étreinte.")</f>
        <v>Un homme et une femme se tiennent passionnément debout dans une étreinte.</v>
      </c>
    </row>
    <row r="7684">
      <c r="A7684" s="4" t="s">
        <v>9654</v>
      </c>
      <c r="B7684" s="4" t="s">
        <v>9657</v>
      </c>
      <c r="C7684" s="5" t="str">
        <f>IFERROR(__xludf.DUMMYFUNCTION("GOOGLETRANSLATE(B7684,""en"",""fr"")"),"L'homme plonge sa partenaire féminine qui fait les divisions à la fin de la danse.")</f>
        <v>L'homme plonge sa partenaire féminine qui fait les divisions à la fin de la danse.</v>
      </c>
    </row>
    <row r="7685">
      <c r="A7685" s="4" t="s">
        <v>9658</v>
      </c>
      <c r="B7685" s="4" t="s">
        <v>9659</v>
      </c>
      <c r="C7685" s="5" t="str">
        <f>IFERROR(__xludf.DUMMYFUNCTION("GOOGLETRANSLATE(B7685,""en"",""fr"")"),"Une femme aux cheveux longs peintes sur un grand panneau dans le temps de la vidéo.")</f>
        <v>Une femme aux cheveux longs peintes sur un grand panneau dans le temps de la vidéo.</v>
      </c>
    </row>
    <row r="7686">
      <c r="A7686" s="4" t="s">
        <v>9658</v>
      </c>
      <c r="B7686" s="4" t="s">
        <v>9660</v>
      </c>
      <c r="C7686" s="5" t="str">
        <f>IFERROR(__xludf.DUMMYFUNCTION("GOOGLETRANSLATE(B7686,""en"",""fr"")"),"La femme peint toujours le panneau, mais maintenant avec un changement de vêtements.")</f>
        <v>La femme peint toujours le panneau, mais maintenant avec un changement de vêtements.</v>
      </c>
    </row>
    <row r="7687">
      <c r="A7687" s="4" t="s">
        <v>9658</v>
      </c>
      <c r="B7687" s="4" t="s">
        <v>9661</v>
      </c>
      <c r="C7687" s="5" t="str">
        <f>IFERROR(__xludf.DUMMYFUNCTION("GOOGLETRANSLATE(B7687,""en"",""fr"")"),"La femme peint toujours le panneau, mais avec un autre changement de vêtements.")</f>
        <v>La femme peint toujours le panneau, mais avec un autre changement de vêtements.</v>
      </c>
    </row>
    <row r="7688">
      <c r="A7688" s="4" t="s">
        <v>9658</v>
      </c>
      <c r="B7688" s="4" t="s">
        <v>9662</v>
      </c>
      <c r="C7688" s="5" t="str">
        <f>IFERROR(__xludf.DUMMYFUNCTION("GOOGLETRANSLATE(B7688,""en"",""fr"")"),"La femme peint avec un quatrième ensemble de vêtements différents.")</f>
        <v>La femme peint avec un quatrième ensemble de vêtements différents.</v>
      </c>
    </row>
    <row r="7689">
      <c r="A7689" s="4" t="s">
        <v>9658</v>
      </c>
      <c r="B7689" s="4" t="s">
        <v>9663</v>
      </c>
      <c r="C7689" s="5" t="str">
        <f>IFERROR(__xludf.DUMMYFUNCTION("GOOGLETRANSLATE(B7689,""en"",""fr"")"),"La femme continue de peindre avec un cinquième ensemble de vêtements différents.")</f>
        <v>La femme continue de peindre avec un cinquième ensemble de vêtements différents.</v>
      </c>
    </row>
    <row r="7690">
      <c r="A7690" s="4" t="s">
        <v>9658</v>
      </c>
      <c r="B7690" s="4" t="s">
        <v>9664</v>
      </c>
      <c r="C7690" s="5" t="str">
        <f>IFERROR(__xludf.DUMMYFUNCTION("GOOGLETRANSLATE(B7690,""en"",""fr"")"),"La femme continue de peindre avec un sixième ensemble de vêtements différents.")</f>
        <v>La femme continue de peindre avec un sixième ensemble de vêtements différents.</v>
      </c>
    </row>
    <row r="7691">
      <c r="A7691" s="4" t="s">
        <v>9658</v>
      </c>
      <c r="B7691" s="4" t="s">
        <v>9665</v>
      </c>
      <c r="C7691" s="5" t="str">
        <f>IFERROR(__xludf.DUMMYFUNCTION("GOOGLETRANSLATE(B7691,""en"",""fr"")"),"Un gros plan de l'image terminée est affiché.")</f>
        <v>Un gros plan de l'image terminée est affiché.</v>
      </c>
    </row>
    <row r="7692">
      <c r="A7692" s="4" t="s">
        <v>9666</v>
      </c>
      <c r="B7692" s="4" t="s">
        <v>9667</v>
      </c>
      <c r="C7692" s="5" t="str">
        <f>IFERROR(__xludf.DUMMYFUNCTION("GOOGLETRANSLATE(B7692,""en"",""fr"")"),"Un logo ""IAAF"" apparaît avec les mots ""Long Jump Men"".")</f>
        <v>Un logo "IAAF" apparaît avec les mots "Long Jump Men".</v>
      </c>
    </row>
    <row r="7693">
      <c r="A7693" s="4" t="s">
        <v>9666</v>
      </c>
      <c r="B7693" s="4" t="s">
        <v>9668</v>
      </c>
      <c r="C7693" s="5" t="str">
        <f>IFERROR(__xludf.DUMMYFUNCTION("GOOGLETRANSLATE(B7693,""en"",""fr"")"),"Plusieurs hommes coulent sur une piste et effectuent un saut en longueur dans un lieu sportif professionnel.")</f>
        <v>Plusieurs hommes coulent sur une piste et effectuent un saut en longueur dans un lieu sportif professionnel.</v>
      </c>
    </row>
    <row r="7694">
      <c r="A7694" s="4" t="s">
        <v>9666</v>
      </c>
      <c r="B7694" s="4" t="s">
        <v>9669</v>
      </c>
      <c r="C7694" s="5" t="str">
        <f>IFERROR(__xludf.DUMMYFUNCTION("GOOGLETRANSLATE(B7694,""en"",""fr"")"),"Un graphique du tableau de bord est affiché pour tous les joueurs participants.")</f>
        <v>Un graphique du tableau de bord est affiché pour tous les joueurs participants.</v>
      </c>
    </row>
    <row r="7695">
      <c r="A7695" s="4" t="s">
        <v>9670</v>
      </c>
      <c r="B7695" s="4" t="s">
        <v>9671</v>
      </c>
      <c r="C7695" s="5" t="str">
        <f>IFERROR(__xludf.DUMMYFUNCTION("GOOGLETRANSLATE(B7695,""en"",""fr"")"),"Les gens se tiennent sur un tapis bleu.")</f>
        <v>Les gens se tiennent sur un tapis bleu.</v>
      </c>
    </row>
    <row r="7696">
      <c r="A7696" s="4" t="s">
        <v>9670</v>
      </c>
      <c r="B7696" s="4" t="s">
        <v>9672</v>
      </c>
      <c r="C7696" s="5" t="str">
        <f>IFERROR(__xludf.DUMMYFUNCTION("GOOGLETRANSLATE(B7696,""en"",""fr"")"),"Ils commencent à faire une routine de cheerleading sur le tapis.")</f>
        <v>Ils commencent à faire une routine de cheerleading sur le tapis.</v>
      </c>
    </row>
    <row r="7697">
      <c r="A7697" s="4" t="s">
        <v>9670</v>
      </c>
      <c r="B7697" s="4" t="s">
        <v>9673</v>
      </c>
      <c r="C7697" s="5" t="str">
        <f>IFERROR(__xludf.DUMMYFUNCTION("GOOGLETRANSLATE(B7697,""en"",""fr"")"),"Ils tiennent des panneaux devant le tapis.")</f>
        <v>Ils tiennent des panneaux devant le tapis.</v>
      </c>
    </row>
    <row r="7698">
      <c r="A7698" s="4" t="s">
        <v>9674</v>
      </c>
      <c r="B7698" s="4" t="s">
        <v>9675</v>
      </c>
      <c r="C7698" s="5" t="str">
        <f>IFERROR(__xludf.DUMMYFUNCTION("GOOGLETRANSLATE(B7698,""en"",""fr"")"),"Un écran noir est affiché et divers mots blancs sont affichés.")</f>
        <v>Un écran noir est affiché et divers mots blancs sont affichés.</v>
      </c>
    </row>
    <row r="7699">
      <c r="A7699" s="4" t="s">
        <v>9674</v>
      </c>
      <c r="B7699" s="4" t="s">
        <v>9676</v>
      </c>
      <c r="C7699" s="5" t="str">
        <f>IFERROR(__xludf.DUMMYFUNCTION("GOOGLETRANSLATE(B7699,""en"",""fr"")"),"Après, un homme caucasien est montré en jouant les tambours à main et en piétant le pied.")</f>
        <v>Après, un homme caucasien est montré en jouant les tambours à main et en piétant le pied.</v>
      </c>
    </row>
    <row r="7700">
      <c r="A7700" s="4" t="s">
        <v>9677</v>
      </c>
      <c r="B7700" s="4" t="s">
        <v>9678</v>
      </c>
      <c r="C7700" s="5" t="str">
        <f>IFERROR(__xludf.DUMMYFUNCTION("GOOGLETRANSLATE(B7700,""en"",""fr"")"),"Une pelle se fait le long du sol couvert de neige d'une cour.")</f>
        <v>Une pelle se fait le long du sol couvert de neige d'une cour.</v>
      </c>
    </row>
    <row r="7701">
      <c r="A7701" s="4" t="s">
        <v>9677</v>
      </c>
      <c r="B7701" s="4" t="s">
        <v>9679</v>
      </c>
      <c r="C7701" s="5" t="str">
        <f>IFERROR(__xludf.DUMMYFUNCTION("GOOGLETRANSLATE(B7701,""en"",""fr"")"),"Il tire la neige en grande quantité.")</f>
        <v>Il tire la neige en grande quantité.</v>
      </c>
    </row>
    <row r="7702">
      <c r="A7702" s="4" t="s">
        <v>9677</v>
      </c>
      <c r="B7702" s="4" t="s">
        <v>9680</v>
      </c>
      <c r="C7702" s="5" t="str">
        <f>IFERROR(__xludf.DUMMYFUNCTION("GOOGLETRANSLATE(B7702,""en"",""fr"")"),"Un homme tire la pelle et le met de côté.")</f>
        <v>Un homme tire la pelle et le met de côté.</v>
      </c>
    </row>
    <row r="7703">
      <c r="A7703" s="4" t="s">
        <v>9681</v>
      </c>
      <c r="B7703" s="4" t="s">
        <v>9682</v>
      </c>
      <c r="C7703" s="5" t="str">
        <f>IFERROR(__xludf.DUMMYFUNCTION("GOOGLETRANSLATE(B7703,""en"",""fr"")"),"Nous voyons un écran d'intro bleu.")</f>
        <v>Nous voyons un écran d'intro bleu.</v>
      </c>
    </row>
    <row r="7704">
      <c r="A7704" s="4" t="s">
        <v>9681</v>
      </c>
      <c r="B7704" s="4" t="s">
        <v>9683</v>
      </c>
      <c r="C7704" s="5" t="str">
        <f>IFERROR(__xludf.DUMMYFUNCTION("GOOGLETRANSLATE(B7704,""en"",""fr"")"),"Nous voyons des enfants faire du vélo de terre.")</f>
        <v>Nous voyons des enfants faire du vélo de terre.</v>
      </c>
    </row>
    <row r="7705">
      <c r="A7705" s="4" t="s">
        <v>9681</v>
      </c>
      <c r="B7705" s="4" t="s">
        <v>9684</v>
      </c>
      <c r="C7705" s="5" t="str">
        <f>IFERROR(__xludf.DUMMYFUNCTION("GOOGLETRANSLATE(B7705,""en"",""fr"")"),"Nous voyons un autre écran de titre et les coureurs intermédiaires sont vus.")</f>
        <v>Nous voyons un autre écran de titre et les coureurs intermédiaires sont vus.</v>
      </c>
    </row>
    <row r="7706">
      <c r="A7706" s="4" t="s">
        <v>9681</v>
      </c>
      <c r="B7706" s="4" t="s">
        <v>9685</v>
      </c>
      <c r="C7706" s="5" t="str">
        <f>IFERROR(__xludf.DUMMYFUNCTION("GOOGLETRANSLATE(B7706,""en"",""fr"")"),"Nous voyons l'écran redevenir bleu et nous voyons les experts.")</f>
        <v>Nous voyons l'écran redevenir bleu et nous voyons les experts.</v>
      </c>
    </row>
    <row r="7707">
      <c r="A7707" s="4" t="s">
        <v>9681</v>
      </c>
      <c r="B7707" s="4" t="s">
        <v>9686</v>
      </c>
      <c r="C7707" s="5" t="str">
        <f>IFERROR(__xludf.DUMMYFUNCTION("GOOGLETRANSLATE(B7707,""en"",""fr"")"),"Un autre écran de titre est affiché et nous voyons les crédits.")</f>
        <v>Un autre écran de titre est affiché et nous voyons les crédits.</v>
      </c>
    </row>
    <row r="7708">
      <c r="A7708" s="4" t="s">
        <v>9687</v>
      </c>
      <c r="B7708" s="6" t="s">
        <v>9688</v>
      </c>
      <c r="C7708" s="5" t="str">
        <f>IFERROR(__xludf.DUMMYFUNCTION("GOOGLETRANSLATE(B7708,""en"",""fr"")"),"Un écran noir apparaît et le texte blanc à l'aspect manuscrit apparaît sur l'écran et il dit ""Bart Rollin"".")</f>
        <v>Un écran noir apparaît et le texte blanc à l'aspect manuscrit apparaît sur l'écran et il dit "Bart Rollin".</v>
      </c>
    </row>
    <row r="7709">
      <c r="A7709" s="4" t="s">
        <v>9687</v>
      </c>
      <c r="B7709" s="6" t="s">
        <v>9689</v>
      </c>
      <c r="C7709" s="5" t="str">
        <f>IFERROR(__xludf.DUMMYFUNCTION("GOOGLETRANSLATE(B7709,""en"",""fr"")"),"Un homme est à l'extérieur dans une ville patinant avec et sans chemise à différents endroits, tombant plusieurs fois et patinant à la fois jour et nuit pendant que les gens regardent différents endroits, et parfois il est seul.")</f>
        <v>Un homme est à l'extérieur dans une ville patinant avec et sans chemise à différents endroits, tombant plusieurs fois et patinant à la fois jour et nuit pendant que les gens regardent différents endroits, et parfois il est seul.</v>
      </c>
    </row>
    <row r="7710">
      <c r="A7710" s="4" t="s">
        <v>9687</v>
      </c>
      <c r="B7710" s="6" t="s">
        <v>9690</v>
      </c>
      <c r="C7710" s="5" t="str">
        <f>IFERROR(__xludf.DUMMYFUNCTION("GOOGLETRANSLATE(B7710,""en"",""fr"")"),"Lorsque l'homme a fini de patiner, l'oundro apparaît et il comprend une capture d'écran de ce qui ressemble à un doigt sanglant, un écran blanc avec un mâle légèrement dessiné et des mots noirs font défiler du bas en haut jusqu'à ce que l'écran blanc avec"&amp;" le dessin masculin soit seulement visible.")</f>
        <v>Lorsque l'homme a fini de patiner, l'oundro apparaît et il comprend une capture d'écran de ce qui ressemble à un doigt sanglant, un écran blanc avec un mâle légèrement dessiné et des mots noirs font défiler du bas en haut jusqu'à ce que l'écran blanc avec le dessin masculin soit seulement visible.</v>
      </c>
    </row>
    <row r="7711">
      <c r="A7711" s="4" t="s">
        <v>9691</v>
      </c>
      <c r="B7711" s="4" t="s">
        <v>9692</v>
      </c>
      <c r="C7711" s="5" t="str">
        <f>IFERROR(__xludf.DUMMYFUNCTION("GOOGLETRANSLATE(B7711,""en"",""fr"")"),"Un homme est vu parler à la caméra et mène à des clips de lui grimpant le long d'un mur.")</f>
        <v>Un homme est vu parler à la caméra et mène à des clips de lui grimpant le long d'un mur.</v>
      </c>
    </row>
    <row r="7712">
      <c r="A7712" s="4" t="s">
        <v>9691</v>
      </c>
      <c r="B7712" s="4" t="s">
        <v>9693</v>
      </c>
      <c r="C7712" s="5" t="str">
        <f>IFERROR(__xludf.DUMMYFUNCTION("GOOGLETRANSLATE(B7712,""en"",""fr"")"),"L'homme continue de grimper le long de la paroi rocheuse et se termine en regardant la caméra.")</f>
        <v>L'homme continue de grimper le long de la paroi rocheuse et se termine en regardant la caméra.</v>
      </c>
    </row>
    <row r="7713">
      <c r="A7713" s="4" t="s">
        <v>9694</v>
      </c>
      <c r="B7713" s="4" t="s">
        <v>9695</v>
      </c>
      <c r="C7713" s="5" t="str">
        <f>IFERROR(__xludf.DUMMYFUNCTION("GOOGLETRANSLATE(B7713,""en"",""fr"")"),"Deux garçons sont assis dans un stand à l'intérieur d'un bâtiment.")</f>
        <v>Deux garçons sont assis dans un stand à l'intérieur d'un bâtiment.</v>
      </c>
    </row>
    <row r="7714">
      <c r="A7714" s="4" t="s">
        <v>9694</v>
      </c>
      <c r="B7714" s="4" t="s">
        <v>9696</v>
      </c>
      <c r="C7714" s="5" t="str">
        <f>IFERROR(__xludf.DUMMYFUNCTION("GOOGLETRANSLATE(B7714,""en"",""fr"")"),"Ils parlent de faire des clips.")</f>
        <v>Ils parlent de faire des clips.</v>
      </c>
    </row>
    <row r="7715">
      <c r="A7715" s="4" t="s">
        <v>9694</v>
      </c>
      <c r="B7715" s="4" t="s">
        <v>9697</v>
      </c>
      <c r="C7715" s="5" t="str">
        <f>IFERROR(__xludf.DUMMYFUNCTION("GOOGLETRANSLATE(B7715,""en"",""fr"")"),"Ils parlent ensuite en mangeant des bols de glace à la vanille.")</f>
        <v>Ils parlent ensuite en mangeant des bols de glace à la vanille.</v>
      </c>
    </row>
    <row r="7716">
      <c r="A7716" s="4" t="s">
        <v>9698</v>
      </c>
      <c r="B7716" s="4" t="s">
        <v>9699</v>
      </c>
      <c r="C7716" s="5" t="str">
        <f>IFERROR(__xludf.DUMMYFUNCTION("GOOGLETRANSLATE(B7716,""en"",""fr"")"),"Une femme est assise sur une chaise.")</f>
        <v>Une femme est assise sur une chaise.</v>
      </c>
    </row>
    <row r="7717">
      <c r="A7717" s="4" t="s">
        <v>9698</v>
      </c>
      <c r="B7717" s="4" t="s">
        <v>9700</v>
      </c>
      <c r="C7717" s="5" t="str">
        <f>IFERROR(__xludf.DUMMYFUNCTION("GOOGLETRANSLATE(B7717,""en"",""fr"")"),"Un garçon se brosse ses longs cheveux.")</f>
        <v>Un garçon se brosse ses longs cheveux.</v>
      </c>
    </row>
    <row r="7718">
      <c r="A7718" s="4" t="s">
        <v>9698</v>
      </c>
      <c r="B7718" s="4" t="s">
        <v>9701</v>
      </c>
      <c r="C7718" s="5" t="str">
        <f>IFERROR(__xludf.DUMMYFUNCTION("GOOGLETRANSLATE(B7718,""en"",""fr"")"),"Elle rit et couvre sa bouche avec sa main.")</f>
        <v>Elle rit et couvre sa bouche avec sa main.</v>
      </c>
    </row>
    <row r="7719">
      <c r="A7719" s="4" t="s">
        <v>9702</v>
      </c>
      <c r="B7719" s="4" t="s">
        <v>9703</v>
      </c>
      <c r="C7719" s="5" t="str">
        <f>IFERROR(__xludf.DUMMYFUNCTION("GOOGLETRANSLATE(B7719,""en"",""fr"")"),"La vidéo commence par un petit garçon dans un casque de moto, dans un restaurant.")</f>
        <v>La vidéo commence par un petit garçon dans un casque de moto, dans un restaurant.</v>
      </c>
    </row>
    <row r="7720">
      <c r="A7720" s="4" t="s">
        <v>9702</v>
      </c>
      <c r="B7720" s="4" t="s">
        <v>9704</v>
      </c>
      <c r="C7720" s="5" t="str">
        <f>IFERROR(__xludf.DUMMYFUNCTION("GOOGLETRANSLATE(B7720,""en"",""fr"")"),"Le caméraman lui tend des skis.")</f>
        <v>Le caméraman lui tend des skis.</v>
      </c>
    </row>
    <row r="7721">
      <c r="A7721" s="4" t="s">
        <v>9702</v>
      </c>
      <c r="B7721" s="4" t="s">
        <v>9705</v>
      </c>
      <c r="C7721" s="5" t="str">
        <f>IFERROR(__xludf.DUMMYFUNCTION("GOOGLETRANSLATE(B7721,""en"",""fr"")"),"Une femme et un bébé viennent s'asseoir près de lui et il tente de marcher, seulement pour tomber.")</f>
        <v>Une femme et un bébé viennent s'asseoir près de lui et il tente de marcher, seulement pour tomber.</v>
      </c>
    </row>
    <row r="7722">
      <c r="A7722" s="4" t="s">
        <v>9702</v>
      </c>
      <c r="B7722" s="4" t="s">
        <v>9706</v>
      </c>
      <c r="C7722" s="5" t="str">
        <f>IFERROR(__xludf.DUMMYFUNCTION("GOOGLETRANSLATE(B7722,""en"",""fr"")"),"Viennent ensuite des clips du petit garçon skiant avec son père sur une pente enneigée.")</f>
        <v>Viennent ensuite des clips du petit garçon skiant avec son père sur une pente enneigée.</v>
      </c>
    </row>
    <row r="7723">
      <c r="A7723" s="4" t="s">
        <v>9702</v>
      </c>
      <c r="B7723" s="4" t="s">
        <v>9707</v>
      </c>
      <c r="C7723" s="5" t="str">
        <f>IFERROR(__xludf.DUMMYFUNCTION("GOOGLETRANSLATE(B7723,""en"",""fr"")"),"À un moment donné, il glisse sur une petite rampe.")</f>
        <v>À un moment donné, il glisse sur une petite rampe.</v>
      </c>
    </row>
    <row r="7724">
      <c r="A7724" s="4" t="s">
        <v>9702</v>
      </c>
      <c r="B7724" s="4" t="s">
        <v>9708</v>
      </c>
      <c r="C7724" s="5" t="str">
        <f>IFERROR(__xludf.DUMMYFUNCTION("GOOGLETRANSLATE(B7724,""en"",""fr"")"),"Il fait également face à une chute.")</f>
        <v>Il fait également face à une chute.</v>
      </c>
    </row>
    <row r="7725">
      <c r="A7725" s="4" t="s">
        <v>9702</v>
      </c>
      <c r="B7725" s="4" t="s">
        <v>9709</v>
      </c>
      <c r="C7725" s="5" t="str">
        <f>IFERROR(__xludf.DUMMYFUNCTION("GOOGLETRANSLATE(B7725,""en"",""fr"")"),"Bientôt, le garçon et sa famille chargent leur véhicule pour partir.")</f>
        <v>Bientôt, le garçon et sa famille chargent leur véhicule pour partir.</v>
      </c>
    </row>
    <row r="7726">
      <c r="A7726" s="4" t="s">
        <v>9702</v>
      </c>
      <c r="B7726" s="4" t="s">
        <v>9710</v>
      </c>
      <c r="C7726" s="5" t="str">
        <f>IFERROR(__xludf.DUMMYFUNCTION("GOOGLETRANSLATE(B7726,""en"",""fr"")"),"La vidéo se termine par une photo du petit garçon et de son père.")</f>
        <v>La vidéo se termine par une photo du petit garçon et de son père.</v>
      </c>
    </row>
    <row r="7727">
      <c r="A7727" s="4" t="s">
        <v>9711</v>
      </c>
      <c r="B7727" s="6" t="s">
        <v>9712</v>
      </c>
      <c r="C7727" s="5" t="str">
        <f>IFERROR(__xludf.DUMMYFUNCTION("GOOGLETRANSLATE(B7727,""en"",""fr"")"),"Une femme est vue à genoux à côté d'un aspirateur suivi de plusieurs photos de son aspirateur et se déplaçant autour du tapis.")</f>
        <v>Une femme est vue à genoux à côté d'un aspirateur suivi de plusieurs photos de son aspirateur et se déplaçant autour du tapis.</v>
      </c>
    </row>
    <row r="7728">
      <c r="A7728" s="4" t="s">
        <v>9711</v>
      </c>
      <c r="B7728" s="6" t="s">
        <v>9713</v>
      </c>
      <c r="C7728" s="5" t="str">
        <f>IFERROR(__xludf.DUMMYFUNCTION("GOOGLETRANSLATE(B7728,""en"",""fr"")"),"Plus de photos sont montrées du tapis ainsi que de son agenlement à genoux et elle vide un vide tout en parlant à la caméra.")</f>
        <v>Plus de photos sont montrées du tapis ainsi que de son agenlement à genoux et elle vide un vide tout en parlant à la caméra.</v>
      </c>
    </row>
    <row r="7729">
      <c r="A7729" s="4" t="s">
        <v>9714</v>
      </c>
      <c r="B7729" s="4" t="s">
        <v>9715</v>
      </c>
      <c r="C7729" s="5" t="str">
        <f>IFERROR(__xludf.DUMMYFUNCTION("GOOGLETRANSLATE(B7729,""en"",""fr"")"),"Un homme est montré debout à côté d'un arbre tenant des décorations de Noël dans ses mains.")</f>
        <v>Un homme est montré debout à côté d'un arbre tenant des décorations de Noël dans ses mains.</v>
      </c>
    </row>
    <row r="7730">
      <c r="A7730" s="4" t="s">
        <v>9714</v>
      </c>
      <c r="B7730" s="4" t="s">
        <v>9716</v>
      </c>
      <c r="C7730" s="5" t="str">
        <f>IFERROR(__xludf.DUMMYFUNCTION("GOOGLETRANSLATE(B7730,""en"",""fr"")"),"Il accroche ensuite les décorations tout autour de l'arbre tout en regardant en arrière et en parlant à la caméra.")</f>
        <v>Il accroche ensuite les décorations tout autour de l'arbre tout en regardant en arrière et en parlant à la caméra.</v>
      </c>
    </row>
    <row r="7731">
      <c r="A7731" s="4" t="s">
        <v>9717</v>
      </c>
      <c r="B7731" s="4" t="s">
        <v>9718</v>
      </c>
      <c r="C7731" s="5" t="str">
        <f>IFERROR(__xludf.DUMMYFUNCTION("GOOGLETRANSLATE(B7731,""en"",""fr"")"),"Il y a un jeune homme en chemise rouge jouant une guitare acoustique.")</f>
        <v>Il y a un jeune homme en chemise rouge jouant une guitare acoustique.</v>
      </c>
    </row>
    <row r="7732">
      <c r="A7732" s="4" t="s">
        <v>9717</v>
      </c>
      <c r="B7732" s="4" t="s">
        <v>9719</v>
      </c>
      <c r="C7732" s="5" t="str">
        <f>IFERROR(__xludf.DUMMYFUNCTION("GOOGLETRANSLATE(B7732,""en"",""fr"")"),"Il gratte la guitare en utilisant son choix et déplace ses doigts le long des accords.")</f>
        <v>Il gratte la guitare en utilisant son choix et déplace ses doigts le long des accords.</v>
      </c>
    </row>
    <row r="7733">
      <c r="A7733" s="4" t="s">
        <v>9717</v>
      </c>
      <c r="B7733" s="4" t="s">
        <v>9720</v>
      </c>
      <c r="C7733" s="5" t="str">
        <f>IFERROR(__xludf.DUMMYFUNCTION("GOOGLETRANSLATE(B7733,""en"",""fr"")"),"Après avoir fini de jouer, il lève les yeux et sourit.")</f>
        <v>Après avoir fini de jouer, il lève les yeux et sourit.</v>
      </c>
    </row>
    <row r="7734">
      <c r="A7734" s="4" t="s">
        <v>9721</v>
      </c>
      <c r="B7734" s="4" t="s">
        <v>9722</v>
      </c>
      <c r="C7734" s="5" t="str">
        <f>IFERROR(__xludf.DUMMYFUNCTION("GOOGLETRANSLATE(B7734,""en"",""fr"")"),"Une échelle se penche contre une maison.")</f>
        <v>Une échelle se penche contre une maison.</v>
      </c>
    </row>
    <row r="7735">
      <c r="A7735" s="4" t="s">
        <v>9721</v>
      </c>
      <c r="B7735" s="4" t="s">
        <v>9723</v>
      </c>
      <c r="C7735" s="5" t="str">
        <f>IFERROR(__xludf.DUMMYFUNCTION("GOOGLETRANSLATE(B7735,""en"",""fr"")"),"Un morceau de bois monte et descend l'échelle.")</f>
        <v>Un morceau de bois monte et descend l'échelle.</v>
      </c>
    </row>
    <row r="7736">
      <c r="A7736" s="4" t="s">
        <v>9724</v>
      </c>
      <c r="B7736" s="4" t="s">
        <v>9725</v>
      </c>
      <c r="C7736" s="5" t="str">
        <f>IFERROR(__xludf.DUMMYFUNCTION("GOOGLETRANSLATE(B7736,""en"",""fr"")"),"Un homme se tient devant un ensemble de barreaux de traction et de double dans un parc.")</f>
        <v>Un homme se tient devant un ensemble de barreaux de traction et de double dans un parc.</v>
      </c>
    </row>
    <row r="7737">
      <c r="A7737" s="4" t="s">
        <v>9724</v>
      </c>
      <c r="B7737" s="4" t="s">
        <v>9726</v>
      </c>
      <c r="C7737" s="5" t="str">
        <f>IFERROR(__xludf.DUMMYFUNCTION("GOOGLETRANSLATE(B7737,""en"",""fr"")"),"L'homme fait des creux d'épaule sur l'ensemble des barres parallèles.")</f>
        <v>L'homme fait des creux d'épaule sur l'ensemble des barres parallèles.</v>
      </c>
    </row>
    <row r="7738">
      <c r="A7738" s="4" t="s">
        <v>9724</v>
      </c>
      <c r="B7738" s="4" t="s">
        <v>9727</v>
      </c>
      <c r="C7738" s="5" t="str">
        <f>IFERROR(__xludf.DUMMYFUNCTION("GOOGLETRANSLATE(B7738,""en"",""fr"")"),"L'homme pousse les pieds vers le haut sur les barres parallèles.")</f>
        <v>L'homme pousse les pieds vers le haut sur les barres parallèles.</v>
      </c>
    </row>
    <row r="7739">
      <c r="A7739" s="4" t="s">
        <v>9724</v>
      </c>
      <c r="B7739" s="4" t="s">
        <v>9728</v>
      </c>
      <c r="C7739" s="5" t="str">
        <f>IFERROR(__xludf.DUMMYFUNCTION("GOOGLETRANSLATE(B7739,""en"",""fr"")"),"L'homme tire sur l'un des barreaux.")</f>
        <v>L'homme tire sur l'un des barreaux.</v>
      </c>
    </row>
    <row r="7740">
      <c r="A7740" s="4" t="s">
        <v>9724</v>
      </c>
      <c r="B7740" s="4" t="s">
        <v>9729</v>
      </c>
      <c r="C7740" s="5" t="str">
        <f>IFERROR(__xludf.DUMMYFUNCTION("GOOGLETRANSLATE(B7740,""en"",""fr"")"),"L'homme revient devant l'équipement après la routine.")</f>
        <v>L'homme revient devant l'équipement après la routine.</v>
      </c>
    </row>
    <row r="7741">
      <c r="A7741" s="4" t="s">
        <v>9730</v>
      </c>
      <c r="B7741" s="4" t="s">
        <v>9731</v>
      </c>
      <c r="C7741" s="5" t="str">
        <f>IFERROR(__xludf.DUMMYFUNCTION("GOOGLETRANSLATE(B7741,""en"",""fr"")"),"Une personne attrape un disque d'un tas de disques.")</f>
        <v>Une personne attrape un disque d'un tas de disques.</v>
      </c>
    </row>
    <row r="7742">
      <c r="A7742" s="4" t="s">
        <v>9730</v>
      </c>
      <c r="B7742" s="4" t="s">
        <v>9732</v>
      </c>
      <c r="C7742" s="5" t="str">
        <f>IFERROR(__xludf.DUMMYFUNCTION("GOOGLETRANSLATE(B7742,""en"",""fr"")"),"Ils le jettent sur une planche de shuffle.")</f>
        <v>Ils le jettent sur une planche de shuffle.</v>
      </c>
    </row>
    <row r="7743">
      <c r="A7743" s="4" t="s">
        <v>9730</v>
      </c>
      <c r="B7743" s="4" t="s">
        <v>9733</v>
      </c>
      <c r="C7743" s="5" t="str">
        <f>IFERROR(__xludf.DUMMYFUNCTION("GOOGLETRANSLATE(B7743,""en"",""fr"")"),"Le continue de jeter les disques sur le panneau de palet.")</f>
        <v>Le continue de jeter les disques sur le panneau de palet.</v>
      </c>
    </row>
    <row r="7744">
      <c r="A7744" s="4" t="s">
        <v>9734</v>
      </c>
      <c r="B7744" s="6" t="s">
        <v>9735</v>
      </c>
      <c r="C7744" s="5" t="str">
        <f>IFERROR(__xludf.DUMMYFUNCTION("GOOGLETRANSLATE(B7744,""en"",""fr"")"),"Une personne est vue parler à la caméra et mène à un gros plan du sol et à une autre personne assise sur le côté.")</f>
        <v>Une personne est vue parler à la caméra et mène à un gros plan du sol et à une autre personne assise sur le côté.</v>
      </c>
    </row>
    <row r="7745">
      <c r="A7745" s="4" t="s">
        <v>9734</v>
      </c>
      <c r="B7745" s="4" t="s">
        <v>9736</v>
      </c>
      <c r="C7745" s="5" t="str">
        <f>IFERROR(__xludf.DUMMYFUNCTION("GOOGLETRANSLATE(B7745,""en"",""fr"")"),"Plus de coups de feu sont illustrés à des bûches et des bâtons ainsi qu'à un foyer et un garçon coupant un bâton.")</f>
        <v>Plus de coups de feu sont illustrés à des bûches et des bâtons ainsi qu'à un foyer et un garçon coupant un bâton.</v>
      </c>
    </row>
    <row r="7746">
      <c r="A7746" s="4" t="s">
        <v>9737</v>
      </c>
      <c r="B7746" s="4" t="s">
        <v>9738</v>
      </c>
      <c r="C7746" s="5" t="str">
        <f>IFERROR(__xludf.DUMMYFUNCTION("GOOGLETRANSLATE(B7746,""en"",""fr"")"),"Un homme montre comment faire une omelette à trois œufs dans sa cuisine.")</f>
        <v>Un homme montre comment faire une omelette à trois œufs dans sa cuisine.</v>
      </c>
    </row>
    <row r="7747">
      <c r="A7747" s="4" t="s">
        <v>9737</v>
      </c>
      <c r="B7747" s="4" t="s">
        <v>9739</v>
      </c>
      <c r="C7747" s="5" t="str">
        <f>IFERROR(__xludf.DUMMYFUNCTION("GOOGLETRANSLATE(B7747,""en"",""fr"")"),"Il commence par craquer les œufs dans un bol en verre transparent.")</f>
        <v>Il commence par craquer les œufs dans un bol en verre transparent.</v>
      </c>
    </row>
    <row r="7748">
      <c r="A7748" s="4" t="s">
        <v>9737</v>
      </c>
      <c r="B7748" s="4" t="s">
        <v>9740</v>
      </c>
      <c r="C7748" s="5" t="str">
        <f>IFERROR(__xludf.DUMMYFUNCTION("GOOGLETRANSLATE(B7748,""en"",""fr"")"),"Il bat bien les œufs et ajoute du beurre dans la casserole.")</f>
        <v>Il bat bien les œufs et ajoute du beurre dans la casserole.</v>
      </c>
    </row>
    <row r="7749">
      <c r="A7749" s="4" t="s">
        <v>9737</v>
      </c>
      <c r="B7749" s="4" t="s">
        <v>9741</v>
      </c>
      <c r="C7749" s="5" t="str">
        <f>IFERROR(__xludf.DUMMYFUNCTION("GOOGLETRANSLATE(B7749,""en"",""fr"")"),"Il verse la pâte d'oeuf cru dans la casserole.")</f>
        <v>Il verse la pâte d'oeuf cru dans la casserole.</v>
      </c>
    </row>
    <row r="7750">
      <c r="A7750" s="4" t="s">
        <v>9737</v>
      </c>
      <c r="B7750" s="4" t="s">
        <v>9742</v>
      </c>
      <c r="C7750" s="5" t="str">
        <f>IFERROR(__xludf.DUMMYFUNCTION("GOOGLETRANSLATE(B7750,""en"",""fr"")"),"Il soulève la poêle et le déplace pour mélanger les œufs.")</f>
        <v>Il soulève la poêle et le déplace pour mélanger les œufs.</v>
      </c>
    </row>
    <row r="7751">
      <c r="A7751" s="4" t="s">
        <v>9737</v>
      </c>
      <c r="B7751" s="4" t="s">
        <v>9743</v>
      </c>
      <c r="C7751" s="5" t="str">
        <f>IFERROR(__xludf.DUMMYFUNCTION("GOOGLETRANSLATE(B7751,""en"",""fr"")"),"Il Tops est ensuite avec du fromage râpé.")</f>
        <v>Il Tops est ensuite avec du fromage râpé.</v>
      </c>
    </row>
    <row r="7752">
      <c r="A7752" s="4" t="s">
        <v>9737</v>
      </c>
      <c r="B7752" s="4" t="s">
        <v>9744</v>
      </c>
      <c r="C7752" s="5" t="str">
        <f>IFERROR(__xludf.DUMMYFUNCTION("GOOGLETRANSLATE(B7752,""en"",""fr"")"),"Il prend une fourchette et glisse l'omelette dans une assiette blanche.")</f>
        <v>Il prend une fourchette et glisse l'omelette dans une assiette blanche.</v>
      </c>
    </row>
    <row r="7753">
      <c r="A7753" s="4" t="s">
        <v>9737</v>
      </c>
      <c r="B7753" s="4" t="s">
        <v>9745</v>
      </c>
      <c r="C7753" s="5" t="str">
        <f>IFERROR(__xludf.DUMMYFUNCTION("GOOGLETRANSLATE(B7753,""en"",""fr"")"),"Il le garnit ensuite avec des légumes verts sur le dessus pour une touche saine.")</f>
        <v>Il le garnit ensuite avec des légumes verts sur le dessus pour une touche saine.</v>
      </c>
    </row>
    <row r="7754">
      <c r="A7754" s="4" t="s">
        <v>9746</v>
      </c>
      <c r="B7754" s="4" t="s">
        <v>9747</v>
      </c>
      <c r="C7754" s="5" t="str">
        <f>IFERROR(__xludf.DUMMYFUNCTION("GOOGLETRANSLATE(B7754,""en"",""fr"")"),"Une équipe est sur un terrain alors qu'un coureur lance le ballon, que le frappeur frappe et est capturé.")</f>
        <v>Une équipe est sur un terrain alors qu'un coureur lance le ballon, que le frappeur frappe et est capturé.</v>
      </c>
    </row>
    <row r="7755">
      <c r="A7755" s="4" t="s">
        <v>9746</v>
      </c>
      <c r="B7755" s="4" t="s">
        <v>9748</v>
      </c>
      <c r="C7755" s="5" t="str">
        <f>IFERROR(__xludf.DUMMYFUNCTION("GOOGLETRANSLATE(B7755,""en"",""fr"")"),"L'entraîneur instruit les joueurs alors qu'ils continuent le match.")</f>
        <v>L'entraîneur instruit les joueurs alors qu'ils continuent le match.</v>
      </c>
    </row>
    <row r="7756">
      <c r="A7756" s="4" t="s">
        <v>9746</v>
      </c>
      <c r="B7756" s="4" t="s">
        <v>9749</v>
      </c>
      <c r="C7756" s="5" t="str">
        <f>IFERROR(__xludf.DUMMYFUNCTION("GOOGLETRANSLATE(B7756,""en"",""fr"")"),"Les joueurs s'éloignent, puis une vue sur le ballon arrivant à la batte est montrée.")</f>
        <v>Les joueurs s'éloignent, puis une vue sur le ballon arrivant à la batte est montrée.</v>
      </c>
    </row>
    <row r="7757">
      <c r="A7757" s="4" t="s">
        <v>9750</v>
      </c>
      <c r="B7757" s="4" t="s">
        <v>9751</v>
      </c>
      <c r="C7757" s="5" t="str">
        <f>IFERROR(__xludf.DUMMYFUNCTION("GOOGLETRANSLATE(B7757,""en"",""fr"")"),"Un mur est montré, couvert d'outils suspendus.")</f>
        <v>Un mur est montré, couvert d'outils suspendus.</v>
      </c>
    </row>
    <row r="7758">
      <c r="A7758" s="4" t="s">
        <v>9750</v>
      </c>
      <c r="B7758" s="4" t="s">
        <v>9752</v>
      </c>
      <c r="C7758" s="5" t="str">
        <f>IFERROR(__xludf.DUMMYFUNCTION("GOOGLETRANSLATE(B7758,""en"",""fr"")"),"Un homme est dans un atelier, parlant de bardeaux de toiture.")</f>
        <v>Un homme est dans un atelier, parlant de bardeaux de toiture.</v>
      </c>
    </row>
    <row r="7759">
      <c r="A7759" s="4" t="s">
        <v>9750</v>
      </c>
      <c r="B7759" s="4" t="s">
        <v>9753</v>
      </c>
      <c r="C7759" s="5" t="str">
        <f>IFERROR(__xludf.DUMMYFUNCTION("GOOGLETRANSLATE(B7759,""en"",""fr"")"),"Il montre comment appliquer de la colle, des carreaux, puis marteler et clouer les carreaux en place.")</f>
        <v>Il montre comment appliquer de la colle, des carreaux, puis marteler et clouer les carreaux en place.</v>
      </c>
    </row>
    <row r="7760">
      <c r="A7760" s="4" t="s">
        <v>9754</v>
      </c>
      <c r="B7760" s="4" t="s">
        <v>9755</v>
      </c>
      <c r="C7760" s="5" t="str">
        <f>IFERROR(__xludf.DUMMYFUNCTION("GOOGLETRANSLATE(B7760,""en"",""fr"")"),"Une bouteille de crème vieillissante est montrée et une femme commence à l'appliquer sur son visage dans sa zone T.")</f>
        <v>Une bouteille de crème vieillissante est montrée et une femme commence à l'appliquer sur son visage dans sa zone T.</v>
      </c>
    </row>
    <row r="7761">
      <c r="A7761" s="4" t="s">
        <v>9754</v>
      </c>
      <c r="B7761" s="6" t="s">
        <v>9756</v>
      </c>
      <c r="C7761" s="5" t="str">
        <f>IFERROR(__xludf.DUMMYFUNCTION("GOOGLETRANSLATE(B7761,""en"",""fr"")"),"Une fois qu'il est affiché uniformément, plusieurs paragraphes commencent à montrer l'utilisation du produit et ce que devrait être chaque semaine.")</f>
        <v>Une fois qu'il est affiché uniformément, plusieurs paragraphes commencent à montrer l'utilisation du produit et ce que devrait être chaque semaine.</v>
      </c>
    </row>
    <row r="7762">
      <c r="A7762" s="4" t="s">
        <v>9754</v>
      </c>
      <c r="B7762" s="4" t="s">
        <v>9757</v>
      </c>
      <c r="C7762" s="5" t="str">
        <f>IFERROR(__xludf.DUMMYFUNCTION("GOOGLETRANSLATE(B7762,""en"",""fr"")"),"Après, une courte phrase apparaît et vous dit d'aller sur leur page Web pour obtenir plus de détails.")</f>
        <v>Après, une courte phrase apparaît et vous dit d'aller sur leur page Web pour obtenir plus de détails.</v>
      </c>
    </row>
    <row r="7763">
      <c r="A7763" s="4" t="s">
        <v>9758</v>
      </c>
      <c r="B7763" s="4" t="s">
        <v>9759</v>
      </c>
      <c r="C7763" s="5" t="str">
        <f>IFERROR(__xludf.DUMMYFUNCTION("GOOGLETRANSLATE(B7763,""en"",""fr"")"),"Les gymastes se tiennent dans une salle de compétition.")</f>
        <v>Les gymastes se tiennent dans une salle de compétition.</v>
      </c>
    </row>
    <row r="7764">
      <c r="A7764" s="4" t="s">
        <v>9758</v>
      </c>
      <c r="B7764" s="4" t="s">
        <v>9760</v>
      </c>
      <c r="C7764" s="5" t="str">
        <f>IFERROR(__xludf.DUMMYFUNCTION("GOOGLETRANSLATE(B7764,""en"",""fr"")"),"Un homme monte une poutre.")</f>
        <v>Un homme monte une poutre.</v>
      </c>
    </row>
    <row r="7765">
      <c r="A7765" s="4" t="s">
        <v>9758</v>
      </c>
      <c r="B7765" s="4" t="s">
        <v>9761</v>
      </c>
      <c r="C7765" s="5" t="str">
        <f>IFERROR(__xludf.DUMMYFUNCTION("GOOGLETRANSLATE(B7765,""en"",""fr"")"),"Il commence à tourner, à retourner et à faire plusieurs astuces.")</f>
        <v>Il commence à tourner, à retourner et à faire plusieurs astuces.</v>
      </c>
    </row>
    <row r="7766">
      <c r="A7766" s="4" t="s">
        <v>9758</v>
      </c>
      <c r="B7766" s="4" t="s">
        <v>9762</v>
      </c>
      <c r="C7766" s="5" t="str">
        <f>IFERROR(__xludf.DUMMYFUNCTION("GOOGLETRANSLATE(B7766,""en"",""fr"")"),"Il démonte, levant les bras en l'air et s'inclinant.")</f>
        <v>Il démonte, levant les bras en l'air et s'inclinant.</v>
      </c>
    </row>
    <row r="7767">
      <c r="A7767" s="4" t="s">
        <v>9763</v>
      </c>
      <c r="B7767" s="4" t="s">
        <v>9764</v>
      </c>
      <c r="C7767" s="5" t="str">
        <f>IFERROR(__xludf.DUMMYFUNCTION("GOOGLETRANSLATE(B7767,""en"",""fr"")"),"Un bébé est vu se balancer en arrière et quatrième sur une balançoire en riant et en souriant à la caméra.")</f>
        <v>Un bébé est vu se balancer en arrière et quatrième sur une balançoire en riant et en souriant à la caméra.</v>
      </c>
    </row>
    <row r="7768">
      <c r="A7768" s="4" t="s">
        <v>9763</v>
      </c>
      <c r="B7768" s="4" t="s">
        <v>9765</v>
      </c>
      <c r="C7768" s="5" t="str">
        <f>IFERROR(__xludf.DUMMYFUNCTION("GOOGLETRANSLATE(B7768,""en"",""fr"")"),"Le bébé continue de reculer et quatrième tout en regardant la caméra et en souriant.")</f>
        <v>Le bébé continue de reculer et quatrième tout en regardant la caméra et en souriant.</v>
      </c>
    </row>
    <row r="7769">
      <c r="A7769" s="4" t="s">
        <v>9766</v>
      </c>
      <c r="B7769" s="4" t="s">
        <v>9767</v>
      </c>
      <c r="C7769" s="5" t="str">
        <f>IFERROR(__xludf.DUMMYFUNCTION("GOOGLETRANSLATE(B7769,""en"",""fr"")"),"Une femme asiatique est assise, puis elle monte sur la planche à roulettes et a commencé à patiner sur la route vide.")</f>
        <v>Une femme asiatique est assise, puis elle monte sur la planche à roulettes et a commencé à patiner sur la route vide.</v>
      </c>
    </row>
    <row r="7770">
      <c r="A7770" s="4" t="s">
        <v>9766</v>
      </c>
      <c r="B7770" s="4" t="s">
        <v>9768</v>
      </c>
      <c r="C7770" s="5" t="str">
        <f>IFERROR(__xludf.DUMMYFUNCTION("GOOGLETRANSLATE(B7770,""en"",""fr"")"),"La fille est du skateboard d'un côté à l'autre, et tout en tenant un bâton de selfie.")</f>
        <v>La fille est du skateboard d'un côté à l'autre, et tout en tenant un bâton de selfie.</v>
      </c>
    </row>
    <row r="7771">
      <c r="A7771" s="4" t="s">
        <v>9766</v>
      </c>
      <c r="B7771" s="4" t="s">
        <v>9769</v>
      </c>
      <c r="C7771" s="5" t="str">
        <f>IFERROR(__xludf.DUMMYFUNCTION("GOOGLETRANSLATE(B7771,""en"",""fr"")"),"La planche à roulettes sur le trottoir, près de l'eau, sur un chemin étroit, et se gare.")</f>
        <v>La planche à roulettes sur le trottoir, près de l'eau, sur un chemin étroit, et se gare.</v>
      </c>
    </row>
    <row r="7772">
      <c r="A7772" s="4" t="s">
        <v>9770</v>
      </c>
      <c r="B7772" s="6" t="s">
        <v>9771</v>
      </c>
      <c r="C7772" s="5" t="str">
        <f>IFERROR(__xludf.DUMMYFUNCTION("GOOGLETRANSLATE(B7772,""en"",""fr"")"),"Un groupe de personnes assises sur des gradins surélevés, regardez un homme sur un cheval lasso un petit veau noir dans une bague en rodéo couverte de saleté.")</f>
        <v>Un groupe de personnes assises sur des gradins surélevés, regardez un homme sur un cheval lasso un petit veau noir dans une bague en rodéo couverte de saleté.</v>
      </c>
    </row>
    <row r="7773">
      <c r="A7773" s="4" t="s">
        <v>9770</v>
      </c>
      <c r="B7773" s="4" t="s">
        <v>9772</v>
      </c>
      <c r="C7773" s="5" t="str">
        <f>IFERROR(__xludf.DUMMYFUNCTION("GOOGLETRANSLATE(B7773,""en"",""fr"")"),"L'homme émerge sur le ring d'une porte au niveau du sol, sur un cheval, pour poursuivre un petit mollet noir.")</f>
        <v>L'homme émerge sur le ring d'une porte au niveau du sol, sur un cheval, pour poursuivre un petit mollet noir.</v>
      </c>
    </row>
    <row r="7774">
      <c r="A7774" s="4" t="s">
        <v>9770</v>
      </c>
      <c r="B7774" s="6" t="s">
        <v>9773</v>
      </c>
      <c r="C7774" s="5" t="str">
        <f>IFERROR(__xludf.DUMMYFUNCTION("GOOGLETRANSLATE(B7774,""en"",""fr"")"),"L'homme jette simultanément une corde autour du cou de veau et démonte le cheval, tandis que le cheval est en mouvement.")</f>
        <v>L'homme jette simultanément une corde autour du cou de veau et démonte le cheval, tandis que le cheval est en mouvement.</v>
      </c>
    </row>
    <row r="7775">
      <c r="A7775" s="4" t="s">
        <v>9770</v>
      </c>
      <c r="B7775" s="6" t="s">
        <v>9774</v>
      </c>
      <c r="C7775" s="5" t="str">
        <f>IFERROR(__xludf.DUMMYFUNCTION("GOOGLETRANSLATE(B7775,""en"",""fr"")"),"En atterrissant sur le sol après la démonstration, l'homme court vers le veau et attache le mollet dans la corde, puis revient au cheval et monte à nouveau le cheval tandis que deux hommes entrent sur le ring et saisissent le mollet attaché.")</f>
        <v>En atterrissant sur le sol après la démonstration, l'homme court vers le veau et attache le mollet dans la corde, puis revient au cheval et monte à nouveau le cheval tandis que deux hommes entrent sur le ring et saisissent le mollet attaché.</v>
      </c>
    </row>
    <row r="7776">
      <c r="A7776" s="4" t="s">
        <v>9775</v>
      </c>
      <c r="B7776" s="4" t="s">
        <v>9776</v>
      </c>
      <c r="C7776" s="5" t="str">
        <f>IFERROR(__xludf.DUMMYFUNCTION("GOOGLETRANSLATE(B7776,""en"",""fr"")"),"Un homme est montré dans une salle de bain en choisissant une brosse à dents.")</f>
        <v>Un homme est montré dans une salle de bain en choisissant une brosse à dents.</v>
      </c>
    </row>
    <row r="7777">
      <c r="A7777" s="4" t="s">
        <v>9775</v>
      </c>
      <c r="B7777" s="4" t="s">
        <v>9777</v>
      </c>
      <c r="C7777" s="5" t="str">
        <f>IFERROR(__xludf.DUMMYFUNCTION("GOOGLETRANSLATE(B7777,""en"",""fr"")"),"Il se brosse ensuite les dents et voit du sang.")</f>
        <v>Il se brosse ensuite les dents et voit du sang.</v>
      </c>
    </row>
    <row r="7778">
      <c r="A7778" s="4" t="s">
        <v>9775</v>
      </c>
      <c r="B7778" s="4" t="s">
        <v>9778</v>
      </c>
      <c r="C7778" s="5" t="str">
        <f>IFERROR(__xludf.DUMMYFUNCTION("GOOGLETRANSLATE(B7778,""en"",""fr"")"),"Il utilise le lavage de la bouche Listerine pendant trente secondes pour tuer les germes.")</f>
        <v>Il utilise le lavage de la bouche Listerine pendant trente secondes pour tuer les germes.</v>
      </c>
    </row>
    <row r="7779">
      <c r="A7779" s="4" t="s">
        <v>9779</v>
      </c>
      <c r="B7779" s="4" t="s">
        <v>9780</v>
      </c>
      <c r="C7779" s="5" t="str">
        <f>IFERROR(__xludf.DUMMYFUNCTION("GOOGLETRANSLATE(B7779,""en"",""fr"")"),"Un gros plan d'une table est montré ainsi qu'un homme debout autour de la table et pointant vers le côté.")</f>
        <v>Un gros plan d'une table est montré ainsi qu'un homme debout autour de la table et pointant vers le côté.</v>
      </c>
    </row>
    <row r="7780">
      <c r="A7780" s="4" t="s">
        <v>9779</v>
      </c>
      <c r="B7780" s="4" t="s">
        <v>9781</v>
      </c>
      <c r="C7780" s="5" t="str">
        <f>IFERROR(__xludf.DUMMYFUNCTION("GOOGLETRANSLATE(B7780,""en"",""fr"")"),"Deux hommes regardent le côté alors que le jeu continue et un autre homme enregistre sur son téléphone.")</f>
        <v>Deux hommes regardent le côté alors que le jeu continue et un autre homme enregistre sur son téléphone.</v>
      </c>
    </row>
    <row r="7781">
      <c r="A7781" s="4" t="s">
        <v>9782</v>
      </c>
      <c r="B7781" s="4" t="s">
        <v>9783</v>
      </c>
      <c r="C7781" s="5" t="str">
        <f>IFERROR(__xludf.DUMMYFUNCTION("GOOGLETRANSLATE(B7781,""en"",""fr"")"),"Un garçon est assis un haut de chameau.")</f>
        <v>Un garçon est assis un haut de chameau.</v>
      </c>
    </row>
    <row r="7782">
      <c r="A7782" s="4" t="s">
        <v>9782</v>
      </c>
      <c r="B7782" s="4" t="s">
        <v>9784</v>
      </c>
      <c r="C7782" s="5" t="str">
        <f>IFERROR(__xludf.DUMMYFUNCTION("GOOGLETRANSLATE(B7782,""en"",""fr"")"),"Le chameau commence à se déplacer à l'aide d'un gestionnaire.")</f>
        <v>Le chameau commence à se déplacer à l'aide d'un gestionnaire.</v>
      </c>
    </row>
    <row r="7783">
      <c r="A7783" s="4" t="s">
        <v>9782</v>
      </c>
      <c r="B7783" s="4" t="s">
        <v>9785</v>
      </c>
      <c r="C7783" s="5" t="str">
        <f>IFERROR(__xludf.DUMMYFUNCTION("GOOGLETRANSLATE(B7783,""en"",""fr"")"),"Les gens apparaissent en arrière-plan.")</f>
        <v>Les gens apparaissent en arrière-plan.</v>
      </c>
    </row>
    <row r="7784">
      <c r="A7784" s="4" t="s">
        <v>9786</v>
      </c>
      <c r="B7784" s="4" t="s">
        <v>9787</v>
      </c>
      <c r="C7784" s="5" t="str">
        <f>IFERROR(__xludf.DUMMYFUNCTION("GOOGLETRANSLATE(B7784,""en"",""fr"")"),"Une mère et un enfant en maillots de bain construisent des châteaux de sable sur la plage.")</f>
        <v>Une mère et un enfant en maillots de bain construisent des châteaux de sable sur la plage.</v>
      </c>
    </row>
    <row r="7785">
      <c r="A7785" s="4" t="s">
        <v>9786</v>
      </c>
      <c r="B7785" s="4" t="s">
        <v>9788</v>
      </c>
      <c r="C7785" s="5" t="str">
        <f>IFERROR(__xludf.DUMMYFUNCTION("GOOGLETRANSLATE(B7785,""en"",""fr"")"),"L'enfant détruit les châteaux de sable.")</f>
        <v>L'enfant détruit les châteaux de sable.</v>
      </c>
    </row>
    <row r="7786">
      <c r="A7786" s="4" t="s">
        <v>9786</v>
      </c>
      <c r="B7786" s="4" t="s">
        <v>9789</v>
      </c>
      <c r="C7786" s="5" t="str">
        <f>IFERROR(__xludf.DUMMYFUNCTION("GOOGLETRANSLATE(B7786,""en"",""fr"")"),"La mère jette le moule en plastique frustré.")</f>
        <v>La mère jette le moule en plastique frustré.</v>
      </c>
    </row>
    <row r="7787">
      <c r="A7787" s="4" t="s">
        <v>9790</v>
      </c>
      <c r="B7787" s="4" t="s">
        <v>9791</v>
      </c>
      <c r="C7787" s="5" t="str">
        <f>IFERROR(__xludf.DUMMYFUNCTION("GOOGLETRANSLATE(B7787,""en"",""fr"")"),"Une personne est montrée aspire un grand tapis avec un aspirateur vert.")</f>
        <v>Une personne est montrée aspire un grand tapis avec un aspirateur vert.</v>
      </c>
    </row>
    <row r="7788">
      <c r="A7788" s="4" t="s">
        <v>9790</v>
      </c>
      <c r="B7788" s="4" t="s">
        <v>9792</v>
      </c>
      <c r="C7788" s="5" t="str">
        <f>IFERROR(__xludf.DUMMYFUNCTION("GOOGLETRANSLATE(B7788,""en"",""fr"")"),"Une légende apparaît à l'écran tandis que l'homme continue d'utiliser le vide partout dans le tapis.")</f>
        <v>Une légende apparaît à l'écran tandis que l'homme continue d'utiliser le vide partout dans le tapis.</v>
      </c>
    </row>
    <row r="7789">
      <c r="A7789" s="4" t="s">
        <v>9793</v>
      </c>
      <c r="B7789" s="4" t="s">
        <v>9794</v>
      </c>
      <c r="C7789" s="5" t="str">
        <f>IFERROR(__xludf.DUMMYFUNCTION("GOOGLETRANSLATE(B7789,""en"",""fr"")"),"Un gros plan d'une table de billard est montré suivi d'une personne qui se promenait sur les côtés.")</f>
        <v>Un gros plan d'une table de billard est montré suivi d'une personne qui se promenait sur les côtés.</v>
      </c>
    </row>
    <row r="7790">
      <c r="A7790" s="4" t="s">
        <v>9793</v>
      </c>
      <c r="B7790" s="4" t="s">
        <v>9795</v>
      </c>
      <c r="C7790" s="5" t="str">
        <f>IFERROR(__xludf.DUMMYFUNCTION("GOOGLETRANSLATE(B7790,""en"",""fr"")"),"La personne frappe ensuite une balle de piscine en continu autour de la table.")</f>
        <v>La personne frappe ensuite une balle de piscine en continu autour de la table.</v>
      </c>
    </row>
    <row r="7791">
      <c r="A7791" s="4" t="s">
        <v>9793</v>
      </c>
      <c r="B7791" s="4" t="s">
        <v>9796</v>
      </c>
      <c r="C7791" s="5" t="str">
        <f>IFERROR(__xludf.DUMMYFUNCTION("GOOGLETRANSLATE(B7791,""en"",""fr"")"),"L'homme coule ensuite la dernière balle et célèbre avec un groupe de personnes.")</f>
        <v>L'homme coule ensuite la dernière balle et célèbre avec un groupe de personnes.</v>
      </c>
    </row>
    <row r="7792">
      <c r="A7792" s="4" t="s">
        <v>9797</v>
      </c>
      <c r="B7792" s="4" t="s">
        <v>9798</v>
      </c>
      <c r="C7792" s="5" t="str">
        <f>IFERROR(__xludf.DUMMYFUNCTION("GOOGLETRANSLATE(B7792,""en"",""fr"")"),"Un homme lance une balle sur le trottoir.")</f>
        <v>Un homme lance une balle sur le trottoir.</v>
      </c>
    </row>
    <row r="7793">
      <c r="A7793" s="4" t="s">
        <v>9797</v>
      </c>
      <c r="B7793" s="4" t="s">
        <v>9799</v>
      </c>
      <c r="C7793" s="5" t="str">
        <f>IFERROR(__xludf.DUMMYFUNCTION("GOOGLETRANSLATE(B7793,""en"",""fr"")"),"Il joue de la marelle pour le ramasser.")</f>
        <v>Il joue de la marelle pour le ramasser.</v>
      </c>
    </row>
    <row r="7794">
      <c r="A7794" s="4" t="s">
        <v>9797</v>
      </c>
      <c r="B7794" s="4" t="s">
        <v>9800</v>
      </c>
      <c r="C7794" s="5" t="str">
        <f>IFERROR(__xludf.DUMMYFUNCTION("GOOGLETRANSLATE(B7794,""en"",""fr"")"),"Un petit enfant court devant lui.")</f>
        <v>Un petit enfant court devant lui.</v>
      </c>
    </row>
    <row r="7795">
      <c r="A7795" s="4" t="s">
        <v>9801</v>
      </c>
      <c r="B7795" s="4" t="s">
        <v>9802</v>
      </c>
      <c r="C7795" s="5" t="str">
        <f>IFERROR(__xludf.DUMMYFUNCTION("GOOGLETRANSLATE(B7795,""en"",""fr"")"),"Un homme tenant un grattoir à glace pousse la glace de sa voiture pendant que la caméra zoome.")</f>
        <v>Un homme tenant un grattoir à glace pousse la glace de sa voiture pendant que la caméra zoome.</v>
      </c>
    </row>
    <row r="7796">
      <c r="A7796" s="4" t="s">
        <v>9801</v>
      </c>
      <c r="B7796" s="4" t="s">
        <v>9803</v>
      </c>
      <c r="C7796" s="5" t="str">
        <f>IFERROR(__xludf.DUMMYFUNCTION("GOOGLETRANSLATE(B7796,""en"",""fr"")"),"La caméra montre que ses mains se trouvent des temps se rapprochent progressivement du morceau de glace.")</f>
        <v>La caméra montre que ses mains se trouvent des temps se rapprochent progressivement du morceau de glace.</v>
      </c>
    </row>
    <row r="7797">
      <c r="A7797" s="4" t="s">
        <v>9804</v>
      </c>
      <c r="B7797" s="4" t="s">
        <v>9805</v>
      </c>
      <c r="C7797" s="5" t="str">
        <f>IFERROR(__xludf.DUMMYFUNCTION("GOOGLETRANSLATE(B7797,""en"",""fr"")"),"Une femme est dans un salon devant un incendie.")</f>
        <v>Une femme est dans un salon devant un incendie.</v>
      </c>
    </row>
    <row r="7798">
      <c r="A7798" s="4" t="s">
        <v>9804</v>
      </c>
      <c r="B7798" s="4" t="s">
        <v>9806</v>
      </c>
      <c r="C7798" s="5" t="str">
        <f>IFERROR(__xludf.DUMMYFUNCTION("GOOGLETRANSLATE(B7798,""en"",""fr"")"),"Elle coupe du papier enveloppé dans des bandes, puis l'enroule parfaitement autour d'une boîte.")</f>
        <v>Elle coupe du papier enveloppé dans des bandes, puis l'enroule parfaitement autour d'une boîte.</v>
      </c>
    </row>
    <row r="7799">
      <c r="A7799" s="4" t="s">
        <v>9804</v>
      </c>
      <c r="B7799" s="4" t="s">
        <v>9807</v>
      </c>
      <c r="C7799" s="5" t="str">
        <f>IFERROR(__xludf.DUMMYFUNCTION("GOOGLETRANSLATE(B7799,""en"",""fr"")"),"Elle casse la boîte, puis la pose doucement sur la table.")</f>
        <v>Elle casse la boîte, puis la pose doucement sur la table.</v>
      </c>
    </row>
    <row r="7800">
      <c r="A7800" s="4" t="s">
        <v>9808</v>
      </c>
      <c r="B7800" s="4" t="s">
        <v>9809</v>
      </c>
      <c r="C7800" s="5" t="str">
        <f>IFERROR(__xludf.DUMMYFUNCTION("GOOGLETRANSLATE(B7800,""en"",""fr"")"),"Une femme portant une chemise noire commence à parler, puis quelqu'un se faisant cirer les jambes apparaît.")</f>
        <v>Une femme portant une chemise noire commence à parler, puis quelqu'un se faisant cirer les jambes apparaît.</v>
      </c>
    </row>
    <row r="7801">
      <c r="A7801" s="4" t="s">
        <v>9808</v>
      </c>
      <c r="B7801" s="4" t="s">
        <v>9810</v>
      </c>
      <c r="C7801" s="5" t="str">
        <f>IFERROR(__xludf.DUMMYFUNCTION("GOOGLETRANSLATE(B7801,""en"",""fr"")"),"Pendant qu'elle parle, une couche de cire si elle est placée sur la jambe puis un morceau de papier blanc.")</f>
        <v>Pendant qu'elle parle, une couche de cire si elle est placée sur la jambe puis un morceau de papier blanc.</v>
      </c>
    </row>
    <row r="7802">
      <c r="A7802" s="4" t="s">
        <v>9811</v>
      </c>
      <c r="B7802" s="4" t="s">
        <v>9812</v>
      </c>
      <c r="C7802" s="5" t="str">
        <f>IFERROR(__xludf.DUMMYFUNCTION("GOOGLETRANSLATE(B7802,""en"",""fr"")"),"Une gymnaste se tient à une pose en attendant de commencer sa performance.")</f>
        <v>Une gymnaste se tient à une pose en attendant de commencer sa performance.</v>
      </c>
    </row>
    <row r="7803">
      <c r="A7803" s="4" t="s">
        <v>9811</v>
      </c>
      <c r="B7803" s="4" t="s">
        <v>9813</v>
      </c>
      <c r="C7803" s="5" t="str">
        <f>IFERROR(__xludf.DUMMYFUNCTION("GOOGLETRANSLATE(B7803,""en"",""fr"")"),"Elle commence à faire tournoyer son bâton et à bouger son corps beaucoup avec des flips et tout.")</f>
        <v>Elle commence à faire tournoyer son bâton et à bouger son corps beaucoup avec des flips et tout.</v>
      </c>
    </row>
    <row r="7804">
      <c r="A7804" s="4" t="s">
        <v>9811</v>
      </c>
      <c r="B7804" s="4" t="s">
        <v>9814</v>
      </c>
      <c r="C7804" s="5" t="str">
        <f>IFERROR(__xludf.DUMMYFUNCTION("GOOGLETRANSLATE(B7804,""en"",""fr"")"),"Elle commence à faire des roues de charrette à main et balancer le bâton autour de son cou.")</f>
        <v>Elle commence à faire des roues de charrette à main et balancer le bâton autour de son cou.</v>
      </c>
    </row>
    <row r="7805">
      <c r="A7805" s="4" t="s">
        <v>9811</v>
      </c>
      <c r="B7805" s="4" t="s">
        <v>9815</v>
      </c>
      <c r="C7805" s="5" t="str">
        <f>IFERROR(__xludf.DUMMYFUNCTION("GOOGLETRANSLATE(B7805,""en"",""fr"")"),"Elle fait une performance époustouflante et une fois terminée, elle se fige en place.")</f>
        <v>Elle fait une performance époustouflante et une fois terminée, elle se fige en place.</v>
      </c>
    </row>
    <row r="7806">
      <c r="A7806" s="4" t="s">
        <v>9816</v>
      </c>
      <c r="B7806" s="4" t="s">
        <v>9817</v>
      </c>
      <c r="C7806" s="5" t="str">
        <f>IFERROR(__xludf.DUMMYFUNCTION("GOOGLETRANSLATE(B7806,""en"",""fr"")"),"Un homme en équipement est montré pointant deux canons.")</f>
        <v>Un homme en équipement est montré pointant deux canons.</v>
      </c>
    </row>
    <row r="7807">
      <c r="A7807" s="4" t="s">
        <v>9816</v>
      </c>
      <c r="B7807" s="4" t="s">
        <v>9818</v>
      </c>
      <c r="C7807" s="5" t="str">
        <f>IFERROR(__xludf.DUMMYFUNCTION("GOOGLETRANSLATE(B7807,""en"",""fr"")"),"Il se cache derrière des rochers, se faufilant sur d'autres joueurs de paintball.")</f>
        <v>Il se cache derrière des rochers, se faufilant sur d'autres joueurs de paintball.</v>
      </c>
    </row>
    <row r="7808">
      <c r="A7808" s="4" t="s">
        <v>9816</v>
      </c>
      <c r="B7808" s="4" t="s">
        <v>9819</v>
      </c>
      <c r="C7808" s="5" t="str">
        <f>IFERROR(__xludf.DUMMYFUNCTION("GOOGLETRANSLATE(B7808,""en"",""fr"")"),"Ils se tirent dessus alors qu'il remonte derrière les rochers pour se cacher.")</f>
        <v>Ils se tirent dessus alors qu'il remonte derrière les rochers pour se cacher.</v>
      </c>
    </row>
    <row r="7809">
      <c r="A7809" s="4" t="s">
        <v>9820</v>
      </c>
      <c r="B7809" s="6" t="s">
        <v>9821</v>
      </c>
      <c r="C7809" s="5" t="str">
        <f>IFERROR(__xludf.DUMMYFUNCTION("GOOGLETRANSLATE(B7809,""en"",""fr"")"),"Une personne utilise un grand mécanisme de lavage des fenêtres armées pour laver la fenêtre extérieure, avant, en verre d'un magasin de sandwich.")</f>
        <v>Une personne utilise un grand mécanisme de lavage des fenêtres armées pour laver la fenêtre extérieure, avant, en verre d'un magasin de sandwich.</v>
      </c>
    </row>
    <row r="7810">
      <c r="A7810" s="4" t="s">
        <v>9820</v>
      </c>
      <c r="B7810" s="6" t="s">
        <v>9822</v>
      </c>
      <c r="C7810" s="5" t="str">
        <f>IFERROR(__xludf.DUMMYFUNCTION("GOOGLETRANSLATE(B7810,""en"",""fr"")"),"La personne est un homme aux cheveux gris et aux lunettes et il utilise l'outil pour laver le haut de la fenêtre jusqu'à la base du verre.")</f>
        <v>La personne est un homme aux cheveux gris et aux lunettes et il utilise l'outil pour laver le haut de la fenêtre jusqu'à la base du verre.</v>
      </c>
    </row>
    <row r="7811">
      <c r="A7811" s="4" t="s">
        <v>9820</v>
      </c>
      <c r="B7811" s="6" t="s">
        <v>9823</v>
      </c>
      <c r="C7811" s="5" t="str">
        <f>IFERROR(__xludf.DUMMYFUNCTION("GOOGLETRANSLATE(B7811,""en"",""fr"")"),"L'homme continue de laver les quatre vitres un par un en utilisant des mouvements ondulés avant de quitter la fenêtre et de s'éloigner du magasin.")</f>
        <v>L'homme continue de laver les quatre vitres un par un en utilisant des mouvements ondulés avant de quitter la fenêtre et de s'éloigner du magasin.</v>
      </c>
    </row>
    <row r="7812">
      <c r="A7812" s="4" t="s">
        <v>9824</v>
      </c>
      <c r="B7812" s="4" t="s">
        <v>9825</v>
      </c>
      <c r="C7812" s="5" t="str">
        <f>IFERROR(__xludf.DUMMYFUNCTION("GOOGLETRANSLATE(B7812,""en"",""fr"")"),"Une petite fille est assise dans un tambour avec des écouteurs.")</f>
        <v>Une petite fille est assise dans un tambour avec des écouteurs.</v>
      </c>
    </row>
    <row r="7813">
      <c r="A7813" s="4" t="s">
        <v>9824</v>
      </c>
      <c r="B7813" s="4" t="s">
        <v>9826</v>
      </c>
      <c r="C7813" s="5" t="str">
        <f>IFERROR(__xludf.DUMMYFUNCTION("GOOGLETRANSLATE(B7813,""en"",""fr"")"),"Elle joue la batterie et les cymbales, gardant un battement rapide.")</f>
        <v>Elle joue la batterie et les cymbales, gardant un battement rapide.</v>
      </c>
    </row>
    <row r="7814">
      <c r="A7814" s="4" t="s">
        <v>9824</v>
      </c>
      <c r="B7814" s="4" t="s">
        <v>9827</v>
      </c>
      <c r="C7814" s="5" t="str">
        <f>IFERROR(__xludf.DUMMYFUNCTION("GOOGLETRANSLATE(B7814,""en"",""fr"")"),"Elle frappe la tête d'avant en arrière pendant qu'elle joue.")</f>
        <v>Elle frappe la tête d'avant en arrière pendant qu'elle joue.</v>
      </c>
    </row>
    <row r="7815">
      <c r="A7815" s="4" t="s">
        <v>9828</v>
      </c>
      <c r="B7815" s="4" t="s">
        <v>9829</v>
      </c>
      <c r="C7815" s="5" t="str">
        <f>IFERROR(__xludf.DUMMYFUNCTION("GOOGLETRANSLATE(B7815,""en"",""fr"")"),"Une petite fille joue dans le sable.")</f>
        <v>Une petite fille joue dans le sable.</v>
      </c>
    </row>
    <row r="7816">
      <c r="A7816" s="4" t="s">
        <v>9828</v>
      </c>
      <c r="B7816" s="4" t="s">
        <v>9830</v>
      </c>
      <c r="C7816" s="5" t="str">
        <f>IFERROR(__xludf.DUMMYFUNCTION("GOOGLETRANSLATE(B7816,""en"",""fr"")"),"La fille attrape une pelle.")</f>
        <v>La fille attrape une pelle.</v>
      </c>
    </row>
    <row r="7817">
      <c r="A7817" s="4" t="s">
        <v>9828</v>
      </c>
      <c r="B7817" s="4" t="s">
        <v>9831</v>
      </c>
      <c r="C7817" s="5" t="str">
        <f>IFERROR(__xludf.DUMMYFUNCTION("GOOGLETRANSLATE(B7817,""en"",""fr"")"),"Une personne marche devant la caméra.")</f>
        <v>Une personne marche devant la caméra.</v>
      </c>
    </row>
    <row r="7818">
      <c r="A7818" s="4" t="s">
        <v>9828</v>
      </c>
      <c r="B7818" s="4" t="s">
        <v>9832</v>
      </c>
      <c r="C7818" s="5" t="str">
        <f>IFERROR(__xludf.DUMMYFUNCTION("GOOGLETRANSLATE(B7818,""en"",""fr"")"),"La caméra passe à l'eau.")</f>
        <v>La caméra passe à l'eau.</v>
      </c>
    </row>
    <row r="7819">
      <c r="A7819" s="4" t="s">
        <v>9828</v>
      </c>
      <c r="B7819" s="4" t="s">
        <v>9833</v>
      </c>
      <c r="C7819" s="5" t="str">
        <f>IFERROR(__xludf.DUMMYFUNCTION("GOOGLETRANSLATE(B7819,""en"",""fr"")"),"La fille se dirige vers l'eau.")</f>
        <v>La fille se dirige vers l'eau.</v>
      </c>
    </row>
    <row r="7820">
      <c r="A7820" s="4" t="s">
        <v>9828</v>
      </c>
      <c r="B7820" s="4" t="s">
        <v>9834</v>
      </c>
      <c r="C7820" s="5" t="str">
        <f>IFERROR(__xludf.DUMMYFUNCTION("GOOGLETRANSLATE(B7820,""en"",""fr"")"),"La fille entre dans l'eau.")</f>
        <v>La fille entre dans l'eau.</v>
      </c>
    </row>
    <row r="7821">
      <c r="A7821" s="4" t="s">
        <v>9835</v>
      </c>
      <c r="B7821" s="4" t="s">
        <v>9836</v>
      </c>
      <c r="C7821" s="5" t="str">
        <f>IFERROR(__xludf.DUMMYFUNCTION("GOOGLETRANSLATE(B7821,""en"",""fr"")"),"Une introduction arrive sur l'écran pour une présentation sur la réparation automatique.")</f>
        <v>Une introduction arrive sur l'écran pour une présentation sur la réparation automatique.</v>
      </c>
    </row>
    <row r="7822">
      <c r="A7822" s="4" t="s">
        <v>9835</v>
      </c>
      <c r="B7822" s="4" t="s">
        <v>9837</v>
      </c>
      <c r="C7822" s="5" t="str">
        <f>IFERROR(__xludf.DUMMYFUNCTION("GOOGLETRANSLATE(B7822,""en"",""fr"")"),"La vidéo affiche plusieurs parties différentes de la voiture sur qui est travaillée.")</f>
        <v>La vidéo affiche plusieurs parties différentes de la voiture sur qui est travaillée.</v>
      </c>
    </row>
    <row r="7823">
      <c r="A7823" s="4" t="s">
        <v>9835</v>
      </c>
      <c r="B7823" s="4" t="s">
        <v>9838</v>
      </c>
      <c r="C7823" s="5" t="str">
        <f>IFERROR(__xludf.DUMMYFUNCTION("GOOGLETRANSLATE(B7823,""en"",""fr"")"),"Le mécanisme de fixation A de Dent est attaché aux voitures pour montrer comment il fonctionne pour réparer une roue.")</f>
        <v>Le mécanisme de fixation A de Dent est attaché aux voitures pour montrer comment il fonctionne pour réparer une roue.</v>
      </c>
    </row>
    <row r="7824">
      <c r="A7824" s="4" t="s">
        <v>9835</v>
      </c>
      <c r="B7824" s="4" t="s">
        <v>9839</v>
      </c>
      <c r="C7824" s="5" t="str">
        <f>IFERROR(__xludf.DUMMYFUNCTION("GOOGLETRANSLATE(B7824,""en"",""fr"")"),"Ensuite, il montre une autre roue réparée par le même mécanisme.")</f>
        <v>Ensuite, il montre une autre roue réparée par le même mécanisme.</v>
      </c>
    </row>
    <row r="7825">
      <c r="A7825" s="4" t="s">
        <v>9835</v>
      </c>
      <c r="B7825" s="4" t="s">
        <v>9840</v>
      </c>
      <c r="C7825" s="5" t="str">
        <f>IFERROR(__xludf.DUMMYFUNCTION("GOOGLETRANSLATE(B7825,""en"",""fr"")"),"Ensuite, les crédits de clôture pour la vidéo apparaissent à l'écran.")</f>
        <v>Ensuite, les crédits de clôture pour la vidéo apparaissent à l'écran.</v>
      </c>
    </row>
    <row r="7826">
      <c r="A7826" s="4" t="s">
        <v>9841</v>
      </c>
      <c r="B7826" s="4" t="s">
        <v>1487</v>
      </c>
      <c r="C7826" s="5" t="str">
        <f>IFERROR(__xludf.DUMMYFUNCTION("GOOGLETRANSLATE(B7826,""en"",""fr"")"),"Nous voyons un écran de titre d'ouverture.")</f>
        <v>Nous voyons un écran de titre d'ouverture.</v>
      </c>
    </row>
    <row r="7827">
      <c r="A7827" s="4" t="s">
        <v>9841</v>
      </c>
      <c r="B7827" s="4" t="s">
        <v>9842</v>
      </c>
      <c r="C7827" s="5" t="str">
        <f>IFERROR(__xludf.DUMMYFUNCTION("GOOGLETRANSLATE(B7827,""en"",""fr"")"),"Nous voyons deux dames danser dans un champ.")</f>
        <v>Nous voyons deux dames danser dans un champ.</v>
      </c>
    </row>
    <row r="7828">
      <c r="A7828" s="4" t="s">
        <v>9841</v>
      </c>
      <c r="B7828" s="4" t="s">
        <v>9843</v>
      </c>
      <c r="C7828" s="5" t="str">
        <f>IFERROR(__xludf.DUMMYFUNCTION("GOOGLETRANSLATE(B7828,""en"",""fr"")"),"Nous passons à des dames dansant autour d'un taureau dans une croûte.")</f>
        <v>Nous passons à des dames dansant autour d'un taureau dans une croûte.</v>
      </c>
    </row>
    <row r="7829">
      <c r="A7829" s="4" t="s">
        <v>9841</v>
      </c>
      <c r="B7829" s="4" t="s">
        <v>9844</v>
      </c>
      <c r="C7829" s="5" t="str">
        <f>IFERROR(__xludf.DUMMYFUNCTION("GOOGLETRANSLATE(B7829,""en"",""fr"")"),"Nous voyons que les dames se tiennent côte à côte.")</f>
        <v>Nous voyons que les dames se tiennent côte à côte.</v>
      </c>
    </row>
    <row r="7830">
      <c r="A7830" s="4" t="s">
        <v>9841</v>
      </c>
      <c r="B7830" s="4" t="s">
        <v>9845</v>
      </c>
      <c r="C7830" s="5" t="str">
        <f>IFERROR(__xludf.DUMMYFUNCTION("GOOGLETRANSLATE(B7830,""en"",""fr"")"),"Nous voyons les dames à genoux sur le terrain.")</f>
        <v>Nous voyons les dames à genoux sur le terrain.</v>
      </c>
    </row>
    <row r="7831">
      <c r="A7831" s="4" t="s">
        <v>9841</v>
      </c>
      <c r="B7831" s="4" t="s">
        <v>9846</v>
      </c>
      <c r="C7831" s="5" t="str">
        <f>IFERROR(__xludf.DUMMYFUNCTION("GOOGLETRANSLATE(B7831,""en"",""fr"")"),"Nous voyons trois dames sur le terrain.")</f>
        <v>Nous voyons trois dames sur le terrain.</v>
      </c>
    </row>
    <row r="7832">
      <c r="A7832" s="4" t="s">
        <v>9841</v>
      </c>
      <c r="B7832" s="4" t="s">
        <v>9847</v>
      </c>
      <c r="C7832" s="5" t="str">
        <f>IFERROR(__xludf.DUMMYFUNCTION("GOOGLETRANSLATE(B7832,""en"",""fr"")"),"Nous voyons deux dames danser.")</f>
        <v>Nous voyons deux dames danser.</v>
      </c>
    </row>
    <row r="7833">
      <c r="A7833" s="4" t="s">
        <v>9841</v>
      </c>
      <c r="B7833" s="4" t="s">
        <v>9848</v>
      </c>
      <c r="C7833" s="5" t="str">
        <f>IFERROR(__xludf.DUMMYFUNCTION("GOOGLETRANSLATE(B7833,""en"",""fr"")"),"Nous voyons les écrans de clôture.")</f>
        <v>Nous voyons les écrans de clôture.</v>
      </c>
    </row>
    <row r="7834">
      <c r="A7834" s="4" t="s">
        <v>9849</v>
      </c>
      <c r="B7834" s="4" t="s">
        <v>9850</v>
      </c>
      <c r="C7834" s="5" t="str">
        <f>IFERROR(__xludf.DUMMYFUNCTION("GOOGLETRANSLATE(B7834,""en"",""fr"")"),"Les gens grimpent des rochers.")</f>
        <v>Les gens grimpent des rochers.</v>
      </c>
    </row>
    <row r="7835">
      <c r="A7835" s="4" t="s">
        <v>9849</v>
      </c>
      <c r="B7835" s="4" t="s">
        <v>9851</v>
      </c>
      <c r="C7835" s="5" t="str">
        <f>IFERROR(__xludf.DUMMYFUNCTION("GOOGLETRANSLATE(B7835,""en"",""fr"")"),"Une personne tombe de la roche dans l'eau en dessous.")</f>
        <v>Une personne tombe de la roche dans l'eau en dessous.</v>
      </c>
    </row>
    <row r="7836">
      <c r="A7836" s="4" t="s">
        <v>9852</v>
      </c>
      <c r="B7836" s="4" t="s">
        <v>9853</v>
      </c>
      <c r="C7836" s="5" t="str">
        <f>IFERROR(__xludf.DUMMYFUNCTION("GOOGLETRANSLATE(B7836,""en"",""fr"")"),"Un homme s'assoit avec sa jambe sur une chaise.")</f>
        <v>Un homme s'assoit avec sa jambe sur une chaise.</v>
      </c>
    </row>
    <row r="7837">
      <c r="A7837" s="4" t="s">
        <v>9852</v>
      </c>
      <c r="B7837" s="4" t="s">
        <v>9854</v>
      </c>
      <c r="C7837" s="5" t="str">
        <f>IFERROR(__xludf.DUMMYFUNCTION("GOOGLETRANSLATE(B7837,""en"",""fr"")"),"Une personne met des lanières à l'épilation sur sa jambe et retire les cheveux.")</f>
        <v>Une personne met des lanières à l'épilation sur sa jambe et retire les cheveux.</v>
      </c>
    </row>
    <row r="7838">
      <c r="A7838" s="4" t="s">
        <v>9852</v>
      </c>
      <c r="B7838" s="4" t="s">
        <v>9855</v>
      </c>
      <c r="C7838" s="5" t="str">
        <f>IFERROR(__xludf.DUMMYFUNCTION("GOOGLETRANSLATE(B7838,""en"",""fr"")"),"Il met sa chemise sur son visage.")</f>
        <v>Il met sa chemise sur son visage.</v>
      </c>
    </row>
    <row r="7839">
      <c r="A7839" s="4" t="s">
        <v>9856</v>
      </c>
      <c r="B7839" s="6" t="s">
        <v>9857</v>
      </c>
      <c r="C7839" s="5" t="str">
        <f>IFERROR(__xludf.DUMMYFUNCTION("GOOGLETRANSLATE(B7839,""en"",""fr"")"),"Une personne portant un costume est vue debout et se pose à l'intérieur d'un canoë et se pousse finalement dans la rivière.")</f>
        <v>Une personne portant un costume est vue debout et se pose à l'intérieur d'un canoë et se pousse finalement dans la rivière.</v>
      </c>
    </row>
    <row r="7840">
      <c r="A7840" s="4" t="s">
        <v>9856</v>
      </c>
      <c r="B7840" s="6" t="s">
        <v>9858</v>
      </c>
      <c r="C7840" s="5" t="str">
        <f>IFERROR(__xludf.DUMMYFUNCTION("GOOGLETRANSLATE(B7840,""en"",""fr"")"),"La personne se déplace lentement dans le canoë et la caméra le suit se déplaçant le long de l'eau dans le canoë.")</f>
        <v>La personne se déplace lentement dans le canoë et la caméra le suit se déplaçant le long de l'eau dans le canoë.</v>
      </c>
    </row>
    <row r="7841">
      <c r="A7841" s="4" t="s">
        <v>9859</v>
      </c>
      <c r="B7841" s="6" t="s">
        <v>9860</v>
      </c>
      <c r="C7841" s="5" t="str">
        <f>IFERROR(__xludf.DUMMYFUNCTION("GOOGLETRANSLATE(B7841,""en"",""fr"")"),"Deux hommes sont vus effectuer des mouvements d'arts martiaux les uns contre les autres et mène à un homme parlant.")</f>
        <v>Deux hommes sont vus effectuer des mouvements d'arts martiaux les uns contre les autres et mène à un homme parlant.</v>
      </c>
    </row>
    <row r="7842">
      <c r="A7842" s="4" t="s">
        <v>9859</v>
      </c>
      <c r="B7842" s="6" t="s">
        <v>9861</v>
      </c>
      <c r="C7842" s="5" t="str">
        <f>IFERROR(__xludf.DUMMYFUNCTION("GOOGLETRANSLATE(B7842,""en"",""fr"")"),"L'homme démontre ensuite plusieurs mouvements d'arts martiaux avec un autre homme tout en parlant à la caméra.")</f>
        <v>L'homme démontre ensuite plusieurs mouvements d'arts martiaux avec un autre homme tout en parlant à la caméra.</v>
      </c>
    </row>
    <row r="7843">
      <c r="A7843" s="4" t="s">
        <v>9859</v>
      </c>
      <c r="B7843" s="4" t="s">
        <v>9862</v>
      </c>
      <c r="C7843" s="5" t="str">
        <f>IFERROR(__xludf.DUMMYFUNCTION("GOOGLETRANSLATE(B7843,""en"",""fr"")"),"L'homme poursuit ces mouvements tout en s'arrêtant pour démontrer comment il est correctement fait.")</f>
        <v>L'homme poursuit ces mouvements tout en s'arrêtant pour démontrer comment il est correctement fait.</v>
      </c>
    </row>
    <row r="7844">
      <c r="A7844" s="4" t="s">
        <v>9863</v>
      </c>
      <c r="B7844" s="4" t="s">
        <v>9864</v>
      </c>
      <c r="C7844" s="5" t="str">
        <f>IFERROR(__xludf.DUMMYFUNCTION("GOOGLETRANSLATE(B7844,""en"",""fr"")"),"Les gens jouent à un jeu de football dans une arène intérieure.")</f>
        <v>Les gens jouent à un jeu de football dans une arène intérieure.</v>
      </c>
    </row>
    <row r="7845">
      <c r="A7845" s="4" t="s">
        <v>9863</v>
      </c>
      <c r="B7845" s="4" t="s">
        <v>9865</v>
      </c>
      <c r="C7845" s="5" t="str">
        <f>IFERROR(__xludf.DUMMYFUNCTION("GOOGLETRANSLATE(B7845,""en"",""fr"")"),"Un homme ramasse le ballon et le lance quelqu'un d'autre.")</f>
        <v>Un homme ramasse le ballon et le lance quelqu'un d'autre.</v>
      </c>
    </row>
    <row r="7846">
      <c r="A7846" s="4" t="s">
        <v>9863</v>
      </c>
      <c r="B7846" s="4" t="s">
        <v>9866</v>
      </c>
      <c r="C7846" s="5" t="str">
        <f>IFERROR(__xludf.DUMMYFUNCTION("GOOGLETRANSLATE(B7846,""en"",""fr"")"),"Les gens tombent sur le sol de l'arène.")</f>
        <v>Les gens tombent sur le sol de l'arène.</v>
      </c>
    </row>
    <row r="7847">
      <c r="A7847" s="4" t="s">
        <v>9867</v>
      </c>
      <c r="B7847" s="4" t="s">
        <v>9868</v>
      </c>
      <c r="C7847" s="5" t="str">
        <f>IFERROR(__xludf.DUMMYFUNCTION("GOOGLETRANSLATE(B7847,""en"",""fr"")"),"Les gars se tiennent dans un terrain d'intérieur.")</f>
        <v>Les gars se tiennent dans un terrain d'intérieur.</v>
      </c>
    </row>
    <row r="7848">
      <c r="A7848" s="4" t="s">
        <v>9867</v>
      </c>
      <c r="B7848" s="6" t="s">
        <v>9869</v>
      </c>
      <c r="C7848" s="5" t="str">
        <f>IFERROR(__xludf.DUMMYFUNCTION("GOOGLETRANSLATE(B7848,""en"",""fr"")"),"Deux gars jouent au soccer Relay, un athlète touche les mains de son adversaire et d'un gardien de but avant de donner un coup de pied à un ballon servi.")</f>
        <v>Deux gars jouent au soccer Relay, un athlète touche les mains de son adversaire et d'un gardien de but avant de donner un coup de pied à un ballon servi.</v>
      </c>
    </row>
    <row r="7849">
      <c r="A7849" s="4" t="s">
        <v>9867</v>
      </c>
      <c r="B7849" s="4" t="s">
        <v>9870</v>
      </c>
      <c r="C7849" s="5" t="str">
        <f>IFERROR(__xludf.DUMMYFUNCTION("GOOGLETRANSLATE(B7849,""en"",""fr"")"),"Un joueur lance le ballon vers le gardien de but de Center Court.")</f>
        <v>Un joueur lance le ballon vers le gardien de but de Center Court.</v>
      </c>
    </row>
    <row r="7850">
      <c r="A7850" s="4" t="s">
        <v>9867</v>
      </c>
      <c r="B7850" s="4" t="s">
        <v>9871</v>
      </c>
      <c r="C7850" s="5" t="str">
        <f>IFERROR(__xludf.DUMMYFUNCTION("GOOGLETRANSLATE(B7850,""en"",""fr"")"),"Les gars s'arrêtent pendant un court moment.")</f>
        <v>Les gars s'arrêtent pendant un court moment.</v>
      </c>
    </row>
    <row r="7851">
      <c r="A7851" s="4" t="s">
        <v>9872</v>
      </c>
      <c r="B7851" s="4" t="s">
        <v>9873</v>
      </c>
      <c r="C7851" s="5" t="str">
        <f>IFERROR(__xludf.DUMMYFUNCTION("GOOGLETRANSLATE(B7851,""en"",""fr"")"),"Un homme pousse une tondeuse à gazon coupant une forte parcelle de mauvaises herbes dans une cour.")</f>
        <v>Un homme pousse une tondeuse à gazon coupant une forte parcelle de mauvaises herbes dans une cour.</v>
      </c>
    </row>
    <row r="7852">
      <c r="A7852" s="4" t="s">
        <v>9872</v>
      </c>
      <c r="B7852" s="4" t="s">
        <v>9874</v>
      </c>
      <c r="C7852" s="5" t="str">
        <f>IFERROR(__xludf.DUMMYFUNCTION("GOOGLETRANSLATE(B7852,""en"",""fr"")"),"L'homme retourne la tondeuse à gazon de son côté puis élimine l'herbe enchevêtrée.")</f>
        <v>L'homme retourne la tondeuse à gazon de son côté puis élimine l'herbe enchevêtrée.</v>
      </c>
    </row>
    <row r="7853">
      <c r="A7853" s="4" t="s">
        <v>9872</v>
      </c>
      <c r="B7853" s="6" t="s">
        <v>9875</v>
      </c>
      <c r="C7853" s="5" t="str">
        <f>IFERROR(__xludf.DUMMYFUNCTION("GOOGLETRANSLATE(B7853,""en"",""fr"")"),"L'homme recule et fait basculer la tondeuse à gazon dans un cercle et tourne la tondeuse à gazon dans la direction opposée.")</f>
        <v>L'homme recule et fait basculer la tondeuse à gazon dans un cercle et tourne la tondeuse à gazon dans la direction opposée.</v>
      </c>
    </row>
    <row r="7854">
      <c r="A7854" s="4" t="s">
        <v>9876</v>
      </c>
      <c r="B7854" s="4" t="s">
        <v>9877</v>
      </c>
      <c r="C7854" s="5" t="str">
        <f>IFERROR(__xludf.DUMMYFUNCTION("GOOGLETRANSLATE(B7854,""en"",""fr"")"),"Divers cupcakes sont montrés assis sur une assiette et le lettrage se lève en ce qui concerne les fabriquer.")</f>
        <v>Divers cupcakes sont montrés assis sur une assiette et le lettrage se lève en ce qui concerne les fabriquer.</v>
      </c>
    </row>
    <row r="7855">
      <c r="A7855" s="4" t="s">
        <v>9876</v>
      </c>
      <c r="B7855" s="4" t="s">
        <v>9878</v>
      </c>
      <c r="C7855" s="5" t="str">
        <f>IFERROR(__xludf.DUMMYFUNCTION("GOOGLETRANSLATE(B7855,""en"",""fr"")"),"Plusieurs ingrédients sont représentés et la personne mélangeant les ingrédients dans un bol.")</f>
        <v>Plusieurs ingrédients sont représentés et la personne mélangeant les ingrédients dans un bol.</v>
      </c>
    </row>
    <row r="7856">
      <c r="A7856" s="4" t="s">
        <v>9876</v>
      </c>
      <c r="B7856" s="4" t="s">
        <v>9879</v>
      </c>
      <c r="C7856" s="5" t="str">
        <f>IFERROR(__xludf.DUMMYFUNCTION("GOOGLETRANSLATE(B7856,""en"",""fr"")"),"La personne mélange tous les ingrédients et les met dans une casserole pour cuisiner.")</f>
        <v>La personne mélange tous les ingrédients et les met dans une casserole pour cuisiner.</v>
      </c>
    </row>
    <row r="7857">
      <c r="A7857" s="4" t="s">
        <v>9876</v>
      </c>
      <c r="B7857" s="4" t="s">
        <v>9880</v>
      </c>
      <c r="C7857" s="5" t="str">
        <f>IFERROR(__xludf.DUMMYFUNCTION("GOOGLETRANSLATE(B7857,""en"",""fr"")"),"Les cupcakes sont enfin cuits et sont partis dans une assiette pour en profiter.")</f>
        <v>Les cupcakes sont enfin cuits et sont partis dans une assiette pour en profiter.</v>
      </c>
    </row>
    <row r="7858">
      <c r="A7858" s="4" t="s">
        <v>9881</v>
      </c>
      <c r="B7858" s="4" t="s">
        <v>9882</v>
      </c>
      <c r="C7858" s="5" t="str">
        <f>IFERROR(__xludf.DUMMYFUNCTION("GOOGLETRANSLATE(B7858,""en"",""fr"")"),"Plusieurs images sont montrées des ongles se rapprochent et mène à une personne peignant du texte sur un clou.")</f>
        <v>Plusieurs images sont montrées des ongles se rapprochent et mène à une personne peignant du texte sur un clou.</v>
      </c>
    </row>
    <row r="7859">
      <c r="A7859" s="4" t="s">
        <v>9881</v>
      </c>
      <c r="B7859" s="4" t="s">
        <v>9883</v>
      </c>
      <c r="C7859" s="5" t="str">
        <f>IFERROR(__xludf.DUMMYFUNCTION("GOOGLETRANSLATE(B7859,""en"",""fr"")"),"La personne montre des gros plans de vernis à ongles et continue de peindre sur l'ongle.")</f>
        <v>La personne montre des gros plans de vernis à ongles et continue de peindre sur l'ongle.</v>
      </c>
    </row>
    <row r="7860">
      <c r="A7860" s="4" t="s">
        <v>9881</v>
      </c>
      <c r="B7860" s="4" t="s">
        <v>9884</v>
      </c>
      <c r="C7860" s="5" t="str">
        <f>IFERROR(__xludf.DUMMYFUNCTION("GOOGLETRANSLATE(B7860,""en"",""fr"")"),"La femme termine son design et montre une autre photo de ongles.")</f>
        <v>La femme termine son design et montre une autre photo de ongles.</v>
      </c>
    </row>
    <row r="7861">
      <c r="A7861" s="4" t="s">
        <v>9885</v>
      </c>
      <c r="B7861" s="4" t="s">
        <v>9886</v>
      </c>
      <c r="C7861" s="5" t="str">
        <f>IFERROR(__xludf.DUMMYFUNCTION("GOOGLETRANSLATE(B7861,""en"",""fr"")"),"Un homme est assis dans un kayak et tient sa rame dans une rivière montrant comment l'utiliser correctement.")</f>
        <v>Un homme est assis dans un kayak et tient sa rame dans une rivière montrant comment l'utiliser correctement.</v>
      </c>
    </row>
    <row r="7862">
      <c r="A7862" s="4" t="s">
        <v>9885</v>
      </c>
      <c r="B7862" s="4" t="s">
        <v>9887</v>
      </c>
      <c r="C7862" s="5" t="str">
        <f>IFERROR(__xludf.DUMMYFUNCTION("GOOGLETRANSLATE(B7862,""en"",""fr"")"),"L'homme se penche en arrière dans son kayak pour montrer les techniques d'équilibre.")</f>
        <v>L'homme se penche en arrière dans son kayak pour montrer les techniques d'équilibre.</v>
      </c>
    </row>
    <row r="7863">
      <c r="A7863" s="4" t="s">
        <v>9885</v>
      </c>
      <c r="B7863" s="6" t="s">
        <v>9888</v>
      </c>
      <c r="C7863" s="5" t="str">
        <f>IFERROR(__xludf.DUMMYFUNCTION("GOOGLETRANSLATE(B7863,""en"",""fr"")"),"Le cavalier de kayak palette dans le lavage blanc sous une chute d'eau et se retourne puis se droite à nouveau.")</f>
        <v>Le cavalier de kayak palette dans le lavage blanc sous une chute d'eau et se retourne puis se droite à nouveau.</v>
      </c>
    </row>
    <row r="7864">
      <c r="A7864" s="4" t="s">
        <v>9889</v>
      </c>
      <c r="B7864" s="4" t="s">
        <v>9890</v>
      </c>
      <c r="C7864" s="5" t="str">
        <f>IFERROR(__xludf.DUMMYFUNCTION("GOOGLETRANSLATE(B7864,""en"",""fr"")"),"Un homme est vu marcher avec une chaise et le met au milieu d'une piste de bowling.")</f>
        <v>Un homme est vu marcher avec une chaise et le met au milieu d'une piste de bowling.</v>
      </c>
    </row>
    <row r="7865">
      <c r="A7865" s="4" t="s">
        <v>9889</v>
      </c>
      <c r="B7865" s="4" t="s">
        <v>9891</v>
      </c>
      <c r="C7865" s="5" t="str">
        <f>IFERROR(__xludf.DUMMYFUNCTION("GOOGLETRANSLATE(B7865,""en"",""fr"")"),"Il fait un halte du public et lance le ballon sur la chaise et frappe toutes les épingles.")</f>
        <v>Il fait un halte du public et lance le ballon sur la chaise et frappe toutes les épingles.</v>
      </c>
    </row>
    <row r="7866">
      <c r="A7866" s="4" t="s">
        <v>9889</v>
      </c>
      <c r="B7866" s="4" t="s">
        <v>9892</v>
      </c>
      <c r="C7866" s="5" t="str">
        <f>IFERROR(__xludf.DUMMYFUNCTION("GOOGLETRANSLATE(B7866,""en"",""fr"")"),"Le même coup est montré plusieurs fois et il s'assoit sur sa chaise en riant.")</f>
        <v>Le même coup est montré plusieurs fois et il s'assoit sur sa chaise en riant.</v>
      </c>
    </row>
    <row r="7867">
      <c r="A7867" s="4" t="s">
        <v>9893</v>
      </c>
      <c r="B7867" s="4" t="s">
        <v>9894</v>
      </c>
      <c r="C7867" s="5" t="str">
        <f>IFERROR(__xludf.DUMMYFUNCTION("GOOGLETRANSLATE(B7867,""en"",""fr"")"),"Une page de titre se déroule dans les mains tenant un pinceau avec un portrait en arrière-plan.")</f>
        <v>Une page de titre se déroule dans les mains tenant un pinceau avec un portrait en arrière-plan.</v>
      </c>
    </row>
    <row r="7868">
      <c r="A7868" s="4" t="s">
        <v>9893</v>
      </c>
      <c r="B7868" s="4" t="s">
        <v>9895</v>
      </c>
      <c r="C7868" s="5" t="str">
        <f>IFERROR(__xludf.DUMMYFUNCTION("GOOGLETRANSLATE(B7868,""en"",""fr"")"),"Elle tient une autre image à côté d'elle et pousse le pinceau dans la peinture.")</f>
        <v>Elle tient une autre image à côté d'elle et pousse le pinceau dans la peinture.</v>
      </c>
    </row>
    <row r="7869">
      <c r="A7869" s="4" t="s">
        <v>9893</v>
      </c>
      <c r="B7869" s="4" t="s">
        <v>9896</v>
      </c>
      <c r="C7869" s="5" t="str">
        <f>IFERROR(__xludf.DUMMYFUNCTION("GOOGLETRANSLATE(B7869,""en"",""fr"")"),"Elle commence ensuite à peindre l'image et à ajouter plus de couleur au portrait.")</f>
        <v>Elle commence ensuite à peindre l'image et à ajouter plus de couleur au portrait.</v>
      </c>
    </row>
    <row r="7870">
      <c r="A7870" s="4" t="s">
        <v>9897</v>
      </c>
      <c r="B7870" s="6" t="s">
        <v>9898</v>
      </c>
      <c r="C7870" s="5" t="str">
        <f>IFERROR(__xludf.DUMMYFUNCTION("GOOGLETRANSLATE(B7870,""en"",""fr"")"),"On voit un grand groupe de personnes jouer au hockey autour d'une arène effectuant divers trucs avec la rondelle.")</f>
        <v>On voit un grand groupe de personnes jouer au hockey autour d'une arène effectuant divers trucs avec la rondelle.</v>
      </c>
    </row>
    <row r="7871">
      <c r="A7871" s="4" t="s">
        <v>9897</v>
      </c>
      <c r="B7871" s="6" t="s">
        <v>9899</v>
      </c>
      <c r="C7871" s="5" t="str">
        <f>IFERROR(__xludf.DUMMYFUNCTION("GOOGLETRANSLATE(B7871,""en"",""fr"")"),"Les hommes continuent de frapper la rondelle les uns les autres alors que la caméra les capture de plusieurs côtés.")</f>
        <v>Les hommes continuent de frapper la rondelle les uns les autres alors que la caméra les capture de plusieurs côtés.</v>
      </c>
    </row>
    <row r="7872">
      <c r="A7872" s="4" t="s">
        <v>9897</v>
      </c>
      <c r="B7872" s="4" t="s">
        <v>9900</v>
      </c>
      <c r="C7872" s="5" t="str">
        <f>IFERROR(__xludf.DUMMYFUNCTION("GOOGLETRANSLATE(B7872,""en"",""fr"")"),"L'homme pousse la rondelle plus sur et sous les obstacles.")</f>
        <v>L'homme pousse la rondelle plus sur et sous les obstacles.</v>
      </c>
    </row>
    <row r="7873">
      <c r="A7873" s="4" t="s">
        <v>9901</v>
      </c>
      <c r="B7873" s="6" t="s">
        <v>9902</v>
      </c>
      <c r="C7873" s="5" t="str">
        <f>IFERROR(__xludf.DUMMYFUNCTION("GOOGLETRANSLATE(B7873,""en"",""fr"")"),"Il y a d'abord un écran affiché pendant un peu de temps pour faire savoir aux téléspectateurs de quoi parle cette vidéo.")</f>
        <v>Il y a d'abord un écran affiché pendant un peu de temps pour faire savoir aux téléspectateurs de quoi parle cette vidéo.</v>
      </c>
    </row>
    <row r="7874">
      <c r="A7874" s="4" t="s">
        <v>9901</v>
      </c>
      <c r="B7874" s="4" t="s">
        <v>9903</v>
      </c>
      <c r="C7874" s="5" t="str">
        <f>IFERROR(__xludf.DUMMYFUNCTION("GOOGLETRANSLATE(B7874,""en"",""fr"")"),"Ensuite, il y a un homme qui monte différents chevaux dans différents contextes où les gens les regardent.")</f>
        <v>Ensuite, il y a un homme qui monte différents chevaux dans différents contextes où les gens les regardent.</v>
      </c>
    </row>
    <row r="7875">
      <c r="A7875" s="4" t="s">
        <v>9901</v>
      </c>
      <c r="B7875" s="6" t="s">
        <v>9904</v>
      </c>
      <c r="C7875" s="5" t="str">
        <f>IFERROR(__xludf.DUMMYFUNCTION("GOOGLETRANSLATE(B7875,""en"",""fr"")"),"Dans le premier, le cheval court avec lui sur le dos et il essaie de sauter par-dessus un obstacle en bois, mais échoue et il y a beaucoup plus d'échecs.")</f>
        <v>Dans le premier, le cheval court avec lui sur le dos et il essaie de sauter par-dessus un obstacle en bois, mais échoue et il y a beaucoup plus d'échecs.</v>
      </c>
    </row>
    <row r="7876">
      <c r="A7876" s="4" t="s">
        <v>9905</v>
      </c>
      <c r="B7876" s="4" t="s">
        <v>9906</v>
      </c>
      <c r="C7876" s="5" t="str">
        <f>IFERROR(__xludf.DUMMYFUNCTION("GOOGLETRANSLATE(B7876,""en"",""fr"")"),"Un homme aux cheveux bouclés est vu parler à la caméra avec une grave conviction.")</f>
        <v>Un homme aux cheveux bouclés est vu parler à la caméra avec une grave conviction.</v>
      </c>
    </row>
    <row r="7877">
      <c r="A7877" s="4" t="s">
        <v>9905</v>
      </c>
      <c r="B7877" s="4" t="s">
        <v>9907</v>
      </c>
      <c r="C7877" s="5" t="str">
        <f>IFERROR(__xludf.DUMMYFUNCTION("GOOGLETRANSLATE(B7877,""en"",""fr"")"),"Il brosse ensuite ses cheveux avec un chien dans un cadre et montre ses cheveux poofy.")</f>
        <v>Il brosse ensuite ses cheveux avec un chien dans un cadre et montre ses cheveux poofy.</v>
      </c>
    </row>
    <row r="7878">
      <c r="A7878" s="4" t="s">
        <v>9905</v>
      </c>
      <c r="B7878" s="4" t="s">
        <v>9908</v>
      </c>
      <c r="C7878" s="5" t="str">
        <f>IFERROR(__xludf.DUMMYFUNCTION("GOOGLETRANSLATE(B7878,""en"",""fr"")"),"Il est ensuite revu avec des cheveux mouillés et ferme les yeux vers la caméra.")</f>
        <v>Il est ensuite revu avec des cheveux mouillés et ferme les yeux vers la caméra.</v>
      </c>
    </row>
    <row r="7879">
      <c r="A7879" s="4" t="s">
        <v>9909</v>
      </c>
      <c r="B7879" s="4" t="s">
        <v>9910</v>
      </c>
      <c r="C7879" s="5" t="str">
        <f>IFERROR(__xludf.DUMMYFUNCTION("GOOGLETRANSLATE(B7879,""en"",""fr"")"),"Un homme saute sur un faisceau d'équilibre.")</f>
        <v>Un homme saute sur un faisceau d'équilibre.</v>
      </c>
    </row>
    <row r="7880">
      <c r="A7880" s="4" t="s">
        <v>9909</v>
      </c>
      <c r="B7880" s="4" t="s">
        <v>9911</v>
      </c>
      <c r="C7880" s="5" t="str">
        <f>IFERROR(__xludf.DUMMYFUNCTION("GOOGLETRANSLATE(B7880,""en"",""fr"")"),"Ils commencent à faire une routine de gymnastique sur le faisceau d'équilibre.")</f>
        <v>Ils commencent à faire une routine de gymnastique sur le faisceau d'équilibre.</v>
      </c>
    </row>
    <row r="7881">
      <c r="A7881" s="4" t="s">
        <v>9909</v>
      </c>
      <c r="B7881" s="4" t="s">
        <v>9912</v>
      </c>
      <c r="C7881" s="5" t="str">
        <f>IFERROR(__xludf.DUMMYFUNCTION("GOOGLETRANSLATE(B7881,""en"",""fr"")"),"Ils sautent sur un tapis à côté.")</f>
        <v>Ils sautent sur un tapis à côté.</v>
      </c>
    </row>
    <row r="7882">
      <c r="A7882" s="4" t="s">
        <v>9913</v>
      </c>
      <c r="B7882" s="4" t="s">
        <v>9914</v>
      </c>
      <c r="C7882" s="5" t="str">
        <f>IFERROR(__xludf.DUMMYFUNCTION("GOOGLETRANSLATE(B7882,""en"",""fr"")"),"Un homme est vu debout sur une corde et commence à marcher sur la corde.")</f>
        <v>Un homme est vu debout sur une corde et commence à marcher sur la corde.</v>
      </c>
    </row>
    <row r="7883">
      <c r="A7883" s="4" t="s">
        <v>9913</v>
      </c>
      <c r="B7883" s="4" t="s">
        <v>9915</v>
      </c>
      <c r="C7883" s="5" t="str">
        <f>IFERROR(__xludf.DUMMYFUNCTION("GOOGLETRANSLATE(B7883,""en"",""fr"")"),"L'homme continue de marcher pendant que la caméra capture ses mouvements.")</f>
        <v>L'homme continue de marcher pendant que la caméra capture ses mouvements.</v>
      </c>
    </row>
    <row r="7884">
      <c r="A7884" s="4" t="s">
        <v>9913</v>
      </c>
      <c r="B7884" s="4" t="s">
        <v>9916</v>
      </c>
      <c r="C7884" s="5" t="str">
        <f>IFERROR(__xludf.DUMMYFUNCTION("GOOGLETRANSLATE(B7884,""en"",""fr"")"),"Il marche tout le long de la corde jusqu'au bout et saute.")</f>
        <v>Il marche tout le long de la corde jusqu'au bout et saute.</v>
      </c>
    </row>
    <row r="7885">
      <c r="A7885" s="4" t="s">
        <v>9917</v>
      </c>
      <c r="B7885" s="4" t="s">
        <v>9918</v>
      </c>
      <c r="C7885" s="5" t="str">
        <f>IFERROR(__xludf.DUMMYFUNCTION("GOOGLETRANSLATE(B7885,""en"",""fr"")"),"Un gros plan d'un porche est illustré avec la caméra qui panoramique tout autour.")</f>
        <v>Un gros plan d'un porche est illustré avec la caméra qui panoramique tout autour.</v>
      </c>
    </row>
    <row r="7886">
      <c r="A7886" s="4" t="s">
        <v>9917</v>
      </c>
      <c r="B7886" s="4" t="s">
        <v>9919</v>
      </c>
      <c r="C7886" s="5" t="str">
        <f>IFERROR(__xludf.DUMMYFUNCTION("GOOGLETRANSLATE(B7886,""en"",""fr"")"),"La caméra se dirige vers le bout du porche.")</f>
        <v>La caméra se dirige vers le bout du porche.</v>
      </c>
    </row>
    <row r="7887">
      <c r="A7887" s="4" t="s">
        <v>9917</v>
      </c>
      <c r="B7887" s="4" t="s">
        <v>9920</v>
      </c>
      <c r="C7887" s="5" t="str">
        <f>IFERROR(__xludf.DUMMYFUNCTION("GOOGLETRANSLATE(B7887,""en"",""fr"")"),"La caméra se retourne tout en regardant le porche.")</f>
        <v>La caméra se retourne tout en regardant le porche.</v>
      </c>
    </row>
    <row r="7888">
      <c r="A7888" s="4" t="s">
        <v>9921</v>
      </c>
      <c r="B7888" s="4" t="s">
        <v>9922</v>
      </c>
      <c r="C7888" s="5" t="str">
        <f>IFERROR(__xludf.DUMMYFUNCTION("GOOGLETRANSLATE(B7888,""en"",""fr"")"),"Les enfants jouent sur la plage.")</f>
        <v>Les enfants jouent sur la plage.</v>
      </c>
    </row>
    <row r="7889">
      <c r="A7889" s="4" t="s">
        <v>9921</v>
      </c>
      <c r="B7889" s="4" t="s">
        <v>9923</v>
      </c>
      <c r="C7889" s="5" t="str">
        <f>IFERROR(__xludf.DUMMYFUNCTION("GOOGLETRANSLATE(B7889,""en"",""fr"")"),"Ils construisent un château de sable.")</f>
        <v>Ils construisent un château de sable.</v>
      </c>
    </row>
    <row r="7890">
      <c r="A7890" s="4" t="s">
        <v>9921</v>
      </c>
      <c r="B7890" s="4" t="s">
        <v>9924</v>
      </c>
      <c r="C7890" s="5" t="str">
        <f>IFERROR(__xludf.DUMMYFUNCTION("GOOGLETRANSLATE(B7890,""en"",""fr"")"),"Une fille jette un seau plein de sable devant elle.")</f>
        <v>Une fille jette un seau plein de sable devant elle.</v>
      </c>
    </row>
    <row r="7891">
      <c r="A7891" s="4" t="s">
        <v>9925</v>
      </c>
      <c r="B7891" s="4" t="s">
        <v>9926</v>
      </c>
      <c r="C7891" s="5" t="str">
        <f>IFERROR(__xludf.DUMMYFUNCTION("GOOGLETRANSLATE(B7891,""en"",""fr"")"),"Un homme en chapeau parle à une caméra.")</f>
        <v>Un homme en chapeau parle à une caméra.</v>
      </c>
    </row>
    <row r="7892">
      <c r="A7892" s="4" t="s">
        <v>9925</v>
      </c>
      <c r="B7892" s="4" t="s">
        <v>9927</v>
      </c>
      <c r="C7892" s="5" t="str">
        <f>IFERROR(__xludf.DUMMYFUNCTION("GOOGLETRANSLATE(B7892,""en"",""fr"")"),"Il est habillé dans une tenue de lutte de sumo et joue au curling.")</f>
        <v>Il est habillé dans une tenue de lutte de sumo et joue au curling.</v>
      </c>
    </row>
    <row r="7893">
      <c r="A7893" s="4" t="s">
        <v>9925</v>
      </c>
      <c r="B7893" s="4" t="s">
        <v>9928</v>
      </c>
      <c r="C7893" s="5" t="str">
        <f>IFERROR(__xludf.DUMMYFUNCTION("GOOGLETRANSLATE(B7893,""en"",""fr"")"),"Il joue au tennis sur un court de tennis.")</f>
        <v>Il joue au tennis sur un court de tennis.</v>
      </c>
    </row>
    <row r="7894">
      <c r="A7894" s="4" t="s">
        <v>9929</v>
      </c>
      <c r="B7894" s="4" t="s">
        <v>9930</v>
      </c>
      <c r="C7894" s="5" t="str">
        <f>IFERROR(__xludf.DUMMYFUNCTION("GOOGLETRANSLATE(B7894,""en"",""fr"")"),"Une vue sur la ville est vue à partir d'un gratte-ciel.")</f>
        <v>Une vue sur la ville est vue à partir d'un gratte-ciel.</v>
      </c>
    </row>
    <row r="7895">
      <c r="A7895" s="4" t="s">
        <v>9929</v>
      </c>
      <c r="B7895" s="4" t="s">
        <v>9931</v>
      </c>
      <c r="C7895" s="5" t="str">
        <f>IFERROR(__xludf.DUMMYFUNCTION("GOOGLETRANSLATE(B7895,""en"",""fr"")"),"Deux hommes sont présentés en train de nettoyer les fenêtres sur le côté du bâtiment.")</f>
        <v>Deux hommes sont présentés en train de nettoyer les fenêtres sur le côté du bâtiment.</v>
      </c>
    </row>
    <row r="7896">
      <c r="A7896" s="4" t="s">
        <v>9929</v>
      </c>
      <c r="B7896" s="4" t="s">
        <v>9932</v>
      </c>
      <c r="C7896" s="5" t="str">
        <f>IFERROR(__xludf.DUMMYFUNCTION("GOOGLETRANSLATE(B7896,""en"",""fr"")"),"Ils se précipitent et essuient le verre de manière professionnelle.")</f>
        <v>Ils se précipitent et essuient le verre de manière professionnelle.</v>
      </c>
    </row>
    <row r="7897">
      <c r="A7897" s="4" t="s">
        <v>9929</v>
      </c>
      <c r="B7897" s="4" t="s">
        <v>9933</v>
      </c>
      <c r="C7897" s="5" t="str">
        <f>IFERROR(__xludf.DUMMYFUNCTION("GOOGLETRANSLATE(B7897,""en"",""fr"")"),"Ils vérifient ensuite leur travail avant de terminer.")</f>
        <v>Ils vérifient ensuite leur travail avant de terminer.</v>
      </c>
    </row>
    <row r="7898">
      <c r="A7898" s="4" t="s">
        <v>9934</v>
      </c>
      <c r="B7898" s="4" t="s">
        <v>9935</v>
      </c>
      <c r="C7898" s="5" t="str">
        <f>IFERROR(__xludf.DUMMYFUNCTION("GOOGLETRANSLATE(B7898,""en"",""fr"")"),"Là, des oies volant dans le ciel au-dessus d'un parc.")</f>
        <v>Là, des oies volant dans le ciel au-dessus d'un parc.</v>
      </c>
    </row>
    <row r="7899">
      <c r="A7899" s="4" t="s">
        <v>9934</v>
      </c>
      <c r="B7899" s="4" t="s">
        <v>9936</v>
      </c>
      <c r="C7899" s="5" t="str">
        <f>IFERROR(__xludf.DUMMYFUNCTION("GOOGLETRANSLATE(B7899,""en"",""fr"")"),"Un homme parle dans son microphone alors que certains hommes jouent au cricket derrière lui dans le parc.")</f>
        <v>Un homme parle dans son microphone alors que certains hommes jouent au cricket derrière lui dans le parc.</v>
      </c>
    </row>
    <row r="7900">
      <c r="A7900" s="4" t="s">
        <v>9934</v>
      </c>
      <c r="B7900" s="6" t="s">
        <v>9937</v>
      </c>
      <c r="C7900" s="5" t="str">
        <f>IFERROR(__xludf.DUMMYFUNCTION("GOOGLETRANSLATE(B7900,""en"",""fr"")"),"C'est une journée ensoleillée avec des oies se promenant dans le parc et les gens profitent d'un jeu de cricket décontracté.")</f>
        <v>C'est une journée ensoleillée avec des oies se promenant dans le parc et les gens profitent d'un jeu de cricket décontracté.</v>
      </c>
    </row>
    <row r="7901">
      <c r="A7901" s="4" t="s">
        <v>9934</v>
      </c>
      <c r="B7901" s="4" t="s">
        <v>9938</v>
      </c>
      <c r="C7901" s="5" t="str">
        <f>IFERROR(__xludf.DUMMYFUNCTION("GOOGLETRANSLATE(B7901,""en"",""fr"")"),"Il y a un homme qui frappe le ballon avec sa batte de cricket et une autre personne essayant de prendre son ballon.")</f>
        <v>Il y a un homme qui frappe le ballon avec sa batte de cricket et une autre personne essayant de prendre son ballon.</v>
      </c>
    </row>
    <row r="7902">
      <c r="A7902" s="4" t="s">
        <v>9934</v>
      </c>
      <c r="B7902" s="4" t="s">
        <v>9939</v>
      </c>
      <c r="C7902" s="5" t="str">
        <f>IFERROR(__xludf.DUMMYFUNCTION("GOOGLETRANSLATE(B7902,""en"",""fr"")"),"Un écureuil est assis sur le banc du parc et profite également du soleil.")</f>
        <v>Un écureuil est assis sur le banc du parc et profite également du soleil.</v>
      </c>
    </row>
    <row r="7903">
      <c r="A7903" s="4" t="s">
        <v>9940</v>
      </c>
      <c r="B7903" s="4" t="s">
        <v>9941</v>
      </c>
      <c r="C7903" s="5" t="str">
        <f>IFERROR(__xludf.DUMMYFUNCTION("GOOGLETRANSLATE(B7903,""en"",""fr"")"),"Un homme est vu jouer un saxophone dans la caméra et l'emmente en parlant.")</f>
        <v>Un homme est vu jouer un saxophone dans la caméra et l'emmente en parlant.</v>
      </c>
    </row>
    <row r="7904">
      <c r="A7904" s="4" t="s">
        <v>9940</v>
      </c>
      <c r="B7904" s="4" t="s">
        <v>9942</v>
      </c>
      <c r="C7904" s="5" t="str">
        <f>IFERROR(__xludf.DUMMYFUNCTION("GOOGLETRANSLATE(B7904,""en"",""fr"")"),"Plus de coups sont montrés de lui jouant de l'instrument tout en s'arrêtant pour jouer plus.")</f>
        <v>Plus de coups sont montrés de lui jouant de l'instrument tout en s'arrêtant pour jouer plus.</v>
      </c>
    </row>
    <row r="7905">
      <c r="A7905" s="4" t="s">
        <v>9940</v>
      </c>
      <c r="B7905" s="4" t="s">
        <v>9943</v>
      </c>
      <c r="C7905" s="5" t="str">
        <f>IFERROR(__xludf.DUMMYFUNCTION("GOOGLETRANSLATE(B7905,""en"",""fr"")"),"Il continue de jouer et se termine en souriant à la caméra.")</f>
        <v>Il continue de jouer et se termine en souriant à la caméra.</v>
      </c>
    </row>
    <row r="7906">
      <c r="A7906" s="4" t="s">
        <v>9944</v>
      </c>
      <c r="B7906" s="4" t="s">
        <v>9945</v>
      </c>
      <c r="C7906" s="5" t="str">
        <f>IFERROR(__xludf.DUMMYFUNCTION("GOOGLETRANSLATE(B7906,""en"",""fr"")"),"Plusieurs personnes sont présentées sur des photos, réunies dans le matériel d'hiver dans la neige.")</f>
        <v>Plusieurs personnes sont présentées sur des photos, réunies dans le matériel d'hiver dans la neige.</v>
      </c>
    </row>
    <row r="7907">
      <c r="A7907" s="4" t="s">
        <v>9944</v>
      </c>
      <c r="B7907" s="4" t="s">
        <v>9946</v>
      </c>
      <c r="C7907" s="5" t="str">
        <f>IFERROR(__xludf.DUMMYFUNCTION("GOOGLETRANSLATE(B7907,""en"",""fr"")"),"Ils roulent dans des intertibes en bas d'une colline ensemble, riant et se parlent.")</f>
        <v>Ils roulent dans des intertibes en bas d'une colline ensemble, riant et se parlent.</v>
      </c>
    </row>
    <row r="7908">
      <c r="A7908" s="4" t="s">
        <v>9944</v>
      </c>
      <c r="B7908" s="4" t="s">
        <v>9947</v>
      </c>
      <c r="C7908" s="5" t="str">
        <f>IFERROR(__xludf.DUMMYFUNCTION("GOOGLETRANSLATE(B7908,""en"",""fr"")"),"Ils sont ensuite montrés après même des photos de célébration, posant ensemble.")</f>
        <v>Ils sont ensuite montrés après même des photos de célébration, posant ensemble.</v>
      </c>
    </row>
    <row r="7909">
      <c r="A7909" s="4" t="s">
        <v>9948</v>
      </c>
      <c r="B7909" s="4" t="s">
        <v>9949</v>
      </c>
      <c r="C7909" s="5" t="str">
        <f>IFERROR(__xludf.DUMMYFUNCTION("GOOGLETRANSLATE(B7909,""en"",""fr"")"),"Une croix apparaît dans le style de la tuile sous l'eau dans une piscine.")</f>
        <v>Une croix apparaît dans le style de la tuile sous l'eau dans une piscine.</v>
      </c>
    </row>
    <row r="7910">
      <c r="A7910" s="4" t="s">
        <v>9948</v>
      </c>
      <c r="B7910" s="4" t="s">
        <v>9950</v>
      </c>
      <c r="C7910" s="5" t="str">
        <f>IFERROR(__xludf.DUMMYFUNCTION("GOOGLETRANSLATE(B7910,""en"",""fr"")"),"Un homme en bonnet de natation nage dans l'eau vers la caméra.")</f>
        <v>Un homme en bonnet de natation nage dans l'eau vers la caméra.</v>
      </c>
    </row>
    <row r="7911">
      <c r="A7911" s="4" t="s">
        <v>9948</v>
      </c>
      <c r="B7911" s="4" t="s">
        <v>9951</v>
      </c>
      <c r="C7911" s="5" t="str">
        <f>IFERROR(__xludf.DUMMYFUNCTION("GOOGLETRANSLATE(B7911,""en"",""fr"")"),"On lui montre la natation sous de nombreux angles.")</f>
        <v>On lui montre la natation sous de nombreux angles.</v>
      </c>
    </row>
    <row r="7912">
      <c r="A7912" s="4" t="s">
        <v>9952</v>
      </c>
      <c r="B7912" s="4" t="s">
        <v>9953</v>
      </c>
      <c r="C7912" s="5" t="str">
        <f>IFERROR(__xludf.DUMMYFUNCTION("GOOGLETRANSLATE(B7912,""en"",""fr"")"),"Deux personnes sont vêtues de tous les vélos noirs sur la route.")</f>
        <v>Deux personnes sont vêtues de tous les vélos noirs sur la route.</v>
      </c>
    </row>
    <row r="7913">
      <c r="A7913" s="4" t="s">
        <v>9952</v>
      </c>
      <c r="B7913" s="4" t="s">
        <v>9954</v>
      </c>
      <c r="C7913" s="5" t="str">
        <f>IFERROR(__xludf.DUMMYFUNCTION("GOOGLETRANSLATE(B7913,""en"",""fr"")"),"Les deux garçons sont ensuite représentés sur un écran partagé les uns contre les autres en mettant leurs casques.")</f>
        <v>Les deux garçons sont ensuite représentés sur un écran partagé les uns contre les autres en mettant leurs casques.</v>
      </c>
    </row>
    <row r="7914">
      <c r="A7914" s="4" t="s">
        <v>9952</v>
      </c>
      <c r="B7914" s="4" t="s">
        <v>9955</v>
      </c>
      <c r="C7914" s="5" t="str">
        <f>IFERROR(__xludf.DUMMYFUNCTION("GOOGLETRANSLATE(B7914,""en"",""fr"")"),"Les deux ont ensuite mis leurs gants de vélo vert et remonter sur les vélos.")</f>
        <v>Les deux ont ensuite mis leurs gants de vélo vert et remonter sur les vélos.</v>
      </c>
    </row>
    <row r="7915">
      <c r="A7915" s="4" t="s">
        <v>9952</v>
      </c>
      <c r="B7915" s="4" t="s">
        <v>9956</v>
      </c>
      <c r="C7915" s="5" t="str">
        <f>IFERROR(__xludf.DUMMYFUNCTION("GOOGLETRANSLATE(B7915,""en"",""fr"")"),"Un skate park est ensuite montré et l'un des garçons commence à faire des astuces sur les bosses.")</f>
        <v>Un skate park est ensuite montré et l'un des garçons commence à faire des astuces sur les bosses.</v>
      </c>
    </row>
    <row r="7916">
      <c r="A7916" s="4" t="s">
        <v>9952</v>
      </c>
      <c r="B7916" s="4" t="s">
        <v>9957</v>
      </c>
      <c r="C7916" s="5" t="str">
        <f>IFERROR(__xludf.DUMMYFUNCTION("GOOGLETRANSLATE(B7916,""en"",""fr"")"),"Une fois terminés, les vélos sont promenés et les garçons commencent à se serrer la main.")</f>
        <v>Une fois terminés, les vélos sont promenés et les garçons commencent à se serrer la main.</v>
      </c>
    </row>
    <row r="7917">
      <c r="A7917" s="4" t="s">
        <v>9952</v>
      </c>
      <c r="B7917" s="4" t="s">
        <v>9958</v>
      </c>
      <c r="C7917" s="5" t="str">
        <f>IFERROR(__xludf.DUMMYFUNCTION("GOOGLETRANSLATE(B7917,""en"",""fr"")"),"Après que les astuces se poursuivent et ils continuent de sauter et de faire des astuces sur les collines.")</f>
        <v>Après que les astuces se poursuivent et ils continuent de sauter et de faire des astuces sur les collines.</v>
      </c>
    </row>
    <row r="7918">
      <c r="A7918" s="4" t="s">
        <v>9959</v>
      </c>
      <c r="B7918" s="4" t="s">
        <v>9960</v>
      </c>
      <c r="C7918" s="5" t="str">
        <f>IFERROR(__xludf.DUMMYFUNCTION("GOOGLETRANSLATE(B7918,""en"",""fr"")"),"Les gens attendent dans un gymnase intérieur alors que l'instructeur sort.")</f>
        <v>Les gens attendent dans un gymnase intérieur alors que l'instructeur sort.</v>
      </c>
    </row>
    <row r="7919">
      <c r="A7919" s="4" t="s">
        <v>9959</v>
      </c>
      <c r="B7919" s="4" t="s">
        <v>9961</v>
      </c>
      <c r="C7919" s="5" t="str">
        <f>IFERROR(__xludf.DUMMYFUNCTION("GOOGLETRANSLATE(B7919,""en"",""fr"")"),"La classe démarre une classe d'expédition à l'aide de boîtes noires.")</f>
        <v>La classe démarre une classe d'expédition à l'aide de boîtes noires.</v>
      </c>
    </row>
    <row r="7920">
      <c r="A7920" s="4" t="s">
        <v>9959</v>
      </c>
      <c r="B7920" s="4" t="s">
        <v>9962</v>
      </c>
      <c r="C7920" s="5" t="str">
        <f>IFERROR(__xludf.DUMMYFUNCTION("GOOGLETRANSLATE(B7920,""en"",""fr"")"),"La classe se termine en agitant leurs bras et l'instructeur s'éloigne.")</f>
        <v>La classe se termine en agitant leurs bras et l'instructeur s'éloigne.</v>
      </c>
    </row>
    <row r="7921">
      <c r="A7921" s="4" t="s">
        <v>9963</v>
      </c>
      <c r="B7921" s="4" t="s">
        <v>9964</v>
      </c>
      <c r="C7921" s="5" t="str">
        <f>IFERROR(__xludf.DUMMYFUNCTION("GOOGLETRANSLATE(B7921,""en"",""fr"")"),"Deux hommes sont vus des bras se luttent les uns avec les autres tout en tenant leurs bras sur les côtés.")</f>
        <v>Deux hommes sont vus des bras se luttent les uns avec les autres tout en tenant leurs bras sur les côtés.</v>
      </c>
    </row>
    <row r="7922">
      <c r="A7922" s="4" t="s">
        <v>9963</v>
      </c>
      <c r="B7922" s="4" t="s">
        <v>9965</v>
      </c>
      <c r="C7922" s="5" t="str">
        <f>IFERROR(__xludf.DUMMYFUNCTION("GOOGLETRANSLATE(B7922,""en"",""fr"")"),"Ils continuent de recommencer jusqu'à ce que l'un d'eux finisse par gagner.")</f>
        <v>Ils continuent de recommencer jusqu'à ce que l'un d'eux finisse par gagner.</v>
      </c>
    </row>
    <row r="7923">
      <c r="A7923" s="4" t="s">
        <v>9966</v>
      </c>
      <c r="B7923" s="4" t="s">
        <v>9967</v>
      </c>
      <c r="C7923" s="5" t="str">
        <f>IFERROR(__xludf.DUMMYFUNCTION("GOOGLETRANSLATE(B7923,""en"",""fr"")"),"Un homme se tient sous un but de basket.")</f>
        <v>Un homme se tient sous un but de basket.</v>
      </c>
    </row>
    <row r="7924">
      <c r="A7924" s="4" t="s">
        <v>9966</v>
      </c>
      <c r="B7924" s="4" t="s">
        <v>9968</v>
      </c>
      <c r="C7924" s="5" t="str">
        <f>IFERROR(__xludf.DUMMYFUNCTION("GOOGLETRANSLATE(B7924,""en"",""fr"")"),"Un groupe de garçons écoute l'entraîneur.")</f>
        <v>Un groupe de garçons écoute l'entraîneur.</v>
      </c>
    </row>
    <row r="7925">
      <c r="A7925" s="4" t="s">
        <v>9966</v>
      </c>
      <c r="B7925" s="4" t="s">
        <v>9969</v>
      </c>
      <c r="C7925" s="5" t="str">
        <f>IFERROR(__xludf.DUMMYFUNCTION("GOOGLETRANSLATE(B7925,""en"",""fr"")"),"Ils commencent à se réchauffer en faisant des licenciements.")</f>
        <v>Ils commencent à se réchauffer en faisant des licenciements.</v>
      </c>
    </row>
    <row r="7926">
      <c r="A7926" s="4" t="s">
        <v>9966</v>
      </c>
      <c r="B7926" s="4" t="s">
        <v>9970</v>
      </c>
      <c r="C7926" s="5" t="str">
        <f>IFERROR(__xludf.DUMMYFUNCTION("GOOGLETRANSLATE(B7926,""en"",""fr"")"),"Les garçons s'alignent, prêts à jouer au jeu.")</f>
        <v>Les garçons s'alignent, prêts à jouer au jeu.</v>
      </c>
    </row>
    <row r="7927">
      <c r="A7927" s="4" t="s">
        <v>9971</v>
      </c>
      <c r="B7927" s="4" t="s">
        <v>9972</v>
      </c>
      <c r="C7927" s="5" t="str">
        <f>IFERROR(__xludf.DUMMYFUNCTION("GOOGLETRANSLATE(B7927,""en"",""fr"")"),"Les gens sont dans un wakeboard de lac en cours d'arrivée par un bateau.")</f>
        <v>Les gens sont dans un wakeboard de lac en cours d'arrivée par un bateau.</v>
      </c>
    </row>
    <row r="7928">
      <c r="A7928" s="4" t="s">
        <v>9971</v>
      </c>
      <c r="B7928" s="4" t="s">
        <v>9973</v>
      </c>
      <c r="C7928" s="5" t="str">
        <f>IFERROR(__xludf.DUMMYFUNCTION("GOOGLETRANSLATE(B7928,""en"",""fr"")"),"Beaucoup de gens se tiennent sur un quai en regardant le concours de wakeboard.")</f>
        <v>Beaucoup de gens se tiennent sur un quai en regardant le concours de wakeboard.</v>
      </c>
    </row>
    <row r="7929">
      <c r="A7929" s="4" t="s">
        <v>9971</v>
      </c>
      <c r="B7929" s="4" t="s">
        <v>9974</v>
      </c>
      <c r="C7929" s="5" t="str">
        <f>IFERROR(__xludf.DUMMYFUNCTION("GOOGLETRANSLATE(B7929,""en"",""fr"")"),"Les gens marchent sur le quai portant des vêtements d'hiver.")</f>
        <v>Les gens marchent sur le quai portant des vêtements d'hiver.</v>
      </c>
    </row>
    <row r="7930">
      <c r="A7930" s="4" t="s">
        <v>9975</v>
      </c>
      <c r="B7930" s="4" t="s">
        <v>9976</v>
      </c>
      <c r="C7930" s="5" t="str">
        <f>IFERROR(__xludf.DUMMYFUNCTION("GOOGLETRANSLATE(B7930,""en"",""fr"")"),"Il y a une femme qui ne portait que du short et un tshirt.")</f>
        <v>Il y a une femme qui ne portait que du short et un tshirt.</v>
      </c>
    </row>
    <row r="7931">
      <c r="A7931" s="4" t="s">
        <v>9975</v>
      </c>
      <c r="B7931" s="4" t="s">
        <v>9977</v>
      </c>
      <c r="C7931" s="5" t="str">
        <f>IFERROR(__xludf.DUMMYFUNCTION("GOOGLETRANSLATE(B7931,""en"",""fr"")"),"Elle est montrée assise sur un rocher tout en lavant le peu de vêtements qu'elle a dans la rivière.")</f>
        <v>Elle est montrée assise sur un rocher tout en lavant le peu de vêtements qu'elle a dans la rivière.</v>
      </c>
    </row>
    <row r="7932">
      <c r="A7932" s="4" t="s">
        <v>9978</v>
      </c>
      <c r="B7932" s="4" t="s">
        <v>9979</v>
      </c>
      <c r="C7932" s="5" t="str">
        <f>IFERROR(__xludf.DUMMYFUNCTION("GOOGLETRANSLATE(B7932,""en"",""fr"")"),"Quelqu'un est au bowling sur une voie avec une balle rouge.")</f>
        <v>Quelqu'un est au bowling sur une voie avec une balle rouge.</v>
      </c>
    </row>
    <row r="7933">
      <c r="A7933" s="4" t="s">
        <v>9978</v>
      </c>
      <c r="B7933" s="4" t="s">
        <v>9980</v>
      </c>
      <c r="C7933" s="5" t="str">
        <f>IFERROR(__xludf.DUMMYFUNCTION("GOOGLETRANSLATE(B7933,""en"",""fr"")"),"Il lance le ballon, son pied monte et le ballon roule pour frapper les épingles.")</f>
        <v>Il lance le ballon, son pied monte et le ballon roule pour frapper les épingles.</v>
      </c>
    </row>
    <row r="7934">
      <c r="A7934" s="4" t="s">
        <v>9978</v>
      </c>
      <c r="B7934" s="4" t="s">
        <v>9981</v>
      </c>
      <c r="C7934" s="5" t="str">
        <f>IFERROR(__xludf.DUMMYFUNCTION("GOOGLETRANSLATE(B7934,""en"",""fr"")"),"Plusieurs personnes prennent leur tour en faisant la même position et tout plus ou moins.")</f>
        <v>Plusieurs personnes prennent leur tour en faisant la même position et tout plus ou moins.</v>
      </c>
    </row>
    <row r="7935">
      <c r="A7935" s="4" t="s">
        <v>9978</v>
      </c>
      <c r="B7935" s="4" t="s">
        <v>9982</v>
      </c>
      <c r="C7935" s="5" t="str">
        <f>IFERROR(__xludf.DUMMYFUNCTION("GOOGLETRANSLATE(B7935,""en"",""fr"")"),"Vous ne voyez jamais les balles frapper les épingles juste tout le monde jetant le ballon.")</f>
        <v>Vous ne voyez jamais les balles frapper les épingles juste tout le monde jetant le ballon.</v>
      </c>
    </row>
    <row r="7936">
      <c r="A7936" s="4" t="s">
        <v>9983</v>
      </c>
      <c r="B7936" s="4" t="s">
        <v>9984</v>
      </c>
      <c r="C7936" s="5" t="str">
        <f>IFERROR(__xludf.DUMMYFUNCTION("GOOGLETRANSLATE(B7936,""en"",""fr"")"),"Un caméraman descend dans une allée enneigée pour capturer un jeune enfant en train de pelleter la neige.")</f>
        <v>Un caméraman descend dans une allée enneigée pour capturer un jeune enfant en train de pelleter la neige.</v>
      </c>
    </row>
    <row r="7937">
      <c r="A7937" s="4" t="s">
        <v>9983</v>
      </c>
      <c r="B7937" s="4" t="s">
        <v>9985</v>
      </c>
      <c r="C7937" s="5" t="str">
        <f>IFERROR(__xludf.DUMMYFUNCTION("GOOGLETRANSLATE(B7937,""en"",""fr"")"),"Le garçon parle dans la caméra et continue de pousser la neige avec une pelle.")</f>
        <v>Le garçon parle dans la caméra et continue de pousser la neige avec une pelle.</v>
      </c>
    </row>
    <row r="7938">
      <c r="A7938" s="4" t="s">
        <v>9986</v>
      </c>
      <c r="B7938" s="4" t="s">
        <v>9987</v>
      </c>
      <c r="C7938" s="5" t="str">
        <f>IFERROR(__xludf.DUMMYFUNCTION("GOOGLETRANSLATE(B7938,""en"",""fr"")"),"Cinq femmes sont dans une salle dansant.")</f>
        <v>Cinq femmes sont dans une salle dansant.</v>
      </c>
    </row>
    <row r="7939">
      <c r="A7939" s="4" t="s">
        <v>9986</v>
      </c>
      <c r="B7939" s="4" t="s">
        <v>9988</v>
      </c>
      <c r="C7939" s="5" t="str">
        <f>IFERROR(__xludf.DUMMYFUNCTION("GOOGLETRANSLATE(B7939,""en"",""fr"")"),"Ils dansent en cercle.")</f>
        <v>Ils dansent en cercle.</v>
      </c>
    </row>
    <row r="7940">
      <c r="A7940" s="4" t="s">
        <v>9986</v>
      </c>
      <c r="B7940" s="4" t="s">
        <v>9989</v>
      </c>
      <c r="C7940" s="5" t="str">
        <f>IFERROR(__xludf.DUMMYFUNCTION("GOOGLETRANSLATE(B7940,""en"",""fr"")"),"Ils continuent de danser ensemble dans la pièce.")</f>
        <v>Ils continuent de danser ensemble dans la pièce.</v>
      </c>
    </row>
    <row r="7941">
      <c r="A7941" s="4" t="s">
        <v>9990</v>
      </c>
      <c r="B7941" s="4" t="s">
        <v>9991</v>
      </c>
      <c r="C7941" s="5" t="str">
        <f>IFERROR(__xludf.DUMMYFUNCTION("GOOGLETRANSLATE(B7941,""en"",""fr"")"),"Une femme portant des gants est devant un évier.")</f>
        <v>Une femme portant des gants est devant un évier.</v>
      </c>
    </row>
    <row r="7942">
      <c r="A7942" s="4" t="s">
        <v>9990</v>
      </c>
      <c r="B7942" s="4" t="s">
        <v>9992</v>
      </c>
      <c r="C7942" s="5" t="str">
        <f>IFERROR(__xludf.DUMMYFUNCTION("GOOGLETRANSLATE(B7942,""en"",""fr"")"),"Elle le pulvérise avec une solution de nettoyage.")</f>
        <v>Elle le pulvérise avec une solution de nettoyage.</v>
      </c>
    </row>
    <row r="7943">
      <c r="A7943" s="4" t="s">
        <v>9990</v>
      </c>
      <c r="B7943" s="4" t="s">
        <v>9993</v>
      </c>
      <c r="C7943" s="5" t="str">
        <f>IFERROR(__xludf.DUMMYFUNCTION("GOOGLETRANSLATE(B7943,""en"",""fr"")"),"Elle frotte ensuite l'évier jusqu'à ce qu'il soit propre.")</f>
        <v>Elle frotte ensuite l'évier jusqu'à ce qu'il soit propre.</v>
      </c>
    </row>
    <row r="7944">
      <c r="A7944" s="4" t="s">
        <v>9994</v>
      </c>
      <c r="B7944" s="4" t="s">
        <v>9995</v>
      </c>
      <c r="C7944" s="5" t="str">
        <f>IFERROR(__xludf.DUMMYFUNCTION("GOOGLETRANSLATE(B7944,""en"",""fr"")"),"Un homme se tient devant la caméra, puis commence à peigner ses cheveux vers l'avant.")</f>
        <v>Un homme se tient devant la caméra, puis commence à peigner ses cheveux vers l'avant.</v>
      </c>
    </row>
    <row r="7945">
      <c r="A7945" s="4" t="s">
        <v>9994</v>
      </c>
      <c r="B7945" s="4" t="s">
        <v>9996</v>
      </c>
      <c r="C7945" s="5" t="str">
        <f>IFERROR(__xludf.DUMMYFUNCTION("GOOGLETRANSLATE(B7945,""en"",""fr"")"),"Il se concentre ensuite sur les côtés et le dos de ses cheveux, peignant à nouveau.")</f>
        <v>Il se concentre ensuite sur les côtés et le dos de ses cheveux, peignant à nouveau.</v>
      </c>
    </row>
    <row r="7946">
      <c r="A7946" s="4" t="s">
        <v>9994</v>
      </c>
      <c r="B7946" s="4" t="s">
        <v>9997</v>
      </c>
      <c r="C7946" s="5" t="str">
        <f>IFERROR(__xludf.DUMMYFUNCTION("GOOGLETRANSLATE(B7946,""en"",""fr"")"),"Il apporte la brosse tout autour de ses cheveux, ajoutant sa main gauche pour glisser.")</f>
        <v>Il apporte la brosse tout autour de ses cheveux, ajoutant sa main gauche pour glisser.</v>
      </c>
    </row>
    <row r="7947">
      <c r="A7947" s="4" t="s">
        <v>9998</v>
      </c>
      <c r="B7947" s="4" t="s">
        <v>9999</v>
      </c>
      <c r="C7947" s="5" t="str">
        <f>IFERROR(__xludf.DUMMYFUNCTION("GOOGLETRANSLATE(B7947,""en"",""fr"")"),"Nous voyons un homme ajuster la caméra et secouer ses cheveux.")</f>
        <v>Nous voyons un homme ajuster la caméra et secouer ses cheveux.</v>
      </c>
    </row>
    <row r="7948">
      <c r="A7948" s="4" t="s">
        <v>9998</v>
      </c>
      <c r="B7948" s="4" t="s">
        <v>10000</v>
      </c>
      <c r="C7948" s="5" t="str">
        <f>IFERROR(__xludf.DUMMYFUNCTION("GOOGLETRANSLATE(B7948,""en"",""fr"")"),"Nous voyons des commentaires sur l'écran.")</f>
        <v>Nous voyons des commentaires sur l'écran.</v>
      </c>
    </row>
    <row r="7949">
      <c r="A7949" s="4" t="s">
        <v>9998</v>
      </c>
      <c r="B7949" s="4" t="s">
        <v>10001</v>
      </c>
      <c r="C7949" s="5" t="str">
        <f>IFERROR(__xludf.DUMMYFUNCTION("GOOGLETRANSLATE(B7949,""en"",""fr"")"),"L'image est en couleur et l'homme souffle ses cheveux.")</f>
        <v>L'image est en couleur et l'homme souffle ses cheveux.</v>
      </c>
    </row>
    <row r="7950">
      <c r="A7950" s="4" t="s">
        <v>9998</v>
      </c>
      <c r="B7950" s="4" t="s">
        <v>10002</v>
      </c>
      <c r="C7950" s="5" t="str">
        <f>IFERROR(__xludf.DUMMYFUNCTION("GOOGLETRANSLATE(B7950,""en"",""fr"")"),"L'homme utilise un pinceau et des instructions apparaissent.")</f>
        <v>L'homme utilise un pinceau et des instructions apparaissent.</v>
      </c>
    </row>
    <row r="7951">
      <c r="A7951" s="4" t="s">
        <v>9998</v>
      </c>
      <c r="B7951" s="4" t="s">
        <v>10003</v>
      </c>
      <c r="C7951" s="5" t="str">
        <f>IFERROR(__xludf.DUMMYFUNCTION("GOOGLETRANSLATE(B7951,""en"",""fr"")"),"Nous voyons plus d'instructions sur l'écran.")</f>
        <v>Nous voyons plus d'instructions sur l'écran.</v>
      </c>
    </row>
    <row r="7952">
      <c r="A7952" s="4" t="s">
        <v>9998</v>
      </c>
      <c r="B7952" s="4" t="s">
        <v>10004</v>
      </c>
      <c r="C7952" s="5" t="str">
        <f>IFERROR(__xludf.DUMMYFUNCTION("GOOGLETRANSLATE(B7952,""en"",""fr"")"),"L'instruction raconte des vues pour mouler les cheveux.")</f>
        <v>L'instruction raconte des vues pour mouler les cheveux.</v>
      </c>
    </row>
    <row r="7953">
      <c r="A7953" s="4" t="s">
        <v>9998</v>
      </c>
      <c r="B7953" s="4" t="s">
        <v>10005</v>
      </c>
      <c r="C7953" s="5" t="str">
        <f>IFERROR(__xludf.DUMMYFUNCTION("GOOGLETRANSLATE(B7953,""en"",""fr"")"),"Plus d'instructions apparaissent à l'écran.")</f>
        <v>Plus d'instructions apparaissent à l'écran.</v>
      </c>
    </row>
    <row r="7954">
      <c r="A7954" s="4" t="s">
        <v>9998</v>
      </c>
      <c r="B7954" s="4" t="s">
        <v>10006</v>
      </c>
      <c r="C7954" s="5" t="str">
        <f>IFERROR(__xludf.DUMMYFUNCTION("GOOGLETRANSLATE(B7954,""en"",""fr"")"),"L'homme ajoute des pommades à ses cheveux.")</f>
        <v>L'homme ajoute des pommades à ses cheveux.</v>
      </c>
    </row>
    <row r="7955">
      <c r="A7955" s="4" t="s">
        <v>9998</v>
      </c>
      <c r="B7955" s="4" t="s">
        <v>10007</v>
      </c>
      <c r="C7955" s="5" t="str">
        <f>IFERROR(__xludf.DUMMYFUNCTION("GOOGLETRANSLATE(B7955,""en"",""fr"")"),"L'homme se brosse les cheveux avec une brosse.")</f>
        <v>L'homme se brosse les cheveux avec une brosse.</v>
      </c>
    </row>
    <row r="7956">
      <c r="A7956" s="4" t="s">
        <v>9998</v>
      </c>
      <c r="B7956" s="4" t="s">
        <v>10008</v>
      </c>
      <c r="C7956" s="5" t="str">
        <f>IFERROR(__xludf.DUMMYFUNCTION("GOOGLETRANSLATE(B7956,""en"",""fr"")"),"Nous voyons la scène devenir sombre et l'écriture apparaît à l'écran.")</f>
        <v>Nous voyons la scène devenir sombre et l'écriture apparaît à l'écran.</v>
      </c>
    </row>
    <row r="7957">
      <c r="A7957" s="4" t="s">
        <v>10009</v>
      </c>
      <c r="B7957" s="4" t="s">
        <v>10010</v>
      </c>
      <c r="C7957" s="5" t="str">
        <f>IFERROR(__xludf.DUMMYFUNCTION("GOOGLETRANSLATE(B7957,""en"",""fr"")"),"Un cheval se déchaîne avec un entraîneur qui la poursuit.")</f>
        <v>Un cheval se déchaîne avec un entraîneur qui la poursuit.</v>
      </c>
    </row>
    <row r="7958">
      <c r="A7958" s="4" t="s">
        <v>10009</v>
      </c>
      <c r="B7958" s="4" t="s">
        <v>10011</v>
      </c>
      <c r="C7958" s="5" t="str">
        <f>IFERROR(__xludf.DUMMYFUNCTION("GOOGLETRANSLATE(B7958,""en"",""fr"")"),"Un cheval court après et qui fait un taureau qui le charge avec ses cornes.")</f>
        <v>Un cheval court après et qui fait un taureau qui le charge avec ses cornes.</v>
      </c>
    </row>
    <row r="7959">
      <c r="A7959" s="4" t="s">
        <v>10009</v>
      </c>
      <c r="B7959" s="4" t="s">
        <v>10012</v>
      </c>
      <c r="C7959" s="5" t="str">
        <f>IFERROR(__xludf.DUMMYFUNCTION("GOOGLETRANSLATE(B7959,""en"",""fr"")"),"Le cheval est libéré du corail par les Cowboys.")</f>
        <v>Le cheval est libéré du corail par les Cowboys.</v>
      </c>
    </row>
    <row r="7960">
      <c r="A7960" s="4" t="s">
        <v>10009</v>
      </c>
      <c r="B7960" s="4" t="s">
        <v>10013</v>
      </c>
      <c r="C7960" s="5" t="str">
        <f>IFERROR(__xludf.DUMMYFUNCTION("GOOGLETRANSLATE(B7960,""en"",""fr"")"),"Les intestins de chevaux pendent à son corps de la blessure.")</f>
        <v>Les intestins de chevaux pendent à son corps de la blessure.</v>
      </c>
    </row>
    <row r="7961">
      <c r="A7961" s="4" t="s">
        <v>10009</v>
      </c>
      <c r="B7961" s="4" t="s">
        <v>10014</v>
      </c>
      <c r="C7961" s="5" t="str">
        <f>IFERROR(__xludf.DUMMYFUNCTION("GOOGLETRANSLATE(B7961,""en"",""fr"")"),"Le cheval se trouve sur le sol avec une crise.")</f>
        <v>Le cheval se trouve sur le sol avec une crise.</v>
      </c>
    </row>
    <row r="7962">
      <c r="A7962" s="4" t="s">
        <v>10009</v>
      </c>
      <c r="B7962" s="4" t="s">
        <v>10015</v>
      </c>
      <c r="C7962" s="5" t="str">
        <f>IFERROR(__xludf.DUMMYFUNCTION("GOOGLETRANSLATE(B7962,""en"",""fr"")"),"Un taureau poursuit un cow-boy sur un cheval portant un lasso.")</f>
        <v>Un taureau poursuit un cow-boy sur un cheval portant un lasso.</v>
      </c>
    </row>
    <row r="7963">
      <c r="A7963" s="4" t="s">
        <v>10016</v>
      </c>
      <c r="B7963" s="4" t="s">
        <v>10017</v>
      </c>
      <c r="C7963" s="5" t="str">
        <f>IFERROR(__xludf.DUMMYFUNCTION("GOOGLETRANSLATE(B7963,""en"",""fr"")"),"Un motocycliste est dans le lit et est réveillé par un réveil.")</f>
        <v>Un motocycliste est dans le lit et est réveillé par un réveil.</v>
      </c>
    </row>
    <row r="7964">
      <c r="A7964" s="4" t="s">
        <v>10016</v>
      </c>
      <c r="B7964" s="6" t="s">
        <v>10018</v>
      </c>
      <c r="C7964" s="5" t="str">
        <f>IFERROR(__xludf.DUMMYFUNCTION("GOOGLETRANSLATE(B7964,""en"",""fr"")"),"Le motocycliste sort du lit et se prépare à partir en baignant à l'aide de la salle de bain et en lisant le journal.")</f>
        <v>Le motocycliste sort du lit et se prépare à partir en baignant à l'aide de la salle de bain et en lisant le journal.</v>
      </c>
    </row>
    <row r="7965">
      <c r="A7965" s="4" t="s">
        <v>10016</v>
      </c>
      <c r="B7965" s="4" t="s">
        <v>10019</v>
      </c>
      <c r="C7965" s="5" t="str">
        <f>IFERROR(__xludf.DUMMYFUNCTION("GOOGLETRANSLATE(B7965,""en"",""fr"")"),"Il conduit la moto dans le couloir et dans l'ascenseur.")</f>
        <v>Il conduit la moto dans le couloir et dans l'ascenseur.</v>
      </c>
    </row>
    <row r="7966">
      <c r="A7966" s="4" t="s">
        <v>10016</v>
      </c>
      <c r="B7966" s="6" t="s">
        <v>10020</v>
      </c>
      <c r="C7966" s="5" t="str">
        <f>IFERROR(__xludf.DUMMYFUNCTION("GOOGLETRANSLATE(B7966,""en"",""fr"")"),"Il sort du bâtiment et fait la moto dans un casino où il effectue plusieurs astuces pendant que les gens regardent.")</f>
        <v>Il sort du bâtiment et fait la moto dans un casino où il effectue plusieurs astuces pendant que les gens regardent.</v>
      </c>
    </row>
    <row r="7967">
      <c r="A7967" s="4" t="s">
        <v>10016</v>
      </c>
      <c r="B7967" s="4" t="s">
        <v>10021</v>
      </c>
      <c r="C7967" s="5" t="str">
        <f>IFERROR(__xludf.DUMMYFUNCTION("GOOGLETRANSLATE(B7967,""en"",""fr"")"),"Il sort du casino et les crédits de clôture apparaissent à l'écran.")</f>
        <v>Il sort du casino et les crédits de clôture apparaissent à l'écran.</v>
      </c>
    </row>
    <row r="7968">
      <c r="A7968" s="4" t="s">
        <v>10022</v>
      </c>
      <c r="B7968" s="4" t="s">
        <v>10023</v>
      </c>
      <c r="C7968" s="5" t="str">
        <f>IFERROR(__xludf.DUMMYFUNCTION("GOOGLETRANSLATE(B7968,""en"",""fr"")"),"Un gros plan de poids est montré.")</f>
        <v>Un gros plan de poids est montré.</v>
      </c>
    </row>
    <row r="7969">
      <c r="A7969" s="4" t="s">
        <v>10022</v>
      </c>
      <c r="B7969" s="6" t="s">
        <v>10024</v>
      </c>
      <c r="C7969" s="5" t="str">
        <f>IFERROR(__xludf.DUMMYFUNCTION("GOOGLETRANSLATE(B7969,""en"",""fr"")"),"Plusieurs personnes sont montrées soulevant des haltères avec des poids de diverses manières dans une salle de sport tandis que d'autres personnes regardent ou font de l'exercice en arrière-plan.")</f>
        <v>Plusieurs personnes sont montrées soulevant des haltères avec des poids de diverses manières dans une salle de sport tandis que d'autres personnes regardent ou font de l'exercice en arrière-plan.</v>
      </c>
    </row>
    <row r="7970">
      <c r="A7970" s="4" t="s">
        <v>10022</v>
      </c>
      <c r="B7970" s="4" t="s">
        <v>10025</v>
      </c>
      <c r="C7970" s="5" t="str">
        <f>IFERROR(__xludf.DUMMYFUNCTION("GOOGLETRANSLATE(B7970,""en"",""fr"")"),"Un écran avec un logo et des informations de contact est affiché.")</f>
        <v>Un écran avec un logo et des informations de contact est affiché.</v>
      </c>
    </row>
    <row r="7971">
      <c r="A7971" s="4" t="s">
        <v>10026</v>
      </c>
      <c r="B7971" s="4" t="s">
        <v>10027</v>
      </c>
      <c r="C7971" s="5" t="str">
        <f>IFERROR(__xludf.DUMMYFUNCTION("GOOGLETRANSLATE(B7971,""en"",""fr"")"),"Nous voyons une dame promener un chien.")</f>
        <v>Nous voyons une dame promener un chien.</v>
      </c>
    </row>
    <row r="7972">
      <c r="A7972" s="4" t="s">
        <v>10026</v>
      </c>
      <c r="B7972" s="4" t="s">
        <v>10028</v>
      </c>
      <c r="C7972" s="5" t="str">
        <f>IFERROR(__xludf.DUMMYFUNCTION("GOOGLETRANSLATE(B7972,""en"",""fr"")"),"Nous voyons un homme marcher sur le chien.")</f>
        <v>Nous voyons un homme marcher sur le chien.</v>
      </c>
    </row>
    <row r="7973">
      <c r="A7973" s="4" t="s">
        <v>10026</v>
      </c>
      <c r="B7973" s="4" t="s">
        <v>10029</v>
      </c>
      <c r="C7973" s="5" t="str">
        <f>IFERROR(__xludf.DUMMYFUNCTION("GOOGLETRANSLATE(B7973,""en"",""fr"")"),"Nous retournons à la dame promenant le chien.")</f>
        <v>Nous retournons à la dame promenant le chien.</v>
      </c>
    </row>
    <row r="7974">
      <c r="A7974" s="4" t="s">
        <v>10026</v>
      </c>
      <c r="B7974" s="4" t="s">
        <v>10030</v>
      </c>
      <c r="C7974" s="5" t="str">
        <f>IFERROR(__xludf.DUMMYFUNCTION("GOOGLETRANSLATE(B7974,""en"",""fr"")"),"Le chien tire la dame dans la rue.")</f>
        <v>Le chien tire la dame dans la rue.</v>
      </c>
    </row>
    <row r="7975">
      <c r="A7975" s="4" t="s">
        <v>10026</v>
      </c>
      <c r="B7975" s="4" t="s">
        <v>10031</v>
      </c>
      <c r="C7975" s="5" t="str">
        <f>IFERROR(__xludf.DUMMYFUNCTION("GOOGLETRANSLATE(B7975,""en"",""fr"")"),"Nous voyons la dame et l'homme parler.")</f>
        <v>Nous voyons la dame et l'homme parler.</v>
      </c>
    </row>
    <row r="7976">
      <c r="A7976" s="4" t="s">
        <v>10026</v>
      </c>
      <c r="B7976" s="4" t="s">
        <v>10032</v>
      </c>
      <c r="C7976" s="5" t="str">
        <f>IFERROR(__xludf.DUMMYFUNCTION("GOOGLETRANSLATE(B7976,""en"",""fr"")"),"L'homme monte le chien dans les escaliers et dans l'allée.")</f>
        <v>L'homme monte le chien dans les escaliers et dans l'allée.</v>
      </c>
    </row>
    <row r="7977">
      <c r="A7977" s="4" t="s">
        <v>10026</v>
      </c>
      <c r="B7977" s="4" t="s">
        <v>10033</v>
      </c>
      <c r="C7977" s="5" t="str">
        <f>IFERROR(__xludf.DUMMYFUNCTION("GOOGLETRANSLATE(B7977,""en"",""fr"")"),"Nous voyons la dame mettre un fils de harnais le chien et le marcher comme l'homme.")</f>
        <v>Nous voyons la dame mettre un fils de harnais le chien et le marcher comme l'homme.</v>
      </c>
    </row>
    <row r="7978">
      <c r="A7978" s="4" t="s">
        <v>10026</v>
      </c>
      <c r="B7978" s="4" t="s">
        <v>10034</v>
      </c>
      <c r="C7978" s="5" t="str">
        <f>IFERROR(__xludf.DUMMYFUNCTION("GOOGLETRANSLATE(B7978,""en"",""fr"")"),"Nous voyons ensuite l'écran de fermeture noire.")</f>
        <v>Nous voyons ensuite l'écran de fermeture noire.</v>
      </c>
    </row>
    <row r="7979">
      <c r="A7979" s="4" t="s">
        <v>10035</v>
      </c>
      <c r="B7979" s="4" t="s">
        <v>10036</v>
      </c>
      <c r="C7979" s="5" t="str">
        <f>IFERROR(__xludf.DUMMYFUNCTION("GOOGLETRANSLATE(B7979,""en"",""fr"")"),"La nageuse saute dans l'eau lors d'une compétition de natation.")</f>
        <v>La nageuse saute dans l'eau lors d'une compétition de natation.</v>
      </c>
    </row>
    <row r="7980">
      <c r="A7980" s="4" t="s">
        <v>10035</v>
      </c>
      <c r="B7980" s="4" t="s">
        <v>10037</v>
      </c>
      <c r="C7980" s="5" t="str">
        <f>IFERROR(__xludf.DUMMYFUNCTION("GOOGLETRANSLATE(B7980,""en"",""fr"")"),"Ils courent rapidement dans les voies de natation.")</f>
        <v>Ils courent rapidement dans les voies de natation.</v>
      </c>
    </row>
    <row r="7981">
      <c r="A7981" s="4" t="s">
        <v>10035</v>
      </c>
      <c r="B7981" s="6" t="s">
        <v>10038</v>
      </c>
      <c r="C7981" s="5" t="str">
        <f>IFERROR(__xludf.DUMMYFUNCTION("GOOGLETRANSLATE(B7981,""en"",""fr"")"),"Les nageurs sortent à plusieurs reprises dans les voies de natation en utilisant diverses techniques de natation.")</f>
        <v>Les nageurs sortent à plusieurs reprises dans les voies de natation en utilisant diverses techniques de natation.</v>
      </c>
    </row>
    <row r="7982">
      <c r="A7982" s="4" t="s">
        <v>10039</v>
      </c>
      <c r="B7982" s="4" t="s">
        <v>10040</v>
      </c>
      <c r="C7982" s="5" t="str">
        <f>IFERROR(__xludf.DUMMYFUNCTION("GOOGLETRANSLATE(B7982,""en"",""fr"")"),"Il y a des gens qui se frisent dans une patinoire intérieure.")</f>
        <v>Il y a des gens qui se frisent dans une patinoire intérieure.</v>
      </c>
    </row>
    <row r="7983">
      <c r="A7983" s="4" t="s">
        <v>10039</v>
      </c>
      <c r="B7983" s="4" t="s">
        <v>10041</v>
      </c>
      <c r="C7983" s="5" t="str">
        <f>IFERROR(__xludf.DUMMYFUNCTION("GOOGLETRANSLATE(B7983,""en"",""fr"")"),"Il y a des filles qui se préparent avec les bâtons de curling et préparant la patinoire pour jouer au curling.")</f>
        <v>Il y a des filles qui se préparent avec les bâtons de curling et préparant la patinoire pour jouer au curling.</v>
      </c>
    </row>
    <row r="7984">
      <c r="A7984" s="4" t="s">
        <v>10039</v>
      </c>
      <c r="B7984" s="6" t="s">
        <v>10042</v>
      </c>
      <c r="C7984" s="5" t="str">
        <f>IFERROR(__xludf.DUMMYFUNCTION("GOOGLETRANSLATE(B7984,""en"",""fr"")"),"Deux filles vêtues d'équipements noirs jouent le jeu alors qu'elles traversent la patinoire avec leurs bâtons de curling poussant le rocher.")</f>
        <v>Deux filles vêtues d'équipements noirs jouent le jeu alors qu'elles traversent la patinoire avec leurs bâtons de curling poussant le rocher.</v>
      </c>
    </row>
    <row r="7985">
      <c r="A7985" s="4" t="s">
        <v>10039</v>
      </c>
      <c r="B7985" s="4" t="s">
        <v>10043</v>
      </c>
      <c r="C7985" s="5" t="str">
        <f>IFERROR(__xludf.DUMMYFUNCTION("GOOGLETRANSLATE(B7985,""en"",""fr"")"),"L'un des joueurs glisse à travers le sol et pousse le rocher jusqu'au bout de la patinoire.")</f>
        <v>L'un des joueurs glisse à travers le sol et pousse le rocher jusqu'au bout de la patinoire.</v>
      </c>
    </row>
    <row r="7986">
      <c r="A7986" s="4" t="s">
        <v>10039</v>
      </c>
      <c r="B7986" s="6" t="s">
        <v>10044</v>
      </c>
      <c r="C7986" s="5" t="str">
        <f>IFERROR(__xludf.DUMMYFUNCTION("GOOGLETRANSLATE(B7986,""en"",""fr"")"),"Les deux joueurs continuent de jouer alors qu'ils passent par la patinoire et glissent les rochers jusqu'à la fin de la ligne.")</f>
        <v>Les deux joueurs continuent de jouer alors qu'ils passent par la patinoire et glissent les rochers jusqu'à la fin de la ligne.</v>
      </c>
    </row>
    <row r="7987">
      <c r="A7987" s="4" t="s">
        <v>10039</v>
      </c>
      <c r="B7987" s="4" t="s">
        <v>10045</v>
      </c>
      <c r="C7987" s="5" t="str">
        <f>IFERROR(__xludf.DUMMYFUNCTION("GOOGLETRANSLATE(B7987,""en"",""fr"")"),"Deux autres joueurs portant du rose jouent le jeu alors qu'ils glissent les rochers à travers la patinoire.")</f>
        <v>Deux autres joueurs portant du rose jouent le jeu alors qu'ils glissent les rochers à travers la patinoire.</v>
      </c>
    </row>
    <row r="7988">
      <c r="A7988" s="4" t="s">
        <v>10046</v>
      </c>
      <c r="B7988" s="6" t="s">
        <v>10047</v>
      </c>
      <c r="C7988" s="5" t="str">
        <f>IFERROR(__xludf.DUMMYFUNCTION("GOOGLETRANSLATE(B7988,""en"",""fr"")"),"La dame en noir fait un tutoriel de coiffure et démontre une autre femme assise à côté d'elle.")</f>
        <v>La dame en noir fait un tutoriel de coiffure et démontre une autre femme assise à côté d'elle.</v>
      </c>
    </row>
    <row r="7989">
      <c r="A7989" s="4" t="s">
        <v>10046</v>
      </c>
      <c r="B7989" s="4" t="s">
        <v>10048</v>
      </c>
      <c r="C7989" s="5" t="str">
        <f>IFERROR(__xludf.DUMMYFUNCTION("GOOGLETRANSLATE(B7989,""en"",""fr"")"),"Elle montre la chevelure qu'elle a utilisée sur le modèle.")</f>
        <v>Elle montre la chevelure qu'elle a utilisée sur le modèle.</v>
      </c>
    </row>
    <row r="7990">
      <c r="A7990" s="4" t="s">
        <v>10046</v>
      </c>
      <c r="B7990" s="4" t="s">
        <v>10049</v>
      </c>
      <c r="C7990" s="5" t="str">
        <f>IFERROR(__xludf.DUMMYFUNCTION("GOOGLETRANSLATE(B7990,""en"",""fr"")"),"Elle utilise le chevet sur les cheveux du modèle et les pulvérise.")</f>
        <v>Elle utilise le chevet sur les cheveux du modèle et les pulvérise.</v>
      </c>
    </row>
    <row r="7991">
      <c r="A7991" s="4" t="s">
        <v>10046</v>
      </c>
      <c r="B7991" s="4" t="s">
        <v>10050</v>
      </c>
      <c r="C7991" s="5" t="str">
        <f>IFERROR(__xludf.DUMMYFUNCTION("GOOGLETRANSLATE(B7991,""en"",""fr"")"),"Elle prend ensuite une paire de ciseaux et coupe l'élastique et vaporise à nouveau ses cheveux.")</f>
        <v>Elle prend ensuite une paire de ciseaux et coupe l'élastique et vaporise à nouveau ses cheveux.</v>
      </c>
    </row>
    <row r="7992">
      <c r="A7992" s="4" t="s">
        <v>10046</v>
      </c>
      <c r="B7992" s="4" t="s">
        <v>10051</v>
      </c>
      <c r="C7992" s="5" t="str">
        <f>IFERROR(__xludf.DUMMYFUNCTION("GOOGLETRANSLATE(B7992,""en"",""fr"")"),"Elle sépare la tresse et frotte ses doigts dessus.")</f>
        <v>Elle sépare la tresse et frotte ses doigts dessus.</v>
      </c>
    </row>
    <row r="7993">
      <c r="A7993" s="4" t="s">
        <v>10046</v>
      </c>
      <c r="B7993" s="4" t="s">
        <v>10052</v>
      </c>
      <c r="C7993" s="5" t="str">
        <f>IFERROR(__xludf.DUMMYFUNCTION("GOOGLETRANSLATE(B7993,""en"",""fr"")"),"Elle tord la tresse et le regroupe sur la tête du modèle.")</f>
        <v>Elle tord la tresse et le regroupe sur la tête du modèle.</v>
      </c>
    </row>
    <row r="7994">
      <c r="A7994" s="4" t="s">
        <v>10046</v>
      </c>
      <c r="B7994" s="4" t="s">
        <v>10053</v>
      </c>
      <c r="C7994" s="5" t="str">
        <f>IFERROR(__xludf.DUMMYFUNCTION("GOOGLETRANSLATE(B7994,""en"",""fr"")"),"Elle le tord à nouveau et le resserre et le sécurise avec une épingle à nouveau.")</f>
        <v>Elle le tord à nouveau et le resserre et le sécurise avec une épingle à nouveau.</v>
      </c>
    </row>
    <row r="7995">
      <c r="A7995" s="4" t="s">
        <v>10046</v>
      </c>
      <c r="B7995" s="4" t="s">
        <v>10054</v>
      </c>
      <c r="C7995" s="5" t="str">
        <f>IFERROR(__xludf.DUMMYFUNCTION("GOOGLETRANSLATE(B7995,""en"",""fr"")"),"Elle fait également un chignon de la tresse pour compléter la coiffure.")</f>
        <v>Elle fait également un chignon de la tresse pour compléter la coiffure.</v>
      </c>
    </row>
    <row r="7996">
      <c r="A7996" s="4" t="s">
        <v>10046</v>
      </c>
      <c r="B7996" s="4" t="s">
        <v>10055</v>
      </c>
      <c r="C7996" s="5" t="str">
        <f>IFERROR(__xludf.DUMMYFUNCTION("GOOGLETRANSLATE(B7996,""en"",""fr"")"),"Elle montre à nouveau la bouteille de chair qu'elle a utilisée sur le modèle.")</f>
        <v>Elle montre à nouveau la bouteille de chair qu'elle a utilisée sur le modèle.</v>
      </c>
    </row>
    <row r="7997">
      <c r="A7997" s="4" t="s">
        <v>10056</v>
      </c>
      <c r="B7997" s="4" t="s">
        <v>10057</v>
      </c>
      <c r="C7997" s="5" t="str">
        <f>IFERROR(__xludf.DUMMYFUNCTION("GOOGLETRANSLATE(B7997,""en"",""fr"")"),"Un homme et une femme se tiennent dans une pièce brune blanche.")</f>
        <v>Un homme et une femme se tiennent dans une pièce brune blanche.</v>
      </c>
    </row>
    <row r="7998">
      <c r="A7998" s="4" t="s">
        <v>10056</v>
      </c>
      <c r="B7998" s="4" t="s">
        <v>10058</v>
      </c>
      <c r="C7998" s="5" t="str">
        <f>IFERROR(__xludf.DUMMYFUNCTION("GOOGLETRANSLATE(B7998,""en"",""fr"")"),"Ils posent du plastique sur le sol et remplissent une baignoire de peinture blanche.")</f>
        <v>Ils posent du plastique sur le sol et remplissent une baignoire de peinture blanche.</v>
      </c>
    </row>
    <row r="7999">
      <c r="A7999" s="4" t="s">
        <v>10056</v>
      </c>
      <c r="B7999" s="4" t="s">
        <v>10059</v>
      </c>
      <c r="C7999" s="5" t="str">
        <f>IFERROR(__xludf.DUMMYFUNCTION("GOOGLETRANSLATE(B7999,""en"",""fr"")"),"Ils montrent ensuite comment accrocher une bande de papier peint sur le mur.")</f>
        <v>Ils montrent ensuite comment accrocher une bande de papier peint sur le mur.</v>
      </c>
    </row>
    <row r="8000">
      <c r="A8000" s="4" t="s">
        <v>10060</v>
      </c>
      <c r="B8000" s="6" t="s">
        <v>10061</v>
      </c>
      <c r="C8000" s="5" t="str">
        <f>IFERROR(__xludf.DUMMYFUNCTION("GOOGLETRANSLATE(B8000,""en"",""fr"")"),"Un homme est vu pratiquer ses capacités de ping-pong suivie par lui jouant le jeu contre une autre personne.")</f>
        <v>Un homme est vu pratiquer ses capacités de ping-pong suivie par lui jouant le jeu contre une autre personne.</v>
      </c>
    </row>
    <row r="8001">
      <c r="A8001" s="4" t="s">
        <v>10060</v>
      </c>
      <c r="B8001" s="4" t="s">
        <v>10062</v>
      </c>
      <c r="C8001" s="5" t="str">
        <f>IFERROR(__xludf.DUMMYFUNCTION("GOOGLETRANSLATE(B8001,""en"",""fr"")"),"Un homme regarde sur le côté tandis que les hommes continuent de jouer avec plus de gens s'arrêtant pour regarder.")</f>
        <v>Un homme regarde sur le côté tandis que les hommes continuent de jouer avec plus de gens s'arrêtant pour regarder.</v>
      </c>
    </row>
    <row r="8002">
      <c r="A8002" s="4" t="s">
        <v>10063</v>
      </c>
      <c r="B8002" s="4" t="s">
        <v>10064</v>
      </c>
      <c r="C8002" s="5" t="str">
        <f>IFERROR(__xludf.DUMMYFUNCTION("GOOGLETRANSLATE(B8002,""en"",""fr"")"),"Une femme en bikini se tient dans une pièce.")</f>
        <v>Une femme en bikini se tient dans une pièce.</v>
      </c>
    </row>
    <row r="8003">
      <c r="A8003" s="4" t="s">
        <v>10063</v>
      </c>
      <c r="B8003" s="4" t="s">
        <v>10065</v>
      </c>
      <c r="C8003" s="5" t="str">
        <f>IFERROR(__xludf.DUMMYFUNCTION("GOOGLETRANSLATE(B8003,""en"",""fr"")"),"Elle commence à Hula Hoop avec un cerceau éclairé.")</f>
        <v>Elle commence à Hula Hoop avec un cerceau éclairé.</v>
      </c>
    </row>
    <row r="8004">
      <c r="A8004" s="4" t="s">
        <v>10063</v>
      </c>
      <c r="B8004" s="4" t="s">
        <v>10066</v>
      </c>
      <c r="C8004" s="5" t="str">
        <f>IFERROR(__xludf.DUMMYFUNCTION("GOOGLETRANSLATE(B8004,""en"",""fr"")"),"Le cerceau Hula est vu assis à côté d'une chemise.")</f>
        <v>Le cerceau Hula est vu assis à côté d'une chemise.</v>
      </c>
    </row>
    <row r="8005">
      <c r="A8005" s="4" t="s">
        <v>10067</v>
      </c>
      <c r="B8005" s="4" t="s">
        <v>10068</v>
      </c>
      <c r="C8005" s="5" t="str">
        <f>IFERROR(__xludf.DUMMYFUNCTION("GOOGLETRANSLATE(B8005,""en"",""fr"")"),"Une personne entre dans le cadre tenant un outil et coupe un arbre de haut en bas.")</f>
        <v>Une personne entre dans le cadre tenant un outil et coupe un arbre de haut en bas.</v>
      </c>
    </row>
    <row r="8006">
      <c r="A8006" s="4" t="s">
        <v>10067</v>
      </c>
      <c r="B8006" s="6" t="s">
        <v>10069</v>
      </c>
      <c r="C8006" s="5" t="str">
        <f>IFERROR(__xludf.DUMMYFUNCTION("GOOGLETRANSLATE(B8006,""en"",""fr"")"),"La personne continue en utilisant l'outil sur l'arbre et en utilise un petit pour terminer les côtés, présentant un petit arbre à la fin.")</f>
        <v>La personne continue en utilisant l'outil sur l'arbre et en utilise un petit pour terminer les côtés, présentant un petit arbre à la fin.</v>
      </c>
    </row>
    <row r="8007">
      <c r="A8007" s="4" t="s">
        <v>10070</v>
      </c>
      <c r="B8007" s="4" t="s">
        <v>10071</v>
      </c>
      <c r="C8007" s="5" t="str">
        <f>IFERROR(__xludf.DUMMYFUNCTION("GOOGLETRANSLATE(B8007,""en"",""fr"")"),"Une femme se tient devant une planche à repasser tout en parlant.")</f>
        <v>Une femme se tient devant une planche à repasser tout en parlant.</v>
      </c>
    </row>
    <row r="8008">
      <c r="A8008" s="4" t="s">
        <v>10070</v>
      </c>
      <c r="B8008" s="4" t="s">
        <v>10072</v>
      </c>
      <c r="C8008" s="5" t="str">
        <f>IFERROR(__xludf.DUMMYFUNCTION("GOOGLETRANSLATE(B8008,""en"",""fr"")"),"Elle montre une chemise blanche, qu'elle pulvérise avec quelque chose dans une boîte.")</f>
        <v>Elle montre une chemise blanche, qu'elle pulvérise avec quelque chose dans une boîte.</v>
      </c>
    </row>
    <row r="8009">
      <c r="A8009" s="4" t="s">
        <v>10070</v>
      </c>
      <c r="B8009" s="4" t="s">
        <v>10073</v>
      </c>
      <c r="C8009" s="5" t="str">
        <f>IFERROR(__xludf.DUMMYFUNCTION("GOOGLETRANSLATE(B8009,""en"",""fr"")"),"Elle arrange la chemise sur la planche à repasser, puis commence à repasser la chemise.")</f>
        <v>Elle arrange la chemise sur la planche à repasser, puis commence à repasser la chemise.</v>
      </c>
    </row>
    <row r="8010">
      <c r="A8010" s="4" t="s">
        <v>10070</v>
      </c>
      <c r="B8010" s="4" t="s">
        <v>10074</v>
      </c>
      <c r="C8010" s="5" t="str">
        <f>IFERROR(__xludf.DUMMYFUNCTION("GOOGLETRANSLATE(B8010,""en"",""fr"")"),"Après avoir renversé la chemise, l'écran va à une publicité pour un village expert.")</f>
        <v>Après avoir renversé la chemise, l'écran va à une publicité pour un village expert.</v>
      </c>
    </row>
    <row r="8011">
      <c r="A8011" s="4" t="s">
        <v>10075</v>
      </c>
      <c r="B8011" s="4" t="s">
        <v>10076</v>
      </c>
      <c r="C8011" s="5" t="str">
        <f>IFERROR(__xludf.DUMMYFUNCTION("GOOGLETRANSLATE(B8011,""en"",""fr"")"),"Deux femmes sont au lavage.")</f>
        <v>Deux femmes sont au lavage.</v>
      </c>
    </row>
    <row r="8012">
      <c r="A8012" s="4" t="s">
        <v>10075</v>
      </c>
      <c r="B8012" s="4" t="s">
        <v>10077</v>
      </c>
      <c r="C8012" s="5" t="str">
        <f>IFERROR(__xludf.DUMMYFUNCTION("GOOGLETRANSLATE(B8012,""en"",""fr"")"),"Une voiture est couverte de mousse de savon.")</f>
        <v>Une voiture est couverte de mousse de savon.</v>
      </c>
    </row>
    <row r="8013">
      <c r="A8013" s="4" t="s">
        <v>10075</v>
      </c>
      <c r="B8013" s="4" t="s">
        <v>10078</v>
      </c>
      <c r="C8013" s="5" t="str">
        <f>IFERROR(__xludf.DUMMYFUNCTION("GOOGLETRANSLATE(B8013,""en"",""fr"")"),"Les femmes commencent à utiliser un tuyau d'eau pour nettoyer le savon.")</f>
        <v>Les femmes commencent à utiliser un tuyau d'eau pour nettoyer le savon.</v>
      </c>
    </row>
    <row r="8014">
      <c r="A8014" s="4" t="s">
        <v>10075</v>
      </c>
      <c r="B8014" s="4" t="s">
        <v>10079</v>
      </c>
      <c r="C8014" s="5" t="str">
        <f>IFERROR(__xludf.DUMMYFUNCTION("GOOGLETRANSLATE(B8014,""en"",""fr"")"),"Ils travaillent le tuyau et se brossent sur toute la voiture.")</f>
        <v>Ils travaillent le tuyau et se brossent sur toute la voiture.</v>
      </c>
    </row>
    <row r="8015">
      <c r="A8015" s="4" t="s">
        <v>10075</v>
      </c>
      <c r="B8015" s="4" t="s">
        <v>10080</v>
      </c>
      <c r="C8015" s="5" t="str">
        <f>IFERROR(__xludf.DUMMYFUNCTION("GOOGLETRANSLATE(B8015,""en"",""fr"")"),"Ils finissent de le faire paraître.")</f>
        <v>Ils finissent de le faire paraître.</v>
      </c>
    </row>
    <row r="8016">
      <c r="A8016" s="4" t="s">
        <v>10081</v>
      </c>
      <c r="B8016" s="4" t="s">
        <v>10082</v>
      </c>
      <c r="C8016" s="5" t="str">
        <f>IFERROR(__xludf.DUMMYFUNCTION("GOOGLETRANSLATE(B8016,""en"",""fr"")"),"Un jeune homme se prépare à terminer une routine sur les barres parallèles.")</f>
        <v>Un jeune homme se prépare à terminer une routine sur les barres parallèles.</v>
      </c>
    </row>
    <row r="8017">
      <c r="A8017" s="4" t="s">
        <v>10081</v>
      </c>
      <c r="B8017" s="4" t="s">
        <v>10083</v>
      </c>
      <c r="C8017" s="5" t="str">
        <f>IFERROR(__xludf.DUMMYFUNCTION("GOOGLETRANSLATE(B8017,""en"",""fr"")"),"Beaucoup de gens sont dans des gradins en arrière-plan se promenant, s'asseyent et regardent.")</f>
        <v>Beaucoup de gens sont dans des gradins en arrière-plan se promenant, s'asseyent et regardent.</v>
      </c>
    </row>
    <row r="8018">
      <c r="A8018" s="4" t="s">
        <v>10081</v>
      </c>
      <c r="B8018" s="4" t="s">
        <v>10084</v>
      </c>
      <c r="C8018" s="5" t="str">
        <f>IFERROR(__xludf.DUMMYFUNCTION("GOOGLETRANSLATE(B8018,""en"",""fr"")"),"Le jeune homme utilise une planche de printemps pour monter les barreaux.")</f>
        <v>Le jeune homme utilise une planche de printemps pour monter les barreaux.</v>
      </c>
    </row>
    <row r="8019">
      <c r="A8019" s="4" t="s">
        <v>10081</v>
      </c>
      <c r="B8019" s="4" t="s">
        <v>10085</v>
      </c>
      <c r="C8019" s="5" t="str">
        <f>IFERROR(__xludf.DUMMYFUNCTION("GOOGLETRANSLATE(B8019,""en"",""fr"")"),"Un homme debout à proximité retire la planche de printemps.")</f>
        <v>Un homme debout à proximité retire la planche de printemps.</v>
      </c>
    </row>
    <row r="8020">
      <c r="A8020" s="4" t="s">
        <v>10081</v>
      </c>
      <c r="B8020" s="4" t="s">
        <v>10086</v>
      </c>
      <c r="C8020" s="5" t="str">
        <f>IFERROR(__xludf.DUMMYFUNCTION("GOOGLETRANSLATE(B8020,""en"",""fr"")"),"Plusieurs juges sont assis à une table devant les gradins qui regardent.")</f>
        <v>Plusieurs juges sont assis à une table devant les gradins qui regardent.</v>
      </c>
    </row>
    <row r="8021">
      <c r="A8021" s="4" t="s">
        <v>10081</v>
      </c>
      <c r="B8021" s="4" t="s">
        <v>10087</v>
      </c>
      <c r="C8021" s="5" t="str">
        <f>IFERROR(__xludf.DUMMYFUNCTION("GOOGLETRANSLATE(B8021,""en"",""fr"")"),"Le jeune homme complète sa routine de bar parallèle.")</f>
        <v>Le jeune homme complète sa routine de bar parallèle.</v>
      </c>
    </row>
    <row r="8022">
      <c r="A8022" s="4" t="s">
        <v>10081</v>
      </c>
      <c r="B8022" s="4" t="s">
        <v>10088</v>
      </c>
      <c r="C8022" s="5" t="str">
        <f>IFERROR(__xludf.DUMMYFUNCTION("GOOGLETRANSLATE(B8022,""en"",""fr"")"),"Le jeune homme démonte ensuite, atterrit et arcs.")</f>
        <v>Le jeune homme démonte ensuite, atterrit et arcs.</v>
      </c>
    </row>
    <row r="8023">
      <c r="A8023" s="4" t="s">
        <v>10081</v>
      </c>
      <c r="B8023" s="4" t="s">
        <v>10089</v>
      </c>
      <c r="C8023" s="5" t="str">
        <f>IFERROR(__xludf.DUMMYFUNCTION("GOOGLETRANSLATE(B8023,""en"",""fr"")"),"Il s'éloigne alors qu'un autre homme dans les mêmes approches uniformes.")</f>
        <v>Il s'éloigne alors qu'un autre homme dans les mêmes approches uniformes.</v>
      </c>
    </row>
    <row r="8024">
      <c r="A8024" s="4" t="s">
        <v>10090</v>
      </c>
      <c r="B8024" s="4" t="s">
        <v>10091</v>
      </c>
      <c r="C8024" s="5" t="str">
        <f>IFERROR(__xludf.DUMMYFUNCTION("GOOGLETRANSLATE(B8024,""en"",""fr"")"),"Un gros plan d'un journal est vu et une personne balançant une hache de haut en bas.")</f>
        <v>Un gros plan d'un journal est vu et une personne balançant une hache de haut en bas.</v>
      </c>
    </row>
    <row r="8025">
      <c r="A8025" s="4" t="s">
        <v>10090</v>
      </c>
      <c r="B8025" s="4" t="s">
        <v>10092</v>
      </c>
      <c r="C8025" s="5" t="str">
        <f>IFERROR(__xludf.DUMMYFUNCTION("GOOGLETRANSLATE(B8025,""en"",""fr"")"),"La personne balance la hache contre le chien et la coupe de moitié.")</f>
        <v>La personne balance la hache contre le chien et la coupe de moitié.</v>
      </c>
    </row>
    <row r="8026">
      <c r="A8026" s="4" t="s">
        <v>10090</v>
      </c>
      <c r="B8026" s="4" t="s">
        <v>10093</v>
      </c>
      <c r="C8026" s="5" t="str">
        <f>IFERROR(__xludf.DUMMYFUNCTION("GOOGLETRANSLATE(B8026,""en"",""fr"")"),"La personne effectue plusieurs fois plus.")</f>
        <v>La personne effectue plusieurs fois plus.</v>
      </c>
    </row>
    <row r="8027">
      <c r="A8027" s="4" t="s">
        <v>10094</v>
      </c>
      <c r="B8027" s="6" t="s">
        <v>10095</v>
      </c>
      <c r="C8027" s="5" t="str">
        <f>IFERROR(__xludf.DUMMYFUNCTION("GOOGLETRANSLATE(B8027,""en"",""fr"")"),"Diverses personnes sont vues à faire des sites avec l'aide des autres et des transitions en plusieurs plans de personnes effectuant des tâches exténuantes.")</f>
        <v>Diverses personnes sont vues à faire des sites avec l'aide des autres et des transitions en plusieurs plans de personnes effectuant des tâches exténuantes.</v>
      </c>
    </row>
    <row r="8028">
      <c r="A8028" s="4" t="s">
        <v>10094</v>
      </c>
      <c r="B8028" s="6" t="s">
        <v>10096</v>
      </c>
      <c r="C8028" s="5" t="str">
        <f>IFERROR(__xludf.DUMMYFUNCTION("GOOGLETRANSLATE(B8028,""en"",""fr"")"),"Un homme grimpe un mur et fait des poussées tandis qu'un autre est interviewé par la caméra et plusieurs personnes grimpent un mur.")</f>
        <v>Un homme grimpe un mur et fait des poussées tandis qu'un autre est interviewé par la caméra et plusieurs personnes grimpent un mur.</v>
      </c>
    </row>
    <row r="8029">
      <c r="A8029" s="4" t="s">
        <v>10094</v>
      </c>
      <c r="B8029" s="6" t="s">
        <v>10097</v>
      </c>
      <c r="C8029" s="5" t="str">
        <f>IFERROR(__xludf.DUMMYFUNCTION("GOOGLETRANSLATE(B8029,""en"",""fr"")"),"Plus de plans de l'exercice des personnes sont montrés ainsi que l'escalade des parois rocheuses et plusieurs pompes.")</f>
        <v>Plus de plans de l'exercice des personnes sont montrés ainsi que l'escalade des parois rocheuses et plusieurs pompes.</v>
      </c>
    </row>
    <row r="8030">
      <c r="A8030" s="4" t="s">
        <v>10098</v>
      </c>
      <c r="B8030" s="6" t="s">
        <v>10099</v>
      </c>
      <c r="C8030" s="5" t="str">
        <f>IFERROR(__xludf.DUMMYFUNCTION("GOOGLETRANSLATE(B8030,""en"",""fr"")"),"Un homme portant une chemise blanche et un casque de motif de grenouille touche ses mamelons tout en tenant un enregistreur.")</f>
        <v>Un homme portant une chemise blanche et un casque de motif de grenouille touche ses mamelons tout en tenant un enregistreur.</v>
      </c>
    </row>
    <row r="8031">
      <c r="A8031" s="4" t="s">
        <v>10098</v>
      </c>
      <c r="B8031" s="4" t="s">
        <v>10100</v>
      </c>
      <c r="C8031" s="5" t="str">
        <f>IFERROR(__xludf.DUMMYFUNCTION("GOOGLETRANSLATE(B8031,""en"",""fr"")"),"L'homme apporte l'enregistreur dans sa narine droite.")</f>
        <v>L'homme apporte l'enregistreur dans sa narine droite.</v>
      </c>
    </row>
    <row r="8032">
      <c r="A8032" s="4" t="s">
        <v>10098</v>
      </c>
      <c r="B8032" s="4" t="s">
        <v>10101</v>
      </c>
      <c r="C8032" s="5" t="str">
        <f>IFERROR(__xludf.DUMMYFUNCTION("GOOGLETRANSLATE(B8032,""en"",""fr"")"),"L'homme commence à jouer de l'enregistreur.")</f>
        <v>L'homme commence à jouer de l'enregistreur.</v>
      </c>
    </row>
    <row r="8033">
      <c r="A8033" s="4" t="s">
        <v>10098</v>
      </c>
      <c r="B8033" s="4" t="s">
        <v>10102</v>
      </c>
      <c r="C8033" s="5" t="str">
        <f>IFERROR(__xludf.DUMMYFUNCTION("GOOGLETRANSLATE(B8033,""en"",""fr"")"),"La scène coupe l'homme, ayant fini de jouer, s'inclinant tout en touchant ses mamelons.")</f>
        <v>La scène coupe l'homme, ayant fini de jouer, s'inclinant tout en touchant ses mamelons.</v>
      </c>
    </row>
    <row r="8034">
      <c r="A8034" s="4" t="s">
        <v>10103</v>
      </c>
      <c r="B8034" s="4" t="s">
        <v>10104</v>
      </c>
      <c r="C8034" s="5" t="str">
        <f>IFERROR(__xludf.DUMMYFUNCTION("GOOGLETRANSLATE(B8034,""en"",""fr"")"),"Les gens jouent à la piscine dans une pièce.")</f>
        <v>Les gens jouent à la piscine dans une pièce.</v>
      </c>
    </row>
    <row r="8035">
      <c r="A8035" s="4" t="s">
        <v>10103</v>
      </c>
      <c r="B8035" s="4" t="s">
        <v>10105</v>
      </c>
      <c r="C8035" s="5" t="str">
        <f>IFERROR(__xludf.DUMMYFUNCTION("GOOGLETRANSLATE(B8035,""en"",""fr"")"),"Un homme tire sur le ballon et le fait dans la poche.")</f>
        <v>Un homme tire sur le ballon et le fait dans la poche.</v>
      </c>
    </row>
    <row r="8036">
      <c r="A8036" s="4" t="s">
        <v>10103</v>
      </c>
      <c r="B8036" s="4" t="s">
        <v>10106</v>
      </c>
      <c r="C8036" s="5" t="str">
        <f>IFERROR(__xludf.DUMMYFUNCTION("GOOGLETRANSLATE(B8036,""en"",""fr"")"),"Les gens se tiennent derrière lui en jouant une piscine sur une autre table.")</f>
        <v>Les gens se tiennent derrière lui en jouant une piscine sur une autre table.</v>
      </c>
    </row>
    <row r="8037">
      <c r="A8037" s="4" t="s">
        <v>10107</v>
      </c>
      <c r="B8037" s="4" t="s">
        <v>10108</v>
      </c>
      <c r="C8037" s="5" t="str">
        <f>IFERROR(__xludf.DUMMYFUNCTION("GOOGLETRANSLATE(B8037,""en"",""fr"")"),"Nous voyons la carte de titre s'estomper.")</f>
        <v>Nous voyons la carte de titre s'estomper.</v>
      </c>
    </row>
    <row r="8038">
      <c r="A8038" s="4" t="s">
        <v>10107</v>
      </c>
      <c r="B8038" s="4" t="s">
        <v>10109</v>
      </c>
      <c r="C8038" s="5" t="str">
        <f>IFERROR(__xludf.DUMMYFUNCTION("GOOGLETRANSLATE(B8038,""en"",""fr"")"),"Nous voyons deux enfants sur un chameau dans un carnaval.")</f>
        <v>Nous voyons deux enfants sur un chameau dans un carnaval.</v>
      </c>
    </row>
    <row r="8039">
      <c r="A8039" s="4" t="s">
        <v>10107</v>
      </c>
      <c r="B8039" s="4" t="s">
        <v>10110</v>
      </c>
      <c r="C8039" s="5" t="str">
        <f>IFERROR(__xludf.DUMMYFUNCTION("GOOGLETRANSLATE(B8039,""en"",""fr"")"),"L'homme mène le chameau hors du stylo alors qu'il fume une cigarette.")</f>
        <v>L'homme mène le chameau hors du stylo alors qu'il fume une cigarette.</v>
      </c>
    </row>
    <row r="8040">
      <c r="A8040" s="4" t="s">
        <v>10107</v>
      </c>
      <c r="B8040" s="4" t="s">
        <v>10111</v>
      </c>
      <c r="C8040" s="5" t="str">
        <f>IFERROR(__xludf.DUMMYFUNCTION("GOOGLETRANSLATE(B8040,""en"",""fr"")"),"Ils passent le zoo pour enfants.")</f>
        <v>Ils passent le zoo pour enfants.</v>
      </c>
    </row>
    <row r="8041">
      <c r="A8041" s="4" t="s">
        <v>10107</v>
      </c>
      <c r="B8041" s="4" t="s">
        <v>10112</v>
      </c>
      <c r="C8041" s="5" t="str">
        <f>IFERROR(__xludf.DUMMYFUNCTION("GOOGLETRANSLATE(B8041,""en"",""fr"")"),"Nous voyons la maman prendre des photos des enfants.")</f>
        <v>Nous voyons la maman prendre des photos des enfants.</v>
      </c>
    </row>
    <row r="8042">
      <c r="A8042" s="4" t="s">
        <v>10107</v>
      </c>
      <c r="B8042" s="4" t="s">
        <v>10113</v>
      </c>
      <c r="C8042" s="5" t="str">
        <f>IFERROR(__xludf.DUMMYFUNCTION("GOOGLETRANSLATE(B8042,""en"",""fr"")"),"La carte de fin est affichée.")</f>
        <v>La carte de fin est affichée.</v>
      </c>
    </row>
    <row r="8043">
      <c r="A8043" s="4" t="s">
        <v>10114</v>
      </c>
      <c r="B8043" s="6" t="s">
        <v>10115</v>
      </c>
      <c r="C8043" s="5" t="str">
        <f>IFERROR(__xludf.DUMMYFUNCTION("GOOGLETRANSLATE(B8043,""en"",""fr"")"),"Il y a un homme qui est dans la pièce avec deux autres hommes et il soulève une pesée qui pèse plus de 400 livres.")</f>
        <v>Il y a un homme qui est dans la pièce avec deux autres hommes et il soulève une pesée qui pèse plus de 400 livres.</v>
      </c>
    </row>
    <row r="8044">
      <c r="A8044" s="4" t="s">
        <v>10114</v>
      </c>
      <c r="B8044" s="4" t="s">
        <v>10116</v>
      </c>
      <c r="C8044" s="5" t="str">
        <f>IFERROR(__xludf.DUMMYFUNCTION("GOOGLETRANSLATE(B8044,""en"",""fr"")"),"Ensuite, il soulève un poids plus lourd que le dernier.")</f>
        <v>Ensuite, il soulève un poids plus lourd que le dernier.</v>
      </c>
    </row>
    <row r="8045">
      <c r="A8045" s="4" t="s">
        <v>10114</v>
      </c>
      <c r="B8045" s="4" t="s">
        <v>10117</v>
      </c>
      <c r="C8045" s="5" t="str">
        <f>IFERROR(__xludf.DUMMYFUNCTION("GOOGLETRANSLATE(B8045,""en"",""fr"")"),"Il obtient une poignée de main et un câlin d'un homme âgé.")</f>
        <v>Il obtient une poignée de main et un câlin d'un homme âgé.</v>
      </c>
    </row>
    <row r="8046">
      <c r="A8046" s="4" t="s">
        <v>10114</v>
      </c>
      <c r="B8046" s="4" t="s">
        <v>10118</v>
      </c>
      <c r="C8046" s="5" t="str">
        <f>IFERROR(__xludf.DUMMYFUNCTION("GOOGLETRANSLATE(B8046,""en"",""fr"")"),"Ensuite, quelqu'un lui donne de l'argent et quelqu'un d'autre qui est assis sur une chaise lui donne un highfive.")</f>
        <v>Ensuite, quelqu'un lui donne de l'argent et quelqu'un d'autre qui est assis sur une chaise lui donne un highfive.</v>
      </c>
    </row>
    <row r="8047">
      <c r="A8047" s="4" t="s">
        <v>10119</v>
      </c>
      <c r="B8047" s="4" t="s">
        <v>10120</v>
      </c>
      <c r="C8047" s="5" t="str">
        <f>IFERROR(__xludf.DUMMYFUNCTION("GOOGLETRANSLATE(B8047,""en"",""fr"")"),"Un groupe d'enfants joue sur un équipement de terrain de jeu surveillé par les parents.")</f>
        <v>Un groupe d'enfants joue sur un équipement de terrain de jeu surveillé par les parents.</v>
      </c>
    </row>
    <row r="8048">
      <c r="A8048" s="4" t="s">
        <v>10119</v>
      </c>
      <c r="B8048" s="4" t="s">
        <v>10121</v>
      </c>
      <c r="C8048" s="5" t="str">
        <f>IFERROR(__xludf.DUMMYFUNCTION("GOOGLETRANSLATE(B8048,""en"",""fr"")"),"Un enfant oscille à travers les barres de singe.")</f>
        <v>Un enfant oscille à travers les barres de singe.</v>
      </c>
    </row>
    <row r="8049">
      <c r="A8049" s="4" t="s">
        <v>10119</v>
      </c>
      <c r="B8049" s="4" t="s">
        <v>10122</v>
      </c>
      <c r="C8049" s="5" t="str">
        <f>IFERROR(__xludf.DUMMYFUNCTION("GOOGLETRANSLATE(B8049,""en"",""fr"")"),"L'enfant arrive de l'autre côté des arcs et revient dans les bars de singe qui sautent et riant.")</f>
        <v>L'enfant arrive de l'autre côté des arcs et revient dans les bars de singe qui sautent et riant.</v>
      </c>
    </row>
    <row r="8050">
      <c r="A8050" s="4" t="s">
        <v>10119</v>
      </c>
      <c r="B8050" s="4" t="s">
        <v>10123</v>
      </c>
      <c r="C8050" s="5" t="str">
        <f>IFERROR(__xludf.DUMMYFUNCTION("GOOGLETRANSLATE(B8050,""en"",""fr"")"),"L'enfant saute joyeusement et tombe mais remonte tout de suite.")</f>
        <v>L'enfant saute joyeusement et tombe mais remonte tout de suite.</v>
      </c>
    </row>
    <row r="8051">
      <c r="A8051" s="4" t="s">
        <v>10124</v>
      </c>
      <c r="B8051" s="4" t="s">
        <v>10125</v>
      </c>
      <c r="C8051" s="5" t="str">
        <f>IFERROR(__xludf.DUMMYFUNCTION("GOOGLETRANSLATE(B8051,""en"",""fr"")"),"Une femme est vue sur un entraîneur elliptique dans une annonce.")</f>
        <v>Une femme est vue sur un entraîneur elliptique dans une annonce.</v>
      </c>
    </row>
    <row r="8052">
      <c r="A8052" s="4" t="s">
        <v>10124</v>
      </c>
      <c r="B8052" s="4" t="s">
        <v>10126</v>
      </c>
      <c r="C8052" s="5" t="str">
        <f>IFERROR(__xludf.DUMMYFUNCTION("GOOGLETRANSLATE(B8052,""en"",""fr"")"),"Ensuite, nous voyons les différents composants et options d'utilisation de la machine.")</f>
        <v>Ensuite, nous voyons les différents composants et options d'utilisation de la machine.</v>
      </c>
    </row>
    <row r="8053">
      <c r="A8053" s="4" t="s">
        <v>10124</v>
      </c>
      <c r="B8053" s="4" t="s">
        <v>10127</v>
      </c>
      <c r="C8053" s="5" t="str">
        <f>IFERROR(__xludf.DUMMYFUNCTION("GOOGLETRANSLATE(B8053,""en"",""fr"")"),"Une femme défile dans un écran numérique, puis on voit monter sur l'elliptique.")</f>
        <v>Une femme défile dans un écran numérique, puis on voit monter sur l'elliptique.</v>
      </c>
    </row>
    <row r="8054">
      <c r="A8054" s="4" t="s">
        <v>10128</v>
      </c>
      <c r="B8054" s="4" t="s">
        <v>10129</v>
      </c>
      <c r="C8054" s="5" t="str">
        <f>IFERROR(__xludf.DUMMYFUNCTION("GOOGLETRANSLATE(B8054,""en"",""fr"")"),"Un homme fait diverses tâches tout en faisant des craquements.")</f>
        <v>Un homme fait diverses tâches tout en faisant des craquements.</v>
      </c>
    </row>
    <row r="8055">
      <c r="A8055" s="4" t="s">
        <v>10128</v>
      </c>
      <c r="B8055" s="4" t="s">
        <v>5880</v>
      </c>
      <c r="C8055" s="5" t="str">
        <f>IFERROR(__xludf.DUMMYFUNCTION("GOOGLETRANSLATE(B8055,""en"",""fr"")"),"Il s'arrête et parle à la caméra.")</f>
        <v>Il s'arrête et parle à la caméra.</v>
      </c>
    </row>
    <row r="8056">
      <c r="A8056" s="4" t="s">
        <v>10128</v>
      </c>
      <c r="B8056" s="4" t="s">
        <v>10130</v>
      </c>
      <c r="C8056" s="5" t="str">
        <f>IFERROR(__xludf.DUMMYFUNCTION("GOOGLETRANSLATE(B8056,""en"",""fr"")"),"Il soulève le dos sur sa machine à travailler et recommence à faire des craquements.")</f>
        <v>Il soulève le dos sur sa machine à travailler et recommence à faire des craquements.</v>
      </c>
    </row>
    <row r="8057">
      <c r="A8057" s="4" t="s">
        <v>10128</v>
      </c>
      <c r="B8057" s="4" t="s">
        <v>10131</v>
      </c>
      <c r="C8057" s="5" t="str">
        <f>IFERROR(__xludf.DUMMYFUNCTION("GOOGLETRANSLATE(B8057,""en"",""fr"")"),"Il s'assoit et continue de parler à la caméra.")</f>
        <v>Il s'assoit et continue de parler à la caméra.</v>
      </c>
    </row>
    <row r="8058">
      <c r="A8058" s="4" t="s">
        <v>10132</v>
      </c>
      <c r="B8058" s="4" t="s">
        <v>10133</v>
      </c>
      <c r="C8058" s="5" t="str">
        <f>IFERROR(__xludf.DUMMYFUNCTION("GOOGLETRANSLATE(B8058,""en"",""fr"")"),"Deux hommes sont vus debout sur un court de tennis tenant des raquettes et s'adressant à la caméra.")</f>
        <v>Deux hommes sont vus debout sur un court de tennis tenant des raquettes et s'adressant à la caméra.</v>
      </c>
    </row>
    <row r="8059">
      <c r="A8059" s="4" t="s">
        <v>10132</v>
      </c>
      <c r="B8059" s="6" t="s">
        <v>10134</v>
      </c>
      <c r="C8059" s="5" t="str">
        <f>IFERROR(__xludf.DUMMYFUNCTION("GOOGLETRANSLATE(B8059,""en"",""fr"")"),"Plusieurs scènes au ralenti sont présentées en effectuant un service de tennis correct avec les hommes démontrant juste après.")</f>
        <v>Plusieurs scènes au ralenti sont présentées en effectuant un service de tennis correct avec les hommes démontrant juste après.</v>
      </c>
    </row>
    <row r="8060">
      <c r="A8060" s="4" t="s">
        <v>10132</v>
      </c>
      <c r="B8060" s="6" t="s">
        <v>10135</v>
      </c>
      <c r="C8060" s="5" t="str">
        <f>IFERROR(__xludf.DUMMYFUNCTION("GOOGLETRANSLATE(B8060,""en"",""fr"")"),"Les hommes font cela pendant plusieurs tours avec un mouvement au ralenti d'un homme effectuant l'astuce effectuée par la suite.")</f>
        <v>Les hommes font cela pendant plusieurs tours avec un mouvement au ralenti d'un homme effectuant l'astuce effectuée par la suite.</v>
      </c>
    </row>
    <row r="8061">
      <c r="A8061" s="4" t="s">
        <v>10136</v>
      </c>
      <c r="B8061" s="4" t="s">
        <v>10137</v>
      </c>
      <c r="C8061" s="5" t="str">
        <f>IFERROR(__xludf.DUMMYFUNCTION("GOOGLETRANSLATE(B8061,""en"",""fr"")"),"Un homme est vu parler à la caméra et commence à polir une chaussure noire avec une brosse.")</f>
        <v>Un homme est vu parler à la caméra et commence à polir une chaussure noire avec une brosse.</v>
      </c>
    </row>
    <row r="8062">
      <c r="A8062" s="4" t="s">
        <v>10136</v>
      </c>
      <c r="B8062" s="4" t="s">
        <v>10138</v>
      </c>
      <c r="C8062" s="5" t="str">
        <f>IFERROR(__xludf.DUMMYFUNCTION("GOOGLETRANSLATE(B8062,""en"",""fr"")"),"Il pointe autour de la chaussure et retourne la chaussure avec ses mains.")</f>
        <v>Il pointe autour de la chaussure et retourne la chaussure avec ses mains.</v>
      </c>
    </row>
    <row r="8063">
      <c r="A8063" s="4" t="s">
        <v>10139</v>
      </c>
      <c r="B8063" s="4" t="s">
        <v>10140</v>
      </c>
      <c r="C8063" s="5" t="str">
        <f>IFERROR(__xludf.DUMMYFUNCTION("GOOGLETRANSLATE(B8063,""en"",""fr"")"),"Un garçon parle dans un champ, puis il joue avec une personne utilisant un bâton pour frapper une balle.")</f>
        <v>Un garçon parle dans un champ, puis il joue avec une personne utilisant un bâton pour frapper une balle.</v>
      </c>
    </row>
    <row r="8064">
      <c r="A8064" s="4" t="s">
        <v>10139</v>
      </c>
      <c r="B8064" s="4" t="s">
        <v>10141</v>
      </c>
      <c r="C8064" s="5" t="str">
        <f>IFERROR(__xludf.DUMMYFUNCTION("GOOGLETRANSLATE(B8064,""en"",""fr"")"),"Le garçon lance le ballon à l'autre garçon et marque.")</f>
        <v>Le garçon lance le ballon à l'autre garçon et marque.</v>
      </c>
    </row>
    <row r="8065">
      <c r="A8065" s="4" t="s">
        <v>10139</v>
      </c>
      <c r="B8065" s="4" t="s">
        <v>10142</v>
      </c>
      <c r="C8065" s="5" t="str">
        <f>IFERROR(__xludf.DUMMYFUNCTION("GOOGLETRANSLATE(B8065,""en"",""fr"")"),"Les garçons parlent sur le terrain.")</f>
        <v>Les garçons parlent sur le terrain.</v>
      </c>
    </row>
    <row r="8066">
      <c r="A8066" s="4" t="s">
        <v>10143</v>
      </c>
      <c r="B8066" s="4" t="s">
        <v>6097</v>
      </c>
      <c r="C8066" s="5" t="str">
        <f>IFERROR(__xludf.DUMMYFUNCTION("GOOGLETRANSLATE(B8066,""en"",""fr"")"),"Nous voyons un écran d'ouverture noir.")</f>
        <v>Nous voyons un écran d'ouverture noir.</v>
      </c>
    </row>
    <row r="8067">
      <c r="A8067" s="4" t="s">
        <v>10143</v>
      </c>
      <c r="B8067" s="4" t="s">
        <v>10144</v>
      </c>
      <c r="C8067" s="5" t="str">
        <f>IFERROR(__xludf.DUMMYFUNCTION("GOOGLETRANSLATE(B8067,""en"",""fr"")"),"Nous voyons des gens surfer dans l'océan deux hommes prennent des images.")</f>
        <v>Nous voyons des gens surfer dans l'océan deux hommes prennent des images.</v>
      </c>
    </row>
    <row r="8068">
      <c r="A8068" s="4" t="s">
        <v>10143</v>
      </c>
      <c r="B8068" s="4" t="s">
        <v>10145</v>
      </c>
      <c r="C8068" s="5" t="str">
        <f>IFERROR(__xludf.DUMMYFUNCTION("GOOGLETRANSLATE(B8068,""en"",""fr"")"),"Nous voyons un écran de titre puis deux hommes se tiennent sur la plage avec une caméra.")</f>
        <v>Nous voyons un écran de titre puis deux hommes se tiennent sur la plage avec une caméra.</v>
      </c>
    </row>
    <row r="8069">
      <c r="A8069" s="4" t="s">
        <v>10143</v>
      </c>
      <c r="B8069" s="4" t="s">
        <v>10146</v>
      </c>
      <c r="C8069" s="5" t="str">
        <f>IFERROR(__xludf.DUMMYFUNCTION("GOOGLETRANSLATE(B8069,""en"",""fr"")"),"Nous voyons les surfeurs dans l'océan.")</f>
        <v>Nous voyons les surfeurs dans l'océan.</v>
      </c>
    </row>
    <row r="8070">
      <c r="A8070" s="4" t="s">
        <v>10143</v>
      </c>
      <c r="B8070" s="4" t="s">
        <v>10147</v>
      </c>
      <c r="C8070" s="5" t="str">
        <f>IFERROR(__xludf.DUMMYFUNCTION("GOOGLETRANSLATE(B8070,""en"",""fr"")"),"Nous voyons le troisième écran de titre et deux hommes sur la plage avec une caméra.")</f>
        <v>Nous voyons le troisième écran de titre et deux hommes sur la plage avec une caméra.</v>
      </c>
    </row>
    <row r="8071">
      <c r="A8071" s="4" t="s">
        <v>10143</v>
      </c>
      <c r="B8071" s="4" t="s">
        <v>10148</v>
      </c>
      <c r="C8071" s="5" t="str">
        <f>IFERROR(__xludf.DUMMYFUNCTION("GOOGLETRANSLATE(B8071,""en"",""fr"")"),"Nous voyons ensuite les surfeurs dans l'océan.")</f>
        <v>Nous voyons ensuite les surfeurs dans l'océan.</v>
      </c>
    </row>
    <row r="8072">
      <c r="A8072" s="4" t="s">
        <v>10143</v>
      </c>
      <c r="B8072" s="4" t="s">
        <v>10149</v>
      </c>
      <c r="C8072" s="5" t="str">
        <f>IFERROR(__xludf.DUMMYFUNCTION("GOOGLETRANSLATE(B8072,""en"",""fr"")"),"Nous voyons un homme sur un bateau avec une caméra.")</f>
        <v>Nous voyons un homme sur un bateau avec une caméra.</v>
      </c>
    </row>
    <row r="8073">
      <c r="A8073" s="4" t="s">
        <v>10143</v>
      </c>
      <c r="B8073" s="4" t="s">
        <v>10150</v>
      </c>
      <c r="C8073" s="5" t="str">
        <f>IFERROR(__xludf.DUMMYFUNCTION("GOOGLETRANSLATE(B8073,""en"",""fr"")"),"Nous voyons ensuite l'écran de titre de clôture.")</f>
        <v>Nous voyons ensuite l'écran de titre de clôture.</v>
      </c>
    </row>
    <row r="8074">
      <c r="A8074" s="4" t="s">
        <v>10151</v>
      </c>
      <c r="B8074" s="4" t="s">
        <v>10152</v>
      </c>
      <c r="C8074" s="5" t="str">
        <f>IFERROR(__xludf.DUMMYFUNCTION("GOOGLETRANSLATE(B8074,""en"",""fr"")"),"Un homme est assis, parlant à la caméra.")</f>
        <v>Un homme est assis, parlant à la caméra.</v>
      </c>
    </row>
    <row r="8075">
      <c r="A8075" s="4" t="s">
        <v>10151</v>
      </c>
      <c r="B8075" s="4" t="s">
        <v>10153</v>
      </c>
      <c r="C8075" s="5" t="str">
        <f>IFERROR(__xludf.DUMMYFUNCTION("GOOGLETRANSLATE(B8075,""en"",""fr"")"),"Il porte un costume et une cravate avec un fond coloré.")</f>
        <v>Il porte un costume et une cravate avec un fond coloré.</v>
      </c>
    </row>
    <row r="8076">
      <c r="A8076" s="4" t="s">
        <v>10151</v>
      </c>
      <c r="B8076" s="4" t="s">
        <v>10154</v>
      </c>
      <c r="C8076" s="5" t="str">
        <f>IFERROR(__xludf.DUMMYFUNCTION("GOOGLETRANSLATE(B8076,""en"",""fr"")"),"Il continue de parler, utilisant ses mains au fur et à mesure.")</f>
        <v>Il continue de parler, utilisant ses mains au fur et à mesure.</v>
      </c>
    </row>
    <row r="8077">
      <c r="A8077" s="4" t="s">
        <v>10155</v>
      </c>
      <c r="B8077" s="4" t="s">
        <v>10156</v>
      </c>
      <c r="C8077" s="5" t="str">
        <f>IFERROR(__xludf.DUMMYFUNCTION("GOOGLETRANSLATE(B8077,""en"",""fr"")"),"Une femme est vue courir sur une longue piste et sauter dans une fosse.")</f>
        <v>Une femme est vue courir sur une longue piste et sauter dans une fosse.</v>
      </c>
    </row>
    <row r="8078">
      <c r="A8078" s="4" t="s">
        <v>10155</v>
      </c>
      <c r="B8078" s="4" t="s">
        <v>10157</v>
      </c>
      <c r="C8078" s="5" t="str">
        <f>IFERROR(__xludf.DUMMYFUNCTION("GOOGLETRANSLATE(B8078,""en"",""fr"")"),"La caméra la regarde alors qu'elle s'éloigne et colle sa langue à une autre personne.")</f>
        <v>La caméra la regarde alors qu'elle s'éloigne et colle sa langue à une autre personne.</v>
      </c>
    </row>
    <row r="8079">
      <c r="A8079" s="4" t="s">
        <v>10158</v>
      </c>
      <c r="B8079" s="6" t="s">
        <v>10159</v>
      </c>
      <c r="C8079" s="5" t="str">
        <f>IFERROR(__xludf.DUMMYFUNCTION("GOOGLETRANSLATE(B8079,""en"",""fr"")"),"Un garçon soulève un morceau de métal dans un magasin d'intérieur tout en portant un manteau de protection, un casque, des lunettes et des gants.")</f>
        <v>Un garçon soulève un morceau de métal dans un magasin d'intérieur tout en portant un manteau de protection, un casque, des lunettes et des gants.</v>
      </c>
    </row>
    <row r="8080">
      <c r="A8080" s="4" t="s">
        <v>10158</v>
      </c>
      <c r="B8080" s="6" t="s">
        <v>10160</v>
      </c>
      <c r="C8080" s="5" t="str">
        <f>IFERROR(__xludf.DUMMYFUNCTION("GOOGLETRANSLATE(B8080,""en"",""fr"")"),"Un garçon dans une boutique parle à la caméra tout en se tenant devant un morceau de métal et en manipulant des outils de soudage en préparation à la soudure.")</f>
        <v>Un garçon dans une boutique parle à la caméra tout en se tenant devant un morceau de métal et en manipulant des outils de soudage en préparation à la soudure.</v>
      </c>
    </row>
    <row r="8081">
      <c r="A8081" s="4" t="s">
        <v>10158</v>
      </c>
      <c r="B8081" s="6" t="s">
        <v>10161</v>
      </c>
      <c r="C8081" s="5" t="str">
        <f>IFERROR(__xludf.DUMMYFUNCTION("GOOGLETRANSLATE(B8081,""en"",""fr"")"),"Le garçon commence à souder en créant des étincelles extrêmes de feu comme des réactions devant lui sur le matériau soudé.")</f>
        <v>Le garçon commence à souder en créant des étincelles extrêmes de feu comme des réactions devant lui sur le matériau soudé.</v>
      </c>
    </row>
    <row r="8082">
      <c r="A8082" s="4" t="s">
        <v>10158</v>
      </c>
      <c r="B8082" s="6" t="s">
        <v>10162</v>
      </c>
      <c r="C8082" s="5" t="str">
        <f>IFERROR(__xludf.DUMMYFUNCTION("GOOGLETRANSLATE(B8082,""en"",""fr"")"),"Le garçon montre un gros plan de la pointe chaude rouge de l'outil, termine le soudage et pans la caméra à un autre jeune garçon vêtu du même équipement de soudage protecteur derrière lui.")</f>
        <v>Le garçon montre un gros plan de la pointe chaude rouge de l'outil, termine le soudage et pans la caméra à un autre jeune garçon vêtu du même équipement de soudage protecteur derrière lui.</v>
      </c>
    </row>
    <row r="8083">
      <c r="A8083" s="4" t="s">
        <v>10163</v>
      </c>
      <c r="B8083" s="4" t="s">
        <v>10164</v>
      </c>
      <c r="C8083" s="5" t="str">
        <f>IFERROR(__xludf.DUMMYFUNCTION("GOOGLETRANSLATE(B8083,""en"",""fr"")"),"Plusieurs gros plans sont illustrés à un rasoir qui mène à un homme qui rasait le visage d'un autre.")</f>
        <v>Plusieurs gros plans sont illustrés à un rasoir qui mène à un homme qui rasait le visage d'un autre.</v>
      </c>
    </row>
    <row r="8084">
      <c r="A8084" s="4" t="s">
        <v>10163</v>
      </c>
      <c r="B8084" s="4" t="s">
        <v>10165</v>
      </c>
      <c r="C8084" s="5" t="str">
        <f>IFERROR(__xludf.DUMMYFUNCTION("GOOGLETRANSLATE(B8084,""en"",""fr"")"),"L'homme montre à nouveau son visage avec le rasoir mettant de la crème et commence à se raser.")</f>
        <v>L'homme montre à nouveau son visage avec le rasoir mettant de la crème et commence à se raser.</v>
      </c>
    </row>
    <row r="8085">
      <c r="A8085" s="4" t="s">
        <v>10163</v>
      </c>
      <c r="B8085" s="4" t="s">
        <v>10166</v>
      </c>
      <c r="C8085" s="5" t="str">
        <f>IFERROR(__xludf.DUMMYFUNCTION("GOOGLETRANSLATE(B8085,""en"",""fr"")"),"L'homme utilise divers outils de l'autre pour se raser et parler à la caméra.")</f>
        <v>L'homme utilise divers outils de l'autre pour se raser et parler à la caméra.</v>
      </c>
    </row>
    <row r="8086">
      <c r="A8086" s="4" t="s">
        <v>10167</v>
      </c>
      <c r="B8086" s="4" t="s">
        <v>10168</v>
      </c>
      <c r="C8086" s="5" t="str">
        <f>IFERROR(__xludf.DUMMYFUNCTION("GOOGLETRANSLATE(B8086,""en"",""fr"")"),"Une jeune femme montre une bouteille de crème de beauté.")</f>
        <v>Une jeune femme montre une bouteille de crème de beauté.</v>
      </c>
    </row>
    <row r="8087">
      <c r="A8087" s="4" t="s">
        <v>10167</v>
      </c>
      <c r="B8087" s="4" t="s">
        <v>10169</v>
      </c>
      <c r="C8087" s="5" t="str">
        <f>IFERROR(__xludf.DUMMYFUNCTION("GOOGLETRANSLATE(B8087,""en"",""fr"")"),"Ensuite, la jeune fille met de la crème sur le doigt HRS et se frotte son épaule.")</f>
        <v>Ensuite, la jeune fille met de la crème sur le doigt HRS et se frotte son épaule.</v>
      </c>
    </row>
    <row r="8088">
      <c r="A8088" s="4" t="s">
        <v>10170</v>
      </c>
      <c r="B8088" s="4" t="s">
        <v>10171</v>
      </c>
      <c r="C8088" s="5" t="str">
        <f>IFERROR(__xludf.DUMMYFUNCTION("GOOGLETRANSLATE(B8088,""en"",""fr"")"),"Un jeu vidéo pour la lutte professionnelle de la WWE commence, montrant un match de trois sur un.")</f>
        <v>Un jeu vidéo pour la lutte professionnelle de la WWE commence, montrant un match de trois sur un.</v>
      </c>
    </row>
    <row r="8089">
      <c r="A8089" s="4" t="s">
        <v>10170</v>
      </c>
      <c r="B8089" s="6" t="s">
        <v>10172</v>
      </c>
      <c r="C8089" s="5" t="str">
        <f>IFERROR(__xludf.DUMMYFUNCTION("GOOGLETRANSLATE(B8089,""en"",""fr"")"),"Le joueur contrôlant Roman Reigns frappe un grand coup dans son adversaire, et son équipe arrive pour une grande attaque coordonnée.")</f>
        <v>Le joueur contrôlant Roman Reigns frappe un grand coup dans son adversaire, et son équipe arrive pour une grande attaque coordonnée.</v>
      </c>
    </row>
    <row r="8090">
      <c r="A8090" s="4" t="s">
        <v>10173</v>
      </c>
      <c r="B8090" s="4" t="s">
        <v>10174</v>
      </c>
      <c r="C8090" s="5" t="str">
        <f>IFERROR(__xludf.DUMMYFUNCTION("GOOGLETRANSLATE(B8090,""en"",""fr"")"),"L'homme monte un cheval à l'intérieur d'une grange et avec une corde attrape un taureau.")</f>
        <v>L'homme monte un cheval à l'intérieur d'une grange et avec une corde attrape un taureau.</v>
      </c>
    </row>
    <row r="8091">
      <c r="A8091" s="4" t="s">
        <v>10173</v>
      </c>
      <c r="B8091" s="4" t="s">
        <v>10175</v>
      </c>
      <c r="C8091" s="5" t="str">
        <f>IFERROR(__xludf.DUMMYFUNCTION("GOOGLETRANSLATE(B8091,""en"",""fr"")"),"L'homme se tient sur le côté de Te Barn.")</f>
        <v>L'homme se tient sur le côté de Te Barn.</v>
      </c>
    </row>
    <row r="8092">
      <c r="A8092" s="4" t="s">
        <v>10176</v>
      </c>
      <c r="B8092" s="6" t="s">
        <v>10177</v>
      </c>
      <c r="C8092" s="5" t="str">
        <f>IFERROR(__xludf.DUMMYFUNCTION("GOOGLETRANSLATE(B8092,""en"",""fr"")"),"Un homme est vu parler à une caméra et mène à il verser du liquide dans un bol et le frotter dans un objet en bois.")</f>
        <v>Un homme est vu parler à une caméra et mène à il verser du liquide dans un bol et le frotter dans un objet en bois.</v>
      </c>
    </row>
    <row r="8093">
      <c r="A8093" s="4" t="s">
        <v>10176</v>
      </c>
      <c r="B8093" s="6" t="s">
        <v>10178</v>
      </c>
      <c r="C8093" s="5" t="str">
        <f>IFERROR(__xludf.DUMMYFUNCTION("GOOGLETRANSLATE(B8093,""en"",""fr"")"),"Il peint ensuite la zone avec un pinceau et cloue du tissu à l'arrière, créant une chaise et faisant la coller de la caméra.")</f>
        <v>Il peint ensuite la zone avec un pinceau et cloue du tissu à l'arrière, créant une chaise et faisant la coller de la caméra.</v>
      </c>
    </row>
    <row r="8094">
      <c r="A8094" s="4" t="s">
        <v>10179</v>
      </c>
      <c r="B8094" s="4" t="s">
        <v>10180</v>
      </c>
      <c r="C8094" s="5" t="str">
        <f>IFERROR(__xludf.DUMMYFUNCTION("GOOGLETRANSLATE(B8094,""en"",""fr"")"),"Une femme tourne un jeune garçon en rond.")</f>
        <v>Une femme tourne un jeune garçon en rond.</v>
      </c>
    </row>
    <row r="8095">
      <c r="A8095" s="4" t="s">
        <v>10179</v>
      </c>
      <c r="B8095" s="4" t="s">
        <v>10181</v>
      </c>
      <c r="C8095" s="5" t="str">
        <f>IFERROR(__xludf.DUMMYFUNCTION("GOOGLETRANSLATE(B8095,""en"",""fr"")"),"Le garçon tient un long bâton et porte un bandeau.")</f>
        <v>Le garçon tient un long bâton et porte un bandeau.</v>
      </c>
    </row>
    <row r="8096">
      <c r="A8096" s="4" t="s">
        <v>10179</v>
      </c>
      <c r="B8096" s="4" t="s">
        <v>10182</v>
      </c>
      <c r="C8096" s="5" t="str">
        <f>IFERROR(__xludf.DUMMYFUNCTION("GOOGLETRANSLATE(B8096,""en"",""fr"")"),"La femme cesse de faire tourner le garçon et le vise à une pinata suspendue au plafond.")</f>
        <v>La femme cesse de faire tourner le garçon et le vise à une pinata suspendue au plafond.</v>
      </c>
    </row>
    <row r="8097">
      <c r="A8097" s="4" t="s">
        <v>10179</v>
      </c>
      <c r="B8097" s="4" t="s">
        <v>10183</v>
      </c>
      <c r="C8097" s="5" t="str">
        <f>IFERROR(__xludf.DUMMYFUNCTION("GOOGLETRANSLATE(B8097,""en"",""fr"")"),"Le garçon balance et frappe la pinata une fois.")</f>
        <v>Le garçon balance et frappe la pinata une fois.</v>
      </c>
    </row>
    <row r="8098">
      <c r="A8098" s="4" t="s">
        <v>10179</v>
      </c>
      <c r="B8098" s="4" t="s">
        <v>10184</v>
      </c>
      <c r="C8098" s="5" t="str">
        <f>IFERROR(__xludf.DUMMYFUNCTION("GOOGLETRANSLATE(B8098,""en"",""fr"")"),"Il balance et manque ensuite plusieurs fois.")</f>
        <v>Il balance et manque ensuite plusieurs fois.</v>
      </c>
    </row>
    <row r="8099">
      <c r="A8099" s="4" t="s">
        <v>10179</v>
      </c>
      <c r="B8099" s="4" t="s">
        <v>10185</v>
      </c>
      <c r="C8099" s="5" t="str">
        <f>IFERROR(__xludf.DUMMYFUNCTION("GOOGLETRANSLATE(B8099,""en"",""fr"")"),"Le garçon abandonne enfin et enlève le bandeau.")</f>
        <v>Le garçon abandonne enfin et enlève le bandeau.</v>
      </c>
    </row>
    <row r="8100">
      <c r="A8100" s="4" t="s">
        <v>10179</v>
      </c>
      <c r="B8100" s="4" t="s">
        <v>10186</v>
      </c>
      <c r="C8100" s="5" t="str">
        <f>IFERROR(__xludf.DUMMYFUNCTION("GOOGLETRANSLATE(B8100,""en"",""fr"")"),"Une femme différente entre et s'arrête près de la pinata.")</f>
        <v>Une femme différente entre et s'arrête près de la pinata.</v>
      </c>
    </row>
    <row r="8101">
      <c r="A8101" s="4" t="s">
        <v>10187</v>
      </c>
      <c r="B8101" s="6" t="s">
        <v>10188</v>
      </c>
      <c r="C8101" s="5" t="str">
        <f>IFERROR(__xludf.DUMMYFUNCTION("GOOGLETRANSLATE(B8101,""en"",""fr"")"),"Un petit jeune garçon est à l'extérieur qui traverse un champ vert, il réapparaît ensuite avec un casque vert et un bâton dans sa main qui a la forme d'une pagaie.")</f>
        <v>Un petit jeune garçon est à l'extérieur qui traverse un champ vert, il réapparaît ensuite avec un casque vert et un bâton dans sa main qui a la forme d'une pagaie.</v>
      </c>
    </row>
    <row r="8102">
      <c r="A8102" s="4" t="s">
        <v>10187</v>
      </c>
      <c r="B8102" s="6" t="s">
        <v>10189</v>
      </c>
      <c r="C8102" s="5" t="str">
        <f>IFERROR(__xludf.DUMMYFUNCTION("GOOGLETRANSLATE(B8102,""en"",""fr"")"),"Le garçon se rassemble alors avec le reste de son équipe, ils se tiennent dans une ligne et commencent à se mêler les uns contre les autres.")</f>
        <v>Le garçon se rassemble alors avec le reste de son équipe, ils se tiennent dans une ligne et commencent à se mêler les uns contre les autres.</v>
      </c>
    </row>
    <row r="8103">
      <c r="A8103" s="4" t="s">
        <v>10187</v>
      </c>
      <c r="B8103" s="6" t="s">
        <v>10190</v>
      </c>
      <c r="C8103" s="5" t="str">
        <f>IFERROR(__xludf.DUMMYFUNCTION("GOOGLETRANSLATE(B8103,""en"",""fr"")"),"Alors que le jeu continue, les enfants traversent des allers-retours à travers le terrain et les entraîneurs traînent derrière eux.")</f>
        <v>Alors que le jeu continue, les enfants traversent des allers-retours à travers le terrain et les entraîneurs traînent derrière eux.</v>
      </c>
    </row>
    <row r="8104">
      <c r="A8104" s="4" t="s">
        <v>10191</v>
      </c>
      <c r="B8104" s="4" t="s">
        <v>10192</v>
      </c>
      <c r="C8104" s="5" t="str">
        <f>IFERROR(__xludf.DUMMYFUNCTION("GOOGLETRANSLATE(B8104,""en"",""fr"")"),"Un écran indique un triple saut dessus.")</f>
        <v>Un écran indique un triple saut dessus.</v>
      </c>
    </row>
    <row r="8105">
      <c r="A8105" s="4" t="s">
        <v>10191</v>
      </c>
      <c r="B8105" s="4" t="s">
        <v>10193</v>
      </c>
      <c r="C8105" s="5" t="str">
        <f>IFERROR(__xludf.DUMMYFUNCTION("GOOGLETRANSLATE(B8105,""en"",""fr"")"),"Un homme se tient dans un champ avant de courir et de sauter dans un carré de saleté.")</f>
        <v>Un homme se tient dans un champ avant de courir et de sauter dans un carré de saleté.</v>
      </c>
    </row>
    <row r="8106">
      <c r="A8106" s="4" t="s">
        <v>10191</v>
      </c>
      <c r="B8106" s="4" t="s">
        <v>10194</v>
      </c>
      <c r="C8106" s="5" t="str">
        <f>IFERROR(__xludf.DUMMYFUNCTION("GOOGLETRANSLATE(B8106,""en"",""fr"")"),"Il s'éloigne du saut et parle à la caméra.")</f>
        <v>Il s'éloigne du saut et parle à la caméra.</v>
      </c>
    </row>
    <row r="8107">
      <c r="A8107" s="4" t="s">
        <v>10191</v>
      </c>
      <c r="B8107" s="4" t="s">
        <v>10195</v>
      </c>
      <c r="C8107" s="5" t="str">
        <f>IFERROR(__xludf.DUMMYFUNCTION("GOOGLETRANSLATE(B8107,""en"",""fr"")"),"Il est à nouveau illustré au ralenti.")</f>
        <v>Il est à nouveau illustré au ralenti.</v>
      </c>
    </row>
    <row r="8108">
      <c r="A8108" s="4" t="s">
        <v>10196</v>
      </c>
      <c r="B8108" s="6" t="s">
        <v>10197</v>
      </c>
      <c r="C8108" s="5" t="str">
        <f>IFERROR(__xludf.DUMMYFUNCTION("GOOGLETRANSLATE(B8108,""en"",""fr"")"),"Un homme athlétique vêtu de bleu s'approche du cheval de gymnastique et se tient là et le regarde pendant quelques secondes.")</f>
        <v>Un homme athlétique vêtu de bleu s'approche du cheval de gymnastique et se tient là et le regarde pendant quelques secondes.</v>
      </c>
    </row>
    <row r="8109">
      <c r="A8109" s="4" t="s">
        <v>10196</v>
      </c>
      <c r="B8109" s="6" t="s">
        <v>10198</v>
      </c>
      <c r="C8109" s="5" t="str">
        <f>IFERROR(__xludf.DUMMYFUNCTION("GOOGLETRANSLATE(B8109,""en"",""fr"")"),"L'homme s'approche ensuite et met ses deux mains dessus et commence à y faire divers mouvements où il se tord, tourne et manœuvre très habilement son corps tout autour du cheval de gymnastique.")</f>
        <v>L'homme s'approche ensuite et met ses deux mains dessus et commence à y faire divers mouvements où il se tord, tourne et manœuvre très habilement son corps tout autour du cheval de gymnastique.</v>
      </c>
    </row>
    <row r="8110">
      <c r="A8110" s="4" t="s">
        <v>10196</v>
      </c>
      <c r="B8110" s="6" t="s">
        <v>10199</v>
      </c>
      <c r="C8110" s="5" t="str">
        <f>IFERROR(__xludf.DUMMYFUNCTION("GOOGLETRANSLATE(B8110,""en"",""fr"")"),"L'homme termine la fin de sa routine et saute du cheval de gymnastique atterrissant sur ses deux pieds, tient ses deux bras dans les airs, frappe ses mains une fois puis prend un arc.")</f>
        <v>L'homme termine la fin de sa routine et saute du cheval de gymnastique atterrissant sur ses deux pieds, tient ses deux bras dans les airs, frappe ses mains une fois puis prend un arc.</v>
      </c>
    </row>
    <row r="8111">
      <c r="A8111" s="4" t="s">
        <v>10200</v>
      </c>
      <c r="B8111" s="4" t="s">
        <v>10201</v>
      </c>
      <c r="C8111" s="5" t="str">
        <f>IFERROR(__xludf.DUMMYFUNCTION("GOOGLETRANSLATE(B8111,""en"",""fr"")"),"Les gens courent des obstacles jouant à un jeu de paintball.")</f>
        <v>Les gens courent des obstacles jouant à un jeu de paintball.</v>
      </c>
    </row>
    <row r="8112">
      <c r="A8112" s="4" t="s">
        <v>10200</v>
      </c>
      <c r="B8112" s="4" t="s">
        <v>10202</v>
      </c>
      <c r="C8112" s="5" t="str">
        <f>IFERROR(__xludf.DUMMYFUNCTION("GOOGLETRANSLATE(B8112,""en"",""fr"")"),"Un garçon regarde dans un coin et descend par terre.")</f>
        <v>Un garçon regarde dans un coin et descend par terre.</v>
      </c>
    </row>
    <row r="8113">
      <c r="A8113" s="4" t="s">
        <v>10200</v>
      </c>
      <c r="B8113" s="4" t="s">
        <v>10203</v>
      </c>
      <c r="C8113" s="5" t="str">
        <f>IFERROR(__xludf.DUMMYFUNCTION("GOOGLETRANSLATE(B8113,""en"",""fr"")"),"Un drapeau américain est affiché à l'écran.")</f>
        <v>Un drapeau américain est affiché à l'écran.</v>
      </c>
    </row>
    <row r="8114">
      <c r="A8114" s="4" t="s">
        <v>10204</v>
      </c>
      <c r="B8114" s="6" t="s">
        <v>10205</v>
      </c>
      <c r="C8114" s="5" t="str">
        <f>IFERROR(__xludf.DUMMYFUNCTION("GOOGLETRANSLATE(B8114,""en"",""fr"")"),"Il y a un homme portant un gilet de couleur blanc et un chapeau de rive bleu raré dans un bateau en rangée jaune avec une rame double face.")</f>
        <v>Il y a un homme portant un gilet de couleur blanc et un chapeau de rive bleu raré dans un bateau en rangée jaune avec une rame double face.</v>
      </c>
    </row>
    <row r="8115">
      <c r="A8115" s="4" t="s">
        <v>10204</v>
      </c>
      <c r="B8115" s="4" t="s">
        <v>10206</v>
      </c>
      <c r="C8115" s="5" t="str">
        <f>IFERROR(__xludf.DUMMYFUNCTION("GOOGLETRANSLATE(B8115,""en"",""fr"")"),"Il montre la bonne façon de ramer le bateau tout en restant à flot.")</f>
        <v>Il montre la bonne façon de ramer le bateau tout en restant à flot.</v>
      </c>
    </row>
    <row r="8116">
      <c r="A8116" s="4" t="s">
        <v>10204</v>
      </c>
      <c r="B8116" s="4" t="s">
        <v>10207</v>
      </c>
      <c r="C8116" s="5" t="str">
        <f>IFERROR(__xludf.DUMMYFUNCTION("GOOGLETRANSLATE(B8116,""en"",""fr"")"),"Il est dans un plan d'eau qui a des vagues fortes.")</f>
        <v>Il est dans un plan d'eau qui a des vagues fortes.</v>
      </c>
    </row>
    <row r="8117">
      <c r="A8117" s="4" t="s">
        <v>10204</v>
      </c>
      <c r="B8117" s="4" t="s">
        <v>10208</v>
      </c>
      <c r="C8117" s="5" t="str">
        <f>IFERROR(__xludf.DUMMYFUNCTION("GOOGLETRANSLATE(B8117,""en"",""fr"")"),"Il montre comment faire les coups avec les rames pour aller à l'encontre du courant d'eau.")</f>
        <v>Il montre comment faire les coups avec les rames pour aller à l'encontre du courant d'eau.</v>
      </c>
    </row>
    <row r="8118">
      <c r="A8118" s="4" t="s">
        <v>10204</v>
      </c>
      <c r="B8118" s="4" t="s">
        <v>10209</v>
      </c>
      <c r="C8118" s="5" t="str">
        <f>IFERROR(__xludf.DUMMYFUNCTION("GOOGLETRANSLATE(B8118,""en"",""fr"")"),"Il va en rond alors qu'il montre comment ramer contre des vagues puissantes.")</f>
        <v>Il va en rond alors qu'il montre comment ramer contre des vagues puissantes.</v>
      </c>
    </row>
    <row r="8119">
      <c r="A8119" s="4" t="s">
        <v>10210</v>
      </c>
      <c r="B8119" s="4" t="s">
        <v>10211</v>
      </c>
      <c r="C8119" s="5" t="str">
        <f>IFERROR(__xludf.DUMMYFUNCTION("GOOGLETRANSLATE(B8119,""en"",""fr"")"),"Les hommes sont des côtés de la table jouant à Beerpong.")</f>
        <v>Les hommes sont des côtés de la table jouant à Beerpong.</v>
      </c>
    </row>
    <row r="8120">
      <c r="A8120" s="4" t="s">
        <v>10210</v>
      </c>
      <c r="B8120" s="4" t="s">
        <v>10212</v>
      </c>
      <c r="C8120" s="5" t="str">
        <f>IFERROR(__xludf.DUMMYFUNCTION("GOOGLETRANSLATE(B8120,""en"",""fr"")"),"Un homme est assis sur une chaise à côté de la table en regardant les hommes tout en jouant.")</f>
        <v>Un homme est assis sur une chaise à côté de la table en regardant les hommes tout en jouant.</v>
      </c>
    </row>
    <row r="8121">
      <c r="A8121" s="4" t="s">
        <v>10210</v>
      </c>
      <c r="B8121" s="4" t="s">
        <v>10213</v>
      </c>
      <c r="C8121" s="5" t="str">
        <f>IFERROR(__xludf.DUMMYFUNCTION("GOOGLETRANSLATE(B8121,""en"",""fr"")"),"Les hommes accueillent les tasses sur la table.")</f>
        <v>Les hommes accueillent les tasses sur la table.</v>
      </c>
    </row>
    <row r="8122">
      <c r="A8122" s="4" t="s">
        <v>10214</v>
      </c>
      <c r="B8122" s="4" t="s">
        <v>10215</v>
      </c>
      <c r="C8122" s="5" t="str">
        <f>IFERROR(__xludf.DUMMYFUNCTION("GOOGLETRANSLATE(B8122,""en"",""fr"")"),"Diverses personnes sont vues debout dans une zone ouverte effectuant plusieurs tours avec leurs chiens.")</f>
        <v>Diverses personnes sont vues debout dans une zone ouverte effectuant plusieurs tours avec leurs chiens.</v>
      </c>
    </row>
    <row r="8123">
      <c r="A8123" s="4" t="s">
        <v>10214</v>
      </c>
      <c r="B8123" s="4" t="s">
        <v>10216</v>
      </c>
      <c r="C8123" s="5" t="str">
        <f>IFERROR(__xludf.DUMMYFUNCTION("GOOGLETRANSLATE(B8123,""en"",""fr"")"),"Beaucoup de gens regardent la touche et plus de gens continuent de montrer des tours avec leurs chiens.")</f>
        <v>Beaucoup de gens regardent la touche et plus de gens continuent de montrer des tours avec leurs chiens.</v>
      </c>
    </row>
    <row r="8124">
      <c r="A8124" s="4" t="s">
        <v>10214</v>
      </c>
      <c r="B8124" s="4" t="s">
        <v>10217</v>
      </c>
      <c r="C8124" s="5" t="str">
        <f>IFERROR(__xludf.DUMMYFUNCTION("GOOGLETRANSLATE(B8124,""en"",""fr"")"),"Plusieurs personnes sont interviewées par la caméra et mène à des astuces encore plus affichées.")</f>
        <v>Plusieurs personnes sont interviewées par la caméra et mène à des astuces encore plus affichées.</v>
      </c>
    </row>
    <row r="8125">
      <c r="A8125" s="4" t="s">
        <v>10218</v>
      </c>
      <c r="B8125" s="4" t="s">
        <v>10219</v>
      </c>
      <c r="C8125" s="5" t="str">
        <f>IFERROR(__xludf.DUMMYFUNCTION("GOOGLETRANSLATE(B8125,""en"",""fr"")"),"Une ligne de batteurs joue à l'intérieur d'un superdome.")</f>
        <v>Une ligne de batteurs joue à l'intérieur d'un superdome.</v>
      </c>
    </row>
    <row r="8126">
      <c r="A8126" s="4" t="s">
        <v>10218</v>
      </c>
      <c r="B8126" s="4" t="s">
        <v>10220</v>
      </c>
      <c r="C8126" s="5" t="str">
        <f>IFERROR(__xludf.DUMMYFUNCTION("GOOGLETRANSLATE(B8126,""en"",""fr"")"),"Plusieurs batteurs de basses apparaissent avec des maillots.")</f>
        <v>Plusieurs batteurs de basses apparaissent avec des maillots.</v>
      </c>
    </row>
    <row r="8127">
      <c r="A8127" s="4" t="s">
        <v>10218</v>
      </c>
      <c r="B8127" s="4" t="s">
        <v>10221</v>
      </c>
      <c r="C8127" s="5" t="str">
        <f>IFERROR(__xludf.DUMMYFUNCTION("GOOGLETRANSLATE(B8127,""en"",""fr"")"),"Ils jouent tous un battement alors que les gens avec des caméras marchent entre eux.")</f>
        <v>Ils jouent tous un battement alors que les gens avec des caméras marchent entre eux.</v>
      </c>
    </row>
    <row r="8128">
      <c r="A8128" s="4" t="s">
        <v>10222</v>
      </c>
      <c r="B8128" s="4" t="s">
        <v>10223</v>
      </c>
      <c r="C8128" s="5" t="str">
        <f>IFERROR(__xludf.DUMMYFUNCTION("GOOGLETRANSLATE(B8128,""en"",""fr"")"),"Un écran noir apparaît avec des mots blancs qui lisent ""Sport Bez Barier Curling Na Wozkach"".")</f>
        <v>Un écran noir apparaît avec des mots blancs qui lisent "Sport Bez Barier Curling Na Wozkach".</v>
      </c>
    </row>
    <row r="8129">
      <c r="A8129" s="4" t="s">
        <v>10222</v>
      </c>
      <c r="B8129" s="6" t="s">
        <v>10224</v>
      </c>
      <c r="C8129" s="5" t="str">
        <f>IFERROR(__xludf.DUMMYFUNCTION("GOOGLETRANSLATE(B8129,""en"",""fr"")"),"Un nettoyeur de glace monte maintenant sur une patinoire, puis les gens sur les fauteuils roulants commencent à rouler sur la patinoire.")</f>
        <v>Un nettoyeur de glace monte maintenant sur une patinoire, puis les gens sur les fauteuils roulants commencent à rouler sur la patinoire.</v>
      </c>
    </row>
    <row r="8130">
      <c r="A8130" s="4" t="s">
        <v>10222</v>
      </c>
      <c r="B8130" s="6" t="s">
        <v>10225</v>
      </c>
      <c r="C8130" s="5" t="str">
        <f>IFERROR(__xludf.DUMMYFUNCTION("GOOGLETRANSLATE(B8130,""en"",""fr"")"),"Une femme en fauteuil roulant commence à parler et les mots à l'écran disent que son nom est ""Agnieszka Kachel"".")</f>
        <v>Une femme en fauteuil roulant commence à parler et les mots à l'écran disent que son nom est "Agnieszka Kachel".</v>
      </c>
    </row>
    <row r="8131">
      <c r="A8131" s="4" t="s">
        <v>10222</v>
      </c>
      <c r="B8131" s="6" t="s">
        <v>10226</v>
      </c>
      <c r="C8131" s="5" t="str">
        <f>IFERROR(__xludf.DUMMYFUNCTION("GOOGLETRANSLATE(B8131,""en"",""fr"")"),"La patinoire est à nouveau montrée et il montre des objets gris avec des hauts colorés qui sont poussés sur la glace avec des bâtons que les gens en fauteuil roulant tiennent et se déplacent d'avant en arrière à la femme parlant seule et aux gens sur la g"&amp;"lace.")</f>
        <v>La patinoire est à nouveau montrée et il montre des objets gris avec des hauts colorés qui sont poussés sur la glace avec des bâtons que les gens en fauteuil roulant tiennent et se déplacent d'avant en arrière à la femme parlant seule et aux gens sur la glace.</v>
      </c>
    </row>
    <row r="8132">
      <c r="A8132" s="4" t="s">
        <v>10222</v>
      </c>
      <c r="B8132" s="4" t="s">
        <v>10227</v>
      </c>
      <c r="C8132" s="5" t="str">
        <f>IFERROR(__xludf.DUMMYFUNCTION("GOOGLETRANSLATE(B8132,""en"",""fr"")"),"Un écran outro blanc apparaît avec des lettres noires qui incluent une liste de noms, de sites Web et de logos.")</f>
        <v>Un écran outro blanc apparaît avec des lettres noires qui incluent une liste de noms, de sites Web et de logos.</v>
      </c>
    </row>
    <row r="8133">
      <c r="A8133" s="4" t="s">
        <v>10228</v>
      </c>
      <c r="B8133" s="6" t="s">
        <v>10229</v>
      </c>
      <c r="C8133" s="5" t="str">
        <f>IFERROR(__xludf.DUMMYFUNCTION("GOOGLETRANSLATE(B8133,""en"",""fr"")"),"Une gymnaste est vue grimper sur un ensemble de barres inégales et effectuer une routine tandis que beaucoup regardent sur le côté.")</f>
        <v>Une gymnaste est vue grimper sur un ensemble de barres inégales et effectuer une routine tandis que beaucoup regardent sur le côté.</v>
      </c>
    </row>
    <row r="8134">
      <c r="A8134" s="4" t="s">
        <v>10228</v>
      </c>
      <c r="B8134" s="4" t="s">
        <v>10230</v>
      </c>
      <c r="C8134" s="5" t="str">
        <f>IFERROR(__xludf.DUMMYFUNCTION("GOOGLETRANSLATE(B8134,""en"",""fr"")"),"Il effectue divers flips et tours et se termine en sautant et en mettant ses bras.")</f>
        <v>Il effectue divers flips et tours et se termine en sautant et en mettant ses bras.</v>
      </c>
    </row>
    <row r="8135">
      <c r="A8135" s="4" t="s">
        <v>10231</v>
      </c>
      <c r="B8135" s="4" t="s">
        <v>10232</v>
      </c>
      <c r="C8135" s="5" t="str">
        <f>IFERROR(__xludf.DUMMYFUNCTION("GOOGLETRANSLATE(B8135,""en"",""fr"")"),"Un homme se lave le visage devant un miroir.")</f>
        <v>Un homme se lave le visage devant un miroir.</v>
      </c>
    </row>
    <row r="8136">
      <c r="A8136" s="4" t="s">
        <v>10231</v>
      </c>
      <c r="B8136" s="4" t="s">
        <v>10233</v>
      </c>
      <c r="C8136" s="5" t="str">
        <f>IFERROR(__xludf.DUMMYFUNCTION("GOOGLETRANSLATE(B8136,""en"",""fr"")"),"Il rit de la caméra.")</f>
        <v>Il rit de la caméra.</v>
      </c>
    </row>
    <row r="8137">
      <c r="A8137" s="4" t="s">
        <v>10231</v>
      </c>
      <c r="B8137" s="4" t="s">
        <v>10234</v>
      </c>
      <c r="C8137" s="5" t="str">
        <f>IFERROR(__xludf.DUMMYFUNCTION("GOOGLETRANSLATE(B8137,""en"",""fr"")"),"Il se frotte un peu plus.")</f>
        <v>Il se frotte un peu plus.</v>
      </c>
    </row>
    <row r="8138">
      <c r="A8138" s="4" t="s">
        <v>10231</v>
      </c>
      <c r="B8138" s="4" t="s">
        <v>10235</v>
      </c>
      <c r="C8138" s="5" t="str">
        <f>IFERROR(__xludf.DUMMYFUNCTION("GOOGLETRANSLATE(B8138,""en"",""fr"")"),"Il se penche dans l'évier pour le rincer.")</f>
        <v>Il se penche dans l'évier pour le rincer.</v>
      </c>
    </row>
    <row r="8139">
      <c r="A8139" s="4" t="s">
        <v>10236</v>
      </c>
      <c r="B8139" s="4" t="s">
        <v>10237</v>
      </c>
      <c r="C8139" s="5" t="str">
        <f>IFERROR(__xludf.DUMMYFUNCTION("GOOGLETRANSLATE(B8139,""en"",""fr"")"),"Un homme gratte de manière agressive sur sa guitare.")</f>
        <v>Un homme gratte de manière agressive sur sa guitare.</v>
      </c>
    </row>
    <row r="8140">
      <c r="A8140" s="4" t="s">
        <v>10236</v>
      </c>
      <c r="B8140" s="4" t="s">
        <v>10238</v>
      </c>
      <c r="C8140" s="5" t="str">
        <f>IFERROR(__xludf.DUMMYFUNCTION("GOOGLETRANSLATE(B8140,""en"",""fr"")"),"Un autre homme avec une guitare bleue joue et fait tomber partout dans sa guitare.")</f>
        <v>Un autre homme avec une guitare bleue joue et fait tomber partout dans sa guitare.</v>
      </c>
    </row>
    <row r="8141">
      <c r="A8141" s="4" t="s">
        <v>10236</v>
      </c>
      <c r="B8141" s="6" t="s">
        <v>10239</v>
      </c>
      <c r="C8141" s="5" t="str">
        <f>IFERROR(__xludf.DUMMYFUNCTION("GOOGLETRANSLATE(B8141,""en"",""fr"")"),"Un homme dans une chemise rouge qui a une guitare électrique tape son pied en gardant un tempo et en jouant un air.")</f>
        <v>Un homme dans une chemise rouge qui a une guitare électrique tape son pied en gardant un tempo et en jouant un air.</v>
      </c>
    </row>
    <row r="8142">
      <c r="A8142" s="4" t="s">
        <v>10236</v>
      </c>
      <c r="B8142" s="4" t="s">
        <v>10240</v>
      </c>
      <c r="C8142" s="5" t="str">
        <f>IFERROR(__xludf.DUMMYFUNCTION("GOOGLETRANSLATE(B8142,""en"",""fr"")"),"Il joue de haut en bas d'une échelle ou d'une mélodie.")</f>
        <v>Il joue de haut en bas d'une échelle ou d'une mélodie.</v>
      </c>
    </row>
    <row r="8143">
      <c r="A8143" s="4" t="s">
        <v>10241</v>
      </c>
      <c r="B8143" s="6" t="s">
        <v>10242</v>
      </c>
      <c r="C8143" s="5" t="str">
        <f>IFERROR(__xludf.DUMMYFUNCTION("GOOGLETRANSLATE(B8143,""en"",""fr"")"),"Une femme portant une tenue rouge lève les mains et les pieds, les alternant de manière lente et méthodique.")</f>
        <v>Une femme portant une tenue rouge lève les mains et les pieds, les alternant de manière lente et méthodique.</v>
      </c>
    </row>
    <row r="8144">
      <c r="A8144" s="4" t="s">
        <v>10241</v>
      </c>
      <c r="B8144" s="4" t="s">
        <v>10243</v>
      </c>
      <c r="C8144" s="5" t="str">
        <f>IFERROR(__xludf.DUMMYFUNCTION("GOOGLETRANSLATE(B8144,""en"",""fr"")"),"Elle met un spectacle sur une scène, allant de va-et-vient avec fluidité.")</f>
        <v>Elle met un spectacle sur une scène, allant de va-et-vient avec fluidité.</v>
      </c>
    </row>
    <row r="8145">
      <c r="A8145" s="4" t="s">
        <v>10241</v>
      </c>
      <c r="B8145" s="6" t="s">
        <v>10244</v>
      </c>
      <c r="C8145" s="5" t="str">
        <f>IFERROR(__xludf.DUMMYFUNCTION("GOOGLETRANSLATE(B8145,""en"",""fr"")"),"La femme transforme dans plusieurs directions différentes, fournissant différentes actions avant de se tenir droit et toujours comme sa finale.")</f>
        <v>La femme transforme dans plusieurs directions différentes, fournissant différentes actions avant de se tenir droit et toujours comme sa finale.</v>
      </c>
    </row>
    <row r="8146">
      <c r="A8146" s="4" t="s">
        <v>10245</v>
      </c>
      <c r="B8146" s="4" t="s">
        <v>10246</v>
      </c>
      <c r="C8146" s="5" t="str">
        <f>IFERROR(__xludf.DUMMYFUNCTION("GOOGLETRANSLATE(B8146,""en"",""fr"")"),"Un écran noir avec du texte de zoom blanc d'une performance de filles sur les barres inégales.")</f>
        <v>Un écran noir avec du texte de zoom blanc d'une performance de filles sur les barres inégales.</v>
      </c>
    </row>
    <row r="8147">
      <c r="A8147" s="4" t="s">
        <v>10245</v>
      </c>
      <c r="B8147" s="6" t="s">
        <v>10247</v>
      </c>
      <c r="C8147" s="5" t="str">
        <f>IFERROR(__xludf.DUMMYFUNCTION("GOOGLETRANSLATE(B8147,""en"",""fr"")"),"Une gymnaste marche dans les barres inégales saute d'une planche et saisit les barreaux et passe par sa routine.")</f>
        <v>Une gymnaste marche dans les barres inégales saute d'une planche et saisit les barreaux et passe par sa routine.</v>
      </c>
    </row>
    <row r="8148">
      <c r="A8148" s="4" t="s">
        <v>10245</v>
      </c>
      <c r="B8148" s="4" t="s">
        <v>10248</v>
      </c>
      <c r="C8148" s="5" t="str">
        <f>IFERROR(__xludf.DUMMYFUNCTION("GOOGLETRANSLATE(B8148,""en"",""fr"")"),"Il y a du texte qui apparaît à l'écran décrivant ce qu'elle doit faire.")</f>
        <v>Il y a du texte qui apparaît à l'écran décrivant ce qu'elle doit faire.</v>
      </c>
    </row>
    <row r="8149">
      <c r="A8149" s="4" t="s">
        <v>10245</v>
      </c>
      <c r="B8149" s="4" t="s">
        <v>10249</v>
      </c>
      <c r="C8149" s="5" t="str">
        <f>IFERROR(__xludf.DUMMYFUNCTION("GOOGLETRANSLATE(B8149,""en"",""fr"")"),"Elle met fin à sa routine et atterrit sur le tapis pendant que la foule applaudit.")</f>
        <v>Elle met fin à sa routine et atterrit sur le tapis pendant que la foule applaudit.</v>
      </c>
    </row>
    <row r="8150">
      <c r="A8150" s="4" t="s">
        <v>10245</v>
      </c>
      <c r="B8150" s="4" t="s">
        <v>10250</v>
      </c>
      <c r="C8150" s="5" t="str">
        <f>IFERROR(__xludf.DUMMYFUNCTION("GOOGLETRANSLATE(B8150,""en"",""fr"")"),"Un écran noir avec du texte blanc apparaît suivi par le score des gymnastes.")</f>
        <v>Un écran noir avec du texte blanc apparaît suivi par le score des gymnastes.</v>
      </c>
    </row>
    <row r="8151">
      <c r="A8151" s="4" t="s">
        <v>10251</v>
      </c>
      <c r="B8151" s="4" t="s">
        <v>10252</v>
      </c>
      <c r="C8151" s="5" t="str">
        <f>IFERROR(__xludf.DUMMYFUNCTION("GOOGLETRANSLATE(B8151,""en"",""fr"")"),"Un groupe de personnes est vue assise sur des vélos et attend avant une piste.")</f>
        <v>Un groupe de personnes est vue assise sur des vélos et attend avant une piste.</v>
      </c>
    </row>
    <row r="8152">
      <c r="A8152" s="4" t="s">
        <v>10251</v>
      </c>
      <c r="B8152" s="4" t="s">
        <v>10253</v>
      </c>
      <c r="C8152" s="5" t="str">
        <f>IFERROR(__xludf.DUMMYFUNCTION("GOOGLETRANSLATE(B8152,""en"",""fr"")"),"Un bar allons aller et les hommes roulent autour d'une longue piste sur les vélos les uns des autres.")</f>
        <v>Un bar allons aller et les hommes roulent autour d'une longue piste sur les vélos les uns des autres.</v>
      </c>
    </row>
    <row r="8153">
      <c r="A8153" s="4" t="s">
        <v>10254</v>
      </c>
      <c r="B8153" s="6" t="s">
        <v>10255</v>
      </c>
      <c r="C8153" s="5" t="str">
        <f>IFERROR(__xludf.DUMMYFUNCTION("GOOGLETRANSLATE(B8153,""en"",""fr"")"),"Un homme est vu debout devant un vélo parlant à la caméra et mène à des coups de feu en roulant.")</f>
        <v>Un homme est vu debout devant un vélo parlant à la caméra et mène à des coups de feu en roulant.</v>
      </c>
    </row>
    <row r="8154">
      <c r="A8154" s="4" t="s">
        <v>10254</v>
      </c>
      <c r="B8154" s="6" t="s">
        <v>10256</v>
      </c>
      <c r="C8154" s="5" t="str">
        <f>IFERROR(__xludf.DUMMYFUNCTION("GOOGLETRANSLATE(B8154,""en"",""fr"")"),"L'homme continue de parler à la caméra alors que davantage de coups de feu sont montrés de lui faire du vélo de terre sur une piste.")</f>
        <v>L'homme continue de parler à la caméra alors que davantage de coups de feu sont montrés de lui faire du vélo de terre sur une piste.</v>
      </c>
    </row>
    <row r="8155">
      <c r="A8155" s="4" t="s">
        <v>10257</v>
      </c>
      <c r="B8155" s="4" t="s">
        <v>10258</v>
      </c>
      <c r="C8155" s="5" t="str">
        <f>IFERROR(__xludf.DUMMYFUNCTION("GOOGLETRANSLATE(B8155,""en"",""fr"")"),"Une femme est vue en parlant à la caméra devant un grand buisson.")</f>
        <v>Une femme est vue en parlant à la caméra devant un grand buisson.</v>
      </c>
    </row>
    <row r="8156">
      <c r="A8156" s="4" t="s">
        <v>10257</v>
      </c>
      <c r="B8156" s="4" t="s">
        <v>10259</v>
      </c>
      <c r="C8156" s="5" t="str">
        <f>IFERROR(__xludf.DUMMYFUNCTION("GOOGLETRANSLATE(B8156,""en"",""fr"")"),"La femme utilise ensuite une pelle le long de la saleté.")</f>
        <v>La femme utilise ensuite une pelle le long de la saleté.</v>
      </c>
    </row>
    <row r="8157">
      <c r="A8157" s="4" t="s">
        <v>10257</v>
      </c>
      <c r="B8157" s="4" t="s">
        <v>10260</v>
      </c>
      <c r="C8157" s="5" t="str">
        <f>IFERROR(__xludf.DUMMYFUNCTION("GOOGLETRANSLATE(B8157,""en"",""fr"")"),"La caméra se déroule autour de la plante quand elle a terminé.")</f>
        <v>La caméra se déroule autour de la plante quand elle a terminé.</v>
      </c>
    </row>
    <row r="8158">
      <c r="A8158" s="4" t="s">
        <v>10261</v>
      </c>
      <c r="B8158" s="4" t="s">
        <v>10262</v>
      </c>
      <c r="C8158" s="5" t="str">
        <f>IFERROR(__xludf.DUMMYFUNCTION("GOOGLETRANSLATE(B8158,""en"",""fr"")"),"Un homme plus âgé avec des lunettes et des cheveux gris se trouve et chante alors qu'il joue de la guitare.")</f>
        <v>Un homme plus âgé avec des lunettes et des cheveux gris se trouve et chante alors qu'il joue de la guitare.</v>
      </c>
    </row>
    <row r="8159">
      <c r="A8159" s="4" t="s">
        <v>10261</v>
      </c>
      <c r="B8159" s="4" t="s">
        <v>10263</v>
      </c>
      <c r="C8159" s="5" t="str">
        <f>IFERROR(__xludf.DUMMYFUNCTION("GOOGLETRANSLATE(B8159,""en"",""fr"")"),"L'homme s'arrête une seconde.")</f>
        <v>L'homme s'arrête une seconde.</v>
      </c>
    </row>
    <row r="8160">
      <c r="A8160" s="4" t="s">
        <v>10261</v>
      </c>
      <c r="B8160" s="4" t="s">
        <v>10264</v>
      </c>
      <c r="C8160" s="5" t="str">
        <f>IFERROR(__xludf.DUMMYFUNCTION("GOOGLETRANSLATE(B8160,""en"",""fr"")"),"L'homme termine sa chanson et s'arrête.")</f>
        <v>L'homme termine sa chanson et s'arrête.</v>
      </c>
    </row>
    <row r="8161">
      <c r="A8161" s="4" t="s">
        <v>10261</v>
      </c>
      <c r="B8161" s="4" t="s">
        <v>10265</v>
      </c>
      <c r="C8161" s="5" t="str">
        <f>IFERROR(__xludf.DUMMYFUNCTION("GOOGLETRANSLATE(B8161,""en"",""fr"")"),"Nous voyons l'écran de titre de fin avec un chat dessus.")</f>
        <v>Nous voyons l'écran de titre de fin avec un chat dessus.</v>
      </c>
    </row>
    <row r="8162">
      <c r="A8162" s="4" t="s">
        <v>10266</v>
      </c>
      <c r="B8162" s="4" t="s">
        <v>10267</v>
      </c>
      <c r="C8162" s="5" t="str">
        <f>IFERROR(__xludf.DUMMYFUNCTION("GOOGLETRANSLATE(B8162,""en"",""fr"")"),"Un homme chauve se tient à côté du comptoir avec du verre et de l'agitateur devant lui.")</f>
        <v>Un homme chauve se tient à côté du comptoir avec du verre et de l'agitateur devant lui.</v>
      </c>
    </row>
    <row r="8163">
      <c r="A8163" s="4" t="s">
        <v>10266</v>
      </c>
      <c r="B8163" s="6" t="s">
        <v>10268</v>
      </c>
      <c r="C8163" s="5" t="str">
        <f>IFERROR(__xludf.DUMMYFUNCTION("GOOGLETRANSLATE(B8163,""en"",""fr"")"),"L'homme a mis de la glace dans le verre, mettre du liquide clair dans le verre, ajouter du jus d'orange, il mélange le contenu pendant qu'il verse le jus d'orange, puis ajoute du liquide rouge qui tombait sous le jus d'orange.")</f>
        <v>L'homme a mis de la glace dans le verre, mettre du liquide clair dans le verre, ajouter du jus d'orange, il mélange le contenu pendant qu'il verse le jus d'orange, puis ajoute du liquide rouge qui tombait sous le jus d'orange.</v>
      </c>
    </row>
    <row r="8164">
      <c r="A8164" s="4" t="s">
        <v>10269</v>
      </c>
      <c r="B8164" s="4" t="s">
        <v>10270</v>
      </c>
      <c r="C8164" s="5" t="str">
        <f>IFERROR(__xludf.DUMMYFUNCTION("GOOGLETRANSLATE(B8164,""en"",""fr"")"),"Un jeune rouleau patine sur la route dans la forêt.")</f>
        <v>Un jeune rouleau patine sur la route dans la forêt.</v>
      </c>
    </row>
    <row r="8165">
      <c r="A8165" s="4" t="s">
        <v>10269</v>
      </c>
      <c r="B8165" s="4" t="s">
        <v>10271</v>
      </c>
      <c r="C8165" s="5" t="str">
        <f>IFERROR(__xludf.DUMMYFUNCTION("GOOGLETRANSLATE(B8165,""en"",""fr"")"),"Puis elle arrive passe devant une voiture abandonnée.")</f>
        <v>Puis elle arrive passe devant une voiture abandonnée.</v>
      </c>
    </row>
    <row r="8166">
      <c r="A8166" s="4" t="s">
        <v>10272</v>
      </c>
      <c r="B8166" s="6" t="s">
        <v>10273</v>
      </c>
      <c r="C8166" s="5" t="str">
        <f>IFERROR(__xludf.DUMMYFUNCTION("GOOGLETRANSLATE(B8166,""en"",""fr"")"),"Un homme est vu monter sur un tapis roulant suivi de plusieurs images du tapis roulant et d'un homme prenant des photos.")</f>
        <v>Un homme est vu monter sur un tapis roulant suivi de plusieurs images du tapis roulant et d'un homme prenant des photos.</v>
      </c>
    </row>
    <row r="8167">
      <c r="A8167" s="4" t="s">
        <v>10272</v>
      </c>
      <c r="B8167" s="6" t="s">
        <v>10274</v>
      </c>
      <c r="C8167" s="5" t="str">
        <f>IFERROR(__xludf.DUMMYFUNCTION("GOOGLETRANSLATE(B8167,""en"",""fr"")"),"Une personne défait la machine puis monte sur la machine et mène à plus de gens qui prennent des photos de la machine et des personnes qui roulent.")</f>
        <v>Une personne défait la machine puis monte sur la machine et mène à plus de gens qui prennent des photos de la machine et des personnes qui roulent.</v>
      </c>
    </row>
    <row r="8168">
      <c r="A8168" s="4" t="s">
        <v>10275</v>
      </c>
      <c r="B8168" s="6" t="s">
        <v>10276</v>
      </c>
      <c r="C8168" s="5" t="str">
        <f>IFERROR(__xludf.DUMMYFUNCTION("GOOGLETRANSLATE(B8168,""en"",""fr"")"),"Deux hommes sont assis à la table avec leurs bras sur la table, ils sont positionnés pour la lutte des bras.")</f>
        <v>Deux hommes sont assis à la table avec leurs bras sur la table, ils sont positionnés pour la lutte des bras.</v>
      </c>
    </row>
    <row r="8169">
      <c r="A8169" s="4" t="s">
        <v>10275</v>
      </c>
      <c r="B8169" s="4" t="s">
        <v>10277</v>
      </c>
      <c r="C8169" s="5" t="str">
        <f>IFERROR(__xludf.DUMMYFUNCTION("GOOGLETRANSLATE(B8169,""en"",""fr"")"),"Une chemise bleue se tient au centre en tenant les deux mains du joueur.")</f>
        <v>Une chemise bleue se tient au centre en tenant les deux mains du joueur.</v>
      </c>
    </row>
    <row r="8170">
      <c r="A8170" s="4" t="s">
        <v>10275</v>
      </c>
      <c r="B8170" s="4" t="s">
        <v>10278</v>
      </c>
      <c r="C8170" s="5" t="str">
        <f>IFERROR(__xludf.DUMMYFUNCTION("GOOGLETRANSLATE(B8170,""en"",""fr"")"),"L'homme avec l'ours s'est cassé le bras après que l'autre homme l'a poussé vers le bas.")</f>
        <v>L'homme avec l'ours s'est cassé le bras après que l'autre homme l'a poussé vers le bas.</v>
      </c>
    </row>
    <row r="8171">
      <c r="A8171" s="4" t="s">
        <v>10279</v>
      </c>
      <c r="B8171" s="4" t="s">
        <v>10280</v>
      </c>
      <c r="C8171" s="5" t="str">
        <f>IFERROR(__xludf.DUMMYFUNCTION("GOOGLETRANSLATE(B8171,""en"",""fr"")"),"Les touristes roulent de chameaux pendant que les gens tirent les chameaux avec une corde.")</f>
        <v>Les touristes roulent de chameaux pendant que les gens tirent les chameaux avec une corde.</v>
      </c>
    </row>
    <row r="8172">
      <c r="A8172" s="4" t="s">
        <v>10279</v>
      </c>
      <c r="B8172" s="4" t="s">
        <v>10281</v>
      </c>
      <c r="C8172" s="5" t="str">
        <f>IFERROR(__xludf.DUMMYFUNCTION("GOOGLETRANSLATE(B8172,""en"",""fr"")"),"Les hommes aident un couple à décharger les chameaux et à les nourrir.")</f>
        <v>Les hommes aident un couple à décharger les chameaux et à les nourrir.</v>
      </c>
    </row>
    <row r="8173">
      <c r="A8173" s="4" t="s">
        <v>10282</v>
      </c>
      <c r="B8173" s="4" t="s">
        <v>10283</v>
      </c>
      <c r="C8173" s="5" t="str">
        <f>IFERROR(__xludf.DUMMYFUNCTION("GOOGLETRANSLATE(B8173,""en"",""fr"")"),"Deux hommes commencent à danser sur une scène.")</f>
        <v>Deux hommes commencent à danser sur une scène.</v>
      </c>
    </row>
    <row r="8174">
      <c r="A8174" s="4" t="s">
        <v>10282</v>
      </c>
      <c r="B8174" s="4" t="s">
        <v>10284</v>
      </c>
      <c r="C8174" s="5" t="str">
        <f>IFERROR(__xludf.DUMMYFUNCTION("GOOGLETRANSLATE(B8174,""en"",""fr"")"),"Ils levèrent les mains à côté de leur visage.")</f>
        <v>Ils levèrent les mains à côté de leur visage.</v>
      </c>
    </row>
    <row r="8175">
      <c r="A8175" s="4" t="s">
        <v>10282</v>
      </c>
      <c r="B8175" s="4" t="s">
        <v>10285</v>
      </c>
      <c r="C8175" s="5" t="str">
        <f>IFERROR(__xludf.DUMMYFUNCTION("GOOGLETRANSLATE(B8175,""en"",""fr"")"),"Un album d'une femme est montré à l'écran.")</f>
        <v>Un album d'une femme est montré à l'écran.</v>
      </c>
    </row>
    <row r="8176">
      <c r="A8176" s="4" t="s">
        <v>10286</v>
      </c>
      <c r="B8176" s="4" t="s">
        <v>10287</v>
      </c>
      <c r="C8176" s="5" t="str">
        <f>IFERROR(__xludf.DUMMYFUNCTION("GOOGLETRANSLATE(B8176,""en"",""fr"")"),"Un homme se penche et prend un gros poids.")</f>
        <v>Un homme se penche et prend un gros poids.</v>
      </c>
    </row>
    <row r="8177">
      <c r="A8177" s="4" t="s">
        <v>10286</v>
      </c>
      <c r="B8177" s="4" t="s">
        <v>10288</v>
      </c>
      <c r="C8177" s="5" t="str">
        <f>IFERROR(__xludf.DUMMYFUNCTION("GOOGLETRANSLATE(B8177,""en"",""fr"")"),"Il le soulève au-dessus de sa tête.")</f>
        <v>Il le soulève au-dessus de sa tête.</v>
      </c>
    </row>
    <row r="8178">
      <c r="A8178" s="4" t="s">
        <v>10286</v>
      </c>
      <c r="B8178" s="4" t="s">
        <v>10289</v>
      </c>
      <c r="C8178" s="5" t="str">
        <f>IFERROR(__xludf.DUMMYFUNCTION("GOOGLETRANSLATE(B8178,""en"",""fr"")"),"Il le laisse ensuite tomber sur le sol.")</f>
        <v>Il le laisse ensuite tomber sur le sol.</v>
      </c>
    </row>
    <row r="8179">
      <c r="A8179" s="4" t="s">
        <v>10290</v>
      </c>
      <c r="B8179" s="4" t="s">
        <v>10291</v>
      </c>
      <c r="C8179" s="5" t="str">
        <f>IFERROR(__xludf.DUMMYFUNCTION("GOOGLETRANSLATE(B8179,""en"",""fr"")"),"Un homme et une femme se luttent sur une table au milieu de la scène et la femme gagne.")</f>
        <v>Un homme et une femme se luttent sur une table au milieu de la scène et la femme gagne.</v>
      </c>
    </row>
    <row r="8180">
      <c r="A8180" s="4" t="s">
        <v>10290</v>
      </c>
      <c r="B8180" s="4" t="s">
        <v>10292</v>
      </c>
      <c r="C8180" s="5" t="str">
        <f>IFERROR(__xludf.DUMMYFUNCTION("GOOGLETRANSLATE(B8180,""en"",""fr"")"),"Les gens sont dans les seins autour de la scène en regardant la compétition.")</f>
        <v>Les gens sont dans les seins autour de la scène en regardant la compétition.</v>
      </c>
    </row>
    <row r="8181">
      <c r="A8181" s="4" t="s">
        <v>10293</v>
      </c>
      <c r="B8181" s="4" t="s">
        <v>10294</v>
      </c>
      <c r="C8181" s="5" t="str">
        <f>IFERROR(__xludf.DUMMYFUNCTION("GOOGLETRANSLATE(B8181,""en"",""fr"")"),"Un logo Howcast est la scène d'ouverture de la vidéo.")</f>
        <v>Un logo Howcast est la scène d'ouverture de la vidéo.</v>
      </c>
    </row>
    <row r="8182">
      <c r="A8182" s="4" t="s">
        <v>10293</v>
      </c>
      <c r="B8182" s="4" t="s">
        <v>10295</v>
      </c>
      <c r="C8182" s="5" t="str">
        <f>IFERROR(__xludf.DUMMYFUNCTION("GOOGLETRANSLATE(B8182,""en"",""fr"")"),"Une femme montre des peintures de son travail.")</f>
        <v>Une femme montre des peintures de son travail.</v>
      </c>
    </row>
    <row r="8183">
      <c r="A8183" s="4" t="s">
        <v>10293</v>
      </c>
      <c r="B8183" s="4" t="s">
        <v>10296</v>
      </c>
      <c r="C8183" s="5" t="str">
        <f>IFERROR(__xludf.DUMMYFUNCTION("GOOGLETRANSLATE(B8183,""en"",""fr"")"),"Une diapositive pédagogique est affichée.")</f>
        <v>Une diapositive pédagogique est affichée.</v>
      </c>
    </row>
    <row r="8184">
      <c r="A8184" s="4" t="s">
        <v>10293</v>
      </c>
      <c r="B8184" s="4" t="s">
        <v>10297</v>
      </c>
      <c r="C8184" s="5" t="str">
        <f>IFERROR(__xludf.DUMMYFUNCTION("GOOGLETRANSLATE(B8184,""en"",""fr"")"),"La femme explique les matériaux utilisés.")</f>
        <v>La femme explique les matériaux utilisés.</v>
      </c>
    </row>
    <row r="8185">
      <c r="A8185" s="4" t="s">
        <v>10293</v>
      </c>
      <c r="B8185" s="4" t="s">
        <v>10298</v>
      </c>
      <c r="C8185" s="5" t="str">
        <f>IFERROR(__xludf.DUMMYFUNCTION("GOOGLETRANSLATE(B8185,""en"",""fr"")"),"Elle décrit ensuite les pinceaux qu'elle utilise.")</f>
        <v>Elle décrit ensuite les pinceaux qu'elle utilise.</v>
      </c>
    </row>
    <row r="8186">
      <c r="A8186" s="4" t="s">
        <v>10293</v>
      </c>
      <c r="B8186" s="4" t="s">
        <v>10299</v>
      </c>
      <c r="C8186" s="5" t="str">
        <f>IFERROR(__xludf.DUMMYFUNCTION("GOOGLETRANSLATE(B8186,""en"",""fr"")"),"Elle montre la palette de peinture et diverses couleurs de peinture.")</f>
        <v>Elle montre la palette de peinture et diverses couleurs de peinture.</v>
      </c>
    </row>
    <row r="8187">
      <c r="A8187" s="4" t="s">
        <v>10293</v>
      </c>
      <c r="B8187" s="4" t="s">
        <v>10300</v>
      </c>
      <c r="C8187" s="5" t="str">
        <f>IFERROR(__xludf.DUMMYFUNCTION("GOOGLETRANSLATE(B8187,""en"",""fr"")"),"Elle explique les bouteilles de peinture.")</f>
        <v>Elle explique les bouteilles de peinture.</v>
      </c>
    </row>
    <row r="8188">
      <c r="A8188" s="4" t="s">
        <v>10293</v>
      </c>
      <c r="B8188" s="4" t="s">
        <v>10301</v>
      </c>
      <c r="C8188" s="5" t="str">
        <f>IFERROR(__xludf.DUMMYFUNCTION("GOOGLETRANSLATE(B8188,""en"",""fr"")"),"Elle enseigne ensuite comment nettoyer les pinceaux avec des serviettes liquides et en papier.")</f>
        <v>Elle enseigne ensuite comment nettoyer les pinceaux avec des serviettes liquides et en papier.</v>
      </c>
    </row>
    <row r="8189">
      <c r="A8189" s="4" t="s">
        <v>10293</v>
      </c>
      <c r="B8189" s="4" t="s">
        <v>10302</v>
      </c>
      <c r="C8189" s="5" t="str">
        <f>IFERROR(__xludf.DUMMYFUNCTION("GOOGLETRANSLATE(B8189,""en"",""fr"")"),"La vidéo se termine par le même logo avec lequel il a commencé.")</f>
        <v>La vidéo se termine par le même logo avec lequel il a commencé.</v>
      </c>
    </row>
    <row r="8190">
      <c r="A8190" s="4" t="s">
        <v>10303</v>
      </c>
      <c r="B8190" s="4" t="s">
        <v>10304</v>
      </c>
      <c r="C8190" s="5" t="str">
        <f>IFERROR(__xludf.DUMMYFUNCTION("GOOGLETRANSLATE(B8190,""en"",""fr"")"),"Un groupe de filles dans le hockey sur gazon tenues sur un champ vert sur une ligne.")</f>
        <v>Un groupe de filles dans le hockey sur gazon tenues sur un champ vert sur une ligne.</v>
      </c>
    </row>
    <row r="8191">
      <c r="A8191" s="4" t="s">
        <v>10303</v>
      </c>
      <c r="B8191" s="4" t="s">
        <v>10305</v>
      </c>
      <c r="C8191" s="5" t="str">
        <f>IFERROR(__xludf.DUMMYFUNCTION("GOOGLETRANSLATE(B8191,""en"",""fr"")"),"Les filles sont ensuite vues devant un entraîneur masculin qui leur parle et pointant des taches sur le terrain.")</f>
        <v>Les filles sont ensuite vues devant un entraîneur masculin qui leur parle et pointant des taches sur le terrain.</v>
      </c>
    </row>
    <row r="8192">
      <c r="A8192" s="4" t="s">
        <v>10303</v>
      </c>
      <c r="B8192" s="6" t="s">
        <v>10306</v>
      </c>
      <c r="C8192" s="5" t="str">
        <f>IFERROR(__xludf.DUMMYFUNCTION("GOOGLETRANSLATE(B8192,""en"",""fr"")"),"Plusieurs filles sont interviewées sur le terrain et les gradins avant et que la vidéo des filles qui pratiquaient le hockey sur le terrain sont présentées.")</f>
        <v>Plusieurs filles sont interviewées sur le terrain et les gradins avant et que la vidéo des filles qui pratiquaient le hockey sur le terrain sont présentées.</v>
      </c>
    </row>
    <row r="8193">
      <c r="A8193" s="4" t="s">
        <v>10303</v>
      </c>
      <c r="B8193" s="6" t="s">
        <v>10307</v>
      </c>
      <c r="C8193" s="5" t="str">
        <f>IFERROR(__xludf.DUMMYFUNCTION("GOOGLETRANSLATE(B8193,""en"",""fr"")"),"Les filles sont ensuite présentées au hockey sur le terrain sur un grand terrain vert entrecoupé une interview de l'entraîneur.")</f>
        <v>Les filles sont ensuite présentées au hockey sur le terrain sur un grand terrain vert entrecoupé une interview de l'entraîneur.</v>
      </c>
    </row>
    <row r="8194">
      <c r="A8194" s="4" t="s">
        <v>10308</v>
      </c>
      <c r="B8194" s="4" t="s">
        <v>10309</v>
      </c>
      <c r="C8194" s="5" t="str">
        <f>IFERROR(__xludf.DUMMYFUNCTION("GOOGLETRANSLATE(B8194,""en"",""fr"")"),"L'homme se tient à parler à la caméra montrant une grosse pièce en métal.")</f>
        <v>L'homme se tient à parler à la caméra montrant une grosse pièce en métal.</v>
      </c>
    </row>
    <row r="8195">
      <c r="A8195" s="4" t="s">
        <v>10308</v>
      </c>
      <c r="B8195" s="4" t="s">
        <v>10310</v>
      </c>
      <c r="C8195" s="5" t="str">
        <f>IFERROR(__xludf.DUMMYFUNCTION("GOOGLETRANSLATE(B8195,""en"",""fr"")"),"Te Man in the Room joue l'harmonica.")</f>
        <v>Te Man in the Room joue l'harmonica.</v>
      </c>
    </row>
    <row r="8196">
      <c r="A8196" s="4" t="s">
        <v>10308</v>
      </c>
      <c r="B8196" s="4" t="s">
        <v>10311</v>
      </c>
      <c r="C8196" s="5" t="str">
        <f>IFERROR(__xludf.DUMMYFUNCTION("GOOGLETRANSLATE(B8196,""en"",""fr"")"),"L'homme arrête de jouer et continue de parler à la caméra dans une petite pièce blanche.")</f>
        <v>L'homme arrête de jouer et continue de parler à la caméra dans une petite pièce blanche.</v>
      </c>
    </row>
    <row r="8197">
      <c r="A8197" s="4" t="s">
        <v>10312</v>
      </c>
      <c r="B8197" s="4" t="s">
        <v>10313</v>
      </c>
      <c r="C8197" s="5" t="str">
        <f>IFERROR(__xludf.DUMMYFUNCTION("GOOGLETRANSLATE(B8197,""en"",""fr"")"),"Une série BMW 3 blanche est dans un garage nettoyé par deux hommes portant des vestes de sécurité.")</f>
        <v>Une série BMW 3 blanche est dans un garage nettoyé par deux hommes portant des vestes de sécurité.</v>
      </c>
    </row>
    <row r="8198">
      <c r="A8198" s="4" t="s">
        <v>10312</v>
      </c>
      <c r="B8198" s="6" t="s">
        <v>10314</v>
      </c>
      <c r="C8198" s="5" t="str">
        <f>IFERROR(__xludf.DUMMYFUNCTION("GOOGLETRANSLATE(B8198,""en"",""fr"")"),"Une fois l'avant nettoyé, les hommes se déplacent vers l'arrière en pulvérisant le véhicule et reviennent pour vaporiser la jante et retourner dans le coffre pour obtenir tous les spots.")</f>
        <v>Une fois l'avant nettoyé, les hommes se déplacent vers l'arrière en pulvérisant le véhicule et reviennent pour vaporiser la jante et retourner dans le coffre pour obtenir tous les spots.</v>
      </c>
    </row>
    <row r="8199">
      <c r="A8199" s="4" t="s">
        <v>10315</v>
      </c>
      <c r="B8199" s="6" t="s">
        <v>10316</v>
      </c>
      <c r="C8199" s="5" t="str">
        <f>IFERROR(__xludf.DUMMYFUNCTION("GOOGLETRANSLATE(B8199,""en"",""fr"")"),"Il y a deux filles portant des débardeurs bleu brillant et des jupes noires faisant une danse coordonnée avec des bâtons dans leurs mains dans une salle de sport.")</f>
        <v>Il y a deux filles portant des débardeurs bleu brillant et des jupes noires faisant une danse coordonnée avec des bâtons dans leurs mains dans une salle de sport.</v>
      </c>
    </row>
    <row r="8200">
      <c r="A8200" s="4" t="s">
        <v>10315</v>
      </c>
      <c r="B8200" s="6" t="s">
        <v>10317</v>
      </c>
      <c r="C8200" s="5" t="str">
        <f>IFERROR(__xludf.DUMMYFUNCTION("GOOGLETRANSLATE(B8200,""en"",""fr"")"),"Ils commencent par faire face à leur dos à la caméra et s'introduisent dans un mouvement de danse en élevant leurs bâtons dans les airs.")</f>
        <v>Ils commencent par faire face à leur dos à la caméra et s'introduisent dans un mouvement de danse en élevant leurs bâtons dans les airs.</v>
      </c>
    </row>
    <row r="8201">
      <c r="A8201" s="4" t="s">
        <v>10315</v>
      </c>
      <c r="B8201" s="4" t="s">
        <v>10318</v>
      </c>
      <c r="C8201" s="5" t="str">
        <f>IFERROR(__xludf.DUMMYFUNCTION("GOOGLETRANSLATE(B8201,""en"",""fr"")"),"Ensuite, ils jettent leurs bâtons dans l'air et l'attrapent et se retournent pour faire face à la caméra.")</f>
        <v>Ensuite, ils jettent leurs bâtons dans l'air et l'attrapent et se retournent pour faire face à la caméra.</v>
      </c>
    </row>
    <row r="8202">
      <c r="A8202" s="4" t="s">
        <v>10315</v>
      </c>
      <c r="B8202" s="4" t="s">
        <v>10319</v>
      </c>
      <c r="C8202" s="5" t="str">
        <f>IFERROR(__xludf.DUMMYFUNCTION("GOOGLETRANSLATE(B8202,""en"",""fr"")"),"Ils continuent de danser en coordination en allant en rond et en faisant tournoyer leur corps simultanément.")</f>
        <v>Ils continuent de danser en coordination en allant en rond et en faisant tournoyer leur corps simultanément.</v>
      </c>
    </row>
    <row r="8203">
      <c r="A8203" s="4" t="s">
        <v>10315</v>
      </c>
      <c r="B8203" s="4" t="s">
        <v>10320</v>
      </c>
      <c r="C8203" s="5" t="str">
        <f>IFERROR(__xludf.DUMMYFUNCTION("GOOGLETRANSLATE(B8203,""en"",""fr"")"),"Ensuite, ils font des flips avant et continuent de faire tournoyer leur corps en mouvement circulaire.")</f>
        <v>Ensuite, ils font des flips avant et continuent de faire tournoyer leur corps en mouvement circulaire.</v>
      </c>
    </row>
    <row r="8204">
      <c r="A8204" s="4" t="s">
        <v>10315</v>
      </c>
      <c r="B8204" s="4" t="s">
        <v>10321</v>
      </c>
      <c r="C8204" s="5" t="str">
        <f>IFERROR(__xludf.DUMMYFUNCTION("GOOGLETRANSLATE(B8204,""en"",""fr"")"),"L'un des danseurs fait un retournement avant tandis que l'autre jette le bâton dans l'air et l'attrape.")</f>
        <v>L'un des danseurs fait un retournement avant tandis que l'autre jette le bâton dans l'air et l'attrape.</v>
      </c>
    </row>
    <row r="8205">
      <c r="A8205" s="4" t="s">
        <v>10315</v>
      </c>
      <c r="B8205" s="6" t="s">
        <v>10322</v>
      </c>
      <c r="C8205" s="5" t="str">
        <f>IFERROR(__xludf.DUMMYFUNCTION("GOOGLETRANSLATE(B8205,""en"",""fr"")"),"Ils continuent de danser alors qu'ils jettent leurs bâtons et les attrapent entre leurs mains alors qu'ils se coordonnent.")</f>
        <v>Ils continuent de danser alors qu'ils jettent leurs bâtons et les attrapent entre leurs mains alors qu'ils se coordonnent.</v>
      </c>
    </row>
    <row r="8206">
      <c r="A8206" s="4" t="s">
        <v>10315</v>
      </c>
      <c r="B8206" s="4" t="s">
        <v>10323</v>
      </c>
      <c r="C8206" s="5" t="str">
        <f>IFERROR(__xludf.DUMMYFUNCTION("GOOGLETRANSLATE(B8206,""en"",""fr"")"),"Une fois que ils ont fini avec la danse, ils se tiennent ensemble et agitent à la caméra.")</f>
        <v>Une fois que ils ont fini avec la danse, ils se tiennent ensemble et agitent à la caméra.</v>
      </c>
    </row>
    <row r="8207">
      <c r="A8207" s="4" t="s">
        <v>10324</v>
      </c>
      <c r="B8207" s="6" t="s">
        <v>10325</v>
      </c>
      <c r="C8207" s="5" t="str">
        <f>IFERROR(__xludf.DUMMYFUNCTION("GOOGLETRANSLATE(B8207,""en"",""fr"")"),"Une femme aux cheveux courts porte un écouteur et des lunettes montrent deux clips, puis elle a coupé les deux côtés de ses cheveux, a montré ses contenants de lentilles de contact bleu et blanc et a retiré ses lunettes.")</f>
        <v>Une femme aux cheveux courts porte un écouteur et des lunettes montrent deux clips, puis elle a coupé les deux côtés de ses cheveux, a montré ses contenants de lentilles de contact bleu et blanc et a retiré ses lunettes.</v>
      </c>
    </row>
    <row r="8208">
      <c r="A8208" s="4" t="s">
        <v>10324</v>
      </c>
      <c r="B8208" s="6" t="s">
        <v>10326</v>
      </c>
      <c r="C8208" s="5" t="str">
        <f>IFERROR(__xludf.DUMMYFUNCTION("GOOGLETRANSLATE(B8208,""en"",""fr"")"),"Elle a montré sa main, puis a montré des lentilles de sclère et l'a mise sur son élève droit, s'est approchée de la caméra pour montrer son œil, puis a retiré l'objectif de contact de son œil en le pinçant.")</f>
        <v>Elle a montré sa main, puis a montré des lentilles de sclère et l'a mise sur son élève droit, s'est approchée de la caméra pour montrer son œil, puis a retiré l'objectif de contact de son œil en le pinçant.</v>
      </c>
    </row>
    <row r="8209">
      <c r="A8209" s="4" t="s">
        <v>10327</v>
      </c>
      <c r="B8209" s="4" t="s">
        <v>10328</v>
      </c>
      <c r="C8209" s="5" t="str">
        <f>IFERROR(__xludf.DUMMYFUNCTION("GOOGLETRANSLATE(B8209,""en"",""fr"")"),"Un homme est montré dans un cours de gym menant à des gens qui montent et descendent sur leurs steppers.")</f>
        <v>Un homme est montré dans un cours de gym menant à des gens qui montent et descendent sur leurs steppers.</v>
      </c>
    </row>
    <row r="8210">
      <c r="A8210" s="4" t="s">
        <v>10327</v>
      </c>
      <c r="B8210" s="4" t="s">
        <v>10329</v>
      </c>
      <c r="C8210" s="5" t="str">
        <f>IFERROR(__xludf.DUMMYFUNCTION("GOOGLETRANSLATE(B8210,""en"",""fr"")"),"L'homme saute très enthousiaste de haut en bas en essayant de maintenir la motivation.")</f>
        <v>L'homme saute très enthousiaste de haut en bas en essayant de maintenir la motivation.</v>
      </c>
    </row>
    <row r="8211">
      <c r="A8211" s="4" t="s">
        <v>10327</v>
      </c>
      <c r="B8211" s="4" t="s">
        <v>10330</v>
      </c>
      <c r="C8211" s="5" t="str">
        <f>IFERROR(__xludf.DUMMYFUNCTION("GOOGLETRANSLATE(B8211,""en"",""fr"")"),"Il est très dedans, tout comme la classe et ils dansent en synchronisation les uns avec les autres.")</f>
        <v>Il est très dedans, tout comme la classe et ils dansent en synchronisation les uns avec les autres.</v>
      </c>
    </row>
    <row r="8212">
      <c r="A8212" s="4" t="s">
        <v>10327</v>
      </c>
      <c r="B8212" s="4" t="s">
        <v>10331</v>
      </c>
      <c r="C8212" s="5" t="str">
        <f>IFERROR(__xludf.DUMMYFUNCTION("GOOGLETRANSLATE(B8212,""en"",""fr"")"),"Ils concluent la routine en applaudissant et en célébrant leur travail acharné.")</f>
        <v>Ils concluent la routine en applaudissant et en célébrant leur travail acharné.</v>
      </c>
    </row>
    <row r="8213">
      <c r="A8213" s="4" t="s">
        <v>10332</v>
      </c>
      <c r="B8213" s="4" t="s">
        <v>10333</v>
      </c>
      <c r="C8213" s="5" t="str">
        <f>IFERROR(__xludf.DUMMYFUNCTION("GOOGLETRANSLATE(B8213,""en"",""fr"")"),"Un gros plan d'une piste de bowling est vu avec un homme debout devant.")</f>
        <v>Un gros plan d'une piste de bowling est vu avec un homme debout devant.</v>
      </c>
    </row>
    <row r="8214">
      <c r="A8214" s="4" t="s">
        <v>10332</v>
      </c>
      <c r="B8214" s="4" t="s">
        <v>10334</v>
      </c>
      <c r="C8214" s="5" t="str">
        <f>IFERROR(__xludf.DUMMYFUNCTION("GOOGLETRANSLATE(B8214,""en"",""fr"")"),"L'homme lance une balle dans la voie et frappe plusieurs épingles.")</f>
        <v>L'homme lance une balle dans la voie et frappe plusieurs épingles.</v>
      </c>
    </row>
    <row r="8215">
      <c r="A8215" s="4" t="s">
        <v>10332</v>
      </c>
      <c r="B8215" s="4" t="s">
        <v>10335</v>
      </c>
      <c r="C8215" s="5" t="str">
        <f>IFERROR(__xludf.DUMMYFUNCTION("GOOGLETRANSLATE(B8215,""en"",""fr"")"),"Il remonte enfin dans la voie.")</f>
        <v>Il remonte enfin dans la voie.</v>
      </c>
    </row>
    <row r="8216">
      <c r="A8216" s="4" t="s">
        <v>10336</v>
      </c>
      <c r="B8216" s="4" t="s">
        <v>10337</v>
      </c>
      <c r="C8216" s="5" t="str">
        <f>IFERROR(__xludf.DUMMYFUNCTION("GOOGLETRANSLATE(B8216,""en"",""fr"")"),"L'homme portant une chemise verte assemble un vélo au milieu d'un salon.")</f>
        <v>L'homme portant une chemise verte assemble un vélo au milieu d'un salon.</v>
      </c>
    </row>
    <row r="8217">
      <c r="A8217" s="4" t="s">
        <v>10336</v>
      </c>
      <c r="B8217" s="4" t="s">
        <v>10338</v>
      </c>
      <c r="C8217" s="5" t="str">
        <f>IFERROR(__xludf.DUMMYFUNCTION("GOOGLETRANSLATE(B8217,""en"",""fr"")"),"Un autre homme portant un pull bleu aide l'autre homme à assembler les vélos.")</f>
        <v>Un autre homme portant un pull bleu aide l'autre homme à assembler les vélos.</v>
      </c>
    </row>
    <row r="8218">
      <c r="A8218" s="4" t="s">
        <v>10336</v>
      </c>
      <c r="B8218" s="4" t="s">
        <v>10339</v>
      </c>
      <c r="C8218" s="5" t="str">
        <f>IFERROR(__xludf.DUMMYFUNCTION("GOOGLETRANSLATE(B8218,""en"",""fr"")"),"Les hommes assemblent trois vélos sur le salon.")</f>
        <v>Les hommes assemblent trois vélos sur le salon.</v>
      </c>
    </row>
    <row r="8219">
      <c r="A8219" s="4" t="s">
        <v>10340</v>
      </c>
      <c r="B8219" s="4" t="s">
        <v>10341</v>
      </c>
      <c r="C8219" s="5" t="str">
        <f>IFERROR(__xludf.DUMMYFUNCTION("GOOGLETRANSLATE(B8219,""en"",""fr"")"),"Un homme est vu debout avec les bras vers le haut et marche entre un ensemble de barres inégales.")</f>
        <v>Un homme est vu debout avec les bras vers le haut et marche entre un ensemble de barres inégales.</v>
      </c>
    </row>
    <row r="8220">
      <c r="A8220" s="4" t="s">
        <v>10340</v>
      </c>
      <c r="B8220" s="4" t="s">
        <v>10342</v>
      </c>
      <c r="C8220" s="5" t="str">
        <f>IFERROR(__xludf.DUMMYFUNCTION("GOOGLETRANSLATE(B8220,""en"",""fr"")"),"L'homme espère alors sur les barreaux et commence à se tourner autour.")</f>
        <v>L'homme espère alors sur les barreaux et commence à se tourner autour.</v>
      </c>
    </row>
    <row r="8221">
      <c r="A8221" s="4" t="s">
        <v>10340</v>
      </c>
      <c r="B8221" s="4" t="s">
        <v>10343</v>
      </c>
      <c r="C8221" s="5" t="str">
        <f>IFERROR(__xludf.DUMMYFUNCTION("GOOGLETRANSLATE(B8221,""en"",""fr"")"),"Il continue de tourner sur les barres et se termine en sautant sur les côtés.")</f>
        <v>Il continue de tourner sur les barres et se termine en sautant sur les côtés.</v>
      </c>
    </row>
    <row r="8222">
      <c r="A8222" s="4" t="s">
        <v>10344</v>
      </c>
      <c r="B8222" s="4" t="s">
        <v>10345</v>
      </c>
      <c r="C8222" s="5" t="str">
        <f>IFERROR(__xludf.DUMMYFUNCTION("GOOGLETRANSLATE(B8222,""en"",""fr"")"),"Les joueurs jouent au curling dans un terrain de glace.")</f>
        <v>Les joueurs jouent au curling dans un terrain de glace.</v>
      </c>
    </row>
    <row r="8223">
      <c r="A8223" s="4" t="s">
        <v>10344</v>
      </c>
      <c r="B8223" s="6" t="s">
        <v>10346</v>
      </c>
      <c r="C8223" s="5" t="str">
        <f>IFERROR(__xludf.DUMMYFUNCTION("GOOGLETRANSLATE(B8223,""en"",""fr"")"),"Les joueurs ont poussé la pierre et deux personnes brossent l'avant de la pierre jusqu'à ce qu'elle atteigne la cible.")</f>
        <v>Les joueurs ont poussé la pierre et deux personnes brossent l'avant de la pierre jusqu'à ce qu'elle atteigne la cible.</v>
      </c>
    </row>
    <row r="8224">
      <c r="A8224" s="4" t="s">
        <v>10344</v>
      </c>
      <c r="B8224" s="6" t="s">
        <v>10347</v>
      </c>
      <c r="C8224" s="5" t="str">
        <f>IFERROR(__xludf.DUMMYFUNCTION("GOOGLETRANSLATE(B8224,""en"",""fr"")"),"Une fille asiatique a poussé la pierre et l'autre fille brosse l'avant de la pierre jusqu'à ce qu'elle frappe d'autres pierres.")</f>
        <v>Une fille asiatique a poussé la pierre et l'autre fille brosse l'avant de la pierre jusqu'à ce qu'elle frappe d'autres pierres.</v>
      </c>
    </row>
    <row r="8225">
      <c r="A8225" s="4" t="s">
        <v>10348</v>
      </c>
      <c r="B8225" s="4" t="s">
        <v>10349</v>
      </c>
      <c r="C8225" s="5" t="str">
        <f>IFERROR(__xludf.DUMMYFUNCTION("GOOGLETRANSLATE(B8225,""en"",""fr"")"),"Un homme est montré jetant une boule de bowling dans une voie.")</f>
        <v>Un homme est montré jetant une boule de bowling dans une voie.</v>
      </c>
    </row>
    <row r="8226">
      <c r="A8226" s="4" t="s">
        <v>10348</v>
      </c>
      <c r="B8226" s="4" t="s">
        <v>10350</v>
      </c>
      <c r="C8226" s="5" t="str">
        <f>IFERROR(__xludf.DUMMYFUNCTION("GOOGLETRANSLATE(B8226,""en"",""fr"")"),"Il s'interrompent ensuite à un tas de lancers différents de la balle vers les épingles.")</f>
        <v>Il s'interrompent ensuite à un tas de lancers différents de la balle vers les épingles.</v>
      </c>
    </row>
    <row r="8227">
      <c r="A8227" s="4" t="s">
        <v>10348</v>
      </c>
      <c r="B8227" s="4" t="s">
        <v>10351</v>
      </c>
      <c r="C8227" s="5" t="str">
        <f>IFERROR(__xludf.DUMMYFUNCTION("GOOGLETRANSLATE(B8227,""en"",""fr"")"),"Une femme interviewe le joueur de bowling professionnel et a mis un appareil au poignet.")</f>
        <v>Une femme interviewe le joueur de bowling professionnel et a mis un appareil au poignet.</v>
      </c>
    </row>
    <row r="8228">
      <c r="A8228" s="4" t="s">
        <v>10348</v>
      </c>
      <c r="B8228" s="4" t="s">
        <v>10352</v>
      </c>
      <c r="C8228" s="5" t="str">
        <f>IFERROR(__xludf.DUMMYFUNCTION("GOOGLETRANSLATE(B8228,""en"",""fr"")"),"Il est ensuite montré en saisissant le ballon et fait un jet au ralenti.")</f>
        <v>Il est ensuite montré en saisissant le ballon et fait un jet au ralenti.</v>
      </c>
    </row>
    <row r="8229">
      <c r="A8229" s="4" t="s">
        <v>10348</v>
      </c>
      <c r="B8229" s="4" t="s">
        <v>10353</v>
      </c>
      <c r="C8229" s="5" t="str">
        <f>IFERROR(__xludf.DUMMYFUNCTION("GOOGLETRANSLATE(B8229,""en"",""fr"")"),"Ceci est montré plusieurs fois sous différents angles.")</f>
        <v>Ceci est montré plusieurs fois sous différents angles.</v>
      </c>
    </row>
    <row r="8230">
      <c r="A8230" s="4" t="s">
        <v>10348</v>
      </c>
      <c r="B8230" s="6" t="s">
        <v>10354</v>
      </c>
      <c r="C8230" s="5" t="str">
        <f>IFERROR(__xludf.DUMMYFUNCTION("GOOGLETRANSLATE(B8230,""en"",""fr"")"),"Après une série de ces plans d'action, la vidéo se déplace ensuite vers un homme qui s'exprime directement dans la caméra, le logo de l'émission apparaissant à sa fin.")</f>
        <v>Après une série de ces plans d'action, la vidéo se déplace ensuite vers un homme qui s'exprime directement dans la caméra, le logo de l'émission apparaissant à sa fin.</v>
      </c>
    </row>
    <row r="8231">
      <c r="A8231" s="4" t="s">
        <v>10355</v>
      </c>
      <c r="B8231" s="4" t="s">
        <v>10356</v>
      </c>
      <c r="C8231" s="5" t="str">
        <f>IFERROR(__xludf.DUMMYFUNCTION("GOOGLETRANSLATE(B8231,""en"",""fr"")"),"Un homme sur un cheval passe par une clôture de rodéo.")</f>
        <v>Un homme sur un cheval passe par une clôture de rodéo.</v>
      </c>
    </row>
    <row r="8232">
      <c r="A8232" s="4" t="s">
        <v>10355</v>
      </c>
      <c r="B8232" s="4" t="s">
        <v>10357</v>
      </c>
      <c r="C8232" s="5" t="str">
        <f>IFERROR(__xludf.DUMMYFUNCTION("GOOGLETRANSLATE(B8232,""en"",""fr"")"),"Il démonte, cordant et attachant un mollet.")</f>
        <v>Il démonte, cordant et attachant un mollet.</v>
      </c>
    </row>
    <row r="8233">
      <c r="A8233" s="4" t="s">
        <v>10355</v>
      </c>
      <c r="B8233" s="4" t="s">
        <v>10358</v>
      </c>
      <c r="C8233" s="5" t="str">
        <f>IFERROR(__xludf.DUMMYFUNCTION("GOOGLETRANSLATE(B8233,""en"",""fr"")"),"Quand il a fini, il revient à son cheval et revient.")</f>
        <v>Quand il a fini, il revient à son cheval et revient.</v>
      </c>
    </row>
    <row r="8234">
      <c r="A8234" s="4" t="s">
        <v>10359</v>
      </c>
      <c r="B8234" s="4" t="s">
        <v>10360</v>
      </c>
      <c r="C8234" s="5" t="str">
        <f>IFERROR(__xludf.DUMMYFUNCTION("GOOGLETRANSLATE(B8234,""en"",""fr"")"),"Un gros plan d'un tatoueur est vu en train de tirer le long de la jambe d'une personne.")</f>
        <v>Un gros plan d'un tatoueur est vu en train de tirer le long de la jambe d'une personne.</v>
      </c>
    </row>
    <row r="8235">
      <c r="A8235" s="4" t="s">
        <v>10359</v>
      </c>
      <c r="B8235" s="6" t="s">
        <v>10361</v>
      </c>
      <c r="C8235" s="5" t="str">
        <f>IFERROR(__xludf.DUMMYFUNCTION("GOOGLETRANSLATE(B8235,""en"",""fr"")"),"L'artiste continue de dessiner partout dans la jambe de la personne tout en levant de temps en temps à la caméra.")</f>
        <v>L'artiste continue de dessiner partout dans la jambe de la personne tout en levant de temps en temps à la caméra.</v>
      </c>
    </row>
    <row r="8236">
      <c r="A8236" s="4" t="s">
        <v>10362</v>
      </c>
      <c r="B8236" s="4" t="s">
        <v>10363</v>
      </c>
      <c r="C8236" s="5" t="str">
        <f>IFERROR(__xludf.DUMMYFUNCTION("GOOGLETRANSLATE(B8236,""en"",""fr"")"),"Un jeune enfant est vu marcher jusqu'au bout d'un plongeon et regarder dans la caméra.")</f>
        <v>Un jeune enfant est vu marcher jusqu'au bout d'un plongeon et regarder dans la caméra.</v>
      </c>
    </row>
    <row r="8237">
      <c r="A8237" s="4" t="s">
        <v>10362</v>
      </c>
      <c r="B8237" s="4" t="s">
        <v>10364</v>
      </c>
      <c r="C8237" s="5" t="str">
        <f>IFERROR(__xludf.DUMMYFUNCTION("GOOGLETRANSLATE(B8237,""en"",""fr"")"),"Le garçon plonge ensuite dans l'eau et la caméra le capture en se déplaçant de sous-marin.")</f>
        <v>Le garçon plonge ensuite dans l'eau et la caméra le capture en se déplaçant de sous-marin.</v>
      </c>
    </row>
    <row r="8238">
      <c r="A8238" s="4" t="s">
        <v>10365</v>
      </c>
      <c r="B8238" s="4" t="s">
        <v>10366</v>
      </c>
      <c r="C8238" s="5" t="str">
        <f>IFERROR(__xludf.DUMMYFUNCTION("GOOGLETRANSLATE(B8238,""en"",""fr"")"),"La femme se tient au milieu de la scène en jouant la flûte.")</f>
        <v>La femme se tient au milieu de la scène en jouant la flûte.</v>
      </c>
    </row>
    <row r="8239">
      <c r="A8239" s="4" t="s">
        <v>10365</v>
      </c>
      <c r="B8239" s="4" t="s">
        <v>10367</v>
      </c>
      <c r="C8239" s="5" t="str">
        <f>IFERROR(__xludf.DUMMYFUNCTION("GOOGLETRANSLATE(B8239,""en"",""fr"")"),"Les femmes se tiennent dans la sauge derrière la femme avec la flûte debout tenant des microphones.")</f>
        <v>Les femmes se tiennent dans la sauge derrière la femme avec la flûte debout tenant des microphones.</v>
      </c>
    </row>
    <row r="8240">
      <c r="A8240" s="4" t="s">
        <v>10365</v>
      </c>
      <c r="B8240" s="4" t="s">
        <v>10368</v>
      </c>
      <c r="C8240" s="5" t="str">
        <f>IFERROR(__xludf.DUMMYFUNCTION("GOOGLETRANSLATE(B8240,""en"",""fr"")"),"Les hommes se tiennent derrière les femmes jouant différents instruments.")</f>
        <v>Les hommes se tiennent derrière les femmes jouant différents instruments.</v>
      </c>
    </row>
    <row r="8241">
      <c r="A8241" s="4" t="s">
        <v>10369</v>
      </c>
      <c r="B8241" s="6" t="s">
        <v>10370</v>
      </c>
      <c r="C8241" s="5" t="str">
        <f>IFERROR(__xludf.DUMMYFUNCTION("GOOGLETRANSLATE(B8241,""en"",""fr"")"),"Il y a une petite fille dans une chemise rose et des collants noirs et des chaussures roses jouant du scotch de houblon dans un terrain de jeu.")</f>
        <v>Il y a une petite fille dans une chemise rose et des collants noirs et des chaussures roses jouant du scotch de houblon dans un terrain de jeu.</v>
      </c>
    </row>
    <row r="8242">
      <c r="A8242" s="4" t="s">
        <v>10369</v>
      </c>
      <c r="B8242" s="4" t="s">
        <v>10371</v>
      </c>
      <c r="C8242" s="5" t="str">
        <f>IFERROR(__xludf.DUMMYFUNCTION("GOOGLETRANSLATE(B8242,""en"",""fr"")"),"Elle saute sur les carrés colorés alors qu'elle s'amuse.")</f>
        <v>Elle saute sur les carrés colorés alors qu'elle s'amuse.</v>
      </c>
    </row>
    <row r="8243">
      <c r="A8243" s="4" t="s">
        <v>10369</v>
      </c>
      <c r="B8243" s="4" t="s">
        <v>10372</v>
      </c>
      <c r="C8243" s="5" t="str">
        <f>IFERROR(__xludf.DUMMYFUNCTION("GOOGLETRANSLATE(B8243,""en"",""fr"")"),"Ensuite, elle fait le tour d'une petite fontaine d'eau qui est à côté des carrés de scotch Hop.")</f>
        <v>Ensuite, elle fait le tour d'une petite fontaine d'eau qui est à côté des carrés de scotch Hop.</v>
      </c>
    </row>
    <row r="8244">
      <c r="A8244" s="4" t="s">
        <v>10369</v>
      </c>
      <c r="B8244" s="4" t="s">
        <v>10373</v>
      </c>
      <c r="C8244" s="5" t="str">
        <f>IFERROR(__xludf.DUMMYFUNCTION("GOOGLETRANSLATE(B8244,""en"",""fr"")"),"Elle s'amuse à courir dans le terrain de jeu.")</f>
        <v>Elle s'amuse à courir dans le terrain de jeu.</v>
      </c>
    </row>
    <row r="8245">
      <c r="A8245" s="4" t="s">
        <v>10374</v>
      </c>
      <c r="B8245" s="4" t="s">
        <v>10375</v>
      </c>
      <c r="C8245" s="5" t="str">
        <f>IFERROR(__xludf.DUMMYFUNCTION("GOOGLETRANSLATE(B8245,""en"",""fr"")"),"Un homme est assis à une table Jack Black.")</f>
        <v>Un homme est assis à une table Jack Black.</v>
      </c>
    </row>
    <row r="8246">
      <c r="A8246" s="4" t="s">
        <v>10374</v>
      </c>
      <c r="B8246" s="4" t="s">
        <v>10376</v>
      </c>
      <c r="C8246" s="5" t="str">
        <f>IFERROR(__xludf.DUMMYFUNCTION("GOOGLETRANSLATE(B8246,""en"",""fr"")"),"Il parle du jeu et montre les cartes et les puces.")</f>
        <v>Il parle du jeu et montre les cartes et les puces.</v>
      </c>
    </row>
    <row r="8247">
      <c r="A8247" s="4" t="s">
        <v>10374</v>
      </c>
      <c r="B8247" s="4" t="s">
        <v>10377</v>
      </c>
      <c r="C8247" s="5" t="str">
        <f>IFERROR(__xludf.DUMMYFUNCTION("GOOGLETRANSLATE(B8247,""en"",""fr"")"),"Il montre comment traiter chaque main et comment distribuer les jetons aux gagnants.")</f>
        <v>Il montre comment traiter chaque main et comment distribuer les jetons aux gagnants.</v>
      </c>
    </row>
    <row r="8248">
      <c r="A8248" s="4" t="s">
        <v>10378</v>
      </c>
      <c r="B8248" s="4" t="s">
        <v>10379</v>
      </c>
      <c r="C8248" s="5" t="str">
        <f>IFERROR(__xludf.DUMMYFUNCTION("GOOGLETRANSLATE(B8248,""en"",""fr"")"),"Un gymnaste masculin monte sur les bars et commence à effectuer une routine de gymnastique.")</f>
        <v>Un gymnaste masculin monte sur les bars et commence à effectuer une routine de gymnastique.</v>
      </c>
    </row>
    <row r="8249">
      <c r="A8249" s="4" t="s">
        <v>10378</v>
      </c>
      <c r="B8249" s="4" t="s">
        <v>10380</v>
      </c>
      <c r="C8249" s="5" t="str">
        <f>IFERROR(__xludf.DUMMYFUNCTION("GOOGLETRANSLATE(B8249,""en"",""fr"")"),"Il se balance dans les barreaux encore et encore pendant que les juges regardent et critiquent.")</f>
        <v>Il se balance dans les barreaux encore et encore pendant que les juges regardent et critiquent.</v>
      </c>
    </row>
    <row r="8250">
      <c r="A8250" s="4" t="s">
        <v>10378</v>
      </c>
      <c r="B8250" s="4" t="s">
        <v>10381</v>
      </c>
      <c r="C8250" s="5" t="str">
        <f>IFERROR(__xludf.DUMMYFUNCTION("GOOGLETRANSLATE(B8250,""en"",""fr"")"),"L'homme finit par sauter et la vidéo s'estompe dans un effet.")</f>
        <v>L'homme finit par sauter et la vidéo s'estompe dans un effet.</v>
      </c>
    </row>
    <row r="8251">
      <c r="A8251" s="4" t="s">
        <v>10382</v>
      </c>
      <c r="B8251" s="4" t="s">
        <v>10383</v>
      </c>
      <c r="C8251" s="5" t="str">
        <f>IFERROR(__xludf.DUMMYFUNCTION("GOOGLETRANSLATE(B8251,""en"",""fr"")"),"Un homme portant des gants de boxe est vu frapper un sac dans une pièce vide.")</f>
        <v>Un homme portant des gants de boxe est vu frapper un sac dans une pièce vide.</v>
      </c>
    </row>
    <row r="8252">
      <c r="A8252" s="4" t="s">
        <v>10382</v>
      </c>
      <c r="B8252" s="6" t="s">
        <v>10384</v>
      </c>
      <c r="C8252" s="5" t="str">
        <f>IFERROR(__xludf.DUMMYFUNCTION("GOOGLETRANSLATE(B8252,""en"",""fr"")"),"Il frappe continuellement le sac encore et encore tout en s'arrêtant entre les coups de poing pour reprendre son souffle.")</f>
        <v>Il frappe continuellement le sac encore et encore tout en s'arrêtant entre les coups de poing pour reprendre son souffle.</v>
      </c>
    </row>
    <row r="8253">
      <c r="A8253" s="4" t="s">
        <v>10385</v>
      </c>
      <c r="B8253" s="4" t="s">
        <v>10386</v>
      </c>
      <c r="C8253" s="5" t="str">
        <f>IFERROR(__xludf.DUMMYFUNCTION("GOOGLETRANSLATE(B8253,""en"",""fr"")"),"Deux couples jouent au badminton dans un tribunal.")</f>
        <v>Deux couples jouent au badminton dans un tribunal.</v>
      </c>
    </row>
    <row r="8254">
      <c r="A8254" s="4" t="s">
        <v>10385</v>
      </c>
      <c r="B8254" s="4" t="s">
        <v>10387</v>
      </c>
      <c r="C8254" s="5" t="str">
        <f>IFERROR(__xludf.DUMMYFUNCTION("GOOGLETRANSLATE(B8254,""en"",""fr"")"),"Un homme entre au tribunal et va s'asseoir à gauche avec une autre personne.")</f>
        <v>Un homme entre au tribunal et va s'asseoir à gauche avec une autre personne.</v>
      </c>
    </row>
    <row r="8255">
      <c r="A8255" s="4" t="s">
        <v>10388</v>
      </c>
      <c r="B8255" s="4" t="s">
        <v>10389</v>
      </c>
      <c r="C8255" s="5" t="str">
        <f>IFERROR(__xludf.DUMMYFUNCTION("GOOGLETRANSLATE(B8255,""en"",""fr"")"),"Il y a une femme de longs cheveux noirs regardant dans un miroir et se brossant les cheveux.")</f>
        <v>Il y a une femme de longs cheveux noirs regardant dans un miroir et se brossant les cheveux.</v>
      </c>
    </row>
    <row r="8256">
      <c r="A8256" s="4" t="s">
        <v>10388</v>
      </c>
      <c r="B8256" s="4" t="s">
        <v>10390</v>
      </c>
      <c r="C8256" s="5" t="str">
        <f>IFERROR(__xludf.DUMMYFUNCTION("GOOGLETRANSLATE(B8256,""en"",""fr"")"),"Il y a une autre femme aux cheveux blonds qui donne un visage en colère et dégoûté.")</f>
        <v>Il y a une autre femme aux cheveux blonds qui donne un visage en colère et dégoûté.</v>
      </c>
    </row>
    <row r="8257">
      <c r="A8257" s="4" t="s">
        <v>10391</v>
      </c>
      <c r="B8257" s="4" t="s">
        <v>10392</v>
      </c>
      <c r="C8257" s="5" t="str">
        <f>IFERROR(__xludf.DUMMYFUNCTION("GOOGLETRANSLATE(B8257,""en"",""fr"")"),"Un barman commence à parler à la caméra et verse de la glace dans un verre.")</f>
        <v>Un barman commence à parler à la caméra et verse de la glace dans un verre.</v>
      </c>
    </row>
    <row r="8258">
      <c r="A8258" s="4" t="s">
        <v>10391</v>
      </c>
      <c r="B8258" s="4" t="s">
        <v>10393</v>
      </c>
      <c r="C8258" s="5" t="str">
        <f>IFERROR(__xludf.DUMMYFUNCTION("GOOGLETRANSLATE(B8258,""en"",""fr"")"),"Elle pense qu'il demande de mélanger le rhum et le jus de citron dans le verre et une once de rhum différent.")</f>
        <v>Elle pense qu'il demande de mélanger le rhum et le jus de citron dans le verre et une once de rhum différent.</v>
      </c>
    </row>
    <row r="8259">
      <c r="A8259" s="4" t="s">
        <v>10391</v>
      </c>
      <c r="B8259" s="4" t="s">
        <v>10394</v>
      </c>
      <c r="C8259" s="5" t="str">
        <f>IFERROR(__xludf.DUMMYFUNCTION("GOOGLETRANSLATE(B8259,""en"",""fr"")"),"Enfin, elle mélange de la grenadine avec un mélange aigre-doux avec de l'eau de soude.")</f>
        <v>Enfin, elle mélange de la grenadine avec un mélange aigre-doux avec de l'eau de soude.</v>
      </c>
    </row>
    <row r="8260">
      <c r="A8260" s="4" t="s">
        <v>10391</v>
      </c>
      <c r="B8260" s="4" t="s">
        <v>10395</v>
      </c>
      <c r="C8260" s="5" t="str">
        <f>IFERROR(__xludf.DUMMYFUNCTION("GOOGLETRANSLATE(B8260,""en"",""fr"")"),"Enfin, elle mélange tous les composants et crée une belle boisson alcoolisée.")</f>
        <v>Enfin, elle mélange tous les composants et crée une belle boisson alcoolisée.</v>
      </c>
    </row>
    <row r="8261">
      <c r="A8261" s="4" t="s">
        <v>10396</v>
      </c>
      <c r="B8261" s="6" t="s">
        <v>10397</v>
      </c>
      <c r="C8261" s="5" t="str">
        <f>IFERROR(__xludf.DUMMYFUNCTION("GOOGLETRANSLATE(B8261,""en"",""fr"")"),"Une jeune fille se tient sur une scène devant 4 juges qui sont assis le long d'une table et ils lui parlent.")</f>
        <v>Une jeune fille se tient sur une scène devant 4 juges qui sont assis le long d'une table et ils lui parlent.</v>
      </c>
    </row>
    <row r="8262">
      <c r="A8262" s="4" t="s">
        <v>10396</v>
      </c>
      <c r="B8262" s="6" t="s">
        <v>10398</v>
      </c>
      <c r="C8262" s="5" t="str">
        <f>IFERROR(__xludf.DUMMYFUNCTION("GOOGLETRANSLATE(B8262,""en"",""fr"")"),"La fille commence alors sa performance où elle danse du ballet et chante et quand ils se mettent aux juges et au public, ils semblent satisfaits de sa performance.")</f>
        <v>La fille commence alors sa performance où elle danse du ballet et chante et quand ils se mettent aux juges et au public, ils semblent satisfaits de sa performance.</v>
      </c>
    </row>
    <row r="8263">
      <c r="A8263" s="4" t="s">
        <v>10396</v>
      </c>
      <c r="B8263" s="6" t="s">
        <v>10399</v>
      </c>
      <c r="C8263" s="5" t="str">
        <f>IFERROR(__xludf.DUMMYFUNCTION("GOOGLETRANSLATE(B8263,""en"",""fr"")"),"Lorsque la fille a fini de jouer, elle obtient une ovation debout du public et de certains juges.")</f>
        <v>Lorsque la fille a fini de jouer, elle obtient une ovation debout du public et de certains juges.</v>
      </c>
    </row>
    <row r="8264">
      <c r="A8264" s="4" t="s">
        <v>10396</v>
      </c>
      <c r="B8264" s="6" t="s">
        <v>10400</v>
      </c>
      <c r="C8264" s="5" t="str">
        <f>IFERROR(__xludf.DUMMYFUNCTION("GOOGLETRANSLATE(B8264,""en"",""fr"")"),"Les juges parlaient alors à tour de rôle avec elle exprimant leur approbation, et la fille en est très heureuse.")</f>
        <v>Les juges parlaient alors à tour de rôle avec elle exprimant leur approbation, et la fille en est très heureuse.</v>
      </c>
    </row>
    <row r="8265">
      <c r="A8265" s="4" t="s">
        <v>10396</v>
      </c>
      <c r="B8265" s="6" t="s">
        <v>10401</v>
      </c>
      <c r="C8265" s="5" t="str">
        <f>IFERROR(__xludf.DUMMYFUNCTION("GOOGLETRANSLATE(B8265,""en"",""fr"")"),"La fille sort ensuite de la scène et derrière les rideaux, elle donne à un homme qui est peut-être son père, un baiser et un câlin.")</f>
        <v>La fille sort ensuite de la scène et derrière les rideaux, elle donne à un homme qui est peut-être son père, un baiser et un câlin.</v>
      </c>
    </row>
    <row r="8266">
      <c r="A8266" s="4" t="s">
        <v>10402</v>
      </c>
      <c r="B8266" s="6" t="s">
        <v>10403</v>
      </c>
      <c r="C8266" s="5" t="str">
        <f>IFERROR(__xludf.DUMMYFUNCTION("GOOGLETRANSLATE(B8266,""en"",""fr"")"),"Un groupe de femmes se voit se promener dans une zone de sable et commencer à jouer un match de volleyball les uns avec les autres.")</f>
        <v>Un groupe de femmes se voit se promener dans une zone de sable et commencer à jouer un match de volleyball les uns avec les autres.</v>
      </c>
    </row>
    <row r="8267">
      <c r="A8267" s="4" t="s">
        <v>10402</v>
      </c>
      <c r="B8267" s="6" t="s">
        <v>10404</v>
      </c>
      <c r="C8267" s="5" t="str">
        <f>IFERROR(__xludf.DUMMYFUNCTION("GOOGLETRANSLATE(B8267,""en"",""fr"")"),"Les filles continuent de jouer le match tandis que d'autres regardent sur la touche et reviennent lentement à la fin.")</f>
        <v>Les filles continuent de jouer le match tandis que d'autres regardent sur la touche et reviennent lentement à la fin.</v>
      </c>
    </row>
    <row r="8268">
      <c r="A8268" s="4" t="s">
        <v>10405</v>
      </c>
      <c r="B8268" s="4" t="s">
        <v>10406</v>
      </c>
      <c r="C8268" s="5" t="str">
        <f>IFERROR(__xludf.DUMMYFUNCTION("GOOGLETRANSLATE(B8268,""en"",""fr"")"),"Une fille fait une routine de faisceau d'équilibre et saute autour.")</f>
        <v>Une fille fait une routine de faisceau d'équilibre et saute autour.</v>
      </c>
    </row>
    <row r="8269">
      <c r="A8269" s="4" t="s">
        <v>10405</v>
      </c>
      <c r="B8269" s="4" t="s">
        <v>10407</v>
      </c>
      <c r="C8269" s="5" t="str">
        <f>IFERROR(__xludf.DUMMYFUNCTION("GOOGLETRANSLATE(B8269,""en"",""fr"")"),"Après l'étirement, la femme fait quatre flips.")</f>
        <v>Après l'étirement, la femme fait quatre flips.</v>
      </c>
    </row>
    <row r="8270">
      <c r="A8270" s="4" t="s">
        <v>10405</v>
      </c>
      <c r="B8270" s="4" t="s">
        <v>10408</v>
      </c>
      <c r="C8270" s="5" t="str">
        <f>IFERROR(__xludf.DUMMYFUNCTION("GOOGLETRANSLATE(B8270,""en"",""fr"")"),"La femme démonte et termine la routine.")</f>
        <v>La femme démonte et termine la routine.</v>
      </c>
    </row>
    <row r="8271">
      <c r="A8271" s="4" t="s">
        <v>10409</v>
      </c>
      <c r="B8271" s="4" t="s">
        <v>10410</v>
      </c>
      <c r="C8271" s="5" t="str">
        <f>IFERROR(__xludf.DUMMYFUNCTION("GOOGLETRANSLATE(B8271,""en"",""fr"")"),"Sur une rivière à l'extérieur, les garçons marchent dans la rue alors que les voitures passent.")</f>
        <v>Sur une rivière à l'extérieur, les garçons marchent dans la rue alors que les voitures passent.</v>
      </c>
    </row>
    <row r="8272">
      <c r="A8272" s="4" t="s">
        <v>10409</v>
      </c>
      <c r="B8272" s="4" t="s">
        <v>10411</v>
      </c>
      <c r="C8272" s="5" t="str">
        <f>IFERROR(__xludf.DUMMYFUNCTION("GOOGLETRANSLATE(B8272,""en"",""fr"")"),"Il y a beaucoup de gens qui font de nombreuses activités différentes sur l'eau.")</f>
        <v>Il y a beaucoup de gens qui font de nombreuses activités différentes sur l'eau.</v>
      </c>
    </row>
    <row r="8273">
      <c r="A8273" s="4" t="s">
        <v>10409</v>
      </c>
      <c r="B8273" s="4" t="s">
        <v>10412</v>
      </c>
      <c r="C8273" s="5" t="str">
        <f>IFERROR(__xludf.DUMMYFUNCTION("GOOGLETRANSLATE(B8273,""en"",""fr"")"),"Certains garçons font des sauts du pont et d'autres roulent derrière un bateau.")</f>
        <v>Certains garçons font des sauts du pont et d'autres roulent derrière un bateau.</v>
      </c>
    </row>
    <row r="8274">
      <c r="A8274" s="4" t="s">
        <v>10409</v>
      </c>
      <c r="B8274" s="4" t="s">
        <v>10413</v>
      </c>
      <c r="C8274" s="5" t="str">
        <f>IFERROR(__xludf.DUMMYFUNCTION("GOOGLETRANSLATE(B8274,""en"",""fr"")"),"C'est une belle journée d'été pour sortir et s'amuser au soleil au bord de l'eau.")</f>
        <v>C'est une belle journée d'été pour sortir et s'amuser au soleil au bord de l'eau.</v>
      </c>
    </row>
    <row r="8275">
      <c r="A8275" s="4" t="s">
        <v>10414</v>
      </c>
      <c r="B8275" s="6" t="s">
        <v>10415</v>
      </c>
      <c r="C8275" s="5" t="str">
        <f>IFERROR(__xludf.DUMMYFUNCTION("GOOGLETRANSLATE(B8275,""en"",""fr"")"),"Un gars vous montre comment tenir un petit bâton de fin aiguisé dans votre main et entre vos doigts pour l'utiliser comme arme.")</f>
        <v>Un gars vous montre comment tenir un petit bâton de fin aiguisé dans votre main et entre vos doigts pour l'utiliser comme arme.</v>
      </c>
    </row>
    <row r="8276">
      <c r="A8276" s="4" t="s">
        <v>10414</v>
      </c>
      <c r="B8276" s="6" t="s">
        <v>10416</v>
      </c>
      <c r="C8276" s="5" t="str">
        <f>IFERROR(__xludf.DUMMYFUNCTION("GOOGLETRANSLATE(B8276,""en"",""fr"")"),"L'homme vous montre comment jeter le bâton fini aiguisé dans le mur et le faire coller de différentes distances.")</f>
        <v>L'homme vous montre comment jeter le bâton fini aiguisé dans le mur et le faire coller de différentes distances.</v>
      </c>
    </row>
    <row r="8277">
      <c r="A8277" s="4" t="s">
        <v>10417</v>
      </c>
      <c r="B8277" s="6" t="s">
        <v>10418</v>
      </c>
      <c r="C8277" s="5" t="str">
        <f>IFERROR(__xludf.DUMMYFUNCTION("GOOGLETRANSLATE(B8277,""en"",""fr"")"),"Deux hommes sont vus debout avec l'un parlant à la caméra et l'autre allongé sur le sol.")</f>
        <v>Deux hommes sont vus debout avec l'un parlant à la caméra et l'autre allongé sur le sol.</v>
      </c>
    </row>
    <row r="8278">
      <c r="A8278" s="4" t="s">
        <v>10417</v>
      </c>
      <c r="B8278" s="6" t="s">
        <v>10419</v>
      </c>
      <c r="C8278" s="5" t="str">
        <f>IFERROR(__xludf.DUMMYFUNCTION("GOOGLETRANSLATE(B8278,""en"",""fr"")"),"L'homme s'agenouille derrière lui et pointe vers son corps tandis que l'homme pose de porte déplace ses bras et ses jambes pour démontrer des exercices appropriés.")</f>
        <v>L'homme s'agenouille derrière lui et pointe vers son corps tandis que l'homme pose de porte déplace ses bras et ses jambes pour démontrer des exercices appropriés.</v>
      </c>
    </row>
    <row r="8279">
      <c r="A8279" s="4" t="s">
        <v>10420</v>
      </c>
      <c r="B8279" s="4" t="s">
        <v>10421</v>
      </c>
      <c r="C8279" s="5" t="str">
        <f>IFERROR(__xludf.DUMMYFUNCTION("GOOGLETRANSLATE(B8279,""en"",""fr"")"),"Un gros plan d'une piste est montré suivi par une femme qui s'éloigne lentement.")</f>
        <v>Un gros plan d'une piste est montré suivi par une femme qui s'éloigne lentement.</v>
      </c>
    </row>
    <row r="8280">
      <c r="A8280" s="4" t="s">
        <v>10420</v>
      </c>
      <c r="B8280" s="4" t="s">
        <v>10422</v>
      </c>
      <c r="C8280" s="5" t="str">
        <f>IFERROR(__xludf.DUMMYFUNCTION("GOOGLETRANSLATE(B8280,""en"",""fr"")"),"Plusieurs plans sont ensuite montrés de ses sauts en longueur à divers endroits.")</f>
        <v>Plusieurs plans sont ensuite montrés de ses sauts en longueur à divers endroits.</v>
      </c>
    </row>
    <row r="8281">
      <c r="A8281" s="4" t="s">
        <v>10420</v>
      </c>
      <c r="B8281" s="4" t="s">
        <v>10423</v>
      </c>
      <c r="C8281" s="5" t="str">
        <f>IFERROR(__xludf.DUMMYFUNCTION("GOOGLETRANSLATE(B8281,""en"",""fr"")"),"Elle continue de sauter au ralenti et se termine par son atterrissage dans une dernière fosse.")</f>
        <v>Elle continue de sauter au ralenti et se termine par son atterrissage dans une dernière fosse.</v>
      </c>
    </row>
    <row r="8282">
      <c r="A8282" s="4" t="s">
        <v>10424</v>
      </c>
      <c r="B8282" s="6" t="s">
        <v>10425</v>
      </c>
      <c r="C8282" s="5" t="str">
        <f>IFERROR(__xludf.DUMMYFUNCTION("GOOGLETRANSLATE(B8282,""en"",""fr"")"),"Il y a une dame en verdure du comptoir en donnant des billets aux personnes qui les achètent pour des tubes de neige.")</f>
        <v>Il y a une dame en verdure du comptoir en donnant des billets aux personnes qui les achètent pour des tubes de neige.</v>
      </c>
    </row>
    <row r="8283">
      <c r="A8283" s="4" t="s">
        <v>10424</v>
      </c>
      <c r="B8283" s="4" t="s">
        <v>10426</v>
      </c>
      <c r="C8283" s="5" t="str">
        <f>IFERROR(__xludf.DUMMYFUNCTION("GOOGLETRANSLATE(B8283,""en"",""fr"")"),"Plusieurs personnes sont des tubes de neige sur une pente à capes à neige.")</f>
        <v>Plusieurs personnes sont des tubes de neige sur une pente à capes à neige.</v>
      </c>
    </row>
    <row r="8284">
      <c r="A8284" s="4" t="s">
        <v>10424</v>
      </c>
      <c r="B8284" s="4" t="s">
        <v>10427</v>
      </c>
      <c r="C8284" s="5" t="str">
        <f>IFERROR(__xludf.DUMMYFUNCTION("GOOGLETRANSLATE(B8284,""en"",""fr"")"),"Les gens descendent sur leurs tubes de neige portant du matériel d'hiver et des lunettes.")</f>
        <v>Les gens descendent sur leurs tubes de neige portant du matériel d'hiver et des lunettes.</v>
      </c>
    </row>
    <row r="8285">
      <c r="A8285" s="4" t="s">
        <v>10424</v>
      </c>
      <c r="B8285" s="4" t="s">
        <v>10428</v>
      </c>
      <c r="C8285" s="5" t="str">
        <f>IFERROR(__xludf.DUMMYFUNCTION("GOOGLETRANSLATE(B8285,""en"",""fr"")"),"Certains d'entre eux sont des tubes de neige en groupes de trois.")</f>
        <v>Certains d'entre eux sont des tubes de neige en groupes de trois.</v>
      </c>
    </row>
    <row r="8286">
      <c r="A8286" s="4" t="s">
        <v>10424</v>
      </c>
      <c r="B8286" s="4" t="s">
        <v>10429</v>
      </c>
      <c r="C8286" s="5" t="str">
        <f>IFERROR(__xludf.DUMMYFUNCTION("GOOGLETRANSLATE(B8286,""en"",""fr"")"),"Ils s'amusent en descendant rapidement la pente.")</f>
        <v>Ils s'amusent en descendant rapidement la pente.</v>
      </c>
    </row>
    <row r="8287">
      <c r="A8287" s="4" t="s">
        <v>10430</v>
      </c>
      <c r="B8287" s="4" t="s">
        <v>10431</v>
      </c>
      <c r="C8287" s="5" t="str">
        <f>IFERROR(__xludf.DUMMYFUNCTION("GOOGLETRANSLATE(B8287,""en"",""fr"")"),"Un athlète grimpe sur le cheval Pommel pour effectuer des sauts et des flips.")</f>
        <v>Un athlète grimpe sur le cheval Pommel pour effectuer des sauts et des flips.</v>
      </c>
    </row>
    <row r="8288">
      <c r="A8288" s="4" t="s">
        <v>10430</v>
      </c>
      <c r="B8288" s="4" t="s">
        <v>10432</v>
      </c>
      <c r="C8288" s="5" t="str">
        <f>IFERROR(__xludf.DUMMYFUNCTION("GOOGLETRANSLATE(B8288,""en"",""fr"")"),"L'athlète se retourne en arrière puis continue avec sa routine.")</f>
        <v>L'athlète se retourne en arrière puis continue avec sa routine.</v>
      </c>
    </row>
    <row r="8289">
      <c r="A8289" s="4" t="s">
        <v>10430</v>
      </c>
      <c r="B8289" s="6" t="s">
        <v>10433</v>
      </c>
      <c r="C8289" s="5" t="str">
        <f>IFERROR(__xludf.DUMMYFUNCTION("GOOGLETRANSLATE(B8289,""en"",""fr"")"),"L'athlète se tient sur la frontière sur le cheval pommel et court pour sauter, puis se retourne et tombe sur le sol.")</f>
        <v>L'athlète se tient sur la frontière sur le cheval pommel et court pour sauter, puis se retourne et tombe sur le sol.</v>
      </c>
    </row>
    <row r="8290">
      <c r="A8290" s="4" t="s">
        <v>10434</v>
      </c>
      <c r="B8290" s="6" t="s">
        <v>10435</v>
      </c>
      <c r="C8290" s="5" t="str">
        <f>IFERROR(__xludf.DUMMYFUNCTION("GOOGLETRANSLATE(B8290,""en"",""fr"")"),"Deux hommes et une femme sont vus monter sur une scène tandis qu'un groupe de personnes est vu derrière eux dans des miroirs.")</f>
        <v>Deux hommes et une femme sont vus monter sur une scène tandis qu'un groupe de personnes est vu derrière eux dans des miroirs.</v>
      </c>
    </row>
    <row r="8291">
      <c r="A8291" s="4" t="s">
        <v>10434</v>
      </c>
      <c r="B8291" s="4" t="s">
        <v>10436</v>
      </c>
      <c r="C8291" s="5" t="str">
        <f>IFERROR(__xludf.DUMMYFUNCTION("GOOGLETRANSLATE(B8291,""en"",""fr"")"),"Les trois interprètent ensuite une routine de danse pendant que les gens du public suivent de derrière.")</f>
        <v>Les trois interprètent ensuite une routine de danse pendant que les gens du public suivent de derrière.</v>
      </c>
    </row>
    <row r="8292">
      <c r="A8292" s="4" t="s">
        <v>10434</v>
      </c>
      <c r="B8292" s="4" t="s">
        <v>10437</v>
      </c>
      <c r="C8292" s="5" t="str">
        <f>IFERROR(__xludf.DUMMYFUNCTION("GOOGLETRANSLATE(B8292,""en"",""fr"")"),"L'homme pompe la foule et continue de danser alors que les autres suivent dans le miroir.")</f>
        <v>L'homme pompe la foule et continue de danser alors que les autres suivent dans le miroir.</v>
      </c>
    </row>
    <row r="8293">
      <c r="A8293" s="4" t="s">
        <v>10438</v>
      </c>
      <c r="B8293" s="4" t="s">
        <v>10439</v>
      </c>
      <c r="C8293" s="5" t="str">
        <f>IFERROR(__xludf.DUMMYFUNCTION("GOOGLETRANSLATE(B8293,""en"",""fr"")"),"Le vieil homme ratisse les feuilles à l'extérieur de sa maison à l'automne.")</f>
        <v>Le vieil homme ratisse les feuilles à l'extérieur de sa maison à l'automne.</v>
      </c>
    </row>
    <row r="8294">
      <c r="A8294" s="4" t="s">
        <v>10438</v>
      </c>
      <c r="B8294" s="4" t="s">
        <v>10440</v>
      </c>
      <c r="C8294" s="5" t="str">
        <f>IFERROR(__xludf.DUMMYFUNCTION("GOOGLETRANSLATE(B8294,""en"",""fr"")"),"L'homme raconte l'action.")</f>
        <v>L'homme raconte l'action.</v>
      </c>
    </row>
    <row r="8295">
      <c r="A8295" s="4" t="s">
        <v>10438</v>
      </c>
      <c r="B8295" s="4" t="s">
        <v>10441</v>
      </c>
      <c r="C8295" s="5" t="str">
        <f>IFERROR(__xludf.DUMMYFUNCTION("GOOGLETRANSLATE(B8295,""en"",""fr"")"),"Il y a un vélo garé à côté de la maison.")</f>
        <v>Il y a un vélo garé à côté de la maison.</v>
      </c>
    </row>
    <row r="8296">
      <c r="A8296" s="4" t="s">
        <v>10442</v>
      </c>
      <c r="B8296" s="4" t="s">
        <v>10443</v>
      </c>
      <c r="C8296" s="5" t="str">
        <f>IFERROR(__xludf.DUMMYFUNCTION("GOOGLETRANSLATE(B8296,""en"",""fr"")"),"Une entraîneure et directrice de la joie parle à la caméra.")</f>
        <v>Une entraîneure et directrice de la joie parle à la caméra.</v>
      </c>
    </row>
    <row r="8297">
      <c r="A8297" s="4" t="s">
        <v>10442</v>
      </c>
      <c r="B8297" s="4" t="s">
        <v>10444</v>
      </c>
      <c r="C8297" s="5" t="str">
        <f>IFERROR(__xludf.DUMMYFUNCTION("GOOGLETRANSLATE(B8297,""en"",""fr"")"),"Elle repère ensuite une petite fille à travers un backflip.")</f>
        <v>Elle repère ensuite une petite fille à travers un backflip.</v>
      </c>
    </row>
    <row r="8298">
      <c r="A8298" s="4" t="s">
        <v>10442</v>
      </c>
      <c r="B8298" s="4" t="s">
        <v>10445</v>
      </c>
      <c r="C8298" s="5" t="str">
        <f>IFERROR(__xludf.DUMMYFUNCTION("GOOGLETRANSLATE(B8298,""en"",""fr"")"),"Elle l'aide à effectuer plusieurs tâches différentes, expliquant le processus au fur et à mesure.")</f>
        <v>Elle l'aide à effectuer plusieurs tâches différentes, expliquant le processus au fur et à mesure.</v>
      </c>
    </row>
    <row r="8299">
      <c r="A8299" s="4" t="s">
        <v>10446</v>
      </c>
      <c r="B8299" s="4" t="s">
        <v>10447</v>
      </c>
      <c r="C8299" s="5" t="str">
        <f>IFERROR(__xludf.DUMMYFUNCTION("GOOGLETRANSLATE(B8299,""en"",""fr"")"),"Un grand groupe de personnes est vue debout sur une plage regardant au loin.")</f>
        <v>Un grand groupe de personnes est vue debout sur une plage regardant au loin.</v>
      </c>
    </row>
    <row r="8300">
      <c r="A8300" s="4" t="s">
        <v>10446</v>
      </c>
      <c r="B8300" s="4" t="s">
        <v>10448</v>
      </c>
      <c r="C8300" s="5" t="str">
        <f>IFERROR(__xludf.DUMMYFUNCTION("GOOGLETRANSLATE(B8300,""en"",""fr"")"),"Plusieurs plans sont montrés des personnes qui roulent sur une planche de surf et d'autres regardant sur le côté.")</f>
        <v>Plusieurs plans sont montrés des personnes qui roulent sur une planche de surf et d'autres regardant sur le côté.</v>
      </c>
    </row>
    <row r="8301">
      <c r="A8301" s="4" t="s">
        <v>10446</v>
      </c>
      <c r="B8301" s="4" t="s">
        <v>10449</v>
      </c>
      <c r="C8301" s="5" t="str">
        <f>IFERROR(__xludf.DUMMYFUNCTION("GOOGLETRANSLATE(B8301,""en"",""fr"")"),"Plus de gens sont vus sur les vagues dans divers tirs.")</f>
        <v>Plus de gens sont vus sur les vagues dans divers tirs.</v>
      </c>
    </row>
    <row r="8302">
      <c r="A8302" s="4" t="s">
        <v>10450</v>
      </c>
      <c r="B8302" s="4" t="s">
        <v>10451</v>
      </c>
      <c r="C8302" s="5" t="str">
        <f>IFERROR(__xludf.DUMMYFUNCTION("GOOGLETRANSLATE(B8302,""en"",""fr"")"),"Un grand camion tout-terrain passe le long d'un piste de terre à côté d'un plan d'eau et s'arrête.")</f>
        <v>Un grand camion tout-terrain passe le long d'un piste de terre à côté d'un plan d'eau et s'arrête.</v>
      </c>
    </row>
    <row r="8303">
      <c r="A8303" s="4" t="s">
        <v>10450</v>
      </c>
      <c r="B8303" s="6" t="s">
        <v>10452</v>
      </c>
      <c r="C8303" s="5" t="str">
        <f>IFERROR(__xludf.DUMMYFUNCTION("GOOGLETRANSLATE(B8303,""en"",""fr"")"),"De nombreux spectateurs s'approchent du véhicule, tandis que le conducteur sort du véhicule et tente de retirer un pneu de l'arrière du camion.")</f>
        <v>De nombreux spectateurs s'approchent du véhicule, tandis que le conducteur sort du véhicule et tente de retirer un pneu de l'arrière du camion.</v>
      </c>
    </row>
    <row r="8304">
      <c r="A8304" s="4" t="s">
        <v>10450</v>
      </c>
      <c r="B8304" s="6" t="s">
        <v>10453</v>
      </c>
      <c r="C8304" s="5" t="str">
        <f>IFERROR(__xludf.DUMMYFUNCTION("GOOGLETRANSLATE(B8304,""en"",""fr"")"),"Un travailleur et quelques assistants s'approche du véhicule avec un pneu de rechange, et certains hommes commencent à remonter à l'arrière du camion pour essayer de remplacer le pneu côté passager arrière.")</f>
        <v>Un travailleur et quelques assistants s'approche du véhicule avec un pneu de rechange, et certains hommes commencent à remonter à l'arrière du camion pour essayer de remplacer le pneu côté passager arrière.</v>
      </c>
    </row>
    <row r="8305">
      <c r="A8305" s="4" t="s">
        <v>10450</v>
      </c>
      <c r="B8305" s="6" t="s">
        <v>10454</v>
      </c>
      <c r="C8305" s="5" t="str">
        <f>IFERROR(__xludf.DUMMYFUNCTION("GOOGLETRANSLATE(B8305,""en"",""fr"")"),"Pendant que le pneu est remplacé, le conducteur remonte dans le camion et un spéciseur prend une photo du véhicule.")</f>
        <v>Pendant que le pneu est remplacé, le conducteur remonte dans le camion et un spéciseur prend une photo du véhicule.</v>
      </c>
    </row>
    <row r="8306">
      <c r="A8306" s="4" t="s">
        <v>10450</v>
      </c>
      <c r="B8306" s="4" t="s">
        <v>10455</v>
      </c>
      <c r="C8306" s="5" t="str">
        <f>IFERROR(__xludf.DUMMYFUNCTION("GOOGLETRANSLATE(B8306,""en"",""fr"")"),"D'autres spectateurs viennent du côté conducteur pour parler avec le conducteur.")</f>
        <v>D'autres spectateurs viennent du côté conducteur pour parler avec le conducteur.</v>
      </c>
    </row>
    <row r="8307">
      <c r="A8307" s="4" t="s">
        <v>10450</v>
      </c>
      <c r="B8307" s="4" t="s">
        <v>10456</v>
      </c>
      <c r="C8307" s="5" t="str">
        <f>IFERROR(__xludf.DUMMYFUNCTION("GOOGLETRANSLATE(B8307,""en"",""fr"")"),"Le pneu est remplacé et le camion part.")</f>
        <v>Le pneu est remplacé et le camion part.</v>
      </c>
    </row>
    <row r="8308">
      <c r="A8308" s="4" t="s">
        <v>10450</v>
      </c>
      <c r="B8308" s="4" t="s">
        <v>10457</v>
      </c>
      <c r="C8308" s="5" t="str">
        <f>IFERROR(__xludf.DUMMYFUNCTION("GOOGLETRANSLATE(B8308,""en"",""fr"")"),"Un regard détaillé sur le pneu qui a été remplacé est illustré.")</f>
        <v>Un regard détaillé sur le pneu qui a été remplacé est illustré.</v>
      </c>
    </row>
    <row r="8309">
      <c r="A8309" s="4" t="s">
        <v>10458</v>
      </c>
      <c r="B8309" s="4" t="s">
        <v>10459</v>
      </c>
      <c r="C8309" s="5" t="str">
        <f>IFERROR(__xludf.DUMMYFUNCTION("GOOGLETRANSLATE(B8309,""en"",""fr"")"),"Il y a trois entrepreneurs rénovant une maison qui est démolie pour la rénovation.")</f>
        <v>Il y a trois entrepreneurs rénovant une maison qui est démolie pour la rénovation.</v>
      </c>
    </row>
    <row r="8310">
      <c r="A8310" s="4" t="s">
        <v>10458</v>
      </c>
      <c r="B8310" s="4" t="s">
        <v>10460</v>
      </c>
      <c r="C8310" s="5" t="str">
        <f>IFERROR(__xludf.DUMMYFUNCTION("GOOGLETRANSLATE(B8310,""en"",""fr"")"),"L'un des entrepreneurs cimente un mur de briques.")</f>
        <v>L'un des entrepreneurs cimente un mur de briques.</v>
      </c>
    </row>
    <row r="8311">
      <c r="A8311" s="4" t="s">
        <v>10458</v>
      </c>
      <c r="B8311" s="4" t="s">
        <v>10461</v>
      </c>
      <c r="C8311" s="5" t="str">
        <f>IFERROR(__xludf.DUMMYFUNCTION("GOOGLETRANSLATE(B8311,""en"",""fr"")"),"L'autre entrepreneur casse un mur existant dans le salon.")</f>
        <v>L'autre entrepreneur casse un mur existant dans le salon.</v>
      </c>
    </row>
    <row r="8312">
      <c r="A8312" s="4" t="s">
        <v>10458</v>
      </c>
      <c r="B8312" s="4" t="s">
        <v>10462</v>
      </c>
      <c r="C8312" s="5" t="str">
        <f>IFERROR(__xludf.DUMMYFUNCTION("GOOGLETRANSLATE(B8312,""en"",""fr"")"),"Toute la maison est en cours de rénovation avec des meubles et des boîtes qui se trouvent dans la maison avec de la poussière.")</f>
        <v>Toute la maison est en cours de rénovation avec des meubles et des boîtes qui se trouvent dans la maison avec de la poussière.</v>
      </c>
    </row>
    <row r="8313">
      <c r="A8313" s="4" t="s">
        <v>10463</v>
      </c>
      <c r="B8313" s="4" t="s">
        <v>10464</v>
      </c>
      <c r="C8313" s="5" t="str">
        <f>IFERROR(__xludf.DUMMYFUNCTION("GOOGLETRANSLATE(B8313,""en"",""fr"")"),"L'enfant est assis dans une salle rouge parle à la caméra.")</f>
        <v>L'enfant est assis dans une salle rouge parle à la caméra.</v>
      </c>
    </row>
    <row r="8314">
      <c r="A8314" s="4" t="s">
        <v>10463</v>
      </c>
      <c r="B8314" s="4" t="s">
        <v>10465</v>
      </c>
      <c r="C8314" s="5" t="str">
        <f>IFERROR(__xludf.DUMMYFUNCTION("GOOGLETRANSLATE(B8314,""en"",""fr"")"),"L'enfant attrape une guitare et commence à le jouer et à chanter.")</f>
        <v>L'enfant attrape une guitare et commence à le jouer et à chanter.</v>
      </c>
    </row>
    <row r="8315">
      <c r="A8315" s="4" t="s">
        <v>10463</v>
      </c>
      <c r="B8315" s="4" t="s">
        <v>10466</v>
      </c>
      <c r="C8315" s="5" t="str">
        <f>IFERROR(__xludf.DUMMYFUNCTION("GOOGLETRANSLATE(B8315,""en"",""fr"")"),"Kid joue de la guitare et parle à la caméra dans une petite pièce.")</f>
        <v>Kid joue de la guitare et parle à la caméra dans une petite pièce.</v>
      </c>
    </row>
    <row r="8316">
      <c r="A8316" s="4" t="s">
        <v>10467</v>
      </c>
      <c r="B8316" s="4" t="s">
        <v>10468</v>
      </c>
      <c r="C8316" s="5" t="str">
        <f>IFERROR(__xludf.DUMMYFUNCTION("GOOGLETRANSLATE(B8316,""en"",""fr"")"),"Une petite fille est montrée sur plusieurs images recevant une coupe de cheveux.")</f>
        <v>Une petite fille est montrée sur plusieurs images recevant une coupe de cheveux.</v>
      </c>
    </row>
    <row r="8317">
      <c r="A8317" s="4" t="s">
        <v>10467</v>
      </c>
      <c r="B8317" s="6" t="s">
        <v>10469</v>
      </c>
      <c r="C8317" s="5" t="str">
        <f>IFERROR(__xludf.DUMMYFUNCTION("GOOGLETRANSLATE(B8317,""en"",""fr"")"),"Elle est ensuite montrée sous forme vidéo car ses cheveux longs sont coupés dans le style d'une queue de cheval, destinée à être donnée à un groupe appelé Locks of Love.")</f>
        <v>Elle est ensuite montrée sous forme vidéo car ses cheveux longs sont coupés dans le style d'une queue de cheval, destinée à être donnée à un groupe appelé Locks of Love.</v>
      </c>
    </row>
    <row r="8318">
      <c r="A8318" s="4" t="s">
        <v>10467</v>
      </c>
      <c r="B8318" s="4" t="s">
        <v>10470</v>
      </c>
      <c r="C8318" s="5" t="str">
        <f>IFERROR(__xludf.DUMMYFUNCTION("GOOGLETRANSLATE(B8318,""en"",""fr"")"),"La fille est montrée sur diverses photos, tenant les cheveux qu'elle va donner.")</f>
        <v>La fille est montrée sur diverses photos, tenant les cheveux qu'elle va donner.</v>
      </c>
    </row>
    <row r="8319">
      <c r="A8319" s="4" t="s">
        <v>10471</v>
      </c>
      <c r="B8319" s="4" t="s">
        <v>1251</v>
      </c>
      <c r="C8319" s="5" t="str">
        <f>IFERROR(__xludf.DUMMYFUNCTION("GOOGLETRANSLATE(B8319,""en"",""fr"")"),"Les crédits du clip sont affichés.")</f>
        <v>Les crédits du clip sont affichés.</v>
      </c>
    </row>
    <row r="8320">
      <c r="A8320" s="4" t="s">
        <v>10471</v>
      </c>
      <c r="B8320" s="4" t="s">
        <v>10472</v>
      </c>
      <c r="C8320" s="5" t="str">
        <f>IFERROR(__xludf.DUMMYFUNCTION("GOOGLETRANSLATE(B8320,""en"",""fr"")"),"Les gars lancent des balles sur un terrain.")</f>
        <v>Les gars lancent des balles sur un terrain.</v>
      </c>
    </row>
    <row r="8321">
      <c r="A8321" s="4" t="s">
        <v>10471</v>
      </c>
      <c r="B8321" s="4" t="s">
        <v>10473</v>
      </c>
      <c r="C8321" s="5" t="str">
        <f>IFERROR(__xludf.DUMMYFUNCTION("GOOGLETRANSLATE(B8321,""en"",""fr"")"),"Un gars tient quelques balles et discussions.")</f>
        <v>Un gars tient quelques balles et discussions.</v>
      </c>
    </row>
    <row r="8322">
      <c r="A8322" s="4" t="s">
        <v>10471</v>
      </c>
      <c r="B8322" s="4" t="s">
        <v>10474</v>
      </c>
      <c r="C8322" s="5" t="str">
        <f>IFERROR(__xludf.DUMMYFUNCTION("GOOGLETRANSLATE(B8322,""en"",""fr"")"),"Un homme tenant une chauve-souris plate traverse le champ suivi d'un mâle tenant une balle dans chaque main.")</f>
        <v>Un homme tenant une chauve-souris plate traverse le champ suivi d'un mâle tenant une balle dans chaque main.</v>
      </c>
    </row>
    <row r="8323">
      <c r="A8323" s="4" t="s">
        <v>10471</v>
      </c>
      <c r="B8323" s="4" t="s">
        <v>10475</v>
      </c>
      <c r="C8323" s="5" t="str">
        <f>IFERROR(__xludf.DUMMYFUNCTION("GOOGLETRANSLATE(B8323,""en"",""fr"")"),"Deux hommes sont assis avec un homme tenant une batte plate.")</f>
        <v>Deux hommes sont assis avec un homme tenant une batte plate.</v>
      </c>
    </row>
    <row r="8324">
      <c r="A8324" s="4" t="s">
        <v>10471</v>
      </c>
      <c r="B8324" s="4" t="s">
        <v>10476</v>
      </c>
      <c r="C8324" s="5" t="str">
        <f>IFERROR(__xludf.DUMMYFUNCTION("GOOGLETRANSLATE(B8324,""en"",""fr"")"),"Les gars frappent les balles avec la batte plate.")</f>
        <v>Les gars frappent les balles avec la batte plate.</v>
      </c>
    </row>
    <row r="8325">
      <c r="A8325" s="4" t="s">
        <v>10471</v>
      </c>
      <c r="B8325" s="4" t="s">
        <v>573</v>
      </c>
      <c r="C8325" s="5" t="str">
        <f>IFERROR(__xludf.DUMMYFUNCTION("GOOGLETRANSLATE(B8325,""en"",""fr"")"),"Les crédits de la vidéo sont affichés.")</f>
        <v>Les crédits de la vidéo sont affichés.</v>
      </c>
    </row>
    <row r="8326">
      <c r="A8326" s="4" t="s">
        <v>10477</v>
      </c>
      <c r="B8326" s="6" t="s">
        <v>10478</v>
      </c>
      <c r="C8326" s="5" t="str">
        <f>IFERROR(__xludf.DUMMYFUNCTION("GOOGLETRANSLATE(B8326,""en"",""fr"")"),"Un homme est vu parler à la caméra derrière une table avec divers ingrédients et verres disposés.")</f>
        <v>Un homme est vu parler à la caméra derrière une table avec divers ingrédients et verres disposés.</v>
      </c>
    </row>
    <row r="8327">
      <c r="A8327" s="4" t="s">
        <v>10477</v>
      </c>
      <c r="B8327" s="4" t="s">
        <v>10479</v>
      </c>
      <c r="C8327" s="5" t="str">
        <f>IFERROR(__xludf.DUMMYFUNCTION("GOOGLETRANSLATE(B8327,""en"",""fr"")"),"L'homme mélange les ingrédients dans un verre ensemble et jus un citron vert dans le verre.")</f>
        <v>L'homme mélange les ingrédients dans un verre ensemble et jus un citron vert dans le verre.</v>
      </c>
    </row>
    <row r="8328">
      <c r="A8328" s="4" t="s">
        <v>10477</v>
      </c>
      <c r="B8328" s="6" t="s">
        <v>10480</v>
      </c>
      <c r="C8328" s="5" t="str">
        <f>IFERROR(__xludf.DUMMYFUNCTION("GOOGLETRANSLATE(B8328,""en"",""fr"")"),"Il pousse ensuite les ingrédients et verse des liquides dans le verre, créant une boisson alcoolisée.")</f>
        <v>Il pousse ensuite les ingrédients et verse des liquides dans le verre, créant une boisson alcoolisée.</v>
      </c>
    </row>
    <row r="8329">
      <c r="A8329" s="4" t="s">
        <v>10477</v>
      </c>
      <c r="B8329" s="4" t="s">
        <v>10481</v>
      </c>
      <c r="C8329" s="5" t="str">
        <f>IFERROR(__xludf.DUMMYFUNCTION("GOOGLETRANSLATE(B8329,""en"",""fr"")"),"Il présente le verre pendant que la liste des ingrédients est disposée et il s'éloigne du cadre.")</f>
        <v>Il présente le verre pendant que la liste des ingrédients est disposée et il s'éloigne du cadre.</v>
      </c>
    </row>
    <row r="8330">
      <c r="A8330" s="4" t="s">
        <v>10482</v>
      </c>
      <c r="B8330" s="4" t="s">
        <v>10483</v>
      </c>
      <c r="C8330" s="5" t="str">
        <f>IFERROR(__xludf.DUMMYFUNCTION("GOOGLETRANSLATE(B8330,""en"",""fr"")"),"Un homme porte un engin qui maintient son petit fils sur le dos alors qu'il fait de la randonnée dans les bois.")</f>
        <v>Un homme porte un engin qui maintient son petit fils sur le dos alors qu'il fait de la randonnée dans les bois.</v>
      </c>
    </row>
    <row r="8331">
      <c r="A8331" s="4" t="s">
        <v>10482</v>
      </c>
      <c r="B8331" s="4" t="s">
        <v>10484</v>
      </c>
      <c r="C8331" s="5" t="str">
        <f>IFERROR(__xludf.DUMMYFUNCTION("GOOGLETRANSLATE(B8331,""en"",""fr"")"),"Nous voyons le garçon jouer dans un porche intérieur à la maison.")</f>
        <v>Nous voyons le garçon jouer dans un porche intérieur à la maison.</v>
      </c>
    </row>
    <row r="8332">
      <c r="A8332" s="4" t="s">
        <v>10482</v>
      </c>
      <c r="B8332" s="4" t="s">
        <v>10485</v>
      </c>
      <c r="C8332" s="5" t="str">
        <f>IFERROR(__xludf.DUMMYFUNCTION("GOOGLETRANSLATE(B8332,""en"",""fr"")"),"Le garçon court dans la cour et son père lui met un casque et l'aide à faire du skateboard.")</f>
        <v>Le garçon court dans la cour et son père lui met un casque et l'aide à faire du skateboard.</v>
      </c>
    </row>
    <row r="8333">
      <c r="A8333" s="4" t="s">
        <v>10482</v>
      </c>
      <c r="B8333" s="4" t="s">
        <v>10486</v>
      </c>
      <c r="C8333" s="5" t="str">
        <f>IFERROR(__xludf.DUMMYFUNCTION("GOOGLETRANSLATE(B8333,""en"",""fr"")"),"Le papa skateboard et tient le garçon.")</f>
        <v>Le papa skateboard et tient le garçon.</v>
      </c>
    </row>
    <row r="8334">
      <c r="A8334" s="4" t="s">
        <v>10482</v>
      </c>
      <c r="B8334" s="6" t="s">
        <v>10487</v>
      </c>
      <c r="C8334" s="5" t="str">
        <f>IFERROR(__xludf.DUMMYFUNCTION("GOOGLETRANSLATE(B8334,""en"",""fr"")"),"Nous voyons ensuite l'écran de fin et passons au garçon assis sur un rock high cinq son père et nous revenons à l'écran proche.")</f>
        <v>Nous voyons ensuite l'écran de fin et passons au garçon assis sur un rock high cinq son père et nous revenons à l'écran proche.</v>
      </c>
    </row>
    <row r="8335">
      <c r="A8335" s="4" t="s">
        <v>10488</v>
      </c>
      <c r="B8335" s="4" t="s">
        <v>10489</v>
      </c>
      <c r="C8335" s="5" t="str">
        <f>IFERROR(__xludf.DUMMYFUNCTION("GOOGLETRANSLATE(B8335,""en"",""fr"")"),"Un athlète marche sur un terrain.")</f>
        <v>Un athlète marche sur un terrain.</v>
      </c>
    </row>
    <row r="8336">
      <c r="A8336" s="4" t="s">
        <v>10488</v>
      </c>
      <c r="B8336" s="4" t="s">
        <v>10490</v>
      </c>
      <c r="C8336" s="5" t="str">
        <f>IFERROR(__xludf.DUMMYFUNCTION("GOOGLETRANSLATE(B8336,""en"",""fr"")"),"Il tourne en rond autour d'une plate-forme.")</f>
        <v>Il tourne en rond autour d'une plate-forme.</v>
      </c>
    </row>
    <row r="8337">
      <c r="A8337" s="4" t="s">
        <v>10488</v>
      </c>
      <c r="B8337" s="4" t="s">
        <v>10491</v>
      </c>
      <c r="C8337" s="5" t="str">
        <f>IFERROR(__xludf.DUMMYFUNCTION("GOOGLETRANSLATE(B8337,""en"",""fr"")"),"Il lance une balle à une grande distance et s'éloigne.")</f>
        <v>Il lance une balle à une grande distance et s'éloigne.</v>
      </c>
    </row>
    <row r="8338">
      <c r="A8338" s="4" t="s">
        <v>10492</v>
      </c>
      <c r="B8338" s="4" t="s">
        <v>10493</v>
      </c>
      <c r="C8338" s="5" t="str">
        <f>IFERROR(__xludf.DUMMYFUNCTION("GOOGLETRANSLATE(B8338,""en"",""fr"")"),"Il y a un adolescent portant un skateboard de bonnet noir dans les rues de la ville.")</f>
        <v>Il y a un adolescent portant un skateboard de bonnet noir dans les rues de la ville.</v>
      </c>
    </row>
    <row r="8339">
      <c r="A8339" s="4" t="s">
        <v>10492</v>
      </c>
      <c r="B8339" s="4" t="s">
        <v>10494</v>
      </c>
      <c r="C8339" s="5" t="str">
        <f>IFERROR(__xludf.DUMMYFUNCTION("GOOGLETRANSLATE(B8339,""en"",""fr"")"),"Il skateboards portant une chemise blanche tout en sautant par-dessus un petit mur de ciment.")</f>
        <v>Il skateboards portant une chemise blanche tout en sautant par-dessus un petit mur de ciment.</v>
      </c>
    </row>
    <row r="8340">
      <c r="A8340" s="4" t="s">
        <v>10492</v>
      </c>
      <c r="B8340" s="4" t="s">
        <v>10495</v>
      </c>
      <c r="C8340" s="5" t="str">
        <f>IFERROR(__xludf.DUMMYFUNCTION("GOOGLETRANSLATE(B8340,""en"",""fr"")"),"Puis il saute par-dessus un autre mur pendant le skateboard.")</f>
        <v>Puis il saute par-dessus un autre mur pendant le skateboard.</v>
      </c>
    </row>
    <row r="8341">
      <c r="A8341" s="4" t="s">
        <v>10492</v>
      </c>
      <c r="B8341" s="6" t="s">
        <v>10496</v>
      </c>
      <c r="C8341" s="5" t="str">
        <f>IFERROR(__xludf.DUMMYFUNCTION("GOOGLETRANSLATE(B8341,""en"",""fr"")"),"Puis dans une chemise verte, il skateboard devant une école, dans un terrain de basket puis saute par-dessus une balustrade en métal.")</f>
        <v>Puis dans une chemise verte, il skateboard devant une école, dans un terrain de basket puis saute par-dessus une balustrade en métal.</v>
      </c>
    </row>
    <row r="8342">
      <c r="A8342" s="4" t="s">
        <v>10492</v>
      </c>
      <c r="B8342" s="4" t="s">
        <v>10497</v>
      </c>
      <c r="C8342" s="5" t="str">
        <f>IFERROR(__xludf.DUMMYFUNCTION("GOOGLETRANSLATE(B8342,""en"",""fr"")"),"Puis de retour dans une chemise blanche, il essaie des cascades en sautant vers un rail à main en métal sur sa planche à roulettes.")</f>
        <v>Puis de retour dans une chemise blanche, il essaie des cascades en sautant vers un rail à main en métal sur sa planche à roulettes.</v>
      </c>
    </row>
    <row r="8343">
      <c r="A8343" s="4" t="s">
        <v>10498</v>
      </c>
      <c r="B8343" s="4" t="s">
        <v>10499</v>
      </c>
      <c r="C8343" s="5" t="str">
        <f>IFERROR(__xludf.DUMMYFUNCTION("GOOGLETRANSLATE(B8343,""en"",""fr"")"),"Une personne boit dans une tasse de café et détourne les yeux de la caméra.")</f>
        <v>Une personne boit dans une tasse de café et détourne les yeux de la caméra.</v>
      </c>
    </row>
    <row r="8344">
      <c r="A8344" s="4" t="s">
        <v>10498</v>
      </c>
      <c r="B8344" s="4" t="s">
        <v>10500</v>
      </c>
      <c r="C8344" s="5" t="str">
        <f>IFERROR(__xludf.DUMMYFUNCTION("GOOGLETRANSLATE(B8344,""en"",""fr"")"),"Ses yeux se pont jusqu'à la caméra à la dernière seconde et il sourit.")</f>
        <v>Ses yeux se pont jusqu'à la caméra à la dernière seconde et il sourit.</v>
      </c>
    </row>
    <row r="8345">
      <c r="A8345" s="4" t="s">
        <v>10501</v>
      </c>
      <c r="B8345" s="6" t="s">
        <v>10502</v>
      </c>
      <c r="C8345" s="5" t="str">
        <f>IFERROR(__xludf.DUMMYFUNCTION("GOOGLETRANSLATE(B8345,""en"",""fr"")"),"Une femme est assise dans un salon sur un canapé en train de parler à la caméra expliquant ce qu'elle est sur le point de faire.")</f>
        <v>Une femme est assise dans un salon sur un canapé en train de parler à la caméra expliquant ce qu'elle est sur le point de faire.</v>
      </c>
    </row>
    <row r="8346">
      <c r="A8346" s="4" t="s">
        <v>10501</v>
      </c>
      <c r="B8346" s="6" t="s">
        <v>10503</v>
      </c>
      <c r="C8346" s="5" t="str">
        <f>IFERROR(__xludf.DUMMYFUNCTION("GOOGLETRANSLATE(B8346,""en"",""fr"")"),"La caméra se plisse et la dame commence à montrer des aspects importants de l'objet qu'elle tricote.")</f>
        <v>La caméra se plisse et la dame commence à montrer des aspects importants de l'objet qu'elle tricote.</v>
      </c>
    </row>
    <row r="8347">
      <c r="A8347" s="4" t="s">
        <v>10501</v>
      </c>
      <c r="B8347" s="4" t="s">
        <v>10504</v>
      </c>
      <c r="C8347" s="5" t="str">
        <f>IFERROR(__xludf.DUMMYFUNCTION("GOOGLETRANSLATE(B8347,""en"",""fr"")"),"Quand elle a terminé, elle attrape l'aiguille, y met le fil et finit le tricot.")</f>
        <v>Quand elle a terminé, elle attrape l'aiguille, y met le fil et finit le tricot.</v>
      </c>
    </row>
    <row r="8348">
      <c r="A8348" s="4" t="s">
        <v>10505</v>
      </c>
      <c r="B8348" s="4" t="s">
        <v>10506</v>
      </c>
      <c r="C8348" s="5" t="str">
        <f>IFERROR(__xludf.DUMMYFUNCTION("GOOGLETRANSLATE(B8348,""en"",""fr"")"),"Tout d'abord, un garçon est montré en mangeant une fine gaufre.")</f>
        <v>Tout d'abord, un garçon est montré en mangeant une fine gaufre.</v>
      </c>
    </row>
    <row r="8349">
      <c r="A8349" s="4" t="s">
        <v>10505</v>
      </c>
      <c r="B8349" s="4" t="s">
        <v>10507</v>
      </c>
      <c r="C8349" s="5" t="str">
        <f>IFERROR(__xludf.DUMMYFUNCTION("GOOGLETRANSLATE(B8349,""en"",""fr"")"),"Ensuite, une dame âgée est montrée en train de boire de l'eau dans un petit verre.")</f>
        <v>Ensuite, une dame âgée est montrée en train de boire de l'eau dans un petit verre.</v>
      </c>
    </row>
    <row r="8350">
      <c r="A8350" s="4" t="s">
        <v>10505</v>
      </c>
      <c r="B8350" s="6" t="s">
        <v>10508</v>
      </c>
      <c r="C8350" s="5" t="str">
        <f>IFERROR(__xludf.DUMMYFUNCTION("GOOGLETRANSLATE(B8350,""en"",""fr"")"),"Ensuite, il y a un petit garçon montré en plongeant sa main dans un parfait, puis en saisissant une cuillère d'un autre garçon puis en mangeant le parfait.")</f>
        <v>Ensuite, il y a un petit garçon montré en plongeant sa main dans un parfait, puis en saisissant une cuillère d'un autre garçon puis en mangeant le parfait.</v>
      </c>
    </row>
    <row r="8351">
      <c r="A8351" s="4" t="s">
        <v>10505</v>
      </c>
      <c r="B8351" s="4" t="s">
        <v>10509</v>
      </c>
      <c r="C8351" s="5" t="str">
        <f>IFERROR(__xludf.DUMMYFUNCTION("GOOGLETRANSLATE(B8351,""en"",""fr"")"),"Enfin, un garçon est montré en mangeant une cuillerée d'un milk-shake d'un verre qui contient des gaufres.")</f>
        <v>Enfin, un garçon est montré en mangeant une cuillerée d'un milk-shake d'un verre qui contient des gaufres.</v>
      </c>
    </row>
    <row r="8352">
      <c r="A8352" s="4" t="s">
        <v>10510</v>
      </c>
      <c r="B8352" s="4" t="s">
        <v>10511</v>
      </c>
      <c r="C8352" s="5" t="str">
        <f>IFERROR(__xludf.DUMMYFUNCTION("GOOGLETRANSLATE(B8352,""en"",""fr"")"),"Les femmes mélangent une variété de boissons alcoolisées pour la consommation.")</f>
        <v>Les femmes mélangent une variété de boissons alcoolisées pour la consommation.</v>
      </c>
    </row>
    <row r="8353">
      <c r="A8353" s="4" t="s">
        <v>10510</v>
      </c>
      <c r="B8353" s="4" t="s">
        <v>10512</v>
      </c>
      <c r="C8353" s="5" t="str">
        <f>IFERROR(__xludf.DUMMYFUNCTION("GOOGLETRANSLATE(B8353,""en"",""fr"")"),"Des étapes sont indiquées pour une belle aigre-whisky.")</f>
        <v>Des étapes sont indiquées pour une belle aigre-whisky.</v>
      </c>
    </row>
    <row r="8354">
      <c r="A8354" s="4" t="s">
        <v>10513</v>
      </c>
      <c r="B8354" s="4" t="s">
        <v>10514</v>
      </c>
      <c r="C8354" s="5" t="str">
        <f>IFERROR(__xludf.DUMMYFUNCTION("GOOGLETRANSLATE(B8354,""en"",""fr"")"),"Un homme se tient devant un comptoir avec ses mains vers le bas devant l'équipement.")</f>
        <v>Un homme se tient devant un comptoir avec ses mains vers le bas devant l'équipement.</v>
      </c>
    </row>
    <row r="8355">
      <c r="A8355" s="4" t="s">
        <v>10513</v>
      </c>
      <c r="B8355" s="4" t="s">
        <v>10515</v>
      </c>
      <c r="C8355" s="5" t="str">
        <f>IFERROR(__xludf.DUMMYFUNCTION("GOOGLETRANSLATE(B8355,""en"",""fr"")"),"Il utilise la surface pour frotter une lame de couteau d'avant en arrière, la affectant.")</f>
        <v>Il utilise la surface pour frotter une lame de couteau d'avant en arrière, la affectant.</v>
      </c>
    </row>
    <row r="8356">
      <c r="A8356" s="4" t="s">
        <v>10513</v>
      </c>
      <c r="B8356" s="4" t="s">
        <v>10516</v>
      </c>
      <c r="C8356" s="5" t="str">
        <f>IFERROR(__xludf.DUMMYFUNCTION("GOOGLETRANSLATE(B8356,""en"",""fr"")"),"Quand il a fini, il vérifie la lame avant de coucher le couteau.")</f>
        <v>Quand il a fini, il vérifie la lame avant de coucher le couteau.</v>
      </c>
    </row>
    <row r="8357">
      <c r="A8357" s="4" t="s">
        <v>10517</v>
      </c>
      <c r="B8357" s="4" t="s">
        <v>10518</v>
      </c>
      <c r="C8357" s="5" t="str">
        <f>IFERROR(__xludf.DUMMYFUNCTION("GOOGLETRANSLATE(B8357,""en"",""fr"")"),"Un petit groupe de personnes se voit s'accrocher à une corde et jouer du remorqueur de guerre.")</f>
        <v>Un petit groupe de personnes se voit s'accrocher à une corde et jouer du remorqueur de guerre.</v>
      </c>
    </row>
    <row r="8358">
      <c r="A8358" s="4" t="s">
        <v>10517</v>
      </c>
      <c r="B8358" s="4" t="s">
        <v>10519</v>
      </c>
      <c r="C8358" s="5" t="str">
        <f>IFERROR(__xludf.DUMMYFUNCTION("GOOGLETRANSLATE(B8358,""en"",""fr"")"),"L'appareil photo se déroule dans l'autre équipe en jouant avec le groupe tandis que d'autres regardent sur le côté.")</f>
        <v>L'appareil photo se déroule dans l'autre équipe en jouant avec le groupe tandis que d'autres regardent sur le côté.</v>
      </c>
    </row>
    <row r="8359">
      <c r="A8359" s="4" t="s">
        <v>10517</v>
      </c>
      <c r="B8359" s="4" t="s">
        <v>10520</v>
      </c>
      <c r="C8359" s="5" t="str">
        <f>IFERROR(__xludf.DUMMYFUNCTION("GOOGLETRANSLATE(B8359,""en"",""fr"")"),"Les gens continuent de jouer en arrière et quatrième et se terminent en souriant à la caméra.")</f>
        <v>Les gens continuent de jouer en arrière et quatrième et se terminent en souriant à la caméra.</v>
      </c>
    </row>
    <row r="8360">
      <c r="A8360" s="4" t="s">
        <v>10521</v>
      </c>
      <c r="B8360" s="4" t="s">
        <v>10522</v>
      </c>
      <c r="C8360" s="5" t="str">
        <f>IFERROR(__xludf.DUMMYFUNCTION("GOOGLETRANSLATE(B8360,""en"",""fr"")"),"La caméra suit un petit enfant sur des skis alors qu'il manœuvrait devant une foule de gens.")</f>
        <v>La caméra suit un petit enfant sur des skis alors qu'il manœuvrait devant une foule de gens.</v>
      </c>
    </row>
    <row r="8361">
      <c r="A8361" s="4" t="s">
        <v>10521</v>
      </c>
      <c r="B8361" s="4" t="s">
        <v>10523</v>
      </c>
      <c r="C8361" s="5" t="str">
        <f>IFERROR(__xludf.DUMMYFUNCTION("GOOGLETRANSLATE(B8361,""en"",""fr"")"),"L'enfant skie une pente avec d'autres personnes à divers points le long du sentier.")</f>
        <v>L'enfant skie une pente avec d'autres personnes à divers points le long du sentier.</v>
      </c>
    </row>
    <row r="8362">
      <c r="A8362" s="4" t="s">
        <v>10521</v>
      </c>
      <c r="B8362" s="4" t="s">
        <v>10524</v>
      </c>
      <c r="C8362" s="5" t="str">
        <f>IFERROR(__xludf.DUMMYFUNCTION("GOOGLETRANSLATE(B8362,""en"",""fr"")"),"L'enfant s'arrête à l'approche du Cameraperson.")</f>
        <v>L'enfant s'arrête à l'approche du Cameraperson.</v>
      </c>
    </row>
    <row r="8363">
      <c r="A8363" s="4" t="s">
        <v>10525</v>
      </c>
      <c r="B8363" s="4" t="s">
        <v>10526</v>
      </c>
      <c r="C8363" s="5" t="str">
        <f>IFERROR(__xludf.DUMMYFUNCTION("GOOGLETRANSLATE(B8363,""en"",""fr"")"),"Les femmes sont habillées de vêtements de fantaisie.")</f>
        <v>Les femmes sont habillées de vêtements de fantaisie.</v>
      </c>
    </row>
    <row r="8364">
      <c r="A8364" s="4" t="s">
        <v>10525</v>
      </c>
      <c r="B8364" s="4" t="s">
        <v>10527</v>
      </c>
      <c r="C8364" s="5" t="str">
        <f>IFERROR(__xludf.DUMMYFUNCTION("GOOGLETRANSLATE(B8364,""en"",""fr"")"),"Une femme met quelque chose sur le corps d'une autre femme.")</f>
        <v>Une femme met quelque chose sur le corps d'une autre femme.</v>
      </c>
    </row>
    <row r="8365">
      <c r="A8365" s="4" t="s">
        <v>10525</v>
      </c>
      <c r="B8365" s="4" t="s">
        <v>2018</v>
      </c>
      <c r="C8365" s="5" t="str">
        <f>IFERROR(__xludf.DUMMYFUNCTION("GOOGLETRANSLATE(B8365,""en"",""fr"")"),"Les mots arrivent à l'écran.")</f>
        <v>Les mots arrivent à l'écran.</v>
      </c>
    </row>
    <row r="8366">
      <c r="A8366" s="4" t="s">
        <v>10528</v>
      </c>
      <c r="B8366" s="4" t="s">
        <v>10529</v>
      </c>
      <c r="C8366" s="5" t="str">
        <f>IFERROR(__xludf.DUMMYFUNCTION("GOOGLETRANSLATE(B8366,""en"",""fr"")"),"Un homme et une femme se tiennent à l'extérieur pendant qu'il la pulvérise avec un écran solaire.")</f>
        <v>Un homme et une femme se tiennent à l'extérieur pendant qu'il la pulvérise avec un écran solaire.</v>
      </c>
    </row>
    <row r="8367">
      <c r="A8367" s="4" t="s">
        <v>10528</v>
      </c>
      <c r="B8367" s="4" t="s">
        <v>10530</v>
      </c>
      <c r="C8367" s="5" t="str">
        <f>IFERROR(__xludf.DUMMYFUNCTION("GOOGLETRANSLATE(B8367,""en"",""fr"")"),"Ils rient tous les deux et passent un bon moment.")</f>
        <v>Ils rient tous les deux et passent un bon moment.</v>
      </c>
    </row>
    <row r="8368">
      <c r="A8368" s="4" t="s">
        <v>10528</v>
      </c>
      <c r="B8368" s="4" t="s">
        <v>10531</v>
      </c>
      <c r="C8368" s="5" t="str">
        <f>IFERROR(__xludf.DUMMYFUNCTION("GOOGLETRANSLATE(B8368,""en"",""fr"")"),"Elle se retourne pour qu'il puisse le récupérer soigneusement alors qu'ils flirtent tous les deux les uns avec les autres.")</f>
        <v>Elle se retourne pour qu'il puisse le récupérer soigneusement alors qu'ils flirtent tous les deux les uns avec les autres.</v>
      </c>
    </row>
    <row r="8369">
      <c r="A8369" s="4" t="s">
        <v>10528</v>
      </c>
      <c r="B8369" s="4" t="s">
        <v>10532</v>
      </c>
      <c r="C8369" s="5" t="str">
        <f>IFERROR(__xludf.DUMMYFUNCTION("GOOGLETRANSLATE(B8369,""en"",""fr"")"),"Il commence à la vaporiser et elle lui donne des instructions quant à l'endroit où il a manqué de l'appliquer.")</f>
        <v>Il commence à la vaporiser et elle lui donne des instructions quant à l'endroit où il a manqué de l'appliquer.</v>
      </c>
    </row>
    <row r="8370">
      <c r="A8370" s="4" t="s">
        <v>10528</v>
      </c>
      <c r="B8370" s="4" t="s">
        <v>10533</v>
      </c>
      <c r="C8370" s="5" t="str">
        <f>IFERROR(__xludf.DUMMYFUNCTION("GOOGLETRANSLATE(B8370,""en"",""fr"")"),"Elle se retourne ensuite pour qu'il ait ses bras, son visage et les autres zones qu'il a ratées.")</f>
        <v>Elle se retourne ensuite pour qu'il ait ses bras, son visage et les autres zones qu'il a ratées.</v>
      </c>
    </row>
    <row r="8371">
      <c r="A8371" s="4" t="s">
        <v>10534</v>
      </c>
      <c r="B8371" s="6" t="s">
        <v>10535</v>
      </c>
      <c r="C8371" s="5" t="str">
        <f>IFERROR(__xludf.DUMMYFUNCTION("GOOGLETRANSLATE(B8371,""en"",""fr"")"),"La journée de famille à la plage, le père et le fils se promènent, puis ils commencent à jouer dans le sable.")</f>
        <v>La journée de famille à la plage, le père et le fils se promènent, puis ils commencent à jouer dans le sable.</v>
      </c>
    </row>
    <row r="8372">
      <c r="A8372" s="4" t="s">
        <v>10534</v>
      </c>
      <c r="B8372" s="4" t="s">
        <v>10536</v>
      </c>
      <c r="C8372" s="5" t="str">
        <f>IFERROR(__xludf.DUMMYFUNCTION("GOOGLETRANSLATE(B8372,""en"",""fr"")"),"Ils ont un sable dans des seaux essayant de construire des châteaux de sable.")</f>
        <v>Ils ont un sable dans des seaux essayant de construire des châteaux de sable.</v>
      </c>
    </row>
    <row r="8373">
      <c r="A8373" s="4" t="s">
        <v>10534</v>
      </c>
      <c r="B8373" s="4" t="s">
        <v>10537</v>
      </c>
      <c r="C8373" s="5" t="str">
        <f>IFERROR(__xludf.DUMMYFUNCTION("GOOGLETRANSLATE(B8373,""en"",""fr"")"),"Quand ils prennent le seau, le sable n'est pas du tout très stable.")</f>
        <v>Quand ils prennent le seau, le sable n'est pas du tout très stable.</v>
      </c>
    </row>
    <row r="8374">
      <c r="A8374" s="4" t="s">
        <v>10534</v>
      </c>
      <c r="B8374" s="4" t="s">
        <v>10538</v>
      </c>
      <c r="C8374" s="5" t="str">
        <f>IFERROR(__xludf.DUMMYFUNCTION("GOOGLETRANSLATE(B8374,""en"",""fr"")"),"Le petit garçon va lancer toutes les parties du château qu'ils créaient.")</f>
        <v>Le petit garçon va lancer toutes les parties du château qu'ils créaient.</v>
      </c>
    </row>
    <row r="8375">
      <c r="A8375" s="4" t="s">
        <v>10539</v>
      </c>
      <c r="B8375" s="6" t="s">
        <v>10540</v>
      </c>
      <c r="C8375" s="5" t="str">
        <f>IFERROR(__xludf.DUMMYFUNCTION("GOOGLETRANSLATE(B8375,""en"",""fr"")"),"Un homme est vu jouer un saxophone et passer à partir de divers endroits de la personne jouant de l'instrument.")</f>
        <v>Un homme est vu jouer un saxophone et passer à partir de divers endroits de la personne jouant de l'instrument.</v>
      </c>
    </row>
    <row r="8376">
      <c r="A8376" s="4" t="s">
        <v>10539</v>
      </c>
      <c r="B8376" s="4" t="s">
        <v>10541</v>
      </c>
      <c r="C8376" s="5" t="str">
        <f>IFERROR(__xludf.DUMMYFUNCTION("GOOGLETRANSLATE(B8376,""en"",""fr"")"),"L'homme est alors vu côte à côte avec lui-même et plus de photos de lui jouant dans une pièce.")</f>
        <v>L'homme est alors vu côte à côte avec lui-même et plus de photos de lui jouant dans une pièce.</v>
      </c>
    </row>
    <row r="8377">
      <c r="A8377" s="4" t="s">
        <v>10542</v>
      </c>
      <c r="B8377" s="4" t="s">
        <v>10543</v>
      </c>
      <c r="C8377" s="5" t="str">
        <f>IFERROR(__xludf.DUMMYFUNCTION("GOOGLETRANSLATE(B8377,""en"",""fr"")"),"Un homme est accroché à une paroi rocheuse et parle à la caméra.")</f>
        <v>Un homme est accroché à une paroi rocheuse et parle à la caméra.</v>
      </c>
    </row>
    <row r="8378">
      <c r="A8378" s="4" t="s">
        <v>10542</v>
      </c>
      <c r="B8378" s="4" t="s">
        <v>10544</v>
      </c>
      <c r="C8378" s="5" t="str">
        <f>IFERROR(__xludf.DUMMYFUNCTION("GOOGLETRANSLATE(B8378,""en"",""fr"")"),"L'homme se balance et quatrième et comment garder votre équilibre lors de l'escalade.")</f>
        <v>L'homme se balance et quatrième et comment garder votre équilibre lors de l'escalade.</v>
      </c>
    </row>
    <row r="8379">
      <c r="A8379" s="4" t="s">
        <v>10542</v>
      </c>
      <c r="B8379" s="4" t="s">
        <v>10545</v>
      </c>
      <c r="C8379" s="5" t="str">
        <f>IFERROR(__xludf.DUMMYFUNCTION("GOOGLETRANSLATE(B8379,""en"",""fr"")"),"Il commence à grimper le mur et à parler de garder les bras droits.")</f>
        <v>Il commence à grimper le mur et à parler de garder les bras droits.</v>
      </c>
    </row>
    <row r="8380">
      <c r="A8380" s="4" t="s">
        <v>10542</v>
      </c>
      <c r="B8380" s="4" t="s">
        <v>10546</v>
      </c>
      <c r="C8380" s="5" t="str">
        <f>IFERROR(__xludf.DUMMYFUNCTION("GOOGLETRANSLATE(B8380,""en"",""fr"")"),"Il continue de grimper le mur et où positionner vos pieds et comment pousser.")</f>
        <v>Il continue de grimper le mur et où positionner vos pieds et comment pousser.</v>
      </c>
    </row>
    <row r="8381">
      <c r="A8381" s="4" t="s">
        <v>10542</v>
      </c>
      <c r="B8381" s="4" t="s">
        <v>10547</v>
      </c>
      <c r="C8381" s="5" t="str">
        <f>IFERROR(__xludf.DUMMYFUNCTION("GOOGLETRANSLATE(B8381,""en"",""fr"")"),"Il arrive enfin au sommet de la paroi rocheuse et fait face à la caméra.")</f>
        <v>Il arrive enfin au sommet de la paroi rocheuse et fait face à la caméra.</v>
      </c>
    </row>
    <row r="8382">
      <c r="A8382" s="4" t="s">
        <v>10548</v>
      </c>
      <c r="B8382" s="4" t="s">
        <v>10549</v>
      </c>
      <c r="C8382" s="5" t="str">
        <f>IFERROR(__xludf.DUMMYFUNCTION("GOOGLETRANSLATE(B8382,""en"",""fr"")"),"Un tutoriel est donné sur la façon de faire une manucure française parfaite.")</f>
        <v>Un tutoriel est donné sur la façon de faire une manucure française parfaite.</v>
      </c>
    </row>
    <row r="8383">
      <c r="A8383" s="4" t="s">
        <v>10548</v>
      </c>
      <c r="B8383" s="4" t="s">
        <v>10550</v>
      </c>
      <c r="C8383" s="5" t="str">
        <f>IFERROR(__xludf.DUMMYFUNCTION("GOOGLETRANSLATE(B8383,""en"",""fr"")"),"Une publicité est affichée à la fin.")</f>
        <v>Une publicité est affichée à la fin.</v>
      </c>
    </row>
    <row r="8384">
      <c r="A8384" s="4" t="s">
        <v>10551</v>
      </c>
      <c r="B8384" s="6" t="s">
        <v>10552</v>
      </c>
      <c r="C8384" s="5" t="str">
        <f>IFERROR(__xludf.DUMMYFUNCTION("GOOGLETRANSLATE(B8384,""en"",""fr"")"),"Une femme vêtue d'une chemise noire représentant les doutes de l'entreprise se tient dans un jardin et démontrant comment utiliser du cellophane pour envelopper une plante à des fins de cadeau.")</f>
        <v>Une femme vêtue d'une chemise noire représentant les doutes de l'entreprise se tient dans un jardin et démontrant comment utiliser du cellophane pour envelopper une plante à des fins de cadeau.</v>
      </c>
    </row>
    <row r="8385">
      <c r="A8385" s="4" t="s">
        <v>10551</v>
      </c>
      <c r="B8385" s="4" t="s">
        <v>10553</v>
      </c>
      <c r="C8385" s="5" t="str">
        <f>IFERROR(__xludf.DUMMYFUNCTION("GOOGLETRANSLATE(B8385,""en"",""fr"")"),"Elle coupe un morceau rectangulaire du cellophane et place le pot dessus au centre.")</f>
        <v>Elle coupe un morceau rectangulaire du cellophane et place le pot dessus au centre.</v>
      </c>
    </row>
    <row r="8386">
      <c r="A8386" s="4" t="s">
        <v>10551</v>
      </c>
      <c r="B8386" s="4" t="s">
        <v>10554</v>
      </c>
      <c r="C8386" s="5" t="str">
        <f>IFERROR(__xludf.DUMMYFUNCTION("GOOGLETRANSLATE(B8386,""en"",""fr"")"),"Elle rassemble ensuite les bords du cellophane vers le haut de la plante.")</f>
        <v>Elle rassemble ensuite les bords du cellophane vers le haut de la plante.</v>
      </c>
    </row>
    <row r="8387">
      <c r="A8387" s="4" t="s">
        <v>10551</v>
      </c>
      <c r="B8387" s="6" t="s">
        <v>10555</v>
      </c>
      <c r="C8387" s="5" t="str">
        <f>IFERROR(__xludf.DUMMYFUNCTION("GOOGLETRANSLATE(B8387,""en"",""fr"")"),"Elle prend un morceau de ruban décoré pour attacher le cellophane froissé pour le faire ressembler à un arc sur le dessus.")</f>
        <v>Elle prend un morceau de ruban décoré pour attacher le cellophane froissé pour le faire ressembler à un arc sur le dessus.</v>
      </c>
    </row>
    <row r="8388">
      <c r="A8388" s="4" t="s">
        <v>10556</v>
      </c>
      <c r="B8388" s="4" t="s">
        <v>10557</v>
      </c>
      <c r="C8388" s="5" t="str">
        <f>IFERROR(__xludf.DUMMYFUNCTION("GOOGLETRANSLATE(B8388,""en"",""fr"")"),"Les garçons sortent un train et marchent dans la rue en tenant des planches de surf.")</f>
        <v>Les garçons sortent un train et marchent dans la rue en tenant des planches de surf.</v>
      </c>
    </row>
    <row r="8389">
      <c r="A8389" s="4" t="s">
        <v>10556</v>
      </c>
      <c r="B8389" s="4" t="s">
        <v>10558</v>
      </c>
      <c r="C8389" s="5" t="str">
        <f>IFERROR(__xludf.DUMMYFUNCTION("GOOGLETRANSLATE(B8389,""en"",""fr"")"),"Eux, les garçons surfent dans une rivière agité dans une ville.")</f>
        <v>Eux, les garçons surfent dans une rivière agité dans une ville.</v>
      </c>
    </row>
    <row r="8390">
      <c r="A8390" s="4" t="s">
        <v>10556</v>
      </c>
      <c r="B8390" s="4" t="s">
        <v>10559</v>
      </c>
      <c r="C8390" s="5" t="str">
        <f>IFERROR(__xludf.DUMMYFUNCTION("GOOGLETRANSLATE(B8390,""en"",""fr"")"),"Un garçon a mis sa planche de surf sur les rivales, saute et surf, puis est tombé, d'autres garçons surfent.")</f>
        <v>Un garçon a mis sa planche de surf sur les rivales, saute et surf, puis est tombé, d'autres garçons surfent.</v>
      </c>
    </row>
    <row r="8391">
      <c r="A8391" s="4" t="s">
        <v>10556</v>
      </c>
      <c r="B8391" s="4" t="s">
        <v>10560</v>
      </c>
      <c r="C8391" s="5" t="str">
        <f>IFERROR(__xludf.DUMMYFUNCTION("GOOGLETRANSLATE(B8391,""en"",""fr"")"),"Après, les garçons sont dans un train.")</f>
        <v>Après, les garçons sont dans un train.</v>
      </c>
    </row>
    <row r="8392">
      <c r="A8392" s="4" t="s">
        <v>10561</v>
      </c>
      <c r="B8392" s="4" t="s">
        <v>10562</v>
      </c>
      <c r="C8392" s="5" t="str">
        <f>IFERROR(__xludf.DUMMYFUNCTION("GOOGLETRANSLATE(B8392,""en"",""fr"")"),"Il y a un bon feu éclairé dans un terrain libre à côté de quelques tentes et vélos.")</f>
        <v>Il y a un bon feu éclairé dans un terrain libre à côté de quelques tentes et vélos.</v>
      </c>
    </row>
    <row r="8393">
      <c r="A8393" s="4" t="s">
        <v>10561</v>
      </c>
      <c r="B8393" s="4" t="s">
        <v>10563</v>
      </c>
      <c r="C8393" s="5" t="str">
        <f>IFERROR(__xludf.DUMMYFUNCTION("GOOGLETRANSLATE(B8393,""en"",""fr"")"),"Il y a une personne vêtue d'un costume de motard qui se lève et met le feu à un tas de bâtons de bois.")</f>
        <v>Il y a une personne vêtue d'un costume de motard qui se lève et met le feu à un tas de bâtons de bois.</v>
      </c>
    </row>
    <row r="8394">
      <c r="A8394" s="4" t="s">
        <v>10561</v>
      </c>
      <c r="B8394" s="4" t="s">
        <v>10564</v>
      </c>
      <c r="C8394" s="5" t="str">
        <f>IFERROR(__xludf.DUMMYFUNCTION("GOOGLETRANSLATE(B8394,""en"",""fr"")"),"Le feu commence à se propager à travers les brindilles et les bâtons de bois et éclate en grosses flammes.")</f>
        <v>Le feu commence à se propager à travers les brindilles et les bâtons de bois et éclate en grosses flammes.</v>
      </c>
    </row>
    <row r="8395">
      <c r="A8395" s="4" t="s">
        <v>10565</v>
      </c>
      <c r="B8395" s="4" t="s">
        <v>10566</v>
      </c>
      <c r="C8395" s="5" t="str">
        <f>IFERROR(__xludf.DUMMYFUNCTION("GOOGLETRANSLATE(B8395,""en"",""fr"")"),"Une dame du nom de Linda, créatrice de la peinture, montre comment faire une peinture acrylique.")</f>
        <v>Une dame du nom de Linda, créatrice de la peinture, montre comment faire une peinture acrylique.</v>
      </c>
    </row>
    <row r="8396">
      <c r="A8396" s="4" t="s">
        <v>10565</v>
      </c>
      <c r="B8396" s="4" t="s">
        <v>10567</v>
      </c>
      <c r="C8396" s="5" t="str">
        <f>IFERROR(__xludf.DUMMYFUNCTION("GOOGLETRANSLATE(B8396,""en"",""fr"")"),"Elle commence par une brosse plate d'un pouce et une peinture acrylique jaune et blanche.")</f>
        <v>Elle commence par une brosse plate d'un pouce et une peinture acrylique jaune et blanche.</v>
      </c>
    </row>
    <row r="8397">
      <c r="A8397" s="4" t="s">
        <v>10565</v>
      </c>
      <c r="B8397" s="4" t="s">
        <v>10568</v>
      </c>
      <c r="C8397" s="5" t="str">
        <f>IFERROR(__xludf.DUMMYFUNCTION("GOOGLETRANSLATE(B8397,""en"",""fr"")"),"Elle fait des motifs x sur la toile avec la couleur jaune.")</f>
        <v>Elle fait des motifs x sur la toile avec la couleur jaune.</v>
      </c>
    </row>
    <row r="8398">
      <c r="A8398" s="4" t="s">
        <v>10565</v>
      </c>
      <c r="B8398" s="4" t="s">
        <v>10569</v>
      </c>
      <c r="C8398" s="5" t="str">
        <f>IFERROR(__xludf.DUMMYFUNCTION("GOOGLETRANSLATE(B8398,""en"",""fr"")"),"Elle continue le même motif sur la partie supérieure de la toile.")</f>
        <v>Elle continue le même motif sur la partie supérieure de la toile.</v>
      </c>
    </row>
    <row r="8399">
      <c r="A8399" s="4" t="s">
        <v>10565</v>
      </c>
      <c r="B8399" s="4" t="s">
        <v>10570</v>
      </c>
      <c r="C8399" s="5" t="str">
        <f>IFERROR(__xludf.DUMMYFUNCTION("GOOGLETRANSLATE(B8399,""en"",""fr"")"),"Ensuite, elle trace des lignes droites sur la toile avec une couleur orange.")</f>
        <v>Ensuite, elle trace des lignes droites sur la toile avec une couleur orange.</v>
      </c>
    </row>
    <row r="8400">
      <c r="A8400" s="4" t="s">
        <v>10565</v>
      </c>
      <c r="B8400" s="4" t="s">
        <v>10571</v>
      </c>
      <c r="C8400" s="5" t="str">
        <f>IFERROR(__xludf.DUMMYFUNCTION("GOOGLETRANSLATE(B8400,""en"",""fr"")"),"Elle prend ensuite un pinceau à doublure pour faire des détails plus fins sur la peinture comme les branches d'un arbre.")</f>
        <v>Elle prend ensuite un pinceau à doublure pour faire des détails plus fins sur la peinture comme les branches d'un arbre.</v>
      </c>
    </row>
    <row r="8401">
      <c r="A8401" s="4" t="s">
        <v>10565</v>
      </c>
      <c r="B8401" s="6" t="s">
        <v>10572</v>
      </c>
      <c r="C8401" s="5" t="str">
        <f>IFERROR(__xludf.DUMMYFUNCTION("GOOGLETRANSLATE(B8401,""en"",""fr"")"),"Elle prend un pinceau plus plat pour démontrer une technique de tamponnage avec une peinture en excès pour montrer des pétales de fleurs.")</f>
        <v>Elle prend un pinceau plus plat pour démontrer une technique de tamponnage avec une peinture en excès pour montrer des pétales de fleurs.</v>
      </c>
    </row>
    <row r="8402">
      <c r="A8402" s="4" t="s">
        <v>10565</v>
      </c>
      <c r="B8402" s="4" t="s">
        <v>10573</v>
      </c>
      <c r="C8402" s="5" t="str">
        <f>IFERROR(__xludf.DUMMYFUNCTION("GOOGLETRANSLATE(B8402,""en"",""fr"")"),"Elle termine la vidéo avec la technique de peinture abstraite.")</f>
        <v>Elle termine la vidéo avec la technique de peinture abstraite.</v>
      </c>
    </row>
    <row r="8403">
      <c r="A8403" s="4" t="s">
        <v>10574</v>
      </c>
      <c r="B8403" s="6" t="s">
        <v>10575</v>
      </c>
      <c r="C8403" s="5" t="str">
        <f>IFERROR(__xludf.DUMMYFUNCTION("GOOGLETRANSLATE(B8403,""en"",""fr"")"),"Nous voyons un homme dans une piscine jouer à un jeu tandis qu'un homme en blanc se tient sur la touche en faisant agiter son bras.")</f>
        <v>Nous voyons un homme dans une piscine jouer à un jeu tandis qu'un homme en blanc se tient sur la touche en faisant agiter son bras.</v>
      </c>
    </row>
    <row r="8404">
      <c r="A8404" s="4" t="s">
        <v>10574</v>
      </c>
      <c r="B8404" s="4" t="s">
        <v>10576</v>
      </c>
      <c r="C8404" s="5" t="str">
        <f>IFERROR(__xludf.DUMMYFUNCTION("GOOGLETRANSLATE(B8404,""en"",""fr"")"),"Le ballon est lancé et le gardien de but devant le filet saute pour arrêter le ballon.")</f>
        <v>Le ballon est lancé et le gardien de but devant le filet saute pour arrêter le ballon.</v>
      </c>
    </row>
    <row r="8405">
      <c r="A8405" s="4" t="s">
        <v>10574</v>
      </c>
      <c r="B8405" s="4" t="s">
        <v>10577</v>
      </c>
      <c r="C8405" s="5" t="str">
        <f>IFERROR(__xludf.DUMMYFUNCTION("GOOGLETRANSLATE(B8405,""en"",""fr"")"),"Le gardien de but plonge alors profondément sous l'eau.")</f>
        <v>Le gardien de but plonge alors profondément sous l'eau.</v>
      </c>
    </row>
    <row r="8406">
      <c r="A8406" s="4" t="s">
        <v>10578</v>
      </c>
      <c r="B8406" s="6" t="s">
        <v>10579</v>
      </c>
      <c r="C8406" s="5" t="str">
        <f>IFERROR(__xludf.DUMMYFUNCTION("GOOGLETRANSLATE(B8406,""en"",""fr"")"),"Une femme asiatique aux cheveux noirs dans une veste beige et un chemisier imprimé parle devant la caméra.")</f>
        <v>Une femme asiatique aux cheveux noirs dans une veste beige et un chemisier imprimé parle devant la caméra.</v>
      </c>
    </row>
    <row r="8407">
      <c r="A8407" s="4" t="s">
        <v>10578</v>
      </c>
      <c r="B8407" s="6" t="s">
        <v>10580</v>
      </c>
      <c r="C8407" s="5" t="str">
        <f>IFERROR(__xludf.DUMMYFUNCTION("GOOGLETRANSLATE(B8407,""en"",""fr"")"),"Quatre cerfs-volants noirs et blancs avec des imprimés de diamant bleu et jaunes sur eux volent du sol, une pieuvre verte, des dragons et d'autres formes de cerfs-volants volent dans le ciel, tandis que les hommes en rouge tirent les cerfs-volants.")</f>
        <v>Quatre cerfs-volants noirs et blancs avec des imprimés de diamant bleu et jaunes sur eux volent du sol, une pieuvre verte, des dragons et d'autres formes de cerfs-volants volent dans le ciel, tandis que les hommes en rouge tirent les cerfs-volants.</v>
      </c>
    </row>
    <row r="8408">
      <c r="A8408" s="4" t="s">
        <v>10581</v>
      </c>
      <c r="B8408" s="4" t="s">
        <v>10582</v>
      </c>
      <c r="C8408" s="5" t="str">
        <f>IFERROR(__xludf.DUMMYFUNCTION("GOOGLETRANSLATE(B8408,""en"",""fr"")"),"Une jeune femme est montrée assise et parle à la caméra blanche tenant une chemise.")</f>
        <v>Une jeune femme est montrée assise et parle à la caméra blanche tenant une chemise.</v>
      </c>
    </row>
    <row r="8409">
      <c r="A8409" s="4" t="s">
        <v>10581</v>
      </c>
      <c r="B8409" s="4" t="s">
        <v>10583</v>
      </c>
      <c r="C8409" s="5" t="str">
        <f>IFERROR(__xludf.DUMMYFUNCTION("GOOGLETRANSLATE(B8409,""en"",""fr"")"),"Elle attache la chemise autour de son bras et la plonge dans l'eau et la frotte avec ses mains.")</f>
        <v>Elle attache la chemise autour de son bras et la plonge dans l'eau et la frotte avec ses mains.</v>
      </c>
    </row>
    <row r="8410">
      <c r="A8410" s="4" t="s">
        <v>10584</v>
      </c>
      <c r="B8410" s="4" t="s">
        <v>10585</v>
      </c>
      <c r="C8410" s="5" t="str">
        <f>IFERROR(__xludf.DUMMYFUNCTION("GOOGLETRANSLATE(B8410,""en"",""fr"")"),"Un homme est assis sur une chaise, tenant un saxophone.")</f>
        <v>Un homme est assis sur une chaise, tenant un saxophone.</v>
      </c>
    </row>
    <row r="8411">
      <c r="A8411" s="4" t="s">
        <v>10584</v>
      </c>
      <c r="B8411" s="4" t="s">
        <v>10586</v>
      </c>
      <c r="C8411" s="5" t="str">
        <f>IFERROR(__xludf.DUMMYFUNCTION("GOOGLETRANSLATE(B8411,""en"",""fr"")"),"Il se tient alors qu'il joue, ses doigts se déplaçant de haut en bas de l'instrument.")</f>
        <v>Il se tient alors qu'il joue, ses doigts se déplaçant de haut en bas de l'instrument.</v>
      </c>
    </row>
    <row r="8412">
      <c r="A8412" s="4" t="s">
        <v>10584</v>
      </c>
      <c r="B8412" s="4" t="s">
        <v>10587</v>
      </c>
      <c r="C8412" s="5" t="str">
        <f>IFERROR(__xludf.DUMMYFUNCTION("GOOGLETRANSLATE(B8412,""en"",""fr"")"),"L'écran coupe en noir et blanc.")</f>
        <v>L'écran coupe en noir et blanc.</v>
      </c>
    </row>
    <row r="8413">
      <c r="A8413" s="4" t="s">
        <v>10588</v>
      </c>
      <c r="B8413" s="4" t="s">
        <v>10589</v>
      </c>
      <c r="C8413" s="5" t="str">
        <f>IFERROR(__xludf.DUMMYFUNCTION("GOOGLETRANSLATE(B8413,""en"",""fr"")"),"Les statistiques d'un joueur s'affichent à l'écran.")</f>
        <v>Les statistiques d'un joueur s'affichent à l'écran.</v>
      </c>
    </row>
    <row r="8414">
      <c r="A8414" s="4" t="s">
        <v>10588</v>
      </c>
      <c r="B8414" s="4" t="s">
        <v>10590</v>
      </c>
      <c r="C8414" s="5" t="str">
        <f>IFERROR(__xludf.DUMMYFUNCTION("GOOGLETRANSLATE(B8414,""en"",""fr"")"),"Les montages de plusieurs matchs de football en salle montrent.")</f>
        <v>Les montages de plusieurs matchs de football en salle montrent.</v>
      </c>
    </row>
    <row r="8415">
      <c r="A8415" s="4" t="s">
        <v>10588</v>
      </c>
      <c r="B8415" s="4" t="s">
        <v>10591</v>
      </c>
      <c r="C8415" s="5" t="str">
        <f>IFERROR(__xludf.DUMMYFUNCTION("GOOGLETRANSLATE(B8415,""en"",""fr"")"),"Les statistiques du joueur sont à nouveau présentées.")</f>
        <v>Les statistiques du joueur sont à nouveau présentées.</v>
      </c>
    </row>
    <row r="8416">
      <c r="A8416" s="4" t="s">
        <v>10592</v>
      </c>
      <c r="B8416" s="4" t="s">
        <v>10593</v>
      </c>
      <c r="C8416" s="5" t="str">
        <f>IFERROR(__xludf.DUMMYFUNCTION("GOOGLETRANSLATE(B8416,""en"",""fr"")"),"Nous voyons des machines à sous sur l'asphalte.")</f>
        <v>Nous voyons des machines à sous sur l'asphalte.</v>
      </c>
    </row>
    <row r="8417">
      <c r="A8417" s="4" t="s">
        <v>10592</v>
      </c>
      <c r="B8417" s="4" t="s">
        <v>10594</v>
      </c>
      <c r="C8417" s="5" t="str">
        <f>IFERROR(__xludf.DUMMYFUNCTION("GOOGLETRANSLATE(B8417,""en"",""fr"")"),"Nous voyons ensuite des enfants rouler de vélos BMX coupés avec des scènes d'autres choses.")</f>
        <v>Nous voyons ensuite des enfants rouler de vélos BMX coupés avec des scènes d'autres choses.</v>
      </c>
    </row>
    <row r="8418">
      <c r="A8418" s="4" t="s">
        <v>10592</v>
      </c>
      <c r="B8418" s="4" t="s">
        <v>10595</v>
      </c>
      <c r="C8418" s="5" t="str">
        <f>IFERROR(__xludf.DUMMYFUNCTION("GOOGLETRANSLATE(B8418,""en"",""fr"")"),"Nous voyons des enfants parler à la caméra.")</f>
        <v>Nous voyons des enfants parler à la caméra.</v>
      </c>
    </row>
    <row r="8419">
      <c r="A8419" s="4" t="s">
        <v>10592</v>
      </c>
      <c r="B8419" s="4" t="s">
        <v>10596</v>
      </c>
      <c r="C8419" s="5" t="str">
        <f>IFERROR(__xludf.DUMMYFUNCTION("GOOGLETRANSLATE(B8419,""en"",""fr"")"),"Nous voyons une porte ouverte et les enfants commencent à rouler.")</f>
        <v>Nous voyons une porte ouverte et les enfants commencent à rouler.</v>
      </c>
    </row>
    <row r="8420">
      <c r="A8420" s="4" t="s">
        <v>10592</v>
      </c>
      <c r="B8420" s="4" t="s">
        <v>10597</v>
      </c>
      <c r="C8420" s="5" t="str">
        <f>IFERROR(__xludf.DUMMYFUNCTION("GOOGLETRANSLATE(B8420,""en"",""fr"")"),"Nous voyons un entraîneur debout avec des enfants.")</f>
        <v>Nous voyons un entraîneur debout avec des enfants.</v>
      </c>
    </row>
    <row r="8421">
      <c r="A8421" s="4" t="s">
        <v>10592</v>
      </c>
      <c r="B8421" s="4" t="s">
        <v>10598</v>
      </c>
      <c r="C8421" s="5" t="str">
        <f>IFERROR(__xludf.DUMMYFUNCTION("GOOGLETRANSLATE(B8421,""en"",""fr"")"),"Nous voyons un autre entraîneur debout avec des enfants.")</f>
        <v>Nous voyons un autre entraîneur debout avec des enfants.</v>
      </c>
    </row>
    <row r="8422">
      <c r="A8422" s="4" t="s">
        <v>10592</v>
      </c>
      <c r="B8422" s="4" t="s">
        <v>10599</v>
      </c>
      <c r="C8422" s="5" t="str">
        <f>IFERROR(__xludf.DUMMYFUNCTION("GOOGLETRANSLATE(B8422,""en"",""fr"")"),"Nous voyons des enfants passer la ligne d'arrivée.")</f>
        <v>Nous voyons des enfants passer la ligne d'arrivée.</v>
      </c>
    </row>
    <row r="8423">
      <c r="A8423" s="4" t="s">
        <v>10592</v>
      </c>
      <c r="B8423" s="4" t="s">
        <v>10600</v>
      </c>
      <c r="C8423" s="5" t="str">
        <f>IFERROR(__xludf.DUMMYFUNCTION("GOOGLETRANSLATE(B8423,""en"",""fr"")"),"Nous voyons l'emblème à l'écran avec des enfants assis sur leurs vélos.")</f>
        <v>Nous voyons l'emblème à l'écran avec des enfants assis sur leurs vélos.</v>
      </c>
    </row>
    <row r="8424">
      <c r="A8424" s="4" t="s">
        <v>10592</v>
      </c>
      <c r="B8424" s="4" t="s">
        <v>10601</v>
      </c>
      <c r="C8424" s="5" t="str">
        <f>IFERROR(__xludf.DUMMYFUNCTION("GOOGLETRANSLATE(B8424,""en"",""fr"")"),"Nous voyons ensuite l'écran proche.")</f>
        <v>Nous voyons ensuite l'écran proche.</v>
      </c>
    </row>
    <row r="8425">
      <c r="A8425" s="4" t="s">
        <v>10602</v>
      </c>
      <c r="B8425" s="4" t="s">
        <v>10603</v>
      </c>
      <c r="C8425" s="5" t="str">
        <f>IFERROR(__xludf.DUMMYFUNCTION("GOOGLETRANSLATE(B8425,""en"",""fr"")"),"Un homme portant un chapeau se tient à l'extérieur.")</f>
        <v>Un homme portant un chapeau se tient à l'extérieur.</v>
      </c>
    </row>
    <row r="8426">
      <c r="A8426" s="4" t="s">
        <v>10602</v>
      </c>
      <c r="B8426" s="4" t="s">
        <v>10604</v>
      </c>
      <c r="C8426" s="5" t="str">
        <f>IFERROR(__xludf.DUMMYFUNCTION("GOOGLETRANSLATE(B8426,""en"",""fr"")"),"Il prend une tronçonneuse du sol.")</f>
        <v>Il prend une tronçonneuse du sol.</v>
      </c>
    </row>
    <row r="8427">
      <c r="A8427" s="4" t="s">
        <v>10602</v>
      </c>
      <c r="B8427" s="4" t="s">
        <v>10605</v>
      </c>
      <c r="C8427" s="5" t="str">
        <f>IFERROR(__xludf.DUMMYFUNCTION("GOOGLETRANSLATE(B8427,""en"",""fr"")"),"Il commence à couper un buisson à côté de lui.")</f>
        <v>Il commence à couper un buisson à côté de lui.</v>
      </c>
    </row>
    <row r="8428">
      <c r="A8428" s="4" t="s">
        <v>10606</v>
      </c>
      <c r="B8428" s="6" t="s">
        <v>10607</v>
      </c>
      <c r="C8428" s="5" t="str">
        <f>IFERROR(__xludf.DUMMYFUNCTION("GOOGLETRANSLATE(B8428,""en"",""fr"")"),"Il y a un tas d'enfants debout autour d'une table et l'objectif principal est un garçon qui coupe des trucs sur un plateau bleu.")</f>
        <v>Il y a un tas d'enfants debout autour d'une table et l'objectif principal est un garçon qui coupe des trucs sur un plateau bleu.</v>
      </c>
    </row>
    <row r="8429">
      <c r="A8429" s="4" t="s">
        <v>10606</v>
      </c>
      <c r="B8429" s="4" t="s">
        <v>10608</v>
      </c>
      <c r="C8429" s="5" t="str">
        <f>IFERROR(__xludf.DUMMYFUNCTION("GOOGLETRANSLATE(B8429,""en"",""fr"")"),"Le garçon s'éloigne du plateau et un adulte commence à couper.")</f>
        <v>Le garçon s'éloigne du plateau et un adulte commence à couper.</v>
      </c>
    </row>
    <row r="8430">
      <c r="A8430" s="4" t="s">
        <v>10606</v>
      </c>
      <c r="B8430" s="6" t="s">
        <v>10609</v>
      </c>
      <c r="C8430" s="5" t="str">
        <f>IFERROR(__xludf.DUMMYFUNCTION("GOOGLETRANSLATE(B8430,""en"",""fr"")"),"L'adulte cesse de couper et un autre garçon commence à couper les objets très lentement, l'adulte interrompt l'enfant pour démontrer comment couper et l'enfant s'éloigne.")</f>
        <v>L'adulte cesse de couper et un autre garçon commence à couper les objets très lentement, l'adulte interrompt l'enfant pour démontrer comment couper et l'enfant s'éloigne.</v>
      </c>
    </row>
    <row r="8431">
      <c r="A8431" s="4" t="s">
        <v>10610</v>
      </c>
      <c r="B8431" s="4" t="s">
        <v>10611</v>
      </c>
      <c r="C8431" s="5" t="str">
        <f>IFERROR(__xludf.DUMMYFUNCTION("GOOGLETRANSLATE(B8431,""en"",""fr"")"),"On voit deux personnes parler à la caméra suivie de plusieurs verres disposés.")</f>
        <v>On voit deux personnes parler à la caméra suivie de plusieurs verres disposés.</v>
      </c>
    </row>
    <row r="8432">
      <c r="A8432" s="4" t="s">
        <v>10610</v>
      </c>
      <c r="B8432" s="4" t="s">
        <v>10612</v>
      </c>
      <c r="C8432" s="5" t="str">
        <f>IFERROR(__xludf.DUMMYFUNCTION("GOOGLETRANSLATE(B8432,""en"",""fr"")"),"Les gens commencent alors à mélanger les ingrédients entre eux et se parler.")</f>
        <v>Les gens commencent alors à mélanger les ingrédients entre eux et se parler.</v>
      </c>
    </row>
    <row r="8433">
      <c r="A8433" s="4" t="s">
        <v>10610</v>
      </c>
      <c r="B8433" s="4" t="s">
        <v>10613</v>
      </c>
      <c r="C8433" s="5" t="str">
        <f>IFERROR(__xludf.DUMMYFUNCTION("GOOGLETRANSLATE(B8433,""en"",""fr"")"),"Les gens continuent de mélanger des boissons entre eux et les présenter à la caméra.")</f>
        <v>Les gens continuent de mélanger des boissons entre eux et les présenter à la caméra.</v>
      </c>
    </row>
    <row r="8434">
      <c r="A8434" s="4" t="s">
        <v>10614</v>
      </c>
      <c r="B8434" s="4" t="s">
        <v>10615</v>
      </c>
      <c r="C8434" s="5" t="str">
        <f>IFERROR(__xludf.DUMMYFUNCTION("GOOGLETRANSLATE(B8434,""en"",""fr"")"),"Il y a un homme sur un cheval qui attend le temps pour commencer.")</f>
        <v>Il y a un homme sur un cheval qui attend le temps pour commencer.</v>
      </c>
    </row>
    <row r="8435">
      <c r="A8435" s="4" t="s">
        <v>10614</v>
      </c>
      <c r="B8435" s="4" t="s">
        <v>10616</v>
      </c>
      <c r="C8435" s="5" t="str">
        <f>IFERROR(__xludf.DUMMYFUNCTION("GOOGLETRANSLATE(B8435,""en"",""fr"")"),"Une fois que les portes ouvrent une vache commencent à courir et que l'homme sur le cheval les poursuit avec un gland.")</f>
        <v>Une fois que les portes ouvrent une vache commencent à courir et que l'homme sur le cheval les poursuit avec un gland.</v>
      </c>
    </row>
    <row r="8436">
      <c r="A8436" s="4" t="s">
        <v>10614</v>
      </c>
      <c r="B8436" s="6" t="s">
        <v>10617</v>
      </c>
      <c r="C8436" s="5" t="str">
        <f>IFERROR(__xludf.DUMMYFUNCTION("GOOGLETRANSLATE(B8436,""en"",""fr"")"),"Il balance le gland dans l'air plusieurs fois et le jette en attrapant la vache puis en le liant.")</f>
        <v>Il balance le gland dans l'air plusieurs fois et le jette en attrapant la vache puis en le liant.</v>
      </c>
    </row>
    <row r="8437">
      <c r="A8437" s="4" t="s">
        <v>10614</v>
      </c>
      <c r="B8437" s="6" t="s">
        <v>10618</v>
      </c>
      <c r="C8437" s="5" t="str">
        <f>IFERROR(__xludf.DUMMYFUNCTION("GOOGLETRANSLATE(B8437,""en"",""fr"")"),"Il y a un public dans les tribunes en regardant l'homme faire cela et il y a un autre homme sur un autre cheval à côté.")</f>
        <v>Il y a un public dans les tribunes en regardant l'homme faire cela et il y a un autre homme sur un autre cheval à côté.</v>
      </c>
    </row>
    <row r="8438">
      <c r="A8438" s="4" t="s">
        <v>10619</v>
      </c>
      <c r="B8438" s="4" t="s">
        <v>10620</v>
      </c>
      <c r="C8438" s="5" t="str">
        <f>IFERROR(__xludf.DUMMYFUNCTION("GOOGLETRANSLATE(B8438,""en"",""fr"")"),"Une foule se rassemble en regardant un match de volleyball.")</f>
        <v>Une foule se rassemble en regardant un match de volleyball.</v>
      </c>
    </row>
    <row r="8439">
      <c r="A8439" s="4" t="s">
        <v>10619</v>
      </c>
      <c r="B8439" s="4" t="s">
        <v>10621</v>
      </c>
      <c r="C8439" s="5" t="str">
        <f>IFERROR(__xludf.DUMMYFUNCTION("GOOGLETRANSLATE(B8439,""en"",""fr"")"),"Un joueur de volleyball frappe le ballon.")</f>
        <v>Un joueur de volleyball frappe le ballon.</v>
      </c>
    </row>
    <row r="8440">
      <c r="A8440" s="4" t="s">
        <v>10619</v>
      </c>
      <c r="B8440" s="4" t="s">
        <v>10622</v>
      </c>
      <c r="C8440" s="5" t="str">
        <f>IFERROR(__xludf.DUMMYFUNCTION("GOOGLETRANSLATE(B8440,""en"",""fr"")"),"Le coéquipier du joueur frappe également le ballon.")</f>
        <v>Le coéquipier du joueur frappe également le ballon.</v>
      </c>
    </row>
    <row r="8441">
      <c r="A8441" s="4" t="s">
        <v>10619</v>
      </c>
      <c r="B8441" s="4" t="s">
        <v>10623</v>
      </c>
      <c r="C8441" s="5" t="str">
        <f>IFERROR(__xludf.DUMMYFUNCTION("GOOGLETRANSLATE(B8441,""en"",""fr"")"),"Le joueur frappe le ballon trois fois de plus.")</f>
        <v>Le joueur frappe le ballon trois fois de plus.</v>
      </c>
    </row>
    <row r="8442">
      <c r="A8442" s="4" t="s">
        <v>10619</v>
      </c>
      <c r="B8442" s="4" t="s">
        <v>10624</v>
      </c>
      <c r="C8442" s="5" t="str">
        <f>IFERROR(__xludf.DUMMYFUNCTION("GOOGLETRANSLATE(B8442,""en"",""fr"")"),"Le coéquipier des joueurs frappe le ballon.")</f>
        <v>Le coéquipier des joueurs frappe le ballon.</v>
      </c>
    </row>
    <row r="8443">
      <c r="A8443" s="4" t="s">
        <v>10619</v>
      </c>
      <c r="B8443" s="4" t="s">
        <v>10625</v>
      </c>
      <c r="C8443" s="5" t="str">
        <f>IFERROR(__xludf.DUMMYFUNCTION("GOOGLETRANSLATE(B8443,""en"",""fr"")"),"L'autre joueur frappe le ballon sur le filet.")</f>
        <v>L'autre joueur frappe le ballon sur le filet.</v>
      </c>
    </row>
    <row r="8444">
      <c r="A8444" s="4" t="s">
        <v>10619</v>
      </c>
      <c r="B8444" s="4" t="s">
        <v>10626</v>
      </c>
      <c r="C8444" s="5" t="str">
        <f>IFERROR(__xludf.DUMMYFUNCTION("GOOGLETRANSLATE(B8444,""en"",""fr"")"),"Le ballon revient et l'un des joueurs frappe le ballon.")</f>
        <v>Le ballon revient et l'un des joueurs frappe le ballon.</v>
      </c>
    </row>
    <row r="8445">
      <c r="A8445" s="4" t="s">
        <v>10619</v>
      </c>
      <c r="B8445" s="4" t="s">
        <v>10627</v>
      </c>
      <c r="C8445" s="5" t="str">
        <f>IFERROR(__xludf.DUMMYFUNCTION("GOOGLETRANSLATE(B8445,""en"",""fr"")"),"Le coéquipier des joueurs plonge pour frapper le ballon.")</f>
        <v>Le coéquipier des joueurs plonge pour frapper le ballon.</v>
      </c>
    </row>
    <row r="8446">
      <c r="A8446" s="4" t="s">
        <v>10619</v>
      </c>
      <c r="B8446" s="4" t="s">
        <v>10628</v>
      </c>
      <c r="C8446" s="5" t="str">
        <f>IFERROR(__xludf.DUMMYFUNCTION("GOOGLETRANSLATE(B8446,""en"",""fr"")"),"L'autre joueur frappe le ballon à l'autre équipe.")</f>
        <v>L'autre joueur frappe le ballon à l'autre équipe.</v>
      </c>
    </row>
    <row r="8447">
      <c r="A8447" s="4" t="s">
        <v>10619</v>
      </c>
      <c r="B8447" s="4" t="s">
        <v>10629</v>
      </c>
      <c r="C8447" s="5" t="str">
        <f>IFERROR(__xludf.DUMMYFUNCTION("GOOGLETRANSLATE(B8447,""en"",""fr"")"),"Le ballon revient et l'un des joueurs frappe le ballon hors des limites.")</f>
        <v>Le ballon revient et l'un des joueurs frappe le ballon hors des limites.</v>
      </c>
    </row>
    <row r="8448">
      <c r="A8448" s="4" t="s">
        <v>10630</v>
      </c>
      <c r="B8448" s="4" t="s">
        <v>10631</v>
      </c>
      <c r="C8448" s="5" t="str">
        <f>IFERROR(__xludf.DUMMYFUNCTION("GOOGLETRANSLATE(B8448,""en"",""fr"")"),"Une fille tourne sur un tapis.")</f>
        <v>Une fille tourne sur un tapis.</v>
      </c>
    </row>
    <row r="8449">
      <c r="A8449" s="4" t="s">
        <v>10630</v>
      </c>
      <c r="B8449" s="4" t="s">
        <v>10632</v>
      </c>
      <c r="C8449" s="5" t="str">
        <f>IFERROR(__xludf.DUMMYFUNCTION("GOOGLETRANSLATE(B8449,""en"",""fr"")"),"Le tapis est noir et rouge.")</f>
        <v>Le tapis est noir et rouge.</v>
      </c>
    </row>
    <row r="8450">
      <c r="A8450" s="4" t="s">
        <v>10630</v>
      </c>
      <c r="B8450" s="4" t="s">
        <v>10633</v>
      </c>
      <c r="C8450" s="5" t="str">
        <f>IFERROR(__xludf.DUMMYFUNCTION("GOOGLETRANSLATE(B8450,""en"",""fr"")"),"Plusieurs filles la regardent et applaudissent.")</f>
        <v>Plusieurs filles la regardent et applaudissent.</v>
      </c>
    </row>
    <row r="8451">
      <c r="A8451" s="4" t="s">
        <v>10630</v>
      </c>
      <c r="B8451" s="4" t="s">
        <v>10634</v>
      </c>
      <c r="C8451" s="5" t="str">
        <f>IFERROR(__xludf.DUMMYFUNCTION("GOOGLETRANSLATE(B8451,""en"",""fr"")"),"Elle fait ensuite des backflips.")</f>
        <v>Elle fait ensuite des backflips.</v>
      </c>
    </row>
    <row r="8452">
      <c r="A8452" s="4" t="s">
        <v>10635</v>
      </c>
      <c r="B8452" s="4" t="s">
        <v>10636</v>
      </c>
      <c r="C8452" s="5" t="str">
        <f>IFERROR(__xludf.DUMMYFUNCTION("GOOGLETRANSLATE(B8452,""en"",""fr"")"),"Une femme joue un violon dans la rue tandis que diverses personnes se promènent ici et derrière elle.")</f>
        <v>Une femme joue un violon dans la rue tandis que diverses personnes se promènent ici et derrière elle.</v>
      </c>
    </row>
    <row r="8453">
      <c r="A8453" s="4" t="s">
        <v>10635</v>
      </c>
      <c r="B8453" s="6" t="s">
        <v>10637</v>
      </c>
      <c r="C8453" s="5" t="str">
        <f>IFERROR(__xludf.DUMMYFUNCTION("GOOGLETRANSLATE(B8453,""en"",""fr"")"),"Elle sourit dans la caméra tout en jouant et continue de jouer la chanson tandis que plusieurs personnes se penchent pour la faire basculer et se promener autour d'elle.")</f>
        <v>Elle sourit dans la caméra tout en jouant et continue de jouer la chanson tandis que plusieurs personnes se penchent pour la faire basculer et se promener autour d'elle.</v>
      </c>
    </row>
    <row r="8454">
      <c r="A8454" s="4" t="s">
        <v>10638</v>
      </c>
      <c r="B8454" s="4" t="s">
        <v>10639</v>
      </c>
      <c r="C8454" s="5" t="str">
        <f>IFERROR(__xludf.DUMMYFUNCTION("GOOGLETRANSLATE(B8454,""en"",""fr"")"),"Un petit groupe de personnes est vu debout sur un champ tenant une corde.")</f>
        <v>Un petit groupe de personnes est vu debout sur un champ tenant une corde.</v>
      </c>
    </row>
    <row r="8455">
      <c r="A8455" s="4" t="s">
        <v>10638</v>
      </c>
      <c r="B8455" s="4" t="s">
        <v>10640</v>
      </c>
      <c r="C8455" s="5" t="str">
        <f>IFERROR(__xludf.DUMMYFUNCTION("GOOGLETRANSLATE(B8455,""en"",""fr"")"),"Un homme se tient à l'avant alors que le groupe commence à tirer la corde d'un côté.")</f>
        <v>Un homme se tient à l'avant alors que le groupe commence à tirer la corde d'un côté.</v>
      </c>
    </row>
    <row r="8456">
      <c r="A8456" s="4" t="s">
        <v>10638</v>
      </c>
      <c r="B8456" s="4" t="s">
        <v>10641</v>
      </c>
      <c r="C8456" s="5" t="str">
        <f>IFERROR(__xludf.DUMMYFUNCTION("GOOGLETRANSLATE(B8456,""en"",""fr"")"),"Les gens continuent de tirer jusqu'à ce que l'on tombe par la suite.")</f>
        <v>Les gens continuent de tirer jusqu'à ce que l'on tombe par la suite.</v>
      </c>
    </row>
    <row r="8457">
      <c r="A8457" s="4" t="s">
        <v>10642</v>
      </c>
      <c r="B8457" s="4" t="s">
        <v>10643</v>
      </c>
      <c r="C8457" s="5" t="str">
        <f>IFERROR(__xludf.DUMMYFUNCTION("GOOGLETRANSLATE(B8457,""en"",""fr"")"),"Une personne skie sur le refus d'une colline couverte de neige.")</f>
        <v>Une personne skie sur le refus d'une colline couverte de neige.</v>
      </c>
    </row>
    <row r="8458">
      <c r="A8458" s="4" t="s">
        <v>10642</v>
      </c>
      <c r="B8458" s="4" t="s">
        <v>10644</v>
      </c>
      <c r="C8458" s="5" t="str">
        <f>IFERROR(__xludf.DUMMYFUNCTION("GOOGLETRANSLATE(B8458,""en"",""fr"")"),"Ensuite, la personne arrive dans une zone plate où il y a quatre personnes.")</f>
        <v>Ensuite, la personne arrive dans une zone plate où il y a quatre personnes.</v>
      </c>
    </row>
    <row r="8459">
      <c r="A8459" s="4" t="s">
        <v>10645</v>
      </c>
      <c r="B8459" s="4" t="s">
        <v>10646</v>
      </c>
      <c r="C8459" s="5" t="str">
        <f>IFERROR(__xludf.DUMMYFUNCTION("GOOGLETRANSLATE(B8459,""en"",""fr"")"),"Un homme se tient dans une pièce tenant un grand instrument.")</f>
        <v>Un homme se tient dans une pièce tenant un grand instrument.</v>
      </c>
    </row>
    <row r="8460">
      <c r="A8460" s="4" t="s">
        <v>10645</v>
      </c>
      <c r="B8460" s="4" t="s">
        <v>10647</v>
      </c>
      <c r="C8460" s="5" t="str">
        <f>IFERROR(__xludf.DUMMYFUNCTION("GOOGLETRANSLATE(B8460,""en"",""fr"")"),"Il commence à jouer l'instrument derrière un microphone.")</f>
        <v>Il commence à jouer l'instrument derrière un microphone.</v>
      </c>
    </row>
    <row r="8461">
      <c r="A8461" s="4" t="s">
        <v>10645</v>
      </c>
      <c r="B8461" s="4" t="s">
        <v>10648</v>
      </c>
      <c r="C8461" s="5" t="str">
        <f>IFERROR(__xludf.DUMMYFUNCTION("GOOGLETRANSLATE(B8461,""en"",""fr"")"),"Un homme en chemise verte parle dans un microphone.")</f>
        <v>Un homme en chemise verte parle dans un microphone.</v>
      </c>
    </row>
    <row r="8462">
      <c r="A8462" s="4" t="s">
        <v>10649</v>
      </c>
      <c r="B8462" s="4" t="s">
        <v>10650</v>
      </c>
      <c r="C8462" s="5" t="str">
        <f>IFERROR(__xludf.DUMMYFUNCTION("GOOGLETRANSLATE(B8462,""en"",""fr"")"),"Il semble que ce soit une langue arabe qui est écrite ou quelque chose comme ça.")</f>
        <v>Il semble que ce soit une langue arabe qui est écrite ou quelque chose comme ça.</v>
      </c>
    </row>
    <row r="8463">
      <c r="A8463" s="4" t="s">
        <v>10649</v>
      </c>
      <c r="B8463" s="4" t="s">
        <v>10651</v>
      </c>
      <c r="C8463" s="5" t="str">
        <f>IFERROR(__xludf.DUMMYFUNCTION("GOOGLETRANSLATE(B8463,""en"",""fr"")"),"Ensuite, sur un terrain, des hommes jouent à un jeu lançant le ballon.")</f>
        <v>Ensuite, sur un terrain, des hommes jouent à un jeu lançant le ballon.</v>
      </c>
    </row>
    <row r="8464">
      <c r="A8464" s="4" t="s">
        <v>10649</v>
      </c>
      <c r="B8464" s="4" t="s">
        <v>10652</v>
      </c>
      <c r="C8464" s="5" t="str">
        <f>IFERROR(__xludf.DUMMYFUNCTION("GOOGLETRANSLATE(B8464,""en"",""fr"")"),"Certains entraîneurs se promènent avec des chapeaux pour garder le soleil hors de leurs yeux.")</f>
        <v>Certains entraîneurs se promènent avec des chapeaux pour garder le soleil hors de leurs yeux.</v>
      </c>
    </row>
    <row r="8465">
      <c r="A8465" s="4" t="s">
        <v>10649</v>
      </c>
      <c r="B8465" s="4" t="s">
        <v>10653</v>
      </c>
      <c r="C8465" s="5" t="str">
        <f>IFERROR(__xludf.DUMMYFUNCTION("GOOGLETRANSLATE(B8465,""en"",""fr"")"),"Le jeu semble assez intense, un homme met toutes ses forces dans l'un des lancers qu'il fait.")</f>
        <v>Le jeu semble assez intense, un homme met toutes ses forces dans l'un des lancers qu'il fait.</v>
      </c>
    </row>
    <row r="8466">
      <c r="A8466" s="4" t="s">
        <v>10654</v>
      </c>
      <c r="B8466" s="6" t="s">
        <v>10655</v>
      </c>
      <c r="C8466" s="5" t="str">
        <f>IFERROR(__xludf.DUMMYFUNCTION("GOOGLETRANSLATE(B8466,""en"",""fr"")"),"La scène se concentre sur l'extérieur d'un bâtiment, avec du texte en bas qui dit que c'est une école de breakdance.")</f>
        <v>La scène se concentre sur l'extérieur d'un bâtiment, avec du texte en bas qui dit que c'est une école de breakdance.</v>
      </c>
    </row>
    <row r="8467">
      <c r="A8467" s="4" t="s">
        <v>10654</v>
      </c>
      <c r="B8467" s="6" t="s">
        <v>10656</v>
      </c>
      <c r="C8467" s="5" t="str">
        <f>IFERROR(__xludf.DUMMYFUNCTION("GOOGLETRANSLATE(B8467,""en"",""fr"")"),"Un homme fait des documents tandis que d'autres hommes se tiennent à l'arrière-plan à côté d'un écran de projecteur.")</f>
        <v>Un homme fait des documents tandis que d'autres hommes se tiennent à l'arrière-plan à côté d'un écran de projecteur.</v>
      </c>
    </row>
    <row r="8468">
      <c r="A8468" s="4" t="s">
        <v>10654</v>
      </c>
      <c r="B8468" s="4" t="s">
        <v>10657</v>
      </c>
      <c r="C8468" s="5" t="str">
        <f>IFERROR(__xludf.DUMMYFUNCTION("GOOGLETRANSLATE(B8468,""en"",""fr"")"),"Un grand nombre d'enfants à l'intérieur d'un gymnase pratiquent le breakdance.")</f>
        <v>Un grand nombre d'enfants à l'intérieur d'un gymnase pratiquent le breakdance.</v>
      </c>
    </row>
    <row r="8469">
      <c r="A8469" s="4" t="s">
        <v>10654</v>
      </c>
      <c r="B8469" s="4" t="s">
        <v>10658</v>
      </c>
      <c r="C8469" s="5" t="str">
        <f>IFERROR(__xludf.DUMMYFUNCTION("GOOGLETRANSLATE(B8469,""en"",""fr"")"),"Les enfants sont dans une salle de classe en regardant une présentation par l'homme vu plus tôt.")</f>
        <v>Les enfants sont dans une salle de classe en regardant une présentation par l'homme vu plus tôt.</v>
      </c>
    </row>
    <row r="8470">
      <c r="A8470" s="4" t="s">
        <v>10654</v>
      </c>
      <c r="B8470" s="4" t="s">
        <v>10659</v>
      </c>
      <c r="C8470" s="5" t="str">
        <f>IFERROR(__xludf.DUMMYFUNCTION("GOOGLETRANSLATE(B8470,""en"",""fr"")"),"Les enfants sont à nouveau vus à l'intérieur du gymnase pratiquant leurs mouvements de breakdance.")</f>
        <v>Les enfants sont à nouveau vus à l'intérieur du gymnase pratiquant leurs mouvements de breakdance.</v>
      </c>
    </row>
    <row r="8471">
      <c r="A8471" s="4" t="s">
        <v>10654</v>
      </c>
      <c r="B8471" s="6" t="s">
        <v>10660</v>
      </c>
      <c r="C8471" s="5" t="str">
        <f>IFERROR(__xludf.DUMMYFUNCTION("GOOGLETRANSLATE(B8471,""en"",""fr"")"),"L'écran devient noir et un graphique apparaît à l'écran montrant le logo de l'entreprise et les informations sur la chaîne YouTube.")</f>
        <v>L'écran devient noir et un graphique apparaît à l'écran montrant le logo de l'entreprise et les informations sur la chaîne YouTube.</v>
      </c>
    </row>
    <row r="8472">
      <c r="A8472" s="4" t="s">
        <v>10661</v>
      </c>
      <c r="B8472" s="4" t="s">
        <v>10662</v>
      </c>
      <c r="C8472" s="5" t="str">
        <f>IFERROR(__xludf.DUMMYFUNCTION("GOOGLETRANSLATE(B8472,""en"",""fr"")"),"Un garçon sur un cheval est libéré d'une porte.")</f>
        <v>Un garçon sur un cheval est libéré d'une porte.</v>
      </c>
    </row>
    <row r="8473">
      <c r="A8473" s="4" t="s">
        <v>10661</v>
      </c>
      <c r="B8473" s="4" t="s">
        <v>10663</v>
      </c>
      <c r="C8473" s="5" t="str">
        <f>IFERROR(__xludf.DUMMYFUNCTION("GOOGLETRANSLATE(B8473,""en"",""fr"")"),"Il corde un veau, le traînant au sol.")</f>
        <v>Il corde un veau, le traînant au sol.</v>
      </c>
    </row>
    <row r="8474">
      <c r="A8474" s="4" t="s">
        <v>10661</v>
      </c>
      <c r="B8474" s="4" t="s">
        <v>10664</v>
      </c>
      <c r="C8474" s="5" t="str">
        <f>IFERROR(__xludf.DUMMYFUNCTION("GOOGLETRANSLATE(B8474,""en"",""fr"")"),"Il démonte, attachant le veau avec une corde avant de se remettre sur son cheval.")</f>
        <v>Il démonte, attachant le veau avec une corde avant de se remettre sur son cheval.</v>
      </c>
    </row>
    <row r="8475">
      <c r="A8475" s="4" t="s">
        <v>10665</v>
      </c>
      <c r="B8475" s="4" t="s">
        <v>10666</v>
      </c>
      <c r="C8475" s="5" t="str">
        <f>IFERROR(__xludf.DUMMYFUNCTION("GOOGLETRANSLATE(B8475,""en"",""fr"")"),"Une introduction mène à un petit enfant conduisant un vélo de terre sur un chemin de terre.")</f>
        <v>Une introduction mène à un petit enfant conduisant un vélo de terre sur un chemin de terre.</v>
      </c>
    </row>
    <row r="8476">
      <c r="A8476" s="4" t="s">
        <v>10665</v>
      </c>
      <c r="B8476" s="6" t="s">
        <v>10667</v>
      </c>
      <c r="C8476" s="5" t="str">
        <f>IFERROR(__xludf.DUMMYFUNCTION("GOOGLETRANSLATE(B8476,""en"",""fr"")"),"Plusieurs plans du garçon adultes sont représentés, suivis de plus de séquences du garçon conduisant un vélo de saleté.")</f>
        <v>Plusieurs plans du garçon adultes sont représentés, suivis de plus de séquences du garçon conduisant un vélo de saleté.</v>
      </c>
    </row>
    <row r="8477">
      <c r="A8477" s="4" t="s">
        <v>10668</v>
      </c>
      <c r="B8477" s="4" t="s">
        <v>10669</v>
      </c>
      <c r="C8477" s="5" t="str">
        <f>IFERROR(__xludf.DUMMYFUNCTION("GOOGLETRANSLATE(B8477,""en"",""fr"")"),"Nous voyons une foule de gens qui regardent un événement.")</f>
        <v>Nous voyons une foule de gens qui regardent un événement.</v>
      </c>
    </row>
    <row r="8478">
      <c r="A8478" s="4" t="s">
        <v>10668</v>
      </c>
      <c r="B8478" s="4" t="s">
        <v>10670</v>
      </c>
      <c r="C8478" s="5" t="str">
        <f>IFERROR(__xludf.DUMMYFUNCTION("GOOGLETRANSLATE(B8478,""en"",""fr"")"),"Les hommes vivent avec une poignée en métal.")</f>
        <v>Les hommes vivent avec une poignée en métal.</v>
      </c>
    </row>
    <row r="8479">
      <c r="A8479" s="4" t="s">
        <v>10668</v>
      </c>
      <c r="B8479" s="4" t="s">
        <v>10671</v>
      </c>
      <c r="C8479" s="5" t="str">
        <f>IFERROR(__xludf.DUMMYFUNCTION("GOOGLETRANSLATE(B8479,""en"",""fr"")"),"Ils tiennent la main en préparation du match et le juge touche leurs mains.")</f>
        <v>Ils tiennent la main en préparation du match et le juge touche leurs mains.</v>
      </c>
    </row>
    <row r="8480">
      <c r="A8480" s="4" t="s">
        <v>10668</v>
      </c>
      <c r="B8480" s="4" t="s">
        <v>10672</v>
      </c>
      <c r="C8480" s="5" t="str">
        <f>IFERROR(__xludf.DUMMYFUNCTION("GOOGLETRANSLATE(B8480,""en"",""fr"")"),"Les hommes commencent leur match de lutte des bras et le gars à droite gagne.")</f>
        <v>Les hommes commencent leur match de lutte des bras et le gars à droite gagne.</v>
      </c>
    </row>
    <row r="8481">
      <c r="A8481" s="4" t="s">
        <v>10668</v>
      </c>
      <c r="B8481" s="4" t="s">
        <v>10673</v>
      </c>
      <c r="C8481" s="5" t="str">
        <f>IFERROR(__xludf.DUMMYFUNCTION("GOOGLETRANSLATE(B8481,""en"",""fr"")"),"Les gars se serrent la main et se serrent étreigés.")</f>
        <v>Les gars se serrent la main et se serrent étreigés.</v>
      </c>
    </row>
    <row r="8482">
      <c r="A8482" s="4" t="s">
        <v>10668</v>
      </c>
      <c r="B8482" s="4" t="s">
        <v>10674</v>
      </c>
      <c r="C8482" s="5" t="str">
        <f>IFERROR(__xludf.DUMMYFUNCTION("GOOGLETRANSLATE(B8482,""en"",""fr"")"),"Nous voyons un coup de l'un des concurrents.")</f>
        <v>Nous voyons un coup de l'un des concurrents.</v>
      </c>
    </row>
    <row r="8483">
      <c r="A8483" s="4" t="s">
        <v>10675</v>
      </c>
      <c r="B8483" s="4" t="s">
        <v>10676</v>
      </c>
      <c r="C8483" s="5" t="str">
        <f>IFERROR(__xludf.DUMMYFUNCTION("GOOGLETRANSLATE(B8483,""en"",""fr"")"),"Deux hommes jouent au ballon de raquette dans un terrain d'intérieur.")</f>
        <v>Deux hommes jouent au ballon de raquette dans un terrain d'intérieur.</v>
      </c>
    </row>
    <row r="8484">
      <c r="A8484" s="4" t="s">
        <v>10675</v>
      </c>
      <c r="B8484" s="4" t="s">
        <v>10677</v>
      </c>
      <c r="C8484" s="5" t="str">
        <f>IFERROR(__xludf.DUMMYFUNCTION("GOOGLETRANSLATE(B8484,""en"",""fr"")"),"Les deux hommes, l'un en noir et l'autre dans une chemise rouge jouant une balle de raquette l'une contre l'autre.")</f>
        <v>Les deux hommes, l'un en noir et l'autre dans une chemise rouge jouant une balle de raquette l'une contre l'autre.</v>
      </c>
    </row>
    <row r="8485">
      <c r="A8485" s="4" t="s">
        <v>10675</v>
      </c>
      <c r="B8485" s="4" t="s">
        <v>10678</v>
      </c>
      <c r="C8485" s="5" t="str">
        <f>IFERROR(__xludf.DUMMYFUNCTION("GOOGLETRANSLATE(B8485,""en"",""fr"")"),"L'homme en noir commence le premier service et l'homme en chemise rouge renvoie son service.")</f>
        <v>L'homme en noir commence le premier service et l'homme en chemise rouge renvoie son service.</v>
      </c>
    </row>
    <row r="8486">
      <c r="A8486" s="4" t="s">
        <v>10675</v>
      </c>
      <c r="B8486" s="4" t="s">
        <v>10679</v>
      </c>
      <c r="C8486" s="5" t="str">
        <f>IFERROR(__xludf.DUMMYFUNCTION("GOOGLETRANSLATE(B8486,""en"",""fr"")"),"Ils continuent de jouer au ballon de raquette.")</f>
        <v>Ils continuent de jouer au ballon de raquette.</v>
      </c>
    </row>
    <row r="8487">
      <c r="A8487" s="4" t="s">
        <v>10675</v>
      </c>
      <c r="B8487" s="6" t="s">
        <v>10680</v>
      </c>
      <c r="C8487" s="5" t="str">
        <f>IFERROR(__xludf.DUMMYFUNCTION("GOOGLETRANSLATE(B8487,""en"",""fr"")"),"Ensuite, les mêmes joueurs jouent à une balle de raquette à une occasion différente portant du noir et l'autre portant une chemise jaune.")</f>
        <v>Ensuite, les mêmes joueurs jouent à une balle de raquette à une occasion différente portant du noir et l'autre portant une chemise jaune.</v>
      </c>
    </row>
    <row r="8488">
      <c r="A8488" s="4" t="s">
        <v>10675</v>
      </c>
      <c r="B8488" s="4" t="s">
        <v>10681</v>
      </c>
      <c r="C8488" s="5" t="str">
        <f>IFERROR(__xludf.DUMMYFUNCTION("GOOGLETRANSLATE(B8488,""en"",""fr"")"),"Ils continuent de servir et de frapper le ballon contre le mur.")</f>
        <v>Ils continuent de servir et de frapper le ballon contre le mur.</v>
      </c>
    </row>
    <row r="8489">
      <c r="A8489" s="4" t="s">
        <v>10675</v>
      </c>
      <c r="B8489" s="4" t="s">
        <v>10682</v>
      </c>
      <c r="C8489" s="5" t="str">
        <f>IFERROR(__xludf.DUMMYFUNCTION("GOOGLETRANSLATE(B8489,""en"",""fr"")"),"Ils jouent plusieurs tours sur le jeu.")</f>
        <v>Ils jouent plusieurs tours sur le jeu.</v>
      </c>
    </row>
    <row r="8490">
      <c r="A8490" s="4" t="s">
        <v>10675</v>
      </c>
      <c r="B8490" s="4" t="s">
        <v>10683</v>
      </c>
      <c r="C8490" s="5" t="str">
        <f>IFERROR(__xludf.DUMMYFUNCTION("GOOGLETRANSLATE(B8490,""en"",""fr"")"),"Ils sont de retour dans les chemises rouges et noires jouant au ballon de raquette.")</f>
        <v>Ils sont de retour dans les chemises rouges et noires jouant au ballon de raquette.</v>
      </c>
    </row>
    <row r="8491">
      <c r="A8491" s="4" t="s">
        <v>10675</v>
      </c>
      <c r="B8491" s="4" t="s">
        <v>10684</v>
      </c>
      <c r="C8491" s="5" t="str">
        <f>IFERROR(__xludf.DUMMYFUNCTION("GOOGLETRANSLATE(B8491,""en"",""fr"")"),"Ils courent pour frapper et le ballon servi par l'adversaire alors qu'ils continuent de jouer.")</f>
        <v>Ils courent pour frapper et le ballon servi par l'adversaire alors qu'ils continuent de jouer.</v>
      </c>
    </row>
    <row r="8492">
      <c r="A8492" s="4" t="s">
        <v>10685</v>
      </c>
      <c r="B8492" s="4" t="s">
        <v>10686</v>
      </c>
      <c r="C8492" s="5" t="str">
        <f>IFERROR(__xludf.DUMMYFUNCTION("GOOGLETRANSLATE(B8492,""en"",""fr"")"),"Une fille donne des conseils sur la façon de vous brosser les cheveux avec une brosse ronde.")</f>
        <v>Une fille donne des conseils sur la façon de vous brosser les cheveux avec une brosse ronde.</v>
      </c>
    </row>
    <row r="8493">
      <c r="A8493" s="4" t="s">
        <v>10685</v>
      </c>
      <c r="B8493" s="4" t="s">
        <v>10687</v>
      </c>
      <c r="C8493" s="5" t="str">
        <f>IFERROR(__xludf.DUMMYFUNCTION("GOOGLETRANSLATE(B8493,""en"",""fr"")"),"Elle caresse les cheveux devant elle, couvrant son visage.")</f>
        <v>Elle caresse les cheveux devant elle, couvrant son visage.</v>
      </c>
    </row>
    <row r="8494">
      <c r="A8494" s="4" t="s">
        <v>10685</v>
      </c>
      <c r="B8494" s="4" t="s">
        <v>10688</v>
      </c>
      <c r="C8494" s="5" t="str">
        <f>IFERROR(__xludf.DUMMYFUNCTION("GOOGLETRANSLATE(B8494,""en"",""fr"")"),"Elle retourne les cheveux puis termine ce qu'elle doit faire.")</f>
        <v>Elle retourne les cheveux puis termine ce qu'elle doit faire.</v>
      </c>
    </row>
    <row r="8495">
      <c r="A8495" s="4" t="s">
        <v>10689</v>
      </c>
      <c r="B8495" s="4" t="s">
        <v>10690</v>
      </c>
      <c r="C8495" s="5" t="str">
        <f>IFERROR(__xludf.DUMMYFUNCTION("GOOGLETRANSLATE(B8495,""en"",""fr"")"),"Nous voyons un homme donner une rose à une dame.")</f>
        <v>Nous voyons un homme donner une rose à une dame.</v>
      </c>
    </row>
    <row r="8496">
      <c r="A8496" s="4" t="s">
        <v>10689</v>
      </c>
      <c r="B8496" s="4" t="s">
        <v>10691</v>
      </c>
      <c r="C8496" s="5" t="str">
        <f>IFERROR(__xludf.DUMMYFUNCTION("GOOGLETRANSLATE(B8496,""en"",""fr"")"),"L'homme et la femme interprètent ensuite une danse devant une foule.")</f>
        <v>L'homme et la femme interprètent ensuite une danse devant une foule.</v>
      </c>
    </row>
    <row r="8497">
      <c r="A8497" s="4" t="s">
        <v>10689</v>
      </c>
      <c r="B8497" s="4" t="s">
        <v>10692</v>
      </c>
      <c r="C8497" s="5" t="str">
        <f>IFERROR(__xludf.DUMMYFUNCTION("GOOGLETRANSLATE(B8497,""en"",""fr"")"),"35 L'homme tourne la dame qui fait que sa robe fond et regarde sa poitrine.")</f>
        <v>35 L'homme tourne la dame qui fait que sa robe fond et regarde sa poitrine.</v>
      </c>
    </row>
    <row r="8498">
      <c r="A8498" s="4" t="s">
        <v>10689</v>
      </c>
      <c r="B8498" s="4" t="s">
        <v>10693</v>
      </c>
      <c r="C8498" s="5" t="str">
        <f>IFERROR(__xludf.DUMMYFUNCTION("GOOGLETRANSLATE(B8498,""en"",""fr"")"),"La danse se répète encore et encore plusieurs fois.")</f>
        <v>La danse se répète encore et encore plusieurs fois.</v>
      </c>
    </row>
    <row r="8499">
      <c r="A8499" s="4" t="s">
        <v>10689</v>
      </c>
      <c r="B8499" s="6" t="s">
        <v>10694</v>
      </c>
      <c r="C8499" s="5" t="str">
        <f>IFERROR(__xludf.DUMMYFUNCTION("GOOGLETRANSLATE(B8499,""en"",""fr"")"),"L'homme plie la femme en avant en regardant sa poitrine deux fois et met presque sa main sur son cou.")</f>
        <v>L'homme plie la femme en avant en regardant sa poitrine deux fois et met presque sa main sur son cou.</v>
      </c>
    </row>
    <row r="8500">
      <c r="A8500" s="4" t="s">
        <v>10695</v>
      </c>
      <c r="B8500" s="4" t="s">
        <v>10696</v>
      </c>
      <c r="C8500" s="5" t="str">
        <f>IFERROR(__xludf.DUMMYFUNCTION("GOOGLETRANSLATE(B8500,""en"",""fr"")"),"Un homme noir caresse sa barbe et son visage d'une manière aimante.")</f>
        <v>Un homme noir caresse sa barbe et son visage d'une manière aimante.</v>
      </c>
    </row>
    <row r="8501">
      <c r="A8501" s="4" t="s">
        <v>10695</v>
      </c>
      <c r="B8501" s="4" t="s">
        <v>10697</v>
      </c>
      <c r="C8501" s="5" t="str">
        <f>IFERROR(__xludf.DUMMYFUNCTION("GOOGLETRANSLATE(B8501,""en"",""fr"")"),"L'homme noir utilise une coupe-tondeuse pour couper sa barbe et son visage.")</f>
        <v>L'homme noir utilise une coupe-tondeuse pour couper sa barbe et son visage.</v>
      </c>
    </row>
    <row r="8502">
      <c r="A8502" s="4" t="s">
        <v>10695</v>
      </c>
      <c r="B8502" s="4" t="s">
        <v>10698</v>
      </c>
      <c r="C8502" s="5" t="str">
        <f>IFERROR(__xludf.DUMMYFUNCTION("GOOGLETRANSLATE(B8502,""en"",""fr"")"),"L'homme noir attache un attachement orange aux tondeuses et continue de couper sa barbe.")</f>
        <v>L'homme noir attache un attachement orange aux tondeuses et continue de couper sa barbe.</v>
      </c>
    </row>
    <row r="8503">
      <c r="A8503" s="4" t="s">
        <v>10695</v>
      </c>
      <c r="B8503" s="6" t="s">
        <v>10699</v>
      </c>
      <c r="C8503" s="5" t="str">
        <f>IFERROR(__xludf.DUMMYFUNCTION("GOOGLETRANSLATE(B8503,""en"",""fr"")"),"L'homme noir se lave le visage et la barbe et affiche un éventail d'accessoires et les applique sur son visage et sa barbe.")</f>
        <v>L'homme noir se lave le visage et la barbe et affiche un éventail d'accessoires et les applique sur son visage et sa barbe.</v>
      </c>
    </row>
    <row r="8504">
      <c r="A8504" s="4" t="s">
        <v>10700</v>
      </c>
      <c r="B8504" s="6" t="s">
        <v>10701</v>
      </c>
      <c r="C8504" s="5" t="str">
        <f>IFERROR(__xludf.DUMMYFUNCTION("GOOGLETRANSLATE(B8504,""en"",""fr"")"),"Un grand groupe de personnes est vu se promener dans un festival avec des photos de personnes qui parlent sont montrées et jouent au crochet.")</f>
        <v>Un grand groupe de personnes est vu se promener dans un festival avec des photos de personnes qui parlent sont montrées et jouent au crochet.</v>
      </c>
    </row>
    <row r="8505">
      <c r="A8505" s="4" t="s">
        <v>10700</v>
      </c>
      <c r="B8505" s="4" t="s">
        <v>10702</v>
      </c>
      <c r="C8505" s="5" t="str">
        <f>IFERROR(__xludf.DUMMYFUNCTION("GOOGLETRANSLATE(B8505,""en"",""fr"")"),"Plus de gens sont vus jouer au jeu comme plusieurs autres sur la touche et la critique.")</f>
        <v>Plus de gens sont vus jouer au jeu comme plusieurs autres sur la touche et la critique.</v>
      </c>
    </row>
    <row r="8506">
      <c r="A8506" s="4" t="s">
        <v>10703</v>
      </c>
      <c r="B8506" s="4" t="s">
        <v>10704</v>
      </c>
      <c r="C8506" s="5" t="str">
        <f>IFERROR(__xludf.DUMMYFUNCTION("GOOGLETRANSLATE(B8506,""en"",""fr"")"),"Une personne portant une chemise bleue est assise sur le sol du sol.")</f>
        <v>Une personne portant une chemise bleue est assise sur le sol du sol.</v>
      </c>
    </row>
    <row r="8507">
      <c r="A8507" s="4" t="s">
        <v>10703</v>
      </c>
      <c r="B8507" s="4" t="s">
        <v>10705</v>
      </c>
      <c r="C8507" s="5" t="str">
        <f>IFERROR(__xludf.DUMMYFUNCTION("GOOGLETRANSLATE(B8507,""en"",""fr"")"),"Il porte un équipement de protection pour couvrir son visage et ses yeux.")</f>
        <v>Il porte un équipement de protection pour couvrir son visage et ses yeux.</v>
      </c>
    </row>
    <row r="8508">
      <c r="A8508" s="4" t="s">
        <v>10703</v>
      </c>
      <c r="B8508" s="4" t="s">
        <v>10706</v>
      </c>
      <c r="C8508" s="5" t="str">
        <f>IFERROR(__xludf.DUMMYFUNCTION("GOOGLETRANSLATE(B8508,""en"",""fr"")"),"Il a également des gants protecteurs sur qui sont de couleur marron.")</f>
        <v>Il a également des gants protecteurs sur qui sont de couleur marron.</v>
      </c>
    </row>
    <row r="8509">
      <c r="A8509" s="4" t="s">
        <v>10703</v>
      </c>
      <c r="B8509" s="4" t="s">
        <v>10707</v>
      </c>
      <c r="C8509" s="5" t="str">
        <f>IFERROR(__xludf.DUMMYFUNCTION("GOOGLETRANSLATE(B8509,""en"",""fr"")"),"Il continue de souder une longue tige métallique avec un outil de soudage dirigé vers la tige.")</f>
        <v>Il continue de souder une longue tige métallique avec un outil de soudage dirigé vers la tige.</v>
      </c>
    </row>
    <row r="8510">
      <c r="A8510" s="4" t="s">
        <v>10708</v>
      </c>
      <c r="B8510" s="4" t="s">
        <v>10709</v>
      </c>
      <c r="C8510" s="5" t="str">
        <f>IFERROR(__xludf.DUMMYFUNCTION("GOOGLETRANSLATE(B8510,""en"",""fr"")"),"Un grand morceau de machinerie est vu assis dans une pièce.")</f>
        <v>Un grand morceau de machinerie est vu assis dans une pièce.</v>
      </c>
    </row>
    <row r="8511">
      <c r="A8511" s="4" t="s">
        <v>10708</v>
      </c>
      <c r="B8511" s="4" t="s">
        <v>10710</v>
      </c>
      <c r="C8511" s="5" t="str">
        <f>IFERROR(__xludf.DUMMYFUNCTION("GOOGLETRANSLATE(B8511,""en"",""fr"")"),"Un bras de robot se déplace ensuite dans le cadre en essayant de pousser les choses.")</f>
        <v>Un bras de robot se déplace ensuite dans le cadre en essayant de pousser les choses.</v>
      </c>
    </row>
    <row r="8512">
      <c r="A8512" s="4" t="s">
        <v>10708</v>
      </c>
      <c r="B8512" s="4" t="s">
        <v>10711</v>
      </c>
      <c r="C8512" s="5" t="str">
        <f>IFERROR(__xludf.DUMMYFUNCTION("GOOGLETRANSLATE(B8512,""en"",""fr"")"),"Le robot échoue et tire son bras.")</f>
        <v>Le robot échoue et tire son bras.</v>
      </c>
    </row>
    <row r="8513">
      <c r="A8513" s="4" t="s">
        <v>10712</v>
      </c>
      <c r="B8513" s="4" t="s">
        <v>1664</v>
      </c>
      <c r="C8513" s="5" t="str">
        <f>IFERROR(__xludf.DUMMYFUNCTION("GOOGLETRANSLATE(B8513,""en"",""fr"")"),"Un homme et une femme parlent à la caméra dans un paramètre de télévision.")</f>
        <v>Un homme et une femme parlent à la caméra dans un paramètre de télévision.</v>
      </c>
    </row>
    <row r="8514">
      <c r="A8514" s="4" t="s">
        <v>10712</v>
      </c>
      <c r="B8514" s="4" t="s">
        <v>10713</v>
      </c>
      <c r="C8514" s="5" t="str">
        <f>IFERROR(__xludf.DUMMYFUNCTION("GOOGLETRANSLATE(B8514,""en"",""fr"")"),"La scène passe à diverses personnes qui s'entraînent en gymnastique.")</f>
        <v>La scène passe à diverses personnes qui s'entraînent en gymnastique.</v>
      </c>
    </row>
    <row r="8515">
      <c r="A8515" s="4" t="s">
        <v>10712</v>
      </c>
      <c r="B8515" s="4" t="s">
        <v>10714</v>
      </c>
      <c r="C8515" s="5" t="str">
        <f>IFERROR(__xludf.DUMMYFUNCTION("GOOGLETRANSLATE(B8515,""en"",""fr"")"),"Deux femmes sont interviewées sur la caméra séquentiellement.")</f>
        <v>Deux femmes sont interviewées sur la caméra séquentiellement.</v>
      </c>
    </row>
    <row r="8516">
      <c r="A8516" s="4" t="s">
        <v>10712</v>
      </c>
      <c r="B8516" s="4" t="s">
        <v>10715</v>
      </c>
      <c r="C8516" s="5" t="str">
        <f>IFERROR(__xludf.DUMMYFUNCTION("GOOGLETRANSLATE(B8516,""en"",""fr"")"),"La scène passe à plus de segments de pratique de gymnastique.")</f>
        <v>La scène passe à plus de segments de pratique de gymnastique.</v>
      </c>
    </row>
    <row r="8517">
      <c r="A8517" s="4" t="s">
        <v>10716</v>
      </c>
      <c r="B8517" s="4" t="s">
        <v>10717</v>
      </c>
      <c r="C8517" s="5" t="str">
        <f>IFERROR(__xludf.DUMMYFUNCTION("GOOGLETRANSLATE(B8517,""en"",""fr"")"),"Une paire de guidon est détachée du vélo et est allongée à plat sur une table.")</f>
        <v>Une paire de guidon est détachée du vélo et est allongée à plat sur une table.</v>
      </c>
    </row>
    <row r="8518">
      <c r="A8518" s="4" t="s">
        <v>10716</v>
      </c>
      <c r="B8518" s="6" t="s">
        <v>10718</v>
      </c>
      <c r="C8518" s="5" t="str">
        <f>IFERROR(__xludf.DUMMYFUNCTION("GOOGLETRANSLATE(B8518,""en"",""fr"")"),"L'homme ramasse ensuite le guidon et les colle dans le vélo les resserrant avec une clé.")</f>
        <v>L'homme ramasse ensuite le guidon et les colle dans le vélo les resserrant avec une clé.</v>
      </c>
    </row>
    <row r="8519">
      <c r="A8519" s="4" t="s">
        <v>10719</v>
      </c>
      <c r="B8519" s="6" t="s">
        <v>10720</v>
      </c>
      <c r="C8519" s="5" t="str">
        <f>IFERROR(__xludf.DUMMYFUNCTION("GOOGLETRANSLATE(B8519,""en"",""fr"")"),"Une personne est vue en train de traiter des cartes ainsi que plusieurs plans d'une table de casino et des jetons de poker.")</f>
        <v>Une personne est vue en train de traiter des cartes ainsi que plusieurs plans d'une table de casino et des jetons de poker.</v>
      </c>
    </row>
    <row r="8520">
      <c r="A8520" s="4" t="s">
        <v>10719</v>
      </c>
      <c r="B8520" s="6" t="s">
        <v>10721</v>
      </c>
      <c r="C8520" s="5" t="str">
        <f>IFERROR(__xludf.DUMMYFUNCTION("GOOGLETRANSLATE(B8520,""en"",""fr"")"),"Un groupe joue, une personne est vue fumer une cigarette, ainsi que les gens qui barmandirent et se parlent.")</f>
        <v>Un groupe joue, une personne est vue fumer une cigarette, ainsi que les gens qui barmandirent et se parlent.</v>
      </c>
    </row>
    <row r="8521">
      <c r="A8521" s="4" t="s">
        <v>10719</v>
      </c>
      <c r="B8521" s="4" t="s">
        <v>10722</v>
      </c>
      <c r="C8521" s="5" t="str">
        <f>IFERROR(__xludf.DUMMYFUNCTION("GOOGLETRANSLATE(B8521,""en"",""fr"")"),"En fin de compte, plus de gens sont vus profiter du casino et se déplacer.")</f>
        <v>En fin de compte, plus de gens sont vus profiter du casino et se déplacer.</v>
      </c>
    </row>
    <row r="8522">
      <c r="A8522" s="4" t="s">
        <v>10723</v>
      </c>
      <c r="B8522" s="6" t="s">
        <v>10724</v>
      </c>
      <c r="C8522" s="5" t="str">
        <f>IFERROR(__xludf.DUMMYFUNCTION("GOOGLETRANSLATE(B8522,""en"",""fr"")"),"Un homme aux yeux bandés portant des gants de boxe est vu frapper un sac de punch tandis que beaucoup le regardent sur les côtés.")</f>
        <v>Un homme aux yeux bandés portant des gants de boxe est vu frapper un sac de punch tandis que beaucoup le regardent sur les côtés.</v>
      </c>
    </row>
    <row r="8523">
      <c r="A8523" s="4" t="s">
        <v>10723</v>
      </c>
      <c r="B8523" s="4" t="s">
        <v>10725</v>
      </c>
      <c r="C8523" s="5" t="str">
        <f>IFERROR(__xludf.DUMMYFUNCTION("GOOGLETRANSLATE(B8523,""en"",""fr"")"),"Il continue de frapper lorsqu'une personne sur le toit tire le sac plus haut.")</f>
        <v>Il continue de frapper lorsqu'une personne sur le toit tire le sac plus haut.</v>
      </c>
    </row>
    <row r="8524">
      <c r="A8524" s="4" t="s">
        <v>10726</v>
      </c>
      <c r="B8524" s="4" t="s">
        <v>10727</v>
      </c>
      <c r="C8524" s="5" t="str">
        <f>IFERROR(__xludf.DUMMYFUNCTION("GOOGLETRANSLATE(B8524,""en"",""fr"")"),"Un camion est vu garé devant une maison avec plusieurs coups de maison illustrés.")</f>
        <v>Un camion est vu garé devant une maison avec plusieurs coups de maison illustrés.</v>
      </c>
    </row>
    <row r="8525">
      <c r="A8525" s="4" t="s">
        <v>10726</v>
      </c>
      <c r="B8525" s="6" t="s">
        <v>10728</v>
      </c>
      <c r="C8525" s="5" t="str">
        <f>IFERROR(__xludf.DUMMYFUNCTION("GOOGLETRANSLATE(B8525,""en"",""fr"")"),"Un homme est ensuite vu debout sur le toit arrosant le haut et de nouveau devant l'arrosage de la maison.")</f>
        <v>Un homme est ensuite vu debout sur le toit arrosant le haut et de nouveau devant l'arrosage de la maison.</v>
      </c>
    </row>
    <row r="8526">
      <c r="A8526" s="4" t="s">
        <v>10726</v>
      </c>
      <c r="B8526" s="4" t="s">
        <v>10729</v>
      </c>
      <c r="C8526" s="5" t="str">
        <f>IFERROR(__xludf.DUMMYFUNCTION("GOOGLETRANSLATE(B8526,""en"",""fr"")"),"La caméra montre à nouveau le camion à l'avant et le produit final du toit.")</f>
        <v>La caméra montre à nouveau le camion à l'avant et le produit final du toit.</v>
      </c>
    </row>
    <row r="8527">
      <c r="A8527" s="4" t="s">
        <v>10730</v>
      </c>
      <c r="B8527" s="4" t="s">
        <v>10731</v>
      </c>
      <c r="C8527" s="5" t="str">
        <f>IFERROR(__xludf.DUMMYFUNCTION("GOOGLETRANSLATE(B8527,""en"",""fr"")"),"Une femme dans une robe violette est assise, parlant à la caméra.")</f>
        <v>Une femme dans une robe violette est assise, parlant à la caméra.</v>
      </c>
    </row>
    <row r="8528">
      <c r="A8528" s="4" t="s">
        <v>10730</v>
      </c>
      <c r="B8528" s="6" t="s">
        <v>10732</v>
      </c>
      <c r="C8528" s="5" t="str">
        <f>IFERROR(__xludf.DUMMYFUNCTION("GOOGLETRANSLATE(B8528,""en"",""fr"")"),"On lui montre la crème massant sur son visage, puis la rince avec de l'eau et se tapoter avec une serviette.")</f>
        <v>On lui montre la crème massant sur son visage, puis la rince avec de l'eau et se tapoter avec une serviette.</v>
      </c>
    </row>
    <row r="8529">
      <c r="A8529" s="4" t="s">
        <v>10730</v>
      </c>
      <c r="B8529" s="4" t="s">
        <v>10733</v>
      </c>
      <c r="C8529" s="5" t="str">
        <f>IFERROR(__xludf.DUMMYFUNCTION("GOOGLETRANSLATE(B8529,""en"",""fr"")"),"Elle parle ensuite à nouveau à la caméra.")</f>
        <v>Elle parle ensuite à nouveau à la caméra.</v>
      </c>
    </row>
    <row r="8530">
      <c r="A8530" s="4" t="s">
        <v>10734</v>
      </c>
      <c r="B8530" s="4" t="s">
        <v>10735</v>
      </c>
      <c r="C8530" s="5" t="str">
        <f>IFERROR(__xludf.DUMMYFUNCTION("GOOGLETRANSLATE(B8530,""en"",""fr"")"),"Trois filles sont assises sur la plage, faisant un monticule avec du sable et de l'eau.")</f>
        <v>Trois filles sont assises sur la plage, faisant un monticule avec du sable et de l'eau.</v>
      </c>
    </row>
    <row r="8531">
      <c r="A8531" s="4" t="s">
        <v>10734</v>
      </c>
      <c r="B8531" s="4" t="s">
        <v>10736</v>
      </c>
      <c r="C8531" s="5" t="str">
        <f>IFERROR(__xludf.DUMMYFUNCTION("GOOGLETRANSLATE(B8531,""en"",""fr"")"),"Ils utilisent un bol pour former un moule.")</f>
        <v>Ils utilisent un bol pour former un moule.</v>
      </c>
    </row>
    <row r="8532">
      <c r="A8532" s="4" t="s">
        <v>10737</v>
      </c>
      <c r="B8532" s="4" t="s">
        <v>10738</v>
      </c>
      <c r="C8532" s="5" t="str">
        <f>IFERROR(__xludf.DUMMYFUNCTION("GOOGLETRANSLATE(B8532,""en"",""fr"")"),"Un petit garçon est dans la maison en jouant dans sa chemise et sa couche.")</f>
        <v>Un petit garçon est dans la maison en jouant dans sa chemise et sa couche.</v>
      </c>
    </row>
    <row r="8533">
      <c r="A8533" s="4" t="s">
        <v>10737</v>
      </c>
      <c r="B8533" s="4" t="s">
        <v>10739</v>
      </c>
      <c r="C8533" s="5" t="str">
        <f>IFERROR(__xludf.DUMMYFUNCTION("GOOGLETRANSLATE(B8533,""en"",""fr"")"),"Il a un petit bâton de hockey et il l'utilise pour se balancer sur un retour en arrière.")</f>
        <v>Il a un petit bâton de hockey et il l'utilise pour se balancer sur un retour en arrière.</v>
      </c>
    </row>
    <row r="8534">
      <c r="A8534" s="4" t="s">
        <v>10737</v>
      </c>
      <c r="B8534" s="4" t="s">
        <v>10740</v>
      </c>
      <c r="C8534" s="5" t="str">
        <f>IFERROR(__xludf.DUMMYFUNCTION("GOOGLETRANSLATE(B8534,""en"",""fr"")"),"Le ballon continue de venir vers lui et il continue de se balancer en essayant de le frapper.")</f>
        <v>Le ballon continue de venir vers lui et il continue de se balancer en essayant de le frapper.</v>
      </c>
    </row>
    <row r="8535">
      <c r="A8535" s="4" t="s">
        <v>10737</v>
      </c>
      <c r="B8535" s="4" t="s">
        <v>10741</v>
      </c>
      <c r="C8535" s="5" t="str">
        <f>IFERROR(__xludf.DUMMYFUNCTION("GOOGLETRANSLATE(B8535,""en"",""fr"")"),"Il s'amuse beaucoup et reste diverti de jouer à l'intérieur seul.")</f>
        <v>Il s'amuse beaucoup et reste diverti de jouer à l'intérieur seul.</v>
      </c>
    </row>
    <row r="8536">
      <c r="A8536" s="4" t="s">
        <v>10742</v>
      </c>
      <c r="B8536" s="4" t="s">
        <v>10743</v>
      </c>
      <c r="C8536" s="5" t="str">
        <f>IFERROR(__xludf.DUMMYFUNCTION("GOOGLETRANSLATE(B8536,""en"",""fr"")"),"L'homme sort de sa maison et ouvre la portière de sa voiture par une journée enneigée.")</f>
        <v>L'homme sort de sa maison et ouvre la portière de sa voiture par une journée enneigée.</v>
      </c>
    </row>
    <row r="8537">
      <c r="A8537" s="4" t="s">
        <v>10742</v>
      </c>
      <c r="B8537" s="4" t="s">
        <v>10744</v>
      </c>
      <c r="C8537" s="5" t="str">
        <f>IFERROR(__xludf.DUMMYFUNCTION("GOOGLETRANSLATE(B8537,""en"",""fr"")"),"L'homme soulève les essuie-glaces de sa voiture.")</f>
        <v>L'homme soulève les essuie-glaces de sa voiture.</v>
      </c>
    </row>
    <row r="8538">
      <c r="A8538" s="4" t="s">
        <v>10742</v>
      </c>
      <c r="B8538" s="4" t="s">
        <v>10745</v>
      </c>
      <c r="C8538" s="5" t="str">
        <f>IFERROR(__xludf.DUMMYFUNCTION("GOOGLETRANSLATE(B8538,""en"",""fr"")"),"L'homme utilise un balai de maison pour balayer la neige de sa voiture.")</f>
        <v>L'homme utilise un balai de maison pour balayer la neige de sa voiture.</v>
      </c>
    </row>
    <row r="8539">
      <c r="A8539" s="4" t="s">
        <v>10742</v>
      </c>
      <c r="B8539" s="4" t="s">
        <v>10746</v>
      </c>
      <c r="C8539" s="5" t="str">
        <f>IFERROR(__xludf.DUMMYFUNCTION("GOOGLETRANSLATE(B8539,""en"",""fr"")"),"Le chien joue avec les propriétaires.")</f>
        <v>Le chien joue avec les propriétaires.</v>
      </c>
    </row>
    <row r="8540">
      <c r="A8540" s="4" t="s">
        <v>10742</v>
      </c>
      <c r="B8540" s="4" t="s">
        <v>10747</v>
      </c>
      <c r="C8540" s="5" t="str">
        <f>IFERROR(__xludf.DUMMYFUNCTION("GOOGLETRANSLATE(B8540,""en"",""fr"")"),"L'homme monte dans sa voiture et le soutient vers la maison dans une place de parking.")</f>
        <v>L'homme monte dans sa voiture et le soutient vers la maison dans une place de parking.</v>
      </c>
    </row>
    <row r="8541">
      <c r="A8541" s="4" t="s">
        <v>10748</v>
      </c>
      <c r="B8541" s="4" t="s">
        <v>10749</v>
      </c>
      <c r="C8541" s="5" t="str">
        <f>IFERROR(__xludf.DUMMYFUNCTION("GOOGLETRANSLATE(B8541,""en"",""fr"")"),"Une femme se tient dans une cuisine de l'île devant un mélangeur et divers ingrédients.")</f>
        <v>Une femme se tient dans une cuisine de l'île devant un mélangeur et divers ingrédients.</v>
      </c>
    </row>
    <row r="8542">
      <c r="A8542" s="4" t="s">
        <v>10748</v>
      </c>
      <c r="B8542" s="4" t="s">
        <v>10750</v>
      </c>
      <c r="C8542" s="5" t="str">
        <f>IFERROR(__xludf.DUMMYFUNCTION("GOOGLETRANSLATE(B8542,""en"",""fr"")"),"Elle place des pommes et du sucre dans le mélangeur avec de la glace et les mélange.")</f>
        <v>Elle place des pommes et du sucre dans le mélangeur avec de la glace et les mélange.</v>
      </c>
    </row>
    <row r="8543">
      <c r="A8543" s="4" t="s">
        <v>10748</v>
      </c>
      <c r="B8543" s="4" t="s">
        <v>10751</v>
      </c>
      <c r="C8543" s="5" t="str">
        <f>IFERROR(__xludf.DUMMYFUNCTION("GOOGLETRANSLATE(B8543,""en"",""fr"")"),"Elle verse ensuite le mélange en deux verres pendant qu'elle continue de parler.")</f>
        <v>Elle verse ensuite le mélange en deux verres pendant qu'elle continue de parler.</v>
      </c>
    </row>
    <row r="8544">
      <c r="A8544" s="4" t="s">
        <v>10752</v>
      </c>
      <c r="B8544" s="6" t="s">
        <v>10753</v>
      </c>
      <c r="C8544" s="5" t="str">
        <f>IFERROR(__xludf.DUMMYFUNCTION("GOOGLETRANSLATE(B8544,""en"",""fr"")"),"Un homme a un outil qu'il utilise pour couper les griffes de chat, il gâche un peu avec ça et puis il se lève pour trouver son chat.")</f>
        <v>Un homme a un outil qu'il utilise pour couper les griffes de chat, il gâche un peu avec ça et puis il se lève pour trouver son chat.</v>
      </c>
    </row>
    <row r="8545">
      <c r="A8545" s="4" t="s">
        <v>10752</v>
      </c>
      <c r="B8545" s="4" t="s">
        <v>10754</v>
      </c>
      <c r="C8545" s="5" t="str">
        <f>IFERROR(__xludf.DUMMYFUNCTION("GOOGLETRANSLATE(B8545,""en"",""fr"")"),"Il caresse un peu le chat pour ne pas le rendre si suspect et effrayé.")</f>
        <v>Il caresse un peu le chat pour ne pas le rendre si suspect et effrayé.</v>
      </c>
    </row>
    <row r="8546">
      <c r="A8546" s="4" t="s">
        <v>10752</v>
      </c>
      <c r="B8546" s="6" t="s">
        <v>10755</v>
      </c>
      <c r="C8546" s="5" t="str">
        <f>IFERROR(__xludf.DUMMYFUNCTION("GOOGLETRANSLATE(B8546,""en"",""fr"")"),"Il obtient le minou en bonne position et commence à se sentir pour ses griffes et un par un commence à les couper.")</f>
        <v>Il obtient le minou en bonne position et commence à se sentir pour ses griffes et un par un commence à les couper.</v>
      </c>
    </row>
    <row r="8547">
      <c r="A8547" s="4" t="s">
        <v>10752</v>
      </c>
      <c r="B8547" s="6" t="s">
        <v>10756</v>
      </c>
      <c r="C8547" s="5" t="str">
        <f>IFERROR(__xludf.DUMMYFUNCTION("GOOGLETRANSLATE(B8547,""en"",""fr"")"),"Puis il la déplace les autres bras et la caresse encore plus, montrant la différence entre ses ongles griffés et dégrasés.")</f>
        <v>Puis il la déplace les autres bras et la caresse encore plus, montrant la différence entre ses ongles griffés et dégrasés.</v>
      </c>
    </row>
    <row r="8548">
      <c r="A8548" s="4" t="s">
        <v>10757</v>
      </c>
      <c r="B8548" s="6" t="s">
        <v>10758</v>
      </c>
      <c r="C8548" s="5" t="str">
        <f>IFERROR(__xludf.DUMMYFUNCTION("GOOGLETRANSLATE(B8548,""en"",""fr"")"),"Il y a des gens debout sur un plan d'eau gelé et regardent dans un petit trou qui contient un fil de pêche et ils le regardent alors qu'il bobs de haut en bas.")</f>
        <v>Il y a des gens debout sur un plan d'eau gelé et regardent dans un petit trou qui contient un fil de pêche et ils le regardent alors qu'il bobs de haut en bas.</v>
      </c>
    </row>
    <row r="8549">
      <c r="A8549" s="4" t="s">
        <v>10757</v>
      </c>
      <c r="B8549" s="6" t="s">
        <v>10759</v>
      </c>
      <c r="C8549" s="5" t="str">
        <f>IFERROR(__xludf.DUMMYFUNCTION("GOOGLETRANSLATE(B8549,""en"",""fr"")"),"L'homme debout tire le poteau et filme plus haut et l'homme à genoux sur la glace retire le poisson de l'eau glacée et le met sur la glace.")</f>
        <v>L'homme debout tire le poteau et filme plus haut et l'homme à genoux sur la glace retire le poisson de l'eau glacée et le met sur la glace.</v>
      </c>
    </row>
    <row r="8550">
      <c r="A8550" s="4" t="s">
        <v>10757</v>
      </c>
      <c r="B8550" s="6" t="s">
        <v>10760</v>
      </c>
      <c r="C8550" s="5" t="str">
        <f>IFERROR(__xludf.DUMMYFUNCTION("GOOGLETRANSLATE(B8550,""en"",""fr"")"),"Un autre homme prend une photo du poisson, l'homme à genoux le décroche et l'homme debout le ramasse, le tient par ses branchies et pose avec.")</f>
        <v>Un autre homme prend une photo du poisson, l'homme à genoux le décroche et l'homme debout le ramasse, le tient par ses branchies et pose avec.</v>
      </c>
    </row>
    <row r="8551">
      <c r="A8551" s="4" t="s">
        <v>10761</v>
      </c>
      <c r="B8551" s="4" t="s">
        <v>10762</v>
      </c>
      <c r="C8551" s="5" t="str">
        <f>IFERROR(__xludf.DUMMYFUNCTION("GOOGLETRANSLATE(B8551,""en"",""fr"")"),"Les gens dansent sur la plage.")</f>
        <v>Les gens dansent sur la plage.</v>
      </c>
    </row>
    <row r="8552">
      <c r="A8552" s="4" t="s">
        <v>10761</v>
      </c>
      <c r="B8552" s="4" t="s">
        <v>10763</v>
      </c>
      <c r="C8552" s="5" t="str">
        <f>IFERROR(__xludf.DUMMYFUNCTION("GOOGLETRANSLATE(B8552,""en"",""fr"")"),"Une femme est allongée sur une serviette rouge.")</f>
        <v>Une femme est allongée sur une serviette rouge.</v>
      </c>
    </row>
    <row r="8553">
      <c r="A8553" s="4" t="s">
        <v>10761</v>
      </c>
      <c r="B8553" s="4" t="s">
        <v>10764</v>
      </c>
      <c r="C8553" s="5" t="str">
        <f>IFERROR(__xludf.DUMMYFUNCTION("GOOGLETRANSLATE(B8553,""en"",""fr"")"),"Un homme est allongé sur une serviette verte.")</f>
        <v>Un homme est allongé sur une serviette verte.</v>
      </c>
    </row>
    <row r="8554">
      <c r="A8554" s="4" t="s">
        <v>10761</v>
      </c>
      <c r="B8554" s="4" t="s">
        <v>10765</v>
      </c>
      <c r="C8554" s="5" t="str">
        <f>IFERROR(__xludf.DUMMYFUNCTION("GOOGLETRANSLATE(B8554,""en"",""fr"")"),"Deux chiens sont à côté d'eux sur la plage.")</f>
        <v>Deux chiens sont à côté d'eux sur la plage.</v>
      </c>
    </row>
    <row r="8555">
      <c r="A8555" s="4" t="s">
        <v>10766</v>
      </c>
      <c r="B8555" s="4" t="s">
        <v>10767</v>
      </c>
      <c r="C8555" s="5" t="str">
        <f>IFERROR(__xludf.DUMMYFUNCTION("GOOGLETRANSLATE(B8555,""en"",""fr"")"),"Un voilier navigue dans les eaux agitées dans l'océan.")</f>
        <v>Un voilier navigue dans les eaux agitées dans l'océan.</v>
      </c>
    </row>
    <row r="8556">
      <c r="A8556" s="4" t="s">
        <v>10766</v>
      </c>
      <c r="B8556" s="4" t="s">
        <v>10768</v>
      </c>
      <c r="C8556" s="5" t="str">
        <f>IFERROR(__xludf.DUMMYFUNCTION("GOOGLETRANSLATE(B8556,""en"",""fr"")"),"On voit le skipper en train de faire le volant à l'arrière du bateau.")</f>
        <v>On voit le skipper en train de faire le volant à l'arrière du bateau.</v>
      </c>
    </row>
    <row r="8557">
      <c r="A8557" s="4" t="s">
        <v>10766</v>
      </c>
      <c r="B8557" s="4" t="s">
        <v>10769</v>
      </c>
      <c r="C8557" s="5" t="str">
        <f>IFERROR(__xludf.DUMMYFUNCTION("GOOGLETRANSLATE(B8557,""en"",""fr"")"),"Le mât du navire est vu en pleine vue.")</f>
        <v>Le mât du navire est vu en pleine vue.</v>
      </c>
    </row>
    <row r="8558">
      <c r="A8558" s="4" t="s">
        <v>10770</v>
      </c>
      <c r="B8558" s="4" t="s">
        <v>10771</v>
      </c>
      <c r="C8558" s="5" t="str">
        <f>IFERROR(__xludf.DUMMYFUNCTION("GOOGLETRANSLATE(B8558,""en"",""fr"")"),"Le garçon ouvre la boîte.")</f>
        <v>Le garçon ouvre la boîte.</v>
      </c>
    </row>
    <row r="8559">
      <c r="A8559" s="4" t="s">
        <v>10770</v>
      </c>
      <c r="B8559" s="4" t="s">
        <v>10772</v>
      </c>
      <c r="C8559" s="5" t="str">
        <f>IFERROR(__xludf.DUMMYFUNCTION("GOOGLETRANSLATE(B8559,""en"",""fr"")"),"Il retire ensuite le vélo.")</f>
        <v>Il retire ensuite le vélo.</v>
      </c>
    </row>
    <row r="8560">
      <c r="A8560" s="4" t="s">
        <v>10770</v>
      </c>
      <c r="B8560" s="4" t="s">
        <v>10773</v>
      </c>
      <c r="C8560" s="5" t="str">
        <f>IFERROR(__xludf.DUMMYFUNCTION("GOOGLETRANSLATE(B8560,""en"",""fr"")"),"Il retire l'emballage.")</f>
        <v>Il retire l'emballage.</v>
      </c>
    </row>
    <row r="8561">
      <c r="A8561" s="4" t="s">
        <v>10770</v>
      </c>
      <c r="B8561" s="4" t="s">
        <v>10774</v>
      </c>
      <c r="C8561" s="5" t="str">
        <f>IFERROR(__xludf.DUMMYFUNCTION("GOOGLETRANSLATE(B8561,""en"",""fr"")"),"Il assemble le vélo.")</f>
        <v>Il assemble le vélo.</v>
      </c>
    </row>
    <row r="8562">
      <c r="A8562" s="4" t="s">
        <v>10770</v>
      </c>
      <c r="B8562" s="4" t="s">
        <v>10775</v>
      </c>
      <c r="C8562" s="5" t="str">
        <f>IFERROR(__xludf.DUMMYFUNCTION("GOOGLETRANSLATE(B8562,""en"",""fr"")"),"Nous voyons des images du vélo.")</f>
        <v>Nous voyons des images du vélo.</v>
      </c>
    </row>
    <row r="8563">
      <c r="A8563" s="4" t="s">
        <v>10770</v>
      </c>
      <c r="B8563" s="4" t="s">
        <v>10776</v>
      </c>
      <c r="C8563" s="5" t="str">
        <f>IFERROR(__xludf.DUMMYFUNCTION("GOOGLETRANSLATE(B8563,""en"",""fr"")"),"La page d'abonnement apparaît.")</f>
        <v>La page d'abonnement apparaît.</v>
      </c>
    </row>
    <row r="8564">
      <c r="A8564" s="4" t="s">
        <v>10777</v>
      </c>
      <c r="B8564" s="4" t="s">
        <v>10778</v>
      </c>
      <c r="C8564" s="5" t="str">
        <f>IFERROR(__xludf.DUMMYFUNCTION("GOOGLETRANSLATE(B8564,""en"",""fr"")"),"Un lanceur de poids féminin se prépare à soulever une haltère.")</f>
        <v>Un lanceur de poids féminin se prépare à soulever une haltère.</v>
      </c>
    </row>
    <row r="8565">
      <c r="A8565" s="4" t="s">
        <v>10777</v>
      </c>
      <c r="B8565" s="4" t="s">
        <v>10779</v>
      </c>
      <c r="C8565" s="5" t="str">
        <f>IFERROR(__xludf.DUMMYFUNCTION("GOOGLETRANSLATE(B8565,""en"",""fr"")"),"Elle se lève avec ses genoux, levant la barre vers sa poitrine.")</f>
        <v>Elle se lève avec ses genoux, levant la barre vers sa poitrine.</v>
      </c>
    </row>
    <row r="8566">
      <c r="A8566" s="4" t="s">
        <v>10777</v>
      </c>
      <c r="B8566" s="4" t="s">
        <v>10780</v>
      </c>
      <c r="C8566" s="5" t="str">
        <f>IFERROR(__xludf.DUMMYFUNCTION("GOOGLETRANSLATE(B8566,""en"",""fr"")"),"Elle se lève ensuite, le soulevant au-dessus de sa tête avant de remettre le haltère au sol.")</f>
        <v>Elle se lève ensuite, le soulevant au-dessus de sa tête avant de remettre le haltère au sol.</v>
      </c>
    </row>
    <row r="8567">
      <c r="A8567" s="4" t="s">
        <v>10781</v>
      </c>
      <c r="B8567" s="4" t="s">
        <v>10782</v>
      </c>
      <c r="C8567" s="5" t="str">
        <f>IFERROR(__xludf.DUMMYFUNCTION("GOOGLETRANSLATE(B8567,""en"",""fr"")"),"L'homme se tient au-dessus de l'eau avant de faire de la plongée sous-marine.")</f>
        <v>L'homme se tient au-dessus de l'eau avant de faire de la plongée sous-marine.</v>
      </c>
    </row>
    <row r="8568">
      <c r="A8568" s="4" t="s">
        <v>10781</v>
      </c>
      <c r="B8568" s="4" t="s">
        <v>10783</v>
      </c>
      <c r="C8568" s="5" t="str">
        <f>IFERROR(__xludf.DUMMYFUNCTION("GOOGLETRANSLATE(B8568,""en"",""fr"")"),"Il est sous l'eau avec quelques autres personnes où il y a des coquillages et des rochers dans le sable.")</f>
        <v>Il est sous l'eau avec quelques autres personnes où il y a des coquillages et des rochers dans le sable.</v>
      </c>
    </row>
    <row r="8569">
      <c r="A8569" s="4" t="s">
        <v>10781</v>
      </c>
      <c r="B8569" s="4" t="s">
        <v>10784</v>
      </c>
      <c r="C8569" s="5" t="str">
        <f>IFERROR(__xludf.DUMMYFUNCTION("GOOGLETRANSLATE(B8569,""en"",""fr"")"),"Il y a aussi des bûches en bois et de petits homards qui rampent autour.")</f>
        <v>Il y a aussi des bûches en bois et de petits homards qui rampent autour.</v>
      </c>
    </row>
    <row r="8570">
      <c r="A8570" s="4" t="s">
        <v>10785</v>
      </c>
      <c r="B8570" s="4" t="s">
        <v>10786</v>
      </c>
      <c r="C8570" s="5" t="str">
        <f>IFERROR(__xludf.DUMMYFUNCTION("GOOGLETRANSLATE(B8570,""en"",""fr"")"),"Un groupe joue au hockey sur glace pour s'amuser dans une patinoire intérieure alors qu'un homme parle à la caméra.")</f>
        <v>Un groupe joue au hockey sur glace pour s'amuser dans une patinoire intérieure alors qu'un homme parle à la caméra.</v>
      </c>
    </row>
    <row r="8571">
      <c r="A8571" s="4" t="s">
        <v>10785</v>
      </c>
      <c r="B8571" s="4" t="s">
        <v>10787</v>
      </c>
      <c r="C8571" s="5" t="str">
        <f>IFERROR(__xludf.DUMMYFUNCTION("GOOGLETRANSLATE(B8571,""en"",""fr"")"),"Deux femmes balayent, se disputant la rondelle, alors qu'une femme parle à la caméra.")</f>
        <v>Deux femmes balayent, se disputant la rondelle, alors qu'une femme parle à la caméra.</v>
      </c>
    </row>
    <row r="8572">
      <c r="A8572" s="4" t="s">
        <v>10788</v>
      </c>
      <c r="B8572" s="4" t="s">
        <v>10789</v>
      </c>
      <c r="C8572" s="5" t="str">
        <f>IFERROR(__xludf.DUMMYFUNCTION("GOOGLETRANSLATE(B8572,""en"",""fr"")"),"Un homme est vu parler à la caméra portant un microphone et commence à essuyer une fenêtre.")</f>
        <v>Un homme est vu parler à la caméra portant un microphone et commence à essuyer une fenêtre.</v>
      </c>
    </row>
    <row r="8573">
      <c r="A8573" s="4" t="s">
        <v>10788</v>
      </c>
      <c r="B8573" s="6" t="s">
        <v>10790</v>
      </c>
      <c r="C8573" s="5" t="str">
        <f>IFERROR(__xludf.DUMMYFUNCTION("GOOGLETRANSLATE(B8573,""en"",""fr"")"),"Il utilise plusieurs outils et objets pour nettoyer le verre et continue d'essuyer tout en regardant la caméra.")</f>
        <v>Il utilise plusieurs outils et objets pour nettoyer le verre et continue d'essuyer tout en regardant la caméra.</v>
      </c>
    </row>
    <row r="8574">
      <c r="A8574" s="4" t="s">
        <v>10791</v>
      </c>
      <c r="B8574" s="4" t="s">
        <v>10792</v>
      </c>
      <c r="C8574" s="5" t="str">
        <f>IFERROR(__xludf.DUMMYFUNCTION("GOOGLETRANSLATE(B8574,""en"",""fr"")"),"Une femme est assise sur une chaise.")</f>
        <v>Une femme est assise sur une chaise.</v>
      </c>
    </row>
    <row r="8575">
      <c r="A8575" s="4" t="s">
        <v>10791</v>
      </c>
      <c r="B8575" s="4" t="s">
        <v>10793</v>
      </c>
      <c r="C8575" s="5" t="str">
        <f>IFERROR(__xludf.DUMMYFUNCTION("GOOGLETRANSLATE(B8575,""en"",""fr"")"),"Une autre femme met quelque chose dans son nez.")</f>
        <v>Une autre femme met quelque chose dans son nez.</v>
      </c>
    </row>
    <row r="8576">
      <c r="A8576" s="4" t="s">
        <v>10791</v>
      </c>
      <c r="B8576" s="4" t="s">
        <v>10794</v>
      </c>
      <c r="C8576" s="5" t="str">
        <f>IFERROR(__xludf.DUMMYFUNCTION("GOOGLETRANSLATE(B8576,""en"",""fr"")"),"Elle le perce ensuite avec une aiguille.")</f>
        <v>Elle le perce ensuite avec une aiguille.</v>
      </c>
    </row>
    <row r="8577">
      <c r="A8577" s="4" t="s">
        <v>10791</v>
      </c>
      <c r="B8577" s="4" t="s">
        <v>10795</v>
      </c>
      <c r="C8577" s="5" t="str">
        <f>IFERROR(__xludf.DUMMYFUNCTION("GOOGLETRANSLATE(B8577,""en"",""fr"")"),"Elle y met un bijou dessus.")</f>
        <v>Elle y met un bijou dessus.</v>
      </c>
    </row>
    <row r="8578">
      <c r="A8578" s="4" t="s">
        <v>10796</v>
      </c>
      <c r="B8578" s="4" t="s">
        <v>10797</v>
      </c>
      <c r="C8578" s="5" t="str">
        <f>IFERROR(__xludf.DUMMYFUNCTION("GOOGLETRANSLATE(B8578,""en"",""fr"")"),"Une fille est montrée à la caméra ainsi qu'à la danse, puis à jouer du violon.")</f>
        <v>Une fille est montrée à la caméra ainsi qu'à la danse, puis à jouer du violon.</v>
      </c>
    </row>
    <row r="8579">
      <c r="A8579" s="4" t="s">
        <v>10796</v>
      </c>
      <c r="B8579" s="6" t="s">
        <v>10798</v>
      </c>
      <c r="C8579" s="5" t="str">
        <f>IFERROR(__xludf.DUMMYFUNCTION("GOOGLETRANSLATE(B8579,""en"",""fr"")"),"Elle joue l'instrument en dansant en même temps et se termine avec elle parlant à la caméra.")</f>
        <v>Elle joue l'instrument en dansant en même temps et se termine avec elle parlant à la caméra.</v>
      </c>
    </row>
    <row r="8580">
      <c r="A8580" s="4" t="s">
        <v>10799</v>
      </c>
      <c r="B8580" s="4" t="s">
        <v>10800</v>
      </c>
      <c r="C8580" s="5" t="str">
        <f>IFERROR(__xludf.DUMMYFUNCTION("GOOGLETRANSLATE(B8580,""en"",""fr"")"),"Plusieurs hommes sont chargés sur un seau de flèche de grue.")</f>
        <v>Plusieurs hommes sont chargés sur un seau de flèche de grue.</v>
      </c>
    </row>
    <row r="8581">
      <c r="A8581" s="4" t="s">
        <v>10799</v>
      </c>
      <c r="B8581" s="4" t="s">
        <v>10801</v>
      </c>
      <c r="C8581" s="5" t="str">
        <f>IFERROR(__xludf.DUMMYFUNCTION("GOOGLETRANSLATE(B8581,""en"",""fr"")"),"Lorsque trois hommes sont à bord en toute sécurité, la grue commence à les soulever lentement dans l'air.")</f>
        <v>Lorsque trois hommes sont à bord en toute sécurité, la grue commence à les soulever lentement dans l'air.</v>
      </c>
    </row>
    <row r="8582">
      <c r="A8582" s="4" t="s">
        <v>10799</v>
      </c>
      <c r="B8582" s="6" t="s">
        <v>10802</v>
      </c>
      <c r="C8582" s="5" t="str">
        <f>IFERROR(__xludf.DUMMYFUNCTION("GOOGLETRANSLATE(B8582,""en"",""fr"")"),"Une fois qu'ils ont atteint le haut de la grue, la vue change et on peut voir regarder par-dessus le paysage.")</f>
        <v>Une fois qu'ils ont atteint le haut de la grue, la vue change et on peut voir regarder par-dessus le paysage.</v>
      </c>
    </row>
    <row r="8583">
      <c r="A8583" s="4" t="s">
        <v>10799</v>
      </c>
      <c r="B8583" s="4" t="s">
        <v>10803</v>
      </c>
      <c r="C8583" s="5" t="str">
        <f>IFERROR(__xludf.DUMMYFUNCTION("GOOGLETRANSLATE(B8583,""en"",""fr"")"),"L'homme qui se prépare au saut à l'élastique est au bord du boom en regardant nerveusement.")</f>
        <v>L'homme qui se prépare au saut à l'élastique est au bord du boom en regardant nerveusement.</v>
      </c>
    </row>
    <row r="8584">
      <c r="A8584" s="4" t="s">
        <v>10799</v>
      </c>
      <c r="B8584" s="4" t="s">
        <v>10804</v>
      </c>
      <c r="C8584" s="5" t="str">
        <f>IFERROR(__xludf.DUMMYFUNCTION("GOOGLETRANSLATE(B8584,""en"",""fr"")"),"Un à la fois, les hommes sautent hors du boom et pendent au-dessus d'un petit plan d'eau.")</f>
        <v>Un à la fois, les hommes sautent hors du boom et pendent au-dessus d'un petit plan d'eau.</v>
      </c>
    </row>
    <row r="8585">
      <c r="A8585" s="4" t="s">
        <v>10799</v>
      </c>
      <c r="B8585" s="4" t="s">
        <v>10805</v>
      </c>
      <c r="C8585" s="5" t="str">
        <f>IFERROR(__xludf.DUMMYFUNCTION("GOOGLETRANSLATE(B8585,""en"",""fr"")"),"Le certificat d'accomplissement met fin à la vidéo.")</f>
        <v>Le certificat d'accomplissement met fin à la vidéo.</v>
      </c>
    </row>
    <row r="8586">
      <c r="A8586" s="4" t="s">
        <v>10806</v>
      </c>
      <c r="B8586" s="4" t="s">
        <v>10807</v>
      </c>
      <c r="C8586" s="5" t="str">
        <f>IFERROR(__xludf.DUMMYFUNCTION("GOOGLETRANSLATE(B8586,""en"",""fr"")"),"Les mots ""The Shotover River in Flood"" apparaissent à l'écran.")</f>
        <v>Les mots "The Shotover River in Flood" apparaissent à l'écran.</v>
      </c>
    </row>
    <row r="8587">
      <c r="A8587" s="4" t="s">
        <v>10806</v>
      </c>
      <c r="B8587" s="6" t="s">
        <v>10808</v>
      </c>
      <c r="C8587" s="5" t="str">
        <f>IFERROR(__xludf.DUMMYFUNCTION("GOOGLETRANSLATE(B8587,""en"",""fr"")"),"La vidéo à la première personne montre un radeau plein de gens qui descendent et de la rivière extrêmement rugueuse entre les falaises rocheuses.")</f>
        <v>La vidéo à la première personne montre un radeau plein de gens qui descendent et de la rivière extrêmement rugueuse entre les falaises rocheuses.</v>
      </c>
    </row>
    <row r="8588">
      <c r="A8588" s="4" t="s">
        <v>10806</v>
      </c>
      <c r="B8588" s="4" t="s">
        <v>10809</v>
      </c>
      <c r="C8588" s="5" t="str">
        <f>IFERROR(__xludf.DUMMYFUNCTION("GOOGLETRANSLATE(B8588,""en"",""fr"")"),"Les mots ""Big Thanks to River Guide J-Rod"" apparaissent à l'écran.")</f>
        <v>Les mots "Big Thanks to River Guide J-Rod" apparaissent à l'écran.</v>
      </c>
    </row>
    <row r="8589">
      <c r="A8589" s="4" t="s">
        <v>10810</v>
      </c>
      <c r="B8589" s="6" t="s">
        <v>10811</v>
      </c>
      <c r="C8589" s="5" t="str">
        <f>IFERROR(__xludf.DUMMYFUNCTION("GOOGLETRANSLATE(B8589,""en"",""fr"")"),"Une personne est en compétition en résolvant un puzzle de cube derrière un chronomètre, tandis qu'une femme prend des notes et regarde la personne.")</f>
        <v>Une personne est en compétition en résolvant un puzzle de cube derrière un chronomètre, tandis qu'une femme prend des notes et regarde la personne.</v>
      </c>
    </row>
    <row r="8590">
      <c r="A8590" s="4" t="s">
        <v>10810</v>
      </c>
      <c r="B8590" s="4" t="s">
        <v>10812</v>
      </c>
      <c r="C8590" s="5" t="str">
        <f>IFERROR(__xludf.DUMMYFUNCTION("GOOGLETRANSLATE(B8590,""en"",""fr"")"),"La personne résout le puzzle, puis il se tient, lève les bras et marche.")</f>
        <v>La personne résout le puzzle, puis il se tient, lève les bras et marche.</v>
      </c>
    </row>
    <row r="8591">
      <c r="A8591" s="4" t="s">
        <v>10810</v>
      </c>
      <c r="B8591" s="4" t="s">
        <v>10813</v>
      </c>
      <c r="C8591" s="5" t="str">
        <f>IFERROR(__xludf.DUMMYFUNCTION("GOOGLETRANSLATE(B8591,""en"",""fr"")"),"La personne serre la main de gens dans la pièce.")</f>
        <v>La personne serre la main de gens dans la pièce.</v>
      </c>
    </row>
    <row r="8592">
      <c r="A8592" s="4" t="s">
        <v>10810</v>
      </c>
      <c r="B8592" s="4" t="s">
        <v>10814</v>
      </c>
      <c r="C8592" s="5" t="str">
        <f>IFERROR(__xludf.DUMMYFUNCTION("GOOGLETRANSLATE(B8592,""en"",""fr"")"),"Soudain, la personne court en train de faire des coups et de poser pour une image.")</f>
        <v>Soudain, la personne court en train de faire des coups et de poser pour une image.</v>
      </c>
    </row>
    <row r="8593">
      <c r="A8593" s="4" t="s">
        <v>10815</v>
      </c>
      <c r="B8593" s="4" t="s">
        <v>10816</v>
      </c>
      <c r="C8593" s="5" t="str">
        <f>IFERROR(__xludf.DUMMYFUNCTION("GOOGLETRANSLATE(B8593,""en"",""fr"")"),"Un garçon avec un pot de jardinage arrose son buisson à l'extérieur dans la cour.")</f>
        <v>Un garçon avec un pot de jardinage arrose son buisson à l'extérieur dans la cour.</v>
      </c>
    </row>
    <row r="8594">
      <c r="A8594" s="4" t="s">
        <v>10815</v>
      </c>
      <c r="B8594" s="4" t="s">
        <v>10817</v>
      </c>
      <c r="C8594" s="5" t="str">
        <f>IFERROR(__xludf.DUMMYFUNCTION("GOOGLETRANSLATE(B8594,""en"",""fr"")"),"Lui et un autre garçon se réunissent et l'autre garçon commence à commencer à jouer au croquet pendant qu'il parle.")</f>
        <v>Lui et un autre garçon se réunissent et l'autre garçon commence à commencer à jouer au croquet pendant qu'il parle.</v>
      </c>
    </row>
    <row r="8595">
      <c r="A8595" s="4" t="s">
        <v>10815</v>
      </c>
      <c r="B8595" s="4" t="s">
        <v>10818</v>
      </c>
      <c r="C8595" s="5" t="str">
        <f>IFERROR(__xludf.DUMMYFUNCTION("GOOGLETRANSLATE(B8595,""en"",""fr"")"),"Un autre garçon plus grand vient les rejoindre et parle du jeu.")</f>
        <v>Un autre garçon plus grand vient les rejoindre et parle du jeu.</v>
      </c>
    </row>
    <row r="8596">
      <c r="A8596" s="4" t="s">
        <v>10815</v>
      </c>
      <c r="B8596" s="4" t="s">
        <v>10819</v>
      </c>
      <c r="C8596" s="5" t="str">
        <f>IFERROR(__xludf.DUMMYFUNCTION("GOOGLETRANSLATE(B8596,""en"",""fr"")"),"Ensuite, ils commencent à frapper des balles qui se lançaient pour traverser les obstacles.")</f>
        <v>Ensuite, ils commencent à frapper des balles qui se lançaient pour traverser les obstacles.</v>
      </c>
    </row>
    <row r="8597">
      <c r="A8597" s="4" t="s">
        <v>10820</v>
      </c>
      <c r="B8597" s="4" t="s">
        <v>10821</v>
      </c>
      <c r="C8597" s="5" t="str">
        <f>IFERROR(__xludf.DUMMYFUNCTION("GOOGLETRANSLATE(B8597,""en"",""fr"")"),"Trois personnes sautent une corde et font des tours.")</f>
        <v>Trois personnes sautent une corde et font des tours.</v>
      </c>
    </row>
    <row r="8598">
      <c r="A8598" s="4" t="s">
        <v>10820</v>
      </c>
      <c r="B8598" s="4" t="s">
        <v>10822</v>
      </c>
      <c r="C8598" s="5" t="str">
        <f>IFERROR(__xludf.DUMMYFUNCTION("GOOGLETRANSLATE(B8598,""en"",""fr"")"),"D'autres personnes s'asseyent et se tiennent sur des tables en arrière-plan et regardent ou filment les chouchouts.")</f>
        <v>D'autres personnes s'asseyent et se tiennent sur des tables en arrière-plan et regardent ou filment les chouchouts.</v>
      </c>
    </row>
    <row r="8599">
      <c r="A8599" s="4" t="s">
        <v>10820</v>
      </c>
      <c r="B8599" s="4" t="s">
        <v>10823</v>
      </c>
      <c r="C8599" s="5" t="str">
        <f>IFERROR(__xludf.DUMMYFUNCTION("GOOGLETRANSLATE(B8599,""en"",""fr"")"),"Quatre personnes différentes sautent maintenant la corde et font des astuces.")</f>
        <v>Quatre personnes différentes sautent maintenant la corde et font des astuces.</v>
      </c>
    </row>
    <row r="8600">
      <c r="A8600" s="4" t="s">
        <v>10820</v>
      </c>
      <c r="B8600" s="4" t="s">
        <v>10824</v>
      </c>
      <c r="C8600" s="5" t="str">
        <f>IFERROR(__xludf.DUMMYFUNCTION("GOOGLETRANSLATE(B8600,""en"",""fr"")"),"Un autre groupe de trois personnes montre leurs compétences en corde de saut.")</f>
        <v>Un autre groupe de trois personnes montre leurs compétences en corde de saut.</v>
      </c>
    </row>
    <row r="8601">
      <c r="A8601" s="4" t="s">
        <v>10820</v>
      </c>
      <c r="B8601" s="4" t="s">
        <v>10825</v>
      </c>
      <c r="C8601" s="5" t="str">
        <f>IFERROR(__xludf.DUMMYFUNCTION("GOOGLETRANSLATE(B8601,""en"",""fr"")"),"Un autre groupe de trois en short rouge saute en corde.")</f>
        <v>Un autre groupe de trois en short rouge saute en corde.</v>
      </c>
    </row>
    <row r="8602">
      <c r="A8602" s="4" t="s">
        <v>10820</v>
      </c>
      <c r="B8602" s="4" t="s">
        <v>10826</v>
      </c>
      <c r="C8602" s="5" t="str">
        <f>IFERROR(__xludf.DUMMYFUNCTION("GOOGLETRANSLATE(B8602,""en"",""fr"")"),"Les gens en arrière-plan se promènent.")</f>
        <v>Les gens en arrière-plan se promènent.</v>
      </c>
    </row>
    <row r="8603">
      <c r="A8603" s="4" t="s">
        <v>10820</v>
      </c>
      <c r="B8603" s="4" t="s">
        <v>10827</v>
      </c>
      <c r="C8603" s="5" t="str">
        <f>IFERROR(__xludf.DUMMYFUNCTION("GOOGLETRANSLATE(B8603,""en"",""fr"")"),"Un groupe de quatre filles saute en corde.")</f>
        <v>Un groupe de quatre filles saute en corde.</v>
      </c>
    </row>
    <row r="8604">
      <c r="A8604" s="4" t="s">
        <v>10820</v>
      </c>
      <c r="B8604" s="4" t="s">
        <v>10828</v>
      </c>
      <c r="C8604" s="5" t="str">
        <f>IFERROR(__xludf.DUMMYFUNCTION("GOOGLETRANSLATE(B8604,""en"",""fr"")"),"Le premier groupe de personnes saute une corde avec une quatrième personne.")</f>
        <v>Le premier groupe de personnes saute une corde avec une quatrième personne.</v>
      </c>
    </row>
    <row r="8605">
      <c r="A8605" s="4" t="s">
        <v>10820</v>
      </c>
      <c r="B8605" s="4" t="s">
        <v>10829</v>
      </c>
      <c r="C8605" s="5" t="str">
        <f>IFERROR(__xludf.DUMMYFUNCTION("GOOGLETRANSLATE(B8605,""en"",""fr"")"),"Un groupe différent de quatre en corde de saut rouge et noir.")</f>
        <v>Un groupe différent de quatre en corde de saut rouge et noir.</v>
      </c>
    </row>
    <row r="8606">
      <c r="A8606" s="4" t="s">
        <v>10820</v>
      </c>
      <c r="B8606" s="4" t="s">
        <v>10830</v>
      </c>
      <c r="C8606" s="5" t="str">
        <f>IFERROR(__xludf.DUMMYFUNCTION("GOOGLETRANSLATE(B8606,""en"",""fr"")"),"Une équipe différente de Jump Ropers regarde en arrière-plan.")</f>
        <v>Une équipe différente de Jump Ropers regarde en arrière-plan.</v>
      </c>
    </row>
    <row r="8607">
      <c r="A8607" s="4" t="s">
        <v>10820</v>
      </c>
      <c r="B8607" s="4" t="s">
        <v>10831</v>
      </c>
      <c r="C8607" s="5" t="str">
        <f>IFERROR(__xludf.DUMMYFUNCTION("GOOGLETRANSLATE(B8607,""en"",""fr"")"),"Une équipe de quatre en corde de saut noire et jaune.")</f>
        <v>Une équipe de quatre en corde de saut noire et jaune.</v>
      </c>
    </row>
    <row r="8608">
      <c r="A8608" s="4" t="s">
        <v>10832</v>
      </c>
      <c r="B8608" s="4" t="s">
        <v>10833</v>
      </c>
      <c r="C8608" s="5" t="str">
        <f>IFERROR(__xludf.DUMMYFUNCTION("GOOGLETRANSLATE(B8608,""en"",""fr"")"),"Un cow-boy dans un cheval a couru vers le champ et chasser un bétail.")</f>
        <v>Un cow-boy dans un cheval a couru vers le champ et chasser un bétail.</v>
      </c>
    </row>
    <row r="8609">
      <c r="A8609" s="4" t="s">
        <v>10832</v>
      </c>
      <c r="B8609" s="6" t="s">
        <v>10834</v>
      </c>
      <c r="C8609" s="5" t="str">
        <f>IFERROR(__xludf.DUMMYFUNCTION("GOOGLETRANSLATE(B8609,""en"",""fr"")"),"Le cow-boy est descendu du cheval et a poursuivi après le bétail, quand il a attrapé le bétail, il a attaché le bétail.")</f>
        <v>Le cow-boy est descendu du cheval et a poursuivi après le bétail, quand il a attrapé le bétail, il a attaché le bétail.</v>
      </c>
    </row>
    <row r="8610">
      <c r="A8610" s="4" t="s">
        <v>10835</v>
      </c>
      <c r="B8610" s="6" t="s">
        <v>10836</v>
      </c>
      <c r="C8610" s="5" t="str">
        <f>IFERROR(__xludf.DUMMYFUNCTION("GOOGLETRANSLATE(B8610,""en"",""fr"")"),"Un homme se tient devant une voie avec ses jambes écartées, puis un autre homme va faire rouler une boule de bowling entre ses jambes et il le fait, mais il frappe accidentellement son poing dans les parties privées de l'homme et ils commencent tous les d"&amp;"eux à rire .")</f>
        <v>Un homme se tient devant une voie avec ses jambes écartées, puis un autre homme va faire rouler une boule de bowling entre ses jambes et il le fait, mais il frappe accidentellement son poing dans les parties privées de l'homme et ils commencent tous les deux à rire .</v>
      </c>
    </row>
    <row r="8611">
      <c r="A8611" s="4" t="s">
        <v>10835</v>
      </c>
      <c r="B8611" s="4" t="s">
        <v>10837</v>
      </c>
      <c r="C8611" s="5" t="str">
        <f>IFERROR(__xludf.DUMMYFUNCTION("GOOGLETRANSLATE(B8611,""en"",""fr"")"),"Un écran bleu apparaît et le texte sur l'écran apparaît et ""Bowling échoue à Failcorporation"".")</f>
        <v>Un écran bleu apparaît et le texte sur l'écran apparaît et "Bowling échoue à Failcorporation".</v>
      </c>
    </row>
    <row r="8612">
      <c r="A8612" s="4" t="s">
        <v>10835</v>
      </c>
      <c r="B8612" s="6" t="s">
        <v>10838</v>
      </c>
      <c r="C8612" s="5" t="str">
        <f>IFERROR(__xludf.DUMMYFUNCTION("GOOGLETRANSLATE(B8612,""en"",""fr"")"),"Divers clips de différentes personnes tombant en essayant de faire rouler le ballon, en riant et même en jetant accidentellement le ballon dans les jeux de plafond.")</f>
        <v>Divers clips de différentes personnes tombant en essayant de faire rouler le ballon, en riant et même en jetant accidentellement le ballon dans les jeux de plafond.</v>
      </c>
    </row>
    <row r="8613">
      <c r="A8613" s="4" t="s">
        <v>10835</v>
      </c>
      <c r="B8613" s="6" t="s">
        <v>10839</v>
      </c>
      <c r="C8613" s="5" t="str">
        <f>IFERROR(__xludf.DUMMYFUNCTION("GOOGLETRANSLATE(B8613,""en"",""fr"")"),"Un écran bleu apparaît avec les logos, et le texte qui dit ""FailCorporation abonnez-vous la vidéo suivante"" apparaissent.")</f>
        <v>Un écran bleu apparaît avec les logos, et le texte qui dit "FailCorporation abonnez-vous la vidéo suivante" apparaissent.</v>
      </c>
    </row>
    <row r="8614">
      <c r="A8614" s="4" t="s">
        <v>10840</v>
      </c>
      <c r="B8614" s="4" t="s">
        <v>10841</v>
      </c>
      <c r="C8614" s="5" t="str">
        <f>IFERROR(__xludf.DUMMYFUNCTION("GOOGLETRANSLATE(B8614,""en"",""fr"")"),"Une femme lave la vaisselle avec du savon et un gommage dans son évier de cuisine.")</f>
        <v>Une femme lave la vaisselle avec du savon et un gommage dans son évier de cuisine.</v>
      </c>
    </row>
    <row r="8615">
      <c r="A8615" s="4" t="s">
        <v>10840</v>
      </c>
      <c r="B8615" s="4" t="s">
        <v>10842</v>
      </c>
      <c r="C8615" s="5" t="str">
        <f>IFERROR(__xludf.DUMMYFUNCTION("GOOGLETRANSLATE(B8615,""en"",""fr"")"),"Elle prend le gommage qui est trempé dans du savon liquide et le frotte sur le bol pour le nettoyer soigneusement.")</f>
        <v>Elle prend le gommage qui est trempé dans du savon liquide et le frotte sur le bol pour le nettoyer soigneusement.</v>
      </c>
    </row>
    <row r="8616">
      <c r="A8616" s="4" t="s">
        <v>10840</v>
      </c>
      <c r="B8616" s="4" t="s">
        <v>10843</v>
      </c>
      <c r="C8616" s="5" t="str">
        <f>IFERROR(__xludf.DUMMYFUNCTION("GOOGLETRANSLATE(B8616,""en"",""fr"")"),"Elle place les assiettes et les bols les uns sur les autres dans l'évier alors qu'elle les lave.")</f>
        <v>Elle place les assiettes et les bols les uns sur les autres dans l'évier alors qu'elle les lave.</v>
      </c>
    </row>
    <row r="8617">
      <c r="A8617" s="4" t="s">
        <v>10844</v>
      </c>
      <c r="B8617" s="4" t="s">
        <v>10845</v>
      </c>
      <c r="C8617" s="5" t="str">
        <f>IFERROR(__xludf.DUMMYFUNCTION("GOOGLETRANSLATE(B8617,""en"",""fr"")"),"Un homme roule à quatre roues dans un champ.")</f>
        <v>Un homme roule à quatre roues dans un champ.</v>
      </c>
    </row>
    <row r="8618">
      <c r="A8618" s="4" t="s">
        <v>10844</v>
      </c>
      <c r="B8618" s="4" t="s">
        <v>10846</v>
      </c>
      <c r="C8618" s="5" t="str">
        <f>IFERROR(__xludf.DUMMYFUNCTION("GOOGLETRANSLATE(B8618,""en"",""fr"")"),"L'homme se lève sur le Four Wheeler et frappe ses lumières de rupture pour inspecter une cible.")</f>
        <v>L'homme se lève sur le Four Wheeler et frappe ses lumières de rupture pour inspecter une cible.</v>
      </c>
    </row>
    <row r="8619">
      <c r="A8619" s="4" t="s">
        <v>10844</v>
      </c>
      <c r="B8619" s="4" t="s">
        <v>10847</v>
      </c>
      <c r="C8619" s="5" t="str">
        <f>IFERROR(__xludf.DUMMYFUNCTION("GOOGLETRANSLATE(B8619,""en"",""fr"")"),"Un homme tenant un arc et une flèche parle et montre des traits sur l'arc qu'il tient.")</f>
        <v>Un homme tenant un arc et une flèche parle et montre des traits sur l'arc qu'il tient.</v>
      </c>
    </row>
    <row r="8620">
      <c r="A8620" s="4" t="s">
        <v>10844</v>
      </c>
      <c r="B8620" s="4" t="s">
        <v>10848</v>
      </c>
      <c r="C8620" s="5" t="str">
        <f>IFERROR(__xludf.DUMMYFUNCTION("GOOGLETRANSLATE(B8620,""en"",""fr"")"),"Un site Web défile sur l'écran tandis que l'homme tire l'arc sur une cible.")</f>
        <v>Un site Web défile sur l'écran tandis que l'homme tire l'arc sur une cible.</v>
      </c>
    </row>
    <row r="8621">
      <c r="A8621" s="4" t="s">
        <v>10844</v>
      </c>
      <c r="B8621" s="4" t="s">
        <v>10849</v>
      </c>
      <c r="C8621" s="5" t="str">
        <f>IFERROR(__xludf.DUMMYFUNCTION("GOOGLETRANSLATE(B8621,""en"",""fr"")"),"La caméra zoome ensuite sur la cible.")</f>
        <v>La caméra zoome ensuite sur la cible.</v>
      </c>
    </row>
    <row r="8622">
      <c r="A8622" s="4" t="s">
        <v>10844</v>
      </c>
      <c r="B8622" s="4" t="s">
        <v>10850</v>
      </c>
      <c r="C8622" s="5" t="str">
        <f>IFERROR(__xludf.DUMMYFUNCTION("GOOGLETRANSLATE(B8622,""en"",""fr"")"),"Le site Web défile à nouveau sur l'écran et l'homme tire trois autres flèches.")</f>
        <v>Le site Web défile à nouveau sur l'écran et l'homme tire trois autres flèches.</v>
      </c>
    </row>
    <row r="8623">
      <c r="A8623" s="4" t="s">
        <v>10844</v>
      </c>
      <c r="B8623" s="4" t="s">
        <v>10851</v>
      </c>
      <c r="C8623" s="5" t="str">
        <f>IFERROR(__xludf.DUMMYFUNCTION("GOOGLETRANSLATE(B8623,""en"",""fr"")"),"L'écran change en gris et l'homme montre que la marque d'arc est un bowtech.")</f>
        <v>L'écran change en gris et l'homme montre que la marque d'arc est un bowtech.</v>
      </c>
    </row>
    <row r="8624">
      <c r="A8624" s="4" t="s">
        <v>10852</v>
      </c>
      <c r="B8624" s="4" t="s">
        <v>10853</v>
      </c>
      <c r="C8624" s="5" t="str">
        <f>IFERROR(__xludf.DUMMYFUNCTION("GOOGLETRANSLATE(B8624,""en"",""fr"")"),"Woman est en studio qui parle dans les nouvelles tenant un pistolet de paintball et a tiré sur un mur.")</f>
        <v>Woman est en studio qui parle dans les nouvelles tenant un pistolet de paintball et a tiré sur un mur.</v>
      </c>
    </row>
    <row r="8625">
      <c r="A8625" s="4" t="s">
        <v>10852</v>
      </c>
      <c r="B8625" s="4" t="s">
        <v>10854</v>
      </c>
      <c r="C8625" s="5" t="str">
        <f>IFERROR(__xludf.DUMMYFUNCTION("GOOGLETRANSLATE(B8625,""en"",""fr"")"),"Un homme et une femme sont dans un champ faisant des coups de feu et jouent avec les petites boules de douleur.")</f>
        <v>Un homme et une femme sont dans un champ faisant des coups de feu et jouent avec les petites boules de douleur.</v>
      </c>
    </row>
    <row r="8626">
      <c r="A8626" s="4" t="s">
        <v>10852</v>
      </c>
      <c r="B8626" s="6" t="s">
        <v>10855</v>
      </c>
      <c r="C8626" s="5" t="str">
        <f>IFERROR(__xludf.DUMMYFUNCTION("GOOGLETRANSLATE(B8626,""en"",""fr"")"),"Ils rechargent les canons et jouent dans un paintball d'arrière-cour vert pratiquant des tirs et portant des masques.")</f>
        <v>Ils rechargent les canons et jouent dans un paintball d'arrière-cour vert pratiquant des tirs et portant des masques.</v>
      </c>
    </row>
    <row r="8627">
      <c r="A8627" s="4" t="s">
        <v>10856</v>
      </c>
      <c r="B8627" s="4" t="s">
        <v>10857</v>
      </c>
      <c r="C8627" s="5" t="str">
        <f>IFERROR(__xludf.DUMMYFUNCTION("GOOGLETRANSLATE(B8627,""en"",""fr"")"),"Une femme effectue une routine de danse avec un cerceau sur une scène.")</f>
        <v>Une femme effectue une routine de danse avec un cerceau sur une scène.</v>
      </c>
    </row>
    <row r="8628">
      <c r="A8628" s="4" t="s">
        <v>10856</v>
      </c>
      <c r="B8628" s="4" t="s">
        <v>10858</v>
      </c>
      <c r="C8628" s="5" t="str">
        <f>IFERROR(__xludf.DUMMYFUNCTION("GOOGLETRANSLATE(B8628,""en"",""fr"")"),"La femme effectue la routine avec deux cerceaux.")</f>
        <v>La femme effectue la routine avec deux cerceaux.</v>
      </c>
    </row>
    <row r="8629">
      <c r="A8629" s="4" t="s">
        <v>10856</v>
      </c>
      <c r="B8629" s="4" t="s">
        <v>10859</v>
      </c>
      <c r="C8629" s="5" t="str">
        <f>IFERROR(__xludf.DUMMYFUNCTION("GOOGLETRANSLATE(B8629,""en"",""fr"")"),"La femme revient à jouer avec un cerceau.")</f>
        <v>La femme revient à jouer avec un cerceau.</v>
      </c>
    </row>
    <row r="8630">
      <c r="A8630" s="4" t="s">
        <v>10860</v>
      </c>
      <c r="B8630" s="6" t="s">
        <v>10861</v>
      </c>
      <c r="C8630" s="5" t="str">
        <f>IFERROR(__xludf.DUMMYFUNCTION("GOOGLETRANSLATE(B8630,""en"",""fr"")"),"Un écran noir apparaît avec des lettres rouges et blanches qui disent ""Exemple de la correction de la correction d'un problème de livraison pour un débutant"".")</f>
        <v>Un écran noir apparaît avec des lettres rouges et blanches qui disent "Exemple de la correction de la correction d'un problème de livraison pour un débutant".</v>
      </c>
    </row>
    <row r="8631">
      <c r="A8631" s="4" t="s">
        <v>10860</v>
      </c>
      <c r="B8631" s="6" t="s">
        <v>10862</v>
      </c>
      <c r="C8631" s="5" t="str">
        <f>IFERROR(__xludf.DUMMYFUNCTION("GOOGLETRANSLATE(B8631,""en"",""fr"")"),"Une jeune femme est maintenant debout sur un cercle en béton et elle commence à balancer son disque rouge, puis à balancer son corps puis à la jette.")</f>
        <v>Une jeune femme est maintenant debout sur un cercle en béton et elle commence à balancer son disque rouge, puis à balancer son corps puis à la jette.</v>
      </c>
    </row>
    <row r="8632">
      <c r="A8632" s="4" t="s">
        <v>10860</v>
      </c>
      <c r="B8632" s="6" t="s">
        <v>10863</v>
      </c>
      <c r="C8632" s="5" t="str">
        <f>IFERROR(__xludf.DUMMYFUNCTION("GOOGLETRANSLATE(B8632,""en"",""fr"")"),"Un écran noir apparaît avec des lettres blanches qui disent ""de plusieurs défauts, nous sélectionnons un problème"", et la vidéo continue de montrer le problème et les mots apparaissent à l'écran pour les expliquer.")</f>
        <v>Un écran noir apparaît avec des lettres blanches qui disent "de plusieurs défauts, nous sélectionnons un problème", et la vidéo continue de montrer le problème et les mots apparaissent à l'écran pour les expliquer.</v>
      </c>
    </row>
    <row r="8633">
      <c r="A8633" s="4" t="s">
        <v>10860</v>
      </c>
      <c r="B8633" s="6" t="s">
        <v>10864</v>
      </c>
      <c r="C8633" s="5" t="str">
        <f>IFERROR(__xludf.DUMMYFUNCTION("GOOGLETRANSLATE(B8633,""en"",""fr"")"),"La même jeune femme se tient maintenant dans une zone différente en tenant une serviette à main alors qu'elle pratique ses balançoires et ses mots à l'écran donnent des conseils.")</f>
        <v>La même jeune femme se tient maintenant dans une zone différente en tenant une serviette à main alors qu'elle pratique ses balançoires et ses mots à l'écran donnent des conseils.</v>
      </c>
    </row>
    <row r="8634">
      <c r="A8634" s="4" t="s">
        <v>10860</v>
      </c>
      <c r="B8634" s="4" t="s">
        <v>10865</v>
      </c>
      <c r="C8634" s="5" t="str">
        <f>IFERROR(__xludf.DUMMYFUNCTION("GOOGLETRANSLATE(B8634,""en"",""fr"")"),"La fille est de retour sur le cercle de béton balançant son disque et elle lance ensuite le disque.")</f>
        <v>La fille est de retour sur le cercle de béton balançant son disque et elle lance ensuite le disque.</v>
      </c>
    </row>
    <row r="8635">
      <c r="A8635" s="4" t="s">
        <v>10860</v>
      </c>
      <c r="B8635" s="6" t="s">
        <v>10866</v>
      </c>
      <c r="C8635" s="5" t="str">
        <f>IFERROR(__xludf.DUMMYFUNCTION("GOOGLETRANSLATE(B8635,""en"",""fr"")"),"Un écran noir apparaît à nouveau avec des mots rouges et blancs qui disent ""d'autres exercices similaires sur la même idée: concentrez-vous sur le point bas de la trajectoire de mise en œuvre.")</f>
        <v>Un écran noir apparaît à nouveau avec des mots rouges et blancs qui disent "d'autres exercices similaires sur la même idée: concentrez-vous sur le point bas de la trajectoire de mise en œuvre.</v>
      </c>
    </row>
    <row r="8636">
      <c r="A8636" s="4" t="s">
        <v>10860</v>
      </c>
      <c r="B8636" s="4" t="s">
        <v>10867</v>
      </c>
      <c r="C8636" s="5" t="str">
        <f>IFERROR(__xludf.DUMMYFUNCTION("GOOGLETRANSLATE(B8636,""en"",""fr"")"),"Un garçon se tient maintenant sur le cercle de béton et il pratique ses balançoires avec une chemise.")</f>
        <v>Un garçon se tient maintenant sur le cercle de béton et il pratique ses balançoires avec une chemise.</v>
      </c>
    </row>
    <row r="8637">
      <c r="A8637" s="4" t="s">
        <v>10860</v>
      </c>
      <c r="B8637" s="4" t="s">
        <v>10868</v>
      </c>
      <c r="C8637" s="5" t="str">
        <f>IFERROR(__xludf.DUMMYFUNCTION("GOOGLETRANSLATE(B8637,""en"",""fr"")"),"Un homme est maintenant à l'intérieur et il pratique ses balançoires avec un club de golf.")</f>
        <v>Un homme est maintenant à l'intérieur et il pratique ses balançoires avec un club de golf.</v>
      </c>
    </row>
    <row r="8638">
      <c r="A8638" s="4" t="s">
        <v>10860</v>
      </c>
      <c r="B8638" s="6" t="s">
        <v>10869</v>
      </c>
      <c r="C8638" s="5" t="str">
        <f>IFERROR(__xludf.DUMMYFUNCTION("GOOGLETRANSLATE(B8638,""en"",""fr"")"),"L'écran outro est principalement blanc avec un design noir dessus et le nom de l'entreprise et une personne.")</f>
        <v>L'écran outro est principalement blanc avec un design noir dessus et le nom de l'entreprise et une personne.</v>
      </c>
    </row>
    <row r="8639">
      <c r="A8639" s="4" t="s">
        <v>10870</v>
      </c>
      <c r="B8639" s="4" t="s">
        <v>10871</v>
      </c>
      <c r="C8639" s="5" t="str">
        <f>IFERROR(__xludf.DUMMYFUNCTION("GOOGLETRANSLATE(B8639,""en"",""fr"")"),"Une personne commence à résoudre un cube Rubix.")</f>
        <v>Une personne commence à résoudre un cube Rubix.</v>
      </c>
    </row>
    <row r="8640">
      <c r="A8640" s="4" t="s">
        <v>10870</v>
      </c>
      <c r="B8640" s="4" t="s">
        <v>10872</v>
      </c>
      <c r="C8640" s="5" t="str">
        <f>IFERROR(__xludf.DUMMYFUNCTION("GOOGLETRANSLATE(B8640,""en"",""fr"")"),"Ils commencent à le tourner dans toutes les directions.")</f>
        <v>Ils commencent à le tourner dans toutes les directions.</v>
      </c>
    </row>
    <row r="8641">
      <c r="A8641" s="4" t="s">
        <v>10870</v>
      </c>
      <c r="B8641" s="4" t="s">
        <v>10873</v>
      </c>
      <c r="C8641" s="5" t="str">
        <f>IFERROR(__xludf.DUMMYFUNCTION("GOOGLETRANSLATE(B8641,""en"",""fr"")"),"Ils ont résolu le cube Rubix.")</f>
        <v>Ils ont résolu le cube Rubix.</v>
      </c>
    </row>
    <row r="8642">
      <c r="A8642" s="4" t="s">
        <v>10874</v>
      </c>
      <c r="B8642" s="4" t="s">
        <v>10875</v>
      </c>
      <c r="C8642" s="5" t="str">
        <f>IFERROR(__xludf.DUMMYFUNCTION("GOOGLETRANSLATE(B8642,""en"",""fr"")"),"Un groupe de personnes joue au volleyball d'eau dans une piscine extérieure.")</f>
        <v>Un groupe de personnes joue au volleyball d'eau dans une piscine extérieure.</v>
      </c>
    </row>
    <row r="8643">
      <c r="A8643" s="4" t="s">
        <v>10874</v>
      </c>
      <c r="B8643" s="4" t="s">
        <v>10876</v>
      </c>
      <c r="C8643" s="5" t="str">
        <f>IFERROR(__xludf.DUMMYFUNCTION("GOOGLETRANSLATE(B8643,""en"",""fr"")"),"Les gens commencent à jouer de manière compétitive avec le volleyball dans l'eau.")</f>
        <v>Les gens commencent à jouer de manière compétitive avec le volleyball dans l'eau.</v>
      </c>
    </row>
    <row r="8644">
      <c r="A8644" s="4" t="s">
        <v>10874</v>
      </c>
      <c r="B8644" s="6" t="s">
        <v>10877</v>
      </c>
      <c r="C8644" s="5" t="str">
        <f>IFERROR(__xludf.DUMMYFUNCTION("GOOGLETRANSLATE(B8644,""en"",""fr"")"),"La caméra change d'angle et attrape les gens qui jouent par derrière avec le filet entre les gens et la caméra.")</f>
        <v>La caméra change d'angle et attrape les gens qui jouent par derrière avec le filet entre les gens et la caméra.</v>
      </c>
    </row>
    <row r="8645">
      <c r="A8645" s="4" t="s">
        <v>10878</v>
      </c>
      <c r="B8645" s="4" t="s">
        <v>10879</v>
      </c>
      <c r="C8645" s="5" t="str">
        <f>IFERROR(__xludf.DUMMYFUNCTION("GOOGLETRANSLATE(B8645,""en"",""fr"")"),"Une personne est vue agenouillée à côté d'un trou de glace et sous le choc dans un poisson.")</f>
        <v>Une personne est vue agenouillée à côté d'un trou de glace et sous le choc dans un poisson.</v>
      </c>
    </row>
    <row r="8646">
      <c r="A8646" s="4" t="s">
        <v>10878</v>
      </c>
      <c r="B8646" s="4" t="s">
        <v>10880</v>
      </c>
      <c r="C8646" s="5" t="str">
        <f>IFERROR(__xludf.DUMMYFUNCTION("GOOGLETRANSLATE(B8646,""en"",""fr"")"),"La personne continue de déviler sur la tige tandis que la caméra zoome sur le trou.")</f>
        <v>La personne continue de déviler sur la tige tandis que la caméra zoome sur le trou.</v>
      </c>
    </row>
    <row r="8647">
      <c r="A8647" s="4" t="s">
        <v>10878</v>
      </c>
      <c r="B8647" s="4" t="s">
        <v>10881</v>
      </c>
      <c r="C8647" s="5" t="str">
        <f>IFERROR(__xludf.DUMMYFUNCTION("GOOGLETRANSLATE(B8647,""en"",""fr"")"),"Enfin, la personne attrape le poisson et la présente à la caméra.")</f>
        <v>Enfin, la personne attrape le poisson et la présente à la caméra.</v>
      </c>
    </row>
    <row r="8648">
      <c r="A8648" s="4" t="s">
        <v>10882</v>
      </c>
      <c r="B8648" s="4" t="s">
        <v>10883</v>
      </c>
      <c r="C8648" s="5" t="str">
        <f>IFERROR(__xludf.DUMMYFUNCTION("GOOGLETRANSLATE(B8648,""en"",""fr"")"),"Un gros plan d'une chaise est vu suivi par une femme entrant dans le cadre.")</f>
        <v>Un gros plan d'une chaise est vu suivi par une femme entrant dans le cadre.</v>
      </c>
    </row>
    <row r="8649">
      <c r="A8649" s="4" t="s">
        <v>10882</v>
      </c>
      <c r="B8649" s="4" t="s">
        <v>10884</v>
      </c>
      <c r="C8649" s="5" t="str">
        <f>IFERROR(__xludf.DUMMYFUNCTION("GOOGLETRANSLATE(B8649,""en"",""fr"")"),"La femme est assise sur la chaise et commence à mettre une paire de chaussures.")</f>
        <v>La femme est assise sur la chaise et commence à mettre une paire de chaussures.</v>
      </c>
    </row>
    <row r="8650">
      <c r="A8650" s="4" t="s">
        <v>10882</v>
      </c>
      <c r="B8650" s="4" t="s">
        <v>10885</v>
      </c>
      <c r="C8650" s="5" t="str">
        <f>IFERROR(__xludf.DUMMYFUNCTION("GOOGLETRANSLATE(B8650,""en"",""fr"")"),"Elle met les deux et se lève pour déplacer ses pieds.")</f>
        <v>Elle met les deux et se lève pour déplacer ses pieds.</v>
      </c>
    </row>
    <row r="8651">
      <c r="A8651" s="4" t="s">
        <v>10886</v>
      </c>
      <c r="B8651" s="6" t="s">
        <v>10887</v>
      </c>
      <c r="C8651" s="5" t="str">
        <f>IFERROR(__xludf.DUMMYFUNCTION("GOOGLETRANSLATE(B8651,""en"",""fr"")"),"Un homme est vu debout avant qu'un jeu de marelle tiré et commence à sauter sur le chemin tandis que les autres suivent.")</f>
        <v>Un homme est vu debout avant qu'un jeu de marelle tiré et commence à sauter sur le chemin tandis que les autres suivent.</v>
      </c>
    </row>
    <row r="8652">
      <c r="A8652" s="4" t="s">
        <v>10886</v>
      </c>
      <c r="B8652" s="6" t="s">
        <v>10888</v>
      </c>
      <c r="C8652" s="5" t="str">
        <f>IFERROR(__xludf.DUMMYFUNCTION("GOOGLETRANSLATE(B8652,""en"",""fr"")"),"La caméra continue de suivre l'homme alors qu'il saute sur le chemin et en capture plusieurs autres qui font de même.")</f>
        <v>La caméra continue de suivre l'homme alors qu'il saute sur le chemin et en capture plusieurs autres qui font de même.</v>
      </c>
    </row>
    <row r="8653">
      <c r="A8653" s="4" t="s">
        <v>10889</v>
      </c>
      <c r="B8653" s="4" t="s">
        <v>10890</v>
      </c>
      <c r="C8653" s="5" t="str">
        <f>IFERROR(__xludf.DUMMYFUNCTION("GOOGLETRANSLATE(B8653,""en"",""fr"")"),"Une personne se retourne dans son lit et regarde son téléphone.")</f>
        <v>Une personne se retourne dans son lit et regarde son téléphone.</v>
      </c>
    </row>
    <row r="8654">
      <c r="A8654" s="4" t="s">
        <v>10889</v>
      </c>
      <c r="B8654" s="4" t="s">
        <v>10891</v>
      </c>
      <c r="C8654" s="5" t="str">
        <f>IFERROR(__xludf.DUMMYFUNCTION("GOOGLETRANSLATE(B8654,""en"",""fr"")"),"Ils s'assoient sur leur lit et se frottent le visage.")</f>
        <v>Ils s'assoient sur leur lit et se frottent le visage.</v>
      </c>
    </row>
    <row r="8655">
      <c r="A8655" s="4" t="s">
        <v>10889</v>
      </c>
      <c r="B8655" s="4" t="s">
        <v>10892</v>
      </c>
      <c r="C8655" s="5" t="str">
        <f>IFERROR(__xludf.DUMMYFUNCTION("GOOGLETRANSLATE(B8655,""en"",""fr"")"),"Ils se lavent les mains et le visage.")</f>
        <v>Ils se lavent les mains et le visage.</v>
      </c>
    </row>
    <row r="8656">
      <c r="A8656" s="4" t="s">
        <v>10889</v>
      </c>
      <c r="B8656" s="4" t="s">
        <v>10893</v>
      </c>
      <c r="C8656" s="5" t="str">
        <f>IFERROR(__xludf.DUMMYFUNCTION("GOOGLETRANSLATE(B8656,""en"",""fr"")"),"Ils commencent le roller et font des astuces.")</f>
        <v>Ils commencent le roller et font des astuces.</v>
      </c>
    </row>
    <row r="8657">
      <c r="A8657" s="4" t="s">
        <v>10894</v>
      </c>
      <c r="B8657" s="4" t="s">
        <v>10895</v>
      </c>
      <c r="C8657" s="5" t="str">
        <f>IFERROR(__xludf.DUMMYFUNCTION("GOOGLETRANSLATE(B8657,""en"",""fr"")"),"Nous voyons une gymnaste pour une fille sur un faisceau d'équilibre se produire.")</f>
        <v>Nous voyons une gymnaste pour une fille sur un faisceau d'équilibre se produire.</v>
      </c>
    </row>
    <row r="8658">
      <c r="A8658" s="4" t="s">
        <v>10894</v>
      </c>
      <c r="B8658" s="4" t="s">
        <v>10896</v>
      </c>
      <c r="C8658" s="5" t="str">
        <f>IFERROR(__xludf.DUMMYFUNCTION("GOOGLETRANSLATE(B8658,""en"",""fr"")"),"La fille se prépare à faire un flip et tombe sur le bar et se fait mal.")</f>
        <v>La fille se prépare à faire un flip et tombe sur le bar et se fait mal.</v>
      </c>
    </row>
    <row r="8659">
      <c r="A8659" s="4" t="s">
        <v>10894</v>
      </c>
      <c r="B8659" s="4" t="s">
        <v>10897</v>
      </c>
      <c r="C8659" s="5" t="str">
        <f>IFERROR(__xludf.DUMMYFUNCTION("GOOGLETRANSLATE(B8659,""en"",""fr"")"),"La fille se tient en train de pleurer et une dame vient l'aider.")</f>
        <v>La fille se tient en train de pleurer et une dame vient l'aider.</v>
      </c>
    </row>
    <row r="8660">
      <c r="A8660" s="4" t="s">
        <v>10898</v>
      </c>
      <c r="B8660" s="4" t="s">
        <v>10899</v>
      </c>
      <c r="C8660" s="5" t="str">
        <f>IFERROR(__xludf.DUMMYFUNCTION("GOOGLETRANSLATE(B8660,""en"",""fr"")"),"Le maquillage est illustré sur une table.")</f>
        <v>Le maquillage est illustré sur une table.</v>
      </c>
    </row>
    <row r="8661">
      <c r="A8661" s="4" t="s">
        <v>10898</v>
      </c>
      <c r="B8661" s="4" t="s">
        <v>10900</v>
      </c>
      <c r="C8661" s="5" t="str">
        <f>IFERROR(__xludf.DUMMYFUNCTION("GOOGLETRANSLATE(B8661,""en"",""fr"")"),"Une femme s'assoit sur son lit et s'applique au maquillage sur son visage.")</f>
        <v>Une femme s'assoit sur son lit et s'applique au maquillage sur son visage.</v>
      </c>
    </row>
    <row r="8662">
      <c r="A8662" s="4" t="s">
        <v>10898</v>
      </c>
      <c r="B8662" s="4" t="s">
        <v>10901</v>
      </c>
      <c r="C8662" s="5" t="str">
        <f>IFERROR(__xludf.DUMMYFUNCTION("GOOGLETRANSLATE(B8662,""en"",""fr"")"),"Elle utilise une grande brosse pour appliquer de la poudre sur son visage.")</f>
        <v>Elle utilise une grande brosse pour appliquer de la poudre sur son visage.</v>
      </c>
    </row>
    <row r="8663">
      <c r="A8663" s="4" t="s">
        <v>10898</v>
      </c>
      <c r="B8663" s="4" t="s">
        <v>1972</v>
      </c>
      <c r="C8663" s="5" t="str">
        <f>IFERROR(__xludf.DUMMYFUNCTION("GOOGLETRANSLATE(B8663,""en"",""fr"")"),"Elle met du mascara sur ses cils.")</f>
        <v>Elle met du mascara sur ses cils.</v>
      </c>
    </row>
    <row r="8664">
      <c r="A8664" s="4" t="s">
        <v>10898</v>
      </c>
      <c r="B8664" s="4" t="s">
        <v>1971</v>
      </c>
      <c r="C8664" s="5" t="str">
        <f>IFERROR(__xludf.DUMMYFUNCTION("GOOGLETRANSLATE(B8664,""en"",""fr"")"),"Elle met le rouge à lèvres sur ses lèvres.")</f>
        <v>Elle met le rouge à lèvres sur ses lèvres.</v>
      </c>
    </row>
    <row r="8665">
      <c r="A8665" s="4" t="s">
        <v>10898</v>
      </c>
      <c r="B8665" s="4" t="s">
        <v>10902</v>
      </c>
      <c r="C8665" s="5" t="str">
        <f>IFERROR(__xludf.DUMMYFUNCTION("GOOGLETRANSLATE(B8665,""en"",""fr"")"),"Elle met un sac à dos et sort par la porte.")</f>
        <v>Elle met un sac à dos et sort par la porte.</v>
      </c>
    </row>
    <row r="8666">
      <c r="A8666" s="4" t="s">
        <v>10903</v>
      </c>
      <c r="B8666" s="6" t="s">
        <v>10904</v>
      </c>
      <c r="C8666" s="5" t="str">
        <f>IFERROR(__xludf.DUMMYFUNCTION("GOOGLETRANSLATE(B8666,""en"",""fr"")"),"Un homme s'approche d'une grande montagne, avec des amis, et le grimpe tout en étant attaché à une corde verte jusqu'à ce qu'il atteigne le sommet.")</f>
        <v>Un homme s'approche d'une grande montagne, avec des amis, et le grimpe tout en étant attaché à une corde verte jusqu'à ce qu'il atteigne le sommet.</v>
      </c>
    </row>
    <row r="8667">
      <c r="A8667" s="4" t="s">
        <v>10903</v>
      </c>
      <c r="B8667" s="6" t="s">
        <v>10905</v>
      </c>
      <c r="C8667" s="5" t="str">
        <f>IFERROR(__xludf.DUMMYFUNCTION("GOOGLETRANSLATE(B8667,""en"",""fr"")"),"Un groupe de jeunes s'approche de la base d'une montagne et posa ses affaires où ils sourient et se préparent à gravir la montagne.")</f>
        <v>Un groupe de jeunes s'approche de la base d'une montagne et posa ses affaires où ils sourient et se préparent à gravir la montagne.</v>
      </c>
    </row>
    <row r="8668">
      <c r="A8668" s="4" t="s">
        <v>10903</v>
      </c>
      <c r="B8668" s="6" t="s">
        <v>10906</v>
      </c>
      <c r="C8668" s="5" t="str">
        <f>IFERROR(__xludf.DUMMYFUNCTION("GOOGLETRANSLATE(B8668,""en"",""fr"")"),"Une longue corde verte est représentée sur un grand rocher, après quoi un homme dans des verres commence à gravir une montagne à l'aide de crochets métalliques dans la montagne et ses pieds pour gravir la montagne.")</f>
        <v>Une longue corde verte est représentée sur un grand rocher, après quoi un homme dans des verres commence à gravir une montagne à l'aide de crochets métalliques dans la montagne et ses pieds pour gravir la montagne.</v>
      </c>
    </row>
    <row r="8669">
      <c r="A8669" s="4" t="s">
        <v>10903</v>
      </c>
      <c r="B8669" s="4" t="s">
        <v>10907</v>
      </c>
      <c r="C8669" s="5" t="str">
        <f>IFERROR(__xludf.DUMMYFUNCTION("GOOGLETRANSLATE(B8669,""en"",""fr"")"),"L'homme sourit et donne à la caméra un coup de pouce quand il arrive au sommet de la montagne.")</f>
        <v>L'homme sourit et donne à la caméra un coup de pouce quand il arrive au sommet de la montagne.</v>
      </c>
    </row>
    <row r="8670">
      <c r="A8670" s="4" t="s">
        <v>10908</v>
      </c>
      <c r="B8670" s="4" t="s">
        <v>10909</v>
      </c>
      <c r="C8670" s="5" t="str">
        <f>IFERROR(__xludf.DUMMYFUNCTION("GOOGLETRANSLATE(B8670,""en"",""fr"")"),"Un homme et une femme sortent sur la jetée d'un bateau.")</f>
        <v>Un homme et une femme sortent sur la jetée d'un bateau.</v>
      </c>
    </row>
    <row r="8671">
      <c r="A8671" s="4" t="s">
        <v>10908</v>
      </c>
      <c r="B8671" s="4" t="s">
        <v>10910</v>
      </c>
      <c r="C8671" s="5" t="str">
        <f>IFERROR(__xludf.DUMMYFUNCTION("GOOGLETRANSLATE(B8671,""en"",""fr"")"),"Ils jouent à un jeu de balayage.")</f>
        <v>Ils jouent à un jeu de balayage.</v>
      </c>
    </row>
    <row r="8672">
      <c r="A8672" s="4" t="s">
        <v>10908</v>
      </c>
      <c r="B8672" s="4" t="s">
        <v>10911</v>
      </c>
      <c r="C8672" s="5" t="str">
        <f>IFERROR(__xludf.DUMMYFUNCTION("GOOGLETRANSLATE(B8672,""en"",""fr"")"),"La femme pousse la rondelle, qui glisse dans la caméra.")</f>
        <v>La femme pousse la rondelle, qui glisse dans la caméra.</v>
      </c>
    </row>
    <row r="8673">
      <c r="A8673" s="4" t="s">
        <v>10908</v>
      </c>
      <c r="B8673" s="4" t="s">
        <v>10912</v>
      </c>
      <c r="C8673" s="5" t="str">
        <f>IFERROR(__xludf.DUMMYFUNCTION("GOOGLETRANSLATE(B8673,""en"",""fr"")"),"La scène est répétée au ralenti.")</f>
        <v>La scène est répétée au ralenti.</v>
      </c>
    </row>
    <row r="8674">
      <c r="A8674" s="4" t="s">
        <v>10913</v>
      </c>
      <c r="B8674" s="4" t="s">
        <v>10914</v>
      </c>
      <c r="C8674" s="5" t="str">
        <f>IFERROR(__xludf.DUMMYFUNCTION("GOOGLETRANSLATE(B8674,""en"",""fr"")"),"Un homme en chemise blanche se tient à côté de barres parallèles.")</f>
        <v>Un homme en chemise blanche se tient à côté de barres parallèles.</v>
      </c>
    </row>
    <row r="8675">
      <c r="A8675" s="4" t="s">
        <v>10913</v>
      </c>
      <c r="B8675" s="4" t="s">
        <v>10915</v>
      </c>
      <c r="C8675" s="5" t="str">
        <f>IFERROR(__xludf.DUMMYFUNCTION("GOOGLETRANSLATE(B8675,""en"",""fr"")"),"Un garçon saute sur les barres parallèles et commence à se balancer d'avant en arrière.")</f>
        <v>Un garçon saute sur les barres parallèles et commence à se balancer d'avant en arrière.</v>
      </c>
    </row>
    <row r="8676">
      <c r="A8676" s="4" t="s">
        <v>10913</v>
      </c>
      <c r="B8676" s="4" t="s">
        <v>10916</v>
      </c>
      <c r="C8676" s="5" t="str">
        <f>IFERROR(__xludf.DUMMYFUNCTION("GOOGLETRANSLATE(B8676,""en"",""fr"")"),"Le garçon commence à faire une routine sur les barres parallèles.")</f>
        <v>Le garçon commence à faire une routine sur les barres parallèles.</v>
      </c>
    </row>
    <row r="8677">
      <c r="A8677" s="4" t="s">
        <v>10917</v>
      </c>
      <c r="B8677" s="4" t="s">
        <v>10918</v>
      </c>
      <c r="C8677" s="5" t="str">
        <f>IFERROR(__xludf.DUMMYFUNCTION("GOOGLETRANSLATE(B8677,""en"",""fr"")"),"Un homme est vu utiliser un chiffon humide sur une fenêtre et déplacer le nettoyant tout autour du verre.")</f>
        <v>Un homme est vu utiliser un chiffon humide sur une fenêtre et déplacer le nettoyant tout autour du verre.</v>
      </c>
    </row>
    <row r="8678">
      <c r="A8678" s="4" t="s">
        <v>10917</v>
      </c>
      <c r="B8678" s="6" t="s">
        <v>10919</v>
      </c>
      <c r="C8678" s="5" t="str">
        <f>IFERROR(__xludf.DUMMYFUNCTION("GOOGLETRANSLATE(B8678,""en"",""fr"")"),"Il plonge en permanence l'objet dans un nettoyage et nettoie tout autour du verre tout en utilisant un chiffon près derrière.")</f>
        <v>Il plonge en permanence l'objet dans un nettoyage et nettoie tout autour du verre tout en utilisant un chiffon près derrière.</v>
      </c>
    </row>
    <row r="8679">
      <c r="A8679" s="4" t="s">
        <v>10920</v>
      </c>
      <c r="B8679" s="4" t="s">
        <v>10921</v>
      </c>
      <c r="C8679" s="5" t="str">
        <f>IFERROR(__xludf.DUMMYFUNCTION("GOOGLETRANSLATE(B8679,""en"",""fr"")"),"Un homme tenant son kayak parle à la caméra.")</f>
        <v>Un homme tenant son kayak parle à la caméra.</v>
      </c>
    </row>
    <row r="8680">
      <c r="A8680" s="4" t="s">
        <v>10920</v>
      </c>
      <c r="B8680" s="4" t="s">
        <v>10922</v>
      </c>
      <c r="C8680" s="5" t="str">
        <f>IFERROR(__xludf.DUMMYFUNCTION("GOOGLETRANSLATE(B8680,""en"",""fr"")"),"Il est dans son kayak pagayant en aval.")</f>
        <v>Il est dans son kayak pagayant en aval.</v>
      </c>
    </row>
    <row r="8681">
      <c r="A8681" s="4" t="s">
        <v>10920</v>
      </c>
      <c r="B8681" s="4" t="s">
        <v>10923</v>
      </c>
      <c r="C8681" s="5" t="str">
        <f>IFERROR(__xludf.DUMMYFUNCTION("GOOGLETRANSLATE(B8681,""en"",""fr"")"),"Un autre rameur le dépasse et fait un flip.")</f>
        <v>Un autre rameur le dépasse et fait un flip.</v>
      </c>
    </row>
    <row r="8682">
      <c r="A8682" s="4" t="s">
        <v>10920</v>
      </c>
      <c r="B8682" s="4" t="s">
        <v>10924</v>
      </c>
      <c r="C8682" s="5" t="str">
        <f>IFERROR(__xludf.DUMMYFUNCTION("GOOGLETRANSLATE(B8682,""en"",""fr"")"),"Il parle à nouveau à la caméra.")</f>
        <v>Il parle à nouveau à la caméra.</v>
      </c>
    </row>
    <row r="8683">
      <c r="A8683" s="4" t="s">
        <v>10920</v>
      </c>
      <c r="B8683" s="4" t="s">
        <v>10925</v>
      </c>
      <c r="C8683" s="5" t="str">
        <f>IFERROR(__xludf.DUMMYFUNCTION("GOOGLETRANSLATE(B8683,""en"",""fr"")"),"Nous voyons le parking hors caméra.")</f>
        <v>Nous voyons le parking hors caméra.</v>
      </c>
    </row>
    <row r="8684">
      <c r="A8684" s="4" t="s">
        <v>10920</v>
      </c>
      <c r="B8684" s="4" t="s">
        <v>10926</v>
      </c>
      <c r="C8684" s="5" t="str">
        <f>IFERROR(__xludf.DUMMYFUNCTION("GOOGLETRANSLATE(B8684,""en"",""fr"")"),"De retour dans l'eau, passant une cascade.")</f>
        <v>De retour dans l'eau, passant une cascade.</v>
      </c>
    </row>
    <row r="8685">
      <c r="A8685" s="4" t="s">
        <v>10920</v>
      </c>
      <c r="B8685" s="4" t="s">
        <v>10927</v>
      </c>
      <c r="C8685" s="5" t="str">
        <f>IFERROR(__xludf.DUMMYFUNCTION("GOOGLETRANSLATE(B8685,""en"",""fr"")"),"Parler la tête à la caméra à nouveau.")</f>
        <v>Parler la tête à la caméra à nouveau.</v>
      </c>
    </row>
    <row r="8686">
      <c r="A8686" s="4" t="s">
        <v>10920</v>
      </c>
      <c r="B8686" s="4" t="s">
        <v>10928</v>
      </c>
      <c r="C8686" s="5" t="str">
        <f>IFERROR(__xludf.DUMMYFUNCTION("GOOGLETRANSLATE(B8686,""en"",""fr"")"),"Point de vue des tirs de son kayak.")</f>
        <v>Point de vue des tirs de son kayak.</v>
      </c>
    </row>
    <row r="8687">
      <c r="A8687" s="4" t="s">
        <v>10920</v>
      </c>
      <c r="B8687" s="4" t="s">
        <v>10929</v>
      </c>
      <c r="C8687" s="5" t="str">
        <f>IFERROR(__xludf.DUMMYFUNCTION("GOOGLETRANSLATE(B8687,""en"",""fr"")"),"Talking Head alors qu'il parle de manière très animée à la caméra.")</f>
        <v>Talking Head alors qu'il parle de manière très animée à la caméra.</v>
      </c>
    </row>
    <row r="8688">
      <c r="A8688" s="4" t="s">
        <v>10920</v>
      </c>
      <c r="B8688" s="4" t="s">
        <v>10930</v>
      </c>
      <c r="C8688" s="5" t="str">
        <f>IFERROR(__xludf.DUMMYFUNCTION("GOOGLETRANSLATE(B8688,""en"",""fr"")"),"Point de vue depuis le bateau après un autre rameur.")</f>
        <v>Point de vue depuis le bateau après un autre rameur.</v>
      </c>
    </row>
    <row r="8689">
      <c r="A8689" s="4" t="s">
        <v>10920</v>
      </c>
      <c r="B8689" s="6" t="s">
        <v>10931</v>
      </c>
      <c r="C8689" s="5" t="str">
        <f>IFERROR(__xludf.DUMMYFUNCTION("GOOGLETRANSLATE(B8689,""en"",""fr"")"),"La tête parlante entrecoupée de tirs de l'eau illustrant les techniques dont il parle dans ses coups de tête parlants.")</f>
        <v>La tête parlante entrecoupée de tirs de l'eau illustrant les techniques dont il parle dans ses coups de tête parlants.</v>
      </c>
    </row>
    <row r="8690">
      <c r="A8690" s="4" t="s">
        <v>10932</v>
      </c>
      <c r="B8690" s="6" t="s">
        <v>10933</v>
      </c>
      <c r="C8690" s="5" t="str">
        <f>IFERROR(__xludf.DUMMYFUNCTION("GOOGLETRANSLATE(B8690,""en"",""fr"")"),"Deux personnes sont vues les unes aux autres et mènent à un homme debout sur le bord et sautant.")</f>
        <v>Deux personnes sont vues les unes aux autres et mènent à un homme debout sur le bord et sautant.</v>
      </c>
    </row>
    <row r="8691">
      <c r="A8691" s="4" t="s">
        <v>10932</v>
      </c>
      <c r="B8691" s="6" t="s">
        <v>10934</v>
      </c>
      <c r="C8691" s="5" t="str">
        <f>IFERROR(__xludf.DUMMYFUNCTION("GOOGLETRANSLATE(B8691,""en"",""fr"")"),"Le saut de l'homme est montré plusieurs fois à partir d'un appareil photo différent alors qu'il saute du côté et recule.")</f>
        <v>Le saut de l'homme est montré plusieurs fois à partir d'un appareil photo différent alors qu'il saute du côté et recule.</v>
      </c>
    </row>
    <row r="8692">
      <c r="A8692" s="4" t="s">
        <v>10935</v>
      </c>
      <c r="B8692" s="4" t="s">
        <v>10936</v>
      </c>
      <c r="C8692" s="5" t="str">
        <f>IFERROR(__xludf.DUMMYFUNCTION("GOOGLETRANSLATE(B8692,""en"",""fr"")"),"Un groupe de personnes construit des châteaux de sable sur la plage.")</f>
        <v>Un groupe de personnes construit des châteaux de sable sur la plage.</v>
      </c>
    </row>
    <row r="8693">
      <c r="A8693" s="4" t="s">
        <v>10935</v>
      </c>
      <c r="B8693" s="4" t="s">
        <v>10937</v>
      </c>
      <c r="C8693" s="5" t="str">
        <f>IFERROR(__xludf.DUMMYFUNCTION("GOOGLETRANSLATE(B8693,""en"",""fr"")"),"Une fille salue la caméra.")</f>
        <v>Une fille salue la caméra.</v>
      </c>
    </row>
    <row r="8694">
      <c r="A8694" s="4" t="s">
        <v>10935</v>
      </c>
      <c r="B8694" s="4" t="s">
        <v>10938</v>
      </c>
      <c r="C8694" s="5" t="str">
        <f>IFERROR(__xludf.DUMMYFUNCTION("GOOGLETRANSLATE(B8694,""en"",""fr"")"),"Un homme est vu creuser dans le sable.")</f>
        <v>Un homme est vu creuser dans le sable.</v>
      </c>
    </row>
    <row r="8695">
      <c r="A8695" s="4" t="s">
        <v>10935</v>
      </c>
      <c r="B8695" s="4" t="s">
        <v>10939</v>
      </c>
      <c r="C8695" s="5" t="str">
        <f>IFERROR(__xludf.DUMMYFUNCTION("GOOGLETRANSLATE(B8695,""en"",""fr"")"),"Une fille est vue en regardant à travers un sac de plage.")</f>
        <v>Une fille est vue en regardant à travers un sac de plage.</v>
      </c>
    </row>
    <row r="8696">
      <c r="A8696" s="4" t="s">
        <v>10935</v>
      </c>
      <c r="B8696" s="4" t="s">
        <v>10940</v>
      </c>
      <c r="C8696" s="5" t="str">
        <f>IFERROR(__xludf.DUMMYFUNCTION("GOOGLETRANSLATE(B8696,""en"",""fr"")"),"La fille trouve ce qu'elle recherche.")</f>
        <v>La fille trouve ce qu'elle recherche.</v>
      </c>
    </row>
    <row r="8697">
      <c r="A8697" s="4" t="s">
        <v>10941</v>
      </c>
      <c r="B8697" s="4" t="s">
        <v>10942</v>
      </c>
      <c r="C8697" s="5" t="str">
        <f>IFERROR(__xludf.DUMMYFUNCTION("GOOGLETRANSLATE(B8697,""en"",""fr"")"),"Nous voyons deux images de toit côte à côte.")</f>
        <v>Nous voyons deux images de toit côte à côte.</v>
      </c>
    </row>
    <row r="8698">
      <c r="A8698" s="4" t="s">
        <v>10941</v>
      </c>
      <c r="B8698" s="4" t="s">
        <v>10943</v>
      </c>
      <c r="C8698" s="5" t="str">
        <f>IFERROR(__xludf.DUMMYFUNCTION("GOOGLETRANSLATE(B8698,""en"",""fr"")"),"Nous voyons ensuite des images d'un toit.")</f>
        <v>Nous voyons ensuite des images d'un toit.</v>
      </c>
    </row>
    <row r="8699">
      <c r="A8699" s="4" t="s">
        <v>10941</v>
      </c>
      <c r="B8699" s="4" t="s">
        <v>10944</v>
      </c>
      <c r="C8699" s="5" t="str">
        <f>IFERROR(__xludf.DUMMYFUNCTION("GOOGLETRANSLATE(B8699,""en"",""fr"")"),"Nous voyons le toit de près et voyons la mousse pousser dessus.")</f>
        <v>Nous voyons le toit de près et voyons la mousse pousser dessus.</v>
      </c>
    </row>
    <row r="8700">
      <c r="A8700" s="4" t="s">
        <v>10941</v>
      </c>
      <c r="B8700" s="4" t="s">
        <v>10945</v>
      </c>
      <c r="C8700" s="5" t="str">
        <f>IFERROR(__xludf.DUMMYFUNCTION("GOOGLETRANSLATE(B8700,""en"",""fr"")"),"Nous voyons l'isolation et le toit lorsqu'il est installé.")</f>
        <v>Nous voyons l'isolation et le toit lorsqu'il est installé.</v>
      </c>
    </row>
    <row r="8701">
      <c r="A8701" s="4" t="s">
        <v>10941</v>
      </c>
      <c r="B8701" s="4" t="s">
        <v>10946</v>
      </c>
      <c r="C8701" s="5" t="str">
        <f>IFERROR(__xludf.DUMMYFUNCTION("GOOGLETRANSLATE(B8701,""en"",""fr"")"),"Un homme baise le toit en place.")</f>
        <v>Un homme baise le toit en place.</v>
      </c>
    </row>
    <row r="8702">
      <c r="A8702" s="4" t="s">
        <v>10941</v>
      </c>
      <c r="B8702" s="4" t="s">
        <v>10947</v>
      </c>
      <c r="C8702" s="5" t="str">
        <f>IFERROR(__xludf.DUMMYFUNCTION("GOOGLETRANSLATE(B8702,""en"",""fr"")"),"Nous voyons le nouveau toit fini.")</f>
        <v>Nous voyons le nouveau toit fini.</v>
      </c>
    </row>
    <row r="8703">
      <c r="A8703" s="4" t="s">
        <v>10941</v>
      </c>
      <c r="B8703" s="4" t="s">
        <v>10948</v>
      </c>
      <c r="C8703" s="5" t="str">
        <f>IFERROR(__xludf.DUMMYFUNCTION("GOOGLETRANSLATE(B8703,""en"",""fr"")"),"Nous voyons les crédits d'écran de fin.")</f>
        <v>Nous voyons les crédits d'écran de fin.</v>
      </c>
    </row>
    <row r="8704">
      <c r="A8704" s="4" t="s">
        <v>10949</v>
      </c>
      <c r="B8704" s="6" t="s">
        <v>10950</v>
      </c>
      <c r="C8704" s="5" t="str">
        <f>IFERROR(__xludf.DUMMYFUNCTION("GOOGLETRANSLATE(B8704,""en"",""fr"")"),"Une personne se tient sur ses mains sur un trampoline au-dessus d'une piscine, puis le garçon se retourne dans l'air et plonge dans l'eau.")</f>
        <v>Une personne se tient sur ses mains sur un trampoline au-dessus d'une piscine, puis le garçon se retourne dans l'air et plonge dans l'eau.</v>
      </c>
    </row>
    <row r="8705">
      <c r="A8705" s="4" t="s">
        <v>10949</v>
      </c>
      <c r="B8705" s="6" t="s">
        <v>10951</v>
      </c>
      <c r="C8705" s="5" t="str">
        <f>IFERROR(__xludf.DUMMYFUNCTION("GOOGLETRANSLATE(B8705,""en"",""fr"")"),"Après, le garçon se tient sur le trampoline avec le dos face à la piscine, puis saute, se retourne et plonge dans l'eau.")</f>
        <v>Après, le garçon se tient sur le trampoline avec le dos face à la piscine, puis saute, se retourne et plonge dans l'eau.</v>
      </c>
    </row>
    <row r="8706">
      <c r="A8706" s="4" t="s">
        <v>10949</v>
      </c>
      <c r="B8706" s="6" t="s">
        <v>10952</v>
      </c>
      <c r="C8706" s="5" t="str">
        <f>IFERROR(__xludf.DUMMYFUNCTION("GOOGLETRANSLATE(B8706,""en"",""fr"")"),"Maintenant, le garçon se tient sur le trampoline face à la piscine, puis saute, se retourne et plonge dans l'eau, puis faites de même mais cette fois avec le dos face à la piscine.")</f>
        <v>Maintenant, le garçon se tient sur le trampoline face à la piscine, puis saute, se retourne et plonge dans l'eau, puis faites de même mais cette fois avec le dos face à la piscine.</v>
      </c>
    </row>
    <row r="8707">
      <c r="A8707" s="4" t="s">
        <v>10949</v>
      </c>
      <c r="B8707" s="6" t="s">
        <v>10953</v>
      </c>
      <c r="C8707" s="5" t="str">
        <f>IFERROR(__xludf.DUMMYFUNCTION("GOOGLETRANSLATE(B8707,""en"",""fr"")"),"À la fin, le garçon entre dans le trampoline en cours d'exécution et se retourne dans l'air, puis il se tient sur le trampoline et se retourne et met fin à la plongée dans l'eau.")</f>
        <v>À la fin, le garçon entre dans le trampoline en cours d'exécution et se retourne dans l'air, puis il se tient sur le trampoline et se retourne et met fin à la plongée dans l'eau.</v>
      </c>
    </row>
    <row r="8708">
      <c r="A8708" s="4" t="s">
        <v>10954</v>
      </c>
      <c r="B8708" s="6" t="s">
        <v>10955</v>
      </c>
      <c r="C8708" s="5" t="str">
        <f>IFERROR(__xludf.DUMMYFUNCTION("GOOGLETRANSLATE(B8708,""en"",""fr"")"),"Un homme est vu parler à l'appareil photo tout en menant à diverses photos de parler ainsi que de fumer.")</f>
        <v>Un homme est vu parler à l'appareil photo tout en menant à diverses photos de parler ainsi que de fumer.</v>
      </c>
    </row>
    <row r="8709">
      <c r="A8709" s="4" t="s">
        <v>10954</v>
      </c>
      <c r="B8709" s="6" t="s">
        <v>10956</v>
      </c>
      <c r="C8709" s="5" t="str">
        <f>IFERROR(__xludf.DUMMYFUNCTION("GOOGLETRANSLATE(B8709,""en"",""fr"")"),"L'homme continue de parler tout en montrant des images par intermittence de tabagisme et de cigarettes.")</f>
        <v>L'homme continue de parler tout en montrant des images par intermittence de tabagisme et de cigarettes.</v>
      </c>
    </row>
    <row r="8710">
      <c r="A8710" s="4" t="s">
        <v>10957</v>
      </c>
      <c r="B8710" s="4" t="s">
        <v>10958</v>
      </c>
      <c r="C8710" s="5" t="str">
        <f>IFERROR(__xludf.DUMMYFUNCTION("GOOGLETRANSLATE(B8710,""en"",""fr"")"),"Un homme se tient près de sa voiture montée sur glace.")</f>
        <v>Un homme se tient près de sa voiture montée sur glace.</v>
      </c>
    </row>
    <row r="8711">
      <c r="A8711" s="4" t="s">
        <v>10957</v>
      </c>
      <c r="B8711" s="4" t="s">
        <v>10959</v>
      </c>
      <c r="C8711" s="5" t="str">
        <f>IFERROR(__xludf.DUMMYFUNCTION("GOOGLETRANSLATE(B8711,""en"",""fr"")"),"Il ramène la feuille entière sur le sol, la regardant se briser.")</f>
        <v>Il ramène la feuille entière sur le sol, la regardant se briser.</v>
      </c>
    </row>
    <row r="8712">
      <c r="A8712" s="4" t="s">
        <v>10960</v>
      </c>
      <c r="B8712" s="6" t="s">
        <v>10961</v>
      </c>
      <c r="C8712" s="5" t="str">
        <f>IFERROR(__xludf.DUMMYFUNCTION("GOOGLETRANSLATE(B8712,""en"",""fr"")"),"Une gymnaste effectue une routine de gymnastique de faisceau d'équilibre dans un événement sportif professionnel avec un public dans les gradins.")</f>
        <v>Une gymnaste effectue une routine de gymnastique de faisceau d'équilibre dans un événement sportif professionnel avec un public dans les gradins.</v>
      </c>
    </row>
    <row r="8713">
      <c r="A8713" s="4" t="s">
        <v>10960</v>
      </c>
      <c r="B8713" s="6" t="s">
        <v>10962</v>
      </c>
      <c r="C8713" s="5" t="str">
        <f>IFERROR(__xludf.DUMMYFUNCTION("GOOGLETRANSLATE(B8713,""en"",""fr"")"),"Une fille se tient devant une poutre d'équilibre dans une tenue de gymnaste et saute sur le faisceau où elle commence à exécuter une routine de gymnastique sur le faisceau d'équilibre.")</f>
        <v>Une fille se tient devant une poutre d'équilibre dans une tenue de gymnaste et saute sur le faisceau où elle commence à exécuter une routine de gymnastique sur le faisceau d'équilibre.</v>
      </c>
    </row>
    <row r="8714">
      <c r="A8714" s="4" t="s">
        <v>10960</v>
      </c>
      <c r="B8714" s="6" t="s">
        <v>10963</v>
      </c>
      <c r="C8714" s="5" t="str">
        <f>IFERROR(__xludf.DUMMYFUNCTION("GOOGLETRANSLATE(B8714,""en"",""fr"")"),"La fille se tient sur le faisceau et effectue des flips en arrière sur le faisceau avant d'atterrir un dernier retour du dos du faisceau où elle atterrit sur un tapis et sort de la zone devant un public des gradins.")</f>
        <v>La fille se tient sur le faisceau et effectue des flips en arrière sur le faisceau avant d'atterrir un dernier retour du dos du faisceau où elle atterrit sur un tapis et sort de la zone devant un public des gradins.</v>
      </c>
    </row>
    <row r="8715">
      <c r="A8715" s="4" t="s">
        <v>10964</v>
      </c>
      <c r="B8715" s="4" t="s">
        <v>10965</v>
      </c>
      <c r="C8715" s="5" t="str">
        <f>IFERROR(__xludf.DUMMYFUNCTION("GOOGLETRANSLATE(B8715,""en"",""fr"")"),"Une femme se réforme devant un tribunal dans un gymnase de basket-ball.")</f>
        <v>Une femme se réforme devant un tribunal dans un gymnase de basket-ball.</v>
      </c>
    </row>
    <row r="8716">
      <c r="A8716" s="4" t="s">
        <v>10964</v>
      </c>
      <c r="B8716" s="4" t="s">
        <v>10966</v>
      </c>
      <c r="C8716" s="5" t="str">
        <f>IFERROR(__xludf.DUMMYFUNCTION("GOOGLETRANSLATE(B8716,""en"",""fr"")"),"Elle est une majeurtte, retournant et jetant son bâton en l'air.")</f>
        <v>Elle est une majeurtte, retournant et jetant son bâton en l'air.</v>
      </c>
    </row>
    <row r="8717">
      <c r="A8717" s="4" t="s">
        <v>10964</v>
      </c>
      <c r="B8717" s="4" t="s">
        <v>10967</v>
      </c>
      <c r="C8717" s="5" t="str">
        <f>IFERROR(__xludf.DUMMYFUNCTION("GOOGLETRANSLATE(B8717,""en"",""fr"")"),"La foule regarde qu'elle se retourne, lance et se retourne.")</f>
        <v>La foule regarde qu'elle se retourne, lance et se retourne.</v>
      </c>
    </row>
    <row r="8718">
      <c r="A8718" s="4" t="s">
        <v>10968</v>
      </c>
      <c r="B8718" s="6" t="s">
        <v>10969</v>
      </c>
      <c r="C8718" s="5" t="str">
        <f>IFERROR(__xludf.DUMMYFUNCTION("GOOGLETRANSLATE(B8718,""en"",""fr"")"),"Plusieurs clips courts jouent des mouvements de hockey différents et les noms des mouvements apparaissent avec lui à l'écran.")</f>
        <v>Plusieurs clips courts jouent des mouvements de hockey différents et les noms des mouvements apparaissent avec lui à l'écran.</v>
      </c>
    </row>
    <row r="8719">
      <c r="A8719" s="4" t="s">
        <v>10968</v>
      </c>
      <c r="B8719" s="6" t="s">
        <v>10970</v>
      </c>
      <c r="C8719" s="5" t="str">
        <f>IFERROR(__xludf.DUMMYFUNCTION("GOOGLETRANSLATE(B8719,""en"",""fr"")"),"Lorsque les clips sont effectués dans l'écran d'intro qui apparaît avec un nuage et le terrain de hockey en toile de fond, le logo de la LNH et les mots ""compétences de hockey"".")</f>
        <v>Lorsque les clips sont effectués dans l'écran d'intro qui apparaît avec un nuage et le terrain de hockey en toile de fond, le logo de la LNH et les mots "compétences de hockey".</v>
      </c>
    </row>
    <row r="8720">
      <c r="A8720" s="4" t="s">
        <v>10968</v>
      </c>
      <c r="B8720" s="6" t="s">
        <v>10971</v>
      </c>
      <c r="C8720" s="5" t="str">
        <f>IFERROR(__xludf.DUMMYFUNCTION("GOOGLETRANSLATE(B8720,""en"",""fr"")"),"Un groupe de personnes portant tout leur équipement de hockey se tient debout ou s'agenouillent sur le sol tandis que le regard sur un homme qui se tient et parle sans casque sur sa tête et que les mots à l'écran disent que son nom est ""Kevin Weekes"".")</f>
        <v>Un groupe de personnes portant tout leur équipement de hockey se tient debout ou s'agenouillent sur le sol tandis que le regard sur un homme qui se tient et parle sans casque sur sa tête et que les mots à l'écran disent que son nom est "Kevin Weekes".</v>
      </c>
    </row>
    <row r="8721">
      <c r="A8721" s="4" t="s">
        <v>10968</v>
      </c>
      <c r="B8721" s="6" t="s">
        <v>10972</v>
      </c>
      <c r="C8721" s="5" t="str">
        <f>IFERROR(__xludf.DUMMYFUNCTION("GOOGLETRANSLATE(B8721,""en"",""fr"")"),"L'homme commence à démontrer plusieurs mouvements différents près de l'objectif et il continue de parler tout au long des manifestations alors que le reste des gens le regardent.")</f>
        <v>L'homme commence à démontrer plusieurs mouvements différents près de l'objectif et il continue de parler tout au long des manifestations alors que le reste des gens le regardent.</v>
      </c>
    </row>
    <row r="8722">
      <c r="A8722" s="4" t="s">
        <v>10968</v>
      </c>
      <c r="B8722" s="6" t="s">
        <v>10973</v>
      </c>
      <c r="C8722" s="5" t="str">
        <f>IFERROR(__xludf.DUMMYFUNCTION("GOOGLETRANSLATE(B8722,""en"",""fr"")"),"Lorsque l'homme a fini de parler et de démontrer que d'autres personnes du groupe montent à l'objectif séparément et ils font chacun ce qu'ils manifestent.")</f>
        <v>Lorsque l'homme a fini de parler et de démontrer que d'autres personnes du groupe montent à l'objectif séparément et ils font chacun ce qu'ils manifestent.</v>
      </c>
    </row>
    <row r="8723">
      <c r="A8723" s="4" t="s">
        <v>10968</v>
      </c>
      <c r="B8723" s="6" t="s">
        <v>10974</v>
      </c>
      <c r="C8723" s="5" t="str">
        <f>IFERROR(__xludf.DUMMYFUNCTION("GOOGLETRANSLATE(B8723,""en"",""fr"")"),"Un écran apparaît avec une toile de fond de nuages ​​sur le dessus et la patinoire de hockey en bas avec le logo au milieu et les mots ""compétences de hockey"".")</f>
        <v>Un écran apparaît avec une toile de fond de nuages ​​sur le dessus et la patinoire de hockey en bas avec le logo au milieu et les mots "compétences de hockey".</v>
      </c>
    </row>
    <row r="8724">
      <c r="A8724" s="4" t="s">
        <v>10975</v>
      </c>
      <c r="B8724" s="4" t="s">
        <v>10976</v>
      </c>
      <c r="C8724" s="5" t="str">
        <f>IFERROR(__xludf.DUMMYFUNCTION("GOOGLETRANSLATE(B8724,""en"",""fr"")"),"Une femme est vue montrant un verre de miel.")</f>
        <v>Une femme est vue montrant un verre de miel.</v>
      </c>
    </row>
    <row r="8725">
      <c r="A8725" s="4" t="s">
        <v>10975</v>
      </c>
      <c r="B8725" s="4" t="s">
        <v>10977</v>
      </c>
      <c r="C8725" s="5" t="str">
        <f>IFERROR(__xludf.DUMMYFUNCTION("GOOGLETRANSLATE(B8725,""en"",""fr"")"),"Elle montre la bouteille de miel ainsi qu'un bol d'eau et une serviette.")</f>
        <v>Elle montre la bouteille de miel ainsi qu'un bol d'eau et une serviette.</v>
      </c>
    </row>
    <row r="8726">
      <c r="A8726" s="4" t="s">
        <v>10975</v>
      </c>
      <c r="B8726" s="4" t="s">
        <v>10978</v>
      </c>
      <c r="C8726" s="5" t="str">
        <f>IFERROR(__xludf.DUMMYFUNCTION("GOOGLETRANSLATE(B8726,""en"",""fr"")"),"Elle montre ses cheveux tirés en arrière.")</f>
        <v>Elle montre ses cheveux tirés en arrière.</v>
      </c>
    </row>
    <row r="8727">
      <c r="A8727" s="4" t="s">
        <v>10975</v>
      </c>
      <c r="B8727" s="4" t="s">
        <v>10979</v>
      </c>
      <c r="C8727" s="5" t="str">
        <f>IFERROR(__xludf.DUMMYFUNCTION("GOOGLETRANSLATE(B8727,""en"",""fr"")"),"Elle ouvre la bouteille de miel et de lathers sur son visage.")</f>
        <v>Elle ouvre la bouteille de miel et de lathers sur son visage.</v>
      </c>
    </row>
    <row r="8728">
      <c r="A8728" s="4" t="s">
        <v>10975</v>
      </c>
      <c r="B8728" s="4" t="s">
        <v>10980</v>
      </c>
      <c r="C8728" s="5" t="str">
        <f>IFERROR(__xludf.DUMMYFUNCTION("GOOGLETRANSLATE(B8728,""en"",""fr"")"),"Elle tient un chat.")</f>
        <v>Elle tient un chat.</v>
      </c>
    </row>
    <row r="8729">
      <c r="A8729" s="4" t="s">
        <v>10975</v>
      </c>
      <c r="B8729" s="4" t="s">
        <v>10981</v>
      </c>
      <c r="C8729" s="5" t="str">
        <f>IFERROR(__xludf.DUMMYFUNCTION("GOOGLETRANSLATE(B8729,""en"",""fr"")"),"Elle retourne à se mouiller et attend en prévision.")</f>
        <v>Elle retourne à se mouiller et attend en prévision.</v>
      </c>
    </row>
    <row r="8730">
      <c r="A8730" s="4" t="s">
        <v>10975</v>
      </c>
      <c r="B8730" s="4" t="s">
        <v>10982</v>
      </c>
      <c r="C8730" s="5" t="str">
        <f>IFERROR(__xludf.DUMMYFUNCTION("GOOGLETRANSLATE(B8730,""en"",""fr"")"),"Pendant qu'elle attend, elle joue des instruments et avec son chat.")</f>
        <v>Pendant qu'elle attend, elle joue des instruments et avec son chat.</v>
      </c>
    </row>
    <row r="8731">
      <c r="A8731" s="4" t="s">
        <v>10975</v>
      </c>
      <c r="B8731" s="4" t="s">
        <v>10983</v>
      </c>
      <c r="C8731" s="5" t="str">
        <f>IFERROR(__xludf.DUMMYFUNCTION("GOOGLETRANSLATE(B8731,""en"",""fr"")"),"Enfin, elle rince le visage avec de l'eau et sèche son visage avec une serviette.")</f>
        <v>Enfin, elle rince le visage avec de l'eau et sèche son visage avec une serviette.</v>
      </c>
    </row>
    <row r="8732">
      <c r="A8732" s="4" t="s">
        <v>10975</v>
      </c>
      <c r="B8732" s="4" t="s">
        <v>10984</v>
      </c>
      <c r="C8732" s="5" t="str">
        <f>IFERROR(__xludf.DUMMYFUNCTION("GOOGLETRANSLATE(B8732,""en"",""fr"")"),"Elle montre fièrement sa bouteille de miel.")</f>
        <v>Elle montre fièrement sa bouteille de miel.</v>
      </c>
    </row>
    <row r="8733">
      <c r="A8733" s="4" t="s">
        <v>10985</v>
      </c>
      <c r="B8733" s="4" t="s">
        <v>10986</v>
      </c>
      <c r="C8733" s="5" t="str">
        <f>IFERROR(__xludf.DUMMYFUNCTION("GOOGLETRANSLATE(B8733,""en"",""fr"")"),"Une gymnaste se tient près d'un bar avec ses mains en l'air.")</f>
        <v>Une gymnaste se tient près d'un bar avec ses mains en l'air.</v>
      </c>
    </row>
    <row r="8734">
      <c r="A8734" s="4" t="s">
        <v>10985</v>
      </c>
      <c r="B8734" s="4" t="s">
        <v>10987</v>
      </c>
      <c r="C8734" s="5" t="str">
        <f>IFERROR(__xludf.DUMMYFUNCTION("GOOGLETRANSLATE(B8734,""en"",""fr"")"),"La fille monte sur le bar et se produit.")</f>
        <v>La fille monte sur le bar et se produit.</v>
      </c>
    </row>
    <row r="8735">
      <c r="A8735" s="4" t="s">
        <v>10985</v>
      </c>
      <c r="B8735" s="4" t="s">
        <v>10988</v>
      </c>
      <c r="C8735" s="5" t="str">
        <f>IFERROR(__xludf.DUMMYFUNCTION("GOOGLETRANSLATE(B8735,""en"",""fr"")"),"La fille se retourne sur le bar.")</f>
        <v>La fille se retourne sur le bar.</v>
      </c>
    </row>
    <row r="8736">
      <c r="A8736" s="4" t="s">
        <v>10985</v>
      </c>
      <c r="B8736" s="4" t="s">
        <v>10989</v>
      </c>
      <c r="C8736" s="5" t="str">
        <f>IFERROR(__xludf.DUMMYFUNCTION("GOOGLETRANSLATE(B8736,""en"",""fr"")"),"La fille effectue 2 flips et tombe presque du bar.")</f>
        <v>La fille effectue 2 flips et tombe presque du bar.</v>
      </c>
    </row>
    <row r="8737">
      <c r="A8737" s="4" t="s">
        <v>10985</v>
      </c>
      <c r="B8737" s="4" t="s">
        <v>10990</v>
      </c>
      <c r="C8737" s="5" t="str">
        <f>IFERROR(__xludf.DUMMYFUNCTION("GOOGLETRANSLATE(B8737,""en"",""fr"")"),"La fille fait 2 flips parfaits.")</f>
        <v>La fille fait 2 flips parfaits.</v>
      </c>
    </row>
    <row r="8738">
      <c r="A8738" s="4" t="s">
        <v>10985</v>
      </c>
      <c r="B8738" s="4" t="s">
        <v>10991</v>
      </c>
      <c r="C8738" s="5" t="str">
        <f>IFERROR(__xludf.DUMMYFUNCTION("GOOGLETRANSLATE(B8738,""en"",""fr"")"),"Les filles retournent, puis courent, retournent et démontes.")</f>
        <v>Les filles retournent, puis courent, retournent et démontes.</v>
      </c>
    </row>
    <row r="8739">
      <c r="A8739" s="4" t="s">
        <v>10985</v>
      </c>
      <c r="B8739" s="4" t="s">
        <v>10992</v>
      </c>
      <c r="C8739" s="5" t="str">
        <f>IFERROR(__xludf.DUMMYFUNCTION("GOOGLETRANSLATE(B8739,""en"",""fr"")"),"Le nuage claque alors qu'elle s'éloigne.")</f>
        <v>Le nuage claque alors qu'elle s'éloigne.</v>
      </c>
    </row>
    <row r="8740">
      <c r="A8740" s="4" t="s">
        <v>10993</v>
      </c>
      <c r="B8740" s="4" t="s">
        <v>10994</v>
      </c>
      <c r="C8740" s="5" t="str">
        <f>IFERROR(__xludf.DUMMYFUNCTION("GOOGLETRANSLATE(B8740,""en"",""fr"")"),"Une femme blonde est allongée sur une table alors qu'un tatoueur met un design sur son bassin.")</f>
        <v>Une femme blonde est allongée sur une table alors qu'un tatoueur met un design sur son bassin.</v>
      </c>
    </row>
    <row r="8741">
      <c r="A8741" s="4" t="s">
        <v>10993</v>
      </c>
      <c r="B8741" s="4" t="s">
        <v>10995</v>
      </c>
      <c r="C8741" s="5" t="str">
        <f>IFERROR(__xludf.DUMMYFUNCTION("GOOGLETRANSLATE(B8741,""en"",""fr"")"),"Elle grince de douleur pendant qu'il travaille.")</f>
        <v>Elle grince de douleur pendant qu'il travaille.</v>
      </c>
    </row>
    <row r="8742">
      <c r="A8742" s="4" t="s">
        <v>10993</v>
      </c>
      <c r="B8742" s="4" t="s">
        <v>10996</v>
      </c>
      <c r="C8742" s="5" t="str">
        <f>IFERROR(__xludf.DUMMYFUNCTION("GOOGLETRANSLATE(B8742,""en"",""fr"")"),"Nous voyons un gros plan temporaire de son abdomen soulevant alors qu'il continue.")</f>
        <v>Nous voyons un gros plan temporaire de son abdomen soulevant alors qu'il continue.</v>
      </c>
    </row>
    <row r="8743">
      <c r="A8743" s="4" t="s">
        <v>10997</v>
      </c>
      <c r="B8743" s="4" t="s">
        <v>10998</v>
      </c>
      <c r="C8743" s="5" t="str">
        <f>IFERROR(__xludf.DUMMYFUNCTION("GOOGLETRANSLATE(B8743,""en"",""fr"")"),"Le texte est affiché sur l'écran suivi d'un homme à genoux dans la saleté.")</f>
        <v>Le texte est affiché sur l'écran suivi d'un homme à genoux dans la saleté.</v>
      </c>
    </row>
    <row r="8744">
      <c r="A8744" s="4" t="s">
        <v>10997</v>
      </c>
      <c r="B8744" s="4" t="s">
        <v>10999</v>
      </c>
      <c r="C8744" s="5" t="str">
        <f>IFERROR(__xludf.DUMMYFUNCTION("GOOGLETRANSLATE(B8744,""en"",""fr"")"),"L'homme utilisant une torche pour allumer une étincelle sur la machine devant lui.")</f>
        <v>L'homme utilisant une torche pour allumer une étincelle sur la machine devant lui.</v>
      </c>
    </row>
    <row r="8745">
      <c r="A8745" s="4" t="s">
        <v>10997</v>
      </c>
      <c r="B8745" s="4" t="s">
        <v>11000</v>
      </c>
      <c r="C8745" s="5" t="str">
        <f>IFERROR(__xludf.DUMMYFUNCTION("GOOGLETRANSLATE(B8745,""en"",""fr"")"),"Il s'arrête pour regarder la caméra.")</f>
        <v>Il s'arrête pour regarder la caméra.</v>
      </c>
    </row>
    <row r="8746">
      <c r="A8746" s="4" t="s">
        <v>11001</v>
      </c>
      <c r="B8746" s="4" t="s">
        <v>11002</v>
      </c>
      <c r="C8746" s="5" t="str">
        <f>IFERROR(__xludf.DUMMYFUNCTION("GOOGLETRANSLATE(B8746,""en"",""fr"")"),"Une planche de fléchette est indiquée contre un mur.")</f>
        <v>Une planche de fléchette est indiquée contre un mur.</v>
      </c>
    </row>
    <row r="8747">
      <c r="A8747" s="4" t="s">
        <v>11001</v>
      </c>
      <c r="B8747" s="4" t="s">
        <v>11003</v>
      </c>
      <c r="C8747" s="5" t="str">
        <f>IFERROR(__xludf.DUMMYFUNCTION("GOOGLETRANSLATE(B8747,""en"",""fr"")"),"Un homme lève le bras au ralenti, jetant des fléchettes les unes après les autres au conseil d'administration.")</f>
        <v>Un homme lève le bras au ralenti, jetant des fléchettes les unes après les autres au conseil d'administration.</v>
      </c>
    </row>
    <row r="8748">
      <c r="A8748" s="4" t="s">
        <v>11001</v>
      </c>
      <c r="B8748" s="4" t="s">
        <v>11004</v>
      </c>
      <c r="C8748" s="5" t="str">
        <f>IFERROR(__xludf.DUMMYFUNCTION("GOOGLETRANSLATE(B8748,""en"",""fr"")"),"Il se dirige vers le conseil d'administration et l'atteint.")</f>
        <v>Il se dirige vers le conseil d'administration et l'atteint.</v>
      </c>
    </row>
    <row r="8749">
      <c r="A8749" s="4" t="s">
        <v>11005</v>
      </c>
      <c r="B8749" s="4" t="s">
        <v>11006</v>
      </c>
      <c r="C8749" s="5" t="str">
        <f>IFERROR(__xludf.DUMMYFUNCTION("GOOGLETRANSLATE(B8749,""en"",""fr"")"),"Une voiture rouge est montrée avec les mots lavage de voiture unique.")</f>
        <v>Une voiture rouge est montrée avec les mots lavage de voiture unique.</v>
      </c>
    </row>
    <row r="8750">
      <c r="A8750" s="4" t="s">
        <v>11005</v>
      </c>
      <c r="B8750" s="4" t="s">
        <v>11007</v>
      </c>
      <c r="C8750" s="5" t="str">
        <f>IFERROR(__xludf.DUMMYFUNCTION("GOOGLETRANSLATE(B8750,""en"",""fr"")"),"Les hommes sont représentés à l'intérieur d'un garage de voiture, à feuilleter une voiture avec une éponge.")</f>
        <v>Les hommes sont représentés à l'intérieur d'un garage de voiture, à feuilleter une voiture avec une éponge.</v>
      </c>
    </row>
    <row r="8751">
      <c r="A8751" s="4" t="s">
        <v>11005</v>
      </c>
      <c r="B8751" s="4" t="s">
        <v>11008</v>
      </c>
      <c r="C8751" s="5" t="str">
        <f>IFERROR(__xludf.DUMMYFUNCTION("GOOGLETRANSLATE(B8751,""en"",""fr"")"),"On les voit ensuite utiliser un pulvérisateur pour nettoyer les pneus et vaporiser le résidu du véhicule.")</f>
        <v>On les voit ensuite utiliser un pulvérisateur pour nettoyer les pneus et vaporiser le résidu du véhicule.</v>
      </c>
    </row>
    <row r="8752">
      <c r="A8752" s="4" t="s">
        <v>11005</v>
      </c>
      <c r="B8752" s="4" t="s">
        <v>11009</v>
      </c>
      <c r="C8752" s="5" t="str">
        <f>IFERROR(__xludf.DUMMYFUNCTION("GOOGLETRANSLATE(B8752,""en"",""fr"")"),"Ils utilisent des chiffons pour l'essuyer et détailler l'intérieur de la voiture.")</f>
        <v>Ils utilisent des chiffons pour l'essuyer et détailler l'intérieur de la voiture.</v>
      </c>
    </row>
    <row r="8753">
      <c r="A8753" s="4" t="s">
        <v>11010</v>
      </c>
      <c r="B8753" s="4" t="s">
        <v>11011</v>
      </c>
      <c r="C8753" s="5" t="str">
        <f>IFERROR(__xludf.DUMMYFUNCTION("GOOGLETRANSLATE(B8753,""en"",""fr"")"),"L'équipe d'aviron Pinta travaille ensemble pour descendre les eaux vives.")</f>
        <v>L'équipe d'aviron Pinta travaille ensemble pour descendre les eaux vives.</v>
      </c>
    </row>
    <row r="8754">
      <c r="A8754" s="4" t="s">
        <v>11010</v>
      </c>
      <c r="B8754" s="4" t="s">
        <v>11012</v>
      </c>
      <c r="C8754" s="5" t="str">
        <f>IFERROR(__xludf.DUMMYFUNCTION("GOOGLETRANSLATE(B8754,""en"",""fr"")"),"Ils ont un plongeon rafraîchissant sous une cascade pour se rafraîchir.")</f>
        <v>Ils ont un plongeon rafraîchissant sous une cascade pour se rafraîchir.</v>
      </c>
    </row>
    <row r="8755">
      <c r="A8755" s="4" t="s">
        <v>11010</v>
      </c>
      <c r="B8755" s="4" t="s">
        <v>11013</v>
      </c>
      <c r="C8755" s="5" t="str">
        <f>IFERROR(__xludf.DUMMYFUNCTION("GOOGLETRANSLATE(B8755,""en"",""fr"")"),"Ils posent avec d'autres chevrons.")</f>
        <v>Ils posent avec d'autres chevrons.</v>
      </c>
    </row>
    <row r="8756">
      <c r="A8756" s="4" t="s">
        <v>11010</v>
      </c>
      <c r="B8756" s="4" t="s">
        <v>11014</v>
      </c>
      <c r="C8756" s="5" t="str">
        <f>IFERROR(__xludf.DUMMYFUNCTION("GOOGLETRANSLATE(B8756,""en"",""fr"")"),"Tomber sous l'eau peut être une entreprise effrayante.")</f>
        <v>Tomber sous l'eau peut être une entreprise effrayante.</v>
      </c>
    </row>
    <row r="8757">
      <c r="A8757" s="4" t="s">
        <v>11010</v>
      </c>
      <c r="B8757" s="4" t="s">
        <v>11015</v>
      </c>
      <c r="C8757" s="5" t="str">
        <f>IFERROR(__xludf.DUMMYFUNCTION("GOOGLETRANSLATE(B8757,""en"",""fr"")"),"Dans l'ensemble, c'est un moment amusant et relaxant.")</f>
        <v>Dans l'ensemble, c'est un moment amusant et relaxant.</v>
      </c>
    </row>
    <row r="8758">
      <c r="A8758" s="4" t="s">
        <v>11016</v>
      </c>
      <c r="B8758" s="4" t="s">
        <v>11017</v>
      </c>
      <c r="C8758" s="5" t="str">
        <f>IFERROR(__xludf.DUMMYFUNCTION("GOOGLETRANSLATE(B8758,""en"",""fr"")"),"Deux hommes marchent dans la rue en tenant une boîte, puis ils rassemblent une table de football.")</f>
        <v>Deux hommes marchent dans la rue en tenant une boîte, puis ils rassemblent une table de football.</v>
      </c>
    </row>
    <row r="8759">
      <c r="A8759" s="4" t="s">
        <v>11016</v>
      </c>
      <c r="B8759" s="4" t="s">
        <v>11018</v>
      </c>
      <c r="C8759" s="5" t="str">
        <f>IFERROR(__xludf.DUMMYFUNCTION("GOOGLETRANSLATE(B8759,""en"",""fr"")"),"Les gens jouent à la table de football dans la rue.")</f>
        <v>Les gens jouent à la table de football dans la rue.</v>
      </c>
    </row>
    <row r="8760">
      <c r="A8760" s="4" t="s">
        <v>11016</v>
      </c>
      <c r="B8760" s="4" t="s">
        <v>11019</v>
      </c>
      <c r="C8760" s="5" t="str">
        <f>IFERROR(__xludf.DUMMYFUNCTION("GOOGLETRANSLATE(B8760,""en"",""fr"")"),"Après, les hommes portent la table et entre dans un train où ils continuent de jouer.")</f>
        <v>Après, les hommes portent la table et entre dans un train où ils continuent de jouer.</v>
      </c>
    </row>
    <row r="8761">
      <c r="A8761" s="4" t="s">
        <v>11016</v>
      </c>
      <c r="B8761" s="4" t="s">
        <v>11020</v>
      </c>
      <c r="C8761" s="5" t="str">
        <f>IFERROR(__xludf.DUMMYFUNCTION("GOOGLETRANSLATE(B8761,""en"",""fr"")"),"Après que l'homme transporte la table de football dans un parc et d'autres endroits où les gens jouent et le peignent.")</f>
        <v>Après que l'homme transporte la table de football dans un parc et d'autres endroits où les gens jouent et le peignent.</v>
      </c>
    </row>
    <row r="8762">
      <c r="A8762" s="4" t="s">
        <v>11021</v>
      </c>
      <c r="B8762" s="6" t="s">
        <v>11022</v>
      </c>
      <c r="C8762" s="5" t="str">
        <f>IFERROR(__xludf.DUMMYFUNCTION("GOOGLETRANSLATE(B8762,""en"",""fr"")"),"Une femme est vue en train de mettre une veste suivie par ses parties de coupe du gilet et en tenant un fer.")</f>
        <v>Une femme est vue en train de mettre une veste suivie par ses parties de coupe du gilet et en tenant un fer.</v>
      </c>
    </row>
    <row r="8763">
      <c r="A8763" s="4" t="s">
        <v>11021</v>
      </c>
      <c r="B8763" s="4" t="s">
        <v>11023</v>
      </c>
      <c r="C8763" s="5" t="str">
        <f>IFERROR(__xludf.DUMMYFUNCTION("GOOGLETRANSLATE(B8763,""en"",""fr"")"),"Elle fera ensuite des chemises et finit en mettant le gilet.")</f>
        <v>Elle fera ensuite des chemises et finit en mettant le gilet.</v>
      </c>
    </row>
    <row r="8764">
      <c r="A8764" s="4" t="s">
        <v>11024</v>
      </c>
      <c r="B8764" s="4" t="s">
        <v>11025</v>
      </c>
      <c r="C8764" s="5" t="str">
        <f>IFERROR(__xludf.DUMMYFUNCTION("GOOGLETRANSLATE(B8764,""en"",""fr"")"),"Un homme dans un smoking noir parle à la caméra.")</f>
        <v>Un homme dans un smoking noir parle à la caméra.</v>
      </c>
    </row>
    <row r="8765">
      <c r="A8765" s="4" t="s">
        <v>11024</v>
      </c>
      <c r="B8765" s="4" t="s">
        <v>11026</v>
      </c>
      <c r="C8765" s="5" t="str">
        <f>IFERROR(__xludf.DUMMYFUNCTION("GOOGLETRANSLATE(B8765,""en"",""fr"")"),"Une personne passe en arrière-plan.")</f>
        <v>Une personne passe en arrière-plan.</v>
      </c>
    </row>
    <row r="8766">
      <c r="A8766" s="4" t="s">
        <v>11024</v>
      </c>
      <c r="B8766" s="4" t="s">
        <v>11027</v>
      </c>
      <c r="C8766" s="5" t="str">
        <f>IFERROR(__xludf.DUMMYFUNCTION("GOOGLETRANSLATE(B8766,""en"",""fr"")"),"Un groupe de personnes passe en arrière-plan.")</f>
        <v>Un groupe de personnes passe en arrière-plan.</v>
      </c>
    </row>
    <row r="8767">
      <c r="A8767" s="4" t="s">
        <v>11024</v>
      </c>
      <c r="B8767" s="4" t="s">
        <v>11028</v>
      </c>
      <c r="C8767" s="5" t="str">
        <f>IFERROR(__xludf.DUMMYFUNCTION("GOOGLETRANSLATE(B8767,""en"",""fr"")"),"Nous voyons un jeu de poker jouer.")</f>
        <v>Nous voyons un jeu de poker jouer.</v>
      </c>
    </row>
    <row r="8768">
      <c r="A8768" s="4" t="s">
        <v>11024</v>
      </c>
      <c r="B8768" s="4" t="s">
        <v>11029</v>
      </c>
      <c r="C8768" s="5" t="str">
        <f>IFERROR(__xludf.DUMMYFUNCTION("GOOGLETRANSLATE(B8768,""en"",""fr"")"),"Un homme étrange apparaît devant la caméra.")</f>
        <v>Un homme étrange apparaît devant la caméra.</v>
      </c>
    </row>
    <row r="8769">
      <c r="A8769" s="4" t="s">
        <v>11024</v>
      </c>
      <c r="B8769" s="4" t="s">
        <v>11030</v>
      </c>
      <c r="C8769" s="5" t="str">
        <f>IFERROR(__xludf.DUMMYFUNCTION("GOOGLETRANSLATE(B8769,""en"",""fr"")"),"Nous voyons le premier homme, puis les cartes étant traitées et nous nous sommesompons sur un écran noir.")</f>
        <v>Nous voyons le premier homme, puis les cartes étant traitées et nous nous sommesompons sur un écran noir.</v>
      </c>
    </row>
    <row r="8770">
      <c r="A8770" s="4" t="s">
        <v>11031</v>
      </c>
      <c r="B8770" s="6" t="s">
        <v>11032</v>
      </c>
      <c r="C8770" s="5" t="str">
        <f>IFERROR(__xludf.DUMMYFUNCTION("GOOGLETRANSLATE(B8770,""en"",""fr"")"),"Beaucoup de gens sont assis sur des terrasses dans un grand champ et les gens marchent à l'entrée d'un grand stade.")</f>
        <v>Beaucoup de gens sont assis sur des terrasses dans un grand champ et les gens marchent à l'entrée d'un grand stade.</v>
      </c>
    </row>
    <row r="8771">
      <c r="A8771" s="4" t="s">
        <v>11031</v>
      </c>
      <c r="B8771" s="4" t="s">
        <v>11033</v>
      </c>
      <c r="C8771" s="5" t="str">
        <f>IFERROR(__xludf.DUMMYFUNCTION("GOOGLETRANSLATE(B8771,""en"",""fr"")"),"Les hommes se tiennent sur une zone sablonneuse en marche.")</f>
        <v>Les hommes se tiennent sur une zone sablonneuse en marche.</v>
      </c>
    </row>
    <row r="8772">
      <c r="A8772" s="4" t="s">
        <v>11031</v>
      </c>
      <c r="B8772" s="4" t="s">
        <v>11034</v>
      </c>
      <c r="C8772" s="5" t="str">
        <f>IFERROR(__xludf.DUMMYFUNCTION("GOOGLETRANSLATE(B8772,""en"",""fr"")"),"L'homme parle à la caméra debout sur le sable.")</f>
        <v>L'homme parle à la caméra debout sur le sable.</v>
      </c>
    </row>
    <row r="8773">
      <c r="A8773" s="4" t="s">
        <v>11031</v>
      </c>
      <c r="B8773" s="4" t="s">
        <v>11035</v>
      </c>
      <c r="C8773" s="5" t="str">
        <f>IFERROR(__xludf.DUMMYFUNCTION("GOOGLETRANSLATE(B8773,""en"",""fr"")"),"Les hommes se tiennent sur les motos à se préparer pour une compétition de motocross.")</f>
        <v>Les hommes se tiennent sur les motos à se préparer pour une compétition de motocross.</v>
      </c>
    </row>
    <row r="8774">
      <c r="A8774" s="4" t="s">
        <v>11031</v>
      </c>
      <c r="B8774" s="4" t="s">
        <v>11036</v>
      </c>
      <c r="C8774" s="5" t="str">
        <f>IFERROR(__xludf.DUMMYFUNCTION("GOOGLETRANSLATE(B8774,""en"",""fr"")"),"L'homme parle à la caméra et se tient sur un podium.")</f>
        <v>L'homme parle à la caméra et se tient sur un podium.</v>
      </c>
    </row>
    <row r="8775">
      <c r="A8775" s="4" t="s">
        <v>11037</v>
      </c>
      <c r="B8775" s="4" t="s">
        <v>11038</v>
      </c>
      <c r="C8775" s="5" t="str">
        <f>IFERROR(__xludf.DUMMYFUNCTION("GOOGLETRANSLATE(B8775,""en"",""fr"")"),"Un tas de gens sont dans une salle de sport faiblement éclairée.")</f>
        <v>Un tas de gens sont dans une salle de sport faiblement éclairée.</v>
      </c>
    </row>
    <row r="8776">
      <c r="A8776" s="4" t="s">
        <v>11037</v>
      </c>
      <c r="B8776" s="4" t="s">
        <v>11039</v>
      </c>
      <c r="C8776" s="5" t="str">
        <f>IFERROR(__xludf.DUMMYFUNCTION("GOOGLETRANSLATE(B8776,""en"",""fr"")"),"Ils font du vélo couché tout en étant dirigé.")</f>
        <v>Ils font du vélo couché tout en étant dirigé.</v>
      </c>
    </row>
    <row r="8777">
      <c r="A8777" s="4" t="s">
        <v>11037</v>
      </c>
      <c r="B8777" s="4" t="s">
        <v>11040</v>
      </c>
      <c r="C8777" s="5" t="str">
        <f>IFERROR(__xludf.DUMMYFUNCTION("GOOGLETRANSLATE(B8777,""en"",""fr"")"),"Ils applaudissent rapidement les mains et pédalent.")</f>
        <v>Ils applaudissent rapidement les mains et pédalent.</v>
      </c>
    </row>
    <row r="8778">
      <c r="A8778" s="4" t="s">
        <v>11041</v>
      </c>
      <c r="B8778" s="4" t="s">
        <v>11042</v>
      </c>
      <c r="C8778" s="5" t="str">
        <f>IFERROR(__xludf.DUMMYFUNCTION("GOOGLETRANSLATE(B8778,""en"",""fr"")"),"Un jeune enfant est vu tenant un bâton et frappant la pinata avec le bâton.")</f>
        <v>Un jeune enfant est vu tenant un bâton et frappant la pinata avec le bâton.</v>
      </c>
    </row>
    <row r="8779">
      <c r="A8779" s="4" t="s">
        <v>11041</v>
      </c>
      <c r="B8779" s="4" t="s">
        <v>11043</v>
      </c>
      <c r="C8779" s="5" t="str">
        <f>IFERROR(__xludf.DUMMYFUNCTION("GOOGLETRANSLATE(B8779,""en"",""fr"")"),"Les femmes plus âgées ramènent les RH et lui font la main le bâton à un autre enfant.")</f>
        <v>Les femmes plus âgées ramènent les RH et lui font la main le bâton à un autre enfant.</v>
      </c>
    </row>
    <row r="8780">
      <c r="A8780" s="4" t="s">
        <v>11044</v>
      </c>
      <c r="B8780" s="4" t="s">
        <v>11045</v>
      </c>
      <c r="C8780" s="5" t="str">
        <f>IFERROR(__xludf.DUMMYFUNCTION("GOOGLETRANSLATE(B8780,""en"",""fr"")"),"Une femme se lève debout et tient une vadrouille bleue.")</f>
        <v>Une femme se lève debout et tient une vadrouille bleue.</v>
      </c>
    </row>
    <row r="8781">
      <c r="A8781" s="4" t="s">
        <v>11044</v>
      </c>
      <c r="B8781" s="4" t="s">
        <v>11046</v>
      </c>
      <c r="C8781" s="5" t="str">
        <f>IFERROR(__xludf.DUMMYFUNCTION("GOOGLETRANSLATE(B8781,""en"",""fr"")"),"Elle montre le bas de la vadrouille.")</f>
        <v>Elle montre le bas de la vadrouille.</v>
      </c>
    </row>
    <row r="8782">
      <c r="A8782" s="4" t="s">
        <v>11044</v>
      </c>
      <c r="B8782" s="4" t="s">
        <v>11047</v>
      </c>
      <c r="C8782" s="5" t="str">
        <f>IFERROR(__xludf.DUMMYFUNCTION("GOOGLETRANSLATE(B8782,""en"",""fr"")"),"Une bouteille de vinaigre est montrée sur une table à côté de l'alcool et du savon.")</f>
        <v>Une bouteille de vinaigre est montrée sur une table à côté de l'alcool et du savon.</v>
      </c>
    </row>
    <row r="8783">
      <c r="A8783" s="4" t="s">
        <v>11044</v>
      </c>
      <c r="B8783" s="4" t="s">
        <v>11048</v>
      </c>
      <c r="C8783" s="5" t="str">
        <f>IFERROR(__xludf.DUMMYFUNCTION("GOOGLETRANSLATE(B8783,""en"",""fr"")"),"Elle commence à nettoyer le plancher de bois franc.")</f>
        <v>Elle commence à nettoyer le plancher de bois franc.</v>
      </c>
    </row>
    <row r="8784">
      <c r="A8784" s="4" t="s">
        <v>11044</v>
      </c>
      <c r="B8784" s="4" t="s">
        <v>11049</v>
      </c>
      <c r="C8784" s="5" t="str">
        <f>IFERROR(__xludf.DUMMYFUNCTION("GOOGLETRANSLATE(B8784,""en"",""fr"")"),"Un chien est allongé sur un lit.")</f>
        <v>Un chien est allongé sur un lit.</v>
      </c>
    </row>
    <row r="8785">
      <c r="A8785" s="4" t="s">
        <v>11050</v>
      </c>
      <c r="B8785" s="4" t="s">
        <v>11051</v>
      </c>
      <c r="C8785" s="5" t="str">
        <f>IFERROR(__xludf.DUMMYFUNCTION("GOOGLETRANSLATE(B8785,""en"",""fr"")"),"Un homme en chemise bleue ramasse un enfant.")</f>
        <v>Un homme en chemise bleue ramasse un enfant.</v>
      </c>
    </row>
    <row r="8786">
      <c r="A8786" s="4" t="s">
        <v>11050</v>
      </c>
      <c r="B8786" s="4" t="s">
        <v>11052</v>
      </c>
      <c r="C8786" s="5" t="str">
        <f>IFERROR(__xludf.DUMMYFUNCTION("GOOGLETRANSLATE(B8786,""en"",""fr"")"),"Il le soulève pour s'asseoir sur son épaule.")</f>
        <v>Il le soulève pour s'asseoir sur son épaule.</v>
      </c>
    </row>
    <row r="8787">
      <c r="A8787" s="4" t="s">
        <v>11050</v>
      </c>
      <c r="B8787" s="4" t="s">
        <v>11053</v>
      </c>
      <c r="C8787" s="5" t="str">
        <f>IFERROR(__xludf.DUMMYFUNCTION("GOOGLETRANSLATE(B8787,""en"",""fr"")"),"Il jette l'enfant sur le dos sur un lit.")</f>
        <v>Il jette l'enfant sur le dos sur un lit.</v>
      </c>
    </row>
    <row r="8788">
      <c r="A8788" s="4" t="s">
        <v>11054</v>
      </c>
      <c r="B8788" s="4" t="s">
        <v>11055</v>
      </c>
      <c r="C8788" s="5" t="str">
        <f>IFERROR(__xludf.DUMMYFUNCTION("GOOGLETRANSLATE(B8788,""en"",""fr"")"),"L'homme est sauté sur les deux pôles blancs et se tient sur ses bras.")</f>
        <v>L'homme est sauté sur les deux pôles blancs et se tient sur ses bras.</v>
      </c>
    </row>
    <row r="8789">
      <c r="A8789" s="4" t="s">
        <v>11054</v>
      </c>
      <c r="B8789" s="4" t="s">
        <v>11056</v>
      </c>
      <c r="C8789" s="5" t="str">
        <f>IFERROR(__xludf.DUMMYFUNCTION("GOOGLETRANSLATE(B8789,""en"",""fr"")"),"L'homme en chemise rouge à l'extérieur du terrain regarde l'athlète alors qu'il se balance sur le poteau.")</f>
        <v>L'homme en chemise rouge à l'extérieur du terrain regarde l'athlète alors qu'il se balance sur le poteau.</v>
      </c>
    </row>
    <row r="8790">
      <c r="A8790" s="4" t="s">
        <v>11054</v>
      </c>
      <c r="B8790" s="4" t="s">
        <v>11057</v>
      </c>
      <c r="C8790" s="5" t="str">
        <f>IFERROR(__xludf.DUMMYFUNCTION("GOOGLETRANSLATE(B8790,""en"",""fr"")"),"L'athlète se balance puis sauta du poteau et se balança vers le haut et l'air et atterrit sur le tapis.")</f>
        <v>L'athlète se balance puis sauta du poteau et se balança vers le haut et l'air et atterrit sur le tapis.</v>
      </c>
    </row>
    <row r="8791">
      <c r="A8791" s="4" t="s">
        <v>11058</v>
      </c>
      <c r="B8791" s="4" t="s">
        <v>11059</v>
      </c>
      <c r="C8791" s="5" t="str">
        <f>IFERROR(__xludf.DUMMYFUNCTION("GOOGLETRANSLATE(B8791,""en"",""fr"")"),"Une équipe est sur un terrain, essayant d'obtenir le ballon de ses adversaires.")</f>
        <v>Une équipe est sur un terrain, essayant d'obtenir le ballon de ses adversaires.</v>
      </c>
    </row>
    <row r="8792">
      <c r="A8792" s="4" t="s">
        <v>11058</v>
      </c>
      <c r="B8792" s="4" t="s">
        <v>11060</v>
      </c>
      <c r="C8792" s="5" t="str">
        <f>IFERROR(__xludf.DUMMYFUNCTION("GOOGLETRANSLATE(B8792,""en"",""fr"")"),"Ils jouent à un jeu de crosse.")</f>
        <v>Ils jouent à un jeu de crosse.</v>
      </c>
    </row>
    <row r="8793">
      <c r="A8793" s="4" t="s">
        <v>11058</v>
      </c>
      <c r="B8793" s="4" t="s">
        <v>11061</v>
      </c>
      <c r="C8793" s="5" t="str">
        <f>IFERROR(__xludf.DUMMYFUNCTION("GOOGLETRANSLATE(B8793,""en"",""fr"")"),"Ils se battent sur le ballon, essayant de l'atteindre dans un but.")</f>
        <v>Ils se battent sur le ballon, essayant de l'atteindre dans un but.</v>
      </c>
    </row>
    <row r="8794">
      <c r="A8794" s="4" t="s">
        <v>11062</v>
      </c>
      <c r="B8794" s="4" t="s">
        <v>11063</v>
      </c>
      <c r="C8794" s="5" t="str">
        <f>IFERROR(__xludf.DUMMYFUNCTION("GOOGLETRANSLATE(B8794,""en"",""fr"")"),"Une femme fait du vélo dans la rue, puis d'autres sont également représentées.")</f>
        <v>Une femme fait du vélo dans la rue, puis d'autres sont également représentées.</v>
      </c>
    </row>
    <row r="8795">
      <c r="A8795" s="4" t="s">
        <v>11062</v>
      </c>
      <c r="B8795" s="4" t="s">
        <v>11064</v>
      </c>
      <c r="C8795" s="5" t="str">
        <f>IFERROR(__xludf.DUMMYFUNCTION("GOOGLETRANSLATE(B8795,""en"",""fr"")"),"Les gens parlent de la caméra entre les prises de faire du vélo sur les routes de la ville.")</f>
        <v>Les gens parlent de la caméra entre les prises de faire du vélo sur les routes de la ville.</v>
      </c>
    </row>
    <row r="8796">
      <c r="A8796" s="4" t="s">
        <v>11062</v>
      </c>
      <c r="B8796" s="4" t="s">
        <v>11065</v>
      </c>
      <c r="C8796" s="5" t="str">
        <f>IFERROR(__xludf.DUMMYFUNCTION("GOOGLETRANSLATE(B8796,""en"",""fr"")"),"Le vélo s'appelle un elliptico, leur permettant de se tenir debout et de pédaler pendant qu'ils roulent.")</f>
        <v>Le vélo s'appelle un elliptico, leur permettant de se tenir debout et de pédaler pendant qu'ils roulent.</v>
      </c>
    </row>
    <row r="8797">
      <c r="A8797" s="4" t="s">
        <v>11066</v>
      </c>
      <c r="B8797" s="6" t="s">
        <v>11067</v>
      </c>
      <c r="C8797" s="5" t="str">
        <f>IFERROR(__xludf.DUMMYFUNCTION("GOOGLETRANSLATE(B8797,""en"",""fr"")"),"Une personne est vue parler à la caméra tout en tenant un snowboard et mène à lui monter sur une colline enneigée.")</f>
        <v>Une personne est vue parler à la caméra tout en tenant un snowboard et mène à lui monter sur une colline enneigée.</v>
      </c>
    </row>
    <row r="8798">
      <c r="A8798" s="4" t="s">
        <v>11066</v>
      </c>
      <c r="B8798" s="6" t="s">
        <v>11068</v>
      </c>
      <c r="C8798" s="5" t="str">
        <f>IFERROR(__xludf.DUMMYFUNCTION("GOOGLETRANSLATE(B8798,""en"",""fr"")"),"L'homme continue de monter sur le snowboard en bas de la colline et se termine avec lui s'arrêtant en bas.")</f>
        <v>L'homme continue de monter sur le snowboard en bas de la colline et se termine avec lui s'arrêtant en bas.</v>
      </c>
    </row>
    <row r="8799">
      <c r="A8799" s="4" t="s">
        <v>11069</v>
      </c>
      <c r="B8799" s="4" t="s">
        <v>11070</v>
      </c>
      <c r="C8799" s="5" t="str">
        <f>IFERROR(__xludf.DUMMYFUNCTION("GOOGLETRANSLATE(B8799,""en"",""fr"")"),"Un homme est vu parler dans un microphone avec un autre homme sur scène.")</f>
        <v>Un homme est vu parler dans un microphone avec un autre homme sur scène.</v>
      </c>
    </row>
    <row r="8800">
      <c r="A8800" s="4" t="s">
        <v>11069</v>
      </c>
      <c r="B8800" s="4" t="s">
        <v>11071</v>
      </c>
      <c r="C8800" s="5" t="str">
        <f>IFERROR(__xludf.DUMMYFUNCTION("GOOGLETRANSLATE(B8800,""en"",""fr"")"),"Un homme mène ensuite à jouer à l'harmonica sur la scène tandis que d'autres regardent sur le côté.")</f>
        <v>Un homme mène ensuite à jouer à l'harmonica sur la scène tandis que d'autres regardent sur le côté.</v>
      </c>
    </row>
    <row r="8801">
      <c r="A8801" s="4" t="s">
        <v>11069</v>
      </c>
      <c r="B8801" s="4" t="s">
        <v>11072</v>
      </c>
      <c r="C8801" s="5" t="str">
        <f>IFERROR(__xludf.DUMMYFUNCTION("GOOGLETRANSLATE(B8801,""en"",""fr"")"),"L'homme continue de jouer tandis que d'autres entrent et sortent du cadre et jouent.")</f>
        <v>L'homme continue de jouer tandis que d'autres entrent et sortent du cadre et jouent.</v>
      </c>
    </row>
    <row r="8802">
      <c r="A8802" s="4" t="s">
        <v>11073</v>
      </c>
      <c r="B8802" s="4" t="s">
        <v>11074</v>
      </c>
      <c r="C8802" s="5" t="str">
        <f>IFERROR(__xludf.DUMMYFUNCTION("GOOGLETRANSLATE(B8802,""en"",""fr"")"),"Un homme plus âgé est représenté derrière un swing en repoussant une petite fille en arrière et quatrième.")</f>
        <v>Un homme plus âgé est représenté derrière un swing en repoussant une petite fille en arrière et quatrième.</v>
      </c>
    </row>
    <row r="8803">
      <c r="A8803" s="4" t="s">
        <v>11073</v>
      </c>
      <c r="B8803" s="6" t="s">
        <v>11075</v>
      </c>
      <c r="C8803" s="5" t="str">
        <f>IFERROR(__xludf.DUMMYFUNCTION("GOOGLETRANSLATE(B8803,""en"",""fr"")"),"Il attrape et tient la fille et lui donne plusieurs poussées tandis que la fille colle la tête en arrière et sourit.")</f>
        <v>Il attrape et tient la fille et lui donne plusieurs poussées tandis que la fille colle la tête en arrière et sourit.</v>
      </c>
    </row>
    <row r="8804">
      <c r="A8804" s="4" t="s">
        <v>11076</v>
      </c>
      <c r="B8804" s="6" t="s">
        <v>11077</v>
      </c>
      <c r="C8804" s="5" t="str">
        <f>IFERROR(__xludf.DUMMYFUNCTION("GOOGLETRANSLATE(B8804,""en"",""fr"")"),"Une jeune fille est vue en train de se maquiller à l'extérieur tandis que d'autres personnes regardent et jouent également avec du maquillage.")</f>
        <v>Une jeune fille est vue en train de se maquiller à l'extérieur tandis que d'autres personnes regardent et jouent également avec du maquillage.</v>
      </c>
    </row>
    <row r="8805">
      <c r="A8805" s="4" t="s">
        <v>11076</v>
      </c>
      <c r="B8805" s="6" t="s">
        <v>11078</v>
      </c>
      <c r="C8805" s="5" t="str">
        <f>IFERROR(__xludf.DUMMYFUNCTION("GOOGLETRANSLATE(B8805,""en"",""fr"")"),"Les filles continuent de tenter de se maquiller alors que la caméra repousse et quatrième entre les deux.")</f>
        <v>Les filles continuent de tenter de se maquiller alors que la caméra repousse et quatrième entre les deux.</v>
      </c>
    </row>
    <row r="8806">
      <c r="A8806" s="4" t="s">
        <v>11079</v>
      </c>
      <c r="B8806" s="6" t="s">
        <v>11080</v>
      </c>
      <c r="C8806" s="5" t="str">
        <f>IFERROR(__xludf.DUMMYFUNCTION("GOOGLETRANSLATE(B8806,""en"",""fr"")"),"Une publicité présente un éventail varié d'équipement de soudage et montre comment souder à l'aide de l'équipement.")</f>
        <v>Une publicité présente un éventail varié d'équipement de soudage et montre comment souder à l'aide de l'équipement.</v>
      </c>
    </row>
    <row r="8807">
      <c r="A8807" s="4" t="s">
        <v>11079</v>
      </c>
      <c r="B8807" s="4" t="s">
        <v>11081</v>
      </c>
      <c r="C8807" s="5" t="str">
        <f>IFERROR(__xludf.DUMMYFUNCTION("GOOGLETRANSLATE(B8807,""en"",""fr"")"),"Un casque de soudage, des pinces, un kit de soudage et des gants sont indiqués en ligne sur un fond blanc.")</f>
        <v>Un casque de soudage, des pinces, un kit de soudage et des gants sont indiqués en ligne sur un fond blanc.</v>
      </c>
    </row>
    <row r="8808">
      <c r="A8808" s="4" t="s">
        <v>11079</v>
      </c>
      <c r="B8808" s="6" t="s">
        <v>11082</v>
      </c>
      <c r="C8808" s="5" t="str">
        <f>IFERROR(__xludf.DUMMYFUNCTION("GOOGLETRANSLATE(B8808,""en"",""fr"")"),"Une personne commence à utiliser les outils de soudage pour souder à l'intérieur d'une voiture produisant des étincelles de feu au fur et à mesure que le soudage a lieu.")</f>
        <v>Une personne commence à utiliser les outils de soudage pour souder à l'intérieur d'une voiture produisant des étincelles de feu au fur et à mesure que le soudage a lieu.</v>
      </c>
    </row>
    <row r="8809">
      <c r="A8809" s="4" t="s">
        <v>11079</v>
      </c>
      <c r="B8809" s="4" t="s">
        <v>11083</v>
      </c>
      <c r="C8809" s="5" t="str">
        <f>IFERROR(__xludf.DUMMYFUNCTION("GOOGLETRANSLATE(B8809,""en"",""fr"")"),"Un gros plan de la zone soudée est montré avant qu'un modèle de marketing ne se présente à travers l'écran.")</f>
        <v>Un gros plan de la zone soudée est montré avant qu'un modèle de marketing ne se présente à travers l'écran.</v>
      </c>
    </row>
    <row r="8810">
      <c r="A8810" s="4" t="s">
        <v>11084</v>
      </c>
      <c r="B8810" s="4" t="s">
        <v>11085</v>
      </c>
      <c r="C8810" s="5" t="str">
        <f>IFERROR(__xludf.DUMMYFUNCTION("GOOGLETRANSLATE(B8810,""en"",""fr"")"),"Une personne est vue torse nu dans une cuisine et tenant une vadrouille.")</f>
        <v>Une personne est vue torse nu dans une cuisine et tenant une vadrouille.</v>
      </c>
    </row>
    <row r="8811">
      <c r="A8811" s="4" t="s">
        <v>11084</v>
      </c>
      <c r="B8811" s="4" t="s">
        <v>11086</v>
      </c>
      <c r="C8811" s="5" t="str">
        <f>IFERROR(__xludf.DUMMYFUNCTION("GOOGLETRANSLATE(B8811,""en"",""fr"")"),"L'homme regarde en arrière et rit à la caméra tout en tenant la vadrouille.")</f>
        <v>L'homme regarde en arrière et rit à la caméra tout en tenant la vadrouille.</v>
      </c>
    </row>
    <row r="8812">
      <c r="A8812" s="4" t="s">
        <v>11084</v>
      </c>
      <c r="B8812" s="4" t="s">
        <v>11087</v>
      </c>
      <c r="C8812" s="5" t="str">
        <f>IFERROR(__xludf.DUMMYFUNCTION("GOOGLETRANSLATE(B8812,""en"",""fr"")"),"Il continue de rire et de danser tout en poussant la vadrouille.")</f>
        <v>Il continue de rire et de danser tout en poussant la vadrouille.</v>
      </c>
    </row>
    <row r="8813">
      <c r="A8813" s="4" t="s">
        <v>11088</v>
      </c>
      <c r="B8813" s="4" t="s">
        <v>11089</v>
      </c>
      <c r="C8813" s="5" t="str">
        <f>IFERROR(__xludf.DUMMYFUNCTION("GOOGLETRANSLATE(B8813,""en"",""fr"")"),"Un petit bateau à voile avec deux hommes dedans tire un skieur nautique derrière.")</f>
        <v>Un petit bateau à voile avec deux hommes dedans tire un skieur nautique derrière.</v>
      </c>
    </row>
    <row r="8814">
      <c r="A8814" s="4" t="s">
        <v>11088</v>
      </c>
      <c r="B8814" s="4" t="s">
        <v>11090</v>
      </c>
      <c r="C8814" s="5" t="str">
        <f>IFERROR(__xludf.DUMMYFUNCTION("GOOGLETRANSLATE(B8814,""en"",""fr"")"),"Un surfeur de vent passe.")</f>
        <v>Un surfeur de vent passe.</v>
      </c>
    </row>
    <row r="8815">
      <c r="A8815" s="4" t="s">
        <v>11088</v>
      </c>
      <c r="B8815" s="4" t="s">
        <v>11091</v>
      </c>
      <c r="C8815" s="5" t="str">
        <f>IFERROR(__xludf.DUMMYFUNCTION("GOOGLETRANSLATE(B8815,""en"",""fr"")"),"Un homme dans le bateau à voile se penche en arrière pour tirer sur la voile dans le bateau.")</f>
        <v>Un homme dans le bateau à voile se penche en arrière pour tirer sur la voile dans le bateau.</v>
      </c>
    </row>
    <row r="8816">
      <c r="A8816" s="4" t="s">
        <v>11088</v>
      </c>
      <c r="B8816" s="4" t="s">
        <v>11092</v>
      </c>
      <c r="C8816" s="5" t="str">
        <f>IFERROR(__xludf.DUMMYFUNCTION("GOOGLETRANSLATE(B8816,""en"",""fr"")"),"Un autre surfeur de vent passe.")</f>
        <v>Un autre surfeur de vent passe.</v>
      </c>
    </row>
    <row r="8817">
      <c r="A8817" s="4" t="s">
        <v>11093</v>
      </c>
      <c r="B8817" s="4" t="s">
        <v>11094</v>
      </c>
      <c r="C8817" s="5" t="str">
        <f>IFERROR(__xludf.DUMMYFUNCTION("GOOGLETRANSLATE(B8817,""en"",""fr"")"),"Un cerf-volant vole dans le ciel.")</f>
        <v>Un cerf-volant vole dans le ciel.</v>
      </c>
    </row>
    <row r="8818">
      <c r="A8818" s="4" t="s">
        <v>11093</v>
      </c>
      <c r="B8818" s="4" t="s">
        <v>11095</v>
      </c>
      <c r="C8818" s="5" t="str">
        <f>IFERROR(__xludf.DUMMYFUNCTION("GOOGLETRANSLATE(B8818,""en"",""fr"")"),"Une petite fille tient la corde du cerf-volant.")</f>
        <v>Une petite fille tient la corde du cerf-volant.</v>
      </c>
    </row>
    <row r="8819">
      <c r="A8819" s="4" t="s">
        <v>11093</v>
      </c>
      <c r="B8819" s="4" t="s">
        <v>11096</v>
      </c>
      <c r="C8819" s="5" t="str">
        <f>IFERROR(__xludf.DUMMYFUNCTION("GOOGLETRANSLATE(B8819,""en"",""fr"")"),"Elle marche en arrière et parle à quelqu'un en regardant le cerf-volant.")</f>
        <v>Elle marche en arrière et parle à quelqu'un en regardant le cerf-volant.</v>
      </c>
    </row>
    <row r="8820">
      <c r="A8820" s="4" t="s">
        <v>11097</v>
      </c>
      <c r="B8820" s="4" t="s">
        <v>11098</v>
      </c>
      <c r="C8820" s="5" t="str">
        <f>IFERROR(__xludf.DUMMYFUNCTION("GOOGLETRANSLATE(B8820,""en"",""fr"")"),"Un homme est dans une salle de danse qui a des miroirs le long des murs, des planchers en bois, et il danse seul.")</f>
        <v>Un homme est dans une salle de danse qui a des miroirs le long des murs, des planchers en bois, et il danse seul.</v>
      </c>
    </row>
    <row r="8821">
      <c r="A8821" s="4" t="s">
        <v>11097</v>
      </c>
      <c r="B8821" s="4" t="s">
        <v>11099</v>
      </c>
      <c r="C8821" s="5" t="str">
        <f>IFERROR(__xludf.DUMMYFUNCTION("GOOGLETRANSLATE(B8821,""en"",""fr"")"),"Il y a une femme qui se tient dans le coin et l'enregistre tout le temps.")</f>
        <v>Il y a une femme qui se tient dans le coin et l'enregistre tout le temps.</v>
      </c>
    </row>
    <row r="8822">
      <c r="A8822" s="4" t="s">
        <v>11097</v>
      </c>
      <c r="B8822" s="6" t="s">
        <v>11100</v>
      </c>
      <c r="C8822" s="5" t="str">
        <f>IFERROR(__xludf.DUMMYFUNCTION("GOOGLETRANSLATE(B8822,""en"",""fr"")"),"Quand il se déplace davantage de l'autre côté de la pièce pendant qu'il danse, plus de gens qui le regardent sont révélés.")</f>
        <v>Quand il se déplace davantage de l'autre côté de la pièce pendant qu'il danse, plus de gens qui le regardent sont révélés.</v>
      </c>
    </row>
    <row r="8823">
      <c r="A8823" s="4" t="s">
        <v>11097</v>
      </c>
      <c r="B8823" s="4" t="s">
        <v>11101</v>
      </c>
      <c r="C8823" s="5" t="str">
        <f>IFERROR(__xludf.DUMMYFUNCTION("GOOGLETRANSLATE(B8823,""en"",""fr"")"),"L'homme fait le dernier mouvement de danse, sourit, fait quelques pas puis prend un nœud.")</f>
        <v>L'homme fait le dernier mouvement de danse, sourit, fait quelques pas puis prend un nœud.</v>
      </c>
    </row>
    <row r="8824">
      <c r="A8824" s="4" t="s">
        <v>11102</v>
      </c>
      <c r="B8824" s="4" t="s">
        <v>11103</v>
      </c>
      <c r="C8824" s="5" t="str">
        <f>IFERROR(__xludf.DUMMYFUNCTION("GOOGLETRANSLATE(B8824,""en"",""fr"")"),"Le ciel est montré qui mène à un homme parlant à la caméra avec son ami.")</f>
        <v>Le ciel est montré qui mène à un homme parlant à la caméra avec son ami.</v>
      </c>
    </row>
    <row r="8825">
      <c r="A8825" s="4" t="s">
        <v>11102</v>
      </c>
      <c r="B8825" s="4" t="s">
        <v>11104</v>
      </c>
      <c r="C8825" s="5" t="str">
        <f>IFERROR(__xludf.DUMMYFUNCTION("GOOGLETRANSLATE(B8825,""en"",""fr"")"),"Plusieurs personnes sont alors vues assises dans des tubes roulant sur une rivière les uns des autres.")</f>
        <v>Plusieurs personnes sont alors vues assises dans des tubes roulant sur une rivière les uns des autres.</v>
      </c>
    </row>
    <row r="8826">
      <c r="A8826" s="4" t="s">
        <v>11102</v>
      </c>
      <c r="B8826" s="6" t="s">
        <v>11105</v>
      </c>
      <c r="C8826" s="5" t="str">
        <f>IFERROR(__xludf.DUMMYFUNCTION("GOOGLETRANSLATE(B8826,""en"",""fr"")"),"Les gens continuent de monter sur la rivière à travers des tunnels et des chemins tandis que l'homme parle toujours à la caméra.")</f>
        <v>Les gens continuent de monter sur la rivière à travers des tunnels et des chemins tandis que l'homme parle toujours à la caméra.</v>
      </c>
    </row>
    <row r="8827">
      <c r="A8827" s="4" t="s">
        <v>11106</v>
      </c>
      <c r="B8827" s="4" t="s">
        <v>11107</v>
      </c>
      <c r="C8827" s="5" t="str">
        <f>IFERROR(__xludf.DUMMYFUNCTION("GOOGLETRANSLATE(B8827,""en"",""fr"")"),"Un athlète court avec un bâton, puis il tire sur le javelot et s'éloigne dans un stade.")</f>
        <v>Un athlète court avec un bâton, puis il tire sur le javelot et s'éloigne dans un stade.</v>
      </c>
    </row>
    <row r="8828">
      <c r="A8828" s="4" t="s">
        <v>11106</v>
      </c>
      <c r="B8828" s="6" t="s">
        <v>11108</v>
      </c>
      <c r="C8828" s="5" t="str">
        <f>IFERROR(__xludf.DUMMYFUNCTION("GOOGLETRANSLATE(B8828,""en"",""fr"")"),"Ensuite, un homme tient un javelot et court pour lancer le javelot, puis un autre athlète tire également sur le javelot.")</f>
        <v>Ensuite, un homme tient un javelot et court pour lancer le javelot, puis un autre athlète tire également sur le javelot.</v>
      </c>
    </row>
    <row r="8829">
      <c r="A8829" s="4" t="s">
        <v>11109</v>
      </c>
      <c r="B8829" s="4" t="s">
        <v>11110</v>
      </c>
      <c r="C8829" s="5" t="str">
        <f>IFERROR(__xludf.DUMMYFUNCTION("GOOGLETRANSLATE(B8829,""en"",""fr"")"),"Un homme est assis dans les escaliers en train de parler.")</f>
        <v>Un homme est assis dans les escaliers en train de parler.</v>
      </c>
    </row>
    <row r="8830">
      <c r="A8830" s="4" t="s">
        <v>11109</v>
      </c>
      <c r="B8830" s="4" t="s">
        <v>11111</v>
      </c>
      <c r="C8830" s="5" t="str">
        <f>IFERROR(__xludf.DUMMYFUNCTION("GOOGLETRANSLATE(B8830,""en"",""fr"")"),"Il se tient au-dessus d'un évier.")</f>
        <v>Il se tient au-dessus d'un évier.</v>
      </c>
    </row>
    <row r="8831">
      <c r="A8831" s="4" t="s">
        <v>11109</v>
      </c>
      <c r="B8831" s="4" t="s">
        <v>11112</v>
      </c>
      <c r="C8831" s="5" t="str">
        <f>IFERROR(__xludf.DUMMYFUNCTION("GOOGLETRANSLATE(B8831,""en"",""fr"")"),"Il pulvérise l'évier avec un agent de nettoyage.")</f>
        <v>Il pulvérise l'évier avec un agent de nettoyage.</v>
      </c>
    </row>
    <row r="8832">
      <c r="A8832" s="4" t="s">
        <v>11109</v>
      </c>
      <c r="B8832" s="4" t="s">
        <v>11113</v>
      </c>
      <c r="C8832" s="5" t="str">
        <f>IFERROR(__xludf.DUMMYFUNCTION("GOOGLETRANSLATE(B8832,""en"",""fr"")"),"Il prend une éponge et frotte l'intérieur des éviers.")</f>
        <v>Il prend une éponge et frotte l'intérieur des éviers.</v>
      </c>
    </row>
    <row r="8833">
      <c r="A8833" s="4" t="s">
        <v>11109</v>
      </c>
      <c r="B8833" s="4" t="s">
        <v>11114</v>
      </c>
      <c r="C8833" s="5" t="str">
        <f>IFERROR(__xludf.DUMMYFUNCTION("GOOGLETRANSLATE(B8833,""en"",""fr"")"),"Il allume l'eau et pulvérise le tuyau autour de l'évier.")</f>
        <v>Il allume l'eau et pulvérise le tuyau autour de l'évier.</v>
      </c>
    </row>
    <row r="8834">
      <c r="A8834" s="4" t="s">
        <v>11109</v>
      </c>
      <c r="B8834" s="4" t="s">
        <v>11115</v>
      </c>
      <c r="C8834" s="5" t="str">
        <f>IFERROR(__xludf.DUMMYFUNCTION("GOOGLETRANSLATE(B8834,""en"",""fr"")"),"Il essuie l'évier avec une serviette.")</f>
        <v>Il essuie l'évier avec une serviette.</v>
      </c>
    </row>
    <row r="8835">
      <c r="A8835" s="4" t="s">
        <v>11109</v>
      </c>
      <c r="B8835" s="4" t="s">
        <v>11116</v>
      </c>
      <c r="C8835" s="5" t="str">
        <f>IFERROR(__xludf.DUMMYFUNCTION("GOOGLETRANSLATE(B8835,""en"",""fr"")"),"L'homme est à nouveau assis dans les escaliers.")</f>
        <v>L'homme est à nouveau assis dans les escaliers.</v>
      </c>
    </row>
    <row r="8836">
      <c r="A8836" s="4" t="s">
        <v>11117</v>
      </c>
      <c r="B8836" s="4" t="s">
        <v>11118</v>
      </c>
      <c r="C8836" s="5" t="str">
        <f>IFERROR(__xludf.DUMMYFUNCTION("GOOGLETRANSLATE(B8836,""en"",""fr"")"),"Nous voyons un écran d'ouverture une carte et des images fixes.")</f>
        <v>Nous voyons un écran d'ouverture une carte et des images fixes.</v>
      </c>
    </row>
    <row r="8837">
      <c r="A8837" s="4" t="s">
        <v>11117</v>
      </c>
      <c r="B8837" s="4" t="s">
        <v>11119</v>
      </c>
      <c r="C8837" s="5" t="str">
        <f>IFERROR(__xludf.DUMMYFUNCTION("GOOGLETRANSLATE(B8837,""en"",""fr"")"),"Des hommes martelant des carreaux de toit sur un panneau de toit à l'intérieur.")</f>
        <v>Des hommes martelant des carreaux de toit sur un panneau de toit à l'intérieur.</v>
      </c>
    </row>
    <row r="8838">
      <c r="A8838" s="4" t="s">
        <v>11117</v>
      </c>
      <c r="B8838" s="4" t="s">
        <v>6208</v>
      </c>
      <c r="C8838" s="5" t="str">
        <f>IFERROR(__xludf.DUMMYFUNCTION("GOOGLETRANSLATE(B8838,""en"",""fr"")"),"Nous voyons un écran de titre.")</f>
        <v>Nous voyons un écran de titre.</v>
      </c>
    </row>
    <row r="8839">
      <c r="A8839" s="4" t="s">
        <v>11117</v>
      </c>
      <c r="B8839" s="4" t="s">
        <v>11120</v>
      </c>
      <c r="C8839" s="5" t="str">
        <f>IFERROR(__xludf.DUMMYFUNCTION("GOOGLETRANSLATE(B8839,""en"",""fr"")"),"Nous voyons un homme taper un crochet dans le bois.")</f>
        <v>Nous voyons un homme taper un crochet dans le bois.</v>
      </c>
    </row>
    <row r="8840">
      <c r="A8840" s="4" t="s">
        <v>11117</v>
      </c>
      <c r="B8840" s="4" t="s">
        <v>11121</v>
      </c>
      <c r="C8840" s="5" t="str">
        <f>IFERROR(__xludf.DUMMYFUNCTION("GOOGLETRANSLATE(B8840,""en"",""fr"")"),"Nous voyons à nouveau un écran de titre.")</f>
        <v>Nous voyons à nouveau un écran de titre.</v>
      </c>
    </row>
    <row r="8841">
      <c r="A8841" s="4" t="s">
        <v>11117</v>
      </c>
      <c r="B8841" s="4" t="s">
        <v>11122</v>
      </c>
      <c r="C8841" s="5" t="str">
        <f>IFERROR(__xludf.DUMMYFUNCTION("GOOGLETRANSLATE(B8841,""en"",""fr"")"),"Nous voyons les hommes travailler sur des toits.")</f>
        <v>Nous voyons les hommes travailler sur des toits.</v>
      </c>
    </row>
    <row r="8842">
      <c r="A8842" s="4" t="s">
        <v>11117</v>
      </c>
      <c r="B8842" s="4" t="s">
        <v>11123</v>
      </c>
      <c r="C8842" s="5" t="str">
        <f>IFERROR(__xludf.DUMMYFUNCTION("GOOGLETRANSLATE(B8842,""en"",""fr"")"),"Nous voyons deux écrans avec des hommes travaillant sur des toits côte à côte.")</f>
        <v>Nous voyons deux écrans avec des hommes travaillant sur des toits côte à côte.</v>
      </c>
    </row>
    <row r="8843">
      <c r="A8843" s="4" t="s">
        <v>11117</v>
      </c>
      <c r="B8843" s="4" t="s">
        <v>11124</v>
      </c>
      <c r="C8843" s="5" t="str">
        <f>IFERROR(__xludf.DUMMYFUNCTION("GOOGLETRANSLATE(B8843,""en"",""fr"")"),"Nous voyons les écrans de titre de fin.")</f>
        <v>Nous voyons les écrans de titre de fin.</v>
      </c>
    </row>
    <row r="8844">
      <c r="A8844" s="4" t="s">
        <v>11125</v>
      </c>
      <c r="B8844" s="4" t="s">
        <v>11126</v>
      </c>
      <c r="C8844" s="5" t="str">
        <f>IFERROR(__xludf.DUMMYFUNCTION("GOOGLETRANSLATE(B8844,""en"",""fr"")"),"Un grand groupe de personnes est vu faire de l'exercice dans une classe avec un homme les menant devant.")</f>
        <v>Un grand groupe de personnes est vu faire de l'exercice dans une classe avec un homme les menant devant.</v>
      </c>
    </row>
    <row r="8845">
      <c r="A8845" s="4" t="s">
        <v>11125</v>
      </c>
      <c r="B8845" s="4" t="s">
        <v>11127</v>
      </c>
      <c r="C8845" s="5" t="str">
        <f>IFERROR(__xludf.DUMMYFUNCTION("GOOGLETRANSLATE(B8845,""en"",""fr"")"),"Le groupe continue de se déplacer ensemble sur une barre et se termine par du texte à travers l'écran.")</f>
        <v>Le groupe continue de se déplacer ensemble sur une barre et se termine par du texte à travers l'écran.</v>
      </c>
    </row>
    <row r="8846">
      <c r="A8846" s="4" t="s">
        <v>11128</v>
      </c>
      <c r="B8846" s="4" t="s">
        <v>11129</v>
      </c>
      <c r="C8846" s="5" t="str">
        <f>IFERROR(__xludf.DUMMYFUNCTION("GOOGLETRANSLATE(B8846,""en"",""fr"")"),"Un homme parle à l'intérieur d'un concessionnaire automobile.")</f>
        <v>Un homme parle à l'intérieur d'un concessionnaire automobile.</v>
      </c>
    </row>
    <row r="8847">
      <c r="A8847" s="4" t="s">
        <v>11128</v>
      </c>
      <c r="B8847" s="4" t="s">
        <v>11130</v>
      </c>
      <c r="C8847" s="5" t="str">
        <f>IFERROR(__xludf.DUMMYFUNCTION("GOOGLETRANSLATE(B8847,""en"",""fr"")"),"Après, une voiture quitte un lavage de voiture.")</f>
        <v>Après, une voiture quitte un lavage de voiture.</v>
      </c>
    </row>
    <row r="8848">
      <c r="A8848" s="4" t="s">
        <v>11128</v>
      </c>
      <c r="B8848" s="4" t="s">
        <v>11131</v>
      </c>
      <c r="C8848" s="5" t="str">
        <f>IFERROR(__xludf.DUMMYFUNCTION("GOOGLETRANSLATE(B8848,""en"",""fr"")"),"Une équipe de gens nettoie une voiture à la main.")</f>
        <v>Une équipe de gens nettoie une voiture à la main.</v>
      </c>
    </row>
    <row r="8849">
      <c r="A8849" s="4" t="s">
        <v>11132</v>
      </c>
      <c r="B8849" s="4" t="s">
        <v>11133</v>
      </c>
      <c r="C8849" s="5" t="str">
        <f>IFERROR(__xludf.DUMMYFUNCTION("GOOGLETRANSLATE(B8849,""en"",""fr"")"),"Un homme soulève une section d'une poutre en acier dans un atelier.")</f>
        <v>Un homme soulève une section d'une poutre en acier dans un atelier.</v>
      </c>
    </row>
    <row r="8850">
      <c r="A8850" s="4" t="s">
        <v>11132</v>
      </c>
      <c r="B8850" s="4" t="s">
        <v>11134</v>
      </c>
      <c r="C8850" s="5" t="str">
        <f>IFERROR(__xludf.DUMMYFUNCTION("GOOGLETRANSLATE(B8850,""en"",""fr"")"),"La pointe du pistolet de soudage est ajustée à l'aide de pinces.")</f>
        <v>La pointe du pistolet de soudage est ajustée à l'aide de pinces.</v>
      </c>
    </row>
    <row r="8851">
      <c r="A8851" s="4" t="s">
        <v>11132</v>
      </c>
      <c r="B8851" s="4" t="s">
        <v>11135</v>
      </c>
      <c r="C8851" s="5" t="str">
        <f>IFERROR(__xludf.DUMMYFUNCTION("GOOGLETRANSLATE(B8851,""en"",""fr"")"),"L'homme marque et mesure des morceaux de métal de plaque entre les soudures dessus.")</f>
        <v>L'homme marque et mesure des morceaux de métal de plaque entre les soudures dessus.</v>
      </c>
    </row>
    <row r="8852">
      <c r="A8852" s="4" t="s">
        <v>11132</v>
      </c>
      <c r="B8852" s="4" t="s">
        <v>11136</v>
      </c>
      <c r="C8852" s="5" t="str">
        <f>IFERROR(__xludf.DUMMYFUNCTION("GOOGLETRANSLATE(B8852,""en"",""fr"")"),"L'homme montre l'angle pour faire une soudure sur le morceau de métal de plaque.")</f>
        <v>L'homme montre l'angle pour faire une soudure sur le morceau de métal de plaque.</v>
      </c>
    </row>
    <row r="8853">
      <c r="A8853" s="4" t="s">
        <v>11137</v>
      </c>
      <c r="B8853" s="4" t="s">
        <v>11138</v>
      </c>
      <c r="C8853" s="5" t="str">
        <f>IFERROR(__xludf.DUMMYFUNCTION("GOOGLETRANSLATE(B8853,""en"",""fr"")"),"Une vue télescopique de plusieurs personnes vêtues d'un équipement de vélo est montrée.")</f>
        <v>Une vue télescopique de plusieurs personnes vêtues d'un équipement de vélo est montrée.</v>
      </c>
    </row>
    <row r="8854">
      <c r="A8854" s="4" t="s">
        <v>11137</v>
      </c>
      <c r="B8854" s="4" t="s">
        <v>11139</v>
      </c>
      <c r="C8854" s="5" t="str">
        <f>IFERROR(__xludf.DUMMYFUNCTION("GOOGLETRANSLATE(B8854,""en"",""fr"")"),"La foule se propage, se promenant avec des fusils à la main.")</f>
        <v>La foule se propage, se promenant avec des fusils à la main.</v>
      </c>
    </row>
    <row r="8855">
      <c r="A8855" s="4" t="s">
        <v>11137</v>
      </c>
      <c r="B8855" s="4" t="s">
        <v>11140</v>
      </c>
      <c r="C8855" s="5" t="str">
        <f>IFERROR(__xludf.DUMMYFUNCTION("GOOGLETRANSLATE(B8855,""en"",""fr"")"),"Ils visent divers objets.")</f>
        <v>Ils visent divers objets.</v>
      </c>
    </row>
    <row r="8856">
      <c r="A8856" s="4" t="s">
        <v>11137</v>
      </c>
      <c r="B8856" s="4" t="s">
        <v>11141</v>
      </c>
      <c r="C8856" s="5" t="str">
        <f>IFERROR(__xludf.DUMMYFUNCTION("GOOGLETRANSLATE(B8856,""en"",""fr"")"),"Les hommes se cachent derrière un mur, se tirant les uns sur les autres pendant qu'ils passaient.")</f>
        <v>Les hommes se cachent derrière un mur, se tirant les uns sur les autres pendant qu'ils passaient.</v>
      </c>
    </row>
    <row r="8857">
      <c r="A8857" s="4" t="s">
        <v>11142</v>
      </c>
      <c r="B8857" s="4" t="s">
        <v>11143</v>
      </c>
      <c r="C8857" s="5" t="str">
        <f>IFERROR(__xludf.DUMMYFUNCTION("GOOGLETRANSLATE(B8857,""en"",""fr"")"),"Un grand groupe de personnes est vu se promener dans un studio de danse avec un homme devant.")</f>
        <v>Un grand groupe de personnes est vu se promener dans un studio de danse avec un homme devant.</v>
      </c>
    </row>
    <row r="8858">
      <c r="A8858" s="4" t="s">
        <v>11142</v>
      </c>
      <c r="B8858" s="4" t="s">
        <v>11144</v>
      </c>
      <c r="C8858" s="5" t="str">
        <f>IFERROR(__xludf.DUMMYFUNCTION("GOOGLETRANSLATE(B8858,""en"",""fr"")"),"L'homme commence alors à diriger un cours de danse devant le groupe de personnes.")</f>
        <v>L'homme commence alors à diriger un cours de danse devant le groupe de personnes.</v>
      </c>
    </row>
    <row r="8859">
      <c r="A8859" s="4" t="s">
        <v>11142</v>
      </c>
      <c r="B8859" s="4" t="s">
        <v>11145</v>
      </c>
      <c r="C8859" s="5" t="str">
        <f>IFERROR(__xludf.DUMMYFUNCTION("GOOGLETRANSLATE(B8859,""en"",""fr"")"),"Les gens continuent de danser en suivant l'homme et en déplaçant leurs bras et leurs jambes.")</f>
        <v>Les gens continuent de danser en suivant l'homme et en déplaçant leurs bras et leurs jambes.</v>
      </c>
    </row>
    <row r="8860">
      <c r="A8860" s="4" t="s">
        <v>11146</v>
      </c>
      <c r="B8860" s="4" t="s">
        <v>11147</v>
      </c>
      <c r="C8860" s="5" t="str">
        <f>IFERROR(__xludf.DUMMYFUNCTION("GOOGLETRANSLATE(B8860,""en"",""fr"")"),"Deux hommes se préparent pour un match d'escrime.")</f>
        <v>Deux hommes se préparent pour un match d'escrime.</v>
      </c>
    </row>
    <row r="8861">
      <c r="A8861" s="4" t="s">
        <v>11146</v>
      </c>
      <c r="B8861" s="4" t="s">
        <v>11148</v>
      </c>
      <c r="C8861" s="5" t="str">
        <f>IFERROR(__xludf.DUMMYFUNCTION("GOOGLETRANSLATE(B8861,""en"",""fr"")"),"La vidéo montre plusieurs faits saillants de personnes se clôturant dans divers matchs.")</f>
        <v>La vidéo montre plusieurs faits saillants de personnes se clôturant dans divers matchs.</v>
      </c>
    </row>
    <row r="8862">
      <c r="A8862" s="4" t="s">
        <v>11146</v>
      </c>
      <c r="B8862" s="4" t="s">
        <v>11149</v>
      </c>
      <c r="C8862" s="5" t="str">
        <f>IFERROR(__xludf.DUMMYFUNCTION("GOOGLETRANSLATE(B8862,""en"",""fr"")"),"Certains gagnent les matchs assez rapidement.")</f>
        <v>Certains gagnent les matchs assez rapidement.</v>
      </c>
    </row>
    <row r="8863">
      <c r="A8863" s="4" t="s">
        <v>11146</v>
      </c>
      <c r="B8863" s="4" t="s">
        <v>11150</v>
      </c>
      <c r="C8863" s="5" t="str">
        <f>IFERROR(__xludf.DUMMYFUNCTION("GOOGLETRANSLATE(B8863,""en"",""fr"")"),"Deux hommes reviennent constamment et quatrième l'un vers l'autre.")</f>
        <v>Deux hommes reviennent constamment et quatrième l'un vers l'autre.</v>
      </c>
    </row>
    <row r="8864">
      <c r="A8864" s="4" t="s">
        <v>11146</v>
      </c>
      <c r="B8864" s="4" t="s">
        <v>11151</v>
      </c>
      <c r="C8864" s="5" t="str">
        <f>IFERROR(__xludf.DUMMYFUNCTION("GOOGLETRANSLATE(B8864,""en"",""fr"")"),"L'homme gagne encore et encore.")</f>
        <v>L'homme gagne encore et encore.</v>
      </c>
    </row>
    <row r="8865">
      <c r="A8865" s="4" t="s">
        <v>11146</v>
      </c>
      <c r="B8865" s="4" t="s">
        <v>11152</v>
      </c>
      <c r="C8865" s="5" t="str">
        <f>IFERROR(__xludf.DUMMYFUNCTION("GOOGLETRANSLATE(B8865,""en"",""fr"")"),"Il est montré pratiquant pour ses prochains matchs contre un autre.")</f>
        <v>Il est montré pratiquant pour ses prochains matchs contre un autre.</v>
      </c>
    </row>
    <row r="8866">
      <c r="A8866" s="4" t="s">
        <v>11146</v>
      </c>
      <c r="B8866" s="4" t="s">
        <v>11153</v>
      </c>
      <c r="C8866" s="5" t="str">
        <f>IFERROR(__xludf.DUMMYFUNCTION("GOOGLETRANSLATE(B8866,""en"",""fr"")"),"Il semble gagner encore et encore.")</f>
        <v>Il semble gagner encore et encore.</v>
      </c>
    </row>
    <row r="8867">
      <c r="A8867" s="4" t="s">
        <v>11154</v>
      </c>
      <c r="B8867" s="4" t="s">
        <v>11155</v>
      </c>
      <c r="C8867" s="5" t="str">
        <f>IFERROR(__xludf.DUMMYFUNCTION("GOOGLETRANSLATE(B8867,""en"",""fr"")"),"Les gens se tiennent dans un salon de coiffure assis sur des chaises.")</f>
        <v>Les gens se tiennent dans un salon de coiffure assis sur des chaises.</v>
      </c>
    </row>
    <row r="8868">
      <c r="A8868" s="4" t="s">
        <v>11154</v>
      </c>
      <c r="B8868" s="4" t="s">
        <v>11156</v>
      </c>
      <c r="C8868" s="5" t="str">
        <f>IFERROR(__xludf.DUMMYFUNCTION("GOOGLETRANSLATE(B8868,""en"",""fr"")"),"La femme se tient derrière Anoter qui sèche ses cheveux en les peignant et en parlant à la caméra.")</f>
        <v>La femme se tient derrière Anoter qui sèche ses cheveux en les peignant et en parlant à la caméra.</v>
      </c>
    </row>
    <row r="8869">
      <c r="A8869" s="4" t="s">
        <v>11154</v>
      </c>
      <c r="B8869" s="4" t="s">
        <v>11157</v>
      </c>
      <c r="C8869" s="5" t="str">
        <f>IFERROR(__xludf.DUMMYFUNCTION("GOOGLETRANSLATE(B8869,""en"",""fr"")"),"La femme est assise sur une chaise tandis que la femme derrière elle sèche ses cheveux.")</f>
        <v>La femme est assise sur une chaise tandis que la femme derrière elle sèche ses cheveux.</v>
      </c>
    </row>
    <row r="8870">
      <c r="A8870" s="4" t="s">
        <v>11158</v>
      </c>
      <c r="B8870" s="6" t="s">
        <v>11159</v>
      </c>
      <c r="C8870" s="5" t="str">
        <f>IFERROR(__xludf.DUMMYFUNCTION("GOOGLETRANSLATE(B8870,""en"",""fr"")"),"Le mène à un homme jouant une longue guitare devant une maison tout en déplaçant ses doigts de haut en bas.")</f>
        <v>Le mène à un homme jouant une longue guitare devant une maison tout en déplaçant ses doigts de haut en bas.</v>
      </c>
    </row>
    <row r="8871">
      <c r="A8871" s="4" t="s">
        <v>11158</v>
      </c>
      <c r="B8871" s="4" t="s">
        <v>11160</v>
      </c>
      <c r="C8871" s="5" t="str">
        <f>IFERROR(__xludf.DUMMYFUNCTION("GOOGLETRANSLATE(B8871,""en"",""fr"")"),"L'homme continue de jouer et la vidéo mène à un texto au-dessus de sa tête.")</f>
        <v>L'homme continue de jouer et la vidéo mène à un texto au-dessus de sa tête.</v>
      </c>
    </row>
    <row r="8872">
      <c r="A8872" s="4" t="s">
        <v>11161</v>
      </c>
      <c r="B8872" s="6" t="s">
        <v>11162</v>
      </c>
      <c r="C8872" s="5" t="str">
        <f>IFERROR(__xludf.DUMMYFUNCTION("GOOGLETRANSLATE(B8872,""en"",""fr"")"),"Un joueur masculin en chemise jaune et noire porte un petit enfant qui porte la même chemise pendant qu'il est interviewé par le journaliste qui porte une chemise blanche et tient un microphone.")</f>
        <v>Un joueur masculin en chemise jaune et noire porte un petit enfant qui porte la même chemise pendant qu'il est interviewé par le journaliste qui porte une chemise blanche et tient un microphone.</v>
      </c>
    </row>
    <row r="8873">
      <c r="A8873" s="4" t="s">
        <v>11161</v>
      </c>
      <c r="B8873" s="4" t="s">
        <v>11163</v>
      </c>
      <c r="C8873" s="5" t="str">
        <f>IFERROR(__xludf.DUMMYFUNCTION("GOOGLETRANSLATE(B8873,""en"",""fr"")"),"Différentes équipes de différentes couleurs uniformes jouent au football dans le tableau.")</f>
        <v>Différentes équipes de différentes couleurs uniformes jouent au football dans le tableau.</v>
      </c>
    </row>
    <row r="8874">
      <c r="A8874" s="4" t="s">
        <v>11164</v>
      </c>
      <c r="B8874" s="4" t="s">
        <v>11165</v>
      </c>
      <c r="C8874" s="5" t="str">
        <f>IFERROR(__xludf.DUMMYFUNCTION("GOOGLETRANSLATE(B8874,""en"",""fr"")"),"Diverses plans d'une montagne enneigée sont représentés ainsi qu'une personne qui monte sur une colline.")</f>
        <v>Diverses plans d'une montagne enneigée sont représentés ainsi qu'une personne qui monte sur une colline.</v>
      </c>
    </row>
    <row r="8875">
      <c r="A8875" s="4" t="s">
        <v>11164</v>
      </c>
      <c r="B8875" s="4" t="s">
        <v>11166</v>
      </c>
      <c r="C8875" s="5" t="str">
        <f>IFERROR(__xludf.DUMMYFUNCTION("GOOGLETRANSLATE(B8875,""en"",""fr"")"),"La personne se tourne vers les autres autour de lui et est vue en train de monter en montagne.")</f>
        <v>La personne se tourne vers les autres autour de lui et est vue en train de monter en montagne.</v>
      </c>
    </row>
    <row r="8876">
      <c r="A8876" s="4" t="s">
        <v>11164</v>
      </c>
      <c r="B8876" s="4" t="s">
        <v>11167</v>
      </c>
      <c r="C8876" s="5" t="str">
        <f>IFERROR(__xludf.DUMMYFUNCTION("GOOGLETRANSLATE(B8876,""en"",""fr"")"),"La personne descend plusieurs fois plus avec des personnes attachées sur les côtés.")</f>
        <v>La personne descend plusieurs fois plus avec des personnes attachées sur les côtés.</v>
      </c>
    </row>
    <row r="8877">
      <c r="A8877" s="4" t="s">
        <v>11168</v>
      </c>
      <c r="B8877" s="4" t="s">
        <v>11169</v>
      </c>
      <c r="C8877" s="5" t="str">
        <f>IFERROR(__xludf.DUMMYFUNCTION("GOOGLETRANSLATE(B8877,""en"",""fr"")"),"Une gymnaste russe est sur un tapis devant une grande arène avec plusieurs personnes la regardant.")</f>
        <v>Une gymnaste russe est sur un tapis devant une grande arène avec plusieurs personnes la regardant.</v>
      </c>
    </row>
    <row r="8878">
      <c r="A8878" s="4" t="s">
        <v>11168</v>
      </c>
      <c r="B8878" s="6" t="s">
        <v>11170</v>
      </c>
      <c r="C8878" s="5" t="str">
        <f>IFERROR(__xludf.DUMMYFUNCTION("GOOGLETRANSLATE(B8878,""en"",""fr"")"),"La fille commence alors à faire une série de roues de charrette et finit par sauter sur la poutre d'équilibre pour faire sa routine.")</f>
        <v>La fille commence alors à faire une série de roues de charrette et finit par sauter sur la poutre d'équilibre pour faire sa routine.</v>
      </c>
    </row>
    <row r="8879">
      <c r="A8879" s="4" t="s">
        <v>11168</v>
      </c>
      <c r="B8879" s="4" t="s">
        <v>11171</v>
      </c>
      <c r="C8879" s="5" t="str">
        <f>IFERROR(__xludf.DUMMYFUNCTION("GOOGLETRANSLATE(B8879,""en"",""fr"")"),"Une fois qu'elle a terminé, la fille se termine à faire plusieurs astuces et s'éloigne sur le côté.")</f>
        <v>Une fois qu'elle a terminé, la fille se termine à faire plusieurs astuces et s'éloigne sur le côté.</v>
      </c>
    </row>
    <row r="8880">
      <c r="A8880" s="4" t="s">
        <v>11168</v>
      </c>
      <c r="B8880" s="6" t="s">
        <v>11172</v>
      </c>
      <c r="C8880" s="5" t="str">
        <f>IFERROR(__xludf.DUMMYFUNCTION("GOOGLETRANSLATE(B8880,""en"",""fr"")"),"Les gens commencent à encourager elle et sa rediffusion est montrée, et son score d'environ 28 est montré en bas de l'écran.")</f>
        <v>Les gens commencent à encourager elle et sa rediffusion est montrée, et son score d'environ 28 est montré en bas de l'écran.</v>
      </c>
    </row>
    <row r="8881">
      <c r="A8881" s="4" t="s">
        <v>11173</v>
      </c>
      <c r="B8881" s="4" t="s">
        <v>11174</v>
      </c>
      <c r="C8881" s="5" t="str">
        <f>IFERROR(__xludf.DUMMYFUNCTION("GOOGLETRANSLATE(B8881,""en"",""fr"")"),"Une fille en uniforme de baseball se tient à la fin d'un jeu de marelons.")</f>
        <v>Une fille en uniforme de baseball se tient à la fin d'un jeu de marelons.</v>
      </c>
    </row>
    <row r="8882">
      <c r="A8882" s="4" t="s">
        <v>11173</v>
      </c>
      <c r="B8882" s="4" t="s">
        <v>11175</v>
      </c>
      <c r="C8882" s="5" t="str">
        <f>IFERROR(__xludf.DUMMYFUNCTION("GOOGLETRANSLATE(B8882,""en"",""fr"")"),"Une fille en chemise rouge joue de la marelle.")</f>
        <v>Une fille en chemise rouge joue de la marelle.</v>
      </c>
    </row>
    <row r="8883">
      <c r="A8883" s="4" t="s">
        <v>11173</v>
      </c>
      <c r="B8883" s="4" t="s">
        <v>11176</v>
      </c>
      <c r="C8883" s="5" t="str">
        <f>IFERROR(__xludf.DUMMYFUNCTION("GOOGLETRANSLATE(B8883,""en"",""fr"")"),"Un joueur de balle joue de la marelle.")</f>
        <v>Un joueur de balle joue de la marelle.</v>
      </c>
    </row>
    <row r="8884">
      <c r="A8884" s="4" t="s">
        <v>11173</v>
      </c>
      <c r="B8884" s="4" t="s">
        <v>11177</v>
      </c>
      <c r="C8884" s="5" t="str">
        <f>IFERROR(__xludf.DUMMYFUNCTION("GOOGLETRANSLATE(B8884,""en"",""fr"")"),"Les filles se moquent des autres.")</f>
        <v>Les filles se moquent des autres.</v>
      </c>
    </row>
    <row r="8885">
      <c r="A8885" s="4" t="s">
        <v>11178</v>
      </c>
      <c r="B8885" s="4" t="s">
        <v>11179</v>
      </c>
      <c r="C8885" s="5" t="str">
        <f>IFERROR(__xludf.DUMMYFUNCTION("GOOGLETRANSLATE(B8885,""en"",""fr"")"),"Trois filles sont vues tenant une corde avec une s'éloigne et deux jouant du remorqueur de guerre.")</f>
        <v>Trois filles sont vues tenant une corde avec une s'éloigne et deux jouant du remorqueur de guerre.</v>
      </c>
    </row>
    <row r="8886">
      <c r="A8886" s="4" t="s">
        <v>11178</v>
      </c>
      <c r="B8886" s="6" t="s">
        <v>11180</v>
      </c>
      <c r="C8886" s="5" t="str">
        <f>IFERROR(__xludf.DUMMYFUNCTION("GOOGLETRANSLATE(B8886,""en"",""fr"")"),"Deux filles changent de places et les deux derniers s'affrontent en jouant au remorqueur de guerre et quatrième.")</f>
        <v>Deux filles changent de places et les deux derniers s'affrontent en jouant au remorqueur de guerre et quatrième.</v>
      </c>
    </row>
    <row r="8887">
      <c r="A8887" s="4" t="s">
        <v>11181</v>
      </c>
      <c r="B8887" s="4" t="s">
        <v>11182</v>
      </c>
      <c r="C8887" s="5" t="str">
        <f>IFERROR(__xludf.DUMMYFUNCTION("GOOGLETRANSLATE(B8887,""en"",""fr"")"),"Une fille est vue en train de rouler sur une longue route avec plusieurs personnes qui se promènent autour d'elle.")</f>
        <v>Une fille est vue en train de rouler sur une longue route avec plusieurs personnes qui se promènent autour d'elle.</v>
      </c>
    </row>
    <row r="8888">
      <c r="A8888" s="4" t="s">
        <v>11181</v>
      </c>
      <c r="B8888" s="6" t="s">
        <v>11183</v>
      </c>
      <c r="C8888" s="5" t="str">
        <f>IFERROR(__xludf.DUMMYFUNCTION("GOOGLETRANSLATE(B8888,""en"",""fr"")"),"La caméra zoome sur son visage et montre toutes les personnes dans la région, suivie des pieds du caméraman.")</f>
        <v>La caméra zoome sur son visage et montre toutes les personnes dans la région, suivie des pieds du caméraman.</v>
      </c>
    </row>
    <row r="8889">
      <c r="A8889" s="4" t="s">
        <v>11184</v>
      </c>
      <c r="B8889" s="4" t="s">
        <v>11185</v>
      </c>
      <c r="C8889" s="5" t="str">
        <f>IFERROR(__xludf.DUMMYFUNCTION("GOOGLETRANSLATE(B8889,""en"",""fr"")"),"Cet homme porte un débardeur rouge, un short noir et des chaussures.")</f>
        <v>Cet homme porte un débardeur rouge, un short noir et des chaussures.</v>
      </c>
    </row>
    <row r="8890">
      <c r="A8890" s="4" t="s">
        <v>11184</v>
      </c>
      <c r="B8890" s="4" t="s">
        <v>11186</v>
      </c>
      <c r="C8890" s="5" t="str">
        <f>IFERROR(__xludf.DUMMYFUNCTION("GOOGLETRANSLATE(B8890,""en"",""fr"")"),"Il court sur la piste de course et il fait le triple saut dans lequel il arrive presque à la fin.")</f>
        <v>Il court sur la piste de course et il fait le triple saut dans lequel il arrive presque à la fin.</v>
      </c>
    </row>
    <row r="8891">
      <c r="A8891" s="4" t="s">
        <v>11187</v>
      </c>
      <c r="B8891" s="4" t="s">
        <v>11188</v>
      </c>
      <c r="C8891" s="5" t="str">
        <f>IFERROR(__xludf.DUMMYFUNCTION("GOOGLETRANSLATE(B8891,""en"",""fr"")"),"Une caméra se déroule dans une ville et mène à plusieurs clips de personnes jouant dans un casino.")</f>
        <v>Une caméra se déroule dans une ville et mène à plusieurs clips de personnes jouant dans un casino.</v>
      </c>
    </row>
    <row r="8892">
      <c r="A8892" s="4" t="s">
        <v>11187</v>
      </c>
      <c r="B8892" s="4" t="s">
        <v>11189</v>
      </c>
      <c r="C8892" s="5" t="str">
        <f>IFERROR(__xludf.DUMMYFUNCTION("GOOGLETRANSLATE(B8892,""en"",""fr"")"),"Un homme est vu parler à la caméra et être interviewé par les nouvelles.")</f>
        <v>Un homme est vu parler à la caméra et être interviewé par les nouvelles.</v>
      </c>
    </row>
    <row r="8893">
      <c r="A8893" s="4" t="s">
        <v>11187</v>
      </c>
      <c r="B8893" s="4" t="s">
        <v>11190</v>
      </c>
      <c r="C8893" s="5" t="str">
        <f>IFERROR(__xludf.DUMMYFUNCTION("GOOGLETRANSLATE(B8893,""en"",""fr"")"),"Plus d'hommes sont vus interviewés tout en montrant des clips du casino.")</f>
        <v>Plus d'hommes sont vus interviewés tout en montrant des clips du casino.</v>
      </c>
    </row>
    <row r="8894">
      <c r="A8894" s="4" t="s">
        <v>11191</v>
      </c>
      <c r="B8894" s="4" t="s">
        <v>11192</v>
      </c>
      <c r="C8894" s="5" t="str">
        <f>IFERROR(__xludf.DUMMYFUNCTION("GOOGLETRANSLATE(B8894,""en"",""fr"")"),"Un gros plan d'un évier est visible avec un nettoyant sur le dessus pendant que la caméra zoome sur l'évier.")</f>
        <v>Un gros plan d'un évier est visible avec un nettoyant sur le dessus pendant que la caméra zoome sur l'évier.</v>
      </c>
    </row>
    <row r="8895">
      <c r="A8895" s="4" t="s">
        <v>11191</v>
      </c>
      <c r="B8895" s="4" t="s">
        <v>11193</v>
      </c>
      <c r="C8895" s="5" t="str">
        <f>IFERROR(__xludf.DUMMYFUNCTION("GOOGLETRANSLATE(B8895,""en"",""fr"")"),"Une femme est ensuite vue en train de frotter le lavabo avec un chiffon et montre le lavabo à la fin.")</f>
        <v>Une femme est ensuite vue en train de frotter le lavabo avec un chiffon et montre le lavabo à la fin.</v>
      </c>
    </row>
    <row r="8896">
      <c r="A8896" s="4" t="s">
        <v>11194</v>
      </c>
      <c r="B8896" s="4" t="s">
        <v>11195</v>
      </c>
      <c r="C8896" s="5" t="str">
        <f>IFERROR(__xludf.DUMMYFUNCTION("GOOGLETRANSLATE(B8896,""en"",""fr"")"),"Une personne est vue poussant une tondeuse à gazon dans toute la cour.")</f>
        <v>Une personne est vue poussant une tondeuse à gazon dans toute la cour.</v>
      </c>
    </row>
    <row r="8897">
      <c r="A8897" s="4" t="s">
        <v>11194</v>
      </c>
      <c r="B8897" s="4" t="s">
        <v>11196</v>
      </c>
      <c r="C8897" s="5" t="str">
        <f>IFERROR(__xludf.DUMMYFUNCTION("GOOGLETRANSLATE(B8897,""en"",""fr"")"),"La personne pousse la tondeuse le long du bord de l'herbe et dans le reste de l'herbe.")</f>
        <v>La personne pousse la tondeuse le long du bord de l'herbe et dans le reste de l'herbe.</v>
      </c>
    </row>
    <row r="8898">
      <c r="A8898" s="4" t="s">
        <v>11194</v>
      </c>
      <c r="B8898" s="4" t="s">
        <v>11197</v>
      </c>
      <c r="C8898" s="5" t="str">
        <f>IFERROR(__xludf.DUMMYFUNCTION("GOOGLETRANSLATE(B8898,""en"",""fr"")"),"L'homme attrape ensuite un wacker des mauvaises herbes et coupe les mauvaises herbes le long du bord.")</f>
        <v>L'homme attrape ensuite un wacker des mauvaises herbes et coupe les mauvaises herbes le long du bord.</v>
      </c>
    </row>
    <row r="8899">
      <c r="A8899" s="4" t="s">
        <v>11198</v>
      </c>
      <c r="B8899" s="6" t="s">
        <v>11199</v>
      </c>
      <c r="C8899" s="5" t="str">
        <f>IFERROR(__xludf.DUMMYFUNCTION("GOOGLETRANSLATE(B8899,""en"",""fr"")"),"Un homme est vu déplacer une table de football rapidement que possible pendant qu'un autre homme regarde sur le côté.")</f>
        <v>Un homme est vu déplacer une table de football rapidement que possible pendant qu'un autre homme regarde sur le côté.</v>
      </c>
    </row>
    <row r="8900">
      <c r="A8900" s="4" t="s">
        <v>11198</v>
      </c>
      <c r="B8900" s="4" t="s">
        <v>11200</v>
      </c>
      <c r="C8900" s="5" t="str">
        <f>IFERROR(__xludf.DUMMYFUNCTION("GOOGLETRANSLATE(B8900,""en"",""fr"")"),"Les hommes jouent ensuite à un jeu les uns contre les autres tandis que l'on continue de déplacer rapidement les pôles.")</f>
        <v>Les hommes jouent ensuite à un jeu les uns contre les autres tandis que l'on continue de déplacer rapidement les pôles.</v>
      </c>
    </row>
    <row r="8901">
      <c r="A8901" s="4" t="s">
        <v>11201</v>
      </c>
      <c r="B8901" s="4" t="s">
        <v>11202</v>
      </c>
      <c r="C8901" s="5" t="str">
        <f>IFERROR(__xludf.DUMMYFUNCTION("GOOGLETRANSLATE(B8901,""en"",""fr"")"),"Un grand groupe de danseurs est vu debout sur une scène et commence à effectuer une routine.")</f>
        <v>Un grand groupe de danseurs est vu debout sur une scène et commence à effectuer une routine.</v>
      </c>
    </row>
    <row r="8902">
      <c r="A8902" s="4" t="s">
        <v>11201</v>
      </c>
      <c r="B8902" s="4" t="s">
        <v>11203</v>
      </c>
      <c r="C8902" s="5" t="str">
        <f>IFERROR(__xludf.DUMMYFUNCTION("GOOGLETRANSLATE(B8902,""en"",""fr"")"),"Les filles continuent de danser entre elles et se terminant en tenant une pose.")</f>
        <v>Les filles continuent de danser entre elles et se terminant en tenant une pose.</v>
      </c>
    </row>
    <row r="8903">
      <c r="A8903" s="4" t="s">
        <v>11204</v>
      </c>
      <c r="B8903" s="4" t="s">
        <v>11205</v>
      </c>
      <c r="C8903" s="5" t="str">
        <f>IFERROR(__xludf.DUMMYFUNCTION("GOOGLETRANSLATE(B8903,""en"",""fr"")"),"Un homme est assis avec un accordéan sur ses genoux.")</f>
        <v>Un homme est assis avec un accordéan sur ses genoux.</v>
      </c>
    </row>
    <row r="8904">
      <c r="A8904" s="4" t="s">
        <v>11204</v>
      </c>
      <c r="B8904" s="4" t="s">
        <v>11206</v>
      </c>
      <c r="C8904" s="5" t="str">
        <f>IFERROR(__xludf.DUMMYFUNCTION("GOOGLETRANSLATE(B8904,""en"",""fr"")"),"Il le tire et sortit alors qu'il joue le clavier avec son autre main.")</f>
        <v>Il le tire et sortit alors qu'il joue le clavier avec son autre main.</v>
      </c>
    </row>
    <row r="8905">
      <c r="A8905" s="4" t="s">
        <v>11204</v>
      </c>
      <c r="B8905" s="4" t="s">
        <v>11207</v>
      </c>
      <c r="C8905" s="5" t="str">
        <f>IFERROR(__xludf.DUMMYFUNCTION("GOOGLETRANSLATE(B8905,""en"",""fr"")"),"Il est montré avec deux accordés différents alors qu'il continue de jouer.")</f>
        <v>Il est montré avec deux accordés différents alors qu'il continue de jouer.</v>
      </c>
    </row>
    <row r="8906">
      <c r="A8906" s="4" t="s">
        <v>11208</v>
      </c>
      <c r="B8906" s="4" t="s">
        <v>11209</v>
      </c>
      <c r="C8906" s="5" t="str">
        <f>IFERROR(__xludf.DUMMYFUNCTION("GOOGLETRANSLATE(B8906,""en"",""fr"")"),"Un lutteur est au milieu du ring en attendant son adversaire.")</f>
        <v>Un lutteur est au milieu du ring en attendant son adversaire.</v>
      </c>
    </row>
    <row r="8907">
      <c r="A8907" s="4" t="s">
        <v>11208</v>
      </c>
      <c r="B8907" s="6" t="s">
        <v>11210</v>
      </c>
      <c r="C8907" s="5" t="str">
        <f>IFERROR(__xludf.DUMMYFUNCTION("GOOGLETRANSLATE(B8907,""en"",""fr"")"),"Une fois qu'il est entré, ils saisissent une corde et commencent à jouer du remorqueur avec lui, se tirant les uns les autres.")</f>
        <v>Une fois qu'il est entré, ils saisissent une corde et commencent à jouer du remorqueur avec lui, se tirant les uns les autres.</v>
      </c>
    </row>
    <row r="8908">
      <c r="A8908" s="4" t="s">
        <v>11208</v>
      </c>
      <c r="B8908" s="4" t="s">
        <v>11211</v>
      </c>
      <c r="C8908" s="5" t="str">
        <f>IFERROR(__xludf.DUMMYFUNCTION("GOOGLETRANSLATE(B8908,""en"",""fr"")"),"Ils ont du mal à essayer de battre l'autre quand finalement le lutteur de la tête rouge fait tomber l'autre.")</f>
        <v>Ils ont du mal à essayer de battre l'autre quand finalement le lutteur de la tête rouge fait tomber l'autre.</v>
      </c>
    </row>
    <row r="8909">
      <c r="A8909" s="4" t="s">
        <v>11208</v>
      </c>
      <c r="B8909" s="4" t="s">
        <v>11212</v>
      </c>
      <c r="C8909" s="5" t="str">
        <f>IFERROR(__xludf.DUMMYFUNCTION("GOOGLETRANSLATE(B8909,""en"",""fr"")"),"Il se réjouit, sautant de haut en bas et se frappant les mains contre sa poitrine.")</f>
        <v>Il se réjouit, sautant de haut en bas et se frappant les mains contre sa poitrine.</v>
      </c>
    </row>
    <row r="8910">
      <c r="A8910" s="4" t="s">
        <v>11213</v>
      </c>
      <c r="B8910" s="4" t="s">
        <v>11214</v>
      </c>
      <c r="C8910" s="5" t="str">
        <f>IFERROR(__xludf.DUMMYFUNCTION("GOOGLETRANSLATE(B8910,""en"",""fr"")"),"Un homme s'accroupi dans un studio de danse.")</f>
        <v>Un homme s'accroupi dans un studio de danse.</v>
      </c>
    </row>
    <row r="8911">
      <c r="A8911" s="4" t="s">
        <v>11213</v>
      </c>
      <c r="B8911" s="4" t="s">
        <v>11215</v>
      </c>
      <c r="C8911" s="5" t="str">
        <f>IFERROR(__xludf.DUMMYFUNCTION("GOOGLETRANSLATE(B8911,""en"",""fr"")"),"Il se lève sur ses mains.")</f>
        <v>Il se lève sur ses mains.</v>
      </c>
    </row>
    <row r="8912">
      <c r="A8912" s="4" t="s">
        <v>11213</v>
      </c>
      <c r="B8912" s="4" t="s">
        <v>11216</v>
      </c>
      <c r="C8912" s="5" t="str">
        <f>IFERROR(__xludf.DUMMYFUNCTION("GOOGLETRANSLATE(B8912,""en"",""fr"")"),"Il tient les pieds en l'air.")</f>
        <v>Il tient les pieds en l'air.</v>
      </c>
    </row>
    <row r="8913">
      <c r="A8913" s="4" t="s">
        <v>11213</v>
      </c>
      <c r="B8913" s="4" t="s">
        <v>11217</v>
      </c>
      <c r="C8913" s="5" t="str">
        <f>IFERROR(__xludf.DUMMYFUNCTION("GOOGLETRANSLATE(B8913,""en"",""fr"")"),"Il pose ensuite sur son dos sur le sol.")</f>
        <v>Il pose ensuite sur son dos sur le sol.</v>
      </c>
    </row>
    <row r="8914">
      <c r="A8914" s="4" t="s">
        <v>11218</v>
      </c>
      <c r="B8914" s="6" t="s">
        <v>11219</v>
      </c>
      <c r="C8914" s="5" t="str">
        <f>IFERROR(__xludf.DUMMYFUNCTION("GOOGLETRANSLATE(B8914,""en"",""fr"")"),"Une femme blonde joue avec des chiens, elle les embrasse et leur donne une douche, la femme tient un ciseaux et coupe les cheveux du chien.")</f>
        <v>Une femme blonde joue avec des chiens, elle les embrasse et leur donne une douche, la femme tient un ciseaux et coupe les cheveux du chien.</v>
      </c>
    </row>
    <row r="8915">
      <c r="A8915" s="4" t="s">
        <v>11218</v>
      </c>
      <c r="B8915" s="4" t="s">
        <v>11220</v>
      </c>
      <c r="C8915" s="5" t="str">
        <f>IFERROR(__xludf.DUMMYFUNCTION("GOOGLETRANSLATE(B8915,""en"",""fr"")"),"La femme blonde est avec un beau chien blanc dans une table un bureau d'un vétérinaire.")</f>
        <v>La femme blonde est avec un beau chien blanc dans une table un bureau d'un vétérinaire.</v>
      </c>
    </row>
    <row r="8916">
      <c r="A8916" s="4" t="s">
        <v>11218</v>
      </c>
      <c r="B8916" s="4" t="s">
        <v>11221</v>
      </c>
      <c r="C8916" s="5" t="str">
        <f>IFERROR(__xludf.DUMMYFUNCTION("GOOGLETRANSLATE(B8916,""en"",""fr"")"),"La femme est avec le chien noir et coiffe les cheveux du chien.")</f>
        <v>La femme est avec le chien noir et coiffe les cheveux du chien.</v>
      </c>
    </row>
    <row r="8917">
      <c r="A8917" s="4" t="s">
        <v>11218</v>
      </c>
      <c r="B8917" s="4" t="s">
        <v>11222</v>
      </c>
      <c r="C8917" s="5" t="str">
        <f>IFERROR(__xludf.DUMMYFUNCTION("GOOGLETRANSLATE(B8917,""en"",""fr"")"),"La femme montre ses diplômes et leurs récompenses et est avec une flaque blanche en peignant les cheveux.")</f>
        <v>La femme montre ses diplômes et leurs récompenses et est avec une flaque blanche en peignant les cheveux.</v>
      </c>
    </row>
    <row r="8918">
      <c r="A8918" s="4" t="s">
        <v>11218</v>
      </c>
      <c r="B8918" s="4" t="s">
        <v>11223</v>
      </c>
      <c r="C8918" s="5" t="str">
        <f>IFERROR(__xludf.DUMMYFUNCTION("GOOGLETRANSLATE(B8918,""en"",""fr"")"),"La femme peigne les cheveux du chien noir et joue avec.")</f>
        <v>La femme peigne les cheveux du chien noir et joue avec.</v>
      </c>
    </row>
    <row r="8919">
      <c r="A8919" s="4" t="s">
        <v>11218</v>
      </c>
      <c r="B8919" s="4" t="s">
        <v>11224</v>
      </c>
      <c r="C8919" s="5" t="str">
        <f>IFERROR(__xludf.DUMMYFUNCTION("GOOGLETRANSLATE(B8919,""en"",""fr"")"),"La femme tient la patte blanche et lui coupe les ongles.")</f>
        <v>La femme tient la patte blanche et lui coupe les ongles.</v>
      </c>
    </row>
    <row r="8920">
      <c r="A8920" s="4" t="s">
        <v>11218</v>
      </c>
      <c r="B8920" s="4" t="s">
        <v>11225</v>
      </c>
      <c r="C8920" s="5" t="str">
        <f>IFERROR(__xludf.DUMMYFUNCTION("GOOGLETRANSLATE(B8920,""en"",""fr"")"),"La femme est avec le chien noir lui donnant une douche et coiffant ses cheveux.")</f>
        <v>La femme est avec le chien noir lui donnant une douche et coiffant ses cheveux.</v>
      </c>
    </row>
    <row r="8921">
      <c r="A8921" s="4" t="s">
        <v>11218</v>
      </c>
      <c r="B8921" s="4" t="s">
        <v>11226</v>
      </c>
      <c r="C8921" s="5" t="str">
        <f>IFERROR(__xludf.DUMMYFUNCTION("GOOGLETRANSLATE(B8921,""en"",""fr"")"),"La femme parle pendant que dans le fond, une femme blonde peigne une flaque blanche.")</f>
        <v>La femme parle pendant que dans le fond, une femme blonde peigne une flaque blanche.</v>
      </c>
    </row>
    <row r="8922">
      <c r="A8922" s="4" t="s">
        <v>11218</v>
      </c>
      <c r="B8922" s="6" t="s">
        <v>11227</v>
      </c>
      <c r="C8922" s="5" t="str">
        <f>IFERROR(__xludf.DUMMYFUNCTION("GOOGLETRANSLATE(B8922,""en"",""fr"")"),"Blonde Woman tient la flaque blanche et parle à la caméra, donnant à la web l'adresse au salon de chien blanc montre comment peigner et doucher les chiens.")</f>
        <v>Blonde Woman tient la flaque blanche et parle à la caméra, donnant à la web l'adresse au salon de chien blanc montre comment peigner et doucher les chiens.</v>
      </c>
    </row>
    <row r="8923">
      <c r="A8923" s="4" t="s">
        <v>11228</v>
      </c>
      <c r="B8923" s="6" t="s">
        <v>11229</v>
      </c>
      <c r="C8923" s="5" t="str">
        <f>IFERROR(__xludf.DUMMYFUNCTION("GOOGLETRANSLATE(B8923,""en"",""fr"")"),"Un athlète est vu debout prêt à tenir un poteau et commence à courir sur une grande piste sur une poutre.")</f>
        <v>Un athlète est vu debout prêt à tenir un poteau et commence à courir sur une grande piste sur une poutre.</v>
      </c>
    </row>
    <row r="8924">
      <c r="A8924" s="4" t="s">
        <v>11228</v>
      </c>
      <c r="B8924" s="6" t="s">
        <v>11230</v>
      </c>
      <c r="C8924" s="5" t="str">
        <f>IFERROR(__xludf.DUMMYFUNCTION("GOOGLETRANSLATE(B8924,""en"",""fr"")"),"La femme saute ensuite par-dessus la poutre et jette ses bras en l'air pour célébrer et courir autour du terrain.")</f>
        <v>La femme saute ensuite par-dessus la poutre et jette ses bras en l'air pour célébrer et courir autour du terrain.</v>
      </c>
    </row>
    <row r="8925">
      <c r="A8925" s="4" t="s">
        <v>11228</v>
      </c>
      <c r="B8925" s="6" t="s">
        <v>11231</v>
      </c>
      <c r="C8925" s="5" t="str">
        <f>IFERROR(__xludf.DUMMYFUNCTION("GOOGLETRANSLATE(B8925,""en"",""fr"")"),"La femme se retourne sur le tapis tout en célébrant et se termine avec son saut à nouveau montré et sa position assise devant son score.")</f>
        <v>La femme se retourne sur le tapis tout en célébrant et se termine avec son saut à nouveau montré et sa position assise devant son score.</v>
      </c>
    </row>
    <row r="8926">
      <c r="A8926" s="4" t="s">
        <v>11232</v>
      </c>
      <c r="B8926" s="4" t="s">
        <v>11233</v>
      </c>
      <c r="C8926" s="5" t="str">
        <f>IFERROR(__xludf.DUMMYFUNCTION("GOOGLETRANSLATE(B8926,""en"",""fr"")"),"Une jeune femme est vue debout à côté d'un cheval et parle à un petit groupe.")</f>
        <v>Une jeune femme est vue debout à côté d'un cheval et parle à un petit groupe.</v>
      </c>
    </row>
    <row r="8927">
      <c r="A8927" s="4" t="s">
        <v>11232</v>
      </c>
      <c r="B8927" s="4" t="s">
        <v>11234</v>
      </c>
      <c r="C8927" s="5" t="str">
        <f>IFERROR(__xludf.DUMMYFUNCTION("GOOGLETRANSLATE(B8927,""en"",""fr"")"),"Elle pousse un peu le cheval et commence à brosser sa queue tout en parlant au groupe.")</f>
        <v>Elle pousse un peu le cheval et commence à brosser sa queue tout en parlant au groupe.</v>
      </c>
    </row>
    <row r="8928">
      <c r="A8928" s="4" t="s">
        <v>11232</v>
      </c>
      <c r="B8928" s="4" t="s">
        <v>11235</v>
      </c>
      <c r="C8928" s="5" t="str">
        <f>IFERROR(__xludf.DUMMYFUNCTION("GOOGLETRANSLATE(B8928,""en"",""fr"")"),"Elle cesse de brosser tout en parlant au groupe et en s'éloignant.")</f>
        <v>Elle cesse de brosser tout en parlant au groupe et en s'éloignant.</v>
      </c>
    </row>
    <row r="8929">
      <c r="A8929" s="4" t="s">
        <v>11236</v>
      </c>
      <c r="B8929" s="4" t="s">
        <v>11237</v>
      </c>
      <c r="C8929" s="5" t="str">
        <f>IFERROR(__xludf.DUMMYFUNCTION("GOOGLETRANSLATE(B8929,""en"",""fr"")"),"Un homme légèrement rond est représenté dans une cuisine tout en tenant une boîte de boisson.")</f>
        <v>Un homme légèrement rond est représenté dans une cuisine tout en tenant une boîte de boisson.</v>
      </c>
    </row>
    <row r="8930">
      <c r="A8930" s="4" t="s">
        <v>11236</v>
      </c>
      <c r="B8930" s="4" t="s">
        <v>11238</v>
      </c>
      <c r="C8930" s="5" t="str">
        <f>IFERROR(__xludf.DUMMYFUNCTION("GOOGLETRANSLATE(B8930,""en"",""fr"")"),"L'homme rit et parle à la caméra de la boîte dans sa main.")</f>
        <v>L'homme rit et parle à la caméra de la boîte dans sa main.</v>
      </c>
    </row>
    <row r="8931">
      <c r="A8931" s="4" t="s">
        <v>11236</v>
      </c>
      <c r="B8931" s="4" t="s">
        <v>11239</v>
      </c>
      <c r="C8931" s="5" t="str">
        <f>IFERROR(__xludf.DUMMYFUNCTION("GOOGLETRANSLATE(B8931,""en"",""fr"")"),"Il verse la boisson dans un verre et continue de le boire aux côtés d'un ami masculin.")</f>
        <v>Il verse la boisson dans un verre et continue de le boire aux côtés d'un ami masculin.</v>
      </c>
    </row>
    <row r="8932">
      <c r="A8932" s="4" t="s">
        <v>11236</v>
      </c>
      <c r="B8932" s="4" t="s">
        <v>11240</v>
      </c>
      <c r="C8932" s="5" t="str">
        <f>IFERROR(__xludf.DUMMYFUNCTION("GOOGLETRANSLATE(B8932,""en"",""fr"")"),"Les deux hommes boivent le contenu de leurs verres pendant qu'ils parlent.")</f>
        <v>Les deux hommes boivent le contenu de leurs verres pendant qu'ils parlent.</v>
      </c>
    </row>
    <row r="8933">
      <c r="A8933" s="4" t="s">
        <v>11241</v>
      </c>
      <c r="B8933" s="6" t="s">
        <v>11242</v>
      </c>
      <c r="C8933" s="5" t="str">
        <f>IFERROR(__xludf.DUMMYFUNCTION("GOOGLETRANSLATE(B8933,""en"",""fr"")"),"Une femme est vue en parlant à la caméra et en pose ses mains sur une paire de pantalons sur une table de repassage.")</f>
        <v>Une femme est vue en parlant à la caméra et en pose ses mains sur une paire de pantalons sur une table de repassage.</v>
      </c>
    </row>
    <row r="8934">
      <c r="A8934" s="4" t="s">
        <v>11241</v>
      </c>
      <c r="B8934" s="4" t="s">
        <v>11243</v>
      </c>
      <c r="C8934" s="5" t="str">
        <f>IFERROR(__xludf.DUMMYFUNCTION("GOOGLETRANSLATE(B8934,""en"",""fr"")"),"Elle commence à repasser le pantalon et se termine en montrant le pli qu'elle a fait au milieu.")</f>
        <v>Elle commence à repasser le pantalon et se termine en montrant le pli qu'elle a fait au milieu.</v>
      </c>
    </row>
    <row r="8935">
      <c r="A8935" s="4" t="s">
        <v>11244</v>
      </c>
      <c r="B8935" s="4" t="s">
        <v>11245</v>
      </c>
      <c r="C8935" s="5" t="str">
        <f>IFERROR(__xludf.DUMMYFUNCTION("GOOGLETRANSLATE(B8935,""en"",""fr"")"),"Il y a un homme debout dans une cuisine et se lavant les mains dans un évier de cuisine en acier.")</f>
        <v>Il y a un homme debout dans une cuisine et se lavant les mains dans un évier de cuisine en acier.</v>
      </c>
    </row>
    <row r="8936">
      <c r="A8936" s="4" t="s">
        <v>11244</v>
      </c>
      <c r="B8936" s="4" t="s">
        <v>11246</v>
      </c>
      <c r="C8936" s="5" t="str">
        <f>IFERROR(__xludf.DUMMYFUNCTION("GOOGLETRANSLATE(B8936,""en"",""fr"")"),"Il prend une pompe du savon à main liquide du comptoir de l'évier.")</f>
        <v>Il prend une pompe du savon à main liquide du comptoir de l'évier.</v>
      </c>
    </row>
    <row r="8937">
      <c r="A8937" s="4" t="s">
        <v>11244</v>
      </c>
      <c r="B8937" s="4" t="s">
        <v>11247</v>
      </c>
      <c r="C8937" s="5" t="str">
        <f>IFERROR(__xludf.DUMMYFUNCTION("GOOGLETRANSLATE(B8937,""en"",""fr"")"),"Il allume ensuite l'eau et se lave les mains.")</f>
        <v>Il allume ensuite l'eau et se lave les mains.</v>
      </c>
    </row>
    <row r="8938">
      <c r="A8938" s="4" t="s">
        <v>11244</v>
      </c>
      <c r="B8938" s="4" t="s">
        <v>11248</v>
      </c>
      <c r="C8938" s="5" t="str">
        <f>IFERROR(__xludf.DUMMYFUNCTION("GOOGLETRANSLATE(B8938,""en"",""fr"")"),"Après avoir terminé le lavage, il utilise une serviette à main blanche qui se trouve à côté de l'évier sur le comptoir.")</f>
        <v>Après avoir terminé le lavage, il utilise une serviette à main blanche qui se trouve à côté de l'évier sur le comptoir.</v>
      </c>
    </row>
    <row r="8939">
      <c r="A8939" s="4" t="s">
        <v>11249</v>
      </c>
      <c r="B8939" s="4" t="s">
        <v>11250</v>
      </c>
      <c r="C8939" s="5" t="str">
        <f>IFERROR(__xludf.DUMMYFUNCTION("GOOGLETRANSLATE(B8939,""en"",""fr"")"),"Un homme utilise un narguilé à l'intérieur d'une pièce.")</f>
        <v>Un homme utilise un narguilé à l'intérieur d'une pièce.</v>
      </c>
    </row>
    <row r="8940">
      <c r="A8940" s="4" t="s">
        <v>11249</v>
      </c>
      <c r="B8940" s="4" t="s">
        <v>11251</v>
      </c>
      <c r="C8940" s="5" t="str">
        <f>IFERROR(__xludf.DUMMYFUNCTION("GOOGLETRANSLATE(B8940,""en"",""fr"")"),"Il tourne et souffle un pilier de fumée.")</f>
        <v>Il tourne et souffle un pilier de fumée.</v>
      </c>
    </row>
    <row r="8941">
      <c r="A8941" s="4" t="s">
        <v>11249</v>
      </c>
      <c r="B8941" s="4" t="s">
        <v>11252</v>
      </c>
      <c r="C8941" s="5" t="str">
        <f>IFERROR(__xludf.DUMMYFUNCTION("GOOGLETRANSLATE(B8941,""en"",""fr"")"),"Un autre homme prend le narguilé et prend également un coup.")</f>
        <v>Un autre homme prend le narguilé et prend également un coup.</v>
      </c>
    </row>
    <row r="8942">
      <c r="A8942" s="4" t="s">
        <v>11253</v>
      </c>
      <c r="B8942" s="6" t="s">
        <v>11254</v>
      </c>
      <c r="C8942" s="5" t="str">
        <f>IFERROR(__xludf.DUMMYFUNCTION("GOOGLETRANSLATE(B8942,""en"",""fr"")"),"Une fille démontre plusieurs danses avancées et des mouvements de gymnastique dans de nombreux endroits différents dans une ville.")</f>
        <v>Une fille démontre plusieurs danses avancées et des mouvements de gymnastique dans de nombreux endroits différents dans une ville.</v>
      </c>
    </row>
    <row r="8943">
      <c r="A8943" s="4" t="s">
        <v>11253</v>
      </c>
      <c r="B8943" s="6" t="s">
        <v>11255</v>
      </c>
      <c r="C8943" s="5" t="str">
        <f>IFERROR(__xludf.DUMMYFUNCTION("GOOGLETRANSLATE(B8943,""en"",""fr"")"),"Une fille se tient sur un champ couvert d'herbe et un trottoir pavé et effectue plusieurs flips de gymnastique et mouvements de cheerleading.")</f>
        <v>Une fille se tient sur un champ couvert d'herbe et un trottoir pavé et effectue plusieurs flips de gymnastique et mouvements de cheerleading.</v>
      </c>
    </row>
    <row r="8944">
      <c r="A8944" s="4" t="s">
        <v>11253</v>
      </c>
      <c r="B8944" s="4" t="s">
        <v>11256</v>
      </c>
      <c r="C8944" s="5" t="str">
        <f>IFERROR(__xludf.DUMMYFUNCTION("GOOGLETRANSLATE(B8944,""en"",""fr"")"),"La fille retourne ensuite dans l'herbe et fait plusieurs backflips plus avancés.")</f>
        <v>La fille retourne ensuite dans l'herbe et fait plusieurs backflips plus avancés.</v>
      </c>
    </row>
    <row r="8945">
      <c r="A8945" s="4" t="s">
        <v>11253</v>
      </c>
      <c r="B8945" s="6" t="s">
        <v>11257</v>
      </c>
      <c r="C8945" s="5" t="str">
        <f>IFERROR(__xludf.DUMMYFUNCTION("GOOGLETRANSLATE(B8945,""en"",""fr"")"),"La fille passe à une passerelle en bois et effectue des mouvements de danse et interprète une main de marche dans un autre endroit.")</f>
        <v>La fille passe à une passerelle en bois et effectue des mouvements de danse et interprète une main de marche dans un autre endroit.</v>
      </c>
    </row>
    <row r="8946">
      <c r="A8946" s="4" t="s">
        <v>11253</v>
      </c>
      <c r="B8946" s="4" t="s">
        <v>11258</v>
      </c>
      <c r="C8946" s="5" t="str">
        <f>IFERROR(__xludf.DUMMYFUNCTION("GOOGLETRANSLATE(B8946,""en"",""fr"")"),"La vidéo se termine enfin avec la fille interprétant des mouvements de danse dans un tunnel et un trottoir.")</f>
        <v>La vidéo se termine enfin avec la fille interprétant des mouvements de danse dans un tunnel et un trottoir.</v>
      </c>
    </row>
    <row r="8947">
      <c r="A8947" s="4" t="s">
        <v>11259</v>
      </c>
      <c r="B8947" s="4" t="s">
        <v>11260</v>
      </c>
      <c r="C8947" s="5" t="str">
        <f>IFERROR(__xludf.DUMMYFUNCTION("GOOGLETRANSLATE(B8947,""en"",""fr"")"),"Un homme coupe sa barbe avec des ciseaux.")</f>
        <v>Un homme coupe sa barbe avec des ciseaux.</v>
      </c>
    </row>
    <row r="8948">
      <c r="A8948" s="4" t="s">
        <v>11259</v>
      </c>
      <c r="B8948" s="4" t="s">
        <v>11261</v>
      </c>
      <c r="C8948" s="5" t="str">
        <f>IFERROR(__xludf.DUMMYFUNCTION("GOOGLETRANSLATE(B8948,""en"",""fr"")"),"Il utilise un rasoir pour raser la barbe.")</f>
        <v>Il utilise un rasoir pour raser la barbe.</v>
      </c>
    </row>
    <row r="8949">
      <c r="A8949" s="4" t="s">
        <v>11259</v>
      </c>
      <c r="B8949" s="4" t="s">
        <v>11262</v>
      </c>
      <c r="C8949" s="5" t="str">
        <f>IFERROR(__xludf.DUMMYFUNCTION("GOOGLETRANSLATE(B8949,""en"",""fr"")"),"Il recueille les cheveux dans l'évier.")</f>
        <v>Il recueille les cheveux dans l'évier.</v>
      </c>
    </row>
    <row r="8950">
      <c r="A8950" s="4" t="s">
        <v>11259</v>
      </c>
      <c r="B8950" s="4" t="s">
        <v>11263</v>
      </c>
      <c r="C8950" s="5" t="str">
        <f>IFERROR(__xludf.DUMMYFUNCTION("GOOGLETRANSLATE(B8950,""en"",""fr"")"),"Il met la crème à raser sur son visage et utilise un rasoir pour finir le rasage.")</f>
        <v>Il met la crème à raser sur son visage et utilise un rasoir pour finir le rasage.</v>
      </c>
    </row>
    <row r="8951">
      <c r="A8951" s="4" t="s">
        <v>11259</v>
      </c>
      <c r="B8951" s="4" t="s">
        <v>11264</v>
      </c>
      <c r="C8951" s="5" t="str">
        <f>IFERROR(__xludf.DUMMYFUNCTION("GOOGLETRANSLATE(B8951,""en"",""fr"")"),"Il essuie son visage avec une serviette.")</f>
        <v>Il essuie son visage avec une serviette.</v>
      </c>
    </row>
    <row r="8952">
      <c r="A8952" s="4" t="s">
        <v>11259</v>
      </c>
      <c r="B8952" s="4" t="s">
        <v>11265</v>
      </c>
      <c r="C8952" s="5" t="str">
        <f>IFERROR(__xludf.DUMMYFUNCTION("GOOGLETRANSLATE(B8952,""en"",""fr"")"),"Il sourit et donne un coup de pouce.")</f>
        <v>Il sourit et donne un coup de pouce.</v>
      </c>
    </row>
    <row r="8953">
      <c r="A8953" s="4" t="s">
        <v>11266</v>
      </c>
      <c r="B8953" s="6" t="s">
        <v>11267</v>
      </c>
      <c r="C8953" s="5" t="str">
        <f>IFERROR(__xludf.DUMMYFUNCTION("GOOGLETRANSLATE(B8953,""en"",""fr"")"),"Un homme descend de deux rues dans un marathon, dans une ville, en tant que spectateurs de la joie de touche et du clap.")</f>
        <v>Un homme descend de deux rues dans un marathon, dans une ville, en tant que spectateurs de la joie de touche et du clap.</v>
      </c>
    </row>
    <row r="8954">
      <c r="A8954" s="4" t="s">
        <v>11266</v>
      </c>
      <c r="B8954" s="6" t="s">
        <v>11268</v>
      </c>
      <c r="C8954" s="5" t="str">
        <f>IFERROR(__xludf.DUMMYFUNCTION("GOOGLETRANSLATE(B8954,""en"",""fr"")"),"Un homme en short noir avec un numéro épinglé sur sa poitrine coule dans une rue de la ville dans un marathon.")</f>
        <v>Un homme en short noir avec un numéro épinglé sur sa poitrine coule dans une rue de la ville dans un marathon.</v>
      </c>
    </row>
    <row r="8955">
      <c r="A8955" s="4" t="s">
        <v>11266</v>
      </c>
      <c r="B8955" s="4" t="s">
        <v>11269</v>
      </c>
      <c r="C8955" s="5" t="str">
        <f>IFERROR(__xludf.DUMMYFUNCTION("GOOGLETRANSLATE(B8955,""en"",""fr"")"),"Les gens en marge applaudissent pour l'homme et sourirent alors qu'il continue de courir.")</f>
        <v>Les gens en marge applaudissent pour l'homme et sourirent alors qu'il continue de courir.</v>
      </c>
    </row>
    <row r="8956">
      <c r="A8956" s="4" t="s">
        <v>11266</v>
      </c>
      <c r="B8956" s="6" t="s">
        <v>11270</v>
      </c>
      <c r="C8956" s="5" t="str">
        <f>IFERROR(__xludf.DUMMYFUNCTION("GOOGLETRANSLATE(B8956,""en"",""fr"")"),"L'homme coule dans une autre rue où il court pendant une courte période derrière un vélo, et en tant que motocycliste se présente de derrière lui près du trottoir qui a une barrière métallique qui coule la longueur.")</f>
        <v>L'homme coule dans une autre rue où il court pendant une courte période derrière un vélo, et en tant que motocycliste se présente de derrière lui près du trottoir qui a une barrière métallique qui coule la longueur.</v>
      </c>
    </row>
    <row r="8957">
      <c r="A8957" s="4" t="s">
        <v>11271</v>
      </c>
      <c r="B8957" s="6" t="s">
        <v>11272</v>
      </c>
      <c r="C8957" s="5" t="str">
        <f>IFERROR(__xludf.DUMMYFUNCTION("GOOGLETRANSLATE(B8957,""en"",""fr"")"),"Violoniste, Lindsay Stirling se produit en direct avec certains autres participants sur une scène devant un public.")</f>
        <v>Violoniste, Lindsay Stirling se produit en direct avec certains autres participants sur une scène devant un public.</v>
      </c>
    </row>
    <row r="8958">
      <c r="A8958" s="4" t="s">
        <v>11271</v>
      </c>
      <c r="B8958" s="4" t="s">
        <v>11273</v>
      </c>
      <c r="C8958" s="5" t="str">
        <f>IFERROR(__xludf.DUMMYFUNCTION("GOOGLETRANSLATE(B8958,""en"",""fr"")"),"Elle commence par jouer du violon tandis que les autres artistes dansent de manière chorégraphiée.")</f>
        <v>Elle commence par jouer du violon tandis que les autres artistes dansent de manière chorégraphiée.</v>
      </c>
    </row>
    <row r="8959">
      <c r="A8959" s="4" t="s">
        <v>11271</v>
      </c>
      <c r="B8959" s="4" t="s">
        <v>11274</v>
      </c>
      <c r="C8959" s="5" t="str">
        <f>IFERROR(__xludf.DUMMYFUNCTION("GOOGLETRANSLATE(B8959,""en"",""fr"")"),"La violoniste danse alors qu'elle joue l'instrument avec cinq autres danseurs.")</f>
        <v>La violoniste danse alors qu'elle joue l'instrument avec cinq autres danseurs.</v>
      </c>
    </row>
    <row r="8960">
      <c r="A8960" s="4" t="s">
        <v>11271</v>
      </c>
      <c r="B8960" s="4" t="s">
        <v>11275</v>
      </c>
      <c r="C8960" s="5" t="str">
        <f>IFERROR(__xludf.DUMMYFUNCTION("GOOGLETRANSLATE(B8960,""en"",""fr"")"),"Ils dansent dans un style de danse moderne et hip hop.")</f>
        <v>Ils dansent dans un style de danse moderne et hip hop.</v>
      </c>
    </row>
    <row r="8961">
      <c r="A8961" s="4" t="s">
        <v>11271</v>
      </c>
      <c r="B8961" s="4" t="s">
        <v>11276</v>
      </c>
      <c r="C8961" s="5" t="str">
        <f>IFERROR(__xludf.DUMMYFUNCTION("GOOGLETRANSLATE(B8961,""en"",""fr"")"),"Ensuite, seuls deux des danseurs restent sur scène avec le violoniste et dansent dans un style salsa.")</f>
        <v>Ensuite, seuls deux des danseurs restent sur scène avec le violoniste et dansent dans un style salsa.</v>
      </c>
    </row>
    <row r="8962">
      <c r="A8962" s="4" t="s">
        <v>11271</v>
      </c>
      <c r="B8962" s="6" t="s">
        <v>11277</v>
      </c>
      <c r="C8962" s="5" t="str">
        <f>IFERROR(__xludf.DUMMYFUNCTION("GOOGLETRANSLATE(B8962,""en"",""fr"")"),"Après avoir quitté la scène, l'un des danseurs masculins fait un style de danse moderne alors qu'il tourne sur ses genoux.")</f>
        <v>Après avoir quitté la scène, l'un des danseurs masculins fait un style de danse moderne alors qu'il tourne sur ses genoux.</v>
      </c>
    </row>
    <row r="8963">
      <c r="A8963" s="4" t="s">
        <v>11271</v>
      </c>
      <c r="B8963" s="6" t="s">
        <v>11278</v>
      </c>
      <c r="C8963" s="5" t="str">
        <f>IFERROR(__xludf.DUMMYFUNCTION("GOOGLETRANSLATE(B8963,""en"",""fr"")"),"Ensuite, toute l'équipe de danse monte sur scène et continue de danser en étapes coordonnées alors que le violoniste joue et danse avec eux.")</f>
        <v>Ensuite, toute l'équipe de danse monte sur scène et continue de danser en étapes coordonnées alors que le violoniste joue et danse avec eux.</v>
      </c>
    </row>
    <row r="8964">
      <c r="A8964" s="4" t="s">
        <v>11271</v>
      </c>
      <c r="B8964" s="6" t="s">
        <v>11279</v>
      </c>
      <c r="C8964" s="5" t="str">
        <f>IFERROR(__xludf.DUMMYFUNCTION("GOOGLETRANSLATE(B8964,""en"",""fr"")"),"Ensuite, ils quittent la scène avec seulement le violoniste se produisant alors qu'elle continue de danser et de jouer l'instrument.")</f>
        <v>Ensuite, ils quittent la scène avec seulement le violoniste se produisant alors qu'elle continue de danser et de jouer l'instrument.</v>
      </c>
    </row>
    <row r="8965">
      <c r="A8965" s="4" t="s">
        <v>11280</v>
      </c>
      <c r="B8965" s="4" t="s">
        <v>11281</v>
      </c>
      <c r="C8965" s="5" t="str">
        <f>IFERROR(__xludf.DUMMYFUNCTION("GOOGLETRANSLATE(B8965,""en"",""fr"")"),"Un haltérophile se prépare à son premier ascenseur.")</f>
        <v>Un haltérophile se prépare à son premier ascenseur.</v>
      </c>
    </row>
    <row r="8966">
      <c r="A8966" s="4" t="s">
        <v>11280</v>
      </c>
      <c r="B8966" s="4" t="s">
        <v>11282</v>
      </c>
      <c r="C8966" s="5" t="str">
        <f>IFERROR(__xludf.DUMMYFUNCTION("GOOGLETRANSLATE(B8966,""en"",""fr"")"),"Les amis regardent et un film.")</f>
        <v>Les amis regardent et un film.</v>
      </c>
    </row>
    <row r="8967">
      <c r="A8967" s="4" t="s">
        <v>11280</v>
      </c>
      <c r="B8967" s="4" t="s">
        <v>11283</v>
      </c>
      <c r="C8967" s="5" t="str">
        <f>IFERROR(__xludf.DUMMYFUNCTION("GOOGLETRANSLATE(B8967,""en"",""fr"")"),"Il s'accroupit et il soulève la barre.")</f>
        <v>Il s'accroupit et il soulève la barre.</v>
      </c>
    </row>
    <row r="8968">
      <c r="A8968" s="4" t="s">
        <v>11280</v>
      </c>
      <c r="B8968" s="4" t="s">
        <v>11284</v>
      </c>
      <c r="C8968" s="5" t="str">
        <f>IFERROR(__xludf.DUMMYFUNCTION("GOOGLETRANSLATE(B8968,""en"",""fr"")"),"Il le tient un instant, puis le laisse tomber.")</f>
        <v>Il le tient un instant, puis le laisse tomber.</v>
      </c>
    </row>
    <row r="8969">
      <c r="A8969" s="4" t="s">
        <v>11280</v>
      </c>
      <c r="B8969" s="4" t="s">
        <v>11285</v>
      </c>
      <c r="C8969" s="5" t="str">
        <f>IFERROR(__xludf.DUMMYFUNCTION("GOOGLETRANSLATE(B8969,""en"",""fr"")"),"Il recommence et termine un deuxième ascenseur.")</f>
        <v>Il recommence et termine un deuxième ascenseur.</v>
      </c>
    </row>
    <row r="8970">
      <c r="A8970" s="4" t="s">
        <v>11286</v>
      </c>
      <c r="B8970" s="6" t="s">
        <v>11287</v>
      </c>
      <c r="C8970" s="5" t="str">
        <f>IFERROR(__xludf.DUMMYFUNCTION("GOOGLETRANSLATE(B8970,""en"",""fr"")"),"Un groupe de personnes est vu debout sur un terrain lorsqu'un homme court vers une femme avec un ballon de football.")</f>
        <v>Un groupe de personnes est vu debout sur un terrain lorsqu'un homme court vers une femme avec un ballon de football.</v>
      </c>
    </row>
    <row r="8971">
      <c r="A8971" s="4" t="s">
        <v>11286</v>
      </c>
      <c r="B8971" s="4" t="s">
        <v>11288</v>
      </c>
      <c r="C8971" s="5" t="str">
        <f>IFERROR(__xludf.DUMMYFUNCTION("GOOGLETRANSLATE(B8971,""en"",""fr"")"),"Une fille en balance une autre tandis qu'un homme attrape une balle et le lance à un autre.")</f>
        <v>Une fille en balance une autre tandis qu'un homme attrape une balle et le lance à un autre.</v>
      </c>
    </row>
    <row r="8972">
      <c r="A8972" s="4" t="s">
        <v>11289</v>
      </c>
      <c r="B8972" s="4" t="s">
        <v>11290</v>
      </c>
      <c r="C8972" s="5" t="str">
        <f>IFERROR(__xludf.DUMMYFUNCTION("GOOGLETRANSLATE(B8972,""en"",""fr"")"),"Une femme tient un chat sur ses genoux.")</f>
        <v>Une femme tient un chat sur ses genoux.</v>
      </c>
    </row>
    <row r="8973">
      <c r="A8973" s="4" t="s">
        <v>11289</v>
      </c>
      <c r="B8973" s="4" t="s">
        <v>11291</v>
      </c>
      <c r="C8973" s="5" t="str">
        <f>IFERROR(__xludf.DUMMYFUNCTION("GOOGLETRANSLATE(B8973,""en"",""fr"")"),"Le chat gifle la paire de coupeurs dans sa main.")</f>
        <v>Le chat gifle la paire de coupeurs dans sa main.</v>
      </c>
    </row>
    <row r="8974">
      <c r="A8974" s="4" t="s">
        <v>11289</v>
      </c>
      <c r="B8974" s="4" t="s">
        <v>11292</v>
      </c>
      <c r="C8974" s="5" t="str">
        <f>IFERROR(__xludf.DUMMYFUNCTION("GOOGLETRANSLATE(B8974,""en"",""fr"")"),"Elle utilise les coupeurs pour couper les ongles du chat, un à la fois.")</f>
        <v>Elle utilise les coupeurs pour couper les ongles du chat, un à la fois.</v>
      </c>
    </row>
    <row r="8975">
      <c r="A8975" s="4" t="s">
        <v>11293</v>
      </c>
      <c r="B8975" s="4" t="s">
        <v>11294</v>
      </c>
      <c r="C8975" s="5" t="str">
        <f>IFERROR(__xludf.DUMMYFUNCTION("GOOGLETRANSLATE(B8975,""en"",""fr"")"),"Une personne se dirige vers un aspirateur et ramasse la baguette.")</f>
        <v>Une personne se dirige vers un aspirateur et ramasse la baguette.</v>
      </c>
    </row>
    <row r="8976">
      <c r="A8976" s="4" t="s">
        <v>11293</v>
      </c>
      <c r="B8976" s="4" t="s">
        <v>11295</v>
      </c>
      <c r="C8976" s="5" t="str">
        <f>IFERROR(__xludf.DUMMYFUNCTION("GOOGLETRANSLATE(B8976,""en"",""fr"")"),"La personne aspire un tapis dans le couloir d'une maison.")</f>
        <v>La personne aspire un tapis dans le couloir d'une maison.</v>
      </c>
    </row>
    <row r="8977">
      <c r="A8977" s="4" t="s">
        <v>11293</v>
      </c>
      <c r="B8977" s="4" t="s">
        <v>11296</v>
      </c>
      <c r="C8977" s="5" t="str">
        <f>IFERROR(__xludf.DUMMYFUNCTION("GOOGLETRANSLATE(B8977,""en"",""fr"")"),"La personne éteint l'aspirateur puis remplace la fixation par une plus grande pour les tapis.")</f>
        <v>La personne éteint l'aspirateur puis remplace la fixation par une plus grande pour les tapis.</v>
      </c>
    </row>
    <row r="8978">
      <c r="A8978" s="4" t="s">
        <v>11293</v>
      </c>
      <c r="B8978" s="4" t="s">
        <v>11297</v>
      </c>
      <c r="C8978" s="5" t="str">
        <f>IFERROR(__xludf.DUMMYFUNCTION("GOOGLETRANSLATE(B8978,""en"",""fr"")"),"La personne ajuste un bouton sur l'aspirateur.")</f>
        <v>La personne ajuste un bouton sur l'aspirateur.</v>
      </c>
    </row>
    <row r="8979">
      <c r="A8979" s="4" t="s">
        <v>11298</v>
      </c>
      <c r="B8979" s="4" t="s">
        <v>11299</v>
      </c>
      <c r="C8979" s="5" t="str">
        <f>IFERROR(__xludf.DUMMYFUNCTION("GOOGLETRANSLATE(B8979,""en"",""fr"")"),"Un homme s'agenouille sur un genou dans une pièce et parle à la caméra.")</f>
        <v>Un homme s'agenouille sur un genou dans une pièce et parle à la caméra.</v>
      </c>
    </row>
    <row r="8980">
      <c r="A8980" s="4" t="s">
        <v>11298</v>
      </c>
      <c r="B8980" s="4" t="s">
        <v>11300</v>
      </c>
      <c r="C8980" s="5" t="str">
        <f>IFERROR(__xludf.DUMMYFUNCTION("GOOGLETRANSLATE(B8980,""en"",""fr"")"),"L'homme lève son bras droit et atteint le sol avec sa main gauche.")</f>
        <v>L'homme lève son bras droit et atteint le sol avec sa main gauche.</v>
      </c>
    </row>
    <row r="8981">
      <c r="A8981" s="4" t="s">
        <v>11298</v>
      </c>
      <c r="B8981" s="4" t="s">
        <v>11301</v>
      </c>
      <c r="C8981" s="5" t="str">
        <f>IFERROR(__xludf.DUMMYFUNCTION("GOOGLETRANSLATE(B8981,""en"",""fr"")"),"L'homme change et fait l'autre côté.")</f>
        <v>L'homme change et fait l'autre côté.</v>
      </c>
    </row>
    <row r="8982">
      <c r="A8982" s="4" t="s">
        <v>11302</v>
      </c>
      <c r="B8982" s="4" t="s">
        <v>11303</v>
      </c>
      <c r="C8982" s="5" t="str">
        <f>IFERROR(__xludf.DUMMYFUNCTION("GOOGLETRANSLATE(B8982,""en"",""fr"")"),"Une grande cour est vue recouverte de neige avec une personne entrant dans le cadre.")</f>
        <v>Une grande cour est vue recouverte de neige avec une personne entrant dans le cadre.</v>
      </c>
    </row>
    <row r="8983">
      <c r="A8983" s="4" t="s">
        <v>11302</v>
      </c>
      <c r="B8983" s="4" t="s">
        <v>11304</v>
      </c>
      <c r="C8983" s="5" t="str">
        <f>IFERROR(__xludf.DUMMYFUNCTION("GOOGLETRANSLATE(B8983,""en"",""fr"")"),"On voit l'homme tenant une pelle et commence à le pousser dans la zone.")</f>
        <v>On voit l'homme tenant une pelle et commence à le pousser dans la zone.</v>
      </c>
    </row>
    <row r="8984">
      <c r="A8984" s="4" t="s">
        <v>11302</v>
      </c>
      <c r="B8984" s="4" t="s">
        <v>11305</v>
      </c>
      <c r="C8984" s="5" t="str">
        <f>IFERROR(__xludf.DUMMYFUNCTION("GOOGLETRANSLATE(B8984,""en"",""fr"")"),"L'homme élimine toute la neige et montre un chemin à la fin.")</f>
        <v>L'homme élimine toute la neige et montre un chemin à la fin.</v>
      </c>
    </row>
    <row r="8985">
      <c r="A8985" s="4" t="s">
        <v>11306</v>
      </c>
      <c r="B8985" s="4" t="s">
        <v>11307</v>
      </c>
      <c r="C8985" s="5" t="str">
        <f>IFERROR(__xludf.DUMMYFUNCTION("GOOGLETRANSLATE(B8985,""en"",""fr"")"),"Un homme tondait sa pelouse autour d'un arbre devant sa maison.")</f>
        <v>Un homme tondait sa pelouse autour d'un arbre devant sa maison.</v>
      </c>
    </row>
    <row r="8986">
      <c r="A8986" s="4" t="s">
        <v>11306</v>
      </c>
      <c r="B8986" s="4" t="s">
        <v>11308</v>
      </c>
      <c r="C8986" s="5" t="str">
        <f>IFERROR(__xludf.DUMMYFUNCTION("GOOGLETRANSLATE(B8986,""en"",""fr"")"),"Il fait des allers-retours, évitant les rochers.")</f>
        <v>Il fait des allers-retours, évitant les rochers.</v>
      </c>
    </row>
    <row r="8987">
      <c r="A8987" s="4" t="s">
        <v>11306</v>
      </c>
      <c r="B8987" s="4" t="s">
        <v>11309</v>
      </c>
      <c r="C8987" s="5" t="str">
        <f>IFERROR(__xludf.DUMMYFUNCTION("GOOGLETRANSLATE(B8987,""en"",""fr"")"),"Il se tourne dans l'allée et revient.")</f>
        <v>Il se tourne dans l'allée et revient.</v>
      </c>
    </row>
    <row r="8988">
      <c r="A8988" s="4" t="s">
        <v>11310</v>
      </c>
      <c r="B8988" s="4" t="s">
        <v>11311</v>
      </c>
      <c r="C8988" s="5" t="str">
        <f>IFERROR(__xludf.DUMMYFUNCTION("GOOGLETRANSLATE(B8988,""en"",""fr"")"),"Une femme dans une robe tenant un violon s'adresse à un public.")</f>
        <v>Une femme dans une robe tenant un violon s'adresse à un public.</v>
      </c>
    </row>
    <row r="8989">
      <c r="A8989" s="4" t="s">
        <v>11310</v>
      </c>
      <c r="B8989" s="4" t="s">
        <v>11312</v>
      </c>
      <c r="C8989" s="5" t="str">
        <f>IFERROR(__xludf.DUMMYFUNCTION("GOOGLETRANSLATE(B8989,""en"",""fr"")"),"La femme joue le violon alors que d'autres musiciens regardent.")</f>
        <v>La femme joue le violon alors que d'autres musiciens regardent.</v>
      </c>
    </row>
    <row r="8990">
      <c r="A8990" s="4" t="s">
        <v>11310</v>
      </c>
      <c r="B8990" s="4" t="s">
        <v>11313</v>
      </c>
      <c r="C8990" s="5" t="str">
        <f>IFERROR(__xludf.DUMMYFUNCTION("GOOGLETRANSLATE(B8990,""en"",""fr"")"),"La femme finit de jouer et tout le monde applaudit.")</f>
        <v>La femme finit de jouer et tout le monde applaudit.</v>
      </c>
    </row>
    <row r="8991">
      <c r="A8991" s="4" t="s">
        <v>11314</v>
      </c>
      <c r="B8991" s="4" t="s">
        <v>11315</v>
      </c>
      <c r="C8991" s="5" t="str">
        <f>IFERROR(__xludf.DUMMYFUNCTION("GOOGLETRANSLATE(B8991,""en"",""fr"")"),"Un homme tient une scie à chaîne au-dessus de sa tête.")</f>
        <v>Un homme tient une scie à chaîne au-dessus de sa tête.</v>
      </c>
    </row>
    <row r="8992">
      <c r="A8992" s="4" t="s">
        <v>11314</v>
      </c>
      <c r="B8992" s="4" t="s">
        <v>11316</v>
      </c>
      <c r="C8992" s="5" t="str">
        <f>IFERROR(__xludf.DUMMYFUNCTION("GOOGLETRANSLATE(B8992,""en"",""fr"")"),"Il commence à couper le haut de la haie.")</f>
        <v>Il commence à couper le haut de la haie.</v>
      </c>
    </row>
    <row r="8993">
      <c r="A8993" s="4" t="s">
        <v>11314</v>
      </c>
      <c r="B8993" s="4" t="s">
        <v>11317</v>
      </c>
      <c r="C8993" s="5" t="str">
        <f>IFERROR(__xludf.DUMMYFUNCTION("GOOGLETRANSLATE(B8993,""en"",""fr"")"),"Les gens marchent sur le trottoir derrière lui.")</f>
        <v>Les gens marchent sur le trottoir derrière lui.</v>
      </c>
    </row>
    <row r="8994">
      <c r="A8994" s="4" t="s">
        <v>11318</v>
      </c>
      <c r="B8994" s="4" t="s">
        <v>11319</v>
      </c>
      <c r="C8994" s="5" t="str">
        <f>IFERROR(__xludf.DUMMYFUNCTION("GOOGLETRANSLATE(B8994,""en"",""fr"")"),"Un homme dans une veste orange tenant des skis marche sur la neige jusqu'à une colline.")</f>
        <v>Un homme dans une veste orange tenant des skis marche sur la neige jusqu'à une colline.</v>
      </c>
    </row>
    <row r="8995">
      <c r="A8995" s="4" t="s">
        <v>11318</v>
      </c>
      <c r="B8995" s="4" t="s">
        <v>11320</v>
      </c>
      <c r="C8995" s="5" t="str">
        <f>IFERROR(__xludf.DUMMYFUNCTION("GOOGLETRANSLATE(B8995,""en"",""fr"")"),"La personne tenant la caméra pose ses skis et tient les poteaux.")</f>
        <v>La personne tenant la caméra pose ses skis et tient les poteaux.</v>
      </c>
    </row>
    <row r="8996">
      <c r="A8996" s="4" t="s">
        <v>11318</v>
      </c>
      <c r="B8996" s="4" t="s">
        <v>11321</v>
      </c>
      <c r="C8996" s="5" t="str">
        <f>IFERROR(__xludf.DUMMYFUNCTION("GOOGLETRANSLATE(B8996,""en"",""fr"")"),"L'homme dans la veste orange skis en bas de la colline.")</f>
        <v>L'homme dans la veste orange skis en bas de la colline.</v>
      </c>
    </row>
    <row r="8997">
      <c r="A8997" s="4" t="s">
        <v>11318</v>
      </c>
      <c r="B8997" s="4" t="s">
        <v>11322</v>
      </c>
      <c r="C8997" s="5" t="str">
        <f>IFERROR(__xludf.DUMMYFUNCTION("GOOGLETRANSLATE(B8997,""en"",""fr"")"),"L'homme tenant la caméra suit.")</f>
        <v>L'homme tenant la caméra suit.</v>
      </c>
    </row>
    <row r="8998">
      <c r="A8998" s="4" t="s">
        <v>11318</v>
      </c>
      <c r="B8998" s="4" t="s">
        <v>11323</v>
      </c>
      <c r="C8998" s="5" t="str">
        <f>IFERROR(__xludf.DUMMYFUNCTION("GOOGLETRANSLATE(B8998,""en"",""fr"")"),"Ils skient sur la colline neigeuse.")</f>
        <v>Ils skient sur la colline neigeuse.</v>
      </c>
    </row>
    <row r="8999">
      <c r="A8999" s="4" t="s">
        <v>11318</v>
      </c>
      <c r="B8999" s="4" t="s">
        <v>11324</v>
      </c>
      <c r="C8999" s="5" t="str">
        <f>IFERROR(__xludf.DUMMYFUNCTION("GOOGLETRANSLATE(B8999,""en"",""fr"")"),"L'homme dans la veste orange peut être vu devant lui de ski.")</f>
        <v>L'homme dans la veste orange peut être vu devant lui de ski.</v>
      </c>
    </row>
    <row r="9000">
      <c r="A9000" s="4" t="s">
        <v>11318</v>
      </c>
      <c r="B9000" s="4" t="s">
        <v>11325</v>
      </c>
      <c r="C9000" s="5" t="str">
        <f>IFERROR(__xludf.DUMMYFUNCTION("GOOGLETRANSLATE(B9000,""en"",""fr"")"),"Ils s'arrêtent tous les deux à une dame au bas de la colline.")</f>
        <v>Ils s'arrêtent tous les deux à une dame au bas de la colline.</v>
      </c>
    </row>
    <row r="9001">
      <c r="A9001" s="4" t="s">
        <v>11318</v>
      </c>
      <c r="B9001" s="4" t="s">
        <v>11326</v>
      </c>
      <c r="C9001" s="5" t="str">
        <f>IFERROR(__xludf.DUMMYFUNCTION("GOOGLETRANSLATE(B9001,""en"",""fr"")"),"Il enlève son gant et retire son téléphone portable.")</f>
        <v>Il enlève son gant et retire son téléphone portable.</v>
      </c>
    </row>
    <row r="9002">
      <c r="A9002" s="4" t="s">
        <v>11318</v>
      </c>
      <c r="B9002" s="4" t="s">
        <v>11327</v>
      </c>
      <c r="C9002" s="5" t="str">
        <f>IFERROR(__xludf.DUMMYFUNCTION("GOOGLETRANSLATE(B9002,""en"",""fr"")"),"Un homme en manteau bleu s'approche d'eux et leur parle.")</f>
        <v>Un homme en manteau bleu s'approche d'eux et leur parle.</v>
      </c>
    </row>
    <row r="9003">
      <c r="A9003" s="4" t="s">
        <v>11328</v>
      </c>
      <c r="B9003" s="4" t="s">
        <v>11329</v>
      </c>
      <c r="C9003" s="5" t="str">
        <f>IFERROR(__xludf.DUMMYFUNCTION("GOOGLETRANSLATE(B9003,""en"",""fr"")"),"Un petit groupe d'enfants est vu jouer avec deux adultes sur une plage poussant du sable dans un tas.")</f>
        <v>Un petit groupe d'enfants est vu jouer avec deux adultes sur une plage poussant du sable dans un tas.</v>
      </c>
    </row>
    <row r="9004">
      <c r="A9004" s="4" t="s">
        <v>11328</v>
      </c>
      <c r="B9004" s="6" t="s">
        <v>11330</v>
      </c>
      <c r="C9004" s="5" t="str">
        <f>IFERROR(__xludf.DUMMYFUNCTION("GOOGLETRANSLATE(B9004,""en"",""fr"")"),"Les enfants continuent de saisir de l'eau pendant que la caméra se déroule autour des autres personnes nageant dans la région.")</f>
        <v>Les enfants continuent de saisir de l'eau pendant que la caméra se déroule autour des autres personnes nageant dans la région.</v>
      </c>
    </row>
    <row r="9005">
      <c r="A9005" s="4" t="s">
        <v>11331</v>
      </c>
      <c r="B9005" s="4" t="s">
        <v>11332</v>
      </c>
      <c r="C9005" s="5" t="str">
        <f>IFERROR(__xludf.DUMMYFUNCTION("GOOGLETRANSLATE(B9005,""en"",""fr"")"),"Une femme est assise devant une caméra.")</f>
        <v>Une femme est assise devant une caméra.</v>
      </c>
    </row>
    <row r="9006">
      <c r="A9006" s="4" t="s">
        <v>11331</v>
      </c>
      <c r="B9006" s="4" t="s">
        <v>11333</v>
      </c>
      <c r="C9006" s="5" t="str">
        <f>IFERROR(__xludf.DUMMYFUNCTION("GOOGLETRANSLATE(B9006,""en"",""fr"")"),"Ses cheveux sont en bigoudis en spirale.")</f>
        <v>Ses cheveux sont en bigoudis en spirale.</v>
      </c>
    </row>
    <row r="9007">
      <c r="A9007" s="4" t="s">
        <v>11331</v>
      </c>
      <c r="B9007" s="4" t="s">
        <v>11334</v>
      </c>
      <c r="C9007" s="5" t="str">
        <f>IFERROR(__xludf.DUMMYFUNCTION("GOOGLETRANSLATE(B9007,""en"",""fr"")"),"Elle montre comment les supprimer, montrant le résultat final.")</f>
        <v>Elle montre comment les supprimer, montrant le résultat final.</v>
      </c>
    </row>
    <row r="9008">
      <c r="A9008" s="4" t="s">
        <v>11335</v>
      </c>
      <c r="B9008" s="4" t="s">
        <v>11336</v>
      </c>
      <c r="C9008" s="5" t="str">
        <f>IFERROR(__xludf.DUMMYFUNCTION("GOOGLETRANSLATE(B9008,""en"",""fr"")"),"L'instructeur vidéo, Stephanie parle d'un tutoriel pour cheveux.")</f>
        <v>L'instructeur vidéo, Stephanie parle d'un tutoriel pour cheveux.</v>
      </c>
    </row>
    <row r="9009">
      <c r="A9009" s="4" t="s">
        <v>11335</v>
      </c>
      <c r="B9009" s="4" t="s">
        <v>11337</v>
      </c>
      <c r="C9009" s="5" t="str">
        <f>IFERROR(__xludf.DUMMYFUNCTION("GOOGLETRANSLATE(B9009,""en"",""fr"")"),"Elle montre comment couper les cheveux longs sur les hommes.")</f>
        <v>Elle montre comment couper les cheveux longs sur les hommes.</v>
      </c>
    </row>
    <row r="9010">
      <c r="A9010" s="4" t="s">
        <v>11335</v>
      </c>
      <c r="B9010" s="4" t="s">
        <v>11338</v>
      </c>
      <c r="C9010" s="5" t="str">
        <f>IFERROR(__xludf.DUMMYFUNCTION("GOOGLETRANSLATE(B9010,""en"",""fr"")"),"Son mannequin est assis sur une chaise à côté d'elle alors qu'elle peigne ses cheveux mouillés.")</f>
        <v>Son mannequin est assis sur une chaise à côté d'elle alors qu'elle peigne ses cheveux mouillés.</v>
      </c>
    </row>
    <row r="9011">
      <c r="A9011" s="4" t="s">
        <v>11335</v>
      </c>
      <c r="B9011" s="6" t="s">
        <v>11339</v>
      </c>
      <c r="C9011" s="5" t="str">
        <f>IFERROR(__xludf.DUMMYFUNCTION("GOOGLETRANSLATE(B9011,""en"",""fr"")"),"Elle montre comment les cheveux sont séparés et sectionnés avant de couper les cheveux, elle utilise des ciseaux pour couper les pointes des cheveux du modèle.")</f>
        <v>Elle montre comment les cheveux sont séparés et sectionnés avant de couper les cheveux, elle utilise des ciseaux pour couper les pointes des cheveux du modèle.</v>
      </c>
    </row>
    <row r="9012">
      <c r="A9012" s="4" t="s">
        <v>11335</v>
      </c>
      <c r="B9012" s="4" t="s">
        <v>11340</v>
      </c>
      <c r="C9012" s="5" t="str">
        <f>IFERROR(__xludf.DUMMYFUNCTION("GOOGLETRANSLATE(B9012,""en"",""fr"")"),"Elle continue la procédure sur les cheveux du modèle.")</f>
        <v>Elle continue la procédure sur les cheveux du modèle.</v>
      </c>
    </row>
    <row r="9013">
      <c r="A9013" s="4" t="s">
        <v>11335</v>
      </c>
      <c r="B9013" s="4" t="s">
        <v>11341</v>
      </c>
      <c r="C9013" s="5" t="str">
        <f>IFERROR(__xludf.DUMMYFUNCTION("GOOGLETRANSLATE(B9013,""en"",""fr"")"),"Elle explique ensuite comment sécher les cheveux pour obtenir le look fini sur le modèle.")</f>
        <v>Elle explique ensuite comment sécher les cheveux pour obtenir le look fini sur le modèle.</v>
      </c>
    </row>
    <row r="9014">
      <c r="A9014" s="4" t="s">
        <v>11335</v>
      </c>
      <c r="B9014" s="4" t="s">
        <v>11342</v>
      </c>
      <c r="C9014" s="5" t="str">
        <f>IFERROR(__xludf.DUMMYFUNCTION("GOOGLETRANSLATE(B9014,""en"",""fr"")"),"Elle donne enfin des informations sur son site Web.")</f>
        <v>Elle donne enfin des informations sur son site Web.</v>
      </c>
    </row>
    <row r="9015">
      <c r="A9015" s="4" t="s">
        <v>11343</v>
      </c>
      <c r="B9015" s="4" t="s">
        <v>11344</v>
      </c>
      <c r="C9015" s="5" t="str">
        <f>IFERROR(__xludf.DUMMYFUNCTION("GOOGLETRANSLATE(B9015,""en"",""fr"")"),"Un homme fait un jet de disque.")</f>
        <v>Un homme fait un jet de disque.</v>
      </c>
    </row>
    <row r="9016">
      <c r="A9016" s="4" t="s">
        <v>11343</v>
      </c>
      <c r="B9016" s="4" t="s">
        <v>11345</v>
      </c>
      <c r="C9016" s="5" t="str">
        <f>IFERROR(__xludf.DUMMYFUNCTION("GOOGLETRANSLATE(B9016,""en"",""fr"")"),"Il tourne et jette le disque.")</f>
        <v>Il tourne et jette le disque.</v>
      </c>
    </row>
    <row r="9017">
      <c r="A9017" s="4" t="s">
        <v>11346</v>
      </c>
      <c r="B9017" s="6" t="s">
        <v>11347</v>
      </c>
      <c r="C9017" s="5" t="str">
        <f>IFERROR(__xludf.DUMMYFUNCTION("GOOGLETRANSLATE(B9017,""en"",""fr"")"),"Un homme est assis sur une chaise et parle tout en tenant une harmonique et en le jouant parfois tout en étant assis dans un dos de toile de tissu vert.")</f>
        <v>Un homme est assis sur une chaise et parle tout en tenant une harmonique et en le jouant parfois tout en étant assis dans un dos de toile de tissu vert.</v>
      </c>
    </row>
    <row r="9018">
      <c r="A9018" s="4" t="s">
        <v>11346</v>
      </c>
      <c r="B9018" s="6" t="s">
        <v>11348</v>
      </c>
      <c r="C9018" s="5" t="str">
        <f>IFERROR(__xludf.DUMMYFUNCTION("GOOGLETRANSLATE(B9018,""en"",""fr"")"),"Un homme chauve est assis dans une chaise en bois et parle à la caméra tout en tenant, pointant et jouant occasionnellement une harmonica dans ses mains.")</f>
        <v>Un homme chauve est assis dans une chaise en bois et parle à la caméra tout en tenant, pointant et jouant occasionnellement une harmonica dans ses mains.</v>
      </c>
    </row>
    <row r="9019">
      <c r="A9019" s="4" t="s">
        <v>11346</v>
      </c>
      <c r="B9019" s="6" t="s">
        <v>11349</v>
      </c>
      <c r="C9019" s="5" t="str">
        <f>IFERROR(__xludf.DUMMYFUNCTION("GOOGLETRANSLATE(B9019,""en"",""fr"")"),"La caméra zoome pour un coup plus serré de l'homme alors qu'il parle et avant que l'homme ne retire l'harmonica directement sur son visage et joue brièvement l'harmonica avant de retirer l'harmonica et de regarder dans la caméra.")</f>
        <v>La caméra zoome pour un coup plus serré de l'homme alors qu'il parle et avant que l'homme ne retire l'harmonica directement sur son visage et joue brièvement l'harmonica avant de retirer l'harmonica et de regarder dans la caméra.</v>
      </c>
    </row>
    <row r="9020">
      <c r="A9020" s="4" t="s">
        <v>11350</v>
      </c>
      <c r="B9020" s="4" t="s">
        <v>11351</v>
      </c>
      <c r="C9020" s="5" t="str">
        <f>IFERROR(__xludf.DUMMYFUNCTION("GOOGLETRANSLATE(B9020,""en"",""fr"")"),"Un homme de Sesame Street Costume fait un vélo couché.")</f>
        <v>Un homme de Sesame Street Costume fait un vélo couché.</v>
      </c>
    </row>
    <row r="9021">
      <c r="A9021" s="4" t="s">
        <v>11350</v>
      </c>
      <c r="B9021" s="4" t="s">
        <v>11352</v>
      </c>
      <c r="C9021" s="5" t="str">
        <f>IFERROR(__xludf.DUMMYFUNCTION("GOOGLETRANSLATE(B9021,""en"",""fr"")"),"Un homme déguisé en Ernie rejoint bientôt Bert.")</f>
        <v>Un homme déguisé en Ernie rejoint bientôt Bert.</v>
      </c>
    </row>
    <row r="9022">
      <c r="A9022" s="4" t="s">
        <v>11350</v>
      </c>
      <c r="B9022" s="4" t="s">
        <v>11353</v>
      </c>
      <c r="C9022" s="5" t="str">
        <f>IFERROR(__xludf.DUMMYFUNCTION("GOOGLETRANSLATE(B9022,""en"",""fr"")"),"Ils font du vélo ensemble, comme dans une course.")</f>
        <v>Ils font du vélo ensemble, comme dans une course.</v>
      </c>
    </row>
    <row r="9023">
      <c r="A9023" s="4" t="s">
        <v>11350</v>
      </c>
      <c r="B9023" s="4" t="s">
        <v>11354</v>
      </c>
      <c r="C9023" s="5" t="str">
        <f>IFERROR(__xludf.DUMMYFUNCTION("GOOGLETRANSLATE(B9023,""en"",""fr"")"),"Ils se lèvent tous les deux et s'éloignent.")</f>
        <v>Ils se lèvent tous les deux et s'éloignent.</v>
      </c>
    </row>
    <row r="9024">
      <c r="A9024" s="4" t="s">
        <v>11355</v>
      </c>
      <c r="B9024" s="4" t="s">
        <v>11356</v>
      </c>
      <c r="C9024" s="5" t="str">
        <f>IFERROR(__xludf.DUMMYFUNCTION("GOOGLETRANSLATE(B9024,""en"",""fr"")"),"Une personne est vue assise le long de l'eau avec un gros plan d'une pagaie est montrée.")</f>
        <v>Une personne est vue assise le long de l'eau avec un gros plan d'une pagaie est montrée.</v>
      </c>
    </row>
    <row r="9025">
      <c r="A9025" s="4" t="s">
        <v>11355</v>
      </c>
      <c r="B9025" s="4" t="s">
        <v>11357</v>
      </c>
      <c r="C9025" s="5" t="str">
        <f>IFERROR(__xludf.DUMMYFUNCTION("GOOGLETRANSLATE(B9025,""en"",""fr"")"),"La caméra se déroule vers un autre groupe de personnes assises dans un canoë en face d'eux.")</f>
        <v>La caméra se déroule vers un autre groupe de personnes assises dans un canoë en face d'eux.</v>
      </c>
    </row>
    <row r="9026">
      <c r="A9026" s="4" t="s">
        <v>11355</v>
      </c>
      <c r="B9026" s="4" t="s">
        <v>11358</v>
      </c>
      <c r="C9026" s="5" t="str">
        <f>IFERROR(__xludf.DUMMYFUNCTION("GOOGLETRANSLATE(B9026,""en"",""fr"")"),"Plus de gens sont vus assis dans l'eau ainsi que des bateaux le long de l'eau.")</f>
        <v>Plus de gens sont vus assis dans l'eau ainsi que des bateaux le long de l'eau.</v>
      </c>
    </row>
    <row r="9027">
      <c r="A9027" s="4" t="s">
        <v>11359</v>
      </c>
      <c r="B9027" s="4" t="s">
        <v>11360</v>
      </c>
      <c r="C9027" s="5" t="str">
        <f>IFERROR(__xludf.DUMMYFUNCTION("GOOGLETRANSLATE(B9027,""en"",""fr"")"),"Un groupe de joueurs de football attend le retour d'un ballon de football sur le terrain.")</f>
        <v>Un groupe de joueurs de football attend le retour d'un ballon de football sur le terrain.</v>
      </c>
    </row>
    <row r="9028">
      <c r="A9028" s="4" t="s">
        <v>11359</v>
      </c>
      <c r="B9028" s="4" t="s">
        <v>11361</v>
      </c>
      <c r="C9028" s="5" t="str">
        <f>IFERROR(__xludf.DUMMYFUNCTION("GOOGLETRANSLATE(B9028,""en"",""fr"")"),"Un joueur de football lance le ballon sur le terrain.")</f>
        <v>Un joueur de football lance le ballon sur le terrain.</v>
      </c>
    </row>
    <row r="9029">
      <c r="A9029" s="4" t="s">
        <v>11359</v>
      </c>
      <c r="B9029" s="4" t="s">
        <v>11362</v>
      </c>
      <c r="C9029" s="5" t="str">
        <f>IFERROR(__xludf.DUMMYFUNCTION("GOOGLETRANSLATE(B9029,""en"",""fr"")"),"Un autre joueur de football saisit le ballon et le passe à un autre joueur de football.")</f>
        <v>Un autre joueur de football saisit le ballon et le passe à un autre joueur de football.</v>
      </c>
    </row>
    <row r="9030">
      <c r="A9030" s="4" t="s">
        <v>11359</v>
      </c>
      <c r="B9030" s="4" t="s">
        <v>11363</v>
      </c>
      <c r="C9030" s="5" t="str">
        <f>IFERROR(__xludf.DUMMYFUNCTION("GOOGLETRANSLATE(B9030,""en"",""fr"")"),"Les joueurs de football le frappent au gardien de but.")</f>
        <v>Les joueurs de football le frappent au gardien de but.</v>
      </c>
    </row>
    <row r="9031">
      <c r="A9031" s="4" t="s">
        <v>11359</v>
      </c>
      <c r="B9031" s="4" t="s">
        <v>11364</v>
      </c>
      <c r="C9031" s="5" t="str">
        <f>IFERROR(__xludf.DUMMYFUNCTION("GOOGLETRANSLATE(B9031,""en"",""fr"")"),"Le gardien de but le donne un coup de pied à un joueur de football à proximité.")</f>
        <v>Le gardien de but le donne un coup de pied à un joueur de football à proximité.</v>
      </c>
    </row>
    <row r="9032">
      <c r="A9032" s="4" t="s">
        <v>11359</v>
      </c>
      <c r="B9032" s="4" t="s">
        <v>11365</v>
      </c>
      <c r="C9032" s="5" t="str">
        <f>IFERROR(__xludf.DUMMYFUNCTION("GOOGLETRANSLATE(B9032,""en"",""fr"")"),"Le joueur de football le frappe à un autre joueur de football.")</f>
        <v>Le joueur de football le frappe à un autre joueur de football.</v>
      </c>
    </row>
    <row r="9033">
      <c r="A9033" s="4" t="s">
        <v>11366</v>
      </c>
      <c r="B9033" s="4" t="s">
        <v>11367</v>
      </c>
      <c r="C9033" s="5" t="str">
        <f>IFERROR(__xludf.DUMMYFUNCTION("GOOGLETRANSLATE(B9033,""en"",""fr"")"),"Deux hommes sont en rappel sur le côté d'une falaise rocheuse escarpée.")</f>
        <v>Deux hommes sont en rappel sur le côté d'une falaise rocheuse escarpée.</v>
      </c>
    </row>
    <row r="9034">
      <c r="A9034" s="4" t="s">
        <v>11366</v>
      </c>
      <c r="B9034" s="6" t="s">
        <v>11368</v>
      </c>
      <c r="C9034" s="5" t="str">
        <f>IFERROR(__xludf.DUMMYFUNCTION("GOOGLETRANSLATE(B9034,""en"",""fr"")"),"L'un des hommes grimpe à mi-chemin, avant de lâcher prise et de se remettre vers le sol.")</f>
        <v>L'un des hommes grimpe à mi-chemin, avant de lâcher prise et de se remettre vers le sol.</v>
      </c>
    </row>
    <row r="9035">
      <c r="A9035" s="4" t="s">
        <v>11369</v>
      </c>
      <c r="B9035" s="4" t="s">
        <v>11370</v>
      </c>
      <c r="C9035" s="5" t="str">
        <f>IFERROR(__xludf.DUMMYFUNCTION("GOOGLETRANSLATE(B9035,""en"",""fr"")"),"Un homme pousse une pelouse sur une pelouse.")</f>
        <v>Un homme pousse une pelouse sur une pelouse.</v>
      </c>
    </row>
    <row r="9036">
      <c r="A9036" s="4" t="s">
        <v>11369</v>
      </c>
      <c r="B9036" s="4" t="s">
        <v>11371</v>
      </c>
      <c r="C9036" s="5" t="str">
        <f>IFERROR(__xludf.DUMMYFUNCTION("GOOGLETRANSLATE(B9036,""en"",""fr"")"),"Deux enfants l'aident à pousser.")</f>
        <v>Deux enfants l'aident à pousser.</v>
      </c>
    </row>
    <row r="9037">
      <c r="A9037" s="4" t="s">
        <v>11369</v>
      </c>
      <c r="B9037" s="4" t="s">
        <v>11372</v>
      </c>
      <c r="C9037" s="5" t="str">
        <f>IFERROR(__xludf.DUMMYFUNCTION("GOOGLETRANSLATE(B9037,""en"",""fr"")"),"Ils font plusieurs passes sur la pelouse.")</f>
        <v>Ils font plusieurs passes sur la pelouse.</v>
      </c>
    </row>
    <row r="9038">
      <c r="A9038" s="4" t="s">
        <v>11369</v>
      </c>
      <c r="B9038" s="4" t="s">
        <v>11373</v>
      </c>
      <c r="C9038" s="5" t="str">
        <f>IFERROR(__xludf.DUMMYFUNCTION("GOOGLETRANSLATE(B9038,""en"",""fr"")"),"Plusieurs voitures passent près d'eux.")</f>
        <v>Plusieurs voitures passent près d'eux.</v>
      </c>
    </row>
    <row r="9039">
      <c r="A9039" s="4" t="s">
        <v>11374</v>
      </c>
      <c r="B9039" s="4" t="s">
        <v>11375</v>
      </c>
      <c r="C9039" s="5" t="str">
        <f>IFERROR(__xludf.DUMMYFUNCTION("GOOGLETRANSLATE(B9039,""en"",""fr"")"),"L'homme portant un souffleur de pelouse souffle la poussière dans le trottoir en marchant dans la rue.")</f>
        <v>L'homme portant un souffleur de pelouse souffle la poussière dans le trottoir en marchant dans la rue.</v>
      </c>
    </row>
    <row r="9040">
      <c r="A9040" s="4" t="s">
        <v>11374</v>
      </c>
      <c r="B9040" s="4" t="s">
        <v>11376</v>
      </c>
      <c r="C9040" s="5" t="str">
        <f>IFERROR(__xludf.DUMMYFUNCTION("GOOGLETRANSLATE(B9040,""en"",""fr"")"),"L'homme nettoie le trottoir des feuilles sèches versant le trottoir.")</f>
        <v>L'homme nettoie le trottoir des feuilles sèches versant le trottoir.</v>
      </c>
    </row>
    <row r="9041">
      <c r="A9041" s="4" t="s">
        <v>11374</v>
      </c>
      <c r="B9041" s="4" t="s">
        <v>11377</v>
      </c>
      <c r="C9041" s="5" t="str">
        <f>IFERROR(__xludf.DUMMYFUNCTION("GOOGLETRANSLATE(B9041,""en"",""fr"")"),"L'homme marche dans le trottoir en regardant l'homme qui porte le ventilateur.")</f>
        <v>L'homme marche dans le trottoir en regardant l'homme qui porte le ventilateur.</v>
      </c>
    </row>
    <row r="9042">
      <c r="A9042" s="4" t="s">
        <v>11378</v>
      </c>
      <c r="B9042" s="6" t="s">
        <v>11379</v>
      </c>
      <c r="C9042" s="5" t="str">
        <f>IFERROR(__xludf.DUMMYFUNCTION("GOOGLETRANSLATE(B9042,""en"",""fr"")"),"Un homme en chemise rouge parle et montre comment jeter des fléchettes contre une planche de fléchettes tandis que trois autres personnes en chemises rouges regardent derrière lui.")</f>
        <v>Un homme en chemise rouge parle et montre comment jeter des fléchettes contre une planche de fléchettes tandis que trois autres personnes en chemises rouges regardent derrière lui.</v>
      </c>
    </row>
    <row r="9043">
      <c r="A9043" s="4" t="s">
        <v>11378</v>
      </c>
      <c r="B9043" s="6" t="s">
        <v>11380</v>
      </c>
      <c r="C9043" s="5" t="str">
        <f>IFERROR(__xludf.DUMMYFUNCTION("GOOGLETRANSLATE(B9043,""en"",""fr"")"),"Un homme en chemise rouge fait face à la caméra et commence à parler tout en tenant des fléchettes dans sa main et tandis que trois hommes derrière lui regardent.")</f>
        <v>Un homme en chemise rouge fait face à la caméra et commence à parler tout en tenant des fléchettes dans sa main et tandis que trois hommes derrière lui regardent.</v>
      </c>
    </row>
    <row r="9044">
      <c r="A9044" s="4" t="s">
        <v>11378</v>
      </c>
      <c r="B9044" s="6" t="s">
        <v>11381</v>
      </c>
      <c r="C9044" s="5" t="str">
        <f>IFERROR(__xludf.DUMMYFUNCTION("GOOGLETRANSLATE(B9044,""en"",""fr"")"),"L'homme se détourne de la caméra, se tenant à une vue de profil et faisant face à un plancher attaché à un mur, il commence à viser le fléchettes avec les fléchettes à la main.")</f>
        <v>L'homme se détourne de la caméra, se tenant à une vue de profil et faisant face à un plancher attaché à un mur, il commence à viser le fléchettes avec les fléchettes à la main.</v>
      </c>
    </row>
    <row r="9045">
      <c r="A9045" s="4" t="s">
        <v>11378</v>
      </c>
      <c r="B9045" s="6" t="s">
        <v>11382</v>
      </c>
      <c r="C9045" s="5" t="str">
        <f>IFERROR(__xludf.DUMMYFUNCTION("GOOGLETRANSLATE(B9045,""en"",""fr"")"),"L'homme lance ensuite trois fléchettes contre le fléchettes, dont deux s'en tiennent à la planche, l'homme va récupérer une fléchette du tableau et des gestes avec son poing et un sourire.")</f>
        <v>L'homme lance ensuite trois fléchettes contre le fléchettes, dont deux s'en tiennent à la planche, l'homme va récupérer une fléchette du tableau et des gestes avec son poing et un sourire.</v>
      </c>
    </row>
    <row r="9046">
      <c r="A9046" s="4" t="s">
        <v>11383</v>
      </c>
      <c r="B9046" s="6" t="s">
        <v>11384</v>
      </c>
      <c r="C9046" s="5" t="str">
        <f>IFERROR(__xludf.DUMMYFUNCTION("GOOGLETRANSLATE(B9046,""en"",""fr"")"),"Une main verse du liquide dans un verre martini et des mots blancs à gauche de l'écran apparaissent et ils disent ""les filles mélangeant des boissons dot com"" et ""tarte keylime avec Lee"".")</f>
        <v>Une main verse du liquide dans un verre martini et des mots blancs à gauche de l'écran apparaissent et ils disent "les filles mélangeant des boissons dot com" et "tarte keylime avec Lee".</v>
      </c>
    </row>
    <row r="9047">
      <c r="A9047" s="4" t="s">
        <v>11383</v>
      </c>
      <c r="B9047" s="6" t="s">
        <v>11385</v>
      </c>
      <c r="C9047" s="5" t="str">
        <f>IFERROR(__xludf.DUMMYFUNCTION("GOOGLETRANSLATE(B9047,""en"",""fr"")"),"Une femme blonde apparaît dans un bar et le site Web apparaît à des moments aléatoires tandis que la femme prend des tasses, de l'alcool et de la glace alors qu'elle fait boire son verre dans un verre à martini.")</f>
        <v>Une femme blonde apparaît dans un bar et le site Web apparaît à des moments aléatoires tandis que la femme prend des tasses, de l'alcool et de la glace alors qu'elle fait boire son verre dans un verre à martini.</v>
      </c>
    </row>
    <row r="9048">
      <c r="A9048" s="4" t="s">
        <v>11383</v>
      </c>
      <c r="B9048" s="4" t="s">
        <v>11386</v>
      </c>
      <c r="C9048" s="5" t="str">
        <f>IFERROR(__xludf.DUMMYFUNCTION("GOOGLETRANSLATE(B9048,""en"",""fr"")"),"La femme remplit le verre à martini de glace et d'eau.")</f>
        <v>La femme remplit le verre à martini de glace et d'eau.</v>
      </c>
    </row>
    <row r="9049">
      <c r="A9049" s="4" t="s">
        <v>11383</v>
      </c>
      <c r="B9049" s="6" t="s">
        <v>11387</v>
      </c>
      <c r="C9049" s="5" t="str">
        <f>IFERROR(__xludf.DUMMYFUNCTION("GOOGLETRANSLATE(B9049,""en"",""fr"")"),"La femme se déplace ensuite sur un grand shaker argenté en argent et commence à y mettre de l'alcool et d'autres liquides, le couvre avec une petite tasse transparente et commence à secouer le contenu.")</f>
        <v>La femme se déplace ensuite sur un grand shaker argenté en argent et commence à y mettre de l'alcool et d'autres liquides, le couvre avec une petite tasse transparente et commence à secouer le contenu.</v>
      </c>
    </row>
    <row r="9050">
      <c r="A9050" s="4" t="s">
        <v>11383</v>
      </c>
      <c r="B9050" s="6" t="s">
        <v>11388</v>
      </c>
      <c r="C9050" s="5" t="str">
        <f>IFERROR(__xludf.DUMMYFUNCTION("GOOGLETRANSLATE(B9050,""en"",""fr"")"),"Quand elle a fini de secouer les liquides, elle vide la glace et l'eau de la tasse de martini, puis la remplit du liquide du shaker, met un citron vert sur le bord, pousse le verre martini vers l'avant et sourit.")</f>
        <v>Quand elle a fini de secouer les liquides, elle vide la glace et l'eau de la tasse de martini, puis la remplit du liquide du shaker, met un citron vert sur le bord, pousse le verre martini vers l'avant et sourit.</v>
      </c>
    </row>
    <row r="9051">
      <c r="A9051" s="4" t="s">
        <v>11383</v>
      </c>
      <c r="B9051" s="4" t="s">
        <v>11389</v>
      </c>
      <c r="C9051" s="5" t="str">
        <f>IFERROR(__xludf.DUMMYFUNCTION("GOOGLETRANSLATE(B9051,""en"",""fr"")"),"Le dernier écran apparaît avec un arrière-plan rouge et le site Web affiché au milieu.")</f>
        <v>Le dernier écran apparaît avec un arrière-plan rouge et le site Web affiché au milieu.</v>
      </c>
    </row>
    <row r="9052">
      <c r="A9052" s="4" t="s">
        <v>11390</v>
      </c>
      <c r="B9052" s="4" t="s">
        <v>11391</v>
      </c>
      <c r="C9052" s="5" t="str">
        <f>IFERROR(__xludf.DUMMYFUNCTION("GOOGLETRANSLATE(B9052,""en"",""fr"")"),"Un tas de allumage flanqué de rochers est montré.")</f>
        <v>Un tas de allumage flanqué de rochers est montré.</v>
      </c>
    </row>
    <row r="9053">
      <c r="A9053" s="4" t="s">
        <v>11390</v>
      </c>
      <c r="B9053" s="4" t="s">
        <v>11392</v>
      </c>
      <c r="C9053" s="5" t="str">
        <f>IFERROR(__xludf.DUMMYFUNCTION("GOOGLETRANSLATE(B9053,""en"",""fr"")"),"Le bois d'allumage est allumé avec une torche.")</f>
        <v>Le bois d'allumage est allumé avec une torche.</v>
      </c>
    </row>
    <row r="9054">
      <c r="A9054" s="4" t="s">
        <v>11390</v>
      </c>
      <c r="B9054" s="4" t="s">
        <v>11393</v>
      </c>
      <c r="C9054" s="5" t="str">
        <f>IFERROR(__xludf.DUMMYFUNCTION("GOOGLETRANSLATE(B9054,""en"",""fr"")"),"Le feu a commencé et nous regardons comme il commence à brûler.")</f>
        <v>Le feu a commencé et nous regardons comme il commence à brûler.</v>
      </c>
    </row>
    <row r="9055">
      <c r="A9055" s="4" t="s">
        <v>11394</v>
      </c>
      <c r="B9055" s="4" t="s">
        <v>11395</v>
      </c>
      <c r="C9055" s="5" t="str">
        <f>IFERROR(__xludf.DUMMYFUNCTION("GOOGLETRANSLATE(B9055,""en"",""fr"")"),"Un homme est vu parler à la caméra tandis que les gens pratiquent les exercices de basket-ball par intermittence.")</f>
        <v>Un homme est vu parler à la caméra tandis que les gens pratiquent les exercices de basket-ball par intermittence.</v>
      </c>
    </row>
    <row r="9056">
      <c r="A9056" s="4" t="s">
        <v>11394</v>
      </c>
      <c r="B9056" s="4" t="s">
        <v>11396</v>
      </c>
      <c r="C9056" s="5" t="str">
        <f>IFERROR(__xludf.DUMMYFUNCTION("GOOGLETRANSLATE(B9056,""en"",""fr"")"),"L'homme attache une corde autour d'une balle et continue de le faire jouer des layups sur le terrain.")</f>
        <v>L'homme attache une corde autour d'une balle et continue de le faire jouer des layups sur le terrain.</v>
      </c>
    </row>
    <row r="9057">
      <c r="A9057" s="4" t="s">
        <v>11394</v>
      </c>
      <c r="B9057" s="4" t="s">
        <v>11397</v>
      </c>
      <c r="C9057" s="5" t="str">
        <f>IFERROR(__xludf.DUMMYFUNCTION("GOOGLETRANSLATE(B9057,""en"",""fr"")"),"Plus de clips sont montrés d'eux pratiquant pendant que l'homme parle à la caméra.")</f>
        <v>Plus de clips sont montrés d'eux pratiquant pendant que l'homme parle à la caméra.</v>
      </c>
    </row>
    <row r="9058">
      <c r="A9058" s="4" t="s">
        <v>11398</v>
      </c>
      <c r="B9058" s="4" t="s">
        <v>11399</v>
      </c>
      <c r="C9058" s="5" t="str">
        <f>IFERROR(__xludf.DUMMYFUNCTION("GOOGLETRANSLATE(B9058,""en"",""fr"")"),"Une fille joue une flûte en laiton debout sur scène lors d'une représentation.")</f>
        <v>Une fille joue une flûte en laiton debout sur scène lors d'une représentation.</v>
      </c>
    </row>
    <row r="9059">
      <c r="A9059" s="4" t="s">
        <v>11398</v>
      </c>
      <c r="B9059" s="4" t="s">
        <v>11400</v>
      </c>
      <c r="C9059" s="5" t="str">
        <f>IFERROR(__xludf.DUMMYFUNCTION("GOOGLETRANSLATE(B9059,""en"",""fr"")"),"La fille termine la performance et abaisse son instrument.")</f>
        <v>La fille termine la performance et abaisse son instrument.</v>
      </c>
    </row>
    <row r="9060">
      <c r="A9060" s="4" t="s">
        <v>11401</v>
      </c>
      <c r="B9060" s="4" t="s">
        <v>11402</v>
      </c>
      <c r="C9060" s="5" t="str">
        <f>IFERROR(__xludf.DUMMYFUNCTION("GOOGLETRANSLATE(B9060,""en"",""fr"")"),"Deux équipes de garçons sont dans un terrain de gazon jouant à un jeu.")</f>
        <v>Deux équipes de garçons sont dans un terrain de gazon jouant à un jeu.</v>
      </c>
    </row>
    <row r="9061">
      <c r="A9061" s="4" t="s">
        <v>11401</v>
      </c>
      <c r="B9061" s="4" t="s">
        <v>11403</v>
      </c>
      <c r="C9061" s="5" t="str">
        <f>IFERROR(__xludf.DUMMYFUNCTION("GOOGLETRANSLATE(B9061,""en"",""fr"")"),"Ils ont de petits poteaux avec des filets qu'ils utilisent pour attraper les balles et lancer.")</f>
        <v>Ils ont de petits poteaux avec des filets qu'ils utilisent pour attraper les balles et lancer.</v>
      </c>
    </row>
    <row r="9062">
      <c r="A9062" s="4" t="s">
        <v>11401</v>
      </c>
      <c r="B9062" s="4" t="s">
        <v>11404</v>
      </c>
      <c r="C9062" s="5" t="str">
        <f>IFERROR(__xludf.DUMMYFUNCTION("GOOGLETRANSLATE(B9062,""en"",""fr"")"),"L'un des garçons de l'équipe rouge jette le ballon de l'autre côté.")</f>
        <v>L'un des garçons de l'équipe rouge jette le ballon de l'autre côté.</v>
      </c>
    </row>
    <row r="9063">
      <c r="A9063" s="4" t="s">
        <v>11401</v>
      </c>
      <c r="B9063" s="4" t="s">
        <v>11405</v>
      </c>
      <c r="C9063" s="5" t="str">
        <f>IFERROR(__xludf.DUMMYFUNCTION("GOOGLETRANSLATE(B9063,""en"",""fr"")"),"Ensuite, l'un des enfants de l'uniforme noir revient en arrière et lance le ballon.")</f>
        <v>Ensuite, l'un des enfants de l'uniforme noir revient en arrière et lance le ballon.</v>
      </c>
    </row>
    <row r="9064">
      <c r="A9064" s="4" t="s">
        <v>11406</v>
      </c>
      <c r="B9064" s="4" t="s">
        <v>11407</v>
      </c>
      <c r="C9064" s="5" t="str">
        <f>IFERROR(__xludf.DUMMYFUNCTION("GOOGLETRANSLATE(B9064,""en"",""fr"")"),"Deux hommes jouent au pingpong en utilisant des astuces différentes.")</f>
        <v>Deux hommes jouent au pingpong en utilisant des astuces différentes.</v>
      </c>
    </row>
    <row r="9065">
      <c r="A9065" s="4" t="s">
        <v>11406</v>
      </c>
      <c r="B9065" s="4" t="s">
        <v>11408</v>
      </c>
      <c r="C9065" s="5" t="str">
        <f>IFERROR(__xludf.DUMMYFUNCTION("GOOGLETRANSLATE(B9065,""en"",""fr"")"),"Un homme montre une boîte de caméra et le joueur de ping-pong l'utilise.")</f>
        <v>Un homme montre une boîte de caméra et le joueur de ping-pong l'utilise.</v>
      </c>
    </row>
    <row r="9066">
      <c r="A9066" s="4" t="s">
        <v>11406</v>
      </c>
      <c r="B9066" s="4" t="s">
        <v>11409</v>
      </c>
      <c r="C9066" s="5" t="str">
        <f>IFERROR(__xludf.DUMMYFUNCTION("GOOGLETRANSLATE(B9066,""en"",""fr"")"),"La boîte s'ouvre pour que le joueur utilise une partie de l'appareil photo pour jouer.")</f>
        <v>La boîte s'ouvre pour que le joueur utilise une partie de l'appareil photo pour jouer.</v>
      </c>
    </row>
    <row r="9067">
      <c r="A9067" s="4" t="s">
        <v>11406</v>
      </c>
      <c r="B9067" s="4" t="s">
        <v>11410</v>
      </c>
      <c r="C9067" s="5" t="str">
        <f>IFERROR(__xludf.DUMMYFUNCTION("GOOGLETRANSLATE(B9067,""en"",""fr"")"),"Il utilise une batterie pour riposter, puis utilise un autre outil.")</f>
        <v>Il utilise une batterie pour riposter, puis utilise un autre outil.</v>
      </c>
    </row>
    <row r="9068">
      <c r="A9068" s="4" t="s">
        <v>11406</v>
      </c>
      <c r="B9068" s="4" t="s">
        <v>11411</v>
      </c>
      <c r="C9068" s="5" t="str">
        <f>IFERROR(__xludf.DUMMYFUNCTION("GOOGLETRANSLATE(B9068,""en"",""fr"")"),"Divers objets étranges sont utilisés pour jouer au jeu.")</f>
        <v>Divers objets étranges sont utilisés pour jouer au jeu.</v>
      </c>
    </row>
    <row r="9069">
      <c r="A9069" s="4" t="s">
        <v>11406</v>
      </c>
      <c r="B9069" s="4" t="s">
        <v>11412</v>
      </c>
      <c r="C9069" s="5" t="str">
        <f>IFERROR(__xludf.DUMMYFUNCTION("GOOGLETRANSLATE(B9069,""en"",""fr"")"),"L'homme casse un œuf avec la balle.")</f>
        <v>L'homme casse un œuf avec la balle.</v>
      </c>
    </row>
    <row r="9070">
      <c r="A9070" s="4" t="s">
        <v>11406</v>
      </c>
      <c r="B9070" s="4" t="s">
        <v>11413</v>
      </c>
      <c r="C9070" s="5" t="str">
        <f>IFERROR(__xludf.DUMMYFUNCTION("GOOGLETRANSLATE(B9070,""en"",""fr"")"),"Des articles plus étranges, y compris une batte, une montre et une barre de bonbons sont utilisés.")</f>
        <v>Des articles plus étranges, y compris une batte, une montre et une barre de bonbons sont utilisés.</v>
      </c>
    </row>
    <row r="9071">
      <c r="A9071" s="4" t="s">
        <v>11406</v>
      </c>
      <c r="B9071" s="4" t="s">
        <v>11414</v>
      </c>
      <c r="C9071" s="5" t="str">
        <f>IFERROR(__xludf.DUMMYFUNCTION("GOOGLETRANSLATE(B9071,""en"",""fr"")"),"L'homme est filmé en téléchargeant la vidéo sur YouTube.")</f>
        <v>L'homme est filmé en téléchargeant la vidéo sur YouTube.</v>
      </c>
    </row>
    <row r="9072">
      <c r="A9072" s="4" t="s">
        <v>11415</v>
      </c>
      <c r="B9072" s="6" t="s">
        <v>11416</v>
      </c>
      <c r="C9072" s="5" t="str">
        <f>IFERROR(__xludf.DUMMYFUNCTION("GOOGLETRANSLATE(B9072,""en"",""fr"")"),"Une femme essaie de manger de la glace à un enfant, mais l'enfant refuse de manger la glace, puis la femme mange la glace à la cuillère.")</f>
        <v>Une femme essaie de manger de la glace à un enfant, mais l'enfant refuse de manger la glace, puis la femme mange la glace à la cuillère.</v>
      </c>
    </row>
    <row r="9073">
      <c r="A9073" s="4" t="s">
        <v>11415</v>
      </c>
      <c r="B9073" s="4" t="s">
        <v>11417</v>
      </c>
      <c r="C9073" s="5" t="str">
        <f>IFERROR(__xludf.DUMMYFUNCTION("GOOGLETRANSLATE(B9073,""en"",""fr"")"),"Après, la femme donne de la glace à l'enfant, puis la femme nettoie la bouche de l'enfant.")</f>
        <v>Après, la femme donne de la glace à l'enfant, puis la femme nettoie la bouche de l'enfant.</v>
      </c>
    </row>
    <row r="9074">
      <c r="A9074" s="4" t="s">
        <v>11415</v>
      </c>
      <c r="B9074" s="4" t="s">
        <v>11418</v>
      </c>
      <c r="C9074" s="5" t="str">
        <f>IFERROR(__xludf.DUMMYFUNCTION("GOOGLETRANSLATE(B9074,""en"",""fr"")"),"Une vieille femme nourrit une glace pour garçon.")</f>
        <v>Une vieille femme nourrit une glace pour garçon.</v>
      </c>
    </row>
    <row r="9075">
      <c r="A9075" s="4" t="s">
        <v>11419</v>
      </c>
      <c r="B9075" s="4" t="s">
        <v>11420</v>
      </c>
      <c r="C9075" s="5" t="str">
        <f>IFERROR(__xludf.DUMMYFUNCTION("GOOGLETRANSLATE(B9075,""en"",""fr"")"),"Une fanfare joue sur un terrain.")</f>
        <v>Une fanfare joue sur un terrain.</v>
      </c>
    </row>
    <row r="9076">
      <c r="A9076" s="4" t="s">
        <v>11419</v>
      </c>
      <c r="B9076" s="4" t="s">
        <v>11421</v>
      </c>
      <c r="C9076" s="5" t="str">
        <f>IFERROR(__xludf.DUMMYFUNCTION("GOOGLETRANSLATE(B9076,""en"",""fr"")"),"Un homme dans un trench parle dans un microphone.")</f>
        <v>Un homme dans un trench parle dans un microphone.</v>
      </c>
    </row>
    <row r="9077">
      <c r="A9077" s="4" t="s">
        <v>11419</v>
      </c>
      <c r="B9077" s="4" t="s">
        <v>11422</v>
      </c>
      <c r="C9077" s="5" t="str">
        <f>IFERROR(__xludf.DUMMYFUNCTION("GOOGLETRANSLATE(B9077,""en"",""fr"")"),"Une équipe joue à la crosse sur un champ d'herbe.")</f>
        <v>Une équipe joue à la crosse sur un champ d'herbe.</v>
      </c>
    </row>
    <row r="9078">
      <c r="A9078" s="4" t="s">
        <v>11423</v>
      </c>
      <c r="B9078" s="4" t="s">
        <v>11424</v>
      </c>
      <c r="C9078" s="5" t="str">
        <f>IFERROR(__xludf.DUMMYFUNCTION("GOOGLETRANSLATE(B9078,""en"",""fr"")"),"Un homme est vu parler à la caméra dans divers clips ainsi qu'à tirer un arc et une flèche.")</f>
        <v>Un homme est vu parler à la caméra dans divers clips ainsi qu'à tirer un arc et une flèche.</v>
      </c>
    </row>
    <row r="9079">
      <c r="A9079" s="4" t="s">
        <v>11423</v>
      </c>
      <c r="B9079" s="6" t="s">
        <v>11425</v>
      </c>
      <c r="C9079" s="5" t="str">
        <f>IFERROR(__xludf.DUMMYFUNCTION("GOOGLETRANSLATE(B9079,""en"",""fr"")"),"L'homme montre plusieurs fois comment tirer correctement un arc à différents endroits tout en regardant en arrière pour parler à la caméra.")</f>
        <v>L'homme montre plusieurs fois comment tirer correctement un arc à différents endroits tout en regardant en arrière pour parler à la caméra.</v>
      </c>
    </row>
    <row r="9080">
      <c r="A9080" s="4" t="s">
        <v>11426</v>
      </c>
      <c r="B9080" s="6" t="s">
        <v>11427</v>
      </c>
      <c r="C9080" s="5" t="str">
        <f>IFERROR(__xludf.DUMMYFUNCTION("GOOGLETRANSLATE(B9080,""en"",""fr"")"),"Deux équipes de football jouent un jeu de football devant un public bondé dans les gradins, dans lequel l'équipe avec les uniformes bleus et blancs fait une série de buts.")</f>
        <v>Deux équipes de football jouent un jeu de football devant un public bondé dans les gradins, dans lequel l'équipe avec les uniformes bleus et blancs fait une série de buts.</v>
      </c>
    </row>
    <row r="9081">
      <c r="A9081" s="4" t="s">
        <v>11426</v>
      </c>
      <c r="B9081" s="6" t="s">
        <v>11428</v>
      </c>
      <c r="C9081" s="5" t="str">
        <f>IFERROR(__xludf.DUMMYFUNCTION("GOOGLETRANSLATE(B9081,""en"",""fr"")"),"L'équipe avec les uniformes jaunes et bleus remporte un but sur le terrain contre l'équipe en noir et blanc et réagit en s'embrassant et en se souriant.")</f>
        <v>L'équipe avec les uniformes jaunes et bleus remporte un but sur le terrain contre l'équipe en noir et blanc et réagit en s'embrassant et en se souriant.</v>
      </c>
    </row>
    <row r="9082">
      <c r="A9082" s="4" t="s">
        <v>11426</v>
      </c>
      <c r="B9082" s="6" t="s">
        <v>11429</v>
      </c>
      <c r="C9082" s="5" t="str">
        <f>IFERROR(__xludf.DUMMYFUNCTION("GOOGLETRANSLATE(B9082,""en"",""fr"")"),"L'équipe jaune et bleue continue à faire une série de buts, glissant parfois après le coup de pied final, le public se dressant chaque fois qu'un but est fait et portant des chemises jaunes.")</f>
        <v>L'équipe jaune et bleue continue à faire une série de buts, glissant parfois après le coup de pied final, le public se dressant chaque fois qu'un but est fait et portant des chemises jaunes.</v>
      </c>
    </row>
    <row r="9083">
      <c r="A9083" s="4" t="s">
        <v>11426</v>
      </c>
      <c r="B9083" s="6" t="s">
        <v>11430</v>
      </c>
      <c r="C9083" s="5" t="str">
        <f>IFERROR(__xludf.DUMMYFUNCTION("GOOGLETRANSLATE(B9083,""en"",""fr"")"),"Un tableau de bord numérique est montré avec le score alors que l'équipe jaune et bleue continue de faire plus de buts.")</f>
        <v>Un tableau de bord numérique est montré avec le score alors que l'équipe jaune et bleue continue de faire plus de buts.</v>
      </c>
    </row>
    <row r="9084">
      <c r="A9084" s="4" t="s">
        <v>11431</v>
      </c>
      <c r="B9084" s="6" t="s">
        <v>11432</v>
      </c>
      <c r="C9084" s="5" t="str">
        <f>IFERROR(__xludf.DUMMYFUNCTION("GOOGLETRANSLATE(B9084,""en"",""fr"")"),"Une patinoire est montrée avec un match de hockey en cours avec le premier but sur le long du tir, suivi d'une rediffusion.")</f>
        <v>Une patinoire est montrée avec un match de hockey en cours avec le premier but sur le long du tir, suivi d'une rediffusion.</v>
      </c>
    </row>
    <row r="9085">
      <c r="A9085" s="4" t="s">
        <v>11431</v>
      </c>
      <c r="B9085" s="4" t="s">
        <v>11433</v>
      </c>
      <c r="C9085" s="5" t="str">
        <f>IFERROR(__xludf.DUMMYFUNCTION("GOOGLETRANSLATE(B9085,""en"",""fr"")"),"Un but de l'autre équipe en rouge montre deux fois.")</f>
        <v>Un but de l'autre équipe en rouge montre deux fois.</v>
      </c>
    </row>
    <row r="9086">
      <c r="A9086" s="4" t="s">
        <v>11431</v>
      </c>
      <c r="B9086" s="4" t="s">
        <v>11434</v>
      </c>
      <c r="C9086" s="5" t="str">
        <f>IFERROR(__xludf.DUMMYFUNCTION("GOOGLETRANSLATE(B9086,""en"",""fr"")"),"Une bataille animée de deux équipes se termine avec un joueur d'équipe orange.")</f>
        <v>Une bataille animée de deux équipes se termine avec un joueur d'équipe orange.</v>
      </c>
    </row>
    <row r="9087">
      <c r="A9087" s="4" t="s">
        <v>11431</v>
      </c>
      <c r="B9087" s="4" t="s">
        <v>11435</v>
      </c>
      <c r="C9087" s="5" t="str">
        <f>IFERROR(__xludf.DUMMYFUNCTION("GOOGLETRANSLATE(B9087,""en"",""fr"")"),"Deux autres équipes font de longs coups de score de gauche à droite.")</f>
        <v>Deux autres équipes font de longs coups de score de gauche à droite.</v>
      </c>
    </row>
    <row r="9088">
      <c r="A9088" s="4" t="s">
        <v>11431</v>
      </c>
      <c r="B9088" s="4" t="s">
        <v>11436</v>
      </c>
      <c r="C9088" s="5" t="str">
        <f>IFERROR(__xludf.DUMMYFUNCTION("GOOGLETRANSLATE(B9088,""en"",""fr"")"),"Une équipe blanche marque après qu'un joueur tombe sur la patinoire.")</f>
        <v>Une équipe blanche marque après qu'un joueur tombe sur la patinoire.</v>
      </c>
    </row>
    <row r="9089">
      <c r="A9089" s="4" t="s">
        <v>11431</v>
      </c>
      <c r="B9089" s="4" t="s">
        <v>11437</v>
      </c>
      <c r="C9089" s="5" t="str">
        <f>IFERROR(__xludf.DUMMYFUNCTION("GOOGLETRANSLATE(B9089,""en"",""fr"")"),"Un autre match et un deuxième joueur tombent avant un but.")</f>
        <v>Un autre match et un deuxième joueur tombent avant un but.</v>
      </c>
    </row>
    <row r="9090">
      <c r="A9090" s="4" t="s">
        <v>11431</v>
      </c>
      <c r="B9090" s="4" t="s">
        <v>11438</v>
      </c>
      <c r="C9090" s="5" t="str">
        <f>IFERROR(__xludf.DUMMYFUNCTION("GOOGLETRANSLATE(B9090,""en"",""fr"")"),"Une vue aérienne plus élevée est observée du dernier jeu à montrer.")</f>
        <v>Une vue aérienne plus élevée est observée du dernier jeu à montrer.</v>
      </c>
    </row>
    <row r="9091">
      <c r="A9091" s="4" t="s">
        <v>11439</v>
      </c>
      <c r="B9091" s="4" t="s">
        <v>11440</v>
      </c>
      <c r="C9091" s="5" t="str">
        <f>IFERROR(__xludf.DUMMYFUNCTION("GOOGLETRANSLATE(B9091,""en"",""fr"")"),"Une dame utilise un tuyau de shisha en position assise.")</f>
        <v>Une dame utilise un tuyau de shisha en position assise.</v>
      </c>
    </row>
    <row r="9092">
      <c r="A9092" s="4" t="s">
        <v>11439</v>
      </c>
      <c r="B9092" s="4" t="s">
        <v>11441</v>
      </c>
      <c r="C9092" s="5" t="str">
        <f>IFERROR(__xludf.DUMMYFUNCTION("GOOGLETRANSLATE(B9092,""en"",""fr"")"),"La dame souffle la fumée dans une bouteille savonneuse coupée à moitié.")</f>
        <v>La dame souffle la fumée dans une bouteille savonneuse coupée à moitié.</v>
      </c>
    </row>
    <row r="9093">
      <c r="A9093" s="4" t="s">
        <v>11439</v>
      </c>
      <c r="B9093" s="4" t="s">
        <v>11442</v>
      </c>
      <c r="C9093" s="5" t="str">
        <f>IFERROR(__xludf.DUMMYFUNCTION("GOOGLETRANSLATE(B9093,""en"",""fr"")"),"La bulle pop libérant la fumée.")</f>
        <v>La bulle pop libérant la fumée.</v>
      </c>
    </row>
    <row r="9094">
      <c r="A9094" s="4" t="s">
        <v>11439</v>
      </c>
      <c r="B9094" s="4" t="s">
        <v>11443</v>
      </c>
      <c r="C9094" s="5" t="str">
        <f>IFERROR(__xludf.DUMMYFUNCTION("GOOGLETRANSLATE(B9094,""en"",""fr"")"),"La bulle flotte avec la fumée toujours enfermée et tombe au sol.")</f>
        <v>La bulle flotte avec la fumée toujours enfermée et tombe au sol.</v>
      </c>
    </row>
    <row r="9095">
      <c r="A9095" s="4" t="s">
        <v>11444</v>
      </c>
      <c r="B9095" s="6" t="s">
        <v>11445</v>
      </c>
      <c r="C9095" s="5" t="str">
        <f>IFERROR(__xludf.DUMMYFUNCTION("GOOGLETRANSLATE(B9095,""en"",""fr"")"),"Une caméra se déroule tout autour d'une table de pong de bière ainsi que les gens qui parlent et parlent d'un microphone.")</f>
        <v>Une caméra se déroule tout autour d'une table de pong de bière ainsi que les gens qui parlent et parlent d'un microphone.</v>
      </c>
    </row>
    <row r="9096">
      <c r="A9096" s="4" t="s">
        <v>11444</v>
      </c>
      <c r="B9096" s="4" t="s">
        <v>11446</v>
      </c>
      <c r="C9096" s="5" t="str">
        <f>IFERROR(__xludf.DUMMYFUNCTION("GOOGLETRANSLATE(B9096,""en"",""fr"")"),"Plus de gens interviennent pour jouer le pong de bière tandis qu'un homme s'appuie dans le micro et que d'autres réagissent.")</f>
        <v>Plus de gens interviennent pour jouer le pong de bière tandis qu'un homme s'appuie dans le micro et que d'autres réagissent.</v>
      </c>
    </row>
    <row r="9097">
      <c r="A9097" s="4" t="s">
        <v>11444</v>
      </c>
      <c r="B9097" s="4" t="s">
        <v>11447</v>
      </c>
      <c r="C9097" s="5" t="str">
        <f>IFERROR(__xludf.DUMMYFUNCTION("GOOGLETRANSLATE(B9097,""en"",""fr"")"),"Plusieurs tirs sont montrés de personnes jouant au jeu et applaudissant les uns avec les autres.")</f>
        <v>Plusieurs tirs sont montrés de personnes jouant au jeu et applaudissant les uns avec les autres.</v>
      </c>
    </row>
    <row r="9098">
      <c r="A9098" s="4" t="s">
        <v>11448</v>
      </c>
      <c r="B9098" s="6" t="s">
        <v>11449</v>
      </c>
      <c r="C9098" s="5" t="str">
        <f>IFERROR(__xludf.DUMMYFUNCTION("GOOGLETRANSLATE(B9098,""en"",""fr"")"),"Un groupe d'hommes debout les uns à côté des autres est tous pliés en train de chuger de la bière à travers de très longues pailles.")</f>
        <v>Un groupe d'hommes debout les uns à côté des autres est tous pliés en train de chuger de la bière à travers de très longues pailles.</v>
      </c>
    </row>
    <row r="9099">
      <c r="A9099" s="4" t="s">
        <v>11448</v>
      </c>
      <c r="B9099" s="4" t="s">
        <v>11450</v>
      </c>
      <c r="C9099" s="5" t="str">
        <f>IFERROR(__xludf.DUMMYFUNCTION("GOOGLETRANSLATE(B9099,""en"",""fr"")"),"Il y a des gens devant eux les regarder et les pointer des pointes pendant qu'ils se dirigent.")</f>
        <v>Il y a des gens devant eux les regarder et les pointer des pointes pendant qu'ils se dirigent.</v>
      </c>
    </row>
    <row r="9100">
      <c r="A9100" s="4" t="s">
        <v>11448</v>
      </c>
      <c r="B9100" s="4" t="s">
        <v>11451</v>
      </c>
      <c r="C9100" s="5" t="str">
        <f>IFERROR(__xludf.DUMMYFUNCTION("GOOGLETRANSLATE(B9100,""en"",""fr"")"),"Ils ont fait un jeu qu'ils courent pour voir qui peut finir en premier.")</f>
        <v>Ils ont fait un jeu qu'ils courent pour voir qui peut finir en premier.</v>
      </c>
    </row>
    <row r="9101">
      <c r="A9101" s="4" t="s">
        <v>11448</v>
      </c>
      <c r="B9101" s="4" t="s">
        <v>11452</v>
      </c>
      <c r="C9101" s="5" t="str">
        <f>IFERROR(__xludf.DUMMYFUNCTION("GOOGLETRANSLATE(B9101,""en"",""fr"")"),"Ils s'arrêtent tous à la même époque et les gens qui regardent continuent d'être très tapageurs.")</f>
        <v>Ils s'arrêtent tous à la même époque et les gens qui regardent continuent d'être très tapageurs.</v>
      </c>
    </row>
    <row r="9102">
      <c r="A9102" s="4" t="s">
        <v>11453</v>
      </c>
      <c r="B9102" s="4" t="s">
        <v>11454</v>
      </c>
      <c r="C9102" s="5" t="str">
        <f>IFERROR(__xludf.DUMMYFUNCTION("GOOGLETRANSLATE(B9102,""en"",""fr"")"),"Une fillette de huit ans joue une harmonique sur une scène.")</f>
        <v>Une fillette de huit ans joue une harmonique sur une scène.</v>
      </c>
    </row>
    <row r="9103">
      <c r="A9103" s="4" t="s">
        <v>11453</v>
      </c>
      <c r="B9103" s="6" t="s">
        <v>11455</v>
      </c>
      <c r="C9103" s="5" t="str">
        <f>IFERROR(__xludf.DUMMYFUNCTION("GOOGLETRANSLATE(B9103,""en"",""fr"")"),"La caméra zoome sur la fille alors que la fille commence à jouer de plus en plus dur, prenant des respirations de plus en plus profondes.")</f>
        <v>La caméra zoome sur la fille alors que la fille commence à jouer de plus en plus dur, prenant des respirations de plus en plus profondes.</v>
      </c>
    </row>
    <row r="9104">
      <c r="A9104" s="4" t="s">
        <v>11453</v>
      </c>
      <c r="B9104" s="6" t="s">
        <v>11456</v>
      </c>
      <c r="C9104" s="5" t="str">
        <f>IFERROR(__xludf.DUMMYFUNCTION("GOOGLETRANSLATE(B9104,""en"",""fr"")"),"La fille cesse de jouer, jette un coup d'œil à sa gauche très rapidement, puis des êtres pour sourire tout en regardant la caméra et en applaudissant.")</f>
        <v>La fille cesse de jouer, jette un coup d'œil à sa gauche très rapidement, puis des êtres pour sourire tout en regardant la caméra et en applaudissant.</v>
      </c>
    </row>
    <row r="9105">
      <c r="A9105" s="4" t="s">
        <v>11457</v>
      </c>
      <c r="B9105" s="6" t="s">
        <v>11458</v>
      </c>
      <c r="C9105" s="5" t="str">
        <f>IFERROR(__xludf.DUMMYFUNCTION("GOOGLETRANSLATE(B9105,""en"",""fr"")"),"L'armée est alignée, ils sont divisés en quatre groupes, ils ont commencé à faire des pratiques de guerre en tirant par groupe avec du pistolet à peinture, ils se cachent parmi les murs de pierre et les voitures vacantes.")</f>
        <v>L'armée est alignée, ils sont divisés en quatre groupes, ils ont commencé à faire des pratiques de guerre en tirant par groupe avec du pistolet à peinture, ils se cachent parmi les murs de pierre et les voitures vacantes.</v>
      </c>
    </row>
    <row r="9106">
      <c r="A9106" s="4" t="s">
        <v>11457</v>
      </c>
      <c r="B9106" s="4" t="s">
        <v>11459</v>
      </c>
      <c r="C9106" s="5" t="str">
        <f>IFERROR(__xludf.DUMMYFUNCTION("GOOGLETRANSLATE(B9106,""en"",""fr"")"),"L'armée saisit leurs pistolets de peinture sur la table et les a chargés de boules de peinture.")</f>
        <v>L'armée saisit leurs pistolets de peinture sur la table et les a chargés de boules de peinture.</v>
      </c>
    </row>
    <row r="9107">
      <c r="A9107" s="4" t="s">
        <v>11460</v>
      </c>
      <c r="B9107" s="4" t="s">
        <v>11461</v>
      </c>
      <c r="C9107" s="5" t="str">
        <f>IFERROR(__xludf.DUMMYFUNCTION("GOOGLETRANSLATE(B9107,""en"",""fr"")"),"Une fille est vêtue d'une tenue rose et noire qui parle dans une pièce allongée sur un tapis de yoga bleu.")</f>
        <v>Une fille est vêtue d'une tenue rose et noire qui parle dans une pièce allongée sur un tapis de yoga bleu.</v>
      </c>
    </row>
    <row r="9108">
      <c r="A9108" s="4" t="s">
        <v>11460</v>
      </c>
      <c r="B9108" s="4" t="s">
        <v>11462</v>
      </c>
      <c r="C9108" s="5" t="str">
        <f>IFERROR(__xludf.DUMMYFUNCTION("GOOGLETRANSLATE(B9108,""en"",""fr"")"),"La dame se couche ensuite sur son dos et met sa main sur sa poitrine.")</f>
        <v>La dame se couche ensuite sur son dos et met sa main sur sa poitrine.</v>
      </c>
    </row>
    <row r="9109">
      <c r="A9109" s="4" t="s">
        <v>11460</v>
      </c>
      <c r="B9109" s="6" t="s">
        <v>11463</v>
      </c>
      <c r="C9109" s="5" t="str">
        <f>IFERROR(__xludf.DUMMYFUNCTION("GOOGLETRANSLATE(B9109,""en"",""fr"")"),"Avant de commencer, elle parle de son estomac et comment mettre vos mains derrière votre cou de la bonne façon.")</f>
        <v>Avant de commencer, elle parle de son estomac et comment mettre vos mains derrière votre cou de la bonne façon.</v>
      </c>
    </row>
    <row r="9110">
      <c r="A9110" s="4" t="s">
        <v>11460</v>
      </c>
      <c r="B9110" s="6" t="s">
        <v>11464</v>
      </c>
      <c r="C9110" s="5" t="str">
        <f>IFERROR(__xludf.DUMMYFUNCTION("GOOGLETRANSLATE(B9110,""en"",""fr"")"),"Enfin, elle fait environ quatre craquements et montre que votre tête devrait se lever et aussi bien que votre corps avant de terminer ses craquements.")</f>
        <v>Enfin, elle fait environ quatre craquements et montre que votre tête devrait se lever et aussi bien que votre corps avant de terminer ses craquements.</v>
      </c>
    </row>
    <row r="9111">
      <c r="A9111" s="4" t="s">
        <v>11465</v>
      </c>
      <c r="B9111" s="4" t="s">
        <v>11466</v>
      </c>
      <c r="C9111" s="5" t="str">
        <f>IFERROR(__xludf.DUMMYFUNCTION("GOOGLETRANSLATE(B9111,""en"",""fr"")"),"Une femme s'entraîne dans une machine à cardio qui tire une poignée dans une salle de sport.")</f>
        <v>Une femme s'entraîne dans une machine à cardio qui tire une poignée dans une salle de sport.</v>
      </c>
    </row>
    <row r="9112">
      <c r="A9112" s="4" t="s">
        <v>11465</v>
      </c>
      <c r="B9112" s="4" t="s">
        <v>11467</v>
      </c>
      <c r="C9112" s="5" t="str">
        <f>IFERROR(__xludf.DUMMYFUNCTION("GOOGLETRANSLATE(B9112,""en"",""fr"")"),"Une personne entre dans le gymnase.")</f>
        <v>Une personne entre dans le gymnase.</v>
      </c>
    </row>
    <row r="9113">
      <c r="A9113" s="4" t="s">
        <v>11468</v>
      </c>
      <c r="B9113" s="6" t="s">
        <v>11469</v>
      </c>
      <c r="C9113" s="5" t="str">
        <f>IFERROR(__xludf.DUMMYFUNCTION("GOOGLETRANSLATE(B9113,""en"",""fr"")"),"Un duo de danse masculin et féminin est au milieu d'un sol de salon entouré de gens qui se préparent à danser; Cependant, la musique ne commence pas et ils sont retardés.")</f>
        <v>Un duo de danse masculin et féminin est au milieu d'un sol de salon entouré de gens qui se préparent à danser; Cependant, la musique ne commence pas et ils sont retardés.</v>
      </c>
    </row>
    <row r="9114">
      <c r="A9114" s="4" t="s">
        <v>11468</v>
      </c>
      <c r="B9114" s="4" t="s">
        <v>11470</v>
      </c>
      <c r="C9114" s="5" t="str">
        <f>IFERROR(__xludf.DUMMYFUNCTION("GOOGLETRANSLATE(B9114,""en"",""fr"")"),"Ils commencent ensuite à danser et à traverser leurs pieds à travers le carreau et à se tourner autour.")</f>
        <v>Ils commencent ensuite à danser et à traverser leurs pieds à travers le carreau et à se tourner autour.</v>
      </c>
    </row>
    <row r="9115">
      <c r="A9115" s="4" t="s">
        <v>11468</v>
      </c>
      <c r="B9115" s="4" t="s">
        <v>11471</v>
      </c>
      <c r="C9115" s="5" t="str">
        <f>IFERROR(__xludf.DUMMYFUNCTION("GOOGLETRANSLATE(B9115,""en"",""fr"")"),"Les deux font ensuite une scission, terminez la routine et sortez pour se mêler à la foule.")</f>
        <v>Les deux font ensuite une scission, terminez la routine et sortez pour se mêler à la foule.</v>
      </c>
    </row>
    <row r="9116">
      <c r="A9116" s="4" t="s">
        <v>11472</v>
      </c>
      <c r="B9116" s="4" t="s">
        <v>11473</v>
      </c>
      <c r="C9116" s="5" t="str">
        <f>IFERROR(__xludf.DUMMYFUNCTION("GOOGLETRANSLATE(B9116,""en"",""fr"")"),"Un homme est vu debout devant une table en tenant une barre de cire et d'autres objets.")</f>
        <v>Un homme est vu debout devant une table en tenant une barre de cire et d'autres objets.</v>
      </c>
    </row>
    <row r="9117">
      <c r="A9117" s="4" t="s">
        <v>11472</v>
      </c>
      <c r="B9117" s="4" t="s">
        <v>11474</v>
      </c>
      <c r="C9117" s="5" t="str">
        <f>IFERROR(__xludf.DUMMYFUNCTION("GOOGLETRANSLATE(B9117,""en"",""fr"")"),"Il pousse la cire dans une ponceuse et commence à l'utiliser sur une planche de ski.")</f>
        <v>Il pousse la cire dans une ponceuse et commence à l'utiliser sur une planche de ski.</v>
      </c>
    </row>
    <row r="9118">
      <c r="A9118" s="4" t="s">
        <v>11472</v>
      </c>
      <c r="B9118" s="4" t="s">
        <v>11475</v>
      </c>
      <c r="C9118" s="5" t="str">
        <f>IFERROR(__xludf.DUMMYFUNCTION("GOOGLETRANSLATE(B9118,""en"",""fr"")"),"Il déplace la ponceuse tout au long de la planche et se termine en la montrant à la caméra.")</f>
        <v>Il déplace la ponceuse tout au long de la planche et se termine en la montrant à la caméra.</v>
      </c>
    </row>
    <row r="9119">
      <c r="A9119" s="4" t="s">
        <v>11476</v>
      </c>
      <c r="B9119" s="4" t="s">
        <v>11477</v>
      </c>
      <c r="C9119" s="5" t="str">
        <f>IFERROR(__xludf.DUMMYFUNCTION("GOOGLETRANSLATE(B9119,""en"",""fr"")"),"Nous voyons un homme lancer une pierre de curling.")</f>
        <v>Nous voyons un homme lancer une pierre de curling.</v>
      </c>
    </row>
    <row r="9120">
      <c r="A9120" s="4" t="s">
        <v>11476</v>
      </c>
      <c r="B9120" s="4" t="s">
        <v>11478</v>
      </c>
      <c r="C9120" s="5" t="str">
        <f>IFERROR(__xludf.DUMMYFUNCTION("GOOGLETRANSLATE(B9120,""en"",""fr"")"),"Nous voyons un homme, 2 filles, puis un homme plus âgé interviewé.")</f>
        <v>Nous voyons un homme, 2 filles, puis un homme plus âgé interviewé.</v>
      </c>
    </row>
    <row r="9121">
      <c r="A9121" s="4" t="s">
        <v>11476</v>
      </c>
      <c r="B9121" s="4" t="s">
        <v>11479</v>
      </c>
      <c r="C9121" s="5" t="str">
        <f>IFERROR(__xludf.DUMMYFUNCTION("GOOGLETRANSLATE(B9121,""en"",""fr"")"),"Nous voyons un homme jeter la pierre.")</f>
        <v>Nous voyons un homme jeter la pierre.</v>
      </c>
    </row>
    <row r="9122">
      <c r="A9122" s="4" t="s">
        <v>11476</v>
      </c>
      <c r="B9122" s="4" t="s">
        <v>11480</v>
      </c>
      <c r="C9122" s="5" t="str">
        <f>IFERROR(__xludf.DUMMYFUNCTION("GOOGLETRANSLATE(B9122,""en"",""fr"")"),"Nous voyons l'homme plus âgé interviewé.")</f>
        <v>Nous voyons l'homme plus âgé interviewé.</v>
      </c>
    </row>
    <row r="9123">
      <c r="A9123" s="4" t="s">
        <v>11476</v>
      </c>
      <c r="B9123" s="4" t="s">
        <v>11481</v>
      </c>
      <c r="C9123" s="5" t="str">
        <f>IFERROR(__xludf.DUMMYFUNCTION("GOOGLETRANSLATE(B9123,""en"",""fr"")"),"Nous voyons deux garçons parler dans la patinoire.")</f>
        <v>Nous voyons deux garçons parler dans la patinoire.</v>
      </c>
    </row>
    <row r="9124">
      <c r="A9124" s="4" t="s">
        <v>11476</v>
      </c>
      <c r="B9124" s="4" t="s">
        <v>11482</v>
      </c>
      <c r="C9124" s="5" t="str">
        <f>IFERROR(__xludf.DUMMYFUNCTION("GOOGLETRANSLATE(B9124,""en"",""fr"")"),"Nous voyons un jeune homme aux cheveux plus longs interviewés, suivis de deux filles.")</f>
        <v>Nous voyons un jeune homme aux cheveux plus longs interviewés, suivis de deux filles.</v>
      </c>
    </row>
    <row r="9125">
      <c r="A9125" s="4" t="s">
        <v>11476</v>
      </c>
      <c r="B9125" s="4" t="s">
        <v>11483</v>
      </c>
      <c r="C9125" s="5" t="str">
        <f>IFERROR(__xludf.DUMMYFUNCTION("GOOGLETRANSLATE(B9125,""en"",""fr"")"),"Nous voyons le garçon boucler, puis être interviewé et une fille interviewée.")</f>
        <v>Nous voyons le garçon boucler, puis être interviewé et une fille interviewée.</v>
      </c>
    </row>
    <row r="9126">
      <c r="A9126" s="4" t="s">
        <v>11476</v>
      </c>
      <c r="B9126" s="4" t="s">
        <v>11484</v>
      </c>
      <c r="C9126" s="5" t="str">
        <f>IFERROR(__xludf.DUMMYFUNCTION("GOOGLETRANSLATE(B9126,""en"",""fr"")"),"Nous voyons les gens couverts, une fille parle, et un groupe de filles parle avant de s'éloigner.")</f>
        <v>Nous voyons les gens couverts, une fille parle, et un groupe de filles parle avant de s'éloigner.</v>
      </c>
    </row>
    <row r="9127">
      <c r="A9127" s="4" t="s">
        <v>11485</v>
      </c>
      <c r="B9127" s="6" t="s">
        <v>11486</v>
      </c>
      <c r="C9127" s="5" t="str">
        <f>IFERROR(__xludf.DUMMYFUNCTION("GOOGLETRANSLATE(B9127,""en"",""fr"")"),"Plusieurs coups de feu sont présentés par diverseurs de neige broyant les rails dans la neige avec une tombe et se blessant.")</f>
        <v>Plusieurs coups de feu sont présentés par diverseurs de neige broyant les rails dans la neige avec une tombe et se blessant.</v>
      </c>
    </row>
    <row r="9128">
      <c r="A9128" s="4" t="s">
        <v>11485</v>
      </c>
      <c r="B9128" s="6" t="s">
        <v>11487</v>
      </c>
      <c r="C9128" s="5" t="str">
        <f>IFERROR(__xludf.DUMMYFUNCTION("GOOGLETRANSLATE(B9128,""en"",""fr"")"),"Plus de photos de personnes s'essuyant à la fin sont montrées ainsi que des gens qui se parlent dans un cercle.")</f>
        <v>Plus de photos de personnes s'essuyant à la fin sont montrées ainsi que des gens qui se parlent dans un cercle.</v>
      </c>
    </row>
    <row r="9129">
      <c r="A9129" s="4" t="s">
        <v>11488</v>
      </c>
      <c r="B9129" s="4" t="s">
        <v>11489</v>
      </c>
      <c r="C9129" s="5" t="str">
        <f>IFERROR(__xludf.DUMMYFUNCTION("GOOGLETRANSLATE(B9129,""en"",""fr"")"),"Un grand groupe de personnes vues éloigner une corde les unes des autres.")</f>
        <v>Un grand groupe de personnes vues éloigner une corde les unes des autres.</v>
      </c>
    </row>
    <row r="9130">
      <c r="A9130" s="4" t="s">
        <v>11488</v>
      </c>
      <c r="B9130" s="4" t="s">
        <v>11490</v>
      </c>
      <c r="C9130" s="5" t="str">
        <f>IFERROR(__xludf.DUMMYFUNCTION("GOOGLETRANSLATE(B9130,""en"",""fr"")"),"Plus de jeux sont montrés des personnes jouant au remorqueur de guerre.")</f>
        <v>Plus de jeux sont montrés des personnes jouant au remorqueur de guerre.</v>
      </c>
    </row>
    <row r="9131">
      <c r="A9131" s="4" t="s">
        <v>11488</v>
      </c>
      <c r="B9131" s="4" t="s">
        <v>11491</v>
      </c>
      <c r="C9131" s="5" t="str">
        <f>IFERROR(__xludf.DUMMYFUNCTION("GOOGLETRANSLATE(B9131,""en"",""fr"")"),"Les gens regardent sur les côtés tandis que les hommes continuent de jouer les uns avec les autres.")</f>
        <v>Les gens regardent sur les côtés tandis que les hommes continuent de jouer les uns avec les autres.</v>
      </c>
    </row>
    <row r="9132">
      <c r="A9132" s="4" t="s">
        <v>11492</v>
      </c>
      <c r="B9132" s="4" t="s">
        <v>11493</v>
      </c>
      <c r="C9132" s="5" t="str">
        <f>IFERROR(__xludf.DUMMYFUNCTION("GOOGLETRANSLATE(B9132,""en"",""fr"")"),"Une gymnaste est vue debout prête avec ses bras en l'air devant une grande foule.")</f>
        <v>Une gymnaste est vue debout prête avec ses bras en l'air devant une grande foule.</v>
      </c>
    </row>
    <row r="9133">
      <c r="A9133" s="4" t="s">
        <v>11492</v>
      </c>
      <c r="B9133" s="4" t="s">
        <v>11494</v>
      </c>
      <c r="C9133" s="5" t="str">
        <f>IFERROR(__xludf.DUMMYFUNCTION("GOOGLETRANSLATE(B9133,""en"",""fr"")"),"La fille saute ensuite sur une poutre et commence à effectuer des tours de gymnastique.")</f>
        <v>La fille saute ensuite sur une poutre et commence à effectuer des tours de gymnastique.</v>
      </c>
    </row>
    <row r="9134">
      <c r="A9134" s="4" t="s">
        <v>11492</v>
      </c>
      <c r="B9134" s="4" t="s">
        <v>11495</v>
      </c>
      <c r="C9134" s="5" t="str">
        <f>IFERROR(__xludf.DUMMYFUNCTION("GOOGLETRANSLATE(B9134,""en"",""fr"")"),"La fille continue de se retourner et de tourner et se termine avec elle sautant sur le côté.")</f>
        <v>La fille continue de se retourner et de tourner et se termine avec elle sautant sur le côté.</v>
      </c>
    </row>
    <row r="9135">
      <c r="A9135" s="4" t="s">
        <v>11496</v>
      </c>
      <c r="B9135" s="4" t="s">
        <v>11497</v>
      </c>
      <c r="C9135" s="5" t="str">
        <f>IFERROR(__xludf.DUMMYFUNCTION("GOOGLETRANSLATE(B9135,""en"",""fr"")"),"Un jeune homme court et saute par-dessus une barre sur un tapis plusieurs fois.")</f>
        <v>Un jeune homme court et saute par-dessus une barre sur un tapis plusieurs fois.</v>
      </c>
    </row>
    <row r="9136">
      <c r="A9136" s="4" t="s">
        <v>11496</v>
      </c>
      <c r="B9136" s="4" t="s">
        <v>11498</v>
      </c>
      <c r="C9136" s="5" t="str">
        <f>IFERROR(__xludf.DUMMYFUNCTION("GOOGLETRANSLATE(B9136,""en"",""fr"")"),"Les gens courent et se promènent sur une piste en arrière-plan.")</f>
        <v>Les gens courent et se promènent sur une piste en arrière-plan.</v>
      </c>
    </row>
    <row r="9137">
      <c r="A9137" s="4" t="s">
        <v>11496</v>
      </c>
      <c r="B9137" s="6" t="s">
        <v>11499</v>
      </c>
      <c r="C9137" s="5" t="str">
        <f>IFERROR(__xludf.DUMMYFUNCTION("GOOGLETRANSLATE(B9137,""en"",""fr"")"),"Le même jeune homme saute ensuite par-dessus la barre à l'aide d'un tremplin sur le tapis à plusieurs reprises.")</f>
        <v>Le même jeune homme saute ensuite par-dessus la barre à l'aide d'un tremplin sur le tapis à plusieurs reprises.</v>
      </c>
    </row>
    <row r="9138">
      <c r="A9138" s="4" t="s">
        <v>11496</v>
      </c>
      <c r="B9138" s="4" t="s">
        <v>11500</v>
      </c>
      <c r="C9138" s="5" t="str">
        <f>IFERROR(__xludf.DUMMYFUNCTION("GOOGLETRANSLATE(B9138,""en"",""fr"")"),"Les gens se promènent dans une maison de campagne près de la piste.")</f>
        <v>Les gens se promènent dans une maison de campagne près de la piste.</v>
      </c>
    </row>
    <row r="9139">
      <c r="A9139" s="4" t="s">
        <v>11501</v>
      </c>
      <c r="B9139" s="4" t="s">
        <v>11502</v>
      </c>
      <c r="C9139" s="5" t="str">
        <f>IFERROR(__xludf.DUMMYFUNCTION("GOOGLETRANSLATE(B9139,""en"",""fr"")"),"Plusieurs enfants conduisent des voitures tamponneuses dans un groupe lors d'une foire.")</f>
        <v>Plusieurs enfants conduisent des voitures tamponneuses dans un groupe lors d'une foire.</v>
      </c>
    </row>
    <row r="9140">
      <c r="A9140" s="4" t="s">
        <v>11501</v>
      </c>
      <c r="B9140" s="4" t="s">
        <v>11503</v>
      </c>
      <c r="C9140" s="5" t="str">
        <f>IFERROR(__xludf.DUMMYFUNCTION("GOOGLETRANSLATE(B9140,""en"",""fr"")"),"Une jeune fille est coincée et un homme se promène pour l'aider.")</f>
        <v>Une jeune fille est coincée et un homme se promène pour l'aider.</v>
      </c>
    </row>
    <row r="9141">
      <c r="A9141" s="4" t="s">
        <v>11501</v>
      </c>
      <c r="B9141" s="4" t="s">
        <v>11504</v>
      </c>
      <c r="C9141" s="5" t="str">
        <f>IFERROR(__xludf.DUMMYFUNCTION("GOOGLETRANSLATE(B9141,""en"",""fr"")"),"Le temps des groupes s'épuise et tous les enfants se lèvent et sortent de la zone de plein air.")</f>
        <v>Le temps des groupes s'épuise et tous les enfants se lèvent et sortent de la zone de plein air.</v>
      </c>
    </row>
    <row r="9142">
      <c r="A9142" s="4" t="s">
        <v>11501</v>
      </c>
      <c r="B9142" s="4" t="s">
        <v>11505</v>
      </c>
      <c r="C9142" s="5" t="str">
        <f>IFERROR(__xludf.DUMMYFUNCTION("GOOGLETRANSLATE(B9142,""en"",""fr"")"),"Les enfants descendent tous dans les escaliers et retournent dans la zone équitable.")</f>
        <v>Les enfants descendent tous dans les escaliers et retournent dans la zone équitable.</v>
      </c>
    </row>
    <row r="9143">
      <c r="A9143" s="4" t="s">
        <v>11501</v>
      </c>
      <c r="B9143" s="4" t="s">
        <v>11506</v>
      </c>
      <c r="C9143" s="5" t="str">
        <f>IFERROR(__xludf.DUMMYFUNCTION("GOOGLETRANSLATE(B9143,""en"",""fr"")"),"Il y a beaucoup de gens de tous âges pour faire différentes choses à la foire.")</f>
        <v>Il y a beaucoup de gens de tous âges pour faire différentes choses à la foire.</v>
      </c>
    </row>
    <row r="9144">
      <c r="A9144" s="4" t="s">
        <v>11507</v>
      </c>
      <c r="B9144" s="4" t="s">
        <v>11508</v>
      </c>
      <c r="C9144" s="5" t="str">
        <f>IFERROR(__xludf.DUMMYFUNCTION("GOOGLETRANSLATE(B9144,""en"",""fr"")"),"Les cibles de tir sont indiquées sur l'herbe.")</f>
        <v>Les cibles de tir sont indiquées sur l'herbe.</v>
      </c>
    </row>
    <row r="9145">
      <c r="A9145" s="4" t="s">
        <v>11507</v>
      </c>
      <c r="B9145" s="4" t="s">
        <v>11509</v>
      </c>
      <c r="C9145" s="5" t="str">
        <f>IFERROR(__xludf.DUMMYFUNCTION("GOOGLETRANSLATE(B9145,""en"",""fr"")"),"Un homme utilise un arc et une flèche pour frapper les cibles.")</f>
        <v>Un homme utilise un arc et une flèche pour frapper les cibles.</v>
      </c>
    </row>
    <row r="9146">
      <c r="A9146" s="4" t="s">
        <v>11507</v>
      </c>
      <c r="B9146" s="4" t="s">
        <v>1599</v>
      </c>
      <c r="C9146" s="5" t="str">
        <f>IFERROR(__xludf.DUMMYFUNCTION("GOOGLETRANSLATE(B9146,""en"",""fr"")"),"Les mots sont affichés à l'écran.")</f>
        <v>Les mots sont affichés à l'écran.</v>
      </c>
    </row>
    <row r="9147">
      <c r="A9147" s="4" t="s">
        <v>11507</v>
      </c>
      <c r="B9147" s="4" t="s">
        <v>11510</v>
      </c>
      <c r="C9147" s="5" t="str">
        <f>IFERROR(__xludf.DUMMYFUNCTION("GOOGLETRANSLATE(B9147,""en"",""fr"")"),"Un homme tire un arc derrière un tas de bâtons.")</f>
        <v>Un homme tire un arc derrière un tas de bâtons.</v>
      </c>
    </row>
    <row r="9148">
      <c r="A9148" s="4" t="s">
        <v>11511</v>
      </c>
      <c r="B9148" s="4" t="s">
        <v>11512</v>
      </c>
      <c r="C9148" s="5" t="str">
        <f>IFERROR(__xludf.DUMMYFUNCTION("GOOGLETRANSLATE(B9148,""en"",""fr"")"),"Un jeune enfant est vu debout derrière un ensemble de tambours, puis commence à jouer de la batterie.")</f>
        <v>Un jeune enfant est vu debout derrière un ensemble de tambours, puis commence à jouer de la batterie.</v>
      </c>
    </row>
    <row r="9149">
      <c r="A9149" s="4" t="s">
        <v>11511</v>
      </c>
      <c r="B9149" s="6" t="s">
        <v>11513</v>
      </c>
      <c r="C9149" s="5" t="str">
        <f>IFERROR(__xludf.DUMMYFUNCTION("GOOGLETRANSLATE(B9149,""en"",""fr"")"),"Les garçons continuent de jouer sur la batterie et se termine avec lui en embrassant les doigts et en donnant un panneau de paix.")</f>
        <v>Les garçons continuent de jouer sur la batterie et se termine avec lui en embrassant les doigts et en donnant un panneau de paix.</v>
      </c>
    </row>
    <row r="9150">
      <c r="A9150" s="4" t="s">
        <v>11514</v>
      </c>
      <c r="B9150" s="4" t="s">
        <v>11515</v>
      </c>
      <c r="C9150" s="5" t="str">
        <f>IFERROR(__xludf.DUMMYFUNCTION("GOOGLETRANSLATE(B9150,""en"",""fr"")"),"Un jeune homme en t-shirt bleu marche dans une petite salle de studio de danse.")</f>
        <v>Un jeune homme en t-shirt bleu marche dans une petite salle de studio de danse.</v>
      </c>
    </row>
    <row r="9151">
      <c r="A9151" s="4" t="s">
        <v>11514</v>
      </c>
      <c r="B9151" s="4" t="s">
        <v>11516</v>
      </c>
      <c r="C9151" s="5" t="str">
        <f>IFERROR(__xludf.DUMMYFUNCTION("GOOGLETRANSLATE(B9151,""en"",""fr"")"),"Le jeune homme déposent sa stéréo sur une chaise.")</f>
        <v>Le jeune homme déposent sa stéréo sur une chaise.</v>
      </c>
    </row>
    <row r="9152">
      <c r="A9152" s="4" t="s">
        <v>11514</v>
      </c>
      <c r="B9152" s="4" t="s">
        <v>11517</v>
      </c>
      <c r="C9152" s="5" t="str">
        <f>IFERROR(__xludf.DUMMYFUNCTION("GOOGLETRANSLATE(B9152,""en"",""fr"")"),"L'homme jeune homme se réchauffe et fait une main à une main.")</f>
        <v>L'homme jeune homme se réchauffe et fait une main à une main.</v>
      </c>
    </row>
    <row r="9153">
      <c r="A9153" s="4" t="s">
        <v>11514</v>
      </c>
      <c r="B9153" s="4" t="s">
        <v>11518</v>
      </c>
      <c r="C9153" s="5" t="str">
        <f>IFERROR(__xludf.DUMMYFUNCTION("GOOGLETRANSLATE(B9153,""en"",""fr"")"),"L'homme fait une routine de danse de pause faisant des supports et des tours de main.")</f>
        <v>L'homme fait une routine de danse de pause faisant des supports et des tours de main.</v>
      </c>
    </row>
    <row r="9154">
      <c r="A9154" s="4" t="s">
        <v>11514</v>
      </c>
      <c r="B9154" s="4" t="s">
        <v>11519</v>
      </c>
      <c r="C9154" s="5" t="str">
        <f>IFERROR(__xludf.DUMMYFUNCTION("GOOGLETRANSLATE(B9154,""en"",""fr"")"),"Les crédits de fin sont affichés avec des noms écrits en cursive.")</f>
        <v>Les crédits de fin sont affichés avec des noms écrits en cursive.</v>
      </c>
    </row>
    <row r="9155">
      <c r="A9155" s="4" t="s">
        <v>11520</v>
      </c>
      <c r="B9155" s="6" t="s">
        <v>11521</v>
      </c>
      <c r="C9155" s="5" t="str">
        <f>IFERROR(__xludf.DUMMYFUNCTION("GOOGLETRANSLATE(B9155,""en"",""fr"")"),"Il y a des gens dans un garage autour d'une longue table en bois qui contient beaucoup de tasses en solo rouge.")</f>
        <v>Il y a des gens dans un garage autour d'une longue table en bois qui contient beaucoup de tasses en solo rouge.</v>
      </c>
    </row>
    <row r="9156">
      <c r="A9156" s="4" t="s">
        <v>11520</v>
      </c>
      <c r="B9156" s="4" t="s">
        <v>11522</v>
      </c>
      <c r="C9156" s="5" t="str">
        <f>IFERROR(__xludf.DUMMYFUNCTION("GOOGLETRANSLATE(B9156,""en"",""fr"")"),"Ils commencent tous à lancer des balles de ping-pong pour tenter de les faire atterrir dans une tasse en solo rouge.")</f>
        <v>Ils commencent tous à lancer des balles de ping-pong pour tenter de les faire atterrir dans une tasse en solo rouge.</v>
      </c>
    </row>
    <row r="9157">
      <c r="A9157" s="4" t="s">
        <v>11520</v>
      </c>
      <c r="B9157" s="4" t="s">
        <v>11523</v>
      </c>
      <c r="C9157" s="5" t="str">
        <f>IFERROR(__xludf.DUMMYFUNCTION("GOOGLETRANSLATE(B9157,""en"",""fr"")"),"Soudain, l'un d'eux tombe en arrière dans la table et la table tombe.")</f>
        <v>Soudain, l'un d'eux tombe en arrière dans la table et la table tombe.</v>
      </c>
    </row>
    <row r="9158">
      <c r="A9158" s="4" t="s">
        <v>11520</v>
      </c>
      <c r="B9158" s="6" t="s">
        <v>11524</v>
      </c>
      <c r="C9158" s="5" t="str">
        <f>IFERROR(__xludf.DUMMYFUNCTION("GOOGLETRANSLATE(B9158,""en"",""fr"")"),"Tous les hommes commencent à rire, retirent la table de l'homme, et un seul des hommes va aider la personne.")</f>
        <v>Tous les hommes commencent à rire, retirent la table de l'homme, et un seul des hommes va aider la personne.</v>
      </c>
    </row>
    <row r="9159">
      <c r="A9159" s="4" t="s">
        <v>11525</v>
      </c>
      <c r="B9159" s="6" t="s">
        <v>11526</v>
      </c>
      <c r="C9159" s="5" t="str">
        <f>IFERROR(__xludf.DUMMYFUNCTION("GOOGLETRANSLATE(B9159,""en"",""fr"")"),"Un homme est vu interviewer un autre homme à la caméra et mène à plusieurs groupes de personnes jouant à Shuffle Board.")</f>
        <v>Un homme est vu interviewer un autre homme à la caméra et mène à plusieurs groupes de personnes jouant à Shuffle Board.</v>
      </c>
    </row>
    <row r="9160">
      <c r="A9160" s="4" t="s">
        <v>11525</v>
      </c>
      <c r="B9160" s="6" t="s">
        <v>11527</v>
      </c>
      <c r="C9160" s="5" t="str">
        <f>IFERROR(__xludf.DUMMYFUNCTION("GOOGLETRANSLATE(B9160,""en"",""fr"")"),"La caméra se reproduit à l'homme interviewé et se termine avec l'hôte ayant un dernier mot à la caméra.")</f>
        <v>La caméra se reproduit à l'homme interviewé et se termine avec l'hôte ayant un dernier mot à la caméra.</v>
      </c>
    </row>
    <row r="9161">
      <c r="A9161" s="4" t="s">
        <v>11528</v>
      </c>
      <c r="B9161" s="4" t="s">
        <v>11529</v>
      </c>
      <c r="C9161" s="5" t="str">
        <f>IFERROR(__xludf.DUMMYFUNCTION("GOOGLETRANSLATE(B9161,""en"",""fr"")"),"Deux femmes sont à l'extérieur à l'extérieur d'un bâtiment et jouent de la marelle sur un terrain cimenté.")</f>
        <v>Deux femmes sont à l'extérieur à l'extérieur d'un bâtiment et jouent de la marelle sur un terrain cimenté.</v>
      </c>
    </row>
    <row r="9162">
      <c r="A9162" s="4" t="s">
        <v>11528</v>
      </c>
      <c r="B9162" s="4" t="s">
        <v>11530</v>
      </c>
      <c r="C9162" s="5" t="str">
        <f>IFERROR(__xludf.DUMMYFUNCTION("GOOGLETRANSLATE(B9162,""en"",""fr"")"),"Il y a du texte blanc à l'écran.")</f>
        <v>Il y a du texte blanc à l'écran.</v>
      </c>
    </row>
    <row r="9163">
      <c r="A9163" s="4" t="s">
        <v>11528</v>
      </c>
      <c r="B9163" s="6" t="s">
        <v>11531</v>
      </c>
      <c r="C9163" s="5" t="str">
        <f>IFERROR(__xludf.DUMMYFUNCTION("GOOGLETRANSLATE(B9163,""en"",""fr"")"),"La jeune femme en short saute sur les carrés et une femme plus âgée portant une robe saute également sur les carrés.")</f>
        <v>La jeune femme en short saute sur les carrés et une femme plus âgée portant une robe saute également sur les carrés.</v>
      </c>
    </row>
    <row r="9164">
      <c r="A9164" s="4" t="s">
        <v>11528</v>
      </c>
      <c r="B9164" s="4" t="s">
        <v>11532</v>
      </c>
      <c r="C9164" s="5" t="str">
        <f>IFERROR(__xludf.DUMMYFUNCTION("GOOGLETRANSLATE(B9164,""en"",""fr"")"),"La jeune fille tombe.")</f>
        <v>La jeune fille tombe.</v>
      </c>
    </row>
    <row r="9165">
      <c r="A9165" s="4" t="s">
        <v>11528</v>
      </c>
      <c r="B9165" s="4" t="s">
        <v>11533</v>
      </c>
      <c r="C9165" s="5" t="str">
        <f>IFERROR(__xludf.DUMMYFUNCTION("GOOGLETRANSLATE(B9165,""en"",""fr"")"),"La femme plus âgée marche et célèbre la levée des bras.")</f>
        <v>La femme plus âgée marche et célèbre la levée des bras.</v>
      </c>
    </row>
    <row r="9166">
      <c r="A9166" s="4" t="s">
        <v>11528</v>
      </c>
      <c r="B9166" s="4" t="s">
        <v>11534</v>
      </c>
      <c r="C9166" s="5" t="str">
        <f>IFERROR(__xludf.DUMMYFUNCTION("GOOGLETRANSLATE(B9166,""en"",""fr"")"),"Les deux regardent la caméra et donnent un coup de pouce.")</f>
        <v>Les deux regardent la caméra et donnent un coup de pouce.</v>
      </c>
    </row>
    <row r="9167">
      <c r="A9167" s="4" t="s">
        <v>11535</v>
      </c>
      <c r="B9167" s="6" t="s">
        <v>11536</v>
      </c>
      <c r="C9167" s="5" t="str">
        <f>IFERROR(__xludf.DUMMYFUNCTION("GOOGLETRANSLATE(B9167,""en"",""fr"")"),"Un gros plan de métro est vu et mène à une femme parlant à la caméra et coupant un morceau de pain.")</f>
        <v>Un gros plan de métro est vu et mène à une femme parlant à la caméra et coupant un morceau de pain.</v>
      </c>
    </row>
    <row r="9168">
      <c r="A9168" s="4" t="s">
        <v>11535</v>
      </c>
      <c r="B9168" s="4" t="s">
        <v>11537</v>
      </c>
      <c r="C9168" s="5" t="str">
        <f>IFERROR(__xludf.DUMMYFUNCTION("GOOGLETRANSLATE(B9168,""en"",""fr"")"),"La femme présente ensuite divers ingrédients sur le pain et le roule dans une enveloppe.")</f>
        <v>La femme présente ensuite divers ingrédients sur le pain et le roule dans une enveloppe.</v>
      </c>
    </row>
    <row r="9169">
      <c r="A9169" s="4" t="s">
        <v>11535</v>
      </c>
      <c r="B9169" s="6" t="s">
        <v>11538</v>
      </c>
      <c r="C9169" s="5" t="str">
        <f>IFERROR(__xludf.DUMMYFUNCTION("GOOGLETRANSLATE(B9169,""en"",""fr"")"),"Plusieurs photos sont ensuite présentées à la fin du sandwich, toutes prêtes et les gens appréciant le sandwich.")</f>
        <v>Plusieurs photos sont ensuite présentées à la fin du sandwich, toutes prêtes et les gens appréciant le sandwich.</v>
      </c>
    </row>
    <row r="9170">
      <c r="A9170" s="4" t="s">
        <v>11539</v>
      </c>
      <c r="B9170" s="4" t="s">
        <v>11540</v>
      </c>
      <c r="C9170" s="5" t="str">
        <f>IFERROR(__xludf.DUMMYFUNCTION("GOOGLETRANSLATE(B9170,""en"",""fr"")"),"Un homme se tient dans une salle de sport.")</f>
        <v>Un homme se tient dans une salle de sport.</v>
      </c>
    </row>
    <row r="9171">
      <c r="A9171" s="4" t="s">
        <v>11539</v>
      </c>
      <c r="B9171" s="4" t="s">
        <v>11541</v>
      </c>
      <c r="C9171" s="5" t="str">
        <f>IFERROR(__xludf.DUMMYFUNCTION("GOOGLETRANSLATE(B9171,""en"",""fr"")"),"Il saute sur et hors d'un stepper d'exercice, d'avant en arrière et d'un côté à l'autre.")</f>
        <v>Il saute sur et hors d'un stepper d'exercice, d'avant en arrière et d'un côté à l'autre.</v>
      </c>
    </row>
    <row r="9172">
      <c r="A9172" s="4" t="s">
        <v>11539</v>
      </c>
      <c r="B9172" s="4" t="s">
        <v>11542</v>
      </c>
      <c r="C9172" s="5" t="str">
        <f>IFERROR(__xludf.DUMMYFUNCTION("GOOGLETRANSLATE(B9172,""en"",""fr"")"),"Il tourne alors qu'il monte et éteint.")</f>
        <v>Il tourne alors qu'il monte et éteint.</v>
      </c>
    </row>
    <row r="9173">
      <c r="A9173" s="4" t="s">
        <v>11543</v>
      </c>
      <c r="B9173" s="6" t="s">
        <v>11544</v>
      </c>
      <c r="C9173" s="5" t="str">
        <f>IFERROR(__xludf.DUMMYFUNCTION("GOOGLETRANSLATE(B9173,""en"",""fr"")"),"Deux lutteurs de sumo sont présentés sur un set avec des centaines de personnes qui regardent dans le dos en prenant des photos.")</f>
        <v>Deux lutteurs de sumo sont présentés sur un set avec des centaines de personnes qui regardent dans le dos en prenant des photos.</v>
      </c>
    </row>
    <row r="9174">
      <c r="A9174" s="4" t="s">
        <v>11543</v>
      </c>
      <c r="B9174" s="6" t="s">
        <v>11545</v>
      </c>
      <c r="C9174" s="5" t="str">
        <f>IFERROR(__xludf.DUMMYFUNCTION("GOOGLETRANSLATE(B9174,""en"",""fr"")"),"La vidéo continue de montrer à plusieurs athlètes différents qui se battent dans un anneau et de tirer l'autre en quelques secondes.")</f>
        <v>La vidéo continue de montrer à plusieurs athlètes différents qui se battent dans un anneau et de tirer l'autre en quelques secondes.</v>
      </c>
    </row>
    <row r="9175">
      <c r="A9175" s="4" t="s">
        <v>11546</v>
      </c>
      <c r="B9175" s="6" t="s">
        <v>11547</v>
      </c>
      <c r="C9175" s="5" t="str">
        <f>IFERROR(__xludf.DUMMYFUNCTION("GOOGLETRANSLATE(B9175,""en"",""fr"")"),"On voit deux personnes parler à la caméra et mène à l'homme peler une poire et éloigner les côtés.")</f>
        <v>On voit deux personnes parler à la caméra et mène à l'homme peler une poire et éloigner les côtés.</v>
      </c>
    </row>
    <row r="9176">
      <c r="A9176" s="4" t="s">
        <v>11546</v>
      </c>
      <c r="B9176" s="4" t="s">
        <v>11548</v>
      </c>
      <c r="C9176" s="5" t="str">
        <f>IFERROR(__xludf.DUMMYFUNCTION("GOOGLETRANSLATE(B9176,""en"",""fr"")"),"L'homme coupe ensuite le fruit et le présente sur une assiette tout en parlant à la caméra.")</f>
        <v>L'homme coupe ensuite le fruit et le présente sur une assiette tout en parlant à la caméra.</v>
      </c>
    </row>
    <row r="9177">
      <c r="A9177" s="4" t="s">
        <v>11549</v>
      </c>
      <c r="B9177" s="6" t="s">
        <v>11550</v>
      </c>
      <c r="C9177" s="5" t="str">
        <f>IFERROR(__xludf.DUMMYFUNCTION("GOOGLETRANSLATE(B9177,""en"",""fr"")"),"Un groupe d'amis de gars est dans la salle de bain pour parler et s'amuser à oser les garçons pour se raser la jambe.")</f>
        <v>Un groupe d'amis de gars est dans la salle de bain pour parler et s'amuser à oser les garçons pour se raser la jambe.</v>
      </c>
    </row>
    <row r="9178">
      <c r="A9178" s="4" t="s">
        <v>11549</v>
      </c>
      <c r="B9178" s="6" t="s">
        <v>11551</v>
      </c>
      <c r="C9178" s="5" t="str">
        <f>IFERROR(__xludf.DUMMYFUNCTION("GOOGLETRANSLATE(B9178,""en"",""fr"")"),"La caméra se déroule sur la jambe du garçon montrant un de ses amis se rasant les cheveux de sa jambe avec un rasoir électrique.")</f>
        <v>La caméra se déroule sur la jambe du garçon montrant un de ses amis se rasant les cheveux de sa jambe avec un rasoir électrique.</v>
      </c>
    </row>
    <row r="9179">
      <c r="A9179" s="4" t="s">
        <v>11552</v>
      </c>
      <c r="B9179" s="4" t="s">
        <v>11553</v>
      </c>
      <c r="C9179" s="5" t="str">
        <f>IFERROR(__xludf.DUMMYFUNCTION("GOOGLETRANSLATE(B9179,""en"",""fr"")"),"Une personne place un cube Rubik sur un dossier.")</f>
        <v>Une personne place un cube Rubik sur un dossier.</v>
      </c>
    </row>
    <row r="9180">
      <c r="A9180" s="4" t="s">
        <v>11552</v>
      </c>
      <c r="B9180" s="4" t="s">
        <v>11554</v>
      </c>
      <c r="C9180" s="5" t="str">
        <f>IFERROR(__xludf.DUMMYFUNCTION("GOOGLETRANSLATE(B9180,""en"",""fr"")"),"Le puzzle est ensuite résolu en 11 secondes.")</f>
        <v>Le puzzle est ensuite résolu en 11 secondes.</v>
      </c>
    </row>
    <row r="9181">
      <c r="A9181" s="4" t="s">
        <v>11555</v>
      </c>
      <c r="B9181" s="4" t="s">
        <v>11556</v>
      </c>
      <c r="C9181" s="5" t="str">
        <f>IFERROR(__xludf.DUMMYFUNCTION("GOOGLETRANSLATE(B9181,""en"",""fr"")"),"Une famille est dans le salon que j'essaie de sortir après avoir été enneigée.")</f>
        <v>Une famille est dans le salon que j'essaie de sortir après avoir été enneigée.</v>
      </c>
    </row>
    <row r="9182">
      <c r="A9182" s="4" t="s">
        <v>11555</v>
      </c>
      <c r="B9182" s="4" t="s">
        <v>11557</v>
      </c>
      <c r="C9182" s="5" t="str">
        <f>IFERROR(__xludf.DUMMYFUNCTION("GOOGLETRANSLATE(B9182,""en"",""fr"")"),"Un homme ouvre la porte et essaie de sauter par-dessus la neige qui est sur le chemin.")</f>
        <v>Un homme ouvre la porte et essaie de sauter par-dessus la neige qui est sur le chemin.</v>
      </c>
    </row>
    <row r="9183">
      <c r="A9183" s="4" t="s">
        <v>11555</v>
      </c>
      <c r="B9183" s="4" t="s">
        <v>11558</v>
      </c>
      <c r="C9183" s="5" t="str">
        <f>IFERROR(__xludf.DUMMYFUNCTION("GOOGLETRANSLATE(B9183,""en"",""fr"")"),"Il est coincé dans la neige et sa famille essaie de l'aider à sortir.")</f>
        <v>Il est coincé dans la neige et sa famille essaie de l'aider à sortir.</v>
      </c>
    </row>
    <row r="9184">
      <c r="A9184" s="4" t="s">
        <v>11555</v>
      </c>
      <c r="B9184" s="4" t="s">
        <v>11559</v>
      </c>
      <c r="C9184" s="5" t="str">
        <f>IFERROR(__xludf.DUMMYFUNCTION("GOOGLETRANSLATE(B9184,""en"",""fr"")"),"Une fois qu'il sort, il leur lance une pelle pour pelleter la neige sur le sol.")</f>
        <v>Une fois qu'il sort, il leur lance une pelle pour pelleter la neige sur le sol.</v>
      </c>
    </row>
    <row r="9185">
      <c r="A9185" s="4" t="s">
        <v>11555</v>
      </c>
      <c r="B9185" s="4" t="s">
        <v>11560</v>
      </c>
      <c r="C9185" s="5" t="str">
        <f>IFERROR(__xludf.DUMMYFUNCTION("GOOGLETRANSLATE(B9185,""en"",""fr"")"),"La vidéo se termine par les crédits affichés à l'écran.")</f>
        <v>La vidéo se termine par les crédits affichés à l'écran.</v>
      </c>
    </row>
    <row r="9186">
      <c r="A9186" s="4" t="s">
        <v>11561</v>
      </c>
      <c r="B9186" s="4" t="s">
        <v>11562</v>
      </c>
      <c r="C9186" s="5" t="str">
        <f>IFERROR(__xludf.DUMMYFUNCTION("GOOGLETRANSLATE(B9186,""en"",""fr"")"),"Les gens flottent sur une rivière dans les radeaux.")</f>
        <v>Les gens flottent sur une rivière dans les radeaux.</v>
      </c>
    </row>
    <row r="9187">
      <c r="A9187" s="4" t="s">
        <v>11561</v>
      </c>
      <c r="B9187" s="4" t="s">
        <v>11563</v>
      </c>
      <c r="C9187" s="5" t="str">
        <f>IFERROR(__xludf.DUMMYFUNCTION("GOOGLETRANSLATE(B9187,""en"",""fr"")"),"Nous voyons ensuite des gens obtenir des radeaux dans un bâtiment.")</f>
        <v>Nous voyons ensuite des gens obtenir des radeaux dans un bâtiment.</v>
      </c>
    </row>
    <row r="9188">
      <c r="A9188" s="4" t="s">
        <v>11561</v>
      </c>
      <c r="B9188" s="4" t="s">
        <v>11564</v>
      </c>
      <c r="C9188" s="5" t="str">
        <f>IFERROR(__xludf.DUMMYFUNCTION("GOOGLETRANSLATE(B9188,""en"",""fr"")"),"Un homme est dans un bateau qui flottait dans un radeau.")</f>
        <v>Un homme est dans un bateau qui flottait dans un radeau.</v>
      </c>
    </row>
    <row r="9189">
      <c r="A9189" s="4" t="s">
        <v>11561</v>
      </c>
      <c r="B9189" s="4" t="s">
        <v>11565</v>
      </c>
      <c r="C9189" s="5" t="str">
        <f>IFERROR(__xludf.DUMMYFUNCTION("GOOGLETRANSLATE(B9189,""en"",""fr"")"),"Un bus se trouve devant l'installation de rafting et que les hommes empilent des radeaux alors que d'autres hommes marchent avec leurs radeaux.")</f>
        <v>Un bus se trouve devant l'installation de rafting et que les hommes empilent des radeaux alors que d'autres hommes marchent avec leurs radeaux.</v>
      </c>
    </row>
    <row r="9190">
      <c r="A9190" s="4" t="s">
        <v>11561</v>
      </c>
      <c r="B9190" s="4" t="s">
        <v>11566</v>
      </c>
      <c r="C9190" s="5" t="str">
        <f>IFERROR(__xludf.DUMMYFUNCTION("GOOGLETRANSLATE(B9190,""en"",""fr"")"),"Un homme et une femme flottent sur la rivière dans des radeaux séparés.")</f>
        <v>Un homme et une femme flottent sur la rivière dans des radeaux séparés.</v>
      </c>
    </row>
    <row r="9191">
      <c r="A9191" s="4" t="s">
        <v>11567</v>
      </c>
      <c r="B9191" s="4" t="s">
        <v>11568</v>
      </c>
      <c r="C9191" s="5" t="str">
        <f>IFERROR(__xludf.DUMMYFUNCTION("GOOGLETRANSLATE(B9191,""en"",""fr"")"),"Nous voyons une dame et deux hommes debout dans un lac.")</f>
        <v>Nous voyons une dame et deux hommes debout dans un lac.</v>
      </c>
    </row>
    <row r="9192">
      <c r="A9192" s="4" t="s">
        <v>11567</v>
      </c>
      <c r="B9192" s="4" t="s">
        <v>11569</v>
      </c>
      <c r="C9192" s="5" t="str">
        <f>IFERROR(__xludf.DUMMYFUNCTION("GOOGLETRANSLATE(B9192,""en"",""fr"")"),"La dame puis les jet-skis.")</f>
        <v>La dame puis les jet-skis.</v>
      </c>
    </row>
    <row r="9193">
      <c r="A9193" s="4" t="s">
        <v>11567</v>
      </c>
      <c r="B9193" s="4" t="s">
        <v>11570</v>
      </c>
      <c r="C9193" s="5" t="str">
        <f>IFERROR(__xludf.DUMMYFUNCTION("GOOGLETRANSLATE(B9193,""en"",""fr"")"),"Nous voyons la tête de la personne sur le bateau sur le bob gauche dans et hors du tir.")</f>
        <v>Nous voyons la tête de la personne sur le bateau sur le bob gauche dans et hors du tir.</v>
      </c>
    </row>
    <row r="9194">
      <c r="A9194" s="4" t="s">
        <v>11567</v>
      </c>
      <c r="B9194" s="4" t="s">
        <v>11571</v>
      </c>
      <c r="C9194" s="5" t="str">
        <f>IFERROR(__xludf.DUMMYFUNCTION("GOOGLETRANSLATE(B9194,""en"",""fr"")"),"Le bateau tourne et nous ne voyons plus de terres en arrière-plan.")</f>
        <v>Le bateau tourne et nous ne voyons plus de terres en arrière-plan.</v>
      </c>
    </row>
    <row r="9195">
      <c r="A9195" s="4" t="s">
        <v>11567</v>
      </c>
      <c r="B9195" s="4" t="s">
        <v>11572</v>
      </c>
      <c r="C9195" s="5" t="str">
        <f>IFERROR(__xludf.DUMMYFUNCTION("GOOGLETRANSLATE(B9195,""en"",""fr"")"),"La dame tombe du ski.")</f>
        <v>La dame tombe du ski.</v>
      </c>
    </row>
    <row r="9196">
      <c r="A9196" s="4" t="s">
        <v>11567</v>
      </c>
      <c r="B9196" s="4" t="s">
        <v>11573</v>
      </c>
      <c r="C9196" s="5" t="str">
        <f>IFERROR(__xludf.DUMMYFUNCTION("GOOGLETRANSLATE(B9196,""en"",""fr"")"),"Un homme se promène pour aider la dame du lac.")</f>
        <v>Un homme se promène pour aider la dame du lac.</v>
      </c>
    </row>
    <row r="9197">
      <c r="A9197" s="4" t="s">
        <v>11574</v>
      </c>
      <c r="B9197" s="4" t="s">
        <v>11575</v>
      </c>
      <c r="C9197" s="5" t="str">
        <f>IFERROR(__xludf.DUMMYFUNCTION("GOOGLETRANSLATE(B9197,""en"",""fr"")"),"À la foire, les voitures tamponneuses sont utilisées.")</f>
        <v>À la foire, les voitures tamponneuses sont utilisées.</v>
      </c>
    </row>
    <row r="9198">
      <c r="A9198" s="4" t="s">
        <v>11574</v>
      </c>
      <c r="B9198" s="4" t="s">
        <v>11576</v>
      </c>
      <c r="C9198" s="5" t="str">
        <f>IFERROR(__xludf.DUMMYFUNCTION("GOOGLETRANSLATE(B9198,""en"",""fr"")"),"Un tas de personnes différentes roulent autour des autres.")</f>
        <v>Un tas de personnes différentes roulent autour des autres.</v>
      </c>
    </row>
    <row r="9199">
      <c r="A9199" s="4" t="s">
        <v>11574</v>
      </c>
      <c r="B9199" s="4" t="s">
        <v>11577</v>
      </c>
      <c r="C9199" s="5" t="str">
        <f>IFERROR(__xludf.DUMMYFUNCTION("GOOGLETRANSLATE(B9199,""en"",""fr"")"),"Ils conduisent sans but sans but en frappant et en train de devenir chaud par d'autres coureurs.")</f>
        <v>Ils conduisent sans but sans but en frappant et en train de devenir chaud par d'autres coureurs.</v>
      </c>
    </row>
    <row r="9200">
      <c r="A9200" s="4" t="s">
        <v>11574</v>
      </c>
      <c r="B9200" s="4" t="s">
        <v>11578</v>
      </c>
      <c r="C9200" s="5" t="str">
        <f>IFERROR(__xludf.DUMMYFUNCTION("GOOGLETRANSLATE(B9200,""en"",""fr"")"),"C'est un plaisir innocent pendant les nuits d'été lorsque vous vous ennuyez et que la foire est en ville.")</f>
        <v>C'est un plaisir innocent pendant les nuits d'été lorsque vous vous ennuyez et que la foire est en ville.</v>
      </c>
    </row>
    <row r="9201">
      <c r="A9201" s="4" t="s">
        <v>11579</v>
      </c>
      <c r="B9201" s="4" t="s">
        <v>11580</v>
      </c>
      <c r="C9201" s="5" t="str">
        <f>IFERROR(__xludf.DUMMYFUNCTION("GOOGLETRANSLATE(B9201,""en"",""fr"")"),"Un homme et une femme jouent des ciseaux en papier rocheux.")</f>
        <v>Un homme et une femme jouent des ciseaux en papier rocheux.</v>
      </c>
    </row>
    <row r="9202">
      <c r="A9202" s="4" t="s">
        <v>11579</v>
      </c>
      <c r="B9202" s="4" t="s">
        <v>11581</v>
      </c>
      <c r="C9202" s="5" t="str">
        <f>IFERROR(__xludf.DUMMYFUNCTION("GOOGLETRANSLATE(B9202,""en"",""fr"")"),"La femme gagne et sourit.")</f>
        <v>La femme gagne et sourit.</v>
      </c>
    </row>
    <row r="9203">
      <c r="A9203" s="4" t="s">
        <v>11579</v>
      </c>
      <c r="B9203" s="4" t="s">
        <v>11582</v>
      </c>
      <c r="C9203" s="5" t="str">
        <f>IFERROR(__xludf.DUMMYFUNCTION("GOOGLETRANSLATE(B9203,""en"",""fr"")"),"La femme met un pli aveugle.")</f>
        <v>La femme met un pli aveugle.</v>
      </c>
    </row>
    <row r="9204">
      <c r="A9204" s="4" t="s">
        <v>11579</v>
      </c>
      <c r="B9204" s="4" t="s">
        <v>11583</v>
      </c>
      <c r="C9204" s="5" t="str">
        <f>IFERROR(__xludf.DUMMYFUNCTION("GOOGLETRANSLATE(B9204,""en"",""fr"")"),"La femme fait un câlin à l'homme.")</f>
        <v>La femme fait un câlin à l'homme.</v>
      </c>
    </row>
    <row r="9205">
      <c r="A9205" s="4" t="s">
        <v>11584</v>
      </c>
      <c r="B9205" s="6" t="s">
        <v>11585</v>
      </c>
      <c r="C9205" s="5" t="str">
        <f>IFERROR(__xludf.DUMMYFUNCTION("GOOGLETRANSLATE(B9205,""en"",""fr"")"),"Une jeune fille est vue parler à la caméra et mène à sa navigation sur Internet, puis en ramenant des pistes dans une cour.")</f>
        <v>Une jeune fille est vue parler à la caméra et mène à sa navigation sur Internet, puis en ramenant des pistes dans une cour.</v>
      </c>
    </row>
    <row r="9206">
      <c r="A9206" s="4" t="s">
        <v>11584</v>
      </c>
      <c r="B9206" s="6" t="s">
        <v>11586</v>
      </c>
      <c r="C9206" s="5" t="str">
        <f>IFERROR(__xludf.DUMMYFUNCTION("GOOGLETRANSLATE(B9206,""en"",""fr"")"),"La fille est alors vue assise dans les feuilles et transitions pour parler avec sa mère dans la cuisine.")</f>
        <v>La fille est alors vue assise dans les feuilles et transitions pour parler avec sa mère dans la cuisine.</v>
      </c>
    </row>
    <row r="9207">
      <c r="A9207" s="4" t="s">
        <v>11584</v>
      </c>
      <c r="B9207" s="4" t="s">
        <v>11587</v>
      </c>
      <c r="C9207" s="5" t="str">
        <f>IFERROR(__xludf.DUMMYFUNCTION("GOOGLETRANSLATE(B9207,""en"",""fr"")"),"Elle est montrée à la caméra une fois de plus et se termine par diverses photos d'enfants.")</f>
        <v>Elle est montrée à la caméra une fois de plus et se termine par diverses photos d'enfants.</v>
      </c>
    </row>
    <row r="9208">
      <c r="A9208" s="4" t="s">
        <v>11588</v>
      </c>
      <c r="B9208" s="4" t="s">
        <v>11589</v>
      </c>
      <c r="C9208" s="5" t="str">
        <f>IFERROR(__xludf.DUMMYFUNCTION("GOOGLETRANSLATE(B9208,""en"",""fr"")"),"Une grande arène abrite de nombreuses personnes.")</f>
        <v>Une grande arène abrite de nombreuses personnes.</v>
      </c>
    </row>
    <row r="9209">
      <c r="A9209" s="4" t="s">
        <v>11588</v>
      </c>
      <c r="B9209" s="4" t="s">
        <v>11590</v>
      </c>
      <c r="C9209" s="5" t="str">
        <f>IFERROR(__xludf.DUMMYFUNCTION("GOOGLETRANSLATE(B9209,""en"",""fr"")"),"Les poteaux sont installés dans l'arène.")</f>
        <v>Les poteaux sont installés dans l'arène.</v>
      </c>
    </row>
    <row r="9210">
      <c r="A9210" s="4" t="s">
        <v>11588</v>
      </c>
      <c r="B9210" s="4" t="s">
        <v>11591</v>
      </c>
      <c r="C9210" s="5" t="str">
        <f>IFERROR(__xludf.DUMMYFUNCTION("GOOGLETRANSLATE(B9210,""en"",""fr"")"),"Les gymnastes se produisent sur les poteaux.")</f>
        <v>Les gymnastes se produisent sur les poteaux.</v>
      </c>
    </row>
    <row r="9211">
      <c r="A9211" s="4" t="s">
        <v>11588</v>
      </c>
      <c r="B9211" s="4" t="s">
        <v>11592</v>
      </c>
      <c r="C9211" s="5" t="str">
        <f>IFERROR(__xludf.DUMMYFUNCTION("GOOGLETRANSLATE(B9211,""en"",""fr"")"),"Ils leur font de nombreuses astuces.")</f>
        <v>Ils leur font de nombreuses astuces.</v>
      </c>
    </row>
    <row r="9212">
      <c r="A9212" s="4" t="s">
        <v>11593</v>
      </c>
      <c r="B9212" s="4" t="s">
        <v>11594</v>
      </c>
      <c r="C9212" s="5" t="str">
        <f>IFERROR(__xludf.DUMMYFUNCTION("GOOGLETRANSLATE(B9212,""en"",""fr"")"),"Un homme brosse le fond d'un ski.")</f>
        <v>Un homme brosse le fond d'un ski.</v>
      </c>
    </row>
    <row r="9213">
      <c r="A9213" s="4" t="s">
        <v>11593</v>
      </c>
      <c r="B9213" s="4" t="s">
        <v>11595</v>
      </c>
      <c r="C9213" s="5" t="str">
        <f>IFERROR(__xludf.DUMMYFUNCTION("GOOGLETRANSLATE(B9213,""en"",""fr"")"),"Il fait fondre de la cire sur le bas du ski et les fers.")</f>
        <v>Il fait fondre de la cire sur le bas du ski et les fers.</v>
      </c>
    </row>
    <row r="9214">
      <c r="A9214" s="4" t="s">
        <v>11593</v>
      </c>
      <c r="B9214" s="4" t="s">
        <v>11596</v>
      </c>
      <c r="C9214" s="5" t="str">
        <f>IFERROR(__xludf.DUMMYFUNCTION("GOOGLETRANSLATE(B9214,""en"",""fr"")"),"Il arrache ensuite la cire avec un outil.")</f>
        <v>Il arrache ensuite la cire avec un outil.</v>
      </c>
    </row>
    <row r="9215">
      <c r="A9215" s="4" t="s">
        <v>11593</v>
      </c>
      <c r="B9215" s="4" t="s">
        <v>11597</v>
      </c>
      <c r="C9215" s="5" t="str">
        <f>IFERROR(__xludf.DUMMYFUNCTION("GOOGLETRANSLATE(B9215,""en"",""fr"")"),"Il utilise une brosse pour brosser le fond du ski.")</f>
        <v>Il utilise une brosse pour brosser le fond du ski.</v>
      </c>
    </row>
    <row r="9216">
      <c r="A9216" s="4" t="s">
        <v>11598</v>
      </c>
      <c r="B9216" s="6" t="s">
        <v>11599</v>
      </c>
      <c r="C9216" s="5" t="str">
        <f>IFERROR(__xludf.DUMMYFUNCTION("GOOGLETRANSLATE(B9216,""en"",""fr"")"),"Un athlète se réchauffe devant un poteau tandis que plusieurs autres en arrière-plan coulent autour d'une piste.")</f>
        <v>Un athlète se réchauffe devant un poteau tandis que plusieurs autres en arrière-plan coulent autour d'une piste.</v>
      </c>
    </row>
    <row r="9217">
      <c r="A9217" s="4" t="s">
        <v>11598</v>
      </c>
      <c r="B9217" s="4" t="s">
        <v>11600</v>
      </c>
      <c r="C9217" s="5" t="str">
        <f>IFERROR(__xludf.DUMMYFUNCTION("GOOGLETRANSLATE(B9217,""en"",""fr"")"),"L'homme se prépare finalement pour son saut et saute par-dessus le poteau.")</f>
        <v>L'homme se prépare finalement pour son saut et saute par-dessus le poteau.</v>
      </c>
    </row>
    <row r="9218">
      <c r="A9218" s="4" t="s">
        <v>11598</v>
      </c>
      <c r="B9218" s="4" t="s">
        <v>11601</v>
      </c>
      <c r="C9218" s="5" t="str">
        <f>IFERROR(__xludf.DUMMYFUNCTION("GOOGLETRANSLATE(B9218,""en"",""fr"")"),"Il fait basculer ses bras pour célébrer et d'autres autour de lui applaudir pour lui.")</f>
        <v>Il fait basculer ses bras pour célébrer et d'autres autour de lui applaudir pour lui.</v>
      </c>
    </row>
    <row r="9219">
      <c r="A9219" s="4" t="s">
        <v>11602</v>
      </c>
      <c r="B9219" s="4" t="s">
        <v>11603</v>
      </c>
      <c r="C9219" s="5" t="str">
        <f>IFERROR(__xludf.DUMMYFUNCTION("GOOGLETRANSLATE(B9219,""en"",""fr"")"),"Une dame se tient avec un pot et montre une zone d'un mur.")</f>
        <v>Une dame se tient avec un pot et montre une zone d'un mur.</v>
      </c>
    </row>
    <row r="9220">
      <c r="A9220" s="4" t="s">
        <v>11602</v>
      </c>
      <c r="B9220" s="4" t="s">
        <v>11604</v>
      </c>
      <c r="C9220" s="5" t="str">
        <f>IFERROR(__xludf.DUMMYFUNCTION("GOOGLETRANSLATE(B9220,""en"",""fr"")"),"Le mur est nettoyé avec une serviette humide en utilisant la solution dans le pot.")</f>
        <v>Le mur est nettoyé avec une serviette humide en utilisant la solution dans le pot.</v>
      </c>
    </row>
    <row r="9221">
      <c r="A9221" s="4" t="s">
        <v>11602</v>
      </c>
      <c r="B9221" s="4" t="s">
        <v>11605</v>
      </c>
      <c r="C9221" s="5" t="str">
        <f>IFERROR(__xludf.DUMMYFUNCTION("GOOGLETRANSLATE(B9221,""en"",""fr"")"),"La dame pointe vers une zone du mur décolorée.")</f>
        <v>La dame pointe vers une zone du mur décolorée.</v>
      </c>
    </row>
    <row r="9222">
      <c r="A9222" s="4" t="s">
        <v>11606</v>
      </c>
      <c r="B9222" s="4" t="s">
        <v>11607</v>
      </c>
      <c r="C9222" s="5" t="str">
        <f>IFERROR(__xludf.DUMMYFUNCTION("GOOGLETRANSLATE(B9222,""en"",""fr"")"),"Une image est montrée d'une couverture d'album qui mène à un jeune homme jouant lentement une harmonique.")</f>
        <v>Une image est montrée d'une couverture d'album qui mène à un jeune homme jouant lentement une harmonique.</v>
      </c>
    </row>
    <row r="9223">
      <c r="A9223" s="4" t="s">
        <v>11606</v>
      </c>
      <c r="B9223" s="6" t="s">
        <v>11608</v>
      </c>
      <c r="C9223" s="5" t="str">
        <f>IFERROR(__xludf.DUMMYFUNCTION("GOOGLETRANSLATE(B9223,""en"",""fr"")"),"L'homme se balance et quatrième à la chanson et les inhumations entre des photos d'un groupe et de lui-même jouant.")</f>
        <v>L'homme se balance et quatrième à la chanson et les inhumations entre des photos d'un groupe et de lui-même jouant.</v>
      </c>
    </row>
    <row r="9224">
      <c r="A9224" s="4" t="s">
        <v>11609</v>
      </c>
      <c r="B9224" s="4" t="s">
        <v>11610</v>
      </c>
      <c r="C9224" s="5" t="str">
        <f>IFERROR(__xludf.DUMMYFUNCTION("GOOGLETRANSLATE(B9224,""en"",""fr"")"),"L'homme se tient devant un comptoir montrant comment affûter un couteau.")</f>
        <v>L'homme se tient devant un comptoir montrant comment affûter un couteau.</v>
      </c>
    </row>
    <row r="9225">
      <c r="A9225" s="4" t="s">
        <v>11609</v>
      </c>
      <c r="B9225" s="4" t="s">
        <v>11611</v>
      </c>
      <c r="C9225" s="5" t="str">
        <f>IFERROR(__xludf.DUMMYFUNCTION("GOOGLETRANSLATE(B9225,""en"",""fr"")"),"En arrière-plan, l'homme cuisine dans le comptoir arrière.")</f>
        <v>En arrière-plan, l'homme cuisine dans le comptoir arrière.</v>
      </c>
    </row>
    <row r="9226">
      <c r="A9226" s="4" t="s">
        <v>11609</v>
      </c>
      <c r="B9226" s="4" t="s">
        <v>11612</v>
      </c>
      <c r="C9226" s="5" t="str">
        <f>IFERROR(__xludf.DUMMYFUNCTION("GOOGLETRANSLATE(B9226,""en"",""fr"")"),"L'homme explique et vérifie les zones du couteau.")</f>
        <v>L'homme explique et vérifie les zones du couteau.</v>
      </c>
    </row>
    <row r="9227">
      <c r="A9227" s="4" t="s">
        <v>11613</v>
      </c>
      <c r="B9227" s="4" t="s">
        <v>11614</v>
      </c>
      <c r="C9227" s="5" t="str">
        <f>IFERROR(__xludf.DUMMYFUNCTION("GOOGLETRANSLATE(B9227,""en"",""fr"")"),"Trois lutteurs étaient dans le ring et la foule est surveillée attentivement.")</f>
        <v>Trois lutteurs étaient dans le ring et la foule est surveillée attentivement.</v>
      </c>
    </row>
    <row r="9228">
      <c r="A9228" s="4" t="s">
        <v>11613</v>
      </c>
      <c r="B9228" s="4" t="s">
        <v>11615</v>
      </c>
      <c r="C9228" s="5" t="str">
        <f>IFERROR(__xludf.DUMMYFUNCTION("GOOGLETRANSLATE(B9228,""en"",""fr"")"),"Un lutteur nommé, à l'est d'Angeles, recule et monte l'échelle.")</f>
        <v>Un lutteur nommé, à l'est d'Angeles, recule et monte l'échelle.</v>
      </c>
    </row>
    <row r="9229">
      <c r="A9229" s="4" t="s">
        <v>11613</v>
      </c>
      <c r="B9229" s="4" t="s">
        <v>11616</v>
      </c>
      <c r="C9229" s="5" t="str">
        <f>IFERROR(__xludf.DUMMYFUNCTION("GOOGLETRANSLATE(B9229,""en"",""fr"")"),"Un autre lutteur, Tandumisgreat, se lève et commence à grimper de l'autre côté de l'échelle.")</f>
        <v>Un autre lutteur, Tandumisgreat, se lève et commence à grimper de l'autre côté de l'échelle.</v>
      </c>
    </row>
    <row r="9230">
      <c r="A9230" s="4" t="s">
        <v>11613</v>
      </c>
      <c r="B9230" s="4" t="s">
        <v>11617</v>
      </c>
      <c r="C9230" s="5" t="str">
        <f>IFERROR(__xludf.DUMMYFUNCTION("GOOGLETRANSLATE(B9230,""en"",""fr"")"),"Ils ont commencé à se frapper sur l'échelle.")</f>
        <v>Ils ont commencé à se frapper sur l'échelle.</v>
      </c>
    </row>
    <row r="9231">
      <c r="A9231" s="4" t="s">
        <v>11613</v>
      </c>
      <c r="B9231" s="6" t="s">
        <v>11618</v>
      </c>
      <c r="C9231" s="5" t="str">
        <f>IFERROR(__xludf.DUMMYFUNCTION("GOOGLETRANSLATE(B9231,""en"",""fr"")"),"Tandumisgreat monte à l'arrière d'Est d'Angeles et ils tombent tous les deux de l'échelle, frappant à l'est d'Angeles.")</f>
        <v>Tandumisgreat monte à l'arrière d'Est d'Angeles et ils tombent tous les deux de l'échelle, frappant à l'est d'Angeles.</v>
      </c>
    </row>
    <row r="9232">
      <c r="A9232" s="4" t="s">
        <v>11613</v>
      </c>
      <c r="B9232" s="4" t="s">
        <v>11619</v>
      </c>
      <c r="C9232" s="5" t="str">
        <f>IFERROR(__xludf.DUMMYFUNCTION("GOOGLETRANSLATE(B9232,""en"",""fr"")"),"Tandumisgreat grimpe une fois de plus au sommet de l'échelle et tient la banque d'argent suspendue.")</f>
        <v>Tandumisgreat grimpe une fois de plus au sommet de l'échelle et tient la banque d'argent suspendue.</v>
      </c>
    </row>
    <row r="9233">
      <c r="A9233" s="4" t="s">
        <v>11620</v>
      </c>
      <c r="B9233" s="6" t="s">
        <v>11621</v>
      </c>
      <c r="C9233" s="5" t="str">
        <f>IFERROR(__xludf.DUMMYFUNCTION("GOOGLETRANSLATE(B9233,""en"",""fr"")"),"Divers plans sont représentés sur une grande foule célébrant au loin et des gens qui conduisent des motos.")</f>
        <v>Divers plans sont représentés sur une grande foule célébrant au loin et des gens qui conduisent des motos.</v>
      </c>
    </row>
    <row r="9234">
      <c r="A9234" s="4" t="s">
        <v>11620</v>
      </c>
      <c r="B9234" s="4" t="s">
        <v>11622</v>
      </c>
      <c r="C9234" s="5" t="str">
        <f>IFERROR(__xludf.DUMMYFUNCTION("GOOGLETRANSLATE(B9234,""en"",""fr"")"),"Les gens continuent de rouler au ralenti alors que la caméra capture leurs mouvements.")</f>
        <v>Les gens continuent de rouler au ralenti alors que la caméra capture leurs mouvements.</v>
      </c>
    </row>
    <row r="9235">
      <c r="A9235" s="4" t="s">
        <v>11623</v>
      </c>
      <c r="B9235" s="6" t="s">
        <v>11624</v>
      </c>
      <c r="C9235" s="5" t="str">
        <f>IFERROR(__xludf.DUMMYFUNCTION("GOOGLETRANSLATE(B9235,""en"",""fr"")"),"Une animation de dessin animé est montrée avec diverses mains et homards et démontrant comment jouer des ciseaux en papier rocheux.")</f>
        <v>Une animation de dessin animé est montrée avec diverses mains et homards et démontrant comment jouer des ciseaux en papier rocheux.</v>
      </c>
    </row>
    <row r="9236">
      <c r="A9236" s="4" t="s">
        <v>11623</v>
      </c>
      <c r="B9236" s="4" t="s">
        <v>11625</v>
      </c>
      <c r="C9236" s="5" t="str">
        <f>IFERROR(__xludf.DUMMYFUNCTION("GOOGLETRANSLATE(B9236,""en"",""fr"")"),"Plus de texte est affiché ainsi que les mains et les animaux et montre des étapes sur la façon de jouer au jeu.")</f>
        <v>Plus de texte est affiché ainsi que les mains et les animaux et montre des étapes sur la façon de jouer au jeu.</v>
      </c>
    </row>
    <row r="9237">
      <c r="A9237" s="4" t="s">
        <v>11626</v>
      </c>
      <c r="B9237" s="4" t="s">
        <v>11627</v>
      </c>
      <c r="C9237" s="5" t="str">
        <f>IFERROR(__xludf.DUMMYFUNCTION("GOOGLETRANSLATE(B9237,""en"",""fr"")"),"Nous voyons une séquence d'ouverture animée.")</f>
        <v>Nous voyons une séquence d'ouverture animée.</v>
      </c>
    </row>
    <row r="9238">
      <c r="A9238" s="4" t="s">
        <v>11626</v>
      </c>
      <c r="B9238" s="4" t="s">
        <v>11628</v>
      </c>
      <c r="C9238" s="5" t="str">
        <f>IFERROR(__xludf.DUMMYFUNCTION("GOOGLETRANSLATE(B9238,""en"",""fr"")"),"Nous voyons des hommes rouler sur des snowboards sur une piste de ski.")</f>
        <v>Nous voyons des hommes rouler sur des snowboards sur une piste de ski.</v>
      </c>
    </row>
    <row r="9239">
      <c r="A9239" s="4" t="s">
        <v>11626</v>
      </c>
      <c r="B9239" s="4" t="s">
        <v>11629</v>
      </c>
      <c r="C9239" s="5" t="str">
        <f>IFERROR(__xludf.DUMMYFUNCTION("GOOGLETRANSLATE(B9239,""en"",""fr"")"),"Nous voyons un homme monter sur la partie arrière du snowboard.")</f>
        <v>Nous voyons un homme monter sur la partie arrière du snowboard.</v>
      </c>
    </row>
    <row r="9240">
      <c r="A9240" s="4" t="s">
        <v>11626</v>
      </c>
      <c r="B9240" s="4" t="s">
        <v>11630</v>
      </c>
      <c r="C9240" s="5" t="str">
        <f>IFERROR(__xludf.DUMMYFUNCTION("GOOGLETRANSLATE(B9240,""en"",""fr"")"),"Nous voyons une personne dans une veste rose vif.")</f>
        <v>Nous voyons une personne dans une veste rose vif.</v>
      </c>
    </row>
    <row r="9241">
      <c r="A9241" s="4" t="s">
        <v>11626</v>
      </c>
      <c r="B9241" s="4" t="s">
        <v>11631</v>
      </c>
      <c r="C9241" s="5" t="str">
        <f>IFERROR(__xludf.DUMMYFUNCTION("GOOGLETRANSLATE(B9241,""en"",""fr"")"),"Un homme est du snowboard avec des bras nus.")</f>
        <v>Un homme est du snowboard avec des bras nus.</v>
      </c>
    </row>
    <row r="9242">
      <c r="A9242" s="4" t="s">
        <v>11626</v>
      </c>
      <c r="B9242" s="4" t="s">
        <v>11632</v>
      </c>
      <c r="C9242" s="5" t="str">
        <f>IFERROR(__xludf.DUMMYFUNCTION("GOOGLETRANSLATE(B9242,""en"",""fr"")"),"Un autre homme sans manteau est le snowboard.")</f>
        <v>Un autre homme sans manteau est le snowboard.</v>
      </c>
    </row>
    <row r="9243">
      <c r="A9243" s="4" t="s">
        <v>11626</v>
      </c>
      <c r="B9243" s="4" t="s">
        <v>11633</v>
      </c>
      <c r="C9243" s="5" t="str">
        <f>IFERROR(__xludf.DUMMYFUNCTION("GOOGLETRANSLATE(B9243,""en"",""fr"")"),"Nous voyons la séquence de fin.")</f>
        <v>Nous voyons la séquence de fin.</v>
      </c>
    </row>
    <row r="9244">
      <c r="A9244" s="4" t="s">
        <v>11634</v>
      </c>
      <c r="B9244" s="4" t="s">
        <v>11635</v>
      </c>
      <c r="C9244" s="5" t="str">
        <f>IFERROR(__xludf.DUMMYFUNCTION("GOOGLETRANSLATE(B9244,""en"",""fr"")"),"Les gens lancent des balles dans des tasses en plastique.")</f>
        <v>Les gens lancent des balles dans des tasses en plastique.</v>
      </c>
    </row>
    <row r="9245">
      <c r="A9245" s="4" t="s">
        <v>11634</v>
      </c>
      <c r="B9245" s="4" t="s">
        <v>11636</v>
      </c>
      <c r="C9245" s="5" t="str">
        <f>IFERROR(__xludf.DUMMYFUNCTION("GOOGLETRANSLATE(B9245,""en"",""fr"")"),"Une main renverse une tasse en plastique rouge et gaspille le liquide à l'intérieur.")</f>
        <v>Une main renverse une tasse en plastique rouge et gaspille le liquide à l'intérieur.</v>
      </c>
    </row>
    <row r="9246">
      <c r="A9246" s="4" t="s">
        <v>11634</v>
      </c>
      <c r="B9246" s="4" t="s">
        <v>11637</v>
      </c>
      <c r="C9246" s="5" t="str">
        <f>IFERROR(__xludf.DUMMYFUNCTION("GOOGLETRANSLATE(B9246,""en"",""fr"")"),"Un mâle atteint une balle qui roule sous une table.")</f>
        <v>Un mâle atteint une balle qui roule sous une table.</v>
      </c>
    </row>
    <row r="9247">
      <c r="A9247" s="4" t="s">
        <v>11634</v>
      </c>
      <c r="B9247" s="4" t="s">
        <v>11638</v>
      </c>
      <c r="C9247" s="5" t="str">
        <f>IFERROR(__xludf.DUMMYFUNCTION("GOOGLETRANSLATE(B9247,""en"",""fr"")"),"Une tasse en plastique a une suspension blanche à l'intérieur.")</f>
        <v>Une tasse en plastique a une suspension blanche à l'intérieur.</v>
      </c>
    </row>
    <row r="9248">
      <c r="A9248" s="4" t="s">
        <v>11634</v>
      </c>
      <c r="B9248" s="4" t="s">
        <v>11639</v>
      </c>
      <c r="C9248" s="5" t="str">
        <f>IFERROR(__xludf.DUMMYFUNCTION("GOOGLETRANSLATE(B9248,""en"",""fr"")"),"Un homme soude et machine sculpte une planche en bois.")</f>
        <v>Un homme soude et machine sculpte une planche en bois.</v>
      </c>
    </row>
    <row r="9249">
      <c r="A9249" s="4" t="s">
        <v>11634</v>
      </c>
      <c r="B9249" s="4" t="s">
        <v>11640</v>
      </c>
      <c r="C9249" s="5" t="str">
        <f>IFERROR(__xludf.DUMMYFUNCTION("GOOGLETRANSLATE(B9249,""en"",""fr"")"),"Un gars porte une dame alors qu'ils gestent et applaudissent.")</f>
        <v>Un gars porte une dame alors qu'ils gestent et applaudissent.</v>
      </c>
    </row>
    <row r="9250">
      <c r="A9250" s="4" t="s">
        <v>11641</v>
      </c>
      <c r="B9250" s="4" t="s">
        <v>11642</v>
      </c>
      <c r="C9250" s="5" t="str">
        <f>IFERROR(__xludf.DUMMYFUNCTION("GOOGLETRANSLATE(B9250,""en"",""fr"")"),"Un comptoir est montré avec des canettes de bière dessus.")</f>
        <v>Un comptoir est montré avec des canettes de bière dessus.</v>
      </c>
    </row>
    <row r="9251">
      <c r="A9251" s="4" t="s">
        <v>11641</v>
      </c>
      <c r="B9251" s="4" t="s">
        <v>11643</v>
      </c>
      <c r="C9251" s="5" t="str">
        <f>IFERROR(__xludf.DUMMYFUNCTION("GOOGLETRANSLATE(B9251,""en"",""fr"")"),"Un homme est dans une salle de bain, en utilisant des toilettes.")</f>
        <v>Un homme est dans une salle de bain, en utilisant des toilettes.</v>
      </c>
    </row>
    <row r="9252">
      <c r="A9252" s="4" t="s">
        <v>11641</v>
      </c>
      <c r="B9252" s="4" t="s">
        <v>11644</v>
      </c>
      <c r="C9252" s="5" t="str">
        <f>IFERROR(__xludf.DUMMYFUNCTION("GOOGLETRANSLATE(B9252,""en"",""fr"")"),"Il rince, puis sourit et parle à la caméra.")</f>
        <v>Il rince, puis sourit et parle à la caméra.</v>
      </c>
    </row>
    <row r="9253">
      <c r="A9253" s="4" t="s">
        <v>11645</v>
      </c>
      <c r="B9253" s="6" t="s">
        <v>11646</v>
      </c>
      <c r="C9253" s="5" t="str">
        <f>IFERROR(__xludf.DUMMYFUNCTION("GOOGLETRANSLATE(B9253,""en"",""fr"")"),"Le skieur ajuste la corde avec ses skis rouges et noirs s'étendant devant lui au-dessus de l'eau alors qu'il se prépare à skier.")</f>
        <v>Le skieur ajuste la corde avec ses skis rouges et noirs s'étendant devant lui au-dessus de l'eau alors qu'il se prépare à skier.</v>
      </c>
    </row>
    <row r="9254">
      <c r="A9254" s="4" t="s">
        <v>11645</v>
      </c>
      <c r="B9254" s="4" t="s">
        <v>11647</v>
      </c>
      <c r="C9254" s="5" t="str">
        <f>IFERROR(__xludf.DUMMYFUNCTION("GOOGLETRANSLATE(B9254,""en"",""fr"")"),"Le bateau le retire du quai et dans l'eau alors qu'il repose debout, ses skis devant lui.")</f>
        <v>Le bateau le retire du quai et dans l'eau alors qu'il repose debout, ses skis devant lui.</v>
      </c>
    </row>
    <row r="9255">
      <c r="A9255" s="4" t="s">
        <v>11645</v>
      </c>
      <c r="B9255" s="4" t="s">
        <v>11648</v>
      </c>
      <c r="C9255" s="5" t="str">
        <f>IFERROR(__xludf.DUMMYFUNCTION("GOOGLETRANSLATE(B9255,""en"",""fr"")"),"Alors que le bateau accélère la vitesse, le skieur se lève et conserve la corde, se dirigeant à gauche et à droite.")</f>
        <v>Alors que le bateau accélère la vitesse, le skieur se lève et conserve la corde, se dirigeant à gauche et à droite.</v>
      </c>
    </row>
    <row r="9256">
      <c r="A9256" s="4" t="s">
        <v>11645</v>
      </c>
      <c r="B9256" s="4" t="s">
        <v>11649</v>
      </c>
      <c r="C9256" s="5" t="str">
        <f>IFERROR(__xludf.DUMMYFUNCTION("GOOGLETRANSLATE(B9256,""en"",""fr"")"),"Il semble juste manquer une bouée alors qu'il coupe dans l'eau et le sillage du bateau.")</f>
        <v>Il semble juste manquer une bouée alors qu'il coupe dans l'eau et le sillage du bateau.</v>
      </c>
    </row>
    <row r="9257">
      <c r="A9257" s="4" t="s">
        <v>11645</v>
      </c>
      <c r="B9257" s="6" t="s">
        <v>11650</v>
      </c>
      <c r="C9257" s="5" t="str">
        <f>IFERROR(__xludf.DUMMYFUNCTION("GOOGLETRANSLATE(B9257,""en"",""fr"")"),"Le bateau se tourne vers le terrain avec de grands bâtiments qui apparaissent, et lentement il est ramené au quai.")</f>
        <v>Le bateau se tourne vers le terrain avec de grands bâtiments qui apparaissent, et lentement il est ramené au quai.</v>
      </c>
    </row>
    <row r="9258">
      <c r="A9258" s="4" t="s">
        <v>11651</v>
      </c>
      <c r="B9258" s="6" t="s">
        <v>11652</v>
      </c>
      <c r="C9258" s="5" t="str">
        <f>IFERROR(__xludf.DUMMYFUNCTION("GOOGLETRANSLATE(B9258,""en"",""fr"")"),"Un petit groupe d'enfants est vu jouer à des jeux à main les uns avec les autres et a finalement frappé le perdant sur la tête avec une bouteille.")</f>
        <v>Un petit groupe d'enfants est vu jouer à des jeux à main les uns avec les autres et a finalement frappé le perdant sur la tête avec une bouteille.</v>
      </c>
    </row>
    <row r="9259">
      <c r="A9259" s="4" t="s">
        <v>11651</v>
      </c>
      <c r="B9259" s="6" t="s">
        <v>11653</v>
      </c>
      <c r="C9259" s="5" t="str">
        <f>IFERROR(__xludf.DUMMYFUNCTION("GOOGLETRANSLATE(B9259,""en"",""fr"")"),"Les enfants continuent de jouer le jeu à la main les uns avec les autres qui mènent dans le battement un autre avec une bouteille.")</f>
        <v>Les enfants continuent de jouer le jeu à la main les uns avec les autres qui mènent dans le battement un autre avec une bouteille.</v>
      </c>
    </row>
    <row r="9260">
      <c r="A9260" s="4" t="s">
        <v>11654</v>
      </c>
      <c r="B9260" s="4" t="s">
        <v>11655</v>
      </c>
      <c r="C9260" s="5" t="str">
        <f>IFERROR(__xludf.DUMMYFUNCTION("GOOGLETRANSLATE(B9260,""en"",""fr"")"),"Un homme applaudit après avoir effectué un saut en hauteur sur le terrain.")</f>
        <v>Un homme applaudit après avoir effectué un saut en hauteur sur le terrain.</v>
      </c>
    </row>
    <row r="9261">
      <c r="A9261" s="4" t="s">
        <v>11654</v>
      </c>
      <c r="B9261" s="4" t="s">
        <v>11656</v>
      </c>
      <c r="C9261" s="5" t="str">
        <f>IFERROR(__xludf.DUMMYFUNCTION("GOOGLETRANSLATE(B9261,""en"",""fr"")"),"On nous montre la relecture instantanée au ralenti plusieurs fois.")</f>
        <v>On nous montre la relecture instantanée au ralenti plusieurs fois.</v>
      </c>
    </row>
    <row r="9262">
      <c r="A9262" s="4" t="s">
        <v>11654</v>
      </c>
      <c r="B9262" s="4" t="s">
        <v>11657</v>
      </c>
      <c r="C9262" s="5" t="str">
        <f>IFERROR(__xludf.DUMMYFUNCTION("GOOGLETRANSLATE(B9262,""en"",""fr"")"),"Il marche sur le terrain, serrant la main de ses concurrents.")</f>
        <v>Il marche sur le terrain, serrant la main de ses concurrents.</v>
      </c>
    </row>
    <row r="9263">
      <c r="A9263" s="4" t="s">
        <v>11658</v>
      </c>
      <c r="B9263" s="6" t="s">
        <v>11659</v>
      </c>
      <c r="C9263" s="5" t="str">
        <f>IFERROR(__xludf.DUMMYFUNCTION("GOOGLETRANSLATE(B9263,""en"",""fr"")"),"Plusieurs plans de personnes sont représentés dans l'eau ainsi que des paysages autour d'une île et des gens qui roulent et se déplacent autour d'un bateau.")</f>
        <v>Plusieurs plans de personnes sont représentés dans l'eau ainsi que des paysages autour d'une île et des gens qui roulent et se déplacent autour d'un bateau.</v>
      </c>
    </row>
    <row r="9264">
      <c r="A9264" s="4" t="s">
        <v>11658</v>
      </c>
      <c r="B9264" s="6" t="s">
        <v>11660</v>
      </c>
      <c r="C9264" s="5" t="str">
        <f>IFERROR(__xludf.DUMMYFUNCTION("GOOGLETRANSLATE(B9264,""en"",""fr"")"),"Plus de plans de plongée sous-marine sont montrés ainsi que les poissons qui nagent et les gens dans l'océan.")</f>
        <v>Plus de plans de plongée sous-marine sont montrés ainsi que les poissons qui nagent et les gens dans l'océan.</v>
      </c>
    </row>
    <row r="9265">
      <c r="A9265" s="4" t="s">
        <v>11658</v>
      </c>
      <c r="B9265" s="6" t="s">
        <v>11661</v>
      </c>
      <c r="C9265" s="5" t="str">
        <f>IFERROR(__xludf.DUMMYFUNCTION("GOOGLETRANSLATE(B9265,""en"",""fr"")"),"À la fin, la caméra montre plusieurs plans du bateau et les gens s'éloignent sur un petit bateau.")</f>
        <v>À la fin, la caméra montre plusieurs plans du bateau et les gens s'éloignent sur un petit bateau.</v>
      </c>
    </row>
    <row r="9266">
      <c r="A9266" s="4" t="s">
        <v>11662</v>
      </c>
      <c r="B9266" s="6" t="s">
        <v>11663</v>
      </c>
      <c r="C9266" s="5" t="str">
        <f>IFERROR(__xludf.DUMMYFUNCTION("GOOGLETRANSLATE(B9266,""en"",""fr"")"),"Un groupe d'enfants est vu pratiquer divers mouvements de pointe dans un gymnase ainsi que des femmes parlant à la caméra.")</f>
        <v>Un groupe d'enfants est vu pratiquer divers mouvements de pointe dans un gymnase ainsi que des femmes parlant à la caméra.</v>
      </c>
    </row>
    <row r="9267">
      <c r="A9267" s="4" t="s">
        <v>11662</v>
      </c>
      <c r="B9267" s="4" t="s">
        <v>11664</v>
      </c>
      <c r="C9267" s="5" t="str">
        <f>IFERROR(__xludf.DUMMYFUNCTION("GOOGLETRANSLATE(B9267,""en"",""fr"")"),"Plusieurs plans sont montrés des tenues de la jeune fille ainsi que des mouvements.")</f>
        <v>Plusieurs plans sont montrés des tenues de la jeune fille ainsi que des mouvements.</v>
      </c>
    </row>
    <row r="9268">
      <c r="A9268" s="4" t="s">
        <v>11665</v>
      </c>
      <c r="B9268" s="4" t="s">
        <v>11666</v>
      </c>
      <c r="C9268" s="5" t="str">
        <f>IFERROR(__xludf.DUMMYFUNCTION("GOOGLETRANSLATE(B9268,""en"",""fr"")"),"Cette femme marche, saute et se retourne sur le faisceau d'équilibre.")</f>
        <v>Cette femme marche, saute et se retourne sur le faisceau d'équilibre.</v>
      </c>
    </row>
    <row r="9269">
      <c r="A9269" s="4" t="s">
        <v>11665</v>
      </c>
      <c r="B9269" s="4" t="s">
        <v>11667</v>
      </c>
      <c r="C9269" s="5" t="str">
        <f>IFERROR(__xludf.DUMMYFUNCTION("GOOGLETRANSLATE(B9269,""en"",""fr"")"),"Quand elle a fini, elle sort de la scène et va à son père.")</f>
        <v>Quand elle a fini, elle sort de la scène et va à son père.</v>
      </c>
    </row>
    <row r="9270">
      <c r="A9270" s="4" t="s">
        <v>11668</v>
      </c>
      <c r="B9270" s="4" t="s">
        <v>11669</v>
      </c>
      <c r="C9270" s="5" t="str">
        <f>IFERROR(__xludf.DUMMYFUNCTION("GOOGLETRANSLATE(B9270,""en"",""fr"")"),"Une cour arrière est indiquée comme un homme assis sur une tondeuse à gazon électrique commence à couper l'herbe.")</f>
        <v>Une cour arrière est indiquée comme un homme assis sur une tondeuse à gazon électrique commence à couper l'herbe.</v>
      </c>
    </row>
    <row r="9271">
      <c r="A9271" s="4" t="s">
        <v>11668</v>
      </c>
      <c r="B9271" s="4" t="s">
        <v>11670</v>
      </c>
      <c r="C9271" s="5" t="str">
        <f>IFERROR(__xludf.DUMMYFUNCTION("GOOGLETRANSLATE(B9271,""en"",""fr"")"),"Il arrive de l'autre côté mais commence ensuite à courir dans l'arbre.")</f>
        <v>Il arrive de l'autre côté mais commence ensuite à courir dans l'arbre.</v>
      </c>
    </row>
    <row r="9272">
      <c r="A9272" s="4" t="s">
        <v>11668</v>
      </c>
      <c r="B9272" s="4" t="s">
        <v>11671</v>
      </c>
      <c r="C9272" s="5" t="str">
        <f>IFERROR(__xludf.DUMMYFUNCTION("GOOGLETRANSLATE(B9272,""en"",""fr"")"),"Après, il recule, court à nouveau dans l'arbre et coupe autour de lui.")</f>
        <v>Après, il recule, court à nouveau dans l'arbre et coupe autour de lui.</v>
      </c>
    </row>
    <row r="9273">
      <c r="A9273" s="4" t="s">
        <v>11672</v>
      </c>
      <c r="B9273" s="4" t="s">
        <v>11673</v>
      </c>
      <c r="C9273" s="5" t="str">
        <f>IFERROR(__xludf.DUMMYFUNCTION("GOOGLETRANSLATE(B9273,""en"",""fr"")"),"Un taureau sort de la porte à un rodéo et l'homme sur le ring saute puis hors de son dos.")</f>
        <v>Un taureau sort de la porte à un rodéo et l'homme sur le ring saute puis hors de son dos.</v>
      </c>
    </row>
    <row r="9274">
      <c r="A9274" s="4" t="s">
        <v>11672</v>
      </c>
      <c r="B9274" s="4" t="s">
        <v>11674</v>
      </c>
      <c r="C9274" s="5" t="str">
        <f>IFERROR(__xludf.DUMMYFUNCTION("GOOGLETRANSLATE(B9274,""en"",""fr"")"),"L'homme ramasse son chapeau tombé sur le ring.")</f>
        <v>L'homme ramasse son chapeau tombé sur le ring.</v>
      </c>
    </row>
    <row r="9275">
      <c r="A9275" s="4" t="s">
        <v>11672</v>
      </c>
      <c r="B9275" s="4" t="s">
        <v>11675</v>
      </c>
      <c r="C9275" s="5" t="str">
        <f>IFERROR(__xludf.DUMMYFUNCTION("GOOGLETRANSLATE(B9275,""en"",""fr"")"),"L'homme court en esquivant le taureau de charge.")</f>
        <v>L'homme court en esquivant le taureau de charge.</v>
      </c>
    </row>
    <row r="9276">
      <c r="A9276" s="4" t="s">
        <v>11672</v>
      </c>
      <c r="B9276" s="4" t="s">
        <v>11676</v>
      </c>
      <c r="C9276" s="5" t="str">
        <f>IFERROR(__xludf.DUMMYFUNCTION("GOOGLETRANSLATE(B9276,""en"",""fr"")"),"L'homme laisse tomber son chapeau sur le ring.")</f>
        <v>L'homme laisse tomber son chapeau sur le ring.</v>
      </c>
    </row>
    <row r="9277">
      <c r="A9277" s="4" t="s">
        <v>11672</v>
      </c>
      <c r="B9277" s="4" t="s">
        <v>11677</v>
      </c>
      <c r="C9277" s="5" t="str">
        <f>IFERROR(__xludf.DUMMYFUNCTION("GOOGLETRANSLATE(B9277,""en"",""fr"")"),"L'homme saute sur le mur pour éviter le taureau.")</f>
        <v>L'homme saute sur le mur pour éviter le taureau.</v>
      </c>
    </row>
    <row r="9278">
      <c r="A9278" s="4" t="s">
        <v>11672</v>
      </c>
      <c r="B9278" s="4" t="s">
        <v>11678</v>
      </c>
      <c r="C9278" s="5" t="str">
        <f>IFERROR(__xludf.DUMMYFUNCTION("GOOGLETRANSLATE(B9278,""en"",""fr"")"),"Un autre homme ouvre la porte et appelle le taureau pour entrer la broche.")</f>
        <v>Un autre homme ouvre la porte et appelle le taureau pour entrer la broche.</v>
      </c>
    </row>
    <row r="9279">
      <c r="A9279" s="4" t="s">
        <v>11679</v>
      </c>
      <c r="B9279" s="4" t="s">
        <v>11680</v>
      </c>
      <c r="C9279" s="5" t="str">
        <f>IFERROR(__xludf.DUMMYFUNCTION("GOOGLETRANSLATE(B9279,""en"",""fr"")"),"Nous voyons des gens faire une routine de danse dans un terrain de basket.")</f>
        <v>Nous voyons des gens faire une routine de danse dans un terrain de basket.</v>
      </c>
    </row>
    <row r="9280">
      <c r="A9280" s="4" t="s">
        <v>11679</v>
      </c>
      <c r="B9280" s="4" t="s">
        <v>11681</v>
      </c>
      <c r="C9280" s="5" t="str">
        <f>IFERROR(__xludf.DUMMYFUNCTION("GOOGLETRANSLATE(B9280,""en"",""fr"")"),"Les gens agitent leurs mains dans l'air.")</f>
        <v>Les gens agitent leurs mains dans l'air.</v>
      </c>
    </row>
    <row r="9281">
      <c r="A9281" s="4" t="s">
        <v>11679</v>
      </c>
      <c r="B9281" s="4" t="s">
        <v>11682</v>
      </c>
      <c r="C9281" s="5" t="str">
        <f>IFERROR(__xludf.DUMMYFUNCTION("GOOGLETRANSLATE(B9281,""en"",""fr"")"),"La caméra est parti pour en montrer les autres.")</f>
        <v>La caméra est parti pour en montrer les autres.</v>
      </c>
    </row>
    <row r="9282">
      <c r="A9282" s="4" t="s">
        <v>11679</v>
      </c>
      <c r="B9282" s="4" t="s">
        <v>11683</v>
      </c>
      <c r="C9282" s="5" t="str">
        <f>IFERROR(__xludf.DUMMYFUNCTION("GOOGLETRANSLATE(B9282,""en"",""fr"")"),"La caméra se déroule bien et nous en voyons les autres.")</f>
        <v>La caméra se déroule bien et nous en voyons les autres.</v>
      </c>
    </row>
    <row r="9283">
      <c r="A9283" s="4" t="s">
        <v>11679</v>
      </c>
      <c r="B9283" s="4" t="s">
        <v>11684</v>
      </c>
      <c r="C9283" s="5" t="str">
        <f>IFERROR(__xludf.DUMMYFUNCTION("GOOGLETRANSLATE(B9283,""en"",""fr"")"),"Les Lads se tiennent immobile et agitent leurs bras en l'air.")</f>
        <v>Les Lads se tiennent immobile et agitent leurs bras en l'air.</v>
      </c>
    </row>
    <row r="9284">
      <c r="A9284" s="4" t="s">
        <v>11679</v>
      </c>
      <c r="B9284" s="4" t="s">
        <v>11685</v>
      </c>
      <c r="C9284" s="5" t="str">
        <f>IFERROR(__xludf.DUMMYFUNCTION("GOOGLETRANSLATE(B9284,""en"",""fr"")"),"La caméra passe au sol.")</f>
        <v>La caméra passe au sol.</v>
      </c>
    </row>
    <row r="9285">
      <c r="A9285" s="4" t="s">
        <v>11686</v>
      </c>
      <c r="B9285" s="4" t="s">
        <v>11687</v>
      </c>
      <c r="C9285" s="5" t="str">
        <f>IFERROR(__xludf.DUMMYFUNCTION("GOOGLETRANSLATE(B9285,""en"",""fr"")"),"Quelqu'un court sur la plage vers des compétitions de château de sable.")</f>
        <v>Quelqu'un court sur la plage vers des compétitions de château de sable.</v>
      </c>
    </row>
    <row r="9286">
      <c r="A9286" s="4" t="s">
        <v>11686</v>
      </c>
      <c r="B9286" s="4" t="s">
        <v>11688</v>
      </c>
      <c r="C9286" s="5" t="str">
        <f>IFERROR(__xludf.DUMMYFUNCTION("GOOGLETRANSLATE(B9286,""en"",""fr"")"),"Un chien saute dans une certaine saleté de sable et en est tellement heureux.")</f>
        <v>Un chien saute dans une certaine saleté de sable et en est tellement heureux.</v>
      </c>
    </row>
    <row r="9287">
      <c r="A9287" s="4" t="s">
        <v>11686</v>
      </c>
      <c r="B9287" s="6" t="s">
        <v>11689</v>
      </c>
      <c r="C9287" s="5" t="str">
        <f>IFERROR(__xludf.DUMMYFUNCTION("GOOGLETRANSLATE(B9287,""en"",""fr"")"),"Il y a tellement de choses impressionnantes et différentes en sable, il semble que cela prenne beaucoup de temps et d'énergie.")</f>
        <v>Il y a tellement de choses impressionnantes et différentes en sable, il semble que cela prenne beaucoup de temps et d'énergie.</v>
      </c>
    </row>
    <row r="9288">
      <c r="A9288" s="4" t="s">
        <v>11686</v>
      </c>
      <c r="B9288" s="4" t="s">
        <v>11690</v>
      </c>
      <c r="C9288" s="5" t="str">
        <f>IFERROR(__xludf.DUMMYFUNCTION("GOOGLETRANSLATE(B9288,""en"",""fr"")"),"Il y a des gens qui se promènent et les regardent tous.")</f>
        <v>Il y a des gens qui se promènent et les regardent tous.</v>
      </c>
    </row>
    <row r="9289">
      <c r="A9289" s="4" t="s">
        <v>11691</v>
      </c>
      <c r="B9289" s="4" t="s">
        <v>11692</v>
      </c>
      <c r="C9289" s="5" t="str">
        <f>IFERROR(__xludf.DUMMYFUNCTION("GOOGLETRANSLATE(B9289,""en"",""fr"")"),"Quelques photos d'une équipe de hockey sur le terrain du secondaire sont présentées.")</f>
        <v>Quelques photos d'une équipe de hockey sur le terrain du secondaire sont présentées.</v>
      </c>
    </row>
    <row r="9290">
      <c r="A9290" s="4" t="s">
        <v>11691</v>
      </c>
      <c r="B9290" s="4" t="s">
        <v>11693</v>
      </c>
      <c r="C9290" s="5" t="str">
        <f>IFERROR(__xludf.DUMMYFUNCTION("GOOGLETRANSLATE(B9290,""en"",""fr"")"),"Deux équipes de jeunes filles sont le hockey sur le terrain.")</f>
        <v>Deux équipes de jeunes filles sont le hockey sur le terrain.</v>
      </c>
    </row>
    <row r="9291">
      <c r="A9291" s="4" t="s">
        <v>11691</v>
      </c>
      <c r="B9291" s="4" t="s">
        <v>11694</v>
      </c>
      <c r="C9291" s="5" t="str">
        <f>IFERROR(__xludf.DUMMYFUNCTION("GOOGLETRANSLATE(B9291,""en"",""fr"")"),"Le gardien de but est montré tombant au sol tout en faisant un arrêt.")</f>
        <v>Le gardien de but est montré tombant au sol tout en faisant un arrêt.</v>
      </c>
    </row>
    <row r="9292">
      <c r="A9292" s="4" t="s">
        <v>11691</v>
      </c>
      <c r="B9292" s="4" t="s">
        <v>11695</v>
      </c>
      <c r="C9292" s="5" t="str">
        <f>IFERROR(__xludf.DUMMYFUNCTION("GOOGLETRANSLATE(B9292,""en"",""fr"")"),"Le gardien de but fait une autre sauvegarde glissante.")</f>
        <v>Le gardien de but fait une autre sauvegarde glissante.</v>
      </c>
    </row>
    <row r="9293">
      <c r="A9293" s="4" t="s">
        <v>11691</v>
      </c>
      <c r="B9293" s="4" t="s">
        <v>11696</v>
      </c>
      <c r="C9293" s="5" t="str">
        <f>IFERROR(__xludf.DUMMYFUNCTION("GOOGLETRANSLATE(B9293,""en"",""fr"")"),"Le gardien de but lance le ballon loin du filet.")</f>
        <v>Le gardien de but lance le ballon loin du filet.</v>
      </c>
    </row>
    <row r="9294">
      <c r="A9294" s="4" t="s">
        <v>11691</v>
      </c>
      <c r="B9294" s="4" t="s">
        <v>11697</v>
      </c>
      <c r="C9294" s="5" t="str">
        <f>IFERROR(__xludf.DUMMYFUNCTION("GOOGLETRANSLATE(B9294,""en"",""fr"")"),"Le jeu se termine et les filles donnent des high fives.")</f>
        <v>Le jeu se termine et les filles donnent des high fives.</v>
      </c>
    </row>
    <row r="9295">
      <c r="A9295" s="4" t="s">
        <v>11698</v>
      </c>
      <c r="B9295" s="4" t="s">
        <v>11699</v>
      </c>
      <c r="C9295" s="5" t="str">
        <f>IFERROR(__xludf.DUMMYFUNCTION("GOOGLETRANSLATE(B9295,""en"",""fr"")"),"Un homme se tient à l'extérieur dans sa pelouse avant avec sa tondeuse.")</f>
        <v>Un homme se tient à l'extérieur dans sa pelouse avant avec sa tondeuse.</v>
      </c>
    </row>
    <row r="9296">
      <c r="A9296" s="4" t="s">
        <v>11698</v>
      </c>
      <c r="B9296" s="4" t="s">
        <v>11700</v>
      </c>
      <c r="C9296" s="5" t="str">
        <f>IFERROR(__xludf.DUMMYFUNCTION("GOOGLETRANSLATE(B9296,""en"",""fr"")"),"Il parle de différentes longueurs d'herbe pendant un certain temps, puis se penche jusqu'à sa tondeuse.")</f>
        <v>Il parle de différentes longueurs d'herbe pendant un certain temps, puis se penche jusqu'à sa tondeuse.</v>
      </c>
    </row>
    <row r="9297">
      <c r="A9297" s="4" t="s">
        <v>11698</v>
      </c>
      <c r="B9297" s="6" t="s">
        <v>11701</v>
      </c>
      <c r="C9297" s="5" t="str">
        <f>IFERROR(__xludf.DUMMYFUNCTION("GOOGLETRANSLATE(B9297,""en"",""fr"")"),"Il utilise une règle pour montrer plus détaillé, puis déplace la tondeuse vers le trottoir pour en parler un peu plus.")</f>
        <v>Il utilise une règle pour montrer plus détaillé, puis déplace la tondeuse vers le trottoir pour en parler un peu plus.</v>
      </c>
    </row>
    <row r="9298">
      <c r="A9298" s="4" t="s">
        <v>11698</v>
      </c>
      <c r="B9298" s="4" t="s">
        <v>11702</v>
      </c>
      <c r="C9298" s="5" t="str">
        <f>IFERROR(__xludf.DUMMYFUNCTION("GOOGLETRANSLATE(B9298,""en"",""fr"")"),"Il commence à tondre sa pelouse qui monte finalement de haut en bas sur la pelouse.")</f>
        <v>Il commence à tondre sa pelouse qui monte finalement de haut en bas sur la pelouse.</v>
      </c>
    </row>
    <row r="9299">
      <c r="A9299" s="4" t="s">
        <v>11703</v>
      </c>
      <c r="B9299" s="6" t="s">
        <v>11704</v>
      </c>
      <c r="C9299" s="5" t="str">
        <f>IFERROR(__xludf.DUMMYFUNCTION("GOOGLETRANSLATE(B9299,""en"",""fr"")"),"Deux femmes sont montrées debout derrière une table de planche de shuffle lorsque l'on pousse une rondelle à travers le tableau.")</f>
        <v>Deux femmes sont montrées debout derrière une table de planche de shuffle lorsque l'on pousse une rondelle à travers le tableau.</v>
      </c>
    </row>
    <row r="9300">
      <c r="A9300" s="4" t="s">
        <v>11703</v>
      </c>
      <c r="B9300" s="4" t="s">
        <v>11705</v>
      </c>
      <c r="C9300" s="5" t="str">
        <f>IFERROR(__xludf.DUMMYFUNCTION("GOOGLETRANSLATE(B9300,""en"",""fr"")"),"L'autre femme prépare sa poussée et l'envoie à un homme debout de l'autre côté.")</f>
        <v>L'autre femme prépare sa poussée et l'envoie à un homme debout de l'autre côté.</v>
      </c>
    </row>
    <row r="9301">
      <c r="A9301" s="4" t="s">
        <v>11703</v>
      </c>
      <c r="B9301" s="4" t="s">
        <v>11706</v>
      </c>
      <c r="C9301" s="5" t="str">
        <f>IFERROR(__xludf.DUMMYFUNCTION("GOOGLETRANSLATE(B9301,""en"",""fr"")"),"Ils poussent la rondelle plusieurs fois pendant que la caméra suit leurs mouvements.")</f>
        <v>Ils poussent la rondelle plusieurs fois pendant que la caméra suit leurs mouvements.</v>
      </c>
    </row>
    <row r="9302">
      <c r="A9302" s="4" t="s">
        <v>11707</v>
      </c>
      <c r="B9302" s="6" t="s">
        <v>11708</v>
      </c>
      <c r="C9302" s="5" t="str">
        <f>IFERROR(__xludf.DUMMYFUNCTION("GOOGLETRANSLATE(B9302,""en"",""fr"")"),"Une personne avec un masque blanche et une feuille au-dessus de sa tête recule de la caméra et attrape une citrouille.")</f>
        <v>Une personne avec un masque blanche et une feuille au-dessus de sa tête recule de la caméra et attrape une citrouille.</v>
      </c>
    </row>
    <row r="9303">
      <c r="A9303" s="4" t="s">
        <v>11707</v>
      </c>
      <c r="B9303" s="4" t="s">
        <v>11709</v>
      </c>
      <c r="C9303" s="5" t="str">
        <f>IFERROR(__xludf.DUMMYFUNCTION("GOOGLETRANSLATE(B9303,""en"",""fr"")"),"Le min commence alors à sculpter la citrouille et sort la citrouille voit.")</f>
        <v>Le min commence alors à sculpter la citrouille et sort la citrouille voit.</v>
      </c>
    </row>
    <row r="9304">
      <c r="A9304" s="4" t="s">
        <v>11707</v>
      </c>
      <c r="B9304" s="4" t="s">
        <v>11710</v>
      </c>
      <c r="C9304" s="5" t="str">
        <f>IFERROR(__xludf.DUMMYFUNCTION("GOOGLETRANSLATE(B9304,""en"",""fr"")"),"Quand ils sont tous nettoyés et sortis et placés dans le four pendant que l'homme prend une gorgée d'alcool.")</f>
        <v>Quand ils sont tous nettoyés et sortis et placés dans le four pendant que l'homme prend une gorgée d'alcool.</v>
      </c>
    </row>
    <row r="9305">
      <c r="A9305" s="4" t="s">
        <v>11711</v>
      </c>
      <c r="B9305" s="4" t="s">
        <v>11712</v>
      </c>
      <c r="C9305" s="5" t="str">
        <f>IFERROR(__xludf.DUMMYFUNCTION("GOOGLETRANSLATE(B9305,""en"",""fr"")"),"Ceci est un documentaire sur l'équitation.")</f>
        <v>Ceci est un documentaire sur l'équitation.</v>
      </c>
    </row>
    <row r="9306">
      <c r="A9306" s="4" t="s">
        <v>11711</v>
      </c>
      <c r="B9306" s="4" t="s">
        <v>11713</v>
      </c>
      <c r="C9306" s="5" t="str">
        <f>IFERROR(__xludf.DUMMYFUNCTION("GOOGLETRANSLATE(B9306,""en"",""fr"")"),"Ils expliquent le pouvoir, le frisson, le plaisir, la grâce, le vol, les amis, la liberté et l'amour de l'équitation.")</f>
        <v>Ils expliquent le pouvoir, le frisson, le plaisir, la grâce, le vol, les amis, la liberté et l'amour de l'équitation.</v>
      </c>
    </row>
    <row r="9307">
      <c r="A9307" s="4" t="s">
        <v>11711</v>
      </c>
      <c r="B9307" s="6" t="s">
        <v>11714</v>
      </c>
      <c r="C9307" s="5" t="str">
        <f>IFERROR(__xludf.DUMMYFUNCTION("GOOGLETRANSLATE(B9307,""en"",""fr"")"),"Ils montrent ensuite les difficultés de l'entraînement des chevaux, les dangers de les rouler et l'inconvénient de la compétition.")</f>
        <v>Ils montrent ensuite les difficultés de l'entraînement des chevaux, les dangers de les rouler et l'inconvénient de la compétition.</v>
      </c>
    </row>
    <row r="9308">
      <c r="A9308" s="4" t="s">
        <v>11711</v>
      </c>
      <c r="B9308" s="4" t="s">
        <v>11715</v>
      </c>
      <c r="C9308" s="5" t="str">
        <f>IFERROR(__xludf.DUMMYFUNCTION("GOOGLETRANSLATE(B9308,""en"",""fr"")"),"Ensuite, ils montrent les points forts de la conduite compétitive.")</f>
        <v>Ensuite, ils montrent les points forts de la conduite compétitive.</v>
      </c>
    </row>
    <row r="9309">
      <c r="A9309" s="4" t="s">
        <v>11716</v>
      </c>
      <c r="B9309" s="4" t="s">
        <v>11717</v>
      </c>
      <c r="C9309" s="5" t="str">
        <f>IFERROR(__xludf.DUMMYFUNCTION("GOOGLETRANSLATE(B9309,""en"",""fr"")"),"Un petit enfant est vu debout devant un ensemble de barres de singe.")</f>
        <v>Un petit enfant est vu debout devant un ensemble de barres de singe.</v>
      </c>
    </row>
    <row r="9310">
      <c r="A9310" s="4" t="s">
        <v>11716</v>
      </c>
      <c r="B9310" s="4" t="s">
        <v>11718</v>
      </c>
      <c r="C9310" s="5" t="str">
        <f>IFERROR(__xludf.DUMMYFUNCTION("GOOGLETRANSLATE(B9310,""en"",""fr"")"),"Le garçon se pousse alors à travers les barres de singe.")</f>
        <v>Le garçon se pousse alors à travers les barres de singe.</v>
      </c>
    </row>
    <row r="9311">
      <c r="A9311" s="4" t="s">
        <v>11716</v>
      </c>
      <c r="B9311" s="4" t="s">
        <v>11719</v>
      </c>
      <c r="C9311" s="5" t="str">
        <f>IFERROR(__xludf.DUMMYFUNCTION("GOOGLETRANSLATE(B9311,""en"",""fr"")"),"Il saute à la fin et commence à marcher sur un pont.")</f>
        <v>Il saute à la fin et commence à marcher sur un pont.</v>
      </c>
    </row>
    <row r="9312">
      <c r="A9312" s="4" t="s">
        <v>11720</v>
      </c>
      <c r="B9312" s="4" t="s">
        <v>11721</v>
      </c>
      <c r="C9312" s="5" t="str">
        <f>IFERROR(__xludf.DUMMYFUNCTION("GOOGLETRANSLATE(B9312,""en"",""fr"")"),"Une jeune femme est vue en parlant à la caméra tout en tenant un bâton de hockey sur le terrain.")</f>
        <v>Une jeune femme est vue en parlant à la caméra tout en tenant un bâton de hockey sur le terrain.</v>
      </c>
    </row>
    <row r="9313">
      <c r="A9313" s="4" t="s">
        <v>11720</v>
      </c>
      <c r="B9313" s="4" t="s">
        <v>11722</v>
      </c>
      <c r="C9313" s="5" t="str">
        <f>IFERROR(__xludf.DUMMYFUNCTION("GOOGLETRANSLATE(B9313,""en"",""fr"")"),"La fille frappe ensuite le ballon tout autour de la cour pendant que la caméra suit.")</f>
        <v>La fille frappe ensuite le ballon tout autour de la cour pendant que la caméra suit.</v>
      </c>
    </row>
    <row r="9314">
      <c r="A9314" s="4" t="s">
        <v>11720</v>
      </c>
      <c r="B9314" s="4" t="s">
        <v>11723</v>
      </c>
      <c r="C9314" s="5" t="str">
        <f>IFERROR(__xludf.DUMMYFUNCTION("GOOGLETRANSLATE(B9314,""en"",""fr"")"),"Elle continue de frapper le ballon et s'arrête pour regarder la caméra.")</f>
        <v>Elle continue de frapper le ballon et s'arrête pour regarder la caméra.</v>
      </c>
    </row>
    <row r="9315">
      <c r="A9315" s="4" t="s">
        <v>11724</v>
      </c>
      <c r="B9315" s="4" t="s">
        <v>11725</v>
      </c>
      <c r="C9315" s="5" t="str">
        <f>IFERROR(__xludf.DUMMYFUNCTION("GOOGLETRANSLATE(B9315,""en"",""fr"")"),"Une pinata est suspendue à un arbre, et une femme amène une fille avec un bâton.")</f>
        <v>Une pinata est suspendue à un arbre, et une femme amène une fille avec un bâton.</v>
      </c>
    </row>
    <row r="9316">
      <c r="A9316" s="4" t="s">
        <v>11724</v>
      </c>
      <c r="B9316" s="4" t="s">
        <v>11726</v>
      </c>
      <c r="C9316" s="5" t="str">
        <f>IFERROR(__xludf.DUMMYFUNCTION("GOOGLETRANSLATE(B9316,""en"",""fr"")"),"Elle l'aide à frapper la pinata plusieurs fois.")</f>
        <v>Elle l'aide à frapper la pinata plusieurs fois.</v>
      </c>
    </row>
    <row r="9317">
      <c r="A9317" s="4" t="s">
        <v>11727</v>
      </c>
      <c r="B9317" s="4" t="s">
        <v>11728</v>
      </c>
      <c r="C9317" s="5" t="str">
        <f>IFERROR(__xludf.DUMMYFUNCTION("GOOGLETRANSLATE(B9317,""en"",""fr"")"),"Un écran d'introduction apparaît qui inclut un logo et les mots ""expert village présente"".")</f>
        <v>Un écran d'introduction apparaît qui inclut un logo et les mots "expert village présente".</v>
      </c>
    </row>
    <row r="9318">
      <c r="A9318" s="4" t="s">
        <v>11727</v>
      </c>
      <c r="B9318" s="4" t="s">
        <v>11729</v>
      </c>
      <c r="C9318" s="5" t="str">
        <f>IFERROR(__xludf.DUMMYFUNCTION("GOOGLETRANSLATE(B9318,""en"",""fr"")"),"Une femme est maintenant assise et parle tout en tenant une clarinette.")</f>
        <v>Une femme est maintenant assise et parle tout en tenant une clarinette.</v>
      </c>
    </row>
    <row r="9319">
      <c r="A9319" s="4" t="s">
        <v>11727</v>
      </c>
      <c r="B9319" s="4" t="s">
        <v>11730</v>
      </c>
      <c r="C9319" s="5" t="str">
        <f>IFERROR(__xludf.DUMMYFUNCTION("GOOGLETRANSLATE(B9319,""en"",""fr"")"),"La femme met ensuite la clarinette à sa bouche et commence à jouer pendant quelques secondes.")</f>
        <v>La femme met ensuite la clarinette à sa bouche et commence à jouer pendant quelques secondes.</v>
      </c>
    </row>
    <row r="9320">
      <c r="A9320" s="4" t="s">
        <v>11727</v>
      </c>
      <c r="B9320" s="6" t="s">
        <v>11731</v>
      </c>
      <c r="C9320" s="5" t="str">
        <f>IFERROR(__xludf.DUMMYFUNCTION("GOOGLETRANSLATE(B9320,""en"",""fr"")"),"La femme arrête de jouer et reprend de parler et d'utiliser beaucoup de signes de main, puis reprend jouer.")</f>
        <v>La femme arrête de jouer et reprend de parler et d'utiliser beaucoup de signes de main, puis reprend jouer.</v>
      </c>
    </row>
    <row r="9321">
      <c r="A9321" s="4" t="s">
        <v>11727</v>
      </c>
      <c r="B9321" s="6" t="s">
        <v>11732</v>
      </c>
      <c r="C9321" s="5" t="str">
        <f>IFERROR(__xludf.DUMMYFUNCTION("GOOGLETRANSLATE(B9321,""en"",""fr"")"),"La femme cesse de jouer et commence à parler tout en utilisant ses mains beaucoup et en la tenant devant son visage, etc.")</f>
        <v>La femme cesse de jouer et commence à parler tout en utilisant ses mains beaucoup et en la tenant devant son visage, etc.</v>
      </c>
    </row>
    <row r="9322">
      <c r="A9322" s="4" t="s">
        <v>11727</v>
      </c>
      <c r="B9322" s="6" t="s">
        <v>11733</v>
      </c>
      <c r="C9322" s="5" t="str">
        <f>IFERROR(__xludf.DUMMYFUNCTION("GOOGLETRANSLATE(B9322,""en"",""fr"")"),"La femme commence à jouer une fois de plus jusqu'à ce que l'oundro d'un écran blanc apparaît et qu'il inclut un logo et des informations pour: le droit d'auteur, les droits et le site Web.")</f>
        <v>La femme commence à jouer une fois de plus jusqu'à ce que l'oundro d'un écran blanc apparaît et qu'il inclut un logo et des informations pour: le droit d'auteur, les droits et le site Web.</v>
      </c>
    </row>
    <row r="9323">
      <c r="A9323" s="4" t="s">
        <v>11734</v>
      </c>
      <c r="B9323" s="4" t="s">
        <v>11735</v>
      </c>
      <c r="C9323" s="5" t="str">
        <f>IFERROR(__xludf.DUMMYFUNCTION("GOOGLETRANSLATE(B9323,""en"",""fr"")"),"Un groupe de six est sur un petit bateau assis en attendant que le coup de sifflet.")</f>
        <v>Un groupe de six est sur un petit bateau assis en attendant que le coup de sifflet.</v>
      </c>
    </row>
    <row r="9324">
      <c r="A9324" s="4" t="s">
        <v>11734</v>
      </c>
      <c r="B9324" s="4" t="s">
        <v>11736</v>
      </c>
      <c r="C9324" s="5" t="str">
        <f>IFERROR(__xludf.DUMMYFUNCTION("GOOGLETRANSLATE(B9324,""en"",""fr"")"),"Une fois qu'il est soufflé, ils commencent à pagayer aussi rapidement que possible, travaillant très bien ensemble.")</f>
        <v>Une fois qu'il est soufflé, ils commencent à pagayer aussi rapidement que possible, travaillant très bien ensemble.</v>
      </c>
    </row>
    <row r="9325">
      <c r="A9325" s="4" t="s">
        <v>11734</v>
      </c>
      <c r="B9325" s="6" t="s">
        <v>11737</v>
      </c>
      <c r="C9325" s="5" t="str">
        <f>IFERROR(__xludf.DUMMYFUNCTION("GOOGLETRANSLATE(B9325,""en"",""fr"")"),"Ils ont presque frappé un mur de rochers mais sont capables de se tourner dans le temps de ne pas le faire et sont capables de continuer dans la route.")</f>
        <v>Ils ont presque frappé un mur de rochers mais sont capables de se tourner dans le temps de ne pas le faire et sont capables de continuer dans la route.</v>
      </c>
    </row>
    <row r="9326">
      <c r="A9326" s="4" t="s">
        <v>11734</v>
      </c>
      <c r="B9326" s="6" t="s">
        <v>11738</v>
      </c>
      <c r="C9326" s="5" t="str">
        <f>IFERROR(__xludf.DUMMYFUNCTION("GOOGLETRANSLATE(B9326,""en"",""fr"")"),"Les vagues, ramassent, puis ils frappent un autre mur de rocher, où ils se retournent pour revenir en arrière.")</f>
        <v>Les vagues, ramassent, puis ils frappent un autre mur de rocher, où ils se retournent pour revenir en arrière.</v>
      </c>
    </row>
    <row r="9327">
      <c r="A9327" s="4" t="s">
        <v>11739</v>
      </c>
      <c r="B9327" s="4" t="s">
        <v>11740</v>
      </c>
      <c r="C9327" s="5" t="str">
        <f>IFERROR(__xludf.DUMMYFUNCTION("GOOGLETRANSLATE(B9327,""en"",""fr"")"),"Un homme en manches longues gris parle à une étape d'Ultimate Guinness World Records.")</f>
        <v>Un homme en manches longues gris parle à une étape d'Ultimate Guinness World Records.</v>
      </c>
    </row>
    <row r="9328">
      <c r="A9328" s="4" t="s">
        <v>11739</v>
      </c>
      <c r="B9328" s="4" t="s">
        <v>11741</v>
      </c>
      <c r="C9328" s="5" t="str">
        <f>IFERROR(__xludf.DUMMYFUNCTION("GOOGLETRANSLATE(B9328,""en"",""fr"")"),"Un jeune joueur de tennis de table se tient devant la table avec des spectateurs derrière elle.")</f>
        <v>Un jeune joueur de tennis de table se tient devant la table avec des spectateurs derrière elle.</v>
      </c>
    </row>
    <row r="9329">
      <c r="A9329" s="4" t="s">
        <v>11739</v>
      </c>
      <c r="B9329" s="4" t="s">
        <v>11742</v>
      </c>
      <c r="C9329" s="5" t="str">
        <f>IFERROR(__xludf.DUMMYFUNCTION("GOOGLETRANSLATE(B9329,""en"",""fr"")"),"Deux joueurs jouent au tennis de table et continuent de jouer pendant une minute et d'enregistrer 173 coups sûrs.")</f>
        <v>Deux joueurs jouent au tennis de table et continuent de jouer pendant une minute et d'enregistrer 173 coups sûrs.</v>
      </c>
    </row>
    <row r="9330">
      <c r="A9330" s="4" t="s">
        <v>11739</v>
      </c>
      <c r="B9330" s="6" t="s">
        <v>11743</v>
      </c>
      <c r="C9330" s="5" t="str">
        <f>IFERROR(__xludf.DUMMYFUNCTION("GOOGLETRANSLATE(B9330,""en"",""fr"")"),"La pièce est examinée et le jeune joueur a été présenté comme Ai Fukuhara, avec un enregistrement de la plupart des comptoirs de tennis de table.")</f>
        <v>La pièce est examinée et le jeune joueur a été présenté comme Ai Fukuhara, avec un enregistrement de la plupart des comptoirs de tennis de table.</v>
      </c>
    </row>
    <row r="9331">
      <c r="A9331" s="4" t="s">
        <v>11739</v>
      </c>
      <c r="B9331" s="4" t="s">
        <v>11744</v>
      </c>
      <c r="C9331" s="5" t="str">
        <f>IFERROR(__xludf.DUMMYFUNCTION("GOOGLETRANSLATE(B9331,""en"",""fr"")"),"L'homme en scène parle à nouveau en se promenant sur la scène.")</f>
        <v>L'homme en scène parle à nouveau en se promenant sur la scène.</v>
      </c>
    </row>
    <row r="9332">
      <c r="A9332" s="4" t="s">
        <v>11745</v>
      </c>
      <c r="B9332" s="4" t="s">
        <v>11746</v>
      </c>
      <c r="C9332" s="5" t="str">
        <f>IFERROR(__xludf.DUMMYFUNCTION("GOOGLETRANSLATE(B9332,""en"",""fr"")"),"Une femme tient une planche de surf éolienne dans l'eau.")</f>
        <v>Une femme tient une planche de surf éolienne dans l'eau.</v>
      </c>
    </row>
    <row r="9333">
      <c r="A9333" s="4" t="s">
        <v>11745</v>
      </c>
      <c r="B9333" s="4" t="s">
        <v>11747</v>
      </c>
      <c r="C9333" s="5" t="str">
        <f>IFERROR(__xludf.DUMMYFUNCTION("GOOGLETRANSLATE(B9333,""en"",""fr"")"),"Elle monte sur la planche et commence à surfer sur le vent.")</f>
        <v>Elle monte sur la planche et commence à surfer sur le vent.</v>
      </c>
    </row>
    <row r="9334">
      <c r="A9334" s="4" t="s">
        <v>11745</v>
      </c>
      <c r="B9334" s="4" t="s">
        <v>11748</v>
      </c>
      <c r="C9334" s="5" t="str">
        <f>IFERROR(__xludf.DUMMYFUNCTION("GOOGLETRANSLATE(B9334,""en"",""fr"")"),"Elle tient le cerf-volant du surf du vent.")</f>
        <v>Elle tient le cerf-volant du surf du vent.</v>
      </c>
    </row>
    <row r="9335">
      <c r="A9335" s="4" t="s">
        <v>11749</v>
      </c>
      <c r="B9335" s="6" t="s">
        <v>11750</v>
      </c>
      <c r="C9335" s="5" t="str">
        <f>IFERROR(__xludf.DUMMYFUNCTION("GOOGLETRANSLATE(B9335,""en"",""fr"")"),"Un grand groupe de personnes montre une routine de danse avec une femme menant devant.")</f>
        <v>Un grand groupe de personnes montre une routine de danse avec une femme menant devant.</v>
      </c>
    </row>
    <row r="9336">
      <c r="A9336" s="4" t="s">
        <v>11749</v>
      </c>
      <c r="B9336" s="6" t="s">
        <v>11751</v>
      </c>
      <c r="C9336" s="5" t="str">
        <f>IFERROR(__xludf.DUMMYFUNCTION("GOOGLETRANSLATE(B9336,""en"",""fr"")"),"Les gens continuent de déplacer leurs bras et leurs jambes ensemble pour déplacer leur corps et obtenir de l'exercice.")</f>
        <v>Les gens continuent de déplacer leurs bras et leurs jambes ensemble pour déplacer leur corps et obtenir de l'exercice.</v>
      </c>
    </row>
    <row r="9337">
      <c r="A9337" s="4" t="s">
        <v>11752</v>
      </c>
      <c r="B9337" s="4" t="s">
        <v>11753</v>
      </c>
      <c r="C9337" s="5" t="str">
        <f>IFERROR(__xludf.DUMMYFUNCTION("GOOGLETRANSLATE(B9337,""en"",""fr"")"),"Un homme parle au public alors qu'il était assis sur scène avant une performance.")</f>
        <v>Un homme parle au public alors qu'il était assis sur scène avant une performance.</v>
      </c>
    </row>
    <row r="9338">
      <c r="A9338" s="4" t="s">
        <v>11752</v>
      </c>
      <c r="B9338" s="4" t="s">
        <v>11754</v>
      </c>
      <c r="C9338" s="5" t="str">
        <f>IFERROR(__xludf.DUMMYFUNCTION("GOOGLETRANSLATE(B9338,""en"",""fr"")"),"Un homme joue les clés d'un accordéon tout en ouvrant et en fermant la boîte à air.")</f>
        <v>Un homme joue les clés d'un accordéon tout en ouvrant et en fermant la boîte à air.</v>
      </c>
    </row>
    <row r="9339">
      <c r="A9339" s="4" t="s">
        <v>11752</v>
      </c>
      <c r="B9339" s="4" t="s">
        <v>11755</v>
      </c>
      <c r="C9339" s="5" t="str">
        <f>IFERROR(__xludf.DUMMYFUNCTION("GOOGLETRANSLATE(B9339,""en"",""fr"")"),"L'homme chante quelques versets avec excitation.")</f>
        <v>L'homme chante quelques versets avec excitation.</v>
      </c>
    </row>
    <row r="9340">
      <c r="A9340" s="4" t="s">
        <v>11752</v>
      </c>
      <c r="B9340" s="4" t="s">
        <v>11756</v>
      </c>
      <c r="C9340" s="5" t="str">
        <f>IFERROR(__xludf.DUMMYFUNCTION("GOOGLETRANSLATE(B9340,""en"",""fr"")"),"L'homme termine la chanson et rassemble ses notes du podium.")</f>
        <v>L'homme termine la chanson et rassemble ses notes du podium.</v>
      </c>
    </row>
    <row r="9341">
      <c r="A9341" s="4" t="s">
        <v>11757</v>
      </c>
      <c r="B9341" s="4" t="s">
        <v>11758</v>
      </c>
      <c r="C9341" s="5" t="str">
        <f>IFERROR(__xludf.DUMMYFUNCTION("GOOGLETRANSLATE(B9341,""en"",""fr"")"),"Il y a une équipe de joueurs qui jouent à lancer dans un champ extérieur.")</f>
        <v>Il y a une équipe de joueurs qui jouent à lancer dans un champ extérieur.</v>
      </c>
    </row>
    <row r="9342">
      <c r="A9342" s="4" t="s">
        <v>11757</v>
      </c>
      <c r="B9342" s="4" t="s">
        <v>11759</v>
      </c>
      <c r="C9342" s="5" t="str">
        <f>IFERROR(__xludf.DUMMYFUNCTION("GOOGLETRANSLATE(B9342,""en"",""fr"")"),"Une personne du nom de Donal Cusack explique ce qu'est le hurling et ce qui comprend.")</f>
        <v>Une personne du nom de Donal Cusack explique ce qu'est le hurling et ce qui comprend.</v>
      </c>
    </row>
    <row r="9343">
      <c r="A9343" s="4" t="s">
        <v>11757</v>
      </c>
      <c r="B9343" s="6" t="s">
        <v>11760</v>
      </c>
      <c r="C9343" s="5" t="str">
        <f>IFERROR(__xludf.DUMMYFUNCTION("GOOGLETRANSLATE(B9343,""en"",""fr"")"),"Les joueurs de l'équipe jouent à un jeu de lancement avec leurs chauves-souris alors qu'ils essaient de frapper le ballon dans le but.")</f>
        <v>Les joueurs de l'équipe jouent à un jeu de lancement avec leurs chauves-souris alors qu'ils essaient de frapper le ballon dans le but.</v>
      </c>
    </row>
    <row r="9344">
      <c r="A9344" s="4" t="s">
        <v>11761</v>
      </c>
      <c r="B9344" s="6" t="s">
        <v>11762</v>
      </c>
      <c r="C9344" s="5" t="str">
        <f>IFERROR(__xludf.DUMMYFUNCTION("GOOGLETRANSLATE(B9344,""en"",""fr"")"),"Une dame en veste noire pose pour la caméra, puis un homme aux cheveux de longueur moyenne est montré, l'homme a touché ses cheveux pour les vérifier, puis la fille sèche ses cheveux.")</f>
        <v>Une dame en veste noire pose pour la caméra, puis un homme aux cheveux de longueur moyenne est montré, l'homme a touché ses cheveux pour les vérifier, puis la fille sèche ses cheveux.</v>
      </c>
    </row>
    <row r="9345">
      <c r="A9345" s="4" t="s">
        <v>11761</v>
      </c>
      <c r="B9345" s="6" t="s">
        <v>11763</v>
      </c>
      <c r="C9345" s="5" t="str">
        <f>IFERROR(__xludf.DUMMYFUNCTION("GOOGLETRANSLATE(B9345,""en"",""fr"")"),"La dame était assise au centre du studio avec ses cheveux mouillés, elle a mis une crème blanche sur sa main puis la frotter sur ses cheveux.")</f>
        <v>La dame était assise au centre du studio avec ses cheveux mouillés, elle a mis une crème blanche sur sa main puis la frotter sur ses cheveux.</v>
      </c>
    </row>
    <row r="9346">
      <c r="A9346" s="4" t="s">
        <v>11761</v>
      </c>
      <c r="B9346" s="6" t="s">
        <v>11764</v>
      </c>
      <c r="C9346" s="5" t="str">
        <f>IFERROR(__xludf.DUMMYFUNCTION("GOOGLETRANSLATE(B9346,""en"",""fr"")"),"La fille sèche ses cheveux avec un ventilateur blanc, sectionna ses cheveux, brossa ses cheveux avec une brosse à rouleaux tout en les séchant en même temps, elle roule la brosse vers le bas et vers le haut.")</f>
        <v>La fille sèche ses cheveux avec un ventilateur blanc, sectionna ses cheveux, brossa ses cheveux avec une brosse à rouleaux tout en les séchant en même temps, elle roule la brosse vers le bas et vers le haut.</v>
      </c>
    </row>
    <row r="9347">
      <c r="A9347" s="4" t="s">
        <v>11761</v>
      </c>
      <c r="B9347" s="4" t="s">
        <v>11765</v>
      </c>
      <c r="C9347" s="5" t="str">
        <f>IFERROR(__xludf.DUMMYFUNCTION("GOOGLETRANSLATE(B9347,""en"",""fr"")"),"Elle coiffait ses cheveux en le brossant et en le peignant pour donner plus de volume.")</f>
        <v>Elle coiffait ses cheveux en le brossant et en le peignant pour donner plus de volume.</v>
      </c>
    </row>
    <row r="9348">
      <c r="A9348" s="4" t="s">
        <v>11766</v>
      </c>
      <c r="B9348" s="4" t="s">
        <v>11767</v>
      </c>
      <c r="C9348" s="5" t="str">
        <f>IFERROR(__xludf.DUMMYFUNCTION("GOOGLETRANSLATE(B9348,""en"",""fr"")"),"Plusieurs personnes sont vues assises dans des tubes au sommet d'une colline.")</f>
        <v>Plusieurs personnes sont vues assises dans des tubes au sommet d'une colline.</v>
      </c>
    </row>
    <row r="9349">
      <c r="A9349" s="4" t="s">
        <v>11766</v>
      </c>
      <c r="B9349" s="4" t="s">
        <v>11768</v>
      </c>
      <c r="C9349" s="5" t="str">
        <f>IFERROR(__xludf.DUMMYFUNCTION("GOOGLETRANSLATE(B9349,""en"",""fr"")"),"Les hommes se parlent pendant que l'on monte.")</f>
        <v>Les hommes se parlent pendant que l'on monte.</v>
      </c>
    </row>
    <row r="9350">
      <c r="A9350" s="4" t="s">
        <v>11766</v>
      </c>
      <c r="B9350" s="6" t="s">
        <v>11769</v>
      </c>
      <c r="C9350" s="5" t="str">
        <f>IFERROR(__xludf.DUMMYFUNCTION("GOOGLETRANSLATE(B9350,""en"",""fr"")"),"Les hommes descendent enfin en bas de la colline tout en sortant à la fin et en riant les uns avec les autres.")</f>
        <v>Les hommes descendent enfin en bas de la colline tout en sortant à la fin et en riant les uns avec les autres.</v>
      </c>
    </row>
    <row r="9351">
      <c r="A9351" s="4" t="s">
        <v>11770</v>
      </c>
      <c r="B9351" s="6" t="s">
        <v>11771</v>
      </c>
      <c r="C9351" s="5" t="str">
        <f>IFERROR(__xludf.DUMMYFUNCTION("GOOGLETRANSLATE(B9351,""en"",""fr"")"),"Un tout-petit masculin est assis sur le sol près d'une femme en bas âge et il joue au baby-foos au sol miniature.")</f>
        <v>Un tout-petit masculin est assis sur le sol près d'une femme en bas âge et il joue au baby-foos au sol miniature.</v>
      </c>
    </row>
    <row r="9352">
      <c r="A9352" s="4" t="s">
        <v>11770</v>
      </c>
      <c r="B9352" s="4" t="s">
        <v>11772</v>
      </c>
      <c r="C9352" s="5" t="str">
        <f>IFERROR(__xludf.DUMMYFUNCTION("GOOGLETRANSLATE(B9352,""en"",""fr"")"),"Le jeune homme prend sa main et atteint à l'intérieur pour attraper le ballon de football.")</f>
        <v>Le jeune homme prend sa main et atteint à l'intérieur pour attraper le ballon de football.</v>
      </c>
    </row>
    <row r="9353">
      <c r="A9353" s="4" t="s">
        <v>11770</v>
      </c>
      <c r="B9353" s="4" t="s">
        <v>11773</v>
      </c>
      <c r="C9353" s="5" t="str">
        <f>IFERROR(__xludf.DUMMYFUNCTION("GOOGLETRANSLATE(B9353,""en"",""fr"")"),"Alors qu'ils continuent de jouer, un ensemble de pieds apparaît et maintient l'extrémité de la planche.")</f>
        <v>Alors qu'ils continuent de jouer, un ensemble de pieds apparaît et maintient l'extrémité de la planche.</v>
      </c>
    </row>
    <row r="9354">
      <c r="A9354" s="4" t="s">
        <v>11770</v>
      </c>
      <c r="B9354" s="6" t="s">
        <v>11774</v>
      </c>
      <c r="C9354" s="5" t="str">
        <f>IFERROR(__xludf.DUMMYFUNCTION("GOOGLETRANSLATE(B9354,""en"",""fr"")"),"Une fois qu'ils sont supprimés, les deux enfants continuent de jouer au jeu et de déplacer les poignées sur les barres.")</f>
        <v>Une fois qu'ils sont supprimés, les deux enfants continuent de jouer au jeu et de déplacer les poignées sur les barres.</v>
      </c>
    </row>
    <row r="9355">
      <c r="A9355" s="4" t="s">
        <v>11770</v>
      </c>
      <c r="B9355" s="4" t="s">
        <v>11775</v>
      </c>
      <c r="C9355" s="5" t="str">
        <f>IFERROR(__xludf.DUMMYFUNCTION("GOOGLETRANSLATE(B9355,""en"",""fr"")"),"La caméra zoome ensuite sur le garçon, puis la fille exprimant leurs émotions.")</f>
        <v>La caméra zoome ensuite sur le garçon, puis la fille exprimant leurs émotions.</v>
      </c>
    </row>
    <row r="9356">
      <c r="A9356" s="4" t="s">
        <v>11770</v>
      </c>
      <c r="B9356" s="4" t="s">
        <v>11776</v>
      </c>
      <c r="C9356" s="5" t="str">
        <f>IFERROR(__xludf.DUMMYFUNCTION("GOOGLETRANSLATE(B9356,""en"",""fr"")"),"Chacun d'eux continue de jouer et d'ajuster leur position corporelle à mesure qu'ils deviennent plus concentrés.")</f>
        <v>Chacun d'eux continue de jouer et d'ajuster leur position corporelle à mesure qu'ils deviennent plus concentrés.</v>
      </c>
    </row>
    <row r="9357">
      <c r="A9357" s="4" t="s">
        <v>11770</v>
      </c>
      <c r="B9357" s="4" t="s">
        <v>11777</v>
      </c>
      <c r="C9357" s="5" t="str">
        <f>IFERROR(__xludf.DUMMYFUNCTION("GOOGLETRANSLATE(B9357,""en"",""fr"")"),"Un but est enfin fait et la fille entre dans le but et choisit le ballon.")</f>
        <v>Un but est enfin fait et la fille entre dans le but et choisit le ballon.</v>
      </c>
    </row>
    <row r="9358">
      <c r="A9358" s="4" t="s">
        <v>11778</v>
      </c>
      <c r="B9358" s="4" t="s">
        <v>11779</v>
      </c>
      <c r="C9358" s="5" t="str">
        <f>IFERROR(__xludf.DUMMYFUNCTION("GOOGLETRANSLATE(B9358,""en"",""fr"")"),"Un groupe de surfeurs est sur leurs planches surfant des vagues.")</f>
        <v>Un groupe de surfeurs est sur leurs planches surfant des vagues.</v>
      </c>
    </row>
    <row r="9359">
      <c r="A9359" s="4" t="s">
        <v>11778</v>
      </c>
      <c r="B9359" s="4" t="s">
        <v>11780</v>
      </c>
      <c r="C9359" s="5" t="str">
        <f>IFERROR(__xludf.DUMMYFUNCTION("GOOGLETRANSLATE(B9359,""en"",""fr"")"),"L'un des surfeurs est avalé par l'une des vagues.")</f>
        <v>L'un des surfeurs est avalé par l'une des vagues.</v>
      </c>
    </row>
    <row r="9360">
      <c r="A9360" s="4" t="s">
        <v>11778</v>
      </c>
      <c r="B9360" s="4" t="s">
        <v>11781</v>
      </c>
      <c r="C9360" s="5" t="str">
        <f>IFERROR(__xludf.DUMMYFUNCTION("GOOGLETRANSLATE(B9360,""en"",""fr"")"),"Deux surfeurs surfent près les uns des autres et sont renversés par une vague.")</f>
        <v>Deux surfeurs surfent près les uns des autres et sont renversés par une vague.</v>
      </c>
    </row>
    <row r="9361">
      <c r="A9361" s="4" t="s">
        <v>11778</v>
      </c>
      <c r="B9361" s="4" t="s">
        <v>11782</v>
      </c>
      <c r="C9361" s="5" t="str">
        <f>IFERROR(__xludf.DUMMYFUNCTION("GOOGLETRANSLATE(B9361,""en"",""fr"")"),"Un surfeur nage avec désinvolture lorsqu'une vague s'écrase directement sur lui.")</f>
        <v>Un surfeur nage avec désinvolture lorsqu'une vague s'écrase directement sur lui.</v>
      </c>
    </row>
    <row r="9362">
      <c r="A9362" s="4" t="s">
        <v>11778</v>
      </c>
      <c r="B9362" s="4" t="s">
        <v>11783</v>
      </c>
      <c r="C9362" s="5" t="str">
        <f>IFERROR(__xludf.DUMMYFUNCTION("GOOGLETRANSLATE(B9362,""en"",""fr"")"),"Un surfeur tente de surfer mais est rapidement jeté de sa planche par une vague.")</f>
        <v>Un surfeur tente de surfer mais est rapidement jeté de sa planche par une vague.</v>
      </c>
    </row>
    <row r="9363">
      <c r="A9363" s="4" t="s">
        <v>11784</v>
      </c>
      <c r="B9363" s="4" t="s">
        <v>11785</v>
      </c>
      <c r="C9363" s="5" t="str">
        <f>IFERROR(__xludf.DUMMYFUNCTION("GOOGLETRANSLATE(B9363,""en"",""fr"")"),"Une petite fille joue avec un sèche-cheveux jouet.")</f>
        <v>Une petite fille joue avec un sèche-cheveux jouet.</v>
      </c>
    </row>
    <row r="9364">
      <c r="A9364" s="4" t="s">
        <v>11784</v>
      </c>
      <c r="B9364" s="4" t="s">
        <v>7820</v>
      </c>
      <c r="C9364" s="5" t="str">
        <f>IFERROR(__xludf.DUMMYFUNCTION("GOOGLETRANSLATE(B9364,""en"",""fr"")"),"Elle se retourne et sourit.")</f>
        <v>Elle se retourne et sourit.</v>
      </c>
    </row>
    <row r="9365">
      <c r="A9365" s="4" t="s">
        <v>11784</v>
      </c>
      <c r="B9365" s="4" t="s">
        <v>11786</v>
      </c>
      <c r="C9365" s="5" t="str">
        <f>IFERROR(__xludf.DUMMYFUNCTION("GOOGLETRANSLATE(B9365,""en"",""fr"")"),"Elle continue de jouer avec le sèche-cheveux jouet et de parler.")</f>
        <v>Elle continue de jouer avec le sèche-cheveux jouet et de parler.</v>
      </c>
    </row>
    <row r="9366">
      <c r="A9366" s="4" t="s">
        <v>11784</v>
      </c>
      <c r="B9366" s="4" t="s">
        <v>11787</v>
      </c>
      <c r="C9366" s="5" t="str">
        <f>IFERROR(__xludf.DUMMYFUNCTION("GOOGLETRANSLATE(B9366,""en"",""fr"")"),"Elle ramasse un burler jouet et le place sur le bureau devant elle.")</f>
        <v>Elle ramasse un burler jouet et le place sur le bureau devant elle.</v>
      </c>
    </row>
    <row r="9367">
      <c r="A9367" s="4" t="s">
        <v>11788</v>
      </c>
      <c r="B9367" s="4" t="s">
        <v>11789</v>
      </c>
      <c r="C9367" s="5" t="str">
        <f>IFERROR(__xludf.DUMMYFUNCTION("GOOGLETRANSLATE(B9367,""en"",""fr"")"),"Deux personnes skient, tenant une corde.")</f>
        <v>Deux personnes skient, tenant une corde.</v>
      </c>
    </row>
    <row r="9368">
      <c r="A9368" s="4" t="s">
        <v>11788</v>
      </c>
      <c r="B9368" s="4" t="s">
        <v>11790</v>
      </c>
      <c r="C9368" s="5" t="str">
        <f>IFERROR(__xludf.DUMMYFUNCTION("GOOGLETRANSLATE(B9368,""en"",""fr"")"),"Les vagues sont ouvertes dans leur crête.")</f>
        <v>Les vagues sont ouvertes dans leur crête.</v>
      </c>
    </row>
    <row r="9369">
      <c r="A9369" s="4" t="s">
        <v>11788</v>
      </c>
      <c r="B9369" s="4" t="s">
        <v>11791</v>
      </c>
      <c r="C9369" s="5" t="str">
        <f>IFERROR(__xludf.DUMMYFUNCTION("GOOGLETRANSLATE(B9369,""en"",""fr"")"),"Ils se déplacent sous un petit pont.")</f>
        <v>Ils se déplacent sous un petit pont.</v>
      </c>
    </row>
    <row r="9370">
      <c r="A9370" s="4" t="s">
        <v>11788</v>
      </c>
      <c r="B9370" s="4" t="s">
        <v>11792</v>
      </c>
      <c r="C9370" s="5" t="str">
        <f>IFERROR(__xludf.DUMMYFUNCTION("GOOGLETRANSLATE(B9370,""en"",""fr"")"),"Le garçon en vert se penche.")</f>
        <v>Le garçon en vert se penche.</v>
      </c>
    </row>
    <row r="9371">
      <c r="A9371" s="4" t="s">
        <v>11788</v>
      </c>
      <c r="B9371" s="4" t="s">
        <v>11793</v>
      </c>
      <c r="C9371" s="5" t="str">
        <f>IFERROR(__xludf.DUMMYFUNCTION("GOOGLETRANSLATE(B9371,""en"",""fr"")"),"Le garçon en vert zoome sur le côté.")</f>
        <v>Le garçon en vert zoome sur le côté.</v>
      </c>
    </row>
    <row r="9372">
      <c r="A9372" s="4" t="s">
        <v>11788</v>
      </c>
      <c r="B9372" s="4" t="s">
        <v>11794</v>
      </c>
      <c r="C9372" s="5" t="str">
        <f>IFERROR(__xludf.DUMMYFUNCTION("GOOGLETRANSLATE(B9372,""en"",""fr"")"),"Le garçon se déplace sur le côté du bateau puis retourne le deuxième skieur.")</f>
        <v>Le garçon se déplace sur le côté du bateau puis retourne le deuxième skieur.</v>
      </c>
    </row>
    <row r="9373">
      <c r="A9373" s="4" t="s">
        <v>11788</v>
      </c>
      <c r="B9373" s="4" t="s">
        <v>11795</v>
      </c>
      <c r="C9373" s="5" t="str">
        <f>IFERROR(__xludf.DUMMYFUNCTION("GOOGLETRANSLATE(B9373,""en"",""fr"")"),"Le garçon se penche en arrière sur sa planche et retourne sur l'autre skieur.")</f>
        <v>Le garçon se penche en arrière sur sa planche et retourne sur l'autre skieur.</v>
      </c>
    </row>
    <row r="9374">
      <c r="A9374" s="4" t="s">
        <v>11788</v>
      </c>
      <c r="B9374" s="4" t="s">
        <v>11796</v>
      </c>
      <c r="C9374" s="5" t="str">
        <f>IFERROR(__xludf.DUMMYFUNCTION("GOOGLETRANSLATE(B9374,""en"",""fr"")"),"Le garçon en vert se balance à nouveau et retourne le skieur en lui donnant un high cinq.")</f>
        <v>Le garçon en vert se balance à nouveau et retourne le skieur en lui donnant un high cinq.</v>
      </c>
    </row>
    <row r="9375">
      <c r="A9375" s="4" t="s">
        <v>11788</v>
      </c>
      <c r="B9375" s="4" t="s">
        <v>11797</v>
      </c>
      <c r="C9375" s="5" t="str">
        <f>IFERROR(__xludf.DUMMYFUNCTION("GOOGLETRANSLATE(B9375,""en"",""fr"")"),"Les deux skieurs ont une conversation en roulant.")</f>
        <v>Les deux skieurs ont une conversation en roulant.</v>
      </c>
    </row>
    <row r="9376">
      <c r="A9376" s="4" t="s">
        <v>11788</v>
      </c>
      <c r="B9376" s="4" t="s">
        <v>11798</v>
      </c>
      <c r="C9376" s="5" t="str">
        <f>IFERROR(__xludf.DUMMYFUNCTION("GOOGLETRANSLATE(B9376,""en"",""fr"")"),"Les deux skieurs se balancent et se balancent de l'autre côté du bateau.")</f>
        <v>Les deux skieurs se balancent et se balancent de l'autre côté du bateau.</v>
      </c>
    </row>
    <row r="9377">
      <c r="A9377" s="4" t="s">
        <v>11788</v>
      </c>
      <c r="B9377" s="4" t="s">
        <v>11799</v>
      </c>
      <c r="C9377" s="5" t="str">
        <f>IFERROR(__xludf.DUMMYFUNCTION("GOOGLETRANSLATE(B9377,""en"",""fr"")"),"Les garçons continuent de saluer et de parler.")</f>
        <v>Les garçons continuent de saluer et de parler.</v>
      </c>
    </row>
    <row r="9378">
      <c r="A9378" s="4" t="s">
        <v>11800</v>
      </c>
      <c r="B9378" s="4" t="s">
        <v>11801</v>
      </c>
      <c r="C9378" s="5" t="str">
        <f>IFERROR(__xludf.DUMMYFUNCTION("GOOGLETRANSLATE(B9378,""en"",""fr"")"),"Une femme fait une danse avec un hulahoop.")</f>
        <v>Une femme fait une danse avec un hulahoop.</v>
      </c>
    </row>
    <row r="9379">
      <c r="A9379" s="4" t="s">
        <v>11800</v>
      </c>
      <c r="B9379" s="4" t="s">
        <v>11802</v>
      </c>
      <c r="C9379" s="5" t="str">
        <f>IFERROR(__xludf.DUMMYFUNCTION("GOOGLETRANSLATE(B9379,""en"",""fr"")"),"Elle le jette, l'attrape et danse dans la pièce.")</f>
        <v>Elle le jette, l'attrape et danse dans la pièce.</v>
      </c>
    </row>
    <row r="9380">
      <c r="A9380" s="4" t="s">
        <v>11803</v>
      </c>
      <c r="B9380" s="4" t="s">
        <v>11804</v>
      </c>
      <c r="C9380" s="5" t="str">
        <f>IFERROR(__xludf.DUMMYFUNCTION("GOOGLETRANSLATE(B9380,""en"",""fr"")"),"Un jeune homme met du ciment au plafond et même avec un outil plat.")</f>
        <v>Un jeune homme met du ciment au plafond et même avec un outil plat.</v>
      </c>
    </row>
    <row r="9381">
      <c r="A9381" s="4" t="s">
        <v>11803</v>
      </c>
      <c r="B9381" s="4" t="s">
        <v>11805</v>
      </c>
      <c r="C9381" s="5" t="str">
        <f>IFERROR(__xludf.DUMMYFUNCTION("GOOGLETRANSLATE(B9381,""en"",""fr"")"),"L'homme porte des échasses sur ses pieds.")</f>
        <v>L'homme porte des échasses sur ses pieds.</v>
      </c>
    </row>
    <row r="9382">
      <c r="A9382" s="4" t="s">
        <v>11803</v>
      </c>
      <c r="B9382" s="4" t="s">
        <v>11806</v>
      </c>
      <c r="C9382" s="5" t="str">
        <f>IFERROR(__xludf.DUMMYFUNCTION("GOOGLETRANSLATE(B9382,""en"",""fr"")"),"L'homme met le ciment sur les espaces vides et les coups avec l'outil même au plafond.")</f>
        <v>L'homme met le ciment sur les espaces vides et les coups avec l'outil même au plafond.</v>
      </c>
    </row>
    <row r="9383">
      <c r="A9383" s="4" t="s">
        <v>11807</v>
      </c>
      <c r="B9383" s="4" t="s">
        <v>11808</v>
      </c>
      <c r="C9383" s="5" t="str">
        <f>IFERROR(__xludf.DUMMYFUNCTION("GOOGLETRANSLATE(B9383,""en"",""fr"")"),"Les vélos de terre courent sur une piste cahoteuse.")</f>
        <v>Les vélos de terre courent sur une piste cahoteuse.</v>
      </c>
    </row>
    <row r="9384">
      <c r="A9384" s="4" t="s">
        <v>11807</v>
      </c>
      <c r="B9384" s="4" t="s">
        <v>11809</v>
      </c>
      <c r="C9384" s="5" t="str">
        <f>IFERROR(__xludf.DUMMYFUNCTION("GOOGLETRANSLATE(B9384,""en"",""fr"")"),"Un cavalier tombe de son vélo et un vélo traînant le frappe et le renvoie au sol.")</f>
        <v>Un cavalier tombe de son vélo et un vélo traînant le frappe et le renvoie au sol.</v>
      </c>
    </row>
    <row r="9385">
      <c r="A9385" s="4" t="s">
        <v>11807</v>
      </c>
      <c r="B9385" s="6" t="s">
        <v>11810</v>
      </c>
      <c r="C9385" s="5" t="str">
        <f>IFERROR(__xludf.DUMMYFUNCTION("GOOGLETRANSLATE(B9385,""en"",""fr"")"),"Les mots ""FIM Motocross World Championship MXGP"" 2014 sont apparus à l'écran suivis de liens sociaux.")</f>
        <v>Les mots "FIM Motocross World Championship MXGP" 2014 sont apparus à l'écran suivis de liens sociaux.</v>
      </c>
    </row>
    <row r="9386">
      <c r="A9386" s="4" t="s">
        <v>11811</v>
      </c>
      <c r="B9386" s="6" t="s">
        <v>11812</v>
      </c>
      <c r="C9386" s="5" t="str">
        <f>IFERROR(__xludf.DUMMYFUNCTION("GOOGLETRANSLATE(B9386,""en"",""fr"")"),"Une vue d'une très grande plate-forme de plongée avec des hauteurs différentes est montrée et les gens autour de la piscine marchent.")</f>
        <v>Une vue d'une très grande plate-forme de plongée avec des hauteurs différentes est montrée et les gens autour de la piscine marchent.</v>
      </c>
    </row>
    <row r="9387">
      <c r="A9387" s="4" t="s">
        <v>11811</v>
      </c>
      <c r="B9387" s="4" t="s">
        <v>11813</v>
      </c>
      <c r="C9387" s="5" t="str">
        <f>IFERROR(__xludf.DUMMYFUNCTION("GOOGLETRANSLATE(B9387,""en"",""fr"")"),"Une personne sur l'une des plates-formes plonge dans la piscine.")</f>
        <v>Une personne sur l'une des plates-formes plonge dans la piscine.</v>
      </c>
    </row>
    <row r="9388">
      <c r="A9388" s="4" t="s">
        <v>11811</v>
      </c>
      <c r="B9388" s="4" t="s">
        <v>11814</v>
      </c>
      <c r="C9388" s="5" t="str">
        <f>IFERROR(__xludf.DUMMYFUNCTION("GOOGLETRANSLATE(B9388,""en"",""fr"")"),"Le plongeur frappant la piscine provoque une petite éclaboussure.")</f>
        <v>Le plongeur frappant la piscine provoque une petite éclaboussure.</v>
      </c>
    </row>
    <row r="9389">
      <c r="A9389" s="4" t="s">
        <v>11811</v>
      </c>
      <c r="B9389" s="4" t="s">
        <v>11815</v>
      </c>
      <c r="C9389" s="5" t="str">
        <f>IFERROR(__xludf.DUMMYFUNCTION("GOOGLETRANSLATE(B9389,""en"",""fr"")"),"La vidéo gèle ensuite et il n'y a pas de mouvements.")</f>
        <v>La vidéo gèle ensuite et il n'y a pas de mouvements.</v>
      </c>
    </row>
    <row r="9390">
      <c r="A9390" s="4" t="s">
        <v>11816</v>
      </c>
      <c r="B9390" s="4" t="s">
        <v>11817</v>
      </c>
      <c r="C9390" s="5" t="str">
        <f>IFERROR(__xludf.DUMMYFUNCTION("GOOGLETRANSLATE(B9390,""en"",""fr"")"),"Une voiture roule sur une route avec des passagers.")</f>
        <v>Une voiture roule sur une route avec des passagers.</v>
      </c>
    </row>
    <row r="9391">
      <c r="A9391" s="4" t="s">
        <v>11816</v>
      </c>
      <c r="B9391" s="4" t="s">
        <v>11818</v>
      </c>
      <c r="C9391" s="5" t="str">
        <f>IFERROR(__xludf.DUMMYFUNCTION("GOOGLETRANSLATE(B9391,""en"",""fr"")"),"Les hommes se réunissent sur un pont, ornant du matériel.")</f>
        <v>Les hommes se réunissent sur un pont, ornant du matériel.</v>
      </c>
    </row>
    <row r="9392">
      <c r="A9392" s="4" t="s">
        <v>11816</v>
      </c>
      <c r="B9392" s="4" t="s">
        <v>11819</v>
      </c>
      <c r="C9392" s="5" t="str">
        <f>IFERROR(__xludf.DUMMYFUNCTION("GOOGLETRANSLATE(B9392,""en"",""fr"")"),"Un homme en costume de gorille marche le long du pont.")</f>
        <v>Un homme en costume de gorille marche le long du pont.</v>
      </c>
    </row>
    <row r="9393">
      <c r="A9393" s="4" t="s">
        <v>11816</v>
      </c>
      <c r="B9393" s="4" t="s">
        <v>11820</v>
      </c>
      <c r="C9393" s="5" t="str">
        <f>IFERROR(__xludf.DUMMYFUNCTION("GOOGLETRANSLATE(B9393,""en"",""fr"")"),"Les hommes se relayèrent à tour de rôle sautant du pont.")</f>
        <v>Les hommes se relayèrent à tour de rôle sautant du pont.</v>
      </c>
    </row>
    <row r="9394">
      <c r="A9394" s="4" t="s">
        <v>11816</v>
      </c>
      <c r="B9394" s="4" t="s">
        <v>11821</v>
      </c>
      <c r="C9394" s="5" t="str">
        <f>IFERROR(__xludf.DUMMYFUNCTION("GOOGLETRANSLATE(B9394,""en"",""fr"")"),"Les gens agitent en chantant, puis se montrent en posant pour une image.")</f>
        <v>Les gens agitent en chantant, puis se montrent en posant pour une image.</v>
      </c>
    </row>
    <row r="9395">
      <c r="A9395" s="4" t="s">
        <v>11822</v>
      </c>
      <c r="B9395" s="4" t="s">
        <v>11823</v>
      </c>
      <c r="C9395" s="5" t="str">
        <f>IFERROR(__xludf.DUMMYFUNCTION("GOOGLETRANSLATE(B9395,""en"",""fr"")"),"Une femme parle et est excitée.")</f>
        <v>Une femme parle et est excitée.</v>
      </c>
    </row>
    <row r="9396">
      <c r="A9396" s="4" t="s">
        <v>11822</v>
      </c>
      <c r="B9396" s="4" t="s">
        <v>11824</v>
      </c>
      <c r="C9396" s="5" t="str">
        <f>IFERROR(__xludf.DUMMYFUNCTION("GOOGLETRANSLATE(B9396,""en"",""fr"")"),"Elle sort un pull rose pour repasser.")</f>
        <v>Elle sort un pull rose pour repasser.</v>
      </c>
    </row>
    <row r="9397">
      <c r="A9397" s="4" t="s">
        <v>11822</v>
      </c>
      <c r="B9397" s="4" t="s">
        <v>11825</v>
      </c>
      <c r="C9397" s="5" t="str">
        <f>IFERROR(__xludf.DUMMYFUNCTION("GOOGLETRANSLATE(B9397,""en"",""fr"")"),"Elle fera un pull rose.")</f>
        <v>Elle fera un pull rose.</v>
      </c>
    </row>
    <row r="9398">
      <c r="A9398" s="4" t="s">
        <v>11826</v>
      </c>
      <c r="B9398" s="6" t="s">
        <v>11827</v>
      </c>
      <c r="C9398" s="5" t="str">
        <f>IFERROR(__xludf.DUMMYFUNCTION("GOOGLETRANSLATE(B9398,""en"",""fr"")"),"Il y a deux joueurs portant une chemise rouge et blanche et l'autre portant une chemise en noir et blanc, jouant à une balle de raquette dans un terrain d'intérieur avec quelques spectateurs.")</f>
        <v>Il y a deux joueurs portant une chemise rouge et blanche et l'autre portant une chemise en noir et blanc, jouant à une balle de raquette dans un terrain d'intérieur avec quelques spectateurs.</v>
      </c>
    </row>
    <row r="9399">
      <c r="A9399" s="4" t="s">
        <v>11826</v>
      </c>
      <c r="B9399" s="6" t="s">
        <v>11828</v>
      </c>
      <c r="C9399" s="5" t="str">
        <f>IFERROR(__xludf.DUMMYFUNCTION("GOOGLETRANSLATE(B9399,""en"",""fr"")"),"Le joueur en rouge frappe le ballon avec une balançoire frontale et son adversaire saute en avant pour retourner le ballon.")</f>
        <v>Le joueur en rouge frappe le ballon avec une balançoire frontale et son adversaire saute en avant pour retourner le ballon.</v>
      </c>
    </row>
    <row r="9400">
      <c r="A9400" s="4" t="s">
        <v>11826</v>
      </c>
      <c r="B9400" s="6" t="s">
        <v>11829</v>
      </c>
      <c r="C9400" s="5" t="str">
        <f>IFERROR(__xludf.DUMMYFUNCTION("GOOGLETRANSLATE(B9400,""en"",""fr"")"),"Le joueur en rouge continue de balancer sa raquette dans une main frontale car il ne manque jamais de manquer un seul coup.")</f>
        <v>Le joueur en rouge continue de balancer sa raquette dans une main frontale car il ne manque jamais de manquer un seul coup.</v>
      </c>
    </row>
    <row r="9401">
      <c r="A9401" s="4" t="s">
        <v>11826</v>
      </c>
      <c r="B9401" s="6" t="s">
        <v>11830</v>
      </c>
      <c r="C9401" s="5" t="str">
        <f>IFERROR(__xludf.DUMMYFUNCTION("GOOGLETRANSLATE(B9401,""en"",""fr"")"),"Le joueur de Black manque un coup, mais il attrape immédiatement le ballon et ils continuent de jouer à nouveau.")</f>
        <v>Le joueur de Black manque un coup, mais il attrape immédiatement le ballon et ils continuent de jouer à nouveau.</v>
      </c>
    </row>
    <row r="9402">
      <c r="A9402" s="4" t="s">
        <v>11826</v>
      </c>
      <c r="B9402" s="4" t="s">
        <v>11831</v>
      </c>
      <c r="C9402" s="5" t="str">
        <f>IFERROR(__xludf.DUMMYFUNCTION("GOOGLETRANSLATE(B9402,""en"",""fr"")"),"Les deux joueurs continuent sur un grand rallye sans manquer un tir.")</f>
        <v>Les deux joueurs continuent sur un grand rallye sans manquer un tir.</v>
      </c>
    </row>
    <row r="9403">
      <c r="A9403" s="4" t="s">
        <v>11826</v>
      </c>
      <c r="B9403" s="4" t="s">
        <v>11832</v>
      </c>
      <c r="C9403" s="5" t="str">
        <f>IFERROR(__xludf.DUMMYFUNCTION("GOOGLETRANSLATE(B9403,""en"",""fr"")"),"Le joueur en rouge passe rapidement sur le terrain pour reprendre le ballon.")</f>
        <v>Le joueur en rouge passe rapidement sur le terrain pour reprendre le ballon.</v>
      </c>
    </row>
    <row r="9404">
      <c r="A9404" s="4" t="s">
        <v>11826</v>
      </c>
      <c r="B9404" s="6" t="s">
        <v>11833</v>
      </c>
      <c r="C9404" s="5" t="str">
        <f>IFERROR(__xludf.DUMMYFUNCTION("GOOGLETRANSLATE(B9404,""en"",""fr"")"),"Ensuite, ils jouent cinq rounds en continu en utilisant des balançoires à la main jusqu'à ce que le joueur en noir manque un coup.")</f>
        <v>Ensuite, ils jouent cinq rounds en continu en utilisant des balançoires à la main jusqu'à ce que le joueur en noir manque un coup.</v>
      </c>
    </row>
    <row r="9405">
      <c r="A9405" s="4" t="s">
        <v>11826</v>
      </c>
      <c r="B9405" s="4" t="s">
        <v>11834</v>
      </c>
      <c r="C9405" s="5" t="str">
        <f>IFERROR(__xludf.DUMMYFUNCTION("GOOGLETRANSLATE(B9405,""en"",""fr"")"),"Ensuite, ils commencent leur dernier tour où le joueur en noir et blanc termine le dernier coup.")</f>
        <v>Ensuite, ils commencent leur dernier tour où le joueur en noir et blanc termine le dernier coup.</v>
      </c>
    </row>
    <row r="9406">
      <c r="A9406" s="4" t="s">
        <v>11826</v>
      </c>
      <c r="B9406" s="4" t="s">
        <v>11835</v>
      </c>
      <c r="C9406" s="5" t="str">
        <f>IFERROR(__xludf.DUMMYFUNCTION("GOOGLETRANSLATE(B9406,""en"",""fr"")"),"Ils mettent fin au jeu en serrant la main et en sortent du terrain.")</f>
        <v>Ils mettent fin au jeu en serrant la main et en sortent du terrain.</v>
      </c>
    </row>
    <row r="9407">
      <c r="A9407" s="4" t="s">
        <v>11836</v>
      </c>
      <c r="B9407" s="4" t="s">
        <v>11837</v>
      </c>
      <c r="C9407" s="5" t="str">
        <f>IFERROR(__xludf.DUMMYFUNCTION("GOOGLETRANSLATE(B9407,""en"",""fr"")"),"Un homme est vu parler à la caméra dans un grand champ tout en tenant un bâton de crosse.")</f>
        <v>Un homme est vu parler à la caméra dans un grand champ tout en tenant un bâton de crosse.</v>
      </c>
    </row>
    <row r="9408">
      <c r="A9408" s="4" t="s">
        <v>11836</v>
      </c>
      <c r="B9408" s="6" t="s">
        <v>11838</v>
      </c>
      <c r="C9408" s="5" t="str">
        <f>IFERROR(__xludf.DUMMYFUNCTION("GOOGLETRANSLATE(B9408,""en"",""fr"")"),"Il pointe vers lui-même tout en levant le bâton et continue de parler à la caméra et comment tenir correctement le bâton.")</f>
        <v>Il pointe vers lui-même tout en levant le bâton et continue de parler à la caméra et comment tenir correctement le bâton.</v>
      </c>
    </row>
    <row r="9409">
      <c r="A9409" s="4" t="s">
        <v>11839</v>
      </c>
      <c r="B9409" s="4" t="s">
        <v>11840</v>
      </c>
      <c r="C9409" s="5" t="str">
        <f>IFERROR(__xludf.DUMMYFUNCTION("GOOGLETRANSLATE(B9409,""en"",""fr"")"),"Une fille balance son bâton à une pinata.")</f>
        <v>Une fille balance son bâton à une pinata.</v>
      </c>
    </row>
    <row r="9410">
      <c r="A9410" s="4" t="s">
        <v>11839</v>
      </c>
      <c r="B9410" s="4" t="s">
        <v>11841</v>
      </c>
      <c r="C9410" s="5" t="str">
        <f>IFERROR(__xludf.DUMMYFUNCTION("GOOGLETRANSLATE(B9410,""en"",""fr"")"),"Un groupe de personnes la regarde par derrière et l'encourage.")</f>
        <v>Un groupe de personnes la regarde par derrière et l'encourage.</v>
      </c>
    </row>
    <row r="9411">
      <c r="A9411" s="4" t="s">
        <v>11839</v>
      </c>
      <c r="B9411" s="4" t="s">
        <v>11842</v>
      </c>
      <c r="C9411" s="5" t="str">
        <f>IFERROR(__xludf.DUMMYFUNCTION("GOOGLETRANSLATE(B9411,""en"",""fr"")"),"Elle continue de s'éloigner à la Pinata et l'objet recule et quatrième dans le vent.")</f>
        <v>Elle continue de s'éloigner à la Pinata et l'objet recule et quatrième dans le vent.</v>
      </c>
    </row>
    <row r="9412">
      <c r="A9412" s="4" t="s">
        <v>11843</v>
      </c>
      <c r="B9412" s="6" t="s">
        <v>11844</v>
      </c>
      <c r="C9412" s="5" t="str">
        <f>IFERROR(__xludf.DUMMYFUNCTION("GOOGLETRANSLATE(B9412,""en"",""fr"")"),"Une caméra se déroule autour d'un grand gymnase et mène à deux artistes marchant au milieu de la scène.")</f>
        <v>Une caméra se déroule autour d'un grand gymnase et mène à deux artistes marchant au milieu de la scène.</v>
      </c>
    </row>
    <row r="9413">
      <c r="A9413" s="4" t="s">
        <v>11843</v>
      </c>
      <c r="B9413" s="4" t="s">
        <v>11845</v>
      </c>
      <c r="C9413" s="5" t="str">
        <f>IFERROR(__xludf.DUMMYFUNCTION("GOOGLETRANSLATE(B9413,""en"",""fr"")"),"Les filles interprètent une routine de danse utilisent des matraques et se terminent en tenant une pose.")</f>
        <v>Les filles interprètent une routine de danse utilisent des matraques et se terminent en tenant une pose.</v>
      </c>
    </row>
    <row r="9414">
      <c r="A9414" s="4" t="s">
        <v>11846</v>
      </c>
      <c r="B9414" s="6" t="s">
        <v>11847</v>
      </c>
      <c r="C9414" s="5" t="str">
        <f>IFERROR(__xludf.DUMMYFUNCTION("GOOGLETRANSLATE(B9414,""en"",""fr"")"),"Une femme et deux hommes, portant un pantalon blanc, une chemise blanche et des ceintures en noir et blanc montrent des mouvements d'arts martiaux, pieds nus, sur une grande parcelle d'herbe devant un plan d'eau et un scape de bâtiments.")</f>
        <v>Une femme et deux hommes, portant un pantalon blanc, une chemise blanche et des ceintures en noir et blanc montrent des mouvements d'arts martiaux, pieds nus, sur une grande parcelle d'herbe devant un plan d'eau et un scape de bâtiments.</v>
      </c>
    </row>
    <row r="9415">
      <c r="A9415" s="4" t="s">
        <v>11846</v>
      </c>
      <c r="B9415" s="6" t="s">
        <v>11848</v>
      </c>
      <c r="C9415" s="5" t="str">
        <f>IFERROR(__xludf.DUMMYFUNCTION("GOOGLETRANSLATE(B9415,""en"",""fr"")"),"Une femme aux cheveux blonds en queue de cheval et à une ceinture noire montre des mouvements d'arts martiaux en exposant d'abord des mouvements d'épaule et des bras et un jeu de jambes.")</f>
        <v>Une femme aux cheveux blonds en queue de cheval et à une ceinture noire montre des mouvements d'arts martiaux en exposant d'abord des mouvements d'épaule et des bras et un jeu de jambes.</v>
      </c>
    </row>
    <row r="9416">
      <c r="A9416" s="4" t="s">
        <v>11846</v>
      </c>
      <c r="B9416" s="4" t="s">
        <v>11849</v>
      </c>
      <c r="C9416" s="5" t="str">
        <f>IFERROR(__xludf.DUMMYFUNCTION("GOOGLETRANSLATE(B9416,""en"",""fr"")"),"Un homme dans une ceinture blanche montre des mouvements d'arts martiaux à l'aide de virages du genou.")</f>
        <v>Un homme dans une ceinture blanche montre des mouvements d'arts martiaux à l'aide de virages du genou.</v>
      </c>
    </row>
    <row r="9417">
      <c r="A9417" s="4" t="s">
        <v>11846</v>
      </c>
      <c r="B9417" s="6" t="s">
        <v>11850</v>
      </c>
      <c r="C9417" s="5" t="str">
        <f>IFERROR(__xludf.DUMMYFUNCTION("GOOGLETRANSLATE(B9417,""en"",""fr"")"),"Un troisième homme dans une ceinture noire démontre des mouvements d'arts martiaux en exposant des travaux de sol, des balayages de jambes et des coups de pied élevés.")</f>
        <v>Un troisième homme dans une ceinture noire démontre des mouvements d'arts martiaux en exposant des travaux de sol, des balayages de jambes et des coups de pied élevés.</v>
      </c>
    </row>
    <row r="9418">
      <c r="A9418" s="4" t="s">
        <v>11851</v>
      </c>
      <c r="B9418" s="4" t="s">
        <v>11852</v>
      </c>
      <c r="C9418" s="5" t="str">
        <f>IFERROR(__xludf.DUMMYFUNCTION("GOOGLETRANSLATE(B9418,""en"",""fr"")"),"Une femme chef montre comment faire des pâtes de style restaurant.")</f>
        <v>Une femme chef montre comment faire des pâtes de style restaurant.</v>
      </c>
    </row>
    <row r="9419">
      <c r="A9419" s="4" t="s">
        <v>11851</v>
      </c>
      <c r="B9419" s="4" t="s">
        <v>11853</v>
      </c>
      <c r="C9419" s="5" t="str">
        <f>IFERROR(__xludf.DUMMYFUNCTION("GOOGLETRANSLATE(B9419,""en"",""fr"")"),"Elle commence par l'ajout de spaghettis dans un grand pot d'eau bouillante.")</f>
        <v>Elle commence par l'ajout de spaghettis dans un grand pot d'eau bouillante.</v>
      </c>
    </row>
    <row r="9420">
      <c r="A9420" s="4" t="s">
        <v>11851</v>
      </c>
      <c r="B9420" s="4" t="s">
        <v>11854</v>
      </c>
      <c r="C9420" s="5" t="str">
        <f>IFERROR(__xludf.DUMMYFUNCTION("GOOGLETRANSLATE(B9420,""en"",""fr"")"),"Elle fait sauter des oignons hachés et de la vinaigrette italienne avec de l'ail sur une casserole.")</f>
        <v>Elle fait sauter des oignons hachés et de la vinaigrette italienne avec de l'ail sur une casserole.</v>
      </c>
    </row>
    <row r="9421">
      <c r="A9421" s="4" t="s">
        <v>11851</v>
      </c>
      <c r="B9421" s="4" t="s">
        <v>11855</v>
      </c>
      <c r="C9421" s="5" t="str">
        <f>IFERROR(__xludf.DUMMYFUNCTION("GOOGLETRANSLATE(B9421,""en"",""fr"")"),"Elle ajoute ensuite une tasse de tomates de raisin.")</f>
        <v>Elle ajoute ensuite une tasse de tomates de raisin.</v>
      </c>
    </row>
    <row r="9422">
      <c r="A9422" s="4" t="s">
        <v>11851</v>
      </c>
      <c r="B9422" s="4" t="s">
        <v>11856</v>
      </c>
      <c r="C9422" s="5" t="str">
        <f>IFERROR(__xludf.DUMMYFUNCTION("GOOGLETRANSLATE(B9422,""en"",""fr"")"),"Elle vérifie les pâtes pour sa douceur.")</f>
        <v>Elle vérifie les pâtes pour sa douceur.</v>
      </c>
    </row>
    <row r="9423">
      <c r="A9423" s="4" t="s">
        <v>11851</v>
      </c>
      <c r="B9423" s="4" t="s">
        <v>11857</v>
      </c>
      <c r="C9423" s="5" t="str">
        <f>IFERROR(__xludf.DUMMYFUNCTION("GOOGLETRANSLATE(B9423,""en"",""fr"")"),"Elle retire les pâtes cuites du gaz et la verse dans une assiette.")</f>
        <v>Elle retire les pâtes cuites du gaz et la verse dans une assiette.</v>
      </c>
    </row>
    <row r="9424">
      <c r="A9424" s="4" t="s">
        <v>11851</v>
      </c>
      <c r="B9424" s="4" t="s">
        <v>11858</v>
      </c>
      <c r="C9424" s="5" t="str">
        <f>IFERROR(__xludf.DUMMYFUNCTION("GOOGLETRANSLATE(B9424,""en"",""fr"")"),"Elle ajoute ensuite la sauce cuite juste au-dessus des pâtes.")</f>
        <v>Elle ajoute ensuite la sauce cuite juste au-dessus des pâtes.</v>
      </c>
    </row>
    <row r="9425">
      <c r="A9425" s="4" t="s">
        <v>11851</v>
      </c>
      <c r="B9425" s="6" t="s">
        <v>11859</v>
      </c>
      <c r="C9425" s="5" t="str">
        <f>IFERROR(__xludf.DUMMYFUNCTION("GOOGLETRANSLATE(B9425,""en"",""fr"")"),"Elle coupe du basilic frais avec une paire de ciseaux et le garnit sur les pâtes avec du fromage, puis elle montre une recette de sauce Alfredo.")</f>
        <v>Elle coupe du basilic frais avec une paire de ciseaux et le garnit sur les pâtes avec du fromage, puis elle montre une recette de sauce Alfredo.</v>
      </c>
    </row>
    <row r="9426">
      <c r="A9426" s="4" t="s">
        <v>11851</v>
      </c>
      <c r="B9426" s="4" t="s">
        <v>11860</v>
      </c>
      <c r="C9426" s="5" t="str">
        <f>IFERROR(__xludf.DUMMYFUNCTION("GOOGLETRANSLATE(B9426,""en"",""fr"")"),"Elle saupoudre le fromage parmesan râpé sur les pâtes Alfredo pour terminer.")</f>
        <v>Elle saupoudre le fromage parmesan râpé sur les pâtes Alfredo pour terminer.</v>
      </c>
    </row>
    <row r="9427">
      <c r="A9427" s="4" t="s">
        <v>11861</v>
      </c>
      <c r="B9427" s="4" t="s">
        <v>11862</v>
      </c>
      <c r="C9427" s="5" t="str">
        <f>IFERROR(__xludf.DUMMYFUNCTION("GOOGLETRANSLATE(B9427,""en"",""fr"")"),"Un groupe de nageurs s'apprête à jouer.")</f>
        <v>Un groupe de nageurs s'apprête à jouer.</v>
      </c>
    </row>
    <row r="9428">
      <c r="A9428" s="4" t="s">
        <v>11861</v>
      </c>
      <c r="B9428" s="4" t="s">
        <v>11863</v>
      </c>
      <c r="C9428" s="5" t="str">
        <f>IFERROR(__xludf.DUMMYFUNCTION("GOOGLETRANSLATE(B9428,""en"",""fr"")"),"La foule regarde les filles se préparer.")</f>
        <v>La foule regarde les filles se préparer.</v>
      </c>
    </row>
    <row r="9429">
      <c r="A9429" s="4" t="s">
        <v>11861</v>
      </c>
      <c r="B9429" s="4" t="s">
        <v>11864</v>
      </c>
      <c r="C9429" s="5" t="str">
        <f>IFERROR(__xludf.DUMMYFUNCTION("GOOGLETRANSLATE(B9429,""en"",""fr"")"),"Une fille plonge de la plongée et les gens applaudissent.")</f>
        <v>Une fille plonge de la plongée et les gens applaudissent.</v>
      </c>
    </row>
    <row r="9430">
      <c r="A9430" s="4" t="s">
        <v>11861</v>
      </c>
      <c r="B9430" s="4" t="s">
        <v>11865</v>
      </c>
      <c r="C9430" s="5" t="str">
        <f>IFERROR(__xludf.DUMMYFUNCTION("GOOGLETRANSLATE(B9430,""en"",""fr"")"),"Elle sort de la piscine tandis qu'un autre nageur s'apprête à sauter.")</f>
        <v>Elle sort de la piscine tandis qu'un autre nageur s'apprête à sauter.</v>
      </c>
    </row>
    <row r="9431">
      <c r="A9431" s="4" t="s">
        <v>11866</v>
      </c>
      <c r="B9431" s="4" t="s">
        <v>11867</v>
      </c>
      <c r="C9431" s="5" t="str">
        <f>IFERROR(__xludf.DUMMYFUNCTION("GOOGLETRANSLATE(B9431,""en"",""fr"")"),"Un grand gâteau en velours rouge multicouche est illustré, ainsi que la multitude d'ingrédients.")</f>
        <v>Un grand gâteau en velours rouge multicouche est illustré, ainsi que la multitude d'ingrédients.</v>
      </c>
    </row>
    <row r="9432">
      <c r="A9432" s="4" t="s">
        <v>11866</v>
      </c>
      <c r="B9432" s="4" t="s">
        <v>11868</v>
      </c>
      <c r="C9432" s="5" t="str">
        <f>IFERROR(__xludf.DUMMYFUNCTION("GOOGLETRANSLATE(B9432,""en"",""fr"")"),"Une main allume un four, avant de mélanger les ingrédients ensemble dans un bol.")</f>
        <v>Une main allume un four, avant de mélanger les ingrédients ensemble dans un bol.</v>
      </c>
    </row>
    <row r="9433">
      <c r="A9433" s="4" t="s">
        <v>11866</v>
      </c>
      <c r="B9433" s="4" t="s">
        <v>11869</v>
      </c>
      <c r="C9433" s="5" t="str">
        <f>IFERROR(__xludf.DUMMYFUNCTION("GOOGLETRANSLATE(B9433,""en"",""fr"")"),"Tout au long, certains morceaux et faits aléatoires sont partagés.")</f>
        <v>Tout au long, certains morceaux et faits aléatoires sont partagés.</v>
      </c>
    </row>
    <row r="9434">
      <c r="A9434" s="4" t="s">
        <v>11870</v>
      </c>
      <c r="B9434" s="4" t="s">
        <v>11871</v>
      </c>
      <c r="C9434" s="5" t="str">
        <f>IFERROR(__xludf.DUMMYFUNCTION("GOOGLETRANSLATE(B9434,""en"",""fr"")"),"Un homme est sur une scène parmi les lumières clignotantes et la musique.")</f>
        <v>Un homme est sur une scène parmi les lumières clignotantes et la musique.</v>
      </c>
    </row>
    <row r="9435">
      <c r="A9435" s="4" t="s">
        <v>11870</v>
      </c>
      <c r="B9435" s="4" t="s">
        <v>11872</v>
      </c>
      <c r="C9435" s="5" t="str">
        <f>IFERROR(__xludf.DUMMYFUNCTION("GOOGLETRANSLATE(B9435,""en"",""fr"")"),"Il joue rapidement un violon pour le public.")</f>
        <v>Il joue rapidement un violon pour le public.</v>
      </c>
    </row>
    <row r="9436">
      <c r="A9436" s="4" t="s">
        <v>11870</v>
      </c>
      <c r="B9436" s="4" t="s">
        <v>11873</v>
      </c>
      <c r="C9436" s="5" t="str">
        <f>IFERROR(__xludf.DUMMYFUNCTION("GOOGLETRANSLATE(B9436,""en"",""fr"")"),"Il s'arrête pour danser, puis recommence à jouer alors qu'ils applaudissent et applaudissent.")</f>
        <v>Il s'arrête pour danser, puis recommence à jouer alors qu'ils applaudissent et applaudissent.</v>
      </c>
    </row>
    <row r="9437">
      <c r="A9437" s="4" t="s">
        <v>11874</v>
      </c>
      <c r="B9437" s="6" t="s">
        <v>11875</v>
      </c>
      <c r="C9437" s="5" t="str">
        <f>IFERROR(__xludf.DUMMYFUNCTION("GOOGLETRANSLATE(B9437,""en"",""fr"")"),"Il y a deux femmes vêtues de débardeurs noirs et bleus démontrant comment utiliser le cerceau de hula.")</f>
        <v>Il y a deux femmes vêtues de débardeurs noirs et bleus démontrant comment utiliser le cerceau de hula.</v>
      </c>
    </row>
    <row r="9438">
      <c r="A9438" s="4" t="s">
        <v>11874</v>
      </c>
      <c r="B9438" s="4" t="s">
        <v>11876</v>
      </c>
      <c r="C9438" s="5" t="str">
        <f>IFERROR(__xludf.DUMMYFUNCTION("GOOGLETRANSLATE(B9438,""en"",""fr"")"),"Ils commencent tous les deux à tourner avec des cerceaux bleus et argentés.")</f>
        <v>Ils commencent tous les deux à tourner avec des cerceaux bleus et argentés.</v>
      </c>
    </row>
    <row r="9439">
      <c r="A9439" s="4" t="s">
        <v>11874</v>
      </c>
      <c r="B9439" s="4" t="s">
        <v>11877</v>
      </c>
      <c r="C9439" s="5" t="str">
        <f>IFERROR(__xludf.DUMMYFUNCTION("GOOGLETRANSLATE(B9439,""en"",""fr"")"),"Ils sont dans une pièce spacieuse avec peu de meubles et de planchers de bois franc.")</f>
        <v>Ils sont dans une pièce spacieuse avec peu de meubles et de planchers de bois franc.</v>
      </c>
    </row>
    <row r="9440">
      <c r="A9440" s="4" t="s">
        <v>11874</v>
      </c>
      <c r="B9440" s="4" t="s">
        <v>11878</v>
      </c>
      <c r="C9440" s="5" t="str">
        <f>IFERROR(__xludf.DUMMYFUNCTION("GOOGLETRANSLATE(B9440,""en"",""fr"")"),"La femme dans le débardeur bleu montre comment Hula Hoop en mouvement rapide.")</f>
        <v>La femme dans le débardeur bleu montre comment Hula Hoop en mouvement rapide.</v>
      </c>
    </row>
    <row r="9441">
      <c r="A9441" s="4" t="s">
        <v>11874</v>
      </c>
      <c r="B9441" s="4" t="s">
        <v>11879</v>
      </c>
      <c r="C9441" s="5" t="str">
        <f>IFERROR(__xludf.DUMMYFUNCTION("GOOGLETRANSLATE(B9441,""en"",""fr"")"),"Ensuite, les deux femmes montrent comment tournoyer le cerceau en le soulevant haut au-dessus de leur tête.")</f>
        <v>Ensuite, les deux femmes montrent comment tournoyer le cerceau en le soulevant haut au-dessus de leur tête.</v>
      </c>
    </row>
    <row r="9442">
      <c r="A9442" s="4" t="s">
        <v>11874</v>
      </c>
      <c r="B9442" s="4" t="s">
        <v>11880</v>
      </c>
      <c r="C9442" s="5" t="str">
        <f>IFERROR(__xludf.DUMMYFUNCTION("GOOGLETRANSLATE(B9442,""en"",""fr"")"),"Ils plient le dos pour se baisser alors que le cerceau continue de Hula.")</f>
        <v>Ils plient le dos pour se baisser alors que le cerceau continue de Hula.</v>
      </c>
    </row>
    <row r="9443">
      <c r="A9443" s="4" t="s">
        <v>11874</v>
      </c>
      <c r="B9443" s="4" t="s">
        <v>11881</v>
      </c>
      <c r="C9443" s="5" t="str">
        <f>IFERROR(__xludf.DUMMYFUNCTION("GOOGLETRANSLATE(B9443,""en"",""fr"")"),"Ils se parlent alors qu'ils partagent des conseils sur les moyens de Hula Hoop.")</f>
        <v>Ils se parlent alors qu'ils partagent des conseils sur les moyens de Hula Hoop.</v>
      </c>
    </row>
    <row r="9444">
      <c r="A9444" s="4" t="s">
        <v>11882</v>
      </c>
      <c r="B9444" s="4" t="s">
        <v>11883</v>
      </c>
      <c r="C9444" s="5" t="str">
        <f>IFERROR(__xludf.DUMMYFUNCTION("GOOGLETRANSLATE(B9444,""en"",""fr"")"),"Les hommes à tour de rôle en coupant une bûche en deux.")</f>
        <v>Les hommes à tour de rôle en coupant une bûche en deux.</v>
      </c>
    </row>
    <row r="9445">
      <c r="A9445" s="4" t="s">
        <v>11882</v>
      </c>
      <c r="B9445" s="4" t="s">
        <v>11884</v>
      </c>
      <c r="C9445" s="5" t="str">
        <f>IFERROR(__xludf.DUMMYFUNCTION("GOOGLETRANSLATE(B9445,""en"",""fr"")"),"Le hachage encore et encore.")</f>
        <v>Le hachage encore et encore.</v>
      </c>
    </row>
    <row r="9446">
      <c r="A9446" s="4" t="s">
        <v>11882</v>
      </c>
      <c r="B9446" s="4" t="s">
        <v>11885</v>
      </c>
      <c r="C9446" s="5" t="str">
        <f>IFERROR(__xludf.DUMMYFUNCTION("GOOGLETRANSLATE(B9446,""en"",""fr"")"),"Le journal se casse en deux.")</f>
        <v>Le journal se casse en deux.</v>
      </c>
    </row>
    <row r="9447">
      <c r="A9447" s="4" t="s">
        <v>11886</v>
      </c>
      <c r="B9447" s="4" t="s">
        <v>11887</v>
      </c>
      <c r="C9447" s="5" t="str">
        <f>IFERROR(__xludf.DUMMYFUNCTION("GOOGLETRANSLATE(B9447,""en"",""fr"")"),"Une femme portant un tablier beige tient un couteau et parle.")</f>
        <v>Une femme portant un tablier beige tient un couteau et parle.</v>
      </c>
    </row>
    <row r="9448">
      <c r="A9448" s="4" t="s">
        <v>11886</v>
      </c>
      <c r="B9448" s="4" t="s">
        <v>11888</v>
      </c>
      <c r="C9448" s="5" t="str">
        <f>IFERROR(__xludf.DUMMYFUNCTION("GOOGLETRANSLATE(B9448,""en"",""fr"")"),"Elle montre ensuite un appareil sur la table et l'incline vers le haut.")</f>
        <v>Elle montre ensuite un appareil sur la table et l'incline vers le haut.</v>
      </c>
    </row>
    <row r="9449">
      <c r="A9449" s="4" t="s">
        <v>11886</v>
      </c>
      <c r="B9449" s="4" t="s">
        <v>11889</v>
      </c>
      <c r="C9449" s="5" t="str">
        <f>IFERROR(__xludf.DUMMYFUNCTION("GOOGLETRANSLATE(B9449,""en"",""fr"")"),"Elle tourne un cadran sur l'appareil et le retire.")</f>
        <v>Elle tourne un cadran sur l'appareil et le retire.</v>
      </c>
    </row>
    <row r="9450">
      <c r="A9450" s="4" t="s">
        <v>11886</v>
      </c>
      <c r="B9450" s="4" t="s">
        <v>11890</v>
      </c>
      <c r="C9450" s="5" t="str">
        <f>IFERROR(__xludf.DUMMYFUNCTION("GOOGLETRANSLATE(B9450,""en"",""fr"")"),"Elle ramasse le couteau et le place sur l'appareil.")</f>
        <v>Elle ramasse le couteau et le place sur l'appareil.</v>
      </c>
    </row>
    <row r="9451">
      <c r="A9451" s="4" t="s">
        <v>11886</v>
      </c>
      <c r="B9451" s="4" t="s">
        <v>11891</v>
      </c>
      <c r="C9451" s="5" t="str">
        <f>IFERROR(__xludf.DUMMYFUNCTION("GOOGLETRANSLATE(B9451,""en"",""fr"")"),"Elle retourne à nouveau le cadran sur l'appareil.")</f>
        <v>Elle retourne à nouveau le cadran sur l'appareil.</v>
      </c>
    </row>
    <row r="9452">
      <c r="A9452" s="4" t="s">
        <v>11886</v>
      </c>
      <c r="B9452" s="4" t="s">
        <v>11892</v>
      </c>
      <c r="C9452" s="5" t="str">
        <f>IFERROR(__xludf.DUMMYFUNCTION("GOOGLETRANSLATE(B9452,""en"",""fr"")"),"Elle ramasse le couteau et le place dans l'appareil et le retire lentement plusieurs fois.")</f>
        <v>Elle ramasse le couteau et le place dans l'appareil et le retire lentement plusieurs fois.</v>
      </c>
    </row>
    <row r="9453">
      <c r="A9453" s="4" t="s">
        <v>11886</v>
      </c>
      <c r="B9453" s="4" t="s">
        <v>11893</v>
      </c>
      <c r="C9453" s="5" t="str">
        <f>IFERROR(__xludf.DUMMYFUNCTION("GOOGLETRANSLATE(B9453,""en"",""fr"")"),"Elle tranche une tomate sur un bloc de bois avec le couteau.")</f>
        <v>Elle tranche une tomate sur un bloc de bois avec le couteau.</v>
      </c>
    </row>
    <row r="9454">
      <c r="A9454" s="4" t="s">
        <v>11886</v>
      </c>
      <c r="B9454" s="4" t="s">
        <v>11894</v>
      </c>
      <c r="C9454" s="5" t="str">
        <f>IFERROR(__xludf.DUMMYFUNCTION("GOOGLETRANSLATE(B9454,""en"",""fr"")"),"Elle attrape un deuxième couteau et le met dans l'appareil.")</f>
        <v>Elle attrape un deuxième couteau et le met dans l'appareil.</v>
      </c>
    </row>
    <row r="9455">
      <c r="A9455" s="4" t="s">
        <v>11895</v>
      </c>
      <c r="B9455" s="6" t="s">
        <v>11896</v>
      </c>
      <c r="C9455" s="5" t="str">
        <f>IFERROR(__xludf.DUMMYFUNCTION("GOOGLETRANSLATE(B9455,""en"",""fr"")"),"Un gros plan d'une haie est montré suivi par un homme marchant dans des cadres avec des outils et commençant à couper la haie.")</f>
        <v>Un gros plan d'une haie est montré suivi par un homme marchant dans des cadres avec des outils et commençant à couper la haie.</v>
      </c>
    </row>
    <row r="9456">
      <c r="A9456" s="4" t="s">
        <v>11895</v>
      </c>
      <c r="B9456" s="4" t="s">
        <v>11897</v>
      </c>
      <c r="C9456" s="5" t="str">
        <f>IFERROR(__xludf.DUMMYFUNCTION("GOOGLETRANSLATE(B9456,""en"",""fr"")"),"L'homme continue de couper tout le long de la haie tout en se déplaçant dans et hors du cadre.")</f>
        <v>L'homme continue de couper tout le long de la haie tout en se déplaçant dans et hors du cadre.</v>
      </c>
    </row>
    <row r="9457">
      <c r="A9457" s="4" t="s">
        <v>11898</v>
      </c>
      <c r="B9457" s="4" t="s">
        <v>11899</v>
      </c>
      <c r="C9457" s="5" t="str">
        <f>IFERROR(__xludf.DUMMYFUNCTION("GOOGLETRANSLATE(B9457,""en"",""fr"")"),"Nous voyons un homme dans une cour ratissant avec un titre à l'écran.")</f>
        <v>Nous voyons un homme dans une cour ratissant avec un titre à l'écran.</v>
      </c>
    </row>
    <row r="9458">
      <c r="A9458" s="4" t="s">
        <v>11898</v>
      </c>
      <c r="B9458" s="4" t="s">
        <v>11900</v>
      </c>
      <c r="C9458" s="5" t="str">
        <f>IFERROR(__xludf.DUMMYFUNCTION("GOOGLETRANSLATE(B9458,""en"",""fr"")"),"Nous voyons un tronc d'arbre et des feuilles tomber.")</f>
        <v>Nous voyons un tronc d'arbre et des feuilles tomber.</v>
      </c>
    </row>
    <row r="9459">
      <c r="A9459" s="4" t="s">
        <v>11898</v>
      </c>
      <c r="B9459" s="4" t="s">
        <v>11901</v>
      </c>
      <c r="C9459" s="5" t="str">
        <f>IFERROR(__xludf.DUMMYFUNCTION("GOOGLETRANSLATE(B9459,""en"",""fr"")"),"Nous voyons l'homme parler et voir la cour pendant qu'il se réjouit.")</f>
        <v>Nous voyons l'homme parler et voir la cour pendant qu'il se réjouit.</v>
      </c>
    </row>
    <row r="9460">
      <c r="A9460" s="4" t="s">
        <v>11898</v>
      </c>
      <c r="B9460" s="4" t="s">
        <v>11902</v>
      </c>
      <c r="C9460" s="5" t="str">
        <f>IFERROR(__xludf.DUMMYFUNCTION("GOOGLETRANSLATE(B9460,""en"",""fr"")"),"Nous voyons ensuite l'homme alors qu'il le souffle avec un souffleur de feuilles et un vide.")</f>
        <v>Nous voyons ensuite l'homme alors qu'il le souffle avec un souffleur de feuilles et un vide.</v>
      </c>
    </row>
    <row r="9461">
      <c r="A9461" s="4" t="s">
        <v>11903</v>
      </c>
      <c r="B9461" s="4" t="s">
        <v>11904</v>
      </c>
      <c r="C9461" s="5" t="str">
        <f>IFERROR(__xludf.DUMMYFUNCTION("GOOGLETRANSLATE(B9461,""en"",""fr"")"),"Plusieurs images de chiens sont montrées à l'extérieur sur le terrain.")</f>
        <v>Plusieurs images de chiens sont montrées à l'extérieur sur le terrain.</v>
      </c>
    </row>
    <row r="9462">
      <c r="A9462" s="4" t="s">
        <v>11903</v>
      </c>
      <c r="B9462" s="6" t="s">
        <v>11905</v>
      </c>
      <c r="C9462" s="5" t="str">
        <f>IFERROR(__xludf.DUMMYFUNCTION("GOOGLETRANSLATE(B9462,""en"",""fr"")"),"Une jeune femme apparaît alors dans un champ herbeux et joue avec son chien et lui jetant un frisbee rouge.")</f>
        <v>Une jeune femme apparaît alors dans un champ herbeux et joue avec son chien et lui jetant un frisbee rouge.</v>
      </c>
    </row>
    <row r="9463">
      <c r="A9463" s="4" t="s">
        <v>11903</v>
      </c>
      <c r="B9463" s="6" t="s">
        <v>11906</v>
      </c>
      <c r="C9463" s="5" t="str">
        <f>IFERROR(__xludf.DUMMYFUNCTION("GOOGLETRANSLATE(B9463,""en"",""fr"")"),"La fille s'agenouille ensuite dans l'herbe et tient le frisbee au-dessus de sa tête et félicite son chien à mesure que l'astuce est terminée et ils continuent de le faire encore et encore.")</f>
        <v>La fille s'agenouille ensuite dans l'herbe et tient le frisbee au-dessus de sa tête et félicite son chien à mesure que l'astuce est terminée et ils continuent de le faire encore et encore.</v>
      </c>
    </row>
    <row r="9464">
      <c r="A9464" s="4" t="s">
        <v>11907</v>
      </c>
      <c r="B9464" s="6" t="s">
        <v>11908</v>
      </c>
      <c r="C9464" s="5" t="str">
        <f>IFERROR(__xludf.DUMMYFUNCTION("GOOGLETRANSLATE(B9464,""en"",""fr"")"),"Un jeune garçon s'agenouille à l'extérieur et se lave le visage et les mains des petits plats, devant lui, remplis d'eau et de savon.")</f>
        <v>Un jeune garçon s'agenouille à l'extérieur et se lave le visage et les mains des petits plats, devant lui, remplis d'eau et de savon.</v>
      </c>
    </row>
    <row r="9465">
      <c r="A9465" s="4" t="s">
        <v>11907</v>
      </c>
      <c r="B9465" s="4" t="s">
        <v>11909</v>
      </c>
      <c r="C9465" s="5" t="str">
        <f>IFERROR(__xludf.DUMMYFUNCTION("GOOGLETRANSLATE(B9465,""en"",""fr"")"),"Un garçon s'agenouille dans un coin d'un patio extérieur devant une rangée de bols.")</f>
        <v>Un garçon s'agenouille dans un coin d'un patio extérieur devant une rangée de bols.</v>
      </c>
    </row>
    <row r="9466">
      <c r="A9466" s="4" t="s">
        <v>11907</v>
      </c>
      <c r="B9466" s="4" t="s">
        <v>11910</v>
      </c>
      <c r="C9466" s="5" t="str">
        <f>IFERROR(__xludf.DUMMYFUNCTION("GOOGLETRANSLATE(B9466,""en"",""fr"")"),"Le garçon éclabousse l'eau sur son visage et se lance ses mains avec de l'eau savonneuse de la vaisselle.")</f>
        <v>Le garçon éclabousse l'eau sur son visage et se lance ses mains avec de l'eau savonneuse de la vaisselle.</v>
      </c>
    </row>
    <row r="9467">
      <c r="A9467" s="4" t="s">
        <v>11907</v>
      </c>
      <c r="B9467" s="4" t="s">
        <v>11911</v>
      </c>
      <c r="C9467" s="5" t="str">
        <f>IFERROR(__xludf.DUMMYFUNCTION("GOOGLETRANSLATE(B9467,""en"",""fr"")"),"Le garçon continue de se laver le visage en tant que femme dans un vêtement de robe de couleur claire qui passe devant lui.")</f>
        <v>Le garçon continue de se laver le visage en tant que femme dans un vêtement de robe de couleur claire qui passe devant lui.</v>
      </c>
    </row>
    <row r="9468">
      <c r="A9468" s="4" t="s">
        <v>11912</v>
      </c>
      <c r="B9468" s="4" t="s">
        <v>11913</v>
      </c>
      <c r="C9468" s="5" t="str">
        <f>IFERROR(__xludf.DUMMYFUNCTION("GOOGLETRANSLATE(B9468,""en"",""fr"")"),"Une personne utilise une feuille souffle et souffle les feuilles.")</f>
        <v>Une personne utilise une feuille souffle et souffle les feuilles.</v>
      </c>
    </row>
    <row r="9469">
      <c r="A9469" s="4" t="s">
        <v>11912</v>
      </c>
      <c r="B9469" s="4" t="s">
        <v>11914</v>
      </c>
      <c r="C9469" s="5" t="str">
        <f>IFERROR(__xludf.DUMMYFUNCTION("GOOGLETRANSLATE(B9469,""en"",""fr"")"),"Le chien court à droite et hors du chemin.")</f>
        <v>Le chien court à droite et hors du chemin.</v>
      </c>
    </row>
    <row r="9470">
      <c r="A9470" s="4" t="s">
        <v>11912</v>
      </c>
      <c r="B9470" s="4" t="s">
        <v>11915</v>
      </c>
      <c r="C9470" s="5" t="str">
        <f>IFERROR(__xludf.DUMMYFUNCTION("GOOGLETRANSLATE(B9470,""en"",""fr"")"),"Le chien revient et le fort devant le souffleur de feuilles.")</f>
        <v>Le chien revient et le fort devant le souffleur de feuilles.</v>
      </c>
    </row>
    <row r="9471">
      <c r="A9471" s="4" t="s">
        <v>11916</v>
      </c>
      <c r="B9471" s="4" t="s">
        <v>11917</v>
      </c>
      <c r="C9471" s="5" t="str">
        <f>IFERROR(__xludf.DUMMYFUNCTION("GOOGLETRANSLATE(B9471,""en"",""fr"")"),"Deux gourmands verrouillent les cornes dans une lutte pour la domination.")</f>
        <v>Deux gourmands verrouillent les cornes dans une lutte pour la domination.</v>
      </c>
    </row>
    <row r="9472">
      <c r="A9472" s="4" t="s">
        <v>11916</v>
      </c>
      <c r="B9472" s="4" t="s">
        <v>11918</v>
      </c>
      <c r="C9472" s="5" t="str">
        <f>IFERROR(__xludf.DUMMYFUNCTION("GOOGLETRANSLATE(B9472,""en"",""fr"")"),"Le combat se poursuit avec le reste du troupeau du gnou regardant.")</f>
        <v>Le combat se poursuit avec le reste du troupeau du gnou regardant.</v>
      </c>
    </row>
    <row r="9473">
      <c r="A9473" s="4" t="s">
        <v>11916</v>
      </c>
      <c r="B9473" s="4" t="s">
        <v>11919</v>
      </c>
      <c r="C9473" s="5" t="str">
        <f>IFERROR(__xludf.DUMMYFUNCTION("GOOGLETRANSLATE(B9473,""en"",""fr"")"),"Le combat se poursuit alors qu'un Wildabeast repousse l'autre du troupeau près d'une rivière.")</f>
        <v>Le combat se poursuit alors qu'un Wildabeast repousse l'autre du troupeau près d'une rivière.</v>
      </c>
    </row>
    <row r="9474">
      <c r="A9474" s="4" t="s">
        <v>11916</v>
      </c>
      <c r="B9474" s="4" t="s">
        <v>11920</v>
      </c>
      <c r="C9474" s="5" t="str">
        <f>IFERROR(__xludf.DUMMYFUNCTION("GOOGLETRANSLATE(B9474,""en"",""fr"")"),"Un gnou abandonne et s'enfuit alors que les autres chases de gnous.")</f>
        <v>Un gnou abandonne et s'enfuit alors que les autres chases de gnous.</v>
      </c>
    </row>
    <row r="9475">
      <c r="A9475" s="4" t="s">
        <v>11921</v>
      </c>
      <c r="B9475" s="4" t="s">
        <v>11922</v>
      </c>
      <c r="C9475" s="5" t="str">
        <f>IFERROR(__xludf.DUMMYFUNCTION("GOOGLETRANSLATE(B9475,""en"",""fr"")"),"Les mains d'une personne sont vues sur une table de poker saisissant des cartes tandis qu'un autre s'occupe.")</f>
        <v>Les mains d'une personne sont vues sur une table de poker saisissant des cartes tandis qu'un autre s'occupe.</v>
      </c>
    </row>
    <row r="9476">
      <c r="A9476" s="4" t="s">
        <v>11921</v>
      </c>
      <c r="B9476" s="4" t="s">
        <v>11923</v>
      </c>
      <c r="C9476" s="5" t="str">
        <f>IFERROR(__xludf.DUMMYFUNCTION("GOOGLETRANSLATE(B9476,""en"",""fr"")"),"Le concessionnaire jette continuellement des cartes tout en mettant des puces.")</f>
        <v>Le concessionnaire jette continuellement des cartes tout en mettant des puces.</v>
      </c>
    </row>
    <row r="9477">
      <c r="A9477" s="4" t="s">
        <v>11921</v>
      </c>
      <c r="B9477" s="4" t="s">
        <v>11924</v>
      </c>
      <c r="C9477" s="5" t="str">
        <f>IFERROR(__xludf.DUMMYFUNCTION("GOOGLETRANSLATE(B9477,""en"",""fr"")"),"La personne qui joue fait la même chose à plusieurs reprises.")</f>
        <v>La personne qui joue fait la même chose à plusieurs reprises.</v>
      </c>
    </row>
    <row r="9478">
      <c r="A9478" s="4" t="s">
        <v>11925</v>
      </c>
      <c r="B9478" s="4" t="s">
        <v>11926</v>
      </c>
      <c r="C9478" s="5" t="str">
        <f>IFERROR(__xludf.DUMMYFUNCTION("GOOGLETRANSLATE(B9478,""en"",""fr"")"),"Une intro mène à un cheval attaché à un veau avec un homme cordant une corde autour de l'animal.")</f>
        <v>Une intro mène à un cheval attaché à un veau avec un homme cordant une corde autour de l'animal.</v>
      </c>
    </row>
    <row r="9479">
      <c r="A9479" s="4" t="s">
        <v>11925</v>
      </c>
      <c r="B9479" s="4" t="s">
        <v>11927</v>
      </c>
      <c r="C9479" s="5" t="str">
        <f>IFERROR(__xludf.DUMMYFUNCTION("GOOGLETRANSLATE(B9479,""en"",""fr"")"),"Un homme est ensuite montré interviewé à la caméra ainsi qu'une autre femme à côté de lui.")</f>
        <v>Un homme est ensuite montré interviewé à la caméra ainsi qu'une autre femme à côté de lui.</v>
      </c>
    </row>
    <row r="9480">
      <c r="A9480" s="4" t="s">
        <v>11928</v>
      </c>
      <c r="B9480" s="4" t="s">
        <v>11929</v>
      </c>
      <c r="C9480" s="5" t="str">
        <f>IFERROR(__xludf.DUMMYFUNCTION("GOOGLETRANSLATE(B9480,""en"",""fr"")"),"Un homme portant une chemise fantôme joue à un jeu de bière.")</f>
        <v>Un homme portant une chemise fantôme joue à un jeu de bière.</v>
      </c>
    </row>
    <row r="9481">
      <c r="A9481" s="4" t="s">
        <v>11928</v>
      </c>
      <c r="B9481" s="4" t="s">
        <v>11930</v>
      </c>
      <c r="C9481" s="5" t="str">
        <f>IFERROR(__xludf.DUMMYFUNCTION("GOOGLETRANSLATE(B9481,""en"",""fr"")"),"Il aligne quatre tasses, jetant les balles dans les tasses.")</f>
        <v>Il aligne quatre tasses, jetant les balles dans les tasses.</v>
      </c>
    </row>
    <row r="9482">
      <c r="A9482" s="4" t="s">
        <v>11928</v>
      </c>
      <c r="B9482" s="4" t="s">
        <v>11931</v>
      </c>
      <c r="C9482" s="5" t="str">
        <f>IFERROR(__xludf.DUMMYFUNCTION("GOOGLETRANSLATE(B9482,""en"",""fr"")"),"Il continue jusqu'à ce que toutes les balles soient parfaitement entrées dans les tasses.")</f>
        <v>Il continue jusqu'à ce que toutes les balles soient parfaitement entrées dans les tasses.</v>
      </c>
    </row>
    <row r="9483">
      <c r="A9483" s="4" t="s">
        <v>11932</v>
      </c>
      <c r="B9483" s="6" t="s">
        <v>11933</v>
      </c>
      <c r="C9483" s="5" t="str">
        <f>IFERROR(__xludf.DUMMYFUNCTION("GOOGLETRANSLATE(B9483,""en"",""fr"")"),"Un groupe d'hommes est tous vu debout les uns avec les autres sur une plage tout en parlant et en riant les uns des autres.")</f>
        <v>Un groupe d'hommes est tous vu debout les uns avec les autres sur une plage tout en parlant et en riant les uns des autres.</v>
      </c>
    </row>
    <row r="9484">
      <c r="A9484" s="4" t="s">
        <v>11932</v>
      </c>
      <c r="B9484" s="4" t="s">
        <v>11934</v>
      </c>
      <c r="C9484" s="5" t="str">
        <f>IFERROR(__xludf.DUMMYFUNCTION("GOOGLETRANSLATE(B9484,""en"",""fr"")"),"Puis les hommes commencent à mettre un écran solaire les uns sur les autres sur une ligne.")</f>
        <v>Puis les hommes commencent à mettre un écran solaire les uns sur les autres sur une ligne.</v>
      </c>
    </row>
    <row r="9485">
      <c r="A9485" s="4" t="s">
        <v>11935</v>
      </c>
      <c r="B9485" s="4" t="s">
        <v>11936</v>
      </c>
      <c r="C9485" s="5" t="str">
        <f>IFERROR(__xludf.DUMMYFUNCTION("GOOGLETRANSLATE(B9485,""en"",""fr"")"),"Un grand bâtiment est représenté avec une tour.")</f>
        <v>Un grand bâtiment est représenté avec une tour.</v>
      </c>
    </row>
    <row r="9486">
      <c r="A9486" s="4" t="s">
        <v>11935</v>
      </c>
      <c r="B9486" s="4" t="s">
        <v>11937</v>
      </c>
      <c r="C9486" s="5" t="str">
        <f>IFERROR(__xludf.DUMMYFUNCTION("GOOGLETRANSLATE(B9486,""en"",""fr"")"),"Les gens applaudissent pour les personnes qui sautent du haut du bâtiment.")</f>
        <v>Les gens applaudissent pour les personnes qui sautent du haut du bâtiment.</v>
      </c>
    </row>
    <row r="9487">
      <c r="A9487" s="4" t="s">
        <v>11938</v>
      </c>
      <c r="B9487" s="4" t="s">
        <v>11939</v>
      </c>
      <c r="C9487" s="5" t="str">
        <f>IFERROR(__xludf.DUMMYFUNCTION("GOOGLETRANSLATE(B9487,""en"",""fr"")"),"Une femme enveloppe plusieurs cadeaux de Noël.")</f>
        <v>Une femme enveloppe plusieurs cadeaux de Noël.</v>
      </c>
    </row>
    <row r="9488">
      <c r="A9488" s="4" t="s">
        <v>11938</v>
      </c>
      <c r="B9488" s="4" t="s">
        <v>11940</v>
      </c>
      <c r="C9488" s="5" t="str">
        <f>IFERROR(__xludf.DUMMYFUNCTION("GOOGLETRANSLATE(B9488,""en"",""fr"")"),"Une femme sourit et coupe un papier d'emballage avec un ciseaux.")</f>
        <v>Une femme sourit et coupe un papier d'emballage avec un ciseaux.</v>
      </c>
    </row>
    <row r="9489">
      <c r="A9489" s="4" t="s">
        <v>11938</v>
      </c>
      <c r="B9489" s="4" t="s">
        <v>11941</v>
      </c>
      <c r="C9489" s="5" t="str">
        <f>IFERROR(__xludf.DUMMYFUNCTION("GOOGLETRANSLATE(B9489,""en"",""fr"")"),"La femme place un ours en peluche dans un bol.")</f>
        <v>La femme place un ours en peluche dans un bol.</v>
      </c>
    </row>
    <row r="9490">
      <c r="A9490" s="4" t="s">
        <v>11938</v>
      </c>
      <c r="B9490" s="4" t="s">
        <v>11942</v>
      </c>
      <c r="C9490" s="5" t="str">
        <f>IFERROR(__xludf.DUMMYFUNCTION("GOOGLETRANSLATE(B9490,""en"",""fr"")"),"Une femme met deux cadeaux de cristal dans une boîte blanche et rose.")</f>
        <v>Une femme met deux cadeaux de cristal dans une boîte blanche et rose.</v>
      </c>
    </row>
    <row r="9491">
      <c r="A9491" s="4" t="s">
        <v>11938</v>
      </c>
      <c r="B9491" s="4" t="s">
        <v>11943</v>
      </c>
      <c r="C9491" s="5" t="str">
        <f>IFERROR(__xludf.DUMMYFUNCTION("GOOGLETRANSLATE(B9491,""en"",""fr"")"),"Une femme occupe un cadeau couvert enveloppé dans du papier d'emballage argenté.")</f>
        <v>Une femme occupe un cadeau couvert enveloppé dans du papier d'emballage argenté.</v>
      </c>
    </row>
    <row r="9492">
      <c r="A9492" s="4" t="s">
        <v>11938</v>
      </c>
      <c r="B9492" s="4" t="s">
        <v>11944</v>
      </c>
      <c r="C9492" s="5" t="str">
        <f>IFERROR(__xludf.DUMMYFUNCTION("GOOGLETRANSLATE(B9492,""en"",""fr"")"),"Une femme place une boîte à bijoux dans une boîte.")</f>
        <v>Une femme place une boîte à bijoux dans une boîte.</v>
      </c>
    </row>
    <row r="9493">
      <c r="A9493" s="4" t="s">
        <v>11938</v>
      </c>
      <c r="B9493" s="4" t="s">
        <v>11945</v>
      </c>
      <c r="C9493" s="5" t="str">
        <f>IFERROR(__xludf.DUMMYFUNCTION("GOOGLETRANSLATE(B9493,""en"",""fr"")"),"La femme présente un bol en or.")</f>
        <v>La femme présente un bol en or.</v>
      </c>
    </row>
    <row r="9494">
      <c r="A9494" s="4" t="s">
        <v>11938</v>
      </c>
      <c r="B9494" s="4" t="s">
        <v>11946</v>
      </c>
      <c r="C9494" s="5" t="str">
        <f>IFERROR(__xludf.DUMMYFUNCTION("GOOGLETRANSLATE(B9494,""en"",""fr"")"),"La femme tend des cadeaux empilés, enveloppés avec ses mains.")</f>
        <v>La femme tend des cadeaux empilés, enveloppés avec ses mains.</v>
      </c>
    </row>
    <row r="9495">
      <c r="A9495" s="4" t="s">
        <v>11938</v>
      </c>
      <c r="B9495" s="4" t="s">
        <v>11947</v>
      </c>
      <c r="C9495" s="5" t="str">
        <f>IFERROR(__xludf.DUMMYFUNCTION("GOOGLETRANSLATE(B9495,""en"",""fr"")"),"La femme souffle des papiers à paillettes de la paume de sa main.")</f>
        <v>La femme souffle des papiers à paillettes de la paume de sa main.</v>
      </c>
    </row>
    <row r="9496">
      <c r="A9496" s="4" t="s">
        <v>11938</v>
      </c>
      <c r="B9496" s="4" t="s">
        <v>11948</v>
      </c>
      <c r="C9496" s="5" t="str">
        <f>IFERROR(__xludf.DUMMYFUNCTION("GOOGLETRANSLATE(B9496,""en"",""fr"")"),"Le sponsor des clips est introduit et affiché à l'écran.")</f>
        <v>Le sponsor des clips est introduit et affiché à l'écran.</v>
      </c>
    </row>
    <row r="9497">
      <c r="A9497" s="4" t="s">
        <v>11949</v>
      </c>
      <c r="B9497" s="6" t="s">
        <v>11950</v>
      </c>
      <c r="C9497" s="5" t="str">
        <f>IFERROR(__xludf.DUMMYFUNCTION("GOOGLETRANSLATE(B9497,""en"",""fr"")"),"Il y a un homme portant une chemise graphique blanche, assise avec des tambours de Bongo, battant un battement à la batterie.")</f>
        <v>Il y a un homme portant une chemise graphique blanche, assise avec des tambours de Bongo, battant un battement à la batterie.</v>
      </c>
    </row>
    <row r="9498">
      <c r="A9498" s="4" t="s">
        <v>11949</v>
      </c>
      <c r="B9498" s="4" t="s">
        <v>11951</v>
      </c>
      <c r="C9498" s="5" t="str">
        <f>IFERROR(__xludf.DUMMYFUNCTION("GOOGLETRANSLATE(B9498,""en"",""fr"")"),"Il porte des écouteurs alors qu'il bat un battement à la batterie.")</f>
        <v>Il porte des écouteurs alors qu'il bat un battement à la batterie.</v>
      </c>
    </row>
    <row r="9499">
      <c r="A9499" s="4" t="s">
        <v>11949</v>
      </c>
      <c r="B9499" s="4" t="s">
        <v>11952</v>
      </c>
      <c r="C9499" s="5" t="str">
        <f>IFERROR(__xludf.DUMMYFUNCTION("GOOGLETRANSLATE(B9499,""en"",""fr"")"),"Il continue de jouer de la batterie.")</f>
        <v>Il continue de jouer de la batterie.</v>
      </c>
    </row>
    <row r="9500">
      <c r="A9500" s="4" t="s">
        <v>11949</v>
      </c>
      <c r="B9500" s="4" t="s">
        <v>11953</v>
      </c>
      <c r="C9500" s="5" t="str">
        <f>IFERROR(__xludf.DUMMYFUNCTION("GOOGLETRANSLATE(B9500,""en"",""fr"")"),"Après un certain temps, il change le rythme après s'arrêter un peu de temps.")</f>
        <v>Après un certain temps, il change le rythme après s'arrêter un peu de temps.</v>
      </c>
    </row>
    <row r="9501">
      <c r="A9501" s="4" t="s">
        <v>11949</v>
      </c>
      <c r="B9501" s="4" t="s">
        <v>11954</v>
      </c>
      <c r="C9501" s="5" t="str">
        <f>IFERROR(__xludf.DUMMYFUNCTION("GOOGLETRANSLATE(B9501,""en"",""fr"")"),"Puis continue de jouer un autre battement à la batterie.")</f>
        <v>Puis continue de jouer un autre battement à la batterie.</v>
      </c>
    </row>
    <row r="9502">
      <c r="A9502" s="4" t="s">
        <v>11949</v>
      </c>
      <c r="B9502" s="4" t="s">
        <v>11955</v>
      </c>
      <c r="C9502" s="5" t="str">
        <f>IFERROR(__xludf.DUMMYFUNCTION("GOOGLETRANSLATE(B9502,""en"",""fr"")"),"Puis il s'arrête un peu et réorganise les tambours pour jouer à nouveau.")</f>
        <v>Puis il s'arrête un peu et réorganise les tambours pour jouer à nouveau.</v>
      </c>
    </row>
    <row r="9503">
      <c r="A9503" s="4" t="s">
        <v>11949</v>
      </c>
      <c r="B9503" s="4" t="s">
        <v>11956</v>
      </c>
      <c r="C9503" s="5" t="str">
        <f>IFERROR(__xludf.DUMMYFUNCTION("GOOGLETRANSLATE(B9503,""en"",""fr"")"),"Une autre personne bat des battements sur un ensemble de batterie électrique qui a plusieurs tambours.")</f>
        <v>Une autre personne bat des battements sur un ensemble de batterie électrique qui a plusieurs tambours.</v>
      </c>
    </row>
    <row r="9504">
      <c r="A9504" s="4" t="s">
        <v>11957</v>
      </c>
      <c r="B9504" s="6" t="s">
        <v>11958</v>
      </c>
      <c r="C9504" s="5" t="str">
        <f>IFERROR(__xludf.DUMMYFUNCTION("GOOGLETRANSLATE(B9504,""en"",""fr"")"),"Un homme est vu se diriger vers une jeune fille qui se tient sur une scène et commence à jouer des arts martiaux.")</f>
        <v>Un homme est vu se diriger vers une jeune fille qui se tient sur une scène et commence à jouer des arts martiaux.</v>
      </c>
    </row>
    <row r="9505">
      <c r="A9505" s="4" t="s">
        <v>11957</v>
      </c>
      <c r="B9505" s="4" t="s">
        <v>11959</v>
      </c>
      <c r="C9505" s="5" t="str">
        <f>IFERROR(__xludf.DUMMYFUNCTION("GOOGLETRANSLATE(B9505,""en"",""fr"")"),"Elle effectue plusieurs flips et astuces et arcant à un homme à la fin tandis que tout le monde applaudit pour elle.")</f>
        <v>Elle effectue plusieurs flips et astuces et arcant à un homme à la fin tandis que tout le monde applaudit pour elle.</v>
      </c>
    </row>
    <row r="9506">
      <c r="A9506" s="4" t="s">
        <v>11960</v>
      </c>
      <c r="B9506" s="4" t="s">
        <v>11961</v>
      </c>
      <c r="C9506" s="5" t="str">
        <f>IFERROR(__xludf.DUMMYFUNCTION("GOOGLETRANSLATE(B9506,""en"",""fr"")"),"L'homme en chemise noire et en jean bleu roule un vieux tapis rouge et aspirez le sol.")</f>
        <v>L'homme en chemise noire et en jean bleu roule un vieux tapis rouge et aspirez le sol.</v>
      </c>
    </row>
    <row r="9507">
      <c r="A9507" s="4" t="s">
        <v>11960</v>
      </c>
      <c r="B9507" s="6" t="s">
        <v>11962</v>
      </c>
      <c r="C9507" s="5" t="str">
        <f>IFERROR(__xludf.DUMMYFUNCTION("GOOGLETRANSLATE(B9507,""en"",""fr"")"),"Il déroute ensuite le nouveau tapis gris, l'installer en le coupant et en clouant le tapis sur le sol, il a retiré l'excédent de tapis sur le mur, l'a aplati avec un outil, puis l'aspirateur une fois l'installation terminée.")</f>
        <v>Il déroute ensuite le nouveau tapis gris, l'installer en le coupant et en clouant le tapis sur le sol, il a retiré l'excédent de tapis sur le mur, l'a aplati avec un outil, puis l'aspirateur une fois l'installation terminée.</v>
      </c>
    </row>
    <row r="9508">
      <c r="A9508" s="4" t="s">
        <v>11963</v>
      </c>
      <c r="B9508" s="6" t="s">
        <v>11964</v>
      </c>
      <c r="C9508" s="5" t="str">
        <f>IFERROR(__xludf.DUMMYFUNCTION("GOOGLETRANSLATE(B9508,""en"",""fr"")"),"Une introduction mène à une caméra qui entre dans divers emplacements de neige avec des gens se déplaçant et les charrues se déplacent.")</f>
        <v>Une introduction mène à une caméra qui entre dans divers emplacements de neige avec des gens se déplaçant et les charrues se déplacent.</v>
      </c>
    </row>
    <row r="9509">
      <c r="A9509" s="4" t="s">
        <v>11963</v>
      </c>
      <c r="B9509" s="6" t="s">
        <v>11965</v>
      </c>
      <c r="C9509" s="5" t="str">
        <f>IFERROR(__xludf.DUMMYFUNCTION("GOOGLETRANSLATE(B9509,""en"",""fr"")"),"La caméra montre plusieurs personnes différentes qui s'étendent et se réchauffent, suivis de deux personnes qui tombent et se lèvent.")</f>
        <v>La caméra montre plusieurs personnes différentes qui s'étendent et se réchauffent, suivis de deux personnes qui tombent et se lèvent.</v>
      </c>
    </row>
    <row r="9510">
      <c r="A9510" s="4" t="s">
        <v>11963</v>
      </c>
      <c r="B9510" s="4" t="s">
        <v>11966</v>
      </c>
      <c r="C9510" s="5" t="str">
        <f>IFERROR(__xludf.DUMMYFUNCTION("GOOGLETRANSLATE(B9510,""en"",""fr"")"),"Plusieurs clips sont illustrés à des pensionnaires faisant des astuces sur une montagne ainsi que des sauts et des mouches.")</f>
        <v>Plusieurs clips sont illustrés à des pensionnaires faisant des astuces sur une montagne ainsi que des sauts et des mouches.</v>
      </c>
    </row>
    <row r="9511">
      <c r="A9511" s="4" t="s">
        <v>11967</v>
      </c>
      <c r="B9511" s="4" t="s">
        <v>11968</v>
      </c>
      <c r="C9511" s="5" t="str">
        <f>IFERROR(__xludf.DUMMYFUNCTION("GOOGLETRANSLATE(B9511,""en"",""fr"")"),"Un homme court sur le terrain d'un jeu sportif.")</f>
        <v>Un homme court sur le terrain d'un jeu sportif.</v>
      </c>
    </row>
    <row r="9512">
      <c r="A9512" s="4" t="s">
        <v>11967</v>
      </c>
      <c r="B9512" s="4" t="s">
        <v>11969</v>
      </c>
      <c r="C9512" s="5" t="str">
        <f>IFERROR(__xludf.DUMMYFUNCTION("GOOGLETRANSLATE(B9512,""en"",""fr"")"),"Les joueurs de cricket sont des balles lancées lors d'un match dans un grand stade.")</f>
        <v>Les joueurs de cricket sont des balles lancées lors d'un match dans un grand stade.</v>
      </c>
    </row>
    <row r="9513">
      <c r="A9513" s="4" t="s">
        <v>11967</v>
      </c>
      <c r="B9513" s="4" t="s">
        <v>11970</v>
      </c>
      <c r="C9513" s="5" t="str">
        <f>IFERROR(__xludf.DUMMYFUNCTION("GOOGLETRANSLATE(B9513,""en"",""fr"")"),"Le joueur de cricket frappe une mouche pop élevée qui est capturée.")</f>
        <v>Le joueur de cricket frappe une mouche pop élevée qui est capturée.</v>
      </c>
    </row>
    <row r="9514">
      <c r="A9514" s="4" t="s">
        <v>11967</v>
      </c>
      <c r="B9514" s="4" t="s">
        <v>11971</v>
      </c>
      <c r="C9514" s="5" t="str">
        <f>IFERROR(__xludf.DUMMYFUNCTION("GOOGLETRANSLATE(B9514,""en"",""fr"")"),"Les joueurs de cricket posent pour des photos.")</f>
        <v>Les joueurs de cricket posent pour des photos.</v>
      </c>
    </row>
    <row r="9515">
      <c r="A9515" s="4" t="s">
        <v>11967</v>
      </c>
      <c r="B9515" s="4" t="s">
        <v>11972</v>
      </c>
      <c r="C9515" s="5" t="str">
        <f>IFERROR(__xludf.DUMMYFUNCTION("GOOGLETRANSLATE(B9515,""en"",""fr"")"),"Les joueurs s'alignent tous pour une course sur la piste adjacente.")</f>
        <v>Les joueurs s'alignent tous pour une course sur la piste adjacente.</v>
      </c>
    </row>
    <row r="9516">
      <c r="A9516" s="4" t="s">
        <v>11973</v>
      </c>
      <c r="B9516" s="4" t="s">
        <v>11974</v>
      </c>
      <c r="C9516" s="5" t="str">
        <f>IFERROR(__xludf.DUMMYFUNCTION("GOOGLETRANSLATE(B9516,""en"",""fr"")"),"Une intro de texte mène à plusieurs clips d'athlètes jetant des javelots au loin.")</f>
        <v>Une intro de texte mène à plusieurs clips d'athlètes jetant des javelots au loin.</v>
      </c>
    </row>
    <row r="9517">
      <c r="A9517" s="4" t="s">
        <v>11973</v>
      </c>
      <c r="B9517" s="6" t="s">
        <v>11975</v>
      </c>
      <c r="C9517" s="5" t="str">
        <f>IFERROR(__xludf.DUMMYFUNCTION("GOOGLETRANSLATE(B9517,""en"",""fr"")"),"La vidéo continue avec plusieurs autres athlètes diffusés effectuant des lancers impressionnants avec le javelot.")</f>
        <v>La vidéo continue avec plusieurs autres athlètes diffusés effectuant des lancers impressionnants avec le javelot.</v>
      </c>
    </row>
    <row r="9518">
      <c r="A9518" s="4" t="s">
        <v>11976</v>
      </c>
      <c r="B9518" s="4" t="s">
        <v>11977</v>
      </c>
      <c r="C9518" s="5" t="str">
        <f>IFERROR(__xludf.DUMMYFUNCTION("GOOGLETRANSLATE(B9518,""en"",""fr"")"),"Un homme en veste rouge parle sur une patinoire de hockey.")</f>
        <v>Un homme en veste rouge parle sur une patinoire de hockey.</v>
      </c>
    </row>
    <row r="9519">
      <c r="A9519" s="4" t="s">
        <v>11976</v>
      </c>
      <c r="B9519" s="4" t="s">
        <v>11978</v>
      </c>
      <c r="C9519" s="5" t="str">
        <f>IFERROR(__xludf.DUMMYFUNCTION("GOOGLETRANSLATE(B9519,""en"",""fr"")"),"Plusieurs personnes commencent à jouer au hockey sur la glace.")</f>
        <v>Plusieurs personnes commencent à jouer au hockey sur la glace.</v>
      </c>
    </row>
    <row r="9520">
      <c r="A9520" s="4" t="s">
        <v>11976</v>
      </c>
      <c r="B9520" s="4" t="s">
        <v>11979</v>
      </c>
      <c r="C9520" s="5" t="str">
        <f>IFERROR(__xludf.DUMMYFUNCTION("GOOGLETRANSLATE(B9520,""en"",""fr"")"),"Il fait un câlin à un autre joueur.")</f>
        <v>Il fait un câlin à un autre joueur.</v>
      </c>
    </row>
    <row r="9521">
      <c r="A9521" s="4" t="s">
        <v>11980</v>
      </c>
      <c r="B9521" s="4" t="s">
        <v>11981</v>
      </c>
      <c r="C9521" s="5" t="str">
        <f>IFERROR(__xludf.DUMMYFUNCTION("GOOGLETRANSLATE(B9521,""en"",""fr"")"),"L'homme conduit une moto dans un chemin poussiéreux à l'intérieur d'un dôme.")</f>
        <v>L'homme conduit une moto dans un chemin poussiéreux à l'intérieur d'un dôme.</v>
      </c>
    </row>
    <row r="9522">
      <c r="A9522" s="4" t="s">
        <v>11980</v>
      </c>
      <c r="B9522" s="4" t="s">
        <v>11982</v>
      </c>
      <c r="C9522" s="5" t="str">
        <f>IFERROR(__xludf.DUMMYFUNCTION("GOOGLETRANSLATE(B9522,""en"",""fr"")"),"Les motos conduisent des vélos faisant du motocross dans un champ à l'intérieur d'un dôme.")</f>
        <v>Les motos conduisent des vélos faisant du motocross dans un champ à l'intérieur d'un dôme.</v>
      </c>
    </row>
    <row r="9523">
      <c r="A9523" s="4" t="s">
        <v>11980</v>
      </c>
      <c r="B9523" s="4" t="s">
        <v>11983</v>
      </c>
      <c r="C9523" s="5" t="str">
        <f>IFERROR(__xludf.DUMMYFUNCTION("GOOGLETRANSLATE(B9523,""en"",""fr"")"),"Les gens sont en vélos dans une compétition.")</f>
        <v>Les gens sont en vélos dans une compétition.</v>
      </c>
    </row>
    <row r="9524">
      <c r="A9524" s="4" t="s">
        <v>11984</v>
      </c>
      <c r="B9524" s="4" t="s">
        <v>11985</v>
      </c>
      <c r="C9524" s="5" t="str">
        <f>IFERROR(__xludf.DUMMYFUNCTION("GOOGLETRANSLATE(B9524,""en"",""fr"")"),"Un homme se tient à côté d'un tas d'outils de détention en bois sur ses épaules.")</f>
        <v>Un homme se tient à côté d'un tas d'outils de détention en bois sur ses épaules.</v>
      </c>
    </row>
    <row r="9525">
      <c r="A9525" s="4" t="s">
        <v>11984</v>
      </c>
      <c r="B9525" s="4" t="s">
        <v>11986</v>
      </c>
      <c r="C9525" s="5" t="str">
        <f>IFERROR(__xludf.DUMMYFUNCTION("GOOGLETRANSLATE(B9525,""en"",""fr"")"),"L'homme utilise une grande hache pour hacher les bûches debout debout dans une zone boisée boisée.")</f>
        <v>L'homme utilise une grande hache pour hacher les bûches debout debout dans une zone boisée boisée.</v>
      </c>
    </row>
    <row r="9526">
      <c r="A9526" s="4" t="s">
        <v>11987</v>
      </c>
      <c r="B9526" s="6" t="s">
        <v>11988</v>
      </c>
      <c r="C9526" s="5" t="str">
        <f>IFERROR(__xludf.DUMMYFUNCTION("GOOGLETRANSLATE(B9526,""en"",""fr"")"),"Deux hommes jouent au ping-pong ensemble, un gars porte un costume noir, le gars du costume noir a un style unique.")</f>
        <v>Deux hommes jouent au ping-pong ensemble, un gars porte un costume noir, le gars du costume noir a un style unique.</v>
      </c>
    </row>
    <row r="9527">
      <c r="A9527" s="4" t="s">
        <v>11987</v>
      </c>
      <c r="B9527" s="4" t="s">
        <v>11989</v>
      </c>
      <c r="C9527" s="5" t="str">
        <f>IFERROR(__xludf.DUMMYFUNCTION("GOOGLETRANSLATE(B9527,""en"",""fr"")"),"L'homme dans le costume noir augmente la balle de ping-pong et célèbre.")</f>
        <v>L'homme dans le costume noir augmente la balle de ping-pong et célèbre.</v>
      </c>
    </row>
    <row r="9528">
      <c r="A9528" s="4" t="s">
        <v>11987</v>
      </c>
      <c r="B9528" s="6" t="s">
        <v>11990</v>
      </c>
      <c r="C9528" s="5" t="str">
        <f>IFERROR(__xludf.DUMMYFUNCTION("GOOGLETRANSLATE(B9528,""en"",""fr"")"),"La scène de la caméra change pour montrer aux joueurs d'un autre point de vue, le joueur du costume noir fait un autre pic sur le ballon.")</f>
        <v>La scène de la caméra change pour montrer aux joueurs d'un autre point de vue, le joueur du costume noir fait un autre pic sur le ballon.</v>
      </c>
    </row>
    <row r="9529">
      <c r="A9529" s="4" t="s">
        <v>11987</v>
      </c>
      <c r="B9529" s="6" t="s">
        <v>11991</v>
      </c>
      <c r="C9529" s="5" t="str">
        <f>IFERROR(__xludf.DUMMYFUNCTION("GOOGLETRANSLATE(B9529,""en"",""fr"")"),"Maintenant, deux joueurs ont joué au joueur dans le costume noir à la fois, il a engelé le ballon sur les deux joueurs.")</f>
        <v>Maintenant, deux joueurs ont joué au joueur dans le costume noir à la fois, il a engelé le ballon sur les deux joueurs.</v>
      </c>
    </row>
    <row r="9530">
      <c r="A9530" s="4" t="s">
        <v>11987</v>
      </c>
      <c r="B9530" s="6" t="s">
        <v>11992</v>
      </c>
      <c r="C9530" s="5" t="str">
        <f>IFERROR(__xludf.DUMMYFUNCTION("GOOGLETRANSLATE(B9530,""en"",""fr"")"),"L'homme en costume noir utilise des nunchucks pour jouer au ping-pong, ils ont maintenant 4 joueurs jouant contre lui, l'homme en costume noir les nargue en lisant un livre en jouant, il fait également une pause des balles de ping-pong, prend une gorgée d"&amp;"e la gorgée de L'eau et reprend l'homme commence à rire d'eux, et les hommes sont frustrés.")</f>
        <v>L'homme en costume noir utilise des nunchucks pour jouer au ping-pong, ils ont maintenant 4 joueurs jouant contre lui, l'homme en costume noir les nargue en lisant un livre en jouant, il fait également une pause des balles de ping-pong, prend une gorgée de la gorgée de L'eau et reprend l'homme commence à rire d'eux, et les hommes sont frustrés.</v>
      </c>
    </row>
    <row r="9531">
      <c r="A9531" s="4" t="s">
        <v>11987</v>
      </c>
      <c r="B9531" s="4" t="s">
        <v>11993</v>
      </c>
      <c r="C9531" s="5" t="str">
        <f>IFERROR(__xludf.DUMMYFUNCTION("GOOGLETRANSLATE(B9531,""en"",""fr"")"),"Un dernier challenger arrive et se dirige vers lui.")</f>
        <v>Un dernier challenger arrive et se dirige vers lui.</v>
      </c>
    </row>
    <row r="9532">
      <c r="A9532" s="4" t="s">
        <v>11987</v>
      </c>
      <c r="B9532" s="4" t="s">
        <v>11994</v>
      </c>
      <c r="C9532" s="5" t="str">
        <f>IFERROR(__xludf.DUMMYFUNCTION("GOOGLETRANSLATE(B9532,""en"",""fr"")"),"Le challenger augmente le ballon si fort qu'il le tue.")</f>
        <v>Le challenger augmente le ballon si fort qu'il le tue.</v>
      </c>
    </row>
    <row r="9533">
      <c r="A9533" s="4" t="s">
        <v>11995</v>
      </c>
      <c r="B9533" s="4" t="s">
        <v>11996</v>
      </c>
      <c r="C9533" s="5" t="str">
        <f>IFERROR(__xludf.DUMMYFUNCTION("GOOGLETRANSLATE(B9533,""en"",""fr"")"),"Deux personnes avant à l'avant poussent les disques sur le sol avec un bâton dans une salle de sport.")</f>
        <v>Deux personnes avant à l'avant poussent les disques sur le sol avec un bâton dans une salle de sport.</v>
      </c>
    </row>
    <row r="9534">
      <c r="A9534" s="4" t="s">
        <v>11995</v>
      </c>
      <c r="B9534" s="4" t="s">
        <v>11997</v>
      </c>
      <c r="C9534" s="5" t="str">
        <f>IFERROR(__xludf.DUMMYFUNCTION("GOOGLETRANSLATE(B9534,""en"",""fr"")"),"Un homme passe devant une horloge.")</f>
        <v>Un homme passe devant une horloge.</v>
      </c>
    </row>
    <row r="9535">
      <c r="A9535" s="4" t="s">
        <v>11998</v>
      </c>
      <c r="B9535" s="4" t="s">
        <v>11999</v>
      </c>
      <c r="C9535" s="5" t="str">
        <f>IFERROR(__xludf.DUMMYFUNCTION("GOOGLETRANSLATE(B9535,""en"",""fr"")"),"Une dame s'assoit et discute, à l'intérieur.")</f>
        <v>Une dame s'assoit et discute, à l'intérieur.</v>
      </c>
    </row>
    <row r="9536">
      <c r="A9536" s="4" t="s">
        <v>11998</v>
      </c>
      <c r="B9536" s="4" t="s">
        <v>12000</v>
      </c>
      <c r="C9536" s="5" t="str">
        <f>IFERROR(__xludf.DUMMYFUNCTION("GOOGLETRANSLATE(B9536,""en"",""fr"")"),"La dame montre ses ongles peints.")</f>
        <v>La dame montre ses ongles peints.</v>
      </c>
    </row>
    <row r="9537">
      <c r="A9537" s="4" t="s">
        <v>11998</v>
      </c>
      <c r="B9537" s="4" t="s">
        <v>12001</v>
      </c>
      <c r="C9537" s="5" t="str">
        <f>IFERROR(__xludf.DUMMYFUNCTION("GOOGLETRANSLATE(B9537,""en"",""fr"")"),"La dame présente ses vernis à ongles.")</f>
        <v>La dame présente ses vernis à ongles.</v>
      </c>
    </row>
    <row r="9538">
      <c r="A9538" s="4" t="s">
        <v>11998</v>
      </c>
      <c r="B9538" s="4" t="s">
        <v>12002</v>
      </c>
      <c r="C9538" s="5" t="str">
        <f>IFERROR(__xludf.DUMMYFUNCTION("GOOGLETRANSLATE(B9538,""en"",""fr"")"),"La dame peint son ongle.")</f>
        <v>La dame peint son ongle.</v>
      </c>
    </row>
    <row r="9539">
      <c r="A9539" s="4" t="s">
        <v>11998</v>
      </c>
      <c r="B9539" s="4" t="s">
        <v>12003</v>
      </c>
      <c r="C9539" s="5" t="str">
        <f>IFERROR(__xludf.DUMMYFUNCTION("GOOGLETRANSLATE(B9539,""en"",""fr"")"),"Le vernis à ongles sur un dossier et les utilise pour embellir son ongle.")</f>
        <v>Le vernis à ongles sur un dossier et les utilise pour embellir son ongle.</v>
      </c>
    </row>
    <row r="9540">
      <c r="A9540" s="4" t="s">
        <v>11998</v>
      </c>
      <c r="B9540" s="4" t="s">
        <v>12004</v>
      </c>
      <c r="C9540" s="5" t="str">
        <f>IFERROR(__xludf.DUMMYFUNCTION("GOOGLETRANSLATE(B9540,""en"",""fr"")"),"La dame lève le pied et montre sa chaussette.")</f>
        <v>La dame lève le pied et montre sa chaussette.</v>
      </c>
    </row>
    <row r="9541">
      <c r="A9541" s="4" t="s">
        <v>11998</v>
      </c>
      <c r="B9541" s="4" t="s">
        <v>1251</v>
      </c>
      <c r="C9541" s="5" t="str">
        <f>IFERROR(__xludf.DUMMYFUNCTION("GOOGLETRANSLATE(B9541,""en"",""fr"")"),"Les crédits du clip sont affichés.")</f>
        <v>Les crédits du clip sont affichés.</v>
      </c>
    </row>
    <row r="9542">
      <c r="A9542" s="4" t="s">
        <v>12005</v>
      </c>
      <c r="B9542" s="4" t="s">
        <v>12006</v>
      </c>
      <c r="C9542" s="5" t="str">
        <f>IFERROR(__xludf.DUMMYFUNCTION("GOOGLETRANSLATE(B9542,""en"",""fr"")"),"Le sujet de la vidéo montre comment jouer au baby-foot.")</f>
        <v>Le sujet de la vidéo montre comment jouer au baby-foot.</v>
      </c>
    </row>
    <row r="9543">
      <c r="A9543" s="4" t="s">
        <v>12005</v>
      </c>
      <c r="B9543" s="4" t="s">
        <v>12007</v>
      </c>
      <c r="C9543" s="5" t="str">
        <f>IFERROR(__xludf.DUMMYFUNCTION("GOOGLETRANSLATE(B9543,""en"",""fr"")"),"Il commence par un écran de titre.")</f>
        <v>Il commence par un écran de titre.</v>
      </c>
    </row>
    <row r="9544">
      <c r="A9544" s="4" t="s">
        <v>12005</v>
      </c>
      <c r="B9544" s="4" t="s">
        <v>12008</v>
      </c>
      <c r="C9544" s="5" t="str">
        <f>IFERROR(__xludf.DUMMYFUNCTION("GOOGLETRANSLATE(B9544,""en"",""fr"")"),"Ensuite, un clip est illustré à un petit garçon qui met une balle en forme de globe oculaire sur une table de baby-foot.")</f>
        <v>Ensuite, un clip est illustré à un petit garçon qui met une balle en forme de globe oculaire sur une table de baby-foot.</v>
      </c>
    </row>
    <row r="9545">
      <c r="A9545" s="4" t="s">
        <v>12005</v>
      </c>
      <c r="B9545" s="4" t="s">
        <v>12009</v>
      </c>
      <c r="C9545" s="5" t="str">
        <f>IFERROR(__xludf.DUMMYFUNCTION("GOOGLETRANSLATE(B9545,""en"",""fr"")"),"Un écran avec des mots apparaît.")</f>
        <v>Un écran avec des mots apparaît.</v>
      </c>
    </row>
    <row r="9546">
      <c r="A9546" s="4" t="s">
        <v>12005</v>
      </c>
      <c r="B9546" s="6" t="s">
        <v>12010</v>
      </c>
      <c r="C9546" s="5" t="str">
        <f>IFERROR(__xludf.DUMMYFUNCTION("GOOGLETRANSLATE(B9546,""en"",""fr"")"),"Ensuite, un clip est montré de deux garçons jouant avec la table de baby-foot, dont l'un lit un magazine en jouant.")</f>
        <v>Ensuite, un clip est montré de deux garçons jouant avec la table de baby-foot, dont l'un lit un magazine en jouant.</v>
      </c>
    </row>
    <row r="9547">
      <c r="A9547" s="4" t="s">
        <v>12005</v>
      </c>
      <c r="B9547" s="4" t="s">
        <v>12011</v>
      </c>
      <c r="C9547" s="5" t="str">
        <f>IFERROR(__xludf.DUMMYFUNCTION("GOOGLETRANSLATE(B9547,""en"",""fr"")"),"Plusieurs clips supplémentaires apparaissent montrant les garçons jouant au baby-foot de différentes manières.")</f>
        <v>Plusieurs clips supplémentaires apparaissent montrant les garçons jouant au baby-foot de différentes manières.</v>
      </c>
    </row>
    <row r="9548">
      <c r="A9548" s="4" t="s">
        <v>12005</v>
      </c>
      <c r="B9548" s="4" t="s">
        <v>12012</v>
      </c>
      <c r="C9548" s="5" t="str">
        <f>IFERROR(__xludf.DUMMYFUNCTION("GOOGLETRANSLATE(B9548,""en"",""fr"")"),"La vidéo se termine avec l'un des garçons qui s'endormit en jouant.")</f>
        <v>La vidéo se termine avec l'un des garçons qui s'endormit en jouant.</v>
      </c>
    </row>
    <row r="9549">
      <c r="A9549" s="4" t="s">
        <v>12013</v>
      </c>
      <c r="B9549" s="4" t="s">
        <v>12014</v>
      </c>
      <c r="C9549" s="5" t="str">
        <f>IFERROR(__xludf.DUMMYFUNCTION("GOOGLETRANSLATE(B9549,""en"",""fr"")"),"Un groupe d'enfants pose avec les bras en l'air.")</f>
        <v>Un groupe d'enfants pose avec les bras en l'air.</v>
      </c>
    </row>
    <row r="9550">
      <c r="A9550" s="4" t="s">
        <v>12013</v>
      </c>
      <c r="B9550" s="4" t="s">
        <v>12015</v>
      </c>
      <c r="C9550" s="5" t="str">
        <f>IFERROR(__xludf.DUMMYFUNCTION("GOOGLETRANSLATE(B9550,""en"",""fr"")"),"Un autre groupe d'enfants pose des signes de paix.")</f>
        <v>Un autre groupe d'enfants pose des signes de paix.</v>
      </c>
    </row>
    <row r="9551">
      <c r="A9551" s="4" t="s">
        <v>12013</v>
      </c>
      <c r="B9551" s="4" t="s">
        <v>12016</v>
      </c>
      <c r="C9551" s="5" t="str">
        <f>IFERROR(__xludf.DUMMYFUNCTION("GOOGLETRANSLATE(B9551,""en"",""fr"")"),"Un troisième groupe d'enfants pose les bras les uns autour des autres.")</f>
        <v>Un troisième groupe d'enfants pose les bras les uns autour des autres.</v>
      </c>
    </row>
    <row r="9552">
      <c r="A9552" s="4" t="s">
        <v>12013</v>
      </c>
      <c r="B9552" s="4" t="s">
        <v>12017</v>
      </c>
      <c r="C9552" s="5" t="str">
        <f>IFERROR(__xludf.DUMMYFUNCTION("GOOGLETRANSLATE(B9552,""en"",""fr"")"),"Un quatrième groupe d'enfants pose la bouche ouverte.")</f>
        <v>Un quatrième groupe d'enfants pose la bouche ouverte.</v>
      </c>
    </row>
    <row r="9553">
      <c r="A9553" s="4" t="s">
        <v>12013</v>
      </c>
      <c r="B9553" s="4" t="s">
        <v>12018</v>
      </c>
      <c r="C9553" s="5" t="str">
        <f>IFERROR(__xludf.DUMMYFUNCTION("GOOGLETRANSLATE(B9553,""en"",""fr"")"),"Un cinquième groupe d'enfants pose souriant.")</f>
        <v>Un cinquième groupe d'enfants pose souriant.</v>
      </c>
    </row>
    <row r="9554">
      <c r="A9554" s="4" t="s">
        <v>12013</v>
      </c>
      <c r="B9554" s="4" t="s">
        <v>12019</v>
      </c>
      <c r="C9554" s="5" t="str">
        <f>IFERROR(__xludf.DUMMYFUNCTION("GOOGLETRANSLATE(B9554,""en"",""fr"")"),"Un groupe d'enfants se tient sur une ligne dans une salle de sport.")</f>
        <v>Un groupe d'enfants se tient sur une ligne dans une salle de sport.</v>
      </c>
    </row>
    <row r="9555">
      <c r="A9555" s="4" t="s">
        <v>12013</v>
      </c>
      <c r="B9555" s="4" t="s">
        <v>12020</v>
      </c>
      <c r="C9555" s="5" t="str">
        <f>IFERROR(__xludf.DUMMYFUNCTION("GOOGLETRANSLATE(B9555,""en"",""fr"")"),"Une fille traverse le gymnase.")</f>
        <v>Une fille traverse le gymnase.</v>
      </c>
    </row>
    <row r="9556">
      <c r="A9556" s="4" t="s">
        <v>12013</v>
      </c>
      <c r="B9556" s="4" t="s">
        <v>12021</v>
      </c>
      <c r="C9556" s="5" t="str">
        <f>IFERROR(__xludf.DUMMYFUNCTION("GOOGLETRANSLATE(B9556,""en"",""fr"")"),"Un jeune garçon fait rebondir un ballon d'esquive.")</f>
        <v>Un jeune garçon fait rebondir un ballon d'esquive.</v>
      </c>
    </row>
    <row r="9557">
      <c r="A9557" s="4" t="s">
        <v>12013</v>
      </c>
      <c r="B9557" s="4" t="s">
        <v>12022</v>
      </c>
      <c r="C9557" s="5" t="str">
        <f>IFERROR(__xludf.DUMMYFUNCTION("GOOGLETRANSLATE(B9557,""en"",""fr"")"),"Un groupe d'enfants en bleu se dirige vers le centre du gymnase.")</f>
        <v>Un groupe d'enfants en bleu se dirige vers le centre du gymnase.</v>
      </c>
    </row>
    <row r="9558">
      <c r="A9558" s="4" t="s">
        <v>12013</v>
      </c>
      <c r="B9558" s="6" t="s">
        <v>12023</v>
      </c>
      <c r="C9558" s="5" t="str">
        <f>IFERROR(__xludf.DUMMYFUNCTION("GOOGLETRANSLATE(B9558,""en"",""fr"")"),"Un jeune garçon vise un ballon d'esquive sur un groupe d'enfants de l'autre côté du gymnase et lance le ballon en frappant l'un d'eux.")</f>
        <v>Un jeune garçon vise un ballon d'esquive sur un groupe d'enfants de l'autre côté du gymnase et lance le ballon en frappant l'un d'eux.</v>
      </c>
    </row>
    <row r="9559">
      <c r="A9559" s="4" t="s">
        <v>12013</v>
      </c>
      <c r="B9559" s="4" t="s">
        <v>12024</v>
      </c>
      <c r="C9559" s="5" t="str">
        <f>IFERROR(__xludf.DUMMYFUNCTION("GOOGLETRANSLATE(B9559,""en"",""fr"")"),"Un jeune garçon en bleu célèbre.")</f>
        <v>Un jeune garçon en bleu célèbre.</v>
      </c>
    </row>
    <row r="9560">
      <c r="A9560" s="4" t="s">
        <v>12013</v>
      </c>
      <c r="B9560" s="4" t="s">
        <v>12025</v>
      </c>
      <c r="C9560" s="5" t="str">
        <f>IFERROR(__xludf.DUMMYFUNCTION("GOOGLETRANSLATE(B9560,""en"",""fr"")"),"Un autre garçon plus âgé en bleu lance une balle d'esquive.")</f>
        <v>Un autre garçon plus âgé en bleu lance une balle d'esquive.</v>
      </c>
    </row>
    <row r="9561">
      <c r="A9561" s="4" t="s">
        <v>12013</v>
      </c>
      <c r="B9561" s="4" t="s">
        <v>12026</v>
      </c>
      <c r="C9561" s="5" t="str">
        <f>IFERROR(__xludf.DUMMYFUNCTION("GOOGLETRANSLATE(B9561,""en"",""fr"")"),"Un petit garçon court vers la ligne en tenant deux balles et en lance l'un.")</f>
        <v>Un petit garçon court vers la ligne en tenant deux balles et en lance l'un.</v>
      </c>
    </row>
    <row r="9562">
      <c r="A9562" s="4" t="s">
        <v>12013</v>
      </c>
      <c r="B9562" s="4" t="s">
        <v>12027</v>
      </c>
      <c r="C9562" s="5" t="str">
        <f>IFERROR(__xludf.DUMMYFUNCTION("GOOGLETRANSLATE(B9562,""en"",""fr"")"),"Un garçon en bleu lance une balle tandis qu'un garçon derrière lui court.")</f>
        <v>Un garçon en bleu lance une balle tandis qu'un garçon derrière lui court.</v>
      </c>
    </row>
    <row r="9563">
      <c r="A9563" s="4" t="s">
        <v>12013</v>
      </c>
      <c r="B9563" s="4" t="s">
        <v>12028</v>
      </c>
      <c r="C9563" s="5" t="str">
        <f>IFERROR(__xludf.DUMMYFUNCTION("GOOGLETRANSLATE(B9563,""en"",""fr"")"),"Un garçon en rose lance une balle.")</f>
        <v>Un garçon en rose lance une balle.</v>
      </c>
    </row>
    <row r="9564">
      <c r="A9564" s="4" t="s">
        <v>12013</v>
      </c>
      <c r="B9564" s="4" t="s">
        <v>12029</v>
      </c>
      <c r="C9564" s="5" t="str">
        <f>IFERROR(__xludf.DUMMYFUNCTION("GOOGLETRANSLATE(B9564,""en"",""fr"")"),"Un jeune garçon en blanc plonge vers le bas et une balle vole sur sa tête.")</f>
        <v>Un jeune garçon en blanc plonge vers le bas et une balle vole sur sa tête.</v>
      </c>
    </row>
    <row r="9565">
      <c r="A9565" s="4" t="s">
        <v>12013</v>
      </c>
      <c r="B9565" s="4" t="s">
        <v>12030</v>
      </c>
      <c r="C9565" s="5" t="str">
        <f>IFERROR(__xludf.DUMMYFUNCTION("GOOGLETRANSLATE(B9565,""en"",""fr"")"),"Un garçon en rose puis une fille en rose lance une balle.")</f>
        <v>Un garçon en rose puis une fille en rose lance une balle.</v>
      </c>
    </row>
    <row r="9566">
      <c r="A9566" s="4" t="s">
        <v>12013</v>
      </c>
      <c r="B9566" s="4" t="s">
        <v>12031</v>
      </c>
      <c r="C9566" s="5" t="str">
        <f>IFERROR(__xludf.DUMMYFUNCTION("GOOGLETRANSLATE(B9566,""en"",""fr"")"),"Plusieurs enfants en blanc célèbrent.")</f>
        <v>Plusieurs enfants en blanc célèbrent.</v>
      </c>
    </row>
    <row r="9567">
      <c r="A9567" s="4" t="s">
        <v>12013</v>
      </c>
      <c r="B9567" s="4" t="s">
        <v>12032</v>
      </c>
      <c r="C9567" s="5" t="str">
        <f>IFERROR(__xludf.DUMMYFUNCTION("GOOGLETRANSLATE(B9567,""en"",""fr"")"),"Un groupe d'enfants court vers le centre du gymnase.")</f>
        <v>Un groupe d'enfants court vers le centre du gymnase.</v>
      </c>
    </row>
    <row r="9568">
      <c r="A9568" s="4" t="s">
        <v>12013</v>
      </c>
      <c r="B9568" s="4" t="s">
        <v>12033</v>
      </c>
      <c r="C9568" s="5" t="str">
        <f>IFERROR(__xludf.DUMMYFUNCTION("GOOGLETRANSLATE(B9568,""en"",""fr"")"),"L'équipe blanche joue et un très jeune joueur lance le ballon.")</f>
        <v>L'équipe blanche joue et un très jeune joueur lance le ballon.</v>
      </c>
    </row>
    <row r="9569">
      <c r="A9569" s="4" t="s">
        <v>12013</v>
      </c>
      <c r="B9569" s="4" t="s">
        <v>12034</v>
      </c>
      <c r="C9569" s="5" t="str">
        <f>IFERROR(__xludf.DUMMYFUNCTION("GOOGLETRANSLATE(B9569,""en"",""fr"")"),"Un garçon en vert lance le ballon et l'équipe bleue court pour jeter plusieurs balles en arrière.")</f>
        <v>Un garçon en vert lance le ballon et l'équipe bleue court pour jeter plusieurs balles en arrière.</v>
      </c>
    </row>
    <row r="9570">
      <c r="A9570" s="4" t="s">
        <v>12013</v>
      </c>
      <c r="B9570" s="4" t="s">
        <v>12035</v>
      </c>
      <c r="C9570" s="5" t="str">
        <f>IFERROR(__xludf.DUMMYFUNCTION("GOOGLETRANSLATE(B9570,""en"",""fr"")"),"Un autre garçon et une fille courent et lancent une balle en même temps.")</f>
        <v>Un autre garçon et une fille courent et lancent une balle en même temps.</v>
      </c>
    </row>
    <row r="9571">
      <c r="A9571" s="4" t="s">
        <v>12013</v>
      </c>
      <c r="B9571" s="4" t="s">
        <v>12036</v>
      </c>
      <c r="C9571" s="5" t="str">
        <f>IFERROR(__xludf.DUMMYFUNCTION("GOOGLETRANSLATE(B9571,""en"",""fr"")"),"Un garçon en blanc lance une balle.")</f>
        <v>Un garçon en blanc lance une balle.</v>
      </c>
    </row>
    <row r="9572">
      <c r="A9572" s="4" t="s">
        <v>12013</v>
      </c>
      <c r="B9572" s="4" t="s">
        <v>12037</v>
      </c>
      <c r="C9572" s="5" t="str">
        <f>IFERROR(__xludf.DUMMYFUNCTION("GOOGLETRANSLATE(B9572,""en"",""fr"")"),"Un groupe d'adultes se tient sur la ligne sur le sol du gymnase.")</f>
        <v>Un groupe d'adultes se tient sur la ligne sur le sol du gymnase.</v>
      </c>
    </row>
    <row r="9573">
      <c r="A9573" s="4" t="s">
        <v>12013</v>
      </c>
      <c r="B9573" s="4" t="s">
        <v>12038</v>
      </c>
      <c r="C9573" s="5" t="str">
        <f>IFERROR(__xludf.DUMMYFUNCTION("GOOGLETRANSLATE(B9573,""en"",""fr"")"),"Les adultes jouent au ballon do0dge.")</f>
        <v>Les adultes jouent au ballon do0dge.</v>
      </c>
    </row>
    <row r="9574">
      <c r="A9574" s="4" t="s">
        <v>12013</v>
      </c>
      <c r="B9574" s="4" t="s">
        <v>12039</v>
      </c>
      <c r="C9574" s="5" t="str">
        <f>IFERROR(__xludf.DUMMYFUNCTION("GOOGLETRANSLATE(B9574,""en"",""fr"")"),"Un groupe d'enfants et d'adultes tiendra des trophées et des vagues.")</f>
        <v>Un groupe d'enfants et d'adultes tiendra des trophées et des vagues.</v>
      </c>
    </row>
    <row r="9575">
      <c r="A9575" s="4" t="s">
        <v>12040</v>
      </c>
      <c r="B9575" s="4" t="s">
        <v>12041</v>
      </c>
      <c r="C9575" s="5" t="str">
        <f>IFERROR(__xludf.DUMMYFUNCTION("GOOGLETRANSLATE(B9575,""en"",""fr"")"),"Une planche à roulettes pour adolescents sur une route tout en se retournant et en tournant.")</f>
        <v>Une planche à roulettes pour adolescents sur une route tout en se retournant et en tournant.</v>
      </c>
    </row>
    <row r="9576">
      <c r="A9576" s="4" t="s">
        <v>12040</v>
      </c>
      <c r="B9576" s="4" t="s">
        <v>12042</v>
      </c>
      <c r="C9576" s="5" t="str">
        <f>IFERROR(__xludf.DUMMYFUNCTION("GOOGLETRANSLATE(B9576,""en"",""fr"")"),"Une autre planche à roulettes pour les jeunes sur la route tout en faisant des virages.")</f>
        <v>Une autre planche à roulettes pour les jeunes sur la route tout en faisant des virages.</v>
      </c>
    </row>
    <row r="9577">
      <c r="A9577" s="4" t="s">
        <v>12040</v>
      </c>
      <c r="B9577" s="4" t="s">
        <v>12043</v>
      </c>
      <c r="C9577" s="5" t="str">
        <f>IFERROR(__xludf.DUMMYFUNCTION("GOOGLETRANSLATE(B9577,""en"",""fr"")"),"Un garçon tient une planche à roulettes sur sa main.")</f>
        <v>Un garçon tient une planche à roulettes sur sa main.</v>
      </c>
    </row>
    <row r="9578">
      <c r="A9578" s="4" t="s">
        <v>12040</v>
      </c>
      <c r="B9578" s="4" t="s">
        <v>12044</v>
      </c>
      <c r="C9578" s="5" t="str">
        <f>IFERROR(__xludf.DUMMYFUNCTION("GOOGLETRANSLATE(B9578,""en"",""fr"")"),"Un jeune homme de skateboard jusqu'à une rue animée, puis l'adolescent continue de skateboard.")</f>
        <v>Un jeune homme de skateboard jusqu'à une rue animée, puis l'adolescent continue de skateboard.</v>
      </c>
    </row>
    <row r="9579">
      <c r="A9579" s="4" t="s">
        <v>12045</v>
      </c>
      <c r="B9579" s="4" t="s">
        <v>12046</v>
      </c>
      <c r="C9579" s="5" t="str">
        <f>IFERROR(__xludf.DUMMYFUNCTION("GOOGLETRANSLATE(B9579,""en"",""fr"")"),"Un homme met un équipement de paintball dans un miroir attrape son arme et court dans la neige.")</f>
        <v>Un homme met un équipement de paintball dans un miroir attrape son arme et court dans la neige.</v>
      </c>
    </row>
    <row r="9580">
      <c r="A9580" s="4" t="s">
        <v>12045</v>
      </c>
      <c r="B9580" s="4" t="s">
        <v>12047</v>
      </c>
      <c r="C9580" s="5" t="str">
        <f>IFERROR(__xludf.DUMMYFUNCTION("GOOGLETRANSLATE(B9580,""en"",""fr"")"),"Les hommes se cachent derrière des arbres, des murs en contreplaqué et des clôtures sur un terrain de paintball.")</f>
        <v>Les hommes se cachent derrière des arbres, des murs en contreplaqué et des clôtures sur un terrain de paintball.</v>
      </c>
    </row>
    <row r="9581">
      <c r="A9581" s="4" t="s">
        <v>12045</v>
      </c>
      <c r="B9581" s="4" t="s">
        <v>12048</v>
      </c>
      <c r="C9581" s="5" t="str">
        <f>IFERROR(__xludf.DUMMYFUNCTION("GOOGLETRANSLATE(B9581,""en"",""fr"")"),"Les hommes se tirent d'avant en arrière.")</f>
        <v>Les hommes se tirent d'avant en arrière.</v>
      </c>
    </row>
    <row r="9582">
      <c r="A9582" s="4" t="s">
        <v>12045</v>
      </c>
      <c r="B9582" s="4" t="s">
        <v>12049</v>
      </c>
      <c r="C9582" s="5" t="str">
        <f>IFERROR(__xludf.DUMMYFUNCTION("GOOGLETRANSLATE(B9582,""en"",""fr"")"),"Les hommes courent et du canard à la recherche d'un endroit pour se cacher.")</f>
        <v>Les hommes courent et du canard à la recherche d'un endroit pour se cacher.</v>
      </c>
    </row>
    <row r="9583">
      <c r="A9583" s="4" t="s">
        <v>12045</v>
      </c>
      <c r="B9583" s="4" t="s">
        <v>12050</v>
      </c>
      <c r="C9583" s="5" t="str">
        <f>IFERROR(__xludf.DUMMYFUNCTION("GOOGLETRANSLATE(B9583,""en"",""fr"")"),"Les hommes s'assoient de chaque côté du mur à la recherche l'un de l'autre, puis se lèvent et se font face.")</f>
        <v>Les hommes s'assoient de chaque côté du mur à la recherche l'un de l'autre, puis se lèvent et se font face.</v>
      </c>
    </row>
    <row r="9584">
      <c r="A9584" s="4" t="s">
        <v>12045</v>
      </c>
      <c r="B9584" s="4" t="s">
        <v>12051</v>
      </c>
      <c r="C9584" s="5" t="str">
        <f>IFERROR(__xludf.DUMMYFUNCTION("GOOGLETRANSLATE(B9584,""en"",""fr"")"),"Un homme parle devant un panneau de parc de paintball.")</f>
        <v>Un homme parle devant un panneau de parc de paintball.</v>
      </c>
    </row>
    <row r="9585">
      <c r="A9585" s="4" t="s">
        <v>12052</v>
      </c>
      <c r="B9585" s="4" t="s">
        <v>12053</v>
      </c>
      <c r="C9585" s="5" t="str">
        <f>IFERROR(__xludf.DUMMYFUNCTION("GOOGLETRANSLATE(B9585,""en"",""fr"")"),"Plusieurs vélos sont dans un magasin aligné.")</f>
        <v>Plusieurs vélos sont dans un magasin aligné.</v>
      </c>
    </row>
    <row r="9586">
      <c r="A9586" s="4" t="s">
        <v>12052</v>
      </c>
      <c r="B9586" s="4" t="s">
        <v>12054</v>
      </c>
      <c r="C9586" s="5" t="str">
        <f>IFERROR(__xludf.DUMMYFUNCTION("GOOGLETRANSLATE(B9586,""en"",""fr"")"),"Nous voyons des gens qui regardent les vélos et une grande boîte en contenant une.")</f>
        <v>Nous voyons des gens qui regardent les vélos et une grande boîte en contenant une.</v>
      </c>
    </row>
    <row r="9587">
      <c r="A9587" s="4" t="s">
        <v>12052</v>
      </c>
      <c r="B9587" s="4" t="s">
        <v>12055</v>
      </c>
      <c r="C9587" s="5" t="str">
        <f>IFERROR(__xludf.DUMMYFUNCTION("GOOGLETRANSLATE(B9587,""en"",""fr"")"),"Un homme ouvre la boîte et retire le vélo, il montre les pièces à la caméra.")</f>
        <v>Un homme ouvre la boîte et retire le vélo, il montre les pièces à la caméra.</v>
      </c>
    </row>
    <row r="9588">
      <c r="A9588" s="4" t="s">
        <v>12056</v>
      </c>
      <c r="B9588" s="4" t="s">
        <v>12057</v>
      </c>
      <c r="C9588" s="5" t="str">
        <f>IFERROR(__xludf.DUMMYFUNCTION("GOOGLETRANSLATE(B9588,""en"",""fr"")"),"Ehow et le style sont à l'écran.")</f>
        <v>Ehow et le style sont à l'écran.</v>
      </c>
    </row>
    <row r="9589">
      <c r="A9589" s="4" t="s">
        <v>12056</v>
      </c>
      <c r="B9589" s="4" t="s">
        <v>12058</v>
      </c>
      <c r="C9589" s="5" t="str">
        <f>IFERROR(__xludf.DUMMYFUNCTION("GOOGLETRANSLATE(B9589,""en"",""fr"")"),"Une femme est debout à une table avec une chaussure et une boîte de cheminée.")</f>
        <v>Une femme est debout à une table avec une chaussure et une boîte de cheminée.</v>
      </c>
    </row>
    <row r="9590">
      <c r="A9590" s="4" t="s">
        <v>12056</v>
      </c>
      <c r="B9590" s="6" t="s">
        <v>12059</v>
      </c>
      <c r="C9590" s="5" t="str">
        <f>IFERROR(__xludf.DUMMYFUNCTION("GOOGLETRANSLATE(B9590,""en"",""fr"")"),"La femme pulvérise sur une marque de tramage sur la chaussure et prend une pointe de coton et frotte la marque éraflée.")</f>
        <v>La femme pulvérise sur une marque de tramage sur la chaussure et prend une pointe de coton et frotte la marque éraflée.</v>
      </c>
    </row>
    <row r="9591">
      <c r="A9591" s="4" t="s">
        <v>12056</v>
      </c>
      <c r="B9591" s="4" t="s">
        <v>12060</v>
      </c>
      <c r="C9591" s="5" t="str">
        <f>IFERROR(__xludf.DUMMYFUNCTION("GOOGLETRANSLATE(B9591,""en"",""fr"")"),"La marque de scuff a disparu et elle parle à la caméra.")</f>
        <v>La marque de scuff a disparu et elle parle à la caméra.</v>
      </c>
    </row>
    <row r="9592">
      <c r="A9592" s="4" t="s">
        <v>12056</v>
      </c>
      <c r="B9592" s="4" t="s">
        <v>12061</v>
      </c>
      <c r="C9592" s="5" t="str">
        <f>IFERROR(__xludf.DUMMYFUNCTION("GOOGLETRANSLATE(B9592,""en"",""fr"")"),"La vidéo se termine par une promo ehow.")</f>
        <v>La vidéo se termine par une promo ehow.</v>
      </c>
    </row>
    <row r="9593">
      <c r="A9593" s="4" t="s">
        <v>12062</v>
      </c>
      <c r="B9593" s="6" t="s">
        <v>12063</v>
      </c>
      <c r="C9593" s="5" t="str">
        <f>IFERROR(__xludf.DUMMYFUNCTION("GOOGLETRANSLATE(B9593,""en"",""fr"")"),"Un groupe d'hommes se dresse un terrain et un homme lance une balle rouge à l'autre équipe et elle est expulsée.")</f>
        <v>Un groupe d'hommes se dresse un terrain et un homme lance une balle rouge à l'autre équipe et elle est expulsée.</v>
      </c>
    </row>
    <row r="9594">
      <c r="A9594" s="4" t="s">
        <v>12062</v>
      </c>
      <c r="B9594" s="4" t="s">
        <v>12064</v>
      </c>
      <c r="C9594" s="5" t="str">
        <f>IFERROR(__xludf.DUMMYFUNCTION("GOOGLETRANSLATE(B9594,""en"",""fr"")"),"Après, l'équipe change et continue de jouer à des matchs de kickball.")</f>
        <v>Après, l'équipe change et continue de jouer à des matchs de kickball.</v>
      </c>
    </row>
    <row r="9595">
      <c r="A9595" s="4" t="s">
        <v>12062</v>
      </c>
      <c r="B9595" s="6" t="s">
        <v>12065</v>
      </c>
      <c r="C9595" s="5" t="str">
        <f>IFERROR(__xludf.DUMMYFUNCTION("GOOGLETRANSLATE(B9595,""en"",""fr"")"),"Maintenant, deux autres équipes approchent et les capitaines jouent au rock, au papier, aux ciseaux pour déterminer qui commencera le jeu.")</f>
        <v>Maintenant, deux autres équipes approchent et les capitaines jouent au rock, au papier, aux ciseaux pour déterminer qui commencera le jeu.</v>
      </c>
    </row>
    <row r="9596">
      <c r="A9596" s="4" t="s">
        <v>12062</v>
      </c>
      <c r="B9596" s="4" t="s">
        <v>12066</v>
      </c>
      <c r="C9596" s="5" t="str">
        <f>IFERROR(__xludf.DUMMYFUNCTION("GOOGLETRANSLATE(B9596,""en"",""fr"")"),"La femme perd et les hommes commencent à jouer au ballon et à courir vers les bases.")</f>
        <v>La femme perd et les hommes commencent à jouer au ballon et à courir vers les bases.</v>
      </c>
    </row>
    <row r="9597">
      <c r="A9597" s="4" t="s">
        <v>12067</v>
      </c>
      <c r="B9597" s="4" t="s">
        <v>12068</v>
      </c>
      <c r="C9597" s="5" t="str">
        <f>IFERROR(__xludf.DUMMYFUNCTION("GOOGLETRANSLATE(B9597,""en"",""fr"")"),"Un homme marche aux côtés d'un garçon qui tond la pelouse.")</f>
        <v>Un homme marche aux côtés d'un garçon qui tond la pelouse.</v>
      </c>
    </row>
    <row r="9598">
      <c r="A9598" s="4" t="s">
        <v>12067</v>
      </c>
      <c r="B9598" s="4" t="s">
        <v>12069</v>
      </c>
      <c r="C9598" s="5" t="str">
        <f>IFERROR(__xludf.DUMMYFUNCTION("GOOGLETRANSLATE(B9598,""en"",""fr"")"),"Il enseigne au garçon sur la façon de tourner la tondeuse et de faire le tour d'un petit arbre.")</f>
        <v>Il enseigne au garçon sur la façon de tourner la tondeuse et de faire le tour d'un petit arbre.</v>
      </c>
    </row>
    <row r="9599">
      <c r="A9599" s="4" t="s">
        <v>12067</v>
      </c>
      <c r="B9599" s="4" t="s">
        <v>12070</v>
      </c>
      <c r="C9599" s="5" t="str">
        <f>IFERROR(__xludf.DUMMYFUNCTION("GOOGLETRANSLATE(B9599,""en"",""fr"")"),"Il continue de marcher et de guider le garçon.")</f>
        <v>Il continue de marcher et de guider le garçon.</v>
      </c>
    </row>
    <row r="9600">
      <c r="A9600" s="4" t="s">
        <v>12071</v>
      </c>
      <c r="B9600" s="4" t="s">
        <v>12072</v>
      </c>
      <c r="C9600" s="5" t="str">
        <f>IFERROR(__xludf.DUMMYFUNCTION("GOOGLETRANSLATE(B9600,""en"",""fr"")"),"Une femme qui tient une poupée annule les boucles des cheveux des poupées.")</f>
        <v>Une femme qui tient une poupée annule les boucles des cheveux des poupées.</v>
      </c>
    </row>
    <row r="9601">
      <c r="A9601" s="4" t="s">
        <v>12071</v>
      </c>
      <c r="B9601" s="4" t="s">
        <v>12073</v>
      </c>
      <c r="C9601" s="5" t="str">
        <f>IFERROR(__xludf.DUMMYFUNCTION("GOOGLETRANSLATE(B9601,""en"",""fr"")"),"La femme se produit les cheveux des poupées.")</f>
        <v>La femme se produit les cheveux des poupées.</v>
      </c>
    </row>
    <row r="9602">
      <c r="A9602" s="4" t="s">
        <v>12071</v>
      </c>
      <c r="B9602" s="4" t="s">
        <v>12074</v>
      </c>
      <c r="C9602" s="5" t="str">
        <f>IFERROR(__xludf.DUMMYFUNCTION("GOOGLETRANSLATE(B9602,""en"",""fr"")"),"La femme retourne la poupée pour montrer l'arrière de la tête des poupées.")</f>
        <v>La femme retourne la poupée pour montrer l'arrière de la tête des poupées.</v>
      </c>
    </row>
    <row r="9603">
      <c r="A9603" s="4" t="s">
        <v>12071</v>
      </c>
      <c r="B9603" s="4" t="s">
        <v>12075</v>
      </c>
      <c r="C9603" s="5" t="str">
        <f>IFERROR(__xludf.DUMMYFUNCTION("GOOGLETRANSLATE(B9603,""en"",""fr"")"),"La femme continue de montrer les cheveux des poupées.")</f>
        <v>La femme continue de montrer les cheveux des poupées.</v>
      </c>
    </row>
    <row r="9604">
      <c r="A9604" s="4" t="s">
        <v>12076</v>
      </c>
      <c r="B9604" s="4" t="s">
        <v>12077</v>
      </c>
      <c r="C9604" s="5" t="str">
        <f>IFERROR(__xludf.DUMMYFUNCTION("GOOGLETRANSLATE(B9604,""en"",""fr"")"),"On voit une personne sur un poids suivi d'une femme soulevant une barre sur sa tête.")</f>
        <v>On voit une personne sur un poids suivi d'une femme soulevant une barre sur sa tête.</v>
      </c>
    </row>
    <row r="9605">
      <c r="A9605" s="4" t="s">
        <v>12076</v>
      </c>
      <c r="B9605" s="4" t="s">
        <v>12078</v>
      </c>
      <c r="C9605" s="5" t="str">
        <f>IFERROR(__xludf.DUMMYFUNCTION("GOOGLETRANSLATE(B9605,""en"",""fr"")"),"Une autre personne est vue après qu'elle soulève un grand ensemble de poids au-dessus de leur tête.")</f>
        <v>Une autre personne est vue après qu'elle soulève un grand ensemble de poids au-dessus de leur tête.</v>
      </c>
    </row>
    <row r="9606">
      <c r="A9606" s="4" t="s">
        <v>12076</v>
      </c>
      <c r="B9606" s="6" t="s">
        <v>12079</v>
      </c>
      <c r="C9606" s="5" t="str">
        <f>IFERROR(__xludf.DUMMYFUNCTION("GOOGLETRANSLATE(B9606,""en"",""fr"")"),"Plusieurs autres personnes sont vues soulever des poids lourds au-dessus de leur tête tandis que d'autres regardent sur le côté.")</f>
        <v>Plusieurs autres personnes sont vues soulever des poids lourds au-dessus de leur tête tandis que d'autres regardent sur le côté.</v>
      </c>
    </row>
    <row r="9607">
      <c r="A9607" s="4" t="s">
        <v>12080</v>
      </c>
      <c r="B9607" s="4" t="s">
        <v>12081</v>
      </c>
      <c r="C9607" s="5" t="str">
        <f>IFERROR(__xludf.DUMMYFUNCTION("GOOGLETRANSLATE(B9607,""en"",""fr"")"),"Un homme est vu parler à la caméra tout en tenant une éponge et une ponceuse dans chaque main.")</f>
        <v>Un homme est vu parler à la caméra tout en tenant une éponge et une ponceuse dans chaque main.</v>
      </c>
    </row>
    <row r="9608">
      <c r="A9608" s="4" t="s">
        <v>12080</v>
      </c>
      <c r="B9608" s="4" t="s">
        <v>12082</v>
      </c>
      <c r="C9608" s="5" t="str">
        <f>IFERROR(__xludf.DUMMYFUNCTION("GOOGLETRANSLATE(B9608,""en"",""fr"")"),"L'homme assouplit ensuite la ponceuse et l'utilise le long d'un ensemble de skis.")</f>
        <v>L'homme assouplit ensuite la ponceuse et l'utilise le long d'un ensemble de skis.</v>
      </c>
    </row>
    <row r="9609">
      <c r="A9609" s="4" t="s">
        <v>12080</v>
      </c>
      <c r="B9609" s="4" t="s">
        <v>12083</v>
      </c>
      <c r="C9609" s="5" t="str">
        <f>IFERROR(__xludf.DUMMYFUNCTION("GOOGLETRANSLATE(B9609,""en"",""fr"")"),"Il le guide le long du ski et s'arrête pour parler à la caméra et sourire.")</f>
        <v>Il le guide le long du ski et s'arrête pour parler à la caméra et sourire.</v>
      </c>
    </row>
    <row r="9610">
      <c r="A9610" s="4" t="s">
        <v>12084</v>
      </c>
      <c r="B9610" s="4" t="s">
        <v>2480</v>
      </c>
      <c r="C9610" s="5" t="str">
        <f>IFERROR(__xludf.DUMMYFUNCTION("GOOGLETRANSLATE(B9610,""en"",""fr"")"),"Nous voyons deux écrans de titre d'ouverture.")</f>
        <v>Nous voyons deux écrans de titre d'ouverture.</v>
      </c>
    </row>
    <row r="9611">
      <c r="A9611" s="4" t="s">
        <v>12084</v>
      </c>
      <c r="B9611" s="4" t="s">
        <v>12085</v>
      </c>
      <c r="C9611" s="5" t="str">
        <f>IFERROR(__xludf.DUMMYFUNCTION("GOOGLETRANSLATE(B9611,""en"",""fr"")"),"Une dame est assise sur une baignoire et parle tout en jouant avec un chien.")</f>
        <v>Une dame est assise sur une baignoire et parle tout en jouant avec un chien.</v>
      </c>
    </row>
    <row r="9612">
      <c r="A9612" s="4" t="s">
        <v>12084</v>
      </c>
      <c r="B9612" s="4" t="s">
        <v>12086</v>
      </c>
      <c r="C9612" s="5" t="str">
        <f>IFERROR(__xludf.DUMMYFUNCTION("GOOGLETRANSLATE(B9612,""en"",""fr"")"),"La dame met le chien dans l'eau et le lave.")</f>
        <v>La dame met le chien dans l'eau et le lave.</v>
      </c>
    </row>
    <row r="9613">
      <c r="A9613" s="4" t="s">
        <v>12084</v>
      </c>
      <c r="B9613" s="4" t="s">
        <v>12087</v>
      </c>
      <c r="C9613" s="5" t="str">
        <f>IFERROR(__xludf.DUMMYFUNCTION("GOOGLETRANSLATE(B9613,""en"",""fr"")"),"La dame ajoute plus de savon.")</f>
        <v>La dame ajoute plus de savon.</v>
      </c>
    </row>
    <row r="9614">
      <c r="A9614" s="4" t="s">
        <v>12084</v>
      </c>
      <c r="B9614" s="4" t="s">
        <v>12088</v>
      </c>
      <c r="C9614" s="5" t="str">
        <f>IFERROR(__xludf.DUMMYFUNCTION("GOOGLETRANSLATE(B9614,""en"",""fr"")"),"La Lady rince le chien et s'enroule en lui dans une serviette orange moutarde.")</f>
        <v>La Lady rince le chien et s'enroule en lui dans une serviette orange moutarde.</v>
      </c>
    </row>
    <row r="9615">
      <c r="A9615" s="4" t="s">
        <v>12084</v>
      </c>
      <c r="B9615" s="4" t="s">
        <v>12089</v>
      </c>
      <c r="C9615" s="5" t="str">
        <f>IFERROR(__xludf.DUMMYFUNCTION("GOOGLETRANSLATE(B9615,""en"",""fr"")"),"La dame s'assoit et parle alors que le chien est assis sur ses genoux.")</f>
        <v>La dame s'assoit et parle alors que le chien est assis sur ses genoux.</v>
      </c>
    </row>
    <row r="9616">
      <c r="A9616" s="4" t="s">
        <v>12084</v>
      </c>
      <c r="B9616" s="4" t="s">
        <v>12090</v>
      </c>
      <c r="C9616" s="5" t="str">
        <f>IFERROR(__xludf.DUMMYFUNCTION("GOOGLETRANSLATE(B9616,""en"",""fr"")"),"Les crédits de fin enlèvent l'écran.")</f>
        <v>Les crédits de fin enlèvent l'écran.</v>
      </c>
    </row>
    <row r="9617">
      <c r="A9617" s="4" t="s">
        <v>12091</v>
      </c>
      <c r="B9617" s="4" t="s">
        <v>12092</v>
      </c>
      <c r="C9617" s="5" t="str">
        <f>IFERROR(__xludf.DUMMYFUNCTION("GOOGLETRANSLATE(B9617,""en"",""fr"")"),"Un cercle d'herbe verte est représenté avec une trace de rochers qui l'entourent, un mur de briques et des arbres.")</f>
        <v>Un cercle d'herbe verte est représenté avec une trace de rochers qui l'entourent, un mur de briques et des arbres.</v>
      </c>
    </row>
    <row r="9618">
      <c r="A9618" s="4" t="s">
        <v>12091</v>
      </c>
      <c r="B9618" s="4" t="s">
        <v>12093</v>
      </c>
      <c r="C9618" s="5" t="str">
        <f>IFERROR(__xludf.DUMMYFUNCTION("GOOGLETRANSLATE(B9618,""en"",""fr"")"),"Un homme vient alors et commence à couper l'herbe en faisant le tour de son périmètre.")</f>
        <v>Un homme vient alors et commence à couper l'herbe en faisant le tour de son périmètre.</v>
      </c>
    </row>
    <row r="9619">
      <c r="A9619" s="4" t="s">
        <v>12091</v>
      </c>
      <c r="B9619" s="6" t="s">
        <v>12094</v>
      </c>
      <c r="C9619" s="5" t="str">
        <f>IFERROR(__xludf.DUMMYFUNCTION("GOOGLETRANSLATE(B9619,""en"",""fr"")"),"Après, il prend la tondeuse à gazon et commence à passer verticalement à travers l'herbe jusqu'à ce que tout soit terminé.")</f>
        <v>Après, il prend la tondeuse à gazon et commence à passer verticalement à travers l'herbe jusqu'à ce que tout soit terminé.</v>
      </c>
    </row>
    <row r="9620">
      <c r="A9620" s="4" t="s">
        <v>12095</v>
      </c>
      <c r="B9620" s="4" t="s">
        <v>12096</v>
      </c>
      <c r="C9620" s="5" t="str">
        <f>IFERROR(__xludf.DUMMYFUNCTION("GOOGLETRANSLATE(B9620,""en"",""fr"")"),"Deux personnes démontrent le Tai Chi.")</f>
        <v>Deux personnes démontrent le Tai Chi.</v>
      </c>
    </row>
    <row r="9621">
      <c r="A9621" s="4" t="s">
        <v>12095</v>
      </c>
      <c r="B9621" s="4" t="s">
        <v>12097</v>
      </c>
      <c r="C9621" s="5" t="str">
        <f>IFERROR(__xludf.DUMMYFUNCTION("GOOGLETRANSLATE(B9621,""en"",""fr"")"),"Il y a un jardin avec des fleurs colorées montrées à l'extérieur du bâtiment de l'école Tai Chi.")</f>
        <v>Il y a un jardin avec des fleurs colorées montrées à l'extérieur du bâtiment de l'école Tai Chi.</v>
      </c>
    </row>
    <row r="9622">
      <c r="A9622" s="4" t="s">
        <v>12095</v>
      </c>
      <c r="B9622" s="4" t="s">
        <v>12098</v>
      </c>
      <c r="C9622" s="5" t="str">
        <f>IFERROR(__xludf.DUMMYFUNCTION("GOOGLETRANSLATE(B9622,""en"",""fr"")"),"Les instructeurs portant des robes bleues montrent les mouvements de base utilisés dans le tai-chi.")</f>
        <v>Les instructeurs portant des robes bleues montrent les mouvements de base utilisés dans le tai-chi.</v>
      </c>
    </row>
    <row r="9623">
      <c r="A9623" s="4" t="s">
        <v>12095</v>
      </c>
      <c r="B9623" s="4" t="s">
        <v>12099</v>
      </c>
      <c r="C9623" s="5" t="str">
        <f>IFERROR(__xludf.DUMMYFUNCTION("GOOGLETRANSLATE(B9623,""en"",""fr"")"),"Ils balancent leurs mains au-dessus de leurs têtes de gauche à droite.")</f>
        <v>Ils balancent leurs mains au-dessus de leurs têtes de gauche à droite.</v>
      </c>
    </row>
    <row r="9624">
      <c r="A9624" s="4" t="s">
        <v>12095</v>
      </c>
      <c r="B9624" s="6" t="s">
        <v>12100</v>
      </c>
      <c r="C9624" s="5" t="str">
        <f>IFERROR(__xludf.DUMMYFUNCTION("GOOGLETRANSLATE(B9624,""en"",""fr"")"),"Ensuite, l'instructeur démontre la force du bras en tapant son bras droit sur son bras gauche étendu.")</f>
        <v>Ensuite, l'instructeur démontre la force du bras en tapant son bras droit sur son bras gauche étendu.</v>
      </c>
    </row>
    <row r="9625">
      <c r="A9625" s="4" t="s">
        <v>12095</v>
      </c>
      <c r="B9625" s="6" t="s">
        <v>12101</v>
      </c>
      <c r="C9625" s="5" t="str">
        <f>IFERROR(__xludf.DUMMYFUNCTION("GOOGLETRANSLATE(B9625,""en"",""fr"")"),"Les deux instructeurs se tiennent face à face lorsqu'ils démontrent des mouvements de main lents et progressifs.")</f>
        <v>Les deux instructeurs se tiennent face à face lorsqu'ils démontrent des mouvements de main lents et progressifs.</v>
      </c>
    </row>
    <row r="9626">
      <c r="A9626" s="4" t="s">
        <v>12102</v>
      </c>
      <c r="B9626" s="4" t="s">
        <v>12103</v>
      </c>
      <c r="C9626" s="5" t="str">
        <f>IFERROR(__xludf.DUMMYFUNCTION("GOOGLETRANSLATE(B9626,""en"",""fr"")"),"Un homme tire un arc et une flèche.")</f>
        <v>Un homme tire un arc et une flèche.</v>
      </c>
    </row>
    <row r="9627">
      <c r="A9627" s="4" t="s">
        <v>12102</v>
      </c>
      <c r="B9627" s="4" t="s">
        <v>12104</v>
      </c>
      <c r="C9627" s="5" t="str">
        <f>IFERROR(__xludf.DUMMYFUNCTION("GOOGLETRANSLATE(B9627,""en"",""fr"")"),"La planche de fléchette sur laquelle ils tirent est montrée.")</f>
        <v>La planche de fléchette sur laquelle ils tirent est montrée.</v>
      </c>
    </row>
    <row r="9628">
      <c r="A9628" s="4" t="s">
        <v>12102</v>
      </c>
      <c r="B9628" s="4" t="s">
        <v>12105</v>
      </c>
      <c r="C9628" s="5" t="str">
        <f>IFERROR(__xludf.DUMMYFUNCTION("GOOGLETRANSLATE(B9628,""en"",""fr"")"),"Les gens célèbrent et applaudissent les mains.")</f>
        <v>Les gens célèbrent et applaudissent les mains.</v>
      </c>
    </row>
    <row r="9629">
      <c r="A9629" s="4" t="s">
        <v>12106</v>
      </c>
      <c r="B9629" s="4" t="s">
        <v>12107</v>
      </c>
      <c r="C9629" s="5" t="str">
        <f>IFERROR(__xludf.DUMMYFUNCTION("GOOGLETRANSLATE(B9629,""en"",""fr"")"),"Un homme est sur le devant un lavabo en train de parler et de laver un plat, puis il le met sur le comptoir.")</f>
        <v>Un homme est sur le devant un lavabo en train de parler et de laver un plat, puis il le met sur le comptoir.</v>
      </c>
    </row>
    <row r="9630">
      <c r="A9630" s="4" t="s">
        <v>12106</v>
      </c>
      <c r="B9630" s="4" t="s">
        <v>12108</v>
      </c>
      <c r="C9630" s="5" t="str">
        <f>IFERROR(__xludf.DUMMYFUNCTION("GOOGLETRANSLATE(B9630,""en"",""fr"")"),"L'homme a mis du savon à plat sur un plat et le frotter tout en rinçant avec de l'eau.")</f>
        <v>L'homme a mis du savon à plat sur un plat et le frotter tout en rinçant avec de l'eau.</v>
      </c>
    </row>
    <row r="9631">
      <c r="A9631" s="4" t="s">
        <v>12106</v>
      </c>
      <c r="B9631" s="4" t="s">
        <v>12109</v>
      </c>
      <c r="C9631" s="5" t="str">
        <f>IFERROR(__xludf.DUMMYFUNCTION("GOOGLETRANSLATE(B9631,""en"",""fr"")"),"Puis l'homme montre ses bras tatoués, puis continue de laver la vaisselle.")</f>
        <v>Puis l'homme montre ses bras tatoués, puis continue de laver la vaisselle.</v>
      </c>
    </row>
    <row r="9632">
      <c r="A9632" s="4" t="s">
        <v>12110</v>
      </c>
      <c r="B9632" s="6" t="s">
        <v>12111</v>
      </c>
      <c r="C9632" s="5" t="str">
        <f>IFERROR(__xludf.DUMMYFUNCTION("GOOGLETRANSLATE(B9632,""en"",""fr"")"),"Les deux taureaux se heurtent et ils bossent les têtes qui se battent jusqu'à ce qu'ils se renversent.")</f>
        <v>Les deux taureaux se heurtent et ils bossent les têtes qui se battent jusqu'à ce qu'ils se renversent.</v>
      </c>
    </row>
    <row r="9633">
      <c r="A9633" s="4" t="s">
        <v>12110</v>
      </c>
      <c r="B9633" s="6" t="s">
        <v>12112</v>
      </c>
      <c r="C9633" s="5" t="str">
        <f>IFERROR(__xludf.DUMMYFUNCTION("GOOGLETRANSLATE(B9633,""en"",""fr"")"),"Ensuite, les gens courent vers eux et certains tiennent une corde, tandis que l'on vérifie sa tête sanglante.")</f>
        <v>Ensuite, les gens courent vers eux et certains tiennent une corde, tandis que l'on vérifie sa tête sanglante.</v>
      </c>
    </row>
    <row r="9634">
      <c r="A9634" s="4" t="s">
        <v>12113</v>
      </c>
      <c r="B9634" s="4" t="s">
        <v>5444</v>
      </c>
      <c r="C9634" s="5" t="str">
        <f>IFERROR(__xludf.DUMMYFUNCTION("GOOGLETRANSLATE(B9634,""en"",""fr"")"),"Deux hommes se luttent sur une table.")</f>
        <v>Deux hommes se luttent sur une table.</v>
      </c>
    </row>
    <row r="9635">
      <c r="A9635" s="4" t="s">
        <v>12113</v>
      </c>
      <c r="B9635" s="4" t="s">
        <v>12114</v>
      </c>
      <c r="C9635" s="5" t="str">
        <f>IFERROR(__xludf.DUMMYFUNCTION("GOOGLETRANSLATE(B9635,""en"",""fr"")"),"La porte s'ouvre et un autre homme entre et les luttes de bras.")</f>
        <v>La porte s'ouvre et un autre homme entre et les luttes de bras.</v>
      </c>
    </row>
    <row r="9636">
      <c r="A9636" s="4" t="s">
        <v>12113</v>
      </c>
      <c r="B9636" s="4" t="s">
        <v>12115</v>
      </c>
      <c r="C9636" s="5" t="str">
        <f>IFERROR(__xludf.DUMMYFUNCTION("GOOGLETRANSLATE(B9636,""en"",""fr"")"),"Ils commencent à se battre dans la pièce.")</f>
        <v>Ils commencent à se battre dans la pièce.</v>
      </c>
    </row>
    <row r="9637">
      <c r="A9637" s="4" t="s">
        <v>12113</v>
      </c>
      <c r="B9637" s="4" t="s">
        <v>12116</v>
      </c>
      <c r="C9637" s="5" t="str">
        <f>IFERROR(__xludf.DUMMYFUNCTION("GOOGLETRANSLATE(B9637,""en"",""fr"")"),"Ils se luttent à nouveau à la table.")</f>
        <v>Ils se luttent à nouveau à la table.</v>
      </c>
    </row>
    <row r="9638">
      <c r="A9638" s="4" t="s">
        <v>12117</v>
      </c>
      <c r="B9638" s="4" t="s">
        <v>12118</v>
      </c>
      <c r="C9638" s="5" t="str">
        <f>IFERROR(__xludf.DUMMYFUNCTION("GOOGLETRANSLATE(B9638,""en"",""fr"")"),"La dame en rose est dans la scène sur scène.")</f>
        <v>La dame en rose est dans la scène sur scène.</v>
      </c>
    </row>
    <row r="9639">
      <c r="A9639" s="4" t="s">
        <v>12117</v>
      </c>
      <c r="B9639" s="4" t="s">
        <v>12119</v>
      </c>
      <c r="C9639" s="5" t="str">
        <f>IFERROR(__xludf.DUMMYFUNCTION("GOOGLETRANSLATE(B9639,""en"",""fr"")"),"L'homme joue un clavier, tandis que l'autre homme joue du tambour.")</f>
        <v>L'homme joue un clavier, tandis que l'autre homme joue du tambour.</v>
      </c>
    </row>
    <row r="9640">
      <c r="A9640" s="4" t="s">
        <v>12117</v>
      </c>
      <c r="B9640" s="4" t="s">
        <v>12120</v>
      </c>
      <c r="C9640" s="5" t="str">
        <f>IFERROR(__xludf.DUMMYFUNCTION("GOOGLETRANSLATE(B9640,""en"",""fr"")"),"La dame se retourna, tourbillonnant autour de la scène et secoua ses hanches.")</f>
        <v>La dame se retourna, tourbillonnant autour de la scène et secoua ses hanches.</v>
      </c>
    </row>
    <row r="9641">
      <c r="A9641" s="4" t="s">
        <v>12121</v>
      </c>
      <c r="B9641" s="4" t="s">
        <v>12122</v>
      </c>
      <c r="C9641" s="5" t="str">
        <f>IFERROR(__xludf.DUMMYFUNCTION("GOOGLETRANSLATE(B9641,""en"",""fr"")"),"Nous voyons un danseur sur la couverture d'un livre puis dans une rue.")</f>
        <v>Nous voyons un danseur sur la couverture d'un livre puis dans une rue.</v>
      </c>
    </row>
    <row r="9642">
      <c r="A9642" s="4" t="s">
        <v>12121</v>
      </c>
      <c r="B9642" s="4" t="s">
        <v>12123</v>
      </c>
      <c r="C9642" s="5" t="str">
        <f>IFERROR(__xludf.DUMMYFUNCTION("GOOGLETRANSLATE(B9642,""en"",""fr"")"),"Nous voyons l'homme assis par terre parler à une caméra.")</f>
        <v>Nous voyons l'homme assis par terre parler à une caméra.</v>
      </c>
    </row>
    <row r="9643">
      <c r="A9643" s="4" t="s">
        <v>12121</v>
      </c>
      <c r="B9643" s="4" t="s">
        <v>12124</v>
      </c>
      <c r="C9643" s="5" t="str">
        <f>IFERROR(__xludf.DUMMYFUNCTION("GOOGLETRANSLATE(B9643,""en"",""fr"")"),"Nous voyons l'homme illustrant les mouvements de danse de pause.")</f>
        <v>Nous voyons l'homme illustrant les mouvements de danse de pause.</v>
      </c>
    </row>
    <row r="9644">
      <c r="A9644" s="4" t="s">
        <v>12121</v>
      </c>
      <c r="B9644" s="4" t="s">
        <v>12125</v>
      </c>
      <c r="C9644" s="5" t="str">
        <f>IFERROR(__xludf.DUMMYFUNCTION("GOOGLETRANSLATE(B9644,""en"",""fr"")"),"L'homme parle et est assis immobile.")</f>
        <v>L'homme parle et est assis immobile.</v>
      </c>
    </row>
    <row r="9645">
      <c r="A9645" s="4" t="s">
        <v>12121</v>
      </c>
      <c r="B9645" s="4" t="s">
        <v>12126</v>
      </c>
      <c r="C9645" s="5" t="str">
        <f>IFERROR(__xludf.DUMMYFUNCTION("GOOGLETRANSLATE(B9645,""en"",""fr"")"),"Nous voyons l'homme danser rapidement.")</f>
        <v>Nous voyons l'homme danser rapidement.</v>
      </c>
    </row>
    <row r="9646">
      <c r="A9646" s="4" t="s">
        <v>12121</v>
      </c>
      <c r="B9646" s="4" t="s">
        <v>12127</v>
      </c>
      <c r="C9646" s="5" t="str">
        <f>IFERROR(__xludf.DUMMYFUNCTION("GOOGLETRANSLATE(B9646,""en"",""fr"")"),"Nous voyons l'homme effectuer un mouvement de balayage des jambes.")</f>
        <v>Nous voyons l'homme effectuer un mouvement de balayage des jambes.</v>
      </c>
    </row>
    <row r="9647">
      <c r="A9647" s="4" t="s">
        <v>12121</v>
      </c>
      <c r="B9647" s="4" t="s">
        <v>12128</v>
      </c>
      <c r="C9647" s="5" t="str">
        <f>IFERROR(__xludf.DUMMYFUNCTION("GOOGLETRANSLATE(B9647,""en"",""fr"")"),"Nous voyons une scène proche animée et une page d'abonnement.")</f>
        <v>Nous voyons une scène proche animée et une page d'abonnement.</v>
      </c>
    </row>
    <row r="9648">
      <c r="A9648" s="4" t="s">
        <v>12129</v>
      </c>
      <c r="B9648" s="4" t="s">
        <v>12130</v>
      </c>
      <c r="C9648" s="5" t="str">
        <f>IFERROR(__xludf.DUMMYFUNCTION("GOOGLETRANSLATE(B9648,""en"",""fr"")"),"Un homme est vu s'agenouiller à côté d'un pneu tout en tenant divers outils.")</f>
        <v>Un homme est vu s'agenouiller à côté d'un pneu tout en tenant divers outils.</v>
      </c>
    </row>
    <row r="9649">
      <c r="A9649" s="4" t="s">
        <v>12129</v>
      </c>
      <c r="B9649" s="4" t="s">
        <v>12131</v>
      </c>
      <c r="C9649" s="5" t="str">
        <f>IFERROR(__xludf.DUMMYFUNCTION("GOOGLETRANSLATE(B9649,""en"",""fr"")"),"L'homme enlève ensuite un hubcap et le place sur le pneu.")</f>
        <v>L'homme enlève ensuite un hubcap et le place sur le pneu.</v>
      </c>
    </row>
    <row r="9650">
      <c r="A9650" s="4" t="s">
        <v>12129</v>
      </c>
      <c r="B9650" s="4" t="s">
        <v>12132</v>
      </c>
      <c r="C9650" s="5" t="str">
        <f>IFERROR(__xludf.DUMMYFUNCTION("GOOGLETRANSLATE(B9650,""en"",""fr"")"),"Il se tourne pour parler à la caméra.")</f>
        <v>Il se tourne pour parler à la caméra.</v>
      </c>
    </row>
    <row r="9651">
      <c r="A9651" s="4" t="s">
        <v>12133</v>
      </c>
      <c r="B9651" s="4" t="s">
        <v>12134</v>
      </c>
      <c r="C9651" s="5" t="str">
        <f>IFERROR(__xludf.DUMMYFUNCTION("GOOGLETRANSLATE(B9651,""en"",""fr"")"),"Un outil de plâtrage blanc est illustré avec une poignée en bois brune dessus.")</f>
        <v>Un outil de plâtrage blanc est illustré avec une poignée en bois brune dessus.</v>
      </c>
    </row>
    <row r="9652">
      <c r="A9652" s="4" t="s">
        <v>12133</v>
      </c>
      <c r="B9652" s="4" t="s">
        <v>12135</v>
      </c>
      <c r="C9652" s="5" t="str">
        <f>IFERROR(__xludf.DUMMYFUNCTION("GOOGLETRANSLATE(B9652,""en"",""fr"")"),"Une personne le ramasse alors et commence à le plier en montrant le fonctionnement de l'objet.")</f>
        <v>Une personne le ramasse alors et commence à le plier en montrant le fonctionnement de l'objet.</v>
      </c>
    </row>
    <row r="9653">
      <c r="A9653" s="4" t="s">
        <v>12133</v>
      </c>
      <c r="B9653" s="6" t="s">
        <v>12136</v>
      </c>
      <c r="C9653" s="5" t="str">
        <f>IFERROR(__xludf.DUMMYFUNCTION("GOOGLETRANSLATE(B9653,""en"",""fr"")"),"Après, l'objet est démontré dans le coin des murs, puis le plâtre est lavé dans l'herbe.")</f>
        <v>Après, l'objet est démontré dans le coin des murs, puis le plâtre est lavé dans l'herbe.</v>
      </c>
    </row>
    <row r="9654">
      <c r="A9654" s="4" t="s">
        <v>12137</v>
      </c>
      <c r="B9654" s="4" t="s">
        <v>12138</v>
      </c>
      <c r="C9654" s="5" t="str">
        <f>IFERROR(__xludf.DUMMYFUNCTION("GOOGLETRANSLATE(B9654,""en"",""fr"")"),"Un homme participe à une compétition d'homme forte et se tient sur une bûche qui la hachait avec une hache à la main.")</f>
        <v>Un homme participe à une compétition d'homme forte et se tient sur une bûche qui la hachait avec une hache à la main.</v>
      </c>
    </row>
    <row r="9655">
      <c r="A9655" s="4" t="s">
        <v>12137</v>
      </c>
      <c r="B9655" s="4" t="s">
        <v>12139</v>
      </c>
      <c r="C9655" s="5" t="str">
        <f>IFERROR(__xludf.DUMMYFUNCTION("GOOGLETRANSLATE(B9655,""en"",""fr"")"),"L'homme divise enfin la bûche sous ses pieds.")</f>
        <v>L'homme divise enfin la bûche sous ses pieds.</v>
      </c>
    </row>
    <row r="9656">
      <c r="A9656" s="4" t="s">
        <v>12137</v>
      </c>
      <c r="B9656" s="6" t="s">
        <v>12140</v>
      </c>
      <c r="C9656" s="5" t="str">
        <f>IFERROR(__xludf.DUMMYFUNCTION("GOOGLETRANSLATE(B9656,""en"",""fr"")"),"Un deuxième homme dans la compétition dans Gilet reprend et laisse tomber un gros poids sphérique sur un pneu à plusieurs reprises.")</f>
        <v>Un deuxième homme dans la compétition dans Gilet reprend et laisse tomber un gros poids sphérique sur un pneu à plusieurs reprises.</v>
      </c>
    </row>
    <row r="9657">
      <c r="A9657" s="4" t="s">
        <v>12137</v>
      </c>
      <c r="B9657" s="4" t="s">
        <v>12141</v>
      </c>
      <c r="C9657" s="5" t="str">
        <f>IFERROR(__xludf.DUMMYFUNCTION("GOOGLETRANSLATE(B9657,""en"",""fr"")"),"Un homme en rouge marche sur une bûche et reçoit une hache par un arbitre.")</f>
        <v>Un homme en rouge marche sur une bûche et reçoit une hache par un arbitre.</v>
      </c>
    </row>
    <row r="9658">
      <c r="A9658" s="4" t="s">
        <v>12142</v>
      </c>
      <c r="B9658" s="4" t="s">
        <v>12143</v>
      </c>
      <c r="C9658" s="5" t="str">
        <f>IFERROR(__xludf.DUMMYFUNCTION("GOOGLETRANSLATE(B9658,""en"",""fr"")"),"Un homme parle à l'intérieur d'une pièce dans une maison.")</f>
        <v>Un homme parle à l'intérieur d'une pièce dans une maison.</v>
      </c>
    </row>
    <row r="9659">
      <c r="A9659" s="4" t="s">
        <v>12142</v>
      </c>
      <c r="B9659" s="4" t="s">
        <v>12144</v>
      </c>
      <c r="C9659" s="5" t="str">
        <f>IFERROR(__xludf.DUMMYFUNCTION("GOOGLETRANSLATE(B9659,""en"",""fr"")"),"Il tient un bâton et un violon.")</f>
        <v>Il tient un bâton et un violon.</v>
      </c>
    </row>
    <row r="9660">
      <c r="A9660" s="4" t="s">
        <v>12142</v>
      </c>
      <c r="B9660" s="4" t="s">
        <v>12145</v>
      </c>
      <c r="C9660" s="5" t="str">
        <f>IFERROR(__xludf.DUMMYFUNCTION("GOOGLETRANSLATE(B9660,""en"",""fr"")"),"Il montre ensuite comment jouer du violon.")</f>
        <v>Il montre ensuite comment jouer du violon.</v>
      </c>
    </row>
    <row r="9661">
      <c r="A9661" s="4" t="s">
        <v>12146</v>
      </c>
      <c r="B9661" s="4" t="s">
        <v>12147</v>
      </c>
      <c r="C9661" s="5" t="str">
        <f>IFERROR(__xludf.DUMMYFUNCTION("GOOGLETRANSLATE(B9661,""en"",""fr"")"),"Deux motards professionnels font du vélo au Peckham BMX Club.")</f>
        <v>Deux motards professionnels font du vélo au Peckham BMX Club.</v>
      </c>
    </row>
    <row r="9662">
      <c r="A9662" s="4" t="s">
        <v>12146</v>
      </c>
      <c r="B9662" s="4" t="s">
        <v>12148</v>
      </c>
      <c r="C9662" s="5" t="str">
        <f>IFERROR(__xludf.DUMMYFUNCTION("GOOGLETRANSLATE(B9662,""en"",""fr"")"),"Les motards passent sur une surface freinée à pleine vitesse.")</f>
        <v>Les motards passent sur une surface freinée à pleine vitesse.</v>
      </c>
    </row>
    <row r="9663">
      <c r="A9663" s="4" t="s">
        <v>12146</v>
      </c>
      <c r="B9663" s="4" t="s">
        <v>12149</v>
      </c>
      <c r="C9663" s="5" t="str">
        <f>IFERROR(__xludf.DUMMYFUNCTION("GOOGLETRANSLATE(B9663,""en"",""fr"")"),"Il y a plusieurs autres motards qui font la même activité sur une autre surface incurvée.")</f>
        <v>Il y a plusieurs autres motards qui font la même activité sur une autre surface incurvée.</v>
      </c>
    </row>
    <row r="9664">
      <c r="A9664" s="4" t="s">
        <v>12146</v>
      </c>
      <c r="B9664" s="4" t="s">
        <v>12150</v>
      </c>
      <c r="C9664" s="5" t="str">
        <f>IFERROR(__xludf.DUMMYFUNCTION("GOOGLETRANSLATE(B9664,""en"",""fr"")"),"Il y a cinq motards portant des casques debout prêts à commencer une course.")</f>
        <v>Il y a cinq motards portant des casques debout prêts à commencer une course.</v>
      </c>
    </row>
    <row r="9665">
      <c r="A9665" s="4" t="s">
        <v>12146</v>
      </c>
      <c r="B9665" s="4" t="s">
        <v>12151</v>
      </c>
      <c r="C9665" s="5" t="str">
        <f>IFERROR(__xludf.DUMMYFUNCTION("GOOGLETRANSLATE(B9665,""en"",""fr"")"),"Ils commencent à courir à grande vitesse sur une route incurvée.")</f>
        <v>Ils commencent à courir à grande vitesse sur une route incurvée.</v>
      </c>
    </row>
    <row r="9666">
      <c r="A9666" s="4" t="s">
        <v>12146</v>
      </c>
      <c r="B9666" s="4" t="s">
        <v>12152</v>
      </c>
      <c r="C9666" s="5" t="str">
        <f>IFERROR(__xludf.DUMMYFUNCTION("GOOGLETRANSLATE(B9666,""en"",""fr"")"),"Deux autres lots de coureurs commencent la même course.")</f>
        <v>Deux autres lots de coureurs commencent la même course.</v>
      </c>
    </row>
    <row r="9667">
      <c r="A9667" s="4" t="s">
        <v>12146</v>
      </c>
      <c r="B9667" s="4" t="s">
        <v>12153</v>
      </c>
      <c r="C9667" s="5" t="str">
        <f>IFERROR(__xludf.DUMMYFUNCTION("GOOGLETRANSLATE(B9667,""en"",""fr"")"),"Un seul motard traverse la route incurvée à très grande vitesse.")</f>
        <v>Un seul motard traverse la route incurvée à très grande vitesse.</v>
      </c>
    </row>
    <row r="9668">
      <c r="A9668" s="4" t="s">
        <v>12154</v>
      </c>
      <c r="B9668" s="4" t="s">
        <v>12155</v>
      </c>
      <c r="C9668" s="5" t="str">
        <f>IFERROR(__xludf.DUMMYFUNCTION("GOOGLETRANSLATE(B9668,""en"",""fr"")"),"Une personne effectue un wake board tenant une corde à eau de ski.")</f>
        <v>Une personne effectue un wake board tenant une corde à eau de ski.</v>
      </c>
    </row>
    <row r="9669">
      <c r="A9669" s="4" t="s">
        <v>12154</v>
      </c>
      <c r="B9669" s="4" t="s">
        <v>12156</v>
      </c>
      <c r="C9669" s="5" t="str">
        <f>IFERROR(__xludf.DUMMYFUNCTION("GOOGLETRANSLATE(B9669,""en"",""fr"")"),"L'homme saute plusieurs fois et atterrit dans l'eau.")</f>
        <v>L'homme saute plusieurs fois et atterrit dans l'eau.</v>
      </c>
    </row>
    <row r="9670">
      <c r="A9670" s="4" t="s">
        <v>12154</v>
      </c>
      <c r="B9670" s="4" t="s">
        <v>12157</v>
      </c>
      <c r="C9670" s="5" t="str">
        <f>IFERROR(__xludf.DUMMYFUNCTION("GOOGLETRANSLATE(B9670,""en"",""fr"")"),"Ensuite, l'homme saute l'obstacle et tourne autour.")</f>
        <v>Ensuite, l'homme saute l'obstacle et tourne autour.</v>
      </c>
    </row>
    <row r="9671">
      <c r="A9671" s="4" t="s">
        <v>12154</v>
      </c>
      <c r="B9671" s="4" t="s">
        <v>12158</v>
      </c>
      <c r="C9671" s="5" t="str">
        <f>IFERROR(__xludf.DUMMYFUNCTION("GOOGLETRANSLATE(B9671,""en"",""fr"")"),"Ensuite, l'homme glisse sur des rampes tout en retournant dans l'air.")</f>
        <v>Ensuite, l'homme glisse sur des rampes tout en retournant dans l'air.</v>
      </c>
    </row>
    <row r="9672">
      <c r="A9672" s="4" t="s">
        <v>12159</v>
      </c>
      <c r="B9672" s="4" t="s">
        <v>12160</v>
      </c>
      <c r="C9672" s="5" t="str">
        <f>IFERROR(__xludf.DUMMYFUNCTION("GOOGLETRANSLATE(B9672,""en"",""fr"")"),"Un homme exerce en faisant des étirements animés dans une porte tout en tenant une raquette de tennis.")</f>
        <v>Un homme exerce en faisant des étirements animés dans une porte tout en tenant une raquette de tennis.</v>
      </c>
    </row>
    <row r="9673">
      <c r="A9673" s="4" t="s">
        <v>12159</v>
      </c>
      <c r="B9673" s="4" t="s">
        <v>12161</v>
      </c>
      <c r="C9673" s="5" t="str">
        <f>IFERROR(__xludf.DUMMYFUNCTION("GOOGLETRANSLATE(B9673,""en"",""fr"")"),"Une femme s'approche de lui et les deux commencent à parler.")</f>
        <v>Une femme s'approche de lui et les deux commencent à parler.</v>
      </c>
    </row>
    <row r="9674">
      <c r="A9674" s="4" t="s">
        <v>12159</v>
      </c>
      <c r="B9674" s="6" t="s">
        <v>12162</v>
      </c>
      <c r="C9674" s="5" t="str">
        <f>IFERROR(__xludf.DUMMYFUNCTION("GOOGLETRANSLATE(B9674,""en"",""fr"")"),"L'homme et la femme commencent à jouer au tennis dans une salle de gym fermée en frappant le ballon de tennis contre un mur avec leur raquette de tennis.")</f>
        <v>L'homme et la femme commencent à jouer au tennis dans une salle de gym fermée en frappant le ballon de tennis contre un mur avec leur raquette de tennis.</v>
      </c>
    </row>
    <row r="9675">
      <c r="A9675" s="4" t="s">
        <v>12159</v>
      </c>
      <c r="B9675" s="6" t="s">
        <v>12163</v>
      </c>
      <c r="C9675" s="5" t="str">
        <f>IFERROR(__xludf.DUMMYFUNCTION("GOOGLETRANSLATE(B9675,""en"",""fr"")"),"L'homme devient furieux alors qu'il joue et commence à piétiner, à crier, à geler sauvagement et à pousser la femme par terre lorsqu'elle tombe alors qu'ils jouent au jeu.")</f>
        <v>L'homme devient furieux alors qu'il joue et commence à piétiner, à crier, à geler sauvagement et à pousser la femme par terre lorsqu'elle tombe alors qu'ils jouent au jeu.</v>
      </c>
    </row>
    <row r="9676">
      <c r="A9676" s="4" t="s">
        <v>12159</v>
      </c>
      <c r="B9676" s="6" t="s">
        <v>12164</v>
      </c>
      <c r="C9676" s="5" t="str">
        <f>IFERROR(__xludf.DUMMYFUNCTION("GOOGLETRANSLATE(B9676,""en"",""fr"")"),"Lorsque le jeu se termine, la femme part, l'air bouleversée et l'homme a l'air satisfait alors qu'il commence à faire des étirements sauvages devant la porte et à parler à une autre personne.")</f>
        <v>Lorsque le jeu se termine, la femme part, l'air bouleversée et l'homme a l'air satisfait alors qu'il commence à faire des étirements sauvages devant la porte et à parler à une autre personne.</v>
      </c>
    </row>
    <row r="9677">
      <c r="A9677" s="4" t="s">
        <v>12165</v>
      </c>
      <c r="B9677" s="4" t="s">
        <v>12166</v>
      </c>
      <c r="C9677" s="5" t="str">
        <f>IFERROR(__xludf.DUMMYFUNCTION("GOOGLETRANSLATE(B9677,""en"",""fr"")"),"Une fille se tient au sommet d'un faisceau d'équilibre.")</f>
        <v>Une fille se tient au sommet d'un faisceau d'équilibre.</v>
      </c>
    </row>
    <row r="9678">
      <c r="A9678" s="4" t="s">
        <v>12165</v>
      </c>
      <c r="B9678" s="4" t="s">
        <v>12167</v>
      </c>
      <c r="C9678" s="5" t="str">
        <f>IFERROR(__xludf.DUMMYFUNCTION("GOOGLETRANSLATE(B9678,""en"",""fr"")"),"Elle fait des retournements en avant sur le faisceau.")</f>
        <v>Elle fait des retournements en avant sur le faisceau.</v>
      </c>
    </row>
    <row r="9679">
      <c r="A9679" s="4" t="s">
        <v>12165</v>
      </c>
      <c r="B9679" s="4" t="s">
        <v>12168</v>
      </c>
      <c r="C9679" s="5" t="str">
        <f>IFERROR(__xludf.DUMMYFUNCTION("GOOGLETRANSLATE(B9679,""en"",""fr"")"),"Elle regarde les autres filles faire de même.")</f>
        <v>Elle regarde les autres filles faire de même.</v>
      </c>
    </row>
    <row r="9680">
      <c r="A9680" s="4" t="s">
        <v>12169</v>
      </c>
      <c r="B9680" s="4" t="s">
        <v>12170</v>
      </c>
      <c r="C9680" s="5" t="str">
        <f>IFERROR(__xludf.DUMMYFUNCTION("GOOGLETRANSLATE(B9680,""en"",""fr"")"),"Il y a un jeune garçon jouant à la crosse dans sa cour avant.")</f>
        <v>Il y a un jeune garçon jouant à la crosse dans sa cour avant.</v>
      </c>
    </row>
    <row r="9681">
      <c r="A9681" s="4" t="s">
        <v>12169</v>
      </c>
      <c r="B9681" s="4" t="s">
        <v>12171</v>
      </c>
      <c r="C9681" s="5" t="str">
        <f>IFERROR(__xludf.DUMMYFUNCTION("GOOGLETRANSLATE(B9681,""en"",""fr"")"),"Il tient un bâton de crosse jaune.")</f>
        <v>Il tient un bâton de crosse jaune.</v>
      </c>
    </row>
    <row r="9682">
      <c r="A9682" s="4" t="s">
        <v>12169</v>
      </c>
      <c r="B9682" s="4" t="s">
        <v>12172</v>
      </c>
      <c r="C9682" s="5" t="str">
        <f>IFERROR(__xludf.DUMMYFUNCTION("GOOGLETRANSLATE(B9682,""en"",""fr"")"),"Il est excité en jouant au jeu pendant que sa mère l'encourage à jouer.")</f>
        <v>Il est excité en jouant au jeu pendant que sa mère l'encourage à jouer.</v>
      </c>
    </row>
    <row r="9683">
      <c r="A9683" s="4" t="s">
        <v>12169</v>
      </c>
      <c r="B9683" s="4" t="s">
        <v>12173</v>
      </c>
      <c r="C9683" s="5" t="str">
        <f>IFERROR(__xludf.DUMMYFUNCTION("GOOGLETRANSLATE(B9683,""en"",""fr"")"),"Il ramasse la balle jaune et la jette à son père.")</f>
        <v>Il ramasse la balle jaune et la jette à son père.</v>
      </c>
    </row>
    <row r="9684">
      <c r="A9684" s="4" t="s">
        <v>12169</v>
      </c>
      <c r="B9684" s="4" t="s">
        <v>12174</v>
      </c>
      <c r="C9684" s="5" t="str">
        <f>IFERROR(__xludf.DUMMYFUNCTION("GOOGLETRANSLATE(B9684,""en"",""fr"")"),"Lorsque son père lui lance le ballon, il l'attrape avec le bâton de crosse.")</f>
        <v>Lorsque son père lui lance le ballon, il l'attrape avec le bâton de crosse.</v>
      </c>
    </row>
    <row r="9685">
      <c r="A9685" s="4" t="s">
        <v>12169</v>
      </c>
      <c r="B9685" s="4" t="s">
        <v>12175</v>
      </c>
      <c r="C9685" s="5" t="str">
        <f>IFERROR(__xludf.DUMMYFUNCTION("GOOGLETRANSLATE(B9685,""en"",""fr"")"),"Sa mère est excitée et crie pour lui.")</f>
        <v>Sa mère est excitée et crie pour lui.</v>
      </c>
    </row>
    <row r="9686">
      <c r="A9686" s="4" t="s">
        <v>12176</v>
      </c>
      <c r="B9686" s="4" t="s">
        <v>12177</v>
      </c>
      <c r="C9686" s="5" t="str">
        <f>IFERROR(__xludf.DUMMYFUNCTION("GOOGLETRANSLATE(B9686,""en"",""fr"")"),"Une femme tente de retirer son café d'un compartiment à gants, mais il ne bougera pas.")</f>
        <v>Une femme tente de retirer son café d'un compartiment à gants, mais il ne bougera pas.</v>
      </c>
    </row>
    <row r="9687">
      <c r="A9687" s="4" t="s">
        <v>12176</v>
      </c>
      <c r="B9687" s="4" t="s">
        <v>12178</v>
      </c>
      <c r="C9687" s="5" t="str">
        <f>IFERROR(__xludf.DUMMYFUNCTION("GOOGLETRANSLATE(B9687,""en"",""fr"")"),"Elle se penche en avant, agitant l'homme de la caméra alors qu'elle essaie de prendre un verre.")</f>
        <v>Elle se penche en avant, agitant l'homme de la caméra alors qu'elle essaie de prendre un verre.</v>
      </c>
    </row>
    <row r="9688">
      <c r="A9688" s="4" t="s">
        <v>12176</v>
      </c>
      <c r="B9688" s="4" t="s">
        <v>12179</v>
      </c>
      <c r="C9688" s="5" t="str">
        <f>IFERROR(__xludf.DUMMYFUNCTION("GOOGLETRANSLATE(B9688,""en"",""fr"")"),"Elle est enfin capable de retirer la tasse.")</f>
        <v>Elle est enfin capable de retirer la tasse.</v>
      </c>
    </row>
    <row r="9689">
      <c r="A9689" s="4" t="s">
        <v>12180</v>
      </c>
      <c r="B9689" s="4" t="s">
        <v>12181</v>
      </c>
      <c r="C9689" s="5" t="str">
        <f>IFERROR(__xludf.DUMMYFUNCTION("GOOGLETRANSLATE(B9689,""en"",""fr"")"),"Un homme est vu saisir une rondelle et se recroqueviller le long de la glace devant les autres.")</f>
        <v>Un homme est vu saisir une rondelle et se recroqueviller le long de la glace devant les autres.</v>
      </c>
    </row>
    <row r="9690">
      <c r="A9690" s="4" t="s">
        <v>12180</v>
      </c>
      <c r="B9690" s="4" t="s">
        <v>12182</v>
      </c>
      <c r="C9690" s="5" t="str">
        <f>IFERROR(__xludf.DUMMYFUNCTION("GOOGLETRANSLATE(B9690,""en"",""fr"")"),"Les gens poussent la rondelle sur la glace et célèbrent les uns avec les autres.")</f>
        <v>Les gens poussent la rondelle sur la glace et célèbrent les uns avec les autres.</v>
      </c>
    </row>
    <row r="9691">
      <c r="A9691" s="4" t="s">
        <v>12180</v>
      </c>
      <c r="B9691" s="4" t="s">
        <v>12183</v>
      </c>
      <c r="C9691" s="5" t="str">
        <f>IFERROR(__xludf.DUMMYFUNCTION("GOOGLETRANSLATE(B9691,""en"",""fr"")"),"Les gens sur la touche applaudissent et les hommes s'éloignent.")</f>
        <v>Les gens sur la touche applaudissent et les hommes s'éloignent.</v>
      </c>
    </row>
    <row r="9692">
      <c r="A9692" s="4" t="s">
        <v>12184</v>
      </c>
      <c r="B9692" s="4" t="s">
        <v>12185</v>
      </c>
      <c r="C9692" s="5" t="str">
        <f>IFERROR(__xludf.DUMMYFUNCTION("GOOGLETRANSLATE(B9692,""en"",""fr"")"),"Un groupe d'hommes fait des sauts de Freestyle dans toute la ville.")</f>
        <v>Un groupe d'hommes fait des sauts de Freestyle dans toute la ville.</v>
      </c>
    </row>
    <row r="9693">
      <c r="A9693" s="4" t="s">
        <v>12184</v>
      </c>
      <c r="B9693" s="4" t="s">
        <v>12186</v>
      </c>
      <c r="C9693" s="5" t="str">
        <f>IFERROR(__xludf.DUMMYFUNCTION("GOOGLETRANSLATE(B9693,""en"",""fr"")"),"Les hommes courent ensemble en groupe.")</f>
        <v>Les hommes courent ensemble en groupe.</v>
      </c>
    </row>
    <row r="9694">
      <c r="A9694" s="4" t="s">
        <v>12184</v>
      </c>
      <c r="B9694" s="4" t="s">
        <v>12187</v>
      </c>
      <c r="C9694" s="5" t="str">
        <f>IFERROR(__xludf.DUMMYFUNCTION("GOOGLETRANSLATE(B9694,""en"",""fr"")"),"Chaque homme fait un ensemble de sauts multiples dans une ligne continue.")</f>
        <v>Chaque homme fait un ensemble de sauts multiples dans une ligne continue.</v>
      </c>
    </row>
    <row r="9695">
      <c r="A9695" s="4" t="s">
        <v>12184</v>
      </c>
      <c r="B9695" s="4" t="s">
        <v>12188</v>
      </c>
      <c r="C9695" s="5" t="str">
        <f>IFERROR(__xludf.DUMMYFUNCTION("GOOGLETRANSLATE(B9695,""en"",""fr"")"),"Le tournage est interrompu par le personnel du bâtiment.")</f>
        <v>Le tournage est interrompu par le personnel du bâtiment.</v>
      </c>
    </row>
    <row r="9696">
      <c r="A9696" s="4" t="s">
        <v>12189</v>
      </c>
      <c r="B9696" s="6" t="s">
        <v>12190</v>
      </c>
      <c r="C9696" s="5" t="str">
        <f>IFERROR(__xludf.DUMMYFUNCTION("GOOGLETRANSLATE(B9696,""en"",""fr"")"),"Une femme est vue entrer dans le cadre et hocher la tête à la caméra qui mène à son rince-bouche coulant et dans sa bouche.")</f>
        <v>Une femme est vue entrer dans le cadre et hocher la tête à la caméra qui mène à son rince-bouche coulant et dans sa bouche.</v>
      </c>
    </row>
    <row r="9697">
      <c r="A9697" s="4" t="s">
        <v>12189</v>
      </c>
      <c r="B9697" s="4" t="s">
        <v>12191</v>
      </c>
      <c r="C9697" s="5" t="str">
        <f>IFERROR(__xludf.DUMMYFUNCTION("GOOGLETRANSLATE(B9697,""en"",""fr"")"),"Elle rince le rince-bouche, gargouille le liquide dans sa bouche, puis le crache et sourit.")</f>
        <v>Elle rince le rince-bouche, gargouille le liquide dans sa bouche, puis le crache et sourit.</v>
      </c>
    </row>
    <row r="9698">
      <c r="A9698" s="4" t="s">
        <v>12192</v>
      </c>
      <c r="B9698" s="4" t="s">
        <v>12193</v>
      </c>
      <c r="C9698" s="5" t="str">
        <f>IFERROR(__xludf.DUMMYFUNCTION("GOOGLETRANSLATE(B9698,""en"",""fr"")"),"Un jeune homme se tient sur la ligne de départ d'une piscine.")</f>
        <v>Un jeune homme se tient sur la ligne de départ d'une piscine.</v>
      </c>
    </row>
    <row r="9699">
      <c r="A9699" s="4" t="s">
        <v>12192</v>
      </c>
      <c r="B9699" s="4" t="s">
        <v>12194</v>
      </c>
      <c r="C9699" s="5" t="str">
        <f>IFERROR(__xludf.DUMMYFUNCTION("GOOGLETRANSLATE(B9699,""en"",""fr"")"),"Ensuite, le jeune homme monte dans l'eau et nage de l'autre côté de la traction.")</f>
        <v>Ensuite, le jeune homme monte dans l'eau et nage de l'autre côté de la traction.</v>
      </c>
    </row>
    <row r="9700">
      <c r="A9700" s="4" t="s">
        <v>12192</v>
      </c>
      <c r="B9700" s="4" t="s">
        <v>12195</v>
      </c>
      <c r="C9700" s="5" t="str">
        <f>IFERROR(__xludf.DUMMYFUNCTION("GOOGLETRANSLATE(B9700,""en"",""fr"")"),"Après, le jeune homme quitte la piscine.")</f>
        <v>Après, le jeune homme quitte la piscine.</v>
      </c>
    </row>
    <row r="9701">
      <c r="A9701" s="4" t="s">
        <v>12196</v>
      </c>
      <c r="B9701" s="4" t="s">
        <v>12197</v>
      </c>
      <c r="C9701" s="5" t="str">
        <f>IFERROR(__xludf.DUMMYFUNCTION("GOOGLETRANSLATE(B9701,""en"",""fr"")"),"Deux hommes se douchent dans une douche extérieure.")</f>
        <v>Deux hommes se douchent dans une douche extérieure.</v>
      </c>
    </row>
    <row r="9702">
      <c r="A9702" s="4" t="s">
        <v>12196</v>
      </c>
      <c r="B9702" s="4" t="s">
        <v>12198</v>
      </c>
      <c r="C9702" s="5" t="str">
        <f>IFERROR(__xludf.DUMMYFUNCTION("GOOGLETRANSLATE(B9702,""en"",""fr"")"),"Les gens jouent au polo de l'eau dans l'eau.")</f>
        <v>Les gens jouent au polo de l'eau dans l'eau.</v>
      </c>
    </row>
    <row r="9703">
      <c r="A9703" s="4" t="s">
        <v>12196</v>
      </c>
      <c r="B9703" s="4" t="s">
        <v>12199</v>
      </c>
      <c r="C9703" s="5" t="str">
        <f>IFERROR(__xludf.DUMMYFUNCTION("GOOGLETRANSLATE(B9703,""en"",""fr"")"),"Ils sortent de l'eau et marchent à côté de la piscine.")</f>
        <v>Ils sortent de l'eau et marchent à côté de la piscine.</v>
      </c>
    </row>
    <row r="9704">
      <c r="A9704" s="4" t="s">
        <v>12200</v>
      </c>
      <c r="B9704" s="4" t="s">
        <v>12201</v>
      </c>
      <c r="C9704" s="5" t="str">
        <f>IFERROR(__xludf.DUMMYFUNCTION("GOOGLETRANSLATE(B9704,""en"",""fr"")"),"Un groupe de femmes est rassemblé dans un gymnase intérieur.")</f>
        <v>Un groupe de femmes est rassemblé dans un gymnase intérieur.</v>
      </c>
    </row>
    <row r="9705">
      <c r="A9705" s="4" t="s">
        <v>12200</v>
      </c>
      <c r="B9705" s="4" t="s">
        <v>12202</v>
      </c>
      <c r="C9705" s="5" t="str">
        <f>IFERROR(__xludf.DUMMYFUNCTION("GOOGLETRANSLATE(B9705,""en"",""fr"")"),"Ils sont dirigés par un instructeur.")</f>
        <v>Ils sont dirigés par un instructeur.</v>
      </c>
    </row>
    <row r="9706">
      <c r="A9706" s="4" t="s">
        <v>12200</v>
      </c>
      <c r="B9706" s="4" t="s">
        <v>12203</v>
      </c>
      <c r="C9706" s="5" t="str">
        <f>IFERROR(__xludf.DUMMYFUNCTION("GOOGLETRANSLATE(B9706,""en"",""fr"")"),"Ils font des danses de Zumba à l'aide de steppers.")</f>
        <v>Ils font des danses de Zumba à l'aide de steppers.</v>
      </c>
    </row>
    <row r="9707">
      <c r="A9707" s="4" t="s">
        <v>12204</v>
      </c>
      <c r="B9707" s="4" t="s">
        <v>12205</v>
      </c>
      <c r="C9707" s="5" t="str">
        <f>IFERROR(__xludf.DUMMYFUNCTION("GOOGLETRANSLATE(B9707,""en"",""fr"")"),"Une ligne de couteaux et d'ustensiles de coupe est sur une table.")</f>
        <v>Une ligne de couteaux et d'ustensiles de coupe est sur une table.</v>
      </c>
    </row>
    <row r="9708">
      <c r="A9708" s="4" t="s">
        <v>12204</v>
      </c>
      <c r="B9708" s="4" t="s">
        <v>12206</v>
      </c>
      <c r="C9708" s="5" t="str">
        <f>IFERROR(__xludf.DUMMYFUNCTION("GOOGLETRANSLATE(B9708,""en"",""fr"")"),"Une femme coupe le dessus d'une citrouille et ratisse les graines dans un bol.")</f>
        <v>Une femme coupe le dessus d'une citrouille et ratisse les graines dans un bol.</v>
      </c>
    </row>
    <row r="9709">
      <c r="A9709" s="4" t="s">
        <v>12204</v>
      </c>
      <c r="B9709" s="4" t="s">
        <v>12207</v>
      </c>
      <c r="C9709" s="5" t="str">
        <f>IFERROR(__xludf.DUMMYFUNCTION("GOOGLETRANSLATE(B9709,""en"",""fr"")"),"Puis elle commence à épuiser les graines de la citrouille.")</f>
        <v>Puis elle commence à épuiser les graines de la citrouille.</v>
      </c>
    </row>
    <row r="9710">
      <c r="A9710" s="4" t="s">
        <v>12204</v>
      </c>
      <c r="B9710" s="4" t="s">
        <v>12208</v>
      </c>
      <c r="C9710" s="5" t="str">
        <f>IFERROR(__xludf.DUMMYFUNCTION("GOOGLETRANSLATE(B9710,""en"",""fr"")"),"Elle tire un visage à l'extérieur avant d'utiliser un couteau pour commencer à se targner le visage de sa citrouille.")</f>
        <v>Elle tire un visage à l'extérieur avant d'utiliser un couteau pour commencer à se targner le visage de sa citrouille.</v>
      </c>
    </row>
    <row r="9711">
      <c r="A9711" s="4" t="s">
        <v>12204</v>
      </c>
      <c r="B9711" s="4" t="s">
        <v>12209</v>
      </c>
      <c r="C9711" s="5" t="str">
        <f>IFERROR(__xludf.DUMMYFUNCTION("GOOGLETRANSLATE(B9711,""en"",""fr"")"),"Enfin, elle place le haut en place et met une bougie à l'intérieur.")</f>
        <v>Enfin, elle place le haut en place et met une bougie à l'intérieur.</v>
      </c>
    </row>
    <row r="9712">
      <c r="A9712" s="4" t="s">
        <v>12210</v>
      </c>
      <c r="B9712" s="4" t="s">
        <v>12211</v>
      </c>
      <c r="C9712" s="5" t="str">
        <f>IFERROR(__xludf.DUMMYFUNCTION("GOOGLETRANSLATE(B9712,""en"",""fr"")"),"Michele Obama et une autre femme font du hula à l'extérieur par une journée ensoleillée.")</f>
        <v>Michele Obama et une autre femme font du hula à l'extérieur par une journée ensoleillée.</v>
      </c>
    </row>
    <row r="9713">
      <c r="A9713" s="4" t="s">
        <v>12210</v>
      </c>
      <c r="B9713" s="6" t="s">
        <v>12212</v>
      </c>
      <c r="C9713" s="5" t="str">
        <f>IFERROR(__xludf.DUMMYFUNCTION("GOOGLETRANSLATE(B9713,""en"",""fr"")"),"Alors que la caméra zoome, un jeune garçon et une autre femme sur le côté sont également vus du hula tandis que les gens derrière passent.")</f>
        <v>Alors que la caméra zoome, un jeune garçon et une autre femme sur le côté sont également vus du hula tandis que les gens derrière passent.</v>
      </c>
    </row>
    <row r="9714">
      <c r="A9714" s="4" t="s">
        <v>12210</v>
      </c>
      <c r="B9714" s="6" t="s">
        <v>12213</v>
      </c>
      <c r="C9714" s="5" t="str">
        <f>IFERROR(__xludf.DUMMYFUNCTION("GOOGLETRANSLATE(B9714,""en"",""fr"")"),"Un gros plan de retour au visage de Michele Obama où elle a l'air d'avoir l'entraînement, faisant un sourire narquois sur son visage.")</f>
        <v>Un gros plan de retour au visage de Michele Obama où elle a l'air d'avoir l'entraînement, faisant un sourire narquois sur son visage.</v>
      </c>
    </row>
    <row r="9715">
      <c r="A9715" s="4" t="s">
        <v>12210</v>
      </c>
      <c r="B9715" s="6" t="s">
        <v>12214</v>
      </c>
      <c r="C9715" s="5" t="str">
        <f>IFERROR(__xludf.DUMMYFUNCTION("GOOGLETRANSLATE(B9715,""en"",""fr"")"),"La caméra s'affiche aux deux hanches des deux femmes avec les cerceaux comme au début et à la remonte pour la plupart du temps de voir le visage de Michele.")</f>
        <v>La caméra s'affiche aux deux hanches des deux femmes avec les cerceaux comme au début et à la remonte pour la plupart du temps de voir le visage de Michele.</v>
      </c>
    </row>
    <row r="9716">
      <c r="A9716" s="4" t="s">
        <v>12210</v>
      </c>
      <c r="B9716" s="6" t="s">
        <v>12215</v>
      </c>
      <c r="C9716" s="5" t="str">
        <f>IFERROR(__xludf.DUMMYFUNCTION("GOOGLETRANSLATE(B9716,""en"",""fr"")"),"Michele court maintenant et saute dans une saut où elle ne parvient pas à sauter avec succès dans la corde de saut deux fois, les deux fois gênées.")</f>
        <v>Michele court maintenant et saute dans une saut où elle ne parvient pas à sauter avec succès dans la corde de saut deux fois, les deux fois gênées.</v>
      </c>
    </row>
    <row r="9717">
      <c r="A9717" s="4" t="s">
        <v>12210</v>
      </c>
      <c r="B9717" s="6" t="s">
        <v>12216</v>
      </c>
      <c r="C9717" s="5" t="str">
        <f>IFERROR(__xludf.DUMMYFUNCTION("GOOGLETRANSLATE(B9717,""en"",""fr"")"),"La troisième fois, elle se prépare et court vers la corde de saut à sauter avec succès à quelques reprises avant d'être incapable de le faire.")</f>
        <v>La troisième fois, elle se prépare et court vers la corde de saut à sauter avec succès à quelques reprises avant d'être incapable de le faire.</v>
      </c>
    </row>
    <row r="9718">
      <c r="A9718" s="4" t="s">
        <v>12210</v>
      </c>
      <c r="B9718" s="4" t="s">
        <v>12217</v>
      </c>
      <c r="C9718" s="5" t="str">
        <f>IFERROR(__xludf.DUMMYFUNCTION("GOOGLETRANSLATE(B9718,""en"",""fr"")"),"Maintenant, Michele traverse un parcours de pied sur le sol, tandis qu'un jeune homme traîne derrière.")</f>
        <v>Maintenant, Michele traverse un parcours de pied sur le sol, tandis qu'un jeune homme traîne derrière.</v>
      </c>
    </row>
    <row r="9719">
      <c r="A9719" s="4" t="s">
        <v>12210</v>
      </c>
      <c r="B9719" s="6" t="s">
        <v>12218</v>
      </c>
      <c r="C9719" s="5" t="str">
        <f>IFERROR(__xludf.DUMMYFUNCTION("GOOGLETRANSLATE(B9719,""en"",""fr"")"),"Elle fait maintenant et vient à travers un autre obstacle de bâtons et court vers les bois où elle s'arrête et pointe.")</f>
        <v>Elle fait maintenant et vient à travers un autre obstacle de bâtons et court vers les bois où elle s'arrête et pointe.</v>
      </c>
    </row>
    <row r="9720">
      <c r="A9720" s="4" t="s">
        <v>12210</v>
      </c>
      <c r="B9720" s="6" t="s">
        <v>12219</v>
      </c>
      <c r="C9720" s="5" t="str">
        <f>IFERROR(__xludf.DUMMYFUNCTION("GOOGLETRANSLATE(B9720,""en"",""fr"")"),"Elle recule sur le terrain, donnant des high fives aux personnes aléatoires sur le terrain à son arrivée.")</f>
        <v>Elle recule sur le terrain, donnant des high fives aux personnes aléatoires sur le terrain à son arrivée.</v>
      </c>
    </row>
    <row r="9721">
      <c r="A9721" s="4" t="s">
        <v>12220</v>
      </c>
      <c r="B9721" s="6" t="s">
        <v>12221</v>
      </c>
      <c r="C9721" s="5" t="str">
        <f>IFERROR(__xludf.DUMMYFUNCTION("GOOGLETRANSLATE(B9721,""en"",""fr"")"),"Les mains d'une personne sont vues de près en résolvant un cube Rubix suivi d'un homme parlant à la caméra.")</f>
        <v>Les mains d'une personne sont vues de près en résolvant un cube Rubix suivi d'un homme parlant à la caméra.</v>
      </c>
    </row>
    <row r="9722">
      <c r="A9722" s="4" t="s">
        <v>12220</v>
      </c>
      <c r="B9722" s="4" t="s">
        <v>12222</v>
      </c>
      <c r="C9722" s="5" t="str">
        <f>IFERROR(__xludf.DUMMYFUNCTION("GOOGLETRANSLATE(B9722,""en"",""fr"")"),"L'homme résout ensuite un cube Rubix Blind plié tandis qu'une minuterie capture son score.")</f>
        <v>L'homme résout ensuite un cube Rubix Blind plié tandis qu'une minuterie capture son score.</v>
      </c>
    </row>
    <row r="9723">
      <c r="A9723" s="4" t="s">
        <v>12220</v>
      </c>
      <c r="B9723" s="4" t="s">
        <v>12223</v>
      </c>
      <c r="C9723" s="5" t="str">
        <f>IFERROR(__xludf.DUMMYFUNCTION("GOOGLETRANSLATE(B9723,""en"",""fr"")"),"Il termine le cube et enlève le casque à la fin.")</f>
        <v>Il termine le cube et enlève le casque à la fin.</v>
      </c>
    </row>
    <row r="9724">
      <c r="A9724" s="4" t="s">
        <v>12224</v>
      </c>
      <c r="B9724" s="4" t="s">
        <v>12225</v>
      </c>
      <c r="C9724" s="5" t="str">
        <f>IFERROR(__xludf.DUMMYFUNCTION("GOOGLETRANSLATE(B9724,""en"",""fr"")"),"Le snowboarder est dans un grand champ dans la neige blanche.")</f>
        <v>Le snowboarder est dans un grand champ dans la neige blanche.</v>
      </c>
    </row>
    <row r="9725">
      <c r="A9725" s="4" t="s">
        <v>12224</v>
      </c>
      <c r="B9725" s="4" t="s">
        <v>12226</v>
      </c>
      <c r="C9725" s="5" t="str">
        <f>IFERROR(__xludf.DUMMYFUNCTION("GOOGLETRANSLATE(B9725,""en"",""fr"")"),"Une cabine dans la montagne et glisser sur la montagne dans le snowboard.")</f>
        <v>Une cabine dans la montagne et glisser sur la montagne dans le snowboard.</v>
      </c>
    </row>
    <row r="9726">
      <c r="A9726" s="4" t="s">
        <v>12224</v>
      </c>
      <c r="B9726" s="4" t="s">
        <v>12227</v>
      </c>
      <c r="C9726" s="5" t="str">
        <f>IFERROR(__xludf.DUMMYFUNCTION("GOOGLETRANSLATE(B9726,""en"",""fr"")"),"Les gens sont dans une cabine et se déplacent sur la montagne dans le snowboard et passe par un parking.")</f>
        <v>Les gens sont dans une cabine et se déplacent sur la montagne dans le snowboard et passe par un parking.</v>
      </c>
    </row>
    <row r="9727">
      <c r="A9727" s="4" t="s">
        <v>12228</v>
      </c>
      <c r="B9727" s="4" t="s">
        <v>12229</v>
      </c>
      <c r="C9727" s="5" t="str">
        <f>IFERROR(__xludf.DUMMYFUNCTION("GOOGLETRANSLATE(B9727,""en"",""fr"")"),"Deux jeunes gars se tiennent ensemble et retiennent de l'argent.")</f>
        <v>Deux jeunes gars se tiennent ensemble et retiennent de l'argent.</v>
      </c>
    </row>
    <row r="9728">
      <c r="A9728" s="4" t="s">
        <v>12228</v>
      </c>
      <c r="B9728" s="4" t="s">
        <v>12230</v>
      </c>
      <c r="C9728" s="5" t="str">
        <f>IFERROR(__xludf.DUMMYFUNCTION("GOOGLETRANSLATE(B9728,""en"",""fr"")"),"Les jeunes mecs à un sans-abri et lui serrent la main.")</f>
        <v>Les jeunes mecs à un sans-abri et lui serrent la main.</v>
      </c>
    </row>
    <row r="9729">
      <c r="A9729" s="4" t="s">
        <v>12228</v>
      </c>
      <c r="B9729" s="4" t="s">
        <v>12231</v>
      </c>
      <c r="C9729" s="5" t="str">
        <f>IFERROR(__xludf.DUMMYFUNCTION("GOOGLETRANSLATE(B9729,""en"",""fr"")"),"Les hommes parlent avec un jeune sans-abri assis devant un magasin.")</f>
        <v>Les hommes parlent avec un jeune sans-abri assis devant un magasin.</v>
      </c>
    </row>
    <row r="9730">
      <c r="A9730" s="4" t="s">
        <v>12228</v>
      </c>
      <c r="B9730" s="4" t="s">
        <v>12232</v>
      </c>
      <c r="C9730" s="5" t="str">
        <f>IFERROR(__xludf.DUMMYFUNCTION("GOOGLETRANSLATE(B9730,""en"",""fr"")"),"Le groupe marche tous ensemble dans une rue.")</f>
        <v>Le groupe marche tous ensemble dans une rue.</v>
      </c>
    </row>
    <row r="9731">
      <c r="A9731" s="4" t="s">
        <v>12228</v>
      </c>
      <c r="B9731" s="4" t="s">
        <v>12233</v>
      </c>
      <c r="C9731" s="5" t="str">
        <f>IFERROR(__xludf.DUMMYFUNCTION("GOOGLETRANSLATE(B9731,""en"",""fr"")"),"Les hommes tiennent un concours de lutte de bras debout sur un patio extérieur.")</f>
        <v>Les hommes tiennent un concours de lutte de bras debout sur un patio extérieur.</v>
      </c>
    </row>
    <row r="9732">
      <c r="A9732" s="4" t="s">
        <v>12228</v>
      </c>
      <c r="B9732" s="4" t="s">
        <v>12234</v>
      </c>
      <c r="C9732" s="5" t="str">
        <f>IFERROR(__xludf.DUMMYFUNCTION("GOOGLETRANSLATE(B9732,""en"",""fr"")"),"L'homme gagne et les deux candidats reçoivent du prix.")</f>
        <v>L'homme gagne et les deux candidats reçoivent du prix.</v>
      </c>
    </row>
    <row r="9733">
      <c r="A9733" s="4" t="s">
        <v>12235</v>
      </c>
      <c r="B9733" s="4" t="s">
        <v>12236</v>
      </c>
      <c r="C9733" s="5" t="str">
        <f>IFERROR(__xludf.DUMMYFUNCTION("GOOGLETRANSLATE(B9733,""en"",""fr"")"),"Les pieds d'un danseur sont représentés dans une salle de classe ainsi qu'une classe de ballet se produisant en arrière-plan.")</f>
        <v>Les pieds d'un danseur sont représentés dans une salle de classe ainsi qu'une classe de ballet se produisant en arrière-plan.</v>
      </c>
    </row>
    <row r="9734">
      <c r="A9734" s="4" t="s">
        <v>12235</v>
      </c>
      <c r="B9734" s="4" t="s">
        <v>12237</v>
      </c>
      <c r="C9734" s="5" t="str">
        <f>IFERROR(__xludf.DUMMYFUNCTION("GOOGLETRANSLATE(B9734,""en"",""fr"")"),"L'enseignant explique aux filles comment effectuer des mouvements de ballet appropriés, comme les élèves le suivent.")</f>
        <v>L'enseignant explique aux filles comment effectuer des mouvements de ballet appropriés, comme les élèves le suivent.</v>
      </c>
    </row>
    <row r="9735">
      <c r="A9735" s="4" t="s">
        <v>12235</v>
      </c>
      <c r="B9735" s="4" t="s">
        <v>12238</v>
      </c>
      <c r="C9735" s="5" t="str">
        <f>IFERROR(__xludf.DUMMYFUNCTION("GOOGLETRANSLATE(B9735,""en"",""fr"")"),"Les filles déplacent leurs bras dans la bonne position et finissent par se tourner de côté.")</f>
        <v>Les filles déplacent leurs bras dans la bonne position et finissent par se tourner de côté.</v>
      </c>
    </row>
    <row r="9736">
      <c r="A9736" s="4" t="s">
        <v>12235</v>
      </c>
      <c r="B9736" s="4" t="s">
        <v>12239</v>
      </c>
      <c r="C9736" s="5" t="str">
        <f>IFERROR(__xludf.DUMMYFUNCTION("GOOGLETRANSLATE(B9736,""en"",""fr"")"),"Enfin, l'instructeur apprend aux filles à étendre leurs jambes et à effectuer une décision appropriée.")</f>
        <v>Enfin, l'instructeur apprend aux filles à étendre leurs jambes et à effectuer une décision appropriée.</v>
      </c>
    </row>
    <row r="9737">
      <c r="A9737" s="4" t="s">
        <v>12240</v>
      </c>
      <c r="B9737" s="4" t="s">
        <v>12241</v>
      </c>
      <c r="C9737" s="5" t="str">
        <f>IFERROR(__xludf.DUMMYFUNCTION("GOOGLETRANSLATE(B9737,""en"",""fr"")"),"Deux hommes sont sur une surface rembourrée, se battant.")</f>
        <v>Deux hommes sont sur une surface rembourrée, se battant.</v>
      </c>
    </row>
    <row r="9738">
      <c r="A9738" s="4" t="s">
        <v>12240</v>
      </c>
      <c r="B9738" s="4" t="s">
        <v>12242</v>
      </c>
      <c r="C9738" s="5" t="str">
        <f>IFERROR(__xludf.DUMMYFUNCTION("GOOGLETRANSLATE(B9738,""en"",""fr"")"),"Ils sautent et se frappent.")</f>
        <v>Ils sautent et se frappent.</v>
      </c>
    </row>
    <row r="9739">
      <c r="A9739" s="4" t="s">
        <v>12240</v>
      </c>
      <c r="B9739" s="4" t="s">
        <v>12243</v>
      </c>
      <c r="C9739" s="5" t="str">
        <f>IFERROR(__xludf.DUMMYFUNCTION("GOOGLETRANSLATE(B9739,""en"",""fr"")"),"Ils roulent sur le tapis jusqu'à ce que l'un d'eux épingle l'autre.")</f>
        <v>Ils roulent sur le tapis jusqu'à ce que l'un d'eux épingle l'autre.</v>
      </c>
    </row>
    <row r="9740">
      <c r="A9740" s="4" t="s">
        <v>12244</v>
      </c>
      <c r="B9740" s="4" t="s">
        <v>12245</v>
      </c>
      <c r="C9740" s="5" t="str">
        <f>IFERROR(__xludf.DUMMYFUNCTION("GOOGLETRANSLATE(B9740,""en"",""fr"")"),"Un homme est montré en corrida devant une foule.")</f>
        <v>Un homme est montré en corrida devant une foule.</v>
      </c>
    </row>
    <row r="9741">
      <c r="A9741" s="4" t="s">
        <v>12244</v>
      </c>
      <c r="B9741" s="4" t="s">
        <v>12246</v>
      </c>
      <c r="C9741" s="5" t="str">
        <f>IFERROR(__xludf.DUMMYFUNCTION("GOOGLETRANSLATE(B9741,""en"",""fr"")"),"L'homme tombe et est renversé par le taureau.")</f>
        <v>L'homme tombe et est renversé par le taureau.</v>
      </c>
    </row>
    <row r="9742">
      <c r="A9742" s="4" t="s">
        <v>12244</v>
      </c>
      <c r="B9742" s="4" t="s">
        <v>12247</v>
      </c>
      <c r="C9742" s="5" t="str">
        <f>IFERROR(__xludf.DUMMYFUNCTION("GOOGLETRANSLATE(B9742,""en"",""fr"")"),"L'homme est escorté hors de l'arène.")</f>
        <v>L'homme est escorté hors de l'arène.</v>
      </c>
    </row>
    <row r="9743">
      <c r="A9743" s="4" t="s">
        <v>12244</v>
      </c>
      <c r="B9743" s="4" t="s">
        <v>12248</v>
      </c>
      <c r="C9743" s="5" t="str">
        <f>IFERROR(__xludf.DUMMYFUNCTION("GOOGLETRANSLATE(B9743,""en"",""fr"")"),"L'homme qui tombe et est renversé est rejoué.")</f>
        <v>L'homme qui tombe et est renversé est rejoué.</v>
      </c>
    </row>
    <row r="9744">
      <c r="A9744" s="4" t="s">
        <v>12244</v>
      </c>
      <c r="B9744" s="4" t="s">
        <v>12249</v>
      </c>
      <c r="C9744" s="5" t="str">
        <f>IFERROR(__xludf.DUMMYFUNCTION("GOOGLETRANSLATE(B9744,""en"",""fr"")"),"On montre que deux personnes réagissant à l'incident.")</f>
        <v>On montre que deux personnes réagissant à l'incident.</v>
      </c>
    </row>
    <row r="9745">
      <c r="A9745" s="4" t="s">
        <v>12244</v>
      </c>
      <c r="B9745" s="4" t="s">
        <v>12250</v>
      </c>
      <c r="C9745" s="5" t="str">
        <f>IFERROR(__xludf.DUMMYFUNCTION("GOOGLETRANSLATE(B9745,""en"",""fr"")"),"La vidéo au ralenti et les images fixes de la blessure de l'homme sont affichées.")</f>
        <v>La vidéo au ralenti et les images fixes de la blessure de l'homme sont affichées.</v>
      </c>
    </row>
    <row r="9746">
      <c r="A9746" s="4" t="s">
        <v>12244</v>
      </c>
      <c r="B9746" s="4" t="s">
        <v>12251</v>
      </c>
      <c r="C9746" s="5" t="str">
        <f>IFERROR(__xludf.DUMMYFUNCTION("GOOGLETRANSLATE(B9746,""en"",""fr"")"),"Le contenu vidéo se répète à partir des deux personnes réagissant.")</f>
        <v>Le contenu vidéo se répète à partir des deux personnes réagissant.</v>
      </c>
    </row>
    <row r="9747">
      <c r="A9747" s="4" t="s">
        <v>12252</v>
      </c>
      <c r="B9747" s="4" t="s">
        <v>12253</v>
      </c>
      <c r="C9747" s="5" t="str">
        <f>IFERROR(__xludf.DUMMYFUNCTION("GOOGLETRANSLATE(B9747,""en"",""fr"")"),"Une femme parle de jouer au billard.")</f>
        <v>Une femme parle de jouer au billard.</v>
      </c>
    </row>
    <row r="9748">
      <c r="A9748" s="4" t="s">
        <v>12252</v>
      </c>
      <c r="B9748" s="4" t="s">
        <v>12254</v>
      </c>
      <c r="C9748" s="5" t="str">
        <f>IFERROR(__xludf.DUMMYFUNCTION("GOOGLETRANSLATE(B9748,""en"",""fr"")"),"Elle explique la bonne façon de se tenir debout et comment tirer une balle en jouant à la piscine.")</f>
        <v>Elle explique la bonne façon de se tenir debout et comment tirer une balle en jouant à la piscine.</v>
      </c>
    </row>
    <row r="9749">
      <c r="A9749" s="4" t="s">
        <v>12255</v>
      </c>
      <c r="B9749" s="6" t="s">
        <v>12256</v>
      </c>
      <c r="C9749" s="5" t="str">
        <f>IFERROR(__xludf.DUMMYFUNCTION("GOOGLETRANSLATE(B9749,""en"",""fr"")"),"Un gars court et saute par-dessus un poteau sans le toucher et atterrit sur des tapis, car certaines personnes dans la montre arrière et d'autres y pratiques.")</f>
        <v>Un gars court et saute par-dessus un poteau sans le toucher et atterrit sur des tapis, car certaines personnes dans la montre arrière et d'autres y pratiques.</v>
      </c>
    </row>
    <row r="9750">
      <c r="A9750" s="4" t="s">
        <v>12255</v>
      </c>
      <c r="B9750" s="6" t="s">
        <v>12257</v>
      </c>
      <c r="C9750" s="5" t="str">
        <f>IFERROR(__xludf.DUMMYFUNCTION("GOOGLETRANSLATE(B9750,""en"",""fr"")"),"Le gars semble pratiquer à quel point il peut sauter en sautant par-dessus le poteau plusieurs fois, chaque fois qu'une personne élève le poteau de plus en plus pour voir si le gars peut sauter par-dessus.")</f>
        <v>Le gars semble pratiquer à quel point il peut sauter en sautant par-dessus le poteau plusieurs fois, chaque fois qu'une personne élève le poteau de plus en plus pour voir si le gars peut sauter par-dessus.</v>
      </c>
    </row>
    <row r="9751">
      <c r="A9751" s="4" t="s">
        <v>12255</v>
      </c>
      <c r="B9751" s="4" t="s">
        <v>12258</v>
      </c>
      <c r="C9751" s="5" t="str">
        <f>IFERROR(__xludf.DUMMYFUNCTION("GOOGLETRANSLATE(B9751,""en"",""fr"")"),"Un saut, le gars a renversé le poteau quand il a essayé de se bosse dessus.")</f>
        <v>Un saut, le gars a renversé le poteau quand il a essayé de se bosse dessus.</v>
      </c>
    </row>
    <row r="9752">
      <c r="A9752" s="4" t="s">
        <v>12255</v>
      </c>
      <c r="B9752" s="4" t="s">
        <v>12259</v>
      </c>
      <c r="C9752" s="5" t="str">
        <f>IFERROR(__xludf.DUMMYFUNCTION("GOOGLETRANSLATE(B9752,""en"",""fr"")"),"Le gars a renversé le poteau six fois de tous ses sauts.")</f>
        <v>Le gars a renversé le poteau six fois de tous ses sauts.</v>
      </c>
    </row>
    <row r="9753">
      <c r="A9753" s="4" t="s">
        <v>12260</v>
      </c>
      <c r="B9753" s="4" t="s">
        <v>12261</v>
      </c>
      <c r="C9753" s="5" t="str">
        <f>IFERROR(__xludf.DUMMYFUNCTION("GOOGLETRANSLATE(B9753,""en"",""fr"")"),"Les joueurs tirent la corde dans un match de la remorque de guerre.")</f>
        <v>Les joueurs tirent la corde dans un match de la remorque de guerre.</v>
      </c>
    </row>
    <row r="9754">
      <c r="A9754" s="4" t="s">
        <v>12260</v>
      </c>
      <c r="B9754" s="4" t="s">
        <v>12262</v>
      </c>
      <c r="C9754" s="5" t="str">
        <f>IFERROR(__xludf.DUMMYFUNCTION("GOOGLETRANSLATE(B9754,""en"",""fr"")"),"Un homme s'accroupit sur le sol et se lève.")</f>
        <v>Un homme s'accroupit sur le sol et se lève.</v>
      </c>
    </row>
    <row r="9755">
      <c r="A9755" s="4" t="s">
        <v>12260</v>
      </c>
      <c r="B9755" s="4" t="s">
        <v>12263</v>
      </c>
      <c r="C9755" s="5" t="str">
        <f>IFERROR(__xludf.DUMMYFUNCTION("GOOGLETRANSLATE(B9755,""en"",""fr"")"),"Les gars tirant le côté gauche de la corde tombent au sol.")</f>
        <v>Les gars tirant le côté gauche de la corde tombent au sol.</v>
      </c>
    </row>
    <row r="9756">
      <c r="A9756" s="4" t="s">
        <v>12260</v>
      </c>
      <c r="B9756" s="4" t="s">
        <v>12264</v>
      </c>
      <c r="C9756" s="5" t="str">
        <f>IFERROR(__xludf.DUMMYFUNCTION("GOOGLETRANSLATE(B9756,""en"",""fr"")"),"Les gars lâchent la corde, descendent de la pelouse et étreignent pour célébrer.")</f>
        <v>Les gars lâchent la corde, descendent de la pelouse et étreignent pour célébrer.</v>
      </c>
    </row>
    <row r="9757">
      <c r="A9757" s="4" t="s">
        <v>12265</v>
      </c>
      <c r="B9757" s="4" t="s">
        <v>12266</v>
      </c>
      <c r="C9757" s="5" t="str">
        <f>IFERROR(__xludf.DUMMYFUNCTION("GOOGLETRANSLATE(B9757,""en"",""fr"")"),"Il y a une femme vêtue d'un pull beige démontrant comment envelopper les cadeaux de Noël.")</f>
        <v>Il y a une femme vêtue d'un pull beige démontrant comment envelopper les cadeaux de Noël.</v>
      </c>
    </row>
    <row r="9758">
      <c r="A9758" s="4" t="s">
        <v>12265</v>
      </c>
      <c r="B9758" s="4" t="s">
        <v>12267</v>
      </c>
      <c r="C9758" s="5" t="str">
        <f>IFERROR(__xludf.DUMMYFUNCTION("GOOGLETRANSLATE(B9758,""en"",""fr"")"),"Elle commence avec couper le papier d'emballage cadeau pour s'adapter à la taille de la boîte.")</f>
        <v>Elle commence avec couper le papier d'emballage cadeau pour s'adapter à la taille de la boîte.</v>
      </c>
    </row>
    <row r="9759">
      <c r="A9759" s="4" t="s">
        <v>12265</v>
      </c>
      <c r="B9759" s="4" t="s">
        <v>12268</v>
      </c>
      <c r="C9759" s="5" t="str">
        <f>IFERROR(__xludf.DUMMYFUNCTION("GOOGLETRANSLATE(B9759,""en"",""fr"")"),"Elle plie le papier uniformément pour couvrir toute la boîte.")</f>
        <v>Elle plie le papier uniformément pour couvrir toute la boîte.</v>
      </c>
    </row>
    <row r="9760">
      <c r="A9760" s="4" t="s">
        <v>12265</v>
      </c>
      <c r="B9760" s="4" t="s">
        <v>12269</v>
      </c>
      <c r="C9760" s="5" t="str">
        <f>IFERROR(__xludf.DUMMYFUNCTION("GOOGLETRANSLATE(B9760,""en"",""fr"")"),"Ensuite, elle utilise du ruban Scotch pour sceller les extrémités en toute sécurité.")</f>
        <v>Ensuite, elle utilise du ruban Scotch pour sceller les extrémités en toute sécurité.</v>
      </c>
    </row>
    <row r="9761">
      <c r="A9761" s="4" t="s">
        <v>12265</v>
      </c>
      <c r="B9761" s="6" t="s">
        <v>12270</v>
      </c>
      <c r="C9761" s="5" t="str">
        <f>IFERROR(__xludf.DUMMYFUNCTION("GOOGLETRANSLATE(B9761,""en"",""fr"")"),"Elle prend du ruban décoratif et d'autres articles décoratifs pour garnir la boîte pour ajouter une touche spéciale aux cadeaux.")</f>
        <v>Elle prend du ruban décoratif et d'autres articles décoratifs pour garnir la boîte pour ajouter une touche spéciale aux cadeaux.</v>
      </c>
    </row>
    <row r="9762">
      <c r="A9762" s="4" t="s">
        <v>12271</v>
      </c>
      <c r="B9762" s="4" t="s">
        <v>12272</v>
      </c>
      <c r="C9762" s="5" t="str">
        <f>IFERROR(__xludf.DUMMYFUNCTION("GOOGLETRANSLATE(B9762,""en"",""fr"")"),"Un groupe de jeunes hommes joue au volleyball sur une plage de sable devant l'océan.")</f>
        <v>Un groupe de jeunes hommes joue au volleyball sur une plage de sable devant l'océan.</v>
      </c>
    </row>
    <row r="9763">
      <c r="A9763" s="4" t="s">
        <v>12271</v>
      </c>
      <c r="B9763" s="6" t="s">
        <v>12273</v>
      </c>
      <c r="C9763" s="5" t="str">
        <f>IFERROR(__xludf.DUMMYFUNCTION("GOOGLETRANSLATE(B9763,""en"",""fr"")"),"Un groupe d'hommes dans les troncs de natation et les slips de bikini jouent au volley-ball dans le sable de la plage devant un grand filet de balle verte de volley.")</f>
        <v>Un groupe d'hommes dans les troncs de natation et les slips de bikini jouent au volley-ball dans le sable de la plage devant un grand filet de balle verte de volley.</v>
      </c>
    </row>
    <row r="9764">
      <c r="A9764" s="4" t="s">
        <v>12271</v>
      </c>
      <c r="B9764" s="4" t="s">
        <v>12274</v>
      </c>
      <c r="C9764" s="5" t="str">
        <f>IFERROR(__xludf.DUMMYFUNCTION("GOOGLETRANSLATE(B9764,""en"",""fr"")"),"Les hommes sont compétitifs lorsqu'ils jouent en utilisant les pieds et la tête et la poitrine pour déplacer le ballon.")</f>
        <v>Les hommes sont compétitifs lorsqu'ils jouent en utilisant les pieds et la tête et la poitrine pour déplacer le ballon.</v>
      </c>
    </row>
    <row r="9765">
      <c r="A9765" s="4" t="s">
        <v>12271</v>
      </c>
      <c r="B9765" s="4" t="s">
        <v>12275</v>
      </c>
      <c r="C9765" s="5" t="str">
        <f>IFERROR(__xludf.DUMMYFUNCTION("GOOGLETRANSLATE(B9765,""en"",""fr"")"),"Un homme est allongé sur le sable puis se lève pour jouer plus de volleyball.")</f>
        <v>Un homme est allongé sur le sable puis se lève pour jouer plus de volleyball.</v>
      </c>
    </row>
    <row r="9766">
      <c r="A9766" s="4" t="s">
        <v>12276</v>
      </c>
      <c r="B9766" s="4" t="s">
        <v>12277</v>
      </c>
      <c r="C9766" s="5" t="str">
        <f>IFERROR(__xludf.DUMMYFUNCTION("GOOGLETRANSLATE(B9766,""en"",""fr"")"),"Un homme est vu hébergeant un segment d'actualités qui mène à un joueur debout sur un terrain.")</f>
        <v>Un homme est vu hébergeant un segment d'actualités qui mène à un joueur debout sur un terrain.</v>
      </c>
    </row>
    <row r="9767">
      <c r="A9767" s="4" t="s">
        <v>12276</v>
      </c>
      <c r="B9767" s="4" t="s">
        <v>12278</v>
      </c>
      <c r="C9767" s="5" t="str">
        <f>IFERROR(__xludf.DUMMYFUNCTION("GOOGLETRANSLATE(B9767,""en"",""fr"")"),"Une personne frappe une balle et les coéquipiers ont une joie suivie de plus de gens jouant au jeu.")</f>
        <v>Une personne frappe une balle et les coéquipiers ont une joie suivie de plus de gens jouant au jeu.</v>
      </c>
    </row>
    <row r="9768">
      <c r="A9768" s="4" t="s">
        <v>12276</v>
      </c>
      <c r="B9768" s="6" t="s">
        <v>12279</v>
      </c>
      <c r="C9768" s="5" t="str">
        <f>IFERROR(__xludf.DUMMYFUNCTION("GOOGLETRANSLATE(B9768,""en"",""fr"")"),"Le sport continue avec des gens qui lancent des balles et les frappent ainsi que les coéquipiers applaudissant et l'hôte finit par parler.")</f>
        <v>Le sport continue avec des gens qui lancent des balles et les frappent ainsi que les coéquipiers applaudissant et l'hôte finit par parler.</v>
      </c>
    </row>
    <row r="9769">
      <c r="A9769" s="4" t="s">
        <v>12280</v>
      </c>
      <c r="B9769" s="4" t="s">
        <v>12281</v>
      </c>
      <c r="C9769" s="5" t="str">
        <f>IFERROR(__xludf.DUMMYFUNCTION("GOOGLETRANSLATE(B9769,""en"",""fr"")"),"Une femme se dresse par une balle et la met en place.")</f>
        <v>Une femme se dresse par une balle et la met en place.</v>
      </c>
    </row>
    <row r="9770">
      <c r="A9770" s="4" t="s">
        <v>12280</v>
      </c>
      <c r="B9770" s="4" t="s">
        <v>12282</v>
      </c>
      <c r="C9770" s="5" t="str">
        <f>IFERROR(__xludf.DUMMYFUNCTION("GOOGLETRANSLATE(B9770,""en"",""fr"")"),"Une autre femme apparaît et ils enveloppent le ballon dans du papier enveloppé.")</f>
        <v>Une autre femme apparaît et ils enveloppent le ballon dans du papier enveloppé.</v>
      </c>
    </row>
    <row r="9771">
      <c r="A9771" s="4" t="s">
        <v>12280</v>
      </c>
      <c r="B9771" s="4" t="s">
        <v>12283</v>
      </c>
      <c r="C9771" s="5" t="str">
        <f>IFERROR(__xludf.DUMMYFUNCTION("GOOGLETRANSLATE(B9771,""en"",""fr"")"),"Ils finissent envelopper et enregistrer le ballon.")</f>
        <v>Ils finissent envelopper et enregistrer le ballon.</v>
      </c>
    </row>
    <row r="9772">
      <c r="A9772" s="4" t="s">
        <v>12280</v>
      </c>
      <c r="B9772" s="4" t="s">
        <v>12284</v>
      </c>
      <c r="C9772" s="5" t="str">
        <f>IFERROR(__xludf.DUMMYFUNCTION("GOOGLETRANSLATE(B9772,""en"",""fr"")"),"Ils prennent la caméra et commencent à y parler.")</f>
        <v>Ils prennent la caméra et commencent à y parler.</v>
      </c>
    </row>
    <row r="9773">
      <c r="A9773" s="4" t="s">
        <v>12285</v>
      </c>
      <c r="B9773" s="4" t="s">
        <v>12286</v>
      </c>
      <c r="C9773" s="5" t="str">
        <f>IFERROR(__xludf.DUMMYFUNCTION("GOOGLETRANSLATE(B9773,""en"",""fr"")"),"Une femme est vue en parlant à la caméra pendant que les gens utilisent du matériel d'exercice autour d'elle.")</f>
        <v>Une femme est vue en parlant à la caméra pendant que les gens utilisent du matériel d'exercice autour d'elle.</v>
      </c>
    </row>
    <row r="9774">
      <c r="A9774" s="4" t="s">
        <v>12285</v>
      </c>
      <c r="B9774" s="6" t="s">
        <v>12287</v>
      </c>
      <c r="C9774" s="5" t="str">
        <f>IFERROR(__xludf.DUMMYFUNCTION("GOOGLETRANSLATE(B9774,""en"",""fr"")"),"Plus de photos sont montrées des personnes utilisant la machine ainsi que des personnes qui parlent à la caméra et aux gros plans de la machine.")</f>
        <v>Plus de photos sont montrées des personnes utilisant la machine ainsi que des personnes qui parlent à la caméra et aux gros plans de la machine.</v>
      </c>
    </row>
    <row r="9775">
      <c r="A9775" s="4" t="s">
        <v>12288</v>
      </c>
      <c r="B9775" s="4" t="s">
        <v>12289</v>
      </c>
      <c r="C9775" s="5" t="str">
        <f>IFERROR(__xludf.DUMMYFUNCTION("GOOGLETRANSLATE(B9775,""en"",""fr"")"),"Un homme de la construction présente la vidéo et parle de placer des bardeaux sur un toit.")</f>
        <v>Un homme de la construction présente la vidéo et parle de placer des bardeaux sur un toit.</v>
      </c>
    </row>
    <row r="9776">
      <c r="A9776" s="4" t="s">
        <v>12288</v>
      </c>
      <c r="B9776" s="4" t="s">
        <v>12290</v>
      </c>
      <c r="C9776" s="5" t="str">
        <f>IFERROR(__xludf.DUMMYFUNCTION("GOOGLETRANSLATE(B9776,""en"",""fr"")"),"Il place des bardeaux et les cloue.")</f>
        <v>Il place des bardeaux et les cloue.</v>
      </c>
    </row>
    <row r="9777">
      <c r="A9777" s="4" t="s">
        <v>12288</v>
      </c>
      <c r="B9777" s="6" t="s">
        <v>12291</v>
      </c>
      <c r="C9777" s="5" t="str">
        <f>IFERROR(__xludf.DUMMYFUNCTION("GOOGLETRANSLATE(B9777,""en"",""fr"")"),"Il cloue dans une pièce en métal qui longe le coin du toit et du bâtiment pour aider à maintenir les choses en place.")</f>
        <v>Il cloue dans une pièce en métal qui longe le coin du toit et du bâtiment pour aider à maintenir les choses en place.</v>
      </c>
    </row>
    <row r="9778">
      <c r="A9778" s="4" t="s">
        <v>12288</v>
      </c>
      <c r="B9778" s="4" t="s">
        <v>12292</v>
      </c>
      <c r="C9778" s="5" t="str">
        <f>IFERROR(__xludf.DUMMYFUNCTION("GOOGLETRANSLATE(B9778,""en"",""fr"")"),"Il répète ce processus avant de fermer la vidéo.")</f>
        <v>Il répète ce processus avant de fermer la vidéo.</v>
      </c>
    </row>
    <row r="9779">
      <c r="A9779" s="4" t="s">
        <v>12293</v>
      </c>
      <c r="B9779" s="4" t="s">
        <v>12294</v>
      </c>
      <c r="C9779" s="5" t="str">
        <f>IFERROR(__xludf.DUMMYFUNCTION("GOOGLETRANSLATE(B9779,""en"",""fr"")"),"Une photo d'une pièce est montrée lorsqu'un homme entre dans le cadre.")</f>
        <v>Une photo d'une pièce est montrée lorsqu'un homme entre dans le cadre.</v>
      </c>
    </row>
    <row r="9780">
      <c r="A9780" s="4" t="s">
        <v>12293</v>
      </c>
      <c r="B9780" s="4" t="s">
        <v>12295</v>
      </c>
      <c r="C9780" s="5" t="str">
        <f>IFERROR(__xludf.DUMMYFUNCTION("GOOGLETRANSLATE(B9780,""en"",""fr"")"),"L'homme commence alors à sauter encore et encore.")</f>
        <v>L'homme commence alors à sauter encore et encore.</v>
      </c>
    </row>
    <row r="9781">
      <c r="A9781" s="4" t="s">
        <v>12293</v>
      </c>
      <c r="B9781" s="4" t="s">
        <v>12296</v>
      </c>
      <c r="C9781" s="5" t="str">
        <f>IFERROR(__xludf.DUMMYFUNCTION("GOOGLETRANSLATE(B9781,""en"",""fr"")"),"Il continue de sauter la corde et se termine en sortant du cadre.")</f>
        <v>Il continue de sauter la corde et se termine en sortant du cadre.</v>
      </c>
    </row>
    <row r="9782">
      <c r="A9782" s="4" t="s">
        <v>12297</v>
      </c>
      <c r="B9782" s="6" t="s">
        <v>12298</v>
      </c>
      <c r="C9782" s="5" t="str">
        <f>IFERROR(__xludf.DUMMYFUNCTION("GOOGLETRANSLATE(B9782,""en"",""fr"")"),"Une femme est vue en parlant à la caméra qui mène à des clips de personnes roulant dans des kayaks et des chameaux errant.")</f>
        <v>Une femme est vue en parlant à la caméra qui mène à des clips de personnes roulant dans des kayaks et des chameaux errant.</v>
      </c>
    </row>
    <row r="9783">
      <c r="A9783" s="4" t="s">
        <v>12297</v>
      </c>
      <c r="B9783" s="4" t="s">
        <v>12299</v>
      </c>
      <c r="C9783" s="5" t="str">
        <f>IFERROR(__xludf.DUMMYFUNCTION("GOOGLETRANSLATE(B9783,""en"",""fr"")"),"Plus de clips sont montrés des personnes qui roulent dans l'eau dans un kayak.")</f>
        <v>Plus de clips sont montrés des personnes qui roulent dans l'eau dans un kayak.</v>
      </c>
    </row>
    <row r="9784">
      <c r="A9784" s="4" t="s">
        <v>12297</v>
      </c>
      <c r="B9784" s="4" t="s">
        <v>12300</v>
      </c>
      <c r="C9784" s="5" t="str">
        <f>IFERROR(__xludf.DUMMYFUNCTION("GOOGLETRANSLATE(B9784,""en"",""fr"")"),"La personne se purse le long de l'eau avec d'autres personnes qui roulent près de lui.")</f>
        <v>La personne se purse le long de l'eau avec d'autres personnes qui roulent près de lui.</v>
      </c>
    </row>
    <row r="9785">
      <c r="A9785" s="4" t="s">
        <v>12301</v>
      </c>
      <c r="B9785" s="4" t="s">
        <v>12302</v>
      </c>
      <c r="C9785" s="5" t="str">
        <f>IFERROR(__xludf.DUMMYFUNCTION("GOOGLETRANSLATE(B9785,""en"",""fr"")"),"Un travailleur a transporté un plateau de café à une table avec des invités.")</f>
        <v>Un travailleur a transporté un plateau de café à une table avec des invités.</v>
      </c>
    </row>
    <row r="9786">
      <c r="A9786" s="4" t="s">
        <v>12301</v>
      </c>
      <c r="B9786" s="4" t="s">
        <v>12303</v>
      </c>
      <c r="C9786" s="5" t="str">
        <f>IFERROR(__xludf.DUMMYFUNCTION("GOOGLETRANSLATE(B9786,""en"",""fr"")"),"Un autre homme parle à certains journalistes avec le microphone.")</f>
        <v>Un autre homme parle à certains journalistes avec le microphone.</v>
      </c>
    </row>
    <row r="9787">
      <c r="A9787" s="4" t="s">
        <v>12301</v>
      </c>
      <c r="B9787" s="4" t="s">
        <v>12304</v>
      </c>
      <c r="C9787" s="5" t="str">
        <f>IFERROR(__xludf.DUMMYFUNCTION("GOOGLETRANSLATE(B9787,""en"",""fr"")"),"Un autre entrepreneur parle avec les journalistes du secteur du café.")</f>
        <v>Un autre entrepreneur parle avec les journalistes du secteur du café.</v>
      </c>
    </row>
    <row r="9788">
      <c r="A9788" s="4" t="s">
        <v>12301</v>
      </c>
      <c r="B9788" s="4" t="s">
        <v>12305</v>
      </c>
      <c r="C9788" s="5" t="str">
        <f>IFERROR(__xludf.DUMMYFUNCTION("GOOGLETRANSLATE(B9788,""en"",""fr"")"),"Ensuite, ils sont dans le café qu'ils font du café et travaillent.")</f>
        <v>Ensuite, ils sont dans le café qu'ils font du café et travaillent.</v>
      </c>
    </row>
    <row r="9789">
      <c r="A9789" s="4" t="s">
        <v>12306</v>
      </c>
      <c r="B9789" s="4" t="s">
        <v>12307</v>
      </c>
      <c r="C9789" s="5" t="str">
        <f>IFERROR(__xludf.DUMMYFUNCTION("GOOGLETRANSLATE(B9789,""en"",""fr"")"),"Les gens conduisent dans des tampants et se heurtent les uns aux autres et sont obligés de s'arrêter.")</f>
        <v>Les gens conduisent dans des tampants et se heurtent les uns aux autres et sont obligés de s'arrêter.</v>
      </c>
    </row>
    <row r="9790">
      <c r="A9790" s="4" t="s">
        <v>12306</v>
      </c>
      <c r="B9790" s="6" t="s">
        <v>12308</v>
      </c>
      <c r="C9790" s="5" t="str">
        <f>IFERROR(__xludf.DUMMYFUNCTION("GOOGLETRANSLATE(B9790,""en"",""fr"")"),"Les trois voitures tamponneuses se détachent et commencent à conduire dans différentes directions alors qu'elles continuent de se cogner.")</f>
        <v>Les trois voitures tamponneuses se détachent et commencent à conduire dans différentes directions alors qu'elles continuent de se cogner.</v>
      </c>
    </row>
    <row r="9791">
      <c r="A9791" s="4" t="s">
        <v>12306</v>
      </c>
      <c r="B9791" s="4" t="s">
        <v>12309</v>
      </c>
      <c r="C9791" s="5" t="str">
        <f>IFERROR(__xludf.DUMMYFUNCTION("GOOGLETRANSLATE(B9791,""en"",""fr"")"),"Deux filles dans une voiture amenorée se heurtent à un mur et Briefliy a du mal à revenir à bouger.")</f>
        <v>Deux filles dans une voiture amenorée se heurtent à un mur et Briefliy a du mal à revenir à bouger.</v>
      </c>
    </row>
    <row r="9792">
      <c r="A9792" s="4" t="s">
        <v>12306</v>
      </c>
      <c r="B9792" s="4" t="s">
        <v>12310</v>
      </c>
      <c r="C9792" s="5" t="str">
        <f>IFERROR(__xludf.DUMMYFUNCTION("GOOGLETRANSLATE(B9792,""en"",""fr"")"),"Les gens conduisent constamment leurs tamponneurs et se heurtent aux choses jusqu'à la fin du trajet.")</f>
        <v>Les gens conduisent constamment leurs tamponneurs et se heurtent aux choses jusqu'à la fin du trajet.</v>
      </c>
    </row>
    <row r="9793">
      <c r="A9793" s="4" t="s">
        <v>12311</v>
      </c>
      <c r="B9793" s="6" t="s">
        <v>12312</v>
      </c>
      <c r="C9793" s="5" t="str">
        <f>IFERROR(__xludf.DUMMYFUNCTION("GOOGLETRANSLATE(B9793,""en"",""fr"")"),"Il y a un homme portant une chemise noire et un bandana vert démontrant comment peindre un canapé en microfibre.")</f>
        <v>Il y a un homme portant une chemise noire et un bandana vert démontrant comment peindre un canapé en microfibre.</v>
      </c>
    </row>
    <row r="9794">
      <c r="A9794" s="4" t="s">
        <v>12311</v>
      </c>
      <c r="B9794" s="6" t="s">
        <v>12313</v>
      </c>
      <c r="C9794" s="5" t="str">
        <f>IFERROR(__xludf.DUMMYFUNCTION("GOOGLETRANSLATE(B9794,""en"",""fr"")"),"Il utilise une boîte rouge de peinture en aérosol pour démontrer comment peindre un canapé de couleur crème avec de la peinture rouge.")</f>
        <v>Il utilise une boîte rouge de peinture en aérosol pour démontrer comment peindre un canapé de couleur crème avec de la peinture rouge.</v>
      </c>
    </row>
    <row r="9795">
      <c r="A9795" s="4" t="s">
        <v>12311</v>
      </c>
      <c r="B9795" s="4" t="s">
        <v>12314</v>
      </c>
      <c r="C9795" s="5" t="str">
        <f>IFERROR(__xludf.DUMMYFUNCTION("GOOGLETRANSLATE(B9795,""en"",""fr"")"),"Il continue de pulvériser le dos et le bras du bras du canapé.")</f>
        <v>Il continue de pulvériser le dos et le bras du bras du canapé.</v>
      </c>
    </row>
    <row r="9796">
      <c r="A9796" s="4" t="s">
        <v>12311</v>
      </c>
      <c r="B9796" s="4" t="s">
        <v>12315</v>
      </c>
      <c r="C9796" s="5" t="str">
        <f>IFERROR(__xludf.DUMMYFUNCTION("GOOGLETRANSLATE(B9796,""en"",""fr"")"),"Il place ensuite un non peint des coussins de siège sur le canapé.")</f>
        <v>Il place ensuite un non peint des coussins de siège sur le canapé.</v>
      </c>
    </row>
    <row r="9797">
      <c r="A9797" s="4" t="s">
        <v>12316</v>
      </c>
      <c r="B9797" s="6" t="s">
        <v>12317</v>
      </c>
      <c r="C9797" s="5" t="str">
        <f>IFERROR(__xludf.DUMMYFUNCTION("GOOGLETRANSLATE(B9797,""en"",""fr"")"),"Plusieurs plans de chiens de toilettage sont montrés ainsi qu'une femme qui s'adresse à la caméra dans plusieurs paramètres.")</f>
        <v>Plusieurs plans de chiens de toilettage sont montrés ainsi qu'une femme qui s'adresse à la caméra dans plusieurs paramètres.</v>
      </c>
    </row>
    <row r="9798">
      <c r="A9798" s="4" t="s">
        <v>12316</v>
      </c>
      <c r="B9798" s="6" t="s">
        <v>12318</v>
      </c>
      <c r="C9798" s="5" t="str">
        <f>IFERROR(__xludf.DUMMYFUNCTION("GOOGLETRANSLATE(B9798,""en"",""fr"")"),"On voit des chiens frottés, des ongles coupés et brossés avec des peignes par plusieurs personnes et une autre femme montrant les colliers qu'ils ont en magasin.")</f>
        <v>On voit des chiens frottés, des ongles coupés et brossés avec des peignes par plusieurs personnes et une autre femme montrant les colliers qu'ils ont en magasin.</v>
      </c>
    </row>
    <row r="9799">
      <c r="A9799" s="4" t="s">
        <v>12316</v>
      </c>
      <c r="B9799" s="4" t="s">
        <v>12319</v>
      </c>
      <c r="C9799" s="5" t="str">
        <f>IFERROR(__xludf.DUMMYFUNCTION("GOOGLETRANSLATE(B9799,""en"",""fr"")"),"Plus de photos du magasin sont représentées ainsi que de nombreux chiens soignés.")</f>
        <v>Plus de photos du magasin sont représentées ainsi que de nombreux chiens soignés.</v>
      </c>
    </row>
    <row r="9800">
      <c r="A9800" s="4" t="s">
        <v>12320</v>
      </c>
      <c r="B9800" s="4" t="s">
        <v>12321</v>
      </c>
      <c r="C9800" s="5" t="str">
        <f>IFERROR(__xludf.DUMMYFUNCTION("GOOGLETRANSLATE(B9800,""en"",""fr"")"),"Un vélo est tiré pour s'arrêter dans un parc.")</f>
        <v>Un vélo est tiré pour s'arrêter dans un parc.</v>
      </c>
    </row>
    <row r="9801">
      <c r="A9801" s="4" t="s">
        <v>12320</v>
      </c>
      <c r="B9801" s="4" t="s">
        <v>12322</v>
      </c>
      <c r="C9801" s="5" t="str">
        <f>IFERROR(__xludf.DUMMYFUNCTION("GOOGLETRANSLATE(B9801,""en"",""fr"")"),"Un cavalier décolle d'une porte sur le vélo de terre.")</f>
        <v>Un cavalier décolle d'une porte sur le vélo de terre.</v>
      </c>
    </row>
    <row r="9802">
      <c r="A9802" s="4" t="s">
        <v>12320</v>
      </c>
      <c r="B9802" s="4" t="s">
        <v>12323</v>
      </c>
      <c r="C9802" s="5" t="str">
        <f>IFERROR(__xludf.DUMMYFUNCTION("GOOGLETRANSLATE(B9802,""en"",""fr"")"),"Il prend les virages et se courbe brusquement, passant par-dessus les collines.")</f>
        <v>Il prend les virages et se courbe brusquement, passant par-dessus les collines.</v>
      </c>
    </row>
    <row r="9803">
      <c r="A9803" s="4" t="s">
        <v>12324</v>
      </c>
      <c r="B9803" s="4" t="s">
        <v>12325</v>
      </c>
      <c r="C9803" s="5" t="str">
        <f>IFERROR(__xludf.DUMMYFUNCTION("GOOGLETRANSLATE(B9803,""en"",""fr"")"),"Un homme remplace un pneu sur son bord à vélo à l'aide d'outils.")</f>
        <v>Un homme remplace un pneu sur son bord à vélo à l'aide d'outils.</v>
      </c>
    </row>
    <row r="9804">
      <c r="A9804" s="4" t="s">
        <v>12324</v>
      </c>
      <c r="B9804" s="4" t="s">
        <v>12326</v>
      </c>
      <c r="C9804" s="5" t="str">
        <f>IFERROR(__xludf.DUMMYFUNCTION("GOOGLETRANSLATE(B9804,""en"",""fr"")"),"L'homme rattache la roue du vélo au cadre du vélo.")</f>
        <v>L'homme rattache la roue du vélo au cadre du vélo.</v>
      </c>
    </row>
    <row r="9805">
      <c r="A9805" s="4" t="s">
        <v>12324</v>
      </c>
      <c r="B9805" s="4" t="s">
        <v>12327</v>
      </c>
      <c r="C9805" s="5" t="str">
        <f>IFERROR(__xludf.DUMMYFUNCTION("GOOGLETRANSLATE(B9805,""en"",""fr"")"),"Le soleil se couche au fur et à mesure que la journée arrive plus tard.")</f>
        <v>Le soleil se couche au fur et à mesure que la journée arrive plus tard.</v>
      </c>
    </row>
    <row r="9806">
      <c r="A9806" s="4" t="s">
        <v>12324</v>
      </c>
      <c r="B9806" s="4" t="s">
        <v>12328</v>
      </c>
      <c r="C9806" s="5" t="str">
        <f>IFERROR(__xludf.DUMMYFUNCTION("GOOGLETRANSLATE(B9806,""en"",""fr"")"),"L'homme se lève à vélo et se prépare à partir.")</f>
        <v>L'homme se lève à vélo et se prépare à partir.</v>
      </c>
    </row>
    <row r="9807">
      <c r="A9807" s="4" t="s">
        <v>12329</v>
      </c>
      <c r="B9807" s="4" t="s">
        <v>12330</v>
      </c>
      <c r="C9807" s="5" t="str">
        <f>IFERROR(__xludf.DUMMYFUNCTION("GOOGLETRANSLATE(B9807,""en"",""fr"")"),"Personne aux ciseaux s'agenouille dans l'herbe.")</f>
        <v>Personne aux ciseaux s'agenouille dans l'herbe.</v>
      </c>
    </row>
    <row r="9808">
      <c r="A9808" s="4" t="s">
        <v>12329</v>
      </c>
      <c r="B9808" s="4" t="s">
        <v>12331</v>
      </c>
      <c r="C9808" s="5" t="str">
        <f>IFERROR(__xludf.DUMMYFUNCTION("GOOGLETRANSLATE(B9808,""en"",""fr"")"),"Nous voyons l'ombre du caméraman sur la personne.")</f>
        <v>Nous voyons l'ombre du caméraman sur la personne.</v>
      </c>
    </row>
    <row r="9809">
      <c r="A9809" s="4" t="s">
        <v>12329</v>
      </c>
      <c r="B9809" s="4" t="s">
        <v>12332</v>
      </c>
      <c r="C9809" s="5" t="str">
        <f>IFERROR(__xludf.DUMMYFUNCTION("GOOGLETRANSLATE(B9809,""en"",""fr"")"),"La personne coupe l'herbe avec des ciseaux à l'épreuve des enfants.")</f>
        <v>La personne coupe l'herbe avec des ciseaux à l'épreuve des enfants.</v>
      </c>
    </row>
    <row r="9810">
      <c r="A9810" s="4" t="s">
        <v>12333</v>
      </c>
      <c r="B9810" s="6" t="s">
        <v>12334</v>
      </c>
      <c r="C9810" s="5" t="str">
        <f>IFERROR(__xludf.DUMMYFUNCTION("GOOGLETRANSLATE(B9810,""en"",""fr"")"),"Les hommes soufflent des feuilles mortes poussant une machine à soufflerie sur le sol ou tenant une machine à l'arrière.")</f>
        <v>Les hommes soufflent des feuilles mortes poussant une machine à soufflerie sur le sol ou tenant une machine à l'arrière.</v>
      </c>
    </row>
    <row r="9811">
      <c r="A9811" s="4" t="s">
        <v>12333</v>
      </c>
      <c r="B9811" s="4" t="s">
        <v>12335</v>
      </c>
      <c r="C9811" s="5" t="str">
        <f>IFERROR(__xludf.DUMMYFUNCTION("GOOGLETRANSLATE(B9811,""en"",""fr"")"),"Ensuite, un homme explique comment faire fonctionner une faille de feuille pendant que les hommes continuent de souffler les feuilles.")</f>
        <v>Ensuite, un homme explique comment faire fonctionner une faille de feuille pendant que les hommes continuent de souffler les feuilles.</v>
      </c>
    </row>
    <row r="9812">
      <c r="A9812" s="4" t="s">
        <v>12333</v>
      </c>
      <c r="B9812" s="4" t="s">
        <v>12336</v>
      </c>
      <c r="C9812" s="5" t="str">
        <f>IFERROR(__xludf.DUMMYFUNCTION("GOOGLETRANSLATE(B9812,""en"",""fr"")"),"Un autre homme explique tandis que d'autres hommes passent et soufflent les feuilles.")</f>
        <v>Un autre homme explique tandis que d'autres hommes passent et soufflent les feuilles.</v>
      </c>
    </row>
    <row r="9813">
      <c r="A9813" s="4" t="s">
        <v>12337</v>
      </c>
      <c r="B9813" s="4" t="s">
        <v>12338</v>
      </c>
      <c r="C9813" s="5" t="str">
        <f>IFERROR(__xludf.DUMMYFUNCTION("GOOGLETRANSLATE(B9813,""en"",""fr"")"),"Nous voyons une image et une carte de titre.")</f>
        <v>Nous voyons une image et une carte de titre.</v>
      </c>
    </row>
    <row r="9814">
      <c r="A9814" s="4" t="s">
        <v>12337</v>
      </c>
      <c r="B9814" s="4" t="s">
        <v>12339</v>
      </c>
      <c r="C9814" s="5" t="str">
        <f>IFERROR(__xludf.DUMMYFUNCTION("GOOGLETRANSLATE(B9814,""en"",""fr"")"),"Nous voyons un homme jouer au basket.")</f>
        <v>Nous voyons un homme jouer au basket.</v>
      </c>
    </row>
    <row r="9815">
      <c r="A9815" s="4" t="s">
        <v>12337</v>
      </c>
      <c r="B9815" s="4" t="s">
        <v>12340</v>
      </c>
      <c r="C9815" s="5" t="str">
        <f>IFERROR(__xludf.DUMMYFUNCTION("GOOGLETRANSLATE(B9815,""en"",""fr"")"),"Le tir qu'il a fait est vu à l'envers.")</f>
        <v>Le tir qu'il a fait est vu à l'envers.</v>
      </c>
    </row>
    <row r="9816">
      <c r="A9816" s="4" t="s">
        <v>12337</v>
      </c>
      <c r="B9816" s="4" t="s">
        <v>12341</v>
      </c>
      <c r="C9816" s="5" t="str">
        <f>IFERROR(__xludf.DUMMYFUNCTION("GOOGLETRANSLATE(B9816,""en"",""fr"")"),"Nous voyons un gymnase avec des adolescents tirer du ballon de basket.")</f>
        <v>Nous voyons un gymnase avec des adolescents tirer du ballon de basket.</v>
      </c>
    </row>
    <row r="9817">
      <c r="A9817" s="4" t="s">
        <v>12337</v>
      </c>
      <c r="B9817" s="4" t="s">
        <v>12342</v>
      </c>
      <c r="C9817" s="5" t="str">
        <f>IFERROR(__xludf.DUMMYFUNCTION("GOOGLETRANSLATE(B9817,""en"",""fr"")"),"Nous voyons une carte de titre sur Black.")</f>
        <v>Nous voyons une carte de titre sur Black.</v>
      </c>
    </row>
    <row r="9818">
      <c r="A9818" s="4" t="s">
        <v>12337</v>
      </c>
      <c r="B9818" s="4" t="s">
        <v>12343</v>
      </c>
      <c r="C9818" s="5" t="str">
        <f>IFERROR(__xludf.DUMMYFUNCTION("GOOGLETRANSLATE(B9818,""en"",""fr"")"),"Un homme tire un ballon de basket dans une salle de sport.")</f>
        <v>Un homme tire un ballon de basket dans une salle de sport.</v>
      </c>
    </row>
    <row r="9819">
      <c r="A9819" s="4" t="s">
        <v>12337</v>
      </c>
      <c r="B9819" s="4" t="s">
        <v>12344</v>
      </c>
      <c r="C9819" s="5" t="str">
        <f>IFERROR(__xludf.DUMMYFUNCTION("GOOGLETRANSLATE(B9819,""en"",""fr"")"),"Nous voyons un homme tremper le ballon deux fois.")</f>
        <v>Nous voyons un homme tremper le ballon deux fois.</v>
      </c>
    </row>
    <row r="9820">
      <c r="A9820" s="4" t="s">
        <v>12337</v>
      </c>
      <c r="B9820" s="4" t="s">
        <v>12345</v>
      </c>
      <c r="C9820" s="5" t="str">
        <f>IFERROR(__xludf.DUMMYFUNCTION("GOOGLETRANSLATE(B9820,""en"",""fr"")"),"Nous voyons la carte de titre de fin sur Black.")</f>
        <v>Nous voyons la carte de titre de fin sur Black.</v>
      </c>
    </row>
    <row r="9821">
      <c r="A9821" s="4" t="s">
        <v>12346</v>
      </c>
      <c r="B9821" s="4" t="s">
        <v>12347</v>
      </c>
      <c r="C9821" s="5" t="str">
        <f>IFERROR(__xludf.DUMMYFUNCTION("GOOGLETRANSLATE(B9821,""en"",""fr"")"),"Deux personnes sont vues monter sur une route avec un chien.")</f>
        <v>Deux personnes sont vues monter sur une route avec un chien.</v>
      </c>
    </row>
    <row r="9822">
      <c r="A9822" s="4" t="s">
        <v>12346</v>
      </c>
      <c r="B9822" s="4" t="s">
        <v>12348</v>
      </c>
      <c r="C9822" s="5" t="str">
        <f>IFERROR(__xludf.DUMMYFUNCTION("GOOGLETRANSLATE(B9822,""en"",""fr"")"),"Une personne fait du vélo et l'autre une planche à roulettes pendant que la caméra suit près.")</f>
        <v>Une personne fait du vélo et l'autre une planche à roulettes pendant que la caméra suit près.</v>
      </c>
    </row>
    <row r="9823">
      <c r="A9823" s="4" t="s">
        <v>12346</v>
      </c>
      <c r="B9823" s="4" t="s">
        <v>12349</v>
      </c>
      <c r="C9823" s="5" t="str">
        <f>IFERROR(__xludf.DUMMYFUNCTION("GOOGLETRANSLATE(B9823,""en"",""fr"")"),"Plusieurs autres chiens sont passés et les gens continuent de rouler sur le chemin de la route.")</f>
        <v>Plusieurs autres chiens sont passés et les gens continuent de rouler sur le chemin de la route.</v>
      </c>
    </row>
    <row r="9824">
      <c r="A9824" s="4" t="s">
        <v>12350</v>
      </c>
      <c r="B9824" s="4" t="s">
        <v>12351</v>
      </c>
      <c r="C9824" s="5" t="str">
        <f>IFERROR(__xludf.DUMMYFUNCTION("GOOGLETRANSLATE(B9824,""en"",""fr"")"),"L'homme tient un poteau avec une glace et le donne à un petit enfant.")</f>
        <v>L'homme tient un poteau avec une glace et le donne à un petit enfant.</v>
      </c>
    </row>
    <row r="9825">
      <c r="A9825" s="4" t="s">
        <v>12350</v>
      </c>
      <c r="B9825" s="4" t="s">
        <v>12352</v>
      </c>
      <c r="C9825" s="5" t="str">
        <f>IFERROR(__xludf.DUMMYFUNCTION("GOOGLETRANSLATE(B9825,""en"",""fr"")"),"Les gens se tiennent debout et marchent derrière le garçon dans un parc d'attractions.")</f>
        <v>Les gens se tiennent debout et marchent derrière le garçon dans un parc d'attractions.</v>
      </c>
    </row>
    <row r="9826">
      <c r="A9826" s="4" t="s">
        <v>12353</v>
      </c>
      <c r="B9826" s="6" t="s">
        <v>12354</v>
      </c>
      <c r="C9826" s="5" t="str">
        <f>IFERROR(__xludf.DUMMYFUNCTION("GOOGLETRANSLATE(B9826,""en"",""fr"")"),"Un homme surfer dans l'eau de l'océan accidenté, montant sur et contre, des vagues élevées massives tandis que les spectateurs sur les bateaux à moteur regardent et commentent.")</f>
        <v>Un homme surfer dans l'eau de l'océan accidenté, montant sur et contre, des vagues élevées massives tandis que les spectateurs sur les bateaux à moteur regardent et commentent.</v>
      </c>
    </row>
    <row r="9827">
      <c r="A9827" s="4" t="s">
        <v>12353</v>
      </c>
      <c r="B9827" s="6" t="s">
        <v>12355</v>
      </c>
      <c r="C9827" s="5" t="str">
        <f>IFERROR(__xludf.DUMMYFUNCTION("GOOGLETRANSLATE(B9827,""en"",""fr"")"),"L'homme, dans une combinaison, est debout et monte sur une planche de surf jaune et une planche de surf rouge d'abord sur une vague calme puis sur une série de grandes et hautes vagues.")</f>
        <v>L'homme, dans une combinaison, est debout et monte sur une planche de surf jaune et une planche de surf rouge d'abord sur une vague calme puis sur une série de grandes et hautes vagues.</v>
      </c>
    </row>
    <row r="9828">
      <c r="A9828" s="4" t="s">
        <v>12353</v>
      </c>
      <c r="B9828" s="6" t="s">
        <v>12356</v>
      </c>
      <c r="C9828" s="5" t="str">
        <f>IFERROR(__xludf.DUMMYFUNCTION("GOOGLETRANSLATE(B9828,""en"",""fr"")"),"L'homme monte les vagues rugueuses sur la planche de surf avec les vagues au temps couvrant tout son corps et sa planche de surf.")</f>
        <v>L'homme monte les vagues rugueuses sur la planche de surf avec les vagues au temps couvrant tout son corps et sa planche de surf.</v>
      </c>
    </row>
    <row r="9829">
      <c r="A9829" s="4" t="s">
        <v>12353</v>
      </c>
      <c r="B9829" s="6" t="s">
        <v>12357</v>
      </c>
      <c r="C9829" s="5" t="str">
        <f>IFERROR(__xludf.DUMMYFUNCTION("GOOGLETRANSLATE(B9829,""en"",""fr"")"),"L'homme s'embrasse et serre la main avec les gens en terminant l'épisode de surf rugueux et monte une dernière vague seule avant de s'évanouir au noir.")</f>
        <v>L'homme s'embrasse et serre la main avec les gens en terminant l'épisode de surf rugueux et monte une dernière vague seule avant de s'évanouir au noir.</v>
      </c>
    </row>
    <row r="9830">
      <c r="A9830" s="4" t="s">
        <v>12358</v>
      </c>
      <c r="B9830" s="6" t="s">
        <v>12359</v>
      </c>
      <c r="C9830" s="5" t="str">
        <f>IFERROR(__xludf.DUMMYFUNCTION("GOOGLETRANSLATE(B9830,""en"",""fr"")"),"Un homme effectue un lancer de bouilloire devant un stade extérieur rempli de spectateurs dans le public.")</f>
        <v>Un homme effectue un lancer de bouilloire devant un stade extérieur rempli de spectateurs dans le public.</v>
      </c>
    </row>
    <row r="9831">
      <c r="A9831" s="4" t="s">
        <v>12358</v>
      </c>
      <c r="B9831" s="4" t="s">
        <v>12360</v>
      </c>
      <c r="C9831" s="5" t="str">
        <f>IFERROR(__xludf.DUMMYFUNCTION("GOOGLETRANSLATE(B9831,""en"",""fr"")"),"Un homme sur une zone rond sur un champ balance une balle autour et autour de se tenir en place.")</f>
        <v>Un homme sur une zone rond sur un champ balance une balle autour et autour de se tenir en place.</v>
      </c>
    </row>
    <row r="9832">
      <c r="A9832" s="4" t="s">
        <v>12358</v>
      </c>
      <c r="B9832" s="4" t="s">
        <v>12361</v>
      </c>
      <c r="C9832" s="5" t="str">
        <f>IFERROR(__xludf.DUMMYFUNCTION("GOOGLETRANSLATE(B9832,""en"",""fr"")"),"L'homme laisse aller le ballon, où il vole en l'air devant lui.")</f>
        <v>L'homme laisse aller le ballon, où il vole en l'air devant lui.</v>
      </c>
    </row>
    <row r="9833">
      <c r="A9833" s="4" t="s">
        <v>12358</v>
      </c>
      <c r="B9833" s="4" t="s">
        <v>12362</v>
      </c>
      <c r="C9833" s="5" t="str">
        <f>IFERROR(__xludf.DUMMYFUNCTION("GOOGLETRANSLATE(B9833,""en"",""fr"")"),"L'homme s'arrête et se penche avec ses genoux alors qu'il regarde le ballon voler en l'air.")</f>
        <v>L'homme s'arrête et se penche avec ses genoux alors qu'il regarde le ballon voler en l'air.</v>
      </c>
    </row>
    <row r="9834">
      <c r="A9834" s="4" t="s">
        <v>12363</v>
      </c>
      <c r="B9834" s="4" t="s">
        <v>12364</v>
      </c>
      <c r="C9834" s="5" t="str">
        <f>IFERROR(__xludf.DUMMYFUNCTION("GOOGLETRANSLATE(B9834,""en"",""fr"")"),"Un homme guide un chameau avec des enfants chevauchant le dos le long d'un littoral de plage.")</f>
        <v>Un homme guide un chameau avec des enfants chevauchant le dos le long d'un littoral de plage.</v>
      </c>
    </row>
    <row r="9835">
      <c r="A9835" s="4" t="s">
        <v>12363</v>
      </c>
      <c r="B9835" s="4" t="s">
        <v>12365</v>
      </c>
      <c r="C9835" s="5" t="str">
        <f>IFERROR(__xludf.DUMMYFUNCTION("GOOGLETRANSLATE(B9835,""en"",""fr"")"),"Les amateurs de plage se tiennent et marchent le long du rivage en maillot de bain.")</f>
        <v>Les amateurs de plage se tiennent et marchent le long du rivage en maillot de bain.</v>
      </c>
    </row>
    <row r="9836">
      <c r="A9836" s="4" t="s">
        <v>12366</v>
      </c>
      <c r="B9836" s="4" t="s">
        <v>12367</v>
      </c>
      <c r="C9836" s="5" t="str">
        <f>IFERROR(__xludf.DUMMYFUNCTION("GOOGLETRANSLATE(B9836,""en"",""fr"")"),"Un adolescent explique comment retourner et tourner une planche de surf avec les pieds.")</f>
        <v>Un adolescent explique comment retourner et tourner une planche de surf avec les pieds.</v>
      </c>
    </row>
    <row r="9837">
      <c r="A9837" s="4" t="s">
        <v>12366</v>
      </c>
      <c r="B9837" s="4" t="s">
        <v>12368</v>
      </c>
      <c r="C9837" s="5" t="str">
        <f>IFERROR(__xludf.DUMMYFUNCTION("GOOGLETRANSLATE(B9837,""en"",""fr"")"),"Ensuite, l'adolescent montre comment augmenter les pointes de la planche de surf.")</f>
        <v>Ensuite, l'adolescent montre comment augmenter les pointes de la planche de surf.</v>
      </c>
    </row>
    <row r="9838">
      <c r="A9838" s="4" t="s">
        <v>12366</v>
      </c>
      <c r="B9838" s="4" t="s">
        <v>12369</v>
      </c>
      <c r="C9838" s="5" t="str">
        <f>IFERROR(__xludf.DUMMYFUNCTION("GOOGLETRANSLATE(B9838,""en"",""fr"")"),"Ensuite, l'adolescent se tient sur la planche de surf et montre comment le tourner sur le côté.")</f>
        <v>Ensuite, l'adolescent se tient sur la planche de surf et montre comment le tourner sur le côté.</v>
      </c>
    </row>
    <row r="9839">
      <c r="A9839" s="4" t="s">
        <v>12366</v>
      </c>
      <c r="B9839" s="4" t="s">
        <v>12370</v>
      </c>
      <c r="C9839" s="5" t="str">
        <f>IFERROR(__xludf.DUMMYFUNCTION("GOOGLETRANSLATE(B9839,""en"",""fr"")"),"Après, l'adolescent met sa main dans des chaussures sur la planche de surf et démontre un tour.")</f>
        <v>Après, l'adolescent met sa main dans des chaussures sur la planche de surf et démontre un tour.</v>
      </c>
    </row>
    <row r="9840">
      <c r="A9840" s="4" t="s">
        <v>12366</v>
      </c>
      <c r="B9840" s="4" t="s">
        <v>12371</v>
      </c>
      <c r="C9840" s="5" t="str">
        <f>IFERROR(__xludf.DUMMYFUNCTION("GOOGLETRANSLATE(B9840,""en"",""fr"")"),"Ensuite, l'adolescent fait le virage avec ses pieds.")</f>
        <v>Ensuite, l'adolescent fait le virage avec ses pieds.</v>
      </c>
    </row>
    <row r="9841">
      <c r="A9841" s="4" t="s">
        <v>12372</v>
      </c>
      <c r="B9841" s="4" t="s">
        <v>12373</v>
      </c>
      <c r="C9841" s="5" t="str">
        <f>IFERROR(__xludf.DUMMYFUNCTION("GOOGLETRANSLATE(B9841,""en"",""fr"")"),"Les gens rament dans un plan d'eau.")</f>
        <v>Les gens rament dans un plan d'eau.</v>
      </c>
    </row>
    <row r="9842">
      <c r="A9842" s="4" t="s">
        <v>12372</v>
      </c>
      <c r="B9842" s="4" t="s">
        <v>12374</v>
      </c>
      <c r="C9842" s="5" t="str">
        <f>IFERROR(__xludf.DUMMYFUNCTION("GOOGLETRANSLATE(B9842,""en"",""fr"")"),"Un gars rince le visage avec de l'eau du plan d'eau.")</f>
        <v>Un gars rince le visage avec de l'eau du plan d'eau.</v>
      </c>
    </row>
    <row r="9843">
      <c r="A9843" s="4" t="s">
        <v>12372</v>
      </c>
      <c r="B9843" s="4" t="s">
        <v>12375</v>
      </c>
      <c r="C9843" s="5" t="str">
        <f>IFERROR(__xludf.DUMMYFUNCTION("GOOGLETRANSLATE(B9843,""en"",""fr"")"),"Le gars passe ses doigts d'eau dans ces cheveux.")</f>
        <v>Le gars passe ses doigts d'eau dans ces cheveux.</v>
      </c>
    </row>
    <row r="9844">
      <c r="A9844" s="4" t="s">
        <v>12372</v>
      </c>
      <c r="B9844" s="4" t="s">
        <v>12376</v>
      </c>
      <c r="C9844" s="5" t="str">
        <f>IFERROR(__xludf.DUMMYFUNCTION("GOOGLETRANSLATE(B9844,""en"",""fr"")"),"Un homme avec une moustache se penche, se mouille la main et fouette son visage.")</f>
        <v>Un homme avec une moustache se penche, se mouille la main et fouette son visage.</v>
      </c>
    </row>
    <row r="9845">
      <c r="A9845" s="4" t="s">
        <v>12377</v>
      </c>
      <c r="B9845" s="4" t="s">
        <v>12378</v>
      </c>
      <c r="C9845" s="5" t="str">
        <f>IFERROR(__xludf.DUMMYFUNCTION("GOOGLETRANSLATE(B9845,""en"",""fr"")"),"Un gars se tient dans un tribunal tenant un bâton coloré et touche une pinata.")</f>
        <v>Un gars se tient dans un tribunal tenant un bâton coloré et touche une pinata.</v>
      </c>
    </row>
    <row r="9846">
      <c r="A9846" s="4" t="s">
        <v>12377</v>
      </c>
      <c r="B9846" s="4" t="s">
        <v>12379</v>
      </c>
      <c r="C9846" s="5" t="str">
        <f>IFERROR(__xludf.DUMMYFUNCTION("GOOGLETRANSLATE(B9846,""en"",""fr"")"),"Un gars balance un bâton sur une pinata.")</f>
        <v>Un gars balance un bâton sur une pinata.</v>
      </c>
    </row>
    <row r="9847">
      <c r="A9847" s="4" t="s">
        <v>12377</v>
      </c>
      <c r="B9847" s="4" t="s">
        <v>12380</v>
      </c>
      <c r="C9847" s="5" t="str">
        <f>IFERROR(__xludf.DUMMYFUNCTION("GOOGLETRANSLATE(B9847,""en"",""fr"")"),"Le gars s'arrête et met le bâton à côté de lui.")</f>
        <v>Le gars s'arrête et met le bâton à côté de lui.</v>
      </c>
    </row>
    <row r="9848">
      <c r="A9848" s="4" t="s">
        <v>12381</v>
      </c>
      <c r="B9848" s="4" t="s">
        <v>12382</v>
      </c>
      <c r="C9848" s="5" t="str">
        <f>IFERROR(__xludf.DUMMYFUNCTION("GOOGLETRANSLATE(B9848,""en"",""fr"")"),"Un homme est assis devant une petite toile.")</f>
        <v>Un homme est assis devant une petite toile.</v>
      </c>
    </row>
    <row r="9849">
      <c r="A9849" s="4" t="s">
        <v>12381</v>
      </c>
      <c r="B9849" s="4" t="s">
        <v>12383</v>
      </c>
      <c r="C9849" s="5" t="str">
        <f>IFERROR(__xludf.DUMMYFUNCTION("GOOGLETRANSLATE(B9849,""en"",""fr"")"),"Il utilise un pinceau pointu long pour créer une image.")</f>
        <v>Il utilise un pinceau pointu long pour créer une image.</v>
      </c>
    </row>
    <row r="9850">
      <c r="A9850" s="4" t="s">
        <v>12381</v>
      </c>
      <c r="B9850" s="4" t="s">
        <v>12384</v>
      </c>
      <c r="C9850" s="5" t="str">
        <f>IFERROR(__xludf.DUMMYFUNCTION("GOOGLETRANSLATE(B9850,""en"",""fr"")"),"Il remplit ensuite l'image de peintures.")</f>
        <v>Il remplit ensuite l'image de peintures.</v>
      </c>
    </row>
    <row r="9851">
      <c r="A9851" s="4" t="s">
        <v>12385</v>
      </c>
      <c r="B9851" s="4" t="s">
        <v>12386</v>
      </c>
      <c r="C9851" s="5" t="str">
        <f>IFERROR(__xludf.DUMMYFUNCTION("GOOGLETRANSLATE(B9851,""en"",""fr"")"),"Un homme verse du café dans une tasse.")</f>
        <v>Un homme verse du café dans une tasse.</v>
      </c>
    </row>
    <row r="9852">
      <c r="A9852" s="4" t="s">
        <v>12385</v>
      </c>
      <c r="B9852" s="4" t="s">
        <v>12387</v>
      </c>
      <c r="C9852" s="5" t="str">
        <f>IFERROR(__xludf.DUMMYFUNCTION("GOOGLETRANSLATE(B9852,""en"",""fr"")"),"L'homme attrape une bouteille de bière avec l'utilisation d'une cruche.")</f>
        <v>L'homme attrape une bouteille de bière avec l'utilisation d'une cruche.</v>
      </c>
    </row>
    <row r="9853">
      <c r="A9853" s="4" t="s">
        <v>12385</v>
      </c>
      <c r="B9853" s="4" t="s">
        <v>12388</v>
      </c>
      <c r="C9853" s="5" t="str">
        <f>IFERROR(__xludf.DUMMYFUNCTION("GOOGLETRANSLATE(B9853,""en"",""fr"")"),"L'homme verse la bière dans la tasse.")</f>
        <v>L'homme verse la bière dans la tasse.</v>
      </c>
    </row>
    <row r="9854">
      <c r="A9854" s="4" t="s">
        <v>12385</v>
      </c>
      <c r="B9854" s="4" t="s">
        <v>12389</v>
      </c>
      <c r="C9854" s="5" t="str">
        <f>IFERROR(__xludf.DUMMYFUNCTION("GOOGLETRANSLATE(B9854,""en"",""fr"")"),"L'homme boit la boisson.")</f>
        <v>L'homme boit la boisson.</v>
      </c>
    </row>
    <row r="9855">
      <c r="A9855" s="4" t="s">
        <v>12390</v>
      </c>
      <c r="B9855" s="4" t="s">
        <v>12391</v>
      </c>
      <c r="C9855" s="5" t="str">
        <f>IFERROR(__xludf.DUMMYFUNCTION("GOOGLETRANSLATE(B9855,""en"",""fr"")"),"Nous voyons un homme parler à une caméra puis tenir une pierre de curling puis des gens qui riaient de l'homme.")</f>
        <v>Nous voyons un homme parler à une caméra puis tenir une pierre de curling puis des gens qui riaient de l'homme.</v>
      </c>
    </row>
    <row r="9856">
      <c r="A9856" s="4" t="s">
        <v>12390</v>
      </c>
      <c r="B9856" s="4" t="s">
        <v>12392</v>
      </c>
      <c r="C9856" s="5" t="str">
        <f>IFERROR(__xludf.DUMMYFUNCTION("GOOGLETRANSLATE(B9856,""en"",""fr"")"),"L'homme lance la pierre de curling tandis que les gens balayent des balais devant la pierre.")</f>
        <v>L'homme lance la pierre de curling tandis que les gens balayent des balais devant la pierre.</v>
      </c>
    </row>
    <row r="9857">
      <c r="A9857" s="4" t="s">
        <v>12390</v>
      </c>
      <c r="B9857" s="4" t="s">
        <v>12393</v>
      </c>
      <c r="C9857" s="5" t="str">
        <f>IFERROR(__xludf.DUMMYFUNCTION("GOOGLETRANSLATE(B9857,""en"",""fr"")"),"Trois dames jettent la pierre et glisse sur la piste.")</f>
        <v>Trois dames jettent la pierre et glisse sur la piste.</v>
      </c>
    </row>
    <row r="9858">
      <c r="A9858" s="4" t="s">
        <v>12390</v>
      </c>
      <c r="B9858" s="4" t="s">
        <v>12394</v>
      </c>
      <c r="C9858" s="5" t="str">
        <f>IFERROR(__xludf.DUMMYFUNCTION("GOOGLETRANSLATE(B9858,""en"",""fr"")"),"Nous voyons des gens faire la fête des lumières clignotant.")</f>
        <v>Nous voyons des gens faire la fête des lumières clignotant.</v>
      </c>
    </row>
    <row r="9859">
      <c r="A9859" s="4" t="s">
        <v>12390</v>
      </c>
      <c r="B9859" s="4" t="s">
        <v>12395</v>
      </c>
      <c r="C9859" s="5" t="str">
        <f>IFERROR(__xludf.DUMMYFUNCTION("GOOGLETRANSLATE(B9859,""en"",""fr"")"),"Les images éclairent à nouveau des personnes qui guérissent et un groupe de personnes saute dans les airs.")</f>
        <v>Les images éclairent à nouveau des personnes qui guérissent et un groupe de personnes saute dans les airs.</v>
      </c>
    </row>
    <row r="9860">
      <c r="A9860" s="4" t="s">
        <v>12390</v>
      </c>
      <c r="B9860" s="4" t="s">
        <v>12396</v>
      </c>
      <c r="C9860" s="5" t="str">
        <f>IFERROR(__xludf.DUMMYFUNCTION("GOOGLETRANSLATE(B9860,""en"",""fr"")"),"Nous voyons un écran de titre pour le curling.")</f>
        <v>Nous voyons un écran de titre pour le curling.</v>
      </c>
    </row>
    <row r="9861">
      <c r="A9861" s="4" t="s">
        <v>12397</v>
      </c>
      <c r="B9861" s="4" t="s">
        <v>12398</v>
      </c>
      <c r="C9861" s="5" t="str">
        <f>IFERROR(__xludf.DUMMYFUNCTION("GOOGLETRANSLATE(B9861,""en"",""fr"")"),"Deux personnes se battent sur une scène pour un public.")</f>
        <v>Deux personnes se battent sur une scène pour un public.</v>
      </c>
    </row>
    <row r="9862">
      <c r="A9862" s="4" t="s">
        <v>12397</v>
      </c>
      <c r="B9862" s="4" t="s">
        <v>12399</v>
      </c>
      <c r="C9862" s="5" t="str">
        <f>IFERROR(__xludf.DUMMYFUNCTION("GOOGLETRANSLATE(B9862,""en"",""fr"")"),"Un gars fait signe le résultat de chaque match.")</f>
        <v>Un gars fait signe le résultat de chaque match.</v>
      </c>
    </row>
    <row r="9863">
      <c r="A9863" s="4" t="s">
        <v>12397</v>
      </c>
      <c r="B9863" s="4" t="s">
        <v>12400</v>
      </c>
      <c r="C9863" s="5" t="str">
        <f>IFERROR(__xludf.DUMMYFUNCTION("GOOGLETRANSLATE(B9863,""en"",""fr"")"),"Les membres du public regardent.")</f>
        <v>Les membres du public regardent.</v>
      </c>
    </row>
    <row r="9864">
      <c r="A9864" s="4" t="s">
        <v>12401</v>
      </c>
      <c r="B9864" s="4" t="s">
        <v>12402</v>
      </c>
      <c r="C9864" s="5" t="str">
        <f>IFERROR(__xludf.DUMMYFUNCTION("GOOGLETRANSLATE(B9864,""en"",""fr"")"),"Diverses plans de décor sont montrés et conduisent à une personne à gratter un chien et à tirer une corde.")</f>
        <v>Diverses plans de décor sont montrés et conduisent à une personne à gratter un chien et à tirer une corde.</v>
      </c>
    </row>
    <row r="9865">
      <c r="A9865" s="4" t="s">
        <v>12401</v>
      </c>
      <c r="B9865" s="4" t="s">
        <v>12403</v>
      </c>
      <c r="C9865" s="5" t="str">
        <f>IFERROR(__xludf.DUMMYFUNCTION("GOOGLETRANSLATE(B9865,""en"",""fr"")"),"Plus de photos de personnes roulant d'un bateau sont présentées, des mouettes volent et des gens qui jouent de la musique.")</f>
        <v>Plus de photos de personnes roulant d'un bateau sont présentées, des mouettes volent et des gens qui jouent de la musique.</v>
      </c>
    </row>
    <row r="9866">
      <c r="A9866" s="4" t="s">
        <v>12401</v>
      </c>
      <c r="B9866" s="4" t="s">
        <v>12404</v>
      </c>
      <c r="C9866" s="5" t="str">
        <f>IFERROR(__xludf.DUMMYFUNCTION("GOOGLETRANSLATE(B9866,""en"",""fr"")"),"Ensuite, une personne est vue en dessiner sur une carte et se termine par une ancre et des images de personnes.")</f>
        <v>Ensuite, une personne est vue en dessiner sur une carte et se termine par une ancre et des images de personnes.</v>
      </c>
    </row>
    <row r="9867">
      <c r="A9867" s="4" t="s">
        <v>12405</v>
      </c>
      <c r="B9867" s="4" t="s">
        <v>12406</v>
      </c>
      <c r="C9867" s="5" t="str">
        <f>IFERROR(__xludf.DUMMYFUNCTION("GOOGLETRANSLATE(B9867,""en"",""fr"")"),"Une équipe de jeunes pom-pom girls est dans un gymnase pour faire des lancers et des flips.")</f>
        <v>Une équipe de jeunes pom-pom girls est dans un gymnase pour faire des lancers et des flips.</v>
      </c>
    </row>
    <row r="9868">
      <c r="A9868" s="4" t="s">
        <v>12405</v>
      </c>
      <c r="B9868" s="6" t="s">
        <v>12407</v>
      </c>
      <c r="C9868" s="5" t="str">
        <f>IFERROR(__xludf.DUMMYFUNCTION("GOOGLETRANSLATE(B9868,""en"",""fr"")"),"Le propriétaire vient alors et commence à parler lorsque la vidéo passe en revue le matériel dont chaque personne aura besoin.")</f>
        <v>Le propriétaire vient alors et commence à parler lorsque la vidéo passe en revue le matériel dont chaque personne aura besoin.</v>
      </c>
    </row>
    <row r="9869">
      <c r="A9869" s="4" t="s">
        <v>12405</v>
      </c>
      <c r="B9869" s="6" t="s">
        <v>12408</v>
      </c>
      <c r="C9869" s="5" t="str">
        <f>IFERROR(__xludf.DUMMYFUNCTION("GOOGLETRANSLATE(B9869,""en"",""fr"")"),"Après, trois filles sont représentées debout dans une position à cheval et commence à applaudir et à se fendre avec leur main droite sur le côté et à descendre.")</f>
        <v>Après, trois filles sont représentées debout dans une position à cheval et commence à applaudir et à se fendre avec leur main droite sur le côté et à descendre.</v>
      </c>
    </row>
    <row r="9870">
      <c r="A9870" s="4" t="s">
        <v>12405</v>
      </c>
      <c r="B9870" s="4" t="s">
        <v>12409</v>
      </c>
      <c r="C9870" s="5" t="str">
        <f>IFERROR(__xludf.DUMMYFUNCTION("GOOGLETRANSLATE(B9870,""en"",""fr"")"),"Les filles continuent de faire la joie et quand elles auront fini, le propriétaire se joint.")</f>
        <v>Les filles continuent de faire la joie et quand elles auront fini, le propriétaire se joint.</v>
      </c>
    </row>
    <row r="9871">
      <c r="A9871" s="4" t="s">
        <v>12405</v>
      </c>
      <c r="B9871" s="4" t="s">
        <v>12410</v>
      </c>
      <c r="C9871" s="5" t="str">
        <f>IFERROR(__xludf.DUMMYFUNCTION("GOOGLETRANSLATE(B9871,""en"",""fr"")"),"Une fois que l'entraîneur disparaît, les filles continuent de joie et que la vidéo se termine.")</f>
        <v>Une fois que l'entraîneur disparaît, les filles continuent de joie et que la vidéo se termine.</v>
      </c>
    </row>
    <row r="9872">
      <c r="A9872" s="4" t="s">
        <v>12411</v>
      </c>
      <c r="B9872" s="6" t="s">
        <v>12412</v>
      </c>
      <c r="C9872" s="5" t="str">
        <f>IFERROR(__xludf.DUMMYFUNCTION("GOOGLETRANSLATE(B9872,""en"",""fr"")"),"La vidéo mène à plusieurs plans de différentes personnes qui roulent autour de la planche à voile tout en se déplaçant.")</f>
        <v>La vidéo mène à plusieurs plans de différentes personnes qui roulent autour de la planche à voile tout en se déplaçant.</v>
      </c>
    </row>
    <row r="9873">
      <c r="A9873" s="4" t="s">
        <v>12411</v>
      </c>
      <c r="B9873" s="6" t="s">
        <v>12413</v>
      </c>
      <c r="C9873" s="5" t="str">
        <f>IFERROR(__xludf.DUMMYFUNCTION("GOOGLETRANSLATE(B9873,""en"",""fr"")"),"Un homme est vu parler à la caméra et mène à une photo d'une personne qui surfait et agitant à la caméra.")</f>
        <v>Un homme est vu parler à la caméra et mène à une photo d'une personne qui surfait et agitant à la caméra.</v>
      </c>
    </row>
    <row r="9874">
      <c r="A9874" s="4" t="s">
        <v>12411</v>
      </c>
      <c r="B9874" s="6" t="s">
        <v>12414</v>
      </c>
      <c r="C9874" s="5" t="str">
        <f>IFERROR(__xludf.DUMMYFUNCTION("GOOGLETRANSLATE(B9874,""en"",""fr"")"),"De plus en plus de personnes surfent et agitent la caméra tout en se déplaçant en continu dans l'océan.")</f>
        <v>De plus en plus de personnes surfent et agitent la caméra tout en se déplaçant en continu dans l'océan.</v>
      </c>
    </row>
    <row r="9875">
      <c r="A9875" s="4" t="s">
        <v>12415</v>
      </c>
      <c r="B9875" s="6" t="s">
        <v>12416</v>
      </c>
      <c r="C9875" s="5" t="str">
        <f>IFERROR(__xludf.DUMMYFUNCTION("GOOGLETRANSLATE(B9875,""en"",""fr"")"),"Deux personnes sont vues debout devant une grande foule avec un applaudissant et repoussant ses bras en arrière et quatrième.")</f>
        <v>Deux personnes sont vues debout devant une grande foule avec un applaudissant et repoussant ses bras en arrière et quatrième.</v>
      </c>
    </row>
    <row r="9876">
      <c r="A9876" s="4" t="s">
        <v>12415</v>
      </c>
      <c r="B9876" s="6" t="s">
        <v>12417</v>
      </c>
      <c r="C9876" s="5" t="str">
        <f>IFERROR(__xludf.DUMMYFUNCTION("GOOGLETRANSLATE(B9876,""en"",""fr"")"),"Les hommes rejettent le ballon et le quatrième et changent avec un autre, se terminant avec le même homme applaudissant et étreignant un autre.")</f>
        <v>Les hommes rejettent le ballon et le quatrième et changent avec un autre, se terminant avec le même homme applaudissant et étreignant un autre.</v>
      </c>
    </row>
    <row r="9877">
      <c r="A9877" s="4" t="s">
        <v>12418</v>
      </c>
      <c r="B9877" s="4" t="s">
        <v>12419</v>
      </c>
      <c r="C9877" s="5" t="str">
        <f>IFERROR(__xludf.DUMMYFUNCTION("GOOGLETRANSLATE(B9877,""en"",""fr"")"),"Nous voyons un bouton de lecture sur un écran.")</f>
        <v>Nous voyons un bouton de lecture sur un écran.</v>
      </c>
    </row>
    <row r="9878">
      <c r="A9878" s="4" t="s">
        <v>12418</v>
      </c>
      <c r="B9878" s="4" t="s">
        <v>12420</v>
      </c>
      <c r="C9878" s="5" t="str">
        <f>IFERROR(__xludf.DUMMYFUNCTION("GOOGLETRANSLATE(B9878,""en"",""fr"")"),"Nous voit une dame se raser les jambes avec un rasoir rose.")</f>
        <v>Nous voit une dame se raser les jambes avec un rasoir rose.</v>
      </c>
    </row>
    <row r="9879">
      <c r="A9879" s="4" t="s">
        <v>12418</v>
      </c>
      <c r="B9879" s="4" t="s">
        <v>12421</v>
      </c>
      <c r="C9879" s="5" t="str">
        <f>IFERROR(__xludf.DUMMYFUNCTION("GOOGLETRANSLATE(B9879,""en"",""fr"")"),"Nous voyons ensuite le bouton de lecture de l'écran de fin.")</f>
        <v>Nous voyons ensuite le bouton de lecture de l'écran de fin.</v>
      </c>
    </row>
    <row r="9880">
      <c r="A9880" s="4" t="s">
        <v>12422</v>
      </c>
      <c r="B9880" s="4" t="s">
        <v>12423</v>
      </c>
      <c r="C9880" s="5" t="str">
        <f>IFERROR(__xludf.DUMMYFUNCTION("GOOGLETRANSLATE(B9880,""en"",""fr"")"),"Les titres en audacieuses audacieux sont visibles sur la page contre les images fixes et un fond sombre.")</f>
        <v>Les titres en audacieuses audacieux sont visibles sur la page contre les images fixes et un fond sombre.</v>
      </c>
    </row>
    <row r="9881">
      <c r="A9881" s="4" t="s">
        <v>12422</v>
      </c>
      <c r="B9881" s="4" t="s">
        <v>12424</v>
      </c>
      <c r="C9881" s="5" t="str">
        <f>IFERROR(__xludf.DUMMYFUNCTION("GOOGLETRANSLATE(B9881,""en"",""fr"")"),"Les hommes jouent à un jeu de croquet dans une cour herbeuse.")</f>
        <v>Les hommes jouent à un jeu de croquet dans une cour herbeuse.</v>
      </c>
    </row>
    <row r="9882">
      <c r="A9882" s="4" t="s">
        <v>12422</v>
      </c>
      <c r="B9882" s="4" t="s">
        <v>12425</v>
      </c>
      <c r="C9882" s="5" t="str">
        <f>IFERROR(__xludf.DUMMYFUNCTION("GOOGLETRANSLATE(B9882,""en"",""fr"")"),"Les hommes s'agenouillent et frappe la balle de croquet comme un coup de billard.")</f>
        <v>Les hommes s'agenouillent et frappe la balle de croquet comme un coup de billard.</v>
      </c>
    </row>
    <row r="9883">
      <c r="A9883" s="4" t="s">
        <v>12422</v>
      </c>
      <c r="B9883" s="4" t="s">
        <v>12426</v>
      </c>
      <c r="C9883" s="5" t="str">
        <f>IFERROR(__xludf.DUMMYFUNCTION("GOOGLETRANSLATE(B9883,""en"",""fr"")"),"L'homme court en tenant son bâton célébrant.")</f>
        <v>L'homme court en tenant son bâton célébrant.</v>
      </c>
    </row>
    <row r="9884">
      <c r="A9884" s="4" t="s">
        <v>12422</v>
      </c>
      <c r="B9884" s="4" t="s">
        <v>12427</v>
      </c>
      <c r="C9884" s="5" t="str">
        <f>IFERROR(__xludf.DUMMYFUNCTION("GOOGLETRANSLATE(B9884,""en"",""fr"")"),"Un homme saute sur l'herbe en tenant son bâton en souriant.")</f>
        <v>Un homme saute sur l'herbe en tenant son bâton en souriant.</v>
      </c>
    </row>
    <row r="9885">
      <c r="A9885" s="4" t="s">
        <v>12428</v>
      </c>
      <c r="B9885" s="4" t="s">
        <v>12429</v>
      </c>
      <c r="C9885" s="5" t="str">
        <f>IFERROR(__xludf.DUMMYFUNCTION("GOOGLETRANSLATE(B9885,""en"",""fr"")"),"Un homme est vu parler à la caméra et le conduit à le faire assis encore dans une piscine.")</f>
        <v>Un homme est vu parler à la caméra et le conduit à le faire assis encore dans une piscine.</v>
      </c>
    </row>
    <row r="9886">
      <c r="A9886" s="4" t="s">
        <v>12428</v>
      </c>
      <c r="B9886" s="4" t="s">
        <v>12430</v>
      </c>
      <c r="C9886" s="5" t="str">
        <f>IFERROR(__xludf.DUMMYFUNCTION("GOOGLETRANSLATE(B9886,""en"",""fr"")"),"L'homme commence alors à nager autour de la piscine et quatrième avec d'autres.")</f>
        <v>L'homme commence alors à nager autour de la piscine et quatrième avec d'autres.</v>
      </c>
    </row>
    <row r="9887">
      <c r="A9887" s="4" t="s">
        <v>12428</v>
      </c>
      <c r="B9887" s="4" t="s">
        <v>12431</v>
      </c>
      <c r="C9887" s="5" t="str">
        <f>IFERROR(__xludf.DUMMYFUNCTION("GOOGLETRANSLATE(B9887,""en"",""fr"")"),"Plusieurs coups sont montrés de lui nager autour des gens et se déplacer dans l'eau.")</f>
        <v>Plusieurs coups sont montrés de lui nager autour des gens et se déplacer dans l'eau.</v>
      </c>
    </row>
    <row r="9888">
      <c r="A9888" s="4" t="s">
        <v>12432</v>
      </c>
      <c r="B9888" s="4" t="s">
        <v>12433</v>
      </c>
      <c r="C9888" s="5" t="str">
        <f>IFERROR(__xludf.DUMMYFUNCTION("GOOGLETRANSLATE(B9888,""en"",""fr"")"),"Deux femmes jouent au badminton sur une scène.")</f>
        <v>Deux femmes jouent au badminton sur une scène.</v>
      </c>
    </row>
    <row r="9889">
      <c r="A9889" s="4" t="s">
        <v>12432</v>
      </c>
      <c r="B9889" s="4" t="s">
        <v>12434</v>
      </c>
      <c r="C9889" s="5" t="str">
        <f>IFERROR(__xludf.DUMMYFUNCTION("GOOGLETRANSLATE(B9889,""en"",""fr"")"),"Les gens jouent au jeu du prix.")</f>
        <v>Les gens jouent au jeu du prix.</v>
      </c>
    </row>
    <row r="9890">
      <c r="A9890" s="4" t="s">
        <v>12432</v>
      </c>
      <c r="B9890" s="4" t="s">
        <v>12435</v>
      </c>
      <c r="C9890" s="5" t="str">
        <f>IFERROR(__xludf.DUMMYFUNCTION("GOOGLETRANSLATE(B9890,""en"",""fr"")"),"Une femme gagne et marche sur la scène pour faire un câlin à l'hôte.")</f>
        <v>Une femme gagne et marche sur la scène pour faire un câlin à l'hôte.</v>
      </c>
    </row>
    <row r="9891">
      <c r="A9891" s="4" t="s">
        <v>12436</v>
      </c>
      <c r="B9891" s="4" t="s">
        <v>12437</v>
      </c>
      <c r="C9891" s="5" t="str">
        <f>IFERROR(__xludf.DUMMYFUNCTION("GOOGLETRANSLATE(B9891,""en"",""fr"")"),"Deux filles se tiennent sur un champ de gazon.")</f>
        <v>Deux filles se tiennent sur un champ de gazon.</v>
      </c>
    </row>
    <row r="9892">
      <c r="A9892" s="4" t="s">
        <v>12436</v>
      </c>
      <c r="B9892" s="4" t="s">
        <v>12438</v>
      </c>
      <c r="C9892" s="5" t="str">
        <f>IFERROR(__xludf.DUMMYFUNCTION("GOOGLETRANSLATE(B9892,""en"",""fr"")"),"L'une des filles commence à faire des mouvements de cheerleading.")</f>
        <v>L'une des filles commence à faire des mouvements de cheerleading.</v>
      </c>
    </row>
    <row r="9893">
      <c r="A9893" s="4" t="s">
        <v>12436</v>
      </c>
      <c r="B9893" s="4" t="s">
        <v>12439</v>
      </c>
      <c r="C9893" s="5" t="str">
        <f>IFERROR(__xludf.DUMMYFUNCTION("GOOGLETRANSLATE(B9893,""en"",""fr"")"),"L'autre fille se tient à côté d'elle qui parle.")</f>
        <v>L'autre fille se tient à côté d'elle qui parle.</v>
      </c>
    </row>
    <row r="9894">
      <c r="A9894" s="4" t="s">
        <v>12440</v>
      </c>
      <c r="B9894" s="4" t="s">
        <v>12441</v>
      </c>
      <c r="C9894" s="5" t="str">
        <f>IFERROR(__xludf.DUMMYFUNCTION("GOOGLETRANSLATE(B9894,""en"",""fr"")"),"Un homme s'entraîne en lançant des fléchettes sur sa planche de fléchettes.")</f>
        <v>Un homme s'entraîne en lançant des fléchettes sur sa planche de fléchettes.</v>
      </c>
    </row>
    <row r="9895">
      <c r="A9895" s="4" t="s">
        <v>12440</v>
      </c>
      <c r="B9895" s="4" t="s">
        <v>12442</v>
      </c>
      <c r="C9895" s="5" t="str">
        <f>IFERROR(__xludf.DUMMYFUNCTION("GOOGLETRANSLATE(B9895,""en"",""fr"")"),"Il les lance tous et puis il doit se remettre pour les enlever tous.")</f>
        <v>Il les lance tous et puis il doit se remettre pour les enlever tous.</v>
      </c>
    </row>
    <row r="9896">
      <c r="A9896" s="4" t="s">
        <v>12440</v>
      </c>
      <c r="B9896" s="4" t="s">
        <v>12443</v>
      </c>
      <c r="C9896" s="5" t="str">
        <f>IFERROR(__xludf.DUMMYFUNCTION("GOOGLETRANSLATE(B9896,""en"",""fr"")"),"Une fois qu'il les a tous éteintes, il recommence à les jeter à nouveau.")</f>
        <v>Une fois qu'il les a tous éteintes, il recommence à les jeter à nouveau.</v>
      </c>
    </row>
    <row r="9897">
      <c r="A9897" s="4" t="s">
        <v>12440</v>
      </c>
      <c r="B9897" s="4" t="s">
        <v>12444</v>
      </c>
      <c r="C9897" s="5" t="str">
        <f>IFERROR(__xludf.DUMMYFUNCTION("GOOGLETRANSLATE(B9897,""en"",""fr"")"),"Il répète ce cycle plusieurs fois encore et encore.")</f>
        <v>Il répète ce cycle plusieurs fois encore et encore.</v>
      </c>
    </row>
    <row r="9898">
      <c r="A9898" s="4" t="s">
        <v>12445</v>
      </c>
      <c r="B9898" s="4" t="s">
        <v>12446</v>
      </c>
      <c r="C9898" s="5" t="str">
        <f>IFERROR(__xludf.DUMMYFUNCTION("GOOGLETRANSLATE(B9898,""en"",""fr"")"),"Un homme parle à l'intérieur, puis une dame parle dans un domaine tandis que les filles courent de son côté.")</f>
        <v>Un homme parle à l'intérieur, puis une dame parle dans un domaine tandis que les filles courent de son côté.</v>
      </c>
    </row>
    <row r="9899">
      <c r="A9899" s="4" t="s">
        <v>12445</v>
      </c>
      <c r="B9899" s="4" t="s">
        <v>12447</v>
      </c>
      <c r="C9899" s="5" t="str">
        <f>IFERROR(__xludf.DUMMYFUNCTION("GOOGLETRANSLATE(B9899,""en"",""fr"")"),"La dame parle avec des filles qui jouent un jeu frappant une balle avec un bâton.")</f>
        <v>La dame parle avec des filles qui jouent un jeu frappant une balle avec un bâton.</v>
      </c>
    </row>
    <row r="9900">
      <c r="A9900" s="4" t="s">
        <v>12445</v>
      </c>
      <c r="B9900" s="6" t="s">
        <v>12448</v>
      </c>
      <c r="C9900" s="5" t="str">
        <f>IFERROR(__xludf.DUMMYFUNCTION("GOOGLETRANSLATE(B9900,""en"",""fr"")"),"Les filles se pressent à tour de rôle, tandis que d'autres joueurs s'entraînent à tirer des balles au but et à afficher la ville de Baltimore, les joueurs des Ravens et les routes de la ville.")</f>
        <v>Les filles se pressent à tour de rôle, tandis que d'autres joueurs s'entraînent à tirer des balles au but et à afficher la ville de Baltimore, les joueurs des Ravens et les routes de la ville.</v>
      </c>
    </row>
    <row r="9901">
      <c r="A9901" s="4" t="s">
        <v>12449</v>
      </c>
      <c r="B9901" s="4" t="s">
        <v>12450</v>
      </c>
      <c r="C9901" s="5" t="str">
        <f>IFERROR(__xludf.DUMMYFUNCTION("GOOGLETRANSLATE(B9901,""en"",""fr"")"),"Un garçon est tourbillonné et prêt à casser une pinata.")</f>
        <v>Un garçon est tourbillonné et prêt à casser une pinata.</v>
      </c>
    </row>
    <row r="9902">
      <c r="A9902" s="4" t="s">
        <v>12449</v>
      </c>
      <c r="B9902" s="4" t="s">
        <v>12451</v>
      </c>
      <c r="C9902" s="5" t="str">
        <f>IFERROR(__xludf.DUMMYFUNCTION("GOOGLETRANSLATE(B9902,""en"",""fr"")"),"Au lieu de cela, il frappe une fille au visage.")</f>
        <v>Au lieu de cela, il frappe une fille au visage.</v>
      </c>
    </row>
    <row r="9903">
      <c r="A9903" s="4" t="s">
        <v>12452</v>
      </c>
      <c r="B9903" s="4" t="s">
        <v>12453</v>
      </c>
      <c r="C9903" s="5" t="str">
        <f>IFERROR(__xludf.DUMMYFUNCTION("GOOGLETRANSLATE(B9903,""en"",""fr"")"),"Un homme saute la corde d'une manière en voiture, puis l'homme saute et saute la corde.")</f>
        <v>Un homme saute la corde d'une manière en voiture, puis l'homme saute et saute la corde.</v>
      </c>
    </row>
    <row r="9904">
      <c r="A9904" s="4" t="s">
        <v>12452</v>
      </c>
      <c r="B9904" s="4" t="s">
        <v>12454</v>
      </c>
      <c r="C9904" s="5" t="str">
        <f>IFERROR(__xludf.DUMMYFUNCTION("GOOGLETRANSLATE(B9904,""en"",""fr"")"),"Après, l'homme tient la corde sur sa main gauche et saute tout en tournant la corde.")</f>
        <v>Après, l'homme tient la corde sur sa main gauche et saute tout en tournant la corde.</v>
      </c>
    </row>
    <row r="9905">
      <c r="A9905" s="4" t="s">
        <v>12452</v>
      </c>
      <c r="B9905" s="4" t="s">
        <v>12455</v>
      </c>
      <c r="C9905" s="5" t="str">
        <f>IFERROR(__xludf.DUMMYFUNCTION("GOOGLETRANSLATE(B9905,""en"",""fr"")"),"Ensuite, l'homme alterne la corde à sauter et à retourner la corde d'un côté à l'autre à l'avant.")</f>
        <v>Ensuite, l'homme alterne la corde à sauter et à retourner la corde d'un côté à l'autre à l'avant.</v>
      </c>
    </row>
    <row r="9906">
      <c r="A9906" s="4" t="s">
        <v>12452</v>
      </c>
      <c r="B9906" s="4" t="s">
        <v>12456</v>
      </c>
      <c r="C9906" s="5" t="str">
        <f>IFERROR(__xludf.DUMMYFUNCTION("GOOGLETRANSLATE(B9906,""en"",""fr"")"),"En outre, l'homme Jump Rope Criss Cross et sautent la corde double.")</f>
        <v>En outre, l'homme Jump Rope Criss Cross et sautent la corde double.</v>
      </c>
    </row>
    <row r="9907">
      <c r="A9907" s="4" t="s">
        <v>12452</v>
      </c>
      <c r="B9907" s="4" t="s">
        <v>12457</v>
      </c>
      <c r="C9907" s="5" t="str">
        <f>IFERROR(__xludf.DUMMYFUNCTION("GOOGLETRANSLATE(B9907,""en"",""fr"")"),"Ensuite, l'homme saute la corde faisant des sauts accroupis et saute.")</f>
        <v>Ensuite, l'homme saute la corde faisant des sauts accroupis et saute.</v>
      </c>
    </row>
    <row r="9908">
      <c r="A9908" s="4" t="s">
        <v>12458</v>
      </c>
      <c r="B9908" s="6" t="s">
        <v>12459</v>
      </c>
      <c r="C9908" s="5" t="str">
        <f>IFERROR(__xludf.DUMMYFUNCTION("GOOGLETRANSLATE(B9908,""en"",""fr"")"),"Un mâle porte un short de natation en noir et blanc, debout au bord d'un plongeon, rebondit plusieurs fois puis saute hors de vue et dans l'eau.")</f>
        <v>Un mâle porte un short de natation en noir et blanc, debout au bord d'un plongeon, rebondit plusieurs fois puis saute hors de vue et dans l'eau.</v>
      </c>
    </row>
    <row r="9909">
      <c r="A9909" s="4" t="s">
        <v>12458</v>
      </c>
      <c r="B9909" s="6" t="s">
        <v>12460</v>
      </c>
      <c r="C9909" s="5" t="str">
        <f>IFERROR(__xludf.DUMMYFUNCTION("GOOGLETRANSLATE(B9909,""en"",""fr"")"),"Un homme plus âgé torse nu portant un short noir commence à marcher sur la même planche du mâle qui a déjà sauté mais s'arrête ensuite.")</f>
        <v>Un homme plus âgé torse nu portant un short noir commence à marcher sur la même planche du mâle qui a déjà sauté mais s'arrête ensuite.</v>
      </c>
    </row>
    <row r="9910">
      <c r="A9910" s="4" t="s">
        <v>12458</v>
      </c>
      <c r="B9910" s="6" t="s">
        <v>12461</v>
      </c>
      <c r="C9910" s="5" t="str">
        <f>IFERROR(__xludf.DUMMYFUNCTION("GOOGLETRANSLATE(B9910,""en"",""fr"")"),"Sur une planche plus courte, un mâle portant des sous-vêtements de natation bleus se promène jusqu'au bord de la planche saute à quelques reprises, s'arrête, se retourne et revient.")</f>
        <v>Sur une planche plus courte, un mâle portant des sous-vêtements de natation bleus se promène jusqu'au bord de la planche saute à quelques reprises, s'arrête, se retourne et revient.</v>
      </c>
    </row>
    <row r="9911">
      <c r="A9911" s="4" t="s">
        <v>12458</v>
      </c>
      <c r="B9911" s="6" t="s">
        <v>12462</v>
      </c>
      <c r="C9911" s="5" t="str">
        <f>IFERROR(__xludf.DUMMYFUNCTION("GOOGLETRANSLATE(B9911,""en"",""fr"")"),"Le mâle se dirige à nouveau au bord de la planche, saute plusieurs fois, puis se retourne à nouveau et revient.")</f>
        <v>Le mâle se dirige à nouveau au bord de la planche, saute plusieurs fois, puis se retourne à nouveau et revient.</v>
      </c>
    </row>
    <row r="9912">
      <c r="A9912" s="4" t="s">
        <v>12458</v>
      </c>
      <c r="B9912" s="6" t="s">
        <v>12463</v>
      </c>
      <c r="C9912" s="5" t="str">
        <f>IFERROR(__xludf.DUMMYFUNCTION("GOOGLETRANSLATE(B9912,""en"",""fr"")"),"Le mâle essaie une fois de plus et se dirige vers le bord du plongeon et saute enfin et fait quelques flips avant d'atterrir dans l'eau, puis nage jusqu'au bord de la piscine.")</f>
        <v>Le mâle essaie une fois de plus et se dirige vers le bord du plongeon et saute enfin et fait quelques flips avant d'atterrir dans l'eau, puis nage jusqu'au bord de la piscine.</v>
      </c>
    </row>
    <row r="9913">
      <c r="A9913" s="4" t="s">
        <v>12464</v>
      </c>
      <c r="B9913" s="4" t="s">
        <v>12465</v>
      </c>
      <c r="C9913" s="5" t="str">
        <f>IFERROR(__xludf.DUMMYFUNCTION("GOOGLETRANSLATE(B9913,""en"",""fr"")"),"Les gens se tiennent sur un court de tennis.")</f>
        <v>Les gens se tiennent sur un court de tennis.</v>
      </c>
    </row>
    <row r="9914">
      <c r="A9914" s="4" t="s">
        <v>12464</v>
      </c>
      <c r="B9914" s="4" t="s">
        <v>12466</v>
      </c>
      <c r="C9914" s="5" t="str">
        <f>IFERROR(__xludf.DUMMYFUNCTION("GOOGLETRANSLATE(B9914,""en"",""fr"")"),"Ils jouent à un jeu de tennis.")</f>
        <v>Ils jouent à un jeu de tennis.</v>
      </c>
    </row>
    <row r="9915">
      <c r="A9915" s="4" t="s">
        <v>12464</v>
      </c>
      <c r="B9915" s="4" t="s">
        <v>12467</v>
      </c>
      <c r="C9915" s="5" t="str">
        <f>IFERROR(__xludf.DUMMYFUNCTION("GOOGLETRANSLATE(B9915,""en"",""fr"")"),"Un homme en chemise blanche frappe la balle de tennis.")</f>
        <v>Un homme en chemise blanche frappe la balle de tennis.</v>
      </c>
    </row>
    <row r="9916">
      <c r="A9916" s="4" t="s">
        <v>12468</v>
      </c>
      <c r="B9916" s="6" t="s">
        <v>12469</v>
      </c>
      <c r="C9916" s="5" t="str">
        <f>IFERROR(__xludf.DUMMYFUNCTION("GOOGLETRANSLATE(B9916,""en"",""fr"")"),"Il y a beaucoup d'adultes dans la pièce (âgés ou jeunes) et ils regardent tous cette fille jouer de la clarinette.")</f>
        <v>Il y a beaucoup d'adultes dans la pièce (âgés ou jeunes) et ils regardent tous cette fille jouer de la clarinette.</v>
      </c>
    </row>
    <row r="9917">
      <c r="A9917" s="4" t="s">
        <v>12468</v>
      </c>
      <c r="B9917" s="6" t="s">
        <v>12470</v>
      </c>
      <c r="C9917" s="5" t="str">
        <f>IFERROR(__xludf.DUMMYFUNCTION("GOOGLETRANSLATE(B9917,""en"",""fr"")"),"Tout d'abord, la fille se dirige vers l'avant de la salle de classe alors qu'elle tient sa clarinette et l'homme qui joue du piano se lève de son siège pour jouer du piano.")</f>
        <v>Tout d'abord, la fille se dirige vers l'avant de la salle de classe alors qu'elle tient sa clarinette et l'homme qui joue du piano se lève de son siège pour jouer du piano.</v>
      </c>
    </row>
    <row r="9918">
      <c r="A9918" s="4" t="s">
        <v>12468</v>
      </c>
      <c r="B9918" s="6" t="s">
        <v>12471</v>
      </c>
      <c r="C9918" s="5" t="str">
        <f>IFERROR(__xludf.DUMMYFUNCTION("GOOGLETRANSLATE(B9918,""en"",""fr"")"),"Puis il commence à jouer du piano et elle joue de la clarinette avec le piano, quand elle a fait tout le monde applaudit pour elle.")</f>
        <v>Puis il commence à jouer du piano et elle joue de la clarinette avec le piano, quand elle a fait tout le monde applaudit pour elle.</v>
      </c>
    </row>
    <row r="9919">
      <c r="A9919" s="4" t="s">
        <v>12472</v>
      </c>
      <c r="B9919" s="4" t="s">
        <v>12473</v>
      </c>
      <c r="C9919" s="5" t="str">
        <f>IFERROR(__xludf.DUMMYFUNCTION("GOOGLETRANSLATE(B9919,""en"",""fr"")"),"Un homme s'apprête à préformer un événement.")</f>
        <v>Un homme s'apprête à préformer un événement.</v>
      </c>
    </row>
    <row r="9920">
      <c r="A9920" s="4" t="s">
        <v>12472</v>
      </c>
      <c r="B9920" s="4" t="s">
        <v>12474</v>
      </c>
      <c r="C9920" s="5" t="str">
        <f>IFERROR(__xludf.DUMMYFUNCTION("GOOGLETRANSLATE(B9920,""en"",""fr"")"),"Il commence à commencer à courir rapidement.")</f>
        <v>Il commence à commencer à courir rapidement.</v>
      </c>
    </row>
    <row r="9921">
      <c r="A9921" s="4" t="s">
        <v>12472</v>
      </c>
      <c r="B9921" s="4" t="s">
        <v>12475</v>
      </c>
      <c r="C9921" s="5" t="str">
        <f>IFERROR(__xludf.DUMMYFUNCTION("GOOGLETRANSLATE(B9921,""en"",""fr"")"),"Il coule dans la voie et le HE saute 3 fois dans le sable.")</f>
        <v>Il coule dans la voie et le HE saute 3 fois dans le sable.</v>
      </c>
    </row>
    <row r="9922">
      <c r="A9922" s="4" t="s">
        <v>12472</v>
      </c>
      <c r="B9922" s="4" t="s">
        <v>12476</v>
      </c>
      <c r="C9922" s="5" t="str">
        <f>IFERROR(__xludf.DUMMYFUNCTION("GOOGLETRANSLATE(B9922,""en"",""fr"")"),"Il manque joyeusement de la fosse.")</f>
        <v>Il manque joyeusement de la fosse.</v>
      </c>
    </row>
    <row r="9923">
      <c r="A9923" s="4" t="s">
        <v>12472</v>
      </c>
      <c r="B9923" s="4" t="s">
        <v>12477</v>
      </c>
      <c r="C9923" s="5" t="str">
        <f>IFERROR(__xludf.DUMMYFUNCTION("GOOGLETRANSLATE(B9923,""en"",""fr"")"),"Il continue de se promener en applaudissant alors qu'il coupe la foule et les annonceurs.")</f>
        <v>Il continue de se promener en applaudissant alors qu'il coupe la foule et les annonceurs.</v>
      </c>
    </row>
    <row r="9924">
      <c r="A9924" s="4" t="s">
        <v>12472</v>
      </c>
      <c r="B9924" s="4" t="s">
        <v>12478</v>
      </c>
      <c r="C9924" s="5" t="str">
        <f>IFERROR(__xludf.DUMMYFUNCTION("GOOGLETRANSLATE(B9924,""en"",""fr"")"),"Il fait un baiser à la foule.")</f>
        <v>Il fait un baiser à la foule.</v>
      </c>
    </row>
    <row r="9925">
      <c r="A9925" s="4" t="s">
        <v>12472</v>
      </c>
      <c r="B9925" s="4" t="s">
        <v>12479</v>
      </c>
      <c r="C9925" s="5" t="str">
        <f>IFERROR(__xludf.DUMMYFUNCTION("GOOGLETRANSLATE(B9925,""en"",""fr"")"),"Il va et commence à étreindre les fans.")</f>
        <v>Il va et commence à étreindre les fans.</v>
      </c>
    </row>
    <row r="9926">
      <c r="A9926" s="4" t="s">
        <v>12480</v>
      </c>
      <c r="B9926" s="4" t="s">
        <v>12481</v>
      </c>
      <c r="C9926" s="5" t="str">
        <f>IFERROR(__xludf.DUMMYFUNCTION("GOOGLETRANSLATE(B9926,""en"",""fr"")"),"Les voitures conduisent dans une autoroute enneigée.")</f>
        <v>Les voitures conduisent dans une autoroute enneigée.</v>
      </c>
    </row>
    <row r="9927">
      <c r="A9927" s="4" t="s">
        <v>12480</v>
      </c>
      <c r="B9927" s="4" t="s">
        <v>12482</v>
      </c>
      <c r="C9927" s="5" t="str">
        <f>IFERROR(__xludf.DUMMYFUNCTION("GOOGLETRANSLATE(B9927,""en"",""fr"")"),"Un panneau à une montagne de sucre est montré et Peolpe pratiquant le snowboard.")</f>
        <v>Un panneau à une montagne de sucre est montré et Peolpe pratiquant le snowboard.</v>
      </c>
    </row>
    <row r="9928">
      <c r="A9928" s="4" t="s">
        <v>12480</v>
      </c>
      <c r="B9928" s="4" t="s">
        <v>12483</v>
      </c>
      <c r="C9928" s="5" t="str">
        <f>IFERROR(__xludf.DUMMYFUNCTION("GOOGLETRANSLATE(B9928,""en"",""fr"")"),"Les gens sont du snowboard sur une colline enneigée.")</f>
        <v>Les gens sont du snowboard sur une colline enneigée.</v>
      </c>
    </row>
    <row r="9929">
      <c r="A9929" s="4" t="s">
        <v>12480</v>
      </c>
      <c r="B9929" s="4" t="s">
        <v>12484</v>
      </c>
      <c r="C9929" s="5" t="str">
        <f>IFERROR(__xludf.DUMMYFUNCTION("GOOGLETRANSLATE(B9929,""en"",""fr"")"),"Les voitures enneigées roulent à Snowy Hill.")</f>
        <v>Les voitures enneigées roulent à Snowy Hill.</v>
      </c>
    </row>
    <row r="9930">
      <c r="A9930" s="4" t="s">
        <v>12480</v>
      </c>
      <c r="B9930" s="4" t="s">
        <v>12485</v>
      </c>
      <c r="C9930" s="5" t="str">
        <f>IFERROR(__xludf.DUMMYFUNCTION("GOOGLETRANSLATE(B9930,""en"",""fr"")"),"Les hommes sont du snowboard dans une colline.")</f>
        <v>Les hommes sont du snowboard dans une colline.</v>
      </c>
    </row>
    <row r="9931">
      <c r="A9931" s="4" t="s">
        <v>12486</v>
      </c>
      <c r="B9931" s="4" t="s">
        <v>12487</v>
      </c>
      <c r="C9931" s="5" t="str">
        <f>IFERROR(__xludf.DUMMYFUNCTION("GOOGLETRANSLATE(B9931,""en"",""fr"")"),"Un jeune enfant est vu assis sur une chaise devant une table avec un grand corps.")</f>
        <v>Un jeune enfant est vu assis sur une chaise devant une table avec un grand corps.</v>
      </c>
    </row>
    <row r="9932">
      <c r="A9932" s="4" t="s">
        <v>12486</v>
      </c>
      <c r="B9932" s="6" t="s">
        <v>12488</v>
      </c>
      <c r="C9932" s="5" t="str">
        <f>IFERROR(__xludf.DUMMYFUNCTION("GOOGLETRANSLATE(B9932,""en"",""fr"")"),"Les mains sont ensuite vues écrire une note et se frotter contre le visage pendant que l'enfant rit et les mains continuent de bouger.")</f>
        <v>Les mains sont ensuite vues écrire une note et se frotter contre le visage pendant que l'enfant rit et les mains continuent de bouger.</v>
      </c>
    </row>
    <row r="9933">
      <c r="A9933" s="4" t="s">
        <v>12489</v>
      </c>
      <c r="B9933" s="4" t="s">
        <v>12490</v>
      </c>
      <c r="C9933" s="5" t="str">
        <f>IFERROR(__xludf.DUMMYFUNCTION("GOOGLETRANSLATE(B9933,""en"",""fr"")"),"Un homme pousse un disque devant un jeu de marelle.")</f>
        <v>Un homme pousse un disque devant un jeu de marelle.</v>
      </c>
    </row>
    <row r="9934">
      <c r="A9934" s="4" t="s">
        <v>12489</v>
      </c>
      <c r="B9934" s="4" t="s">
        <v>12491</v>
      </c>
      <c r="C9934" s="5" t="str">
        <f>IFERROR(__xludf.DUMMYFUNCTION("GOOGLETRANSLATE(B9934,""en"",""fr"")"),"Une autre personne pousse un disque vers la marelle.")</f>
        <v>Une autre personne pousse un disque vers la marelle.</v>
      </c>
    </row>
    <row r="9935">
      <c r="A9935" s="4" t="s">
        <v>12489</v>
      </c>
      <c r="B9935" s="4" t="s">
        <v>12492</v>
      </c>
      <c r="C9935" s="5" t="str">
        <f>IFERROR(__xludf.DUMMYFUNCTION("GOOGLETRANSLATE(B9935,""en"",""fr"")"),"Le premier homme fait un drôle de visage.")</f>
        <v>Le premier homme fait un drôle de visage.</v>
      </c>
    </row>
    <row r="9936">
      <c r="A9936" s="4" t="s">
        <v>12493</v>
      </c>
      <c r="B9936" s="6" t="s">
        <v>12494</v>
      </c>
      <c r="C9936" s="5" t="str">
        <f>IFERROR(__xludf.DUMMYFUNCTION("GOOGLETRANSLATE(B9936,""en"",""fr"")"),"Un homme seul dans une pièce avec une toile de fond d'écran vert effectue un mouvement de danse de pause sur un patch de planchers de bois franc, en utilisant son dos pour tourner.")</f>
        <v>Un homme seul dans une pièce avec une toile de fond d'écran vert effectue un mouvement de danse de pause sur un patch de planchers de bois franc, en utilisant son dos pour tourner.</v>
      </c>
    </row>
    <row r="9937">
      <c r="A9937" s="4" t="s">
        <v>12493</v>
      </c>
      <c r="B9937" s="6" t="s">
        <v>12495</v>
      </c>
      <c r="C9937" s="5" t="str">
        <f>IFERROR(__xludf.DUMMYFUNCTION("GOOGLETRANSLATE(B9937,""en"",""fr"")"),"L'homme arrête de danser et se tient devant la caméra en train de lui parler avant de démontrer des mouvements de danse de base, notamment en utilisant les mains et les genoux pour effectuer des tours du sol.")</f>
        <v>L'homme arrête de danser et se tient devant la caméra en train de lui parler avant de démontrer des mouvements de danse de base, notamment en utilisant les mains et les genoux pour effectuer des tours du sol.</v>
      </c>
    </row>
    <row r="9938">
      <c r="A9938" s="4" t="s">
        <v>12493</v>
      </c>
      <c r="B9938" s="6" t="s">
        <v>12496</v>
      </c>
      <c r="C9938" s="5" t="str">
        <f>IFERROR(__xludf.DUMMYFUNCTION("GOOGLETRANSLATE(B9938,""en"",""fr"")"),"L'homme continue de démontrer les mouvements de danse de rupture et de parler à la caméra jusqu'à ce qu'il donne un signe de paix à la caméra et que l'écran s'estompe à un graphique marketing.")</f>
        <v>L'homme continue de démontrer les mouvements de danse de rupture et de parler à la caméra jusqu'à ce qu'il donne un signe de paix à la caméra et que l'écran s'estompe à un graphique marketing.</v>
      </c>
    </row>
    <row r="9939">
      <c r="A9939" s="4" t="s">
        <v>12497</v>
      </c>
      <c r="B9939" s="6" t="s">
        <v>12498</v>
      </c>
      <c r="C9939" s="5" t="str">
        <f>IFERROR(__xludf.DUMMYFUNCTION("GOOGLETRANSLATE(B9939,""en"",""fr"")"),"Des clips de femmes et d'hommes viennent à l'intérieur tandis que beaucoup de gens se déplacent autour d'eux ou regardent simplement, et une bannière en bas se lit")</f>
        <v>Des clips de femmes et d'hommes viennent à l'intérieur tandis que beaucoup de gens se déplacent autour d'eux ou regardent simplement, et une bannière en bas se lit</v>
      </c>
    </row>
    <row r="9940">
      <c r="A9940" s="4" t="s">
        <v>12497</v>
      </c>
      <c r="B9940" s="6" t="s">
        <v>12499</v>
      </c>
      <c r="C9940" s="5" t="str">
        <f>IFERROR(__xludf.DUMMYFUNCTION("GOOGLETRANSLATE(B9940,""en"",""fr"")"),"Alors que divers clips de différentes personnes vonts, un homme et une femme se tiennent à l'intérieur les uns aux autres et parlent à la caméra avec les mots en bas de l'écran disent que leurs noms sont Kaitlin Petrillose &amp; Jack Chapman Competing et prés"&amp;"ident "".")</f>
        <v>Alors que divers clips de différentes personnes vonts, un homme et une femme se tiennent à l'intérieur les uns aux autres et parlent à la caméra avec les mots en bas de l'écran disent que leurs noms sont Kaitlin Petrillose &amp; Jack Chapman Competing et président ".</v>
      </c>
    </row>
    <row r="9941">
      <c r="A9941" s="4" t="s">
        <v>12497</v>
      </c>
      <c r="B9941" s="6" t="s">
        <v>12500</v>
      </c>
      <c r="C9941" s="5" t="str">
        <f>IFERROR(__xludf.DUMMYFUNCTION("GOOGLETRANSLATE(B9941,""en"",""fr"")"),"La vue flou et les mots blancs à l'écran apparaissent au milieu et disent ""Killeen Daily Herald par Marianne Gish"".")</f>
        <v>La vue flou et les mots blancs à l'écran apparaissent au milieu et disent "Killeen Daily Herald par Marianne Gish".</v>
      </c>
    </row>
    <row r="9942">
      <c r="A9942" s="4" t="s">
        <v>12501</v>
      </c>
      <c r="B9942" s="4" t="s">
        <v>12502</v>
      </c>
      <c r="C9942" s="5" t="str">
        <f>IFERROR(__xludf.DUMMYFUNCTION("GOOGLETRANSLATE(B9942,""en"",""fr"")"),"Un rideau est vu et un danseur du ventre monte sur la scène.")</f>
        <v>Un rideau est vu et un danseur du ventre monte sur la scène.</v>
      </c>
    </row>
    <row r="9943">
      <c r="A9943" s="4" t="s">
        <v>12501</v>
      </c>
      <c r="B9943" s="4" t="s">
        <v>12503</v>
      </c>
      <c r="C9943" s="5" t="str">
        <f>IFERROR(__xludf.DUMMYFUNCTION("GOOGLETRANSLATE(B9943,""en"",""fr"")"),"Elle se produit pour le public, secouant ses hanches et suçant son ventre dans et dehors.")</f>
        <v>Elle se produit pour le public, secouant ses hanches et suçant son ventre dans et dehors.</v>
      </c>
    </row>
    <row r="9944">
      <c r="A9944" s="4" t="s">
        <v>12501</v>
      </c>
      <c r="B9944" s="4" t="s">
        <v>12504</v>
      </c>
      <c r="C9944" s="5" t="str">
        <f>IFERROR(__xludf.DUMMYFUNCTION("GOOGLETRANSLATE(B9944,""en"",""fr"")"),"Quand elle termine, elle jette ses bras en l'air et l'écran devient noir.")</f>
        <v>Quand elle termine, elle jette ses bras en l'air et l'écran devient noir.</v>
      </c>
    </row>
    <row r="9945">
      <c r="A9945" s="4" t="s">
        <v>12505</v>
      </c>
      <c r="B9945" s="6" t="s">
        <v>12506</v>
      </c>
      <c r="C9945" s="5" t="str">
        <f>IFERROR(__xludf.DUMMYFUNCTION("GOOGLETRANSLATE(B9945,""en"",""fr"")"),"Un homme athlétique est vu debout dans un cercle suivi de la tournure et jetant un objet au loin.")</f>
        <v>Un homme athlétique est vu debout dans un cercle suivi de la tournure et jetant un objet au loin.</v>
      </c>
    </row>
    <row r="9946">
      <c r="A9946" s="4" t="s">
        <v>12505</v>
      </c>
      <c r="B9946" s="4" t="s">
        <v>12507</v>
      </c>
      <c r="C9946" s="5" t="str">
        <f>IFERROR(__xludf.DUMMYFUNCTION("GOOGLETRANSLATE(B9946,""en"",""fr"")"),"Plus de gens sont vus en train de lancer l'objet pendant que la caméra regarde.")</f>
        <v>Plus de gens sont vus en train de lancer l'objet pendant que la caméra regarde.</v>
      </c>
    </row>
    <row r="9947">
      <c r="A9947" s="4" t="s">
        <v>12505</v>
      </c>
      <c r="B9947" s="4" t="s">
        <v>12508</v>
      </c>
      <c r="C9947" s="5" t="str">
        <f>IFERROR(__xludf.DUMMYFUNCTION("GOOGLETRANSLATE(B9947,""en"",""fr"")"),"Plusieurs personnes regardent sur la touche.")</f>
        <v>Plusieurs personnes regardent sur la touche.</v>
      </c>
    </row>
    <row r="9948">
      <c r="A9948" s="4" t="s">
        <v>12509</v>
      </c>
      <c r="B9948" s="4" t="s">
        <v>12510</v>
      </c>
      <c r="C9948" s="5" t="str">
        <f>IFERROR(__xludf.DUMMYFUNCTION("GOOGLETRANSLATE(B9948,""en"",""fr"")"),"Un homme est vu mettre du ruban adhésif sur un ensemble de skis à chaque extrémité et commence à frotter de la cire sur le ski.")</f>
        <v>Un homme est vu mettre du ruban adhésif sur un ensemble de skis à chaque extrémité et commence à frotter de la cire sur le ski.</v>
      </c>
    </row>
    <row r="9949">
      <c r="A9949" s="4" t="s">
        <v>12509</v>
      </c>
      <c r="B9949" s="4" t="s">
        <v>12511</v>
      </c>
      <c r="C9949" s="5" t="str">
        <f>IFERROR(__xludf.DUMMYFUNCTION("GOOGLETRANSLATE(B9949,""en"",""fr"")"),"L'homme prend ensuite une ponceuse et le court sur toute la longueur du ski.")</f>
        <v>L'homme prend ensuite une ponceuse et le court sur toute la longueur du ski.</v>
      </c>
    </row>
    <row r="9950">
      <c r="A9950" s="4" t="s">
        <v>12509</v>
      </c>
      <c r="B9950" s="4" t="s">
        <v>12512</v>
      </c>
      <c r="C9950" s="5" t="str">
        <f>IFERROR(__xludf.DUMMYFUNCTION("GOOGLETRANSLATE(B9950,""en"",""fr"")"),"L'homme prend ensuite une planche et le frotte le long du ski et se termine en le retirant.")</f>
        <v>L'homme prend ensuite une planche et le frotte le long du ski et se termine en le retirant.</v>
      </c>
    </row>
    <row r="9951">
      <c r="A9951" s="4" t="s">
        <v>12513</v>
      </c>
      <c r="B9951" s="4" t="s">
        <v>12514</v>
      </c>
      <c r="C9951" s="5" t="str">
        <f>IFERROR(__xludf.DUMMYFUNCTION("GOOGLETRANSLATE(B9951,""en"",""fr"")"),"Une grande plage est représentée ainsi que des gens debout sur la plage et en regardant le ciel.")</f>
        <v>Une grande plage est représentée ainsi que des gens debout sur la plage et en regardant le ciel.</v>
      </c>
    </row>
    <row r="9952">
      <c r="A9952" s="4" t="s">
        <v>12513</v>
      </c>
      <c r="B9952" s="4" t="s">
        <v>12515</v>
      </c>
      <c r="C9952" s="5" t="str">
        <f>IFERROR(__xludf.DUMMYFUNCTION("GOOGLETRANSLATE(B9952,""en"",""fr"")"),"On voit des cerfs-volants en l'air pendant que les gens regardent autour et regardent.")</f>
        <v>On voit des cerfs-volants en l'air pendant que les gens regardent autour et regardent.</v>
      </c>
    </row>
    <row r="9953">
      <c r="A9953" s="4" t="s">
        <v>12513</v>
      </c>
      <c r="B9953" s="4" t="s">
        <v>12516</v>
      </c>
      <c r="C9953" s="5" t="str">
        <f>IFERROR(__xludf.DUMMYFUNCTION("GOOGLETRANSLATE(B9953,""en"",""fr"")"),"Plus de gens sont vus voler des cerfs-volants dans les airs avec certains les saisir du sol.")</f>
        <v>Plus de gens sont vus voler des cerfs-volants dans les airs avec certains les saisir du sol.</v>
      </c>
    </row>
    <row r="9954">
      <c r="A9954" s="4" t="s">
        <v>12517</v>
      </c>
      <c r="B9954" s="6" t="s">
        <v>12518</v>
      </c>
      <c r="C9954" s="5" t="str">
        <f>IFERROR(__xludf.DUMMYFUNCTION("GOOGLETRANSLATE(B9954,""en"",""fr"")"),"Un homme en costume humide noir et transport d'une planche de surf parle à l'homme de la caméra, sur le point de monter dans l'eau.")</f>
        <v>Un homme en costume humide noir et transport d'une planche de surf parle à l'homme de la caméra, sur le point de monter dans l'eau.</v>
      </c>
    </row>
    <row r="9955">
      <c r="A9955" s="4" t="s">
        <v>12517</v>
      </c>
      <c r="B9955" s="4" t="s">
        <v>12519</v>
      </c>
      <c r="C9955" s="5" t="str">
        <f>IFERROR(__xludf.DUMMYFUNCTION("GOOGLETRANSLATE(B9955,""en"",""fr"")"),"La musique dramatique joue tout en montrant divers clips de surfeurs dans l'eau, sur les vagues.")</f>
        <v>La musique dramatique joue tout en montrant divers clips de surfeurs dans l'eau, sur les vagues.</v>
      </c>
    </row>
    <row r="9956">
      <c r="A9956" s="4" t="s">
        <v>12517</v>
      </c>
      <c r="B9956" s="4" t="s">
        <v>12520</v>
      </c>
      <c r="C9956" s="5" t="str">
        <f>IFERROR(__xludf.DUMMYFUNCTION("GOOGLETRANSLATE(B9956,""en"",""fr"")"),"La vidéo se termine alors que l'homme dans le costume humide noir arrive sur le rivage après avoir survécu une vague et souriant.")</f>
        <v>La vidéo se termine alors que l'homme dans le costume humide noir arrive sur le rivage après avoir survécu une vague et souriant.</v>
      </c>
    </row>
    <row r="9957">
      <c r="A9957" s="4" t="s">
        <v>12521</v>
      </c>
      <c r="B9957" s="6" t="s">
        <v>12522</v>
      </c>
      <c r="C9957" s="5" t="str">
        <f>IFERROR(__xludf.DUMMYFUNCTION("GOOGLETRANSLATE(B9957,""en"",""fr"")"),"Un homme entre dans le cadre et parle à la caméra tout en tenant un rasoir et un rasoir dans ses mains.")</f>
        <v>Un homme entre dans le cadre et parle à la caméra tout en tenant un rasoir et un rasoir dans ses mains.</v>
      </c>
    </row>
    <row r="9958">
      <c r="A9958" s="4" t="s">
        <v>12521</v>
      </c>
      <c r="B9958" s="6" t="s">
        <v>12523</v>
      </c>
      <c r="C9958" s="5" t="str">
        <f>IFERROR(__xludf.DUMMYFUNCTION("GOOGLETRANSLATE(B9958,""en"",""fr"")"),"Une scène apparaît sur la vidéo de l'homme et on le voit frotter de la crème sur son visage et se raser les cheveux.")</f>
        <v>Une scène apparaît sur la vidéo de l'homme et on le voit frotter de la crème sur son visage et se raser les cheveux.</v>
      </c>
    </row>
    <row r="9959">
      <c r="A9959" s="4" t="s">
        <v>12521</v>
      </c>
      <c r="B9959" s="4" t="s">
        <v>12524</v>
      </c>
      <c r="C9959" s="5" t="str">
        <f>IFERROR(__xludf.DUMMYFUNCTION("GOOGLETRANSLATE(B9959,""en"",""fr"")"),"Il laisse un peu de cheveux sur son menton et est revu parler à la caméra et s'éloigne.")</f>
        <v>Il laisse un peu de cheveux sur son menton et est revu parler à la caméra et s'éloigne.</v>
      </c>
    </row>
    <row r="9960">
      <c r="A9960" s="4" t="s">
        <v>12525</v>
      </c>
      <c r="B9960" s="6" t="s">
        <v>12526</v>
      </c>
      <c r="C9960" s="5" t="str">
        <f>IFERROR(__xludf.DUMMYFUNCTION("GOOGLETRANSLATE(B9960,""en"",""fr"")"),"Diverses personnes sont présentées dans un atelier fonctionnant tout en poussant des objets, en conduisant des machines, en machines de travail et etc.")</f>
        <v>Diverses personnes sont présentées dans un atelier fonctionnant tout en poussant des objets, en conduisant des machines, en machines de travail et etc.</v>
      </c>
    </row>
    <row r="9961">
      <c r="A9961" s="4" t="s">
        <v>12525</v>
      </c>
      <c r="B9961" s="6" t="s">
        <v>12527</v>
      </c>
      <c r="C9961" s="5" t="str">
        <f>IFERROR(__xludf.DUMMYFUNCTION("GOOGLETRANSLATE(B9961,""en"",""fr"")"),"Une femme est montrée en mettant une longue pièce en métal dans une grande machinerie et les mots ""Sujet d'aujourd'hui: le soudage"" apparaît à l'écran suivi d'une personne portant un masque et du soudage avec une torche.")</f>
        <v>Une femme est montrée en mettant une longue pièce en métal dans une grande machinerie et les mots "Sujet d'aujourd'hui: le soudage" apparaît à l'écran suivi d'une personne portant un masque et du soudage avec une torche.</v>
      </c>
    </row>
    <row r="9962">
      <c r="A9962" s="4" t="s">
        <v>12525</v>
      </c>
      <c r="B9962" s="6" t="s">
        <v>12528</v>
      </c>
      <c r="C9962" s="5" t="str">
        <f>IFERROR(__xludf.DUMMYFUNCTION("GOOGLETRANSLATE(B9962,""en"",""fr"")"),"Une femme se tient maintenant dans une machine et elle saisit divers objets métalliques et les met dans une machine qui les soulève ensemble.")</f>
        <v>Une femme se tient maintenant dans une machine et elle saisit divers objets métalliques et les met dans une machine qui les soulève ensemble.</v>
      </c>
    </row>
    <row r="9963">
      <c r="A9963" s="4" t="s">
        <v>12525</v>
      </c>
      <c r="B9963" s="6" t="s">
        <v>12529</v>
      </c>
      <c r="C9963" s="5" t="str">
        <f>IFERROR(__xludf.DUMMYFUNCTION("GOOGLETRANSLATE(B9963,""en"",""fr"")"),"L'Undro apparaît et c'est un écran blanc avec un logo rouge et bleu, un site Web et des informations de hashtag.")</f>
        <v>L'Undro apparaît et c'est un écran blanc avec un logo rouge et bleu, un site Web et des informations de hashtag.</v>
      </c>
    </row>
    <row r="9964">
      <c r="A9964" s="4" t="s">
        <v>12530</v>
      </c>
      <c r="B9964" s="6" t="s">
        <v>12531</v>
      </c>
      <c r="C9964" s="5" t="str">
        <f>IFERROR(__xludf.DUMMYFUNCTION("GOOGLETRANSLATE(B9964,""en"",""fr"")"),"Un grand groupe marche dans un défilé et il y a beaucoup de gens qui marchent aux côtés et se tiennent sur la touche en regardant ou en prenant des photos et des vidéos.")</f>
        <v>Un grand groupe marche dans un défilé et il y a beaucoup de gens qui marchent aux côtés et se tiennent sur la touche en regardant ou en prenant des photos et des vidéos.</v>
      </c>
    </row>
    <row r="9965">
      <c r="A9965" s="4" t="s">
        <v>12530</v>
      </c>
      <c r="B9965" s="6" t="s">
        <v>12532</v>
      </c>
      <c r="C9965" s="5" t="str">
        <f>IFERROR(__xludf.DUMMYFUNCTION("GOOGLETRANSLATE(B9965,""en"",""fr"")"),"La vue change pour les femmes portant et balançant des drapeaux sur un poteau, puis revient au grand groupe qui s'arrête et continue de jouer pour la foule.")</f>
        <v>La vue change pour les femmes portant et balançant des drapeaux sur un poteau, puis revient au grand groupe qui s'arrête et continue de jouer pour la foule.</v>
      </c>
    </row>
    <row r="9966">
      <c r="A9966" s="4" t="s">
        <v>12530</v>
      </c>
      <c r="B9966" s="4" t="s">
        <v>12533</v>
      </c>
      <c r="C9966" s="5" t="str">
        <f>IFERROR(__xludf.DUMMYFUNCTION("GOOGLETRANSLATE(B9966,""en"",""fr"")"),"Le groupe reprend la marche, tout comme la foule autour et derrière eux.")</f>
        <v>Le groupe reprend la marche, tout comme la foule autour et derrière eux.</v>
      </c>
    </row>
    <row r="9967">
      <c r="A9967" s="4" t="s">
        <v>12534</v>
      </c>
      <c r="B9967" s="4" t="s">
        <v>12535</v>
      </c>
      <c r="C9967" s="5" t="str">
        <f>IFERROR(__xludf.DUMMYFUNCTION("GOOGLETRANSLATE(B9967,""en"",""fr"")"),"Un homme est assis dans une pièce devant un drapeau.")</f>
        <v>Un homme est assis dans une pièce devant un drapeau.</v>
      </c>
    </row>
    <row r="9968">
      <c r="A9968" s="4" t="s">
        <v>12534</v>
      </c>
      <c r="B9968" s="4" t="s">
        <v>12536</v>
      </c>
      <c r="C9968" s="5" t="str">
        <f>IFERROR(__xludf.DUMMYFUNCTION("GOOGLETRANSLATE(B9968,""en"",""fr"")"),"Il joue un instrument de vent noir.")</f>
        <v>Il joue un instrument de vent noir.</v>
      </c>
    </row>
    <row r="9969">
      <c r="A9969" s="4" t="s">
        <v>12534</v>
      </c>
      <c r="B9969" s="4" t="s">
        <v>12537</v>
      </c>
      <c r="C9969" s="5" t="str">
        <f>IFERROR(__xludf.DUMMYFUNCTION("GOOGLETRANSLATE(B9969,""en"",""fr"")"),"Ses doigts positionnent sur les trous.")</f>
        <v>Ses doigts positionnent sur les trous.</v>
      </c>
    </row>
    <row r="9970">
      <c r="A9970" s="4" t="s">
        <v>12534</v>
      </c>
      <c r="B9970" s="4" t="s">
        <v>12538</v>
      </c>
      <c r="C9970" s="5" t="str">
        <f>IFERROR(__xludf.DUMMYFUNCTION("GOOGLETRANSLATE(B9970,""en"",""fr"")"),"Il porte des lunettes de soleil pendant qu'il joue.")</f>
        <v>Il porte des lunettes de soleil pendant qu'il joue.</v>
      </c>
    </row>
    <row r="9971">
      <c r="A9971" s="4" t="s">
        <v>12539</v>
      </c>
      <c r="B9971" s="4" t="s">
        <v>12540</v>
      </c>
      <c r="C9971" s="5" t="str">
        <f>IFERROR(__xludf.DUMMYFUNCTION("GOOGLETRANSLATE(B9971,""en"",""fr"")"),"Les gens sont dans les tribunes d'une arène.")</f>
        <v>Les gens sont dans les tribunes d'une arène.</v>
      </c>
    </row>
    <row r="9972">
      <c r="A9972" s="4" t="s">
        <v>12539</v>
      </c>
      <c r="B9972" s="4" t="s">
        <v>12541</v>
      </c>
      <c r="C9972" s="5" t="str">
        <f>IFERROR(__xludf.DUMMYFUNCTION("GOOGLETRANSLATE(B9972,""en"",""fr"")"),"Un taureau tire de la drogue de l'arène par des chevaux.")</f>
        <v>Un taureau tire de la drogue de l'arène par des chevaux.</v>
      </c>
    </row>
    <row r="9973">
      <c r="A9973" s="4" t="s">
        <v>12539</v>
      </c>
      <c r="B9973" s="4" t="s">
        <v>12542</v>
      </c>
      <c r="C9973" s="5" t="str">
        <f>IFERROR(__xludf.DUMMYFUNCTION("GOOGLETRANSLATE(B9973,""en"",""fr"")"),"Une femme parle à la caméra.")</f>
        <v>Une femme parle à la caméra.</v>
      </c>
    </row>
    <row r="9974">
      <c r="A9974" s="4" t="s">
        <v>12543</v>
      </c>
      <c r="B9974" s="6" t="s">
        <v>12544</v>
      </c>
      <c r="C9974" s="5" t="str">
        <f>IFERROR(__xludf.DUMMYFUNCTION("GOOGLETRANSLATE(B9974,""en"",""fr"")"),"Un groupe de jeunes hommes asiatiques est à l'intérieur avec beaucoup de spectateurs dans les tribunes tenant des signes et les encourageant.")</f>
        <v>Un groupe de jeunes hommes asiatiques est à l'intérieur avec beaucoup de spectateurs dans les tribunes tenant des signes et les encourageant.</v>
      </c>
    </row>
    <row r="9975">
      <c r="A9975" s="4" t="s">
        <v>12543</v>
      </c>
      <c r="B9975" s="6" t="s">
        <v>12545</v>
      </c>
      <c r="C9975" s="5" t="str">
        <f>IFERROR(__xludf.DUMMYFUNCTION("GOOGLETRANSLATE(B9975,""en"",""fr"")"),"Deux jeunes hommes asiatiques se lèvent avec leur arc et leurs flèches et ils se pressent chacun à tirer sur leur cible oculaire de Bulls pendant que la foule les applaudit après que chaque tir soit fait, et parfois 3 personnes adaptées se montrent en fai"&amp;"sant des commentaires.")</f>
        <v>Deux jeunes hommes asiatiques se lèvent avec leur arc et leurs flèches et ils se pressent chacun à tirer sur leur cible oculaire de Bulls pendant que la foule les applaudit après que chaque tir soit fait, et parfois 3 personnes adaptées se montrent en faisant des commentaires.</v>
      </c>
    </row>
    <row r="9976">
      <c r="A9976" s="4" t="s">
        <v>12543</v>
      </c>
      <c r="B9976" s="6" t="s">
        <v>12546</v>
      </c>
      <c r="C9976" s="5" t="str">
        <f>IFERROR(__xludf.DUMMYFUNCTION("GOOGLETRANSLATE(B9976,""en"",""fr"")"),"Lorsque les hommes ont fini de tirer sur la cible, l'un d'eux lève le bras dans la victoire, ils se serrent la main, s'embrassent, prennent un arc et agitent à la foule acclamant.")</f>
        <v>Lorsque les hommes ont fini de tirer sur la cible, l'un d'eux lève le bras dans la victoire, ils se serrent la main, s'embrassent, prennent un arc et agitent à la foule acclamant.</v>
      </c>
    </row>
    <row r="9977">
      <c r="A9977" s="4" t="s">
        <v>12547</v>
      </c>
      <c r="B9977" s="4" t="s">
        <v>12548</v>
      </c>
      <c r="C9977" s="5" t="str">
        <f>IFERROR(__xludf.DUMMYFUNCTION("GOOGLETRANSLATE(B9977,""en"",""fr"")"),"Une femme est dans une pièce avec des chaises.")</f>
        <v>Une femme est dans une pièce avec des chaises.</v>
      </c>
    </row>
    <row r="9978">
      <c r="A9978" s="4" t="s">
        <v>12547</v>
      </c>
      <c r="B9978" s="4" t="s">
        <v>12549</v>
      </c>
      <c r="C9978" s="5" t="str">
        <f>IFERROR(__xludf.DUMMYFUNCTION("GOOGLETRANSLATE(B9978,""en"",""fr"")"),"Elle joue du violon.")</f>
        <v>Elle joue du violon.</v>
      </c>
    </row>
    <row r="9979">
      <c r="A9979" s="4" t="s">
        <v>12547</v>
      </c>
      <c r="B9979" s="4" t="s">
        <v>12550</v>
      </c>
      <c r="C9979" s="5" t="str">
        <f>IFERROR(__xludf.DUMMYFUNCTION("GOOGLETRANSLATE(B9979,""en"",""fr"")"),"Deux hommes jouent de la batterie avec elle.")</f>
        <v>Deux hommes jouent de la batterie avec elle.</v>
      </c>
    </row>
    <row r="9980">
      <c r="A9980" s="4" t="s">
        <v>12547</v>
      </c>
      <c r="B9980" s="4" t="s">
        <v>12551</v>
      </c>
      <c r="C9980" s="5" t="str">
        <f>IFERROR(__xludf.DUMMYFUNCTION("GOOGLETRANSLATE(B9980,""en"",""fr"")"),"La caméra se pavanée entre eux.")</f>
        <v>La caméra se pavanée entre eux.</v>
      </c>
    </row>
    <row r="9981">
      <c r="A9981" s="4" t="s">
        <v>12552</v>
      </c>
      <c r="B9981" s="4" t="s">
        <v>12553</v>
      </c>
      <c r="C9981" s="5" t="str">
        <f>IFERROR(__xludf.DUMMYFUNCTION("GOOGLETRANSLATE(B9981,""en"",""fr"")"),"Un homme jette des fléchettes sur une planche de fléchettes.")</f>
        <v>Un homme jette des fléchettes sur une planche de fléchettes.</v>
      </c>
    </row>
    <row r="9982">
      <c r="A9982" s="4" t="s">
        <v>12552</v>
      </c>
      <c r="B9982" s="4" t="s">
        <v>12554</v>
      </c>
      <c r="C9982" s="5" t="str">
        <f>IFERROR(__xludf.DUMMYFUNCTION("GOOGLETRANSLATE(B9982,""en"",""fr"")"),"Il en lève un et arrive au centre du tableau.")</f>
        <v>Il en lève un et arrive au centre du tableau.</v>
      </c>
    </row>
    <row r="9983">
      <c r="A9983" s="4" t="s">
        <v>12552</v>
      </c>
      <c r="B9983" s="4" t="s">
        <v>12555</v>
      </c>
      <c r="C9983" s="5" t="str">
        <f>IFERROR(__xludf.DUMMYFUNCTION("GOOGLETRANSLATE(B9983,""en"",""fr"")"),"Il jette à nouveau et arrive également au centre.")</f>
        <v>Il jette à nouveau et arrive également au centre.</v>
      </c>
    </row>
    <row r="9984">
      <c r="A9984" s="4" t="s">
        <v>12552</v>
      </c>
      <c r="B9984" s="4" t="s">
        <v>12556</v>
      </c>
      <c r="C9984" s="5" t="str">
        <f>IFERROR(__xludf.DUMMYFUNCTION("GOOGLETRANSLATE(B9984,""en"",""fr"")"),"Chaque cliché le fait droit au centre du tableau.")</f>
        <v>Chaque cliché le fait droit au centre du tableau.</v>
      </c>
    </row>
    <row r="9985">
      <c r="A9985" s="4" t="s">
        <v>12557</v>
      </c>
      <c r="B9985" s="4" t="s">
        <v>12558</v>
      </c>
      <c r="C9985" s="5" t="str">
        <f>IFERROR(__xludf.DUMMYFUNCTION("GOOGLETRANSLATE(B9985,""en"",""fr"")"),"Deux hommes s'assoient ensemble sur un stand et participent à un match de lutte de bras.")</f>
        <v>Deux hommes s'assoient ensemble sur un stand et participent à un match de lutte de bras.</v>
      </c>
    </row>
    <row r="9986">
      <c r="A9986" s="4" t="s">
        <v>12557</v>
      </c>
      <c r="B9986" s="4" t="s">
        <v>12559</v>
      </c>
      <c r="C9986" s="5" t="str">
        <f>IFERROR(__xludf.DUMMYFUNCTION("GOOGLETRANSLATE(B9986,""en"",""fr"")"),"Les amis se sont réunis en regardant faire des défis avec les lutteurs de bras après le match.")</f>
        <v>Les amis se sont réunis en regardant faire des défis avec les lutteurs de bras après le match.</v>
      </c>
    </row>
    <row r="9987">
      <c r="A9987" s="4" t="s">
        <v>12557</v>
      </c>
      <c r="B9987" s="4" t="s">
        <v>12560</v>
      </c>
      <c r="C9987" s="5" t="str">
        <f>IFERROR(__xludf.DUMMYFUNCTION("GOOGLETRANSLATE(B9987,""en"",""fr"")"),"Les hommes se serrent la main et parlent après le match.")</f>
        <v>Les hommes se serrent la main et parlent après le match.</v>
      </c>
    </row>
    <row r="9988">
      <c r="A9988" s="4" t="s">
        <v>12561</v>
      </c>
      <c r="B9988" s="4" t="s">
        <v>12562</v>
      </c>
      <c r="C9988" s="5" t="str">
        <f>IFERROR(__xludf.DUMMYFUNCTION("GOOGLETRANSLATE(B9988,""en"",""fr"")"),"Le titre et le logo apparaissent à l'écran.")</f>
        <v>Le titre et le logo apparaissent à l'écran.</v>
      </c>
    </row>
    <row r="9989">
      <c r="A9989" s="4" t="s">
        <v>12561</v>
      </c>
      <c r="B9989" s="4" t="s">
        <v>12563</v>
      </c>
      <c r="C9989" s="5" t="str">
        <f>IFERROR(__xludf.DUMMYFUNCTION("GOOGLETRANSLATE(B9989,""en"",""fr"")"),"Un homme tenant un saxophone joue et parle à la caméra entre les deux.")</f>
        <v>Un homme tenant un saxophone joue et parle à la caméra entre les deux.</v>
      </c>
    </row>
    <row r="9990">
      <c r="A9990" s="4" t="s">
        <v>12561</v>
      </c>
      <c r="B9990" s="4" t="s">
        <v>12564</v>
      </c>
      <c r="C9990" s="5" t="str">
        <f>IFERROR(__xludf.DUMMYFUNCTION("GOOGLETRANSLATE(B9990,""en"",""fr"")"),"Un homme tient le saxophone pour montrer le fond.")</f>
        <v>Un homme tient le saxophone pour montrer le fond.</v>
      </c>
    </row>
    <row r="9991">
      <c r="A9991" s="4" t="s">
        <v>12561</v>
      </c>
      <c r="B9991" s="4" t="s">
        <v>12565</v>
      </c>
      <c r="C9991" s="5" t="str">
        <f>IFERROR(__xludf.DUMMYFUNCTION("GOOGLETRANSLATE(B9991,""en"",""fr"")"),"L'homme enlève l'embout buccal de son saxophone et le remplace.")</f>
        <v>L'homme enlève l'embout buccal de son saxophone et le remplace.</v>
      </c>
    </row>
    <row r="9992">
      <c r="A9992" s="4" t="s">
        <v>12561</v>
      </c>
      <c r="B9992" s="4" t="s">
        <v>12566</v>
      </c>
      <c r="C9992" s="5" t="str">
        <f>IFERROR(__xludf.DUMMYFUNCTION("GOOGLETRANSLATE(B9992,""en"",""fr"")"),"Nous voyons un gros plan de l'homme jouant du saxophone, il zoome et se retrouve sur lui.")</f>
        <v>Nous voyons un gros plan de l'homme jouant du saxophone, il zoome et se retrouve sur lui.</v>
      </c>
    </row>
    <row r="9993">
      <c r="A9993" s="4" t="s">
        <v>12561</v>
      </c>
      <c r="B9993" s="4" t="s">
        <v>12567</v>
      </c>
      <c r="C9993" s="5" t="str">
        <f>IFERROR(__xludf.DUMMYFUNCTION("GOOGLETRANSLATE(B9993,""en"",""fr"")"),"Nous voyons un gros plan de l'ouverture du klaxon.")</f>
        <v>Nous voyons un gros plan de l'ouverture du klaxon.</v>
      </c>
    </row>
    <row r="9994">
      <c r="A9994" s="4" t="s">
        <v>12561</v>
      </c>
      <c r="B9994" s="4" t="s">
        <v>12568</v>
      </c>
      <c r="C9994" s="5" t="str">
        <f>IFERROR(__xludf.DUMMYFUNCTION("GOOGLETRANSLATE(B9994,""en"",""fr"")"),"L'écran devient noir et nous voyons l'écran de fin.")</f>
        <v>L'écran devient noir et nous voyons l'écran de fin.</v>
      </c>
    </row>
    <row r="9995">
      <c r="A9995" s="4" t="s">
        <v>12569</v>
      </c>
      <c r="B9995" s="4" t="s">
        <v>12570</v>
      </c>
      <c r="C9995" s="5" t="str">
        <f>IFERROR(__xludf.DUMMYFUNCTION("GOOGLETRANSLATE(B9995,""en"",""fr"")"),"Nous voyons deux dames de lutte contre les bras.")</f>
        <v>Nous voyons deux dames de lutte contre les bras.</v>
      </c>
    </row>
    <row r="9996">
      <c r="A9996" s="4" t="s">
        <v>12569</v>
      </c>
      <c r="B9996" s="4" t="s">
        <v>12571</v>
      </c>
      <c r="C9996" s="5" t="str">
        <f>IFERROR(__xludf.DUMMYFUNCTION("GOOGLETRANSLATE(B9996,""en"",""fr"")"),"La bonne dame regarde la caméra.")</f>
        <v>La bonne dame regarde la caméra.</v>
      </c>
    </row>
    <row r="9997">
      <c r="A9997" s="4" t="s">
        <v>12569</v>
      </c>
      <c r="B9997" s="4" t="s">
        <v>12572</v>
      </c>
      <c r="C9997" s="5" t="str">
        <f>IFERROR(__xludf.DUMMYFUNCTION("GOOGLETRANSLATE(B9997,""en"",""fr"")"),"La bonne dame remporte le match.")</f>
        <v>La bonne dame remporte le match.</v>
      </c>
    </row>
    <row r="9998">
      <c r="A9998" s="4" t="s">
        <v>12569</v>
      </c>
      <c r="B9998" s="4" t="s">
        <v>12573</v>
      </c>
      <c r="C9998" s="5" t="str">
        <f>IFERROR(__xludf.DUMMYFUNCTION("GOOGLETRANSLATE(B9998,""en"",""fr"")"),"La dame gauche laisse tomber la tête vers la table.")</f>
        <v>La dame gauche laisse tomber la tête vers la table.</v>
      </c>
    </row>
    <row r="9999">
      <c r="A9999" s="4" t="s">
        <v>12569</v>
      </c>
      <c r="B9999" s="4" t="s">
        <v>12574</v>
      </c>
      <c r="C9999" s="5" t="str">
        <f>IFERROR(__xludf.DUMMYFUNCTION("GOOGLETRANSLATE(B9999,""en"",""fr"")"),"La bonne dame jette ses bras en l'air et parle à la caméra.")</f>
        <v>La bonne dame jette ses bras en l'air et parle à la caméra.</v>
      </c>
    </row>
    <row r="10000">
      <c r="A10000" s="4" t="s">
        <v>12575</v>
      </c>
      <c r="B10000" s="4" t="s">
        <v>12576</v>
      </c>
      <c r="C10000" s="5" t="str">
        <f>IFERROR(__xludf.DUMMYFUNCTION("GOOGLETRANSLATE(B10000,""en"",""fr"")"),"Un homme coupe du bois avec une hache sur la neige.")</f>
        <v>Un homme coupe du bois avec une hache sur la neige.</v>
      </c>
    </row>
    <row r="10001">
      <c r="A10001" s="4" t="s">
        <v>12575</v>
      </c>
      <c r="B10001" s="4" t="s">
        <v>12577</v>
      </c>
      <c r="C10001" s="5" t="str">
        <f>IFERROR(__xludf.DUMMYFUNCTION("GOOGLETRANSLATE(B10001,""en"",""fr"")"),"Une personne se tient derrière l'homme.")</f>
        <v>Une personne se tient derrière l'homme.</v>
      </c>
    </row>
    <row r="10002">
      <c r="A10002" s="4" t="s">
        <v>12575</v>
      </c>
      <c r="B10002" s="4" t="s">
        <v>12578</v>
      </c>
      <c r="C10002" s="5" t="str">
        <f>IFERROR(__xludf.DUMMYFUNCTION("GOOGLETRANSLATE(B10002,""en"",""fr"")"),"Une personne gère le bois de chauffage épissé à un homme.")</f>
        <v>Une personne gère le bois de chauffage épissé à un homme.</v>
      </c>
    </row>
    <row r="10003">
      <c r="A10003" s="4" t="s">
        <v>12575</v>
      </c>
      <c r="B10003" s="4" t="s">
        <v>12579</v>
      </c>
      <c r="C10003" s="5" t="str">
        <f>IFERROR(__xludf.DUMMYFUNCTION("GOOGLETRANSLATE(B10003,""en"",""fr"")"),"L'homme continue de couper du bois de chauffage avec la hache.")</f>
        <v>L'homme continue de couper du bois de chauffage avec la hache.</v>
      </c>
    </row>
    <row r="10004">
      <c r="A10004" s="4" t="s">
        <v>12575</v>
      </c>
      <c r="B10004" s="4" t="s">
        <v>12580</v>
      </c>
      <c r="C10004" s="5" t="str">
        <f>IFERROR(__xludf.DUMMYFUNCTION("GOOGLETRANSLATE(B10004,""en"",""fr"")"),"La hache se cache dans un morceau de bois, mais l'homme le retire et continue de couper le bois de chauffage.")</f>
        <v>La hache se cache dans un morceau de bois, mais l'homme le retire et continue de couper le bois de chauffage.</v>
      </c>
    </row>
    <row r="10005">
      <c r="A10005" s="4" t="s">
        <v>12581</v>
      </c>
      <c r="B10005" s="6" t="s">
        <v>12582</v>
      </c>
      <c r="C10005" s="5" t="str">
        <f>IFERROR(__xludf.DUMMYFUNCTION("GOOGLETRANSLATE(B10005,""en"",""fr"")"),"Une femme blanche âgée aux cheveux et lunettes blonds courts commence à parler dans le coin du gymnase.")</f>
        <v>Une femme blanche âgée aux cheveux et lunettes blonds courts commence à parler dans le coin du gymnase.</v>
      </c>
    </row>
    <row r="10006">
      <c r="A10006" s="4" t="s">
        <v>12581</v>
      </c>
      <c r="B10006" s="6" t="s">
        <v>12583</v>
      </c>
      <c r="C10006" s="5" t="str">
        <f>IFERROR(__xludf.DUMMYFUNCTION("GOOGLETRANSLATE(B10006,""en"",""fr"")"),"Les petites filles entrent ensuite dans le gymnase et un entraîneur masculin commence à les aider alors qu'ils traversent le faisceau d'équilibre.")</f>
        <v>Les petites filles entrent ensuite dans le gymnase et un entraîneur masculin commence à les aider alors qu'ils traversent le faisceau d'équilibre.</v>
      </c>
    </row>
    <row r="10007">
      <c r="A10007" s="4" t="s">
        <v>12584</v>
      </c>
      <c r="B10007" s="6" t="s">
        <v>12585</v>
      </c>
      <c r="C10007" s="5" t="str">
        <f>IFERROR(__xludf.DUMMYFUNCTION("GOOGLETRANSLATE(B10007,""en"",""fr"")"),"Une femme asiatique portant une chemise bleue et commence à parler et à lancer ses mains à la caméra.")</f>
        <v>Une femme asiatique portant une chemise bleue et commence à parler et à lancer ses mains à la caméra.</v>
      </c>
    </row>
    <row r="10008">
      <c r="A10008" s="4" t="s">
        <v>12584</v>
      </c>
      <c r="B10008" s="4" t="s">
        <v>12586</v>
      </c>
      <c r="C10008" s="5" t="str">
        <f>IFERROR(__xludf.DUMMYFUNCTION("GOOGLETRANSLATE(B10008,""en"",""fr"")"),"Elle attrape ensuite un fer et continue de fermer un morceau de tissu jaune sur la planche à repasser.")</f>
        <v>Elle attrape ensuite un fer et continue de fermer un morceau de tissu jaune sur la planche à repasser.</v>
      </c>
    </row>
    <row r="10009">
      <c r="A10009" s="4" t="s">
        <v>12584</v>
      </c>
      <c r="B10009" s="4" t="s">
        <v>12587</v>
      </c>
      <c r="C10009" s="5" t="str">
        <f>IFERROR(__xludf.DUMMYFUNCTION("GOOGLETRANSLATE(B10009,""en"",""fr"")"),"Une fois l'avant terminé, elle l'attrape et le retourne pour qu'elle puisse compléter le repassage.")</f>
        <v>Une fois l'avant terminé, elle l'attrape et le retourne pour qu'elle puisse compléter le repassage.</v>
      </c>
    </row>
    <row r="10010">
      <c r="A10010" s="4" t="s">
        <v>12588</v>
      </c>
      <c r="B10010" s="6" t="s">
        <v>12589</v>
      </c>
      <c r="C10010" s="5" t="str">
        <f>IFERROR(__xludf.DUMMYFUNCTION("GOOGLETRANSLATE(B10010,""en"",""fr"")"),"La caméra se déroule sur un champ de gazon entouré d'une piste, avec des gens qui font des choses indistinctes en arrière-plan.")</f>
        <v>La caméra se déroule sur un champ de gazon entouré d'une piste, avec des gens qui font des choses indistinctes en arrière-plan.</v>
      </c>
    </row>
    <row r="10011">
      <c r="A10011" s="4" t="s">
        <v>12588</v>
      </c>
      <c r="B10011" s="4" t="s">
        <v>12590</v>
      </c>
      <c r="C10011" s="5" t="str">
        <f>IFERROR(__xludf.DUMMYFUNCTION("GOOGLETRANSLATE(B10011,""en"",""fr"")"),"Un homme est montré engageant le lancer du poids.")</f>
        <v>Un homme est montré engageant le lancer du poids.</v>
      </c>
    </row>
    <row r="10012">
      <c r="A10012" s="4" t="s">
        <v>12588</v>
      </c>
      <c r="B10012" s="4" t="s">
        <v>12591</v>
      </c>
      <c r="C10012" s="5" t="str">
        <f>IFERROR(__xludf.DUMMYFUNCTION("GOOGLETRANSLATE(B10012,""en"",""fr"")"),"Les juges mesurent le lancer de l'homme.")</f>
        <v>Les juges mesurent le lancer de l'homme.</v>
      </c>
    </row>
    <row r="10013">
      <c r="A10013" s="4" t="s">
        <v>12588</v>
      </c>
      <c r="B10013" s="4" t="s">
        <v>12592</v>
      </c>
      <c r="C10013" s="5" t="str">
        <f>IFERROR(__xludf.DUMMYFUNCTION("GOOGLETRANSLATE(B10013,""en"",""fr"")"),"Le public est montré applaudissant alors que l'homme reçoit des félicitations de personnes à proximité.")</f>
        <v>Le public est montré applaudissant alors que l'homme reçoit des félicitations de personnes à proximité.</v>
      </c>
    </row>
    <row r="10014">
      <c r="A10014" s="4" t="s">
        <v>12588</v>
      </c>
      <c r="B10014" s="4" t="s">
        <v>12593</v>
      </c>
      <c r="C10014" s="5" t="str">
        <f>IFERROR(__xludf.DUMMYFUNCTION("GOOGLETRANSLATE(B10014,""en"",""fr"")"),"Une rediffusion du lancer est montrée.")</f>
        <v>Une rediffusion du lancer est montrée.</v>
      </c>
    </row>
    <row r="10015">
      <c r="A10015" s="4" t="s">
        <v>12594</v>
      </c>
      <c r="B10015" s="4" t="s">
        <v>12595</v>
      </c>
      <c r="C10015" s="5" t="str">
        <f>IFERROR(__xludf.DUMMYFUNCTION("GOOGLETRANSLATE(B10015,""en"",""fr"")"),"Plusieurs personnes sont vêtues de survêtements qui déroulent des tapis dans une grande salle de sport.")</f>
        <v>Plusieurs personnes sont vêtues de survêtements qui déroulent des tapis dans une grande salle de sport.</v>
      </c>
    </row>
    <row r="10016">
      <c r="A10016" s="4" t="s">
        <v>12594</v>
      </c>
      <c r="B10016" s="6" t="s">
        <v>12596</v>
      </c>
      <c r="C10016" s="5" t="str">
        <f>IFERROR(__xludf.DUMMYFUNCTION("GOOGLETRANSLATE(B10016,""en"",""fr"")"),"Une fois les tapis déployés, d'autres personnes commencent à marcher sur le sol vêtu d'uniformes de clôture.")</f>
        <v>Une fois les tapis déployés, d'autres personnes commencent à marcher sur le sol vêtu d'uniformes de clôture.</v>
      </c>
    </row>
    <row r="10017">
      <c r="A10017" s="4" t="s">
        <v>12594</v>
      </c>
      <c r="B10017" s="6" t="s">
        <v>12597</v>
      </c>
      <c r="C10017" s="5" t="str">
        <f>IFERROR(__xludf.DUMMYFUNCTION("GOOGLETRANSLATE(B10017,""en"",""fr"")"),"Les athlètes commencent alors à se promener et à se parler alors qu'une petite mascotte traverse le tapis.")</f>
        <v>Les athlètes commencent alors à se promener et à se parler alors qu'une petite mascotte traverse le tapis.</v>
      </c>
    </row>
    <row r="10018">
      <c r="A10018" s="4" t="s">
        <v>12594</v>
      </c>
      <c r="B10018" s="4" t="s">
        <v>12598</v>
      </c>
      <c r="C10018" s="5" t="str">
        <f>IFERROR(__xludf.DUMMYFUNCTION("GOOGLETRANSLATE(B10018,""en"",""fr"")"),"Enfin, un match commence et une fois que plus de cinq des individus posent pour une photo.")</f>
        <v>Enfin, un match commence et une fois que plus de cinq des individus posent pour une photo.</v>
      </c>
    </row>
    <row r="10019">
      <c r="A10019" s="4" t="s">
        <v>12594</v>
      </c>
      <c r="B10019" s="4" t="s">
        <v>12599</v>
      </c>
      <c r="C10019" s="5" t="str">
        <f>IFERROR(__xludf.DUMMYFUNCTION("GOOGLETRANSLATE(B10019,""en"",""fr"")"),"La caméra accélère ensuite et montre plusieurs équipes et personnes entrant et sortant du gymnase.")</f>
        <v>La caméra accélère ensuite et montre plusieurs équipes et personnes entrant et sortant du gymnase.</v>
      </c>
    </row>
    <row r="10020">
      <c r="A10020" s="4" t="s">
        <v>12594</v>
      </c>
      <c r="B10020" s="6" t="s">
        <v>12600</v>
      </c>
      <c r="C10020" s="5" t="str">
        <f>IFERROR(__xludf.DUMMYFUNCTION("GOOGLETRANSLATE(B10020,""en"",""fr"")"),"Ensuite, les matchs d'escrime sont affichés entre environ 12 paires de personnes et ils s'alignent et se donnent un high cinq avant de se blottir et de parler avec leur entraîneur.")</f>
        <v>Ensuite, les matchs d'escrime sont affichés entre environ 12 paires de personnes et ils s'alignent et se donnent un high cinq avant de se blottir et de parler avec leur entraîneur.</v>
      </c>
    </row>
    <row r="10021">
      <c r="A10021" s="4" t="s">
        <v>12601</v>
      </c>
      <c r="B10021" s="4" t="s">
        <v>12602</v>
      </c>
      <c r="C10021" s="5" t="str">
        <f>IFERROR(__xludf.DUMMYFUNCTION("GOOGLETRANSLATE(B10021,""en"",""fr"")"),"Un écran noir apparaît avec des lettres bleues qui disent ""Jayne Clarke Field Hockey Clips 2009"".")</f>
        <v>Un écran noir apparaît avec des lettres bleues qui disent "Jayne Clarke Field Hockey Clips 2009".</v>
      </c>
    </row>
    <row r="10022">
      <c r="A10022" s="4" t="s">
        <v>12601</v>
      </c>
      <c r="B10022" s="6" t="s">
        <v>12603</v>
      </c>
      <c r="C10022" s="5" t="str">
        <f>IFERROR(__xludf.DUMMYFUNCTION("GOOGLETRANSLATE(B10022,""en"",""fr"")"),"Les clips commencent à jouer et il y a une série de petits clips réunis de la fille jouant avec une équipe, pratiquant seul et s'entraînant sur un cours.")</f>
        <v>Les clips commencent à jouer et il y a une série de petits clips réunis de la fille jouant avec une équipe, pratiquant seul et s'entraînant sur un cours.</v>
      </c>
    </row>
    <row r="10023">
      <c r="A10023" s="4" t="s">
        <v>12601</v>
      </c>
      <c r="B10023" s="4" t="s">
        <v>12604</v>
      </c>
      <c r="C10023" s="5" t="str">
        <f>IFERROR(__xludf.DUMMYFUNCTION("GOOGLETRANSLATE(B10023,""en"",""fr"")"),"La vidéo se termine avec la fille qui s'entraîne seule sur une cour intérieure bleue vide et grande.")</f>
        <v>La vidéo se termine avec la fille qui s'entraîne seule sur une cour intérieure bleue vide et grande.</v>
      </c>
    </row>
    <row r="10024">
      <c r="A10024" s="4" t="s">
        <v>12605</v>
      </c>
      <c r="B10024" s="4" t="s">
        <v>12606</v>
      </c>
      <c r="C10024" s="5" t="str">
        <f>IFERROR(__xludf.DUMMYFUNCTION("GOOGLETRANSLATE(B10024,""en"",""fr"")"),"Nous voyons des hommes forts armer la lutte.")</f>
        <v>Nous voyons des hommes forts armer la lutte.</v>
      </c>
    </row>
    <row r="10025">
      <c r="A10025" s="4" t="s">
        <v>12605</v>
      </c>
      <c r="B10025" s="4" t="s">
        <v>12607</v>
      </c>
      <c r="C10025" s="5" t="str">
        <f>IFERROR(__xludf.DUMMYFUNCTION("GOOGLETRANSLATE(B10025,""en"",""fr"")"),"Nous voyons deux hommes s'embrasser après le match.")</f>
        <v>Nous voyons deux hommes s'embrasser après le match.</v>
      </c>
    </row>
    <row r="10026">
      <c r="A10026" s="4" t="s">
        <v>12605</v>
      </c>
      <c r="B10026" s="4" t="s">
        <v>12608</v>
      </c>
      <c r="C10026" s="5" t="str">
        <f>IFERROR(__xludf.DUMMYFUNCTION("GOOGLETRANSLATE(B10026,""en"",""fr"")"),"Un hôte dans un costume blanc raconte.")</f>
        <v>Un hôte dans un costume blanc raconte.</v>
      </c>
    </row>
    <row r="10027">
      <c r="A10027" s="4" t="s">
        <v>12605</v>
      </c>
      <c r="B10027" s="4" t="s">
        <v>12609</v>
      </c>
      <c r="C10027" s="5" t="str">
        <f>IFERROR(__xludf.DUMMYFUNCTION("GOOGLETRANSLATE(B10027,""en"",""fr"")"),"Nous voyons un appareil photo juste derrière la table.")</f>
        <v>Nous voyons un appareil photo juste derrière la table.</v>
      </c>
    </row>
    <row r="10028">
      <c r="A10028" s="4" t="s">
        <v>12605</v>
      </c>
      <c r="B10028" s="4" t="s">
        <v>9831</v>
      </c>
      <c r="C10028" s="5" t="str">
        <f>IFERROR(__xludf.DUMMYFUNCTION("GOOGLETRANSLATE(B10028,""en"",""fr"")"),"Une personne marche devant la caméra.")</f>
        <v>Une personne marche devant la caméra.</v>
      </c>
    </row>
    <row r="10029">
      <c r="A10029" s="4" t="s">
        <v>12605</v>
      </c>
      <c r="B10029" s="4" t="s">
        <v>12610</v>
      </c>
      <c r="C10029" s="5" t="str">
        <f>IFERROR(__xludf.DUMMYFUNCTION("GOOGLETRANSLATE(B10029,""en"",""fr"")"),"Le match final commence et se termine très rapidement et les hommes se serrent étreigés.")</f>
        <v>Le match final commence et se termine très rapidement et les hommes se serrent étreigés.</v>
      </c>
    </row>
    <row r="10030">
      <c r="A10030" s="4" t="s">
        <v>12605</v>
      </c>
      <c r="B10030" s="4" t="s">
        <v>12611</v>
      </c>
      <c r="C10030" s="5" t="str">
        <f>IFERROR(__xludf.DUMMYFUNCTION("GOOGLETRANSLATE(B10030,""en"",""fr"")"),"Nous voyons un mirage d'images.")</f>
        <v>Nous voyons un mirage d'images.</v>
      </c>
    </row>
    <row r="10031">
      <c r="A10031" s="4" t="s">
        <v>12612</v>
      </c>
      <c r="B10031" s="6" t="s">
        <v>12613</v>
      </c>
      <c r="C10031" s="5" t="str">
        <f>IFERROR(__xludf.DUMMYFUNCTION("GOOGLETRANSLATE(B10031,""en"",""fr"")"),"Un grand groupe de personnes est vu descendre plusieurs radeaux sur une rivière rigoureuse tout en pagayant en continu.")</f>
        <v>Un grand groupe de personnes est vu descendre plusieurs radeaux sur une rivière rigoureuse tout en pagayant en continu.</v>
      </c>
    </row>
    <row r="10032">
      <c r="A10032" s="4" t="s">
        <v>12612</v>
      </c>
      <c r="B10032" s="6" t="s">
        <v>12614</v>
      </c>
      <c r="C10032" s="5" t="str">
        <f>IFERROR(__xludf.DUMMYFUNCTION("GOOGLETRANSLATE(B10032,""en"",""fr"")"),"Plusieurs plans sont montrés des personnes qui descendent tout en tenant leurs bâtons dans les airs et se terminent avec des gens qui s'arrêtent pour manger.")</f>
        <v>Plusieurs plans sont montrés des personnes qui descendent tout en tenant leurs bâtons dans les airs et se terminent avec des gens qui s'arrêtent pour manger.</v>
      </c>
    </row>
    <row r="10033">
      <c r="A10033" s="4" t="s">
        <v>12615</v>
      </c>
      <c r="B10033" s="4" t="s">
        <v>12616</v>
      </c>
      <c r="C10033" s="5" t="str">
        <f>IFERROR(__xludf.DUMMYFUNCTION("GOOGLETRANSLATE(B10033,""en"",""fr"")"),"Un homme en costume et une femme en robe se tiennent devant un public.")</f>
        <v>Un homme en costume et une femme en robe se tiennent devant un public.</v>
      </c>
    </row>
    <row r="10034">
      <c r="A10034" s="4" t="s">
        <v>12615</v>
      </c>
      <c r="B10034" s="4" t="s">
        <v>12617</v>
      </c>
      <c r="C10034" s="5" t="str">
        <f>IFERROR(__xludf.DUMMYFUNCTION("GOOGLETRANSLATE(B10034,""en"",""fr"")"),"Ils commencent à danser sur le sol.")</f>
        <v>Ils commencent à danser sur le sol.</v>
      </c>
    </row>
    <row r="10035">
      <c r="A10035" s="4" t="s">
        <v>12615</v>
      </c>
      <c r="B10035" s="4" t="s">
        <v>12618</v>
      </c>
      <c r="C10035" s="5" t="str">
        <f>IFERROR(__xludf.DUMMYFUNCTION("GOOGLETRANSLATE(B10035,""en"",""fr"")"),"Ils finissent la danse et le public applaudit.")</f>
        <v>Ils finissent la danse et le public applaudit.</v>
      </c>
    </row>
    <row r="10036">
      <c r="A10036" s="4" t="s">
        <v>12619</v>
      </c>
      <c r="B10036" s="4" t="s">
        <v>12620</v>
      </c>
      <c r="C10036" s="5" t="str">
        <f>IFERROR(__xludf.DUMMYFUNCTION("GOOGLETRANSLATE(B10036,""en"",""fr"")"),"Une personne s'accroche à une moto portant des lames à rouleaux et est creusée le long d'une rue.")</f>
        <v>Une personne s'accroche à une moto portant des lames à rouleaux et est creusée le long d'une rue.</v>
      </c>
    </row>
    <row r="10037">
      <c r="A10037" s="4" t="s">
        <v>12619</v>
      </c>
      <c r="B10037" s="4" t="s">
        <v>12621</v>
      </c>
      <c r="C10037" s="5" t="str">
        <f>IFERROR(__xludf.DUMMYFUNCTION("GOOGLETRANSLATE(B10037,""en"",""fr"")"),"Un homme se tient près d'une fontaine d'eau.")</f>
        <v>Un homme se tient près d'une fontaine d'eau.</v>
      </c>
    </row>
    <row r="10038">
      <c r="A10038" s="4" t="s">
        <v>12619</v>
      </c>
      <c r="B10038" s="4" t="s">
        <v>12622</v>
      </c>
      <c r="C10038" s="5" t="str">
        <f>IFERROR(__xludf.DUMMYFUNCTION("GOOGLETRANSLATE(B10038,""en"",""fr"")"),"Les gens font des astuces de patinage à roulettes.")</f>
        <v>Les gens font des astuces de patinage à roulettes.</v>
      </c>
    </row>
    <row r="10039">
      <c r="A10039" s="4" t="s">
        <v>12623</v>
      </c>
      <c r="B10039" s="4" t="s">
        <v>12624</v>
      </c>
      <c r="C10039" s="5" t="str">
        <f>IFERROR(__xludf.DUMMYFUNCTION("GOOGLETRANSLATE(B10039,""en"",""fr"")"),"Un homme parle à la caméra en vue de près.")</f>
        <v>Un homme parle à la caméra en vue de près.</v>
      </c>
    </row>
    <row r="10040">
      <c r="A10040" s="4" t="s">
        <v>12623</v>
      </c>
      <c r="B10040" s="4" t="s">
        <v>12625</v>
      </c>
      <c r="C10040" s="5" t="str">
        <f>IFERROR(__xludf.DUMMYFUNCTION("GOOGLETRANSLATE(B10040,""en"",""fr"")"),"Des scènes des activités quotidiennes de l'homme sont présentées.")</f>
        <v>Des scènes des activités quotidiennes de l'homme sont présentées.</v>
      </c>
    </row>
    <row r="10041">
      <c r="A10041" s="4" t="s">
        <v>12623</v>
      </c>
      <c r="B10041" s="6" t="s">
        <v>12626</v>
      </c>
      <c r="C10041" s="5" t="str">
        <f>IFERROR(__xludf.DUMMYFUNCTION("GOOGLETRANSLATE(B10041,""en"",""fr"")"),"Les scènes de l'homme qui se sont entretenues dans un salon de coiffure sont montrées, généralement avec d'autres personnes en arrière-plan.")</f>
        <v>Les scènes de l'homme qui se sont entretenues dans un salon de coiffure sont montrées, généralement avec d'autres personnes en arrière-plan.</v>
      </c>
    </row>
    <row r="10042">
      <c r="A10042" s="4" t="s">
        <v>12623</v>
      </c>
      <c r="B10042" s="4" t="s">
        <v>12627</v>
      </c>
      <c r="C10042" s="5" t="str">
        <f>IFERROR(__xludf.DUMMYFUNCTION("GOOGLETRANSLATE(B10042,""en"",""fr"")"),"Des scènes de l'homme qui parlent à la caméra avec divers autres sont montrées.")</f>
        <v>Des scènes de l'homme qui parlent à la caméra avec divers autres sont montrées.</v>
      </c>
    </row>
    <row r="10043">
      <c r="A10043" s="4" t="s">
        <v>12623</v>
      </c>
      <c r="B10043" s="4" t="s">
        <v>12628</v>
      </c>
      <c r="C10043" s="5" t="str">
        <f>IFERROR(__xludf.DUMMYFUNCTION("GOOGLETRANSLATE(B10043,""en"",""fr"")"),"Plus de scènes du salon de coiffure sont montrées.")</f>
        <v>Plus de scènes du salon de coiffure sont montrées.</v>
      </c>
    </row>
    <row r="10044">
      <c r="A10044" s="4" t="s">
        <v>12629</v>
      </c>
      <c r="B10044" s="6" t="s">
        <v>12630</v>
      </c>
      <c r="C10044" s="5" t="str">
        <f>IFERROR(__xludf.DUMMYFUNCTION("GOOGLETRANSLATE(B10044,""en"",""fr"")"),"Trois hommes sont vus monter sur les chevaux les uns autour des autres et mène dans un taureau courir et chasser un homme sur un cheval.")</f>
        <v>Trois hommes sont vus monter sur les chevaux les uns autour des autres et mène dans un taureau courir et chasser un homme sur un cheval.</v>
      </c>
    </row>
    <row r="10045">
      <c r="A10045" s="4" t="s">
        <v>12629</v>
      </c>
      <c r="B10045" s="4" t="s">
        <v>12631</v>
      </c>
      <c r="C10045" s="5" t="str">
        <f>IFERROR(__xludf.DUMMYFUNCTION("GOOGLETRANSLATE(B10045,""en"",""fr"")"),"L'homme roule autour du taureau et montre plusieurs autres coups de coureurs qui roulent autour du taureau.")</f>
        <v>L'homme roule autour du taureau et montre plusieurs autres coups de coureurs qui roulent autour du taureau.</v>
      </c>
    </row>
    <row r="10046">
      <c r="A10046" s="4" t="s">
        <v>12629</v>
      </c>
      <c r="B10046" s="6" t="s">
        <v>12632</v>
      </c>
      <c r="C10046" s="5" t="str">
        <f>IFERROR(__xludf.DUMMYFUNCTION("GOOGLETRANSLATE(B10046,""en"",""fr"")"),"À un moment donné, d'autres hommes courent dans la fosse et le taureau se couche de son côté pendant que le public applaudit et que l'homme tient les bras.")</f>
        <v>À un moment donné, d'autres hommes courent dans la fosse et le taureau se couche de son côté pendant que le public applaudit et que l'homme tient les bras.</v>
      </c>
    </row>
    <row r="10047">
      <c r="A10047" s="4" t="s">
        <v>12633</v>
      </c>
      <c r="B10047" s="4" t="s">
        <v>12634</v>
      </c>
      <c r="C10047" s="5" t="str">
        <f>IFERROR(__xludf.DUMMYFUNCTION("GOOGLETRANSLATE(B10047,""en"",""fr"")"),"Les enfants sont sur un terrain, lançant un ballon d'avant en arrière.")</f>
        <v>Les enfants sont sur un terrain, lançant un ballon d'avant en arrière.</v>
      </c>
    </row>
    <row r="10048">
      <c r="A10048" s="4" t="s">
        <v>12633</v>
      </c>
      <c r="B10048" s="4" t="s">
        <v>12635</v>
      </c>
      <c r="C10048" s="5" t="str">
        <f>IFERROR(__xludf.DUMMYFUNCTION("GOOGLETRANSLATE(B10048,""en"",""fr"")"),"Une fille court et donne un coup de pied au garçon.")</f>
        <v>Une fille court et donne un coup de pied au garçon.</v>
      </c>
    </row>
    <row r="10049">
      <c r="A10049" s="4" t="s">
        <v>12633</v>
      </c>
      <c r="B10049" s="4" t="s">
        <v>12636</v>
      </c>
      <c r="C10049" s="5" t="str">
        <f>IFERROR(__xludf.DUMMYFUNCTION("GOOGLETRANSLATE(B10049,""en"",""fr"")"),"Elle coule sur la touche et essaie de prendre le ballon tandis que d'autres filles regardent de la touche.")</f>
        <v>Elle coule sur la touche et essaie de prendre le ballon tandis que d'autres filles regardent de la touche.</v>
      </c>
    </row>
    <row r="10050">
      <c r="A10050" s="4" t="s">
        <v>12633</v>
      </c>
      <c r="B10050" s="4" t="s">
        <v>12637</v>
      </c>
      <c r="C10050" s="5" t="str">
        <f>IFERROR(__xludf.DUMMYFUNCTION("GOOGLETRANSLATE(B10050,""en"",""fr"")"),"Les enfants continuent de jouer jusqu'à la fin du clip.")</f>
        <v>Les enfants continuent de jouer jusqu'à la fin du clip.</v>
      </c>
    </row>
    <row r="10051">
      <c r="A10051" s="4" t="s">
        <v>12638</v>
      </c>
      <c r="B10051" s="6" t="s">
        <v>12639</v>
      </c>
      <c r="C10051" s="5" t="str">
        <f>IFERROR(__xludf.DUMMYFUNCTION("GOOGLETRANSLATE(B10051,""en"",""fr"")"),"Plusieurs couples d'hommes et de femmes sont présentés en effectuant une routine de tango devant un groupe de personnes.")</f>
        <v>Plusieurs couples d'hommes et de femmes sont présentés en effectuant une routine de tango devant un groupe de personnes.</v>
      </c>
    </row>
    <row r="10052">
      <c r="A10052" s="4" t="s">
        <v>12638</v>
      </c>
      <c r="B10052" s="4" t="s">
        <v>12640</v>
      </c>
      <c r="C10052" s="5" t="str">
        <f>IFERROR(__xludf.DUMMYFUNCTION("GOOGLETRANSLATE(B10052,""en"",""fr"")"),"Beaucoup de gens regardent sur les côtés et un couple rit et repartit à la fin.")</f>
        <v>Beaucoup de gens regardent sur les côtés et un couple rit et repartit à la fin.</v>
      </c>
    </row>
    <row r="10053">
      <c r="A10053" s="4" t="s">
        <v>12641</v>
      </c>
      <c r="B10053" s="4" t="s">
        <v>12642</v>
      </c>
      <c r="C10053" s="5" t="str">
        <f>IFERROR(__xludf.DUMMYFUNCTION("GOOGLETRANSLATE(B10053,""en"",""fr"")"),"Ces 3 hommes sont présentés en plein air à l'extérieur au milieu de la rue.")</f>
        <v>Ces 3 hommes sont présentés en plein air à l'extérieur au milieu de la rue.</v>
      </c>
    </row>
    <row r="10054">
      <c r="A10054" s="4" t="s">
        <v>12641</v>
      </c>
      <c r="B10054" s="4" t="s">
        <v>12643</v>
      </c>
      <c r="C10054" s="5" t="str">
        <f>IFERROR(__xludf.DUMMYFUNCTION("GOOGLETRANSLATE(B10054,""en"",""fr"")"),"Ils dansent, vont en rond et tournent autour.")</f>
        <v>Ils dansent, vont en rond et tournent autour.</v>
      </c>
    </row>
    <row r="10055">
      <c r="A10055" s="4" t="s">
        <v>12644</v>
      </c>
      <c r="B10055" s="4" t="s">
        <v>12645</v>
      </c>
      <c r="C10055" s="5" t="str">
        <f>IFERROR(__xludf.DUMMYFUNCTION("GOOGLETRANSLATE(B10055,""en"",""fr"")"),"Un groupe de cyclistes attend pour commencer une course, finalement tous tombant lorsque la porte s'ouvre.")</f>
        <v>Un groupe de cyclistes attend pour commencer une course, finalement tous tombant lorsque la porte s'ouvre.</v>
      </c>
    </row>
    <row r="10056">
      <c r="A10056" s="4" t="s">
        <v>12644</v>
      </c>
      <c r="B10056" s="4" t="s">
        <v>12646</v>
      </c>
      <c r="C10056" s="5" t="str">
        <f>IFERROR(__xludf.DUMMYFUNCTION("GOOGLETRANSLATE(B10056,""en"",""fr"")"),"Un coup de près d'un vélo est fait pendant qu'un homme met son équipement pour rouler.")</f>
        <v>Un coup de près d'un vélo est fait pendant qu'un homme met son équipement pour rouler.</v>
      </c>
    </row>
    <row r="10057">
      <c r="A10057" s="4" t="s">
        <v>12644</v>
      </c>
      <c r="B10057" s="4" t="s">
        <v>12647</v>
      </c>
      <c r="C10057" s="5" t="str">
        <f>IFERROR(__xludf.DUMMYFUNCTION("GOOGLETRANSLATE(B10057,""en"",""fr"")"),"Un cavalier est montré en roulant tandis qu'un autre fait diverses astuces.")</f>
        <v>Un cavalier est montré en roulant tandis qu'un autre fait diverses astuces.</v>
      </c>
    </row>
    <row r="10058">
      <c r="A10058" s="4" t="s">
        <v>12644</v>
      </c>
      <c r="B10058" s="4" t="s">
        <v>12648</v>
      </c>
      <c r="C10058" s="5" t="str">
        <f>IFERROR(__xludf.DUMMYFUNCTION("GOOGLETRANSLATE(B10058,""en"",""fr"")"),"Plusieurs motards différents sont montrés en montant de haut en bas et en volant à des vitesses record.")</f>
        <v>Plusieurs motards différents sont montrés en montant de haut en bas et en volant à des vitesses record.</v>
      </c>
    </row>
    <row r="10059">
      <c r="A10059" s="4" t="s">
        <v>12649</v>
      </c>
      <c r="B10059" s="4" t="s">
        <v>12650</v>
      </c>
      <c r="C10059" s="5" t="str">
        <f>IFERROR(__xludf.DUMMYFUNCTION("GOOGLETRANSLATE(B10059,""en"",""fr"")"),"Un homme est montré tenant un volleyball parlant à la caméra et mène à montrer divers sauts.")</f>
        <v>Un homme est montré tenant un volleyball parlant à la caméra et mène à montrer divers sauts.</v>
      </c>
    </row>
    <row r="10060">
      <c r="A10060" s="4" t="s">
        <v>12649</v>
      </c>
      <c r="B10060" s="4" t="s">
        <v>12651</v>
      </c>
      <c r="C10060" s="5" t="str">
        <f>IFERROR(__xludf.DUMMYFUNCTION("GOOGLETRANSLATE(B10060,""en"",""fr"")"),"Il continue de parler à la caméra et de se déplacer dans le gymnase en frappant le ballon.")</f>
        <v>Il continue de parler à la caméra et de se déplacer dans le gymnase en frappant le ballon.</v>
      </c>
    </row>
    <row r="10061">
      <c r="A10061" s="4" t="s">
        <v>12652</v>
      </c>
      <c r="B10061" s="4" t="s">
        <v>12653</v>
      </c>
      <c r="C10061" s="5" t="str">
        <f>IFERROR(__xludf.DUMMYFUNCTION("GOOGLETRANSLATE(B10061,""en"",""fr"")"),"Les hommes sur le terrain saisissent leurs outils.")</f>
        <v>Les hommes sur le terrain saisissent leurs outils.</v>
      </c>
    </row>
    <row r="10062">
      <c r="A10062" s="4" t="s">
        <v>12652</v>
      </c>
      <c r="B10062" s="4" t="s">
        <v>12654</v>
      </c>
      <c r="C10062" s="5" t="str">
        <f>IFERROR(__xludf.DUMMYFUNCTION("GOOGLETRANSLATE(B10062,""en"",""fr"")"),"Nous voyons des hommes dans un champ coupant de hautes herbes comme une autre montre.")</f>
        <v>Nous voyons des hommes dans un champ coupant de hautes herbes comme une autre montre.</v>
      </c>
    </row>
    <row r="10063">
      <c r="A10063" s="4" t="s">
        <v>12652</v>
      </c>
      <c r="B10063" s="4" t="s">
        <v>12655</v>
      </c>
      <c r="C10063" s="5" t="str">
        <f>IFERROR(__xludf.DUMMYFUNCTION("GOOGLETRANSLATE(B10063,""en"",""fr"")"),"L'homme gauche utilise une faucille et prend les devants sur l'homme avec le wacker de l'herbe.")</f>
        <v>L'homme gauche utilise une faucille et prend les devants sur l'homme avec le wacker de l'herbe.</v>
      </c>
    </row>
    <row r="10064">
      <c r="A10064" s="4" t="s">
        <v>12652</v>
      </c>
      <c r="B10064" s="4" t="s">
        <v>12656</v>
      </c>
      <c r="C10064" s="5" t="str">
        <f>IFERROR(__xludf.DUMMYFUNCTION("GOOGLETRANSLATE(B10064,""en"",""fr"")"),"L'homme avec la faucille se termine.")</f>
        <v>L'homme avec la faucille se termine.</v>
      </c>
    </row>
    <row r="10065">
      <c r="A10065" s="4" t="s">
        <v>12652</v>
      </c>
      <c r="B10065" s="4" t="s">
        <v>12657</v>
      </c>
      <c r="C10065" s="5" t="str">
        <f>IFERROR(__xludf.DUMMYFUNCTION("GOOGLETRANSLATE(B10065,""en"",""fr"")"),"La foule applaudit pour l'homme.")</f>
        <v>La foule applaudit pour l'homme.</v>
      </c>
    </row>
    <row r="10066">
      <c r="A10066" s="4" t="s">
        <v>12652</v>
      </c>
      <c r="B10066" s="4" t="s">
        <v>12658</v>
      </c>
      <c r="C10066" s="5" t="str">
        <f>IFERROR(__xludf.DUMMYFUNCTION("GOOGLETRANSLATE(B10066,""en"",""fr"")"),"L'homme torse nu s'éloigne.")</f>
        <v>L'homme torse nu s'éloigne.</v>
      </c>
    </row>
    <row r="10067">
      <c r="A10067" s="4" t="s">
        <v>12652</v>
      </c>
      <c r="B10067" s="4" t="s">
        <v>12659</v>
      </c>
      <c r="C10067" s="5" t="str">
        <f>IFERROR(__xludf.DUMMYFUNCTION("GOOGLETRANSLATE(B10067,""en"",""fr"")"),"La caméra se déroule à droite pour montrer à l'autre homme travaillant sur l'herbe.")</f>
        <v>La caméra se déroule à droite pour montrer à l'autre homme travaillant sur l'herbe.</v>
      </c>
    </row>
    <row r="10068">
      <c r="A10068" s="4" t="s">
        <v>12660</v>
      </c>
      <c r="B10068" s="6" t="s">
        <v>12661</v>
      </c>
      <c r="C10068" s="5" t="str">
        <f>IFERROR(__xludf.DUMMYFUNCTION("GOOGLETRANSLATE(B10068,""en"",""fr"")"),"Un garçon se tient sur un terrain tenant une raquette dans sa main droite, une balle vient à lui et il le frappe très fort.")</f>
        <v>Un garçon se tient sur un terrain tenant une raquette dans sa main droite, une balle vient à lui et il le frappe très fort.</v>
      </c>
    </row>
    <row r="10069">
      <c r="A10069" s="4" t="s">
        <v>12660</v>
      </c>
      <c r="B10069" s="6" t="s">
        <v>12662</v>
      </c>
      <c r="C10069" s="5" t="str">
        <f>IFERROR(__xludf.DUMMYFUNCTION("GOOGLETRANSLATE(B10069,""en"",""fr"")"),"Le garçon se dirige vers la gauche et un homme est là en frappant le ballon et lui et le garçon font des allers-retours en frappant le ballon très fort contre le mur devant eux.")</f>
        <v>Le garçon se dirige vers la gauche et un homme est là en frappant le ballon et lui et le garçon font des allers-retours en frappant le ballon très fort contre le mur devant eux.</v>
      </c>
    </row>
    <row r="10070">
      <c r="A10070" s="4" t="s">
        <v>12660</v>
      </c>
      <c r="B10070" s="6" t="s">
        <v>12663</v>
      </c>
      <c r="C10070" s="5" t="str">
        <f>IFERROR(__xludf.DUMMYFUNCTION("GOOGLETRANSLATE(B10070,""en"",""fr"")"),"La balle roule sur le sol, le garçon le ramasse et le frappe au mur et une fois de plus l'homme frappe le ballon et la caméra pointe vers le sol.")</f>
        <v>La balle roule sur le sol, le garçon le ramasse et le frappe au mur et une fois de plus l'homme frappe le ballon et la caméra pointe vers le sol.</v>
      </c>
    </row>
    <row r="10071">
      <c r="A10071" s="4" t="s">
        <v>12664</v>
      </c>
      <c r="B10071" s="4" t="s">
        <v>12665</v>
      </c>
      <c r="C10071" s="5" t="str">
        <f>IFERROR(__xludf.DUMMYFUNCTION("GOOGLETRANSLATE(B10071,""en"",""fr"")"),"Un chef est vu debout derrière un comptoir parlant à la caméra.")</f>
        <v>Un chef est vu debout derrière un comptoir parlant à la caméra.</v>
      </c>
    </row>
    <row r="10072">
      <c r="A10072" s="4" t="s">
        <v>12664</v>
      </c>
      <c r="B10072" s="4" t="s">
        <v>12666</v>
      </c>
      <c r="C10072" s="5" t="str">
        <f>IFERROR(__xludf.DUMMYFUNCTION("GOOGLETRANSLATE(B10072,""en"",""fr"")"),"L'homme est ensuite vu en tenant plusieurs outils et en les présentant à la caméra.")</f>
        <v>L'homme est ensuite vu en tenant plusieurs outils et en les présentant à la caméra.</v>
      </c>
    </row>
    <row r="10073">
      <c r="A10073" s="4" t="s">
        <v>12664</v>
      </c>
      <c r="B10073" s="4" t="s">
        <v>12667</v>
      </c>
      <c r="C10073" s="5" t="str">
        <f>IFERROR(__xludf.DUMMYFUNCTION("GOOGLETRANSLATE(B10073,""en"",""fr"")"),"L'homme utilise ensuite l'outil dans un bol de salade et le présente à la caméra.")</f>
        <v>L'homme utilise ensuite l'outil dans un bol de salade et le présente à la caméra.</v>
      </c>
    </row>
    <row r="10074">
      <c r="A10074" s="4" t="s">
        <v>12668</v>
      </c>
      <c r="B10074" s="4" t="s">
        <v>12669</v>
      </c>
      <c r="C10074" s="5" t="str">
        <f>IFERROR(__xludf.DUMMYFUNCTION("GOOGLETRANSLATE(B10074,""en"",""fr"")"),"Un homme est dans les bois, équilibrant une corde serrée.")</f>
        <v>Un homme est dans les bois, équilibrant une corde serrée.</v>
      </c>
    </row>
    <row r="10075">
      <c r="A10075" s="4" t="s">
        <v>12668</v>
      </c>
      <c r="B10075" s="4" t="s">
        <v>12670</v>
      </c>
      <c r="C10075" s="5" t="str">
        <f>IFERROR(__xludf.DUMMYFUNCTION("GOOGLETRANSLATE(B10075,""en"",""fr"")"),"Il sort d'avant en arrière sur la corde, puis saute.")</f>
        <v>Il sort d'avant en arrière sur la corde, puis saute.</v>
      </c>
    </row>
    <row r="10076">
      <c r="A10076" s="4" t="s">
        <v>12671</v>
      </c>
      <c r="B10076" s="4" t="s">
        <v>12672</v>
      </c>
      <c r="C10076" s="5" t="str">
        <f>IFERROR(__xludf.DUMMYFUNCTION("GOOGLETRANSLATE(B10076,""en"",""fr"")"),"La vidéo commence par les détails de la victoire d'une équipe de hockey sur le terrain lors du dernier match de championnat.")</f>
        <v>La vidéo commence par les détails de la victoire d'une équipe de hockey sur le terrain lors du dernier match de championnat.</v>
      </c>
    </row>
    <row r="10077">
      <c r="A10077" s="4" t="s">
        <v>12671</v>
      </c>
      <c r="B10077" s="4" t="s">
        <v>12673</v>
      </c>
      <c r="C10077" s="5" t="str">
        <f>IFERROR(__xludf.DUMMYFUNCTION("GOOGLETRANSLATE(B10077,""en"",""fr"")"),"Le stade montre les deux équipes qui participent au hockey de jeu.")</f>
        <v>Le stade montre les deux équipes qui participent au hockey de jeu.</v>
      </c>
    </row>
    <row r="10078">
      <c r="A10078" s="4" t="s">
        <v>12671</v>
      </c>
      <c r="B10078" s="4" t="s">
        <v>12674</v>
      </c>
      <c r="C10078" s="5" t="str">
        <f>IFERROR(__xludf.DUMMYFUNCTION("GOOGLETRANSLATE(B10078,""en"",""fr"")"),"La foule applaudie bruyamment alors qu'une équipe devient victorieuse.")</f>
        <v>La foule applaudie bruyamment alors qu'une équipe devient victorieuse.</v>
      </c>
    </row>
    <row r="10079">
      <c r="A10079" s="4" t="s">
        <v>12671</v>
      </c>
      <c r="B10079" s="4" t="s">
        <v>12675</v>
      </c>
      <c r="C10079" s="5" t="str">
        <f>IFERROR(__xludf.DUMMYFUNCTION("GOOGLETRANSLATE(B10079,""en"",""fr"")"),"Les joueurs sautent les uns sur les autres avec joie pendant qu'ils célèbrent.")</f>
        <v>Les joueurs sautent les uns sur les autres avec joie pendant qu'ils célèbrent.</v>
      </c>
    </row>
    <row r="10080">
      <c r="A10080" s="4" t="s">
        <v>12671</v>
      </c>
      <c r="B10080" s="6" t="s">
        <v>12676</v>
      </c>
      <c r="C10080" s="5" t="str">
        <f>IFERROR(__xludf.DUMMYFUNCTION("GOOGLETRANSLATE(B10080,""en"",""fr"")"),"Il y a une scène de chanteurs qui jouent de la musique live alors qu'ils célèbrent la victoire de l'équipe gagnante.")</f>
        <v>Il y a une scène de chanteurs qui jouent de la musique live alors qu'ils célèbrent la victoire de l'équipe gagnante.</v>
      </c>
    </row>
    <row r="10081">
      <c r="A10081" s="4" t="s">
        <v>12677</v>
      </c>
      <c r="B10081" s="4" t="s">
        <v>12678</v>
      </c>
      <c r="C10081" s="5" t="str">
        <f>IFERROR(__xludf.DUMMYFUNCTION("GOOGLETRANSLATE(B10081,""en"",""fr"")"),"Une femme fait une routine de danse sur une scène.")</f>
        <v>Une femme fait une routine de danse sur une scène.</v>
      </c>
    </row>
    <row r="10082">
      <c r="A10082" s="4" t="s">
        <v>12677</v>
      </c>
      <c r="B10082" s="4" t="s">
        <v>12679</v>
      </c>
      <c r="C10082" s="5" t="str">
        <f>IFERROR(__xludf.DUMMYFUNCTION("GOOGLETRANSLATE(B10082,""en"",""fr"")"),"Elle tourbillonne et lui donne des coups de pied.")</f>
        <v>Elle tourbillonne et lui donne des coups de pied.</v>
      </c>
    </row>
    <row r="10083">
      <c r="A10083" s="4" t="s">
        <v>12677</v>
      </c>
      <c r="B10083" s="4" t="s">
        <v>12680</v>
      </c>
      <c r="C10083" s="5" t="str">
        <f>IFERROR(__xludf.DUMMYFUNCTION("GOOGLETRANSLATE(B10083,""en"",""fr"")"),"Elle se déplace tout autour des étapes et plie son corps de nombreuses manières.")</f>
        <v>Elle se déplace tout autour des étapes et plie son corps de nombreuses manières.</v>
      </c>
    </row>
    <row r="10084">
      <c r="A10084" s="4" t="s">
        <v>12677</v>
      </c>
      <c r="B10084" s="4" t="s">
        <v>12681</v>
      </c>
      <c r="C10084" s="5" t="str">
        <f>IFERROR(__xludf.DUMMYFUNCTION("GOOGLETRANSLATE(B10084,""en"",""fr"")"),"Elle continue de secouer son corps pour que le public puisse le voir.")</f>
        <v>Elle continue de secouer son corps pour que le public puisse le voir.</v>
      </c>
    </row>
    <row r="10085">
      <c r="A10085" s="4" t="s">
        <v>12677</v>
      </c>
      <c r="B10085" s="4" t="s">
        <v>12682</v>
      </c>
      <c r="C10085" s="5" t="str">
        <f>IFERROR(__xludf.DUMMYFUNCTION("GOOGLETRANSLATE(B10085,""en"",""fr"")"),"Elle secoue ses hanches et quatrième tout en déplaçant ses bras de diverses manières.")</f>
        <v>Elle secoue ses hanches et quatrième tout en déplaçant ses bras de diverses manières.</v>
      </c>
    </row>
    <row r="10086">
      <c r="A10086" s="4" t="s">
        <v>12683</v>
      </c>
      <c r="B10086" s="4" t="s">
        <v>12684</v>
      </c>
      <c r="C10086" s="5" t="str">
        <f>IFERROR(__xludf.DUMMYFUNCTION("GOOGLETRANSLATE(B10086,""en"",""fr"")"),"Un homme marche sur un plongeon.")</f>
        <v>Un homme marche sur un plongeon.</v>
      </c>
    </row>
    <row r="10087">
      <c r="A10087" s="4" t="s">
        <v>12683</v>
      </c>
      <c r="B10087" s="4" t="s">
        <v>12685</v>
      </c>
      <c r="C10087" s="5" t="str">
        <f>IFERROR(__xludf.DUMMYFUNCTION("GOOGLETRANSLATE(B10087,""en"",""fr"")"),"Il saute plusieurs fois sur le plongeon et saute dans une piscine.")</f>
        <v>Il saute plusieurs fois sur le plongeon et saute dans une piscine.</v>
      </c>
    </row>
    <row r="10088">
      <c r="A10088" s="4" t="s">
        <v>12683</v>
      </c>
      <c r="B10088" s="4" t="s">
        <v>12686</v>
      </c>
      <c r="C10088" s="5" t="str">
        <f>IFERROR(__xludf.DUMMYFUNCTION("GOOGLETRANSLATE(B10088,""en"",""fr"")"),"L'homme fait surface et se lève dans la piscine.")</f>
        <v>L'homme fait surface et se lève dans la piscine.</v>
      </c>
    </row>
    <row r="10089">
      <c r="A10089" s="4" t="s">
        <v>12687</v>
      </c>
      <c r="B10089" s="4" t="s">
        <v>12688</v>
      </c>
      <c r="C10089" s="5" t="str">
        <f>IFERROR(__xludf.DUMMYFUNCTION("GOOGLETRANSLATE(B10089,""en"",""fr"")"),"Les gens font des flips en courant et en sautant vers le mur.")</f>
        <v>Les gens font des flips en courant et en sautant vers le mur.</v>
      </c>
    </row>
    <row r="10090">
      <c r="A10090" s="4" t="s">
        <v>12687</v>
      </c>
      <c r="B10090" s="4" t="s">
        <v>12689</v>
      </c>
      <c r="C10090" s="5" t="str">
        <f>IFERROR(__xludf.DUMMYFUNCTION("GOOGLETRANSLATE(B10090,""en"",""fr"")"),"Les garçons font des retournements sur un tapis bleu.")</f>
        <v>Les garçons font des retournements sur un tapis bleu.</v>
      </c>
    </row>
    <row r="10091">
      <c r="A10091" s="4" t="s">
        <v>12687</v>
      </c>
      <c r="B10091" s="4" t="s">
        <v>12690</v>
      </c>
      <c r="C10091" s="5" t="str">
        <f>IFERROR(__xludf.DUMMYFUNCTION("GOOGLETRANSLATE(B10091,""en"",""fr"")"),"Un enfant saute par-dessus plusieurs autres enfants allongés sur le tapis.")</f>
        <v>Un enfant saute par-dessus plusieurs autres enfants allongés sur le tapis.</v>
      </c>
    </row>
    <row r="10092">
      <c r="A10092" s="4" t="s">
        <v>12687</v>
      </c>
      <c r="B10092" s="4" t="s">
        <v>12691</v>
      </c>
      <c r="C10092" s="5" t="str">
        <f>IFERROR(__xludf.DUMMYFUNCTION("GOOGLETRANSLATE(B10092,""en"",""fr"")"),"Le corps de deux gars roule sur le tapis.")</f>
        <v>Le corps de deux gars roule sur le tapis.</v>
      </c>
    </row>
    <row r="10093">
      <c r="A10093" s="4" t="s">
        <v>12692</v>
      </c>
      <c r="B10093" s="4" t="s">
        <v>12693</v>
      </c>
      <c r="C10093" s="5" t="str">
        <f>IFERROR(__xludf.DUMMYFUNCTION("GOOGLETRANSLATE(B10093,""en"",""fr"")"),"Deux hommes posent sur une photo pour les arts martiaux.")</f>
        <v>Deux hommes posent sur une photo pour les arts martiaux.</v>
      </c>
    </row>
    <row r="10094">
      <c r="A10094" s="4" t="s">
        <v>12692</v>
      </c>
      <c r="B10094" s="4" t="s">
        <v>12694</v>
      </c>
      <c r="C10094" s="5" t="str">
        <f>IFERROR(__xludf.DUMMYFUNCTION("GOOGLETRANSLATE(B10094,""en"",""fr"")"),"Un groupe est rassemblé à l'intérieur d'une pièce, représenté dans diverses poses d'arts martiaux.")</f>
        <v>Un groupe est rassemblé à l'intérieur d'une pièce, représenté dans diverses poses d'arts martiaux.</v>
      </c>
    </row>
    <row r="10095">
      <c r="A10095" s="4" t="s">
        <v>12692</v>
      </c>
      <c r="B10095" s="4" t="s">
        <v>12695</v>
      </c>
      <c r="C10095" s="5" t="str">
        <f>IFERROR(__xludf.DUMMYFUNCTION("GOOGLETRANSLATE(B10095,""en"",""fr"")"),"Ils modifient les mouvements, le texte à l'écran montrant ce qu'ils font.")</f>
        <v>Ils modifient les mouvements, le texte à l'écran montrant ce qu'ils font.</v>
      </c>
    </row>
    <row r="10096">
      <c r="A10096" s="4" t="s">
        <v>12692</v>
      </c>
      <c r="B10096" s="4" t="s">
        <v>12696</v>
      </c>
      <c r="C10096" s="5" t="str">
        <f>IFERROR(__xludf.DUMMYFUNCTION("GOOGLETRANSLATE(B10096,""en"",""fr"")"),"Cela se termine par une annonce pour l'école.")</f>
        <v>Cela se termine par une annonce pour l'école.</v>
      </c>
    </row>
    <row r="10097">
      <c r="A10097" s="4" t="s">
        <v>12697</v>
      </c>
      <c r="B10097" s="4" t="s">
        <v>12698</v>
      </c>
      <c r="C10097" s="5" t="str">
        <f>IFERROR(__xludf.DUMMYFUNCTION("GOOGLETRANSLATE(B10097,""en"",""fr"")"),"On voit une personne monter sur une planche de surf avec un cerf-volant sur le dessus le long de l'eau.")</f>
        <v>On voit une personne monter sur une planche de surf avec un cerf-volant sur le dessus le long de l'eau.</v>
      </c>
    </row>
    <row r="10098">
      <c r="A10098" s="4" t="s">
        <v>12697</v>
      </c>
      <c r="B10098" s="4" t="s">
        <v>12699</v>
      </c>
      <c r="C10098" s="5" t="str">
        <f>IFERROR(__xludf.DUMMYFUNCTION("GOOGLETRANSLATE(B10098,""en"",""fr"")"),"La personne se repousse dans l'air et retourne.")</f>
        <v>La personne se repousse dans l'air et retourne.</v>
      </c>
    </row>
    <row r="10099">
      <c r="A10099" s="4" t="s">
        <v>12697</v>
      </c>
      <c r="B10099" s="4" t="s">
        <v>12700</v>
      </c>
      <c r="C10099" s="5" t="str">
        <f>IFERROR(__xludf.DUMMYFUNCTION("GOOGLETRANSLATE(B10099,""en"",""fr"")"),"Il continue de rouler le long de l'eau.")</f>
        <v>Il continue de rouler le long de l'eau.</v>
      </c>
    </row>
    <row r="10100">
      <c r="A10100" s="4" t="s">
        <v>12701</v>
      </c>
      <c r="B10100" s="4" t="s">
        <v>12702</v>
      </c>
      <c r="C10100" s="5" t="str">
        <f>IFERROR(__xludf.DUMMYFUNCTION("GOOGLETRANSLATE(B10100,""en"",""fr"")"),"Un homme parle à un appareil photo de ses cheveux.")</f>
        <v>Un homme parle à un appareil photo de ses cheveux.</v>
      </c>
    </row>
    <row r="10101">
      <c r="A10101" s="4" t="s">
        <v>12701</v>
      </c>
      <c r="B10101" s="4" t="s">
        <v>12703</v>
      </c>
      <c r="C10101" s="5" t="str">
        <f>IFERROR(__xludf.DUMMYFUNCTION("GOOGLETRANSLATE(B10101,""en"",""fr"")"),"Un autre homme entre et commence à couper la foire du premier garçon.")</f>
        <v>Un autre homme entre et commence à couper la foire du premier garçon.</v>
      </c>
    </row>
    <row r="10102">
      <c r="A10102" s="4" t="s">
        <v>12701</v>
      </c>
      <c r="B10102" s="4" t="s">
        <v>12704</v>
      </c>
      <c r="C10102" s="5" t="str">
        <f>IFERROR(__xludf.DUMMYFUNCTION("GOOGLETRANSLATE(B10102,""en"",""fr"")"),"Il se brosse les cheveux et les coupe avec un beau peigne.")</f>
        <v>Il se brosse les cheveux et les coupe avec un beau peigne.</v>
      </c>
    </row>
    <row r="10103">
      <c r="A10103" s="4" t="s">
        <v>12701</v>
      </c>
      <c r="B10103" s="4" t="s">
        <v>12705</v>
      </c>
      <c r="C10103" s="5" t="str">
        <f>IFERROR(__xludf.DUMMYFUNCTION("GOOGLETRANSLATE(B10103,""en"",""fr"")"),"Le styliste effectue divers styles et techniques sur les cheveux.")</f>
        <v>Le styliste effectue divers styles et techniques sur les cheveux.</v>
      </c>
    </row>
    <row r="10104">
      <c r="A10104" s="4" t="s">
        <v>12701</v>
      </c>
      <c r="B10104" s="4" t="s">
        <v>12706</v>
      </c>
      <c r="C10104" s="5" t="str">
        <f>IFERROR(__xludf.DUMMYFUNCTION("GOOGLETRANSLATE(B10104,""en"",""fr"")"),"Le styliste met du gel dans les cheveux et le garçon est fini avec sa coupe.")</f>
        <v>Le styliste met du gel dans les cheveux et le garçon est fini avec sa coupe.</v>
      </c>
    </row>
    <row r="10105">
      <c r="A10105" s="4" t="s">
        <v>12707</v>
      </c>
      <c r="B10105" s="4" t="s">
        <v>12708</v>
      </c>
      <c r="C10105" s="5" t="str">
        <f>IFERROR(__xludf.DUMMYFUNCTION("GOOGLETRANSLATE(B10105,""en"",""fr"")"),"Un homme dans un casque regarde un bâtiment.")</f>
        <v>Un homme dans un casque regarde un bâtiment.</v>
      </c>
    </row>
    <row r="10106">
      <c r="A10106" s="4" t="s">
        <v>12707</v>
      </c>
      <c r="B10106" s="4" t="s">
        <v>12709</v>
      </c>
      <c r="C10106" s="5" t="str">
        <f>IFERROR(__xludf.DUMMYFUNCTION("GOOGLETRANSLATE(B10106,""en"",""fr"")"),"Un deuxième homme monte et secoue la première main de l'homme.")</f>
        <v>Un deuxième homme monte et secoue la première main de l'homme.</v>
      </c>
    </row>
    <row r="10107">
      <c r="A10107" s="4" t="s">
        <v>12707</v>
      </c>
      <c r="B10107" s="4" t="s">
        <v>12710</v>
      </c>
      <c r="C10107" s="5" t="str">
        <f>IFERROR(__xludf.DUMMYFUNCTION("GOOGLETRANSLATE(B10107,""en"",""fr"")"),"Les deux hommes reconnaissent le bâtiment et discutent.")</f>
        <v>Les deux hommes reconnaissent le bâtiment et discutent.</v>
      </c>
    </row>
    <row r="10108">
      <c r="A10108" s="4" t="s">
        <v>12707</v>
      </c>
      <c r="B10108" s="4" t="s">
        <v>12711</v>
      </c>
      <c r="C10108" s="5" t="str">
        <f>IFERROR(__xludf.DUMMYFUNCTION("GOOGLETRANSLATE(B10108,""en"",""fr"")"),"Trois hommes échassent le mur à mesure que deux comparaisons sont montrées.")</f>
        <v>Trois hommes échassent le mur à mesure que deux comparaisons sont montrées.</v>
      </c>
    </row>
    <row r="10109">
      <c r="A10109" s="4" t="s">
        <v>12707</v>
      </c>
      <c r="B10109" s="4" t="s">
        <v>12712</v>
      </c>
      <c r="C10109" s="5" t="str">
        <f>IFERROR(__xludf.DUMMYFUNCTION("GOOGLETRANSLATE(B10109,""en"",""fr"")"),"Les deux hommes inspectent le mur.")</f>
        <v>Les deux hommes inspectent le mur.</v>
      </c>
    </row>
    <row r="10110">
      <c r="A10110" s="4" t="s">
        <v>12707</v>
      </c>
      <c r="B10110" s="4" t="s">
        <v>12713</v>
      </c>
      <c r="C10110" s="5" t="str">
        <f>IFERROR(__xludf.DUMMYFUNCTION("GOOGLETRANSLATE(B10110,""en"",""fr"")"),"Un autre homme s'approche et est présenté à l'autre homme.")</f>
        <v>Un autre homme s'approche et est présenté à l'autre homme.</v>
      </c>
    </row>
    <row r="10111">
      <c r="A10111" s="4" t="s">
        <v>12707</v>
      </c>
      <c r="B10111" s="4" t="s">
        <v>12714</v>
      </c>
      <c r="C10111" s="5" t="str">
        <f>IFERROR(__xludf.DUMMYFUNCTION("GOOGLETRANSLATE(B10111,""en"",""fr"")"),"L'homme s'éloigne alors que les deux premiers continuent de parler.")</f>
        <v>L'homme s'éloigne alors que les deux premiers continuent de parler.</v>
      </c>
    </row>
    <row r="10112">
      <c r="A10112" s="4" t="s">
        <v>12715</v>
      </c>
      <c r="B10112" s="4" t="s">
        <v>12716</v>
      </c>
      <c r="C10112" s="5" t="str">
        <f>IFERROR(__xludf.DUMMYFUNCTION("GOOGLETRANSLATE(B10112,""en"",""fr"")"),"Une personne se tient sur le devant un feu de bois dans les bois.")</f>
        <v>Une personne se tient sur le devant un feu de bois dans les bois.</v>
      </c>
    </row>
    <row r="10113">
      <c r="A10113" s="4" t="s">
        <v>12715</v>
      </c>
      <c r="B10113" s="4" t="s">
        <v>12717</v>
      </c>
      <c r="C10113" s="5" t="str">
        <f>IFERROR(__xludf.DUMMYFUNCTION("GOOGLETRANSLATE(B10113,""en"",""fr"")"),"Ensuite, la personne allume un match et la jette dans le feu de bois, puis un feu a allumé.")</f>
        <v>Ensuite, la personne allume un match et la jette dans le feu de bois, puis un feu a allumé.</v>
      </c>
    </row>
    <row r="10114">
      <c r="A10114" s="4" t="s">
        <v>12718</v>
      </c>
      <c r="B10114" s="4" t="s">
        <v>12719</v>
      </c>
      <c r="C10114" s="5" t="str">
        <f>IFERROR(__xludf.DUMMYFUNCTION("GOOGLETRANSLATE(B10114,""en"",""fr"")"),"Un grand public est vu en regardant un match de sport et mène à un tirage au sort.")</f>
        <v>Un grand public est vu en regardant un match de sport et mène à un tirage au sort.</v>
      </c>
    </row>
    <row r="10115">
      <c r="A10115" s="4" t="s">
        <v>12718</v>
      </c>
      <c r="B10115" s="4" t="s">
        <v>12720</v>
      </c>
      <c r="C10115" s="5" t="str">
        <f>IFERROR(__xludf.DUMMYFUNCTION("GOOGLETRANSLATE(B10115,""en"",""fr"")"),"Le public applaudit davantage et mène aux gens qui lancent une balle et d'autres le frappent.")</f>
        <v>Le public applaudit davantage et mène aux gens qui lancent une balle et d'autres le frappent.</v>
      </c>
    </row>
    <row r="10116">
      <c r="A10116" s="4" t="s">
        <v>12718</v>
      </c>
      <c r="B10116" s="4" t="s">
        <v>12721</v>
      </c>
      <c r="C10116" s="5" t="str">
        <f>IFERROR(__xludf.DUMMYFUNCTION("GOOGLETRANSLATE(B10116,""en"",""fr"")"),"Plus de photos du jeu jouées sont affichées ainsi que d'autres qui regardent sur les côtés.")</f>
        <v>Plus de photos du jeu jouées sont affichées ainsi que d'autres qui regardent sur les côtés.</v>
      </c>
    </row>
    <row r="10117">
      <c r="A10117" s="4" t="s">
        <v>12722</v>
      </c>
      <c r="B10117" s="4" t="s">
        <v>12723</v>
      </c>
      <c r="C10117" s="5" t="str">
        <f>IFERROR(__xludf.DUMMYFUNCTION("GOOGLETRANSLATE(B10117,""en"",""fr"")"),"L'harmonica est tenu et montré.")</f>
        <v>L'harmonica est tenu et montré.</v>
      </c>
    </row>
    <row r="10118">
      <c r="A10118" s="4" t="s">
        <v>12722</v>
      </c>
      <c r="B10118" s="4" t="s">
        <v>12724</v>
      </c>
      <c r="C10118" s="5" t="str">
        <f>IFERROR(__xludf.DUMMYFUNCTION("GOOGLETRANSLATE(B10118,""en"",""fr"")"),"Une personne tient un harmonica entre ses mains une chanson.")</f>
        <v>Une personne tient un harmonica entre ses mains une chanson.</v>
      </c>
    </row>
    <row r="10119">
      <c r="A10119" s="4" t="s">
        <v>12722</v>
      </c>
      <c r="B10119" s="4" t="s">
        <v>12725</v>
      </c>
      <c r="C10119" s="5" t="str">
        <f>IFERROR(__xludf.DUMMYFUNCTION("GOOGLETRANSLATE(B10119,""en"",""fr"")"),"La personne termine la chanson et tient l'harmonica.")</f>
        <v>La personne termine la chanson et tient l'harmonica.</v>
      </c>
    </row>
    <row r="10120">
      <c r="A10120" s="4" t="s">
        <v>12726</v>
      </c>
      <c r="B10120" s="6" t="s">
        <v>12727</v>
      </c>
      <c r="C10120" s="5" t="str">
        <f>IFERROR(__xludf.DUMMYFUNCTION("GOOGLETRANSLATE(B10120,""en"",""fr"")"),"En marchant dans la rue en tenant une planche à patiner, le garçon pose sa planche et commence à patiner.")</f>
        <v>En marchant dans la rue en tenant une planche à patiner, le garçon pose sa planche et commence à patiner.</v>
      </c>
    </row>
    <row r="10121">
      <c r="A10121" s="4" t="s">
        <v>12726</v>
      </c>
      <c r="B10121" s="4" t="s">
        <v>12728</v>
      </c>
      <c r="C10121" s="5" t="str">
        <f>IFERROR(__xludf.DUMMYFUNCTION("GOOGLETRANSLATE(B10121,""en"",""fr"")"),"Puis trois amis le rejoignent et ils patinent sur la route.")</f>
        <v>Puis trois amis le rejoignent et ils patinent sur la route.</v>
      </c>
    </row>
    <row r="10122">
      <c r="A10122" s="4" t="s">
        <v>12726</v>
      </c>
      <c r="B10122" s="6" t="s">
        <v>12729</v>
      </c>
      <c r="C10122" s="5" t="str">
        <f>IFERROR(__xludf.DUMMYFUNCTION("GOOGLETRANSLATE(B10122,""en"",""fr"")"),"Pendant qu'ils se penchent sur le plateau, ils se penchent avec leurs mains derrière leur dos pour prendre un peu plus d'élan.")</f>
        <v>Pendant qu'ils se penchent sur le plateau, ils se penchent avec leurs mains derrière leur dos pour prendre un peu plus d'élan.</v>
      </c>
    </row>
    <row r="10123">
      <c r="A10123" s="4" t="s">
        <v>12726</v>
      </c>
      <c r="B10123" s="4" t="s">
        <v>12730</v>
      </c>
      <c r="C10123" s="5" t="str">
        <f>IFERROR(__xludf.DUMMYFUNCTION("GOOGLETRANSLATE(B10123,""en"",""fr"")"),"Ils roulent partout d'un quartier à un autre en profitant de leur pension de temps libre.")</f>
        <v>Ils roulent partout d'un quartier à un autre en profitant de leur pension de temps libre.</v>
      </c>
    </row>
    <row r="10124">
      <c r="A10124" s="4" t="s">
        <v>12731</v>
      </c>
      <c r="B10124" s="4" t="s">
        <v>12732</v>
      </c>
      <c r="C10124" s="5" t="str">
        <f>IFERROR(__xludf.DUMMYFUNCTION("GOOGLETRANSLATE(B10124,""en"",""fr"")"),"Une image est représentée d'une assiette de pâtes de sardine, ainsi qu'une liste d'ingrédients.")</f>
        <v>Une image est représentée d'une assiette de pâtes de sardine, ainsi qu'une liste d'ingrédients.</v>
      </c>
    </row>
    <row r="10125">
      <c r="A10125" s="4" t="s">
        <v>12731</v>
      </c>
      <c r="B10125" s="4" t="s">
        <v>12733</v>
      </c>
      <c r="C10125" s="5" t="str">
        <f>IFERROR(__xludf.DUMMYFUNCTION("GOOGLETRANSLATE(B10125,""en"",""fr"")"),"L'eau est salée et bouillie pour les pâtes, et les légumes sont sautés dans l'huile d'olive.")</f>
        <v>L'eau est salée et bouillie pour les pâtes, et les légumes sont sautés dans l'huile d'olive.</v>
      </c>
    </row>
    <row r="10126">
      <c r="A10126" s="4" t="s">
        <v>12731</v>
      </c>
      <c r="B10126" s="4" t="s">
        <v>12734</v>
      </c>
      <c r="C10126" s="5" t="str">
        <f>IFERROR(__xludf.DUMMYFUNCTION("GOOGLETRANSLATE(B10126,""en"",""fr"")"),"Des sardines sont ajoutées, puis mélangées avec les nouilles spaghetti, créant un plat fini.")</f>
        <v>Des sardines sont ajoutées, puis mélangées avec les nouilles spaghetti, créant un plat fini.</v>
      </c>
    </row>
    <row r="10127">
      <c r="A10127" s="4" t="s">
        <v>12735</v>
      </c>
      <c r="B10127" s="4" t="s">
        <v>12736</v>
      </c>
      <c r="C10127" s="5" t="str">
        <f>IFERROR(__xludf.DUMMYFUNCTION("GOOGLETRANSLATE(B10127,""en"",""fr"")"),"Un joueur de hockey parle dans une interview à la télévision.")</f>
        <v>Un joueur de hockey parle dans une interview à la télévision.</v>
      </c>
    </row>
    <row r="10128">
      <c r="A10128" s="4" t="s">
        <v>12735</v>
      </c>
      <c r="B10128" s="4" t="s">
        <v>12737</v>
      </c>
      <c r="C10128" s="5" t="str">
        <f>IFERROR(__xludf.DUMMYFUNCTION("GOOGLETRANSLATE(B10128,""en"",""fr"")"),"Plusieurs images fixes de lui jouant au hockey sur glace sont montrées pendant qu'il parle.")</f>
        <v>Plusieurs images fixes de lui jouant au hockey sur glace sont montrées pendant qu'il parle.</v>
      </c>
    </row>
    <row r="10129">
      <c r="A10129" s="4" t="s">
        <v>12735</v>
      </c>
      <c r="B10129" s="4" t="s">
        <v>12738</v>
      </c>
      <c r="C10129" s="5" t="str">
        <f>IFERROR(__xludf.DUMMYFUNCTION("GOOGLETRANSLATE(B10129,""en"",""fr"")"),"Il continue de parler alors que les images clignotent à travers l'écran.")</f>
        <v>Il continue de parler alors que les images clignotent à travers l'écran.</v>
      </c>
    </row>
    <row r="10130">
      <c r="A10130" s="4" t="s">
        <v>12739</v>
      </c>
      <c r="B10130" s="4" t="s">
        <v>12740</v>
      </c>
      <c r="C10130" s="5" t="str">
        <f>IFERROR(__xludf.DUMMYFUNCTION("GOOGLETRANSLATE(B10130,""en"",""fr"")"),"L'homme portant un pull gris joue de la guitare.")</f>
        <v>L'homme portant un pull gris joue de la guitare.</v>
      </c>
    </row>
    <row r="10131">
      <c r="A10131" s="4" t="s">
        <v>12739</v>
      </c>
      <c r="B10131" s="4" t="s">
        <v>12741</v>
      </c>
      <c r="C10131" s="5" t="str">
        <f>IFERROR(__xludf.DUMMYFUNCTION("GOOGLETRANSLATE(B10131,""en"",""fr"")"),"L'homme a regardé la guitare.")</f>
        <v>L'homme a regardé la guitare.</v>
      </c>
    </row>
    <row r="10132">
      <c r="A10132" s="4" t="s">
        <v>12739</v>
      </c>
      <c r="B10132" s="4" t="s">
        <v>12742</v>
      </c>
      <c r="C10132" s="5" t="str">
        <f>IFERROR(__xludf.DUMMYFUNCTION("GOOGLETRANSLATE(B10132,""en"",""fr"")"),"L'homme en chemise bleue joue sa guitare, puis pique les fils.")</f>
        <v>L'homme en chemise bleue joue sa guitare, puis pique les fils.</v>
      </c>
    </row>
    <row r="10133">
      <c r="A10133" s="4" t="s">
        <v>12743</v>
      </c>
      <c r="B10133" s="4" t="s">
        <v>12744</v>
      </c>
      <c r="C10133" s="5" t="str">
        <f>IFERROR(__xludf.DUMMYFUNCTION("GOOGLETRANSLATE(B10133,""en"",""fr"")"),"Deux hommes sont assis dans une pièce devant un bras robotique.")</f>
        <v>Deux hommes sont assis dans une pièce devant un bras robotique.</v>
      </c>
    </row>
    <row r="10134">
      <c r="A10134" s="4" t="s">
        <v>12743</v>
      </c>
      <c r="B10134" s="4" t="s">
        <v>12745</v>
      </c>
      <c r="C10134" s="5" t="str">
        <f>IFERROR(__xludf.DUMMYFUNCTION("GOOGLETRANSLATE(B10134,""en"",""fr"")"),"L'un des hommes utilise un contrôleur pour faire en sorte que le bras ramasse une bouteille.")</f>
        <v>L'un des hommes utilise un contrôleur pour faire en sorte que le bras ramasse une bouteille.</v>
      </c>
    </row>
    <row r="10135">
      <c r="A10135" s="4" t="s">
        <v>12743</v>
      </c>
      <c r="B10135" s="4" t="s">
        <v>12746</v>
      </c>
      <c r="C10135" s="5" t="str">
        <f>IFERROR(__xludf.DUMMYFUNCTION("GOOGLETRANSLATE(B10135,""en"",""fr"")"),"Le bras apporte la bouteille sur le visage de l'homme, afin qu'il puisse prendre un verre.")</f>
        <v>Le bras apporte la bouteille sur le visage de l'homme, afin qu'il puisse prendre un verre.</v>
      </c>
    </row>
    <row r="10136">
      <c r="A10136" s="4" t="s">
        <v>12743</v>
      </c>
      <c r="B10136" s="4" t="s">
        <v>12747</v>
      </c>
      <c r="C10136" s="5" t="str">
        <f>IFERROR(__xludf.DUMMYFUNCTION("GOOGLETRANSLATE(B10136,""en"",""fr"")"),"Ensuite, le robot renvoie la bouteille sur la table.")</f>
        <v>Ensuite, le robot renvoie la bouteille sur la table.</v>
      </c>
    </row>
    <row r="10137">
      <c r="A10137" s="4" t="s">
        <v>12748</v>
      </c>
      <c r="B10137" s="4" t="s">
        <v>12749</v>
      </c>
      <c r="C10137" s="5" t="str">
        <f>IFERROR(__xludf.DUMMYFUNCTION("GOOGLETRANSLATE(B10137,""en"",""fr"")"),"Les artistes chantent et les danseurs sur une scène de concert.")</f>
        <v>Les artistes chantent et les danseurs sur une scène de concert.</v>
      </c>
    </row>
    <row r="10138">
      <c r="A10138" s="4" t="s">
        <v>12748</v>
      </c>
      <c r="B10138" s="4" t="s">
        <v>12750</v>
      </c>
      <c r="C10138" s="5" t="str">
        <f>IFERROR(__xludf.DUMMYFUNCTION("GOOGLETRANSLATE(B10138,""en"",""fr"")"),"Un artiste descend dans les escaliers.")</f>
        <v>Un artiste descend dans les escaliers.</v>
      </c>
    </row>
    <row r="10139">
      <c r="A10139" s="4" t="s">
        <v>12748</v>
      </c>
      <c r="B10139" s="4" t="s">
        <v>12751</v>
      </c>
      <c r="C10139" s="5" t="str">
        <f>IFERROR(__xludf.DUMMYFUNCTION("GOOGLETRANSLATE(B10139,""en"",""fr"")"),"Plusieurs artistes posent, gestes et pointent vers le public.")</f>
        <v>Plusieurs artistes posent, gestes et pointent vers le public.</v>
      </c>
    </row>
    <row r="10140">
      <c r="A10140" s="4" t="s">
        <v>12748</v>
      </c>
      <c r="B10140" s="4" t="s">
        <v>12752</v>
      </c>
      <c r="C10140" s="5" t="str">
        <f>IFERROR(__xludf.DUMMYFUNCTION("GOOGLETRANSLATE(B10140,""en"",""fr"")"),"Un artiste casse danse sur scène.")</f>
        <v>Un artiste casse danse sur scène.</v>
      </c>
    </row>
    <row r="10141">
      <c r="A10141" s="4" t="s">
        <v>12748</v>
      </c>
      <c r="B10141" s="4" t="s">
        <v>12753</v>
      </c>
      <c r="C10141" s="5" t="str">
        <f>IFERROR(__xludf.DUMMYFUNCTION("GOOGLETRANSLATE(B10141,""en"",""fr"")"),"La danseuse de pause se trouve sur le sol de la scène.")</f>
        <v>La danseuse de pause se trouve sur le sol de la scène.</v>
      </c>
    </row>
    <row r="10142">
      <c r="A10142" s="4" t="s">
        <v>12748</v>
      </c>
      <c r="B10142" s="4" t="s">
        <v>12754</v>
      </c>
      <c r="C10142" s="5" t="str">
        <f>IFERROR(__xludf.DUMMYFUNCTION("GOOGLETRANSLATE(B10142,""en"",""fr"")"),"Un artiste lève la main du danseur debout dans les airs.")</f>
        <v>Un artiste lève la main du danseur debout dans les airs.</v>
      </c>
    </row>
    <row r="10143">
      <c r="A10143" s="4" t="s">
        <v>12748</v>
      </c>
      <c r="B10143" s="4" t="s">
        <v>12755</v>
      </c>
      <c r="C10143" s="5" t="str">
        <f>IFERROR(__xludf.DUMMYFUNCTION("GOOGLETRANSLATE(B10143,""en"",""fr"")"),"Le danseur de pause donne à un interprète cinq.")</f>
        <v>Le danseur de pause donne à un interprète cinq.</v>
      </c>
    </row>
    <row r="10144">
      <c r="A10144" s="4" t="s">
        <v>12748</v>
      </c>
      <c r="B10144" s="4" t="s">
        <v>12756</v>
      </c>
      <c r="C10144" s="5" t="str">
        <f>IFERROR(__xludf.DUMMYFUNCTION("GOOGLETRANSLATE(B10144,""en"",""fr"")"),"Un interprète s'accroche et gestes.")</f>
        <v>Un interprète s'accroche et gestes.</v>
      </c>
    </row>
    <row r="10145">
      <c r="A10145" s="4" t="s">
        <v>12757</v>
      </c>
      <c r="B10145" s="4" t="s">
        <v>12758</v>
      </c>
      <c r="C10145" s="5" t="str">
        <f>IFERROR(__xludf.DUMMYFUNCTION("GOOGLETRANSLATE(B10145,""en"",""fr"")"),"Un homme saute d'un pont et des sauts élastiques.")</f>
        <v>Un homme saute d'un pont et des sauts élastiques.</v>
      </c>
    </row>
    <row r="10146">
      <c r="A10146" s="4" t="s">
        <v>12757</v>
      </c>
      <c r="B10146" s="4" t="s">
        <v>12759</v>
      </c>
      <c r="C10146" s="5" t="str">
        <f>IFERROR(__xludf.DUMMYFUNCTION("GOOGLETRANSLATE(B10146,""en"",""fr"")"),"Cela le montre remonter sur le rebord.")</f>
        <v>Cela le montre remonter sur le rebord.</v>
      </c>
    </row>
    <row r="10147">
      <c r="A10147" s="4" t="s">
        <v>12757</v>
      </c>
      <c r="B10147" s="4" t="s">
        <v>12760</v>
      </c>
      <c r="C10147" s="5" t="str">
        <f>IFERROR(__xludf.DUMMYFUNCTION("GOOGLETRANSLATE(B10147,""en"",""fr"")"),"Il saute à nouveau du pont.")</f>
        <v>Il saute à nouveau du pont.</v>
      </c>
    </row>
    <row r="10148">
      <c r="A10148" s="4" t="s">
        <v>12761</v>
      </c>
      <c r="B10148" s="4" t="s">
        <v>12762</v>
      </c>
      <c r="C10148" s="5" t="str">
        <f>IFERROR(__xludf.DUMMYFUNCTION("GOOGLETRANSLATE(B10148,""en"",""fr"")"),"Un homme dans une tenue de chefs se tient dans une cuisine.")</f>
        <v>Un homme dans une tenue de chefs se tient dans une cuisine.</v>
      </c>
    </row>
    <row r="10149">
      <c r="A10149" s="4" t="s">
        <v>12761</v>
      </c>
      <c r="B10149" s="4" t="s">
        <v>12763</v>
      </c>
      <c r="C10149" s="5" t="str">
        <f>IFERROR(__xludf.DUMMYFUNCTION("GOOGLETRANSLATE(B10149,""en"",""fr"")"),"Il retourne quelque chose qui est dans une casserole.")</f>
        <v>Il retourne quelque chose qui est dans une casserole.</v>
      </c>
    </row>
    <row r="10150">
      <c r="A10150" s="4" t="s">
        <v>12761</v>
      </c>
      <c r="B10150" s="4" t="s">
        <v>12764</v>
      </c>
      <c r="C10150" s="5" t="str">
        <f>IFERROR(__xludf.DUMMYFUNCTION("GOOGLETRANSLATE(B10150,""en"",""fr"")"),"Il utilise une cuillère pour remuer ce qui se trouve dans la casserole.")</f>
        <v>Il utilise une cuillère pour remuer ce qui se trouve dans la casserole.</v>
      </c>
    </row>
    <row r="10151">
      <c r="A10151" s="4" t="s">
        <v>12765</v>
      </c>
      <c r="B10151" s="4" t="s">
        <v>12766</v>
      </c>
      <c r="C10151" s="5" t="str">
        <f>IFERROR(__xludf.DUMMYFUNCTION("GOOGLETRANSLATE(B10151,""en"",""fr"")"),"Une introduction arrive sur l'écran pour une vidéo sur la lecture du tennis.")</f>
        <v>Une introduction arrive sur l'écran pour une vidéo sur la lecture du tennis.</v>
      </c>
    </row>
    <row r="10152">
      <c r="A10152" s="4" t="s">
        <v>12765</v>
      </c>
      <c r="B10152" s="4" t="s">
        <v>12767</v>
      </c>
      <c r="C10152" s="5" t="str">
        <f>IFERROR(__xludf.DUMMYFUNCTION("GOOGLETRANSLATE(B10152,""en"",""fr"")"),"Et l'homme vient parler des leçons qu'il enseignera dans la vidéo.")</f>
        <v>Et l'homme vient parler des leçons qu'il enseignera dans la vidéo.</v>
      </c>
    </row>
    <row r="10153">
      <c r="A10153" s="4" t="s">
        <v>12765</v>
      </c>
      <c r="B10153" s="4" t="s">
        <v>12768</v>
      </c>
      <c r="C10153" s="5" t="str">
        <f>IFERROR(__xludf.DUMMYFUNCTION("GOOGLETRANSLATE(B10153,""en"",""fr"")"),"Il balance la raquette plusieurs fois pour démontrer une bonne forme pour balancer la raquette de tennis.")</f>
        <v>Il balance la raquette plusieurs fois pour démontrer une bonne forme pour balancer la raquette de tennis.</v>
      </c>
    </row>
    <row r="10154">
      <c r="A10154" s="4" t="s">
        <v>12765</v>
      </c>
      <c r="B10154" s="6" t="s">
        <v>12769</v>
      </c>
      <c r="C10154" s="5" t="str">
        <f>IFERROR(__xludf.DUMMYFUNCTION("GOOGLETRANSLATE(B10154,""en"",""fr"")"),"Un autre homme arrive sur l'écran et interprète les différentes ailes de tennis pendant que l'autre homme raconte.")</f>
        <v>Un autre homme arrive sur l'écran et interprète les différentes ailes de tennis pendant que l'autre homme raconte.</v>
      </c>
    </row>
    <row r="10155">
      <c r="A10155" s="4" t="s">
        <v>12765</v>
      </c>
      <c r="B10155" s="4" t="s">
        <v>12770</v>
      </c>
      <c r="C10155" s="5" t="str">
        <f>IFERROR(__xludf.DUMMYFUNCTION("GOOGLETRANSLATE(B10155,""en"",""fr"")"),"À mesure que la vidéo se termine, les crédits de clôture sont affichés à l'écran.")</f>
        <v>À mesure que la vidéo se termine, les crédits de clôture sont affichés à l'écran.</v>
      </c>
    </row>
    <row r="10156">
      <c r="A10156" s="4" t="s">
        <v>12771</v>
      </c>
      <c r="B10156" s="4" t="s">
        <v>12772</v>
      </c>
      <c r="C10156" s="5" t="str">
        <f>IFERROR(__xludf.DUMMYFUNCTION("GOOGLETRANSLATE(B10156,""en"",""fr"")"),"Une femme est vue en train de donner un coup de pied dans un champ de personnes, puis de reprendre le marbre.")</f>
        <v>Une femme est vue en train de donner un coup de pied dans un champ de personnes, puis de reprendre le marbre.</v>
      </c>
    </row>
    <row r="10157">
      <c r="A10157" s="4" t="s">
        <v>12771</v>
      </c>
      <c r="B10157" s="4" t="s">
        <v>12773</v>
      </c>
      <c r="C10157" s="5" t="str">
        <f>IFERROR(__xludf.DUMMYFUNCTION("GOOGLETRANSLATE(B10157,""en"",""fr"")"),"Elle donne ensuite un coup de pied à nouveau le ballon tandis que d'autres autour de sa course et attrapent le ballon du terrain.")</f>
        <v>Elle donne ensuite un coup de pied à nouveau le ballon tandis que d'autres autour de sa course et attrapent le ballon du terrain.</v>
      </c>
    </row>
    <row r="10158">
      <c r="A10158" s="4" t="s">
        <v>12774</v>
      </c>
      <c r="B10158" s="4" t="s">
        <v>12775</v>
      </c>
      <c r="C10158" s="5" t="str">
        <f>IFERROR(__xludf.DUMMYFUNCTION("GOOGLETRANSLATE(B10158,""en"",""fr"")"),"Un gros plan est illustré à une image sur un téléphone portable.")</f>
        <v>Un gros plan est illustré à une image sur un téléphone portable.</v>
      </c>
    </row>
    <row r="10159">
      <c r="A10159" s="4" t="s">
        <v>12774</v>
      </c>
      <c r="B10159" s="4" t="s">
        <v>12776</v>
      </c>
      <c r="C10159" s="5" t="str">
        <f>IFERROR(__xludf.DUMMYFUNCTION("GOOGLETRANSLATE(B10159,""en"",""fr"")"),"Un gymnaste masculin court, se retournant d'avant en arrière à travers un tapis.")</f>
        <v>Un gymnaste masculin court, se retournant d'avant en arrière à travers un tapis.</v>
      </c>
    </row>
    <row r="10160">
      <c r="A10160" s="4" t="s">
        <v>12774</v>
      </c>
      <c r="B10160" s="4" t="s">
        <v>12777</v>
      </c>
      <c r="C10160" s="5" t="str">
        <f>IFERROR(__xludf.DUMMYFUNCTION("GOOGLETRANSLATE(B10160,""en"",""fr"")"),"On lui montre ensuite se retourner loin dans les airs avant de se tenir debout devant la foule acclamant.")</f>
        <v>On lui montre ensuite se retourner loin dans les airs avant de se tenir debout devant la foule acclamant.</v>
      </c>
    </row>
    <row r="10161">
      <c r="A10161" s="4" t="s">
        <v>12778</v>
      </c>
      <c r="B10161" s="4" t="s">
        <v>12779</v>
      </c>
      <c r="C10161" s="5" t="str">
        <f>IFERROR(__xludf.DUMMYFUNCTION("GOOGLETRANSLATE(B10161,""en"",""fr"")"),"Deux personnes luttent sur un anneau.")</f>
        <v>Deux personnes luttent sur un anneau.</v>
      </c>
    </row>
    <row r="10162">
      <c r="A10162" s="4" t="s">
        <v>12778</v>
      </c>
      <c r="B10162" s="4" t="s">
        <v>12780</v>
      </c>
      <c r="C10162" s="5" t="str">
        <f>IFERROR(__xludf.DUMMYFUNCTION("GOOGLETRANSLATE(B10162,""en"",""fr"")"),"Un arbitre se tient sur le côté du ring les regardant.")</f>
        <v>Un arbitre se tient sur le côté du ring les regardant.</v>
      </c>
    </row>
    <row r="10163">
      <c r="A10163" s="4" t="s">
        <v>12778</v>
      </c>
      <c r="B10163" s="4" t="s">
        <v>12781</v>
      </c>
      <c r="C10163" s="5" t="str">
        <f>IFERROR(__xludf.DUMMYFUNCTION("GOOGLETRANSLATE(B10163,""en"",""fr"")"),"La foule derrière eux applaudie.")</f>
        <v>La foule derrière eux applaudie.</v>
      </c>
    </row>
    <row r="10164">
      <c r="A10164" s="4" t="s">
        <v>12782</v>
      </c>
      <c r="B10164" s="4" t="s">
        <v>12783</v>
      </c>
      <c r="C10164" s="5" t="str">
        <f>IFERROR(__xludf.DUMMYFUNCTION("GOOGLETRANSLATE(B10164,""en"",""fr"")"),"Une gymnaste dans une tenue rose s'étire avant de commencer la routine.")</f>
        <v>Une gymnaste dans une tenue rose s'étire avant de commencer la routine.</v>
      </c>
    </row>
    <row r="10165">
      <c r="A10165" s="4" t="s">
        <v>12782</v>
      </c>
      <c r="B10165" s="4" t="s">
        <v>12784</v>
      </c>
      <c r="C10165" s="5" t="str">
        <f>IFERROR(__xludf.DUMMYFUNCTION("GOOGLETRANSLATE(B10165,""en"",""fr"")"),"Elle saute sur le faisceau d'équilibre et se équilibre.")</f>
        <v>Elle saute sur le faisceau d'équilibre et se équilibre.</v>
      </c>
    </row>
    <row r="10166">
      <c r="A10166" s="4" t="s">
        <v>12782</v>
      </c>
      <c r="B10166" s="4" t="s">
        <v>12785</v>
      </c>
      <c r="C10166" s="5" t="str">
        <f>IFERROR(__xludf.DUMMYFUNCTION("GOOGLETRANSLATE(B10166,""en"",""fr"")"),"Elle commence sa routine de faisceau d'équilibre.")</f>
        <v>Elle commence sa routine de faisceau d'équilibre.</v>
      </c>
    </row>
    <row r="10167">
      <c r="A10167" s="4" t="s">
        <v>12782</v>
      </c>
      <c r="B10167" s="4" t="s">
        <v>12786</v>
      </c>
      <c r="C10167" s="5" t="str">
        <f>IFERROR(__xludf.DUMMYFUNCTION("GOOGLETRANSLATE(B10167,""en"",""fr"")"),"Elle fait plusieurs flips et somersauts.")</f>
        <v>Elle fait plusieurs flips et somersauts.</v>
      </c>
    </row>
    <row r="10168">
      <c r="A10168" s="4" t="s">
        <v>12782</v>
      </c>
      <c r="B10168" s="4" t="s">
        <v>12787</v>
      </c>
      <c r="C10168" s="5" t="str">
        <f>IFERROR(__xludf.DUMMYFUNCTION("GOOGLETRANSLATE(B10168,""en"",""fr"")"),"Elle s'apprête à démonter.")</f>
        <v>Elle s'apprête à démonter.</v>
      </c>
    </row>
    <row r="10169">
      <c r="A10169" s="4" t="s">
        <v>12782</v>
      </c>
      <c r="B10169" s="4" t="s">
        <v>12788</v>
      </c>
      <c r="C10169" s="5" t="str">
        <f>IFERROR(__xludf.DUMMYFUNCTION("GOOGLETRANSLATE(B10169,""en"",""fr"")"),"Elle se retourne plusieurs fois dans les airs pendant sa démonstration et atterrit parfaitement.")</f>
        <v>Elle se retourne plusieurs fois dans les airs pendant sa démonstration et atterrit parfaitement.</v>
      </c>
    </row>
    <row r="10170">
      <c r="A10170" s="4" t="s">
        <v>12789</v>
      </c>
      <c r="B10170" s="4" t="s">
        <v>12790</v>
      </c>
      <c r="C10170" s="5" t="str">
        <f>IFERROR(__xludf.DUMMYFUNCTION("GOOGLETRANSLATE(B10170,""en"",""fr"")"),"Un homme se dresse d'une rangée de haies.")</f>
        <v>Un homme se dresse d'une rangée de haies.</v>
      </c>
    </row>
    <row r="10171">
      <c r="A10171" s="4" t="s">
        <v>12789</v>
      </c>
      <c r="B10171" s="4" t="s">
        <v>12791</v>
      </c>
      <c r="C10171" s="5" t="str">
        <f>IFERROR(__xludf.DUMMYFUNCTION("GOOGLETRANSLATE(B10171,""en"",""fr"")"),"Il commence ensuite à les couper avec des chemins.")</f>
        <v>Il commence ensuite à les couper avec des chemins.</v>
      </c>
    </row>
    <row r="10172">
      <c r="A10172" s="4" t="s">
        <v>12789</v>
      </c>
      <c r="B10172" s="4" t="s">
        <v>12792</v>
      </c>
      <c r="C10172" s="5" t="str">
        <f>IFERROR(__xludf.DUMMYFUNCTION("GOOGLETRANSLATE(B10172,""en"",""fr"")"),"Il coupe le haut d'un buisson.")</f>
        <v>Il coupe le haut d'un buisson.</v>
      </c>
    </row>
    <row r="10173">
      <c r="A10173" s="4" t="s">
        <v>12789</v>
      </c>
      <c r="B10173" s="4" t="s">
        <v>12793</v>
      </c>
      <c r="C10173" s="5" t="str">
        <f>IFERROR(__xludf.DUMMYFUNCTION("GOOGLETRANSLATE(B10173,""en"",""fr"")"),"Plusieurs buissons soignés différents sont représentés.")</f>
        <v>Plusieurs buissons soignés différents sont représentés.</v>
      </c>
    </row>
    <row r="10174">
      <c r="A10174" s="4" t="s">
        <v>12794</v>
      </c>
      <c r="B10174" s="6" t="s">
        <v>12795</v>
      </c>
      <c r="C10174" s="5" t="str">
        <f>IFERROR(__xludf.DUMMYFUNCTION("GOOGLETRANSLATE(B10174,""en"",""fr"")"),"Un petit garçon chinois est assis dans une pièce sur le sol avec des livres et des jouets autour de lui pendant qu'il regarde la caméra.")</f>
        <v>Un petit garçon chinois est assis dans une pièce sur le sol avec des livres et des jouets autour de lui pendant qu'il regarde la caméra.</v>
      </c>
    </row>
    <row r="10175">
      <c r="A10175" s="4" t="s">
        <v>12794</v>
      </c>
      <c r="B10175" s="6" t="s">
        <v>12796</v>
      </c>
      <c r="C10175" s="5" t="str">
        <f>IFERROR(__xludf.DUMMYFUNCTION("GOOGLETRANSLATE(B10175,""en"",""fr"")"),"Le petit garçon chinois sort alors et commence à jouer dans un parc, s'amusant tout seul pendant que le caméramne l'enregistre.")</f>
        <v>Le petit garçon chinois sort alors et commence à jouer dans un parc, s'amusant tout seul pendant que le caméramne l'enregistre.</v>
      </c>
    </row>
    <row r="10176">
      <c r="A10176" s="4" t="s">
        <v>12794</v>
      </c>
      <c r="B10176" s="4" t="s">
        <v>12797</v>
      </c>
      <c r="C10176" s="5" t="str">
        <f>IFERROR(__xludf.DUMMYFUNCTION("GOOGLETRANSLATE(B10176,""en"",""fr"")"),"Le petit garçon glisse sur le toboggan, grimpe des marches tout en souriant et en s'amusant.")</f>
        <v>Le petit garçon glisse sur le toboggan, grimpe des marches tout en souriant et en s'amusant.</v>
      </c>
    </row>
    <row r="10177">
      <c r="A10177" s="4" t="s">
        <v>12798</v>
      </c>
      <c r="B10177" s="4" t="s">
        <v>12799</v>
      </c>
      <c r="C10177" s="5" t="str">
        <f>IFERROR(__xludf.DUMMYFUNCTION("GOOGLETRANSLATE(B10177,""en"",""fr"")"),"Diverses plans de personnes sont présentés, suivis de plusieurs plans de corde de saut.")</f>
        <v>Diverses plans de personnes sont présentés, suivis de plusieurs plans de corde de saut.</v>
      </c>
    </row>
    <row r="10178">
      <c r="A10178" s="4" t="s">
        <v>12798</v>
      </c>
      <c r="B10178" s="6" t="s">
        <v>12800</v>
      </c>
      <c r="C10178" s="5" t="str">
        <f>IFERROR(__xludf.DUMMYFUNCTION("GOOGLETRANSLATE(B10178,""en"",""fr"")"),"Un homme les parle ensuite à divers enfants sur un terrain et montre plus de coups de tir des enfants qui sautent la corde ensemble.")</f>
        <v>Un homme les parle ensuite à divers enfants sur un terrain et montre plus de coups de tir des enfants qui sautent la corde ensemble.</v>
      </c>
    </row>
    <row r="10179">
      <c r="A10179" s="4" t="s">
        <v>12798</v>
      </c>
      <c r="B10179" s="6" t="s">
        <v>12801</v>
      </c>
      <c r="C10179" s="5" t="str">
        <f>IFERROR(__xludf.DUMMYFUNCTION("GOOGLETRANSLATE(B10179,""en"",""fr"")"),"L'homme saute ensuite la corde tandis que plus d'enfants effectuent des tours avec leurs cordes de saut et se terminent avec l'homme parlant à un autre sauteur.")</f>
        <v>L'homme saute ensuite la corde tandis que plus d'enfants effectuent des tours avec leurs cordes de saut et se terminent avec l'homme parlant à un autre sauteur.</v>
      </c>
    </row>
    <row r="10180">
      <c r="A10180" s="4" t="s">
        <v>12802</v>
      </c>
      <c r="B10180" s="4" t="s">
        <v>12803</v>
      </c>
      <c r="C10180" s="5" t="str">
        <f>IFERROR(__xludf.DUMMYFUNCTION("GOOGLETRANSLATE(B10180,""en"",""fr"")"),"Les voitures sont lavées à un lavage de voiture.")</f>
        <v>Les voitures sont lavées à un lavage de voiture.</v>
      </c>
    </row>
    <row r="10181">
      <c r="A10181" s="4" t="s">
        <v>12802</v>
      </c>
      <c r="B10181" s="4" t="s">
        <v>12804</v>
      </c>
      <c r="C10181" s="5" t="str">
        <f>IFERROR(__xludf.DUMMYFUNCTION("GOOGLETRANSLATE(B10181,""en"",""fr"")"),"Un homme en chemise rouge parle à un homme en chemise noire.")</f>
        <v>Un homme en chemise rouge parle à un homme en chemise noire.</v>
      </c>
    </row>
    <row r="10182">
      <c r="A10182" s="4" t="s">
        <v>12802</v>
      </c>
      <c r="B10182" s="4" t="s">
        <v>12805</v>
      </c>
      <c r="C10182" s="5" t="str">
        <f>IFERROR(__xludf.DUMMYFUNCTION("GOOGLETRANSLATE(B10182,""en"",""fr"")"),"La voiture passe par un lavage de voiture automatique.")</f>
        <v>La voiture passe par un lavage de voiture automatique.</v>
      </c>
    </row>
    <row r="10183">
      <c r="A10183" s="4" t="s">
        <v>12802</v>
      </c>
      <c r="B10183" s="4" t="s">
        <v>12806</v>
      </c>
      <c r="C10183" s="5" t="str">
        <f>IFERROR(__xludf.DUMMYFUNCTION("GOOGLETRANSLATE(B10183,""en"",""fr"")"),"Quelqu'un frotte maintenant une voiture pour le laver.")</f>
        <v>Quelqu'un frotte maintenant une voiture pour le laver.</v>
      </c>
    </row>
    <row r="10184">
      <c r="A10184" s="4" t="s">
        <v>12802</v>
      </c>
      <c r="B10184" s="4" t="s">
        <v>12807</v>
      </c>
      <c r="C10184" s="5" t="str">
        <f>IFERROR(__xludf.DUMMYFUNCTION("GOOGLETRANSLATE(B10184,""en"",""fr"")"),"Ils entrent dans un garage et inspectent les voitures.")</f>
        <v>Ils entrent dans un garage et inspectent les voitures.</v>
      </c>
    </row>
    <row r="10185">
      <c r="A10185" s="4" t="s">
        <v>12808</v>
      </c>
      <c r="B10185" s="4" t="s">
        <v>12809</v>
      </c>
      <c r="C10185" s="5" t="str">
        <f>IFERROR(__xludf.DUMMYFUNCTION("GOOGLETRANSLATE(B10185,""en"",""fr"")"),"Quatre hommes en studio jouent un instrument différent.")</f>
        <v>Quatre hommes en studio jouent un instrument différent.</v>
      </c>
    </row>
    <row r="10186">
      <c r="A10186" s="4" t="s">
        <v>12808</v>
      </c>
      <c r="B10186" s="4" t="s">
        <v>12810</v>
      </c>
      <c r="C10186" s="5" t="str">
        <f>IFERROR(__xludf.DUMMYFUNCTION("GOOGLETRANSLATE(B10186,""en"",""fr"")"),"L'homme avec une grande guitare chante en jouant sa guitare.")</f>
        <v>L'homme avec une grande guitare chante en jouant sa guitare.</v>
      </c>
    </row>
    <row r="10187">
      <c r="A10187" s="4" t="s">
        <v>12808</v>
      </c>
      <c r="B10187" s="6" t="s">
        <v>12811</v>
      </c>
      <c r="C10187" s="5" t="str">
        <f>IFERROR(__xludf.DUMMYFUNCTION("GOOGLETRANSLATE(B10187,""en"",""fr"")"),"L'homme jouant à l'harmonica a cessé de jouer et a regardé l'homme chanter, puis il continue de jouer son harmonica.")</f>
        <v>L'homme jouant à l'harmonica a cessé de jouer et a regardé l'homme chanter, puis il continue de jouer son harmonica.</v>
      </c>
    </row>
    <row r="10188">
      <c r="A10188" s="4" t="s">
        <v>12808</v>
      </c>
      <c r="B10188" s="4" t="s">
        <v>12812</v>
      </c>
      <c r="C10188" s="5" t="str">
        <f>IFERROR(__xludf.DUMMYFUNCTION("GOOGLETRANSLATE(B10188,""en"",""fr"")"),"Deux hommes derrière les quatre hommes jouent des instruments.")</f>
        <v>Deux hommes derrière les quatre hommes jouent des instruments.</v>
      </c>
    </row>
    <row r="10189">
      <c r="A10189" s="4" t="s">
        <v>12808</v>
      </c>
      <c r="B10189" s="4" t="s">
        <v>12813</v>
      </c>
      <c r="C10189" s="5" t="str">
        <f>IFERROR(__xludf.DUMMYFUNCTION("GOOGLETRANSLATE(B10189,""en"",""fr"")"),"L'homme avec de la guitare tire un tissu blanc et le salue.")</f>
        <v>L'homme avec de la guitare tire un tissu blanc et le salue.</v>
      </c>
    </row>
    <row r="10190">
      <c r="A10190" s="4" t="s">
        <v>12814</v>
      </c>
      <c r="B10190" s="4" t="s">
        <v>12815</v>
      </c>
      <c r="C10190" s="5" t="str">
        <f>IFERROR(__xludf.DUMMYFUNCTION("GOOGLETRANSLATE(B10190,""en"",""fr"")"),"Une jeune fille se tient dans une pièce avec un pull gris, des collants noirs et des chaussures roses.")</f>
        <v>Une jeune fille se tient dans une pièce avec un pull gris, des collants noirs et des chaussures roses.</v>
      </c>
    </row>
    <row r="10191">
      <c r="A10191" s="4" t="s">
        <v>12814</v>
      </c>
      <c r="B10191" s="4" t="s">
        <v>12816</v>
      </c>
      <c r="C10191" s="5" t="str">
        <f>IFERROR(__xludf.DUMMYFUNCTION("GOOGLETRANSLATE(B10191,""en"",""fr"")"),"Dans sa main, elle a un bâton de croquet et joue avec la petite balle.")</f>
        <v>Dans sa main, elle a un bâton de croquet et joue avec la petite balle.</v>
      </c>
    </row>
    <row r="10192">
      <c r="A10192" s="4" t="s">
        <v>12814</v>
      </c>
      <c r="B10192" s="6" t="s">
        <v>12817</v>
      </c>
      <c r="C10192" s="5" t="str">
        <f>IFERROR(__xludf.DUMMYFUNCTION("GOOGLETRANSLATE(B10192,""en"",""fr"")"),"Elle le fait pendant plusieurs fois en le gardant immobile jusqu'à ce qu'il finisse par marcher avec le ballon et mettre fin à la vidéo.")</f>
        <v>Elle le fait pendant plusieurs fois en le gardant immobile jusqu'à ce qu'il finisse par marcher avec le ballon et mettre fin à la vidéo.</v>
      </c>
    </row>
    <row r="10193">
      <c r="A10193" s="4" t="s">
        <v>12818</v>
      </c>
      <c r="B10193" s="4" t="s">
        <v>1251</v>
      </c>
      <c r="C10193" s="5" t="str">
        <f>IFERROR(__xludf.DUMMYFUNCTION("GOOGLETRANSLATE(B10193,""en"",""fr"")"),"Les crédits du clip sont affichés.")</f>
        <v>Les crédits du clip sont affichés.</v>
      </c>
    </row>
    <row r="10194">
      <c r="A10194" s="4" t="s">
        <v>12818</v>
      </c>
      <c r="B10194" s="4" t="s">
        <v>12819</v>
      </c>
      <c r="C10194" s="5" t="str">
        <f>IFERROR(__xludf.DUMMYFUNCTION("GOOGLETRANSLATE(B10194,""en"",""fr"")"),"Un gars debout dans une salle de bain parle et des gestes.")</f>
        <v>Un gars debout dans une salle de bain parle et des gestes.</v>
      </c>
    </row>
    <row r="10195">
      <c r="A10195" s="4" t="s">
        <v>12818</v>
      </c>
      <c r="B10195" s="4" t="s">
        <v>12820</v>
      </c>
      <c r="C10195" s="5" t="str">
        <f>IFERROR(__xludf.DUMMYFUNCTION("GOOGLETRANSLATE(B10195,""en"",""fr"")"),"Une personne se rasant le menton est montrée.")</f>
        <v>Une personne se rasant le menton est montrée.</v>
      </c>
    </row>
    <row r="10196">
      <c r="A10196" s="4" t="s">
        <v>12818</v>
      </c>
      <c r="B10196" s="4" t="s">
        <v>12821</v>
      </c>
      <c r="C10196" s="5" t="str">
        <f>IFERROR(__xludf.DUMMYFUNCTION("GOOGLETRANSLATE(B10196,""en"",""fr"")"),"Un gars met de la crème dans un tube bleu dans sa paume et l'applique à son menton.")</f>
        <v>Un gars met de la crème dans un tube bleu dans sa paume et l'applique à son menton.</v>
      </c>
    </row>
    <row r="10197">
      <c r="A10197" s="4" t="s">
        <v>12818</v>
      </c>
      <c r="B10197" s="4" t="s">
        <v>12822</v>
      </c>
      <c r="C10197" s="5" t="str">
        <f>IFERROR(__xludf.DUMMYFUNCTION("GOOGLETRANSLATE(B10197,""en"",""fr"")"),"Un gars met du gel d'un tube bleu dans sa paume et l'applique à son menton.")</f>
        <v>Un gars met du gel d'un tube bleu dans sa paume et l'applique à son menton.</v>
      </c>
    </row>
    <row r="10198">
      <c r="A10198" s="4" t="s">
        <v>12818</v>
      </c>
      <c r="B10198" s="4" t="s">
        <v>12823</v>
      </c>
      <c r="C10198" s="5" t="str">
        <f>IFERROR(__xludf.DUMMYFUNCTION("GOOGLETRANSLATE(B10198,""en"",""fr"")"),"Un gars se lave le visage.")</f>
        <v>Un gars se lave le visage.</v>
      </c>
    </row>
    <row r="10199">
      <c r="A10199" s="4" t="s">
        <v>12818</v>
      </c>
      <c r="B10199" s="4" t="s">
        <v>573</v>
      </c>
      <c r="C10199" s="5" t="str">
        <f>IFERROR(__xludf.DUMMYFUNCTION("GOOGLETRANSLATE(B10199,""en"",""fr"")"),"Les crédits de la vidéo sont affichés.")</f>
        <v>Les crédits de la vidéo sont affichés.</v>
      </c>
    </row>
    <row r="10200">
      <c r="A10200" s="4" t="s">
        <v>12824</v>
      </c>
      <c r="B10200" s="4" t="s">
        <v>12825</v>
      </c>
      <c r="C10200" s="5" t="str">
        <f>IFERROR(__xludf.DUMMYFUNCTION("GOOGLETRANSLATE(B10200,""en"",""fr"")"),"Une femme parle à la caméra tandis que les jeunes filles se tiennent derrière elle.")</f>
        <v>Une femme parle à la caméra tandis que les jeunes filles se tiennent derrière elle.</v>
      </c>
    </row>
    <row r="10201">
      <c r="A10201" s="4" t="s">
        <v>12824</v>
      </c>
      <c r="B10201" s="6" t="s">
        <v>12826</v>
      </c>
      <c r="C10201" s="5" t="str">
        <f>IFERROR(__xludf.DUMMYFUNCTION("GOOGLETRANSLATE(B10201,""en"",""fr"")"),"La femme continue de parler à la caméra tout en démontrant des mouvements de danse individuels, alors que les jeunes filles suivent.")</f>
        <v>La femme continue de parler à la caméra tout en démontrant des mouvements de danse individuels, alors que les jeunes filles suivent.</v>
      </c>
    </row>
    <row r="10202">
      <c r="A10202" s="4" t="s">
        <v>12824</v>
      </c>
      <c r="B10202" s="4" t="s">
        <v>12827</v>
      </c>
      <c r="C10202" s="5" t="str">
        <f>IFERROR(__xludf.DUMMYFUNCTION("GOOGLETRANSLATE(B10202,""en"",""fr"")"),"La femme mène les filles à pratiquer toute la séquence.")</f>
        <v>La femme mène les filles à pratiquer toute la séquence.</v>
      </c>
    </row>
    <row r="10203">
      <c r="A10203" s="4" t="s">
        <v>12824</v>
      </c>
      <c r="B10203" s="4" t="s">
        <v>12828</v>
      </c>
      <c r="C10203" s="5" t="str">
        <f>IFERROR(__xludf.DUMMYFUNCTION("GOOGLETRANSLATE(B10203,""en"",""fr"")"),"Les filles interprètent la séquence par elles-mêmes.")</f>
        <v>Les filles interprètent la séquence par elles-mêmes.</v>
      </c>
    </row>
    <row r="10204">
      <c r="A10204" s="4" t="s">
        <v>12829</v>
      </c>
      <c r="B10204" s="4" t="s">
        <v>12830</v>
      </c>
      <c r="C10204" s="5" t="str">
        <f>IFERROR(__xludf.DUMMYFUNCTION("GOOGLETRANSLATE(B10204,""en"",""fr"")"),"Un joueur d'une équipe de lecture effectue un tir gratuit sur le devant un but de football, et les joueurs marquent.")</f>
        <v>Un joueur d'une équipe de lecture effectue un tir gratuit sur le devant un but de football, et les joueurs marquent.</v>
      </c>
    </row>
    <row r="10205">
      <c r="A10205" s="4" t="s">
        <v>12829</v>
      </c>
      <c r="B10205" s="4" t="s">
        <v>12831</v>
      </c>
      <c r="C10205" s="5" t="str">
        <f>IFERROR(__xludf.DUMMYFUNCTION("GOOGLETRANSLATE(B10205,""en"",""fr"")"),"Encore une fois, un joueur portant des scores de t-shirts rouges, et les joueurs sautent et se serrent étreintes pour célébrer.")</f>
        <v>Encore une fois, un joueur portant des scores de t-shirts rouges, et les joueurs sautent et se serrent étreintes pour célébrer.</v>
      </c>
    </row>
    <row r="10206">
      <c r="A10206" s="4" t="s">
        <v>12829</v>
      </c>
      <c r="B10206" s="4" t="s">
        <v>12832</v>
      </c>
      <c r="C10206" s="5" t="str">
        <f>IFERROR(__xludf.DUMMYFUNCTION("GOOGLETRANSLATE(B10206,""en"",""fr"")"),"Ensuite, un joueur avec des t-shirts blancs et les équipes continuent de jouer.")</f>
        <v>Ensuite, un joueur avec des t-shirts blancs et les équipes continuent de jouer.</v>
      </c>
    </row>
    <row r="10207">
      <c r="A10207" s="4" t="s">
        <v>12829</v>
      </c>
      <c r="B10207" s="4" t="s">
        <v>12833</v>
      </c>
      <c r="C10207" s="5" t="str">
        <f>IFERROR(__xludf.DUMMYFUNCTION("GOOGLETRANSLATE(B10207,""en"",""fr"")"),"L'équipe rouge marque à nouveau et les gens célèbrent.")</f>
        <v>L'équipe rouge marque à nouveau et les gens célèbrent.</v>
      </c>
    </row>
    <row r="10208">
      <c r="A10208" s="4" t="s">
        <v>12834</v>
      </c>
      <c r="B10208" s="6" t="s">
        <v>12835</v>
      </c>
      <c r="C10208" s="5" t="str">
        <f>IFERROR(__xludf.DUMMYFUNCTION("GOOGLETRANSLATE(B10208,""en"",""fr"")"),"La femme court pour faire un saut en hauteur et commencer à marcher et la femme fait le même saut en hauteur 3 fois.")</f>
        <v>La femme court pour faire un saut en hauteur et commencer à marcher et la femme fait le même saut en hauteur 3 fois.</v>
      </c>
    </row>
    <row r="10209">
      <c r="A10209" s="4" t="s">
        <v>12834</v>
      </c>
      <c r="B10209" s="4" t="s">
        <v>12836</v>
      </c>
      <c r="C10209" s="5" t="str">
        <f>IFERROR(__xludf.DUMMYFUNCTION("GOOGLETRANSLATE(B10209,""en"",""fr"")"),"La femme lâche les cheveux se trouve sur le sol et détache les chaussures.")</f>
        <v>La femme lâche les cheveux se trouve sur le sol et détache les chaussures.</v>
      </c>
    </row>
    <row r="10210">
      <c r="A10210" s="4" t="s">
        <v>12837</v>
      </c>
      <c r="B10210" s="4" t="s">
        <v>12838</v>
      </c>
      <c r="C10210" s="5" t="str">
        <f>IFERROR(__xludf.DUMMYFUNCTION("GOOGLETRANSLATE(B10210,""en"",""fr"")"),"Les gens se tiennent sur une corde lâche et le traversent sur une plage.")</f>
        <v>Les gens se tiennent sur une corde lâche et le traversent sur une plage.</v>
      </c>
    </row>
    <row r="10211">
      <c r="A10211" s="4" t="s">
        <v>12837</v>
      </c>
      <c r="B10211" s="4" t="s">
        <v>12839</v>
      </c>
      <c r="C10211" s="5" t="str">
        <f>IFERROR(__xludf.DUMMYFUNCTION("GOOGLETRANSLATE(B10211,""en"",""fr"")"),"Un homme tombe dans la saleté.")</f>
        <v>Un homme tombe dans la saleté.</v>
      </c>
    </row>
    <row r="10212">
      <c r="A10212" s="4" t="s">
        <v>12837</v>
      </c>
      <c r="B10212" s="4" t="s">
        <v>12840</v>
      </c>
      <c r="C10212" s="5" t="str">
        <f>IFERROR(__xludf.DUMMYFUNCTION("GOOGLETRANSLATE(B10212,""en"",""fr"")"),"Un homme enlève sa chemise et la jette sur le sable.")</f>
        <v>Un homme enlève sa chemise et la jette sur le sable.</v>
      </c>
    </row>
    <row r="10213">
      <c r="A10213" s="4" t="s">
        <v>12837</v>
      </c>
      <c r="B10213" s="4" t="s">
        <v>12841</v>
      </c>
      <c r="C10213" s="5" t="str">
        <f>IFERROR(__xludf.DUMMYFUNCTION("GOOGLETRANSLATE(B10213,""en"",""fr"")"),"Un homme continue de faire des astuces sur la corde lâche.")</f>
        <v>Un homme continue de faire des astuces sur la corde lâche.</v>
      </c>
    </row>
    <row r="10214">
      <c r="A10214" s="4" t="s">
        <v>12842</v>
      </c>
      <c r="B10214" s="4" t="s">
        <v>12843</v>
      </c>
      <c r="C10214" s="5" t="str">
        <f>IFERROR(__xludf.DUMMYFUNCTION("GOOGLETRANSLATE(B10214,""en"",""fr"")"),"Les personnages de Dragon Ball Z se crient les uns contre les autres les uns contre les autres.")</f>
        <v>Les personnages de Dragon Ball Z se crient les uns contre les autres les uns contre les autres.</v>
      </c>
    </row>
    <row r="10215">
      <c r="A10215" s="4" t="s">
        <v>12842</v>
      </c>
      <c r="B10215" s="4" t="s">
        <v>12844</v>
      </c>
      <c r="C10215" s="5" t="str">
        <f>IFERROR(__xludf.DUMMYFUNCTION("GOOGLETRANSLATE(B10215,""en"",""fr"")"),"Ils commencent à jouer des ciseaux en papier rock pour voir qui gagnera.")</f>
        <v>Ils commencent à jouer des ciseaux en papier rock pour voir qui gagnera.</v>
      </c>
    </row>
    <row r="10216">
      <c r="A10216" s="4" t="s">
        <v>12842</v>
      </c>
      <c r="B10216" s="4" t="s">
        <v>12845</v>
      </c>
      <c r="C10216" s="5" t="str">
        <f>IFERROR(__xludf.DUMMYFUNCTION("GOOGLETRANSLATE(B10216,""en"",""fr"")"),"Ils ont des observateurs debout très stressés sur la façon dont cela finira.")</f>
        <v>Ils ont des observateurs debout très stressés sur la façon dont cela finira.</v>
      </c>
    </row>
    <row r="10217">
      <c r="A10217" s="4" t="s">
        <v>12842</v>
      </c>
      <c r="B10217" s="4" t="s">
        <v>12846</v>
      </c>
      <c r="C10217" s="5" t="str">
        <f>IFERROR(__xludf.DUMMYFUNCTION("GOOGLETRANSLATE(B10217,""en"",""fr"")"),"Ils continuent de jouer et l'un des autres personnages commence à se mettre en colère.")</f>
        <v>Ils continuent de jouer et l'un des autres personnages commence à se mettre en colère.</v>
      </c>
    </row>
    <row r="10218">
      <c r="A10218" s="4" t="s">
        <v>12847</v>
      </c>
      <c r="B10218" s="4" t="s">
        <v>12848</v>
      </c>
      <c r="C10218" s="5" t="str">
        <f>IFERROR(__xludf.DUMMYFUNCTION("GOOGLETRANSLATE(B10218,""en"",""fr"")"),"Deux femmes se tiennent derrière une jeune femme qui est assise sur une chaise en train de se coiffer.")</f>
        <v>Deux femmes se tiennent derrière une jeune femme qui est assise sur une chaise en train de se coiffer.</v>
      </c>
    </row>
    <row r="10219">
      <c r="A10219" s="4" t="s">
        <v>12847</v>
      </c>
      <c r="B10219" s="4" t="s">
        <v>12849</v>
      </c>
      <c r="C10219" s="5" t="str">
        <f>IFERROR(__xludf.DUMMYFUNCTION("GOOGLETRANSLATE(B10219,""en"",""fr"")"),"La vidéo commence par une page de titre montrant qu'une vidéo d'une couture polyvalente est sur le point de faire.")</f>
        <v>La vidéo commence par une page de titre montrant qu'une vidéo d'une couture polyvalente est sur le point de faire.</v>
      </c>
    </row>
    <row r="10220">
      <c r="A10220" s="4" t="s">
        <v>12847</v>
      </c>
      <c r="B10220" s="6" t="s">
        <v>12850</v>
      </c>
      <c r="C10220" s="5" t="str">
        <f>IFERROR(__xludf.DUMMYFUNCTION("GOOGLETRANSLATE(B10220,""en"",""fr"")"),"Première image, le motif de tresse est montré sur la tête des individus car certains de ses cheveux sont laissés sur le périmètre de sa tête.")</f>
        <v>Première image, le motif de tresse est montré sur la tête des individus car certains de ses cheveux sont laissés sur le périmètre de sa tête.</v>
      </c>
    </row>
    <row r="10221">
      <c r="A10221" s="4" t="s">
        <v>12847</v>
      </c>
      <c r="B10221" s="4" t="s">
        <v>12851</v>
      </c>
      <c r="C10221" s="5" t="str">
        <f>IFERROR(__xludf.DUMMYFUNCTION("GOOGLETRANSLATE(B10221,""en"",""fr"")"),"Une dame attrape ensuite le tissage, une aiguille et commence à coudre dans les cheveux.")</f>
        <v>Une dame attrape ensuite le tissage, une aiguille et commence à coudre dans les cheveux.</v>
      </c>
    </row>
    <row r="10222">
      <c r="A10222" s="4" t="s">
        <v>12847</v>
      </c>
      <c r="B10222" s="6" t="s">
        <v>12852</v>
      </c>
      <c r="C10222" s="5" t="str">
        <f>IFERROR(__xludf.DUMMYFUNCTION("GOOGLETRANSLATE(B10222,""en"",""fr"")"),"Une fois qu'elle montre comment la couture est sécurisée, le produit fini est affiché et la fille a maintenant de longs cheveux bouclés.")</f>
        <v>Une fois qu'elle montre comment la couture est sécurisée, le produit fini est affiché et la fille a maintenant de longs cheveux bouclés.</v>
      </c>
    </row>
    <row r="10223">
      <c r="A10223" s="4" t="s">
        <v>12853</v>
      </c>
      <c r="B10223" s="4" t="s">
        <v>12854</v>
      </c>
      <c r="C10223" s="5" t="str">
        <f>IFERROR(__xludf.DUMMYFUNCTION("GOOGLETRANSLATE(B10223,""en"",""fr"")"),"Un homme se tient debout et parle à l'intérieur d'un gymnase à la caméra.")</f>
        <v>Un homme se tient debout et parle à l'intérieur d'un gymnase à la caméra.</v>
      </c>
    </row>
    <row r="10224">
      <c r="A10224" s="4" t="s">
        <v>12853</v>
      </c>
      <c r="B10224" s="4" t="s">
        <v>12855</v>
      </c>
      <c r="C10224" s="5" t="str">
        <f>IFERROR(__xludf.DUMMYFUNCTION("GOOGLETRANSLATE(B10224,""en"",""fr"")"),"Il se tient sur la surface ouverte, dansant d'avant en arrière.")</f>
        <v>Il se tient sur la surface ouverte, dansant d'avant en arrière.</v>
      </c>
    </row>
    <row r="10225">
      <c r="A10225" s="4" t="s">
        <v>12853</v>
      </c>
      <c r="B10225" s="4" t="s">
        <v>12856</v>
      </c>
      <c r="C10225" s="5" t="str">
        <f>IFERROR(__xludf.DUMMYFUNCTION("GOOGLETRANSLATE(B10225,""en"",""fr"")"),"Il démontre plusieurs mouvements au fur et à mesure.")</f>
        <v>Il démontre plusieurs mouvements au fur et à mesure.</v>
      </c>
    </row>
    <row r="10226">
      <c r="A10226" s="4" t="s">
        <v>12857</v>
      </c>
      <c r="B10226" s="4" t="s">
        <v>12858</v>
      </c>
      <c r="C10226" s="5" t="str">
        <f>IFERROR(__xludf.DUMMYFUNCTION("GOOGLETRANSLATE(B10226,""en"",""fr"")"),"Une femme en costume bronzée parle.")</f>
        <v>Une femme en costume bronzée parle.</v>
      </c>
    </row>
    <row r="10227">
      <c r="A10227" s="4" t="s">
        <v>12857</v>
      </c>
      <c r="B10227" s="4" t="s">
        <v>12859</v>
      </c>
      <c r="C10227" s="5" t="str">
        <f>IFERROR(__xludf.DUMMYFUNCTION("GOOGLETRANSLATE(B10227,""en"",""fr"")"),"Un homme en chemise verte joue au tennis alors qu'il était assis par terre.")</f>
        <v>Un homme en chemise verte joue au tennis alors qu'il était assis par terre.</v>
      </c>
    </row>
    <row r="10228">
      <c r="A10228" s="4" t="s">
        <v>12857</v>
      </c>
      <c r="B10228" s="4" t="s">
        <v>12860</v>
      </c>
      <c r="C10228" s="5" t="str">
        <f>IFERROR(__xludf.DUMMYFUNCTION("GOOGLETRANSLATE(B10228,""en"",""fr"")"),"Les gens marchent le long d'un trottoir.")</f>
        <v>Les gens marchent le long d'un trottoir.</v>
      </c>
    </row>
    <row r="10229">
      <c r="A10229" s="4" t="s">
        <v>12857</v>
      </c>
      <c r="B10229" s="4" t="s">
        <v>12861</v>
      </c>
      <c r="C10229" s="5" t="str">
        <f>IFERROR(__xludf.DUMMYFUNCTION("GOOGLETRANSLATE(B10229,""en"",""fr"")"),"L'homme dans la chemise verte parle dans un microphone.")</f>
        <v>L'homme dans la chemise verte parle dans un microphone.</v>
      </c>
    </row>
    <row r="10230">
      <c r="A10230" s="4" t="s">
        <v>12857</v>
      </c>
      <c r="B10230" s="4" t="s">
        <v>12862</v>
      </c>
      <c r="C10230" s="5" t="str">
        <f>IFERROR(__xludf.DUMMYFUNCTION("GOOGLETRANSLATE(B10230,""en"",""fr"")"),"Un homme dans une chemise violette parle ensuite dans le microphone.")</f>
        <v>Un homme dans une chemise violette parle ensuite dans le microphone.</v>
      </c>
    </row>
    <row r="10231">
      <c r="A10231" s="4" t="s">
        <v>12857</v>
      </c>
      <c r="B10231" s="4" t="s">
        <v>12863</v>
      </c>
      <c r="C10231" s="5" t="str">
        <f>IFERROR(__xludf.DUMMYFUNCTION("GOOGLETRANSLATE(B10231,""en"",""fr"")"),"L'homme en chemise verte continue de jouer au tennis.")</f>
        <v>L'homme en chemise verte continue de jouer au tennis.</v>
      </c>
    </row>
    <row r="10232">
      <c r="A10232" s="4" t="s">
        <v>12864</v>
      </c>
      <c r="B10232" s="4" t="s">
        <v>12865</v>
      </c>
      <c r="C10232" s="5" t="str">
        <f>IFERROR(__xludf.DUMMYFUNCTION("GOOGLETRANSLATE(B10232,""en"",""fr"")"),"Une gymnaste portant un uniforme rouge et blanc se prépare à monter un cheval pommel pour son exercice.")</f>
        <v>Une gymnaste portant un uniforme rouge et blanc se prépare à monter un cheval pommel pour son exercice.</v>
      </c>
    </row>
    <row r="10233">
      <c r="A10233" s="4" t="s">
        <v>12864</v>
      </c>
      <c r="B10233" s="4" t="s">
        <v>12866</v>
      </c>
      <c r="C10233" s="5" t="str">
        <f>IFERROR(__xludf.DUMMYFUNCTION("GOOGLETRANSLATE(B10233,""en"",""fr"")"),"Le gymnaste saute sur le cheval Pommel et commence par des mouvements de ciseaux.")</f>
        <v>Le gymnaste saute sur le cheval Pommel et commence par des mouvements de ciseaux.</v>
      </c>
    </row>
    <row r="10234">
      <c r="A10234" s="4" t="s">
        <v>12864</v>
      </c>
      <c r="B10234" s="4" t="s">
        <v>12867</v>
      </c>
      <c r="C10234" s="5" t="str">
        <f>IFERROR(__xludf.DUMMYFUNCTION("GOOGLETRANSLATE(B10234,""en"",""fr"")"),"Le gymnaste se déplace dans un exercice de rotation sur le cheval de pommeau.")</f>
        <v>Le gymnaste se déplace dans un exercice de rotation sur le cheval de pommeau.</v>
      </c>
    </row>
    <row r="10235">
      <c r="A10235" s="4" t="s">
        <v>12864</v>
      </c>
      <c r="B10235" s="4" t="s">
        <v>12868</v>
      </c>
      <c r="C10235" s="5" t="str">
        <f>IFERROR(__xludf.DUMMYFUNCTION("GOOGLETRANSLATE(B10235,""en"",""fr"")"),"Le gymnaste se déplace dans un support à main en marchant avec ses mains.")</f>
        <v>Le gymnaste se déplace dans un support à main en marchant avec ses mains.</v>
      </c>
    </row>
    <row r="10236">
      <c r="A10236" s="4" t="s">
        <v>12864</v>
      </c>
      <c r="B10236" s="4" t="s">
        <v>12869</v>
      </c>
      <c r="C10236" s="5" t="str">
        <f>IFERROR(__xludf.DUMMYFUNCTION("GOOGLETRANSLATE(B10236,""en"",""fr"")"),"La gymnaste va de la main à sa démonstration.")</f>
        <v>La gymnaste va de la main à sa démonstration.</v>
      </c>
    </row>
    <row r="10237">
      <c r="A10237" s="4" t="s">
        <v>12870</v>
      </c>
      <c r="B10237" s="6" t="s">
        <v>12871</v>
      </c>
      <c r="C10237" s="5" t="str">
        <f>IFERROR(__xludf.DUMMYFUNCTION("GOOGLETRANSLATE(B10237,""en"",""fr"")"),"Un homme est dans le gymnase en serré, il se penche pour ramasser un poids au-dessus de sa tête et le baisse.")</f>
        <v>Un homme est dans le gymnase en serré, il se penche pour ramasser un poids au-dessus de sa tête et le baisse.</v>
      </c>
    </row>
    <row r="10238">
      <c r="A10238" s="4" t="s">
        <v>12870</v>
      </c>
      <c r="B10238" s="4" t="s">
        <v>12872</v>
      </c>
      <c r="C10238" s="5" t="str">
        <f>IFERROR(__xludf.DUMMYFUNCTION("GOOGLETRANSLATE(B10238,""en"",""fr"")"),"Il revient et se déchaîne avant de revenir et de le refaire en ajoutant plus de poids.")</f>
        <v>Il revient et se déchaîne avant de revenir et de le refaire en ajoutant plus de poids.</v>
      </c>
    </row>
    <row r="10239">
      <c r="A10239" s="4" t="s">
        <v>12870</v>
      </c>
      <c r="B10239" s="4" t="s">
        <v>12873</v>
      </c>
      <c r="C10239" s="5" t="str">
        <f>IFERROR(__xludf.DUMMYFUNCTION("GOOGLETRANSLATE(B10239,""en"",""fr"")"),"Il le fait plusieurs fois en ajoutant de plus en plus de poids au rack.")</f>
        <v>Il le fait plusieurs fois en ajoutant de plus en plus de poids au rack.</v>
      </c>
    </row>
    <row r="10240">
      <c r="A10240" s="4" t="s">
        <v>12870</v>
      </c>
      <c r="B10240" s="4" t="s">
        <v>12874</v>
      </c>
      <c r="C10240" s="5" t="str">
        <f>IFERROR(__xludf.DUMMYFUNCTION("GOOGLETRANSLATE(B10240,""en"",""fr"")"),"Il soulève enfin 374 livres et l'appelle.")</f>
        <v>Il soulève enfin 374 livres et l'appelle.</v>
      </c>
    </row>
    <row r="10241">
      <c r="A10241" s="4" t="s">
        <v>12875</v>
      </c>
      <c r="B10241" s="4" t="s">
        <v>12876</v>
      </c>
      <c r="C10241" s="5" t="str">
        <f>IFERROR(__xludf.DUMMYFUNCTION("GOOGLETRANSLATE(B10241,""en"",""fr"")"),"Un homme frappe un frisbee à un chien.")</f>
        <v>Un homme frappe un frisbee à un chien.</v>
      </c>
    </row>
    <row r="10242">
      <c r="A10242" s="4" t="s">
        <v>12875</v>
      </c>
      <c r="B10242" s="4" t="s">
        <v>12877</v>
      </c>
      <c r="C10242" s="5" t="str">
        <f>IFERROR(__xludf.DUMMYFUNCTION("GOOGLETRANSLATE(B10242,""en"",""fr"")"),"Le chien fait diverses astuces tout en attrapant le frisbee.")</f>
        <v>Le chien fait diverses astuces tout en attrapant le frisbee.</v>
      </c>
    </row>
    <row r="10243">
      <c r="A10243" s="4" t="s">
        <v>12875</v>
      </c>
      <c r="B10243" s="4" t="s">
        <v>12878</v>
      </c>
      <c r="C10243" s="5" t="str">
        <f>IFERROR(__xludf.DUMMYFUNCTION("GOOGLETRANSLATE(B10243,""en"",""fr"")"),"Le chien saute de l'homme pour attraper le jouet.")</f>
        <v>Le chien saute de l'homme pour attraper le jouet.</v>
      </c>
    </row>
    <row r="10244">
      <c r="A10244" s="4" t="s">
        <v>12875</v>
      </c>
      <c r="B10244" s="4" t="s">
        <v>12879</v>
      </c>
      <c r="C10244" s="5" t="str">
        <f>IFERROR(__xludf.DUMMYFUNCTION("GOOGLETRANSLATE(B10244,""en"",""fr"")"),"Plusieurs autres chiens font également des astuces pour attraper le jouet.")</f>
        <v>Plusieurs autres chiens font également des astuces pour attraper le jouet.</v>
      </c>
    </row>
    <row r="10245">
      <c r="A10245" s="4" t="s">
        <v>12875</v>
      </c>
      <c r="B10245" s="4" t="s">
        <v>12880</v>
      </c>
      <c r="C10245" s="5" t="str">
        <f>IFERROR(__xludf.DUMMYFUNCTION("GOOGLETRANSLATE(B10245,""en"",""fr"")"),"Un homme fait basculer un chien sur un jouet.")</f>
        <v>Un homme fait basculer un chien sur un jouet.</v>
      </c>
    </row>
    <row r="10246">
      <c r="A10246" s="4" t="s">
        <v>12881</v>
      </c>
      <c r="B10246" s="4" t="s">
        <v>1487</v>
      </c>
      <c r="C10246" s="5" t="str">
        <f>IFERROR(__xludf.DUMMYFUNCTION("GOOGLETRANSLATE(B10246,""en"",""fr"")"),"Nous voyons un écran de titre d'ouverture.")</f>
        <v>Nous voyons un écran de titre d'ouverture.</v>
      </c>
    </row>
    <row r="10247">
      <c r="A10247" s="4" t="s">
        <v>12881</v>
      </c>
      <c r="B10247" s="4" t="s">
        <v>12882</v>
      </c>
      <c r="C10247" s="5" t="str">
        <f>IFERROR(__xludf.DUMMYFUNCTION("GOOGLETRANSLATE(B10247,""en"",""fr"")"),"Nous voyons des étapes pour sculpter une citrouille.")</f>
        <v>Nous voyons des étapes pour sculpter une citrouille.</v>
      </c>
    </row>
    <row r="10248">
      <c r="A10248" s="4" t="s">
        <v>12881</v>
      </c>
      <c r="B10248" s="4" t="s">
        <v>12883</v>
      </c>
      <c r="C10248" s="5" t="str">
        <f>IFERROR(__xludf.DUMMYFUNCTION("GOOGLETRANSLATE(B10248,""en"",""fr"")"),"Une personne nettoie une citrouille.")</f>
        <v>Une personne nettoie une citrouille.</v>
      </c>
    </row>
    <row r="10249">
      <c r="A10249" s="4" t="s">
        <v>12881</v>
      </c>
      <c r="B10249" s="4" t="s">
        <v>12884</v>
      </c>
      <c r="C10249" s="5" t="str">
        <f>IFERROR(__xludf.DUMMYFUNCTION("GOOGLETRANSLATE(B10249,""en"",""fr"")"),"Nous voyons un pas et une personne sculpte la citrouille.")</f>
        <v>Nous voyons un pas et une personne sculpte la citrouille.</v>
      </c>
    </row>
    <row r="10250">
      <c r="A10250" s="4" t="s">
        <v>12881</v>
      </c>
      <c r="B10250" s="4" t="s">
        <v>12885</v>
      </c>
      <c r="C10250" s="5" t="str">
        <f>IFERROR(__xludf.DUMMYFUNCTION("GOOGLETRANSLATE(B10250,""en"",""fr"")"),"Nous voyons une autre étape et la personne utilise des bits sculptés pour faire des oreilles de chat.")</f>
        <v>Nous voyons une autre étape et la personne utilise des bits sculptés pour faire des oreilles de chat.</v>
      </c>
    </row>
    <row r="10251">
      <c r="A10251" s="4" t="s">
        <v>12881</v>
      </c>
      <c r="B10251" s="4" t="s">
        <v>777</v>
      </c>
      <c r="C10251" s="5" t="str">
        <f>IFERROR(__xludf.DUMMYFUNCTION("GOOGLETRANSLATE(B10251,""en"",""fr"")"),"Nous voyons l'écran du titre de fin.")</f>
        <v>Nous voyons l'écran du titre de fin.</v>
      </c>
    </row>
    <row r="10252">
      <c r="A10252" s="4" t="s">
        <v>12886</v>
      </c>
      <c r="B10252" s="4" t="s">
        <v>12887</v>
      </c>
      <c r="C10252" s="5" t="str">
        <f>IFERROR(__xludf.DUMMYFUNCTION("GOOGLETRANSLATE(B10252,""en"",""fr"")"),"Un gros plan d'un mélangeur est vu avec divers ingrédients à l'intérieur.")</f>
        <v>Un gros plan d'un mélangeur est vu avec divers ingrédients à l'intérieur.</v>
      </c>
    </row>
    <row r="10253">
      <c r="A10253" s="4" t="s">
        <v>12886</v>
      </c>
      <c r="B10253" s="4" t="s">
        <v>12888</v>
      </c>
      <c r="C10253" s="5" t="str">
        <f>IFERROR(__xludf.DUMMYFUNCTION("GOOGLETRANSLATE(B10253,""en"",""fr"")"),"La main d'une personne mélange ensuite le mélange et éloigne sa main de la caméra.")</f>
        <v>La main d'une personne mélange ensuite le mélange et éloigne sa main de la caméra.</v>
      </c>
    </row>
    <row r="10254">
      <c r="A10254" s="4" t="s">
        <v>12889</v>
      </c>
      <c r="B10254" s="4" t="s">
        <v>12890</v>
      </c>
      <c r="C10254" s="5" t="str">
        <f>IFERROR(__xludf.DUMMYFUNCTION("GOOGLETRANSLATE(B10254,""en"",""fr"")"),"Une femme est vue avec des marques sur sa langue et une personne plaçant des serviettes en papier sur sa langue.")</f>
        <v>Une femme est vue avec des marques sur sa langue et une personne plaçant des serviettes en papier sur sa langue.</v>
      </c>
    </row>
    <row r="10255">
      <c r="A10255" s="4" t="s">
        <v>12889</v>
      </c>
      <c r="B10255" s="4" t="s">
        <v>12891</v>
      </c>
      <c r="C10255" s="5" t="str">
        <f>IFERROR(__xludf.DUMMYFUNCTION("GOOGLETRANSLATE(B10255,""en"",""fr"")"),"L'homme perce ensuite la langue des filles et elle regarde la caméra en souriant.")</f>
        <v>L'homme perce ensuite la langue des filles et elle regarde la caméra en souriant.</v>
      </c>
    </row>
    <row r="10256">
      <c r="A10256" s="4" t="s">
        <v>12892</v>
      </c>
      <c r="B10256" s="4" t="s">
        <v>12893</v>
      </c>
      <c r="C10256" s="5" t="str">
        <f>IFERROR(__xludf.DUMMYFUNCTION("GOOGLETRANSLATE(B10256,""en"",""fr"")"),"Un homme torse nu est debout sur le porche tout en enseignant comment construire un feu de redneck.")</f>
        <v>Un homme torse nu est debout sur le porche tout en enseignant comment construire un feu de redneck.</v>
      </c>
    </row>
    <row r="10257">
      <c r="A10257" s="4" t="s">
        <v>12892</v>
      </c>
      <c r="B10257" s="4" t="s">
        <v>12894</v>
      </c>
      <c r="C10257" s="5" t="str">
        <f>IFERROR(__xludf.DUMMYFUNCTION("GOOGLETRANSLATE(B10257,""en"",""fr"")"),"Il montre une bouteille de bière et quelques autres canettes d'alcool.")</f>
        <v>Il montre une bouteille de bière et quelques autres canettes d'alcool.</v>
      </c>
    </row>
    <row r="10258">
      <c r="A10258" s="4" t="s">
        <v>12892</v>
      </c>
      <c r="B10258" s="4" t="s">
        <v>12895</v>
      </c>
      <c r="C10258" s="5" t="str">
        <f>IFERROR(__xludf.DUMMYFUNCTION("GOOGLETRANSLATE(B10258,""en"",""fr"")"),"Il démontre un feu de camp qu'il a mis en place dans une fosse.")</f>
        <v>Il démontre un feu de camp qu'il a mis en place dans une fosse.</v>
      </c>
    </row>
    <row r="10259">
      <c r="A10259" s="4" t="s">
        <v>12892</v>
      </c>
      <c r="B10259" s="4" t="s">
        <v>12896</v>
      </c>
      <c r="C10259" s="5" t="str">
        <f>IFERROR(__xludf.DUMMYFUNCTION("GOOGLETRANSLATE(B10259,""en"",""fr"")"),"Il y a trois hommes debout près de la fosse de feu de camp pour démontrer la troisième étape.")</f>
        <v>Il y a trois hommes debout près de la fosse de feu de camp pour démontrer la troisième étape.</v>
      </c>
    </row>
    <row r="10260">
      <c r="A10260" s="4" t="s">
        <v>12892</v>
      </c>
      <c r="B10260" s="4" t="s">
        <v>12897</v>
      </c>
      <c r="C10260" s="5" t="str">
        <f>IFERROR(__xludf.DUMMYFUNCTION("GOOGLETRANSLATE(B10260,""en"",""fr"")"),"L'un des hommes ramasse une boîte d'essence et la nôtre dans la fosse de feu de camp.")</f>
        <v>L'un des hommes ramasse une boîte d'essence et la nôtre dans la fosse de feu de camp.</v>
      </c>
    </row>
    <row r="10261">
      <c r="A10261" s="4" t="s">
        <v>12892</v>
      </c>
      <c r="B10261" s="4" t="s">
        <v>12898</v>
      </c>
      <c r="C10261" s="5" t="str">
        <f>IFERROR(__xludf.DUMMYFUNCTION("GOOGLETRANSLATE(B10261,""en"",""fr"")"),"Un autre homme allume le feu de joie pour commencer le feu.")</f>
        <v>Un autre homme allume le feu de joie pour commencer le feu.</v>
      </c>
    </row>
    <row r="10262">
      <c r="A10262" s="4" t="s">
        <v>12892</v>
      </c>
      <c r="B10262" s="4" t="s">
        <v>12899</v>
      </c>
      <c r="C10262" s="5" t="str">
        <f>IFERROR(__xludf.DUMMYFUNCTION("GOOGLETRANSLATE(B10262,""en"",""fr"")"),"Le feu de joie continue de brûler alors que les feux d'artifice créent dans la fosse.")</f>
        <v>Le feu de joie continue de brûler alors que les feux d'artifice créent dans la fosse.</v>
      </c>
    </row>
    <row r="10263">
      <c r="A10263" s="4" t="s">
        <v>12892</v>
      </c>
      <c r="B10263" s="4" t="s">
        <v>12900</v>
      </c>
      <c r="C10263" s="5" t="str">
        <f>IFERROR(__xludf.DUMMYFUNCTION("GOOGLETRANSLATE(B10263,""en"",""fr"")"),"L'un des instructeurs revient et pointe vers le feu de camp de redneck.")</f>
        <v>L'un des instructeurs revient et pointe vers le feu de camp de redneck.</v>
      </c>
    </row>
    <row r="10264">
      <c r="A10264" s="4" t="s">
        <v>12901</v>
      </c>
      <c r="B10264" s="4" t="s">
        <v>12902</v>
      </c>
      <c r="C10264" s="5" t="str">
        <f>IFERROR(__xludf.DUMMYFUNCTION("GOOGLETRANSLATE(B10264,""en"",""fr"")"),"Les gens sont assis dans des tampants bleus.")</f>
        <v>Les gens sont assis dans des tampants bleus.</v>
      </c>
    </row>
    <row r="10265">
      <c r="A10265" s="4" t="s">
        <v>12901</v>
      </c>
      <c r="B10265" s="4" t="s">
        <v>12903</v>
      </c>
      <c r="C10265" s="5" t="str">
        <f>IFERROR(__xludf.DUMMYFUNCTION("GOOGLETRANSLATE(B10265,""en"",""fr"")"),"Ils conduisent et se heurtent les uns aux autres.")</f>
        <v>Ils conduisent et se heurtent les uns aux autres.</v>
      </c>
    </row>
    <row r="10266">
      <c r="A10266" s="4" t="s">
        <v>12901</v>
      </c>
      <c r="B10266" s="4" t="s">
        <v>12904</v>
      </c>
      <c r="C10266" s="5" t="str">
        <f>IFERROR(__xludf.DUMMYFUNCTION("GOOGLETRANSLATE(B10266,""en"",""fr"")"),"Un petit garçon dans un chapeau agite à la caméra.")</f>
        <v>Un petit garçon dans un chapeau agite à la caméra.</v>
      </c>
    </row>
    <row r="10267">
      <c r="A10267" s="4" t="s">
        <v>12905</v>
      </c>
      <c r="B10267" s="4" t="s">
        <v>12906</v>
      </c>
      <c r="C10267" s="5" t="str">
        <f>IFERROR(__xludf.DUMMYFUNCTION("GOOGLETRANSLATE(B10267,""en"",""fr"")"),"Une paire de baskets Dirty Nike est vue sur un comptoir.")</f>
        <v>Une paire de baskets Dirty Nike est vue sur un comptoir.</v>
      </c>
    </row>
    <row r="10268">
      <c r="A10268" s="4" t="s">
        <v>12905</v>
      </c>
      <c r="B10268" s="4" t="s">
        <v>12907</v>
      </c>
      <c r="C10268" s="5" t="str">
        <f>IFERROR(__xludf.DUMMYFUNCTION("GOOGLETRANSLATE(B10268,""en"",""fr"")"),"Un homme remplit un bol d'eau, puis ajoute une solution de nettoyage.")</f>
        <v>Un homme remplit un bol d'eau, puis ajoute une solution de nettoyage.</v>
      </c>
    </row>
    <row r="10269">
      <c r="A10269" s="4" t="s">
        <v>12905</v>
      </c>
      <c r="B10269" s="4" t="s">
        <v>12908</v>
      </c>
      <c r="C10269" s="5" t="str">
        <f>IFERROR(__xludf.DUMMYFUNCTION("GOOGLETRANSLATE(B10269,""en"",""fr"")"),"Il utilise une brosse pour nettoyer les chaussures propres.")</f>
        <v>Il utilise une brosse pour nettoyer les chaussures propres.</v>
      </c>
    </row>
    <row r="10270">
      <c r="A10270" s="4" t="s">
        <v>12909</v>
      </c>
      <c r="B10270" s="4" t="s">
        <v>12910</v>
      </c>
      <c r="C10270" s="5" t="str">
        <f>IFERROR(__xludf.DUMMYFUNCTION("GOOGLETRANSLATE(B10270,""en"",""fr"")"),"Un homme est assis devant des moniteurs vidéo et des équipements connexes.")</f>
        <v>Un homme est assis devant des moniteurs vidéo et des équipements connexes.</v>
      </c>
    </row>
    <row r="10271">
      <c r="A10271" s="4" t="s">
        <v>12909</v>
      </c>
      <c r="B10271" s="4" t="s">
        <v>12911</v>
      </c>
      <c r="C10271" s="5" t="str">
        <f>IFERROR(__xludf.DUMMYFUNCTION("GOOGLETRANSLATE(B10271,""en"",""fr"")"),"Il nous rappelle que lorsque nous étions jeunes, nous n'avions pas peur d'essayer parce que nous avons aimé.")</f>
        <v>Il nous rappelle que lorsque nous étions jeunes, nous n'avions pas peur d'essayer parce que nous avons aimé.</v>
      </c>
    </row>
    <row r="10272">
      <c r="A10272" s="4" t="s">
        <v>12909</v>
      </c>
      <c r="B10272" s="6" t="s">
        <v>12912</v>
      </c>
      <c r="C10272" s="5" t="str">
        <f>IFERROR(__xludf.DUMMYFUNCTION("GOOGLETRANSLATE(B10272,""en"",""fr"")"),"Nous voyons ensuite des enfants jouer au football avec des joueurs plus âgés, s'amuser évidemment.")</f>
        <v>Nous voyons ensuite des enfants jouer au football avec des joueurs plus âgés, s'amuser évidemment.</v>
      </c>
    </row>
    <row r="10273">
      <c r="A10273" s="4" t="s">
        <v>12909</v>
      </c>
      <c r="B10273" s="4" t="s">
        <v>12913</v>
      </c>
      <c r="C10273" s="5" t="str">
        <f>IFERROR(__xludf.DUMMYFUNCTION("GOOGLETRANSLATE(B10273,""en"",""fr"")"),"Nous voyons à nouveau l'homme, qui nous conseille de ne jamais grandir.")</f>
        <v>Nous voyons à nouveau l'homme, qui nous conseille de ne jamais grandir.</v>
      </c>
    </row>
    <row r="10274">
      <c r="A10274" s="4" t="s">
        <v>12914</v>
      </c>
      <c r="B10274" s="4" t="s">
        <v>12915</v>
      </c>
      <c r="C10274" s="5" t="str">
        <f>IFERROR(__xludf.DUMMYFUNCTION("GOOGLETRANSLATE(B10274,""en"",""fr"")"),"Il y a quatre femmes qui dansent pour une danse chorégraphiée sur une musique hip hop dans un studio.")</f>
        <v>Il y a quatre femmes qui dansent pour une danse chorégraphiée sur une musique hip hop dans un studio.</v>
      </c>
    </row>
    <row r="10275">
      <c r="A10275" s="4" t="s">
        <v>12914</v>
      </c>
      <c r="B10275" s="4" t="s">
        <v>12916</v>
      </c>
      <c r="C10275" s="5" t="str">
        <f>IFERROR(__xludf.DUMMYFUNCTION("GOOGLETRANSLATE(B10275,""en"",""fr"")"),"Ils suivent un rythme synchronisé et rythmique pour suivre les mêmes étapes que le reste des danseurs.")</f>
        <v>Ils suivent un rythme synchronisé et rythmique pour suivre les mêmes étapes que le reste des danseurs.</v>
      </c>
    </row>
    <row r="10276">
      <c r="A10276" s="4" t="s">
        <v>12914</v>
      </c>
      <c r="B10276" s="6" t="s">
        <v>12917</v>
      </c>
      <c r="C10276" s="5" t="str">
        <f>IFERROR(__xludf.DUMMYFUNCTION("GOOGLETRANSLATE(B10276,""en"",""fr"")"),"Ils continuent de suivre les étapes l'une après l'autre d'une manière structurée où tout le monde secoue les mains et les jambes rythmiquement.")</f>
        <v>Ils continuent de suivre les étapes l'une après l'autre d'une manière structurée où tout le monde secoue les mains et les jambes rythmiquement.</v>
      </c>
    </row>
    <row r="10277">
      <c r="A10277" s="4" t="s">
        <v>12914</v>
      </c>
      <c r="B10277" s="6" t="s">
        <v>12918</v>
      </c>
      <c r="C10277" s="5" t="str">
        <f>IFERROR(__xludf.DUMMYFUNCTION("GOOGLETRANSLATE(B10277,""en"",""fr"")"),"Leurs mouvements de danse changent à mesure que la musique change et qu'ils ralentissent ou se déplacent plus vite en fonction du rythme de la chanson.")</f>
        <v>Leurs mouvements de danse changent à mesure que la musique change et qu'ils ralentissent ou se déplacent plus vite en fonction du rythme de la chanson.</v>
      </c>
    </row>
    <row r="10278">
      <c r="A10278" s="4" t="s">
        <v>12919</v>
      </c>
      <c r="B10278" s="6" t="s">
        <v>12920</v>
      </c>
      <c r="C10278" s="5" t="str">
        <f>IFERROR(__xludf.DUMMYFUNCTION("GOOGLETRANSLATE(B10278,""en"",""fr"")"),"Une photo immobile d'un homme pris dans les airs sur le point d'attaquer un sac de punch, une photo en noir et blanc de femme donnant un coup de pied dans le sac de coup de poing, deux hommes à testeries nues dans une position de boxe, une silhouette d'un"&amp;" homme donnant un coup de pied à une personne floue, deux Des hommes dans un ring de boxe, deux hommes tenant une ceinture de championnat avec la main recouverte de gants de boxe.")</f>
        <v>Une photo immobile d'un homme pris dans les airs sur le point d'attaquer un sac de punch, une photo en noir et blanc de femme donnant un coup de pied dans le sac de coup de poing, deux hommes à testeries nues dans une position de boxe, une silhouette d'un homme donnant un coup de pied à une personne floue, deux Des hommes dans un ring de boxe, deux hommes tenant une ceinture de championnat avec la main recouverte de gants de boxe.</v>
      </c>
    </row>
    <row r="10279">
      <c r="A10279" s="4" t="s">
        <v>12919</v>
      </c>
      <c r="B10279" s="4" t="s">
        <v>12921</v>
      </c>
      <c r="C10279" s="5" t="str">
        <f>IFERROR(__xludf.DUMMYFUNCTION("GOOGLETRANSLATE(B10279,""en"",""fr"")"),"Un homme en short bleu donne un coup de pied au padvrage porté par l'autre homme en short noir.")</f>
        <v>Un homme en short bleu donne un coup de pied au padvrage porté par l'autre homme en short noir.</v>
      </c>
    </row>
    <row r="10280">
      <c r="A10280" s="4" t="s">
        <v>12919</v>
      </c>
      <c r="B10280" s="4" t="s">
        <v>12922</v>
      </c>
      <c r="C10280" s="5" t="str">
        <f>IFERROR(__xludf.DUMMYFUNCTION("GOOGLETRANSLATE(B10280,""en"",""fr"")"),"Deux hommes qui sont barichés se boxent à l'extérieur du ring de boxe.")</f>
        <v>Deux hommes qui sont barichés se boxent à l'extérieur du ring de boxe.</v>
      </c>
    </row>
    <row r="10281">
      <c r="A10281" s="4" t="s">
        <v>12923</v>
      </c>
      <c r="B10281" s="4" t="s">
        <v>12924</v>
      </c>
      <c r="C10281" s="5" t="str">
        <f>IFERROR(__xludf.DUMMYFUNCTION("GOOGLETRANSLATE(B10281,""en"",""fr"")"),"Un homme entre dans une voiture tenant une mallette.")</f>
        <v>Un homme entre dans une voiture tenant une mallette.</v>
      </c>
    </row>
    <row r="10282">
      <c r="A10282" s="4" t="s">
        <v>12923</v>
      </c>
      <c r="B10282" s="4" t="s">
        <v>12925</v>
      </c>
      <c r="C10282" s="5" t="str">
        <f>IFERROR(__xludf.DUMMYFUNCTION("GOOGLETRANSLATE(B10282,""en"",""fr"")"),"Ensuite, l'homme fume une cigarette au pouvoir et une infirmière lui donne des papiers.")</f>
        <v>Ensuite, l'homme fume une cigarette au pouvoir et une infirmière lui donne des papiers.</v>
      </c>
    </row>
    <row r="10283">
      <c r="A10283" s="4" t="s">
        <v>12923</v>
      </c>
      <c r="B10283" s="4" t="s">
        <v>12926</v>
      </c>
      <c r="C10283" s="5" t="str">
        <f>IFERROR(__xludf.DUMMYFUNCTION("GOOGLETRANSLATE(B10283,""en"",""fr"")"),"Après, une femme élégante fume puis sourit.")</f>
        <v>Après, une femme élégante fume puis sourit.</v>
      </c>
    </row>
    <row r="10284">
      <c r="A10284" s="4" t="s">
        <v>12927</v>
      </c>
      <c r="B10284" s="4" t="s">
        <v>12928</v>
      </c>
      <c r="C10284" s="5" t="str">
        <f>IFERROR(__xludf.DUMMYFUNCTION("GOOGLETRANSLATE(B10284,""en"",""fr"")"),"Les gens radelaient sur une rivière Stony sur des bateaux gonflables.")</f>
        <v>Les gens radelaient sur une rivière Stony sur des bateaux gonflables.</v>
      </c>
    </row>
    <row r="10285">
      <c r="A10285" s="4" t="s">
        <v>12927</v>
      </c>
      <c r="B10285" s="4" t="s">
        <v>12929</v>
      </c>
      <c r="C10285" s="5" t="str">
        <f>IFERROR(__xludf.DUMMYFUNCTION("GOOGLETRANSLATE(B10285,""en"",""fr"")"),"Deux hommes sont dans l'eau et d'autres hommes aident à entrer dans le bateau.")</f>
        <v>Deux hommes sont dans l'eau et d'autres hommes aident à entrer dans le bateau.</v>
      </c>
    </row>
    <row r="10286">
      <c r="A10286" s="4" t="s">
        <v>12927</v>
      </c>
      <c r="B10286" s="4" t="s">
        <v>12930</v>
      </c>
      <c r="C10286" s="5" t="str">
        <f>IFERROR(__xludf.DUMMYFUNCTION("GOOGLETRANSLATE(B10286,""en"",""fr"")"),"Les hommes passent entre les hautes montagnes.")</f>
        <v>Les hommes passent entre les hautes montagnes.</v>
      </c>
    </row>
    <row r="10287">
      <c r="A10287" s="4" t="s">
        <v>12931</v>
      </c>
      <c r="B10287" s="6" t="s">
        <v>12932</v>
      </c>
      <c r="C10287" s="5" t="str">
        <f>IFERROR(__xludf.DUMMYFUNCTION("GOOGLETRANSLATE(B10287,""en"",""fr"")"),"Une femme enlève la neige sur le dessus d'une voiture à l'aide d'une brosse, enlève également la neige sur les fenêtres latérales et la fenêtre arrière.")</f>
        <v>Une femme enlève la neige sur le dessus d'une voiture à l'aide d'une brosse, enlève également la neige sur les fenêtres latérales et la fenêtre arrière.</v>
      </c>
    </row>
    <row r="10288">
      <c r="A10288" s="4" t="s">
        <v>12931</v>
      </c>
      <c r="B10288" s="6" t="s">
        <v>12933</v>
      </c>
      <c r="C10288" s="5" t="str">
        <f>IFERROR(__xludf.DUMMYFUNCTION("GOOGLETRANSLATE(B10288,""en"",""fr"")"),"Après, la femme continue de prendre de la neige du capot de la voiture et de la fenêtre avant qui a beaucoup de neige.")</f>
        <v>Après, la femme continue de prendre de la neige du capot de la voiture et de la fenêtre avant qui a beaucoup de neige.</v>
      </c>
    </row>
    <row r="10289">
      <c r="A10289" s="4" t="s">
        <v>12934</v>
      </c>
      <c r="B10289" s="4" t="s">
        <v>12935</v>
      </c>
      <c r="C10289" s="5" t="str">
        <f>IFERROR(__xludf.DUMMYFUNCTION("GOOGLETRANSLATE(B10289,""en"",""fr"")"),"Une personne mélange des boissons derrière un bar.")</f>
        <v>Une personne mélange des boissons derrière un bar.</v>
      </c>
    </row>
    <row r="10290">
      <c r="A10290" s="4" t="s">
        <v>12934</v>
      </c>
      <c r="B10290" s="4" t="s">
        <v>12936</v>
      </c>
      <c r="C10290" s="5" t="str">
        <f>IFERROR(__xludf.DUMMYFUNCTION("GOOGLETRANSLATE(B10290,""en"",""fr"")"),"Une personne joue à un jeu de shuffleboard.")</f>
        <v>Une personne joue à un jeu de shuffleboard.</v>
      </c>
    </row>
    <row r="10291">
      <c r="A10291" s="4" t="s">
        <v>12934</v>
      </c>
      <c r="B10291" s="4" t="s">
        <v>1599</v>
      </c>
      <c r="C10291" s="5" t="str">
        <f>IFERROR(__xludf.DUMMYFUNCTION("GOOGLETRANSLATE(B10291,""en"",""fr"")"),"Les mots sont affichés à l'écran.")</f>
        <v>Les mots sont affichés à l'écran.</v>
      </c>
    </row>
    <row r="10292">
      <c r="A10292" s="4" t="s">
        <v>12937</v>
      </c>
      <c r="B10292" s="4" t="s">
        <v>12938</v>
      </c>
      <c r="C10292" s="5" t="str">
        <f>IFERROR(__xludf.DUMMYFUNCTION("GOOGLETRANSLATE(B10292,""en"",""fr"")"),"Une équipe joue au hockey sur glace devant un stade bondé.")</f>
        <v>Une équipe joue au hockey sur glace devant un stade bondé.</v>
      </c>
    </row>
    <row r="10293">
      <c r="A10293" s="4" t="s">
        <v>12937</v>
      </c>
      <c r="B10293" s="4" t="s">
        <v>12939</v>
      </c>
      <c r="C10293" s="5" t="str">
        <f>IFERROR(__xludf.DUMMYFUNCTION("GOOGLETRANSLATE(B10293,""en"",""fr"")"),"Les joueurs sont montrés s'écraser les uns dans les autres.")</f>
        <v>Les joueurs sont montrés s'écraser les uns dans les autres.</v>
      </c>
    </row>
    <row r="10294">
      <c r="A10294" s="4" t="s">
        <v>12937</v>
      </c>
      <c r="B10294" s="6" t="s">
        <v>12940</v>
      </c>
      <c r="C10294" s="5" t="str">
        <f>IFERROR(__xludf.DUMMYFUNCTION("GOOGLETRANSLATE(B10294,""en"",""fr"")"),"Un compte à rebours de dix est montré comme nous voyons des bêtiseurs de différents événements sportifs, du hockey, au baseball, au football et au basket-ball alors que les gens tombent et font des erreurs.")</f>
        <v>Un compte à rebours de dix est montré comme nous voyons des bêtiseurs de différents événements sportifs, du hockey, au baseball, au football et au basket-ball alors que les gens tombent et font des erreurs.</v>
      </c>
    </row>
    <row r="10295">
      <c r="A10295" s="4" t="s">
        <v>12941</v>
      </c>
      <c r="B10295" s="4" t="s">
        <v>12942</v>
      </c>
      <c r="C10295" s="5" t="str">
        <f>IFERROR(__xludf.DUMMYFUNCTION("GOOGLETRANSLATE(B10295,""en"",""fr"")"),"Des mots sont affichés à travers l'écran qui lisent comment faire le sandwich parfait.")</f>
        <v>Des mots sont affichés à travers l'écran qui lisent comment faire le sandwich parfait.</v>
      </c>
    </row>
    <row r="10296">
      <c r="A10296" s="4" t="s">
        <v>12941</v>
      </c>
      <c r="B10296" s="6" t="s">
        <v>12943</v>
      </c>
      <c r="C10296" s="5" t="str">
        <f>IFERROR(__xludf.DUMMYFUNCTION("GOOGLETRANSLATE(B10296,""en"",""fr"")"),"Les ingrédients dont vous aurez besoin sont le pain, le fromage, le jambon, la viande de charcuterie de dinde, la kraft réelle mayo, la moutarde brun épicée, l'assaisonnement et un couteau.")</f>
        <v>Les ingrédients dont vous aurez besoin sont le pain, le fromage, le jambon, la viande de charcuterie de dinde, la kraft réelle mayo, la moutarde brun épicée, l'assaisonnement et un couteau.</v>
      </c>
    </row>
    <row r="10297">
      <c r="A10297" s="4" t="s">
        <v>12941</v>
      </c>
      <c r="B10297" s="6" t="s">
        <v>12944</v>
      </c>
      <c r="C10297" s="5" t="str">
        <f>IFERROR(__xludf.DUMMYFUNCTION("GOOGLETRANSLATE(B10297,""en"",""fr"")"),"Étalez la mayonnaise sur les deux tranches de pain, puis mettez la moutarde et le fromage sur les deux tranches de pain, puis menez du jambon, puis de la viande de dinde et ajoutez d'autres assaisonnements à votre goût.")</f>
        <v>Étalez la mayonnaise sur les deux tranches de pain, puis mettez la moutarde et le fromage sur les deux tranches de pain, puis menez du jambon, puis de la viande de dinde et ajoutez d'autres assaisonnements à votre goût.</v>
      </c>
    </row>
    <row r="10298">
      <c r="A10298" s="4" t="s">
        <v>12945</v>
      </c>
      <c r="B10298" s="4" t="s">
        <v>12946</v>
      </c>
      <c r="C10298" s="5" t="str">
        <f>IFERROR(__xludf.DUMMYFUNCTION("GOOGLETRANSLATE(B10298,""en"",""fr"")"),"Un petit enfant est vu tenant un bâton et se balançant sur une pinata.")</f>
        <v>Un petit enfant est vu tenant un bâton et se balançant sur une pinata.</v>
      </c>
    </row>
    <row r="10299">
      <c r="A10299" s="4" t="s">
        <v>12945</v>
      </c>
      <c r="B10299" s="4" t="s">
        <v>12947</v>
      </c>
      <c r="C10299" s="5" t="str">
        <f>IFERROR(__xludf.DUMMYFUNCTION("GOOGLETRANSLATE(B10299,""en"",""fr"")"),"Une fille est vue les yeux bandés un autre tandis qu'un homme joue avec la caméra sur le côté.")</f>
        <v>Une fille est vue les yeux bandés un autre tandis qu'un homme joue avec la caméra sur le côté.</v>
      </c>
    </row>
    <row r="10300">
      <c r="A10300" s="4" t="s">
        <v>12945</v>
      </c>
      <c r="B10300" s="4" t="s">
        <v>12948</v>
      </c>
      <c r="C10300" s="5" t="str">
        <f>IFERROR(__xludf.DUMMYFUNCTION("GOOGLETRANSLATE(B10300,""en"",""fr"")"),"L'homme tient le bâton et les gestes à la fille sur le côté.")</f>
        <v>L'homme tient le bâton et les gestes à la fille sur le côté.</v>
      </c>
    </row>
    <row r="10301">
      <c r="A10301" s="4" t="s">
        <v>12949</v>
      </c>
      <c r="B10301" s="4" t="s">
        <v>12950</v>
      </c>
      <c r="C10301" s="5" t="str">
        <f>IFERROR(__xludf.DUMMYFUNCTION("GOOGLETRANSLATE(B10301,""en"",""fr"")"),"Deux hommes qui se correspondent mutuellement jouent un jeu de balle de raquette.")</f>
        <v>Deux hommes qui se correspondent mutuellement jouent un jeu de balle de raquette.</v>
      </c>
    </row>
    <row r="10302">
      <c r="A10302" s="4" t="s">
        <v>12949</v>
      </c>
      <c r="B10302" s="4" t="s">
        <v>12951</v>
      </c>
      <c r="C10302" s="5" t="str">
        <f>IFERROR(__xludf.DUMMYFUNCTION("GOOGLETRANSLATE(B10302,""en"",""fr"")"),"Ils se trouvent dans une zone de cour fermée en salle jouant au jeu.")</f>
        <v>Ils se trouvent dans une zone de cour fermée en salle jouant au jeu.</v>
      </c>
    </row>
    <row r="10303">
      <c r="A10303" s="4" t="s">
        <v>12949</v>
      </c>
      <c r="B10303" s="4" t="s">
        <v>12952</v>
      </c>
      <c r="C10303" s="5" t="str">
        <f>IFERROR(__xludf.DUMMYFUNCTION("GOOGLETRANSLATE(B10303,""en"",""fr"")"),"Ils se déplacent partout sur le terrain en essayant de frapper le ballon.")</f>
        <v>Ils se déplacent partout sur le terrain en essayant de frapper le ballon.</v>
      </c>
    </row>
    <row r="10304">
      <c r="A10304" s="4" t="s">
        <v>12949</v>
      </c>
      <c r="B10304" s="4" t="s">
        <v>12953</v>
      </c>
      <c r="C10304" s="5" t="str">
        <f>IFERROR(__xludf.DUMMYFUNCTION("GOOGLETRANSLATE(B10304,""en"",""fr"")"),"L'homme chauve commence à sortir du terrain en souriant.")</f>
        <v>L'homme chauve commence à sortir du terrain en souriant.</v>
      </c>
    </row>
    <row r="10305">
      <c r="A10305" s="4" t="s">
        <v>12954</v>
      </c>
      <c r="B10305" s="4" t="s">
        <v>12955</v>
      </c>
      <c r="C10305" s="5" t="str">
        <f>IFERROR(__xludf.DUMMYFUNCTION("GOOGLETRANSLATE(B10305,""en"",""fr"")"),"Une présentatrice de nouvelles féminines parle d'un clip qui sera montré.")</f>
        <v>Une présentatrice de nouvelles féminines parle d'un clip qui sera montré.</v>
      </c>
    </row>
    <row r="10306">
      <c r="A10306" s="4" t="s">
        <v>12954</v>
      </c>
      <c r="B10306" s="4" t="s">
        <v>12956</v>
      </c>
      <c r="C10306" s="5" t="str">
        <f>IFERROR(__xludf.DUMMYFUNCTION("GOOGLETRANSLATE(B10306,""en"",""fr"")"),"Les singes skient derrière un bateau dans l'eau.")</f>
        <v>Les singes skient derrière un bateau dans l'eau.</v>
      </c>
    </row>
    <row r="10307">
      <c r="A10307" s="4" t="s">
        <v>12954</v>
      </c>
      <c r="B10307" s="4" t="s">
        <v>12957</v>
      </c>
      <c r="C10307" s="5" t="str">
        <f>IFERROR(__xludf.DUMMYFUNCTION("GOOGLETRANSLATE(B10307,""en"",""fr"")"),"Un autre singe est vu conduire un bateau-vitesse tirant un singe de ski.")</f>
        <v>Un autre singe est vu conduire un bateau-vitesse tirant un singe de ski.</v>
      </c>
    </row>
    <row r="10308">
      <c r="A10308" s="4" t="s">
        <v>12954</v>
      </c>
      <c r="B10308" s="4" t="s">
        <v>12958</v>
      </c>
      <c r="C10308" s="5" t="str">
        <f>IFERROR(__xludf.DUMMYFUNCTION("GOOGLETRANSLATE(B10308,""en"",""fr"")"),"Plusieurs personnes regardent et prennent des photos et des vidéos depuis le rivage.")</f>
        <v>Plusieurs personnes regardent et prennent des photos et des vidéos depuis le rivage.</v>
      </c>
    </row>
    <row r="10309">
      <c r="A10309" s="4" t="s">
        <v>12954</v>
      </c>
      <c r="B10309" s="4" t="s">
        <v>12959</v>
      </c>
      <c r="C10309" s="5" t="str">
        <f>IFERROR(__xludf.DUMMYFUNCTION("GOOGLETRANSLATE(B10309,""en"",""fr"")"),"Le singe conduisant le bateau à vitesse est à nouveau illustré.")</f>
        <v>Le singe conduisant le bateau à vitesse est à nouveau illustré.</v>
      </c>
    </row>
    <row r="10310">
      <c r="A10310" s="4" t="s">
        <v>12954</v>
      </c>
      <c r="B10310" s="4" t="s">
        <v>12960</v>
      </c>
      <c r="C10310" s="5" t="str">
        <f>IFERROR(__xludf.DUMMYFUNCTION("GOOGLETRANSLATE(B10310,""en"",""fr"")"),"Le singe fait tourner le volant avec le bateau en mouvement.")</f>
        <v>Le singe fait tourner le volant avec le bateau en mouvement.</v>
      </c>
    </row>
    <row r="10311">
      <c r="A10311" s="4" t="s">
        <v>12954</v>
      </c>
      <c r="B10311" s="4" t="s">
        <v>12961</v>
      </c>
      <c r="C10311" s="5" t="str">
        <f>IFERROR(__xludf.DUMMYFUNCTION("GOOGLETRANSLATE(B10311,""en"",""fr"")"),"Le singe conduit ensuite le bateau à un ensemble de bouées où trois personnes l'attendent.")</f>
        <v>Le singe conduit ensuite le bateau à un ensemble de bouées où trois personnes l'attendent.</v>
      </c>
    </row>
    <row r="10312">
      <c r="A10312" s="4" t="s">
        <v>12954</v>
      </c>
      <c r="B10312" s="4" t="s">
        <v>12962</v>
      </c>
      <c r="C10312" s="5" t="str">
        <f>IFERROR(__xludf.DUMMYFUNCTION("GOOGLETRANSLATE(B10312,""en"",""fr"")"),"Trois présentateurs de nouvelles discutent des singes.")</f>
        <v>Trois présentateurs de nouvelles discutent des singes.</v>
      </c>
    </row>
    <row r="10313">
      <c r="A10313" s="4" t="s">
        <v>12963</v>
      </c>
      <c r="B10313" s="4" t="s">
        <v>12964</v>
      </c>
      <c r="C10313" s="5" t="str">
        <f>IFERROR(__xludf.DUMMYFUNCTION("GOOGLETRANSLATE(B10313,""en"",""fr"")"),"Un jeune garçon est vu attraper une balle et se diriger vers l'avant en parlant à la caméra.")</f>
        <v>Un jeune garçon est vu attraper une balle et se diriger vers l'avant en parlant à la caméra.</v>
      </c>
    </row>
    <row r="10314">
      <c r="A10314" s="4" t="s">
        <v>12963</v>
      </c>
      <c r="B10314" s="4" t="s">
        <v>12965</v>
      </c>
      <c r="C10314" s="5" t="str">
        <f>IFERROR(__xludf.DUMMYFUNCTION("GOOGLETRANSLATE(B10314,""en"",""fr"")"),"Il est ensuite vu dans un tir tenant un bâton et frappant une balle.")</f>
        <v>Il est ensuite vu dans un tir tenant un bâton et frappant une balle.</v>
      </c>
    </row>
    <row r="10315">
      <c r="A10315" s="4" t="s">
        <v>12963</v>
      </c>
      <c r="B10315" s="4" t="s">
        <v>12966</v>
      </c>
      <c r="C10315" s="5" t="str">
        <f>IFERROR(__xludf.DUMMYFUNCTION("GOOGLETRANSLATE(B10315,""en"",""fr"")"),"Il continue de frapper le ballon dans un but Wile en regardant la caméra.")</f>
        <v>Il continue de frapper le ballon dans un but Wile en regardant la caméra.</v>
      </c>
    </row>
    <row r="10316">
      <c r="A10316" s="4" t="s">
        <v>12967</v>
      </c>
      <c r="B10316" s="4" t="s">
        <v>12968</v>
      </c>
      <c r="C10316" s="5" t="str">
        <f>IFERROR(__xludf.DUMMYFUNCTION("GOOGLETRANSLATE(B10316,""en"",""fr"")"),"Un homme et une femme se tiennent près d'un piano.")</f>
        <v>Un homme et une femme se tiennent près d'un piano.</v>
      </c>
    </row>
    <row r="10317">
      <c r="A10317" s="4" t="s">
        <v>12967</v>
      </c>
      <c r="B10317" s="4" t="s">
        <v>12969</v>
      </c>
      <c r="C10317" s="5" t="str">
        <f>IFERROR(__xludf.DUMMYFUNCTION("GOOGLETRANSLATE(B10317,""en"",""fr"")"),"L'homme et la femme jouent ensemble du piano.")</f>
        <v>L'homme et la femme jouent ensemble du piano.</v>
      </c>
    </row>
    <row r="10318">
      <c r="A10318" s="4" t="s">
        <v>12967</v>
      </c>
      <c r="B10318" s="4" t="s">
        <v>12970</v>
      </c>
      <c r="C10318" s="5" t="str">
        <f>IFERROR(__xludf.DUMMYFUNCTION("GOOGLETRANSLATE(B10318,""en"",""fr"")"),"Ils changent de place et continuent de jouer du piano.")</f>
        <v>Ils changent de place et continuent de jouer du piano.</v>
      </c>
    </row>
    <row r="10319">
      <c r="A10319" s="4" t="s">
        <v>12967</v>
      </c>
      <c r="B10319" s="4" t="s">
        <v>12971</v>
      </c>
      <c r="C10319" s="5" t="str">
        <f>IFERROR(__xludf.DUMMYFUNCTION("GOOGLETRANSLATE(B10319,""en"",""fr"")"),"Ils changent de place à nouveau, rapidement.")</f>
        <v>Ils changent de place à nouveau, rapidement.</v>
      </c>
    </row>
    <row r="10320">
      <c r="A10320" s="4" t="s">
        <v>12967</v>
      </c>
      <c r="B10320" s="4" t="s">
        <v>12972</v>
      </c>
      <c r="C10320" s="5" t="str">
        <f>IFERROR(__xludf.DUMMYFUNCTION("GOOGLETRANSLATE(B10320,""en"",""fr"")"),"Ils recommencent, riant ensemble.")</f>
        <v>Ils recommencent, riant ensemble.</v>
      </c>
    </row>
    <row r="10321">
      <c r="A10321" s="4" t="s">
        <v>12967</v>
      </c>
      <c r="B10321" s="4" t="s">
        <v>12973</v>
      </c>
      <c r="C10321" s="5" t="str">
        <f>IFERROR(__xludf.DUMMYFUNCTION("GOOGLETRANSLATE(B10321,""en"",""fr"")"),"Finalement, ils finissent et repartent ensemble joyeusement.")</f>
        <v>Finalement, ils finissent et repartent ensemble joyeusement.</v>
      </c>
    </row>
    <row r="10322">
      <c r="A10322" s="4" t="s">
        <v>12974</v>
      </c>
      <c r="B10322" s="4" t="s">
        <v>12975</v>
      </c>
      <c r="C10322" s="5" t="str">
        <f>IFERROR(__xludf.DUMMYFUNCTION("GOOGLETRANSLATE(B10322,""en"",""fr"")"),"Une femme est assise près d'une fenêtre en tricoter un morceau blanc.")</f>
        <v>Une femme est assise près d'une fenêtre en tricoter un morceau blanc.</v>
      </c>
    </row>
    <row r="10323">
      <c r="A10323" s="4" t="s">
        <v>12974</v>
      </c>
      <c r="B10323" s="4" t="s">
        <v>12976</v>
      </c>
      <c r="C10323" s="5" t="str">
        <f>IFERROR(__xludf.DUMMYFUNCTION("GOOGLETRANSLATE(B10323,""en"",""fr"")"),"La femme occupe un livre de motifs avec une image de la pièce sur laquelle elle travaille.")</f>
        <v>La femme occupe un livre de motifs avec une image de la pièce sur laquelle elle travaille.</v>
      </c>
    </row>
    <row r="10324">
      <c r="A10324" s="4" t="s">
        <v>12974</v>
      </c>
      <c r="B10324" s="4" t="s">
        <v>12977</v>
      </c>
      <c r="C10324" s="5" t="str">
        <f>IFERROR(__xludf.DUMMYFUNCTION("GOOGLETRANSLATE(B10324,""en"",""fr"")"),"La femme continue son tricot.")</f>
        <v>La femme continue son tricot.</v>
      </c>
    </row>
    <row r="10325">
      <c r="A10325" s="4" t="s">
        <v>12974</v>
      </c>
      <c r="B10325" s="4" t="s">
        <v>12978</v>
      </c>
      <c r="C10325" s="5" t="str">
        <f>IFERROR(__xludf.DUMMYFUNCTION("GOOGLETRANSLATE(B10325,""en"",""fr"")"),"La femme montre son travail jusqu'à présent et continue de tricoter.")</f>
        <v>La femme montre son travail jusqu'à présent et continue de tricoter.</v>
      </c>
    </row>
    <row r="10326">
      <c r="A10326" s="4" t="s">
        <v>12979</v>
      </c>
      <c r="B10326" s="4" t="s">
        <v>12980</v>
      </c>
      <c r="C10326" s="5" t="str">
        <f>IFERROR(__xludf.DUMMYFUNCTION("GOOGLETRANSLATE(B10326,""en"",""fr"")"),"Un grand arc est allongé sur une table.")</f>
        <v>Un grand arc est allongé sur une table.</v>
      </c>
    </row>
    <row r="10327">
      <c r="A10327" s="4" t="s">
        <v>12979</v>
      </c>
      <c r="B10327" s="4" t="s">
        <v>12981</v>
      </c>
      <c r="C10327" s="5" t="str">
        <f>IFERROR(__xludf.DUMMYFUNCTION("GOOGLETRANSLATE(B10327,""en"",""fr"")"),"Les détails de gros plan de l'ensemble de tir à l'arc sont affichés.")</f>
        <v>Les détails de gros plan de l'ensemble de tir à l'arc sont affichés.</v>
      </c>
    </row>
    <row r="10328">
      <c r="A10328" s="4" t="s">
        <v>12979</v>
      </c>
      <c r="B10328" s="4" t="s">
        <v>12982</v>
      </c>
      <c r="C10328" s="5" t="str">
        <f>IFERROR(__xludf.DUMMYFUNCTION("GOOGLETRANSLATE(B10328,""en"",""fr"")"),"Un homme est montré en tirant en arrière et en flèche et en le laissant partir.")</f>
        <v>Un homme est montré en tirant en arrière et en flèche et en le laissant partir.</v>
      </c>
    </row>
    <row r="10329">
      <c r="A10329" s="4" t="s">
        <v>12983</v>
      </c>
      <c r="B10329" s="4" t="s">
        <v>12984</v>
      </c>
      <c r="C10329" s="5" t="str">
        <f>IFERROR(__xludf.DUMMYFUNCTION("GOOGLETRANSLATE(B10329,""en"",""fr"")"),"Un groupe de personnes roule dans les tamponneurs dans une énorme trajet en voiture dans un parc d'attractions.")</f>
        <v>Un groupe de personnes roule dans les tamponneurs dans une énorme trajet en voiture dans un parc d'attractions.</v>
      </c>
    </row>
    <row r="10330">
      <c r="A10330" s="4" t="s">
        <v>12983</v>
      </c>
      <c r="B10330" s="6" t="s">
        <v>12985</v>
      </c>
      <c r="C10330" s="5" t="str">
        <f>IFERROR(__xludf.DUMMYFUNCTION("GOOGLETRANSLATE(B10330,""en"",""fr"")"),"Deux voitures de pare-chocs jaunes sont coincées au milieu de la piste jusqu'à ce qu'elles se heurtent à une autre voiture.")</f>
        <v>Deux voitures de pare-chocs jaunes sont coincées au milieu de la piste jusqu'à ce qu'elles se heurtent à une autre voiture.</v>
      </c>
    </row>
    <row r="10331">
      <c r="A10331" s="4" t="s">
        <v>12983</v>
      </c>
      <c r="B10331" s="4" t="s">
        <v>12986</v>
      </c>
      <c r="C10331" s="5" t="str">
        <f>IFERROR(__xludf.DUMMYFUNCTION("GOOGLETRANSLATE(B10331,""en"",""fr"")"),"Le reste des chauffeurs de voiture continue de suivre le cours.")</f>
        <v>Le reste des chauffeurs de voiture continue de suivre le cours.</v>
      </c>
    </row>
    <row r="10332">
      <c r="A10332" s="4" t="s">
        <v>12987</v>
      </c>
      <c r="B10332" s="4" t="s">
        <v>12988</v>
      </c>
      <c r="C10332" s="5" t="str">
        <f>IFERROR(__xludf.DUMMYFUNCTION("GOOGLETRANSLATE(B10332,""en"",""fr"")"),"La main d'une femme est montrée en essuyant un écran en verre suivi de divers objets assis sur une table.")</f>
        <v>La main d'une femme est montrée en essuyant un écran en verre suivi de divers objets assis sur une table.</v>
      </c>
    </row>
    <row r="10333">
      <c r="A10333" s="4" t="s">
        <v>12987</v>
      </c>
      <c r="B10333" s="4" t="s">
        <v>12989</v>
      </c>
      <c r="C10333" s="5" t="str">
        <f>IFERROR(__xludf.DUMMYFUNCTION("GOOGLETRANSLATE(B10333,""en"",""fr"")"),"La femme pulvérise le verre et suit l'objet dans le verre.")</f>
        <v>La femme pulvérise le verre et suit l'objet dans le verre.</v>
      </c>
    </row>
    <row r="10334">
      <c r="A10334" s="4" t="s">
        <v>12987</v>
      </c>
      <c r="B10334" s="4" t="s">
        <v>12990</v>
      </c>
      <c r="C10334" s="5" t="str">
        <f>IFERROR(__xludf.DUMMYFUNCTION("GOOGLETRANSLATE(B10334,""en"",""fr"")"),"Elle le fait plusieurs fois et montre où se brancher et comment utiliser l'outil.")</f>
        <v>Elle le fait plusieurs fois et montre où se brancher et comment utiliser l'outil.</v>
      </c>
    </row>
    <row r="10335">
      <c r="A10335" s="4" t="s">
        <v>12991</v>
      </c>
      <c r="B10335" s="4" t="s">
        <v>12992</v>
      </c>
      <c r="C10335" s="5" t="str">
        <f>IFERROR(__xludf.DUMMYFUNCTION("GOOGLETRANSLATE(B10335,""en"",""fr"")"),"Un homme court sur une piste avec un javelot.")</f>
        <v>Un homme court sur une piste avec un javelot.</v>
      </c>
    </row>
    <row r="10336">
      <c r="A10336" s="4" t="s">
        <v>12991</v>
      </c>
      <c r="B10336" s="4" t="s">
        <v>5532</v>
      </c>
      <c r="C10336" s="5" t="str">
        <f>IFERROR(__xludf.DUMMYFUNCTION("GOOGLETRANSLATE(B10336,""en"",""fr"")"),"Il le jette aussi fort que possible.")</f>
        <v>Il le jette aussi fort que possible.</v>
      </c>
    </row>
    <row r="10337">
      <c r="A10337" s="4" t="s">
        <v>12991</v>
      </c>
      <c r="B10337" s="4" t="s">
        <v>12993</v>
      </c>
      <c r="C10337" s="5" t="str">
        <f>IFERROR(__xludf.DUMMYFUNCTION("GOOGLETRANSLATE(B10337,""en"",""fr"")"),"Nous le voyons jeter à nouveau au ralenti.")</f>
        <v>Nous le voyons jeter à nouveau au ralenti.</v>
      </c>
    </row>
    <row r="10338">
      <c r="A10338" s="4" t="s">
        <v>12994</v>
      </c>
      <c r="B10338" s="6" t="s">
        <v>12995</v>
      </c>
      <c r="C10338" s="5" t="str">
        <f>IFERROR(__xludf.DUMMYFUNCTION("GOOGLETRANSLATE(B10338,""en"",""fr"")"),"Un homme est assis sur une chaise sur la plage et est approché par un autre homme, le premier homme se lève et applique une lotion au deuxième homme.")</f>
        <v>Un homme est assis sur une chaise sur la plage et est approché par un autre homme, le premier homme se lève et applique une lotion au deuxième homme.</v>
      </c>
    </row>
    <row r="10339">
      <c r="A10339" s="4" t="s">
        <v>12994</v>
      </c>
      <c r="B10339" s="4" t="s">
        <v>12996</v>
      </c>
      <c r="C10339" s="5" t="str">
        <f>IFERROR(__xludf.DUMMYFUNCTION("GOOGLETRANSLATE(B10339,""en"",""fr"")"),"Une femme et un homme sont assis sur une serviette à la plage et un homme s'approche.")</f>
        <v>Une femme et un homme sont assis sur une serviette à la plage et un homme s'approche.</v>
      </c>
    </row>
    <row r="10340">
      <c r="A10340" s="4" t="s">
        <v>12994</v>
      </c>
      <c r="B10340" s="4" t="s">
        <v>12997</v>
      </c>
      <c r="C10340" s="5" t="str">
        <f>IFERROR(__xludf.DUMMYFUNCTION("GOOGLETRANSLATE(B10340,""en"",""fr"")"),"L'homme assis se lève et met la lotion sur l'homme qui s'est approché.")</f>
        <v>L'homme assis se lève et met la lotion sur l'homme qui s'est approché.</v>
      </c>
    </row>
    <row r="10341">
      <c r="A10341" s="4" t="s">
        <v>12994</v>
      </c>
      <c r="B10341" s="4" t="s">
        <v>12998</v>
      </c>
      <c r="C10341" s="5" t="str">
        <f>IFERROR(__xludf.DUMMYFUNCTION("GOOGLETRANSLATE(B10341,""en"",""fr"")"),"Cinq gars sont allongés sur la plage lorsqu'une femme s'approche d'eux.")</f>
        <v>Cinq gars sont allongés sur la plage lorsqu'une femme s'approche d'eux.</v>
      </c>
    </row>
    <row r="10342">
      <c r="A10342" s="4" t="s">
        <v>12994</v>
      </c>
      <c r="B10342" s="4" t="s">
        <v>12999</v>
      </c>
      <c r="C10342" s="5" t="str">
        <f>IFERROR(__xludf.DUMMYFUNCTION("GOOGLETRANSLATE(B10342,""en"",""fr"")"),"Un homme se lève et applique une lotion à la femme.")</f>
        <v>Un homme se lève et applique une lotion à la femme.</v>
      </c>
    </row>
    <row r="10343">
      <c r="A10343" s="4" t="s">
        <v>12994</v>
      </c>
      <c r="B10343" s="4" t="s">
        <v>13000</v>
      </c>
      <c r="C10343" s="5" t="str">
        <f>IFERROR(__xludf.DUMMYFUNCTION("GOOGLETRANSLATE(B10343,""en"",""fr"")"),"Cinq gars sont allongés sur des serviettes à la plage et un homme s'approche d'eux.")</f>
        <v>Cinq gars sont allongés sur des serviettes à la plage et un homme s'approche d'eux.</v>
      </c>
    </row>
    <row r="10344">
      <c r="A10344" s="4" t="s">
        <v>13001</v>
      </c>
      <c r="B10344" s="6" t="s">
        <v>13002</v>
      </c>
      <c r="C10344" s="5" t="str">
        <f>IFERROR(__xludf.DUMMYFUNCTION("GOOGLETRANSLATE(B10344,""en"",""fr"")"),"Un groupe de nageurs falaise plongea dans un plan d'eau entouré de spectateurs, de gros rochers, de bâtiments et de bateaux, dans une compétition jugée.")</f>
        <v>Un groupe de nageurs falaise plongea dans un plan d'eau entouré de spectateurs, de gros rochers, de bâtiments et de bateaux, dans une compétition jugée.</v>
      </c>
    </row>
    <row r="10345">
      <c r="A10345" s="4" t="s">
        <v>13001</v>
      </c>
      <c r="B10345" s="6" t="s">
        <v>13003</v>
      </c>
      <c r="C10345" s="5" t="str">
        <f>IFERROR(__xludf.DUMMYFUNCTION("GOOGLETRANSLATE(B10345,""en"",""fr"")"),"Les nageurs sautent d'une falaise en métal fabriquée dans l'homme enveloppé dans l'art et les graphiques publicitaires sponsorisés.")</f>
        <v>Les nageurs sautent d'une falaise en métal fabriquée dans l'homme enveloppé dans l'art et les graphiques publicitaires sponsorisés.</v>
      </c>
    </row>
    <row r="10346">
      <c r="A10346" s="4" t="s">
        <v>13001</v>
      </c>
      <c r="B10346" s="6" t="s">
        <v>13004</v>
      </c>
      <c r="C10346" s="5" t="str">
        <f>IFERROR(__xludf.DUMMYFUNCTION("GOOGLETRANSLATE(B10346,""en"",""fr"")"),"Un groupe de juges retient les tableaux de bord avec des chiffres alors que la voiture passe dans une rue voisine et les spectateurs s'asseyent côte à côte sur une observation du mur surélevé.")</f>
        <v>Un groupe de juges retient les tableaux de bord avec des chiffres alors que la voiture passe dans une rue voisine et les spectateurs s'asseyent côte à côte sur une observation du mur surélevé.</v>
      </c>
    </row>
    <row r="10347">
      <c r="A10347" s="4" t="s">
        <v>13001</v>
      </c>
      <c r="B10347" s="4" t="s">
        <v>13005</v>
      </c>
      <c r="C10347" s="5" t="str">
        <f>IFERROR(__xludf.DUMMYFUNCTION("GOOGLETRANSLATE(B10347,""en"",""fr"")"),"Deux nageurs s'embrassent tandis qu'un nageur saute de haut en bas et trois autres tiennent les trophées.")</f>
        <v>Deux nageurs s'embrassent tandis qu'un nageur saute de haut en bas et trois autres tiennent les trophées.</v>
      </c>
    </row>
    <row r="10348">
      <c r="A10348" s="4" t="s">
        <v>13006</v>
      </c>
      <c r="B10348" s="4" t="s">
        <v>13007</v>
      </c>
      <c r="C10348" s="5" t="str">
        <f>IFERROR(__xludf.DUMMYFUNCTION("GOOGLETRANSLATE(B10348,""en"",""fr"")"),"Un concert classique bien suivi est montré.")</f>
        <v>Un concert classique bien suivi est montré.</v>
      </c>
    </row>
    <row r="10349">
      <c r="A10349" s="4" t="s">
        <v>13006</v>
      </c>
      <c r="B10349" s="4" t="s">
        <v>13008</v>
      </c>
      <c r="C10349" s="5" t="str">
        <f>IFERROR(__xludf.DUMMYFUNCTION("GOOGLETRANSLATE(B10349,""en"",""fr"")"),"Le compositeur parle au public de la musique.")</f>
        <v>Le compositeur parle au public de la musique.</v>
      </c>
    </row>
    <row r="10350">
      <c r="A10350" s="4" t="s">
        <v>13006</v>
      </c>
      <c r="B10350" s="4" t="s">
        <v>13009</v>
      </c>
      <c r="C10350" s="5" t="str">
        <f>IFERROR(__xludf.DUMMYFUNCTION("GOOGLETRANSLATE(B10350,""en"",""fr"")"),"La foule applaudit et sourit.")</f>
        <v>La foule applaudit et sourit.</v>
      </c>
    </row>
    <row r="10351">
      <c r="A10351" s="4" t="s">
        <v>13006</v>
      </c>
      <c r="B10351" s="4" t="s">
        <v>13010</v>
      </c>
      <c r="C10351" s="5" t="str">
        <f>IFERROR(__xludf.DUMMYFUNCTION("GOOGLETRANSLATE(B10351,""en"",""fr"")"),"Le compositeur parle de la musique et de l'orchestre derrière lui.")</f>
        <v>Le compositeur parle de la musique et de l'orchestre derrière lui.</v>
      </c>
    </row>
    <row r="10352">
      <c r="A10352" s="4" t="s">
        <v>13006</v>
      </c>
      <c r="B10352" s="4" t="s">
        <v>13011</v>
      </c>
      <c r="C10352" s="5" t="str">
        <f>IFERROR(__xludf.DUMMYFUNCTION("GOOGLETRANSLATE(B10352,""en"",""fr"")"),"Un membre sort pour jouer du saxophone pour un solo alors que la foule applaudit.")</f>
        <v>Un membre sort pour jouer du saxophone pour un solo alors que la foule applaudit.</v>
      </c>
    </row>
    <row r="10353">
      <c r="A10353" s="4" t="s">
        <v>13006</v>
      </c>
      <c r="B10353" s="4" t="s">
        <v>13012</v>
      </c>
      <c r="C10353" s="5" t="str">
        <f>IFERROR(__xludf.DUMMYFUNCTION("GOOGLETRANSLATE(B10353,""en"",""fr"")"),"L'orchestre se joint progressivement pour une performance complète.")</f>
        <v>L'orchestre se joint progressivement pour une performance complète.</v>
      </c>
    </row>
    <row r="10354">
      <c r="A10354" s="4" t="s">
        <v>13006</v>
      </c>
      <c r="B10354" s="4" t="s">
        <v>13013</v>
      </c>
      <c r="C10354" s="5" t="str">
        <f>IFERROR(__xludf.DUMMYFUNCTION("GOOGLETRANSLATE(B10354,""en"",""fr"")"),"La chanson ralentit et se construit alors que la foule revient avec des coups.")</f>
        <v>La chanson ralentit et se construit alors que la foule revient avec des coups.</v>
      </c>
    </row>
    <row r="10355">
      <c r="A10355" s="4" t="s">
        <v>13006</v>
      </c>
      <c r="B10355" s="4" t="s">
        <v>13014</v>
      </c>
      <c r="C10355" s="5" t="str">
        <f>IFERROR(__xludf.DUMMYFUNCTION("GOOGLETRANSLATE(B10355,""en"",""fr"")"),"La chanson se termine et la foule applaudit ton torough.")</f>
        <v>La chanson se termine et la foule applaudit ton torough.</v>
      </c>
    </row>
    <row r="10356">
      <c r="A10356" s="4" t="s">
        <v>13006</v>
      </c>
      <c r="B10356" s="4" t="s">
        <v>13015</v>
      </c>
      <c r="C10356" s="5" t="str">
        <f>IFERROR(__xludf.DUMMYFUNCTION("GOOGLETRANSLATE(B10356,""en"",""fr"")"),"Le saxophoniste s'incline et retourne à son siège.")</f>
        <v>Le saxophoniste s'incline et retourne à son siège.</v>
      </c>
    </row>
    <row r="10357">
      <c r="A10357" s="4" t="s">
        <v>13016</v>
      </c>
      <c r="B10357" s="4" t="s">
        <v>13017</v>
      </c>
      <c r="C10357" s="5" t="str">
        <f>IFERROR(__xludf.DUMMYFUNCTION("GOOGLETRANSLATE(B10357,""en"",""fr"")"),"Une petite fille portant un chemisier rose se trouve sur un lit plissant les yeux.")</f>
        <v>Une petite fille portant un chemisier rose se trouve sur un lit plissant les yeux.</v>
      </c>
    </row>
    <row r="10358">
      <c r="A10358" s="4" t="s">
        <v>13016</v>
      </c>
      <c r="B10358" s="4" t="s">
        <v>13018</v>
      </c>
      <c r="C10358" s="5" t="str">
        <f>IFERROR(__xludf.DUMMYFUNCTION("GOOGLETRANSLATE(B10358,""en"",""fr"")"),"La petite fille met ensuite le rouge à lèvres violet sur ses lèvres.")</f>
        <v>La petite fille met ensuite le rouge à lèvres violet sur ses lèvres.</v>
      </c>
    </row>
    <row r="10359">
      <c r="A10359" s="4" t="s">
        <v>13016</v>
      </c>
      <c r="B10359" s="6" t="s">
        <v>13019</v>
      </c>
      <c r="C10359" s="5" t="str">
        <f>IFERROR(__xludf.DUMMYFUNCTION("GOOGLETRANSLATE(B10359,""en"",""fr"")"),"La petite fille continue de mettre du rouge à lèvres tout en parlant à l'homme de la caméra pour se maquiller.")</f>
        <v>La petite fille continue de mettre du rouge à lèvres tout en parlant à l'homme de la caméra pour se maquiller.</v>
      </c>
    </row>
    <row r="10360">
      <c r="A10360" s="4" t="s">
        <v>13020</v>
      </c>
      <c r="B10360" s="4" t="s">
        <v>13021</v>
      </c>
      <c r="C10360" s="5" t="str">
        <f>IFERROR(__xludf.DUMMYFUNCTION("GOOGLETRANSLATE(B10360,""en"",""fr"")"),"Un jeu est en cours devant une foule.")</f>
        <v>Un jeu est en cours devant une foule.</v>
      </c>
    </row>
    <row r="10361">
      <c r="A10361" s="4" t="s">
        <v>13020</v>
      </c>
      <c r="B10361" s="4" t="s">
        <v>13022</v>
      </c>
      <c r="C10361" s="5" t="str">
        <f>IFERROR(__xludf.DUMMYFUNCTION("GOOGLETRANSLATE(B10361,""en"",""fr"")"),"Un homme tourne, jetant un disque dans l'air.")</f>
        <v>Un homme tourne, jetant un disque dans l'air.</v>
      </c>
    </row>
    <row r="10362">
      <c r="A10362" s="4" t="s">
        <v>13020</v>
      </c>
      <c r="B10362" s="4" t="s">
        <v>13023</v>
      </c>
      <c r="C10362" s="5" t="str">
        <f>IFERROR(__xludf.DUMMYFUNCTION("GOOGLETRANSLATE(B10362,""en"",""fr"")"),"Il se promène sur le terrain par la suite.")</f>
        <v>Il se promène sur le terrain par la suite.</v>
      </c>
    </row>
    <row r="10363">
      <c r="A10363" s="4" t="s">
        <v>13024</v>
      </c>
      <c r="B10363" s="4" t="s">
        <v>13025</v>
      </c>
      <c r="C10363" s="5" t="str">
        <f>IFERROR(__xludf.DUMMYFUNCTION("GOOGLETRANSLATE(B10363,""en"",""fr"")"),"Deux hommes sont sur une plate-forme, l'escrime.")</f>
        <v>Deux hommes sont sur une plate-forme, l'escrime.</v>
      </c>
    </row>
    <row r="10364">
      <c r="A10364" s="4" t="s">
        <v>13024</v>
      </c>
      <c r="B10364" s="4" t="s">
        <v>13026</v>
      </c>
      <c r="C10364" s="5" t="str">
        <f>IFERROR(__xludf.DUMMYFUNCTION("GOOGLETRANSLATE(B10364,""en"",""fr"")"),"Ils se détachent les uns des autres avec leurs épées.")</f>
        <v>Ils se détachent les uns des autres avec leurs épées.</v>
      </c>
    </row>
    <row r="10365">
      <c r="A10365" s="4" t="s">
        <v>13024</v>
      </c>
      <c r="B10365" s="4" t="s">
        <v>13027</v>
      </c>
      <c r="C10365" s="5" t="str">
        <f>IFERROR(__xludf.DUMMYFUNCTION("GOOGLETRANSLATE(B10365,""en"",""fr"")"),"Une femme regarde les allers-retours.")</f>
        <v>Une femme regarde les allers-retours.</v>
      </c>
    </row>
    <row r="10366">
      <c r="A10366" s="4" t="s">
        <v>13028</v>
      </c>
      <c r="B10366" s="4" t="s">
        <v>13029</v>
      </c>
      <c r="C10366" s="5" t="str">
        <f>IFERROR(__xludf.DUMMYFUNCTION("GOOGLETRANSLATE(B10366,""en"",""fr"")"),"Un athlète effectue un saut en hauteur et atterrit sur le tapis pendant que la personne prend des notes.")</f>
        <v>Un athlète effectue un saut en hauteur et atterrit sur le tapis pendant que la personne prend des notes.</v>
      </c>
    </row>
    <row r="10367">
      <c r="A10367" s="4" t="s">
        <v>13028</v>
      </c>
      <c r="B10367" s="4" t="s">
        <v>13030</v>
      </c>
      <c r="C10367" s="5" t="str">
        <f>IFERROR(__xludf.DUMMYFUNCTION("GOOGLETRANSLATE(B10367,""en"",""fr"")"),"Ensuite, l'athlète fonctionne avec succès en hauteur.")</f>
        <v>Ensuite, l'athlète fonctionne avec succès en hauteur.</v>
      </c>
    </row>
    <row r="10368">
      <c r="A10368" s="4" t="s">
        <v>13028</v>
      </c>
      <c r="B10368" s="4" t="s">
        <v>13031</v>
      </c>
      <c r="C10368" s="5" t="str">
        <f>IFERROR(__xludf.DUMMYFUNCTION("GOOGLETRANSLATE(B10368,""en"",""fr"")"),"Après, l'homme effectue un saut en hauteur mais laisse tomber le poteau horizontal.")</f>
        <v>Après, l'homme effectue un saut en hauteur mais laisse tomber le poteau horizontal.</v>
      </c>
    </row>
    <row r="10369">
      <c r="A10369" s="4" t="s">
        <v>13028</v>
      </c>
      <c r="B10369" s="4" t="s">
        <v>13032</v>
      </c>
      <c r="C10369" s="5" t="str">
        <f>IFERROR(__xludf.DUMMYFUNCTION("GOOGLETRANSLATE(B10369,""en"",""fr"")"),"L'athlète effectue des sauts en hauteur avec succès.")</f>
        <v>L'athlète effectue des sauts en hauteur avec succès.</v>
      </c>
    </row>
    <row r="10370">
      <c r="A10370" s="4" t="s">
        <v>13028</v>
      </c>
      <c r="B10370" s="4" t="s">
        <v>13033</v>
      </c>
      <c r="C10370" s="5" t="str">
        <f>IFERROR(__xludf.DUMMYFUNCTION("GOOGLETRANSLATE(B10370,""en"",""fr"")"),"L'athlète effectue un saut en hauteur, mais le poteau tombe.")</f>
        <v>L'athlète effectue un saut en hauteur, mais le poteau tombe.</v>
      </c>
    </row>
    <row r="10371">
      <c r="A10371" s="4" t="s">
        <v>13034</v>
      </c>
      <c r="B10371" s="6" t="s">
        <v>13035</v>
      </c>
      <c r="C10371" s="5" t="str">
        <f>IFERROR(__xludf.DUMMYFUNCTION("GOOGLETRANSLATE(B10371,""en"",""fr"")"),"Un grand bateau de ponton navigue sur un océan et se heurte à une grande vague qui couvre les gens ainsi que le bateau dans l'eau.")</f>
        <v>Un grand bateau de ponton navigue sur un océan et se heurte à une grande vague qui couvre les gens ainsi que le bateau dans l'eau.</v>
      </c>
    </row>
    <row r="10372">
      <c r="A10372" s="4" t="s">
        <v>13034</v>
      </c>
      <c r="B10372" s="6" t="s">
        <v>13036</v>
      </c>
      <c r="C10372" s="5" t="str">
        <f>IFERROR(__xludf.DUMMYFUNCTION("GOOGLETRANSLATE(B10372,""en"",""fr"")"),"Les gens du bateau continuent de se promener, mais l'eau les renverse et commencent à conserver les roues pour ramener le bateau dans la bonne direction.")</f>
        <v>Les gens du bateau continuent de se promener, mais l'eau les renverse et commencent à conserver les roues pour ramener le bateau dans la bonne direction.</v>
      </c>
    </row>
    <row r="10373">
      <c r="A10373" s="4" t="s">
        <v>13037</v>
      </c>
      <c r="B10373" s="4" t="s">
        <v>13038</v>
      </c>
      <c r="C10373" s="5" t="str">
        <f>IFERROR(__xludf.DUMMYFUNCTION("GOOGLETRANSLATE(B10373,""en"",""fr"")"),"Un homme très musclé torse nu est sur le point de s'arrêter avec un homme dans un sweat à capuche orange.")</f>
        <v>Un homme très musclé torse nu est sur le point de s'arrêter avec un homme dans un sweat à capuche orange.</v>
      </c>
    </row>
    <row r="10374">
      <c r="A10374" s="4" t="s">
        <v>13037</v>
      </c>
      <c r="B10374" s="4" t="s">
        <v>13039</v>
      </c>
      <c r="C10374" s="5" t="str">
        <f>IFERROR(__xludf.DUMMYFUNCTION("GOOGLETRANSLATE(B10374,""en"",""fr"")"),"Un autre homme dans un sweat à capuche jaune arrive.")</f>
        <v>Un autre homme dans un sweat à capuche jaune arrive.</v>
      </c>
    </row>
    <row r="10375">
      <c r="A10375" s="4" t="s">
        <v>13037</v>
      </c>
      <c r="B10375" s="4" t="s">
        <v>13040</v>
      </c>
      <c r="C10375" s="5" t="str">
        <f>IFERROR(__xludf.DUMMYFUNCTION("GOOGLETRANSLATE(B10375,""en"",""fr"")"),"Ils commencent le match, l'homme dans le sweat à capuche orange semble avoir du mal.")</f>
        <v>Ils commencent le match, l'homme dans le sweat à capuche orange semble avoir du mal.</v>
      </c>
    </row>
    <row r="10376">
      <c r="A10376" s="4" t="s">
        <v>13037</v>
      </c>
      <c r="B10376" s="6" t="s">
        <v>13041</v>
      </c>
      <c r="C10376" s="5" t="str">
        <f>IFERROR(__xludf.DUMMYFUNCTION("GOOGLETRANSLATE(B10376,""en"",""fr"")"),"L'homme torse nu gagne puis lutte que l'homme dans le jaune, il gagne et ils se tiennent tous à parler.")</f>
        <v>L'homme torse nu gagne puis lutte que l'homme dans le jaune, il gagne et ils se tiennent tous à parler.</v>
      </c>
    </row>
    <row r="10377">
      <c r="A10377" s="4" t="s">
        <v>13042</v>
      </c>
      <c r="B10377" s="4" t="s">
        <v>13043</v>
      </c>
      <c r="C10377" s="5" t="str">
        <f>IFERROR(__xludf.DUMMYFUNCTION("GOOGLETRANSLATE(B10377,""en"",""fr"")"),"Plusieurs personnes sont à l'extérieur dans un grand terrain en Segways jouant à un jeu.")</f>
        <v>Plusieurs personnes sont à l'extérieur dans un grand terrain en Segways jouant à un jeu.</v>
      </c>
    </row>
    <row r="10378">
      <c r="A10378" s="4" t="s">
        <v>13042</v>
      </c>
      <c r="B10378" s="4" t="s">
        <v>13044</v>
      </c>
      <c r="C10378" s="5" t="str">
        <f>IFERROR(__xludf.DUMMYFUNCTION("GOOGLETRANSLATE(B10378,""en"",""fr"")"),"Ils continuent de se déplacer et de frapper le ballon avec une longue raquette.")</f>
        <v>Ils continuent de se déplacer et de frapper le ballon avec une longue raquette.</v>
      </c>
    </row>
    <row r="10379">
      <c r="A10379" s="4" t="s">
        <v>13042</v>
      </c>
      <c r="B10379" s="4" t="s">
        <v>13045</v>
      </c>
      <c r="C10379" s="5" t="str">
        <f>IFERROR(__xludf.DUMMYFUNCTION("GOOGLETRANSLATE(B10379,""en"",""fr"")"),"Pendant leur jeu, l'arbitre marche sur le terrain et les regarde.")</f>
        <v>Pendant leur jeu, l'arbitre marche sur le terrain et les regarde.</v>
      </c>
    </row>
    <row r="10380">
      <c r="A10380" s="4" t="s">
        <v>13046</v>
      </c>
      <c r="B10380" s="4" t="s">
        <v>13047</v>
      </c>
      <c r="C10380" s="5" t="str">
        <f>IFERROR(__xludf.DUMMYFUNCTION("GOOGLETRANSLATE(B10380,""en"",""fr"")"),"Une personne aux cheveux longs montre un cube Rubik.")</f>
        <v>Une personne aux cheveux longs montre un cube Rubik.</v>
      </c>
    </row>
    <row r="10381">
      <c r="A10381" s="4" t="s">
        <v>13046</v>
      </c>
      <c r="B10381" s="4" t="s">
        <v>13048</v>
      </c>
      <c r="C10381" s="5" t="str">
        <f>IFERROR(__xludf.DUMMYFUNCTION("GOOGLETRANSLATE(B10381,""en"",""fr"")"),"La personne commence à le résoudre.")</f>
        <v>La personne commence à le résoudre.</v>
      </c>
    </row>
    <row r="10382">
      <c r="A10382" s="4" t="s">
        <v>13046</v>
      </c>
      <c r="B10382" s="4" t="s">
        <v>13049</v>
      </c>
      <c r="C10382" s="5" t="str">
        <f>IFERROR(__xludf.DUMMYFUNCTION("GOOGLETRANSLATE(B10382,""en"",""fr"")"),"Ils le jettent et il est résolu par magie.")</f>
        <v>Ils le jettent et il est résolu par magie.</v>
      </c>
    </row>
    <row r="10383">
      <c r="A10383" s="4" t="s">
        <v>13050</v>
      </c>
      <c r="B10383" s="4" t="s">
        <v>13051</v>
      </c>
      <c r="C10383" s="5" t="str">
        <f>IFERROR(__xludf.DUMMYFUNCTION("GOOGLETRANSLATE(B10383,""en"",""fr"")"),"Une femme danse à l'extérieur sur le trottoir.")</f>
        <v>Une femme danse à l'extérieur sur le trottoir.</v>
      </c>
    </row>
    <row r="10384">
      <c r="A10384" s="4" t="s">
        <v>13050</v>
      </c>
      <c r="B10384" s="4" t="s">
        <v>13052</v>
      </c>
      <c r="C10384" s="5" t="str">
        <f>IFERROR(__xludf.DUMMYFUNCTION("GOOGLETRANSLATE(B10384,""en"",""fr"")"),"Elle attrape un bâton et commence à le faire tournoyer.")</f>
        <v>Elle attrape un bâton et commence à le faire tournoyer.</v>
      </c>
    </row>
    <row r="10385">
      <c r="A10385" s="4" t="s">
        <v>13050</v>
      </c>
      <c r="B10385" s="4" t="s">
        <v>13053</v>
      </c>
      <c r="C10385" s="5" t="str">
        <f>IFERROR(__xludf.DUMMYFUNCTION("GOOGLETRANSLATE(B10385,""en"",""fr"")"),"Elle commence à jongler avec les matraques en l'air.")</f>
        <v>Elle commence à jongler avec les matraques en l'air.</v>
      </c>
    </row>
    <row r="10386">
      <c r="A10386" s="4" t="s">
        <v>13050</v>
      </c>
      <c r="B10386" s="4" t="s">
        <v>13054</v>
      </c>
      <c r="C10386" s="5" t="str">
        <f>IFERROR(__xludf.DUMMYFUNCTION("GOOGLETRANSLATE(B10386,""en"",""fr"")"),"Elle fait un retournement du dos et va dans les divisions.")</f>
        <v>Elle fait un retournement du dos et va dans les divisions.</v>
      </c>
    </row>
    <row r="10387">
      <c r="A10387" s="4" t="s">
        <v>13055</v>
      </c>
      <c r="B10387" s="4" t="s">
        <v>13056</v>
      </c>
      <c r="C10387" s="5" t="str">
        <f>IFERROR(__xludf.DUMMYFUNCTION("GOOGLETRANSLATE(B10387,""en"",""fr"")"),"Plusieurs enfants se tiennent devant une cage.")</f>
        <v>Plusieurs enfants se tiennent devant une cage.</v>
      </c>
    </row>
    <row r="10388">
      <c r="A10388" s="4" t="s">
        <v>13055</v>
      </c>
      <c r="B10388" s="4" t="s">
        <v>13057</v>
      </c>
      <c r="C10388" s="5" t="str">
        <f>IFERROR(__xludf.DUMMYFUNCTION("GOOGLETRANSLATE(B10388,""en"",""fr"")"),"Une femme est à l'intérieur avec un tigre.")</f>
        <v>Une femme est à l'intérieur avec un tigre.</v>
      </c>
    </row>
    <row r="10389">
      <c r="A10389" s="4" t="s">
        <v>13055</v>
      </c>
      <c r="B10389" s="4" t="s">
        <v>13058</v>
      </c>
      <c r="C10389" s="5" t="str">
        <f>IFERROR(__xludf.DUMMYFUNCTION("GOOGLETRANSLATE(B10389,""en"",""fr"")"),"Les enfants tirent sur une corde contre le tigre.")</f>
        <v>Les enfants tirent sur une corde contre le tigre.</v>
      </c>
    </row>
    <row r="10390">
      <c r="A10390" s="4" t="s">
        <v>13055</v>
      </c>
      <c r="B10390" s="4" t="s">
        <v>13059</v>
      </c>
      <c r="C10390" s="5" t="str">
        <f>IFERROR(__xludf.DUMMYFUNCTION("GOOGLETRANSLATE(B10390,""en"",""fr"")"),"Ils ont lâché la corde à la fin.")</f>
        <v>Ils ont lâché la corde à la fin.</v>
      </c>
    </row>
    <row r="10391">
      <c r="A10391" s="4" t="s">
        <v>13060</v>
      </c>
      <c r="B10391" s="4" t="s">
        <v>13061</v>
      </c>
      <c r="C10391" s="5" t="str">
        <f>IFERROR(__xludf.DUMMYFUNCTION("GOOGLETRANSLATE(B10391,""en"",""fr"")"),"Une femme en costume parle à une caméra.")</f>
        <v>Une femme en costume parle à une caméra.</v>
      </c>
    </row>
    <row r="10392">
      <c r="A10392" s="4" t="s">
        <v>13060</v>
      </c>
      <c r="B10392" s="4" t="s">
        <v>13062</v>
      </c>
      <c r="C10392" s="5" t="str">
        <f>IFERROR(__xludf.DUMMYFUNCTION("GOOGLETRANSLATE(B10392,""en"",""fr"")"),"Une femme met des lentilles de contact dans ses yeux.")</f>
        <v>Une femme met des lentilles de contact dans ses yeux.</v>
      </c>
    </row>
    <row r="10393">
      <c r="A10393" s="4" t="s">
        <v>13060</v>
      </c>
      <c r="B10393" s="4" t="s">
        <v>13063</v>
      </c>
      <c r="C10393" s="5" t="str">
        <f>IFERROR(__xludf.DUMMYFUNCTION("GOOGLETRANSLATE(B10393,""en"",""fr"")"),"Les lentilles de contact sont indiquées sur une main.")</f>
        <v>Les lentilles de contact sont indiquées sur une main.</v>
      </c>
    </row>
    <row r="10394">
      <c r="A10394" s="4" t="s">
        <v>13060</v>
      </c>
      <c r="B10394" s="4" t="s">
        <v>13064</v>
      </c>
      <c r="C10394" s="5" t="str">
        <f>IFERROR(__xludf.DUMMYFUNCTION("GOOGLETRANSLATE(B10394,""en"",""fr"")"),"La femme du costume continue de parler à la caméra.")</f>
        <v>La femme du costume continue de parler à la caméra.</v>
      </c>
    </row>
    <row r="10395">
      <c r="A10395" s="4" t="s">
        <v>13065</v>
      </c>
      <c r="B10395" s="4" t="s">
        <v>13066</v>
      </c>
      <c r="C10395" s="5" t="str">
        <f>IFERROR(__xludf.DUMMYFUNCTION("GOOGLETRANSLATE(B10395,""en"",""fr"")"),"Les gars se battent avec des balles de peinture.")</f>
        <v>Les gars se battent avec des balles de peinture.</v>
      </c>
    </row>
    <row r="10396">
      <c r="A10396" s="4" t="s">
        <v>13065</v>
      </c>
      <c r="B10396" s="6" t="s">
        <v>13067</v>
      </c>
      <c r="C10396" s="5" t="str">
        <f>IFERROR(__xludf.DUMMYFUNCTION("GOOGLETRANSLATE(B10396,""en"",""fr"")"),"Un gars explique comment vous cacher et vous protéger lorsque dans le dossier, comment ramper, où placer votre pied et vos mains en rampant.")</f>
        <v>Un gars explique comment vous cacher et vous protéger lorsque dans le dossier, comment ramper, où placer votre pied et vos mains en rampant.</v>
      </c>
    </row>
    <row r="10397">
      <c r="A10397" s="4" t="s">
        <v>13068</v>
      </c>
      <c r="B10397" s="4" t="s">
        <v>13069</v>
      </c>
      <c r="C10397" s="5" t="str">
        <f>IFERROR(__xludf.DUMMYFUNCTION("GOOGLETRANSLATE(B10397,""en"",""fr"")"),"Un sèche-cheveux et une publicité sont affichés avec quelques informations sur le sèche-linge.")</f>
        <v>Un sèche-cheveux et une publicité sont affichés avec quelques informations sur le sèche-linge.</v>
      </c>
    </row>
    <row r="10398">
      <c r="A10398" s="4" t="s">
        <v>13068</v>
      </c>
      <c r="B10398" s="4" t="s">
        <v>13070</v>
      </c>
      <c r="C10398" s="5" t="str">
        <f>IFERROR(__xludf.DUMMYFUNCTION("GOOGLETRANSLATE(B10398,""en"",""fr"")"),"Une femme montre comment utiliser le sèche-linge avec différents pinceaux.")</f>
        <v>Une femme montre comment utiliser le sèche-linge avec différents pinceaux.</v>
      </c>
    </row>
    <row r="10399">
      <c r="A10399" s="4" t="s">
        <v>13068</v>
      </c>
      <c r="B10399" s="6" t="s">
        <v>13071</v>
      </c>
      <c r="C10399" s="5" t="str">
        <f>IFERROR(__xludf.DUMMYFUNCTION("GOOGLETRANSLATE(B10399,""en"",""fr"")"),"La même femme montre ensuite comment utiliser le sèche-linge avec des accessoires différents pour différents types de cheveux.")</f>
        <v>La même femme montre ensuite comment utiliser le sèche-linge avec des accessoires différents pour différents types de cheveux.</v>
      </c>
    </row>
    <row r="10400">
      <c r="A10400" s="4" t="s">
        <v>13068</v>
      </c>
      <c r="B10400" s="4" t="s">
        <v>13072</v>
      </c>
      <c r="C10400" s="5" t="str">
        <f>IFERROR(__xludf.DUMMYFUNCTION("GOOGLETRANSLATE(B10400,""en"",""fr"")"),"Le sèche-linge et les informations publicitaires sont à nouveau affichés.")</f>
        <v>Le sèche-linge et les informations publicitaires sont à nouveau affichés.</v>
      </c>
    </row>
    <row r="10401">
      <c r="A10401" s="4" t="s">
        <v>13073</v>
      </c>
      <c r="B10401" s="4" t="s">
        <v>13074</v>
      </c>
      <c r="C10401" s="5" t="str">
        <f>IFERROR(__xludf.DUMMYFUNCTION("GOOGLETRANSLATE(B10401,""en"",""fr"")"),"L'homme est dans un grand stade se réveiller sur le terrain.")</f>
        <v>L'homme est dans un grand stade se réveiller sur le terrain.</v>
      </c>
    </row>
    <row r="10402">
      <c r="A10402" s="4" t="s">
        <v>13073</v>
      </c>
      <c r="B10402" s="4" t="s">
        <v>13075</v>
      </c>
      <c r="C10402" s="5" t="str">
        <f>IFERROR(__xludf.DUMMYFUNCTION("GOOGLETRANSLATE(B10402,""en"",""fr"")"),"Les hommes jouent à Criquet dans un champ de la part d'un côté à côte avec beaucoup de public assis sur des stands.")</f>
        <v>Les hommes jouent à Criquet dans un champ de la part d'un côté à côte avec beaucoup de public assis sur des stands.</v>
      </c>
    </row>
    <row r="10403">
      <c r="A10403" s="4" t="s">
        <v>13076</v>
      </c>
      <c r="B10403" s="4" t="s">
        <v>13077</v>
      </c>
      <c r="C10403" s="5" t="str">
        <f>IFERROR(__xludf.DUMMYFUNCTION("GOOGLETRANSLATE(B10403,""en"",""fr"")"),"Un groupe de bateaux à voile navigue ensemble à travers de l'eau agitée par une journée venteuse.")</f>
        <v>Un groupe de bateaux à voile navigue ensemble à travers de l'eau agitée par une journée venteuse.</v>
      </c>
    </row>
    <row r="10404">
      <c r="A10404" s="4" t="s">
        <v>13076</v>
      </c>
      <c r="B10404" s="4" t="s">
        <v>13078</v>
      </c>
      <c r="C10404" s="5" t="str">
        <f>IFERROR(__xludf.DUMMYFUNCTION("GOOGLETRANSLATE(B10404,""en"",""fr"")"),"Deux hommes tirent sur le gréement assis sur le petit voilier.")</f>
        <v>Deux hommes tirent sur le gréement assis sur le petit voilier.</v>
      </c>
    </row>
    <row r="10405">
      <c r="A10405" s="4" t="s">
        <v>13076</v>
      </c>
      <c r="B10405" s="4" t="s">
        <v>13079</v>
      </c>
      <c r="C10405" s="5" t="str">
        <f>IFERROR(__xludf.DUMMYFUNCTION("GOOGLETRANSLATE(B10405,""en"",""fr"")"),"Le bateau à voile fait un virage devant la proue d'un autre bateau que partiellement vu.")</f>
        <v>Le bateau à voile fait un virage devant la proue d'un autre bateau que partiellement vu.</v>
      </c>
    </row>
    <row r="10406">
      <c r="A10406" s="4" t="s">
        <v>13080</v>
      </c>
      <c r="B10406" s="4" t="s">
        <v>13081</v>
      </c>
      <c r="C10406" s="5" t="str">
        <f>IFERROR(__xludf.DUMMYFUNCTION("GOOGLETRANSLATE(B10406,""en"",""fr"")"),"Deux hommes sur un combat à l'échelle dans un match de lutte professionnelle.")</f>
        <v>Deux hommes sur un combat à l'échelle dans un match de lutte professionnelle.</v>
      </c>
    </row>
    <row r="10407">
      <c r="A10407" s="4" t="s">
        <v>13080</v>
      </c>
      <c r="B10407" s="4" t="s">
        <v>13082</v>
      </c>
      <c r="C10407" s="5" t="str">
        <f>IFERROR(__xludf.DUMMYFUNCTION("GOOGLETRANSLATE(B10407,""en"",""fr"")"),"Les hommes se retournent de l'échelle sur le tapis.")</f>
        <v>Les hommes se retournent de l'échelle sur le tapis.</v>
      </c>
    </row>
    <row r="10408">
      <c r="A10408" s="4" t="s">
        <v>13080</v>
      </c>
      <c r="B10408" s="4" t="s">
        <v>13083</v>
      </c>
      <c r="C10408" s="5" t="str">
        <f>IFERROR(__xludf.DUMMYFUNCTION("GOOGLETRANSLATE(B10408,""en"",""fr"")"),"L'arbitre s'agenouille à proximité.")</f>
        <v>L'arbitre s'agenouille à proximité.</v>
      </c>
    </row>
    <row r="10409">
      <c r="A10409" s="4" t="s">
        <v>13080</v>
      </c>
      <c r="B10409" s="4" t="s">
        <v>13084</v>
      </c>
      <c r="C10409" s="5" t="str">
        <f>IFERROR(__xludf.DUMMYFUNCTION("GOOGLETRANSLATE(B10409,""en"",""fr"")"),"L'homme en Red rampe à l'homme en bleu et le épingle en remportant le match.")</f>
        <v>L'homme en Red rampe à l'homme en bleu et le épingle en remportant le match.</v>
      </c>
    </row>
    <row r="10410">
      <c r="A10410" s="4" t="s">
        <v>13080</v>
      </c>
      <c r="B10410" s="4" t="s">
        <v>13085</v>
      </c>
      <c r="C10410" s="5" t="str">
        <f>IFERROR(__xludf.DUMMYFUNCTION("GOOGLETRANSLATE(B10410,""en"",""fr"")"),"Nous voyons une rediffusion du match.")</f>
        <v>Nous voyons une rediffusion du match.</v>
      </c>
    </row>
    <row r="10411">
      <c r="A10411" s="4" t="s">
        <v>13086</v>
      </c>
      <c r="B10411" s="4" t="s">
        <v>13087</v>
      </c>
      <c r="C10411" s="5" t="str">
        <f>IFERROR(__xludf.DUMMYFUNCTION("GOOGLETRANSLATE(B10411,""en"",""fr"")"),"Cet homme âgé souffle les feuilles à l'écart à l'aide d'un souffleur de feuilles.")</f>
        <v>Cet homme âgé souffle les feuilles à l'écart à l'aide d'un souffleur de feuilles.</v>
      </c>
    </row>
    <row r="10412">
      <c r="A10412" s="4" t="s">
        <v>13086</v>
      </c>
      <c r="B10412" s="4" t="s">
        <v>13088</v>
      </c>
      <c r="C10412" s="5" t="str">
        <f>IFERROR(__xludf.DUMMYFUNCTION("GOOGLETRANSLATE(B10412,""en"",""fr"")"),"Tout d'abord, la caméra offre aux téléspectateurs une vue rapprochée ne montrant que le visage de l'homme.")</f>
        <v>Tout d'abord, la caméra offre aux téléspectateurs une vue rapprochée ne montrant que le visage de l'homme.</v>
      </c>
    </row>
    <row r="10413">
      <c r="A10413" s="4" t="s">
        <v>13086</v>
      </c>
      <c r="B10413" s="6" t="s">
        <v>13089</v>
      </c>
      <c r="C10413" s="5" t="str">
        <f>IFERROR(__xludf.DUMMYFUNCTION("GOOGLETRANSLATE(B10413,""en"",""fr"")"),"Ensuite, la caméra zoome et montre l'homme soufflant les feuilles à l'aide d'une machine et quand il a fini à moitié en faisant son travail, il éteint le souffleur de feuilles.")</f>
        <v>Ensuite, la caméra zoome et montre l'homme soufflant les feuilles à l'aide d'une machine et quand il a fini à moitié en faisant son travail, il éteint le souffleur de feuilles.</v>
      </c>
    </row>
    <row r="10414">
      <c r="A10414" s="4" t="s">
        <v>13090</v>
      </c>
      <c r="B10414" s="6" t="s">
        <v>13091</v>
      </c>
      <c r="C10414" s="5" t="str">
        <f>IFERROR(__xludf.DUMMYFUNCTION("GOOGLETRANSLATE(B10414,""en"",""fr"")"),"Little Kid tient une raquette de tennis rouge près de son visage, mais la mette ensuite sur le sol et saute sur le dessus.")</f>
        <v>Little Kid tient une raquette de tennis rouge près de son visage, mais la mette ensuite sur le sol et saute sur le dessus.</v>
      </c>
    </row>
    <row r="10415">
      <c r="A10415" s="4" t="s">
        <v>13090</v>
      </c>
      <c r="B10415" s="4" t="s">
        <v>13092</v>
      </c>
      <c r="C10415" s="5" t="str">
        <f>IFERROR(__xludf.DUMMYFUNCTION("GOOGLETRANSLATE(B10415,""en"",""fr"")"),"Little Kid est debout dans une petite pièce jouant dans une marelle.")</f>
        <v>Little Kid est debout dans une petite pièce jouant dans une marelle.</v>
      </c>
    </row>
    <row r="10416">
      <c r="A10416" s="4" t="s">
        <v>13090</v>
      </c>
      <c r="B10416" s="4" t="s">
        <v>13093</v>
      </c>
      <c r="C10416" s="5" t="str">
        <f>IFERROR(__xludf.DUMMYFUNCTION("GOOGLETRANSLATE(B10416,""en"",""fr"")"),"La fille attrape des jouets du sol.")</f>
        <v>La fille attrape des jouets du sol.</v>
      </c>
    </row>
    <row r="10417">
      <c r="A10417" s="4" t="s">
        <v>13094</v>
      </c>
      <c r="B10417" s="6" t="s">
        <v>13095</v>
      </c>
      <c r="C10417" s="5" t="str">
        <f>IFERROR(__xludf.DUMMYFUNCTION("GOOGLETRANSLATE(B10417,""en"",""fr"")"),"Un homme se tient sur un terrain dans un jeu en plein air entouré de gradins avec des gens dedans et effectue un lancer de marteau.")</f>
        <v>Un homme se tient sur un terrain dans un jeu en plein air entouré de gradins avec des gens dedans et effectue un lancer de marteau.</v>
      </c>
    </row>
    <row r="10418">
      <c r="A10418" s="4" t="s">
        <v>13094</v>
      </c>
      <c r="B10418" s="6" t="s">
        <v>13096</v>
      </c>
      <c r="C10418" s="5" t="str">
        <f>IFERROR(__xludf.DUMMYFUNCTION("GOOGLETRANSLATE(B10418,""en"",""fr"")"),"L'homme tourne le marteau à plusieurs reprises, puis laisse le marteau aller voler dans les cheveux et atterrir sur le terrain.")</f>
        <v>L'homme tourne le marteau à plusieurs reprises, puis laisse le marteau aller voler dans les cheveux et atterrir sur le terrain.</v>
      </c>
    </row>
    <row r="10419">
      <c r="A10419" s="4" t="s">
        <v>13094</v>
      </c>
      <c r="B10419" s="6" t="s">
        <v>13097</v>
      </c>
      <c r="C10419" s="5" t="str">
        <f>IFERROR(__xludf.DUMMYFUNCTION("GOOGLETRANSLATE(B10419,""en"",""fr"")"),"Une vidéo au ralenti de l'atterrissage du marteau apparaît alors que l'homme a l'air satisfait de la partition et sèche avec une serviette.")</f>
        <v>Une vidéo au ralenti de l'atterrissage du marteau apparaît alors que l'homme a l'air satisfait de la partition et sèche avec une serviette.</v>
      </c>
    </row>
    <row r="10420">
      <c r="A10420" s="4" t="s">
        <v>13098</v>
      </c>
      <c r="B10420" s="4" t="s">
        <v>13099</v>
      </c>
      <c r="C10420" s="5" t="str">
        <f>IFERROR(__xludf.DUMMYFUNCTION("GOOGLETRANSLATE(B10420,""en"",""fr"")"),"Les lettres sont affichées sur un écran.")</f>
        <v>Les lettres sont affichées sur un écran.</v>
      </c>
    </row>
    <row r="10421">
      <c r="A10421" s="4" t="s">
        <v>13098</v>
      </c>
      <c r="B10421" s="4" t="s">
        <v>13100</v>
      </c>
      <c r="C10421" s="5" t="str">
        <f>IFERROR(__xludf.DUMMYFUNCTION("GOOGLETRANSLATE(B10421,""en"",""fr"")"),"Un seau bleu est mis dans un évier.")</f>
        <v>Un seau bleu est mis dans un évier.</v>
      </c>
    </row>
    <row r="10422">
      <c r="A10422" s="4" t="s">
        <v>13098</v>
      </c>
      <c r="B10422" s="4" t="s">
        <v>13101</v>
      </c>
      <c r="C10422" s="5" t="str">
        <f>IFERROR(__xludf.DUMMYFUNCTION("GOOGLETRANSLATE(B10422,""en"",""fr"")"),"Un homme commence à nettoyer les planchers de bois franc.")</f>
        <v>Un homme commence à nettoyer les planchers de bois franc.</v>
      </c>
    </row>
    <row r="10423">
      <c r="A10423" s="4" t="s">
        <v>13098</v>
      </c>
      <c r="B10423" s="4" t="s">
        <v>13102</v>
      </c>
      <c r="C10423" s="5" t="str">
        <f>IFERROR(__xludf.DUMMYFUNCTION("GOOGLETRANSLATE(B10423,""en"",""fr"")"),"Il mousse la tuile dans la salle de bain.")</f>
        <v>Il mousse la tuile dans la salle de bain.</v>
      </c>
    </row>
    <row r="10424">
      <c r="A10424" s="4" t="s">
        <v>13103</v>
      </c>
      <c r="B10424" s="4" t="s">
        <v>13104</v>
      </c>
      <c r="C10424" s="5" t="str">
        <f>IFERROR(__xludf.DUMMYFUNCTION("GOOGLETRANSLATE(B10424,""en"",""fr"")"),"Une personne est vue debout sur une plage en regardant le sable.")</f>
        <v>Une personne est vue debout sur une plage en regardant le sable.</v>
      </c>
    </row>
    <row r="10425">
      <c r="A10425" s="4" t="s">
        <v>13103</v>
      </c>
      <c r="B10425" s="4" t="s">
        <v>13105</v>
      </c>
      <c r="C10425" s="5" t="str">
        <f>IFERROR(__xludf.DUMMYFUNCTION("GOOGLETRANSLATE(B10425,""en"",""fr"")"),"La personne commence alors à construire un grand château de sable devant elle.")</f>
        <v>La personne commence alors à construire un grand château de sable devant elle.</v>
      </c>
    </row>
    <row r="10426">
      <c r="A10426" s="4" t="s">
        <v>13103</v>
      </c>
      <c r="B10426" s="4" t="s">
        <v>13106</v>
      </c>
      <c r="C10426" s="5" t="str">
        <f>IFERROR(__xludf.DUMMYFUNCTION("GOOGLETRANSLATE(B10426,""en"",""fr"")"),"La personne continue de travailler autour du sable et se termine en sortant du cadre.")</f>
        <v>La personne continue de travailler autour du sable et se termine en sortant du cadre.</v>
      </c>
    </row>
    <row r="10427">
      <c r="A10427" s="4" t="s">
        <v>13107</v>
      </c>
      <c r="B10427" s="4" t="s">
        <v>13108</v>
      </c>
      <c r="C10427" s="5" t="str">
        <f>IFERROR(__xludf.DUMMYFUNCTION("GOOGLETRANSLATE(B10427,""en"",""fr"")"),"Un homme danse et tire son pantalon, qui tombe, recule, alors qu'il balaie un sol du café.")</f>
        <v>Un homme danse et tire son pantalon, qui tombe, recule, alors qu'il balaie un sol du café.</v>
      </c>
    </row>
    <row r="10428">
      <c r="A10428" s="4" t="s">
        <v>13107</v>
      </c>
      <c r="B10428" s="4" t="s">
        <v>13109</v>
      </c>
      <c r="C10428" s="5" t="str">
        <f>IFERROR(__xludf.DUMMYFUNCTION("GOOGLETRANSLATE(B10428,""en"",""fr"")"),"Un homme, avec le dos à une caméra surélevée, commence à danser tout en balayant un café.")</f>
        <v>Un homme, avec le dos à une caméra surélevée, commence à danser tout en balayant un café.</v>
      </c>
    </row>
    <row r="10429">
      <c r="A10429" s="4" t="s">
        <v>13107</v>
      </c>
      <c r="B10429" s="6" t="s">
        <v>13110</v>
      </c>
      <c r="C10429" s="5" t="str">
        <f>IFERROR(__xludf.DUMMYFUNCTION("GOOGLETRANSLATE(B10429,""en"",""fr"")"),"L'homme commence à tirer son pantalon alors que ses sous-vêtements bleus montrent la torsion de la danse, qui a baissé son pantalon.")</f>
        <v>L'homme commence à tirer son pantalon alors que ses sous-vêtements bleus montrent la torsion de la danse, qui a baissé son pantalon.</v>
      </c>
    </row>
    <row r="10430">
      <c r="A10430" s="4" t="s">
        <v>13107</v>
      </c>
      <c r="B10430" s="4" t="s">
        <v>13111</v>
      </c>
      <c r="C10430" s="5" t="str">
        <f>IFERROR(__xludf.DUMMYFUNCTION("GOOGLETRANSLATE(B10430,""en"",""fr"")"),"L'homme se tourne ensuite pour faire face à la caméra et sourit tout en tirant son pantalon.")</f>
        <v>L'homme se tourne ensuite pour faire face à la caméra et sourit tout en tirant son pantalon.</v>
      </c>
    </row>
    <row r="10431">
      <c r="A10431" s="4" t="s">
        <v>13112</v>
      </c>
      <c r="B10431" s="4" t="s">
        <v>13113</v>
      </c>
      <c r="C10431" s="5" t="str">
        <f>IFERROR(__xludf.DUMMYFUNCTION("GOOGLETRANSLATE(B10431,""en"",""fr"")"),"Un jeune homme est vu debout devant la caméra et commence à tourner en rond.")</f>
        <v>Un jeune homme est vu debout devant la caméra et commence à tourner en rond.</v>
      </c>
    </row>
    <row r="10432">
      <c r="A10432" s="4" t="s">
        <v>13112</v>
      </c>
      <c r="B10432" s="4" t="s">
        <v>13114</v>
      </c>
      <c r="C10432" s="5" t="str">
        <f>IFERROR(__xludf.DUMMYFUNCTION("GOOGLETRANSLATE(B10432,""en"",""fr"")"),"Il continue de tourner puis fait plusieurs coups de pied et coups de poing tout en lançant des fléchettes.")</f>
        <v>Il continue de tourner puis fait plusieurs coups de pied et coups de poing tout en lançant des fléchettes.</v>
      </c>
    </row>
    <row r="10433">
      <c r="A10433" s="4" t="s">
        <v>13115</v>
      </c>
      <c r="B10433" s="4" t="s">
        <v>13116</v>
      </c>
      <c r="C10433" s="5" t="str">
        <f>IFERROR(__xludf.DUMMYFUNCTION("GOOGLETRANSLATE(B10433,""en"",""fr"")"),"Une hache repose dans un arbre tombé.")</f>
        <v>Une hache repose dans un arbre tombé.</v>
      </c>
    </row>
    <row r="10434">
      <c r="A10434" s="4" t="s">
        <v>13115</v>
      </c>
      <c r="B10434" s="4" t="s">
        <v>13117</v>
      </c>
      <c r="C10434" s="5" t="str">
        <f>IFERROR(__xludf.DUMMYFUNCTION("GOOGLETRANSLATE(B10434,""en"",""fr"")"),"Un homme ramasse la hache et coupe le tronc de l'arbre.")</f>
        <v>Un homme ramasse la hache et coupe le tronc de l'arbre.</v>
      </c>
    </row>
    <row r="10435">
      <c r="A10435" s="4" t="s">
        <v>13115</v>
      </c>
      <c r="B10435" s="4" t="s">
        <v>13118</v>
      </c>
      <c r="C10435" s="5" t="str">
        <f>IFERROR(__xludf.DUMMYFUNCTION("GOOGLETRANSLATE(B10435,""en"",""fr"")"),"Il continue de couper jusqu'à ce que le journal soit en deux, puis s'éloigne.")</f>
        <v>Il continue de couper jusqu'à ce que le journal soit en deux, puis s'éloigne.</v>
      </c>
    </row>
    <row r="10436">
      <c r="A10436" s="4" t="s">
        <v>13119</v>
      </c>
      <c r="B10436" s="6" t="s">
        <v>13120</v>
      </c>
      <c r="C10436" s="5" t="str">
        <f>IFERROR(__xludf.DUMMYFUNCTION("GOOGLETRANSLATE(B10436,""en"",""fr"")"),"Un jeune garçon souriant glisse sur une diapositive rouge qui a un filet de chaque côté et un nom de marque, un site Web, un e-mail et un téléphone apparaissent à l'écran lorsqu'il atteint le bas.")</f>
        <v>Un jeune garçon souriant glisse sur une diapositive rouge qui a un filet de chaque côté et un nom de marque, un site Web, un e-mail et un téléphone apparaissent à l'écran lorsqu'il atteint le bas.</v>
      </c>
    </row>
    <row r="10437">
      <c r="A10437" s="4" t="s">
        <v>13119</v>
      </c>
      <c r="B10437" s="4" t="s">
        <v>13121</v>
      </c>
      <c r="C10437" s="5" t="str">
        <f>IFERROR(__xludf.DUMMYFUNCTION("GOOGLETRANSLATE(B10437,""en"",""fr"")"),"Puis deux autres enfants derrière lui qui sont les petites filles glissent vers le bas.")</f>
        <v>Puis deux autres enfants derrière lui qui sont les petites filles glissent vers le bas.</v>
      </c>
    </row>
    <row r="10438">
      <c r="A10438" s="4" t="s">
        <v>13119</v>
      </c>
      <c r="B10438" s="6" t="s">
        <v>13122</v>
      </c>
      <c r="C10438" s="5" t="str">
        <f>IFERROR(__xludf.DUMMYFUNCTION("GOOGLETRANSLATE(B10438,""en"",""fr"")"),"Juste au moment où les filles atteignent le bas du gardien se lève et quittent le toboggan et que les filles suivent juste derrière lui.")</f>
        <v>Juste au moment où les filles atteignent le bas du gardien se lève et quittent le toboggan et que les filles suivent juste derrière lui.</v>
      </c>
    </row>
    <row r="10439">
      <c r="A10439" s="4" t="s">
        <v>13123</v>
      </c>
      <c r="B10439" s="4" t="s">
        <v>13124</v>
      </c>
      <c r="C10439" s="5" t="str">
        <f>IFERROR(__xludf.DUMMYFUNCTION("GOOGLETRANSLATE(B10439,""en"",""fr"")"),"Nous voyons la carte de titre sur Black.")</f>
        <v>Nous voyons la carte de titre sur Black.</v>
      </c>
    </row>
    <row r="10440">
      <c r="A10440" s="4" t="s">
        <v>13123</v>
      </c>
      <c r="B10440" s="4" t="s">
        <v>13125</v>
      </c>
      <c r="C10440" s="5" t="str">
        <f>IFERROR(__xludf.DUMMYFUNCTION("GOOGLETRANSLATE(B10440,""en"",""fr"")"),"Nous voyons une dame monter lentement sur une machine elliptique et tirer les poignées.")</f>
        <v>Nous voyons une dame monter lentement sur une machine elliptique et tirer les poignées.</v>
      </c>
    </row>
    <row r="10441">
      <c r="A10441" s="4" t="s">
        <v>13123</v>
      </c>
      <c r="B10441" s="4" t="s">
        <v>13126</v>
      </c>
      <c r="C10441" s="5" t="str">
        <f>IFERROR(__xludf.DUMMYFUNCTION("GOOGLETRANSLATE(B10441,""en"",""fr"")"),"Nous passons à la dame qui roule sans tenir les poignées.")</f>
        <v>Nous passons à la dame qui roule sans tenir les poignées.</v>
      </c>
    </row>
    <row r="10442">
      <c r="A10442" s="4" t="s">
        <v>13123</v>
      </c>
      <c r="B10442" s="4" t="s">
        <v>13127</v>
      </c>
      <c r="C10442" s="5" t="str">
        <f>IFERROR(__xludf.DUMMYFUNCTION("GOOGLETRANSLATE(B10442,""en"",""fr"")"),"Nous voyons ensuite le vélo en mode passoire d'escalier et en utilisant les poignées.")</f>
        <v>Nous voyons ensuite le vélo en mode passoire d'escalier et en utilisant les poignées.</v>
      </c>
    </row>
    <row r="10443">
      <c r="A10443" s="4" t="s">
        <v>13123</v>
      </c>
      <c r="B10443" s="4" t="s">
        <v>13128</v>
      </c>
      <c r="C10443" s="5" t="str">
        <f>IFERROR(__xludf.DUMMYFUNCTION("GOOGLETRANSLATE(B10443,""en"",""fr"")"),"Nous la voyons ensuite utiliser le vélo en mode Stepper Stair sans les poignées.")</f>
        <v>Nous la voyons ensuite utiliser le vélo en mode Stepper Stair sans les poignées.</v>
      </c>
    </row>
    <row r="10444">
      <c r="A10444" s="4" t="s">
        <v>13129</v>
      </c>
      <c r="B10444" s="4" t="s">
        <v>13130</v>
      </c>
      <c r="C10444" s="5" t="str">
        <f>IFERROR(__xludf.DUMMYFUNCTION("GOOGLETRANSLATE(B10444,""en"",""fr"")"),"Les gens peignent une clôture en bois dans une cour.")</f>
        <v>Les gens peignent une clôture en bois dans une cour.</v>
      </c>
    </row>
    <row r="10445">
      <c r="A10445" s="4" t="s">
        <v>13129</v>
      </c>
      <c r="B10445" s="4" t="s">
        <v>13131</v>
      </c>
      <c r="C10445" s="5" t="str">
        <f>IFERROR(__xludf.DUMMYFUNCTION("GOOGLETRANSLATE(B10445,""en"",""fr"")"),"Un chien marche derrière eux.")</f>
        <v>Un chien marche derrière eux.</v>
      </c>
    </row>
    <row r="10446">
      <c r="A10446" s="4" t="s">
        <v>13129</v>
      </c>
      <c r="B10446" s="4" t="s">
        <v>13132</v>
      </c>
      <c r="C10446" s="5" t="str">
        <f>IFERROR(__xludf.DUMMYFUNCTION("GOOGLETRANSLATE(B10446,""en"",""fr"")"),"Ils continuent de peindre la clôture.")</f>
        <v>Ils continuent de peindre la clôture.</v>
      </c>
    </row>
    <row r="10447">
      <c r="A10447" s="4" t="s">
        <v>13133</v>
      </c>
      <c r="B10447" s="4" t="s">
        <v>13134</v>
      </c>
      <c r="C10447" s="5" t="str">
        <f>IFERROR(__xludf.DUMMYFUNCTION("GOOGLETRANSLATE(B10447,""en"",""fr"")"),"La femme se tient dans une petite pièce en faisant des tours avec un bâton.")</f>
        <v>La femme se tient dans une petite pièce en faisant des tours avec un bâton.</v>
      </c>
    </row>
    <row r="10448">
      <c r="A10448" s="4" t="s">
        <v>13133</v>
      </c>
      <c r="B10448" s="4" t="s">
        <v>13135</v>
      </c>
      <c r="C10448" s="5" t="str">
        <f>IFERROR(__xludf.DUMMYFUNCTION("GOOGLETRANSLATE(B10448,""en"",""fr"")"),"Les hommes courent d'un côté de la femme.")</f>
        <v>Les hommes courent d'un côté de la femme.</v>
      </c>
    </row>
    <row r="10449">
      <c r="A10449" s="4" t="s">
        <v>13133</v>
      </c>
      <c r="B10449" s="4" t="s">
        <v>13136</v>
      </c>
      <c r="C10449" s="5" t="str">
        <f>IFERROR(__xludf.DUMMYFUNCTION("GOOGLETRANSLATE(B10449,""en"",""fr"")"),"Les femmes entrent dans une pièce.")</f>
        <v>Les femmes entrent dans une pièce.</v>
      </c>
    </row>
    <row r="10450">
      <c r="A10450" s="4" t="s">
        <v>13137</v>
      </c>
      <c r="B10450" s="4" t="s">
        <v>13138</v>
      </c>
      <c r="C10450" s="5" t="str">
        <f>IFERROR(__xludf.DUMMYFUNCTION("GOOGLETRANSLATE(B10450,""en"",""fr"")"),"Les crédits de titre sont affichés à l'écran.")</f>
        <v>Les crédits de titre sont affichés à l'écran.</v>
      </c>
    </row>
    <row r="10451">
      <c r="A10451" s="4" t="s">
        <v>13137</v>
      </c>
      <c r="B10451" s="4" t="s">
        <v>13139</v>
      </c>
      <c r="C10451" s="5" t="str">
        <f>IFERROR(__xludf.DUMMYFUNCTION("GOOGLETRANSLATE(B10451,""en"",""fr"")"),"Une femme parle à la caméra dans un gymnase.")</f>
        <v>Une femme parle à la caméra dans un gymnase.</v>
      </c>
    </row>
    <row r="10452">
      <c r="A10452" s="4" t="s">
        <v>13137</v>
      </c>
      <c r="B10452" s="4" t="s">
        <v>13140</v>
      </c>
      <c r="C10452" s="5" t="str">
        <f>IFERROR(__xludf.DUMMYFUNCTION("GOOGLETRANSLATE(B10452,""en"",""fr"")"),"La femme démontre un exercice de levage.")</f>
        <v>La femme démontre un exercice de levage.</v>
      </c>
    </row>
    <row r="10453">
      <c r="A10453" s="4" t="s">
        <v>13137</v>
      </c>
      <c r="B10453" s="4" t="s">
        <v>13141</v>
      </c>
      <c r="C10453" s="5" t="str">
        <f>IFERROR(__xludf.DUMMYFUNCTION("GOOGLETRANSLATE(B10453,""en"",""fr"")"),"La femme se retourne à la caméra et parle à nouveau.")</f>
        <v>La femme se retourne à la caméra et parle à nouveau.</v>
      </c>
    </row>
    <row r="10454">
      <c r="A10454" s="4" t="s">
        <v>13137</v>
      </c>
      <c r="B10454" s="4" t="s">
        <v>13142</v>
      </c>
      <c r="C10454" s="5" t="str">
        <f>IFERROR(__xludf.DUMMYFUNCTION("GOOGLETRANSLATE(B10454,""en"",""fr"")"),"Les crédits de fin roulent sur l'écran.")</f>
        <v>Les crédits de fin roulent sur l'écran.</v>
      </c>
    </row>
    <row r="10455">
      <c r="A10455" s="4" t="s">
        <v>13143</v>
      </c>
      <c r="B10455" s="4" t="s">
        <v>13144</v>
      </c>
      <c r="C10455" s="5" t="str">
        <f>IFERROR(__xludf.DUMMYFUNCTION("GOOGLETRANSLATE(B10455,""en"",""fr"")"),"Un homme jette une brouette de paillis sur la pelouse.")</f>
        <v>Un homme jette une brouette de paillis sur la pelouse.</v>
      </c>
    </row>
    <row r="10456">
      <c r="A10456" s="4" t="s">
        <v>13143</v>
      </c>
      <c r="B10456" s="4" t="s">
        <v>13145</v>
      </c>
      <c r="C10456" s="5" t="str">
        <f>IFERROR(__xludf.DUMMYFUNCTION("GOOGLETRANSLATE(B10456,""en"",""fr"")"),"Il le raccourcit sur le sol.")</f>
        <v>Il le raccourcit sur le sol.</v>
      </c>
    </row>
    <row r="10457">
      <c r="A10457" s="4" t="s">
        <v>13143</v>
      </c>
      <c r="B10457" s="4" t="s">
        <v>13146</v>
      </c>
      <c r="C10457" s="5" t="str">
        <f>IFERROR(__xludf.DUMMYFUNCTION("GOOGLETRANSLATE(B10457,""en"",""fr"")"),"Il apporte une autre brouette pleine de paillis et la ratisse sur la pelouse.")</f>
        <v>Il apporte une autre brouette pleine de paillis et la ratisse sur la pelouse.</v>
      </c>
    </row>
    <row r="10458">
      <c r="A10458" s="4" t="s">
        <v>13147</v>
      </c>
      <c r="B10458" s="4" t="s">
        <v>13148</v>
      </c>
      <c r="C10458" s="5" t="str">
        <f>IFERROR(__xludf.DUMMYFUNCTION("GOOGLETRANSLATE(B10458,""en"",""fr"")"),"Un grand groupe de personnes est vue debout dans une foule criant et jouant à un jeu de volleyball.")</f>
        <v>Un grand groupe de personnes est vue debout dans une foule criant et jouant à un jeu de volleyball.</v>
      </c>
    </row>
    <row r="10459">
      <c r="A10459" s="4" t="s">
        <v>13147</v>
      </c>
      <c r="B10459" s="4" t="s">
        <v>13149</v>
      </c>
      <c r="C10459" s="5" t="str">
        <f>IFERROR(__xludf.DUMMYFUNCTION("GOOGLETRANSLATE(B10459,""en"",""fr"")"),"Le groupe de filles continue de jouer pendant que les gens encouragent les côtés ainsi que les pom-pom girls.")</f>
        <v>Le groupe de filles continue de jouer pendant que les gens encouragent les côtés ainsi que les pom-pom girls.</v>
      </c>
    </row>
    <row r="10460">
      <c r="A10460" s="4" t="s">
        <v>13150</v>
      </c>
      <c r="B10460" s="4" t="s">
        <v>13151</v>
      </c>
      <c r="C10460" s="5" t="str">
        <f>IFERROR(__xludf.DUMMYFUNCTION("GOOGLETRANSLATE(B10460,""en"",""fr"")"),"Nous voyons un script asiatique sur l'écran de titre.")</f>
        <v>Nous voyons un script asiatique sur l'écran de titre.</v>
      </c>
    </row>
    <row r="10461">
      <c r="A10461" s="4" t="s">
        <v>13150</v>
      </c>
      <c r="B10461" s="4" t="s">
        <v>13152</v>
      </c>
      <c r="C10461" s="5" t="str">
        <f>IFERROR(__xludf.DUMMYFUNCTION("GOOGLETRANSLATE(B10461,""en"",""fr"")"),"Nous voyons de la nourriture sur une table et une dame qui cueille une pomme de terre.")</f>
        <v>Nous voyons de la nourriture sur une table et une dame qui cueille une pomme de terre.</v>
      </c>
    </row>
    <row r="10462">
      <c r="A10462" s="4" t="s">
        <v>13150</v>
      </c>
      <c r="B10462" s="4" t="s">
        <v>13153</v>
      </c>
      <c r="C10462" s="5" t="str">
        <f>IFERROR(__xludf.DUMMYFUNCTION("GOOGLETRANSLATE(B10462,""en"",""fr"")"),"La pomme de terre est coupée, puis tombée dans une casserole.")</f>
        <v>La pomme de terre est coupée, puis tombée dans une casserole.</v>
      </c>
    </row>
    <row r="10463">
      <c r="A10463" s="4" t="s">
        <v>13150</v>
      </c>
      <c r="B10463" s="4" t="s">
        <v>13154</v>
      </c>
      <c r="C10463" s="5" t="str">
        <f>IFERROR(__xludf.DUMMYFUNCTION("GOOGLETRANSLATE(B10463,""en"",""fr"")"),"Il est transféré à l'eau froide et la peau glisse simplement lorsqu'elle est tirée.")</f>
        <v>Il est transféré à l'eau froide et la peau glisse simplement lorsqu'elle est tirée.</v>
      </c>
    </row>
    <row r="10464">
      <c r="A10464" s="4" t="s">
        <v>13150</v>
      </c>
      <c r="B10464" s="4" t="s">
        <v>13155</v>
      </c>
      <c r="C10464" s="5" t="str">
        <f>IFERROR(__xludf.DUMMYFUNCTION("GOOGLETRANSLATE(B10464,""en"",""fr"")"),"Nous voyons une illustration rouge sur une pomme de terre et une pomme de terre est purée.")</f>
        <v>Nous voyons une illustration rouge sur une pomme de terre et une pomme de terre est purée.</v>
      </c>
    </row>
    <row r="10465">
      <c r="A10465" s="4" t="s">
        <v>13150</v>
      </c>
      <c r="B10465" s="4" t="s">
        <v>13156</v>
      </c>
      <c r="C10465" s="5" t="str">
        <f>IFERROR(__xludf.DUMMYFUNCTION("GOOGLETRANSLATE(B10465,""en"",""fr"")"),"Deux autres pommes de terre sont décollées facilement, une autre pomme de terre est bouillie et tombée à l'eau froide.")</f>
        <v>Deux autres pommes de terre sont décollées facilement, une autre pomme de terre est bouillie et tombée à l'eau froide.</v>
      </c>
    </row>
    <row r="10466">
      <c r="A10466" s="4" t="s">
        <v>13157</v>
      </c>
      <c r="B10466" s="6" t="s">
        <v>13158</v>
      </c>
      <c r="C10466" s="5" t="str">
        <f>IFERROR(__xludf.DUMMYFUNCTION("GOOGLETRANSLATE(B10466,""en"",""fr"")"),"Plusieurs clips sont illustrés à des personnes errant dans les zones, en regardant la caméra et en skateboard sur une colline.")</f>
        <v>Plusieurs clips sont illustrés à des personnes errant dans les zones, en regardant la caméra et en skateboard sur une colline.</v>
      </c>
    </row>
    <row r="10467">
      <c r="A10467" s="4" t="s">
        <v>13157</v>
      </c>
      <c r="B10467" s="6" t="s">
        <v>13159</v>
      </c>
      <c r="C10467" s="5" t="str">
        <f>IFERROR(__xludf.DUMMYFUNCTION("GOOGLETRANSLATE(B10467,""en"",""fr"")"),"Plusieurs autres personnes sont présentées au skateboard possèdent diverses zones ainsi que la natation, les joints roulants et le surf sur l'eau.")</f>
        <v>Plusieurs autres personnes sont présentées au skateboard possèdent diverses zones ainsi que la natation, les joints roulants et le surf sur l'eau.</v>
      </c>
    </row>
    <row r="10468">
      <c r="A10468" s="4" t="s">
        <v>13157</v>
      </c>
      <c r="B10468" s="6" t="s">
        <v>13160</v>
      </c>
      <c r="C10468" s="5" t="str">
        <f>IFERROR(__xludf.DUMMYFUNCTION("GOOGLETRANSLATE(B10468,""en"",""fr"")"),"Les hommes jouent des tours, se noisent, nagent sous l'eau, ouvrent une pastèque, ainsi que diverses autres activités qui ramènent dans le skateboard.")</f>
        <v>Les hommes jouent des tours, se noisent, nagent sous l'eau, ouvrent une pastèque, ainsi que diverses autres activités qui ramènent dans le skateboard.</v>
      </c>
    </row>
    <row r="10469">
      <c r="A10469" s="4" t="s">
        <v>13161</v>
      </c>
      <c r="B10469" s="4" t="s">
        <v>13162</v>
      </c>
      <c r="C10469" s="5" t="str">
        <f>IFERROR(__xludf.DUMMYFUNCTION("GOOGLETRANSLATE(B10469,""en"",""fr"")"),"Une foule de gens est dans un stade en regardant une bagarre de taureau.")</f>
        <v>Une foule de gens est dans un stade en regardant une bagarre de taureau.</v>
      </c>
    </row>
    <row r="10470">
      <c r="A10470" s="4" t="s">
        <v>13161</v>
      </c>
      <c r="B10470" s="4" t="s">
        <v>13163</v>
      </c>
      <c r="C10470" s="5" t="str">
        <f>IFERROR(__xludf.DUMMYFUNCTION("GOOGLETRANSLATE(B10470,""en"",""fr"")"),"Un petit homme se tient devant le taureau avec un chiffon rouge et nargue le taureau.")</f>
        <v>Un petit homme se tient devant le taureau avec un chiffon rouge et nargue le taureau.</v>
      </c>
    </row>
    <row r="10471">
      <c r="A10471" s="4" t="s">
        <v>13161</v>
      </c>
      <c r="B10471" s="6" t="s">
        <v>13164</v>
      </c>
      <c r="C10471" s="5" t="str">
        <f>IFERROR(__xludf.DUMMYFUNCTION("GOOGLETRANSLATE(B10471,""en"",""fr"")"),"Une fois que le taureau bouge, trois autres hommes sortent avec des chiffons roses et commencent à narguer les taureaux et il les frappe avec ses cornes.")</f>
        <v>Une fois que le taureau bouge, trois autres hommes sortent avec des chiffons roses et commencent à narguer les taureaux et il les frappe avec ses cornes.</v>
      </c>
    </row>
    <row r="10472">
      <c r="A10472" s="4" t="s">
        <v>13161</v>
      </c>
      <c r="B10472" s="6" t="s">
        <v>13165</v>
      </c>
      <c r="C10472" s="5" t="str">
        <f>IFERROR(__xludf.DUMMYFUNCTION("GOOGLETRANSLATE(B10472,""en"",""fr"")"),"Les hommes laissent finalement le taureau seul et il se couche de son côté et ils commencent à lui donner quelque chose dans la bouche.")</f>
        <v>Les hommes laissent finalement le taureau seul et il se couche de son côté et ils commencent à lui donner quelque chose dans la bouche.</v>
      </c>
    </row>
    <row r="10473">
      <c r="A10473" s="4" t="s">
        <v>13161</v>
      </c>
      <c r="B10473" s="6" t="s">
        <v>13166</v>
      </c>
      <c r="C10473" s="5" t="str">
        <f>IFERROR(__xludf.DUMMYFUNCTION("GOOGLETRANSLATE(B10473,""en"",""fr"")"),"Une fois mis au repos, un autre homme vient enrouler quelque chose autour de sa bouche pour le sécuriser alors qu'un autre ensemble d'hommes sortait des chevaux en guidant.")</f>
        <v>Une fois mis au repos, un autre homme vient enrouler quelque chose autour de sa bouche pour le sécuriser alors qu'un autre ensemble d'hommes sortait des chevaux en guidant.</v>
      </c>
    </row>
    <row r="10474">
      <c r="A10474" s="4" t="s">
        <v>13167</v>
      </c>
      <c r="B10474" s="4" t="s">
        <v>13168</v>
      </c>
      <c r="C10474" s="5" t="str">
        <f>IFERROR(__xludf.DUMMYFUNCTION("GOOGLETRANSLATE(B10474,""en"",""fr"")"),"Deux hommes s'efforcent dans un match d'entraînement en karaté dans un studio de gym.")</f>
        <v>Deux hommes s'efforcent dans un match d'entraînement en karaté dans un studio de gym.</v>
      </c>
    </row>
    <row r="10475">
      <c r="A10475" s="4" t="s">
        <v>13167</v>
      </c>
      <c r="B10475" s="4" t="s">
        <v>13169</v>
      </c>
      <c r="C10475" s="5" t="str">
        <f>IFERROR(__xludf.DUMMYFUNCTION("GOOGLETRANSLATE(B10475,""en"",""fr"")"),"L'instructeur trébuche l'élève après avoir attrapé les coups de poing.")</f>
        <v>L'instructeur trébuche l'élève après avoir attrapé les coups de poing.</v>
      </c>
    </row>
    <row r="10476">
      <c r="A10476" s="4" t="s">
        <v>13167</v>
      </c>
      <c r="B10476" s="4" t="s">
        <v>13170</v>
      </c>
      <c r="C10476" s="5" t="str">
        <f>IFERROR(__xludf.DUMMYFUNCTION("GOOGLETRANSLATE(B10476,""en"",""fr"")"),"L'instructeur fait un coup de pied glissant sur l'élève.")</f>
        <v>L'instructeur fait un coup de pied glissant sur l'élève.</v>
      </c>
    </row>
    <row r="10477">
      <c r="A10477" s="4" t="s">
        <v>13167</v>
      </c>
      <c r="B10477" s="4" t="s">
        <v>13171</v>
      </c>
      <c r="C10477" s="5" t="str">
        <f>IFERROR(__xludf.DUMMYFUNCTION("GOOGLETRANSLATE(B10477,""en"",""fr"")"),"L'instructeur attrape les coups de pied de l'élève.")</f>
        <v>L'instructeur attrape les coups de pied de l'élève.</v>
      </c>
    </row>
    <row r="10478">
      <c r="A10478" s="4" t="s">
        <v>13172</v>
      </c>
      <c r="B10478" s="4" t="s">
        <v>13173</v>
      </c>
      <c r="C10478" s="5" t="str">
        <f>IFERROR(__xludf.DUMMYFUNCTION("GOOGLETRANSLATE(B10478,""en"",""fr"")"),"Un homme torse nu avec une machette sort dans la cour avant.")</f>
        <v>Un homme torse nu avec une machette sort dans la cour avant.</v>
      </c>
    </row>
    <row r="10479">
      <c r="A10479" s="4" t="s">
        <v>13172</v>
      </c>
      <c r="B10479" s="4" t="s">
        <v>13174</v>
      </c>
      <c r="C10479" s="5" t="str">
        <f>IFERROR(__xludf.DUMMYFUNCTION("GOOGLETRANSLATE(B10479,""en"",""fr"")"),"Il commence à frapper l'herbe à plusieurs reprises à plusieurs reprises encore et encore la coupe de l'herbe.")</f>
        <v>Il commence à frapper l'herbe à plusieurs reprises à plusieurs reprises encore et encore la coupe de l'herbe.</v>
      </c>
    </row>
    <row r="10480">
      <c r="A10480" s="4" t="s">
        <v>13172</v>
      </c>
      <c r="B10480" s="4" t="s">
        <v>13175</v>
      </c>
      <c r="C10480" s="5" t="str">
        <f>IFERROR(__xludf.DUMMYFUNCTION("GOOGLETRANSLATE(B10480,""en"",""fr"")"),"Au lieu d'utiliser une tondeuse à gazon, il coupe l'herbe avec une machette.")</f>
        <v>Au lieu d'utiliser une tondeuse à gazon, il coupe l'herbe avec une machette.</v>
      </c>
    </row>
    <row r="10481">
      <c r="A10481" s="4" t="s">
        <v>13172</v>
      </c>
      <c r="B10481" s="4" t="s">
        <v>13176</v>
      </c>
      <c r="C10481" s="5" t="str">
        <f>IFERROR(__xludf.DUMMYFUNCTION("GOOGLETRANSLATE(B10481,""en"",""fr"")"),"Il se tient à droite et se dirige vers un patch, puis commence à utiliser la machette vers elle également.")</f>
        <v>Il se tient à droite et se dirige vers un patch, puis commence à utiliser la machette vers elle également.</v>
      </c>
    </row>
    <row r="10482">
      <c r="A10482" s="4" t="s">
        <v>13177</v>
      </c>
      <c r="B10482" s="4" t="s">
        <v>13178</v>
      </c>
      <c r="C10482" s="5" t="str">
        <f>IFERROR(__xludf.DUMMYFUNCTION("GOOGLETRANSLATE(B10482,""en"",""fr"")"),"Les deux personnes prennent des tirs avec leurs rondelles sur la planche.")</f>
        <v>Les deux personnes prennent des tirs avec leurs rondelles sur la planche.</v>
      </c>
    </row>
    <row r="10483">
      <c r="A10483" s="4" t="s">
        <v>13177</v>
      </c>
      <c r="B10483" s="4" t="s">
        <v>13179</v>
      </c>
      <c r="C10483" s="5" t="str">
        <f>IFERROR(__xludf.DUMMYFUNCTION("GOOGLETRANSLATE(B10483,""en"",""fr"")"),"La personne modifie le score sur le conseil d'administration publié sur un poteau.")</f>
        <v>La personne modifie le score sur le conseil d'administration publié sur un poteau.</v>
      </c>
    </row>
    <row r="10484">
      <c r="A10484" s="4" t="s">
        <v>13177</v>
      </c>
      <c r="B10484" s="4" t="s">
        <v>13180</v>
      </c>
      <c r="C10484" s="5" t="str">
        <f>IFERROR(__xludf.DUMMYFUNCTION("GOOGLETRANSLATE(B10484,""en"",""fr"")"),"Un joueur descend le tableau pour récupérer les rondelles.")</f>
        <v>Un joueur descend le tableau pour récupérer les rondelles.</v>
      </c>
    </row>
    <row r="10485">
      <c r="A10485" s="4" t="s">
        <v>13177</v>
      </c>
      <c r="B10485" s="4" t="s">
        <v>13181</v>
      </c>
      <c r="C10485" s="5" t="str">
        <f>IFERROR(__xludf.DUMMYFUNCTION("GOOGLETRANSLATE(B10485,""en"",""fr"")"),"Deux personnes jouent à un jeu tranquille de Shuffle Board sur un tribunal en plein air.")</f>
        <v>Deux personnes jouent à un jeu tranquille de Shuffle Board sur un tribunal en plein air.</v>
      </c>
    </row>
    <row r="10486">
      <c r="A10486" s="4" t="s">
        <v>13182</v>
      </c>
      <c r="B10486" s="6" t="s">
        <v>13183</v>
      </c>
      <c r="C10486" s="5" t="str">
        <f>IFERROR(__xludf.DUMMYFUNCTION("GOOGLETRANSLATE(B10486,""en"",""fr"")"),"Une scène vide avec quatre lumières est montrée comme une foule de gens attendent que quelque chose se passe.")</f>
        <v>Une scène vide avec quatre lumières est montrée comme une foule de gens attendent que quelque chose se passe.</v>
      </c>
    </row>
    <row r="10487">
      <c r="A10487" s="4" t="s">
        <v>13182</v>
      </c>
      <c r="B10487" s="6" t="s">
        <v>13184</v>
      </c>
      <c r="C10487" s="5" t="str">
        <f>IFERROR(__xludf.DUMMYFUNCTION("GOOGLETRANSLATE(B10487,""en"",""fr"")"),"Une dame avec une cape et une jupe orange et jaune sort ensuite du côté et commence à danser le ventre.")</f>
        <v>Une dame avec une cape et une jupe orange et jaune sort ensuite du côté et commence à danser le ventre.</v>
      </c>
    </row>
    <row r="10488">
      <c r="A10488" s="4" t="s">
        <v>13182</v>
      </c>
      <c r="B10488" s="6" t="s">
        <v>13185</v>
      </c>
      <c r="C10488" s="5" t="str">
        <f>IFERROR(__xludf.DUMMYFUNCTION("GOOGLETRANSLATE(B10488,""en"",""fr"")"),"La femme laisse alors tomber la cape et commence à marcher vers la foule en bougeant sa poitrine et en souriant aux gens.")</f>
        <v>La femme laisse alors tomber la cape et commence à marcher vers la foule en bougeant sa poitrine et en souriant aux gens.</v>
      </c>
    </row>
    <row r="10489">
      <c r="A10489" s="4" t="s">
        <v>13186</v>
      </c>
      <c r="B10489" s="4" t="s">
        <v>13187</v>
      </c>
      <c r="C10489" s="5" t="str">
        <f>IFERROR(__xludf.DUMMYFUNCTION("GOOGLETRANSLATE(B10489,""en"",""fr"")"),"Nous voyons des gens jouer au paintball sur un terrain de football.")</f>
        <v>Nous voyons des gens jouer au paintball sur un terrain de football.</v>
      </c>
    </row>
    <row r="10490">
      <c r="A10490" s="4" t="s">
        <v>13186</v>
      </c>
      <c r="B10490" s="4" t="s">
        <v>13188</v>
      </c>
      <c r="C10490" s="5" t="str">
        <f>IFERROR(__xludf.DUMMYFUNCTION("GOOGLETRANSLATE(B10490,""en"",""fr"")"),"Les gens décollent et se dirigent sur le terrain.")</f>
        <v>Les gens décollent et se dirigent sur le terrain.</v>
      </c>
    </row>
    <row r="10491">
      <c r="A10491" s="4" t="s">
        <v>13186</v>
      </c>
      <c r="B10491" s="4" t="s">
        <v>13189</v>
      </c>
      <c r="C10491" s="5" t="str">
        <f>IFERROR(__xludf.DUMMYFUNCTION("GOOGLETRANSLATE(B10491,""en"",""fr"")"),"L'homme rampe sur le sol.")</f>
        <v>L'homme rampe sur le sol.</v>
      </c>
    </row>
    <row r="10492">
      <c r="A10492" s="4" t="s">
        <v>13186</v>
      </c>
      <c r="B10492" s="4" t="s">
        <v>13190</v>
      </c>
      <c r="C10492" s="5" t="str">
        <f>IFERROR(__xludf.DUMMYFUNCTION("GOOGLETRANSLATE(B10492,""en"",""fr"")"),"Il remplit son pistolet de boules orange.")</f>
        <v>Il remplit son pistolet de boules orange.</v>
      </c>
    </row>
    <row r="10493">
      <c r="A10493" s="4" t="s">
        <v>13186</v>
      </c>
      <c r="B10493" s="4" t="s">
        <v>13191</v>
      </c>
      <c r="C10493" s="5" t="str">
        <f>IFERROR(__xludf.DUMMYFUNCTION("GOOGLETRANSLATE(B10493,""en"",""fr"")"),"Une personne se dirige vers le sac près de l'homme.")</f>
        <v>Une personne se dirige vers le sac près de l'homme.</v>
      </c>
    </row>
    <row r="10494">
      <c r="A10494" s="4" t="s">
        <v>13186</v>
      </c>
      <c r="B10494" s="4" t="s">
        <v>13192</v>
      </c>
      <c r="C10494" s="5" t="str">
        <f>IFERROR(__xludf.DUMMYFUNCTION("GOOGLETRANSLATE(B10494,""en"",""fr"")"),"L'homme recharge son pistolet avec des boules bleues.")</f>
        <v>L'homme recharge son pistolet avec des boules bleues.</v>
      </c>
    </row>
    <row r="10495">
      <c r="A10495" s="4" t="s">
        <v>13186</v>
      </c>
      <c r="B10495" s="4" t="s">
        <v>13193</v>
      </c>
      <c r="C10495" s="5" t="str">
        <f>IFERROR(__xludf.DUMMYFUNCTION("GOOGLETRANSLATE(B10495,""en"",""fr"")"),"Nous voyons un homme derrière une clôture et l'homme marche.")</f>
        <v>Nous voyons un homme derrière une clôture et l'homme marche.</v>
      </c>
    </row>
    <row r="10496">
      <c r="A10496" s="4" t="s">
        <v>13194</v>
      </c>
      <c r="B10496" s="6" t="s">
        <v>13195</v>
      </c>
      <c r="C10496" s="5" t="str">
        <f>IFERROR(__xludf.DUMMYFUNCTION("GOOGLETRANSLATE(B10496,""en"",""fr"")"),"Un homme est vu assis à l'arrière d'une voiture dans une planche de surf et un autre homme parlant à la caméra.")</f>
        <v>Un homme est vu assis à l'arrière d'une voiture dans une planche de surf et un autre homme parlant à la caméra.</v>
      </c>
    </row>
    <row r="10497">
      <c r="A10497" s="4" t="s">
        <v>13194</v>
      </c>
      <c r="B10497" s="4" t="s">
        <v>13196</v>
      </c>
      <c r="C10497" s="5" t="str">
        <f>IFERROR(__xludf.DUMMYFUNCTION("GOOGLETRANSLATE(B10497,""en"",""fr"")"),"Des plans de mouvement au ralenti d'un homme surf sont montrés et l'homme continue de parler.")</f>
        <v>Des plans de mouvement au ralenti d'un homme surf sont montrés et l'homme continue de parler.</v>
      </c>
    </row>
    <row r="10498">
      <c r="A10498" s="4" t="s">
        <v>13197</v>
      </c>
      <c r="B10498" s="4" t="s">
        <v>13198</v>
      </c>
      <c r="C10498" s="5" t="str">
        <f>IFERROR(__xludf.DUMMYFUNCTION("GOOGLETRANSLATE(B10498,""en"",""fr"")"),"Les gens roulent dans les voiliers de la vue d'une grande doublure océanique.")</f>
        <v>Les gens roulent dans les voiliers de la vue d'une grande doublure océanique.</v>
      </c>
    </row>
    <row r="10499">
      <c r="A10499" s="4" t="s">
        <v>13197</v>
      </c>
      <c r="B10499" s="4" t="s">
        <v>13199</v>
      </c>
      <c r="C10499" s="5" t="str">
        <f>IFERROR(__xludf.DUMMYFUNCTION("GOOGLETRANSLATE(B10499,""en"",""fr"")"),"Une femme s'appuie contre le bord, regardant les bateaux.")</f>
        <v>Une femme s'appuie contre le bord, regardant les bateaux.</v>
      </c>
    </row>
    <row r="10500">
      <c r="A10500" s="4" t="s">
        <v>13200</v>
      </c>
      <c r="B10500" s="4" t="s">
        <v>13201</v>
      </c>
      <c r="C10500" s="5" t="str">
        <f>IFERROR(__xludf.DUMMYFUNCTION("GOOGLETRANSLATE(B10500,""en"",""fr"")"),"Un homme tourne à l'intérieur de l'appartement AM en regardant plusieurs choses différentes.")</f>
        <v>Un homme tourne à l'intérieur de l'appartement AM en regardant plusieurs choses différentes.</v>
      </c>
    </row>
    <row r="10501">
      <c r="A10501" s="4" t="s">
        <v>13200</v>
      </c>
      <c r="B10501" s="4" t="s">
        <v>13202</v>
      </c>
      <c r="C10501" s="5" t="str">
        <f>IFERROR(__xludf.DUMMYFUNCTION("GOOGLETRANSLATE(B10501,""en"",""fr"")"),"Un petit garçon entre dans la scène et sort rapidement de la vue de la caméra.")</f>
        <v>Un petit garçon entre dans la scène et sort rapidement de la vue de la caméra.</v>
      </c>
    </row>
    <row r="10502">
      <c r="A10502" s="4" t="s">
        <v>13200</v>
      </c>
      <c r="B10502" s="4" t="s">
        <v>13203</v>
      </c>
      <c r="C10502" s="5" t="str">
        <f>IFERROR(__xludf.DUMMYFUNCTION("GOOGLETRANSLATE(B10502,""en"",""fr"")"),"Le garçon revient sur la caméra à nouveau des mouvements de karaté avec un bâton.")</f>
        <v>Le garçon revient sur la caméra à nouveau des mouvements de karaté avec un bâton.</v>
      </c>
    </row>
    <row r="10503">
      <c r="A10503" s="4" t="s">
        <v>13200</v>
      </c>
      <c r="B10503" s="4" t="s">
        <v>13204</v>
      </c>
      <c r="C10503" s="5" t="str">
        <f>IFERROR(__xludf.DUMMYFUNCTION("GOOGLETRANSLATE(B10503,""en"",""fr"")"),"L'homme obtient un gros plan du garçon pendant qu'il parle au garçon dans une autre langue.")</f>
        <v>L'homme obtient un gros plan du garçon pendant qu'il parle au garçon dans une autre langue.</v>
      </c>
    </row>
    <row r="10504">
      <c r="A10504" s="4" t="s">
        <v>13200</v>
      </c>
      <c r="B10504" s="4" t="s">
        <v>13205</v>
      </c>
      <c r="C10504" s="5" t="str">
        <f>IFERROR(__xludf.DUMMYFUNCTION("GOOGLETRANSLATE(B10504,""en"",""fr"")"),"Le garçon fait un arc et la vidéo se termine.")</f>
        <v>Le garçon fait un arc et la vidéo se termine.</v>
      </c>
    </row>
    <row r="10505">
      <c r="A10505" s="4" t="s">
        <v>13206</v>
      </c>
      <c r="B10505" s="6" t="s">
        <v>13207</v>
      </c>
      <c r="C10505" s="5" t="str">
        <f>IFERROR(__xludf.DUMMYFUNCTION("GOOGLETRANSLATE(B10505,""en"",""fr"")"),"Un athlète en uniforme blanc et bleu se prépare à participer à une compétition triple saut dans un tournoi d'athlétisme.")</f>
        <v>Un athlète en uniforme blanc et bleu se prépare à participer à une compétition triple saut dans un tournoi d'athlétisme.</v>
      </c>
    </row>
    <row r="10506">
      <c r="A10506" s="4" t="s">
        <v>13206</v>
      </c>
      <c r="B10506" s="6" t="s">
        <v>13208</v>
      </c>
      <c r="C10506" s="5" t="str">
        <f>IFERROR(__xludf.DUMMYFUNCTION("GOOGLETRANSLATE(B10506,""en"",""fr"")"),"Le concurrent commence progressivement par courir lentement, puis ramasse la vitesse à un sprint et atterrissant un pied sur la ligne du marqueur blanc et deux autres houblon sur chaque pied, puis sautent par-dessus le parcours de sable.")</f>
        <v>Le concurrent commence progressivement par courir lentement, puis ramasse la vitesse à un sprint et atterrissant un pied sur la ligne du marqueur blanc et deux autres houblon sur chaque pied, puis sautent par-dessus le parcours de sable.</v>
      </c>
    </row>
    <row r="10507">
      <c r="A10507" s="4" t="s">
        <v>13206</v>
      </c>
      <c r="B10507" s="6" t="s">
        <v>13209</v>
      </c>
      <c r="C10507" s="5" t="str">
        <f>IFERROR(__xludf.DUMMYFUNCTION("GOOGLETRANSLATE(B10507,""en"",""fr"")"),"Le concurrent saute et court de la piste et se rend aux stands de spectateur et célèbre son saut.")</f>
        <v>Le concurrent saute et court de la piste et se rend aux stands de spectateur et célèbre son saut.</v>
      </c>
    </row>
    <row r="10508">
      <c r="A10508" s="4" t="s">
        <v>13206</v>
      </c>
      <c r="B10508" s="6" t="s">
        <v>13210</v>
      </c>
      <c r="C10508" s="5" t="str">
        <f>IFERROR(__xludf.DUMMYFUNCTION("GOOGLETRANSLATE(B10508,""en"",""fr"")"),"Un gros plan de la position du pied des concurrents sur la ligne du marqueur blanc est affiché sur un gros plan et le saut est indiqué au ralenti et à une vitesse régulière plusieurs fois.")</f>
        <v>Un gros plan de la position du pied des concurrents sur la ligne du marqueur blanc est affiché sur un gros plan et le saut est indiqué au ralenti et à une vitesse régulière plusieurs fois.</v>
      </c>
    </row>
    <row r="10509">
      <c r="A10509" s="4" t="s">
        <v>13211</v>
      </c>
      <c r="B10509" s="6" t="s">
        <v>13212</v>
      </c>
      <c r="C10509" s="5" t="str">
        <f>IFERROR(__xludf.DUMMYFUNCTION("GOOGLETRANSLATE(B10509,""en"",""fr"")"),"La caméra se déroule autour d'un grand groupe de personnes jouant un match de football sur un terrain avec de nombreuses personnes qui regardent sur les côtés.")</f>
        <v>La caméra se déroule autour d'un grand groupe de personnes jouant un match de football sur un terrain avec de nombreuses personnes qui regardent sur les côtés.</v>
      </c>
    </row>
    <row r="10510">
      <c r="A10510" s="4" t="s">
        <v>13211</v>
      </c>
      <c r="B10510" s="4" t="s">
        <v>13213</v>
      </c>
      <c r="C10510" s="5" t="str">
        <f>IFERROR(__xludf.DUMMYFUNCTION("GOOGLETRANSLATE(B10510,""en"",""fr"")"),"Les joueurs se promènent un peu sur le terrain et les conduisent en jouant au jeu.")</f>
        <v>Les joueurs se promènent un peu sur le terrain et les conduisent en jouant au jeu.</v>
      </c>
    </row>
    <row r="10511">
      <c r="A10511" s="4" t="s">
        <v>13211</v>
      </c>
      <c r="B10511" s="4" t="s">
        <v>13214</v>
      </c>
      <c r="C10511" s="5" t="str">
        <f>IFERROR(__xludf.DUMMYFUNCTION("GOOGLETRANSLATE(B10511,""en"",""fr"")"),"La main d'une personne couvre ensuite la caméra et se déplace tout autour de la zone.")</f>
        <v>La main d'une personne couvre ensuite la caméra et se déplace tout autour de la zone.</v>
      </c>
    </row>
    <row r="10512">
      <c r="A10512" s="4" t="s">
        <v>13215</v>
      </c>
      <c r="B10512" s="4" t="s">
        <v>13216</v>
      </c>
      <c r="C10512" s="5" t="str">
        <f>IFERROR(__xludf.DUMMYFUNCTION("GOOGLETRANSLATE(B10512,""en"",""fr"")"),"Une femme regarde à travers un grand tas de vêtements et commence à lancer la caméra.")</f>
        <v>Une femme regarde à travers un grand tas de vêtements et commence à lancer la caméra.</v>
      </c>
    </row>
    <row r="10513">
      <c r="A10513" s="4" t="s">
        <v>13215</v>
      </c>
      <c r="B10513" s="4" t="s">
        <v>13217</v>
      </c>
      <c r="C10513" s="5" t="str">
        <f>IFERROR(__xludf.DUMMYFUNCTION("GOOGLETRANSLATE(B10513,""en"",""fr"")"),"Elle kile sa direction tout en parlant et en faisant repousser des vêtements sur la table.")</f>
        <v>Elle kile sa direction tout en parlant et en faisant repousser des vêtements sur la table.</v>
      </c>
    </row>
    <row r="10514">
      <c r="A10514" s="4" t="s">
        <v>13218</v>
      </c>
      <c r="B10514" s="4" t="s">
        <v>13219</v>
      </c>
      <c r="C10514" s="5" t="str">
        <f>IFERROR(__xludf.DUMMYFUNCTION("GOOGLETRANSLATE(B10514,""en"",""fr"")"),"Une personne est vue en train de tourner son cou sur le côté et une personne portant des gants tenant une aiguille.")</f>
        <v>Une personne est vue en train de tourner son cou sur le côté et une personne portant des gants tenant une aiguille.</v>
      </c>
    </row>
    <row r="10515">
      <c r="A10515" s="4" t="s">
        <v>13218</v>
      </c>
      <c r="B10515" s="4" t="s">
        <v>13220</v>
      </c>
      <c r="C10515" s="5" t="str">
        <f>IFERROR(__xludf.DUMMYFUNCTION("GOOGLETRANSLATE(B10515,""en"",""fr"")"),"La personne perce ensuite l'oreille de la fille assise.")</f>
        <v>La personne perce ensuite l'oreille de la fille assise.</v>
      </c>
    </row>
    <row r="10516">
      <c r="A10516" s="4" t="s">
        <v>13218</v>
      </c>
      <c r="B10516" s="4" t="s">
        <v>13221</v>
      </c>
      <c r="C10516" s="5" t="str">
        <f>IFERROR(__xludf.DUMMYFUNCTION("GOOGLETRANSLATE(B10516,""en"",""fr"")"),"Il met une boucle d'oreille à travers le piercing et s'assure qu'elle est en place.")</f>
        <v>Il met une boucle d'oreille à travers le piercing et s'assure qu'elle est en place.</v>
      </c>
    </row>
    <row r="10517">
      <c r="A10517" s="4" t="s">
        <v>13222</v>
      </c>
      <c r="B10517" s="6" t="s">
        <v>13223</v>
      </c>
      <c r="C10517" s="5" t="str">
        <f>IFERROR(__xludf.DUMMYFUNCTION("GOOGLETRANSLATE(B10517,""en"",""fr"")"),"Il y a plusieurs personnes vêtues de gilets de sécurité et de casques naviguant dans un bateau à vitesse pour faire du tube dans l'eau.")</f>
        <v>Il y a plusieurs personnes vêtues de gilets de sécurité et de casques naviguant dans un bateau à vitesse pour faire du tube dans l'eau.</v>
      </c>
    </row>
    <row r="10518">
      <c r="A10518" s="4" t="s">
        <v>13222</v>
      </c>
      <c r="B10518" s="6" t="s">
        <v>13224</v>
      </c>
      <c r="C10518" s="5" t="str">
        <f>IFERROR(__xludf.DUMMYFUNCTION("GOOGLETRANSLATE(B10518,""en"",""fr"")"),"Ils voyagent à travers le lac et arrivent à un endroit où ils descendent du bateau et sautent dans l'eau avec leurs tubes.")</f>
        <v>Ils voyagent à travers le lac et arrivent à un endroit où ils descendent du bateau et sautent dans l'eau avec leurs tubes.</v>
      </c>
    </row>
    <row r="10519">
      <c r="A10519" s="4" t="s">
        <v>13222</v>
      </c>
      <c r="B10519" s="4" t="s">
        <v>13225</v>
      </c>
      <c r="C10519" s="5" t="str">
        <f>IFERROR(__xludf.DUMMYFUNCTION("GOOGLETRANSLATE(B10519,""en"",""fr"")"),"Ils montent sur les tubes jaunes et flottent le long de l'eau.")</f>
        <v>Ils montent sur les tubes jaunes et flottent le long de l'eau.</v>
      </c>
    </row>
    <row r="10520">
      <c r="A10520" s="4" t="s">
        <v>13226</v>
      </c>
      <c r="B10520" s="4" t="s">
        <v>13227</v>
      </c>
      <c r="C10520" s="5" t="str">
        <f>IFERROR(__xludf.DUMMYFUNCTION("GOOGLETRANSLATE(B10520,""en"",""fr"")"),"Nous voyons un homme parler dans un magasin de vélos.")</f>
        <v>Nous voyons un homme parler dans un magasin de vélos.</v>
      </c>
    </row>
    <row r="10521">
      <c r="A10521" s="4" t="s">
        <v>13226</v>
      </c>
      <c r="B10521" s="4" t="s">
        <v>13228</v>
      </c>
      <c r="C10521" s="5" t="str">
        <f>IFERROR(__xludf.DUMMYFUNCTION("GOOGLETRANSLATE(B10521,""en"",""fr"")"),"L'homme touche les barres de poignée d'un vélo puis attrape un fil sur une table.")</f>
        <v>L'homme touche les barres de poignée d'un vélo puis attrape un fil sur une table.</v>
      </c>
    </row>
    <row r="10522">
      <c r="A10522" s="4" t="s">
        <v>13226</v>
      </c>
      <c r="B10522" s="4" t="s">
        <v>13229</v>
      </c>
      <c r="C10522" s="5" t="str">
        <f>IFERROR(__xludf.DUMMYFUNCTION("GOOGLETRANSLATE(B10522,""en"",""fr"")"),"L'homme enfonce le fil à travers le système de freinage des vélos.")</f>
        <v>L'homme enfonce le fil à travers le système de freinage des vélos.</v>
      </c>
    </row>
    <row r="10523">
      <c r="A10523" s="4" t="s">
        <v>13226</v>
      </c>
      <c r="B10523" s="4" t="s">
        <v>13230</v>
      </c>
      <c r="C10523" s="5" t="str">
        <f>IFERROR(__xludf.DUMMYFUNCTION("GOOGLETRANSLATE(B10523,""en"",""fr"")"),"L'homme ajoute une gaine en plastique noire sur le fil et la attache à l'autoroute de roue.")</f>
        <v>L'homme ajoute une gaine en plastique noire sur le fil et la attache à l'autoroute de roue.</v>
      </c>
    </row>
    <row r="10524">
      <c r="A10524" s="4" t="s">
        <v>13231</v>
      </c>
      <c r="B10524" s="4" t="s">
        <v>13232</v>
      </c>
      <c r="C10524" s="5" t="str">
        <f>IFERROR(__xludf.DUMMYFUNCTION("GOOGLETRANSLATE(B10524,""en"",""fr"")"),"L'équipe en uniforme blanc et rouge a dansé dans le terrain.")</f>
        <v>L'équipe en uniforme blanc et rouge a dansé dans le terrain.</v>
      </c>
    </row>
    <row r="10525">
      <c r="A10525" s="4" t="s">
        <v>13231</v>
      </c>
      <c r="B10525" s="4" t="s">
        <v>13233</v>
      </c>
      <c r="C10525" s="5" t="str">
        <f>IFERROR(__xludf.DUMMYFUNCTION("GOOGLETRANSLATE(B10525,""en"",""fr"")"),"L'équipe fait individuellement une corde sautée, dansait sur le sol.")</f>
        <v>L'équipe fait individuellement une corde sautée, dansait sur le sol.</v>
      </c>
    </row>
    <row r="10526">
      <c r="A10526" s="4" t="s">
        <v>13231</v>
      </c>
      <c r="B10526" s="6" t="s">
        <v>13234</v>
      </c>
      <c r="C10526" s="5" t="str">
        <f>IFERROR(__xludf.DUMMYFUNCTION("GOOGLETRANSLATE(B10526,""en"",""fr"")"),"L'équipe fait des cordes sautantes où deux femmes tiennent l'extrémité de la corde de saut, les tournant alors que l'autre membre de l'équipe sautait à l'intérieur de la corde et de la danse.")</f>
        <v>L'équipe fait des cordes sautantes où deux femmes tiennent l'extrémité de la corde de saut, les tournant alors que l'autre membre de l'équipe sautait à l'intérieur de la corde et de la danse.</v>
      </c>
    </row>
    <row r="10527">
      <c r="A10527" s="4" t="s">
        <v>13235</v>
      </c>
      <c r="B10527" s="4" t="s">
        <v>13236</v>
      </c>
      <c r="C10527" s="5" t="str">
        <f>IFERROR(__xludf.DUMMYFUNCTION("GOOGLETRANSLATE(B10527,""en"",""fr"")"),"Une personne assemble un vide sur le tapis.")</f>
        <v>Une personne assemble un vide sur le tapis.</v>
      </c>
    </row>
    <row r="10528">
      <c r="A10528" s="4" t="s">
        <v>13235</v>
      </c>
      <c r="B10528" s="4" t="s">
        <v>13237</v>
      </c>
      <c r="C10528" s="5" t="str">
        <f>IFERROR(__xludf.DUMMYFUNCTION("GOOGLETRANSLATE(B10528,""en"",""fr"")"),"Ils branchent l'aspirateur.")</f>
        <v>Ils branchent l'aspirateur.</v>
      </c>
    </row>
    <row r="10529">
      <c r="A10529" s="4" t="s">
        <v>13235</v>
      </c>
      <c r="B10529" s="4" t="s">
        <v>13238</v>
      </c>
      <c r="C10529" s="5" t="str">
        <f>IFERROR(__xludf.DUMMYFUNCTION("GOOGLETRANSLATE(B10529,""en"",""fr"")"),"Ils allument l'aspirateur et commencent à passer l'aspirateur sur le sol.")</f>
        <v>Ils allument l'aspirateur et commencent à passer l'aspirateur sur le sol.</v>
      </c>
    </row>
    <row r="10530">
      <c r="A10530" s="4" t="s">
        <v>13235</v>
      </c>
      <c r="B10530" s="4" t="s">
        <v>13239</v>
      </c>
      <c r="C10530" s="5" t="str">
        <f>IFERROR(__xludf.DUMMYFUNCTION("GOOGLETRANSLATE(B10530,""en"",""fr"")"),"Ils enlèvent le tuyau d'attachement et l'aspirez les planches de base et les escaliers.")</f>
        <v>Ils enlèvent le tuyau d'attachement et l'aspirez les planches de base et les escaliers.</v>
      </c>
    </row>
    <row r="10531">
      <c r="A10531" s="4" t="s">
        <v>13235</v>
      </c>
      <c r="B10531" s="4" t="s">
        <v>13240</v>
      </c>
      <c r="C10531" s="5" t="str">
        <f>IFERROR(__xludf.DUMMYFUNCTION("GOOGLETRANSLATE(B10531,""en"",""fr"")"),"Ils sortent le filtre et le vide.")</f>
        <v>Ils sortent le filtre et le vide.</v>
      </c>
    </row>
    <row r="10532">
      <c r="A10532" s="4" t="s">
        <v>13235</v>
      </c>
      <c r="B10532" s="4" t="s">
        <v>13241</v>
      </c>
      <c r="C10532" s="5" t="str">
        <f>IFERROR(__xludf.DUMMYFUNCTION("GOOGLETRANSLATE(B10532,""en"",""fr"")"),"Ils débranchent le vide et le mettent dans le placard.")</f>
        <v>Ils débranchent le vide et le mettent dans le placard.</v>
      </c>
    </row>
    <row r="10533">
      <c r="A10533" s="4" t="s">
        <v>13242</v>
      </c>
      <c r="B10533" s="4" t="s">
        <v>13243</v>
      </c>
      <c r="C10533" s="5" t="str">
        <f>IFERROR(__xludf.DUMMYFUNCTION("GOOGLETRANSLATE(B10533,""en"",""fr"")"),"Un petit garçon joue sur un stepper d'escalier dans un magasin.")</f>
        <v>Un petit garçon joue sur un stepper d'escalier dans un magasin.</v>
      </c>
    </row>
    <row r="10534">
      <c r="A10534" s="4" t="s">
        <v>13242</v>
      </c>
      <c r="B10534" s="4" t="s">
        <v>13244</v>
      </c>
      <c r="C10534" s="5" t="str">
        <f>IFERROR(__xludf.DUMMYFUNCTION("GOOGLETRANSLATE(B10534,""en"",""fr"")"),"Nous reculerons et voyons les jambes des garçons.")</f>
        <v>Nous reculerons et voyons les jambes des garçons.</v>
      </c>
    </row>
    <row r="10535">
      <c r="A10535" s="4" t="s">
        <v>13242</v>
      </c>
      <c r="B10535" s="4" t="s">
        <v>13245</v>
      </c>
      <c r="C10535" s="5" t="str">
        <f>IFERROR(__xludf.DUMMYFUNCTION("GOOGLETRANSLATE(B10535,""en"",""fr"")"),"La caméra zoome à nouveau sur le garçon.")</f>
        <v>La caméra zoome à nouveau sur le garçon.</v>
      </c>
    </row>
    <row r="10536">
      <c r="A10536" s="4" t="s">
        <v>13246</v>
      </c>
      <c r="B10536" s="4" t="s">
        <v>13247</v>
      </c>
      <c r="C10536" s="5" t="str">
        <f>IFERROR(__xludf.DUMMYFUNCTION("GOOGLETRANSLATE(B10536,""en"",""fr"")"),"Une petite fille dans une couche utilise un petit vide.")</f>
        <v>Une petite fille dans une couche utilise un petit vide.</v>
      </c>
    </row>
    <row r="10537">
      <c r="A10537" s="4" t="s">
        <v>13246</v>
      </c>
      <c r="B10537" s="4" t="s">
        <v>13248</v>
      </c>
      <c r="C10537" s="5" t="str">
        <f>IFERROR(__xludf.DUMMYFUNCTION("GOOGLETRANSLATE(B10537,""en"",""fr"")"),"Elle aspire la saleté sous une chaise dans un salon.")</f>
        <v>Elle aspire la saleté sous une chaise dans un salon.</v>
      </c>
    </row>
    <row r="10538">
      <c r="A10538" s="4" t="s">
        <v>13246</v>
      </c>
      <c r="B10538" s="4" t="s">
        <v>13249</v>
      </c>
      <c r="C10538" s="5" t="str">
        <f>IFERROR(__xludf.DUMMYFUNCTION("GOOGLETRANSLATE(B10538,""en"",""fr"")"),"Elle utilise la brosse pour aspirer la saleté sur le sol.")</f>
        <v>Elle utilise la brosse pour aspirer la saleté sur le sol.</v>
      </c>
    </row>
    <row r="10539">
      <c r="A10539" s="4" t="s">
        <v>13250</v>
      </c>
      <c r="B10539" s="4" t="s">
        <v>13251</v>
      </c>
      <c r="C10539" s="5" t="str">
        <f>IFERROR(__xludf.DUMMYFUNCTION("GOOGLETRANSLATE(B10539,""en"",""fr"")"),"Un garçon tourne autour d'une salle de sport avec une raquette de tennis et pousse une balle vers un autre garçon.")</f>
        <v>Un garçon tourne autour d'une salle de sport avec une raquette de tennis et pousse une balle vers un autre garçon.</v>
      </c>
    </row>
    <row r="10540">
      <c r="A10540" s="4" t="s">
        <v>13250</v>
      </c>
      <c r="B10540" s="4" t="s">
        <v>13252</v>
      </c>
      <c r="C10540" s="5" t="str">
        <f>IFERROR(__xludf.DUMMYFUNCTION("GOOGLETRANSLATE(B10540,""en"",""fr"")"),"Les garçons reviennent et quatrième balles rebondissant contre un mur avec leurs mains et une raquette de tennis.")</f>
        <v>Les garçons reviennent et quatrième balles rebondissant contre un mur avec leurs mains et une raquette de tennis.</v>
      </c>
    </row>
    <row r="10541">
      <c r="A10541" s="4" t="s">
        <v>13250</v>
      </c>
      <c r="B10541" s="6" t="s">
        <v>13253</v>
      </c>
      <c r="C10541" s="5" t="str">
        <f>IFERROR(__xludf.DUMMYFUNCTION("GOOGLETRANSLATE(B10541,""en"",""fr"")"),"Ils glissent autour du sol en poussant le ballon et continuent de frapper le ballon et le quatrième à travers le gymnase.")</f>
        <v>Ils glissent autour du sol en poussant le ballon et continuent de frapper le ballon et le quatrième à travers le gymnase.</v>
      </c>
    </row>
    <row r="10542">
      <c r="A10542" s="4" t="s">
        <v>13254</v>
      </c>
      <c r="B10542" s="6" t="s">
        <v>13255</v>
      </c>
      <c r="C10542" s="5" t="str">
        <f>IFERROR(__xludf.DUMMYFUNCTION("GOOGLETRANSLATE(B10542,""en"",""fr"")"),"Un homme est vu dans plusieurs coups de feu en regardant au loin suivis par d'autres roulant sur des planches.")</f>
        <v>Un homme est vu dans plusieurs coups de feu en regardant au loin suivis par d'autres roulant sur des planches.</v>
      </c>
    </row>
    <row r="10543">
      <c r="A10543" s="4" t="s">
        <v>13254</v>
      </c>
      <c r="B10543" s="4" t="s">
        <v>13256</v>
      </c>
      <c r="C10543" s="5" t="str">
        <f>IFERROR(__xludf.DUMMYFUNCTION("GOOGLETRANSLATE(B10543,""en"",""fr"")"),"Les hommes se préparent sur les côtés tout en parlant à la caméra et en roulant sur l'eau.")</f>
        <v>Les hommes se préparent sur les côtés tout en parlant à la caméra et en roulant sur l'eau.</v>
      </c>
    </row>
    <row r="10544">
      <c r="A10544" s="4" t="s">
        <v>13254</v>
      </c>
      <c r="B10544" s="4" t="s">
        <v>13257</v>
      </c>
      <c r="C10544" s="5" t="str">
        <f>IFERROR(__xludf.DUMMYFUNCTION("GOOGLETRANSLATE(B10544,""en"",""fr"")"),"Les gens continuent de rouler pendant que d'autres regardent sur le côté.")</f>
        <v>Les gens continuent de rouler pendant que d'autres regardent sur le côté.</v>
      </c>
    </row>
    <row r="10545">
      <c r="A10545" s="4" t="s">
        <v>13258</v>
      </c>
      <c r="B10545" s="4" t="s">
        <v>13259</v>
      </c>
      <c r="C10545" s="5" t="str">
        <f>IFERROR(__xludf.DUMMYFUNCTION("GOOGLETRANSLATE(B10545,""en"",""fr"")"),"Une personne utilise une brosse pour frotter une chaussure sur un évier.")</f>
        <v>Une personne utilise une brosse pour frotter une chaussure sur un évier.</v>
      </c>
    </row>
    <row r="10546">
      <c r="A10546" s="4" t="s">
        <v>13258</v>
      </c>
      <c r="B10546" s="4" t="s">
        <v>13260</v>
      </c>
      <c r="C10546" s="5" t="str">
        <f>IFERROR(__xludf.DUMMYFUNCTION("GOOGLETRANSLATE(B10546,""en"",""fr"")"),"Ils essuient la chaussure avec une serviette blanche.")</f>
        <v>Ils essuient la chaussure avec une serviette blanche.</v>
      </c>
    </row>
    <row r="10547">
      <c r="A10547" s="4" t="s">
        <v>13258</v>
      </c>
      <c r="B10547" s="4" t="s">
        <v>13261</v>
      </c>
      <c r="C10547" s="5" t="str">
        <f>IFERROR(__xludf.DUMMYFUNCTION("GOOGLETRANSLATE(B10547,""en"",""fr"")"),"Il soulève la chaussure pour montrer la caméra.")</f>
        <v>Il soulève la chaussure pour montrer la caméra.</v>
      </c>
    </row>
    <row r="10548">
      <c r="A10548" s="4" t="s">
        <v>13262</v>
      </c>
      <c r="B10548" s="4" t="s">
        <v>13263</v>
      </c>
      <c r="C10548" s="5" t="str">
        <f>IFERROR(__xludf.DUMMYFUNCTION("GOOGLETRANSLATE(B10548,""en"",""fr"")"),"Nous voyons une image d'une gymnaste masculine au milieu du swing.")</f>
        <v>Nous voyons une image d'une gymnaste masculine au milieu du swing.</v>
      </c>
    </row>
    <row r="10549">
      <c r="A10549" s="4" t="s">
        <v>13262</v>
      </c>
      <c r="B10549" s="4" t="s">
        <v>13264</v>
      </c>
      <c r="C10549" s="5" t="str">
        <f>IFERROR(__xludf.DUMMYFUNCTION("GOOGLETRANSLATE(B10549,""en"",""fr"")"),"Nous voyons une carte de titre avec une famille dessus.")</f>
        <v>Nous voyons une carte de titre avec une famille dessus.</v>
      </c>
    </row>
    <row r="10550">
      <c r="A10550" s="4" t="s">
        <v>13262</v>
      </c>
      <c r="B10550" s="4" t="s">
        <v>13265</v>
      </c>
      <c r="C10550" s="5" t="str">
        <f>IFERROR(__xludf.DUMMYFUNCTION("GOOGLETRANSLATE(B10550,""en"",""fr"")"),"Un homme se balance sur un cheval pommel.")</f>
        <v>Un homme se balance sur un cheval pommel.</v>
      </c>
    </row>
    <row r="10551">
      <c r="A10551" s="4" t="s">
        <v>13262</v>
      </c>
      <c r="B10551" s="4" t="s">
        <v>13266</v>
      </c>
      <c r="C10551" s="5" t="str">
        <f>IFERROR(__xludf.DUMMYFUNCTION("GOOGLETRANSLATE(B10551,""en"",""fr"")"),"Un homme en plan bleu balançait ses jambes d'avant en arrière.")</f>
        <v>Un homme en plan bleu balançait ses jambes d'avant en arrière.</v>
      </c>
    </row>
    <row r="10552">
      <c r="A10552" s="4" t="s">
        <v>13262</v>
      </c>
      <c r="B10552" s="4" t="s">
        <v>13267</v>
      </c>
      <c r="C10552" s="5" t="str">
        <f>IFERROR(__xludf.DUMMYFUNCTION("GOOGLETRANSLATE(B10552,""en"",""fr"")"),"L'homme en short rouge tourne sauvagement.")</f>
        <v>L'homme en short rouge tourne sauvagement.</v>
      </c>
    </row>
    <row r="10553">
      <c r="A10553" s="4" t="s">
        <v>13262</v>
      </c>
      <c r="B10553" s="4" t="s">
        <v>13268</v>
      </c>
      <c r="C10553" s="5" t="str">
        <f>IFERROR(__xludf.DUMMYFUNCTION("GOOGLETRANSLATE(B10553,""en"",""fr"")"),"Il tourne ensuite sur un appareil rond.")</f>
        <v>Il tourne ensuite sur un appareil rond.</v>
      </c>
    </row>
    <row r="10554">
      <c r="A10554" s="4" t="s">
        <v>13269</v>
      </c>
      <c r="B10554" s="4" t="s">
        <v>13270</v>
      </c>
      <c r="C10554" s="5" t="str">
        <f>IFERROR(__xludf.DUMMYFUNCTION("GOOGLETRANSLATE(B10554,""en"",""fr"")"),"Une femme est assise, se brossant les cheveux avec le dos à la caméra.")</f>
        <v>Une femme est assise, se brossant les cheveux avec le dos à la caméra.</v>
      </c>
    </row>
    <row r="10555">
      <c r="A10555" s="4" t="s">
        <v>13269</v>
      </c>
      <c r="B10555" s="4" t="s">
        <v>13271</v>
      </c>
      <c r="C10555" s="5" t="str">
        <f>IFERROR(__xludf.DUMMYFUNCTION("GOOGLETRANSLATE(B10555,""en"",""fr"")"),"Elle continue de se brosser avec de longs coups.")</f>
        <v>Elle continue de se brosser avec de longs coups.</v>
      </c>
    </row>
    <row r="10556">
      <c r="A10556" s="4" t="s">
        <v>13269</v>
      </c>
      <c r="B10556" s="4" t="s">
        <v>13272</v>
      </c>
      <c r="C10556" s="5" t="str">
        <f>IFERROR(__xludf.DUMMYFUNCTION("GOOGLETRANSLATE(B10556,""en"",""fr"")"),"Elle penche la tête d'un côté, continuant à se brosser.")</f>
        <v>Elle penche la tête d'un côté, continuant à se brosser.</v>
      </c>
    </row>
    <row r="10557">
      <c r="A10557" s="4" t="s">
        <v>13273</v>
      </c>
      <c r="B10557" s="4" t="s">
        <v>13274</v>
      </c>
      <c r="C10557" s="5" t="str">
        <f>IFERROR(__xludf.DUMMYFUNCTION("GOOGLETRANSLATE(B10557,""en"",""fr"")"),"Plusieurs plans sont présentés de grands groupes de personnes qui courent dans un champ.")</f>
        <v>Plusieurs plans sont présentés de grands groupes de personnes qui courent dans un champ.</v>
      </c>
    </row>
    <row r="10558">
      <c r="A10558" s="4" t="s">
        <v>13273</v>
      </c>
      <c r="B10558" s="4" t="s">
        <v>13275</v>
      </c>
      <c r="C10558" s="5" t="str">
        <f>IFERROR(__xludf.DUMMYFUNCTION("GOOGLETRANSLATE(B10558,""en"",""fr"")"),"Les membres du public sont vus applaudir pendant que les gens jouent au football sur le côté.")</f>
        <v>Les membres du public sont vus applaudir pendant que les gens jouent au football sur le côté.</v>
      </c>
    </row>
    <row r="10559">
      <c r="A10559" s="4" t="s">
        <v>13273</v>
      </c>
      <c r="B10559" s="4" t="s">
        <v>13276</v>
      </c>
      <c r="C10559" s="5" t="str">
        <f>IFERROR(__xludf.DUMMYFUNCTION("GOOGLETRANSLATE(B10559,""en"",""fr"")"),"Les gens continuent de jouer de haut en bas pendant que d'autres les regardent jouer.")</f>
        <v>Les gens continuent de jouer de haut en bas pendant que d'autres les regardent jouer.</v>
      </c>
    </row>
    <row r="10560">
      <c r="A10560" s="4" t="s">
        <v>13277</v>
      </c>
      <c r="B10560" s="6" t="s">
        <v>13278</v>
      </c>
      <c r="C10560" s="5" t="str">
        <f>IFERROR(__xludf.DUMMYFUNCTION("GOOGLETRANSLATE(B10560,""en"",""fr"")"),"Une fille portant un sweat à capuche orange et une fille portant un chemisier noir entrent dans une maison et entrent dans la cuisine.")</f>
        <v>Une fille portant un sweat à capuche orange et une fille portant un chemisier noir entrent dans une maison et entrent dans la cuisine.</v>
      </c>
    </row>
    <row r="10561">
      <c r="A10561" s="4" t="s">
        <v>13277</v>
      </c>
      <c r="B10561" s="4" t="s">
        <v>13279</v>
      </c>
      <c r="C10561" s="5" t="str">
        <f>IFERROR(__xludf.DUMMYFUNCTION("GOOGLETRANSLATE(B10561,""en"",""fr"")"),"Les filles se préparent à cuire des biscuits.")</f>
        <v>Les filles se préparent à cuire des biscuits.</v>
      </c>
    </row>
    <row r="10562">
      <c r="A10562" s="4" t="s">
        <v>13277</v>
      </c>
      <c r="B10562" s="4" t="s">
        <v>13280</v>
      </c>
      <c r="C10562" s="5" t="str">
        <f>IFERROR(__xludf.DUMMYFUNCTION("GOOGLETRANSLATE(B10562,""en"",""fr"")"),"Le téléphone portable sonne et les deux filles sont excitées.")</f>
        <v>Le téléphone portable sonne et les deux filles sont excitées.</v>
      </c>
    </row>
    <row r="10563">
      <c r="A10563" s="4" t="s">
        <v>13277</v>
      </c>
      <c r="B10563" s="6" t="s">
        <v>13281</v>
      </c>
      <c r="C10563" s="5" t="str">
        <f>IFERROR(__xludf.DUMMYFUNCTION("GOOGLETRANSLATE(B10563,""en"",""fr"")"),"Quelqu'un est à la porte d'entrée et la fille du sweat à capuche orange traverse la maison pour aller répondre à la porte.")</f>
        <v>Quelqu'un est à la porte d'entrée et la fille du sweat à capuche orange traverse la maison pour aller répondre à la porte.</v>
      </c>
    </row>
    <row r="10564">
      <c r="A10564" s="4" t="s">
        <v>13277</v>
      </c>
      <c r="B10564" s="4" t="s">
        <v>13282</v>
      </c>
      <c r="C10564" s="5" t="str">
        <f>IFERROR(__xludf.DUMMYFUNCTION("GOOGLETRANSLATE(B10564,""en"",""fr"")"),"La fille dans le chemisier noir est à la porte déguisée en homme.")</f>
        <v>La fille dans le chemisier noir est à la porte déguisée en homme.</v>
      </c>
    </row>
    <row r="10565">
      <c r="A10565" s="4" t="s">
        <v>13277</v>
      </c>
      <c r="B10565" s="6" t="s">
        <v>13283</v>
      </c>
      <c r="C10565" s="5" t="str">
        <f>IFERROR(__xludf.DUMMYFUNCTION("GOOGLETRANSLATE(B10565,""en"",""fr"")"),"La fille dans le sweat à capuche orange serre une barre de beurre et il tombe au sol et claque la porte.")</f>
        <v>La fille dans le sweat à capuche orange serre une barre de beurre et il tombe au sol et claque la porte.</v>
      </c>
    </row>
    <row r="10566">
      <c r="A10566" s="4" t="s">
        <v>13277</v>
      </c>
      <c r="B10566" s="4" t="s">
        <v>13284</v>
      </c>
      <c r="C10566" s="5" t="str">
        <f>IFERROR(__xludf.DUMMYFUNCTION("GOOGLETRANSLATE(B10566,""en"",""fr"")"),"La fille dans le chemisier noir se retourne et s'éloigne.")</f>
        <v>La fille dans le chemisier noir se retourne et s'éloigne.</v>
      </c>
    </row>
    <row r="10567">
      <c r="A10567" s="4" t="s">
        <v>13285</v>
      </c>
      <c r="B10567" s="4" t="s">
        <v>13286</v>
      </c>
      <c r="C10567" s="5" t="str">
        <f>IFERROR(__xludf.DUMMYFUNCTION("GOOGLETRANSLATE(B10567,""en"",""fr"")"),"Un homme blanc est sur scène avec de longues dreads jetant le panneau de la pièce au public.")</f>
        <v>Un homme blanc est sur scène avec de longues dreads jetant le panneau de la pièce au public.</v>
      </c>
    </row>
    <row r="10568">
      <c r="A10568" s="4" t="s">
        <v>13285</v>
      </c>
      <c r="B10568" s="6" t="s">
        <v>13287</v>
      </c>
      <c r="C10568" s="5" t="str">
        <f>IFERROR(__xludf.DUMMYFUNCTION("GOOGLETRANSLATE(B10568,""en"",""fr"")"),"Après leur interaction, l'homme commence à jouer les tuyaux de vent sur le dos alors qu'il marche d'avant en arrière à travers la scène.")</f>
        <v>Après leur interaction, l'homme commence à jouer les tuyaux de vent sur le dos alors qu'il marche d'avant en arrière à travers la scène.</v>
      </c>
    </row>
    <row r="10569">
      <c r="A10569" s="4" t="s">
        <v>13285</v>
      </c>
      <c r="B10569" s="6" t="s">
        <v>13288</v>
      </c>
      <c r="C10569" s="5" t="str">
        <f>IFERROR(__xludf.DUMMYFUNCTION("GOOGLETRANSLATE(B10569,""en"",""fr"")"),"La foule est montrée et la caméra remonte à la scène et plusieurs lumières s'allument alors que le guitariste commence à jouer.")</f>
        <v>La foule est montrée et la caméra remonte à la scène et plusieurs lumières s'allument alors que le guitariste commence à jouer.</v>
      </c>
    </row>
    <row r="10570">
      <c r="A10570" s="4" t="s">
        <v>13289</v>
      </c>
      <c r="B10570" s="4" t="s">
        <v>13290</v>
      </c>
      <c r="C10570" s="5" t="str">
        <f>IFERROR(__xludf.DUMMYFUNCTION("GOOGLETRANSLATE(B10570,""en"",""fr"")"),"Une petite fille sourit et parle à la caméra.")</f>
        <v>Une petite fille sourit et parle à la caméra.</v>
      </c>
    </row>
    <row r="10571">
      <c r="A10571" s="4" t="s">
        <v>13289</v>
      </c>
      <c r="B10571" s="4" t="s">
        <v>13291</v>
      </c>
      <c r="C10571" s="5" t="str">
        <f>IFERROR(__xludf.DUMMYFUNCTION("GOOGLETRANSLATE(B10571,""en"",""fr"")"),"Elle et d'autres enfants se montrent ensuite se laver les mains sur les puits.")</f>
        <v>Elle et d'autres enfants se montrent ensuite se laver les mains sur les puits.</v>
      </c>
    </row>
    <row r="10572">
      <c r="A10572" s="4" t="s">
        <v>13289</v>
      </c>
      <c r="B10572" s="6" t="s">
        <v>13292</v>
      </c>
      <c r="C10572" s="5" t="str">
        <f>IFERROR(__xludf.DUMMYFUNCTION("GOOGLETRANSLATE(B10572,""en"",""fr"")"),"Ils parlent de chanter la chanson d'anniversaire ou de compter pour savoir combien de temps ils devraient se laver les mains.")</f>
        <v>Ils parlent de chanter la chanson d'anniversaire ou de compter pour savoir combien de temps ils devraient se laver les mains.</v>
      </c>
    </row>
    <row r="10573">
      <c r="A10573" s="4" t="s">
        <v>13293</v>
      </c>
      <c r="B10573" s="4" t="s">
        <v>13294</v>
      </c>
      <c r="C10573" s="5" t="str">
        <f>IFERROR(__xludf.DUMMYFUNCTION("GOOGLETRANSLATE(B10573,""en"",""fr"")"),"Nous voyons un homme avec une balle qu'il se prépare à lancer un tir.")</f>
        <v>Nous voyons un homme avec une balle qu'il se prépare à lancer un tir.</v>
      </c>
    </row>
    <row r="10574">
      <c r="A10574" s="4" t="s">
        <v>13293</v>
      </c>
      <c r="B10574" s="4" t="s">
        <v>13295</v>
      </c>
      <c r="C10574" s="5" t="str">
        <f>IFERROR(__xludf.DUMMYFUNCTION("GOOGLETRANSLATE(B10574,""en"",""fr"")"),"L'homme lève le bras.")</f>
        <v>L'homme lève le bras.</v>
      </c>
    </row>
    <row r="10575">
      <c r="A10575" s="4" t="s">
        <v>13293</v>
      </c>
      <c r="B10575" s="4" t="s">
        <v>13296</v>
      </c>
      <c r="C10575" s="5" t="str">
        <f>IFERROR(__xludf.DUMMYFUNCTION("GOOGLETRANSLATE(B10575,""en"",""fr"")"),"L'homme tourne et lance le ballon.")</f>
        <v>L'homme tourne et lance le ballon.</v>
      </c>
    </row>
    <row r="10576">
      <c r="A10576" s="4" t="s">
        <v>13293</v>
      </c>
      <c r="B10576" s="4" t="s">
        <v>13297</v>
      </c>
      <c r="C10576" s="5" t="str">
        <f>IFERROR(__xludf.DUMMYFUNCTION("GOOGLETRANSLATE(B10576,""en"",""fr"")"),"Nous voyons des hommes à distance.")</f>
        <v>Nous voyons des hommes à distance.</v>
      </c>
    </row>
    <row r="10577">
      <c r="A10577" s="4" t="s">
        <v>13293</v>
      </c>
      <c r="B10577" s="4" t="s">
        <v>13298</v>
      </c>
      <c r="C10577" s="5" t="str">
        <f>IFERROR(__xludf.DUMMYFUNCTION("GOOGLETRANSLATE(B10577,""en"",""fr"")"),"Nous voyons le lanceur attraper sa veste et s'éloigner.")</f>
        <v>Nous voyons le lanceur attraper sa veste et s'éloigner.</v>
      </c>
    </row>
    <row r="10578">
      <c r="A10578" s="4" t="s">
        <v>13299</v>
      </c>
      <c r="B10578" s="4" t="s">
        <v>13300</v>
      </c>
      <c r="C10578" s="5" t="str">
        <f>IFERROR(__xludf.DUMMYFUNCTION("GOOGLETRANSLATE(B10578,""en"",""fr"")"),"Nous voyons un tracteur et un écran de titre.")</f>
        <v>Nous voyons un tracteur et un écran de titre.</v>
      </c>
    </row>
    <row r="10579">
      <c r="A10579" s="4" t="s">
        <v>13299</v>
      </c>
      <c r="B10579" s="4" t="s">
        <v>13301</v>
      </c>
      <c r="C10579" s="5" t="str">
        <f>IFERROR(__xludf.DUMMYFUNCTION("GOOGLETRANSLATE(B10579,""en"",""fr"")"),"Nous voyons un tracteur souffler des feuilles.")</f>
        <v>Nous voyons un tracteur souffler des feuilles.</v>
      </c>
    </row>
    <row r="10580">
      <c r="A10580" s="4" t="s">
        <v>13299</v>
      </c>
      <c r="B10580" s="4" t="s">
        <v>13302</v>
      </c>
      <c r="C10580" s="5" t="str">
        <f>IFERROR(__xludf.DUMMYFUNCTION("GOOGLETRANSLATE(B10580,""en"",""fr"")"),"Nous voyons le tracteur de près.")</f>
        <v>Nous voyons le tracteur de près.</v>
      </c>
    </row>
    <row r="10581">
      <c r="A10581" s="4" t="s">
        <v>13299</v>
      </c>
      <c r="B10581" s="4" t="s">
        <v>2892</v>
      </c>
      <c r="C10581" s="5" t="str">
        <f>IFERROR(__xludf.DUMMYFUNCTION("GOOGLETRANSLATE(B10581,""en"",""fr"")"),"Nous voyons l'écran de titre de clôture.")</f>
        <v>Nous voyons l'écran de titre de clôture.</v>
      </c>
    </row>
    <row r="10582">
      <c r="A10582" s="4" t="s">
        <v>13299</v>
      </c>
      <c r="B10582" s="4" t="s">
        <v>13303</v>
      </c>
      <c r="C10582" s="5" t="str">
        <f>IFERROR(__xludf.DUMMYFUNCTION("GOOGLETRANSLATE(B10582,""en"",""fr"")"),"Nous voyons ensuite des fleurs sur les arbres.")</f>
        <v>Nous voyons ensuite des fleurs sur les arbres.</v>
      </c>
    </row>
    <row r="10583">
      <c r="A10583" s="4" t="s">
        <v>13304</v>
      </c>
      <c r="B10583" s="4" t="s">
        <v>13305</v>
      </c>
      <c r="C10583" s="5" t="str">
        <f>IFERROR(__xludf.DUMMYFUNCTION("GOOGLETRANSLATE(B10583,""en"",""fr"")"),"Un homme est vu parler à la caméra qui mène à plusieurs clips de personnes Wake Boarding.")</f>
        <v>Un homme est vu parler à la caméra qui mène à plusieurs clips de personnes Wake Boarding.</v>
      </c>
    </row>
    <row r="10584">
      <c r="A10584" s="4" t="s">
        <v>13304</v>
      </c>
      <c r="B10584" s="4" t="s">
        <v>13306</v>
      </c>
      <c r="C10584" s="5" t="str">
        <f>IFERROR(__xludf.DUMMYFUNCTION("GOOGLETRANSLATE(B10584,""en"",""fr"")"),"L'homme parle ensuite à une femme et aide à démontrer comment monter correctement le Wake Board.")</f>
        <v>L'homme parle ensuite à une femme et aide à démontrer comment monter correctement le Wake Board.</v>
      </c>
    </row>
    <row r="10585">
      <c r="A10585" s="4" t="s">
        <v>13304</v>
      </c>
      <c r="B10585" s="6" t="s">
        <v>13307</v>
      </c>
      <c r="C10585" s="5" t="str">
        <f>IFERROR(__xludf.DUMMYFUNCTION("GOOGLETRANSLATE(B10585,""en"",""fr"")"),"Le bateau décolle ensuite et aide la fille à rouler pendant qu'elle tombe la première fois puis à rouler avec succès.")</f>
        <v>Le bateau décolle ensuite et aide la fille à rouler pendant qu'elle tombe la première fois puis à rouler avec succès.</v>
      </c>
    </row>
    <row r="10586">
      <c r="A10586" s="4" t="s">
        <v>13308</v>
      </c>
      <c r="B10586" s="4" t="s">
        <v>13309</v>
      </c>
      <c r="C10586" s="5" t="str">
        <f>IFERROR(__xludf.DUMMYFUNCTION("GOOGLETRANSLATE(B10586,""en"",""fr"")"),"Un vieil homme avec des lunettes se tient devant des carreaux de modèle parlant à la caméra.")</f>
        <v>Un vieil homme avec des lunettes se tient devant des carreaux de modèle parlant à la caméra.</v>
      </c>
    </row>
    <row r="10587">
      <c r="A10587" s="4" t="s">
        <v>13308</v>
      </c>
      <c r="B10587" s="6" t="s">
        <v>13310</v>
      </c>
      <c r="C10587" s="5" t="str">
        <f>IFERROR(__xludf.DUMMYFUNCTION("GOOGLETRANSLATE(B10587,""en"",""fr"")"),"Un groupe d'hommes en noir a commencé à retirer la première moitié du tapis dans le salon, puis l'a remplacé par un tapis plus léger et plus récent.")</f>
        <v>Un groupe d'hommes en noir a commencé à retirer la première moitié du tapis dans le salon, puis l'a remplacé par un tapis plus léger et plus récent.</v>
      </c>
    </row>
    <row r="10588">
      <c r="A10588" s="4" t="s">
        <v>13308</v>
      </c>
      <c r="B10588" s="6" t="s">
        <v>13311</v>
      </c>
      <c r="C10588" s="5" t="str">
        <f>IFERROR(__xludf.DUMMYFUNCTION("GOOGLETRANSLATE(B10588,""en"",""fr"")"),"Le groupe d'hommes en chemises noires a déplacé le canapé du mur à l'autre côté et a retiré l'autre moitié du tapis, exposant le sol vert.")</f>
        <v>Le groupe d'hommes en chemises noires a déplacé le canapé du mur à l'autre côté et a retiré l'autre moitié du tapis, exposant le sol vert.</v>
      </c>
    </row>
    <row r="10589">
      <c r="A10589" s="4" t="s">
        <v>13308</v>
      </c>
      <c r="B10589" s="4" t="s">
        <v>13312</v>
      </c>
      <c r="C10589" s="5" t="str">
        <f>IFERROR(__xludf.DUMMYFUNCTION("GOOGLETRANSLATE(B10589,""en"",""fr"")"),"Le groupe d'hommes a mis le tapis sur le sol, ils le mesurent, les ont coupés et les collés.")</f>
        <v>Le groupe d'hommes a mis le tapis sur le sol, ils le mesurent, les ont coupés et les collés.</v>
      </c>
    </row>
    <row r="10590">
      <c r="A10590" s="4" t="s">
        <v>13308</v>
      </c>
      <c r="B10590" s="6" t="s">
        <v>13313</v>
      </c>
      <c r="C10590" s="5" t="str">
        <f>IFERROR(__xludf.DUMMYFUNCTION("GOOGLETRANSLATE(B10590,""en"",""fr"")"),"Lorsque le nouveau tapis est correctement installé, les hommes aspirent le tapis pendant que la dame marchait dans le salon.")</f>
        <v>Lorsque le nouveau tapis est correctement installé, les hommes aspirent le tapis pendant que la dame marchait dans le salon.</v>
      </c>
    </row>
    <row r="10591">
      <c r="A10591" s="4" t="s">
        <v>13308</v>
      </c>
      <c r="B10591" s="6" t="s">
        <v>13314</v>
      </c>
      <c r="C10591" s="5" t="str">
        <f>IFERROR(__xludf.DUMMYFUNCTION("GOOGLETRANSLATE(B10591,""en"",""fr"")"),"Les hommes et le vieil homme et la femme ont retiré le téléviseur du mur et installé un meuble de téléviseur en bois, tandis que les autres hommes et la dame ont arrangé le canapé et y ont mis les oreillers.")</f>
        <v>Les hommes et le vieil homme et la femme ont retiré le téléviseur du mur et installé un meuble de téléviseur en bois, tandis que les autres hommes et la dame ont arrangé le canapé et y ont mis les oreillers.</v>
      </c>
    </row>
    <row r="10592">
      <c r="A10592" s="4" t="s">
        <v>13315</v>
      </c>
      <c r="B10592" s="6" t="s">
        <v>13316</v>
      </c>
      <c r="C10592" s="5" t="str">
        <f>IFERROR(__xludf.DUMMYFUNCTION("GOOGLETRANSLATE(B10592,""en"",""fr"")"),"Un groupe de huit personnes est un rafting blanc dans de l'eau un peu calme alors que les deux personnes à l'arrière les pagayent dans l'eau.")</f>
        <v>Un groupe de huit personnes est un rafting blanc dans de l'eau un peu calme alors que les deux personnes à l'arrière les pagayent dans l'eau.</v>
      </c>
    </row>
    <row r="10593">
      <c r="A10593" s="4" t="s">
        <v>13315</v>
      </c>
      <c r="B10593" s="6" t="s">
        <v>13317</v>
      </c>
      <c r="C10593" s="5" t="str">
        <f>IFERROR(__xludf.DUMMYFUNCTION("GOOGLETRANSLATE(B10593,""en"",""fr"")"),"Les deux personnes à l'arrière continuent de pagayer et la caméra zoome sur elles, mais l'eau est trop calme pour qu'ils aient l'expérience complète et rien ne se passe.")</f>
        <v>Les deux personnes à l'arrière continuent de pagayer et la caméra zoome sur elles, mais l'eau est trop calme pour qu'ils aient l'expérience complète et rien ne se passe.</v>
      </c>
    </row>
    <row r="10594">
      <c r="A10594" s="4" t="s">
        <v>13315</v>
      </c>
      <c r="B10594" s="4" t="s">
        <v>13318</v>
      </c>
      <c r="C10594" s="5" t="str">
        <f>IFERROR(__xludf.DUMMYFUNCTION("GOOGLETRANSLATE(B10594,""en"",""fr"")"),"Enfin, un écran bleu clignote et des mots blancs apparaissent.")</f>
        <v>Enfin, un écran bleu clignote et des mots blancs apparaissent.</v>
      </c>
    </row>
    <row r="10595">
      <c r="A10595" s="4" t="s">
        <v>13319</v>
      </c>
      <c r="B10595" s="4" t="s">
        <v>13320</v>
      </c>
      <c r="C10595" s="5" t="str">
        <f>IFERROR(__xludf.DUMMYFUNCTION("GOOGLETRANSLATE(B10595,""en"",""fr"")"),"Deux voitures sont garées sur le bord de la route lorsque le train passe.")</f>
        <v>Deux voitures sont garées sur le bord de la route lorsque le train passe.</v>
      </c>
    </row>
    <row r="10596">
      <c r="A10596" s="4" t="s">
        <v>13319</v>
      </c>
      <c r="B10596" s="6" t="s">
        <v>13321</v>
      </c>
      <c r="C10596" s="5" t="str">
        <f>IFERROR(__xludf.DUMMYFUNCTION("GOOGLETRANSLATE(B10596,""en"",""fr"")"),"Tout d'un coup, l'angle se déplace et un garçon commence à faire du skate sur la colline et dans toute la ville.")</f>
        <v>Tout d'un coup, l'angle se déplace et un garçon commence à faire du skate sur la colline et dans toute la ville.</v>
      </c>
    </row>
    <row r="10597">
      <c r="A10597" s="4" t="s">
        <v>13322</v>
      </c>
      <c r="B10597" s="4" t="s">
        <v>13323</v>
      </c>
      <c r="C10597" s="5" t="str">
        <f>IFERROR(__xludf.DUMMYFUNCTION("GOOGLETRANSLATE(B10597,""en"",""fr"")"),"Un homme est assis sur une table avec des accordéons.")</f>
        <v>Un homme est assis sur une table avec des accordéons.</v>
      </c>
    </row>
    <row r="10598">
      <c r="A10598" s="4" t="s">
        <v>13322</v>
      </c>
      <c r="B10598" s="4" t="s">
        <v>13324</v>
      </c>
      <c r="C10598" s="5" t="str">
        <f>IFERROR(__xludf.DUMMYFUNCTION("GOOGLETRANSLATE(B10598,""en"",""fr"")"),"Ensuite, l'homme tient un accordéon tout en touchant les boutons et en parlant.")</f>
        <v>Ensuite, l'homme tient un accordéon tout en touchant les boutons et en parlant.</v>
      </c>
    </row>
    <row r="10599">
      <c r="A10599" s="4" t="s">
        <v>13325</v>
      </c>
      <c r="B10599" s="4" t="s">
        <v>13326</v>
      </c>
      <c r="C10599" s="5" t="str">
        <f>IFERROR(__xludf.DUMMYFUNCTION("GOOGLETRANSLATE(B10599,""en"",""fr"")"),"Une femme joue du piano dans une pièce décorée de bougies.")</f>
        <v>Une femme joue du piano dans une pièce décorée de bougies.</v>
      </c>
    </row>
    <row r="10600">
      <c r="A10600" s="4" t="s">
        <v>13325</v>
      </c>
      <c r="B10600" s="4" t="s">
        <v>13327</v>
      </c>
      <c r="C10600" s="5" t="str">
        <f>IFERROR(__xludf.DUMMYFUNCTION("GOOGLETRANSLATE(B10600,""en"",""fr"")"),"Katty Perry marche avec un homme dans la rue, elle joue le piano, puis elle parle avec l'homme.")</f>
        <v>Katty Perry marche avec un homme dans la rue, elle joue le piano, puis elle parle avec l'homme.</v>
      </c>
    </row>
    <row r="10601">
      <c r="A10601" s="4" t="s">
        <v>13328</v>
      </c>
      <c r="B10601" s="4" t="s">
        <v>13329</v>
      </c>
      <c r="C10601" s="5" t="str">
        <f>IFERROR(__xludf.DUMMYFUNCTION("GOOGLETRANSLATE(B10601,""en"",""fr"")"),"Un homme est tiré sur un ski nautique alors qu'il flotte dans l'eau avec désinvolture.")</f>
        <v>Un homme est tiré sur un ski nautique alors qu'il flotte dans l'eau avec désinvolture.</v>
      </c>
    </row>
    <row r="10602">
      <c r="A10602" s="4" t="s">
        <v>13328</v>
      </c>
      <c r="B10602" s="4" t="s">
        <v>13330</v>
      </c>
      <c r="C10602" s="5" t="str">
        <f>IFERROR(__xludf.DUMMYFUNCTION("GOOGLETRANSLATE(B10602,""en"",""fr"")"),"Il monte le ski nautique et déchire l'eau à des vitesses rapides.")</f>
        <v>Il monte le ski nautique et déchire l'eau à des vitesses rapides.</v>
      </c>
    </row>
    <row r="10603">
      <c r="A10603" s="4" t="s">
        <v>13328</v>
      </c>
      <c r="B10603" s="4" t="s">
        <v>13331</v>
      </c>
      <c r="C10603" s="5" t="str">
        <f>IFERROR(__xludf.DUMMYFUNCTION("GOOGLETRANSLATE(B10603,""en"",""fr"")"),"Deux hommes sont représentés assis dans le bateau, avant de repousser le ski nautique turbulent.")</f>
        <v>Deux hommes sont représentés assis dans le bateau, avant de repousser le ski nautique turbulent.</v>
      </c>
    </row>
    <row r="10604">
      <c r="A10604" s="4" t="s">
        <v>13332</v>
      </c>
      <c r="B10604" s="4" t="s">
        <v>13333</v>
      </c>
      <c r="C10604" s="5" t="str">
        <f>IFERROR(__xludf.DUMMYFUNCTION("GOOGLETRANSLATE(B10604,""en"",""fr"")"),"L'homme en chemise bleue avec capuchon frappe la corde épaisse.")</f>
        <v>L'homme en chemise bleue avec capuchon frappe la corde épaisse.</v>
      </c>
    </row>
    <row r="10605">
      <c r="A10605" s="4" t="s">
        <v>13332</v>
      </c>
      <c r="B10605" s="4" t="s">
        <v>13334</v>
      </c>
      <c r="C10605" s="5" t="str">
        <f>IFERROR(__xludf.DUMMYFUNCTION("GOOGLETRANSLATE(B10605,""en"",""fr"")"),"L'homme monte sur la corde et la foule a applaudi.")</f>
        <v>L'homme monte sur la corde et la foule a applaudi.</v>
      </c>
    </row>
    <row r="10606">
      <c r="A10606" s="4" t="s">
        <v>13332</v>
      </c>
      <c r="B10606" s="6" t="s">
        <v>13335</v>
      </c>
      <c r="C10606" s="5" t="str">
        <f>IFERROR(__xludf.DUMMYFUNCTION("GOOGLETRANSLATE(B10606,""en"",""fr"")"),"L'homme en chemise bleue a commencé à rebondir sur la corde en faisant des tours comme s'asseoir sur la corde, rebondissant sur sa poitrine, sa roue de charrette et marchant sur la corde.")</f>
        <v>L'homme en chemise bleue a commencé à rebondir sur la corde en faisant des tours comme s'asseoir sur la corde, rebondissant sur sa poitrine, sa roue de charrette et marchant sur la corde.</v>
      </c>
    </row>
    <row r="10607">
      <c r="A10607" s="4" t="s">
        <v>13336</v>
      </c>
      <c r="B10607" s="4" t="s">
        <v>13337</v>
      </c>
      <c r="C10607" s="5" t="str">
        <f>IFERROR(__xludf.DUMMYFUNCTION("GOOGLETRANSLATE(B10607,""en"",""fr"")"),"Une jeune fille fait de la gymnastique sur un tapis bleu.")</f>
        <v>Une jeune fille fait de la gymnastique sur un tapis bleu.</v>
      </c>
    </row>
    <row r="10608">
      <c r="A10608" s="4" t="s">
        <v>13336</v>
      </c>
      <c r="B10608" s="4" t="s">
        <v>13338</v>
      </c>
      <c r="C10608" s="5" t="str">
        <f>IFERROR(__xludf.DUMMYFUNCTION("GOOGLETRANSLATE(B10608,""en"",""fr"")"),"Elle fait plusieurs flips de dos sur un trampoline.")</f>
        <v>Elle fait plusieurs flips de dos sur un trampoline.</v>
      </c>
    </row>
    <row r="10609">
      <c r="A10609" s="4" t="s">
        <v>13336</v>
      </c>
      <c r="B10609" s="4" t="s">
        <v>13339</v>
      </c>
      <c r="C10609" s="5" t="str">
        <f>IFERROR(__xludf.DUMMYFUNCTION("GOOGLETRANSLATE(B10609,""en"",""fr"")"),"Elle fait un flip dans un tas de morceaux de mousse.")</f>
        <v>Elle fait un flip dans un tas de morceaux de mousse.</v>
      </c>
    </row>
    <row r="10610">
      <c r="A10610" s="4" t="s">
        <v>13340</v>
      </c>
      <c r="B10610" s="4" t="s">
        <v>13341</v>
      </c>
      <c r="C10610" s="5" t="str">
        <f>IFERROR(__xludf.DUMMYFUNCTION("GOOGLETRANSLATE(B10610,""en"",""fr"")"),"Les hommes sortent sur un coup de scène et un high cinq.")</f>
        <v>Les hommes sortent sur un coup de scène et un high cinq.</v>
      </c>
    </row>
    <row r="10611">
      <c r="A10611" s="4" t="s">
        <v>13340</v>
      </c>
      <c r="B10611" s="4" t="s">
        <v>13342</v>
      </c>
      <c r="C10611" s="5" t="str">
        <f>IFERROR(__xludf.DUMMYFUNCTION("GOOGLETRANSLATE(B10611,""en"",""fr"")"),"Les hommes effectuent une routine de pom-pom girl.")</f>
        <v>Les hommes effectuent une routine de pom-pom girl.</v>
      </c>
    </row>
    <row r="10612">
      <c r="A10612" s="4" t="s">
        <v>13340</v>
      </c>
      <c r="B10612" s="4" t="s">
        <v>13343</v>
      </c>
      <c r="C10612" s="5" t="str">
        <f>IFERROR(__xludf.DUMMYFUNCTION("GOOGLETRANSLATE(B10612,""en"",""fr"")"),"Ils détiennent cinq hommes en l'air et les retournent et retournent quatre hommes en groupe.")</f>
        <v>Ils détiennent cinq hommes en l'air et les retournent et retournent quatre hommes en groupe.</v>
      </c>
    </row>
    <row r="10613">
      <c r="A10613" s="4" t="s">
        <v>13340</v>
      </c>
      <c r="B10613" s="6" t="s">
        <v>13344</v>
      </c>
      <c r="C10613" s="5" t="str">
        <f>IFERROR(__xludf.DUMMYFUNCTION("GOOGLETRANSLATE(B10613,""en"",""fr"")"),"Un homme est soulevé haut et balance deux hommes sur ses bras de l'autre côté, puis cinq hommes font une forme de star.")</f>
        <v>Un homme est soulevé haut et balance deux hommes sur ses bras de l'autre côté, puis cinq hommes font une forme de star.</v>
      </c>
    </row>
    <row r="10614">
      <c r="A10614" s="4" t="s">
        <v>13340</v>
      </c>
      <c r="B10614" s="4" t="s">
        <v>13345</v>
      </c>
      <c r="C10614" s="5" t="str">
        <f>IFERROR(__xludf.DUMMYFUNCTION("GOOGLETRANSLATE(B10614,""en"",""fr"")"),"Les hommes s'agenouillent et dansent et posent pour l'arrivée.")</f>
        <v>Les hommes s'agenouillent et dansent et posent pour l'arrivée.</v>
      </c>
    </row>
    <row r="10615">
      <c r="A10615" s="4" t="s">
        <v>13340</v>
      </c>
      <c r="B10615" s="4" t="s">
        <v>13346</v>
      </c>
      <c r="C10615" s="5" t="str">
        <f>IFERROR(__xludf.DUMMYFUNCTION("GOOGLETRANSLATE(B10615,""en"",""fr"")"),"Les hommes sautent et applaudissent en quittent la scène.")</f>
        <v>Les hommes sautent et applaudissent en quittent la scène.</v>
      </c>
    </row>
    <row r="10616">
      <c r="A10616" s="4" t="s">
        <v>13340</v>
      </c>
      <c r="B10616" s="4" t="s">
        <v>13347</v>
      </c>
      <c r="C10616" s="5" t="str">
        <f>IFERROR(__xludf.DUMMYFUNCTION("GOOGLETRANSLATE(B10616,""en"",""fr"")"),"Une personne au premier rang se tient devant la caméra.")</f>
        <v>Une personne au premier rang se tient devant la caméra.</v>
      </c>
    </row>
    <row r="10617">
      <c r="A10617" s="4" t="s">
        <v>13348</v>
      </c>
      <c r="B10617" s="4" t="s">
        <v>13349</v>
      </c>
      <c r="C10617" s="5" t="str">
        <f>IFERROR(__xludf.DUMMYFUNCTION("GOOGLETRANSLATE(B10617,""en"",""fr"")"),"Un homme est vu à genoux d'un toit tout en tenant un morceau de bois.")</f>
        <v>Un homme est vu à genoux d'un toit tout en tenant un morceau de bois.</v>
      </c>
    </row>
    <row r="10618">
      <c r="A10618" s="4" t="s">
        <v>13348</v>
      </c>
      <c r="B10618" s="4" t="s">
        <v>13350</v>
      </c>
      <c r="C10618" s="5" t="str">
        <f>IFERROR(__xludf.DUMMYFUNCTION("GOOGLETRANSLATE(B10618,""en"",""fr"")"),"Il commence à marteler le morceau de bois pendant que la caméra se déroule.")</f>
        <v>Il commence à marteler le morceau de bois pendant que la caméra se déroule.</v>
      </c>
    </row>
    <row r="10619">
      <c r="A10619" s="4" t="s">
        <v>13348</v>
      </c>
      <c r="B10619" s="4" t="s">
        <v>13351</v>
      </c>
      <c r="C10619" s="5" t="str">
        <f>IFERROR(__xludf.DUMMYFUNCTION("GOOGLETRANSLATE(B10619,""en"",""fr"")"),"Il continue de marteler et regarde la caméra.")</f>
        <v>Il continue de marteler et regarde la caméra.</v>
      </c>
    </row>
    <row r="10620">
      <c r="A10620" s="4" t="s">
        <v>13352</v>
      </c>
      <c r="B10620" s="4" t="s">
        <v>13353</v>
      </c>
      <c r="C10620" s="5" t="str">
        <f>IFERROR(__xludf.DUMMYFUNCTION("GOOGLETRANSLATE(B10620,""en"",""fr"")"),"Un homme est vu en train de regarder la caméra et de claquer ses doigts.")</f>
        <v>Un homme est vu en train de regarder la caméra et de claquer ses doigts.</v>
      </c>
    </row>
    <row r="10621">
      <c r="A10621" s="4" t="s">
        <v>13352</v>
      </c>
      <c r="B10621" s="4" t="s">
        <v>13354</v>
      </c>
      <c r="C10621" s="5" t="str">
        <f>IFERROR(__xludf.DUMMYFUNCTION("GOOGLETRANSLATE(B10621,""en"",""fr"")"),"Cela mène à un homme jouant un instrument pendant que la caméra regarde.")</f>
        <v>Cela mène à un homme jouant un instrument pendant que la caméra regarde.</v>
      </c>
    </row>
    <row r="10622">
      <c r="A10622" s="4" t="s">
        <v>13352</v>
      </c>
      <c r="B10622" s="4" t="s">
        <v>13355</v>
      </c>
      <c r="C10622" s="5" t="str">
        <f>IFERROR(__xludf.DUMMYFUNCTION("GOOGLETRANSLATE(B10622,""en"",""fr"")"),"L'homme continue de jouer à bouger ses mains de haut en bas et à regarder la caméra.")</f>
        <v>L'homme continue de jouer à bouger ses mains de haut en bas et à regarder la caméra.</v>
      </c>
    </row>
    <row r="10623">
      <c r="A10623" s="4" t="s">
        <v>13356</v>
      </c>
      <c r="B10623" s="4" t="s">
        <v>13357</v>
      </c>
      <c r="C10623" s="5" t="str">
        <f>IFERROR(__xludf.DUMMYFUNCTION("GOOGLETRANSLATE(B10623,""en"",""fr"")"),"Un groupe de personnes est à l'extérieur à la plage en jouant au sable de sable.")</f>
        <v>Un groupe de personnes est à l'extérieur à la plage en jouant au sable de sable.</v>
      </c>
    </row>
    <row r="10624">
      <c r="A10624" s="4" t="s">
        <v>13356</v>
      </c>
      <c r="B10624" s="4" t="s">
        <v>13358</v>
      </c>
      <c r="C10624" s="5" t="str">
        <f>IFERROR(__xludf.DUMMYFUNCTION("GOOGLETRANSLATE(B10624,""en"",""fr"")"),"Le ballon tombe et un gros garçon avec des chemises jaunes prend le ballon et essaie de le servir.")</f>
        <v>Le ballon tombe et un gros garçon avec des chemises jaunes prend le ballon et essaie de le servir.</v>
      </c>
    </row>
    <row r="10625">
      <c r="A10625" s="4" t="s">
        <v>13356</v>
      </c>
      <c r="B10625" s="4" t="s">
        <v>13359</v>
      </c>
      <c r="C10625" s="5" t="str">
        <f>IFERROR(__xludf.DUMMYFUNCTION("GOOGLETRANSLATE(B10625,""en"",""fr"")"),"Cependant, le ballon ne parvient pas au filet, recule et il va l'obtenir.")</f>
        <v>Cependant, le ballon ne parvient pas au filet, recule et il va l'obtenir.</v>
      </c>
    </row>
    <row r="10626">
      <c r="A10626" s="4" t="s">
        <v>13360</v>
      </c>
      <c r="B10626" s="4" t="s">
        <v>13361</v>
      </c>
      <c r="C10626" s="5" t="str">
        <f>IFERROR(__xludf.DUMMYFUNCTION("GOOGLETRANSLATE(B10626,""en"",""fr"")"),"Un homme parle et joue de la batterie dans un écran partagé.")</f>
        <v>Un homme parle et joue de la batterie dans un écran partagé.</v>
      </c>
    </row>
    <row r="10627">
      <c r="A10627" s="4" t="s">
        <v>13360</v>
      </c>
      <c r="B10627" s="4" t="s">
        <v>13362</v>
      </c>
      <c r="C10627" s="5" t="str">
        <f>IFERROR(__xludf.DUMMYFUNCTION("GOOGLETRANSLATE(B10627,""en"",""fr"")"),"Alors qu'il explique le processus, il utilise ses mains pour battre un air.")</f>
        <v>Alors qu'il explique le processus, il utilise ses mains pour battre un air.</v>
      </c>
    </row>
    <row r="10628">
      <c r="A10628" s="4" t="s">
        <v>13360</v>
      </c>
      <c r="B10628" s="4" t="s">
        <v>13363</v>
      </c>
      <c r="C10628" s="5" t="str">
        <f>IFERROR(__xludf.DUMMYFUNCTION("GOOGLETRANSLATE(B10628,""en"",""fr"")"),"Il continue de parler et de jouer jusqu'à ce qu'il change exclusivement pour lui jouer de la batterie.")</f>
        <v>Il continue de parler et de jouer jusqu'à ce qu'il change exclusivement pour lui jouer de la batterie.</v>
      </c>
    </row>
    <row r="10629">
      <c r="A10629" s="4" t="s">
        <v>13364</v>
      </c>
      <c r="B10629" s="4" t="s">
        <v>13365</v>
      </c>
      <c r="C10629" s="5" t="str">
        <f>IFERROR(__xludf.DUMMYFUNCTION("GOOGLETRANSLATE(B10629,""en"",""fr"")"),"Les gens sont assis à l'entraînement des machines.")</f>
        <v>Les gens sont assis à l'entraînement des machines.</v>
      </c>
    </row>
    <row r="10630">
      <c r="A10630" s="4" t="s">
        <v>13364</v>
      </c>
      <c r="B10630" s="4" t="s">
        <v>13366</v>
      </c>
      <c r="C10630" s="5" t="str">
        <f>IFERROR(__xludf.DUMMYFUNCTION("GOOGLETRANSLATE(B10630,""en"",""fr"")"),"Ils commencent à tirer une corde pour s'entraîner.")</f>
        <v>Ils commencent à tirer une corde pour s'entraîner.</v>
      </c>
    </row>
    <row r="10631">
      <c r="A10631" s="4" t="s">
        <v>13364</v>
      </c>
      <c r="B10631" s="4" t="s">
        <v>13367</v>
      </c>
      <c r="C10631" s="5" t="str">
        <f>IFERROR(__xludf.DUMMYFUNCTION("GOOGLETRANSLATE(B10631,""en"",""fr"")"),"Une femme se tient à côté d'une machine à travailler.")</f>
        <v>Une femme se tient à côté d'une machine à travailler.</v>
      </c>
    </row>
    <row r="10632">
      <c r="A10632" s="4" t="s">
        <v>13368</v>
      </c>
      <c r="B10632" s="4" t="s">
        <v>13369</v>
      </c>
      <c r="C10632" s="5" t="str">
        <f>IFERROR(__xludf.DUMMYFUNCTION("GOOGLETRANSLATE(B10632,""en"",""fr"")"),"Plusieurs personnes font de l'exercice dans une pièce.")</f>
        <v>Plusieurs personnes font de l'exercice dans une pièce.</v>
      </c>
    </row>
    <row r="10633">
      <c r="A10633" s="4" t="s">
        <v>13368</v>
      </c>
      <c r="B10633" s="4" t="s">
        <v>13370</v>
      </c>
      <c r="C10633" s="5" t="str">
        <f>IFERROR(__xludf.DUMMYFUNCTION("GOOGLETRANSLATE(B10633,""en"",""fr"")"),"Le pas en marche et désactiver une plate-forme en rythme.")</f>
        <v>Le pas en marche et désactiver une plate-forme en rythme.</v>
      </c>
    </row>
    <row r="10634">
      <c r="A10634" s="4" t="s">
        <v>13368</v>
      </c>
      <c r="B10634" s="4" t="s">
        <v>13371</v>
      </c>
      <c r="C10634" s="5" t="str">
        <f>IFERROR(__xludf.DUMMYFUNCTION("GOOGLETRANSLATE(B10634,""en"",""fr"")"),"Ils dansent très intensément.")</f>
        <v>Ils dansent très intensément.</v>
      </c>
    </row>
    <row r="10635">
      <c r="A10635" s="4" t="s">
        <v>13368</v>
      </c>
      <c r="B10635" s="4" t="s">
        <v>13372</v>
      </c>
      <c r="C10635" s="5" t="str">
        <f>IFERROR(__xludf.DUMMYFUNCTION("GOOGLETRANSLATE(B10635,""en"",""fr"")"),"Certains d'entre eux tournent en rond.")</f>
        <v>Certains d'entre eux tournent en rond.</v>
      </c>
    </row>
    <row r="10636">
      <c r="A10636" s="4" t="s">
        <v>13373</v>
      </c>
      <c r="B10636" s="4" t="s">
        <v>13374</v>
      </c>
      <c r="C10636" s="5" t="str">
        <f>IFERROR(__xludf.DUMMYFUNCTION("GOOGLETRANSLATE(B10636,""en"",""fr"")"),"Il y a deux hommes en train de lutter sur une table.")</f>
        <v>Il y a deux hommes en train de lutter sur une table.</v>
      </c>
    </row>
    <row r="10637">
      <c r="A10637" s="4" t="s">
        <v>13373</v>
      </c>
      <c r="B10637" s="4" t="s">
        <v>13375</v>
      </c>
      <c r="C10637" s="5" t="str">
        <f>IFERROR(__xludf.DUMMYFUNCTION("GOOGLETRANSLATE(B10637,""en"",""fr"")"),"Plusieurs personnes les regardent lutter.")</f>
        <v>Plusieurs personnes les regardent lutter.</v>
      </c>
    </row>
    <row r="10638">
      <c r="A10638" s="4" t="s">
        <v>13373</v>
      </c>
      <c r="B10638" s="4" t="s">
        <v>13376</v>
      </c>
      <c r="C10638" s="5" t="str">
        <f>IFERROR(__xludf.DUMMYFUNCTION("GOOGLETRANSLATE(B10638,""en"",""fr"")"),"Dans une autre scène, il y a deux autres hommes de lutte contre le coude.")</f>
        <v>Dans une autre scène, il y a deux autres hommes de lutte contre le coude.</v>
      </c>
    </row>
    <row r="10639">
      <c r="A10639" s="4" t="s">
        <v>13373</v>
      </c>
      <c r="B10639" s="6" t="s">
        <v>13377</v>
      </c>
      <c r="C10639" s="5" t="str">
        <f>IFERROR(__xludf.DUMMYFUNCTION("GOOGLETRANSLATE(B10639,""en"",""fr"")"),"Il y a une série d'événements de lutte des coudes montrés dans la vidéo où un homme est plus énergique que l'autre et finit par gagner le jeu de lutte.")</f>
        <v>Il y a une série d'événements de lutte des coudes montrés dans la vidéo où un homme est plus énergique que l'autre et finit par gagner le jeu de lutte.</v>
      </c>
    </row>
    <row r="10640">
      <c r="A10640" s="4" t="s">
        <v>13373</v>
      </c>
      <c r="B10640" s="6" t="s">
        <v>13378</v>
      </c>
      <c r="C10640" s="5" t="str">
        <f>IFERROR(__xludf.DUMMYFUNCTION("GOOGLETRANSLATE(B10640,""en"",""fr"")"),"Il y a des scènes sur dramatisées où les gens se luttent sur le coude et réagissent trop au jeu.")</f>
        <v>Il y a des scènes sur dramatisées où les gens se luttent sur le coude et réagissent trop au jeu.</v>
      </c>
    </row>
    <row r="10641">
      <c r="A10641" s="4" t="s">
        <v>13373</v>
      </c>
      <c r="B10641" s="4" t="s">
        <v>13379</v>
      </c>
      <c r="C10641" s="5" t="str">
        <f>IFERROR(__xludf.DUMMYFUNCTION("GOOGLETRANSLATE(B10641,""en"",""fr"")"),"Il y a aussi des arbitres qui agissent comme des modérateurs dans le match de lutte du coude.")</f>
        <v>Il y a aussi des arbitres qui agissent comme des modérateurs dans le match de lutte du coude.</v>
      </c>
    </row>
    <row r="10642">
      <c r="A10642" s="4" t="s">
        <v>13380</v>
      </c>
      <c r="B10642" s="4" t="s">
        <v>13381</v>
      </c>
      <c r="C10642" s="5" t="str">
        <f>IFERROR(__xludf.DUMMYFUNCTION("GOOGLETRANSLATE(B10642,""en"",""fr"")"),"Une femme brune est assise dans une pièce et a le bras gauche levé et regarde ses aisselles.")</f>
        <v>Une femme brune est assise dans une pièce et a le bras gauche levé et regarde ses aisselles.</v>
      </c>
    </row>
    <row r="10643">
      <c r="A10643" s="4" t="s">
        <v>13380</v>
      </c>
      <c r="B10643" s="6" t="s">
        <v>13382</v>
      </c>
      <c r="C10643" s="5" t="str">
        <f>IFERROR(__xludf.DUMMYFUNCTION("GOOGLETRANSLATE(B10643,""en"",""fr"")"),"La femme pose son bras et parle de la caméra et un chat noir grimpe sur des meubles derrière elle pendant qu'elle parle encore.")</f>
        <v>La femme pose son bras et parle de la caméra et un chat noir grimpe sur des meubles derrière elle pendant qu'elle parle encore.</v>
      </c>
    </row>
    <row r="10644">
      <c r="A10644" s="4" t="s">
        <v>13380</v>
      </c>
      <c r="B10644" s="6" t="s">
        <v>13383</v>
      </c>
      <c r="C10644" s="5" t="str">
        <f>IFERROR(__xludf.DUMMYFUNCTION("GOOGLETRANSLATE(B10644,""en"",""fr"")"),"La femme est maintenant debout dans sa douche entièrement vêtue et elle applique beaucoup de crème à raser sur sa jambe droite qui est soutenue sur un mur.")</f>
        <v>La femme est maintenant debout dans sa douche entièrement vêtue et elle applique beaucoup de crème à raser sur sa jambe droite qui est soutenue sur un mur.</v>
      </c>
    </row>
    <row r="10645">
      <c r="A10645" s="4" t="s">
        <v>13380</v>
      </c>
      <c r="B10645" s="6" t="s">
        <v>13384</v>
      </c>
      <c r="C10645" s="5" t="str">
        <f>IFERROR(__xludf.DUMMYFUNCTION("GOOGLETRANSLATE(B10645,""en"",""fr"")"),"La femme est maintenant debout et a beaucoup de crème à raser sur ses aisselles gauche et tombe, puis elle se tient avec de la crème à raser partout sur elle, puis en frappe les mains.")</f>
        <v>La femme est maintenant debout et a beaucoup de crème à raser sur ses aisselles gauche et tombe, puis elle se tient avec de la crème à raser partout sur elle, puis en frappe les mains.</v>
      </c>
    </row>
    <row r="10646">
      <c r="A10646" s="4" t="s">
        <v>13380</v>
      </c>
      <c r="B10646" s="6" t="s">
        <v>13385</v>
      </c>
      <c r="C10646" s="5" t="str">
        <f>IFERROR(__xludf.DUMMYFUNCTION("GOOGLETRANSLATE(B10646,""en"",""fr"")"),"La femme est de retour dans la pièce à parler, puis apparaît dans la douche avec un rasoir et se rasant les jambes.")</f>
        <v>La femme est de retour dans la pièce à parler, puis apparaît dans la douche avec un rasoir et se rasant les jambes.</v>
      </c>
    </row>
    <row r="10647">
      <c r="A10647" s="4" t="s">
        <v>13380</v>
      </c>
      <c r="B10647" s="6" t="s">
        <v>13386</v>
      </c>
      <c r="C10647" s="5" t="str">
        <f>IFERROR(__xludf.DUMMYFUNCTION("GOOGLETRANSLATE(B10647,""en"",""fr"")"),"La femme parle à nouveau dans la pièce et son chat noir s'approche d'elle et la femme continue de parler et se termine par un clip d'elle qui sortait soigneusement de la baignoire.")</f>
        <v>La femme parle à nouveau dans la pièce et son chat noir s'approche d'elle et la femme continue de parler et se termine par un clip d'elle qui sortait soigneusement de la baignoire.</v>
      </c>
    </row>
    <row r="10648">
      <c r="A10648" s="4" t="s">
        <v>13387</v>
      </c>
      <c r="B10648" s="6" t="s">
        <v>13388</v>
      </c>
      <c r="C10648" s="5" t="str">
        <f>IFERROR(__xludf.DUMMYFUNCTION("GOOGLETRANSLATE(B10648,""en"",""fr"")"),"Une fille portant une chemise rouge et un short blanc se tient dans sa salle de bain dans l'évier avec une brosse à dents à la main.")</f>
        <v>Une fille portant une chemise rouge et un short blanc se tient dans sa salle de bain dans l'évier avec une brosse à dents à la main.</v>
      </c>
    </row>
    <row r="10649">
      <c r="A10649" s="4" t="s">
        <v>13387</v>
      </c>
      <c r="B10649" s="4" t="s">
        <v>13389</v>
      </c>
      <c r="C10649" s="5" t="str">
        <f>IFERROR(__xludf.DUMMYFUNCTION("GOOGLETRANSLATE(B10649,""en"",""fr"")"),"Elle prend du dentifrice et la met sur son pinceau et commence à se brosser.")</f>
        <v>Elle prend du dentifrice et la met sur son pinceau et commence à se brosser.</v>
      </c>
    </row>
    <row r="10650">
      <c r="A10650" s="4" t="s">
        <v>13387</v>
      </c>
      <c r="B10650" s="4" t="s">
        <v>13390</v>
      </c>
      <c r="C10650" s="5" t="str">
        <f>IFERROR(__xludf.DUMMYFUNCTION("GOOGLETRANSLATE(B10650,""en"",""fr"")"),"Elle commence à danser alors qu'elle se brost les dents et remonte également son corps.")</f>
        <v>Elle commence à danser alors qu'elle se brost les dents et remonte également son corps.</v>
      </c>
    </row>
    <row r="10651">
      <c r="A10651" s="4" t="s">
        <v>13387</v>
      </c>
      <c r="B10651" s="4" t="s">
        <v>13391</v>
      </c>
      <c r="C10651" s="5" t="str">
        <f>IFERROR(__xludf.DUMMYFUNCTION("GOOGLETRANSLATE(B10651,""en"",""fr"")"),"Elle continue de brosser et de danser plus vite et rit.")</f>
        <v>Elle continue de brosser et de danser plus vite et rit.</v>
      </c>
    </row>
    <row r="10652">
      <c r="A10652" s="4" t="s">
        <v>13387</v>
      </c>
      <c r="B10652" s="6" t="s">
        <v>13392</v>
      </c>
      <c r="C10652" s="5" t="str">
        <f>IFERROR(__xludf.DUMMYFUNCTION("GOOGLETRANSLATE(B10652,""en"",""fr"")"),"Puis elle se rend compte que sa bouche est pleine de mousse de dentifrice et qu'elle sort, elle crache dans l'évier.")</f>
        <v>Puis elle se rend compte que sa bouche est pleine de mousse de dentifrice et qu'elle sort, elle crache dans l'évier.</v>
      </c>
    </row>
    <row r="10653">
      <c r="A10653" s="4" t="s">
        <v>13393</v>
      </c>
      <c r="B10653" s="4" t="s">
        <v>13394</v>
      </c>
      <c r="C10653" s="5" t="str">
        <f>IFERROR(__xludf.DUMMYFUNCTION("GOOGLETRANSLATE(B10653,""en"",""fr"")"),"Une jeune femme aux cheveux rouges et noires est montrée à l'aide d'un sèche-cheveux.")</f>
        <v>Une jeune femme aux cheveux rouges et noires est montrée à l'aide d'un sèche-cheveux.</v>
      </c>
    </row>
    <row r="10654">
      <c r="A10654" s="4" t="s">
        <v>13393</v>
      </c>
      <c r="B10654" s="4" t="s">
        <v>13395</v>
      </c>
      <c r="C10654" s="5" t="str">
        <f>IFERROR(__xludf.DUMMYFUNCTION("GOOGLETRANSLATE(B10654,""en"",""fr"")"),"Elle utilise une grande brosse ronde pour se brosser les cheveux en droit pendant qu'elle sèche.")</f>
        <v>Elle utilise une grande brosse ronde pour se brosser les cheveux en droit pendant qu'elle sèche.</v>
      </c>
    </row>
    <row r="10655">
      <c r="A10655" s="4" t="s">
        <v>13393</v>
      </c>
      <c r="B10655" s="4" t="s">
        <v>13396</v>
      </c>
      <c r="C10655" s="5" t="str">
        <f>IFERROR(__xludf.DUMMYFUNCTION("GOOGLETRANSLATE(B10655,""en"",""fr"")"),"Quand elle a fini, elle ratisse sa main dans ses cheveux et la brosse en place.")</f>
        <v>Quand elle a fini, elle ratisse sa main dans ses cheveux et la brosse en place.</v>
      </c>
    </row>
    <row r="10656">
      <c r="A10656" s="4" t="s">
        <v>13397</v>
      </c>
      <c r="B10656" s="4" t="s">
        <v>13398</v>
      </c>
      <c r="C10656" s="5" t="str">
        <f>IFERROR(__xludf.DUMMYFUNCTION("GOOGLETRANSLATE(B10656,""en"",""fr"")"),"Des photos de chevaux sont montrées suivie du logo ""Equestrian Life"".")</f>
        <v>Des photos de chevaux sont montrées suivie du logo "Equestrian Life".</v>
      </c>
    </row>
    <row r="10657">
      <c r="A10657" s="4" t="s">
        <v>13397</v>
      </c>
      <c r="B10657" s="4" t="s">
        <v>13399</v>
      </c>
      <c r="C10657" s="5" t="str">
        <f>IFERROR(__xludf.DUMMYFUNCTION("GOOGLETRANSLATE(B10657,""en"",""fr"")"),"Une femme se tient dehors avec un cheval brun et met un casque.")</f>
        <v>Une femme se tient dehors avec un cheval brun et met un casque.</v>
      </c>
    </row>
    <row r="10658">
      <c r="A10658" s="4" t="s">
        <v>13397</v>
      </c>
      <c r="B10658" s="4" t="s">
        <v>13400</v>
      </c>
      <c r="C10658" s="5" t="str">
        <f>IFERROR(__xludf.DUMMYFUNCTION("GOOGLETRANSLATE(B10658,""en"",""fr"")"),"La femme parle à la caméra et monte le cheval.")</f>
        <v>La femme parle à la caméra et monte le cheval.</v>
      </c>
    </row>
    <row r="10659">
      <c r="A10659" s="4" t="s">
        <v>13397</v>
      </c>
      <c r="B10659" s="4" t="s">
        <v>13401</v>
      </c>
      <c r="C10659" s="5" t="str">
        <f>IFERROR(__xludf.DUMMYFUNCTION("GOOGLETRANSLATE(B10659,""en"",""fr"")"),"Elle continue de parler à la caméra puis marche le cheval en cercle.")</f>
        <v>Elle continue de parler à la caméra puis marche le cheval en cercle.</v>
      </c>
    </row>
    <row r="10660">
      <c r="A10660" s="4" t="s">
        <v>13402</v>
      </c>
      <c r="B10660" s="4" t="s">
        <v>13403</v>
      </c>
      <c r="C10660" s="5" t="str">
        <f>IFERROR(__xludf.DUMMYFUNCTION("GOOGLETRANSLATE(B10660,""en"",""fr"")"),"On voit une personne rouler sur un vélo sur une longue route suivie d'un grand chameau au loin.")</f>
        <v>On voit une personne rouler sur un vélo sur une longue route suivie d'un grand chameau au loin.</v>
      </c>
    </row>
    <row r="10661">
      <c r="A10661" s="4" t="s">
        <v>13402</v>
      </c>
      <c r="B10661" s="6" t="s">
        <v>13404</v>
      </c>
      <c r="C10661" s="5" t="str">
        <f>IFERROR(__xludf.DUMMYFUNCTION("GOOGLETRANSLATE(B10661,""en"",""fr"")"),"L'animal se rapproche tandis que la caméra zoome sur les trois personnes qui montent sur le dessus du chameau et passant par plus de chameaux.")</f>
        <v>L'animal se rapproche tandis que la caméra zoome sur les trois personnes qui montent sur le dessus du chameau et passant par plus de chameaux.</v>
      </c>
    </row>
    <row r="10662">
      <c r="A10662" s="4" t="s">
        <v>13405</v>
      </c>
      <c r="B10662" s="4" t="s">
        <v>13406</v>
      </c>
      <c r="C10662" s="5" t="str">
        <f>IFERROR(__xludf.DUMMYFUNCTION("GOOGLETRANSLATE(B10662,""en"",""fr"")"),"Une femme est vue en parlant à la caméra qui mène à un homme qui parle à un groupe.")</f>
        <v>Une femme est vue en parlant à la caméra qui mène à un homme qui parle à un groupe.</v>
      </c>
    </row>
    <row r="10663">
      <c r="A10663" s="4" t="s">
        <v>13405</v>
      </c>
      <c r="B10663" s="4" t="s">
        <v>13407</v>
      </c>
      <c r="C10663" s="5" t="str">
        <f>IFERROR(__xludf.DUMMYFUNCTION("GOOGLETRANSLATE(B10663,""en"",""fr"")"),"Un autre homme parle à la caméra tandis que le démonstrateur pointe un vélo et enlève une roue.")</f>
        <v>Un autre homme parle à la caméra tandis que le démonstrateur pointe un vélo et enlève une roue.</v>
      </c>
    </row>
    <row r="10664">
      <c r="A10664" s="4" t="s">
        <v>13405</v>
      </c>
      <c r="B10664" s="6" t="s">
        <v>13408</v>
      </c>
      <c r="C10664" s="5" t="str">
        <f>IFERROR(__xludf.DUMMYFUNCTION("GOOGLETRANSLATE(B10664,""en"",""fr"")"),"Plus de gens parlent à la caméra tandis que l'homme montre comment mettre de l'air dans un pneu et le démonter.")</f>
        <v>Plus de gens parlent à la caméra tandis que l'homme montre comment mettre de l'air dans un pneu et le démonter.</v>
      </c>
    </row>
    <row r="10665">
      <c r="A10665" s="4" t="s">
        <v>13409</v>
      </c>
      <c r="B10665" s="4" t="s">
        <v>13410</v>
      </c>
      <c r="C10665" s="5" t="str">
        <f>IFERROR(__xludf.DUMMYFUNCTION("GOOGLETRANSLATE(B10665,""en"",""fr"")"),"Une femme en chemise rose se tient à l'extérieur.")</f>
        <v>Une femme en chemise rose se tient à l'extérieur.</v>
      </c>
    </row>
    <row r="10666">
      <c r="A10666" s="4" t="s">
        <v>13409</v>
      </c>
      <c r="B10666" s="4" t="s">
        <v>13411</v>
      </c>
      <c r="C10666" s="5" t="str">
        <f>IFERROR(__xludf.DUMMYFUNCTION("GOOGLETRANSLATE(B10666,""en"",""fr"")"),"Un chien brun joue avec un frisbee.")</f>
        <v>Un chien brun joue avec un frisbee.</v>
      </c>
    </row>
    <row r="10667">
      <c r="A10667" s="4" t="s">
        <v>13409</v>
      </c>
      <c r="B10667" s="4" t="s">
        <v>13412</v>
      </c>
      <c r="C10667" s="5" t="str">
        <f>IFERROR(__xludf.DUMMYFUNCTION("GOOGLETRANSLATE(B10667,""en"",""fr"")"),"Le chien se tient sur le dos de la femme.")</f>
        <v>Le chien se tient sur le dos de la femme.</v>
      </c>
    </row>
    <row r="10668">
      <c r="A10668" s="4" t="s">
        <v>13413</v>
      </c>
      <c r="B10668" s="4" t="s">
        <v>13414</v>
      </c>
      <c r="C10668" s="5" t="str">
        <f>IFERROR(__xludf.DUMMYFUNCTION("GOOGLETRANSLATE(B10668,""en"",""fr"")"),"Le stade est montré avec beaucoup de gens dans le public assis sur des stands en regardant un jeu Criquet.")</f>
        <v>Le stade est montré avec beaucoup de gens dans le public assis sur des stands en regardant un jeu Criquet.</v>
      </c>
    </row>
    <row r="10669">
      <c r="A10669" s="4" t="s">
        <v>13413</v>
      </c>
      <c r="B10669" s="4" t="s">
        <v>13415</v>
      </c>
      <c r="C10669" s="5" t="str">
        <f>IFERROR(__xludf.DUMMYFUNCTION("GOOGLETRANSLATE(B10669,""en"",""fr"")"),"Les hommes sont interrogés sur le terrain.")</f>
        <v>Les hommes sont interrogés sur le terrain.</v>
      </c>
    </row>
    <row r="10670">
      <c r="A10670" s="4" t="s">
        <v>13416</v>
      </c>
      <c r="B10670" s="4" t="s">
        <v>13417</v>
      </c>
      <c r="C10670" s="5" t="str">
        <f>IFERROR(__xludf.DUMMYFUNCTION("GOOGLETRANSLATE(B10670,""en"",""fr"")"),"Un homme se tient dans une machine à jouer avant de lever les yeux et de courir, sautant sur un comptoir.")</f>
        <v>Un homme se tient dans une machine à jouer avant de lever les yeux et de courir, sautant sur un comptoir.</v>
      </c>
    </row>
    <row r="10671">
      <c r="A10671" s="4" t="s">
        <v>13416</v>
      </c>
      <c r="B10671" s="4" t="s">
        <v>13418</v>
      </c>
      <c r="C10671" s="5" t="str">
        <f>IFERROR(__xludf.DUMMYFUNCTION("GOOGLETRANSLATE(B10671,""en"",""fr"")"),"Il attrape une boule de bowling et commence le bowling.")</f>
        <v>Il attrape une boule de bowling et commence le bowling.</v>
      </c>
    </row>
    <row r="10672">
      <c r="A10672" s="4" t="s">
        <v>13416</v>
      </c>
      <c r="B10672" s="4" t="s">
        <v>13419</v>
      </c>
      <c r="C10672" s="5" t="str">
        <f>IFERROR(__xludf.DUMMYFUNCTION("GOOGLETRANSLATE(B10672,""en"",""fr"")"),"Les hommes font des backflips et glissent pendant qu'ils bollaient, roulant parfois les couilles sous les uns des autres.")</f>
        <v>Les hommes font des backflips et glissent pendant qu'ils bollaient, roulant parfois les couilles sous les uns des autres.</v>
      </c>
    </row>
    <row r="10673">
      <c r="A10673" s="4" t="s">
        <v>13416</v>
      </c>
      <c r="B10673" s="4" t="s">
        <v>13420</v>
      </c>
      <c r="C10673" s="5" t="str">
        <f>IFERROR(__xludf.DUMMYFUNCTION("GOOGLETRANSLATE(B10673,""en"",""fr"")"),"L'un est les yeux bandés avant de faire une grève, puis l'autre fait la main sur l'équipement.")</f>
        <v>L'un est les yeux bandés avant de faire une grève, puis l'autre fait la main sur l'équipement.</v>
      </c>
    </row>
    <row r="10674">
      <c r="A10674" s="4" t="s">
        <v>13421</v>
      </c>
      <c r="B10674" s="4" t="s">
        <v>13422</v>
      </c>
      <c r="C10674" s="5" t="str">
        <f>IFERROR(__xludf.DUMMYFUNCTION("GOOGLETRANSLATE(B10674,""en"",""fr"")"),"Les hommes sur ces bâtons de Pogo à l'aspect robotique jouent au basket-ball à l'intérieur d'un terrain.")</f>
        <v>Les hommes sur ces bâtons de Pogo à l'aspect robotique jouent au basket-ball à l'intérieur d'un terrain.</v>
      </c>
    </row>
    <row r="10675">
      <c r="A10675" s="4" t="s">
        <v>13421</v>
      </c>
      <c r="B10675" s="4" t="s">
        <v>13423</v>
      </c>
      <c r="C10675" s="5" t="str">
        <f>IFERROR(__xludf.DUMMYFUNCTION("GOOGLETRANSLATE(B10675,""en"",""fr"")"),"Ils marchent sur les bâtons de Pogo et sautent un peu aussi.")</f>
        <v>Ils marchent sur les bâtons de Pogo et sautent un peu aussi.</v>
      </c>
    </row>
    <row r="10676">
      <c r="A10676" s="4" t="s">
        <v>13421</v>
      </c>
      <c r="B10676" s="4" t="s">
        <v>13424</v>
      </c>
      <c r="C10676" s="5" t="str">
        <f>IFERROR(__xludf.DUMMYFUNCTION("GOOGLETRANSLATE(B10676,""en"",""fr"")"),"Ils essaient de mettre le ballon dans le cerceau et continuent de rebondir autour du terrain.")</f>
        <v>Ils essaient de mettre le ballon dans le cerceau et continuent de rebondir autour du terrain.</v>
      </c>
    </row>
    <row r="10677">
      <c r="A10677" s="4" t="s">
        <v>13421</v>
      </c>
      <c r="B10677" s="4" t="s">
        <v>13425</v>
      </c>
      <c r="C10677" s="5" t="str">
        <f>IFERROR(__xludf.DUMMYFUNCTION("GOOGLETRANSLATE(B10677,""en"",""fr"")"),"Un homme en vert fait un retournement dans l'air et tire le ballon dans le cerceau.")</f>
        <v>Un homme en vert fait un retournement dans l'air et tire le ballon dans le cerceau.</v>
      </c>
    </row>
    <row r="10678">
      <c r="A10678" s="4" t="s">
        <v>13426</v>
      </c>
      <c r="B10678" s="6" t="s">
        <v>13427</v>
      </c>
      <c r="C10678" s="5" t="str">
        <f>IFERROR(__xludf.DUMMYFUNCTION("GOOGLETRANSLATE(B10678,""en"",""fr"")"),"Un chien est vu debout dans une baignoire enchaînée dans une baignoire et une femme entre dans le cadre et attrape le chien.")</f>
        <v>Un chien est vu debout dans une baignoire enchaînée dans une baignoire et une femme entre dans le cadre et attrape le chien.</v>
      </c>
    </row>
    <row r="10679">
      <c r="A10679" s="4" t="s">
        <v>13426</v>
      </c>
      <c r="B10679" s="6" t="s">
        <v>13428</v>
      </c>
      <c r="C10679" s="5" t="str">
        <f>IFERROR(__xludf.DUMMYFUNCTION("GOOGLETRANSLATE(B10679,""en"",""fr"")"),"Elle tient une bouteille et la pulvérise autour du chien, la frottant dans sa fourrure tout en parlant à la caméra.")</f>
        <v>Elle tient une bouteille et la pulvérise autour du chien, la frottant dans sa fourrure tout en parlant à la caméra.</v>
      </c>
    </row>
    <row r="10680">
      <c r="A10680" s="4" t="s">
        <v>13426</v>
      </c>
      <c r="B10680" s="4" t="s">
        <v>13429</v>
      </c>
      <c r="C10680" s="5" t="str">
        <f>IFERROR(__xludf.DUMMYFUNCTION("GOOGLETRANSLATE(B10680,""en"",""fr"")"),"Elle prend ensuite un tuyau et pulvérise le chien avec de l'eau et se termine en regardant la caméra.")</f>
        <v>Elle prend ensuite un tuyau et pulvérise le chien avec de l'eau et se termine en regardant la caméra.</v>
      </c>
    </row>
    <row r="10681">
      <c r="A10681" s="4" t="s">
        <v>13430</v>
      </c>
      <c r="B10681" s="4" t="s">
        <v>13431</v>
      </c>
      <c r="C10681" s="5" t="str">
        <f>IFERROR(__xludf.DUMMYFUNCTION("GOOGLETRANSLATE(B10681,""en"",""fr"")"),"Trois adolescents portent leurs planches à roulettes sur un sentier pavé du parc.")</f>
        <v>Trois adolescents portent leurs planches à roulettes sur un sentier pavé du parc.</v>
      </c>
    </row>
    <row r="10682">
      <c r="A10682" s="4" t="s">
        <v>13430</v>
      </c>
      <c r="B10682" s="6" t="s">
        <v>13432</v>
      </c>
      <c r="C10682" s="5" t="str">
        <f>IFERROR(__xludf.DUMMYFUNCTION("GOOGLETRANSLATE(B10682,""en"",""fr"")"),"Une caméra montée sur la planche à roulettes capture des scènes des jeunes patineurs naviguant dans différentes directions et effectuant différentes astuces.")</f>
        <v>Une caméra montée sur la planche à roulettes capture des scènes des jeunes patineurs naviguant dans différentes directions et effectuant différentes astuces.</v>
      </c>
    </row>
    <row r="10683">
      <c r="A10683" s="4" t="s">
        <v>13430</v>
      </c>
      <c r="B10683" s="4" t="s">
        <v>13433</v>
      </c>
      <c r="C10683" s="5" t="str">
        <f>IFERROR(__xludf.DUMMYFUNCTION("GOOGLETRANSLATE(B10683,""en"",""fr"")"),"Un skateur dans un sweat à capuche vert patiner sur un sentier de terre étroit bordé d'arbres.")</f>
        <v>Un skateur dans un sweat à capuche vert patiner sur un sentier de terre étroit bordé d'arbres.</v>
      </c>
    </row>
    <row r="10684">
      <c r="A10684" s="4" t="s">
        <v>13434</v>
      </c>
      <c r="B10684" s="4" t="s">
        <v>13435</v>
      </c>
      <c r="C10684" s="5" t="str">
        <f>IFERROR(__xludf.DUMMYFUNCTION("GOOGLETRANSLATE(B10684,""en"",""fr"")"),"Une carte météorologique est montrée pendant une seconde, puis deux femmes de nouvelles assises à un bureau.")</f>
        <v>Une carte météorologique est montrée pendant une seconde, puis deux femmes de nouvelles assises à un bureau.</v>
      </c>
    </row>
    <row r="10685">
      <c r="A10685" s="4" t="s">
        <v>13434</v>
      </c>
      <c r="B10685" s="4" t="s">
        <v>13436</v>
      </c>
      <c r="C10685" s="5" t="str">
        <f>IFERROR(__xludf.DUMMYFUNCTION("GOOGLETRANSLATE(B10685,""en"",""fr"")"),"Plusieurs personnes se réchauffent pour une course.")</f>
        <v>Plusieurs personnes se réchauffent pour une course.</v>
      </c>
    </row>
    <row r="10686">
      <c r="A10686" s="4" t="s">
        <v>13434</v>
      </c>
      <c r="B10686" s="4" t="s">
        <v>13437</v>
      </c>
      <c r="C10686" s="5" t="str">
        <f>IFERROR(__xludf.DUMMYFUNCTION("GOOGLETRANSLATE(B10686,""en"",""fr"")"),"Un pistolet est tiré et la course commence.")</f>
        <v>Un pistolet est tiré et la course commence.</v>
      </c>
    </row>
    <row r="10687">
      <c r="A10687" s="4" t="s">
        <v>13434</v>
      </c>
      <c r="B10687" s="4" t="s">
        <v>13438</v>
      </c>
      <c r="C10687" s="5" t="str">
        <f>IFERROR(__xludf.DUMMYFUNCTION("GOOGLETRANSLATE(B10687,""en"",""fr"")"),"Nous retournons chez les femmes dans la salle de nouvelles, parlant.")</f>
        <v>Nous retournons chez les femmes dans la salle de nouvelles, parlant.</v>
      </c>
    </row>
    <row r="10688">
      <c r="A10688" s="4" t="s">
        <v>13439</v>
      </c>
      <c r="B10688" s="4" t="s">
        <v>13440</v>
      </c>
      <c r="C10688" s="5" t="str">
        <f>IFERROR(__xludf.DUMMYFUNCTION("GOOGLETRANSLATE(B10688,""en"",""fr"")"),"Une femme portant des cours danse devant la caméra.")</f>
        <v>Une femme portant des cours danse devant la caméra.</v>
      </c>
    </row>
    <row r="10689">
      <c r="A10689" s="4" t="s">
        <v>13439</v>
      </c>
      <c r="B10689" s="4" t="s">
        <v>13441</v>
      </c>
      <c r="C10689" s="5" t="str">
        <f>IFERROR(__xludf.DUMMYFUNCTION("GOOGLETRANSLATE(B10689,""en"",""fr"")"),"La femme se retourne tout en levant un bras.")</f>
        <v>La femme se retourne tout en levant un bras.</v>
      </c>
    </row>
    <row r="10690">
      <c r="A10690" s="4" t="s">
        <v>13439</v>
      </c>
      <c r="B10690" s="4" t="s">
        <v>13442</v>
      </c>
      <c r="C10690" s="5" t="str">
        <f>IFERROR(__xludf.DUMMYFUNCTION("GOOGLETRANSLATE(B10690,""en"",""fr"")"),"La femme se retourne à nouveau.")</f>
        <v>La femme se retourne à nouveau.</v>
      </c>
    </row>
    <row r="10691">
      <c r="A10691" s="4" t="s">
        <v>13443</v>
      </c>
      <c r="B10691" s="4" t="s">
        <v>1487</v>
      </c>
      <c r="C10691" s="5" t="str">
        <f>IFERROR(__xludf.DUMMYFUNCTION("GOOGLETRANSLATE(B10691,""en"",""fr"")"),"Nous voyons un écran de titre d'ouverture.")</f>
        <v>Nous voyons un écran de titre d'ouverture.</v>
      </c>
    </row>
    <row r="10692">
      <c r="A10692" s="4" t="s">
        <v>13443</v>
      </c>
      <c r="B10692" s="4" t="s">
        <v>13444</v>
      </c>
      <c r="C10692" s="5" t="str">
        <f>IFERROR(__xludf.DUMMYFUNCTION("GOOGLETRANSLATE(B10692,""en"",""fr"")"),"Nous voyons un chef dans une barre d'omelette fabriquer plusieurs omelettes en même temps.")</f>
        <v>Nous voyons un chef dans une barre d'omelette fabriquer plusieurs omelettes en même temps.</v>
      </c>
    </row>
    <row r="10693">
      <c r="A10693" s="4" t="s">
        <v>13443</v>
      </c>
      <c r="B10693" s="4" t="s">
        <v>13445</v>
      </c>
      <c r="C10693" s="5" t="str">
        <f>IFERROR(__xludf.DUMMYFUNCTION("GOOGLETRANSLATE(B10693,""en"",""fr"")"),"Nous voyons l'homme verser plus d'oeuf dans les casseroles.")</f>
        <v>Nous voyons l'homme verser plus d'oeuf dans les casseroles.</v>
      </c>
    </row>
    <row r="10694">
      <c r="A10694" s="4" t="s">
        <v>13443</v>
      </c>
      <c r="B10694" s="4" t="s">
        <v>13446</v>
      </c>
      <c r="C10694" s="5" t="str">
        <f>IFERROR(__xludf.DUMMYFUNCTION("GOOGLETRANSLATE(B10694,""en"",""fr"")"),"L'homme saupose les assaisonnements sur les omelettes.")</f>
        <v>L'homme saupose les assaisonnements sur les omelettes.</v>
      </c>
    </row>
    <row r="10695">
      <c r="A10695" s="4" t="s">
        <v>13443</v>
      </c>
      <c r="B10695" s="4" t="s">
        <v>13447</v>
      </c>
      <c r="C10695" s="5" t="str">
        <f>IFERROR(__xludf.DUMMYFUNCTION("GOOGLETRANSLATE(B10695,""en"",""fr"")"),"L'homme verse les omelettes sur des assiettes.")</f>
        <v>L'homme verse les omelettes sur des assiettes.</v>
      </c>
    </row>
    <row r="10696">
      <c r="A10696" s="4" t="s">
        <v>13443</v>
      </c>
      <c r="B10696" s="4" t="s">
        <v>4452</v>
      </c>
      <c r="C10696" s="5" t="str">
        <f>IFERROR(__xludf.DUMMYFUNCTION("GOOGLETRANSLATE(B10696,""en"",""fr"")"),"Nous voyons ensuite l'écran de fin.")</f>
        <v>Nous voyons ensuite l'écran de fin.</v>
      </c>
    </row>
    <row r="10697">
      <c r="A10697" s="4" t="s">
        <v>13443</v>
      </c>
      <c r="B10697" s="4" t="s">
        <v>13448</v>
      </c>
      <c r="C10697" s="5" t="str">
        <f>IFERROR(__xludf.DUMMYFUNCTION("GOOGLETRANSLATE(B10697,""en"",""fr"")"),"Nous voyons des photos du chef.")</f>
        <v>Nous voyons des photos du chef.</v>
      </c>
    </row>
    <row r="10698">
      <c r="A10698" s="4" t="s">
        <v>13449</v>
      </c>
      <c r="B10698" s="4" t="s">
        <v>13450</v>
      </c>
      <c r="C10698" s="5" t="str">
        <f>IFERROR(__xludf.DUMMYFUNCTION("GOOGLETRANSLATE(B10698,""en"",""fr"")"),"Un individu se tient derrière une zone en filet.")</f>
        <v>Un individu se tient derrière une zone en filet.</v>
      </c>
    </row>
    <row r="10699">
      <c r="A10699" s="4" t="s">
        <v>13449</v>
      </c>
      <c r="B10699" s="4" t="s">
        <v>13451</v>
      </c>
      <c r="C10699" s="5" t="str">
        <f>IFERROR(__xludf.DUMMYFUNCTION("GOOGLETRANSLATE(B10699,""en"",""fr"")"),"L'individu commence à se balancer pour un jet de marteau.")</f>
        <v>L'individu commence à se balancer pour un jet de marteau.</v>
      </c>
    </row>
    <row r="10700">
      <c r="A10700" s="4" t="s">
        <v>13449</v>
      </c>
      <c r="B10700" s="4" t="s">
        <v>13452</v>
      </c>
      <c r="C10700" s="5" t="str">
        <f>IFERROR(__xludf.DUMMYFUNCTION("GOOGLETRANSLATE(B10700,""en"",""fr"")"),"L'individu libère le poids.")</f>
        <v>L'individu libère le poids.</v>
      </c>
    </row>
    <row r="10701">
      <c r="A10701" s="4" t="s">
        <v>13453</v>
      </c>
      <c r="B10701" s="4" t="s">
        <v>13454</v>
      </c>
      <c r="C10701" s="5" t="str">
        <f>IFERROR(__xludf.DUMMYFUNCTION("GOOGLETRANSLATE(B10701,""en"",""fr"")"),"Un homme danse dans une pièce.")</f>
        <v>Un homme danse dans une pièce.</v>
      </c>
    </row>
    <row r="10702">
      <c r="A10702" s="4" t="s">
        <v>13453</v>
      </c>
      <c r="B10702" s="4" t="s">
        <v>13455</v>
      </c>
      <c r="C10702" s="5" t="str">
        <f>IFERROR(__xludf.DUMMYFUNCTION("GOOGLETRANSLATE(B10702,""en"",""fr"")"),"Il monte et descend sur un petit tabouret noir.")</f>
        <v>Il monte et descend sur un petit tabouret noir.</v>
      </c>
    </row>
    <row r="10703">
      <c r="A10703" s="4" t="s">
        <v>13453</v>
      </c>
      <c r="B10703" s="4" t="s">
        <v>13456</v>
      </c>
      <c r="C10703" s="5" t="str">
        <f>IFERROR(__xludf.DUMMYFUNCTION("GOOGLETRANSLATE(B10703,""en"",""fr"")"),"Il danse ensuite avec une femme dans la pièce.")</f>
        <v>Il danse ensuite avec une femme dans la pièce.</v>
      </c>
    </row>
    <row r="10704">
      <c r="A10704" s="4" t="s">
        <v>13457</v>
      </c>
      <c r="B10704" s="4" t="s">
        <v>13458</v>
      </c>
      <c r="C10704" s="5" t="str">
        <f>IFERROR(__xludf.DUMMYFUNCTION("GOOGLETRANSLATE(B10704,""en"",""fr"")"),"L'homme se tient sur une piste de course prête à faire de la gymnastique en parallèles dans le milieu d'un stade.")</f>
        <v>L'homme se tient sur une piste de course prête à faire de la gymnastique en parallèles dans le milieu d'un stade.</v>
      </c>
    </row>
    <row r="10705">
      <c r="A10705" s="4" t="s">
        <v>13457</v>
      </c>
      <c r="B10705" s="4" t="s">
        <v>13459</v>
      </c>
      <c r="C10705" s="5" t="str">
        <f>IFERROR(__xludf.DUMMYFUNCTION("GOOGLETRANSLATE(B10705,""en"",""fr"")"),"Beaucoup de gens sont assis ou marchent sur des stands.")</f>
        <v>Beaucoup de gens sont assis ou marchent sur des stands.</v>
      </c>
    </row>
    <row r="10706">
      <c r="A10706" s="4" t="s">
        <v>13457</v>
      </c>
      <c r="B10706" s="4" t="s">
        <v>13460</v>
      </c>
      <c r="C10706" s="5" t="str">
        <f>IFERROR(__xludf.DUMMYFUNCTION("GOOGLETRANSLATE(B10706,""en"",""fr"")"),"L'homme atterrit dans le sol, salue et les gens applaudit.")</f>
        <v>L'homme atterrit dans le sol, salue et les gens applaudit.</v>
      </c>
    </row>
    <row r="10707">
      <c r="A10707" s="4" t="s">
        <v>13461</v>
      </c>
      <c r="B10707" s="4" t="s">
        <v>13462</v>
      </c>
      <c r="C10707" s="5" t="str">
        <f>IFERROR(__xludf.DUMMYFUNCTION("GOOGLETRANSLATE(B10707,""en"",""fr"")"),"Une voiture de course verte entre dans un arrêt au stand.")</f>
        <v>Une voiture de course verte entre dans un arrêt au stand.</v>
      </c>
    </row>
    <row r="10708">
      <c r="A10708" s="4" t="s">
        <v>13461</v>
      </c>
      <c r="B10708" s="4" t="s">
        <v>13463</v>
      </c>
      <c r="C10708" s="5" t="str">
        <f>IFERROR(__xludf.DUMMYFUNCTION("GOOGLETRANSLATE(B10708,""en"",""fr"")"),"L'homme avec le jack soulève la voiture.")</f>
        <v>L'homme avec le jack soulève la voiture.</v>
      </c>
    </row>
    <row r="10709">
      <c r="A10709" s="4" t="s">
        <v>13461</v>
      </c>
      <c r="B10709" s="4" t="s">
        <v>13464</v>
      </c>
      <c r="C10709" s="5" t="str">
        <f>IFERROR(__xludf.DUMMYFUNCTION("GOOGLETRANSLATE(B10709,""en"",""fr"")"),"L'équipage des stands commence à travailler sur la voiture en changeant les pneus avant et arrière de la voiture.")</f>
        <v>L'équipage des stands commence à travailler sur la voiture en changeant les pneus avant et arrière de la voiture.</v>
      </c>
    </row>
    <row r="10710">
      <c r="A10710" s="4" t="s">
        <v>13461</v>
      </c>
      <c r="B10710" s="4" t="s">
        <v>13465</v>
      </c>
      <c r="C10710" s="5" t="str">
        <f>IFERROR(__xludf.DUMMYFUNCTION("GOOGLETRANSLATE(B10710,""en"",""fr"")"),"L'homme Jack prend ensuite le cric comme un homme dans une chemise rose se présente devant la caméra.")</f>
        <v>L'homme Jack prend ensuite le cric comme un homme dans une chemise rose se présente devant la caméra.</v>
      </c>
    </row>
    <row r="10711">
      <c r="A10711" s="4" t="s">
        <v>13466</v>
      </c>
      <c r="B10711" s="6" t="s">
        <v>13467</v>
      </c>
      <c r="C10711" s="5" t="str">
        <f>IFERROR(__xludf.DUMMYFUNCTION("GOOGLETRANSLATE(B10711,""en"",""fr"")"),"Un homme est vu à genoux sur une photo suivi de deux hommes se penchant les uns vers les autres.")</f>
        <v>Un homme est vu à genoux sur une photo suivi de deux hommes se penchant les uns vers les autres.</v>
      </c>
    </row>
    <row r="10712">
      <c r="A10712" s="4" t="s">
        <v>13466</v>
      </c>
      <c r="B10712" s="4" t="s">
        <v>13468</v>
      </c>
      <c r="C10712" s="5" t="str">
        <f>IFERROR(__xludf.DUMMYFUNCTION("GOOGLETRANSLATE(B10712,""en"",""fr"")"),"Ils commencent à lutter et un homme pousse l'autre vers le bas et leur clip est à nouveau illustré.")</f>
        <v>Ils commencent à lutter et un homme pousse l'autre vers le bas et leur clip est à nouveau illustré.</v>
      </c>
    </row>
    <row r="10713">
      <c r="A10713" s="4" t="s">
        <v>13469</v>
      </c>
      <c r="B10713" s="4" t="s">
        <v>13470</v>
      </c>
      <c r="C10713" s="5" t="str">
        <f>IFERROR(__xludf.DUMMYFUNCTION("GOOGLETRANSLATE(B10713,""en"",""fr"")"),"Un homme et une femme sont dans une pièce avec plusieurs cibles derrière eux en train de parler.")</f>
        <v>Un homme et une femme sont dans une pièce avec plusieurs cibles derrière eux en train de parler.</v>
      </c>
    </row>
    <row r="10714">
      <c r="A10714" s="4" t="s">
        <v>13469</v>
      </c>
      <c r="B10714" s="6" t="s">
        <v>13471</v>
      </c>
      <c r="C10714" s="5" t="str">
        <f>IFERROR(__xludf.DUMMYFUNCTION("GOOGLETRANSLATE(B10714,""en"",""fr"")"),"La dame est ensuite montrée dans une autre pièce démontrant que la technique appropriée est efficace en tir à l'arc.")</f>
        <v>La dame est ensuite montrée dans une autre pièce démontrant que la technique appropriée est efficace en tir à l'arc.</v>
      </c>
    </row>
    <row r="10715">
      <c r="A10715" s="4" t="s">
        <v>13469</v>
      </c>
      <c r="B10715" s="6" t="s">
        <v>13472</v>
      </c>
      <c r="C10715" s="5" t="str">
        <f>IFERROR(__xludf.DUMMYFUNCTION("GOOGLETRANSLATE(B10715,""en"",""fr"")"),"Deux motifs continuent, puis la fille revient et est montrée avec des arcs derrière son dos avant de tirer sur une cible sur le mur.")</f>
        <v>Deux motifs continuent, puis la fille revient et est montrée avec des arcs derrière son dos avant de tirer sur une cible sur le mur.</v>
      </c>
    </row>
    <row r="10716">
      <c r="A10716" s="4" t="s">
        <v>13473</v>
      </c>
      <c r="B10716" s="4" t="s">
        <v>13474</v>
      </c>
      <c r="C10716" s="5" t="str">
        <f>IFERROR(__xludf.DUMMYFUNCTION("GOOGLETRANSLATE(B10716,""en"",""fr"")"),"Un groupe d'hommes joue des instruments à l'extérieur d'un bâtiment.")</f>
        <v>Un groupe d'hommes joue des instruments à l'extérieur d'un bâtiment.</v>
      </c>
    </row>
    <row r="10717">
      <c r="A10717" s="4" t="s">
        <v>13473</v>
      </c>
      <c r="B10717" s="4" t="s">
        <v>13475</v>
      </c>
      <c r="C10717" s="5" t="str">
        <f>IFERROR(__xludf.DUMMYFUNCTION("GOOGLETRANSLATE(B10717,""en"",""fr"")"),"Deux hommes s'accroupissent les uns contre les autres pendant qu'ils jouent.")</f>
        <v>Deux hommes s'accroupissent les uns contre les autres pendant qu'ils jouent.</v>
      </c>
    </row>
    <row r="10718">
      <c r="A10718" s="4" t="s">
        <v>13473</v>
      </c>
      <c r="B10718" s="6" t="s">
        <v>13476</v>
      </c>
      <c r="C10718" s="5" t="str">
        <f>IFERROR(__xludf.DUMMYFUNCTION("GOOGLETRANSLATE(B10718,""en"",""fr"")"),"Les hommes sautent et commencent à faire des arts martiaux se déplacent les uns autour des autres, simulant des coups de pied et des flips.")</f>
        <v>Les hommes sautent et commencent à faire des arts martiaux se déplacent les uns autour des autres, simulant des coups de pied et des flips.</v>
      </c>
    </row>
    <row r="10719">
      <c r="A10719" s="4" t="s">
        <v>13477</v>
      </c>
      <c r="B10719" s="4" t="s">
        <v>13478</v>
      </c>
      <c r="C10719" s="5" t="str">
        <f>IFERROR(__xludf.DUMMYFUNCTION("GOOGLETRANSLATE(B10719,""en"",""fr"")"),"Un homme est assis à l'avant dans un bol, puis une femme montre de la pâte à biscuits dans des bols, puis passe en revue un livre de cuisine.")</f>
        <v>Un homme est assis à l'avant dans un bol, puis une femme montre de la pâte à biscuits dans des bols, puis passe en revue un livre de cuisine.</v>
      </c>
    </row>
    <row r="10720">
      <c r="A10720" s="4" t="s">
        <v>13477</v>
      </c>
      <c r="B10720" s="6" t="s">
        <v>13479</v>
      </c>
      <c r="C10720" s="5" t="str">
        <f>IFERROR(__xludf.DUMMYFUNCTION("GOOGLETRANSLATE(B10720,""en"",""fr"")"),"Ensuite, la femme fait des boules de pâte et met un moule, également un adolescent fait des boules de pâte et met dans un moule.")</f>
        <v>Ensuite, la femme fait des boules de pâte et met un moule, également un adolescent fait des boules de pâte et met dans un moule.</v>
      </c>
    </row>
    <row r="10721">
      <c r="A10721" s="4" t="s">
        <v>13477</v>
      </c>
      <c r="B10721" s="4" t="s">
        <v>13480</v>
      </c>
      <c r="C10721" s="5" t="str">
        <f>IFERROR(__xludf.DUMMYFUNCTION("GOOGLETRANSLATE(B10721,""en"",""fr"")"),"Après, l'homme a mis les biscuits au four.")</f>
        <v>Après, l'homme a mis les biscuits au four.</v>
      </c>
    </row>
    <row r="10722">
      <c r="A10722" s="4" t="s">
        <v>13481</v>
      </c>
      <c r="B10722" s="6" t="s">
        <v>13482</v>
      </c>
      <c r="C10722" s="5" t="str">
        <f>IFERROR(__xludf.DUMMYFUNCTION("GOOGLETRANSLATE(B10722,""en"",""fr"")"),"Un grand groupe de personnes est vu courir le long d'un terrain et les mène en jouant à un jeu de hockey sur le terrain.")</f>
        <v>Un grand groupe de personnes est vu courir le long d'un terrain et les mène en jouant à un jeu de hockey sur le terrain.</v>
      </c>
    </row>
    <row r="10723">
      <c r="A10723" s="4" t="s">
        <v>13481</v>
      </c>
      <c r="B10723" s="6" t="s">
        <v>13483</v>
      </c>
      <c r="C10723" s="5" t="str">
        <f>IFERROR(__xludf.DUMMYFUNCTION("GOOGLETRANSLATE(B10723,""en"",""fr"")"),"Le jeu continue avec des flèches pointant vers divers joueurs ainsi que des photos de personnes qui tombent.")</f>
        <v>Le jeu continue avec des flèches pointant vers divers joueurs ainsi que des photos de personnes qui tombent.</v>
      </c>
    </row>
    <row r="10724">
      <c r="A10724" s="4" t="s">
        <v>13484</v>
      </c>
      <c r="B10724" s="4" t="s">
        <v>13485</v>
      </c>
      <c r="C10724" s="5" t="str">
        <f>IFERROR(__xludf.DUMMYFUNCTION("GOOGLETRANSLATE(B10724,""en"",""fr"")"),"Un homme tient la poignée d'un outil de nettoyage.")</f>
        <v>Un homme tient la poignée d'un outil de nettoyage.</v>
      </c>
    </row>
    <row r="10725">
      <c r="A10725" s="4" t="s">
        <v>13484</v>
      </c>
      <c r="B10725" s="4" t="s">
        <v>13486</v>
      </c>
      <c r="C10725" s="5" t="str">
        <f>IFERROR(__xludf.DUMMYFUNCTION("GOOGLETRANSLATE(B10725,""en"",""fr"")"),"L'homme nettoie le sol de la cuisine.")</f>
        <v>L'homme nettoie le sol de la cuisine.</v>
      </c>
    </row>
    <row r="10726">
      <c r="A10726" s="4" t="s">
        <v>13484</v>
      </c>
      <c r="B10726" s="4" t="s">
        <v>13487</v>
      </c>
      <c r="C10726" s="5" t="str">
        <f>IFERROR(__xludf.DUMMYFUNCTION("GOOGLETRANSLATE(B10726,""en"",""fr"")"),"Une dame discute avec l'homme.")</f>
        <v>Une dame discute avec l'homme.</v>
      </c>
    </row>
    <row r="10727">
      <c r="A10727" s="4" t="s">
        <v>13484</v>
      </c>
      <c r="B10727" s="4" t="s">
        <v>13488</v>
      </c>
      <c r="C10727" s="5" t="str">
        <f>IFERROR(__xludf.DUMMYFUNCTION("GOOGLETRANSLATE(B10727,""en"",""fr"")"),"L'homme sort la vadrouille du seau rouge et déplace le seau de côté.")</f>
        <v>L'homme sort la vadrouille du seau rouge et déplace le seau de côté.</v>
      </c>
    </row>
    <row r="10728">
      <c r="A10728" s="4" t="s">
        <v>13484</v>
      </c>
      <c r="B10728" s="4" t="s">
        <v>13489</v>
      </c>
      <c r="C10728" s="5" t="str">
        <f>IFERROR(__xludf.DUMMYFUNCTION("GOOGLETRANSLATE(B10728,""en"",""fr"")"),"La dame se tient à côté d'un homme.")</f>
        <v>La dame se tient à côté d'un homme.</v>
      </c>
    </row>
    <row r="10729">
      <c r="A10729" s="4" t="s">
        <v>13484</v>
      </c>
      <c r="B10729" s="4" t="s">
        <v>13490</v>
      </c>
      <c r="C10729" s="5" t="str">
        <f>IFERROR(__xludf.DUMMYFUNCTION("GOOGLETRANSLATE(B10729,""en"",""fr"")"),"La dame fait signe de ses mains.")</f>
        <v>La dame fait signe de ses mains.</v>
      </c>
    </row>
    <row r="10730">
      <c r="A10730" s="4" t="s">
        <v>13484</v>
      </c>
      <c r="B10730" s="4" t="s">
        <v>13491</v>
      </c>
      <c r="C10730" s="5" t="str">
        <f>IFERROR(__xludf.DUMMYFUNCTION("GOOGLETRANSLATE(B10730,""en"",""fr"")"),"L'homme tend la vadrouille à la dame et vide le seau rouge dans l'évier.")</f>
        <v>L'homme tend la vadrouille à la dame et vide le seau rouge dans l'évier.</v>
      </c>
    </row>
    <row r="10731">
      <c r="A10731" s="4" t="s">
        <v>13484</v>
      </c>
      <c r="B10731" s="4" t="s">
        <v>13492</v>
      </c>
      <c r="C10731" s="5" t="str">
        <f>IFERROR(__xludf.DUMMYFUNCTION("GOOGLETRANSLATE(B10731,""en"",""fr"")"),"Le mâle attrape de l'alcool, tandis que les dame jetèrent.")</f>
        <v>Le mâle attrape de l'alcool, tandis que les dame jetèrent.</v>
      </c>
    </row>
    <row r="10732">
      <c r="A10732" s="4" t="s">
        <v>13484</v>
      </c>
      <c r="B10732" s="4" t="s">
        <v>13493</v>
      </c>
      <c r="C10732" s="5" t="str">
        <f>IFERROR(__xludf.DUMMYFUNCTION("GOOGLETRANSLATE(B10732,""en"",""fr"")"),"L'homme tend le seau et la nettoyage du mâle.")</f>
        <v>L'homme tend le seau et la nettoyage du mâle.</v>
      </c>
    </row>
    <row r="10733">
      <c r="A10733" s="4" t="s">
        <v>13484</v>
      </c>
      <c r="B10733" s="4" t="s">
        <v>13494</v>
      </c>
      <c r="C10733" s="5" t="str">
        <f>IFERROR(__xludf.DUMMYFUNCTION("GOOGLETRANSLATE(B10733,""en"",""fr"")"),"L'homme salue et salue.")</f>
        <v>L'homme salue et salue.</v>
      </c>
    </row>
    <row r="10734">
      <c r="A10734" s="4" t="s">
        <v>13484</v>
      </c>
      <c r="B10734" s="4" t="s">
        <v>13495</v>
      </c>
      <c r="C10734" s="5" t="str">
        <f>IFERROR(__xludf.DUMMYFUNCTION("GOOGLETRANSLATE(B10734,""en"",""fr"")"),"La dame rit à haute voix.")</f>
        <v>La dame rit à haute voix.</v>
      </c>
    </row>
    <row r="10735">
      <c r="A10735" s="4" t="s">
        <v>13484</v>
      </c>
      <c r="B10735" s="4" t="s">
        <v>13496</v>
      </c>
      <c r="C10735" s="5" t="str">
        <f>IFERROR(__xludf.DUMMYFUNCTION("GOOGLETRANSLATE(B10735,""en"",""fr"")"),"L'homme se lave la main.")</f>
        <v>L'homme se lave la main.</v>
      </c>
    </row>
    <row r="10736">
      <c r="A10736" s="4" t="s">
        <v>13497</v>
      </c>
      <c r="B10736" s="4" t="s">
        <v>13498</v>
      </c>
      <c r="C10736" s="5" t="str">
        <f>IFERROR(__xludf.DUMMYFUNCTION("GOOGLETRANSLATE(B10736,""en"",""fr"")"),"Une barre d'équipement d'exercice est indiquée dans un salon.")</f>
        <v>Une barre d'équipement d'exercice est indiquée dans un salon.</v>
      </c>
    </row>
    <row r="10737">
      <c r="A10737" s="4" t="s">
        <v>13497</v>
      </c>
      <c r="B10737" s="4" t="s">
        <v>13499</v>
      </c>
      <c r="C10737" s="5" t="str">
        <f>IFERROR(__xludf.DUMMYFUNCTION("GOOGLETRANSLATE(B10737,""en"",""fr"")"),"Les différents détails de l'équipement sont affichés.")</f>
        <v>Les différents détails de l'équipement sont affichés.</v>
      </c>
    </row>
    <row r="10738">
      <c r="A10738" s="4" t="s">
        <v>13497</v>
      </c>
      <c r="B10738" s="4" t="s">
        <v>13500</v>
      </c>
      <c r="C10738" s="5" t="str">
        <f>IFERROR(__xludf.DUMMYFUNCTION("GOOGLETRANSLATE(B10738,""en"",""fr"")"),"L'homme s'accroche au bar de la machine alors qu'il en parle.")</f>
        <v>L'homme s'accroche au bar de la machine alors qu'il en parle.</v>
      </c>
    </row>
    <row r="10739">
      <c r="A10739" s="4" t="s">
        <v>13501</v>
      </c>
      <c r="B10739" s="6" t="s">
        <v>13502</v>
      </c>
      <c r="C10739" s="5" t="str">
        <f>IFERROR(__xludf.DUMMYFUNCTION("GOOGLETRANSLATE(B10739,""en"",""fr"")"),"Un gros plan d'un équipement d'exercice est montré suivi d'un homme entrant dans le cadre et commence à utiliser la machine.")</f>
        <v>Un gros plan d'un équipement d'exercice est montré suivi d'un homme entrant dans le cadre et commence à utiliser la machine.</v>
      </c>
    </row>
    <row r="10740">
      <c r="A10740" s="4" t="s">
        <v>13501</v>
      </c>
      <c r="B10740" s="6" t="s">
        <v>13503</v>
      </c>
      <c r="C10740" s="5" t="str">
        <f>IFERROR(__xludf.DUMMYFUNCTION("GOOGLETRANSLATE(B10740,""en"",""fr"")"),"L'homme recule et quatrième sur la machine pendant que la caméra continue de capturer ses mouvements.")</f>
        <v>L'homme recule et quatrième sur la machine pendant que la caméra continue de capturer ses mouvements.</v>
      </c>
    </row>
    <row r="10741">
      <c r="A10741" s="4" t="s">
        <v>13504</v>
      </c>
      <c r="B10741" s="4" t="s">
        <v>13505</v>
      </c>
      <c r="C10741" s="5" t="str">
        <f>IFERROR(__xludf.DUMMYFUNCTION("GOOGLETRANSLATE(B10741,""en"",""fr"")"),"Une femme est vue assise devant la caméra et commence à mettre une lentille de contact dans ses yeux.")</f>
        <v>Une femme est vue assise devant la caméra et commence à mettre une lentille de contact dans ses yeux.</v>
      </c>
    </row>
    <row r="10742">
      <c r="A10742" s="4" t="s">
        <v>13504</v>
      </c>
      <c r="B10742" s="4" t="s">
        <v>13506</v>
      </c>
      <c r="C10742" s="5" t="str">
        <f>IFERROR(__xludf.DUMMYFUNCTION("GOOGLETRANSLATE(B10742,""en"",""fr"")"),"La femme continue de tenter de mettre l'objectif dans ses yeux tout en regardant autour de lui en essayant à nouveau.")</f>
        <v>La femme continue de tenter de mettre l'objectif dans ses yeux tout en regardant autour de lui en essayant à nouveau.</v>
      </c>
    </row>
    <row r="10743">
      <c r="A10743" s="4" t="s">
        <v>13504</v>
      </c>
      <c r="B10743" s="4" t="s">
        <v>13507</v>
      </c>
      <c r="C10743" s="5" t="str">
        <f>IFERROR(__xludf.DUMMYFUNCTION("GOOGLETRANSLATE(B10743,""en"",""fr"")"),"Elle réussit la dernière fois et est vue encourageant la caméra.")</f>
        <v>Elle réussit la dernière fois et est vue encourageant la caméra.</v>
      </c>
    </row>
    <row r="10744">
      <c r="A10744" s="4" t="s">
        <v>13508</v>
      </c>
      <c r="B10744" s="4" t="s">
        <v>13509</v>
      </c>
      <c r="C10744" s="5" t="str">
        <f>IFERROR(__xludf.DUMMYFUNCTION("GOOGLETRANSLATE(B10744,""en"",""fr"")"),"Un grand lac est vu avec un homme assis dans un tube ainsi que d'autres qui regardent autour de la zone.")</f>
        <v>Un grand lac est vu avec un homme assis dans un tube ainsi que d'autres qui regardent autour de la zone.</v>
      </c>
    </row>
    <row r="10745">
      <c r="A10745" s="4" t="s">
        <v>13508</v>
      </c>
      <c r="B10745" s="6" t="s">
        <v>13510</v>
      </c>
      <c r="C10745" s="5" t="str">
        <f>IFERROR(__xludf.DUMMYFUNCTION("GOOGLETRANSLATE(B10745,""en"",""fr"")"),"Les hommes s'écraseront avec un frottant contre un bûche et mène dans le tube déplacé et la personne s'asseyant.")</f>
        <v>Les hommes s'écraseront avec un frottant contre un bûche et mène dans le tube déplacé et la personne s'asseyant.</v>
      </c>
    </row>
    <row r="10746">
      <c r="A10746" s="4" t="s">
        <v>13511</v>
      </c>
      <c r="B10746" s="4" t="s">
        <v>13512</v>
      </c>
      <c r="C10746" s="5" t="str">
        <f>IFERROR(__xludf.DUMMYFUNCTION("GOOGLETRANSLATE(B10746,""en"",""fr"")"),"Une animation d'introduction est montrée avec le titre de vidéo.")</f>
        <v>Une animation d'introduction est montrée avec le titre de vidéo.</v>
      </c>
    </row>
    <row r="10747">
      <c r="A10747" s="4" t="s">
        <v>13511</v>
      </c>
      <c r="B10747" s="6" t="s">
        <v>13513</v>
      </c>
      <c r="C10747" s="5" t="str">
        <f>IFERROR(__xludf.DUMMYFUNCTION("GOOGLETRANSLATE(B10747,""en"",""fr"")"),"Une entraîneure en sueurs donne des instructions à un groupe d'étudiants dans un gymnase pour une activité physique en agissant la routine.")</f>
        <v>Une entraîneure en sueurs donne des instructions à un groupe d'étudiants dans un gymnase pour une activité physique en agissant la routine.</v>
      </c>
    </row>
    <row r="10748">
      <c r="A10748" s="4" t="s">
        <v>13511</v>
      </c>
      <c r="B10748" s="4" t="s">
        <v>13514</v>
      </c>
      <c r="C10748" s="5" t="str">
        <f>IFERROR(__xludf.DUMMYFUNCTION("GOOGLETRANSLATE(B10748,""en"",""fr"")"),"Les étudiants imitent les requêtes des instructeurs.")</f>
        <v>Les étudiants imitent les requêtes des instructeurs.</v>
      </c>
    </row>
    <row r="10749">
      <c r="A10749" s="4" t="s">
        <v>13511</v>
      </c>
      <c r="B10749" s="4" t="s">
        <v>13515</v>
      </c>
      <c r="C10749" s="5" t="str">
        <f>IFERROR(__xludf.DUMMYFUNCTION("GOOGLETRANSLATE(B10749,""en"",""fr"")"),"L'entraîneur pointe vers différentes zones du gymnase et des groupes d'étudiants individuels.")</f>
        <v>L'entraîneur pointe vers différentes zones du gymnase et des groupes d'étudiants individuels.</v>
      </c>
    </row>
    <row r="10750">
      <c r="A10750" s="4" t="s">
        <v>13511</v>
      </c>
      <c r="B10750" s="4" t="s">
        <v>13516</v>
      </c>
      <c r="C10750" s="5" t="str">
        <f>IFERROR(__xludf.DUMMYFUNCTION("GOOGLETRANSLATE(B10750,""en"",""fr"")"),"Un étudiant en short noir traverse le gymnase.")</f>
        <v>Un étudiant en short noir traverse le gymnase.</v>
      </c>
    </row>
    <row r="10751">
      <c r="A10751" s="4" t="s">
        <v>13511</v>
      </c>
      <c r="B10751" s="4" t="s">
        <v>13517</v>
      </c>
      <c r="C10751" s="5" t="str">
        <f>IFERROR(__xludf.DUMMYFUNCTION("GOOGLETRANSLATE(B10751,""en"",""fr"")"),"Un groupe d'étudiants joue du sissor en papier rock.")</f>
        <v>Un groupe d'étudiants joue du sissor en papier rock.</v>
      </c>
    </row>
    <row r="10752">
      <c r="A10752" s="4" t="s">
        <v>13511</v>
      </c>
      <c r="B10752" s="4" t="s">
        <v>13518</v>
      </c>
      <c r="C10752" s="5" t="str">
        <f>IFERROR(__xludf.DUMMYFUNCTION("GOOGLETRANSLATE(B10752,""en"",""fr"")"),"Les élèves courent autour du périmètre du gymnase vers différentes stations.")</f>
        <v>Les élèves courent autour du périmètre du gymnase vers différentes stations.</v>
      </c>
    </row>
    <row r="10753">
      <c r="A10753" s="4" t="s">
        <v>13511</v>
      </c>
      <c r="B10753" s="4" t="s">
        <v>13519</v>
      </c>
      <c r="C10753" s="5" t="str">
        <f>IFERROR(__xludf.DUMMYFUNCTION("GOOGLETRANSLATE(B10753,""en"",""fr"")"),"Un étudiant portant un chapeau est assis sur le banc et a l'air malade.")</f>
        <v>Un étudiant portant un chapeau est assis sur le banc et a l'air malade.</v>
      </c>
    </row>
    <row r="10754">
      <c r="A10754" s="4" t="s">
        <v>13511</v>
      </c>
      <c r="B10754" s="4" t="s">
        <v>13520</v>
      </c>
      <c r="C10754" s="5" t="str">
        <f>IFERROR(__xludf.DUMMYFUNCTION("GOOGLETRANSLATE(B10754,""en"",""fr"")"),"Une page animée montre des crédits pour la vidéo.")</f>
        <v>Une page animée montre des crédits pour la vidéo.</v>
      </c>
    </row>
    <row r="10755">
      <c r="A10755" s="4" t="s">
        <v>13521</v>
      </c>
      <c r="B10755" s="4" t="s">
        <v>13522</v>
      </c>
      <c r="C10755" s="5" t="str">
        <f>IFERROR(__xludf.DUMMYFUNCTION("GOOGLETRANSLATE(B10755,""en"",""fr"")"),"Une fille fait compétitionner en gymnastique contre les juges tandis que les spectateurs observent depuis les gradins.")</f>
        <v>Une fille fait compétitionner en gymnastique contre les juges tandis que les spectateurs observent depuis les gradins.</v>
      </c>
    </row>
    <row r="10756">
      <c r="A10756" s="4" t="s">
        <v>13521</v>
      </c>
      <c r="B10756" s="4" t="s">
        <v>13523</v>
      </c>
      <c r="C10756" s="5" t="str">
        <f>IFERROR(__xludf.DUMMYFUNCTION("GOOGLETRANSLATE(B10756,""en"",""fr"")"),"L'approche de gymnaste de ses entraîneurs pour parler, puis ils partent.")</f>
        <v>L'approche de gymnaste de ses entraîneurs pour parler, puis ils partent.</v>
      </c>
    </row>
    <row r="10757">
      <c r="A10757" s="4" t="s">
        <v>13521</v>
      </c>
      <c r="B10757" s="4" t="s">
        <v>13524</v>
      </c>
      <c r="C10757" s="5" t="str">
        <f>IFERROR(__xludf.DUMMYFUNCTION("GOOGLETRANSLATE(B10757,""en"",""fr"")"),"Après, le flash-back de la performance de la gymnaste est le spectacle.")</f>
        <v>Après, le flash-back de la performance de la gymnaste est le spectacle.</v>
      </c>
    </row>
    <row r="10758">
      <c r="A10758" s="4" t="s">
        <v>13525</v>
      </c>
      <c r="B10758" s="4" t="s">
        <v>13526</v>
      </c>
      <c r="C10758" s="5" t="str">
        <f>IFERROR(__xludf.DUMMYFUNCTION("GOOGLETRANSLATE(B10758,""en"",""fr"")"),"Un grand groupe de personnes se déplace dans une pièce effectuant une routine d'exercice.")</f>
        <v>Un grand groupe de personnes se déplace dans une pièce effectuant une routine d'exercice.</v>
      </c>
    </row>
    <row r="10759">
      <c r="A10759" s="4" t="s">
        <v>13525</v>
      </c>
      <c r="B10759" s="6" t="s">
        <v>13527</v>
      </c>
      <c r="C10759" s="5" t="str">
        <f>IFERROR(__xludf.DUMMYFUNCTION("GOOGLETRANSLATE(B10759,""en"",""fr"")"),"Les gens se déplacent de haut en bas sur les poutres tout en déplaçant leurs bras et une femme menant devant.")</f>
        <v>Les gens se déplacent de haut en bas sur les poutres tout en déplaçant leurs bras et une femme menant devant.</v>
      </c>
    </row>
    <row r="10760">
      <c r="A10760" s="4" t="s">
        <v>13525</v>
      </c>
      <c r="B10760" s="4" t="s">
        <v>13528</v>
      </c>
      <c r="C10760" s="5" t="str">
        <f>IFERROR(__xludf.DUMMYFUNCTION("GOOGLETRANSLATE(B10760,""en"",""fr"")"),"Le groupe continue de danser les uns avec les autres et se termine en tenant une pose.")</f>
        <v>Le groupe continue de danser les uns avec les autres et se termine en tenant une pose.</v>
      </c>
    </row>
    <row r="10761">
      <c r="A10761" s="4" t="s">
        <v>13529</v>
      </c>
      <c r="B10761" s="4" t="s">
        <v>13530</v>
      </c>
      <c r="C10761" s="5" t="str">
        <f>IFERROR(__xludf.DUMMYFUNCTION("GOOGLETRANSLATE(B10761,""en"",""fr"")"),"Un bébé en chapeau est assis sur une chaise.")</f>
        <v>Un bébé en chapeau est assis sur une chaise.</v>
      </c>
    </row>
    <row r="10762">
      <c r="A10762" s="4" t="s">
        <v>13529</v>
      </c>
      <c r="B10762" s="4" t="s">
        <v>13531</v>
      </c>
      <c r="C10762" s="5" t="str">
        <f>IFERROR(__xludf.DUMMYFUNCTION("GOOGLETRANSLATE(B10762,""en"",""fr"")"),"Un homme tient le bébé jouant avec une balle.")</f>
        <v>Un homme tient le bébé jouant avec une balle.</v>
      </c>
    </row>
    <row r="10763">
      <c r="A10763" s="4" t="s">
        <v>13529</v>
      </c>
      <c r="B10763" s="4" t="s">
        <v>13532</v>
      </c>
      <c r="C10763" s="5" t="str">
        <f>IFERROR(__xludf.DUMMYFUNCTION("GOOGLETRANSLATE(B10763,""en"",""fr"")"),"Un bébé dort sur un canapé.")</f>
        <v>Un bébé dort sur un canapé.</v>
      </c>
    </row>
    <row r="10764">
      <c r="A10764" s="4" t="s">
        <v>13533</v>
      </c>
      <c r="B10764" s="4" t="s">
        <v>13534</v>
      </c>
      <c r="C10764" s="5" t="str">
        <f>IFERROR(__xludf.DUMMYFUNCTION("GOOGLETRANSLATE(B10764,""en"",""fr"")"),"Nous voyons les écrans de titre de la vidéo.")</f>
        <v>Nous voyons les écrans de titre de la vidéo.</v>
      </c>
    </row>
    <row r="10765">
      <c r="A10765" s="4" t="s">
        <v>13533</v>
      </c>
      <c r="B10765" s="4" t="s">
        <v>13535</v>
      </c>
      <c r="C10765" s="5" t="str">
        <f>IFERROR(__xludf.DUMMYFUNCTION("GOOGLETRANSLATE(B10765,""en"",""fr"")"),"Nous voyons une personne skier.")</f>
        <v>Nous voyons une personne skier.</v>
      </c>
    </row>
    <row r="10766">
      <c r="A10766" s="4" t="s">
        <v>13533</v>
      </c>
      <c r="B10766" s="4" t="s">
        <v>13536</v>
      </c>
      <c r="C10766" s="5" t="str">
        <f>IFERROR(__xludf.DUMMYFUNCTION("GOOGLETRANSLATE(B10766,""en"",""fr"")"),"Nous passons à un atelier et à une liste d'outils.")</f>
        <v>Nous passons à un atelier et à une liste d'outils.</v>
      </c>
    </row>
    <row r="10767">
      <c r="A10767" s="4" t="s">
        <v>13533</v>
      </c>
      <c r="B10767" s="4" t="s">
        <v>13537</v>
      </c>
      <c r="C10767" s="5" t="str">
        <f>IFERROR(__xludf.DUMMYFUNCTION("GOOGLETRANSLATE(B10767,""en"",""fr"")"),"Nous voyons qu'un homme ajoute un groupe sur un ski et le ski se trouve sur un engin.")</f>
        <v>Nous voyons qu'un homme ajoute un groupe sur un ski et le ski se trouve sur un engin.</v>
      </c>
    </row>
    <row r="10768">
      <c r="A10768" s="4" t="s">
        <v>13533</v>
      </c>
      <c r="B10768" s="4" t="s">
        <v>13538</v>
      </c>
      <c r="C10768" s="5" t="str">
        <f>IFERROR(__xludf.DUMMYFUNCTION("GOOGLETRANSLATE(B10768,""en"",""fr"")"),"Un homme brosse et frotte le ski.")</f>
        <v>Un homme brosse et frotte le ski.</v>
      </c>
    </row>
    <row r="10769">
      <c r="A10769" s="4" t="s">
        <v>13533</v>
      </c>
      <c r="B10769" s="4" t="s">
        <v>13539</v>
      </c>
      <c r="C10769" s="5" t="str">
        <f>IFERROR(__xludf.DUMMYFUNCTION("GOOGLETRANSLATE(B10769,""en"",""fr"")"),"Nous voyons de la cire colorée et un homme qui tourne un cadran.")</f>
        <v>Nous voyons de la cire colorée et un homme qui tourne un cadran.</v>
      </c>
    </row>
    <row r="10770">
      <c r="A10770" s="4" t="s">
        <v>13533</v>
      </c>
      <c r="B10770" s="4" t="s">
        <v>13540</v>
      </c>
      <c r="C10770" s="5" t="str">
        <f>IFERROR(__xludf.DUMMYFUNCTION("GOOGLETRANSLATE(B10770,""en"",""fr"")"),"L'homme verse de la cire et nous recevons des instructions avant de refermer la cire sur le ski.")</f>
        <v>L'homme verse de la cire et nous recevons des instructions avant de refermer la cire sur le ski.</v>
      </c>
    </row>
    <row r="10771">
      <c r="A10771" s="4" t="s">
        <v>13533</v>
      </c>
      <c r="B10771" s="4" t="s">
        <v>13541</v>
      </c>
      <c r="C10771" s="5" t="str">
        <f>IFERROR(__xludf.DUMMYFUNCTION("GOOGLETRANSLATE(B10771,""en"",""fr"")"),"L'homme gratte la cire et brosse le ski.")</f>
        <v>L'homme gratte la cire et brosse le ski.</v>
      </c>
    </row>
    <row r="10772">
      <c r="A10772" s="4" t="s">
        <v>13533</v>
      </c>
      <c r="B10772" s="4" t="s">
        <v>13542</v>
      </c>
      <c r="C10772" s="5" t="str">
        <f>IFERROR(__xludf.DUMMYFUNCTION("GOOGLETRANSLATE(B10772,""en"",""fr"")"),"Nous obtenons un fait de ski et la carte de fin vidéo s'affiche.")</f>
        <v>Nous obtenons un fait de ski et la carte de fin vidéo s'affiche.</v>
      </c>
    </row>
    <row r="10773">
      <c r="A10773" s="4" t="s">
        <v>13543</v>
      </c>
      <c r="B10773" s="4" t="s">
        <v>13544</v>
      </c>
      <c r="C10773" s="5" t="str">
        <f>IFERROR(__xludf.DUMMYFUNCTION("GOOGLETRANSLATE(B10773,""en"",""fr"")"),"Une personne est vue en train de jeter un frisbee au loin et un chien qui la poursuit.")</f>
        <v>Une personne est vue en train de jeter un frisbee au loin et un chien qui la poursuit.</v>
      </c>
    </row>
    <row r="10774">
      <c r="A10774" s="4" t="s">
        <v>13543</v>
      </c>
      <c r="B10774" s="4" t="s">
        <v>13545</v>
      </c>
      <c r="C10774" s="5" t="str">
        <f>IFERROR(__xludf.DUMMYFUNCTION("GOOGLETRANSLATE(B10774,""en"",""fr"")"),"Plusieurs coups de feu sont montrés des chiens qui courent après Frisbees après que leur propriétaire les ait lancés.")</f>
        <v>Plusieurs coups de feu sont montrés des chiens qui courent après Frisbees après que leur propriétaire les ait lancés.</v>
      </c>
    </row>
    <row r="10775">
      <c r="A10775" s="4" t="s">
        <v>13543</v>
      </c>
      <c r="B10775" s="4" t="s">
        <v>13546</v>
      </c>
      <c r="C10775" s="5" t="str">
        <f>IFERROR(__xludf.DUMMYFUNCTION("GOOGLETRANSLATE(B10775,""en"",""fr"")"),"Plus de chiens sont vus chasser après les Frisbees pendant que le propriétaire regarde par derrière.")</f>
        <v>Plus de chiens sont vus chasser après les Frisbees pendant que le propriétaire regarde par derrière.</v>
      </c>
    </row>
    <row r="10776">
      <c r="A10776" s="4" t="s">
        <v>13547</v>
      </c>
      <c r="B10776" s="6" t="s">
        <v>13548</v>
      </c>
      <c r="C10776" s="5" t="str">
        <f>IFERROR(__xludf.DUMMYFUNCTION("GOOGLETRANSLATE(B10776,""en"",""fr"")"),"Un groupe d'entraîneurs, de gymnastes et de parents se tiendra et s'asseyent autour d'une salle de sport tandis que quelques-uns des gymnastes se produisent ou s'entraînent.")</f>
        <v>Un groupe d'entraîneurs, de gymnastes et de parents se tiendra et s'asseyent autour d'une salle de sport tandis que quelques-uns des gymnastes se produisent ou s'entraînent.</v>
      </c>
    </row>
    <row r="10777">
      <c r="A10777" s="4" t="s">
        <v>13547</v>
      </c>
      <c r="B10777" s="4" t="s">
        <v>13549</v>
      </c>
      <c r="C10777" s="5" t="str">
        <f>IFERROR(__xludf.DUMMYFUNCTION("GOOGLETRANSLATE(B10777,""en"",""fr"")"),"Une jeune fille en violet fait une routine de faisceau d'équilibre.")</f>
        <v>Une jeune fille en violet fait une routine de faisceau d'équilibre.</v>
      </c>
    </row>
    <row r="10778">
      <c r="A10778" s="4" t="s">
        <v>13547</v>
      </c>
      <c r="B10778" s="4" t="s">
        <v>13550</v>
      </c>
      <c r="C10778" s="5" t="str">
        <f>IFERROR(__xludf.DUMMYFUNCTION("GOOGLETRANSLATE(B10778,""en"",""fr"")"),"Une fille à l'arrière-plan fait une routine de plancher.")</f>
        <v>Une fille à l'arrière-plan fait une routine de plancher.</v>
      </c>
    </row>
    <row r="10779">
      <c r="A10779" s="4" t="s">
        <v>13547</v>
      </c>
      <c r="B10779" s="6" t="s">
        <v>13551</v>
      </c>
      <c r="C10779" s="5" t="str">
        <f>IFERROR(__xludf.DUMMYFUNCTION("GOOGLETRANSLATE(B10779,""en"",""fr"")"),"Lorsque la routine du sol se termine, la foule applaudit tous et plusieurs jeunes gymnastes se lèvent et se promènent.")</f>
        <v>Lorsque la routine du sol se termine, la foule applaudit tous et plusieurs jeunes gymnastes se lèvent et se promènent.</v>
      </c>
    </row>
    <row r="10780">
      <c r="A10780" s="4" t="s">
        <v>13547</v>
      </c>
      <c r="B10780" s="4" t="s">
        <v>13552</v>
      </c>
      <c r="C10780" s="5" t="str">
        <f>IFERROR(__xludf.DUMMYFUNCTION("GOOGLETRANSLATE(B10780,""en"",""fr"")"),"Une femme a un signe qui dit 965.")</f>
        <v>Une femme a un signe qui dit 965.</v>
      </c>
    </row>
    <row r="10781">
      <c r="A10781" s="4" t="s">
        <v>13547</v>
      </c>
      <c r="B10781" s="4" t="s">
        <v>13553</v>
      </c>
      <c r="C10781" s="5" t="str">
        <f>IFERROR(__xludf.DUMMYFUNCTION("GOOGLETRANSLATE(B10781,""en"",""fr"")"),"La fille sur la poutre d'équilibre met fin à sa routine et marche et embrasse une femme en violet.")</f>
        <v>La fille sur la poutre d'équilibre met fin à sa routine et marche et embrasse une femme en violet.</v>
      </c>
    </row>
    <row r="10782">
      <c r="A10782" s="4" t="s">
        <v>13554</v>
      </c>
      <c r="B10782" s="4" t="s">
        <v>13555</v>
      </c>
      <c r="C10782" s="5" t="str">
        <f>IFERROR(__xludf.DUMMYFUNCTION("GOOGLETRANSLATE(B10782,""en"",""fr"")"),"Un homme saute sur les barres et commence à se balancer dessus.")</f>
        <v>Un homme saute sur les barres et commence à se balancer dessus.</v>
      </c>
    </row>
    <row r="10783">
      <c r="A10783" s="4" t="s">
        <v>13554</v>
      </c>
      <c r="B10783" s="4" t="s">
        <v>13556</v>
      </c>
      <c r="C10783" s="5" t="str">
        <f>IFERROR(__xludf.DUMMYFUNCTION("GOOGLETRANSLATE(B10783,""en"",""fr"")"),"Il fait un retournement et atterrit sur un tapis.")</f>
        <v>Il fait un retournement et atterrit sur un tapis.</v>
      </c>
    </row>
    <row r="10784">
      <c r="A10784" s="4" t="s">
        <v>13557</v>
      </c>
      <c r="B10784" s="4" t="s">
        <v>13558</v>
      </c>
      <c r="C10784" s="5" t="str">
        <f>IFERROR(__xludf.DUMMYFUNCTION("GOOGLETRANSLATE(B10784,""en"",""fr"")"),"Un procession médical met un appareil et une aiguille au visage de quelqu'un.")</f>
        <v>Un procession médical met un appareil et une aiguille au visage de quelqu'un.</v>
      </c>
    </row>
    <row r="10785">
      <c r="A10785" s="4" t="s">
        <v>13557</v>
      </c>
      <c r="B10785" s="4" t="s">
        <v>13559</v>
      </c>
      <c r="C10785" s="5" t="str">
        <f>IFERROR(__xludf.DUMMYFUNCTION("GOOGLETRANSLATE(B10785,""en"",""fr"")"),"C'est en fait un piercing.")</f>
        <v>C'est en fait un piercing.</v>
      </c>
    </row>
    <row r="10786">
      <c r="A10786" s="4" t="s">
        <v>13557</v>
      </c>
      <c r="B10786" s="4" t="s">
        <v>13560</v>
      </c>
      <c r="C10786" s="5" t="str">
        <f>IFERROR(__xludf.DUMMYFUNCTION("GOOGLETRANSLATE(B10786,""en"",""fr"")"),"Il le nettoie et puis elle se lève.")</f>
        <v>Il le nettoie et puis elle se lève.</v>
      </c>
    </row>
    <row r="10787">
      <c r="A10787" s="4" t="s">
        <v>13561</v>
      </c>
      <c r="B10787" s="6" t="s">
        <v>13562</v>
      </c>
      <c r="C10787" s="5" t="str">
        <f>IFERROR(__xludf.DUMMYFUNCTION("GOOGLETRANSLATE(B10787,""en"",""fr"")"),"Un groupe de photographes prend des photos alors qu'un ascenseur se présente sur scène et prépare ses mains.")</f>
        <v>Un groupe de photographes prend des photos alors qu'un ascenseur se présente sur scène et prépare ses mains.</v>
      </c>
    </row>
    <row r="10788">
      <c r="A10788" s="4" t="s">
        <v>13561</v>
      </c>
      <c r="B10788" s="4" t="s">
        <v>13563</v>
      </c>
      <c r="C10788" s="5" t="str">
        <f>IFERROR(__xludf.DUMMYFUNCTION("GOOGLETRANSLATE(B10788,""en"",""fr"")"),"Il soulève une haltère aux genoux, puis s'arrête à sa poitrine.")</f>
        <v>Il soulève une haltère aux genoux, puis s'arrête à sa poitrine.</v>
      </c>
    </row>
    <row r="10789">
      <c r="A10789" s="4" t="s">
        <v>13561</v>
      </c>
      <c r="B10789" s="4" t="s">
        <v>13564</v>
      </c>
      <c r="C10789" s="5" t="str">
        <f>IFERROR(__xludf.DUMMYFUNCTION("GOOGLETRANSLATE(B10789,""en"",""fr"")"),"Il soulève l'haltère au-dessus de sa tête avant de le renvoyer au sol.")</f>
        <v>Il soulève l'haltère au-dessus de sa tête avant de le renvoyer au sol.</v>
      </c>
    </row>
    <row r="10790">
      <c r="A10790" s="4" t="s">
        <v>13565</v>
      </c>
      <c r="B10790" s="4" t="s">
        <v>13566</v>
      </c>
      <c r="C10790" s="5" t="str">
        <f>IFERROR(__xludf.DUMMYFUNCTION("GOOGLETRANSLATE(B10790,""en"",""fr"")"),"Un plateau avec des boissons au limonade se trouve sur un comptoir.")</f>
        <v>Un plateau avec des boissons au limonade se trouve sur un comptoir.</v>
      </c>
    </row>
    <row r="10791">
      <c r="A10791" s="4" t="s">
        <v>13565</v>
      </c>
      <c r="B10791" s="4" t="s">
        <v>13567</v>
      </c>
      <c r="C10791" s="5" t="str">
        <f>IFERROR(__xludf.DUMMYFUNCTION("GOOGLETRANSLATE(B10791,""en"",""fr"")"),"Une femme serre un citron.")</f>
        <v>Une femme serre un citron.</v>
      </c>
    </row>
    <row r="10792">
      <c r="A10792" s="4" t="s">
        <v>13565</v>
      </c>
      <c r="B10792" s="4" t="s">
        <v>13568</v>
      </c>
      <c r="C10792" s="5" t="str">
        <f>IFERROR(__xludf.DUMMYFUNCTION("GOOGLETRANSLATE(B10792,""en"",""fr"")"),"Elle ajoute du sucre à un grand pichet.")</f>
        <v>Elle ajoute du sucre à un grand pichet.</v>
      </c>
    </row>
    <row r="10793">
      <c r="A10793" s="4" t="s">
        <v>13565</v>
      </c>
      <c r="B10793" s="4" t="s">
        <v>13569</v>
      </c>
      <c r="C10793" s="5" t="str">
        <f>IFERROR(__xludf.DUMMYFUNCTION("GOOGLETRANSLATE(B10793,""en"",""fr"")"),"Elle remue le sucre avec une grande cuillère en bois.")</f>
        <v>Elle remue le sucre avec une grande cuillère en bois.</v>
      </c>
    </row>
    <row r="10794">
      <c r="A10794" s="4" t="s">
        <v>13565</v>
      </c>
      <c r="B10794" s="4" t="s">
        <v>13570</v>
      </c>
      <c r="C10794" s="5" t="str">
        <f>IFERROR(__xludf.DUMMYFUNCTION("GOOGLETRANSLATE(B10794,""en"",""fr"")"),"Elle continue d'ajouter de l'eau au pichet afin de diluer.")</f>
        <v>Elle continue d'ajouter de l'eau au pichet afin de diluer.</v>
      </c>
    </row>
    <row r="10795">
      <c r="A10795" s="4" t="s">
        <v>13565</v>
      </c>
      <c r="B10795" s="4" t="s">
        <v>13571</v>
      </c>
      <c r="C10795" s="5" t="str">
        <f>IFERROR(__xludf.DUMMYFUNCTION("GOOGLETRANSLATE(B10795,""en"",""fr"")"),"Ensuite, elle ajoute plus de sucre au pichet.")</f>
        <v>Ensuite, elle ajoute plus de sucre au pichet.</v>
      </c>
    </row>
    <row r="10796">
      <c r="A10796" s="4" t="s">
        <v>13565</v>
      </c>
      <c r="B10796" s="4" t="s">
        <v>13572</v>
      </c>
      <c r="C10796" s="5" t="str">
        <f>IFERROR(__xludf.DUMMYFUNCTION("GOOGLETRANSLATE(B10796,""en"",""fr"")"),"Elle verse la limonade finie dans une tasse.")</f>
        <v>Elle verse la limonade finie dans une tasse.</v>
      </c>
    </row>
    <row r="10797">
      <c r="A10797" s="4" t="s">
        <v>13565</v>
      </c>
      <c r="B10797" s="4" t="s">
        <v>13573</v>
      </c>
      <c r="C10797" s="5" t="str">
        <f>IFERROR(__xludf.DUMMYFUNCTION("GOOGLETRANSLATE(B10797,""en"",""fr"")"),"Les étapes de la création de limonade sont à nouveau présentées.")</f>
        <v>Les étapes de la création de limonade sont à nouveau présentées.</v>
      </c>
    </row>
    <row r="10798">
      <c r="A10798" s="4" t="s">
        <v>13574</v>
      </c>
      <c r="B10798" s="6" t="s">
        <v>13575</v>
      </c>
      <c r="C10798" s="5" t="str">
        <f>IFERROR(__xludf.DUMMYFUNCTION("GOOGLETRANSLATE(B10798,""en"",""fr"")"),"Un groupe de personnes tenant des planches à roulettes se tiendra sur la ligne de départ, puis des planches de skate sur la route.")</f>
        <v>Un groupe de personnes tenant des planches à roulettes se tiendra sur la ligne de départ, puis des planches de skate sur la route.</v>
      </c>
    </row>
    <row r="10799">
      <c r="A10799" s="4" t="s">
        <v>13574</v>
      </c>
      <c r="B10799" s="4" t="s">
        <v>13576</v>
      </c>
      <c r="C10799" s="5" t="str">
        <f>IFERROR(__xludf.DUMMYFUNCTION("GOOGLETRANSLATE(B10799,""en"",""fr"")"),"Ils entrent dans un bus scolaire, puis, ils skateboard sur la route.")</f>
        <v>Ils entrent dans un bus scolaire, puis, ils skateboard sur la route.</v>
      </c>
    </row>
    <row r="10800">
      <c r="A10800" s="4" t="s">
        <v>13574</v>
      </c>
      <c r="B10800" s="4" t="s">
        <v>13577</v>
      </c>
      <c r="C10800" s="5" t="str">
        <f>IFERROR(__xludf.DUMMYFUNCTION("GOOGLETRANSLATE(B10800,""en"",""fr"")"),"Un garçon tombe par terre et d'autres personnes continuent de skateboard.")</f>
        <v>Un garçon tombe par terre et d'autres personnes continuent de skateboard.</v>
      </c>
    </row>
    <row r="10801">
      <c r="A10801" s="4" t="s">
        <v>13574</v>
      </c>
      <c r="B10801" s="4" t="s">
        <v>13578</v>
      </c>
      <c r="C10801" s="5" t="str">
        <f>IFERROR(__xludf.DUMMYFUNCTION("GOOGLETRANSLATE(B10801,""en"",""fr"")"),"Deux, les gens tombent sur la route.")</f>
        <v>Deux, les gens tombent sur la route.</v>
      </c>
    </row>
    <row r="10802">
      <c r="A10802" s="4" t="s">
        <v>13574</v>
      </c>
      <c r="B10802" s="6" t="s">
        <v>13579</v>
      </c>
      <c r="C10802" s="5" t="str">
        <f>IFERROR(__xludf.DUMMYFUNCTION("GOOGLETRANSLATE(B10802,""en"",""fr"")"),"Après, un homme donne le début aux personnes qui skateboard sur la route jusqu'à atteindre la ligne d'arrivée pour recevoir leurs trophées.")</f>
        <v>Après, un homme donne le début aux personnes qui skateboard sur la route jusqu'à atteindre la ligne d'arrivée pour recevoir leurs trophées.</v>
      </c>
    </row>
    <row r="10803">
      <c r="A10803" s="4" t="s">
        <v>13574</v>
      </c>
      <c r="B10803" s="4" t="s">
        <v>13580</v>
      </c>
      <c r="C10803" s="5" t="str">
        <f>IFERROR(__xludf.DUMMYFUNCTION("GOOGLETRANSLATE(B10803,""en"",""fr"")"),"Une personne de skateboard sautant sur une rampe.")</f>
        <v>Une personne de skateboard sautant sur une rampe.</v>
      </c>
    </row>
    <row r="10804">
      <c r="A10804" s="4" t="s">
        <v>13581</v>
      </c>
      <c r="B10804" s="4" t="s">
        <v>13582</v>
      </c>
      <c r="C10804" s="5" t="str">
        <f>IFERROR(__xludf.DUMMYFUNCTION("GOOGLETRANSLATE(B10804,""en"",""fr"")"),"Une femme sourit avant de traîner sur une colline sur une intertube.")</f>
        <v>Une femme sourit avant de traîner sur une colline sur une intertube.</v>
      </c>
    </row>
    <row r="10805">
      <c r="A10805" s="4" t="s">
        <v>13581</v>
      </c>
      <c r="B10805" s="4" t="s">
        <v>13583</v>
      </c>
      <c r="C10805" s="5" t="str">
        <f>IFERROR(__xludf.DUMMYFUNCTION("GOOGLETRANSLATE(B10805,""en"",""fr"")"),"Elle rit et fait signe à la caméra en descendant la colline.")</f>
        <v>Elle rit et fait signe à la caméra en descendant la colline.</v>
      </c>
    </row>
    <row r="10806">
      <c r="A10806" s="4" t="s">
        <v>13581</v>
      </c>
      <c r="B10806" s="4" t="s">
        <v>13584</v>
      </c>
      <c r="C10806" s="5" t="str">
        <f>IFERROR(__xludf.DUMMYFUNCTION("GOOGLETRANSLATE(B10806,""en"",""fr"")"),"Plusieurs personnes sont ensuite montrées de la luge ensemble avant de s'arrêter sur une pente enneigée.")</f>
        <v>Plusieurs personnes sont ensuite montrées de la luge ensemble avant de s'arrêter sur une pente enneigée.</v>
      </c>
    </row>
    <row r="10807">
      <c r="A10807" s="4" t="s">
        <v>13585</v>
      </c>
      <c r="B10807" s="4" t="s">
        <v>13586</v>
      </c>
      <c r="C10807" s="5" t="str">
        <f>IFERROR(__xludf.DUMMYFUNCTION("GOOGLETRANSLATE(B10807,""en"",""fr"")"),"Un grand groupe de personnes est montré en nageant dans une piscine jouant du water-polo.")</f>
        <v>Un grand groupe de personnes est montré en nageant dans une piscine jouant du water-polo.</v>
      </c>
    </row>
    <row r="10808">
      <c r="A10808" s="4" t="s">
        <v>13585</v>
      </c>
      <c r="B10808" s="6" t="s">
        <v>13587</v>
      </c>
      <c r="C10808" s="5" t="str">
        <f>IFERROR(__xludf.DUMMYFUNCTION("GOOGLETRANSLATE(B10808,""en"",""fr"")"),"Le match continue avec des gens qui passent le ballon autour de la piscine tandis que beaucoup sont assis le long de la touche et regardent.")</f>
        <v>Le match continue avec des gens qui passent le ballon autour de la piscine tandis que beaucoup sont assis le long de la touche et regardent.</v>
      </c>
    </row>
    <row r="10809">
      <c r="A10809" s="4" t="s">
        <v>13588</v>
      </c>
      <c r="B10809" s="6" t="s">
        <v>13589</v>
      </c>
      <c r="C10809" s="5" t="str">
        <f>IFERROR(__xludf.DUMMYFUNCTION("GOOGLETRANSLATE(B10809,""en"",""fr"")"),"Un homme dans un terrain de basket en plein air explique comment faire des exercices de lay-up avec les deux bras, exagérés, sournois, droite et gauche de la main gauche avec deux étapes.")</f>
        <v>Un homme dans un terrain de basket en plein air explique comment faire des exercices de lay-up avec les deux bras, exagérés, sournois, droite et gauche de la main gauche avec deux étapes.</v>
      </c>
    </row>
    <row r="10810">
      <c r="A10810" s="4" t="s">
        <v>13588</v>
      </c>
      <c r="B10810" s="6" t="s">
        <v>13590</v>
      </c>
      <c r="C10810" s="5" t="str">
        <f>IFERROR(__xludf.DUMMYFUNCTION("GOOGLETRANSLATE(B10810,""en"",""fr"")"),"Il se rend ensuite aux marques de hachage sur le terrain et montre diverses variations d'un lay-up à partir de diverses distances et comment faire les exercices de pratique.")</f>
        <v>Il se rend ensuite aux marques de hachage sur le terrain et montre diverses variations d'un lay-up à partir de diverses distances et comment faire les exercices de pratique.</v>
      </c>
    </row>
    <row r="10811">
      <c r="A10811" s="4" t="s">
        <v>13588</v>
      </c>
      <c r="B10811" s="4" t="s">
        <v>13591</v>
      </c>
      <c r="C10811" s="5" t="str">
        <f>IFERROR(__xludf.DUMMYFUNCTION("GOOGLETRANSLATE(B10811,""en"",""fr"")"),"Il revient ensuite à la caméra et explique ce qu'il a fait.")</f>
        <v>Il revient ensuite à la caméra et explique ce qu'il a fait.</v>
      </c>
    </row>
    <row r="10812">
      <c r="A10812" s="4" t="s">
        <v>13592</v>
      </c>
      <c r="B10812" s="4" t="s">
        <v>13593</v>
      </c>
      <c r="C10812" s="5" t="str">
        <f>IFERROR(__xludf.DUMMYFUNCTION("GOOGLETRANSLATE(B10812,""en"",""fr"")"),"Un homme joue l'accordéon sur une scène devant un stand de musique tout en portant une veste de costume rouge.")</f>
        <v>Un homme joue l'accordéon sur une scène devant un stand de musique tout en portant une veste de costume rouge.</v>
      </c>
    </row>
    <row r="10813">
      <c r="A10813" s="4" t="s">
        <v>13592</v>
      </c>
      <c r="B10813" s="4" t="s">
        <v>13594</v>
      </c>
      <c r="C10813" s="5" t="str">
        <f>IFERROR(__xludf.DUMMYFUNCTION("GOOGLETRANSLATE(B10813,""en"",""fr"")"),"Un homme est assis sur une chaise sur une scène et joue l'accordéon devant une musique.")</f>
        <v>Un homme est assis sur une chaise sur une scène et joue l'accordéon devant une musique.</v>
      </c>
    </row>
    <row r="10814">
      <c r="A10814" s="4" t="s">
        <v>13592</v>
      </c>
      <c r="B10814" s="6" t="s">
        <v>13595</v>
      </c>
      <c r="C10814" s="5" t="str">
        <f>IFERROR(__xludf.DUMMYFUNCTION("GOOGLETRANSLATE(B10814,""en"",""fr"")"),"L'homme coule les doigts de haut en bas des clés et ouvre l'accordéon et fermé avec des mains libres avant de mettre fin à la performance et de se frotter les cheveux avec sa main.")</f>
        <v>L'homme coule les doigts de haut en bas des clés et ouvre l'accordéon et fermé avec des mains libres avant de mettre fin à la performance et de se frotter les cheveux avec sa main.</v>
      </c>
    </row>
    <row r="10815">
      <c r="A10815" s="4" t="s">
        <v>13596</v>
      </c>
      <c r="B10815" s="4" t="s">
        <v>13597</v>
      </c>
      <c r="C10815" s="5" t="str">
        <f>IFERROR(__xludf.DUMMYFUNCTION("GOOGLETRANSLATE(B10815,""en"",""fr"")"),"Un homme saute dans les bars parallèles et fait une routine de gymnastique.")</f>
        <v>Un homme saute dans les bars parallèles et fait une routine de gymnastique.</v>
      </c>
    </row>
    <row r="10816">
      <c r="A10816" s="4" t="s">
        <v>13596</v>
      </c>
      <c r="B10816" s="4" t="s">
        <v>13598</v>
      </c>
      <c r="C10816" s="5" t="str">
        <f>IFERROR(__xludf.DUMMYFUNCTION("GOOGLETRANSLATE(B10816,""en"",""fr"")"),"Le public le regarde dans les tribunes.")</f>
        <v>Le public le regarde dans les tribunes.</v>
      </c>
    </row>
    <row r="10817">
      <c r="A10817" s="4" t="s">
        <v>13596</v>
      </c>
      <c r="B10817" s="4" t="s">
        <v>13599</v>
      </c>
      <c r="C10817" s="5" t="str">
        <f>IFERROR(__xludf.DUMMYFUNCTION("GOOGLETRANSLATE(B10817,""en"",""fr"")"),"Il saute et atterrit sur le tapis, les mains levées.")</f>
        <v>Il saute et atterrit sur le tapis, les mains levées.</v>
      </c>
    </row>
    <row r="10818">
      <c r="A10818" s="4" t="s">
        <v>13600</v>
      </c>
      <c r="B10818" s="4" t="s">
        <v>13601</v>
      </c>
      <c r="C10818" s="5" t="str">
        <f>IFERROR(__xludf.DUMMYFUNCTION("GOOGLETRANSLATE(B10818,""en"",""fr"")"),"Une gymnaste est vue debout prête et agite un bras en l'air.")</f>
        <v>Une gymnaste est vue debout prête et agite un bras en l'air.</v>
      </c>
    </row>
    <row r="10819">
      <c r="A10819" s="4" t="s">
        <v>13600</v>
      </c>
      <c r="B10819" s="6" t="s">
        <v>13602</v>
      </c>
      <c r="C10819" s="5" t="str">
        <f>IFERROR(__xludf.DUMMYFUNCTION("GOOGLETRANSLATE(B10819,""en"",""fr"")"),"Elle saute sur un ensemble de barres inégales et effectue une routine de gymnastique composée de flips et de tours.")</f>
        <v>Elle saute sur un ensemble de barres inégales et effectue une routine de gymnastique composée de flips et de tours.</v>
      </c>
    </row>
    <row r="10820">
      <c r="A10820" s="4" t="s">
        <v>13600</v>
      </c>
      <c r="B10820" s="4" t="s">
        <v>13603</v>
      </c>
      <c r="C10820" s="5" t="str">
        <f>IFERROR(__xludf.DUMMYFUNCTION("GOOGLETRANSLATE(B10820,""en"",""fr"")"),"Elle saute des barreaux à la fin et agite ses bras en l'air tandis que son entraîneur frappe pour elle.")</f>
        <v>Elle saute des barreaux à la fin et agite ses bras en l'air tandis que son entraîneur frappe pour elle.</v>
      </c>
    </row>
    <row r="10821">
      <c r="A10821" s="4" t="s">
        <v>13604</v>
      </c>
      <c r="B10821" s="4" t="s">
        <v>13605</v>
      </c>
      <c r="C10821" s="5" t="str">
        <f>IFERROR(__xludf.DUMMYFUNCTION("GOOGLETRANSLATE(B10821,""en"",""fr"")"),"Les gars jouent au hockey sur une arène de glace.")</f>
        <v>Les gars jouent au hockey sur une arène de glace.</v>
      </c>
    </row>
    <row r="10822">
      <c r="A10822" s="4" t="s">
        <v>13604</v>
      </c>
      <c r="B10822" s="4" t="s">
        <v>13606</v>
      </c>
      <c r="C10822" s="5" t="str">
        <f>IFERROR(__xludf.DUMMYFUNCTION("GOOGLETRANSLATE(B10822,""en"",""fr"")"),"Certains joueurs sont disposés.")</f>
        <v>Certains joueurs sont disposés.</v>
      </c>
    </row>
    <row r="10823">
      <c r="A10823" s="4" t="s">
        <v>13604</v>
      </c>
      <c r="B10823" s="4" t="s">
        <v>13607</v>
      </c>
      <c r="C10823" s="5" t="str">
        <f>IFERROR(__xludf.DUMMYFUNCTION("GOOGLETRANSLATE(B10823,""en"",""fr"")"),"Un tas de joueurs allait sur un athlète tombé.")</f>
        <v>Un tas de joueurs allait sur un athlète tombé.</v>
      </c>
    </row>
    <row r="10824">
      <c r="A10824" s="4" t="s">
        <v>13604</v>
      </c>
      <c r="B10824" s="4" t="s">
        <v>13608</v>
      </c>
      <c r="C10824" s="5" t="str">
        <f>IFERROR(__xludf.DUMMYFUNCTION("GOOGLETRANSLATE(B10824,""en"",""fr"")"),"Un joueur est renversé sur la glace et son casque aussi.")</f>
        <v>Un joueur est renversé sur la glace et son casque aussi.</v>
      </c>
    </row>
    <row r="10825">
      <c r="A10825" s="4" t="s">
        <v>13604</v>
      </c>
      <c r="B10825" s="4" t="s">
        <v>13609</v>
      </c>
      <c r="C10825" s="5" t="str">
        <f>IFERROR(__xludf.DUMMYFUNCTION("GOOGLETRANSLATE(B10825,""en"",""fr"")"),"Un gars a une blessure à la tête et fait du sang sur la glace après sa chute.")</f>
        <v>Un gars a une blessure à la tête et fait du sang sur la glace après sa chute.</v>
      </c>
    </row>
    <row r="10826">
      <c r="A10826" s="4" t="s">
        <v>13610</v>
      </c>
      <c r="B10826" s="4" t="s">
        <v>13611</v>
      </c>
      <c r="C10826" s="5" t="str">
        <f>IFERROR(__xludf.DUMMYFUNCTION("GOOGLETRANSLATE(B10826,""en"",""fr"")"),"Une gymnaste est vue se penchant sur une longue barre avec une personne debout à côté d'elle sur le sol.")</f>
        <v>Une gymnaste est vue se penchant sur une longue barre avec une personne debout à côté d'elle sur le sol.</v>
      </c>
    </row>
    <row r="10827">
      <c r="A10827" s="4" t="s">
        <v>13610</v>
      </c>
      <c r="B10827" s="4" t="s">
        <v>13612</v>
      </c>
      <c r="C10827" s="5" t="str">
        <f>IFERROR(__xludf.DUMMYFUNCTION("GOOGLETRANSLATE(B10827,""en"",""fr"")"),"La fille se saute alors sur le faisceau.")</f>
        <v>La fille se saute alors sur le faisceau.</v>
      </c>
    </row>
    <row r="10828">
      <c r="A10828" s="4" t="s">
        <v>13610</v>
      </c>
      <c r="B10828" s="4" t="s">
        <v>13613</v>
      </c>
      <c r="C10828" s="5" t="str">
        <f>IFERROR(__xludf.DUMMYFUNCTION("GOOGLETRANSLATE(B10828,""en"",""fr"")"),"Enfin, la fille commence à se balancer.")</f>
        <v>Enfin, la fille commence à se balancer.</v>
      </c>
    </row>
    <row r="10829">
      <c r="A10829" s="4" t="s">
        <v>13614</v>
      </c>
      <c r="B10829" s="4" t="s">
        <v>13615</v>
      </c>
      <c r="C10829" s="5" t="str">
        <f>IFERROR(__xludf.DUMMYFUNCTION("GOOGLETRANSLATE(B10829,""en"",""fr"")"),"Un groupe se trouve dans une gare.")</f>
        <v>Un groupe se trouve dans une gare.</v>
      </c>
    </row>
    <row r="10830">
      <c r="A10830" s="4" t="s">
        <v>13614</v>
      </c>
      <c r="B10830" s="4" t="s">
        <v>13616</v>
      </c>
      <c r="C10830" s="5" t="str">
        <f>IFERROR(__xludf.DUMMYFUNCTION("GOOGLETRANSLATE(B10830,""en"",""fr"")"),"Un homme pelle de la neige du trottoir.")</f>
        <v>Un homme pelle de la neige du trottoir.</v>
      </c>
    </row>
    <row r="10831">
      <c r="A10831" s="4" t="s">
        <v>13614</v>
      </c>
      <c r="B10831" s="4" t="s">
        <v>13617</v>
      </c>
      <c r="C10831" s="5" t="str">
        <f>IFERROR(__xludf.DUMMYFUNCTION("GOOGLETRANSLATE(B10831,""en"",""fr"")"),"Un homme en fauteuil roulant descend sur un trottoir par une froide journée d'hiver.")</f>
        <v>Un homme en fauteuil roulant descend sur un trottoir par une froide journée d'hiver.</v>
      </c>
    </row>
    <row r="10832">
      <c r="A10832" s="4" t="s">
        <v>13614</v>
      </c>
      <c r="B10832" s="4" t="s">
        <v>13618</v>
      </c>
      <c r="C10832" s="5" t="str">
        <f>IFERROR(__xludf.DUMMYFUNCTION("GOOGLETRANSLATE(B10832,""en"",""fr"")"),"Une femme en veste de neige pelle la neige d'un trottoir.")</f>
        <v>Une femme en veste de neige pelle la neige d'un trottoir.</v>
      </c>
    </row>
    <row r="10833">
      <c r="A10833" s="4" t="s">
        <v>13614</v>
      </c>
      <c r="B10833" s="4" t="s">
        <v>13619</v>
      </c>
      <c r="C10833" s="5" t="str">
        <f>IFERROR(__xludf.DUMMYFUNCTION("GOOGLETRANSLATE(B10833,""en"",""fr"")"),"Un homme rompt la glace avec une bêche.")</f>
        <v>Un homme rompt la glace avec une bêche.</v>
      </c>
    </row>
    <row r="10834">
      <c r="A10834" s="4" t="s">
        <v>13614</v>
      </c>
      <c r="B10834" s="4" t="s">
        <v>13620</v>
      </c>
      <c r="C10834" s="5" t="str">
        <f>IFERROR(__xludf.DUMMYFUNCTION("GOOGLETRANSLATE(B10834,""en"",""fr"")"),"Un homme pelle de la neige d'un trottoir dans un jardinière doublé d'arbre.")</f>
        <v>Un homme pelle de la neige d'un trottoir dans un jardinière doublé d'arbre.</v>
      </c>
    </row>
    <row r="10835">
      <c r="A10835" s="4" t="s">
        <v>13621</v>
      </c>
      <c r="B10835" s="4" t="s">
        <v>13622</v>
      </c>
      <c r="C10835" s="5" t="str">
        <f>IFERROR(__xludf.DUMMYFUNCTION("GOOGLETRANSLATE(B10835,""en"",""fr"")"),"On voit deux personnes tenant des raquettes de tennis et frappant une balle dans une petite pièce.")</f>
        <v>On voit deux personnes tenant des raquettes de tennis et frappant une balle dans une petite pièce.</v>
      </c>
    </row>
    <row r="10836">
      <c r="A10836" s="4" t="s">
        <v>13621</v>
      </c>
      <c r="B10836" s="4" t="s">
        <v>13623</v>
      </c>
      <c r="C10836" s="5" t="str">
        <f>IFERROR(__xludf.DUMMYFUNCTION("GOOGLETRANSLATE(B10836,""en"",""fr"")"),"Les hommes continuent de repousser le ballon et le quatrième les uns les autres et courent autour du coup du ballon.")</f>
        <v>Les hommes continuent de repousser le ballon et le quatrième les uns les autres et courent autour du coup du ballon.</v>
      </c>
    </row>
    <row r="10837">
      <c r="A10837" s="4" t="s">
        <v>13624</v>
      </c>
      <c r="B10837" s="4" t="s">
        <v>13625</v>
      </c>
      <c r="C10837" s="5" t="str">
        <f>IFERROR(__xludf.DUMMYFUNCTION("GOOGLETRANSLATE(B10837,""en"",""fr"")"),"Un gars se tient dans les champs et allume un morceau de papier.")</f>
        <v>Un gars se tient dans les champs et allume un morceau de papier.</v>
      </c>
    </row>
    <row r="10838">
      <c r="A10838" s="4" t="s">
        <v>13624</v>
      </c>
      <c r="B10838" s="4" t="s">
        <v>13626</v>
      </c>
      <c r="C10838" s="5" t="str">
        <f>IFERROR(__xludf.DUMMYFUNCTION("GOOGLETRANSLATE(B10838,""en"",""fr"")"),"Un gars jette le morceau de papier vers le bois empilé puis court.")</f>
        <v>Un gars jette le morceau de papier vers le bois empilé puis court.</v>
      </c>
    </row>
    <row r="10839">
      <c r="A10839" s="4" t="s">
        <v>13624</v>
      </c>
      <c r="B10839" s="4" t="s">
        <v>13627</v>
      </c>
      <c r="C10839" s="5" t="str">
        <f>IFERROR(__xludf.DUMMYFUNCTION("GOOGLETRANSLATE(B10839,""en"",""fr"")"),"Le bois prend feu.")</f>
        <v>Le bois prend feu.</v>
      </c>
    </row>
    <row r="10840">
      <c r="A10840" s="4" t="s">
        <v>13624</v>
      </c>
      <c r="B10840" s="4" t="s">
        <v>13628</v>
      </c>
      <c r="C10840" s="5" t="str">
        <f>IFERROR(__xludf.DUMMYFUNCTION("GOOGLETRANSLATE(B10840,""en"",""fr"")"),"Le gars se dirige vers un homme.")</f>
        <v>Le gars se dirige vers un homme.</v>
      </c>
    </row>
    <row r="10841">
      <c r="A10841" s="4" t="s">
        <v>13629</v>
      </c>
      <c r="B10841" s="4" t="s">
        <v>13630</v>
      </c>
      <c r="C10841" s="5" t="str">
        <f>IFERROR(__xludf.DUMMYFUNCTION("GOOGLETRANSLATE(B10841,""en"",""fr"")"),"Une caméra se déroule tout autour d'un gymnase intérieur et mène à des clips de personnes qui se vont sur une barre.")</f>
        <v>Une caméra se déroule tout autour d'un gymnase intérieur et mène à des clips de personnes qui se vont sur une barre.</v>
      </c>
    </row>
    <row r="10842">
      <c r="A10842" s="4" t="s">
        <v>13629</v>
      </c>
      <c r="B10842" s="4" t="s">
        <v>13631</v>
      </c>
      <c r="C10842" s="5" t="str">
        <f>IFERROR(__xludf.DUMMYFUNCTION("GOOGLETRANSLATE(B10842,""en"",""fr"")"),"Plusieurs personnes sont montrées en marche avec un poteau sur une poutre et sur un tapis les uns après les autres.")</f>
        <v>Plusieurs personnes sont montrées en marche avec un poteau sur une poutre et sur un tapis les uns après les autres.</v>
      </c>
    </row>
    <row r="10843">
      <c r="A10843" s="4" t="s">
        <v>13629</v>
      </c>
      <c r="B10843" s="4" t="s">
        <v>13632</v>
      </c>
      <c r="C10843" s="5" t="str">
        <f>IFERROR(__xludf.DUMMYFUNCTION("GOOGLETRANSLATE(B10843,""en"",""fr"")"),"Plus de gens prennent leur tour tandis que d'autres se promènent dans le gymnase et les regardent sur les côtés.")</f>
        <v>Plus de gens prennent leur tour tandis que d'autres se promènent dans le gymnase et les regardent sur les côtés.</v>
      </c>
    </row>
    <row r="10844">
      <c r="A10844" s="4" t="s">
        <v>13633</v>
      </c>
      <c r="B10844" s="6" t="s">
        <v>13634</v>
      </c>
      <c r="C10844" s="5" t="str">
        <f>IFERROR(__xludf.DUMMYFUNCTION("GOOGLETRANSLATE(B10844,""en"",""fr"")"),"Le mot Brenmar est au centre de l'écran qui fait le tour, puis passe au mot Uniiqu3 et Hoola Hoop.")</f>
        <v>Le mot Brenmar est au centre de l'écran qui fait le tour, puis passe au mot Uniiqu3 et Hoola Hoop.</v>
      </c>
    </row>
    <row r="10845">
      <c r="A10845" s="4" t="s">
        <v>13633</v>
      </c>
      <c r="B10845" s="4" t="s">
        <v>13635</v>
      </c>
      <c r="C10845" s="5" t="str">
        <f>IFERROR(__xludf.DUMMYFUNCTION("GOOGLETRANSLATE(B10845,""en"",""fr"")"),"Trois femmes portant tous les Noirs se tenaient en tenant un hoola blanc sur ses mains.")</f>
        <v>Trois femmes portant tous les Noirs se tenaient en tenant un hoola blanc sur ses mains.</v>
      </c>
    </row>
    <row r="10846">
      <c r="A10846" s="4" t="s">
        <v>13633</v>
      </c>
      <c r="B10846" s="4" t="s">
        <v>13636</v>
      </c>
      <c r="C10846" s="5" t="str">
        <f>IFERROR(__xludf.DUMMYFUNCTION("GOOGLETRANSLATE(B10846,""en"",""fr"")"),"Un homme se plie sur le sol srrond par Hoola Hoops.")</f>
        <v>Un homme se plie sur le sol srrond par Hoola Hoops.</v>
      </c>
    </row>
    <row r="10847">
      <c r="A10847" s="4" t="s">
        <v>13633</v>
      </c>
      <c r="B10847" s="4" t="s">
        <v>13637</v>
      </c>
      <c r="C10847" s="5" t="str">
        <f>IFERROR(__xludf.DUMMYFUNCTION("GOOGLETRANSLATE(B10847,""en"",""fr"")"),"Une femme portant un pantalon noir et une chemise blanche commence à danser avec un cerceau hoola se fait le cou.")</f>
        <v>Une femme portant un pantalon noir et une chemise blanche commence à danser avec un cerceau hoola se fait le cou.</v>
      </c>
    </row>
    <row r="10848">
      <c r="A10848" s="4" t="s">
        <v>13633</v>
      </c>
      <c r="B10848" s="6" t="s">
        <v>13638</v>
      </c>
      <c r="C10848" s="5" t="str">
        <f>IFERROR(__xludf.DUMMYFUNCTION("GOOGLETRANSLATE(B10848,""en"",""fr"")"),"La deuxième femme aux cheveux jaunes commence à danser deux personnes apparaît et un ensemble de femmes dansantes apparaît en faisant des tours avec un cerceau de hoola pendant que l'homme les regarde, une femme avec une veste verte chante la chanson.")</f>
        <v>La deuxième femme aux cheveux jaunes commence à danser deux personnes apparaît et un ensemble de femmes dansantes apparaît en faisant des tours avec un cerceau de hoola pendant que l'homme les regarde, une femme avec une veste verte chante la chanson.</v>
      </c>
    </row>
    <row r="10849">
      <c r="A10849" s="4" t="s">
        <v>13633</v>
      </c>
      <c r="B10849" s="6" t="s">
        <v>13639</v>
      </c>
      <c r="C10849" s="5" t="str">
        <f>IFERROR(__xludf.DUMMYFUNCTION("GOOGLETRANSLATE(B10849,""en"",""fr"")"),"Les femmes apparaissent dans une pièce sombre avec des cerceaux de hoola brillants dansant et faisant des tours, une femme aux cheveux jaunes continue de danser seul.")</f>
        <v>Les femmes apparaissent dans une pièce sombre avec des cerceaux de hoola brillants dansant et faisant des tours, une femme aux cheveux jaunes continue de danser seul.</v>
      </c>
    </row>
    <row r="10850">
      <c r="A10850" s="4" t="s">
        <v>13640</v>
      </c>
      <c r="B10850" s="4" t="s">
        <v>13641</v>
      </c>
      <c r="C10850" s="5" t="str">
        <f>IFERROR(__xludf.DUMMYFUNCTION("GOOGLETRANSLATE(B10850,""en"",""fr"")"),"L'homme en chemise noire est à genoux et a atteint sa jambe arrière.")</f>
        <v>L'homme en chemise noire est à genoux et a atteint sa jambe arrière.</v>
      </c>
    </row>
    <row r="10851">
      <c r="A10851" s="4" t="s">
        <v>13640</v>
      </c>
      <c r="B10851" s="4" t="s">
        <v>13642</v>
      </c>
      <c r="C10851" s="5" t="str">
        <f>IFERROR(__xludf.DUMMYFUNCTION("GOOGLETRANSLATE(B10851,""en"",""fr"")"),"L'homme a légèrement avancé.")</f>
        <v>L'homme a légèrement avancé.</v>
      </c>
    </row>
    <row r="10852">
      <c r="A10852" s="4" t="s">
        <v>13640</v>
      </c>
      <c r="B10852" s="4" t="s">
        <v>13643</v>
      </c>
      <c r="C10852" s="5" t="str">
        <f>IFERROR(__xludf.DUMMYFUNCTION("GOOGLETRANSLATE(B10852,""en"",""fr"")"),"L'homme s'arrêta en avant pendant qu'il tient sa cheville.")</f>
        <v>L'homme s'arrêta en avant pendant qu'il tient sa cheville.</v>
      </c>
    </row>
    <row r="10853">
      <c r="A10853" s="4" t="s">
        <v>13644</v>
      </c>
      <c r="B10853" s="6" t="s">
        <v>13645</v>
      </c>
      <c r="C10853" s="5" t="str">
        <f>IFERROR(__xludf.DUMMYFUNCTION("GOOGLETRANSLATE(B10853,""en"",""fr"")"),"Cet homme skie nautique et il le fait assis et se lève, sauf qu'il tient les barres de poignée vers l'arrière.")</f>
        <v>Cet homme skie nautique et il le fait assis et se lève, sauf qu'il tient les barres de poignée vers l'arrière.</v>
      </c>
    </row>
    <row r="10854">
      <c r="A10854" s="4" t="s">
        <v>13644</v>
      </c>
      <c r="B10854" s="6" t="s">
        <v>13646</v>
      </c>
      <c r="C10854" s="5" t="str">
        <f>IFERROR(__xludf.DUMMYFUNCTION("GOOGLETRANSLATE(B10854,""en"",""fr"")"),"Pendant qu'il skiait, il essaie de se tenir en avant comme normal, mais il va voler quand il essaie de se retourner.")</f>
        <v>Pendant qu'il skiait, il essaie de se tenir en avant comme normal, mais il va voler quand il essaie de se retourner.</v>
      </c>
    </row>
    <row r="10855">
      <c r="A10855" s="4" t="s">
        <v>13647</v>
      </c>
      <c r="B10855" s="4" t="s">
        <v>13648</v>
      </c>
      <c r="C10855" s="5" t="str">
        <f>IFERROR(__xludf.DUMMYFUNCTION("GOOGLETRANSLATE(B10855,""en"",""fr"")"),"Une personne pelle une neige de son trottoir.")</f>
        <v>Une personne pelle une neige de son trottoir.</v>
      </c>
    </row>
    <row r="10856">
      <c r="A10856" s="4" t="s">
        <v>13647</v>
      </c>
      <c r="B10856" s="4" t="s">
        <v>13649</v>
      </c>
      <c r="C10856" s="5" t="str">
        <f>IFERROR(__xludf.DUMMYFUNCTION("GOOGLETRANSLATE(B10856,""en"",""fr"")"),"Un chien saute dans la neige qu'il lance.")</f>
        <v>Un chien saute dans la neige qu'il lance.</v>
      </c>
    </row>
    <row r="10857">
      <c r="A10857" s="4" t="s">
        <v>13647</v>
      </c>
      <c r="B10857" s="4" t="s">
        <v>13650</v>
      </c>
      <c r="C10857" s="5" t="str">
        <f>IFERROR(__xludf.DUMMYFUNCTION("GOOGLETRANSLATE(B10857,""en"",""fr"")"),"Les mots viennent sur l'écran.")</f>
        <v>Les mots viennent sur l'écran.</v>
      </c>
    </row>
    <row r="10858">
      <c r="A10858" s="4" t="s">
        <v>13651</v>
      </c>
      <c r="B10858" s="4" t="s">
        <v>13652</v>
      </c>
      <c r="C10858" s="5" t="str">
        <f>IFERROR(__xludf.DUMMYFUNCTION("GOOGLETRANSLATE(B10858,""en"",""fr"")"),"Un homme est vu rendre fou vers une caméra alors qu'elle était assise à une table de poker avec un autre homme.")</f>
        <v>Un homme est vu rendre fou vers une caméra alors qu'elle était assise à une table de poker avec un autre homme.</v>
      </c>
    </row>
    <row r="10859">
      <c r="A10859" s="4" t="s">
        <v>13651</v>
      </c>
      <c r="B10859" s="6" t="s">
        <v>13653</v>
      </c>
      <c r="C10859" s="5" t="str">
        <f>IFERROR(__xludf.DUMMYFUNCTION("GOOGLETRANSLATE(B10859,""en"",""fr"")"),"Les hommes ressortent la langue à la caméra et la caméra se déplace sur une autre table avec des gens qui jouent.")</f>
        <v>Les hommes ressortent la langue à la caméra et la caméra se déplace sur une autre table avec des gens qui jouent.</v>
      </c>
    </row>
    <row r="10860">
      <c r="A10860" s="4" t="s">
        <v>13651</v>
      </c>
      <c r="B10860" s="4" t="s">
        <v>13654</v>
      </c>
      <c r="C10860" s="5" t="str">
        <f>IFERROR(__xludf.DUMMYFUNCTION("GOOGLETRANSLATE(B10860,""en"",""fr"")"),"À la fin, il fait face à la caméra vers lui-même.")</f>
        <v>À la fin, il fait face à la caméra vers lui-même.</v>
      </c>
    </row>
    <row r="10861">
      <c r="A10861" s="4" t="s">
        <v>13655</v>
      </c>
      <c r="B10861" s="4" t="s">
        <v>13656</v>
      </c>
      <c r="C10861" s="5" t="str">
        <f>IFERROR(__xludf.DUMMYFUNCTION("GOOGLETRANSLATE(B10861,""en"",""fr"")"),"Un adolescent tient un violon puis joue devant d'autres adolescents qui parlent et rient.")</f>
        <v>Un adolescent tient un violon puis joue devant d'autres adolescents qui parlent et rient.</v>
      </c>
    </row>
    <row r="10862">
      <c r="A10862" s="4" t="s">
        <v>13655</v>
      </c>
      <c r="B10862" s="4" t="s">
        <v>13657</v>
      </c>
      <c r="C10862" s="5" t="str">
        <f>IFERROR(__xludf.DUMMYFUNCTION("GOOGLETRANSLATE(B10862,""en"",""fr"")"),"Les adolescents parlent et font des commentaires et une femme rie.")</f>
        <v>Les adolescents parlent et font des commentaires et une femme rie.</v>
      </c>
    </row>
    <row r="10863">
      <c r="A10863" s="4" t="s">
        <v>13655</v>
      </c>
      <c r="B10863" s="4" t="s">
        <v>13658</v>
      </c>
      <c r="C10863" s="5" t="str">
        <f>IFERROR(__xludf.DUMMYFUNCTION("GOOGLETRANSLATE(B10863,""en"",""fr"")"),"Ensuite, les gens de la pièce applaudent.")</f>
        <v>Ensuite, les gens de la pièce applaudent.</v>
      </c>
    </row>
    <row r="10864">
      <c r="A10864" s="4" t="s">
        <v>13659</v>
      </c>
      <c r="B10864" s="6" t="s">
        <v>13660</v>
      </c>
      <c r="C10864" s="5" t="str">
        <f>IFERROR(__xludf.DUMMYFUNCTION("GOOGLETRANSLATE(B10864,""en"",""fr"")"),"Deux femmes debout dans la cuisine, une fille porte un haut noir et l'autre porte un haut beige.")</f>
        <v>Deux femmes debout dans la cuisine, une fille porte un haut noir et l'autre porte un haut beige.</v>
      </c>
    </row>
    <row r="10865">
      <c r="A10865" s="4" t="s">
        <v>13659</v>
      </c>
      <c r="B10865" s="6" t="s">
        <v>13661</v>
      </c>
      <c r="C10865" s="5" t="str">
        <f>IFERROR(__xludf.DUMMYFUNCTION("GOOGLETRANSLATE(B10865,""en"",""fr"")"),"La femme en beige a montré un sandwich sur le comptoir de la cuisine, puis a commencé à faire pipi le concombre vert à l'aide d'un éplucheur, puis a commencé à trancher le concombre.")</f>
        <v>La femme en beige a montré un sandwich sur le comptoir de la cuisine, puis a commencé à faire pipi le concombre vert à l'aide d'un éplucheur, puis a commencé à trancher le concombre.</v>
      </c>
    </row>
    <row r="10866">
      <c r="A10866" s="4" t="s">
        <v>13659</v>
      </c>
      <c r="B10866" s="6" t="s">
        <v>13662</v>
      </c>
      <c r="C10866" s="5" t="str">
        <f>IFERROR(__xludf.DUMMYFUNCTION("GOOGLETRANSLATE(B10866,""en"",""fr"")"),"Elle a ensuite répandu le beurre sur le pain, a placé le concombre tranché sur le pain, saupoudrer du sel, couper les bords du pain, puis l'a tranchée en triangle, puis placée sur l'assiette blanche, puis les deux femmes ont mangé le sandwich.")</f>
        <v>Elle a ensuite répandu le beurre sur le pain, a placé le concombre tranché sur le pain, saupoudrer du sel, couper les bords du pain, puis l'a tranchée en triangle, puis placée sur l'assiette blanche, puis les deux femmes ont mangé le sandwich.</v>
      </c>
    </row>
    <row r="10867">
      <c r="A10867" s="4" t="s">
        <v>13663</v>
      </c>
      <c r="B10867" s="4" t="s">
        <v>13664</v>
      </c>
      <c r="C10867" s="5" t="str">
        <f>IFERROR(__xludf.DUMMYFUNCTION("GOOGLETRANSLATE(B10867,""en"",""fr"")"),"Un jeune enfant est vu marcher en avant avec un bâton dans sa main et pousser une rondelle sur une piste.")</f>
        <v>Un jeune enfant est vu marcher en avant avec un bâton dans sa main et pousser une rondelle sur une piste.</v>
      </c>
    </row>
    <row r="10868">
      <c r="A10868" s="4" t="s">
        <v>13663</v>
      </c>
      <c r="B10868" s="4" t="s">
        <v>13665</v>
      </c>
      <c r="C10868" s="5" t="str">
        <f>IFERROR(__xludf.DUMMYFUNCTION("GOOGLETRANSLATE(B10868,""en"",""fr"")"),"Il revient tandis qu'un autre garçon frappe la rondelle et plusieurs personnes regardent sur la touche.")</f>
        <v>Il revient tandis qu'un autre garçon frappe la rondelle et plusieurs personnes regardent sur la touche.</v>
      </c>
    </row>
    <row r="10869">
      <c r="A10869" s="4" t="s">
        <v>13663</v>
      </c>
      <c r="B10869" s="4" t="s">
        <v>13666</v>
      </c>
      <c r="C10869" s="5" t="str">
        <f>IFERROR(__xludf.DUMMYFUNCTION("GOOGLETRANSLATE(B10869,""en"",""fr"")"),"Le jeune garçon continue de revenir en arrière et quatrième.")</f>
        <v>Le jeune garçon continue de revenir en arrière et quatrième.</v>
      </c>
    </row>
    <row r="10870">
      <c r="A10870" s="4" t="s">
        <v>13667</v>
      </c>
      <c r="B10870" s="6" t="s">
        <v>13668</v>
      </c>
      <c r="C10870" s="5" t="str">
        <f>IFERROR(__xludf.DUMMYFUNCTION("GOOGLETRANSLATE(B10870,""en"",""fr"")"),"Un homme est vu parler à la caméra suivi de divers ingrédients disposés et de lui couper des légumes.")</f>
        <v>Un homme est vu parler à la caméra suivi de divers ingrédients disposés et de lui couper des légumes.</v>
      </c>
    </row>
    <row r="10871">
      <c r="A10871" s="4" t="s">
        <v>13667</v>
      </c>
      <c r="B10871" s="4" t="s">
        <v>13669</v>
      </c>
      <c r="C10871" s="5" t="str">
        <f>IFERROR(__xludf.DUMMYFUNCTION("GOOGLETRANSLATE(B10871,""en"",""fr"")"),"L'homme continue de couper et mélange les ingrédients dans un bol.")</f>
        <v>L'homme continue de couper et mélange les ingrédients dans un bol.</v>
      </c>
    </row>
    <row r="10872">
      <c r="A10872" s="4" t="s">
        <v>13667</v>
      </c>
      <c r="B10872" s="4" t="s">
        <v>13670</v>
      </c>
      <c r="C10872" s="5" t="str">
        <f>IFERROR(__xludf.DUMMYFUNCTION("GOOGLETRANSLATE(B10872,""en"",""fr"")"),"Il verse du liquide dans le bol et se termine en le présentant sur une assiette.")</f>
        <v>Il verse du liquide dans le bol et se termine en le présentant sur une assiette.</v>
      </c>
    </row>
    <row r="10873">
      <c r="A10873" s="4" t="s">
        <v>13671</v>
      </c>
      <c r="B10873" s="4" t="s">
        <v>13672</v>
      </c>
      <c r="C10873" s="5" t="str">
        <f>IFERROR(__xludf.DUMMYFUNCTION("GOOGLETRANSLATE(B10873,""en"",""fr"")"),"Une vidéo du ballet du lac Swan est montrée.")</f>
        <v>Une vidéo du ballet du lac Swan est montrée.</v>
      </c>
    </row>
    <row r="10874">
      <c r="A10874" s="4" t="s">
        <v>13671</v>
      </c>
      <c r="B10874" s="4" t="s">
        <v>13673</v>
      </c>
      <c r="C10874" s="5" t="str">
        <f>IFERROR(__xludf.DUMMYFUNCTION("GOOGLETRANSLATE(B10874,""en"",""fr"")"),"Ils accomplissent l'acte et interrogent une partie des acteurs.")</f>
        <v>Ils accomplissent l'acte et interrogent une partie des acteurs.</v>
      </c>
    </row>
    <row r="10875">
      <c r="A10875" s="4" t="s">
        <v>13674</v>
      </c>
      <c r="B10875" s="6" t="s">
        <v>13675</v>
      </c>
      <c r="C10875" s="5" t="str">
        <f>IFERROR(__xludf.DUMMYFUNCTION("GOOGLETRANSLATE(B10875,""en"",""fr"")"),"La vidéo mène à plusieurs plans de chiens se promenant et mène à une femme caressant une fourrure de chiens.")</f>
        <v>La vidéo mène à plusieurs plans de chiens se promenant et mène à une femme caressant une fourrure de chiens.</v>
      </c>
    </row>
    <row r="10876">
      <c r="A10876" s="4" t="s">
        <v>13674</v>
      </c>
      <c r="B10876" s="4" t="s">
        <v>13676</v>
      </c>
      <c r="C10876" s="5" t="str">
        <f>IFERROR(__xludf.DUMMYFUNCTION("GOOGLETRANSLATE(B10876,""en"",""fr"")"),"La femme continue de se brosser et montre des clips du chien qui longent un parc.")</f>
        <v>La femme continue de se brosser et montre des clips du chien qui longent un parc.</v>
      </c>
    </row>
    <row r="10877">
      <c r="A10877" s="4" t="s">
        <v>13677</v>
      </c>
      <c r="B10877" s="4" t="s">
        <v>13678</v>
      </c>
      <c r="C10877" s="5" t="str">
        <f>IFERROR(__xludf.DUMMYFUNCTION("GOOGLETRANSLATE(B10877,""en"",""fr"")"),"Deux hommes adultes dans les casques enseignent aux petits garçons comment jouer au hockey sur glace.")</f>
        <v>Deux hommes adultes dans les casques enseignent aux petits garçons comment jouer au hockey sur glace.</v>
      </c>
    </row>
    <row r="10878">
      <c r="A10878" s="4" t="s">
        <v>13677</v>
      </c>
      <c r="B10878" s="4" t="s">
        <v>13679</v>
      </c>
      <c r="C10878" s="5" t="str">
        <f>IFERROR(__xludf.DUMMYFUNCTION("GOOGLETRANSLATE(B10878,""en"",""fr"")"),"Les garçons se rassemblent en cercle, frappant leurs bâtons sur le sol.")</f>
        <v>Les garçons se rassemblent en cercle, frappant leurs bâtons sur le sol.</v>
      </c>
    </row>
    <row r="10879">
      <c r="A10879" s="4" t="s">
        <v>13677</v>
      </c>
      <c r="B10879" s="4" t="s">
        <v>13680</v>
      </c>
      <c r="C10879" s="5" t="str">
        <f>IFERROR(__xludf.DUMMYFUNCTION("GOOGLETRANSLATE(B10879,""en"",""fr"")"),"Ils applaudissent et patinent ensuite.")</f>
        <v>Ils applaudissent et patinent ensuite.</v>
      </c>
    </row>
    <row r="10880">
      <c r="A10880" s="4" t="s">
        <v>13681</v>
      </c>
      <c r="B10880" s="4" t="s">
        <v>13682</v>
      </c>
      <c r="C10880" s="5" t="str">
        <f>IFERROR(__xludf.DUMMYFUNCTION("GOOGLETRANSLATE(B10880,""en"",""fr"")"),"Une femme en robe blanche commence une tondeuse à gazon.")</f>
        <v>Une femme en robe blanche commence une tondeuse à gazon.</v>
      </c>
    </row>
    <row r="10881">
      <c r="A10881" s="4" t="s">
        <v>13681</v>
      </c>
      <c r="B10881" s="4" t="s">
        <v>13683</v>
      </c>
      <c r="C10881" s="5" t="str">
        <f>IFERROR(__xludf.DUMMYFUNCTION("GOOGLETRANSLATE(B10881,""en"",""fr"")"),"Elle commence à tondre la pelouse.")</f>
        <v>Elle commence à tondre la pelouse.</v>
      </c>
    </row>
    <row r="10882">
      <c r="A10882" s="4" t="s">
        <v>13681</v>
      </c>
      <c r="B10882" s="4" t="s">
        <v>13684</v>
      </c>
      <c r="C10882" s="5" t="str">
        <f>IFERROR(__xludf.DUMMYFUNCTION("GOOGLETRANSLATE(B10882,""en"",""fr"")"),"Elle se retourne et remonte dans l'autre sens.")</f>
        <v>Elle se retourne et remonte dans l'autre sens.</v>
      </c>
    </row>
    <row r="10883">
      <c r="A10883" s="4" t="s">
        <v>13685</v>
      </c>
      <c r="B10883" s="4" t="s">
        <v>13686</v>
      </c>
      <c r="C10883" s="5" t="str">
        <f>IFERROR(__xludf.DUMMYFUNCTION("GOOGLETRANSLATE(B10883,""en"",""fr"")"),"Un homme est vu debout sur un champ et commence à balancer un objet autour et autour.")</f>
        <v>Un homme est vu debout sur un champ et commence à balancer un objet autour et autour.</v>
      </c>
    </row>
    <row r="10884">
      <c r="A10884" s="4" t="s">
        <v>13685</v>
      </c>
      <c r="B10884" s="4" t="s">
        <v>13687</v>
      </c>
      <c r="C10884" s="5" t="str">
        <f>IFERROR(__xludf.DUMMYFUNCTION("GOOGLETRANSLATE(B10884,""en"",""fr"")"),"Il continue de se balancer et se termine en se tenant sur le terrain.")</f>
        <v>Il continue de se balancer et se termine en se tenant sur le terrain.</v>
      </c>
    </row>
    <row r="10885">
      <c r="A10885" s="4" t="s">
        <v>13688</v>
      </c>
      <c r="B10885" s="4" t="s">
        <v>13689</v>
      </c>
      <c r="C10885" s="5" t="str">
        <f>IFERROR(__xludf.DUMMYFUNCTION("GOOGLETRANSLATE(B10885,""en"",""fr"")"),"Un panneau indique que Superfresco est facile à l'écran.")</f>
        <v>Un panneau indique que Superfresco est facile à l'écran.</v>
      </c>
    </row>
    <row r="10886">
      <c r="A10886" s="4" t="s">
        <v>13688</v>
      </c>
      <c r="B10886" s="4" t="s">
        <v>13690</v>
      </c>
      <c r="C10886" s="5" t="str">
        <f>IFERROR(__xludf.DUMMYFUNCTION("GOOGLETRANSLATE(B10886,""en"",""fr"")"),"Un homme est montré en peignant un mur avec de la peinture grise.")</f>
        <v>Un homme est montré en peignant un mur avec de la peinture grise.</v>
      </c>
    </row>
    <row r="10887">
      <c r="A10887" s="4" t="s">
        <v>13688</v>
      </c>
      <c r="B10887" s="4" t="s">
        <v>13691</v>
      </c>
      <c r="C10887" s="5" t="str">
        <f>IFERROR(__xludf.DUMMYFUNCTION("GOOGLETRANSLATE(B10887,""en"",""fr"")"),"Il utilise de larges balayages pour couvrir complètement le mur.")</f>
        <v>Il utilise de larges balayages pour couvrir complètement le mur.</v>
      </c>
    </row>
    <row r="10888">
      <c r="A10888" s="4" t="s">
        <v>13692</v>
      </c>
      <c r="B10888" s="4" t="s">
        <v>13693</v>
      </c>
      <c r="C10888" s="5" t="str">
        <f>IFERROR(__xludf.DUMMYFUNCTION("GOOGLETRANSLATE(B10888,""en"",""fr"")"),"Plusieurs vues sont vues de l'intérieur d'un stade.")</f>
        <v>Plusieurs vues sont vues de l'intérieur d'un stade.</v>
      </c>
    </row>
    <row r="10889">
      <c r="A10889" s="4" t="s">
        <v>13692</v>
      </c>
      <c r="B10889" s="4" t="s">
        <v>13694</v>
      </c>
      <c r="C10889" s="5" t="str">
        <f>IFERROR(__xludf.DUMMYFUNCTION("GOOGLETRANSLATE(B10889,""en"",""fr"")"),"Un groupe d'équipes marche sur le terrain, applaudissant.")</f>
        <v>Un groupe d'équipes marche sur le terrain, applaudissant.</v>
      </c>
    </row>
    <row r="10890">
      <c r="A10890" s="4" t="s">
        <v>13692</v>
      </c>
      <c r="B10890" s="4" t="s">
        <v>13695</v>
      </c>
      <c r="C10890" s="5" t="str">
        <f>IFERROR(__xludf.DUMMYFUNCTION("GOOGLETRANSLATE(B10890,""en"",""fr"")"),"La foule applaudit alors que les équipes font des buts pendant le match.")</f>
        <v>La foule applaudit alors que les équipes font des buts pendant le match.</v>
      </c>
    </row>
    <row r="10891">
      <c r="A10891" s="4" t="s">
        <v>13696</v>
      </c>
      <c r="B10891" s="4" t="s">
        <v>13697</v>
      </c>
      <c r="C10891" s="5" t="str">
        <f>IFERROR(__xludf.DUMMYFUNCTION("GOOGLETRANSLATE(B10891,""en"",""fr"")"),"Un homme en tenue de surf est présenté avec son nom et sa taille de sa planche.")</f>
        <v>Un homme en tenue de surf est présenté avec son nom et sa taille de sa planche.</v>
      </c>
    </row>
    <row r="10892">
      <c r="A10892" s="4" t="s">
        <v>13696</v>
      </c>
      <c r="B10892" s="4" t="s">
        <v>13698</v>
      </c>
      <c r="C10892" s="5" t="str">
        <f>IFERROR(__xludf.DUMMYFUNCTION("GOOGLETRANSLATE(B10892,""en"",""fr"")"),"La vidéo coupe la plage et l'homme commence à surfer.")</f>
        <v>La vidéo coupe la plage et l'homme commence à surfer.</v>
      </c>
    </row>
    <row r="10893">
      <c r="A10893" s="4" t="s">
        <v>13696</v>
      </c>
      <c r="B10893" s="4" t="s">
        <v>13699</v>
      </c>
      <c r="C10893" s="5" t="str">
        <f>IFERROR(__xludf.DUMMYFUNCTION("GOOGLETRANSLATE(B10893,""en"",""fr"")"),"Il attrape des vagues mais essuie tôt la plupart d'entre eux.")</f>
        <v>Il attrape des vagues mais essuie tôt la plupart d'entre eux.</v>
      </c>
    </row>
    <row r="10894">
      <c r="A10894" s="4" t="s">
        <v>13696</v>
      </c>
      <c r="B10894" s="4" t="s">
        <v>13700</v>
      </c>
      <c r="C10894" s="5" t="str">
        <f>IFERROR(__xludf.DUMMYFUNCTION("GOOGLETRANSLATE(B10894,""en"",""fr"")"),"Un oiseau semble plonger dans l'océan.")</f>
        <v>Un oiseau semble plonger dans l'océan.</v>
      </c>
    </row>
    <row r="10895">
      <c r="A10895" s="4" t="s">
        <v>13696</v>
      </c>
      <c r="B10895" s="4" t="s">
        <v>13701</v>
      </c>
      <c r="C10895" s="5" t="str">
        <f>IFERROR(__xludf.DUMMYFUNCTION("GOOGLETRANSLATE(B10895,""en"",""fr"")"),"D'autres surfeurs apparaissent plus loin.")</f>
        <v>D'autres surfeurs apparaissent plus loin.</v>
      </c>
    </row>
    <row r="10896">
      <c r="A10896" s="4" t="s">
        <v>13702</v>
      </c>
      <c r="B10896" s="4" t="s">
        <v>13703</v>
      </c>
      <c r="C10896" s="5" t="str">
        <f>IFERROR(__xludf.DUMMYFUNCTION("GOOGLETRANSLATE(B10896,""en"",""fr"")"),"Une femme entre dans la cuisine et tourne les boutons sur le four.")</f>
        <v>Une femme entre dans la cuisine et tourne les boutons sur le four.</v>
      </c>
    </row>
    <row r="10897">
      <c r="A10897" s="4" t="s">
        <v>13702</v>
      </c>
      <c r="B10897" s="6" t="s">
        <v>13704</v>
      </c>
      <c r="C10897" s="5" t="str">
        <f>IFERROR(__xludf.DUMMYFUNCTION("GOOGLETRANSLATE(B10897,""en"",""fr"")"),"Un mélangeur est ensuite mis sur le comptoir et le levier est abaissé suivi d'un sachet de thé placé dans une tasse.")</f>
        <v>Un mélangeur est ensuite mis sur le comptoir et le levier est abaissé suivi d'un sachet de thé placé dans une tasse.</v>
      </c>
    </row>
    <row r="10898">
      <c r="A10898" s="4" t="s">
        <v>13702</v>
      </c>
      <c r="B10898" s="4" t="s">
        <v>13705</v>
      </c>
      <c r="C10898" s="5" t="str">
        <f>IFERROR(__xludf.DUMMYFUNCTION("GOOGLETRANSLATE(B10898,""en"",""fr"")"),"La dame se déplace ensuite vers un comptoir et ajoute un morceau de papier de cuisson sur deux gros racks.")</f>
        <v>La dame se déplace ensuite vers un comptoir et ajoute un morceau de papier de cuisson sur deux gros racks.</v>
      </c>
    </row>
    <row r="10899">
      <c r="A10899" s="4" t="s">
        <v>13702</v>
      </c>
      <c r="B10899" s="4" t="s">
        <v>13706</v>
      </c>
      <c r="C10899" s="5" t="str">
        <f>IFERROR(__xludf.DUMMYFUNCTION("GOOGLETRANSLATE(B10899,""en"",""fr"")"),"Elle attrape ensuite l'eau chaude bouillante et la verse dans la tasse.")</f>
        <v>Elle attrape ensuite l'eau chaude bouillante et la verse dans la tasse.</v>
      </c>
    </row>
    <row r="10900">
      <c r="A10900" s="4" t="s">
        <v>13702</v>
      </c>
      <c r="B10900" s="4" t="s">
        <v>13707</v>
      </c>
      <c r="C10900" s="5" t="str">
        <f>IFERROR(__xludf.DUMMYFUNCTION("GOOGLETRANSLATE(B10900,""en"",""fr"")"),"Elle revient au comptoir et commence à placer des rouleaux de pâte à biscuits sur les racks.")</f>
        <v>Elle revient au comptoir et commence à placer des rouleaux de pâte à biscuits sur les racks.</v>
      </c>
    </row>
    <row r="10901">
      <c r="A10901" s="4" t="s">
        <v>13702</v>
      </c>
      <c r="B10901" s="6" t="s">
        <v>13708</v>
      </c>
      <c r="C10901" s="5" t="str">
        <f>IFERROR(__xludf.DUMMYFUNCTION("GOOGLETRANSLATE(B10901,""en"",""fr"")"),"Il est enfin temps pour les cookies d'être mis au four et elle définit la minuterie sur son téléphone pour qu'elle ne les brûle pas.")</f>
        <v>Il est enfin temps pour les cookies d'être mis au four et elle définit la minuterie sur son téléphone pour qu'elle ne les brûle pas.</v>
      </c>
    </row>
    <row r="10902">
      <c r="A10902" s="4" t="s">
        <v>13702</v>
      </c>
      <c r="B10902" s="6" t="s">
        <v>13709</v>
      </c>
      <c r="C10902" s="5" t="str">
        <f>IFERROR(__xludf.DUMMYFUNCTION("GOOGLETRANSLATE(B10902,""en"",""fr"")"),"Une fois le temps écoulé, elle les sort du four en ajoute un sur une assiette et le emmène à une fille dans le couloir.")</f>
        <v>Une fois le temps écoulé, elle les sort du four en ajoute un sur une assiette et le emmène à une fille dans le couloir.</v>
      </c>
    </row>
    <row r="10903">
      <c r="A10903" s="4" t="s">
        <v>13710</v>
      </c>
      <c r="B10903" s="4" t="s">
        <v>13711</v>
      </c>
      <c r="C10903" s="5" t="str">
        <f>IFERROR(__xludf.DUMMYFUNCTION("GOOGLETRANSLATE(B10903,""en"",""fr"")"),"Un homme parle à la caméra.")</f>
        <v>Un homme parle à la caméra.</v>
      </c>
    </row>
    <row r="10904">
      <c r="A10904" s="4" t="s">
        <v>13710</v>
      </c>
      <c r="B10904" s="4" t="s">
        <v>13712</v>
      </c>
      <c r="C10904" s="5" t="str">
        <f>IFERROR(__xludf.DUMMYFUNCTION("GOOGLETRANSLATE(B10904,""en"",""fr"")"),"Il roule une grosse boîte dans la pièce et continue d'ouvrir une boîte où un vélo se trouve à l'intérieur.")</f>
        <v>Il roule une grosse boîte dans la pièce et continue d'ouvrir une boîte où un vélo se trouve à l'intérieur.</v>
      </c>
    </row>
    <row r="10905">
      <c r="A10905" s="4" t="s">
        <v>13710</v>
      </c>
      <c r="B10905" s="6" t="s">
        <v>13713</v>
      </c>
      <c r="C10905" s="5" t="str">
        <f>IFERROR(__xludf.DUMMYFUNCTION("GOOGLETRANSLATE(B10905,""en"",""fr"")"),"De l'intérieur de la boîte, il sort une petite boîte pleine d'outils pour l'usage de l'assemblage du vélo.")</f>
        <v>De l'intérieur de la boîte, il sort une petite boîte pleine d'outils pour l'usage de l'assemblage du vélo.</v>
      </c>
    </row>
    <row r="10906">
      <c r="A10906" s="4" t="s">
        <v>13710</v>
      </c>
      <c r="B10906" s="4" t="s">
        <v>13714</v>
      </c>
      <c r="C10906" s="5" t="str">
        <f>IFERROR(__xludf.DUMMYFUNCTION("GOOGLETRANSLATE(B10906,""en"",""fr"")"),"Il a de nouveau revu à la caméra.")</f>
        <v>Il a de nouveau revu à la caméra.</v>
      </c>
    </row>
    <row r="10907">
      <c r="A10907" s="4" t="s">
        <v>13710</v>
      </c>
      <c r="B10907" s="4" t="s">
        <v>13715</v>
      </c>
      <c r="C10907" s="5" t="str">
        <f>IFERROR(__xludf.DUMMYFUNCTION("GOOGLETRANSLATE(B10907,""en"",""fr"")"),"Il retire toutes les boîtes assises autour du vélo et assemble le vélo.")</f>
        <v>Il retire toutes les boîtes assises autour du vélo et assemble le vélo.</v>
      </c>
    </row>
    <row r="10908">
      <c r="A10908" s="4" t="s">
        <v>13710</v>
      </c>
      <c r="B10908" s="4" t="s">
        <v>13716</v>
      </c>
      <c r="C10908" s="5" t="str">
        <f>IFERROR(__xludf.DUMMYFUNCTION("GOOGLETRANSLATE(B10908,""en"",""fr"")"),"Encore une fois, il parle à la caméra.")</f>
        <v>Encore une fois, il parle à la caméra.</v>
      </c>
    </row>
    <row r="10909">
      <c r="A10909" s="4" t="s">
        <v>13710</v>
      </c>
      <c r="B10909" s="4" t="s">
        <v>13717</v>
      </c>
      <c r="C10909" s="5" t="str">
        <f>IFERROR(__xludf.DUMMYFUNCTION("GOOGLETRANSLATE(B10909,""en"",""fr"")"),"Il retire deux pédales des sacs et attache les deux pédales sur le vélo.")</f>
        <v>Il retire deux pédales des sacs et attache les deux pédales sur le vélo.</v>
      </c>
    </row>
    <row r="10910">
      <c r="A10910" s="4" t="s">
        <v>13710</v>
      </c>
      <c r="B10910" s="4" t="s">
        <v>13718</v>
      </c>
      <c r="C10910" s="5" t="str">
        <f>IFERROR(__xludf.DUMMYFUNCTION("GOOGLETRANSLATE(B10910,""en"",""fr"")"),"Il prend le vélo pour un tour.")</f>
        <v>Il prend le vélo pour un tour.</v>
      </c>
    </row>
    <row r="10911">
      <c r="A10911" s="4" t="s">
        <v>13710</v>
      </c>
      <c r="B10911" s="4" t="s">
        <v>13719</v>
      </c>
      <c r="C10911" s="5" t="str">
        <f>IFERROR(__xludf.DUMMYFUNCTION("GOOGLETRANSLATE(B10911,""en"",""fr"")"),"En bref, il parle à la caméra.")</f>
        <v>En bref, il parle à la caméra.</v>
      </c>
    </row>
    <row r="10912">
      <c r="A10912" s="4" t="s">
        <v>13720</v>
      </c>
      <c r="B10912" s="4" t="s">
        <v>13721</v>
      </c>
      <c r="C10912" s="5" t="str">
        <f>IFERROR(__xludf.DUMMYFUNCTION("GOOGLETRANSLATE(B10912,""en"",""fr"")"),"Nous voyons deux personnes jouer au baby-foot.")</f>
        <v>Nous voyons deux personnes jouer au baby-foot.</v>
      </c>
    </row>
    <row r="10913">
      <c r="A10913" s="4" t="s">
        <v>13720</v>
      </c>
      <c r="B10913" s="4" t="s">
        <v>13722</v>
      </c>
      <c r="C10913" s="5" t="str">
        <f>IFERROR(__xludf.DUMMYFUNCTION("GOOGLETRANSLATE(B10913,""en"",""fr"")"),"Un homme en chemise noire quitte la pièce et tourne avant de partir.")</f>
        <v>Un homme en chemise noire quitte la pièce et tourne avant de partir.</v>
      </c>
    </row>
    <row r="10914">
      <c r="A10914" s="4" t="s">
        <v>13720</v>
      </c>
      <c r="B10914" s="4" t="s">
        <v>13723</v>
      </c>
      <c r="C10914" s="5" t="str">
        <f>IFERROR(__xludf.DUMMYFUNCTION("GOOGLETRANSLATE(B10914,""en"",""fr"")"),"Un homme met son visage devant la caméra.")</f>
        <v>Un homme met son visage devant la caméra.</v>
      </c>
    </row>
    <row r="10915">
      <c r="A10915" s="4" t="s">
        <v>13724</v>
      </c>
      <c r="B10915" s="4" t="s">
        <v>13725</v>
      </c>
      <c r="C10915" s="5" t="str">
        <f>IFERROR(__xludf.DUMMYFUNCTION("GOOGLETRANSLATE(B10915,""en"",""fr"")"),"Un homme montre un garçon essayant de résoudre un cube Rubix.")</f>
        <v>Un homme montre un garçon essayant de résoudre un cube Rubix.</v>
      </c>
    </row>
    <row r="10916">
      <c r="A10916" s="4" t="s">
        <v>13724</v>
      </c>
      <c r="B10916" s="4" t="s">
        <v>13726</v>
      </c>
      <c r="C10916" s="5" t="str">
        <f>IFERROR(__xludf.DUMMYFUNCTION("GOOGLETRANSLATE(B10916,""en"",""fr"")"),"Une minuterie va chronométrer que le garçon et les autres autour de lui essaient également.")</f>
        <v>Une minuterie va chronométrer que le garçon et les autres autour de lui essaient également.</v>
      </c>
    </row>
    <row r="10917">
      <c r="A10917" s="4" t="s">
        <v>13724</v>
      </c>
      <c r="B10917" s="4" t="s">
        <v>13727</v>
      </c>
      <c r="C10917" s="5" t="str">
        <f>IFERROR(__xludf.DUMMYFUNCTION("GOOGLETRANSLATE(B10917,""en"",""fr"")"),"Les spectateurs vont de table en table à regarder.")</f>
        <v>Les spectateurs vont de table en table à regarder.</v>
      </c>
    </row>
    <row r="10918">
      <c r="A10918" s="4" t="s">
        <v>13724</v>
      </c>
      <c r="B10918" s="4" t="s">
        <v>13728</v>
      </c>
      <c r="C10918" s="5" t="str">
        <f>IFERROR(__xludf.DUMMYFUNCTION("GOOGLETRANSLATE(B10918,""en"",""fr"")"),"Un garçon attrape un stylo et l'homme résout le puzzle.")</f>
        <v>Un garçon attrape un stylo et l'homme résout le puzzle.</v>
      </c>
    </row>
    <row r="10919">
      <c r="A10919" s="4" t="s">
        <v>13729</v>
      </c>
      <c r="B10919" s="4" t="s">
        <v>13730</v>
      </c>
      <c r="C10919" s="5" t="str">
        <f>IFERROR(__xludf.DUMMYFUNCTION("GOOGLETRANSLATE(B10919,""en"",""fr"")"),"Un homme en uniforme blanc se tient au comptoir de la cuisine.")</f>
        <v>Un homme en uniforme blanc se tient au comptoir de la cuisine.</v>
      </c>
    </row>
    <row r="10920">
      <c r="A10920" s="4" t="s">
        <v>13729</v>
      </c>
      <c r="B10920" s="4" t="s">
        <v>13731</v>
      </c>
      <c r="C10920" s="5" t="str">
        <f>IFERROR(__xludf.DUMMYFUNCTION("GOOGLETRANSLATE(B10920,""en"",""fr"")"),"L'homme sort un couteau et un aigueur, il a touché le bord du couteau.")</f>
        <v>L'homme sort un couteau et un aigueur, il a touché le bord du couteau.</v>
      </c>
    </row>
    <row r="10921">
      <c r="A10921" s="4" t="s">
        <v>13729</v>
      </c>
      <c r="B10921" s="4" t="s">
        <v>13732</v>
      </c>
      <c r="C10921" s="5" t="str">
        <f>IFERROR(__xludf.DUMMYFUNCTION("GOOGLETRANSLATE(B10921,""en"",""fr"")"),"L'homme maintient le pointeur du couteau en métal et aiguise lentement le couteau d'un côté à l'autre.")</f>
        <v>L'homme maintient le pointeur du couteau en métal et aiguise lentement le couteau d'un côté à l'autre.</v>
      </c>
    </row>
    <row r="10922">
      <c r="A10922" s="4" t="s">
        <v>13729</v>
      </c>
      <c r="B10922" s="4" t="s">
        <v>13733</v>
      </c>
      <c r="C10922" s="5" t="str">
        <f>IFERROR(__xludf.DUMMYFUNCTION("GOOGLETRANSLATE(B10922,""en"",""fr"")"),"L'homme utilise différents types d'outils pour aiguiser le couteau comme la machine et la pierre d'eau.")</f>
        <v>L'homme utilise différents types d'outils pour aiguiser le couteau comme la machine et la pierre d'eau.</v>
      </c>
    </row>
    <row r="10923">
      <c r="A10923" s="4" t="s">
        <v>13734</v>
      </c>
      <c r="B10923" s="4" t="s">
        <v>13735</v>
      </c>
      <c r="C10923" s="5" t="str">
        <f>IFERROR(__xludf.DUMMYFUNCTION("GOOGLETRANSLATE(B10923,""en"",""fr"")"),"Un homme laisse tomber une raquette de tennis avec le ballon puis frappe le ballon.")</f>
        <v>Un homme laisse tomber une raquette de tennis avec le ballon puis frappe le ballon.</v>
      </c>
    </row>
    <row r="10924">
      <c r="A10924" s="4" t="s">
        <v>13734</v>
      </c>
      <c r="B10924" s="4" t="s">
        <v>13736</v>
      </c>
      <c r="C10924" s="5" t="str">
        <f>IFERROR(__xludf.DUMMYFUNCTION("GOOGLETRANSLATE(B10924,""en"",""fr"")"),"Une autre personne fait le même truc et montre ensuite qu'elle est de Serbie.")</f>
        <v>Une autre personne fait le même truc et montre ensuite qu'elle est de Serbie.</v>
      </c>
    </row>
    <row r="10925">
      <c r="A10925" s="4" t="s">
        <v>13737</v>
      </c>
      <c r="B10925" s="4" t="s">
        <v>13738</v>
      </c>
      <c r="C10925" s="5" t="str">
        <f>IFERROR(__xludf.DUMMYFUNCTION("GOOGLETRANSLATE(B10925,""en"",""fr"")"),"Un homme joue avec un chien sur l'herbe.")</f>
        <v>Un homme joue avec un chien sur l'herbe.</v>
      </c>
    </row>
    <row r="10926">
      <c r="A10926" s="4" t="s">
        <v>13737</v>
      </c>
      <c r="B10926" s="4" t="s">
        <v>13739</v>
      </c>
      <c r="C10926" s="5" t="str">
        <f>IFERROR(__xludf.DUMMYFUNCTION("GOOGLETRANSLATE(B10926,""en"",""fr"")"),"Il retourne et jette ensuite un frisbee.")</f>
        <v>Il retourne et jette ensuite un frisbee.</v>
      </c>
    </row>
    <row r="10927">
      <c r="A10927" s="4" t="s">
        <v>13737</v>
      </c>
      <c r="B10927" s="4" t="s">
        <v>13740</v>
      </c>
      <c r="C10927" s="5" t="str">
        <f>IFERROR(__xludf.DUMMYFUNCTION("GOOGLETRANSLATE(B10927,""en"",""fr"")"),"Le chien court côte à côte et le poursuit.")</f>
        <v>Le chien court côte à côte et le poursuit.</v>
      </c>
    </row>
    <row r="10928">
      <c r="A10928" s="4" t="s">
        <v>13737</v>
      </c>
      <c r="B10928" s="4" t="s">
        <v>13741</v>
      </c>
      <c r="C10928" s="5" t="str">
        <f>IFERROR(__xludf.DUMMYFUNCTION("GOOGLETRANSLATE(B10928,""en"",""fr"")"),"Il attrape deux autres frisbees et les jette pendant que le chien saute.")</f>
        <v>Il attrape deux autres frisbees et les jette pendant que le chien saute.</v>
      </c>
    </row>
    <row r="10929">
      <c r="A10929" s="4" t="s">
        <v>13737</v>
      </c>
      <c r="B10929" s="4" t="s">
        <v>13742</v>
      </c>
      <c r="C10929" s="5" t="str">
        <f>IFERROR(__xludf.DUMMYFUNCTION("GOOGLETRANSLATE(B10929,""en"",""fr"")"),"Il jette le frisbee un peu plus pendant que le chien court.")</f>
        <v>Il jette le frisbee un peu plus pendant que le chien court.</v>
      </c>
    </row>
    <row r="10930">
      <c r="A10930" s="4" t="s">
        <v>13737</v>
      </c>
      <c r="B10930" s="4" t="s">
        <v>13743</v>
      </c>
      <c r="C10930" s="5" t="str">
        <f>IFERROR(__xludf.DUMMYFUNCTION("GOOGLETRANSLATE(B10930,""en"",""fr"")"),"Le chien continue de sauter d'un côté à l'autre et de courir dans toutes les directions lorsqu'ils sont lancés.")</f>
        <v>Le chien continue de sauter d'un côté à l'autre et de courir dans toutes les directions lorsqu'ils sont lancés.</v>
      </c>
    </row>
    <row r="10931">
      <c r="A10931" s="4" t="s">
        <v>13744</v>
      </c>
      <c r="B10931" s="4" t="s">
        <v>13745</v>
      </c>
      <c r="C10931" s="5" t="str">
        <f>IFERROR(__xludf.DUMMYFUNCTION("GOOGLETRANSLATE(B10931,""en"",""fr"")"),"Un homme et une femme sirotent un liquide bleu et se rincent la bouche.")</f>
        <v>Un homme et une femme sirotent un liquide bleu et se rincent la bouche.</v>
      </c>
    </row>
    <row r="10932">
      <c r="A10932" s="4" t="s">
        <v>13744</v>
      </c>
      <c r="B10932" s="4" t="s">
        <v>13746</v>
      </c>
      <c r="C10932" s="5" t="str">
        <f>IFERROR(__xludf.DUMMYFUNCTION("GOOGLETRANSLATE(B10932,""en"",""fr"")"),"Ensuite, la femme plie et jette le liquide pendant que l'homme continue de se rincer la bouche.")</f>
        <v>Ensuite, la femme plie et jette le liquide pendant que l'homme continue de se rincer la bouche.</v>
      </c>
    </row>
    <row r="10933">
      <c r="A10933" s="4" t="s">
        <v>13747</v>
      </c>
      <c r="B10933" s="4" t="s">
        <v>13748</v>
      </c>
      <c r="C10933" s="5" t="str">
        <f>IFERROR(__xludf.DUMMYFUNCTION("GOOGLETRANSLATE(B10933,""en"",""fr"")"),"Une femme est montrée en parlant à la caméra et mène à son début à peindre un tableau.")</f>
        <v>Une femme est montrée en parlant à la caméra et mène à son début à peindre un tableau.</v>
      </c>
    </row>
    <row r="10934">
      <c r="A10934" s="4" t="s">
        <v>13747</v>
      </c>
      <c r="B10934" s="6" t="s">
        <v>13749</v>
      </c>
      <c r="C10934" s="5" t="str">
        <f>IFERROR(__xludf.DUMMYFUNCTION("GOOGLETRANSLATE(B10934,""en"",""fr"")"),"Elle retire son pinceau en arrière et quatrième sur la toile et mettant différentes couleurs et tourbillons sur les côtés.")</f>
        <v>Elle retire son pinceau en arrière et quatrième sur la toile et mettant différentes couleurs et tourbillons sur les côtés.</v>
      </c>
    </row>
    <row r="10935">
      <c r="A10935" s="4" t="s">
        <v>13750</v>
      </c>
      <c r="B10935" s="4" t="s">
        <v>13751</v>
      </c>
      <c r="C10935" s="5" t="str">
        <f>IFERROR(__xludf.DUMMYFUNCTION("GOOGLETRANSLATE(B10935,""en"",""fr"")"),"Une personne est vue debout sur un court de tennis rebondissant une balle.")</f>
        <v>Une personne est vue debout sur un court de tennis rebondissant une balle.</v>
      </c>
    </row>
    <row r="10936">
      <c r="A10936" s="4" t="s">
        <v>13750</v>
      </c>
      <c r="B10936" s="4" t="s">
        <v>13752</v>
      </c>
      <c r="C10936" s="5" t="str">
        <f>IFERROR(__xludf.DUMMYFUNCTION("GOOGLETRANSLATE(B10936,""en"",""fr"")"),"Un autre homme est vu debout de l'autre côté devant un large public.")</f>
        <v>Un autre homme est vu debout de l'autre côté devant un large public.</v>
      </c>
    </row>
    <row r="10937">
      <c r="A10937" s="4" t="s">
        <v>13750</v>
      </c>
      <c r="B10937" s="4" t="s">
        <v>13753</v>
      </c>
      <c r="C10937" s="5" t="str">
        <f>IFERROR(__xludf.DUMMYFUNCTION("GOOGLETRANSLATE(B10937,""en"",""fr"")"),"L'homme frappe ensuite le ballon sur le filet et rebondit de l'autre côté.")</f>
        <v>L'homme frappe ensuite le ballon sur le filet et rebondit de l'autre côté.</v>
      </c>
    </row>
    <row r="10938">
      <c r="A10938" s="4" t="s">
        <v>13754</v>
      </c>
      <c r="B10938" s="6" t="s">
        <v>13755</v>
      </c>
      <c r="C10938" s="5" t="str">
        <f>IFERROR(__xludf.DUMMYFUNCTION("GOOGLETRANSLATE(B10938,""en"",""fr"")"),"Une fille est vue assise sur une chaise avec une autre personne qui s'essuyait le visage et lui tendant un miroir pour regarder.")</f>
        <v>Une fille est vue assise sur une chaise avec une autre personne qui s'essuyait le visage et lui tendant un miroir pour regarder.</v>
      </c>
    </row>
    <row r="10939">
      <c r="A10939" s="4" t="s">
        <v>13754</v>
      </c>
      <c r="B10939" s="4" t="s">
        <v>13756</v>
      </c>
      <c r="C10939" s="5" t="str">
        <f>IFERROR(__xludf.DUMMYFUNCTION("GOOGLETRANSLATE(B10939,""en"",""fr"")"),"Il perce ensuite les joues de la fille et la caméra zoome sur le visage de la fille quand il a fini.")</f>
        <v>Il perce ensuite les joues de la fille et la caméra zoome sur le visage de la fille quand il a fini.</v>
      </c>
    </row>
    <row r="10940">
      <c r="A10940" s="4" t="s">
        <v>13757</v>
      </c>
      <c r="B10940" s="4" t="s">
        <v>13758</v>
      </c>
      <c r="C10940" s="5" t="str">
        <f>IFERROR(__xludf.DUMMYFUNCTION("GOOGLETRANSLATE(B10940,""en"",""fr"")"),"Une femme est vue en parlant à la caméra tout en se tenant dans une douche et en tenant divers objets.")</f>
        <v>Une femme est vue en parlant à la caméra tout en se tenant dans une douche et en tenant divers objets.</v>
      </c>
    </row>
    <row r="10941">
      <c r="A10941" s="4" t="s">
        <v>13757</v>
      </c>
      <c r="B10941" s="6" t="s">
        <v>13759</v>
      </c>
      <c r="C10941" s="5" t="str">
        <f>IFERROR(__xludf.DUMMYFUNCTION("GOOGLETRANSLATE(B10941,""en"",""fr"")"),"La femme frotte ensuite des lotions sur ses jambes et commence à se raser les jambes et à se terminer en parlant à la caméra.")</f>
        <v>La femme frotte ensuite des lotions sur ses jambes et commence à se raser les jambes et à se terminer en parlant à la caméra.</v>
      </c>
    </row>
    <row r="10942">
      <c r="A10942" s="4" t="s">
        <v>13760</v>
      </c>
      <c r="B10942" s="4" t="s">
        <v>13761</v>
      </c>
      <c r="C10942" s="5" t="str">
        <f>IFERROR(__xludf.DUMMYFUNCTION("GOOGLETRANSLATE(B10942,""en"",""fr"")"),"Un homme est vu parler à la caméra tenant un ballon de basket.")</f>
        <v>Un homme est vu parler à la caméra tenant un ballon de basket.</v>
      </c>
    </row>
    <row r="10943">
      <c r="A10943" s="4" t="s">
        <v>13760</v>
      </c>
      <c r="B10943" s="4" t="s">
        <v>13762</v>
      </c>
      <c r="C10943" s="5" t="str">
        <f>IFERROR(__xludf.DUMMYFUNCTION("GOOGLETRANSLATE(B10943,""en"",""fr"")"),"L'homme commence alors à jeter le ballon dans le cerceau plusieurs fois.")</f>
        <v>L'homme commence alors à jeter le ballon dans le cerceau plusieurs fois.</v>
      </c>
    </row>
    <row r="10944">
      <c r="A10944" s="4" t="s">
        <v>13760</v>
      </c>
      <c r="B10944" s="4" t="s">
        <v>13763</v>
      </c>
      <c r="C10944" s="5" t="str">
        <f>IFERROR(__xludf.DUMMYFUNCTION("GOOGLETRANSLATE(B10944,""en"",""fr"")"),"Il revient à la caméra et continue de parler tout en se déplaçant les mains.")</f>
        <v>Il revient à la caméra et continue de parler tout en se déplaçant les mains.</v>
      </c>
    </row>
    <row r="10945">
      <c r="A10945" s="4" t="s">
        <v>13764</v>
      </c>
      <c r="B10945" s="6" t="s">
        <v>13765</v>
      </c>
      <c r="C10945" s="5" t="str">
        <f>IFERROR(__xludf.DUMMYFUNCTION("GOOGLETRANSLATE(B10945,""en"",""fr"")"),"Une jeune femme est vue en parlant à la caméra et transitions en elle avec ses cheveux devant son visage.")</f>
        <v>Une jeune femme est vue en parlant à la caméra et transitions en elle avec ses cheveux devant son visage.</v>
      </c>
    </row>
    <row r="10946">
      <c r="A10946" s="4" t="s">
        <v>13764</v>
      </c>
      <c r="B10946" s="4" t="s">
        <v>13766</v>
      </c>
      <c r="C10946" s="5" t="str">
        <f>IFERROR(__xludf.DUMMYFUNCTION("GOOGLETRANSLATE(B10946,""en"",""fr"")"),"Elle brosse lentement et associe ses cheveux et retourne ses cheveux à la fin.")</f>
        <v>Elle brosse lentement et associe ses cheveux et retourne ses cheveux à la fin.</v>
      </c>
    </row>
    <row r="10947">
      <c r="A10947" s="4" t="s">
        <v>13767</v>
      </c>
      <c r="B10947" s="4" t="s">
        <v>13768</v>
      </c>
      <c r="C10947" s="5" t="str">
        <f>IFERROR(__xludf.DUMMYFUNCTION("GOOGLETRANSLATE(B10947,""en"",""fr"")"),"Un petit groupe de filles est vu blotti et commence à se déplacer sur le terrain.")</f>
        <v>Un petit groupe de filles est vu blotti et commence à se déplacer sur le terrain.</v>
      </c>
    </row>
    <row r="10948">
      <c r="A10948" s="4" t="s">
        <v>13767</v>
      </c>
      <c r="B10948" s="4" t="s">
        <v>13769</v>
      </c>
      <c r="C10948" s="5" t="str">
        <f>IFERROR(__xludf.DUMMYFUNCTION("GOOGLETRANSLATE(B10948,""en"",""fr"")"),"De plus en plus de femmes courent dans le grand hockey sur le terrain sur le terrain.")</f>
        <v>De plus en plus de femmes courent dans le grand hockey sur le terrain sur le terrain.</v>
      </c>
    </row>
    <row r="10949">
      <c r="A10949" s="4" t="s">
        <v>13767</v>
      </c>
      <c r="B10949" s="4" t="s">
        <v>13770</v>
      </c>
      <c r="C10949" s="5" t="str">
        <f>IFERROR(__xludf.DUMMYFUNCTION("GOOGLETRANSLATE(B10949,""en"",""fr"")"),"Les filles continuent de jouer les unes contre les autres et se terminent par Waliling.")</f>
        <v>Les filles continuent de jouer les unes contre les autres et se terminent par Waliling.</v>
      </c>
    </row>
    <row r="10950">
      <c r="A10950" s="4" t="s">
        <v>13771</v>
      </c>
      <c r="B10950" s="6" t="s">
        <v>13772</v>
      </c>
      <c r="C10950" s="5" t="str">
        <f>IFERROR(__xludf.DUMMYFUNCTION("GOOGLETRANSLATE(B10950,""en"",""fr"")"),"Un gros plan est montré d'un jeune enfant se déplaçant sur une balançoire et des gens se tenant autour de lui pour pousser.")</f>
        <v>Un gros plan est montré d'un jeune enfant se déplaçant sur une balançoire et des gens se tenant autour de lui pour pousser.</v>
      </c>
    </row>
    <row r="10951">
      <c r="A10951" s="4" t="s">
        <v>13771</v>
      </c>
      <c r="B10951" s="6" t="s">
        <v>13773</v>
      </c>
      <c r="C10951" s="5" t="str">
        <f>IFERROR(__xludf.DUMMYFUNCTION("GOOGLETRANSLATE(B10951,""en"",""fr"")"),"La caméra continue de suivre le garçon autour de la cour pendant que la maman se couche dans l'herbe, puis la fille se balançant.")</f>
        <v>La caméra continue de suivre le garçon autour de la cour pendant que la maman se couche dans l'herbe, puis la fille se balançant.</v>
      </c>
    </row>
    <row r="10952">
      <c r="A10952" s="4" t="s">
        <v>13771</v>
      </c>
      <c r="B10952" s="4" t="s">
        <v>13774</v>
      </c>
      <c r="C10952" s="5" t="str">
        <f>IFERROR(__xludf.DUMMYFUNCTION("GOOGLETRANSLATE(B10952,""en"",""fr"")"),"Les parents jouent davantage avec les enfants, leur baisent et le père s'éloigne avec la fille.")</f>
        <v>Les parents jouent davantage avec les enfants, leur baisent et le père s'éloigne avec la fille.</v>
      </c>
    </row>
    <row r="10953">
      <c r="A10953" s="4" t="s">
        <v>13775</v>
      </c>
      <c r="B10953" s="6" t="s">
        <v>13776</v>
      </c>
      <c r="C10953" s="5" t="str">
        <f>IFERROR(__xludf.DUMMYFUNCTION("GOOGLETRANSLATE(B10953,""en"",""fr"")"),"Un artiste de rue est assis sur une caisse et tambour sur des seaux et des poêles avec des bâtons de tambour.")</f>
        <v>Un artiste de rue est assis sur une caisse et tambour sur des seaux et des poêles avec des bâtons de tambour.</v>
      </c>
    </row>
    <row r="10954">
      <c r="A10954" s="4" t="s">
        <v>13775</v>
      </c>
      <c r="B10954" s="4" t="s">
        <v>13777</v>
      </c>
      <c r="C10954" s="5" t="str">
        <f>IFERROR(__xludf.DUMMYFUNCTION("GOOGLETRANSLATE(B10954,""en"",""fr"")"),"Il fait sauter des seaux et de frustration, le poignarde avec le bâton.")</f>
        <v>Il fait sauter des seaux et de frustration, le poignarde avec le bâton.</v>
      </c>
    </row>
    <row r="10955">
      <c r="A10955" s="4" t="s">
        <v>13775</v>
      </c>
      <c r="B10955" s="4" t="s">
        <v>13778</v>
      </c>
      <c r="C10955" s="5" t="str">
        <f>IFERROR(__xludf.DUMMYFUNCTION("GOOGLETRANSLATE(B10955,""en"",""fr"")"),"Il remplace le seau et recommence dans son rythme alors qu'une foule se rassemble.")</f>
        <v>Il remplace le seau et recommence dans son rythme alors qu'une foule se rassemble.</v>
      </c>
    </row>
    <row r="10956">
      <c r="A10956" s="4" t="s">
        <v>13775</v>
      </c>
      <c r="B10956" s="4" t="s">
        <v>13779</v>
      </c>
      <c r="C10956" s="5" t="str">
        <f>IFERROR(__xludf.DUMMYFUNCTION("GOOGLETRANSLATE(B10956,""en"",""fr"")"),"Il réorganise à nouveau les seaux et continue de tambour.")</f>
        <v>Il réorganise à nouveau les seaux et continue de tambour.</v>
      </c>
    </row>
    <row r="10957">
      <c r="A10957" s="4" t="s">
        <v>13780</v>
      </c>
      <c r="B10957" s="6" t="s">
        <v>13781</v>
      </c>
      <c r="C10957" s="5" t="str">
        <f>IFERROR(__xludf.DUMMYFUNCTION("GOOGLETRANSLATE(B10957,""en"",""fr"")"),"Une grande foule est vue assise devant une piscine suivie de plusieurs coups de deux personnes plongeant dans une piscine.")</f>
        <v>Une grande foule est vue assise devant une piscine suivie de plusieurs coups de deux personnes plongeant dans une piscine.</v>
      </c>
    </row>
    <row r="10958">
      <c r="A10958" s="4" t="s">
        <v>13780</v>
      </c>
      <c r="B10958" s="6" t="s">
        <v>13782</v>
      </c>
      <c r="C10958" s="5" t="str">
        <f>IFERROR(__xludf.DUMMYFUNCTION("GOOGLETRANSLATE(B10958,""en"",""fr"")"),"D'autres tirs sont montrés sur des plongeurs effectuant des cascades impressionnantes dans la piscine et se termine avec elles s'éloigner et leur score est montré.")</f>
        <v>D'autres tirs sont montrés sur des plongeurs effectuant des cascades impressionnantes dans la piscine et se termine avec elles s'éloigner et leur score est montré.</v>
      </c>
    </row>
    <row r="10959">
      <c r="A10959" s="4" t="s">
        <v>13780</v>
      </c>
      <c r="B10959" s="4" t="s">
        <v>13783</v>
      </c>
      <c r="C10959" s="5" t="str">
        <f>IFERROR(__xludf.DUMMYFUNCTION("GOOGLETRANSLATE(B10959,""en"",""fr"")"),"Un homme parle au loin et les plongeurs se tiennent ensemble pour obtenir leurs médailles.")</f>
        <v>Un homme parle au loin et les plongeurs se tiennent ensemble pour obtenir leurs médailles.</v>
      </c>
    </row>
    <row r="10960">
      <c r="A10960" s="4" t="s">
        <v>13784</v>
      </c>
      <c r="B10960" s="6" t="s">
        <v>13785</v>
      </c>
      <c r="C10960" s="5" t="str">
        <f>IFERROR(__xludf.DUMMYFUNCTION("GOOGLETRANSLATE(B10960,""en"",""fr"")"),"Un écran apparaît avec une montagne enneigée avec des pins et une superposition sur l'écran d'un logo et des mots qui disent que ""les conseils de cire à chaud efficace réduisent le temps, le coût et le désordre des matériaux"".")</f>
        <v>Un écran apparaît avec une montagne enneigée avec des pins et une superposition sur l'écran d'un logo et des mots qui disent que "les conseils de cire à chaud efficace réduisent le temps, le coût et le désordre des matériaux".</v>
      </c>
    </row>
    <row r="10961">
      <c r="A10961" s="4" t="s">
        <v>13784</v>
      </c>
      <c r="B10961" s="6" t="s">
        <v>13786</v>
      </c>
      <c r="C10961" s="5" t="str">
        <f>IFERROR(__xludf.DUMMYFUNCTION("GOOGLETRANSLATE(B10961,""en"",""fr"")"),"Une paire de skis est dans un atelier et un homme travaille sur eux qui comprenait des rondes frottant de la cire sur les skis, en repoussant les skis, en grattant les skis tandis que les mots en bas apparaissent tout au long du processus alors qu'il expl"&amp;"ique ce qui est fait.")</f>
        <v>Une paire de skis est dans un atelier et un homme travaille sur eux qui comprenait des rondes frottant de la cire sur les skis, en repoussant les skis, en grattant les skis tandis que les mots en bas apparaissent tout au long du processus alors qu'il explique ce qui est fait.</v>
      </c>
    </row>
    <row r="10962">
      <c r="A10962" s="4" t="s">
        <v>13784</v>
      </c>
      <c r="B10962" s="6" t="s">
        <v>13787</v>
      </c>
      <c r="C10962" s="5" t="str">
        <f>IFERROR(__xludf.DUMMYFUNCTION("GOOGLETRANSLATE(B10962,""en"",""fr"")"),"L'homme affûte maintenant les bords d'un fichier, puis commence à gratter les skis, puis se termine en le repoussant avec différents vêtements entre le fer et les skis.")</f>
        <v>L'homme affûte maintenant les bords d'un fichier, puis commence à gratter les skis, puis se termine en le repoussant avec différents vêtements entre le fer et les skis.</v>
      </c>
    </row>
    <row r="10963">
      <c r="A10963" s="4" t="s">
        <v>13784</v>
      </c>
      <c r="B10963" s="6" t="s">
        <v>13788</v>
      </c>
      <c r="C10963" s="5" t="str">
        <f>IFERROR(__xludf.DUMMYFUNCTION("GOOGLETRANSLATE(B10963,""en"",""fr"")"),"L'écran outro apparaît et c'est l'image exacte comme l'intro, mais les mots disent maintenant ""Découvrez notre raclée vidéo et brossage"" et il inclut également le logo de l'entreprise.")</f>
        <v>L'écran outro apparaît et c'est l'image exacte comme l'intro, mais les mots disent maintenant "Découvrez notre raclée vidéo et brossage" et il inclut également le logo de l'entreprise.</v>
      </c>
    </row>
    <row r="10964">
      <c r="A10964" s="4" t="s">
        <v>13789</v>
      </c>
      <c r="B10964" s="4" t="s">
        <v>13790</v>
      </c>
      <c r="C10964" s="5" t="str">
        <f>IFERROR(__xludf.DUMMYFUNCTION("GOOGLETRANSLATE(B10964,""en"",""fr"")"),"Une femme est vue en parlant à la caméra tout en saisissant divers sacs et en les disposant.")</f>
        <v>Une femme est vue en parlant à la caméra tout en saisissant divers sacs et en les disposant.</v>
      </c>
    </row>
    <row r="10965">
      <c r="A10965" s="4" t="s">
        <v>13789</v>
      </c>
      <c r="B10965" s="4" t="s">
        <v>13791</v>
      </c>
      <c r="C10965" s="5" t="str">
        <f>IFERROR(__xludf.DUMMYFUNCTION("GOOGLETRANSLATE(B10965,""en"",""fr"")"),"Elle met et s'oppose dans un sac tout en pointant une boîte à côté d'elle.")</f>
        <v>Elle met et s'oppose dans un sac tout en pointant une boîte à côté d'elle.</v>
      </c>
    </row>
    <row r="10966">
      <c r="A10966" s="4" t="s">
        <v>13789</v>
      </c>
      <c r="B10966" s="4" t="s">
        <v>13792</v>
      </c>
      <c r="C10966" s="5" t="str">
        <f>IFERROR(__xludf.DUMMYFUNCTION("GOOGLETRANSLATE(B10966,""en"",""fr"")"),"Elle fourre du papier dans le sac et se termine en attachant un arc sur le dessus.")</f>
        <v>Elle fourre du papier dans le sac et se termine en attachant un arc sur le dessus.</v>
      </c>
    </row>
    <row r="10967">
      <c r="A10967" s="4" t="s">
        <v>13793</v>
      </c>
      <c r="B10967" s="4" t="s">
        <v>13794</v>
      </c>
      <c r="C10967" s="5" t="str">
        <f>IFERROR(__xludf.DUMMYFUNCTION("GOOGLETRANSLATE(B10967,""en"",""fr"")"),"Un homme joue l'harmonica sur le devant un microphone, puis il se termine et dit au revoir.")</f>
        <v>Un homme joue l'harmonica sur le devant un microphone, puis il se termine et dit au revoir.</v>
      </c>
    </row>
    <row r="10968">
      <c r="A10968" s="4" t="s">
        <v>13793</v>
      </c>
      <c r="B10968" s="4" t="s">
        <v>13795</v>
      </c>
      <c r="C10968" s="5" t="str">
        <f>IFERROR(__xludf.DUMMYFUNCTION("GOOGLETRANSLATE(B10968,""en"",""fr"")"),"Ensuite, une fille monte sur scène et parle avec le microphone.")</f>
        <v>Ensuite, une fille monte sur scène et parle avec le microphone.</v>
      </c>
    </row>
    <row r="10969">
      <c r="A10969" s="4" t="s">
        <v>13796</v>
      </c>
      <c r="B10969" s="4" t="s">
        <v>13797</v>
      </c>
      <c r="C10969" s="5" t="str">
        <f>IFERROR(__xludf.DUMMYFUNCTION("GOOGLETRANSLATE(B10969,""en"",""fr"")"),"Il y a quatre enfants à différents âges en jouant au coup de pied dans leur arrière-cour.")</f>
        <v>Il y a quatre enfants à différents âges en jouant au coup de pied dans leur arrière-cour.</v>
      </c>
    </row>
    <row r="10970">
      <c r="A10970" s="4" t="s">
        <v>13796</v>
      </c>
      <c r="B10970" s="6" t="s">
        <v>13798</v>
      </c>
      <c r="C10970" s="5" t="str">
        <f>IFERROR(__xludf.DUMMYFUNCTION("GOOGLETRANSLATE(B10970,""en"",""fr"")"),"La fille en rose donne le ballon à son frère dans la chemise orange pendant que les petits enfants courent et jouent.")</f>
        <v>La fille en rose donne le ballon à son frère dans la chemise orange pendant que les petits enfants courent et jouent.</v>
      </c>
    </row>
    <row r="10971">
      <c r="A10971" s="4" t="s">
        <v>13796</v>
      </c>
      <c r="B10971" s="4" t="s">
        <v>13799</v>
      </c>
      <c r="C10971" s="5" t="str">
        <f>IFERROR(__xludf.DUMMYFUNCTION("GOOGLETRANSLATE(B10971,""en"",""fr"")"),"Il y a un petit bébé assis par terre dans un bébé videur les regardant jouer.")</f>
        <v>Il y a un petit bébé assis par terre dans un bébé videur les regardant jouer.</v>
      </c>
    </row>
    <row r="10972">
      <c r="A10972" s="4" t="s">
        <v>13800</v>
      </c>
      <c r="B10972" s="4" t="s">
        <v>13801</v>
      </c>
      <c r="C10972" s="5" t="str">
        <f>IFERROR(__xludf.DUMMYFUNCTION("GOOGLETRANSLATE(B10972,""en"",""fr"")"),"Un homme parle à la caméra tout en rasant par intermittence les feuilles.")</f>
        <v>Un homme parle à la caméra tout en rasant par intermittence les feuilles.</v>
      </c>
    </row>
    <row r="10973">
      <c r="A10973" s="4" t="s">
        <v>13800</v>
      </c>
      <c r="B10973" s="4" t="s">
        <v>13802</v>
      </c>
      <c r="C10973" s="5" t="str">
        <f>IFERROR(__xludf.DUMMYFUNCTION("GOOGLETRANSLATE(B10973,""en"",""fr"")"),"Un gros plan d'un tas de feuilles est montré.")</f>
        <v>Un gros plan d'un tas de feuilles est montré.</v>
      </c>
    </row>
    <row r="10974">
      <c r="A10974" s="4" t="s">
        <v>13803</v>
      </c>
      <c r="B10974" s="6" t="s">
        <v>13804</v>
      </c>
      <c r="C10974" s="5" t="str">
        <f>IFERROR(__xludf.DUMMYFUNCTION("GOOGLETRANSLATE(B10974,""en"",""fr"")"),"Une dame parle à la caméra puis elle rit et regarde les yeux et la caméra se concentre ailleurs.")</f>
        <v>Une dame parle à la caméra puis elle rit et regarde les yeux et la caméra se concentre ailleurs.</v>
      </c>
    </row>
    <row r="10975">
      <c r="A10975" s="4" t="s">
        <v>13803</v>
      </c>
      <c r="B10975" s="6" t="s">
        <v>13805</v>
      </c>
      <c r="C10975" s="5" t="str">
        <f>IFERROR(__xludf.DUMMYFUNCTION("GOOGLETRANSLATE(B10975,""en"",""fr"")"),"La caméra est de retour à la dame et un homme se coupe les cheveux alors que sa bouche est ouverte dans l'incrédulité et l'homme rit alors qu'il coupe ses cheveux en un mouvement rapide autour de sa tête.")</f>
        <v>La caméra est de retour à la dame et un homme se coupe les cheveux alors que sa bouche est ouverte dans l'incrédulité et l'homme rit alors qu'il coupe ses cheveux en un mouvement rapide autour de sa tête.</v>
      </c>
    </row>
    <row r="10976">
      <c r="A10976" s="4" t="s">
        <v>13803</v>
      </c>
      <c r="B10976" s="6" t="s">
        <v>13806</v>
      </c>
      <c r="C10976" s="5" t="str">
        <f>IFERROR(__xludf.DUMMYFUNCTION("GOOGLETRANSLATE(B10976,""en"",""fr"")"),"La dame est tellement sous le choc et laisse tomber les cheveux de ses genoux et regarde le sol à tous les cheveux, touche ses cheveux, se lève pour regarder dans le miroir, hurle, pleure, commence à panique pour regarder dans le miroir.")</f>
        <v>La dame est tellement sous le choc et laisse tomber les cheveux de ses genoux et regarde le sol à tous les cheveux, touche ses cheveux, se lève pour regarder dans le miroir, hurle, pleure, commence à panique pour regarder dans le miroir.</v>
      </c>
    </row>
    <row r="10977">
      <c r="A10977" s="4" t="s">
        <v>13803</v>
      </c>
      <c r="B10977" s="4" t="s">
        <v>13807</v>
      </c>
      <c r="C10977" s="5" t="str">
        <f>IFERROR(__xludf.DUMMYFUNCTION("GOOGLETRANSLATE(B10977,""en"",""fr"")"),"La dame regarde dans le miroir et sourit mais vous pouvez dire qu'elle n'est pas heureuse.")</f>
        <v>La dame regarde dans le miroir et sourit mais vous pouvez dire qu'elle n'est pas heureuse.</v>
      </c>
    </row>
    <row r="10978">
      <c r="A10978" s="4" t="s">
        <v>13808</v>
      </c>
      <c r="B10978" s="4" t="s">
        <v>13809</v>
      </c>
      <c r="C10978" s="5" t="str">
        <f>IFERROR(__xludf.DUMMYFUNCTION("GOOGLETRANSLATE(B10978,""en"",""fr"")"),"Un jeune garçon est vu en souriant et en riant dans la caméra et commence à jouer du piano.")</f>
        <v>Un jeune garçon est vu en souriant et en riant dans la caméra et commence à jouer du piano.</v>
      </c>
    </row>
    <row r="10979">
      <c r="A10979" s="4" t="s">
        <v>13808</v>
      </c>
      <c r="B10979" s="6" t="s">
        <v>13810</v>
      </c>
      <c r="C10979" s="5" t="str">
        <f>IFERROR(__xludf.DUMMYFUNCTION("GOOGLETRANSLATE(B10979,""en"",""fr"")"),"Le garçon joue furieusement sur le piano à un rythme rapide et l'emmène en portant une chemise différente et en jouant toujours.")</f>
        <v>Le garçon joue furieusement sur le piano à un rythme rapide et l'emmène en portant une chemise différente et en jouant toujours.</v>
      </c>
    </row>
    <row r="10980">
      <c r="A10980" s="4" t="s">
        <v>13808</v>
      </c>
      <c r="B10980" s="4" t="s">
        <v>13811</v>
      </c>
      <c r="C10980" s="5" t="str">
        <f>IFERROR(__xludf.DUMMYFUNCTION("GOOGLETRANSLATE(B10980,""en"",""fr"")"),"Il termine en mettant son corps sur le piano puis en souriant dans la caméra.")</f>
        <v>Il termine en mettant son corps sur le piano puis en souriant dans la caméra.</v>
      </c>
    </row>
    <row r="10981">
      <c r="A10981" s="4" t="s">
        <v>13812</v>
      </c>
      <c r="B10981" s="4" t="s">
        <v>13813</v>
      </c>
      <c r="C10981" s="5" t="str">
        <f>IFERROR(__xludf.DUMMYFUNCTION("GOOGLETRANSLATE(B10981,""en"",""fr"")"),"Un homme pose une bouteille de cola cola sur un paquet de foin.")</f>
        <v>Un homme pose une bouteille de cola cola sur un paquet de foin.</v>
      </c>
    </row>
    <row r="10982">
      <c r="A10982" s="4" t="s">
        <v>13812</v>
      </c>
      <c r="B10982" s="4" t="s">
        <v>13814</v>
      </c>
      <c r="C10982" s="5" t="str">
        <f>IFERROR(__xludf.DUMMYFUNCTION("GOOGLETRANSLATE(B10982,""en"",""fr"")"),"L'homme tire une flèche d'un arc.")</f>
        <v>L'homme tire une flèche d'un arc.</v>
      </c>
    </row>
    <row r="10983">
      <c r="A10983" s="4" t="s">
        <v>13812</v>
      </c>
      <c r="B10983" s="4" t="s">
        <v>13815</v>
      </c>
      <c r="C10983" s="5" t="str">
        <f>IFERROR(__xludf.DUMMYFUNCTION("GOOGLETRANSLATE(B10983,""en"",""fr"")"),"La flèche décourage la bouteille.")</f>
        <v>La flèche décourage la bouteille.</v>
      </c>
    </row>
    <row r="10984">
      <c r="A10984" s="4" t="s">
        <v>13816</v>
      </c>
      <c r="B10984" s="4" t="s">
        <v>13817</v>
      </c>
      <c r="C10984" s="5" t="str">
        <f>IFERROR(__xludf.DUMMYFUNCTION("GOOGLETRANSLATE(B10984,""en"",""fr"")"),"Quelqu'un place un évent sur le toit d'une maison.")</f>
        <v>Quelqu'un place un évent sur le toit d'une maison.</v>
      </c>
    </row>
    <row r="10985">
      <c r="A10985" s="4" t="s">
        <v>13816</v>
      </c>
      <c r="B10985" s="4" t="s">
        <v>13818</v>
      </c>
      <c r="C10985" s="5" t="str">
        <f>IFERROR(__xludf.DUMMYFUNCTION("GOOGLETRANSLATE(B10985,""en"",""fr"")"),"Ils scellent l'évent avec de la colle.")</f>
        <v>Ils scellent l'évent avec de la colle.</v>
      </c>
    </row>
    <row r="10986">
      <c r="A10986" s="4" t="s">
        <v>13819</v>
      </c>
      <c r="B10986" s="4" t="s">
        <v>13820</v>
      </c>
      <c r="C10986" s="5" t="str">
        <f>IFERROR(__xludf.DUMMYFUNCTION("GOOGLETRANSLATE(B10986,""en"",""fr"")"),"Deux garçons se tiennent derrière une table.")</f>
        <v>Deux garçons se tiennent derrière une table.</v>
      </c>
    </row>
    <row r="10987">
      <c r="A10987" s="4" t="s">
        <v>13819</v>
      </c>
      <c r="B10987" s="4" t="s">
        <v>13821</v>
      </c>
      <c r="C10987" s="5" t="str">
        <f>IFERROR(__xludf.DUMMYFUNCTION("GOOGLETRANSLATE(B10987,""en"",""fr"")"),"Ils ont un verre et un citron sur la table.")</f>
        <v>Ils ont un verre et un citron sur la table.</v>
      </c>
    </row>
    <row r="10988">
      <c r="A10988" s="4" t="s">
        <v>13819</v>
      </c>
      <c r="B10988" s="4" t="s">
        <v>13822</v>
      </c>
      <c r="C10988" s="5" t="str">
        <f>IFERROR(__xludf.DUMMYFUNCTION("GOOGLETRANSLATE(B10988,""en"",""fr"")"),"Ils le versent dans un pichet d'eau et font un verre.")</f>
        <v>Ils le versent dans un pichet d'eau et font un verre.</v>
      </c>
    </row>
    <row r="10989">
      <c r="A10989" s="4" t="s">
        <v>13819</v>
      </c>
      <c r="B10989" s="4" t="s">
        <v>13823</v>
      </c>
      <c r="C10989" s="5" t="str">
        <f>IFERROR(__xludf.DUMMYFUNCTION("GOOGLETRANSLATE(B10989,""en"",""fr"")"),"Ils versent la boisson dans deux verres.")</f>
        <v>Ils versent la boisson dans deux verres.</v>
      </c>
    </row>
    <row r="10990">
      <c r="A10990" s="4" t="s">
        <v>13819</v>
      </c>
      <c r="B10990" s="4" t="s">
        <v>13824</v>
      </c>
      <c r="C10990" s="5" t="str">
        <f>IFERROR(__xludf.DUMMYFUNCTION("GOOGLETRANSLATE(B10990,""en"",""fr"")"),"Ils prennent tous les deux un verre de la paille.")</f>
        <v>Ils prennent tous les deux un verre de la paille.</v>
      </c>
    </row>
    <row r="10991">
      <c r="A10991" s="4" t="s">
        <v>13825</v>
      </c>
      <c r="B10991" s="6" t="s">
        <v>13826</v>
      </c>
      <c r="C10991" s="5" t="str">
        <f>IFERROR(__xludf.DUMMYFUNCTION("GOOGLETRANSLATE(B10991,""en"",""fr"")"),"Les garçons jouent au football en salle tout en donnant des coups de pied au ballon et en le faisant passer à des camarades de jeu, puis l'arbitre entre au centre et donne des instructions.")</f>
        <v>Les garçons jouent au football en salle tout en donnant des coups de pied au ballon et en le faisant passer à des camarades de jeu, puis l'arbitre entre au centre et donne des instructions.</v>
      </c>
    </row>
    <row r="10992">
      <c r="A10992" s="4" t="s">
        <v>13825</v>
      </c>
      <c r="B10992" s="6" t="s">
        <v>13827</v>
      </c>
      <c r="C10992" s="5" t="str">
        <f>IFERROR(__xludf.DUMMYFUNCTION("GOOGLETRANSLATE(B10992,""en"",""fr"")"),"Ensuite, l'arbitre met le ballon sur la zone de but et un garçon donne un coup de pied au ballon, mais le gardien de but arrête le ballon.")</f>
        <v>Ensuite, l'arbitre met le ballon sur la zone de but et un garçon donne un coup de pied au ballon, mais le gardien de but arrête le ballon.</v>
      </c>
    </row>
    <row r="10993">
      <c r="A10993" s="4" t="s">
        <v>13825</v>
      </c>
      <c r="B10993" s="4" t="s">
        <v>13828</v>
      </c>
      <c r="C10993" s="5" t="str">
        <f>IFERROR(__xludf.DUMMYFUNCTION("GOOGLETRANSLATE(B10993,""en"",""fr"")"),"Les garçons jouent au ballon au ballon au gardien arrête le ballon.")</f>
        <v>Les garçons jouent au ballon au ballon au gardien arrête le ballon.</v>
      </c>
    </row>
    <row r="10994">
      <c r="A10994" s="4" t="s">
        <v>13825</v>
      </c>
      <c r="B10994" s="4" t="s">
        <v>13829</v>
      </c>
      <c r="C10994" s="5" t="str">
        <f>IFERROR(__xludf.DUMMYFUNCTION("GOOGLETRANSLATE(B10994,""en"",""fr"")"),"Après, un joueur marque et les équipes continuent de jouer.")</f>
        <v>Après, un joueur marque et les équipes continuent de jouer.</v>
      </c>
    </row>
    <row r="10995">
      <c r="A10995" s="4" t="s">
        <v>13830</v>
      </c>
      <c r="B10995" s="4" t="s">
        <v>13831</v>
      </c>
      <c r="C10995" s="5" t="str">
        <f>IFERROR(__xludf.DUMMYFUNCTION("GOOGLETRANSLATE(B10995,""en"",""fr"")"),"Plusieurs plans de paysages sont montrés qui conduisent à un homme et à une femme parlant à la caméra.")</f>
        <v>Plusieurs plans de paysages sont montrés qui conduisent à un homme et à une femme parlant à la caméra.</v>
      </c>
    </row>
    <row r="10996">
      <c r="A10996" s="4" t="s">
        <v>13830</v>
      </c>
      <c r="B10996" s="4" t="s">
        <v>13832</v>
      </c>
      <c r="C10996" s="5" t="str">
        <f>IFERROR(__xludf.DUMMYFUNCTION("GOOGLETRANSLATE(B10996,""en"",""fr"")"),"Le couple marche sur une fosse de sabre et la poêle autour d'un groupe de joueurs.")</f>
        <v>Le couple marche sur une fosse de sabre et la poêle autour d'un groupe de joueurs.</v>
      </c>
    </row>
    <row r="10997">
      <c r="A10997" s="4" t="s">
        <v>13830</v>
      </c>
      <c r="B10997" s="6" t="s">
        <v>13833</v>
      </c>
      <c r="C10997" s="5" t="str">
        <f>IFERROR(__xludf.DUMMYFUNCTION("GOOGLETRANSLATE(B10997,""en"",""fr"")"),"Plus de gens sont vus parler à la caméra qui montre des photos de leur jouant au volleyball et se terminant avec le couple.")</f>
        <v>Plus de gens sont vus parler à la caméra qui montre des photos de leur jouant au volleyball et se terminant avec le couple.</v>
      </c>
    </row>
    <row r="10998">
      <c r="A10998" s="4" t="s">
        <v>13834</v>
      </c>
      <c r="B10998" s="6" t="s">
        <v>13835</v>
      </c>
      <c r="C10998" s="5" t="str">
        <f>IFERROR(__xludf.DUMMYFUNCTION("GOOGLETRANSLATE(B10998,""en"",""fr"")"),"Un prêtre âgé est assis sur sa chaise à l'intérieur dans un grand bâtiment et 3 hommes différents cassent la danse sur le sol devant lui alors que les gens autour de lui commencent à applaudir et que les lumières s'éteignent de tous les éclairs.")</f>
        <v>Un prêtre âgé est assis sur sa chaise à l'intérieur dans un grand bâtiment et 3 hommes différents cassent la danse sur le sol devant lui alors que les gens autour de lui commencent à applaudir et que les lumières s'éteignent de tous les éclairs.</v>
      </c>
    </row>
    <row r="10999">
      <c r="A10999" s="4" t="s">
        <v>13834</v>
      </c>
      <c r="B10999" s="6" t="s">
        <v>13836</v>
      </c>
      <c r="C10999" s="5" t="str">
        <f>IFERROR(__xludf.DUMMYFUNCTION("GOOGLETRANSLATE(B10999,""en"",""fr"")"),"Lorsque les hommes ont fini de danser, ils se tiennent ensemble devant le peuple et le prêtre, et ils prennent leur arc au prêtre et au peuple.")</f>
        <v>Lorsque les hommes ont fini de danser, ils se tiennent ensemble devant le peuple et le prêtre, et ils prennent leur arc au prêtre et au peuple.</v>
      </c>
    </row>
    <row r="11000">
      <c r="A11000" s="4" t="s">
        <v>13834</v>
      </c>
      <c r="B11000" s="6" t="s">
        <v>13837</v>
      </c>
      <c r="C11000" s="5" t="str">
        <f>IFERROR(__xludf.DUMMYFUNCTION("GOOGLETRANSLATE(B11000,""en"",""fr"")"),"Les hommes se dirigent ensuite vers le prêtre et s'embrassent sa main et les mots blancs apparaissent à l'écran et disent ""Bilder: Reuters Redigelant: Malin Lagerlof"".")</f>
        <v>Les hommes se dirigent ensuite vers le prêtre et s'embrassent sa main et les mots blancs apparaissent à l'écran et disent "Bilder: Reuters Redigelant: Malin Lagerlof".</v>
      </c>
    </row>
    <row r="11001">
      <c r="A11001" s="4" t="s">
        <v>13838</v>
      </c>
      <c r="B11001" s="4" t="s">
        <v>13839</v>
      </c>
      <c r="C11001" s="5" t="str">
        <f>IFERROR(__xludf.DUMMYFUNCTION("GOOGLETRANSLATE(B11001,""en"",""fr"")"),"Une intro ehow arrive sur l'écran avec de la musique en arrière-plan.")</f>
        <v>Une intro ehow arrive sur l'écran avec de la musique en arrière-plan.</v>
      </c>
    </row>
    <row r="11002">
      <c r="A11002" s="4" t="s">
        <v>13838</v>
      </c>
      <c r="B11002" s="4" t="s">
        <v>13840</v>
      </c>
      <c r="C11002" s="5" t="str">
        <f>IFERROR(__xludf.DUMMYFUNCTION("GOOGLETRANSLATE(B11002,""en"",""fr"")"),"I Man apparaît à l'écran pour raconter la vidéo sur la façon de se raser.")</f>
        <v>I Man apparaît à l'écran pour raconter la vidéo sur la façon de se raser.</v>
      </c>
    </row>
    <row r="11003">
      <c r="A11003" s="4" t="s">
        <v>13838</v>
      </c>
      <c r="B11003" s="4" t="s">
        <v>13841</v>
      </c>
      <c r="C11003" s="5" t="str">
        <f>IFERROR(__xludf.DUMMYFUNCTION("GOOGLETRANSLATE(B11003,""en"",""fr"")"),"Un homme est montré que sa peau est hydratée et a une crème à raser poli sur son visage.")</f>
        <v>Un homme est montré que sa peau est hydratée et a une crème à raser poli sur son visage.</v>
      </c>
    </row>
    <row r="11004">
      <c r="A11004" s="4" t="s">
        <v>13838</v>
      </c>
      <c r="B11004" s="4" t="s">
        <v>13842</v>
      </c>
      <c r="C11004" s="5" t="str">
        <f>IFERROR(__xludf.DUMMYFUNCTION("GOOGLETRANSLATE(B11004,""en"",""fr"")"),"La vidéo se termine par les crédits de clôture eHow.")</f>
        <v>La vidéo se termine par les crédits de clôture eHow.</v>
      </c>
    </row>
    <row r="11005">
      <c r="A11005" s="4" t="s">
        <v>13843</v>
      </c>
      <c r="B11005" s="4" t="s">
        <v>13844</v>
      </c>
      <c r="C11005" s="5" t="str">
        <f>IFERROR(__xludf.DUMMYFUNCTION("GOOGLETRANSLATE(B11005,""en"",""fr"")"),"Un homme a quelques outils et pompe sa voiture pour pouvoir enlever le pneu.")</f>
        <v>Un homme a quelques outils et pompe sa voiture pour pouvoir enlever le pneu.</v>
      </c>
    </row>
    <row r="11006">
      <c r="A11006" s="4" t="s">
        <v>13843</v>
      </c>
      <c r="B11006" s="4" t="s">
        <v>13845</v>
      </c>
      <c r="C11006" s="5" t="str">
        <f>IFERROR(__xludf.DUMMYFUNCTION("GOOGLETRANSLATE(B11006,""en"",""fr"")"),"Il utilise l'outil pour enlever tous les noix un par un.")</f>
        <v>Il utilise l'outil pour enlever tous les noix un par un.</v>
      </c>
    </row>
    <row r="11007">
      <c r="A11007" s="4" t="s">
        <v>13843</v>
      </c>
      <c r="B11007" s="4" t="s">
        <v>13846</v>
      </c>
      <c r="C11007" s="5" t="str">
        <f>IFERROR(__xludf.DUMMYFUNCTION("GOOGLETRANSLATE(B11007,""en"",""fr"")"),"Puis il attrape le pneu et le déplace et il met un autre pneu.")</f>
        <v>Puis il attrape le pneu et le déplace et il met un autre pneu.</v>
      </c>
    </row>
    <row r="11008">
      <c r="A11008" s="4" t="s">
        <v>13843</v>
      </c>
      <c r="B11008" s="6" t="s">
        <v>13847</v>
      </c>
      <c r="C11008" s="5" t="str">
        <f>IFERROR(__xludf.DUMMYFUNCTION("GOOGLETRANSLATE(B11008,""en"",""fr"")"),"Il fait tout ce qu'il a fait avant, mais le contraire, mettant les noix en place pour resserrer le pneu, il ramène ensuite la voiture.")</f>
        <v>Il fait tout ce qu'il a fait avant, mais le contraire, mettant les noix en place pour resserrer le pneu, il ramène ensuite la voiture.</v>
      </c>
    </row>
    <row r="11009">
      <c r="A11009" s="4" t="s">
        <v>13848</v>
      </c>
      <c r="B11009" s="6" t="s">
        <v>13849</v>
      </c>
      <c r="C11009" s="5" t="str">
        <f>IFERROR(__xludf.DUMMYFUNCTION("GOOGLETRANSLATE(B11009,""en"",""fr"")"),"Un skateboard pour adolescents sur une route, puis il marche avec un ami tenant son skateboard, puis ils skateboard.")</f>
        <v>Un skateboard pour adolescents sur une route, puis il marche avec un ami tenant son skateboard, puis ils skateboard.</v>
      </c>
    </row>
    <row r="11010">
      <c r="A11010" s="4" t="s">
        <v>13848</v>
      </c>
      <c r="B11010" s="4" t="s">
        <v>13850</v>
      </c>
      <c r="C11010" s="5" t="str">
        <f>IFERROR(__xludf.DUMMYFUNCTION("GOOGLETRANSLATE(B11010,""en"",""fr"")"),"Une voiture entre dans la rue où la planche à roulettes pour adolescents.")</f>
        <v>Une voiture entre dans la rue où la planche à roulettes pour adolescents.</v>
      </c>
    </row>
    <row r="11011">
      <c r="A11011" s="4" t="s">
        <v>13848</v>
      </c>
      <c r="B11011" s="4" t="s">
        <v>13851</v>
      </c>
      <c r="C11011" s="5" t="str">
        <f>IFERROR(__xludf.DUMMYFUNCTION("GOOGLETRANSLATE(B11011,""en"",""fr"")"),"Un jeune portant un t-shirt rose dans la rue.")</f>
        <v>Un jeune portant un t-shirt rose dans la rue.</v>
      </c>
    </row>
    <row r="11012">
      <c r="A11012" s="4" t="s">
        <v>13848</v>
      </c>
      <c r="B11012" s="4" t="s">
        <v>13852</v>
      </c>
      <c r="C11012" s="5" t="str">
        <f>IFERROR(__xludf.DUMMYFUNCTION("GOOGLETRANSLATE(B11012,""en"",""fr"")"),"L'adolescent marche tenant sa planche à roulettes.")</f>
        <v>L'adolescent marche tenant sa planche à roulettes.</v>
      </c>
    </row>
    <row r="11013">
      <c r="A11013" s="4" t="s">
        <v>13848</v>
      </c>
      <c r="B11013" s="4" t="s">
        <v>13853</v>
      </c>
      <c r="C11013" s="5" t="str">
        <f>IFERROR(__xludf.DUMMYFUNCTION("GOOGLETRANSLATE(B11013,""en"",""fr"")"),"Les adolescents skateboard dans la rue font des tours et tournent.")</f>
        <v>Les adolescents skateboard dans la rue font des tours et tournent.</v>
      </c>
    </row>
    <row r="11014">
      <c r="A11014" s="4" t="s">
        <v>13848</v>
      </c>
      <c r="B11014" s="4" t="s">
        <v>13854</v>
      </c>
      <c r="C11014" s="5" t="str">
        <f>IFERROR(__xludf.DUMMYFUNCTION("GOOGLETRANSLATE(B11014,""en"",""fr"")"),"Après, deux adolescents marchent dans la rue, puis ils skateboard.")</f>
        <v>Après, deux adolescents marchent dans la rue, puis ils skateboard.</v>
      </c>
    </row>
    <row r="11015">
      <c r="A11015" s="4" t="s">
        <v>13855</v>
      </c>
      <c r="B11015" s="6" t="s">
        <v>13856</v>
      </c>
      <c r="C11015" s="5" t="str">
        <f>IFERROR(__xludf.DUMMYFUNCTION("GOOGLETRANSLATE(B11015,""en"",""fr"")"),"Un homme se tient sur une scène la nuit avec beaucoup de lumières de scène, un groupe derrière lui et une foule devant lui et il joue une pipe à sac.")</f>
        <v>Un homme se tient sur une scène la nuit avec beaucoup de lumières de scène, un groupe derrière lui et une foule devant lui et il joue une pipe à sac.</v>
      </c>
    </row>
    <row r="11016">
      <c r="A11016" s="4" t="s">
        <v>13855</v>
      </c>
      <c r="B11016" s="4" t="s">
        <v>13857</v>
      </c>
      <c r="C11016" s="5" t="str">
        <f>IFERROR(__xludf.DUMMYFUNCTION("GOOGLETRANSLATE(B11016,""en"",""fr"")"),"Un autre homme monte sur la scène en jouant de la guitare et les lumières clignotent.")</f>
        <v>Un autre homme monte sur la scène en jouant de la guitare et les lumières clignotent.</v>
      </c>
    </row>
    <row r="11017">
      <c r="A11017" s="4" t="s">
        <v>13855</v>
      </c>
      <c r="B11017" s="6" t="s">
        <v>13858</v>
      </c>
      <c r="C11017" s="5" t="str">
        <f>IFERROR(__xludf.DUMMYFUNCTION("GOOGLETRANSLATE(B11017,""en"",""fr"")"),"Lorsque l'homme a fini de jouer de la cornemuse, un autre homme court sur la scène pour l'attraper, et l'homme qui jouait de la cornemuse obtient quelque chose à boire, puis attrape un micro et commence à chanter et à agiter son bras droit en l'air.")</f>
        <v>Lorsque l'homme a fini de jouer de la cornemuse, un autre homme court sur la scène pour l'attraper, et l'homme qui jouait de la cornemuse obtient quelque chose à boire, puis attrape un micro et commence à chanter et à agiter son bras droit en l'air.</v>
      </c>
    </row>
    <row r="11018">
      <c r="A11018" s="4" t="s">
        <v>13859</v>
      </c>
      <c r="B11018" s="6" t="s">
        <v>13860</v>
      </c>
      <c r="C11018" s="5" t="str">
        <f>IFERROR(__xludf.DUMMYFUNCTION("GOOGLETRANSLATE(B11018,""en"",""fr"")"),"Deux hommes à l'extérieur dans les bois tandis qu'un homme portant une casquette en tricot équilibre sur une corde attachée dans deux arbres tandis qu'un homme avec une barbe noire soutient l'homme avec le capuchon en tricot.")</f>
        <v>Deux hommes à l'extérieur dans les bois tandis qu'un homme portant une casquette en tricot équilibre sur une corde attachée dans deux arbres tandis qu'un homme avec une barbe noire soutient l'homme avec le capuchon en tricot.</v>
      </c>
    </row>
    <row r="11019">
      <c r="A11019" s="4" t="s">
        <v>13859</v>
      </c>
      <c r="B11019" s="4" t="s">
        <v>13861</v>
      </c>
      <c r="C11019" s="5" t="str">
        <f>IFERROR(__xludf.DUMMYFUNCTION("GOOGLETRANSLATE(B11019,""en"",""fr"")"),"L'homme avec la barbe libère l'homme sur la corde et s'éloigne.")</f>
        <v>L'homme avec la barbe libère l'homme sur la corde et s'éloigne.</v>
      </c>
    </row>
    <row r="11020">
      <c r="A11020" s="4" t="s">
        <v>13859</v>
      </c>
      <c r="B11020" s="6" t="s">
        <v>13862</v>
      </c>
      <c r="C11020" s="5" t="str">
        <f>IFERROR(__xludf.DUMMYFUNCTION("GOOGLETRANSLATE(B11020,""en"",""fr"")"),"Un homme dans un sweat à capuche vert équilibre sur la corde tandis que l'homme dans la barbe soutient l'homme sur la corde.")</f>
        <v>Un homme dans un sweat à capuche vert équilibre sur la corde tandis que l'homme dans la barbe soutient l'homme sur la corde.</v>
      </c>
    </row>
    <row r="11021">
      <c r="A11021" s="4" t="s">
        <v>13859</v>
      </c>
      <c r="B11021" s="6" t="s">
        <v>13863</v>
      </c>
      <c r="C11021" s="5" t="str">
        <f>IFERROR(__xludf.DUMMYFUNCTION("GOOGLETRANSLATE(B11021,""en"",""fr"")"),"Un homme en chemise grise repousse un homme portant une chemise noire et effectue un saut périlleux et atterrit fermement sur le sol couvert de feuilles.")</f>
        <v>Un homme en chemise grise repousse un homme portant une chemise noire et effectue un saut périlleux et atterrit fermement sur le sol couvert de feuilles.</v>
      </c>
    </row>
    <row r="11022">
      <c r="A11022" s="4" t="s">
        <v>13864</v>
      </c>
      <c r="B11022" s="6" t="s">
        <v>13865</v>
      </c>
      <c r="C11022" s="5" t="str">
        <f>IFERROR(__xludf.DUMMYFUNCTION("GOOGLETRANSLATE(B11022,""en"",""fr"")"),"Un écran d'introduction blanc apparaît avec des effets spéciaux et beaucoup de colorants qui incluent des mots, des nombres et des logos.")</f>
        <v>Un écran d'introduction blanc apparaît avec des effets spéciaux et beaucoup de colorants qui incluent des mots, des nombres et des logos.</v>
      </c>
    </row>
    <row r="11023">
      <c r="A11023" s="4" t="s">
        <v>13864</v>
      </c>
      <c r="B11023" s="6" t="s">
        <v>13866</v>
      </c>
      <c r="C11023" s="5" t="str">
        <f>IFERROR(__xludf.DUMMYFUNCTION("GOOGLETRANSLATE(B11023,""en"",""fr"")"),"Les hommes sont ensuite montrés dans une pièce sombre remplie de gens pendant qu'ils mettent des chemises, serre la main des autres, posent, puis ils commencent un jeu de baby-foot tandis que les images de leur drapeau apparaissent brièvement à l'écran et"&amp;" beaucoup de gens autour d'eux regardent Alors que différents hommes s'associent les uns aux autres.")</f>
        <v>Les hommes sont ensuite montrés dans une pièce sombre remplie de gens pendant qu'ils mettent des chemises, serre la main des autres, posent, puis ils commencent un jeu de baby-foot tandis que les images de leur drapeau apparaissent brièvement à l'écran et beaucoup de gens autour d'eux regardent Alors que différents hommes s'associent les uns aux autres.</v>
      </c>
    </row>
    <row r="11024">
      <c r="A11024" s="4" t="s">
        <v>13864</v>
      </c>
      <c r="B11024" s="6" t="s">
        <v>13867</v>
      </c>
      <c r="C11024" s="5" t="str">
        <f>IFERROR(__xludf.DUMMYFUNCTION("GOOGLETRANSLATE(B11024,""en"",""fr"")"),"Quand ils ont fini de jouer un homme et qu'une femme se tient debout et parle à un micro pendant qu'un homme remet une boîte à un autre homme et ils sortent de la scène.")</f>
        <v>Quand ils ont fini de jouer un homme et qu'une femme se tient debout et parle à un micro pendant qu'un homme remet une boîte à un autre homme et ils sortent de la scène.</v>
      </c>
    </row>
    <row r="11025">
      <c r="A11025" s="4" t="s">
        <v>13864</v>
      </c>
      <c r="B11025" s="6" t="s">
        <v>13868</v>
      </c>
      <c r="C11025" s="5" t="str">
        <f>IFERROR(__xludf.DUMMYFUNCTION("GOOGLETRANSLATE(B11025,""en"",""fr"")"),"Le même écran blanc depuis le début apparaît avec des effets spéciaux et beaucoup de mots colorés, puis il s'estompe en noir.")</f>
        <v>Le même écran blanc depuis le début apparaît avec des effets spéciaux et beaucoup de mots colorés, puis il s'estompe en noir.</v>
      </c>
    </row>
    <row r="11026">
      <c r="A11026" s="4" t="s">
        <v>13869</v>
      </c>
      <c r="B11026" s="4" t="s">
        <v>69</v>
      </c>
      <c r="C11026" s="5" t="str">
        <f>IFERROR(__xludf.DUMMYFUNCTION("GOOGLETRANSLATE(B11026,""en"",""fr"")"),"Les gens jouent à la crosse sur un champ d'herbe.")</f>
        <v>Les gens jouent à la crosse sur un champ d'herbe.</v>
      </c>
    </row>
    <row r="11027">
      <c r="A11027" s="4" t="s">
        <v>13869</v>
      </c>
      <c r="B11027" s="4" t="s">
        <v>13870</v>
      </c>
      <c r="C11027" s="5" t="str">
        <f>IFERROR(__xludf.DUMMYFUNCTION("GOOGLETRANSLATE(B11027,""en"",""fr"")"),"Un homme en chemise blanche parle à la caméra.")</f>
        <v>Un homme en chemise blanche parle à la caméra.</v>
      </c>
    </row>
    <row r="11028">
      <c r="A11028" s="4" t="s">
        <v>13869</v>
      </c>
      <c r="B11028" s="4" t="s">
        <v>13871</v>
      </c>
      <c r="C11028" s="5" t="str">
        <f>IFERROR(__xludf.DUMMYFUNCTION("GOOGLETRANSLATE(B11028,""en"",""fr"")"),"Une fille parle ensuite à la caméra.")</f>
        <v>Une fille parle ensuite à la caméra.</v>
      </c>
    </row>
    <row r="11029">
      <c r="A11029" s="4" t="s">
        <v>13869</v>
      </c>
      <c r="B11029" s="4" t="s">
        <v>13872</v>
      </c>
      <c r="C11029" s="5" t="str">
        <f>IFERROR(__xludf.DUMMYFUNCTION("GOOGLETRANSLATE(B11029,""en"",""fr"")"),"Les bouteilles d'eau rose sont dans une boîte.")</f>
        <v>Les bouteilles d'eau rose sont dans une boîte.</v>
      </c>
    </row>
    <row r="11030">
      <c r="A11030" s="4" t="s">
        <v>13869</v>
      </c>
      <c r="B11030" s="4" t="s">
        <v>13873</v>
      </c>
      <c r="C11030" s="5" t="str">
        <f>IFERROR(__xludf.DUMMYFUNCTION("GOOGLETRANSLATE(B11030,""en"",""fr"")"),"Ils marchent sur le terrain et commencent à jouer.")</f>
        <v>Ils marchent sur le terrain et commencent à jouer.</v>
      </c>
    </row>
    <row r="11031">
      <c r="A11031" s="4" t="s">
        <v>13874</v>
      </c>
      <c r="B11031" s="4" t="s">
        <v>13875</v>
      </c>
      <c r="C11031" s="5" t="str">
        <f>IFERROR(__xludf.DUMMYFUNCTION("GOOGLETRANSLATE(B11031,""en"",""fr"")"),"Un ordinateur généré d'un homme d'un homme, il commence à tourner.")</f>
        <v>Un ordinateur généré d'un homme d'un homme, il commence à tourner.</v>
      </c>
    </row>
    <row r="11032">
      <c r="A11032" s="4" t="s">
        <v>13874</v>
      </c>
      <c r="B11032" s="4" t="s">
        <v>13876</v>
      </c>
      <c r="C11032" s="5" t="str">
        <f>IFERROR(__xludf.DUMMYFUNCTION("GOOGLETRANSLATE(B11032,""en"",""fr"")"),"Il se retourne rapidement et lâche le frisbee et les arbitres courent pour marquer où il atterrit.")</f>
        <v>Il se retourne rapidement et lâche le frisbee et les arbitres courent pour marquer où il atterrit.</v>
      </c>
    </row>
    <row r="11033">
      <c r="A11033" s="4" t="s">
        <v>13874</v>
      </c>
      <c r="B11033" s="4" t="s">
        <v>13877</v>
      </c>
      <c r="C11033" s="5" t="str">
        <f>IFERROR(__xludf.DUMMYFUNCTION("GOOGLETRANSLATE(B11033,""en"",""fr"")"),"L'homme recommence à recommencer, il tourne et jette à nouveau.")</f>
        <v>L'homme recommence à recommencer, il tourne et jette à nouveau.</v>
      </c>
    </row>
    <row r="11034">
      <c r="A11034" s="4" t="s">
        <v>13874</v>
      </c>
      <c r="B11034" s="6" t="s">
        <v>13878</v>
      </c>
      <c r="C11034" s="5" t="str">
        <f>IFERROR(__xludf.DUMMYFUNCTION("GOOGLETRANSLATE(B11034,""en"",""fr"")"),"La partition apparaît sur l'écran avant de tourner à nouveau et de jeter à nouveau, puis il applaudit l'excitation.")</f>
        <v>La partition apparaît sur l'écran avant de tourner à nouveau et de jeter à nouveau, puis il applaudit l'excitation.</v>
      </c>
    </row>
    <row r="11035">
      <c r="A11035" s="4" t="s">
        <v>13879</v>
      </c>
      <c r="B11035" s="6" t="s">
        <v>13880</v>
      </c>
      <c r="C11035" s="5" t="str">
        <f>IFERROR(__xludf.DUMMYFUNCTION("GOOGLETRANSLATE(B11035,""en"",""fr"")"),"Certains portent un boîtier d'instruments se promenant à l'extérieur, ils ont mis le boîtier sur le terrain et éliminent un violon.")</f>
        <v>Certains portent un boîtier d'instruments se promenant à l'extérieur, ils ont mis le boîtier sur le terrain et éliminent un violon.</v>
      </c>
    </row>
    <row r="11036">
      <c r="A11036" s="4" t="s">
        <v>13879</v>
      </c>
      <c r="B11036" s="4" t="s">
        <v>13881</v>
      </c>
      <c r="C11036" s="5" t="str">
        <f>IFERROR(__xludf.DUMMYFUNCTION("GOOGLETRANSLATE(B11036,""en"",""fr"")"),"La femme joue du violon partout où elle va et elle danse pendant qu'elle joue aussi.")</f>
        <v>La femme joue du violon partout où elle va et elle danse pendant qu'elle joue aussi.</v>
      </c>
    </row>
    <row r="11037">
      <c r="A11037" s="4" t="s">
        <v>13879</v>
      </c>
      <c r="B11037" s="6" t="s">
        <v>13882</v>
      </c>
      <c r="C11037" s="5" t="str">
        <f>IFERROR(__xludf.DUMMYFUNCTION("GOOGLETRANSLATE(B11037,""en"",""fr"")"),"Elle fait des mouvements de son corps, ce qui lui fait se plier le dos, touchant presque le sol tout en se bloquant sur le violon.")</f>
        <v>Elle fait des mouvements de son corps, ce qui lui fait se plier le dos, touchant presque le sol tout en se bloquant sur le violon.</v>
      </c>
    </row>
    <row r="11038">
      <c r="A11038" s="4" t="s">
        <v>13879</v>
      </c>
      <c r="B11038" s="4" t="s">
        <v>13883</v>
      </c>
      <c r="C11038" s="5" t="str">
        <f>IFERROR(__xludf.DUMMYFUNCTION("GOOGLETRANSLATE(B11038,""en"",""fr"")"),"Elle est très intense à ce sujet, elle joue et joue et quand elle a fini, elle s'éloigne avec désinvolture.")</f>
        <v>Elle est très intense à ce sujet, elle joue et joue et quand elle a fini, elle s'éloigne avec désinvolture.</v>
      </c>
    </row>
    <row r="11039">
      <c r="A11039" s="4" t="s">
        <v>13884</v>
      </c>
      <c r="B11039" s="4" t="s">
        <v>13885</v>
      </c>
      <c r="C11039" s="5" t="str">
        <f>IFERROR(__xludf.DUMMYFUNCTION("GOOGLETRANSLATE(B11039,""en"",""fr"")"),"Une femme joue de la flûte assis sur un piano tout en bougeant ses pieds.")</f>
        <v>Une femme joue de la flûte assis sur un piano tout en bougeant ses pieds.</v>
      </c>
    </row>
    <row r="11040">
      <c r="A11040" s="4" t="s">
        <v>13884</v>
      </c>
      <c r="B11040" s="4" t="s">
        <v>13886</v>
      </c>
      <c r="C11040" s="5" t="str">
        <f>IFERROR(__xludf.DUMMYFUNCTION("GOOGLETRANSLATE(B11040,""en"",""fr"")"),"La femme finit de jouer à l'arc et sourit.")</f>
        <v>La femme finit de jouer à l'arc et sourit.</v>
      </c>
    </row>
    <row r="11041">
      <c r="A11041" s="4" t="s">
        <v>13887</v>
      </c>
      <c r="B11041" s="4" t="s">
        <v>13888</v>
      </c>
      <c r="C11041" s="5" t="str">
        <f>IFERROR(__xludf.DUMMYFUNCTION("GOOGLETRANSLATE(B11041,""en"",""fr"")"),"Une femme est vue en parlant à la caméra et en déversant des liquides dans un étui.")</f>
        <v>Une femme est vue en parlant à la caméra et en déversant des liquides dans un étui.</v>
      </c>
    </row>
    <row r="11042">
      <c r="A11042" s="4" t="s">
        <v>13887</v>
      </c>
      <c r="B11042" s="4" t="s">
        <v>13889</v>
      </c>
      <c r="C11042" s="5" t="str">
        <f>IFERROR(__xludf.DUMMYFUNCTION("GOOGLETRANSLATE(B11042,""en"",""fr"")"),"Elle tire ensuite les contacts dans le boîtier, puis en place un dans chaque œil.")</f>
        <v>Elle tire ensuite les contacts dans le boîtier, puis en place un dans chaque œil.</v>
      </c>
    </row>
    <row r="11043">
      <c r="A11043" s="4" t="s">
        <v>13887</v>
      </c>
      <c r="B11043" s="4" t="s">
        <v>13890</v>
      </c>
      <c r="C11043" s="5" t="str">
        <f>IFERROR(__xludf.DUMMYFUNCTION("GOOGLETRANSLATE(B11043,""en"",""fr"")"),"Elle soutient le cas à la fin, suivi de la remise des contacts dans l'affaire.")</f>
        <v>Elle soutient le cas à la fin, suivi de la remise des contacts dans l'affaire.</v>
      </c>
    </row>
    <row r="11044">
      <c r="A11044" s="4" t="s">
        <v>13891</v>
      </c>
      <c r="B11044" s="4" t="s">
        <v>13892</v>
      </c>
      <c r="C11044" s="5" t="str">
        <f>IFERROR(__xludf.DUMMYFUNCTION("GOOGLETRANSLATE(B11044,""en"",""fr"")"),"Les gens radeau sur une rivière Rocky.")</f>
        <v>Les gens radeau sur une rivière Rocky.</v>
      </c>
    </row>
    <row r="11045">
      <c r="A11045" s="4" t="s">
        <v>13891</v>
      </c>
      <c r="B11045" s="4" t="s">
        <v>13893</v>
      </c>
      <c r="C11045" s="5" t="str">
        <f>IFERROR(__xludf.DUMMYFUNCTION("GOOGLETRANSLATE(B11045,""en"",""fr"")"),"Soudain, le bateau se retourne et tous les hommes tombent dans l'eau.")</f>
        <v>Soudain, le bateau se retourne et tous les hommes tombent dans l'eau.</v>
      </c>
    </row>
    <row r="11046">
      <c r="A11046" s="4" t="s">
        <v>13891</v>
      </c>
      <c r="B11046" s="4" t="s">
        <v>13894</v>
      </c>
      <c r="C11046" s="5" t="str">
        <f>IFERROR(__xludf.DUMMYFUNCTION("GOOGLETRANSLATE(B11046,""en"",""fr"")"),"Ensuite, les gens atteignent le rivage, tandis qu'un homme grimpe un rocher.")</f>
        <v>Ensuite, les gens atteignent le rivage, tandis qu'un homme grimpe un rocher.</v>
      </c>
    </row>
    <row r="11047">
      <c r="A11047" s="4" t="s">
        <v>13891</v>
      </c>
      <c r="B11047" s="4" t="s">
        <v>13895</v>
      </c>
      <c r="C11047" s="5" t="str">
        <f>IFERROR(__xludf.DUMMYFUNCTION("GOOGLETRANSLATE(B11047,""en"",""fr"")"),"Après, les personnes d'un bateau sauvent un homme dans l'eau et récupérent le bateau.")</f>
        <v>Après, les personnes d'un bateau sauvent un homme dans l'eau et récupérent le bateau.</v>
      </c>
    </row>
    <row r="11048">
      <c r="A11048" s="4" t="s">
        <v>13891</v>
      </c>
      <c r="B11048" s="4" t="s">
        <v>13896</v>
      </c>
      <c r="C11048" s="5" t="str">
        <f>IFERROR(__xludf.DUMMYFUNCTION("GOOGLETRANSLATE(B11048,""en"",""fr"")"),"Deux hommes se tiennent sur le rivage à côté d'une échelle.")</f>
        <v>Deux hommes se tiennent sur le rivage à côté d'une échelle.</v>
      </c>
    </row>
    <row r="11049">
      <c r="A11049" s="4" t="s">
        <v>13891</v>
      </c>
      <c r="B11049" s="4" t="s">
        <v>13897</v>
      </c>
      <c r="C11049" s="5" t="str">
        <f>IFERROR(__xludf.DUMMYFUNCTION("GOOGLETRANSLATE(B11049,""en"",""fr"")"),"Les chevrons sont toujours dans l'eau en attente.")</f>
        <v>Les chevrons sont toujours dans l'eau en attente.</v>
      </c>
    </row>
    <row r="11050">
      <c r="A11050" s="4" t="s">
        <v>13898</v>
      </c>
      <c r="B11050" s="4" t="s">
        <v>13899</v>
      </c>
      <c r="C11050" s="5" t="str">
        <f>IFERROR(__xludf.DUMMYFUNCTION("GOOGLETRANSLATE(B11050,""en"",""fr"")"),"Les gens jouent à la bière pong tandis que d'autres personnes regardent.")</f>
        <v>Les gens jouent à la bière pong tandis que d'autres personnes regardent.</v>
      </c>
    </row>
    <row r="11051">
      <c r="A11051" s="4" t="s">
        <v>13898</v>
      </c>
      <c r="B11051" s="4" t="s">
        <v>13900</v>
      </c>
      <c r="C11051" s="5" t="str">
        <f>IFERROR(__xludf.DUMMYFUNCTION("GOOGLETRANSLATE(B11051,""en"",""fr"")"),"Les gens deviennent heureux lorsque le ballon entre dans une tasse.")</f>
        <v>Les gens deviennent heureux lorsque le ballon entre dans une tasse.</v>
      </c>
    </row>
    <row r="11052">
      <c r="A11052" s="4" t="s">
        <v>13898</v>
      </c>
      <c r="B11052" s="4" t="s">
        <v>13901</v>
      </c>
      <c r="C11052" s="5" t="str">
        <f>IFERROR(__xludf.DUMMYFUNCTION("GOOGLETRANSLATE(B11052,""en"",""fr"")"),"Ensuite, un homme lance une balle à l'intérieur d'une tasse et une personne boit le liquide dans la tasse.")</f>
        <v>Ensuite, un homme lance une balle à l'intérieur d'une tasse et une personne boit le liquide dans la tasse.</v>
      </c>
    </row>
    <row r="11053">
      <c r="A11053" s="4" t="s">
        <v>13898</v>
      </c>
      <c r="B11053" s="4" t="s">
        <v>13902</v>
      </c>
      <c r="C11053" s="5" t="str">
        <f>IFERROR(__xludf.DUMMYFUNCTION("GOOGLETRANSLATE(B11053,""en"",""fr"")"),"Un homme lance une balle dans une tasse et les gens félicitent et serrent l'homme dans ses bras.")</f>
        <v>Un homme lance une balle dans une tasse et les gens félicitent et serrent l'homme dans ses bras.</v>
      </c>
    </row>
    <row r="11054">
      <c r="A11054" s="4" t="s">
        <v>13903</v>
      </c>
      <c r="B11054" s="6" t="s">
        <v>13904</v>
      </c>
      <c r="C11054" s="5" t="str">
        <f>IFERROR(__xludf.DUMMYFUNCTION("GOOGLETRANSLATE(B11054,""en"",""fr"")"),"Une personne est vue en parlant à la caméra et en entrant dans un magasin de tatouage, suivie d'une personne tatouée par un artiste.")</f>
        <v>Une personne est vue en parlant à la caméra et en entrant dans un magasin de tatouage, suivie d'une personne tatouée par un artiste.</v>
      </c>
    </row>
    <row r="11055">
      <c r="A11055" s="4" t="s">
        <v>13903</v>
      </c>
      <c r="B11055" s="6" t="s">
        <v>13905</v>
      </c>
      <c r="C11055" s="5" t="str">
        <f>IFERROR(__xludf.DUMMYFUNCTION("GOOGLETRANSLATE(B11055,""en"",""fr"")"),"L'homme continue de parler à la caméra tandis qu'un autre est tatoué en arrière-plan et continue de parler à la caméra.")</f>
        <v>L'homme continue de parler à la caméra tandis qu'un autre est tatoué en arrière-plan et continue de parler à la caméra.</v>
      </c>
    </row>
    <row r="11056">
      <c r="A11056" s="4" t="s">
        <v>13906</v>
      </c>
      <c r="B11056" s="4" t="s">
        <v>13907</v>
      </c>
      <c r="C11056" s="5" t="str">
        <f>IFERROR(__xludf.DUMMYFUNCTION("GOOGLETRANSLATE(B11056,""en"",""fr"")"),"Nous voyons une carte de titre bleue.")</f>
        <v>Nous voyons une carte de titre bleue.</v>
      </c>
    </row>
    <row r="11057">
      <c r="A11057" s="4" t="s">
        <v>13906</v>
      </c>
      <c r="B11057" s="4" t="s">
        <v>13908</v>
      </c>
      <c r="C11057" s="5" t="str">
        <f>IFERROR(__xludf.DUMMYFUNCTION("GOOGLETRANSLATE(B11057,""en"",""fr"")"),"Un homme et une femme commencent à danser dans une salle de bal.")</f>
        <v>Un homme et une femme commencent à danser dans une salle de bal.</v>
      </c>
    </row>
    <row r="11058">
      <c r="A11058" s="4" t="s">
        <v>13906</v>
      </c>
      <c r="B11058" s="4" t="s">
        <v>13909</v>
      </c>
      <c r="C11058" s="5" t="str">
        <f>IFERROR(__xludf.DUMMYFUNCTION("GOOGLETRANSLATE(B11058,""en"",""fr"")"),"Ils s'arrêtent et la dame lui balaye la jambe.")</f>
        <v>Ils s'arrêtent et la dame lui balaye la jambe.</v>
      </c>
    </row>
    <row r="11059">
      <c r="A11059" s="4" t="s">
        <v>13906</v>
      </c>
      <c r="B11059" s="4" t="s">
        <v>13910</v>
      </c>
      <c r="C11059" s="5" t="str">
        <f>IFERROR(__xludf.DUMMYFUNCTION("GOOGLETRANSLATE(B11059,""en"",""fr"")"),"L'homme plonge la dame.")</f>
        <v>L'homme plonge la dame.</v>
      </c>
    </row>
    <row r="11060">
      <c r="A11060" s="4" t="s">
        <v>13906</v>
      </c>
      <c r="B11060" s="4" t="s">
        <v>13911</v>
      </c>
      <c r="C11060" s="5" t="str">
        <f>IFERROR(__xludf.DUMMYFUNCTION("GOOGLETRANSLATE(B11060,""en"",""fr"")"),"La dame glisse au sol.")</f>
        <v>La dame glisse au sol.</v>
      </c>
    </row>
    <row r="11061">
      <c r="A11061" s="4" t="s">
        <v>13906</v>
      </c>
      <c r="B11061" s="4" t="s">
        <v>13912</v>
      </c>
      <c r="C11061" s="5" t="str">
        <f>IFERROR(__xludf.DUMMYFUNCTION("GOOGLETRANSLATE(B11061,""en"",""fr"")"),"La dame fait les divisions.")</f>
        <v>La dame fait les divisions.</v>
      </c>
    </row>
    <row r="11062">
      <c r="A11062" s="4" t="s">
        <v>13906</v>
      </c>
      <c r="B11062" s="4" t="s">
        <v>13913</v>
      </c>
      <c r="C11062" s="5" t="str">
        <f>IFERROR(__xludf.DUMMYFUNCTION("GOOGLETRANSLATE(B11062,""en"",""fr"")"),"L'homme soulève la dame en l'air.")</f>
        <v>L'homme soulève la dame en l'air.</v>
      </c>
    </row>
    <row r="11063">
      <c r="A11063" s="4" t="s">
        <v>13906</v>
      </c>
      <c r="B11063" s="4" t="s">
        <v>13914</v>
      </c>
      <c r="C11063" s="5" t="str">
        <f>IFERROR(__xludf.DUMMYFUNCTION("GOOGLETRANSLATE(B11063,""en"",""fr"")"),"Nous changeons et voyons des gens danser dans différents endroits.")</f>
        <v>Nous changeons et voyons des gens danser dans différents endroits.</v>
      </c>
    </row>
    <row r="11064">
      <c r="A11064" s="4" t="s">
        <v>13906</v>
      </c>
      <c r="B11064" s="4" t="s">
        <v>13915</v>
      </c>
      <c r="C11064" s="5" t="str">
        <f>IFERROR(__xludf.DUMMYFUNCTION("GOOGLETRANSLATE(B11064,""en"",""fr"")"),"Nous voyons l'écran de fin bleu.")</f>
        <v>Nous voyons l'écran de fin bleu.</v>
      </c>
    </row>
    <row r="11065">
      <c r="A11065" s="4" t="s">
        <v>13916</v>
      </c>
      <c r="B11065" s="4" t="s">
        <v>13917</v>
      </c>
      <c r="C11065" s="5" t="str">
        <f>IFERROR(__xludf.DUMMYFUNCTION("GOOGLETRANSLATE(B11065,""en"",""fr"")"),"Un homme est vu danser dans une boîte de nuit avec deux femmes autour de lui.")</f>
        <v>Un homme est vu danser dans une boîte de nuit avec deux femmes autour de lui.</v>
      </c>
    </row>
    <row r="11066">
      <c r="A11066" s="4" t="s">
        <v>13916</v>
      </c>
      <c r="B11066" s="4" t="s">
        <v>13918</v>
      </c>
      <c r="C11066" s="5" t="str">
        <f>IFERROR(__xludf.DUMMYFUNCTION("GOOGLETRANSLATE(B11066,""en"",""fr"")"),"Les trois continuent de danser les uns avec les autres tandis que d'autres dansent sur le côté.")</f>
        <v>Les trois continuent de danser les uns avec les autres tandis que d'autres dansent sur le côté.</v>
      </c>
    </row>
    <row r="11067">
      <c r="A11067" s="4" t="s">
        <v>13916</v>
      </c>
      <c r="B11067" s="4" t="s">
        <v>13919</v>
      </c>
      <c r="C11067" s="5" t="str">
        <f>IFERROR(__xludf.DUMMYFUNCTION("GOOGLETRANSLATE(B11067,""en"",""fr"")"),"Les gens dansent les uns les autres pendant que la caméra capture leurs mouvements.")</f>
        <v>Les gens dansent les uns les autres pendant que la caméra capture leurs mouvements.</v>
      </c>
    </row>
    <row r="11068">
      <c r="A11068" s="4" t="s">
        <v>13920</v>
      </c>
      <c r="B11068" s="4" t="s">
        <v>13921</v>
      </c>
      <c r="C11068" s="5" t="str">
        <f>IFERROR(__xludf.DUMMYFUNCTION("GOOGLETRANSLATE(B11068,""en"",""fr"")"),"Une personne peint des ongles à une femme utilisant du vernis à ongles violet.")</f>
        <v>Une personne peint des ongles à une femme utilisant du vernis à ongles violet.</v>
      </c>
    </row>
    <row r="11069">
      <c r="A11069" s="4" t="s">
        <v>13920</v>
      </c>
      <c r="B11069" s="4" t="s">
        <v>13922</v>
      </c>
      <c r="C11069" s="5" t="str">
        <f>IFERROR(__xludf.DUMMYFUNCTION("GOOGLETRANSLATE(B11069,""en"",""fr"")"),"Une femme regarde vers le bas.")</f>
        <v>Une femme regarde vers le bas.</v>
      </c>
    </row>
    <row r="11070">
      <c r="A11070" s="4" t="s">
        <v>13923</v>
      </c>
      <c r="B11070" s="6" t="s">
        <v>13924</v>
      </c>
      <c r="C11070" s="5" t="str">
        <f>IFERROR(__xludf.DUMMYFUNCTION("GOOGLETRANSLATE(B11070,""en"",""fr"")"),"Une femme est vue assise sur une chaise parlant et agitant la caméra et regarde dans un miroir la montrant ainsi que la caméra.")</f>
        <v>Une femme est vue assise sur une chaise parlant et agitant la caméra et regarde dans un miroir la montrant ainsi que la caméra.</v>
      </c>
    </row>
    <row r="11071">
      <c r="A11071" s="4" t="s">
        <v>13923</v>
      </c>
      <c r="B11071" s="4" t="s">
        <v>13925</v>
      </c>
      <c r="C11071" s="5" t="str">
        <f>IFERROR(__xludf.DUMMYFUNCTION("GOOGLETRANSLATE(B11071,""en"",""fr"")"),"Un tatoueur entre ensuite dans le cadre et commence à tatouer un symbole sur le cou de la fille.")</f>
        <v>Un tatoueur entre ensuite dans le cadre et commence à tatouer un symbole sur le cou de la fille.</v>
      </c>
    </row>
    <row r="11072">
      <c r="A11072" s="4" t="s">
        <v>13923</v>
      </c>
      <c r="B11072" s="4" t="s">
        <v>13926</v>
      </c>
      <c r="C11072" s="5" t="str">
        <f>IFERROR(__xludf.DUMMYFUNCTION("GOOGLETRANSLATE(B11072,""en"",""fr"")"),"À la fin, les photos du tatouage de la fille sont montrées.")</f>
        <v>À la fin, les photos du tatouage de la fille sont montrées.</v>
      </c>
    </row>
    <row r="11073">
      <c r="A11073" s="4" t="s">
        <v>13927</v>
      </c>
      <c r="B11073" s="4" t="s">
        <v>13928</v>
      </c>
      <c r="C11073" s="5" t="str">
        <f>IFERROR(__xludf.DUMMYFUNCTION("GOOGLETRANSLATE(B11073,""en"",""fr"")"),"Une intro conduit à un petit groupe de petits enfants debout sur une scène de maintien des instruments.")</f>
        <v>Une intro conduit à un petit groupe de petits enfants debout sur une scène de maintien des instruments.</v>
      </c>
    </row>
    <row r="11074">
      <c r="A11074" s="4" t="s">
        <v>13927</v>
      </c>
      <c r="B11074" s="4" t="s">
        <v>13929</v>
      </c>
      <c r="C11074" s="5" t="str">
        <f>IFERROR(__xludf.DUMMYFUNCTION("GOOGLETRANSLATE(B11074,""en"",""fr"")"),"Ils commencent à jouer les instruments tandis que la caméra zoome sur chacun d'eux en jouant.")</f>
        <v>Ils commencent à jouer les instruments tandis que la caméra zoome sur chacun d'eux en jouant.</v>
      </c>
    </row>
    <row r="11075">
      <c r="A11075" s="4" t="s">
        <v>13930</v>
      </c>
      <c r="B11075" s="4" t="s">
        <v>13931</v>
      </c>
      <c r="C11075" s="5" t="str">
        <f>IFERROR(__xludf.DUMMYFUNCTION("GOOGLETRANSLATE(B11075,""en"",""fr"")"),"Une femme portant un chapeau de Père Noël parle.")</f>
        <v>Une femme portant un chapeau de Père Noël parle.</v>
      </c>
    </row>
    <row r="11076">
      <c r="A11076" s="4" t="s">
        <v>13930</v>
      </c>
      <c r="B11076" s="4" t="s">
        <v>13932</v>
      </c>
      <c r="C11076" s="5" t="str">
        <f>IFERROR(__xludf.DUMMYFUNCTION("GOOGLETRANSLATE(B11076,""en"",""fr"")"),"Elle met des lumières de Noël sur l'arbre.")</f>
        <v>Elle met des lumières de Noël sur l'arbre.</v>
      </c>
    </row>
    <row r="11077">
      <c r="A11077" s="4" t="s">
        <v>13930</v>
      </c>
      <c r="B11077" s="4" t="s">
        <v>13933</v>
      </c>
      <c r="C11077" s="5" t="str">
        <f>IFERROR(__xludf.DUMMYFUNCTION("GOOGLETRANSLATE(B11077,""en"",""fr"")"),"Elle met le ruban autour de l'arbre.")</f>
        <v>Elle met le ruban autour de l'arbre.</v>
      </c>
    </row>
    <row r="11078">
      <c r="A11078" s="4" t="s">
        <v>13930</v>
      </c>
      <c r="B11078" s="4" t="s">
        <v>13934</v>
      </c>
      <c r="C11078" s="5" t="str">
        <f>IFERROR(__xludf.DUMMYFUNCTION("GOOGLETRANSLATE(B11078,""en"",""fr"")"),"Elle corrige les décorations autour de l'arbre.")</f>
        <v>Elle corrige les décorations autour de l'arbre.</v>
      </c>
    </row>
    <row r="11079">
      <c r="A11079" s="4" t="s">
        <v>13930</v>
      </c>
      <c r="B11079" s="4" t="s">
        <v>13935</v>
      </c>
      <c r="C11079" s="5" t="str">
        <f>IFERROR(__xludf.DUMMYFUNCTION("GOOGLETRANSLATE(B11079,""en"",""fr"")"),"Elle met des ampoules sur l'arbre de Noël.")</f>
        <v>Elle met des ampoules sur l'arbre de Noël.</v>
      </c>
    </row>
    <row r="11080">
      <c r="A11080" s="4" t="s">
        <v>13930</v>
      </c>
      <c r="B11080" s="4" t="s">
        <v>13936</v>
      </c>
      <c r="C11080" s="5" t="str">
        <f>IFERROR(__xludf.DUMMYFUNCTION("GOOGLETRANSLATE(B11080,""en"",""fr"")"),"Elle met de petits animaux en peluche sur l'arbre.")</f>
        <v>Elle met de petits animaux en peluche sur l'arbre.</v>
      </c>
    </row>
    <row r="11081">
      <c r="A11081" s="4" t="s">
        <v>13930</v>
      </c>
      <c r="B11081" s="4" t="s">
        <v>13937</v>
      </c>
      <c r="C11081" s="5" t="str">
        <f>IFERROR(__xludf.DUMMYFUNCTION("GOOGLETRANSLATE(B11081,""en"",""fr"")"),"Elle met des cannes de bonbons sur l'arbre.")</f>
        <v>Elle met des cannes de bonbons sur l'arbre.</v>
      </c>
    </row>
    <row r="11082">
      <c r="A11082" s="4" t="s">
        <v>13930</v>
      </c>
      <c r="B11082" s="4" t="s">
        <v>13938</v>
      </c>
      <c r="C11082" s="5" t="str">
        <f>IFERROR(__xludf.DUMMYFUNCTION("GOOGLETRANSLATE(B11082,""en"",""fr"")"),"Elle met une étoile sur l'arbre.")</f>
        <v>Elle met une étoile sur l'arbre.</v>
      </c>
    </row>
    <row r="11083">
      <c r="A11083" s="4" t="s">
        <v>13930</v>
      </c>
      <c r="B11083" s="4" t="s">
        <v>13939</v>
      </c>
      <c r="C11083" s="5" t="str">
        <f>IFERROR(__xludf.DUMMYFUNCTION("GOOGLETRANSLATE(B11083,""en"",""fr"")"),"L'étoile tombe de l'arbre.")</f>
        <v>L'étoile tombe de l'arbre.</v>
      </c>
    </row>
    <row r="11084">
      <c r="A11084" s="4" t="s">
        <v>13930</v>
      </c>
      <c r="B11084" s="4" t="s">
        <v>13940</v>
      </c>
      <c r="C11084" s="5" t="str">
        <f>IFERROR(__xludf.DUMMYFUNCTION("GOOGLETRANSLATE(B11084,""en"",""fr"")"),"Elle met du coton sous l'arbre.")</f>
        <v>Elle met du coton sous l'arbre.</v>
      </c>
    </row>
    <row r="11085">
      <c r="A11085" s="4" t="s">
        <v>13941</v>
      </c>
      <c r="B11085" s="4" t="s">
        <v>13942</v>
      </c>
      <c r="C11085" s="5" t="str">
        <f>IFERROR(__xludf.DUMMYFUNCTION("GOOGLETRANSLATE(B11085,""en"",""fr"")"),"Une jeune fille dans une pièce parle à une caméra et montre son coiffure.")</f>
        <v>Une jeune fille dans une pièce parle à une caméra et montre son coiffure.</v>
      </c>
    </row>
    <row r="11086">
      <c r="A11086" s="4" t="s">
        <v>13941</v>
      </c>
      <c r="B11086" s="4" t="s">
        <v>13943</v>
      </c>
      <c r="C11086" s="5" t="str">
        <f>IFERROR(__xludf.DUMMYFUNCTION("GOOGLETRANSLATE(B11086,""en"",""fr"")"),"Elle retourne ensuite avant qu'il ne soit tressé et le casse, le sectionnant.")</f>
        <v>Elle retourne ensuite avant qu'il ne soit tressé et le casse, le sectionnant.</v>
      </c>
    </row>
    <row r="11087">
      <c r="A11087" s="4" t="s">
        <v>13941</v>
      </c>
      <c r="B11087" s="6" t="s">
        <v>13944</v>
      </c>
      <c r="C11087" s="5" t="str">
        <f>IFERROR(__xludf.DUMMYFUNCTION("GOOGLETRANSLATE(B11087,""en"",""fr"")"),"Elle prend ensuite deux sections et les entrelace, et attrape plus de longueurs de cheveux en descendant la tresse.")</f>
        <v>Elle prend ensuite deux sections et les entrelace, et attrape plus de longueurs de cheveux en descendant la tresse.</v>
      </c>
    </row>
    <row r="11088">
      <c r="A11088" s="4" t="s">
        <v>13941</v>
      </c>
      <c r="B11088" s="6" t="s">
        <v>13945</v>
      </c>
      <c r="C11088" s="5" t="str">
        <f>IFERROR(__xludf.DUMMYFUNCTION("GOOGLETRANSLATE(B11088,""en"",""fr"")"),"Elle baise ensuite la tresse sur le côté et attrape des longueurs de cheveux pour la fixer sur le côté et incorpore des longueurs de l'arrière de ses cheveux.")</f>
        <v>Elle baise ensuite la tresse sur le côté et attrape des longueurs de cheveux pour la fixer sur le côté et incorpore des longueurs de l'arrière de ses cheveux.</v>
      </c>
    </row>
    <row r="11089">
      <c r="A11089" s="4" t="s">
        <v>13941</v>
      </c>
      <c r="B11089" s="4" t="s">
        <v>13946</v>
      </c>
      <c r="C11089" s="5" t="str">
        <f>IFERROR(__xludf.DUMMYFUNCTION("GOOGLETRANSLATE(B11089,""en"",""fr"")"),"Ses cheveux sont tressés avec succès et elle montre le look fini.")</f>
        <v>Ses cheveux sont tressés avec succès et elle montre le look fini.</v>
      </c>
    </row>
    <row r="11090">
      <c r="A11090" s="4" t="s">
        <v>13947</v>
      </c>
      <c r="B11090" s="6" t="s">
        <v>13948</v>
      </c>
      <c r="C11090" s="5" t="str">
        <f>IFERROR(__xludf.DUMMYFUNCTION("GOOGLETRANSLATE(B11090,""en"",""fr"")"),"Un homme en équipement d'escrime commence à parler de l'équipement d'escrime qui s'apprête à parler de ses expériences d'escrime.")</f>
        <v>Un homme en équipement d'escrime commence à parler de l'équipement d'escrime qui s'apprête à parler de ses expériences d'escrime.</v>
      </c>
    </row>
    <row r="11091">
      <c r="A11091" s="4" t="s">
        <v>13947</v>
      </c>
      <c r="B11091" s="4" t="s">
        <v>13949</v>
      </c>
      <c r="C11091" s="5" t="str">
        <f>IFERROR(__xludf.DUMMYFUNCTION("GOOGLETRANSLATE(B11091,""en"",""fr"")"),"Il s'habille dans son équipement et va au studio pour la pratique.")</f>
        <v>Il s'habille dans son équipement et va au studio pour la pratique.</v>
      </c>
    </row>
    <row r="11092">
      <c r="A11092" s="4" t="s">
        <v>13947</v>
      </c>
      <c r="B11092" s="4" t="s">
        <v>13950</v>
      </c>
      <c r="C11092" s="5" t="str">
        <f>IFERROR(__xludf.DUMMYFUNCTION("GOOGLETRANSLATE(B11092,""en"",""fr"")"),"Lui et un autre homme s'entraînent les uns avec les autres pendant une minuterie.")</f>
        <v>Lui et un autre homme s'entraînent les uns avec les autres pendant une minuterie.</v>
      </c>
    </row>
    <row r="11093">
      <c r="A11093" s="4" t="s">
        <v>13947</v>
      </c>
      <c r="B11093" s="6" t="s">
        <v>13951</v>
      </c>
      <c r="C11093" s="5" t="str">
        <f>IFERROR(__xludf.DUMMYFUNCTION("GOOGLETRANSLATE(B11093,""en"",""fr"")"),"Il y a une certaine position et la façon dont vous bougez vos pieds lorsque vous clôturez qui aide à vous déplacer vers et depuis l'oponet.")</f>
        <v>Il y a une certaine position et la façon dont vous bougez vos pieds lorsque vous clôturez qui aide à vous déplacer vers et depuis l'oponet.</v>
      </c>
    </row>
    <row r="11094">
      <c r="A11094" s="4" t="s">
        <v>13952</v>
      </c>
      <c r="B11094" s="4" t="s">
        <v>13953</v>
      </c>
      <c r="C11094" s="5" t="str">
        <f>IFERROR(__xludf.DUMMYFUNCTION("GOOGLETRANSLATE(B11094,""en"",""fr"")"),"Une caméra se déroule tout autour d'un ciel montrant des cerfs-volants dans l'air.")</f>
        <v>Une caméra se déroule tout autour d'un ciel montrant des cerfs-volants dans l'air.</v>
      </c>
    </row>
    <row r="11095">
      <c r="A11095" s="4" t="s">
        <v>13952</v>
      </c>
      <c r="B11095" s="4" t="s">
        <v>13954</v>
      </c>
      <c r="C11095" s="5" t="str">
        <f>IFERROR(__xludf.DUMMYFUNCTION("GOOGLETRANSLATE(B11095,""en"",""fr"")"),"Une personne est ensuite vue en train de rouler sur une planche de cerf-volant sur l'eau.")</f>
        <v>Une personne est ensuite vue en train de rouler sur une planche de cerf-volant sur l'eau.</v>
      </c>
    </row>
    <row r="11096">
      <c r="A11096" s="4" t="s">
        <v>13952</v>
      </c>
      <c r="B11096" s="4" t="s">
        <v>13955</v>
      </c>
      <c r="C11096" s="5" t="str">
        <f>IFERROR(__xludf.DUMMYFUNCTION("GOOGLETRANSLATE(B11096,""en"",""fr"")"),"La personne continue de rouler pendant que la caméra regarde.")</f>
        <v>La personne continue de rouler pendant que la caméra regarde.</v>
      </c>
    </row>
    <row r="11097">
      <c r="A11097" s="4" t="s">
        <v>13956</v>
      </c>
      <c r="B11097" s="6" t="s">
        <v>13957</v>
      </c>
      <c r="C11097" s="5" t="str">
        <f>IFERROR(__xludf.DUMMYFUNCTION("GOOGLETRANSLATE(B11097,""en"",""fr"")"),"Une jeune fille est vue debout devant un ensemble de barres de singe et souriant tout en parlant à la caméra.")</f>
        <v>Une jeune fille est vue debout devant un ensemble de barres de singe et souriant tout en parlant à la caméra.</v>
      </c>
    </row>
    <row r="11098">
      <c r="A11098" s="4" t="s">
        <v>13956</v>
      </c>
      <c r="B11098" s="4" t="s">
        <v>13958</v>
      </c>
      <c r="C11098" s="5" t="str">
        <f>IFERROR(__xludf.DUMMYFUNCTION("GOOGLETRANSLATE(B11098,""en"",""fr"")"),"Elle se transporte ensuite le long de l'ensemble des barres de singe et recule et quatrième sur le jeu de jeu.")</f>
        <v>Elle se transporte ensuite le long de l'ensemble des barres de singe et recule et quatrième sur le jeu de jeu.</v>
      </c>
    </row>
    <row r="11099">
      <c r="A11099" s="4" t="s">
        <v>13956</v>
      </c>
      <c r="B11099" s="4" t="s">
        <v>13959</v>
      </c>
      <c r="C11099" s="5" t="str">
        <f>IFERROR(__xludf.DUMMYFUNCTION("GOOGLETRANSLATE(B11099,""en"",""fr"")"),"Elle remonte au départ et descende l'échelle en regardant enfin la caméra.")</f>
        <v>Elle remonte au départ et descende l'échelle en regardant enfin la caméra.</v>
      </c>
    </row>
    <row r="11100">
      <c r="A11100" s="4" t="s">
        <v>13960</v>
      </c>
      <c r="B11100" s="4" t="s">
        <v>13961</v>
      </c>
      <c r="C11100" s="5" t="str">
        <f>IFERROR(__xludf.DUMMYFUNCTION("GOOGLETRANSLATE(B11100,""en"",""fr"")"),"Une femme parle sur les stores.")</f>
        <v>Une femme parle sur les stores.</v>
      </c>
    </row>
    <row r="11101">
      <c r="A11101" s="4" t="s">
        <v>13960</v>
      </c>
      <c r="B11101" s="4" t="s">
        <v>13962</v>
      </c>
      <c r="C11101" s="5" t="str">
        <f>IFERROR(__xludf.DUMMYFUNCTION("GOOGLETRANSLATE(B11101,""en"",""fr"")"),"Ensuite, la femme joue quatre tams, elle joue principalement le tam-tam sur le devant elle.")</f>
        <v>Ensuite, la femme joue quatre tams, elle joue principalement le tam-tam sur le devant elle.</v>
      </c>
    </row>
    <row r="11102">
      <c r="A11102" s="4" t="s">
        <v>13960</v>
      </c>
      <c r="B11102" s="4" t="s">
        <v>13963</v>
      </c>
      <c r="C11102" s="5" t="str">
        <f>IFERROR(__xludf.DUMMYFUNCTION("GOOGLETRANSLATE(B11102,""en"",""fr"")"),"Ensuite, la femme arrête de jouer et de sourire.")</f>
        <v>Ensuite, la femme arrête de jouer et de sourire.</v>
      </c>
    </row>
    <row r="11103">
      <c r="A11103" s="4" t="s">
        <v>13964</v>
      </c>
      <c r="B11103" s="4" t="s">
        <v>13965</v>
      </c>
      <c r="C11103" s="5" t="str">
        <f>IFERROR(__xludf.DUMMYFUNCTION("GOOGLETRANSLATE(B11103,""en"",""fr"")"),"Un homme et deux femmes font une danse aérobie à l'intérieur d'un bâtiment.")</f>
        <v>Un homme et deux femmes font une danse aérobie à l'intérieur d'un bâtiment.</v>
      </c>
    </row>
    <row r="11104">
      <c r="A11104" s="4" t="s">
        <v>13964</v>
      </c>
      <c r="B11104" s="4" t="s">
        <v>13966</v>
      </c>
      <c r="C11104" s="5" t="str">
        <f>IFERROR(__xludf.DUMMYFUNCTION("GOOGLETRANSLATE(B11104,""en"",""fr"")"),"Ils effectuent plusieurs mouvements, accélérant avec le temps.")</f>
        <v>Ils effectuent plusieurs mouvements, accélérant avec le temps.</v>
      </c>
    </row>
    <row r="11105">
      <c r="A11105" s="4" t="s">
        <v>13964</v>
      </c>
      <c r="B11105" s="4" t="s">
        <v>13967</v>
      </c>
      <c r="C11105" s="5" t="str">
        <f>IFERROR(__xludf.DUMMYFUNCTION("GOOGLETRANSLATE(B11105,""en"",""fr"")"),"Ils s'arrêtent, applaudissent et essuyent les cheveux de leurs visages lorsqu'ils ont fini.")</f>
        <v>Ils s'arrêtent, applaudissent et essuyent les cheveux de leurs visages lorsqu'ils ont fini.</v>
      </c>
    </row>
    <row r="11106">
      <c r="A11106" s="4" t="s">
        <v>13968</v>
      </c>
      <c r="B11106" s="4" t="s">
        <v>13969</v>
      </c>
      <c r="C11106" s="5" t="str">
        <f>IFERROR(__xludf.DUMMYFUNCTION("GOOGLETRANSLATE(B11106,""en"",""fr"")"),"Un homme marche dans un champ.")</f>
        <v>Un homme marche dans un champ.</v>
      </c>
    </row>
    <row r="11107">
      <c r="A11107" s="4" t="s">
        <v>13968</v>
      </c>
      <c r="B11107" s="6" t="s">
        <v>13970</v>
      </c>
      <c r="C11107" s="5" t="str">
        <f>IFERROR(__xludf.DUMMYFUNCTION("GOOGLETRANSLATE(B11107,""en"",""fr"")"),"Nous voyons son dos et voyons du sang et un harnais dans sa peau et deux autres hommes qui ont le harnais de peau.")</f>
        <v>Nous voyons son dos et voyons du sang et un harnais dans sa peau et deux autres hommes qui ont le harnais de peau.</v>
      </c>
    </row>
    <row r="11108">
      <c r="A11108" s="4" t="s">
        <v>13968</v>
      </c>
      <c r="B11108" s="4" t="s">
        <v>13971</v>
      </c>
      <c r="C11108" s="5" t="str">
        <f>IFERROR(__xludf.DUMMYFUNCTION("GOOGLETRANSLATE(B11108,""en"",""fr"")"),"Nous voyons les hommes grimper et se tenir debout sur une grue haut dans le ciel.")</f>
        <v>Nous voyons les hommes grimper et se tenir debout sur une grue haut dans le ciel.</v>
      </c>
    </row>
    <row r="11109">
      <c r="A11109" s="4" t="s">
        <v>13968</v>
      </c>
      <c r="B11109" s="4" t="s">
        <v>13972</v>
      </c>
      <c r="C11109" s="5" t="str">
        <f>IFERROR(__xludf.DUMMYFUNCTION("GOOGLETRANSLATE(B11109,""en"",""fr"")"),"Les hommes avec le harnais de peau sautent d'une grue au-dessus d'une forêt.")</f>
        <v>Les hommes avec le harnais de peau sautent d'une grue au-dessus d'une forêt.</v>
      </c>
    </row>
    <row r="11110">
      <c r="A11110" s="4" t="s">
        <v>13968</v>
      </c>
      <c r="B11110" s="4" t="s">
        <v>13973</v>
      </c>
      <c r="C11110" s="5" t="str">
        <f>IFERROR(__xludf.DUMMYFUNCTION("GOOGLETRANSLATE(B11110,""en"",""fr"")"),"Nous voyons le sol ci-dessous.")</f>
        <v>Nous voyons le sol ci-dessous.</v>
      </c>
    </row>
    <row r="11111">
      <c r="A11111" s="4" t="s">
        <v>13974</v>
      </c>
      <c r="B11111" s="4" t="s">
        <v>13975</v>
      </c>
      <c r="C11111" s="5" t="str">
        <f>IFERROR(__xludf.DUMMYFUNCTION("GOOGLETRANSLATE(B11111,""en"",""fr"")"),"Un dessin animé d'une arche est montré et mène à un homme plaçant des tomates sur une assiette.")</f>
        <v>Un dessin animé d'une arche est montré et mène à un homme plaçant des tomates sur une assiette.</v>
      </c>
    </row>
    <row r="11112">
      <c r="A11112" s="4" t="s">
        <v>13974</v>
      </c>
      <c r="B11112" s="4" t="s">
        <v>13976</v>
      </c>
      <c r="C11112" s="5" t="str">
        <f>IFERROR(__xludf.DUMMYFUNCTION("GOOGLETRANSLATE(B11112,""en"",""fr"")"),"Il met les oignons et autres ingrédients sur une assiette et coupe plusieurs autres ingrédients.")</f>
        <v>Il met les oignons et autres ingrédients sur une assiette et coupe plusieurs autres ingrédients.</v>
      </c>
    </row>
    <row r="11113">
      <c r="A11113" s="4" t="s">
        <v>13974</v>
      </c>
      <c r="B11113" s="6" t="s">
        <v>13977</v>
      </c>
      <c r="C11113" s="5" t="str">
        <f>IFERROR(__xludf.DUMMYFUNCTION("GOOGLETRANSLATE(B11113,""en"",""fr"")"),"Il place les derniers ingrédients dans le bol tout en parlant à la caméra et en se met sur le repas qu'il a préparé.")</f>
        <v>Il place les derniers ingrédients dans le bol tout en parlant à la caméra et en se met sur le repas qu'il a préparé.</v>
      </c>
    </row>
    <row r="11114">
      <c r="A11114" s="4" t="s">
        <v>13978</v>
      </c>
      <c r="B11114" s="4" t="s">
        <v>13979</v>
      </c>
      <c r="C11114" s="5" t="str">
        <f>IFERROR(__xludf.DUMMYFUNCTION("GOOGLETRANSLATE(B11114,""en"",""fr"")"),"Deux enfants masculins sont à l'extérieur dans une allée qui se parle.")</f>
        <v>Deux enfants masculins sont à l'extérieur dans une allée qui se parle.</v>
      </c>
    </row>
    <row r="11115">
      <c r="A11115" s="4" t="s">
        <v>13978</v>
      </c>
      <c r="B11115" s="6" t="s">
        <v>13980</v>
      </c>
      <c r="C11115" s="5" t="str">
        <f>IFERROR(__xludf.DUMMYFUNCTION("GOOGLETRANSLATE(B11115,""en"",""fr"")"),"Une fois qu'ils ont terminé leur conversation, ils commencent à rouler sur la route dans un parc ouvert.")</f>
        <v>Une fois qu'ils ont terminé leur conversation, ils commencent à rouler sur la route dans un parc ouvert.</v>
      </c>
    </row>
    <row r="11116">
      <c r="A11116" s="4" t="s">
        <v>13978</v>
      </c>
      <c r="B11116" s="6" t="s">
        <v>13981</v>
      </c>
      <c r="C11116" s="5" t="str">
        <f>IFERROR(__xludf.DUMMYFUNCTION("GOOGLETRANSLATE(B11116,""en"",""fr"")"),"Les deux garçons arrivent à leur arrêt à destination et parlent, puis l'un délève et l'autre garçon le suit et ils continuent de rouler.")</f>
        <v>Les deux garçons arrivent à leur arrêt à destination et parlent, puis l'un délève et l'autre garçon le suit et ils continuent de rouler.</v>
      </c>
    </row>
    <row r="11117">
      <c r="A11117" s="4" t="s">
        <v>13982</v>
      </c>
      <c r="B11117" s="4" t="s">
        <v>13983</v>
      </c>
      <c r="C11117" s="5" t="str">
        <f>IFERROR(__xludf.DUMMYFUNCTION("GOOGLETRANSLATE(B11117,""en"",""fr"")"),"Une série de femmes est montrée en gros plan de leurs visages.")</f>
        <v>Une série de femmes est montrée en gros plan de leurs visages.</v>
      </c>
    </row>
    <row r="11118">
      <c r="A11118" s="4" t="s">
        <v>13982</v>
      </c>
      <c r="B11118" s="4" t="s">
        <v>13984</v>
      </c>
      <c r="C11118" s="5" t="str">
        <f>IFERROR(__xludf.DUMMYFUNCTION("GOOGLETRANSLATE(B11118,""en"",""fr"")"),"Un styliste se tient à côté d'une fille assise sur sa chaise.")</f>
        <v>Un styliste se tient à côté d'une fille assise sur sa chaise.</v>
      </c>
    </row>
    <row r="11119">
      <c r="A11119" s="4" t="s">
        <v>13982</v>
      </c>
      <c r="B11119" s="4" t="s">
        <v>13985</v>
      </c>
      <c r="C11119" s="5" t="str">
        <f>IFERROR(__xludf.DUMMYFUNCTION("GOOGLETRANSLATE(B11119,""en"",""fr"")"),"Il donne des instructions sur la façon de coiffer ses cheveux.")</f>
        <v>Il donne des instructions sur la façon de coiffer ses cheveux.</v>
      </c>
    </row>
    <row r="11120">
      <c r="A11120" s="4" t="s">
        <v>13982</v>
      </c>
      <c r="B11120" s="4" t="s">
        <v>13986</v>
      </c>
      <c r="C11120" s="5" t="str">
        <f>IFERROR(__xludf.DUMMYFUNCTION("GOOGLETRANSLATE(B11120,""en"",""fr"")"),"Il utilise un sèche-linge pour souffler ses cheveux, puis les coupe.")</f>
        <v>Il utilise un sèche-linge pour souffler ses cheveux, puis les coupe.</v>
      </c>
    </row>
    <row r="11121">
      <c r="A11121" s="4" t="s">
        <v>13987</v>
      </c>
      <c r="B11121" s="6" t="s">
        <v>13988</v>
      </c>
      <c r="C11121" s="5" t="str">
        <f>IFERROR(__xludf.DUMMYFUNCTION("GOOGLETRANSLATE(B11121,""en"",""fr"")"),"Un homme est vu entrer dans le cadre se penchant pour prendre un ensemble de poids et commence à se soulever vers le haut.")</f>
        <v>Un homme est vu entrer dans le cadre se penchant pour prendre un ensemble de poids et commence à se soulever vers le haut.</v>
      </c>
    </row>
    <row r="11122">
      <c r="A11122" s="4" t="s">
        <v>13987</v>
      </c>
      <c r="B11122" s="6" t="s">
        <v>13989</v>
      </c>
      <c r="C11122" s="5" t="str">
        <f>IFERROR(__xludf.DUMMYFUNCTION("GOOGLETRANSLATE(B11122,""en"",""fr"")"),"Il soulève ensuite le poids sur son épaule plusieurs fois tout en sautant pour se donner de l'élan.")</f>
        <v>Il soulève ensuite le poids sur son épaule plusieurs fois tout en sautant pour se donner de l'élan.</v>
      </c>
    </row>
    <row r="11123">
      <c r="A11123" s="4" t="s">
        <v>13990</v>
      </c>
      <c r="B11123" s="6" t="s">
        <v>13991</v>
      </c>
      <c r="C11123" s="5" t="str">
        <f>IFERROR(__xludf.DUMMYFUNCTION("GOOGLETRANSLATE(B11123,""en"",""fr"")"),"Un homme sculpte une citrouille et un morceau de glace, puis l'homme tient une citrouille sculptée et la met sur un banc.")</f>
        <v>Un homme sculpte une citrouille et un morceau de glace, puis l'homme tient une citrouille sculptée et la met sur un banc.</v>
      </c>
    </row>
    <row r="11124">
      <c r="A11124" s="4" t="s">
        <v>13990</v>
      </c>
      <c r="B11124" s="6" t="s">
        <v>13992</v>
      </c>
      <c r="C11124" s="5" t="str">
        <f>IFERROR(__xludf.DUMMYFUNCTION("GOOGLETRANSLATE(B11124,""en"",""fr"")"),"Un jeune homme prend des photos de sculptures de glace artistiques, tandis qu'une personne sculpte un morceau de glace dans la rue.")</f>
        <v>Un jeune homme prend des photos de sculptures de glace artistiques, tandis qu'une personne sculpte un morceau de glace dans la rue.</v>
      </c>
    </row>
    <row r="11125">
      <c r="A11125" s="4" t="s">
        <v>13990</v>
      </c>
      <c r="B11125" s="4" t="s">
        <v>13993</v>
      </c>
      <c r="C11125" s="5" t="str">
        <f>IFERROR(__xludf.DUMMYFUNCTION("GOOGLETRANSLATE(B11125,""en"",""fr"")"),"L'homme montre comment sculpter une citrouille en utilisant des outils de sculpture pour faire des visages.")</f>
        <v>L'homme montre comment sculpter une citrouille en utilisant des outils de sculpture pour faire des visages.</v>
      </c>
    </row>
    <row r="11126">
      <c r="A11126" s="4" t="s">
        <v>13990</v>
      </c>
      <c r="B11126" s="4" t="s">
        <v>13994</v>
      </c>
      <c r="C11126" s="5" t="str">
        <f>IFERROR(__xludf.DUMMYFUNCTION("GOOGLETRANSLATE(B11126,""en"",""fr"")"),"Les citrouilles sculptées avec des visages effrayantes et des sculptures de glace sont affichées dans une pièce.")</f>
        <v>Les citrouilles sculptées avec des visages effrayantes et des sculptures de glace sont affichées dans une pièce.</v>
      </c>
    </row>
    <row r="11127">
      <c r="A11127" s="4" t="s">
        <v>13995</v>
      </c>
      <c r="B11127" s="4" t="s">
        <v>1251</v>
      </c>
      <c r="C11127" s="5" t="str">
        <f>IFERROR(__xludf.DUMMYFUNCTION("GOOGLETRANSLATE(B11127,""en"",""fr"")"),"Les crédits du clip sont affichés.")</f>
        <v>Les crédits du clip sont affichés.</v>
      </c>
    </row>
    <row r="11128">
      <c r="A11128" s="4" t="s">
        <v>13995</v>
      </c>
      <c r="B11128" s="4" t="s">
        <v>13996</v>
      </c>
      <c r="C11128" s="5" t="str">
        <f>IFERROR(__xludf.DUMMYFUNCTION("GOOGLETRANSLATE(B11128,""en"",""fr"")"),"Les gens tournent sur des vélos d'exercice.")</f>
        <v>Les gens tournent sur des vélos d'exercice.</v>
      </c>
    </row>
    <row r="11129">
      <c r="A11129" s="4" t="s">
        <v>13995</v>
      </c>
      <c r="B11129" s="4" t="s">
        <v>573</v>
      </c>
      <c r="C11129" s="5" t="str">
        <f>IFERROR(__xludf.DUMMYFUNCTION("GOOGLETRANSLATE(B11129,""en"",""fr"")"),"Les crédits de la vidéo sont affichés.")</f>
        <v>Les crédits de la vidéo sont affichés.</v>
      </c>
    </row>
    <row r="11130">
      <c r="A11130" s="4" t="s">
        <v>13997</v>
      </c>
      <c r="B11130" s="6" t="s">
        <v>13998</v>
      </c>
      <c r="C11130" s="5" t="str">
        <f>IFERROR(__xludf.DUMMYFUNCTION("GOOGLETRANSLATE(B11130,""en"",""fr"")"),"Un individu portant un visage couvrant traîne un appareil de type tube intérieur le long de la neige, entouré d'autres personnes faisant la même chose.")</f>
        <v>Un individu portant un visage couvrant traîne un appareil de type tube intérieur le long de la neige, entouré d'autres personnes faisant la même chose.</v>
      </c>
    </row>
    <row r="11131">
      <c r="A11131" s="4" t="s">
        <v>13997</v>
      </c>
      <c r="B11131" s="4" t="s">
        <v>13999</v>
      </c>
      <c r="C11131" s="5" t="str">
        <f>IFERROR(__xludf.DUMMYFUNCTION("GOOGLETRANSLATE(B11131,""en"",""fr"")"),"L'individu se dirige vers un autre individu portant une veste rouge.")</f>
        <v>L'individu se dirige vers un autre individu portant une veste rouge.</v>
      </c>
    </row>
    <row r="11132">
      <c r="A11132" s="4" t="s">
        <v>13997</v>
      </c>
      <c r="B11132" s="4" t="s">
        <v>14000</v>
      </c>
      <c r="C11132" s="5" t="str">
        <f>IFERROR(__xludf.DUMMYFUNCTION("GOOGLETRANSLATE(B11132,""en"",""fr"")"),"L'individu remet la référence pour l'appareil à la personne dans la veste rouge et est assis sur l'appareil.")</f>
        <v>L'individu remet la référence pour l'appareil à la personne dans la veste rouge et est assis sur l'appareil.</v>
      </c>
    </row>
    <row r="11133">
      <c r="A11133" s="4" t="s">
        <v>13997</v>
      </c>
      <c r="B11133" s="6" t="s">
        <v>14001</v>
      </c>
      <c r="C11133" s="5" t="str">
        <f>IFERROR(__xludf.DUMMYFUNCTION("GOOGLETRANSLATE(B11133,""en"",""fr"")"),"La personne dans la veste rouge tire l'appareil en descente et le premier individu monte sur la pente.")</f>
        <v>La personne dans la veste rouge tire l'appareil en descente et le premier individu monte sur la pente.</v>
      </c>
    </row>
    <row r="11134">
      <c r="A11134" s="4" t="s">
        <v>13997</v>
      </c>
      <c r="B11134" s="4" t="s">
        <v>14002</v>
      </c>
      <c r="C11134" s="5" t="str">
        <f>IFERROR(__xludf.DUMMYFUNCTION("GOOGLETRANSLATE(B11134,""en"",""fr"")"),"Le premier individu démonte et reprend en tirant l'appareil.")</f>
        <v>Le premier individu démonte et reprend en tirant l'appareil.</v>
      </c>
    </row>
    <row r="11135">
      <c r="A11135" s="4" t="s">
        <v>13997</v>
      </c>
      <c r="B11135" s="4" t="s">
        <v>14003</v>
      </c>
      <c r="C11135" s="5" t="str">
        <f>IFERROR(__xludf.DUMMYFUNCTION("GOOGLETRANSLATE(B11135,""en"",""fr"")"),"L'individu tire l'appareil le long d'une sorte de passerelle couverte avec un sol en mouvement.")</f>
        <v>L'individu tire l'appareil le long d'une sorte de passerelle couverte avec un sol en mouvement.</v>
      </c>
    </row>
    <row r="11136">
      <c r="A11136" s="4" t="s">
        <v>14004</v>
      </c>
      <c r="B11136" s="4" t="s">
        <v>14005</v>
      </c>
      <c r="C11136" s="5" t="str">
        <f>IFERROR(__xludf.DUMMYFUNCTION("GOOGLETRANSLATE(B11136,""en"",""fr"")"),"Un champ de deux équipes est montré se disputant une balle de crosse au milieu d'un grand champ vert.")</f>
        <v>Un champ de deux équipes est montré se disputant une balle de crosse au milieu d'un grand champ vert.</v>
      </c>
    </row>
    <row r="11137">
      <c r="A11137" s="4" t="s">
        <v>14004</v>
      </c>
      <c r="B11137" s="4" t="s">
        <v>14006</v>
      </c>
      <c r="C11137" s="5" t="str">
        <f>IFERROR(__xludf.DUMMYFUNCTION("GOOGLETRANSLATE(B11137,""en"",""fr"")"),"Ils se lèvent ensuite et continuent de jouer sur le grand terrain.")</f>
        <v>Ils se lèvent ensuite et continuent de jouer sur le grand terrain.</v>
      </c>
    </row>
    <row r="11138">
      <c r="A11138" s="4" t="s">
        <v>14004</v>
      </c>
      <c r="B11138" s="6" t="s">
        <v>14007</v>
      </c>
      <c r="C11138" s="5" t="str">
        <f>IFERROR(__xludf.DUMMYFUNCTION("GOOGLETRANSLATE(B11138,""en"",""fr"")"),"Peu de temps après, une petite bagarre commence au milieu de la piscine et un homme dans un nez uniforme noir commence à saigner et le jeu s'affiche et les rediffusions sont montrées.")</f>
        <v>Peu de temps après, une petite bagarre commence au milieu de la piscine et un homme dans un nez uniforme noir commence à saigner et le jeu s'affiche et les rediffusions sont montrées.</v>
      </c>
    </row>
    <row r="11139">
      <c r="A11139" s="4" t="s">
        <v>14008</v>
      </c>
      <c r="B11139" s="4" t="s">
        <v>14009</v>
      </c>
      <c r="C11139" s="5" t="str">
        <f>IFERROR(__xludf.DUMMYFUNCTION("GOOGLETRANSLATE(B11139,""en"",""fr"")"),"Une annonce pour les services d'appel Beckon apparaît.")</f>
        <v>Une annonce pour les services d'appel Beckon apparaît.</v>
      </c>
    </row>
    <row r="11140">
      <c r="A11140" s="4" t="s">
        <v>14008</v>
      </c>
      <c r="B11140" s="4" t="s">
        <v>14010</v>
      </c>
      <c r="C11140" s="5" t="str">
        <f>IFERROR(__xludf.DUMMYFUNCTION("GOOGLETRANSLATE(B11140,""en"",""fr"")"),"Un homme se tient dans une cour à l'arrière-cour.")</f>
        <v>Un homme se tient dans une cour à l'arrière-cour.</v>
      </c>
    </row>
    <row r="11141">
      <c r="A11141" s="4" t="s">
        <v>14008</v>
      </c>
      <c r="B11141" s="4" t="s">
        <v>14011</v>
      </c>
      <c r="C11141" s="5" t="str">
        <f>IFERROR(__xludf.DUMMYFUNCTION("GOOGLETRANSLATE(B11141,""en"",""fr"")"),"Il ramasse plusieurs écrans de fenêtre pendant qu'il en parle.")</f>
        <v>Il ramasse plusieurs écrans de fenêtre pendant qu'il en parle.</v>
      </c>
    </row>
    <row r="11142">
      <c r="A11142" s="4" t="s">
        <v>14008</v>
      </c>
      <c r="B11142" s="4" t="s">
        <v>14012</v>
      </c>
      <c r="C11142" s="5" t="str">
        <f>IFERROR(__xludf.DUMMYFUNCTION("GOOGLETRANSLATE(B11142,""en"",""fr"")"),"Il les ajoute à la pile et s'éloigne.")</f>
        <v>Il les ajoute à la pile et s'éloigne.</v>
      </c>
    </row>
    <row r="11143">
      <c r="A11143" s="4" t="s">
        <v>14013</v>
      </c>
      <c r="B11143" s="4" t="s">
        <v>14014</v>
      </c>
      <c r="C11143" s="5" t="str">
        <f>IFERROR(__xludf.DUMMYFUNCTION("GOOGLETRANSLATE(B11143,""en"",""fr"")"),"Une fanfare est prête dans une rue pendant qu'un public regarde.")</f>
        <v>Une fanfare est prête dans une rue pendant qu'un public regarde.</v>
      </c>
    </row>
    <row r="11144">
      <c r="A11144" s="4" t="s">
        <v>14013</v>
      </c>
      <c r="B11144" s="4" t="s">
        <v>14015</v>
      </c>
      <c r="C11144" s="5" t="str">
        <f>IFERROR(__xludf.DUMMYFUNCTION("GOOGLETRANSLATE(B11144,""en"",""fr"")"),"Le chef d'orchestre mène le groupe.")</f>
        <v>Le chef d'orchestre mène le groupe.</v>
      </c>
    </row>
    <row r="11145">
      <c r="A11145" s="4" t="s">
        <v>14013</v>
      </c>
      <c r="B11145" s="4" t="s">
        <v>14016</v>
      </c>
      <c r="C11145" s="5" t="str">
        <f>IFERROR(__xludf.DUMMYFUNCTION("GOOGLETRANSLATE(B11145,""en"",""fr"")"),"Le groupe joue dans la rue pendant que le public regarde.")</f>
        <v>Le groupe joue dans la rue pendant que le public regarde.</v>
      </c>
    </row>
    <row r="11146">
      <c r="A11146" s="4" t="s">
        <v>14017</v>
      </c>
      <c r="B11146" s="4" t="s">
        <v>14018</v>
      </c>
      <c r="C11146" s="5" t="str">
        <f>IFERROR(__xludf.DUMMYFUNCTION("GOOGLETRANSLATE(B11146,""en"",""fr"")"),"Un jeune homme est vu parler à la caméra et commence à tenir une cigarette.")</f>
        <v>Un jeune homme est vu parler à la caméra et commence à tenir une cigarette.</v>
      </c>
    </row>
    <row r="11147">
      <c r="A11147" s="4" t="s">
        <v>14017</v>
      </c>
      <c r="B11147" s="4" t="s">
        <v>14019</v>
      </c>
      <c r="C11147" s="5" t="str">
        <f>IFERROR(__xludf.DUMMYFUNCTION("GOOGLETRANSLATE(B11147,""en"",""fr"")"),"L'homme prend une bouffée de la cigarette tout en parlant à la caméra.")</f>
        <v>L'homme prend une bouffée de la cigarette tout en parlant à la caméra.</v>
      </c>
    </row>
    <row r="11148">
      <c r="A11148" s="4" t="s">
        <v>14017</v>
      </c>
      <c r="B11148" s="4" t="s">
        <v>14020</v>
      </c>
      <c r="C11148" s="5" t="str">
        <f>IFERROR(__xludf.DUMMYFUNCTION("GOOGLETRANSLATE(B11148,""en"",""fr"")"),"L'homme continue de fumer en regardant et en parlant à la caméra.")</f>
        <v>L'homme continue de fumer en regardant et en parlant à la caméra.</v>
      </c>
    </row>
    <row r="11149">
      <c r="A11149" s="4" t="s">
        <v>14021</v>
      </c>
      <c r="B11149" s="4" t="s">
        <v>14022</v>
      </c>
      <c r="C11149" s="5" t="str">
        <f>IFERROR(__xludf.DUMMYFUNCTION("GOOGLETRANSLATE(B11149,""en"",""fr"")"),"Un écran de titre mène à deux femmes qui montent et descendent sur un bloc.")</f>
        <v>Un écran de titre mène à deux femmes qui montent et descendent sur un bloc.</v>
      </c>
    </row>
    <row r="11150">
      <c r="A11150" s="4" t="s">
        <v>14021</v>
      </c>
      <c r="B11150" s="6" t="s">
        <v>14023</v>
      </c>
      <c r="C11150" s="5" t="str">
        <f>IFERROR(__xludf.DUMMYFUNCTION("GOOGLETRANSLATE(B11150,""en"",""fr"")"),"Ils effectuent plusieurs exercices différents sur le faisceau et se déplacent ensemble dans un mouvement synchronisé.")</f>
        <v>Ils effectuent plusieurs exercices différents sur le faisceau et se déplacent ensemble dans un mouvement synchronisé.</v>
      </c>
    </row>
    <row r="11151">
      <c r="A11151" s="4" t="s">
        <v>14021</v>
      </c>
      <c r="B11151" s="4" t="s">
        <v>14024</v>
      </c>
      <c r="C11151" s="5" t="str">
        <f>IFERROR(__xludf.DUMMYFUNCTION("GOOGLETRANSLATE(B11151,""en"",""fr"")"),"Les filles tournent en rond et espérons vers le haut puis vers le bas sur le faisceau.")</f>
        <v>Les filles tournent en rond et espérons vers le haut puis vers le bas sur le faisceau.</v>
      </c>
    </row>
    <row r="11152">
      <c r="A11152" s="4" t="s">
        <v>14025</v>
      </c>
      <c r="B11152" s="4" t="s">
        <v>14026</v>
      </c>
      <c r="C11152" s="5" t="str">
        <f>IFERROR(__xludf.DUMMYFUNCTION("GOOGLETRANSLATE(B11152,""en"",""fr"")"),"Deux équipes sont sur un terrain avec des arbitres.")</f>
        <v>Deux équipes sont sur un terrain avec des arbitres.</v>
      </c>
    </row>
    <row r="11153">
      <c r="A11153" s="4" t="s">
        <v>14025</v>
      </c>
      <c r="B11153" s="4" t="s">
        <v>14027</v>
      </c>
      <c r="C11153" s="5" t="str">
        <f>IFERROR(__xludf.DUMMYFUNCTION("GOOGLETRANSLATE(B11153,""en"",""fr"")"),"Ils sont impliqués dans un jeu de crosse.")</f>
        <v>Ils sont impliqués dans un jeu de crosse.</v>
      </c>
    </row>
    <row r="11154">
      <c r="A11154" s="4" t="s">
        <v>14025</v>
      </c>
      <c r="B11154" s="4" t="s">
        <v>14028</v>
      </c>
      <c r="C11154" s="5" t="str">
        <f>IFERROR(__xludf.DUMMYFUNCTION("GOOGLETRANSLATE(B11154,""en"",""fr"")"),"Ils traversent le terrain, essayant de garder le ballon hors du but de l'adversaire.")</f>
        <v>Ils traversent le terrain, essayant de garder le ballon hors du but de l'adversaire.</v>
      </c>
    </row>
    <row r="11155">
      <c r="A11155" s="4" t="s">
        <v>14029</v>
      </c>
      <c r="B11155" s="4" t="s">
        <v>14030</v>
      </c>
      <c r="C11155" s="5" t="str">
        <f>IFERROR(__xludf.DUMMYFUNCTION("GOOGLETRANSLATE(B11155,""en"",""fr"")"),"Un homme plus âgé est vu debout devant deux rondelles tandis qu'une autre personne les pousse le long de la glace.")</f>
        <v>Un homme plus âgé est vu debout devant deux rondelles tandis qu'une autre personne les pousse le long de la glace.</v>
      </c>
    </row>
    <row r="11156">
      <c r="A11156" s="4" t="s">
        <v>14029</v>
      </c>
      <c r="B11156" s="4" t="s">
        <v>14031</v>
      </c>
      <c r="C11156" s="5" t="str">
        <f>IFERROR(__xludf.DUMMYFUNCTION("GOOGLETRANSLATE(B11156,""en"",""fr"")"),"L'homme se penche plusieurs fois puis glisse le long de la glace avec les rondelles.")</f>
        <v>L'homme se penche plusieurs fois puis glisse le long de la glace avec les rondelles.</v>
      </c>
    </row>
    <row r="11157">
      <c r="A11157" s="4" t="s">
        <v>14032</v>
      </c>
      <c r="B11157" s="4" t="s">
        <v>14033</v>
      </c>
      <c r="C11157" s="5" t="str">
        <f>IFERROR(__xludf.DUMMYFUNCTION("GOOGLETRANSLATE(B11157,""en"",""fr"")"),"Une intro mène à un homme jetant des fléchettes sur une planche.")</f>
        <v>Une intro mène à un homme jetant des fléchettes sur une planche.</v>
      </c>
    </row>
    <row r="11158">
      <c r="A11158" s="4" t="s">
        <v>14032</v>
      </c>
      <c r="B11158" s="4" t="s">
        <v>14034</v>
      </c>
      <c r="C11158" s="5" t="str">
        <f>IFERROR(__xludf.DUMMYFUNCTION("GOOGLETRANSLATE(B11158,""en"",""fr"")"),"Il regarde de près au loin et continue de lancer des fléchettes.")</f>
        <v>Il regarde de près au loin et continue de lancer des fléchettes.</v>
      </c>
    </row>
    <row r="11159">
      <c r="A11159" s="4" t="s">
        <v>14032</v>
      </c>
      <c r="B11159" s="4" t="s">
        <v>14035</v>
      </c>
      <c r="C11159" s="5" t="str">
        <f>IFERROR(__xludf.DUMMYFUNCTION("GOOGLETRANSLATE(B11159,""en"",""fr"")"),"La caméra montre la planche à la fin et l'homme le lançant.")</f>
        <v>La caméra montre la planche à la fin et l'homme le lançant.</v>
      </c>
    </row>
    <row r="11160">
      <c r="A11160" s="4" t="s">
        <v>14036</v>
      </c>
      <c r="B11160" s="4" t="s">
        <v>14037</v>
      </c>
      <c r="C11160" s="5" t="str">
        <f>IFERROR(__xludf.DUMMYFUNCTION("GOOGLETRANSLATE(B11160,""en"",""fr"")"),"Une femme est assise sur une tondeuse à gazon au loin.")</f>
        <v>Une femme est assise sur une tondeuse à gazon au loin.</v>
      </c>
    </row>
    <row r="11161">
      <c r="A11161" s="4" t="s">
        <v>14036</v>
      </c>
      <c r="B11161" s="4" t="s">
        <v>14038</v>
      </c>
      <c r="C11161" s="5" t="str">
        <f>IFERROR(__xludf.DUMMYFUNCTION("GOOGLETRANSLATE(B11161,""en"",""fr"")"),"La femme conduit la tondeuse à gazon vers la caméra.")</f>
        <v>La femme conduit la tondeuse à gazon vers la caméra.</v>
      </c>
    </row>
    <row r="11162">
      <c r="A11162" s="4" t="s">
        <v>14036</v>
      </c>
      <c r="B11162" s="4" t="s">
        <v>14039</v>
      </c>
      <c r="C11162" s="5" t="str">
        <f>IFERROR(__xludf.DUMMYFUNCTION("GOOGLETRANSLATE(B11162,""en"",""fr"")"),"La femme commence à tourner la tondeuse dans un coin de clôture.")</f>
        <v>La femme commence à tourner la tondeuse dans un coin de clôture.</v>
      </c>
    </row>
    <row r="11163">
      <c r="A11163" s="4" t="s">
        <v>14040</v>
      </c>
      <c r="B11163" s="4" t="s">
        <v>4366</v>
      </c>
      <c r="C11163" s="5" t="str">
        <f>IFERROR(__xludf.DUMMYFUNCTION("GOOGLETRANSLATE(B11163,""en"",""fr"")"),"Les crédits du clip sont affichés.")</f>
        <v>Les crédits du clip sont affichés.</v>
      </c>
    </row>
    <row r="11164">
      <c r="A11164" s="4" t="s">
        <v>14040</v>
      </c>
      <c r="B11164" s="4" t="s">
        <v>14041</v>
      </c>
      <c r="C11164" s="5" t="str">
        <f>IFERROR(__xludf.DUMMYFUNCTION("GOOGLETRANSLATE(B11164,""en"",""fr"")"),"Une personne répare l'acier avec un équipement de soudage.")</f>
        <v>Une personne répare l'acier avec un équipement de soudage.</v>
      </c>
    </row>
    <row r="11165">
      <c r="A11165" s="4" t="s">
        <v>14040</v>
      </c>
      <c r="B11165" s="4" t="s">
        <v>14042</v>
      </c>
      <c r="C11165" s="5" t="str">
        <f>IFERROR(__xludf.DUMMYFUNCTION("GOOGLETRANSLATE(B11165,""en"",""fr"")"),"Une personne utilise un marteau et un équipement plat pour éliminer les débris.")</f>
        <v>Une personne utilise un marteau et un équipement plat pour éliminer les débris.</v>
      </c>
    </row>
    <row r="11166">
      <c r="A11166" s="4" t="s">
        <v>14040</v>
      </c>
      <c r="B11166" s="4" t="s">
        <v>14043</v>
      </c>
      <c r="C11166" s="5" t="str">
        <f>IFERROR(__xludf.DUMMYFUNCTION("GOOGLETRANSLATE(B11166,""en"",""fr"")"),"Une personne utilise un équipement plat pour éliminer les débris en acier fondu.")</f>
        <v>Une personne utilise un équipement plat pour éliminer les débris en acier fondu.</v>
      </c>
    </row>
    <row r="11167">
      <c r="A11167" s="4" t="s">
        <v>14040</v>
      </c>
      <c r="B11167" s="4" t="s">
        <v>14044</v>
      </c>
      <c r="C11167" s="5" t="str">
        <f>IFERROR(__xludf.DUMMYFUNCTION("GOOGLETRANSLATE(B11167,""en"",""fr"")"),"La personne place deux acier en forme d'haltères en ouverture qu'elle soudait.")</f>
        <v>La personne place deux acier en forme d'haltères en ouverture qu'elle soudait.</v>
      </c>
    </row>
    <row r="11168">
      <c r="A11168" s="4" t="s">
        <v>14040</v>
      </c>
      <c r="B11168" s="4" t="s">
        <v>14045</v>
      </c>
      <c r="C11168" s="5" t="str">
        <f>IFERROR(__xludf.DUMMYFUNCTION("GOOGLETRANSLATE(B11168,""en"",""fr"")"),"Une personne utilise un équipement plat pour nettoyer l'ouverture soudée.")</f>
        <v>Une personne utilise un équipement plat pour nettoyer l'ouverture soudée.</v>
      </c>
    </row>
    <row r="11169">
      <c r="A11169" s="4" t="s">
        <v>14040</v>
      </c>
      <c r="B11169" s="6" t="s">
        <v>14046</v>
      </c>
      <c r="C11169" s="5" t="str">
        <f>IFERROR(__xludf.DUMMYFUNCTION("GOOGLETRANSLATE(B11169,""en"",""fr"")"),"Une personne utilise un équipement plat pour déplacer les aciers en forme d'haltères, puis les retire avec sa main.")</f>
        <v>Une personne utilise un équipement plat pour déplacer les aciers en forme d'haltères, puis les retire avec sa main.</v>
      </c>
    </row>
    <row r="11170">
      <c r="A11170" s="4" t="s">
        <v>14040</v>
      </c>
      <c r="B11170" s="4" t="s">
        <v>14047</v>
      </c>
      <c r="C11170" s="5" t="str">
        <f>IFERROR(__xludf.DUMMYFUNCTION("GOOGLETRANSLATE(B11170,""en"",""fr"")"),"Les crédits de la vidéo sont affichés.")</f>
        <v>Les crédits de la vidéo sont affichés.</v>
      </c>
    </row>
    <row r="11171">
      <c r="A11171" s="4" t="s">
        <v>14048</v>
      </c>
      <c r="B11171" s="4" t="s">
        <v>14049</v>
      </c>
      <c r="C11171" s="5" t="str">
        <f>IFERROR(__xludf.DUMMYFUNCTION("GOOGLETRANSLATE(B11171,""en"",""fr"")"),"Une femme tend d'un bar rouge et fait plusieurs tractions de bras.")</f>
        <v>Une femme tend d'un bar rouge et fait plusieurs tractions de bras.</v>
      </c>
    </row>
    <row r="11172">
      <c r="A11172" s="4" t="s">
        <v>14048</v>
      </c>
      <c r="B11172" s="4" t="s">
        <v>14050</v>
      </c>
      <c r="C11172" s="5" t="str">
        <f>IFERROR(__xludf.DUMMYFUNCTION("GOOGLETRANSLATE(B11172,""en"",""fr"")"),"Elle décroise ses jambes et saute avec ses mains à ses côtés.")</f>
        <v>Elle décroise ses jambes et saute avec ses mains à ses côtés.</v>
      </c>
    </row>
    <row r="11173">
      <c r="A11173" s="4" t="s">
        <v>14048</v>
      </c>
      <c r="B11173" s="4" t="s">
        <v>14051</v>
      </c>
      <c r="C11173" s="5" t="str">
        <f>IFERROR(__xludf.DUMMYFUNCTION("GOOGLETRANSLATE(B11173,""en"",""fr"")"),"Un logo Life Fitness clignote alors sur l'écran.")</f>
        <v>Un logo Life Fitness clignote alors sur l'écran.</v>
      </c>
    </row>
    <row r="11174">
      <c r="A11174" s="4" t="s">
        <v>14052</v>
      </c>
      <c r="B11174" s="4" t="s">
        <v>14053</v>
      </c>
      <c r="C11174" s="5" t="str">
        <f>IFERROR(__xludf.DUMMYFUNCTION("GOOGLETRANSLATE(B11174,""en"",""fr"")"),"Une personne est vue souffler des feuilles autour d'une cour en utilisant un souffleur de feuilles assise sur le dos.")</f>
        <v>Une personne est vue souffler des feuilles autour d'une cour en utilisant un souffleur de feuilles assise sur le dos.</v>
      </c>
    </row>
    <row r="11175">
      <c r="A11175" s="4" t="s">
        <v>14052</v>
      </c>
      <c r="B11175" s="6" t="s">
        <v>14054</v>
      </c>
      <c r="C11175" s="5" t="str">
        <f>IFERROR(__xludf.DUMMYFUNCTION("GOOGLETRANSLATE(B11175,""en"",""fr"")"),"La caméra le suit alors que l'homme se déplace de haut en bas, la cour soufflant des feuilles tout autour de la zone.")</f>
        <v>La caméra le suit alors que l'homme se déplace de haut en bas, la cour soufflant des feuilles tout autour de la zone.</v>
      </c>
    </row>
    <row r="11176">
      <c r="A11176" s="4" t="s">
        <v>14055</v>
      </c>
      <c r="B11176" s="4" t="s">
        <v>14056</v>
      </c>
      <c r="C11176" s="5" t="str">
        <f>IFERROR(__xludf.DUMMYFUNCTION("GOOGLETRANSLATE(B11176,""en"",""fr"")"),"Un homme est assis sur un vélo à vélo qui s'entraîne.")</f>
        <v>Un homme est assis sur un vélo à vélo qui s'entraîne.</v>
      </c>
    </row>
    <row r="11177">
      <c r="A11177" s="4" t="s">
        <v>14055</v>
      </c>
      <c r="B11177" s="4" t="s">
        <v>14057</v>
      </c>
      <c r="C11177" s="5" t="str">
        <f>IFERROR(__xludf.DUMMYFUNCTION("GOOGLETRANSLATE(B11177,""en"",""fr"")"),"Un homme se lève à côté de lui en train de parler.")</f>
        <v>Un homme se lève à côté de lui en train de parler.</v>
      </c>
    </row>
    <row r="11178">
      <c r="A11178" s="4" t="s">
        <v>14055</v>
      </c>
      <c r="B11178" s="4" t="s">
        <v>14058</v>
      </c>
      <c r="C11178" s="5" t="str">
        <f>IFERROR(__xludf.DUMMYFUNCTION("GOOGLETRANSLATE(B11178,""en"",""fr"")"),"Un logo noir et blanc arrive sur l'écran.")</f>
        <v>Un logo noir et blanc arrive sur l'écran.</v>
      </c>
    </row>
    <row r="11179">
      <c r="A11179" s="4" t="s">
        <v>14059</v>
      </c>
      <c r="B11179" s="6" t="s">
        <v>14060</v>
      </c>
      <c r="C11179" s="5" t="str">
        <f>IFERROR(__xludf.DUMMYFUNCTION("GOOGLETRANSLATE(B11179,""en"",""fr"")"),"Le gymnaste Micah Ross monte le faisceau d'équilibre devant un public célèbre alors que la foule applaudit et crie son nom.")</f>
        <v>Le gymnaste Micah Ross monte le faisceau d'équilibre devant un public célèbre alors que la foule applaudit et crie son nom.</v>
      </c>
    </row>
    <row r="11180">
      <c r="A11180" s="4" t="s">
        <v>14059</v>
      </c>
      <c r="B11180" s="4" t="s">
        <v>14061</v>
      </c>
      <c r="C11180" s="5" t="str">
        <f>IFERROR(__xludf.DUMMYFUNCTION("GOOGLETRANSLATE(B11180,""en"",""fr"")"),"Sa routine commence par un flip, une scission et Summersault.")</f>
        <v>Sa routine commence par un flip, une scission et Summersault.</v>
      </c>
    </row>
    <row r="11181">
      <c r="A11181" s="4" t="s">
        <v>14059</v>
      </c>
      <c r="B11181" s="4" t="s">
        <v>14062</v>
      </c>
      <c r="C11181" s="5" t="str">
        <f>IFERROR(__xludf.DUMMYFUNCTION("GOOGLETRANSLATE(B11181,""en"",""fr"")"),"Elle effectue ensuite deux revers et une pirouette.")</f>
        <v>Elle effectue ensuite deux revers et une pirouette.</v>
      </c>
    </row>
    <row r="11182">
      <c r="A11182" s="4" t="s">
        <v>14059</v>
      </c>
      <c r="B11182" s="4" t="s">
        <v>14063</v>
      </c>
      <c r="C11182" s="5" t="str">
        <f>IFERROR(__xludf.DUMMYFUNCTION("GOOGLETRANSLATE(B11182,""en"",""fr"")"),"Un retournement vers l'avant et un saut suit avec un retournement latéral.")</f>
        <v>Un retournement vers l'avant et un saut suit avec un retournement latéral.</v>
      </c>
    </row>
    <row r="11183">
      <c r="A11183" s="4" t="s">
        <v>14059</v>
      </c>
      <c r="B11183" s="6" t="s">
        <v>14064</v>
      </c>
      <c r="C11183" s="5" t="str">
        <f>IFERROR(__xludf.DUMMYFUNCTION("GOOGLETRANSLATE(B11183,""en"",""fr"")"),"Après avoir brièvement vacillé sur le bar, Micah retrouve son sang-froid et effectue un Summersault vers l'avant.")</f>
        <v>Après avoir brièvement vacillé sur le bar, Micah retrouve son sang-froid et effectue un Summersault vers l'avant.</v>
      </c>
    </row>
    <row r="11184">
      <c r="A11184" s="4" t="s">
        <v>14059</v>
      </c>
      <c r="B11184" s="4" t="s">
        <v>14065</v>
      </c>
      <c r="C11184" s="5" t="str">
        <f>IFERROR(__xludf.DUMMYFUNCTION("GOOGLETRANSLATE(B11184,""en"",""fr"")"),"Ross réussit avec succès avec un double flip aux applaudissements du public.")</f>
        <v>Ross réussit avec succès avec un double flip aux applaudissements du public.</v>
      </c>
    </row>
    <row r="11185">
      <c r="A11185" s="4" t="s">
        <v>14066</v>
      </c>
      <c r="B11185" s="4" t="s">
        <v>14067</v>
      </c>
      <c r="C11185" s="5" t="str">
        <f>IFERROR(__xludf.DUMMYFUNCTION("GOOGLETRANSLATE(B11185,""en"",""fr"")"),"Un batteur bat, puis le bâton s'est cassé.")</f>
        <v>Un batteur bat, puis le bâton s'est cassé.</v>
      </c>
    </row>
    <row r="11186">
      <c r="A11186" s="4" t="s">
        <v>14066</v>
      </c>
      <c r="B11186" s="4" t="s">
        <v>14068</v>
      </c>
      <c r="C11186" s="5" t="str">
        <f>IFERROR(__xludf.DUMMYFUNCTION("GOOGLETRANSLATE(B11186,""en"",""fr"")"),"Un garçon en chemise bleue a frappé le tambour, mais le gros tambour continue de bouger, puis il est tombé.")</f>
        <v>Un garçon en chemise bleue a frappé le tambour, mais le gros tambour continue de bouger, puis il est tombé.</v>
      </c>
    </row>
    <row r="11187">
      <c r="A11187" s="4" t="s">
        <v>14066</v>
      </c>
      <c r="B11187" s="4" t="s">
        <v>14069</v>
      </c>
      <c r="C11187" s="5" t="str">
        <f>IFERROR(__xludf.DUMMYFUNCTION("GOOGLETRANSLATE(B11187,""en"",""fr"")"),"Un garçon avec des écouteurs bat et le bâton est resté coincé dans l'instrument.")</f>
        <v>Un garçon avec des écouteurs bat et le bâton est resté coincé dans l'instrument.</v>
      </c>
    </row>
    <row r="11188">
      <c r="A11188" s="4" t="s">
        <v>14066</v>
      </c>
      <c r="B11188" s="4" t="s">
        <v>14070</v>
      </c>
      <c r="C11188" s="5" t="str">
        <f>IFERROR(__xludf.DUMMYFUNCTION("GOOGLETRANSLATE(B11188,""en"",""fr"")"),"Le groupe joue, pendant que l'homme chante, le batteur est tombé de sa chaise.")</f>
        <v>Le groupe joue, pendant que l'homme chante, le batteur est tombé de sa chaise.</v>
      </c>
    </row>
    <row r="11189">
      <c r="A11189" s="4" t="s">
        <v>14066</v>
      </c>
      <c r="B11189" s="6" t="s">
        <v>14071</v>
      </c>
      <c r="C11189" s="5" t="str">
        <f>IFERROR(__xludf.DUMMYFUNCTION("GOOGLETRANSLATE(B11189,""en"",""fr"")"),"La fanfare joue leur batterie, puis l'un des batteurs est tombé sur le terrain, une personne est venue l'aider.")</f>
        <v>La fanfare joue leur batterie, puis l'un des batteurs est tombé sur le terrain, une personne est venue l'aider.</v>
      </c>
    </row>
    <row r="11190">
      <c r="A11190" s="4" t="s">
        <v>14066</v>
      </c>
      <c r="B11190" s="4" t="s">
        <v>14072</v>
      </c>
      <c r="C11190" s="5" t="str">
        <f>IFERROR(__xludf.DUMMYFUNCTION("GOOGLETRANSLATE(B11190,""en"",""fr"")"),"Un batteur sur scène est tombé de la scène.")</f>
        <v>Un batteur sur scène est tombé de la scène.</v>
      </c>
    </row>
    <row r="11191">
      <c r="A11191" s="4" t="s">
        <v>14073</v>
      </c>
      <c r="B11191" s="4" t="s">
        <v>14074</v>
      </c>
      <c r="C11191" s="5" t="str">
        <f>IFERROR(__xludf.DUMMYFUNCTION("GOOGLETRANSLATE(B11191,""en"",""fr"")"),"Un gars et une dame interagissent.")</f>
        <v>Un gars et une dame interagissent.</v>
      </c>
    </row>
    <row r="11192">
      <c r="A11192" s="4" t="s">
        <v>14073</v>
      </c>
      <c r="B11192" s="4" t="s">
        <v>14075</v>
      </c>
      <c r="C11192" s="5" t="str">
        <f>IFERROR(__xludf.DUMMYFUNCTION("GOOGLETRANSLATE(B11192,""en"",""fr"")"),"La dame occupe des papiers et des livres.")</f>
        <v>La dame occupe des papiers et des livres.</v>
      </c>
    </row>
    <row r="11193">
      <c r="A11193" s="4" t="s">
        <v>14073</v>
      </c>
      <c r="B11193" s="4" t="s">
        <v>14076</v>
      </c>
      <c r="C11193" s="5" t="str">
        <f>IFERROR(__xludf.DUMMYFUNCTION("GOOGLETRANSLATE(B11193,""en"",""fr"")"),"Le gars applaudit et applaudit.")</f>
        <v>Le gars applaudit et applaudit.</v>
      </c>
    </row>
    <row r="11194">
      <c r="A11194" s="4" t="s">
        <v>14073</v>
      </c>
      <c r="B11194" s="4" t="s">
        <v>14077</v>
      </c>
      <c r="C11194" s="5" t="str">
        <f>IFERROR(__xludf.DUMMYFUNCTION("GOOGLETRANSLATE(B11194,""en"",""fr"")"),"La dame joue une flûte en regardant les notes sur les papiers.")</f>
        <v>La dame joue une flûte en regardant les notes sur les papiers.</v>
      </c>
    </row>
    <row r="11195">
      <c r="A11195" s="4" t="s">
        <v>14073</v>
      </c>
      <c r="B11195" s="4" t="s">
        <v>14078</v>
      </c>
      <c r="C11195" s="5" t="str">
        <f>IFERROR(__xludf.DUMMYFUNCTION("GOOGLETRANSLATE(B11195,""en"",""fr"")"),"La dame arrête de jouer de la flûte et la présente.")</f>
        <v>La dame arrête de jouer de la flûte et la présente.</v>
      </c>
    </row>
    <row r="11196">
      <c r="A11196" s="4" t="s">
        <v>14073</v>
      </c>
      <c r="B11196" s="4" t="s">
        <v>14079</v>
      </c>
      <c r="C11196" s="5" t="str">
        <f>IFERROR(__xludf.DUMMYFUNCTION("GOOGLETRANSLATE(B11196,""en"",""fr"")"),"Le gars joue un harmonica.")</f>
        <v>Le gars joue un harmonica.</v>
      </c>
    </row>
    <row r="11197">
      <c r="A11197" s="4" t="s">
        <v>14073</v>
      </c>
      <c r="B11197" s="4" t="s">
        <v>14080</v>
      </c>
      <c r="C11197" s="5" t="str">
        <f>IFERROR(__xludf.DUMMYFUNCTION("GOOGLETRANSLATE(B11197,""en"",""fr"")"),"Le gars a l'air en colère et la dame a l'air s'excuse.")</f>
        <v>Le gars a l'air en colère et la dame a l'air s'excuse.</v>
      </c>
    </row>
    <row r="11198">
      <c r="A11198" s="4" t="s">
        <v>14073</v>
      </c>
      <c r="B11198" s="4" t="s">
        <v>14081</v>
      </c>
      <c r="C11198" s="5" t="str">
        <f>IFERROR(__xludf.DUMMYFUNCTION("GOOGLETRANSLATE(B11198,""en"",""fr"")"),"Le gars baisse la tête.")</f>
        <v>Le gars baisse la tête.</v>
      </c>
    </row>
    <row r="11199">
      <c r="A11199" s="4" t="s">
        <v>14073</v>
      </c>
      <c r="B11199" s="4" t="s">
        <v>14082</v>
      </c>
      <c r="C11199" s="5" t="str">
        <f>IFERROR(__xludf.DUMMYFUNCTION("GOOGLETRANSLATE(B11199,""en"",""fr"")"),"Le gars et Lady Wave Bye.")</f>
        <v>Le gars et Lady Wave Bye.</v>
      </c>
    </row>
    <row r="11200">
      <c r="A11200" s="4" t="s">
        <v>14073</v>
      </c>
      <c r="B11200" s="4" t="s">
        <v>14083</v>
      </c>
      <c r="C11200" s="5" t="str">
        <f>IFERROR(__xludf.DUMMYFUNCTION("GOOGLETRANSLATE(B11200,""en"",""fr"")"),"Le gars prend la flûte de la dame et fait semblant de la frapper sur son menton.")</f>
        <v>Le gars prend la flûte de la dame et fait semblant de la frapper sur son menton.</v>
      </c>
    </row>
    <row r="11201">
      <c r="A11201" s="4" t="s">
        <v>14084</v>
      </c>
      <c r="B11201" s="4" t="s">
        <v>14085</v>
      </c>
      <c r="C11201" s="5" t="str">
        <f>IFERROR(__xludf.DUMMYFUNCTION("GOOGLETRANSLATE(B11201,""en"",""fr"")"),"Une femme est debout au soleil, posant et modélisant pour la caméra.")</f>
        <v>Une femme est debout au soleil, posant et modélisant pour la caméra.</v>
      </c>
    </row>
    <row r="11202">
      <c r="A11202" s="4" t="s">
        <v>14084</v>
      </c>
      <c r="B11202" s="4" t="s">
        <v>14086</v>
      </c>
      <c r="C11202" s="5" t="str">
        <f>IFERROR(__xludf.DUMMYFUNCTION("GOOGLETRANSLATE(B11202,""en"",""fr"")"),"Elle montre ses cheveux naturels, puis montre comment le coiffer en utilisant un soufflage.")</f>
        <v>Elle montre ses cheveux naturels, puis montre comment le coiffer en utilisant un soufflage.</v>
      </c>
    </row>
    <row r="11203">
      <c r="A11203" s="4" t="s">
        <v>14087</v>
      </c>
      <c r="B11203" s="4" t="s">
        <v>14088</v>
      </c>
      <c r="C11203" s="5" t="str">
        <f>IFERROR(__xludf.DUMMYFUNCTION("GOOGLETRANSLATE(B11203,""en"",""fr"")"),"Un homme est vu debout avec les bras vers le haut puis commence une routine de gymnastes.")</f>
        <v>Un homme est vu debout avec les bras vers le haut puis commence une routine de gymnastes.</v>
      </c>
    </row>
    <row r="11204">
      <c r="A11204" s="4" t="s">
        <v>14087</v>
      </c>
      <c r="B11204" s="4" t="s">
        <v>14089</v>
      </c>
      <c r="C11204" s="5" t="str">
        <f>IFERROR(__xludf.DUMMYFUNCTION("GOOGLETRANSLATE(B11204,""en"",""fr"")"),"L'homme continue de se balancer dans les barres inégales et de sauter pour terminer.")</f>
        <v>L'homme continue de se balancer dans les barres inégales et de sauter pour terminer.</v>
      </c>
    </row>
    <row r="11205">
      <c r="A11205" s="4" t="s">
        <v>14087</v>
      </c>
      <c r="B11205" s="4" t="s">
        <v>14090</v>
      </c>
      <c r="C11205" s="5" t="str">
        <f>IFERROR(__xludf.DUMMYFUNCTION("GOOGLETRANSLATE(B11205,""en"",""fr"")"),"L'homme s'éloigne pendant que son score est montré et sa routine est à nouveau montrée au ralenti.")</f>
        <v>L'homme s'éloigne pendant que son score est montré et sa routine est à nouveau montrée au ralenti.</v>
      </c>
    </row>
    <row r="11206">
      <c r="A11206" s="4" t="s">
        <v>14091</v>
      </c>
      <c r="B11206" s="4" t="s">
        <v>14092</v>
      </c>
      <c r="C11206" s="5" t="str">
        <f>IFERROR(__xludf.DUMMYFUNCTION("GOOGLETRANSLATE(B11206,""en"",""fr"")"),"Un homme parle debout sur la clôture d'une cour.")</f>
        <v>Un homme parle debout sur la clôture d'une cour.</v>
      </c>
    </row>
    <row r="11207">
      <c r="A11207" s="4" t="s">
        <v>14091</v>
      </c>
      <c r="B11207" s="4" t="s">
        <v>14093</v>
      </c>
      <c r="C11207" s="5" t="str">
        <f>IFERROR(__xludf.DUMMYFUNCTION("GOOGLETRANSLATE(B11207,""en"",""fr"")"),"Ensuite, l'homme parle d'une personne dans un magasin de peinture, et la personne lui montre des outils dans une vitrine.")</f>
        <v>Ensuite, l'homme parle d'une personne dans un magasin de peinture, et la personne lui montre des outils dans une vitrine.</v>
      </c>
    </row>
    <row r="11208">
      <c r="A11208" s="4" t="s">
        <v>14091</v>
      </c>
      <c r="B11208" s="4" t="s">
        <v>14094</v>
      </c>
      <c r="C11208" s="5" t="str">
        <f>IFERROR(__xludf.DUMMYFUNCTION("GOOGLETRANSLATE(B11208,""en"",""fr"")"),"Après, l'homme montre les boutons de la machine de peinture dans la cour.")</f>
        <v>Après, l'homme montre les boutons de la machine de peinture dans la cour.</v>
      </c>
    </row>
    <row r="11209">
      <c r="A11209" s="4" t="s">
        <v>14091</v>
      </c>
      <c r="B11209" s="4" t="s">
        <v>14095</v>
      </c>
      <c r="C11209" s="5" t="str">
        <f>IFERROR(__xludf.DUMMYFUNCTION("GOOGLETRANSLATE(B11209,""en"",""fr"")"),"Après, l'homme met du ruban bleu sur le côté de la clôture et couvre un rail.")</f>
        <v>Après, l'homme met du ruban bleu sur le côté de la clôture et couvre un rail.</v>
      </c>
    </row>
    <row r="11210">
      <c r="A11210" s="4" t="s">
        <v>14091</v>
      </c>
      <c r="B11210" s="4" t="s">
        <v>14096</v>
      </c>
      <c r="C11210" s="5" t="str">
        <f>IFERROR(__xludf.DUMMYFUNCTION("GOOGLETRANSLATE(B11210,""en"",""fr"")"),"Ensuite, l'homme peint la clôture avec le tuyau de la machine tout en portant un masque.")</f>
        <v>Ensuite, l'homme peint la clôture avec le tuyau de la machine tout en portant un masque.</v>
      </c>
    </row>
    <row r="11211">
      <c r="A11211" s="4" t="s">
        <v>14091</v>
      </c>
      <c r="B11211" s="4" t="s">
        <v>14097</v>
      </c>
      <c r="C11211" s="5" t="str">
        <f>IFERROR(__xludf.DUMMYFUNCTION("GOOGLETRANSLATE(B11211,""en"",""fr"")"),"L'homme continue d'expliquer à l'avant la machine et des seaux de peinture.")</f>
        <v>L'homme continue d'expliquer à l'avant la machine et des seaux de peinture.</v>
      </c>
    </row>
    <row r="11212">
      <c r="A11212" s="4" t="s">
        <v>14098</v>
      </c>
      <c r="B11212" s="4" t="s">
        <v>14099</v>
      </c>
      <c r="C11212" s="5" t="str">
        <f>IFERROR(__xludf.DUMMYFUNCTION("GOOGLETRANSLATE(B11212,""en"",""fr"")"),"Un groupe d'enfants est dans une salle de classe comme se mettre en cercle.")</f>
        <v>Un groupe d'enfants est dans une salle de classe comme se mettre en cercle.</v>
      </c>
    </row>
    <row r="11213">
      <c r="A11213" s="4" t="s">
        <v>14098</v>
      </c>
      <c r="B11213" s="4" t="s">
        <v>14100</v>
      </c>
      <c r="C11213" s="5" t="str">
        <f>IFERROR(__xludf.DUMMYFUNCTION("GOOGLETRANSLATE(B11213,""en"",""fr"")"),"Au milieu du cercle, une femme frappe une pinata enveloppée dans du papier peint bleu.")</f>
        <v>Au milieu du cercle, une femme frappe une pinata enveloppée dans du papier peint bleu.</v>
      </c>
    </row>
    <row r="11214">
      <c r="A11214" s="4" t="s">
        <v>14101</v>
      </c>
      <c r="B11214" s="4" t="s">
        <v>14102</v>
      </c>
      <c r="C11214" s="5" t="str">
        <f>IFERROR(__xludf.DUMMYFUNCTION("GOOGLETRANSLATE(B11214,""en"",""fr"")"),"Le petit enfant saute sur les feuilles sèches.")</f>
        <v>Le petit enfant saute sur les feuilles sèches.</v>
      </c>
    </row>
    <row r="11215">
      <c r="A11215" s="4" t="s">
        <v>14101</v>
      </c>
      <c r="B11215" s="4" t="s">
        <v>14103</v>
      </c>
      <c r="C11215" s="5" t="str">
        <f>IFERROR(__xludf.DUMMYFUNCTION("GOOGLETRANSLATE(B11215,""en"",""fr"")"),"La femme ratisse les feuilles sèches sur une cour.")</f>
        <v>La femme ratisse les feuilles sèches sur une cour.</v>
      </c>
    </row>
    <row r="11216">
      <c r="A11216" s="4" t="s">
        <v>14101</v>
      </c>
      <c r="B11216" s="4" t="s">
        <v>14104</v>
      </c>
      <c r="C11216" s="5" t="str">
        <f>IFERROR(__xludf.DUMMYFUNCTION("GOOGLETRANSLATE(B11216,""en"",""fr"")"),"Kid s'agenouille et attrape une feuille sèche pour la mettre dans la poubelle.")</f>
        <v>Kid s'agenouille et attrape une feuille sèche pour la mettre dans la poubelle.</v>
      </c>
    </row>
    <row r="11217">
      <c r="A11217" s="4" t="s">
        <v>14105</v>
      </c>
      <c r="B11217" s="4" t="s">
        <v>14106</v>
      </c>
      <c r="C11217" s="5" t="str">
        <f>IFERROR(__xludf.DUMMYFUNCTION("GOOGLETRANSLATE(B11217,""en"",""fr"")"),"Une petite fille oscille à travers les barres de singe sur un terrain de jeu.")</f>
        <v>Une petite fille oscille à travers les barres de singe sur un terrain de jeu.</v>
      </c>
    </row>
    <row r="11218">
      <c r="A11218" s="4" t="s">
        <v>14105</v>
      </c>
      <c r="B11218" s="4" t="s">
        <v>14107</v>
      </c>
      <c r="C11218" s="5" t="str">
        <f>IFERROR(__xludf.DUMMYFUNCTION("GOOGLETRANSLATE(B11218,""en"",""fr"")"),"Elle traverse chaque barre avant de sauter au sol.")</f>
        <v>Elle traverse chaque barre avant de sauter au sol.</v>
      </c>
    </row>
    <row r="11219">
      <c r="A11219" s="4" t="s">
        <v>14105</v>
      </c>
      <c r="B11219" s="4" t="s">
        <v>14108</v>
      </c>
      <c r="C11219" s="5" t="str">
        <f>IFERROR(__xludf.DUMMYFUNCTION("GOOGLETRANSLATE(B11219,""en"",""fr"")"),"Elle retourne au début et se balance à nouveau à travers les barreaux.")</f>
        <v>Elle retourne au début et se balance à nouveau à travers les barreaux.</v>
      </c>
    </row>
    <row r="11220">
      <c r="A11220" s="4" t="s">
        <v>14109</v>
      </c>
      <c r="B11220" s="4" t="s">
        <v>14110</v>
      </c>
      <c r="C11220" s="5" t="str">
        <f>IFERROR(__xludf.DUMMYFUNCTION("GOOGLETRANSLATE(B11220,""en"",""fr"")"),"Un jeune homme parle à la caméra à l'extérieur tout en retirant des bouffées d'un narguilé.")</f>
        <v>Un jeune homme parle à la caméra à l'extérieur tout en retirant des bouffées d'un narguilé.</v>
      </c>
    </row>
    <row r="11221">
      <c r="A11221" s="4" t="s">
        <v>14109</v>
      </c>
      <c r="B11221" s="4" t="s">
        <v>14111</v>
      </c>
      <c r="C11221" s="5" t="str">
        <f>IFERROR(__xludf.DUMMYFUNCTION("GOOGLETRANSLATE(B11221,""en"",""fr"")"),"Il range le tuyau et prend une balançoire d'une boisson énergisante.")</f>
        <v>Il range le tuyau et prend une balançoire d'une boisson énergisante.</v>
      </c>
    </row>
    <row r="11222">
      <c r="A11222" s="4" t="s">
        <v>14109</v>
      </c>
      <c r="B11222" s="6" t="s">
        <v>14112</v>
      </c>
      <c r="C11222" s="5" t="str">
        <f>IFERROR(__xludf.DUMMYFUNCTION("GOOGLETRANSLATE(B11222,""en"",""fr"")"),"Il déplace la caméra pour montrer un autre homme et continue de fumer le narguilé à côté de l'autre homme.")</f>
        <v>Il déplace la caméra pour montrer un autre homme et continue de fumer le narguilé à côté de l'autre homme.</v>
      </c>
    </row>
    <row r="11223">
      <c r="A11223" s="4" t="s">
        <v>14109</v>
      </c>
      <c r="B11223" s="4" t="s">
        <v>14113</v>
      </c>
      <c r="C11223" s="5" t="str">
        <f>IFERROR(__xludf.DUMMYFUNCTION("GOOGLETRANSLATE(B11223,""en"",""fr"")"),"Les deux regardent la caméra pendant le tabagisme et le garçon continue de boire la boisson énergisante.")</f>
        <v>Les deux regardent la caméra pendant le tabagisme et le garçon continue de boire la boisson énergisante.</v>
      </c>
    </row>
    <row r="11224">
      <c r="A11224" s="4" t="s">
        <v>14114</v>
      </c>
      <c r="B11224" s="4" t="s">
        <v>14115</v>
      </c>
      <c r="C11224" s="5" t="str">
        <f>IFERROR(__xludf.DUMMYFUNCTION("GOOGLETRANSLATE(B11224,""en"",""fr"")"),"Beaucoup de gens sont assis sur des stands sur une armature.")</f>
        <v>Beaucoup de gens sont assis sur des stands sur une armature.</v>
      </c>
    </row>
    <row r="11225">
      <c r="A11225" s="4" t="s">
        <v>14114</v>
      </c>
      <c r="B11225" s="4" t="s">
        <v>14116</v>
      </c>
      <c r="C11225" s="5" t="str">
        <f>IFERROR(__xludf.DUMMYFUNCTION("GOOGLETRANSLATE(B11225,""en"",""fr"")"),"Les taureaux tiennent le nad en tissu rouge coulant vers un taureau.")</f>
        <v>Les taureaux tiennent le nad en tissu rouge coulant vers un taureau.</v>
      </c>
    </row>
    <row r="11226">
      <c r="A11226" s="4" t="s">
        <v>14117</v>
      </c>
      <c r="B11226" s="4" t="s">
        <v>14118</v>
      </c>
      <c r="C11226" s="5" t="str">
        <f>IFERROR(__xludf.DUMMYFUNCTION("GOOGLETRANSLATE(B11226,""en"",""fr"")"),"Plusieurs récompenses sont représentées sur une caisse, puis se déplacent vers le mur sur la gauche.")</f>
        <v>Plusieurs récompenses sont représentées sur une caisse, puis se déplacent vers le mur sur la gauche.</v>
      </c>
    </row>
    <row r="11227">
      <c r="A11227" s="4" t="s">
        <v>14117</v>
      </c>
      <c r="B11227" s="4" t="s">
        <v>14119</v>
      </c>
      <c r="C11227" s="5" t="str">
        <f>IFERROR(__xludf.DUMMYFUNCTION("GOOGLETRANSLATE(B11227,""en"",""fr"")"),"Une table de nourriture est montrée et la personne enregistrant attrape un biscuit et quitte la pièce.")</f>
        <v>Une table de nourriture est montrée et la personne enregistrant attrape un biscuit et quitte la pièce.</v>
      </c>
    </row>
    <row r="11228">
      <c r="A11228" s="4" t="s">
        <v>14117</v>
      </c>
      <c r="B11228" s="6" t="s">
        <v>14120</v>
      </c>
      <c r="C11228" s="5" t="str">
        <f>IFERROR(__xludf.DUMMYFUNCTION("GOOGLETRANSLATE(B11228,""en"",""fr"")"),"La pièce suivante dans laquelle il entre, il y a plusieurs personnes qui se tenaient à jouer à Beer Pong et il se promenait dans la maison.")</f>
        <v>La pièce suivante dans laquelle il entre, il y a plusieurs personnes qui se tenaient à jouer à Beer Pong et il se promenait dans la maison.</v>
      </c>
    </row>
    <row r="11229">
      <c r="A11229" s="4" t="s">
        <v>14121</v>
      </c>
      <c r="B11229" s="4" t="s">
        <v>14122</v>
      </c>
      <c r="C11229" s="5" t="str">
        <f>IFERROR(__xludf.DUMMYFUNCTION("GOOGLETRANSLATE(B11229,""en"",""fr"")"),"Une femme est montrée à Wal-Mart, riant et choisissant des boucles d'oreilles dans un rack.")</f>
        <v>Une femme est montrée à Wal-Mart, riant et choisissant des boucles d'oreilles dans un rack.</v>
      </c>
    </row>
    <row r="11230">
      <c r="A11230" s="4" t="s">
        <v>14121</v>
      </c>
      <c r="B11230" s="4" t="s">
        <v>14123</v>
      </c>
      <c r="C11230" s="5" t="str">
        <f>IFERROR(__xludf.DUMMYFUNCTION("GOOGLETRANSLATE(B11230,""en"",""fr"")"),"Elle est assise sur une chaise et un employé tire une boucle d'oreille dans son lobe avec un pistolet perçant.")</f>
        <v>Elle est assise sur une chaise et un employé tire une boucle d'oreille dans son lobe avec un pistolet perçant.</v>
      </c>
    </row>
    <row r="11231">
      <c r="A11231" s="4" t="s">
        <v>14121</v>
      </c>
      <c r="B11231" s="4" t="s">
        <v>14124</v>
      </c>
      <c r="C11231" s="5" t="str">
        <f>IFERROR(__xludf.DUMMYFUNCTION("GOOGLETRANSLATE(B11231,""en"",""fr"")"),"Elle grince de douleur alors qu'elle entre dans son oreille.")</f>
        <v>Elle grince de douleur alors qu'elle entre dans son oreille.</v>
      </c>
    </row>
    <row r="11232">
      <c r="A11232" s="4" t="s">
        <v>14125</v>
      </c>
      <c r="B11232" s="4" t="s">
        <v>14126</v>
      </c>
      <c r="C11232" s="5" t="str">
        <f>IFERROR(__xludf.DUMMYFUNCTION("GOOGLETRANSLATE(B11232,""en"",""fr"")"),"Nous voyons trois écrans d'intro distincts.")</f>
        <v>Nous voyons trois écrans d'intro distincts.</v>
      </c>
    </row>
    <row r="11233">
      <c r="A11233" s="4" t="s">
        <v>14125</v>
      </c>
      <c r="B11233" s="4" t="s">
        <v>14127</v>
      </c>
      <c r="C11233" s="5" t="str">
        <f>IFERROR(__xludf.DUMMYFUNCTION("GOOGLETRANSLATE(B11233,""en"",""fr"")"),"Nous voyons un homme faire des photos en hockey avec des écrans de titre entre les deux.")</f>
        <v>Nous voyons un homme faire des photos en hockey avec des écrans de titre entre les deux.</v>
      </c>
    </row>
    <row r="11234">
      <c r="A11234" s="4" t="s">
        <v>14125</v>
      </c>
      <c r="B11234" s="4" t="s">
        <v>14128</v>
      </c>
      <c r="C11234" s="5" t="str">
        <f>IFERROR(__xludf.DUMMYFUNCTION("GOOGLETRANSLATE(B11234,""en"",""fr"")"),"Un homme tire un coup de feu au hockey et le fait et nous voyons un récapitulatif au ralenti.")</f>
        <v>Un homme tire un coup de feu au hockey et le fait et nous voyons un récapitulatif au ralenti.</v>
      </c>
    </row>
    <row r="11235">
      <c r="A11235" s="4" t="s">
        <v>14125</v>
      </c>
      <c r="B11235" s="4" t="s">
        <v>14129</v>
      </c>
      <c r="C11235" s="5" t="str">
        <f>IFERROR(__xludf.DUMMYFUNCTION("GOOGLETRANSLATE(B11235,""en"",""fr"")"),"L'homme prend un autre coup et le fait et nous en voyons également un récapitulatif.")</f>
        <v>L'homme prend un autre coup et le fait et nous en voyons également un récapitulatif.</v>
      </c>
    </row>
    <row r="11236">
      <c r="A11236" s="4" t="s">
        <v>14125</v>
      </c>
      <c r="B11236" s="4" t="s">
        <v>14130</v>
      </c>
      <c r="C11236" s="5" t="str">
        <f>IFERROR(__xludf.DUMMYFUNCTION("GOOGLETRANSLATE(B11236,""en"",""fr"")"),"Nous voyons le tir d'en haut et un récapitulatif.")</f>
        <v>Nous voyons le tir d'en haut et un récapitulatif.</v>
      </c>
    </row>
    <row r="11237">
      <c r="A11237" s="4" t="s">
        <v>14131</v>
      </c>
      <c r="B11237" s="4" t="s">
        <v>14132</v>
      </c>
      <c r="C11237" s="5" t="str">
        <f>IFERROR(__xludf.DUMMYFUNCTION("GOOGLETRANSLATE(B11237,""en"",""fr"")"),"Un gars exploite un presseur électrique.")</f>
        <v>Un gars exploite un presseur électrique.</v>
      </c>
    </row>
    <row r="11238">
      <c r="A11238" s="4" t="s">
        <v>14131</v>
      </c>
      <c r="B11238" s="4" t="s">
        <v>14133</v>
      </c>
      <c r="C11238" s="5" t="str">
        <f>IFERROR(__xludf.DUMMYFUNCTION("GOOGLETRANSLATE(B11238,""en"",""fr"")"),"Un homme fouette avec un tapis sombre.")</f>
        <v>Un homme fouette avec un tapis sombre.</v>
      </c>
    </row>
    <row r="11239">
      <c r="A11239" s="4" t="s">
        <v>14131</v>
      </c>
      <c r="B11239" s="4" t="s">
        <v>14134</v>
      </c>
      <c r="C11239" s="5" t="str">
        <f>IFERROR(__xludf.DUMMYFUNCTION("GOOGLETRANSLATE(B11239,""en"",""fr"")"),"Le gars fait un geste sur le travail de la machine.")</f>
        <v>Le gars fait un geste sur le travail de la machine.</v>
      </c>
    </row>
    <row r="11240">
      <c r="A11240" s="4" t="s">
        <v>14135</v>
      </c>
      <c r="B11240" s="6" t="s">
        <v>14136</v>
      </c>
      <c r="C11240" s="5" t="str">
        <f>IFERROR(__xludf.DUMMYFUNCTION("GOOGLETRANSLATE(B11240,""en"",""fr"")"),"Un groupe de garçons joue à l'eau avec une balle jaune dans une piscine extérieure entourée d'une clôture et de grands arbres et du feuillage.")</f>
        <v>Un groupe de garçons joue à l'eau avec une balle jaune dans une piscine extérieure entourée d'une clôture et de grands arbres et du feuillage.</v>
      </c>
    </row>
    <row r="11241">
      <c r="A11241" s="4" t="s">
        <v>14135</v>
      </c>
      <c r="B11241" s="6" t="s">
        <v>14137</v>
      </c>
      <c r="C11241" s="5" t="str">
        <f>IFERROR(__xludf.DUMMYFUNCTION("GOOGLETRANSLATE(B11241,""en"",""fr"")"),"Un groupe de garçons jouent dans une piscine extérieure avec une balle jaune, se jetant le ballon, puis jetant le ballon hors de la piscine à une fête invisible.")</f>
        <v>Un groupe de garçons jouent dans une piscine extérieure avec une balle jaune, se jetant le ballon, puis jetant le ballon hors de la piscine à une fête invisible.</v>
      </c>
    </row>
    <row r="11242">
      <c r="A11242" s="4" t="s">
        <v>14135</v>
      </c>
      <c r="B11242" s="4" t="s">
        <v>14138</v>
      </c>
      <c r="C11242" s="5" t="str">
        <f>IFERROR(__xludf.DUMMYFUNCTION("GOOGLETRANSLATE(B11242,""en"",""fr"")"),"Le ballon est renvoyé dans la piscine et les garçons continuent de le jeter à nouveau.")</f>
        <v>Le ballon est renvoyé dans la piscine et les garçons continuent de le jeter à nouveau.</v>
      </c>
    </row>
    <row r="11243">
      <c r="A11243" s="4" t="s">
        <v>14139</v>
      </c>
      <c r="B11243" s="6" t="s">
        <v>14140</v>
      </c>
      <c r="C11243" s="5" t="str">
        <f>IFERROR(__xludf.DUMMYFUNCTION("GOOGLETRANSLATE(B11243,""en"",""fr"")"),"Une intro remplie d'effets spéciaux de différents écrans se réunissant apparaît et le résultat final est un signe carré qui lit ""Getitsweet Get It Sweet 2014"" et la couleur est blanche, rose, rose foncé et brun avec l'effet du chocolat qui dégouline de "&amp;"la partie supérieure du signe.")</f>
        <v>Une intro remplie d'effets spéciaux de différents écrans se réunissant apparaît et le résultat final est un signe carré qui lit "Getitsweet Get It Sweet 2014" et la couleur est blanche, rose, rose foncé et brun avec l'effet du chocolat qui dégouline de la partie supérieure du signe.</v>
      </c>
    </row>
    <row r="11244">
      <c r="A11244" s="4" t="s">
        <v>14139</v>
      </c>
      <c r="B11244" s="6" t="s">
        <v>14141</v>
      </c>
      <c r="C11244" s="5" t="str">
        <f>IFERROR(__xludf.DUMMYFUNCTION("GOOGLETRANSLATE(B11244,""en"",""fr"")"),"Un lot de biscuits à la cannelle sur un plateau apparaît et une liste rapide des ingrédients apparaît avec les ingrédients réels dans différents bols.")</f>
        <v>Un lot de biscuits à la cannelle sur un plateau apparaît et une liste rapide des ingrédients apparaît avec les ingrédients réels dans différents bols.</v>
      </c>
    </row>
    <row r="11245">
      <c r="A11245" s="4" t="s">
        <v>14139</v>
      </c>
      <c r="B11245" s="6" t="s">
        <v>14142</v>
      </c>
      <c r="C11245" s="5" t="str">
        <f>IFERROR(__xludf.DUMMYFUNCTION("GOOGLETRANSLATE(B11245,""en"",""fr"")"),"Les ingrédients sont désormais affichés dans un grand bol clair se mélangeant avec un mélangeur à main et les instructions apparaissent parfois à l'écran.")</f>
        <v>Les ingrédients sont désormais affichés dans un grand bol clair se mélangeant avec un mélangeur à main et les instructions apparaissent parfois à l'écran.</v>
      </c>
    </row>
    <row r="11246">
      <c r="A11246" s="4" t="s">
        <v>14139</v>
      </c>
      <c r="B11246" s="6" t="s">
        <v>14143</v>
      </c>
      <c r="C11246" s="5" t="str">
        <f>IFERROR(__xludf.DUMMYFUNCTION("GOOGLETRANSLATE(B11246,""en"",""fr"")"),"Lorsque les ingrédients sont soigneusement mélangés, la personne la s'aplatit entre le plastique, la refroidit, puis la met sur une planche à découper pour la déployer, puis ajoute du sucre et de la cannelle à la surface plane.")</f>
        <v>Lorsque les ingrédients sont soigneusement mélangés, la personne la s'aplatit entre le plastique, la refroidit, puis la met sur une planche à découper pour la déployer, puis ajoute du sucre et de la cannelle à la surface plane.</v>
      </c>
    </row>
    <row r="11247">
      <c r="A11247" s="4" t="s">
        <v>14139</v>
      </c>
      <c r="B11247" s="6" t="s">
        <v>14144</v>
      </c>
      <c r="C11247" s="5" t="str">
        <f>IFERROR(__xludf.DUMMYFUNCTION("GOOGLETRANSLATE(B11247,""en"",""fr"")"),"La personne le roule ensuite et la met sur un morceau de saran enveloppe qui est à côté de la planche à découper puis enveloppe le saran autour de lui, le roule un peu où les instructions disent le refroidir pendant 30 minutes.")</f>
        <v>La personne le roule ensuite et la met sur un morceau de saran enveloppe qui est à côté de la planche à découper puis enveloppe le saran autour de lui, le roule un peu où les instructions disent le refroidir pendant 30 minutes.</v>
      </c>
    </row>
    <row r="11248">
      <c r="A11248" s="4" t="s">
        <v>14139</v>
      </c>
      <c r="B11248" s="6" t="s">
        <v>14145</v>
      </c>
      <c r="C11248" s="5" t="str">
        <f>IFERROR(__xludf.DUMMYFUNCTION("GOOGLETRANSLATE(B11248,""en"",""fr"")"),"Une fois que cela a fait le refroidissement, il est retiré, tranché sur la planche à découper, placé sur une plaque de cuisson, puis cuit.")</f>
        <v>Une fois que cela a fait le refroidissement, il est retiré, tranché sur la planche à découper, placé sur une plaque de cuisson, puis cuit.</v>
      </c>
    </row>
    <row r="11249">
      <c r="A11249" s="4" t="s">
        <v>14139</v>
      </c>
      <c r="B11249" s="6" t="s">
        <v>14146</v>
      </c>
      <c r="C11249" s="5" t="str">
        <f>IFERROR(__xludf.DUMMYFUNCTION("GOOGLETRANSLATE(B11249,""en"",""fr"")"),"Les produits cuits sont ensuite représentés sur des assiettes blanches avec une tasse de café et la personne la prend et la mord.")</f>
        <v>Les produits cuits sont ensuite représentés sur des assiettes blanches avec une tasse de café et la personne la prend et la mord.</v>
      </c>
    </row>
    <row r="11250">
      <c r="A11250" s="4" t="s">
        <v>14139</v>
      </c>
      <c r="B11250" s="6" t="s">
        <v>14147</v>
      </c>
      <c r="C11250" s="5" t="str">
        <f>IFERROR(__xludf.DUMMYFUNCTION("GOOGLETRANSLATE(B11250,""en"",""fr"")"),"Le dernier écran est une promotion YouTube de la chaîne de la personne qui a 2 petites vidéos sur lesquelles vous pouvez cliquer et vous encourager à vous encourager à vous abonner.")</f>
        <v>Le dernier écran est une promotion YouTube de la chaîne de la personne qui a 2 petites vidéos sur lesquelles vous pouvez cliquer et vous encourager à vous encourager à vous abonner.</v>
      </c>
    </row>
    <row r="11251">
      <c r="A11251" s="4" t="s">
        <v>14148</v>
      </c>
      <c r="B11251" s="4" t="s">
        <v>14149</v>
      </c>
      <c r="C11251" s="5" t="str">
        <f>IFERROR(__xludf.DUMMYFUNCTION("GOOGLETRANSLATE(B11251,""en"",""fr"")"),"Les gens sont dans une petite pièce dansant en faisant une chorégraphie.")</f>
        <v>Les gens sont dans une petite pièce dansant en faisant une chorégraphie.</v>
      </c>
    </row>
    <row r="11252">
      <c r="A11252" s="4" t="s">
        <v>14148</v>
      </c>
      <c r="B11252" s="4" t="s">
        <v>14150</v>
      </c>
      <c r="C11252" s="5" t="str">
        <f>IFERROR(__xludf.DUMMYFUNCTION("GOOGLETRANSLATE(B11252,""en"",""fr"")"),"L'homme arrête de danser et continue de faire la chorégraphie.")</f>
        <v>L'homme arrête de danser et continue de faire la chorégraphie.</v>
      </c>
    </row>
    <row r="11253">
      <c r="A11253" s="4" t="s">
        <v>14148</v>
      </c>
      <c r="B11253" s="6" t="s">
        <v>14151</v>
      </c>
      <c r="C11253" s="5" t="str">
        <f>IFERROR(__xludf.DUMMYFUNCTION("GOOGLETRANSLATE(B11253,""en"",""fr"")"),"Homme portant un short rouge et une chemise grise menant la chorégraphie devant les gens dans la pièce.")</f>
        <v>Homme portant un short rouge et une chemise grise menant la chorégraphie devant les gens dans la pièce.</v>
      </c>
    </row>
    <row r="11254">
      <c r="A11254" s="4" t="s">
        <v>14152</v>
      </c>
      <c r="B11254" s="4" t="s">
        <v>14153</v>
      </c>
      <c r="C11254" s="5" t="str">
        <f>IFERROR(__xludf.DUMMYFUNCTION("GOOGLETRANSLATE(B11254,""en"",""fr"")"),"Une fenêtre sur une voiture est pénètre et un homme torse nu se dirige vers les Are.")</f>
        <v>Une fenêtre sur une voiture est pénètre et un homme torse nu se dirige vers les Are.</v>
      </c>
    </row>
    <row r="11255">
      <c r="A11255" s="4" t="s">
        <v>14152</v>
      </c>
      <c r="B11255" s="4" t="s">
        <v>14154</v>
      </c>
      <c r="C11255" s="5" t="str">
        <f>IFERROR(__xludf.DUMMYFUNCTION("GOOGLETRANSLATE(B11255,""en"",""fr"")"),"Nous voyons des hommes torse nu dans de petits sous-vêtements serrés à laver des voitures.")</f>
        <v>Nous voyons des hommes torse nu dans de petits sous-vêtements serrés à laver des voitures.</v>
      </c>
    </row>
    <row r="11256">
      <c r="A11256" s="4" t="s">
        <v>14152</v>
      </c>
      <c r="B11256" s="4" t="s">
        <v>14155</v>
      </c>
      <c r="C11256" s="5" t="str">
        <f>IFERROR(__xludf.DUMMYFUNCTION("GOOGLETRANSLATE(B11256,""en"",""fr"")"),"Les hommes marchent dans le parking en ligne avec seulement des sous-vêtements.")</f>
        <v>Les hommes marchent dans le parking en ligne avec seulement des sous-vêtements.</v>
      </c>
    </row>
    <row r="11257">
      <c r="A11257" s="4" t="s">
        <v>14152</v>
      </c>
      <c r="B11257" s="4" t="s">
        <v>14156</v>
      </c>
      <c r="C11257" s="5" t="str">
        <f>IFERROR(__xludf.DUMMYFUNCTION("GOOGLETRANSLATE(B11257,""en"",""fr"")"),"Un homme secoue ses cheveux mouillés.")</f>
        <v>Un homme secoue ses cheveux mouillés.</v>
      </c>
    </row>
    <row r="11258">
      <c r="A11258" s="4" t="s">
        <v>14152</v>
      </c>
      <c r="B11258" s="4" t="s">
        <v>14157</v>
      </c>
      <c r="C11258" s="5" t="str">
        <f>IFERROR(__xludf.DUMMYFUNCTION("GOOGLETRANSLATE(B11258,""en"",""fr"")"),"Un homme lave les fesses d'un autre homme.")</f>
        <v>Un homme lave les fesses d'un autre homme.</v>
      </c>
    </row>
    <row r="11259">
      <c r="A11259" s="4" t="s">
        <v>14152</v>
      </c>
      <c r="B11259" s="4" t="s">
        <v>14158</v>
      </c>
      <c r="C11259" s="5" t="str">
        <f>IFERROR(__xludf.DUMMYFUNCTION("GOOGLETRANSLATE(B11259,""en"",""fr"")"),"Un homme essuie l'eau et regarde la caméra.")</f>
        <v>Un homme essuie l'eau et regarde la caméra.</v>
      </c>
    </row>
    <row r="11260">
      <c r="A11260" s="4" t="s">
        <v>14152</v>
      </c>
      <c r="B11260" s="4" t="s">
        <v>14159</v>
      </c>
      <c r="C11260" s="5" t="str">
        <f>IFERROR(__xludf.DUMMYFUNCTION("GOOGLETRANSLATE(B11260,""en"",""fr"")"),"Les hommes font des danses dans une ligne et des scènes de lavage de la voiture.")</f>
        <v>Les hommes font des danses dans une ligne et des scènes de lavage de la voiture.</v>
      </c>
    </row>
    <row r="11261">
      <c r="A11261" s="4" t="s">
        <v>14152</v>
      </c>
      <c r="B11261" s="4" t="s">
        <v>777</v>
      </c>
      <c r="C11261" s="5" t="str">
        <f>IFERROR(__xludf.DUMMYFUNCTION("GOOGLETRANSLATE(B11261,""en"",""fr"")"),"Nous voyons l'écran du titre de fin.")</f>
        <v>Nous voyons l'écran du titre de fin.</v>
      </c>
    </row>
    <row r="11262">
      <c r="A11262" s="4" t="s">
        <v>14160</v>
      </c>
      <c r="B11262" s="4" t="s">
        <v>14161</v>
      </c>
      <c r="C11262" s="5" t="str">
        <f>IFERROR(__xludf.DUMMYFUNCTION("GOOGLETRANSLATE(B11262,""en"",""fr"")"),"Deux lutteurs de sumo se tiennent dans une arène.")</f>
        <v>Deux lutteurs de sumo se tiennent dans une arène.</v>
      </c>
    </row>
    <row r="11263">
      <c r="A11263" s="4" t="s">
        <v>14160</v>
      </c>
      <c r="B11263" s="4" t="s">
        <v>14162</v>
      </c>
      <c r="C11263" s="5" t="str">
        <f>IFERROR(__xludf.DUMMYFUNCTION("GOOGLETRANSLATE(B11263,""en"",""fr"")"),"L'un assomme l'autre.")</f>
        <v>L'un assomme l'autre.</v>
      </c>
    </row>
    <row r="11264">
      <c r="A11264" s="4" t="s">
        <v>14160</v>
      </c>
      <c r="B11264" s="4" t="s">
        <v>14163</v>
      </c>
      <c r="C11264" s="5" t="str">
        <f>IFERROR(__xludf.DUMMYFUNCTION("GOOGLETRANSLATE(B11264,""en"",""fr"")"),"Le gagnant se tient debout sur l'arène.")</f>
        <v>Le gagnant se tient debout sur l'arène.</v>
      </c>
    </row>
    <row r="11265">
      <c r="A11265" s="4" t="s">
        <v>14160</v>
      </c>
      <c r="B11265" s="4" t="s">
        <v>14164</v>
      </c>
      <c r="C11265" s="5" t="str">
        <f>IFERROR(__xludf.DUMMYFUNCTION("GOOGLETRANSLATE(B11265,""en"",""fr"")"),"La foule regarde le vainqueur.")</f>
        <v>La foule regarde le vainqueur.</v>
      </c>
    </row>
    <row r="11266">
      <c r="A11266" s="4" t="s">
        <v>14165</v>
      </c>
      <c r="B11266" s="6" t="s">
        <v>14166</v>
      </c>
      <c r="C11266" s="5" t="str">
        <f>IFERROR(__xludf.DUMMYFUNCTION("GOOGLETRANSLATE(B11266,""en"",""fr"")"),"La vidéo montre un homme dans des lunettes et des écouteurs, portant un chapeau brun et une chemise faisant un tutoriel sur la façon de jouer à une flûte en PVC.")</f>
        <v>La vidéo montre un homme dans des lunettes et des écouteurs, portant un chapeau brun et une chemise faisant un tutoriel sur la façon de jouer à une flûte en PVC.</v>
      </c>
    </row>
    <row r="11267">
      <c r="A11267" s="4" t="s">
        <v>14165</v>
      </c>
      <c r="B11267" s="6" t="s">
        <v>14167</v>
      </c>
      <c r="C11267" s="5" t="str">
        <f>IFERROR(__xludf.DUMMYFUNCTION("GOOGLETRANSLATE(B11267,""en"",""fr"")"),"Il prend la flûte dans ses mains et commence à jouer en déplaçant ses doigts le long des trous alors qu'il souffle dans la flûte.")</f>
        <v>Il prend la flûte dans ses mains et commence à jouer en déplaçant ses doigts le long des trous alors qu'il souffle dans la flûte.</v>
      </c>
    </row>
    <row r="11268">
      <c r="A11268" s="4" t="s">
        <v>14165</v>
      </c>
      <c r="B11268" s="4" t="s">
        <v>14168</v>
      </c>
      <c r="C11268" s="5" t="str">
        <f>IFERROR(__xludf.DUMMYFUNCTION("GOOGLETRANSLATE(B11268,""en"",""fr"")"),"Il continue de jouer de la flûte jusqu'à ce qu'il termine la mélodie.")</f>
        <v>Il continue de jouer de la flûte jusqu'à ce qu'il termine la mélodie.</v>
      </c>
    </row>
    <row r="11269">
      <c r="A11269" s="4" t="s">
        <v>14169</v>
      </c>
      <c r="B11269" s="6" t="s">
        <v>14170</v>
      </c>
      <c r="C11269" s="5" t="str">
        <f>IFERROR(__xludf.DUMMYFUNCTION("GOOGLETRANSLATE(B11269,""en"",""fr"")"),"Un homme joue de nombreux jeux de swuffleboard dans une pièce occupée par d'autres personnes et de nombreuses autres planches de shuffle.")</f>
        <v>Un homme joue de nombreux jeux de swuffleboard dans une pièce occupée par d'autres personnes et de nombreuses autres planches de shuffle.</v>
      </c>
    </row>
    <row r="11270">
      <c r="A11270" s="4" t="s">
        <v>14169</v>
      </c>
      <c r="B11270" s="6" t="s">
        <v>14171</v>
      </c>
      <c r="C11270" s="5" t="str">
        <f>IFERROR(__xludf.DUMMYFUNCTION("GOOGLETRANSLATE(B11270,""en"",""fr"")"),"Un homme dans une chemise à col et des verres jouent un tableau de pont avec des rondelles en métal et un long berceau de palets en bois devant un tableau de bord éclairé dans une pièce.")</f>
        <v>Un homme dans une chemise à col et des verres jouent un tableau de pont avec des rondelles en métal et un long berceau de palets en bois devant un tableau de bord éclairé dans une pièce.</v>
      </c>
    </row>
    <row r="11271">
      <c r="A11271" s="4" t="s">
        <v>14169</v>
      </c>
      <c r="B11271" s="6" t="s">
        <v>14172</v>
      </c>
      <c r="C11271" s="5" t="str">
        <f>IFERROR(__xludf.DUMMYFUNCTION("GOOGLETRANSLATE(B11271,""en"",""fr"")"),"L'homme met des serviettes en papier sur ses yeux et sous ses verres pour absorber la sueur de l'intensité du jeu de palets.")</f>
        <v>L'homme met des serviettes en papier sur ses yeux et sous ses verres pour absorber la sueur de l'intensité du jeu de palets.</v>
      </c>
    </row>
    <row r="11272">
      <c r="A11272" s="4" t="s">
        <v>14169</v>
      </c>
      <c r="B11272" s="6" t="s">
        <v>14173</v>
      </c>
      <c r="C11272" s="5" t="str">
        <f>IFERROR(__xludf.DUMMYFUNCTION("GOOGLETRANSLATE(B11272,""en"",""fr"")"),"L'homme continue de jouer au shuffleboard avec quelques spectateurs dans une pièce avec une dernière photo visuelle de tous les rondelles sauf une du jeu de palets.")</f>
        <v>L'homme continue de jouer au shuffleboard avec quelques spectateurs dans une pièce avec une dernière photo visuelle de tous les rondelles sauf une du jeu de palets.</v>
      </c>
    </row>
    <row r="11273">
      <c r="A11273" s="4" t="s">
        <v>14174</v>
      </c>
      <c r="B11273" s="4" t="s">
        <v>14175</v>
      </c>
      <c r="C11273" s="5" t="str">
        <f>IFERROR(__xludf.DUMMYFUNCTION("GOOGLETRANSLATE(B11273,""en"",""fr"")"),"Une femme portant du matériel de plongée sous-marine est sous l'eau.")</f>
        <v>Une femme portant du matériel de plongée sous-marine est sous l'eau.</v>
      </c>
    </row>
    <row r="11274">
      <c r="A11274" s="4" t="s">
        <v>14174</v>
      </c>
      <c r="B11274" s="4" t="s">
        <v>14176</v>
      </c>
      <c r="C11274" s="5" t="str">
        <f>IFERROR(__xludf.DUMMYFUNCTION("GOOGLETRANSLATE(B11274,""en"",""fr"")"),"Elle explore le fond de l'océan, regardant le poisson et la faune alors qu'un homme nage derrière elle.")</f>
        <v>Elle explore le fond de l'océan, regardant le poisson et la faune alors qu'un homme nage derrière elle.</v>
      </c>
    </row>
    <row r="11275">
      <c r="A11275" s="4" t="s">
        <v>14174</v>
      </c>
      <c r="B11275" s="4" t="s">
        <v>14177</v>
      </c>
      <c r="C11275" s="5" t="str">
        <f>IFERROR(__xludf.DUMMYFUNCTION("GOOGLETRANSLATE(B11275,""en"",""fr"")"),"Ils donnent des signaux ok à la personne avec la caméra.")</f>
        <v>Ils donnent des signaux ok à la personne avec la caméra.</v>
      </c>
    </row>
    <row r="11276">
      <c r="A11276" s="4" t="s">
        <v>14178</v>
      </c>
      <c r="B11276" s="6" t="s">
        <v>14179</v>
      </c>
      <c r="C11276" s="5" t="str">
        <f>IFERROR(__xludf.DUMMYFUNCTION("GOOGLETRANSLATE(B11276,""en"",""fr"")"),"Une femme athlétique est montrée en sautant au ralenti sur un poteau, suivie de plusieurs autres femmes qui tentent le même saut.")</f>
        <v>Une femme athlétique est montrée en sautant au ralenti sur un poteau, suivie de plusieurs autres femmes qui tentent le même saut.</v>
      </c>
    </row>
    <row r="11277">
      <c r="A11277" s="4" t="s">
        <v>14178</v>
      </c>
      <c r="B11277" s="6" t="s">
        <v>14180</v>
      </c>
      <c r="C11277" s="5" t="str">
        <f>IFERROR(__xludf.DUMMYFUNCTION("GOOGLETRANSLATE(B11277,""en"",""fr"")"),"Plusieurs autres femmes suivent derrière le saut tandis que la caméra les capture au ralenti.")</f>
        <v>Plusieurs autres femmes suivent derrière le saut tandis que la caméra les capture au ralenti.</v>
      </c>
    </row>
    <row r="11278">
      <c r="A11278" s="4" t="s">
        <v>14181</v>
      </c>
      <c r="B11278" s="4" t="s">
        <v>14182</v>
      </c>
      <c r="C11278" s="5" t="str">
        <f>IFERROR(__xludf.DUMMYFUNCTION("GOOGLETRANSLATE(B11278,""en"",""fr"")"),"Les gens se montrent lentement du jogging dans ce marathon.")</f>
        <v>Les gens se montrent lentement du jogging dans ce marathon.</v>
      </c>
    </row>
    <row r="11279">
      <c r="A11279" s="4" t="s">
        <v>14181</v>
      </c>
      <c r="B11279" s="6" t="s">
        <v>14183</v>
      </c>
      <c r="C11279" s="5" t="str">
        <f>IFERROR(__xludf.DUMMYFUNCTION("GOOGLETRANSLATE(B11279,""en"",""fr"")"),"Il n'y a qu'un seul homme qui jongle sur les boules blanches dans ses mains tout en faisant du jogging en arrière tout au long de l'ensemble.")</f>
        <v>Il n'y a qu'un seul homme qui jongle sur les boules blanches dans ses mains tout en faisant du jogging en arrière tout au long de l'ensemble.</v>
      </c>
    </row>
    <row r="11280">
      <c r="A11280" s="4" t="s">
        <v>14181</v>
      </c>
      <c r="B11280" s="6" t="s">
        <v>14184</v>
      </c>
      <c r="C11280" s="5" t="str">
        <f>IFERROR(__xludf.DUMMYFUNCTION("GOOGLETRANSLATE(B11280,""en"",""fr"")"),"En fin de compte, le nombre de personnes diminue et il n'y a qu'une seule personne qui court et l'homme qui jongle sur les balles.")</f>
        <v>En fin de compte, le nombre de personnes diminue et il n'y a qu'une seule personne qui court et l'homme qui jongle sur les balles.</v>
      </c>
    </row>
    <row r="11281">
      <c r="A11281" s="4" t="s">
        <v>14185</v>
      </c>
      <c r="B11281" s="4" t="s">
        <v>14186</v>
      </c>
      <c r="C11281" s="5" t="str">
        <f>IFERROR(__xludf.DUMMYFUNCTION("GOOGLETRANSLATE(B11281,""en"",""fr"")"),"Un homme est à l'extérieur en essayant de pelleter la neige de son pare-brise.")</f>
        <v>Un homme est à l'extérieur en essayant de pelleter la neige de son pare-brise.</v>
      </c>
    </row>
    <row r="11282">
      <c r="A11282" s="4" t="s">
        <v>14185</v>
      </c>
      <c r="B11282" s="4" t="s">
        <v>14187</v>
      </c>
      <c r="C11282" s="5" t="str">
        <f>IFERROR(__xludf.DUMMYFUNCTION("GOOGLETRANSLATE(B11282,""en"",""fr"")"),"L'homme entre alors à l'intérieur et commence à parler.")</f>
        <v>L'homme entre alors à l'intérieur et commence à parler.</v>
      </c>
    </row>
    <row r="11283">
      <c r="A11283" s="4" t="s">
        <v>14185</v>
      </c>
      <c r="B11283" s="4" t="s">
        <v>14188</v>
      </c>
      <c r="C11283" s="5" t="str">
        <f>IFERROR(__xludf.DUMMYFUNCTION("GOOGLETRANSLATE(B11283,""en"",""fr"")"),"Une fois terminé, il sort à l'extérieur de son garage et teste le produit de l'Icescreen.")</f>
        <v>Une fois terminé, il sort à l'extérieur de son garage et teste le produit de l'Icescreen.</v>
      </c>
    </row>
    <row r="11284">
      <c r="A11284" s="4" t="s">
        <v>14189</v>
      </c>
      <c r="B11284" s="4" t="s">
        <v>14190</v>
      </c>
      <c r="C11284" s="5" t="str">
        <f>IFERROR(__xludf.DUMMYFUNCTION("GOOGLETRANSLATE(B11284,""en"",""fr"")"),"Les gens se tiennent sur un champ en regardant les cerfs-volants dans le ciel.")</f>
        <v>Les gens se tiennent sur un champ en regardant les cerfs-volants dans le ciel.</v>
      </c>
    </row>
    <row r="11285">
      <c r="A11285" s="4" t="s">
        <v>14189</v>
      </c>
      <c r="B11285" s="4" t="s">
        <v>14191</v>
      </c>
      <c r="C11285" s="5" t="str">
        <f>IFERROR(__xludf.DUMMYFUNCTION("GOOGLETRANSLATE(B11285,""en"",""fr"")"),"Un cerf-volant est montré dans le ciel par un arbre.")</f>
        <v>Un cerf-volant est montré dans le ciel par un arbre.</v>
      </c>
    </row>
    <row r="11286">
      <c r="A11286" s="4" t="s">
        <v>14189</v>
      </c>
      <c r="B11286" s="4" t="s">
        <v>14192</v>
      </c>
      <c r="C11286" s="5" t="str">
        <f>IFERROR(__xludf.DUMMYFUNCTION("GOOGLETRANSLATE(B11286,""en"",""fr"")"),"Un garçon poursuit le cerf-volant et les attrapent.")</f>
        <v>Un garçon poursuit le cerf-volant et les attrapent.</v>
      </c>
    </row>
    <row r="11287">
      <c r="A11287" s="4" t="s">
        <v>14193</v>
      </c>
      <c r="B11287" s="4" t="s">
        <v>14194</v>
      </c>
      <c r="C11287" s="5" t="str">
        <f>IFERROR(__xludf.DUMMYFUNCTION("GOOGLETRANSLATE(B11287,""en"",""fr"")"),"Diverses images montrent que les gens amènent des canoës d'un camion et les chargent dans l'eau.")</f>
        <v>Diverses images montrent que les gens amènent des canoës d'un camion et les chargent dans l'eau.</v>
      </c>
    </row>
    <row r="11288">
      <c r="A11288" s="4" t="s">
        <v>14193</v>
      </c>
      <c r="B11288" s="4" t="s">
        <v>14195</v>
      </c>
      <c r="C11288" s="5" t="str">
        <f>IFERROR(__xludf.DUMMYFUNCTION("GOOGLETRANSLATE(B11288,""en"",""fr"")"),"Les gens sont ensuite vus pêcher ainsi que descendant la rivière illustré sur plusieurs photos.")</f>
        <v>Les gens sont ensuite vus pêcher ainsi que descendant la rivière illustré sur plusieurs photos.</v>
      </c>
    </row>
    <row r="11289">
      <c r="A11289" s="4" t="s">
        <v>14196</v>
      </c>
      <c r="B11289" s="4" t="s">
        <v>14197</v>
      </c>
      <c r="C11289" s="5" t="str">
        <f>IFERROR(__xludf.DUMMYFUNCTION("GOOGLETRANSLATE(B11289,""en"",""fr"")"),"L'homme aux pieds nus sert le ballon mais l'a raté.")</f>
        <v>L'homme aux pieds nus sert le ballon mais l'a raté.</v>
      </c>
    </row>
    <row r="11290">
      <c r="A11290" s="4" t="s">
        <v>14196</v>
      </c>
      <c r="B11290" s="4" t="s">
        <v>14198</v>
      </c>
      <c r="C11290" s="5" t="str">
        <f>IFERROR(__xludf.DUMMYFUNCTION("GOOGLETRANSLATE(B11290,""en"",""fr"")"),"L'homme a servi le ballon et a frappé le mur mais il a simplement rebondi si bas que l'homme ne peut pas le frapper.")</f>
        <v>L'homme a servi le ballon et a frappé le mur mais il a simplement rebondi si bas que l'homme ne peut pas le frapper.</v>
      </c>
    </row>
    <row r="11291">
      <c r="A11291" s="4" t="s">
        <v>14196</v>
      </c>
      <c r="B11291" s="6" t="s">
        <v>14199</v>
      </c>
      <c r="C11291" s="5" t="str">
        <f>IFERROR(__xludf.DUMMYFUNCTION("GOOGLETRANSLATE(B11291,""en"",""fr"")"),"L'homme a poursuivi après le ballon et a frappé, puis un homme torse nu est venu vers lui et lui a appris à servir le ballon.")</f>
        <v>L'homme a poursuivi après le ballon et a frappé, puis un homme torse nu est venu vers lui et lui a appris à servir le ballon.</v>
      </c>
    </row>
    <row r="11292">
      <c r="A11292" s="4" t="s">
        <v>14200</v>
      </c>
      <c r="B11292" s="4" t="s">
        <v>14201</v>
      </c>
      <c r="C11292" s="5" t="str">
        <f>IFERROR(__xludf.DUMMYFUNCTION("GOOGLETRANSLATE(B11292,""en"",""fr"")"),"Une femme sourit à la caméra.")</f>
        <v>Une femme sourit à la caméra.</v>
      </c>
    </row>
    <row r="11293">
      <c r="A11293" s="4" t="s">
        <v>14200</v>
      </c>
      <c r="B11293" s="4" t="s">
        <v>14202</v>
      </c>
      <c r="C11293" s="5" t="str">
        <f>IFERROR(__xludf.DUMMYFUNCTION("GOOGLETRANSLATE(B11293,""en"",""fr"")"),"La femme prend un fer et commence à repasser une chemise blanche en petits motifs circulaires.")</f>
        <v>La femme prend un fer et commence à repasser une chemise blanche en petits motifs circulaires.</v>
      </c>
    </row>
    <row r="11294">
      <c r="A11294" s="4" t="s">
        <v>14200</v>
      </c>
      <c r="B11294" s="4" t="s">
        <v>14203</v>
      </c>
      <c r="C11294" s="5" t="str">
        <f>IFERROR(__xludf.DUMMYFUNCTION("GOOGLETRANSLATE(B11294,""en"",""fr"")"),"La femme utilise les deux mains pour pousser le fer.")</f>
        <v>La femme utilise les deux mains pour pousser le fer.</v>
      </c>
    </row>
    <row r="11295">
      <c r="A11295" s="4" t="s">
        <v>14200</v>
      </c>
      <c r="B11295" s="4" t="s">
        <v>14204</v>
      </c>
      <c r="C11295" s="5" t="str">
        <f>IFERROR(__xludf.DUMMYFUNCTION("GOOGLETRANSLATE(B11295,""en"",""fr"")"),"Elle reprend le repassage d'une main au même endroit.")</f>
        <v>Elle reprend le repassage d'une main au même endroit.</v>
      </c>
    </row>
    <row r="11296">
      <c r="A11296" s="4" t="s">
        <v>14200</v>
      </c>
      <c r="B11296" s="4" t="s">
        <v>14205</v>
      </c>
      <c r="C11296" s="5" t="str">
        <f>IFERROR(__xludf.DUMMYFUNCTION("GOOGLETRANSLATE(B11296,""en"",""fr"")"),"La femme inspecte l'étoile sur la chemise.")</f>
        <v>La femme inspecte l'étoile sur la chemise.</v>
      </c>
    </row>
    <row r="11297">
      <c r="A11297" s="4" t="s">
        <v>14200</v>
      </c>
      <c r="B11297" s="4" t="s">
        <v>14206</v>
      </c>
      <c r="C11297" s="5" t="str">
        <f>IFERROR(__xludf.DUMMYFUNCTION("GOOGLETRANSLATE(B11297,""en"",""fr"")"),"La femme reprend alors le replumage du motif.")</f>
        <v>La femme reprend alors le replumage du motif.</v>
      </c>
    </row>
    <row r="11298">
      <c r="A11298" s="4" t="s">
        <v>14200</v>
      </c>
      <c r="B11298" s="4" t="s">
        <v>14207</v>
      </c>
      <c r="C11298" s="5" t="str">
        <f>IFERROR(__xludf.DUMMYFUNCTION("GOOGLETRANSLATE(B11298,""en"",""fr"")"),"La femme décolle le papier loin du motif, puis reprend le repassage.")</f>
        <v>La femme décolle le papier loin du motif, puis reprend le repassage.</v>
      </c>
    </row>
    <row r="11299">
      <c r="A11299" s="4" t="s">
        <v>14200</v>
      </c>
      <c r="B11299" s="4" t="s">
        <v>14208</v>
      </c>
      <c r="C11299" s="5" t="str">
        <f>IFERROR(__xludf.DUMMYFUNCTION("GOOGLETRANSLATE(B11299,""en"",""fr"")"),"La femme tient la chemise après avoir terminé.")</f>
        <v>La femme tient la chemise après avoir terminé.</v>
      </c>
    </row>
    <row r="11300">
      <c r="A11300" s="4" t="s">
        <v>14209</v>
      </c>
      <c r="B11300" s="4" t="s">
        <v>14210</v>
      </c>
      <c r="C11300" s="5" t="str">
        <f>IFERROR(__xludf.DUMMYFUNCTION("GOOGLETRANSLATE(B11300,""en"",""fr"")"),"Un garçon parle à une caméra tout en tenant un bâton de crosse et en frappant des balles dans un filet.")</f>
        <v>Un garçon parle à une caméra tout en tenant un bâton de crosse et en frappant des balles dans un filet.</v>
      </c>
    </row>
    <row r="11301">
      <c r="A11301" s="4" t="s">
        <v>14209</v>
      </c>
      <c r="B11301" s="4" t="s">
        <v>14211</v>
      </c>
      <c r="C11301" s="5" t="str">
        <f>IFERROR(__xludf.DUMMYFUNCTION("GOOGLETRANSLATE(B11301,""en"",""fr"")"),"Le garçon jette plusieurs balles dans le filet encore et encore frappant directement dans le filet.")</f>
        <v>Le garçon jette plusieurs balles dans le filet encore et encore frappant directement dans le filet.</v>
      </c>
    </row>
    <row r="11302">
      <c r="A11302" s="4" t="s">
        <v>14212</v>
      </c>
      <c r="B11302" s="4" t="s">
        <v>14213</v>
      </c>
      <c r="C11302" s="5" t="str">
        <f>IFERROR(__xludf.DUMMYFUNCTION("GOOGLETRANSLATE(B11302,""en"",""fr"")"),"Un homme est assis sur un canapé, buvant une bière dans une bouteille.")</f>
        <v>Un homme est assis sur un canapé, buvant une bière dans une bouteille.</v>
      </c>
    </row>
    <row r="11303">
      <c r="A11303" s="4" t="s">
        <v>14212</v>
      </c>
      <c r="B11303" s="4" t="s">
        <v>14214</v>
      </c>
      <c r="C11303" s="5" t="str">
        <f>IFERROR(__xludf.DUMMYFUNCTION("GOOGLETRANSLATE(B11303,""en"",""fr"")"),"Il laisse tomber la bouteille de sa bouche, souriant.")</f>
        <v>Il laisse tomber la bouteille de sa bouche, souriant.</v>
      </c>
    </row>
    <row r="11304">
      <c r="A11304" s="4" t="s">
        <v>14215</v>
      </c>
      <c r="B11304" s="4" t="s">
        <v>14216</v>
      </c>
      <c r="C11304" s="5" t="str">
        <f>IFERROR(__xludf.DUMMYFUNCTION("GOOGLETRANSLATE(B11304,""en"",""fr"")"),"Les gens se tiennent en cercle.")</f>
        <v>Les gens se tiennent en cercle.</v>
      </c>
    </row>
    <row r="11305">
      <c r="A11305" s="4" t="s">
        <v>14215</v>
      </c>
      <c r="B11305" s="4" t="s">
        <v>14217</v>
      </c>
      <c r="C11305" s="5" t="str">
        <f>IFERROR(__xludf.DUMMYFUNCTION("GOOGLETRANSLATE(B11305,""en"",""fr"")"),"Deux personnes commencent à se battre dans le cercle.")</f>
        <v>Deux personnes commencent à se battre dans le cercle.</v>
      </c>
    </row>
    <row r="11306">
      <c r="A11306" s="4" t="s">
        <v>14215</v>
      </c>
      <c r="B11306" s="4" t="s">
        <v>14218</v>
      </c>
      <c r="C11306" s="5" t="str">
        <f>IFERROR(__xludf.DUMMYFUNCTION("GOOGLETRANSLATE(B11306,""en"",""fr"")"),"Un homme fait des flips à l'extérieur sur l'herbe.")</f>
        <v>Un homme fait des flips à l'extérieur sur l'herbe.</v>
      </c>
    </row>
    <row r="11307">
      <c r="A11307" s="4" t="s">
        <v>14215</v>
      </c>
      <c r="B11307" s="4" t="s">
        <v>14219</v>
      </c>
      <c r="C11307" s="5" t="str">
        <f>IFERROR(__xludf.DUMMYFUNCTION("GOOGLETRANSLATE(B11307,""en"",""fr"")"),"Ils continuent de voler à l'intérieur du cercle.")</f>
        <v>Ils continuent de voler à l'intérieur du cercle.</v>
      </c>
    </row>
    <row r="11308">
      <c r="A11308" s="4" t="s">
        <v>14215</v>
      </c>
      <c r="B11308" s="4" t="s">
        <v>14220</v>
      </c>
      <c r="C11308" s="5" t="str">
        <f>IFERROR(__xludf.DUMMYFUNCTION("GOOGLETRANSLATE(B11308,""en"",""fr"")"),"Un homme se tient à l'extérieur en train de parler devant une rue.")</f>
        <v>Un homme se tient à l'extérieur en train de parler devant une rue.</v>
      </c>
    </row>
    <row r="11309">
      <c r="A11309" s="4" t="s">
        <v>14215</v>
      </c>
      <c r="B11309" s="4" t="s">
        <v>14221</v>
      </c>
      <c r="C11309" s="5" t="str">
        <f>IFERROR(__xludf.DUMMYFUNCTION("GOOGLETRANSLATE(B11309,""en"",""fr"")"),"Un homme fait plusieurs flips de dos sur l'herbe.")</f>
        <v>Un homme fait plusieurs flips de dos sur l'herbe.</v>
      </c>
    </row>
    <row r="11310">
      <c r="A11310" s="4" t="s">
        <v>14222</v>
      </c>
      <c r="B11310" s="4" t="s">
        <v>14223</v>
      </c>
      <c r="C11310" s="5" t="str">
        <f>IFERROR(__xludf.DUMMYFUNCTION("GOOGLETRANSLATE(B11310,""en"",""fr"")"),"Une femme se tient à parler à la caméra, avec un chien devant elle.")</f>
        <v>Une femme se tient à parler à la caméra, avec un chien devant elle.</v>
      </c>
    </row>
    <row r="11311">
      <c r="A11311" s="4" t="s">
        <v>14222</v>
      </c>
      <c r="B11311" s="4" t="s">
        <v>14224</v>
      </c>
      <c r="C11311" s="5" t="str">
        <f>IFERROR(__xludf.DUMMYFUNCTION("GOOGLETRANSLATE(B11311,""en"",""fr"")"),"La femme tient la jambe avant du chien pendant qu'elle parle.")</f>
        <v>La femme tient la jambe avant du chien pendant qu'elle parle.</v>
      </c>
    </row>
    <row r="11312">
      <c r="A11312" s="4" t="s">
        <v>14222</v>
      </c>
      <c r="B11312" s="4" t="s">
        <v>14225</v>
      </c>
      <c r="C11312" s="5" t="str">
        <f>IFERROR(__xludf.DUMMYFUNCTION("GOOGLETRANSLATE(B11312,""en"",""fr"")"),"La femme brosse le chien avec une brosse bleue.")</f>
        <v>La femme brosse le chien avec une brosse bleue.</v>
      </c>
    </row>
    <row r="11313">
      <c r="A11313" s="4" t="s">
        <v>14226</v>
      </c>
      <c r="B11313" s="4" t="s">
        <v>14227</v>
      </c>
      <c r="C11313" s="5" t="str">
        <f>IFERROR(__xludf.DUMMYFUNCTION("GOOGLETRANSLATE(B11313,""en"",""fr"")"),"Une annonce pour l'emballage Premier apparaît.")</f>
        <v>Une annonce pour l'emballage Premier apparaît.</v>
      </c>
    </row>
    <row r="11314">
      <c r="A11314" s="4" t="s">
        <v>14226</v>
      </c>
      <c r="B11314" s="4" t="s">
        <v>14228</v>
      </c>
      <c r="C11314" s="5" t="str">
        <f>IFERROR(__xludf.DUMMYFUNCTION("GOOGLETRANSLATE(B11314,""en"",""fr"")"),"Une femme se tient dans un bureau devant un panier rempli de petits cadeaux.")</f>
        <v>Une femme se tient dans un bureau devant un panier rempli de petits cadeaux.</v>
      </c>
    </row>
    <row r="11315">
      <c r="A11315" s="4" t="s">
        <v>14226</v>
      </c>
      <c r="B11315" s="6" t="s">
        <v>14229</v>
      </c>
      <c r="C11315" s="5" t="str">
        <f>IFERROR(__xludf.DUMMYFUNCTION("GOOGLETRANSLATE(B11315,""en"",""fr"")"),"Elle montre comment elle a utilisé du cellophane et un sèche-cheveux pour rétrécir envelopper les cadeaux du panier et garder la sécurité et la présentation.")</f>
        <v>Elle montre comment elle a utilisé du cellophane et un sèche-cheveux pour rétrécir envelopper les cadeaux du panier et garder la sécurité et la présentation.</v>
      </c>
    </row>
    <row r="11316">
      <c r="A11316" s="4" t="s">
        <v>14230</v>
      </c>
      <c r="B11316" s="4" t="s">
        <v>14231</v>
      </c>
      <c r="C11316" s="5" t="str">
        <f>IFERROR(__xludf.DUMMYFUNCTION("GOOGLETRANSLATE(B11316,""en"",""fr"")"),"Une personne monte un sillage derrière un bateau dans l'eau agitée.")</f>
        <v>Une personne monte un sillage derrière un bateau dans l'eau agitée.</v>
      </c>
    </row>
    <row r="11317">
      <c r="A11317" s="4" t="s">
        <v>14230</v>
      </c>
      <c r="B11317" s="4" t="s">
        <v>14232</v>
      </c>
      <c r="C11317" s="5" t="str">
        <f>IFERROR(__xludf.DUMMYFUNCTION("GOOGLETRANSLATE(B11317,""en"",""fr"")"),"Le Wake Boarder saute par-dessus le sillage du bateau et se retourne.")</f>
        <v>Le Wake Boarder saute par-dessus le sillage du bateau et se retourne.</v>
      </c>
    </row>
    <row r="11318">
      <c r="A11318" s="4" t="s">
        <v>14230</v>
      </c>
      <c r="B11318" s="4" t="s">
        <v>14233</v>
      </c>
      <c r="C11318" s="5" t="str">
        <f>IFERROR(__xludf.DUMMYFUNCTION("GOOGLETRANSLATE(B11318,""en"",""fr"")"),"Le Wake Boarder fait un saut final et tombe dans l'eau.")</f>
        <v>Le Wake Boarder fait un saut final et tombe dans l'eau.</v>
      </c>
    </row>
    <row r="11319">
      <c r="A11319" s="4" t="s">
        <v>14234</v>
      </c>
      <c r="B11319" s="4" t="s">
        <v>14235</v>
      </c>
      <c r="C11319" s="5" t="str">
        <f>IFERROR(__xludf.DUMMYFUNCTION("GOOGLETRANSLATE(B11319,""en"",""fr"")"),"Un gros plan d'une cheminée est visible avec la caméra se déplaçant autour de l'avant.")</f>
        <v>Un gros plan d'une cheminée est visible avec la caméra se déplaçant autour de l'avant.</v>
      </c>
    </row>
    <row r="11320">
      <c r="A11320" s="4" t="s">
        <v>14234</v>
      </c>
      <c r="B11320" s="4" t="s">
        <v>14236</v>
      </c>
      <c r="C11320" s="5" t="str">
        <f>IFERROR(__xludf.DUMMYFUNCTION("GOOGLETRANSLATE(B11320,""en"",""fr"")"),"La caméra zoome sur la fosse et montre un homme agenouillé à genoux devant.")</f>
        <v>La caméra zoome sur la fosse et montre un homme agenouillé à genoux devant.</v>
      </c>
    </row>
    <row r="11321">
      <c r="A11321" s="4" t="s">
        <v>14234</v>
      </c>
      <c r="B11321" s="4" t="s">
        <v>14237</v>
      </c>
      <c r="C11321" s="5" t="str">
        <f>IFERROR(__xludf.DUMMYFUNCTION("GOOGLETRANSLATE(B11321,""en"",""fr"")"),"L'homme dépose du plâtre sur le devant et commence à baisser le carrelage sur le plâtre.")</f>
        <v>L'homme dépose du plâtre sur le devant et commence à baisser le carrelage sur le plâtre.</v>
      </c>
    </row>
    <row r="11322">
      <c r="A11322" s="4" t="s">
        <v>14238</v>
      </c>
      <c r="B11322" s="6" t="s">
        <v>14239</v>
      </c>
      <c r="C11322" s="5" t="str">
        <f>IFERROR(__xludf.DUMMYFUNCTION("GOOGLETRANSLATE(B11322,""en"",""fr"")"),"La vidéo se met en plusieurs plans de personnes effectuant des matchs de lutte des bras et hurlant par la suite.")</f>
        <v>La vidéo se met en plusieurs plans de personnes effectuant des matchs de lutte des bras et hurlant par la suite.</v>
      </c>
    </row>
    <row r="11323">
      <c r="A11323" s="4" t="s">
        <v>14238</v>
      </c>
      <c r="B11323" s="6" t="s">
        <v>14240</v>
      </c>
      <c r="C11323" s="5" t="str">
        <f>IFERROR(__xludf.DUMMYFUNCTION("GOOGLETRANSLATE(B11323,""en"",""fr"")"),"Beaucoup de gens sont vus jouer les uns avec les autres et crier à la foule après leur performance.")</f>
        <v>Beaucoup de gens sont vus jouer les uns avec les autres et crier à la foule après leur performance.</v>
      </c>
    </row>
    <row r="11324">
      <c r="A11324" s="4" t="s">
        <v>14241</v>
      </c>
      <c r="B11324" s="4" t="s">
        <v>14242</v>
      </c>
      <c r="C11324" s="5" t="str">
        <f>IFERROR(__xludf.DUMMYFUNCTION("GOOGLETRANSLATE(B11324,""en"",""fr"")"),"Un homme et une femme sont assis derrière une table.")</f>
        <v>Un homme et une femme sont assis derrière une table.</v>
      </c>
    </row>
    <row r="11325">
      <c r="A11325" s="4" t="s">
        <v>14241</v>
      </c>
      <c r="B11325" s="4" t="s">
        <v>14243</v>
      </c>
      <c r="C11325" s="5" t="str">
        <f>IFERROR(__xludf.DUMMYFUNCTION("GOOGLETRANSLATE(B11325,""en"",""fr"")"),"Les joueurs jouent au football sur la saleté, à l'extérieur.")</f>
        <v>Les joueurs jouent au football sur la saleté, à l'extérieur.</v>
      </c>
    </row>
    <row r="11326">
      <c r="A11326" s="4" t="s">
        <v>14241</v>
      </c>
      <c r="B11326" s="4" t="s">
        <v>14244</v>
      </c>
      <c r="C11326" s="5" t="str">
        <f>IFERROR(__xludf.DUMMYFUNCTION("GOOGLETRANSLATE(B11326,""en"",""fr"")"),"Les fans et les joueurs applaudissent ou célèbrent.")</f>
        <v>Les fans et les joueurs applaudissent ou célèbrent.</v>
      </c>
    </row>
    <row r="11327">
      <c r="A11327" s="4" t="s">
        <v>14245</v>
      </c>
      <c r="B11327" s="4" t="s">
        <v>14246</v>
      </c>
      <c r="C11327" s="5" t="str">
        <f>IFERROR(__xludf.DUMMYFUNCTION("GOOGLETRANSLATE(B11327,""en"",""fr"")"),"Une personne est vue marcher en avant et sauter de haut en bas et plonger dans une piscine.")</f>
        <v>Une personne est vue marcher en avant et sauter de haut en bas et plonger dans une piscine.</v>
      </c>
    </row>
    <row r="11328">
      <c r="A11328" s="4" t="s">
        <v>14245</v>
      </c>
      <c r="B11328" s="6" t="s">
        <v>14247</v>
      </c>
      <c r="C11328" s="5" t="str">
        <f>IFERROR(__xludf.DUMMYFUNCTION("GOOGLETRANSLATE(B11328,""en"",""fr"")"),"La même personne est montrée plusieurs fois en effectuant diverses plongées sur une haute planche tandis que la caméra le capture sous plusieurs angles.")</f>
        <v>La même personne est montrée plusieurs fois en effectuant diverses plongées sur une haute planche tandis que la caméra le capture sous plusieurs angles.</v>
      </c>
    </row>
    <row r="11329">
      <c r="A11329" s="4" t="s">
        <v>14248</v>
      </c>
      <c r="B11329" s="4" t="s">
        <v>14249</v>
      </c>
      <c r="C11329" s="5" t="str">
        <f>IFERROR(__xludf.DUMMYFUNCTION("GOOGLETRANSLATE(B11329,""en"",""fr"")"),"Un tutoriel vidéo joue avec une femme parlant en arrière-plan de la façon de vous brosser les dents.")</f>
        <v>Un tutoriel vidéo joue avec une femme parlant en arrière-plan de la façon de vous brosser les dents.</v>
      </c>
    </row>
    <row r="11330">
      <c r="A11330" s="4" t="s">
        <v>14248</v>
      </c>
      <c r="B11330" s="4" t="s">
        <v>14250</v>
      </c>
      <c r="C11330" s="5" t="str">
        <f>IFERROR(__xludf.DUMMYFUNCTION("GOOGLETRANSLATE(B11330,""en"",""fr"")"),"Elle énumère les outils dont vous avez besoin et les étapes pour brosser.")</f>
        <v>Elle énumère les outils dont vous avez besoin et les étapes pour brosser.</v>
      </c>
    </row>
    <row r="11331">
      <c r="A11331" s="4" t="s">
        <v>14248</v>
      </c>
      <c r="B11331" s="4" t="s">
        <v>14251</v>
      </c>
      <c r="C11331" s="5" t="str">
        <f>IFERROR(__xludf.DUMMYFUNCTION("GOOGLETRANSLATE(B11331,""en"",""fr"")"),"Un homme ouvre une bouteille et y met le dentifrice.")</f>
        <v>Un homme ouvre une bouteille et y met le dentifrice.</v>
      </c>
    </row>
    <row r="11332">
      <c r="A11332" s="4" t="s">
        <v>14248</v>
      </c>
      <c r="B11332" s="4" t="s">
        <v>14252</v>
      </c>
      <c r="C11332" s="5" t="str">
        <f>IFERROR(__xludf.DUMMYFUNCTION("GOOGLETRANSLATE(B11332,""en"",""fr"")"),"Il commence à se brosser les dents après les instructions de la femme.")</f>
        <v>Il commence à se brosser les dents après les instructions de la femme.</v>
      </c>
    </row>
    <row r="11333">
      <c r="A11333" s="4" t="s">
        <v>14248</v>
      </c>
      <c r="B11333" s="4" t="s">
        <v>14253</v>
      </c>
      <c r="C11333" s="5" t="str">
        <f>IFERROR(__xludf.DUMMYFUNCTION("GOOGLETRANSLATE(B11333,""en"",""fr"")"),"L'homme rince la bouche avec de l'eau et sourit avec la voix de la femme.")</f>
        <v>L'homme rince la bouche avec de l'eau et sourit avec la voix de la femme.</v>
      </c>
    </row>
    <row r="11334">
      <c r="A11334" s="4" t="s">
        <v>14254</v>
      </c>
      <c r="B11334" s="4" t="s">
        <v>14255</v>
      </c>
      <c r="C11334" s="5" t="str">
        <f>IFERROR(__xludf.DUMMYFUNCTION("GOOGLETRANSLATE(B11334,""en"",""fr"")"),"Un homme parle dans une pièce bleue puis pulvérise une voiture de jouets et fait semblant de la laver.")</f>
        <v>Un homme parle dans une pièce bleue puis pulvérise une voiture de jouets et fait semblant de la laver.</v>
      </c>
    </row>
    <row r="11335">
      <c r="A11335" s="4" t="s">
        <v>14254</v>
      </c>
      <c r="B11335" s="4" t="s">
        <v>14256</v>
      </c>
      <c r="C11335" s="5" t="str">
        <f>IFERROR(__xludf.DUMMYFUNCTION("GOOGLETRANSLATE(B11335,""en"",""fr"")"),"Nous voyons un écran de titre et les gens en costume lavent les voitures comme une blague.")</f>
        <v>Nous voyons un écran de titre et les gens en costume lavent les voitures comme une blague.</v>
      </c>
    </row>
    <row r="11336">
      <c r="A11336" s="4" t="s">
        <v>14254</v>
      </c>
      <c r="B11336" s="4" t="s">
        <v>14257</v>
      </c>
      <c r="C11336" s="5" t="str">
        <f>IFERROR(__xludf.DUMMYFUNCTION("GOOGLETRANSLATE(B11336,""en"",""fr"")"),"Un homme et un petit garçon avec des tuyaux à haut pouvoir lavent les voitures de pom-pom girls.")</f>
        <v>Un homme et un petit garçon avec des tuyaux à haut pouvoir lavent les voitures de pom-pom girls.</v>
      </c>
    </row>
    <row r="11337">
      <c r="A11337" s="4" t="s">
        <v>14254</v>
      </c>
      <c r="B11337" s="4" t="s">
        <v>14258</v>
      </c>
      <c r="C11337" s="5" t="str">
        <f>IFERROR(__xludf.DUMMYFUNCTION("GOOGLETRANSLATE(B11337,""en"",""fr"")"),"Nous voyons une camionnette noire avec des gens qui sortent et un homme dans un chapeau haut de gamme touche la voiture.")</f>
        <v>Nous voyons une camionnette noire avec des gens qui sortent et un homme dans un chapeau haut de gamme touche la voiture.</v>
      </c>
    </row>
    <row r="11338">
      <c r="A11338" s="4" t="s">
        <v>14254</v>
      </c>
      <c r="B11338" s="4" t="s">
        <v>14259</v>
      </c>
      <c r="C11338" s="5" t="str">
        <f>IFERROR(__xludf.DUMMYFUNCTION("GOOGLETRANSLATE(B11338,""en"",""fr"")"),"Les gens se mettent dans la camionnette noire et s'éloignent des propriétaires de voitures adn teh dans la rue.")</f>
        <v>Les gens se mettent dans la camionnette noire et s'éloignent des propriétaires de voitures adn teh dans la rue.</v>
      </c>
    </row>
    <row r="11339">
      <c r="A11339" s="4" t="s">
        <v>14254</v>
      </c>
      <c r="B11339" s="4" t="s">
        <v>14260</v>
      </c>
      <c r="C11339" s="5" t="str">
        <f>IFERROR(__xludf.DUMMYFUNCTION("GOOGLETRANSLATE(B11339,""en"",""fr"")"),"Nous voyons ensuite la scène de fin.")</f>
        <v>Nous voyons ensuite la scène de fin.</v>
      </c>
    </row>
    <row r="11340">
      <c r="A11340" s="4" t="s">
        <v>14261</v>
      </c>
      <c r="B11340" s="4" t="s">
        <v>14262</v>
      </c>
      <c r="C11340" s="5" t="str">
        <f>IFERROR(__xludf.DUMMYFUNCTION("GOOGLETRANSLATE(B11340,""en"",""fr"")"),"Un homme fume une pipe et souffle des anneaux de fumée.")</f>
        <v>Un homme fume une pipe et souffle des anneaux de fumée.</v>
      </c>
    </row>
    <row r="11341">
      <c r="A11341" s="4" t="s">
        <v>14261</v>
      </c>
      <c r="B11341" s="4" t="s">
        <v>14263</v>
      </c>
      <c r="C11341" s="5" t="str">
        <f>IFERROR(__xludf.DUMMYFUNCTION("GOOGLETRANSLATE(B11341,""en"",""fr"")"),"L'homme utilise le blasphème et détourne la caméra.")</f>
        <v>L'homme utilise le blasphème et détourne la caméra.</v>
      </c>
    </row>
    <row r="11342">
      <c r="A11342" s="4" t="s">
        <v>14261</v>
      </c>
      <c r="B11342" s="4" t="s">
        <v>14264</v>
      </c>
      <c r="C11342" s="5" t="str">
        <f>IFERROR(__xludf.DUMMYFUNCTION("GOOGLETRANSLATE(B11342,""en"",""fr"")"),"Un autre homme est debout en le regardant.")</f>
        <v>Un autre homme est debout en le regardant.</v>
      </c>
    </row>
    <row r="11343">
      <c r="A11343" s="4" t="s">
        <v>14265</v>
      </c>
      <c r="B11343" s="4" t="s">
        <v>14266</v>
      </c>
      <c r="C11343" s="5" t="str">
        <f>IFERROR(__xludf.DUMMYFUNCTION("GOOGLETRANSLATE(B11343,""en"",""fr"")"),"Une personne est vue entrant dans le cadre dans une pièce sombre et descend un long escalier.")</f>
        <v>Une personne est vue entrant dans le cadre dans une pièce sombre et descend un long escalier.</v>
      </c>
    </row>
    <row r="11344">
      <c r="A11344" s="4" t="s">
        <v>14265</v>
      </c>
      <c r="B11344" s="4" t="s">
        <v>14267</v>
      </c>
      <c r="C11344" s="5" t="str">
        <f>IFERROR(__xludf.DUMMYFUNCTION("GOOGLETRANSLATE(B11344,""en"",""fr"")"),"Un homme est vu dans le coin reculer et quatrième sur l'équipement d'exercice.")</f>
        <v>Un homme est vu dans le coin reculer et quatrième sur l'équipement d'exercice.</v>
      </c>
    </row>
    <row r="11345">
      <c r="A11345" s="4" t="s">
        <v>14265</v>
      </c>
      <c r="B11345" s="4" t="s">
        <v>14268</v>
      </c>
      <c r="C11345" s="5" t="str">
        <f>IFERROR(__xludf.DUMMYFUNCTION("GOOGLETRANSLATE(B11345,""en"",""fr"")"),"Une femme parle ensuite à l'homme alors qu'il continue d'aviron et montrant un gros plan de la machine.")</f>
        <v>Une femme parle ensuite à l'homme alors qu'il continue d'aviron et montrant un gros plan de la machine.</v>
      </c>
    </row>
    <row r="11346">
      <c r="A11346" s="4" t="s">
        <v>14269</v>
      </c>
      <c r="B11346" s="4" t="s">
        <v>14270</v>
      </c>
      <c r="C11346" s="5" t="str">
        <f>IFERROR(__xludf.DUMMYFUNCTION("GOOGLETRANSLATE(B11346,""en"",""fr"")"),"Un homme s'approche d'une vadrouille et d'un seau.")</f>
        <v>Un homme s'approche d'une vadrouille et d'un seau.</v>
      </c>
    </row>
    <row r="11347">
      <c r="A11347" s="4" t="s">
        <v>14269</v>
      </c>
      <c r="B11347" s="4" t="s">
        <v>14271</v>
      </c>
      <c r="C11347" s="5" t="str">
        <f>IFERROR(__xludf.DUMMYFUNCTION("GOOGLETRANSLATE(B11347,""en"",""fr"")"),"Il les retire du seau et commence à éponger le sol.")</f>
        <v>Il les retire du seau et commence à éponger le sol.</v>
      </c>
    </row>
    <row r="11348">
      <c r="A11348" s="4" t="s">
        <v>14269</v>
      </c>
      <c r="B11348" s="4" t="s">
        <v>14272</v>
      </c>
      <c r="C11348" s="5" t="str">
        <f>IFERROR(__xludf.DUMMYFUNCTION("GOOGLETRANSLATE(B11348,""en"",""fr"")"),"Après un moment, elle commence à prétendre qu'il danse avec la vadrouille.")</f>
        <v>Après un moment, elle commence à prétendre qu'il danse avec la vadrouille.</v>
      </c>
    </row>
    <row r="11349">
      <c r="A11349" s="4" t="s">
        <v>14273</v>
      </c>
      <c r="B11349" s="4" t="s">
        <v>14274</v>
      </c>
      <c r="C11349" s="5" t="str">
        <f>IFERROR(__xludf.DUMMYFUNCTION("GOOGLETRANSLATE(B11349,""en"",""fr"")"),"Un homme en chemise bleue joue au basket sur un terrain.")</f>
        <v>Un homme en chemise bleue joue au basket sur un terrain.</v>
      </c>
    </row>
    <row r="11350">
      <c r="A11350" s="4" t="s">
        <v>14273</v>
      </c>
      <c r="B11350" s="4" t="s">
        <v>14275</v>
      </c>
      <c r="C11350" s="5" t="str">
        <f>IFERROR(__xludf.DUMMYFUNCTION("GOOGLETRANSLATE(B11350,""en"",""fr"")"),"Il tire sur le cerceau et le manque.")</f>
        <v>Il tire sur le cerceau et le manque.</v>
      </c>
    </row>
    <row r="11351">
      <c r="A11351" s="4" t="s">
        <v>14273</v>
      </c>
      <c r="B11351" s="4" t="s">
        <v>14276</v>
      </c>
      <c r="C11351" s="5" t="str">
        <f>IFERROR(__xludf.DUMMYFUNCTION("GOOGLETRANSLATE(B11351,""en"",""fr"")"),"Une personne en chemise blanche se tient derrière elle sur un court de tennis.")</f>
        <v>Une personne en chemise blanche se tient derrière elle sur un court de tennis.</v>
      </c>
    </row>
    <row r="11352">
      <c r="A11352" s="4" t="s">
        <v>14277</v>
      </c>
      <c r="B11352" s="4" t="s">
        <v>14278</v>
      </c>
      <c r="C11352" s="5" t="str">
        <f>IFERROR(__xludf.DUMMYFUNCTION("GOOGLETRANSLATE(B11352,""en"",""fr"")"),"Un jeune garçon tente d'ouvrir une pinata lors de sa fête d'anniversaire dans un garage.")</f>
        <v>Un jeune garçon tente d'ouvrir une pinata lors de sa fête d'anniversaire dans un garage.</v>
      </c>
    </row>
    <row r="11353">
      <c r="A11353" s="4" t="s">
        <v>14277</v>
      </c>
      <c r="B11353" s="4" t="s">
        <v>14279</v>
      </c>
      <c r="C11353" s="5" t="str">
        <f>IFERROR(__xludf.DUMMYFUNCTION("GOOGLETRANSLATE(B11353,""en"",""fr"")"),"Un autre garçon entre presque dans la gamme du bâton du garçon, mais est sauvé par un adulte.")</f>
        <v>Un autre garçon entre presque dans la gamme du bâton du garçon, mais est sauvé par un adulte.</v>
      </c>
    </row>
    <row r="11354">
      <c r="A11354" s="4" t="s">
        <v>14277</v>
      </c>
      <c r="B11354" s="4" t="s">
        <v>14280</v>
      </c>
      <c r="C11354" s="5" t="str">
        <f>IFERROR(__xludf.DUMMYFUNCTION("GOOGLETRANSLATE(B11354,""en"",""fr"")"),"Le garçon continue de frapper la pinata avant de faire une pause et de remettre le bâton à un autre garçon.")</f>
        <v>Le garçon continue de frapper la pinata avant de faire une pause et de remettre le bâton à un autre garçon.</v>
      </c>
    </row>
    <row r="11355">
      <c r="A11355" s="4" t="s">
        <v>14281</v>
      </c>
      <c r="B11355" s="4" t="s">
        <v>14282</v>
      </c>
      <c r="C11355" s="5" t="str">
        <f>IFERROR(__xludf.DUMMYFUNCTION("GOOGLETRANSLATE(B11355,""en"",""fr"")"),"Une femme brune est assise dans un bain moussant avec une jambe en le rasant avec un rasoir rose.")</f>
        <v>Une femme brune est assise dans un bain moussant avec une jambe en le rasant avec un rasoir rose.</v>
      </c>
    </row>
    <row r="11356">
      <c r="A11356" s="4" t="s">
        <v>14281</v>
      </c>
      <c r="B11356" s="4" t="s">
        <v>14283</v>
      </c>
      <c r="C11356" s="5" t="str">
        <f>IFERROR(__xludf.DUMMYFUNCTION("GOOGLETRANSLATE(B11356,""en"",""fr"")"),"La femme monte un coup de rasoir et recommence.")</f>
        <v>La femme monte un coup de rasoir et recommence.</v>
      </c>
    </row>
    <row r="11357">
      <c r="A11357" s="4" t="s">
        <v>14281</v>
      </c>
      <c r="B11357" s="4" t="s">
        <v>14284</v>
      </c>
      <c r="C11357" s="5" t="str">
        <f>IFERROR(__xludf.DUMMYFUNCTION("GOOGLETRANSLATE(B11357,""en"",""fr"")"),"Elle répète ce processus en rasant la jambe et recommençant plusieurs fois autour de sa jambe.")</f>
        <v>Elle répète ce processus en rasant la jambe et recommençant plusieurs fois autour de sa jambe.</v>
      </c>
    </row>
    <row r="11358">
      <c r="A11358" s="4" t="s">
        <v>14285</v>
      </c>
      <c r="B11358" s="4" t="s">
        <v>14286</v>
      </c>
      <c r="C11358" s="5" t="str">
        <f>IFERROR(__xludf.DUMMYFUNCTION("GOOGLETRANSLATE(B11358,""en"",""fr"")"),"Dans une pièce bleue, deux hommes utilisent des outils et réparent le tapis.")</f>
        <v>Dans une pièce bleue, deux hommes utilisent des outils et réparent le tapis.</v>
      </c>
    </row>
    <row r="11359">
      <c r="A11359" s="4" t="s">
        <v>14285</v>
      </c>
      <c r="B11359" s="4" t="s">
        <v>14287</v>
      </c>
      <c r="C11359" s="5" t="str">
        <f>IFERROR(__xludf.DUMMYFUNCTION("GOOGLETRANSLATE(B11359,""en"",""fr"")"),"Il semble qu'ils aient juste mis un nouveau tapis et maintenant ils s'assurent qu'il est maintenu correctement.")</f>
        <v>Il semble qu'ils aient juste mis un nouveau tapis et maintenant ils s'assurent qu'il est maintenu correctement.</v>
      </c>
    </row>
    <row r="11360">
      <c r="A11360" s="4" t="s">
        <v>14285</v>
      </c>
      <c r="B11360" s="4" t="s">
        <v>14288</v>
      </c>
      <c r="C11360" s="5" t="str">
        <f>IFERROR(__xludf.DUMMYFUNCTION("GOOGLETRANSLATE(B11360,""en"",""fr"")"),"Ils utilisent un pistolet à clous d'un certain type pour clouer les extrémités du coin.")</f>
        <v>Ils utilisent un pistolet à clous d'un certain type pour clouer les extrémités du coin.</v>
      </c>
    </row>
    <row r="11361">
      <c r="A11361" s="4" t="s">
        <v>14285</v>
      </c>
      <c r="B11361" s="4" t="s">
        <v>14289</v>
      </c>
      <c r="C11361" s="5" t="str">
        <f>IFERROR(__xludf.DUMMYFUNCTION("GOOGLETRANSLATE(B11361,""en"",""fr"")"),"L'un des hommes se promène en vérification pour voir s'il est manqué.")</f>
        <v>L'un des hommes se promène en vérification pour voir s'il est manqué.</v>
      </c>
    </row>
    <row r="11362">
      <c r="A11362" s="4" t="s">
        <v>14290</v>
      </c>
      <c r="B11362" s="4" t="s">
        <v>14291</v>
      </c>
      <c r="C11362" s="5" t="str">
        <f>IFERROR(__xludf.DUMMYFUNCTION("GOOGLETRANSLATE(B11362,""en"",""fr"")"),"Nous voyons une clairière dans les bois.")</f>
        <v>Nous voyons une clairière dans les bois.</v>
      </c>
    </row>
    <row r="11363">
      <c r="A11363" s="4" t="s">
        <v>14290</v>
      </c>
      <c r="B11363" s="4" t="s">
        <v>14292</v>
      </c>
      <c r="C11363" s="5" t="str">
        <f>IFERROR(__xludf.DUMMYFUNCTION("GOOGLETRANSLATE(B11363,""en"",""fr"")"),"Nous faisons un zoom sur un mâle marchant dans les bois.")</f>
        <v>Nous faisons un zoom sur un mâle marchant dans les bois.</v>
      </c>
    </row>
    <row r="11364">
      <c r="A11364" s="4" t="s">
        <v>14290</v>
      </c>
      <c r="B11364" s="4" t="s">
        <v>14293</v>
      </c>
      <c r="C11364" s="5" t="str">
        <f>IFERROR(__xludf.DUMMYFUNCTION("GOOGLETRANSLATE(B11364,""en"",""fr"")"),"Le mâle s'arrête et regarde à gauche, puis à droite.")</f>
        <v>Le mâle s'arrête et regarde à gauche, puis à droite.</v>
      </c>
    </row>
    <row r="11365">
      <c r="A11365" s="4" t="s">
        <v>14290</v>
      </c>
      <c r="B11365" s="4" t="s">
        <v>14294</v>
      </c>
      <c r="C11365" s="5" t="str">
        <f>IFERROR(__xludf.DUMMYFUNCTION("GOOGLETRANSLATE(B11365,""en"",""fr"")"),"Le mâle boit dans une flaque d'eau, les courses ont surpris.")</f>
        <v>Le mâle boit dans une flaque d'eau, les courses ont surpris.</v>
      </c>
    </row>
    <row r="11366">
      <c r="A11366" s="4" t="s">
        <v>14290</v>
      </c>
      <c r="B11366" s="4" t="s">
        <v>14295</v>
      </c>
      <c r="C11366" s="5" t="str">
        <f>IFERROR(__xludf.DUMMYFUNCTION("GOOGLETRANSLATE(B11366,""en"",""fr"")"),"Le mâle se tient dans la clairière.")</f>
        <v>Le mâle se tient dans la clairière.</v>
      </c>
    </row>
    <row r="11367">
      <c r="A11367" s="4" t="s">
        <v>14290</v>
      </c>
      <c r="B11367" s="4" t="s">
        <v>14296</v>
      </c>
      <c r="C11367" s="5" t="str">
        <f>IFERROR(__xludf.DUMMYFUNCTION("GOOGLETRANSLATE(B11367,""en"",""fr"")"),"Un homme travaille avec un arc tandis qu'un autre filme l'animal.")</f>
        <v>Un homme travaille avec un arc tandis qu'un autre filme l'animal.</v>
      </c>
    </row>
    <row r="11368">
      <c r="A11368" s="4" t="s">
        <v>14290</v>
      </c>
      <c r="B11368" s="4" t="s">
        <v>14297</v>
      </c>
      <c r="C11368" s="5" t="str">
        <f>IFERROR(__xludf.DUMMYFUNCTION("GOOGLETRANSLATE(B11368,""en"",""fr"")"),"Le chasseur tire sur l'animal avec un arc et il meurt lentement.")</f>
        <v>Le chasseur tire sur l'animal avec un arc et il meurt lentement.</v>
      </c>
    </row>
    <row r="11369">
      <c r="A11369" s="4" t="s">
        <v>14290</v>
      </c>
      <c r="B11369" s="4" t="s">
        <v>14298</v>
      </c>
      <c r="C11369" s="5" t="str">
        <f>IFERROR(__xludf.DUMMYFUNCTION("GOOGLETRANSLATE(B11369,""en"",""fr"")"),"Le chasseur est photographié avec l'animal mort.")</f>
        <v>Le chasseur est photographié avec l'animal mort.</v>
      </c>
    </row>
    <row r="11370">
      <c r="A11370" s="4" t="s">
        <v>14299</v>
      </c>
      <c r="B11370" s="6" t="s">
        <v>14300</v>
      </c>
      <c r="C11370" s="5" t="str">
        <f>IFERROR(__xludf.DUMMYFUNCTION("GOOGLETRANSLATE(B11370,""en"",""fr"")"),"Plusieurs plans d'un casino sont montrés ainsi que des personnes qui obtiennent des passes et se promenant à l'intérieur.")</f>
        <v>Plusieurs plans d'un casino sont montrés ainsi que des personnes qui obtiennent des passes et se promenant à l'intérieur.</v>
      </c>
    </row>
    <row r="11371">
      <c r="A11371" s="4" t="s">
        <v>14299</v>
      </c>
      <c r="B11371" s="6" t="s">
        <v>14301</v>
      </c>
      <c r="C11371" s="5" t="str">
        <f>IFERROR(__xludf.DUMMYFUNCTION("GOOGLETRANSLATE(B11371,""en"",""fr"")"),"L'appareil photo se déroule autour de plusieurs tables de jeux joués ainsi que des machines à sous et des gens qui jouent les uns avec les autres.")</f>
        <v>L'appareil photo se déroule autour de plusieurs tables de jeux joués ainsi que des machines à sous et des gens qui jouent les uns avec les autres.</v>
      </c>
    </row>
    <row r="11372">
      <c r="A11372" s="4" t="s">
        <v>14302</v>
      </c>
      <c r="B11372" s="4" t="s">
        <v>14303</v>
      </c>
      <c r="C11372" s="5" t="str">
        <f>IFERROR(__xludf.DUMMYFUNCTION("GOOGLETRANSLATE(B11372,""en"",""fr"")"),"Une fille aux cheveux tressés demande à un travailleur dans un centre équestre quelques questions.")</f>
        <v>Une fille aux cheveux tressés demande à un travailleur dans un centre équestre quelques questions.</v>
      </c>
    </row>
    <row r="11373">
      <c r="A11373" s="4" t="s">
        <v>14302</v>
      </c>
      <c r="B11373" s="4" t="s">
        <v>14304</v>
      </c>
      <c r="C11373" s="5" t="str">
        <f>IFERROR(__xludf.DUMMYFUNCTION("GOOGLETRANSLATE(B11373,""en"",""fr"")"),"La femme répond et parle de soins aux chevaux.")</f>
        <v>La femme répond et parle de soins aux chevaux.</v>
      </c>
    </row>
    <row r="11374">
      <c r="A11374" s="4" t="s">
        <v>14302</v>
      </c>
      <c r="B11374" s="4" t="s">
        <v>14305</v>
      </c>
      <c r="C11374" s="5" t="str">
        <f>IFERROR(__xludf.DUMMYFUNCTION("GOOGLETRANSLATE(B11374,""en"",""fr"")"),"La fille brosse la crinière du cheval.")</f>
        <v>La fille brosse la crinière du cheval.</v>
      </c>
    </row>
    <row r="11375">
      <c r="A11375" s="4" t="s">
        <v>14302</v>
      </c>
      <c r="B11375" s="4" t="s">
        <v>14306</v>
      </c>
      <c r="C11375" s="5" t="str">
        <f>IFERROR(__xludf.DUMMYFUNCTION("GOOGLETRANSLATE(B11375,""en"",""fr"")"),"Les deux continuent de passer en revue les soins aux chevaux.")</f>
        <v>Les deux continuent de passer en revue les soins aux chevaux.</v>
      </c>
    </row>
    <row r="11376">
      <c r="A11376" s="4" t="s">
        <v>14302</v>
      </c>
      <c r="B11376" s="4" t="s">
        <v>14307</v>
      </c>
      <c r="C11376" s="5" t="str">
        <f>IFERROR(__xludf.DUMMYFUNCTION("GOOGLETRANSLATE(B11376,""en"",""fr"")"),"La fille et la femme travaillent toutes deux sur les techniques de brossage.")</f>
        <v>La fille et la femme travaillent toutes deux sur les techniques de brossage.</v>
      </c>
    </row>
    <row r="11377">
      <c r="A11377" s="4" t="s">
        <v>14302</v>
      </c>
      <c r="B11377" s="4" t="s">
        <v>14308</v>
      </c>
      <c r="C11377" s="5" t="str">
        <f>IFERROR(__xludf.DUMMYFUNCTION("GOOGLETRANSLATE(B11377,""en"",""fr"")"),"La femme brosse la queue des chevaux est beaucoup de soin comme la fille regarde.")</f>
        <v>La femme brosse la queue des chevaux est beaucoup de soin comme la fille regarde.</v>
      </c>
    </row>
    <row r="11378">
      <c r="A11378" s="4" t="s">
        <v>14309</v>
      </c>
      <c r="B11378" s="4" t="s">
        <v>14310</v>
      </c>
      <c r="C11378" s="5" t="str">
        <f>IFERROR(__xludf.DUMMYFUNCTION("GOOGLETRANSLATE(B11378,""en"",""fr"")"),"Une femme se tient en regardant un chef enlever les feuilles d'un morceau de laitue.")</f>
        <v>Une femme se tient en regardant un chef enlever les feuilles d'un morceau de laitue.</v>
      </c>
    </row>
    <row r="11379">
      <c r="A11379" s="4" t="s">
        <v>14309</v>
      </c>
      <c r="B11379" s="4" t="s">
        <v>14311</v>
      </c>
      <c r="C11379" s="5" t="str">
        <f>IFERROR(__xludf.DUMMYFUNCTION("GOOGLETRANSLATE(B11379,""en"",""fr"")"),"Le chef montre à la femme comment couper certaines parties de la laitue.")</f>
        <v>Le chef montre à la femme comment couper certaines parties de la laitue.</v>
      </c>
    </row>
    <row r="11380">
      <c r="A11380" s="4" t="s">
        <v>14309</v>
      </c>
      <c r="B11380" s="4" t="s">
        <v>14312</v>
      </c>
      <c r="C11380" s="5" t="str">
        <f>IFERROR(__xludf.DUMMYFUNCTION("GOOGLETRANSLATE(B11380,""en"",""fr"")"),"Le chef et la femme ont une longue conversation concernant la laitue.")</f>
        <v>Le chef et la femme ont une longue conversation concernant la laitue.</v>
      </c>
    </row>
    <row r="11381">
      <c r="A11381" s="4" t="s">
        <v>14313</v>
      </c>
      <c r="B11381" s="4" t="s">
        <v>14314</v>
      </c>
      <c r="C11381" s="5" t="str">
        <f>IFERROR(__xludf.DUMMYFUNCTION("GOOGLETRANSLATE(B11381,""en"",""fr"")"),"Une femme est assise sur une machine à aviron.")</f>
        <v>Une femme est assise sur une machine à aviron.</v>
      </c>
    </row>
    <row r="11382">
      <c r="A11382" s="4" t="s">
        <v>14313</v>
      </c>
      <c r="B11382" s="4" t="s">
        <v>14315</v>
      </c>
      <c r="C11382" s="5" t="str">
        <f>IFERROR(__xludf.DUMMYFUNCTION("GOOGLETRANSLATE(B11382,""en"",""fr"")"),"La femme place ses pieds dans les sangles de la machine à aviron.")</f>
        <v>La femme place ses pieds dans les sangles de la machine à aviron.</v>
      </c>
    </row>
    <row r="11383">
      <c r="A11383" s="4" t="s">
        <v>14313</v>
      </c>
      <c r="B11383" s="4" t="s">
        <v>14316</v>
      </c>
      <c r="C11383" s="5" t="str">
        <f>IFERROR(__xludf.DUMMYFUNCTION("GOOGLETRANSLATE(B11383,""en"",""fr"")"),"La femme tient les câbles et les rangées d'aviron.")</f>
        <v>La femme tient les câbles et les rangées d'aviron.</v>
      </c>
    </row>
    <row r="11384">
      <c r="A11384" s="4" t="s">
        <v>14313</v>
      </c>
      <c r="B11384" s="4" t="s">
        <v>14317</v>
      </c>
      <c r="C11384" s="5" t="str">
        <f>IFERROR(__xludf.DUMMYFUNCTION("GOOGLETRANSLATE(B11384,""en"",""fr"")"),"La femme s'arrête et démontre la zone du moteur de la machine.")</f>
        <v>La femme s'arrête et démontre la zone du moteur de la machine.</v>
      </c>
    </row>
    <row r="11385">
      <c r="A11385" s="4" t="s">
        <v>14313</v>
      </c>
      <c r="B11385" s="4" t="s">
        <v>14318</v>
      </c>
      <c r="C11385" s="5" t="str">
        <f>IFERROR(__xludf.DUMMYFUNCTION("GOOGLETRANSLATE(B11385,""en"",""fr"")"),"De retour assis sur la machine à aviron, elle se balance une fois de plus et place les câbles.")</f>
        <v>De retour assis sur la machine à aviron, elle se balance une fois de plus et place les câbles.</v>
      </c>
    </row>
    <row r="11386">
      <c r="A11386" s="4" t="s">
        <v>14313</v>
      </c>
      <c r="B11386" s="4" t="s">
        <v>14319</v>
      </c>
      <c r="C11386" s="5" t="str">
        <f>IFERROR(__xludf.DUMMYFUNCTION("GOOGLETRANSLATE(B11386,""en"",""fr"")"),"La femme retire ses pieds des sangles.")</f>
        <v>La femme retire ses pieds des sangles.</v>
      </c>
    </row>
    <row r="11387">
      <c r="A11387" s="4" t="s">
        <v>14320</v>
      </c>
      <c r="B11387" s="6" t="s">
        <v>14321</v>
      </c>
      <c r="C11387" s="5" t="str">
        <f>IFERROR(__xludf.DUMMYFUNCTION("GOOGLETRANSLATE(B11387,""en"",""fr"")"),"Un homme est vu allongé sur le sol et commence à démontrer comment effectuer correctement les mouvements de danse ainsi que la mauvaise façon de les effectuer.")</f>
        <v>Un homme est vu allongé sur le sol et commence à démontrer comment effectuer correctement les mouvements de danse ainsi que la mauvaise façon de les effectuer.</v>
      </c>
    </row>
    <row r="11388">
      <c r="A11388" s="4" t="s">
        <v>14320</v>
      </c>
      <c r="B11388" s="6" t="s">
        <v>14322</v>
      </c>
      <c r="C11388" s="5" t="str">
        <f>IFERROR(__xludf.DUMMYFUNCTION("GOOGLETRANSLATE(B11388,""en"",""fr"")"),"L'homme continue de se déplacer tout autour du sol et mène à plusieurs clips de personnes effectuant le mouvement.")</f>
        <v>L'homme continue de se déplacer tout autour du sol et mène à plusieurs clips de personnes effectuant le mouvement.</v>
      </c>
    </row>
    <row r="11389">
      <c r="A11389" s="4" t="s">
        <v>14323</v>
      </c>
      <c r="B11389" s="4" t="s">
        <v>14324</v>
      </c>
      <c r="C11389" s="5" t="str">
        <f>IFERROR(__xludf.DUMMYFUNCTION("GOOGLETRANSLATE(B11389,""en"",""fr"")"),"Un homme nettoie la neige avec une pelle auto-levée qui a une tige pour impulser la pelle.")</f>
        <v>Un homme nettoie la neige avec une pelle auto-levée qui a une tige pour impulser la pelle.</v>
      </c>
    </row>
    <row r="11390">
      <c r="A11390" s="4" t="s">
        <v>14323</v>
      </c>
      <c r="B11390" s="4" t="s">
        <v>14325</v>
      </c>
      <c r="C11390" s="5" t="str">
        <f>IFERROR(__xludf.DUMMYFUNCTION("GOOGLETRANSLATE(B11390,""en"",""fr"")"),"L'homme met la pelle dans la neige et il soulève et jette la neige.")</f>
        <v>L'homme met la pelle dans la neige et il soulève et jette la neige.</v>
      </c>
    </row>
    <row r="11391">
      <c r="A11391" s="4" t="s">
        <v>14323</v>
      </c>
      <c r="B11391" s="4" t="s">
        <v>14326</v>
      </c>
      <c r="C11391" s="5" t="str">
        <f>IFERROR(__xludf.DUMMYFUNCTION("GOOGLETRANSLATE(B11391,""en"",""fr"")"),"L'homme pellent une forte neige durcie du sol sans effort.")</f>
        <v>L'homme pellent une forte neige durcie du sol sans effort.</v>
      </c>
    </row>
    <row r="11392">
      <c r="A11392" s="4" t="s">
        <v>14323</v>
      </c>
      <c r="B11392" s="4" t="s">
        <v>14327</v>
      </c>
      <c r="C11392" s="5" t="str">
        <f>IFERROR(__xludf.DUMMYFUNCTION("GOOGLETRANSLATE(B11392,""en"",""fr"")"),"La personne montre la pelle qui a derrière un lanceur de poids.")</f>
        <v>La personne montre la pelle qui a derrière un lanceur de poids.</v>
      </c>
    </row>
    <row r="11393">
      <c r="A11393" s="4" t="s">
        <v>14328</v>
      </c>
      <c r="B11393" s="6" t="s">
        <v>14329</v>
      </c>
      <c r="C11393" s="5" t="str">
        <f>IFERROR(__xludf.DUMMYFUNCTION("GOOGLETRANSLATE(B11393,""en"",""fr"")"),"Plusieurs plans sont représentés de personnes marchant sur une plage et conduisent à de nombreuses personnes surfant sur l'eau.")</f>
        <v>Plusieurs plans sont représentés de personnes marchant sur une plage et conduisent à de nombreuses personnes surfant sur l'eau.</v>
      </c>
    </row>
    <row r="11394">
      <c r="A11394" s="4" t="s">
        <v>14328</v>
      </c>
      <c r="B11394" s="6" t="s">
        <v>14330</v>
      </c>
      <c r="C11394" s="5" t="str">
        <f>IFERROR(__xludf.DUMMYFUNCTION("GOOGLETRANSLATE(B11394,""en"",""fr"")"),"Des dizaines de personnes sont représentées dans divers clips roulant le long des vagues dans l'eau ainsi que des personnes assises dans l'eau par derrière.")</f>
        <v>Des dizaines de personnes sont représentées dans divers clips roulant le long des vagues dans l'eau ainsi que des personnes assises dans l'eau par derrière.</v>
      </c>
    </row>
    <row r="11395">
      <c r="A11395" s="4" t="s">
        <v>14331</v>
      </c>
      <c r="B11395" s="4" t="s">
        <v>14332</v>
      </c>
      <c r="C11395" s="5" t="str">
        <f>IFERROR(__xludf.DUMMYFUNCTION("GOOGLETRANSLATE(B11395,""en"",""fr"")"),"Une femme se lève et commence à sauter.")</f>
        <v>Une femme se lève et commence à sauter.</v>
      </c>
    </row>
    <row r="11396">
      <c r="A11396" s="4" t="s">
        <v>14331</v>
      </c>
      <c r="B11396" s="4" t="s">
        <v>14333</v>
      </c>
      <c r="C11396" s="5" t="str">
        <f>IFERROR(__xludf.DUMMYFUNCTION("GOOGLETRANSLATE(B11396,""en"",""fr"")"),"Le reste des femmes se lève et rejoigne son saut.")</f>
        <v>Le reste des femmes se lève et rejoigne son saut.</v>
      </c>
    </row>
    <row r="11397">
      <c r="A11397" s="4" t="s">
        <v>14331</v>
      </c>
      <c r="B11397" s="4" t="s">
        <v>14334</v>
      </c>
      <c r="C11397" s="5" t="str">
        <f>IFERROR(__xludf.DUMMYFUNCTION("GOOGLETRANSLATE(B11397,""en"",""fr"")"),"Ils font une main sur le sol devant eux.")</f>
        <v>Ils font une main sur le sol devant eux.</v>
      </c>
    </row>
    <row r="11398">
      <c r="A11398" s="4" t="s">
        <v>14335</v>
      </c>
      <c r="B11398" s="4" t="s">
        <v>14336</v>
      </c>
      <c r="C11398" s="5" t="str">
        <f>IFERROR(__xludf.DUMMYFUNCTION("GOOGLETRANSLATE(B11398,""en"",""fr"")"),"Un jeune enfant traverse du sable transportant du matériel autour de sa taille.")</f>
        <v>Un jeune enfant traverse du sable transportant du matériel autour de sa taille.</v>
      </c>
    </row>
    <row r="11399">
      <c r="A11399" s="4" t="s">
        <v>14335</v>
      </c>
      <c r="B11399" s="4" t="s">
        <v>14337</v>
      </c>
      <c r="C11399" s="5" t="str">
        <f>IFERROR(__xludf.DUMMYFUNCTION("GOOGLETRANSLATE(B11399,""en"",""fr"")"),"Sur un terrain d'école, elle lance un bâton.")</f>
        <v>Sur un terrain d'école, elle lance un bâton.</v>
      </c>
    </row>
    <row r="11400">
      <c r="A11400" s="4" t="s">
        <v>14335</v>
      </c>
      <c r="B11400" s="4" t="s">
        <v>14338</v>
      </c>
      <c r="C11400" s="5" t="str">
        <f>IFERROR(__xludf.DUMMYFUNCTION("GOOGLETRANSLATE(B11400,""en"",""fr"")"),"De retour sur le sable, elle continue de marcher avec l'équipement attaché à sa taille.")</f>
        <v>De retour sur le sable, elle continue de marcher avec l'équipement attaché à sa taille.</v>
      </c>
    </row>
    <row r="11401">
      <c r="A11401" s="4" t="s">
        <v>14335</v>
      </c>
      <c r="B11401" s="4" t="s">
        <v>14339</v>
      </c>
      <c r="C11401" s="5" t="str">
        <f>IFERROR(__xludf.DUMMYFUNCTION("GOOGLETRANSLATE(B11401,""en"",""fr"")"),"Elle jette un caillou dans la plage.")</f>
        <v>Elle jette un caillou dans la plage.</v>
      </c>
    </row>
    <row r="11402">
      <c r="A11402" s="4" t="s">
        <v>14335</v>
      </c>
      <c r="B11402" s="4" t="s">
        <v>14340</v>
      </c>
      <c r="C11402" s="5" t="str">
        <f>IFERROR(__xludf.DUMMYFUNCTION("GOOGLETRANSLATE(B11402,""en"",""fr"")"),"Sur une piste d'école, elle lance un bâton.")</f>
        <v>Sur une piste d'école, elle lance un bâton.</v>
      </c>
    </row>
    <row r="11403">
      <c r="A11403" s="4" t="s">
        <v>14335</v>
      </c>
      <c r="B11403" s="4" t="s">
        <v>14341</v>
      </c>
      <c r="C11403" s="5" t="str">
        <f>IFERROR(__xludf.DUMMYFUNCTION("GOOGLETRANSLATE(B11403,""en"",""fr"")"),"Elle lance un autre bâton dans un champ herbeux, où ses entraîneurs regardent.")</f>
        <v>Elle lance un autre bâton dans un champ herbeux, où ses entraîneurs regardent.</v>
      </c>
    </row>
    <row r="11404">
      <c r="A11404" s="4" t="s">
        <v>14335</v>
      </c>
      <c r="B11404" s="4" t="s">
        <v>14342</v>
      </c>
      <c r="C11404" s="5" t="str">
        <f>IFERROR(__xludf.DUMMYFUNCTION("GOOGLETRANSLATE(B11404,""en"",""fr"")"),"Un homme lui donne une médaille.")</f>
        <v>Un homme lui donne une médaille.</v>
      </c>
    </row>
    <row r="11405">
      <c r="A11405" s="4" t="s">
        <v>14335</v>
      </c>
      <c r="B11405" s="4" t="s">
        <v>14343</v>
      </c>
      <c r="C11405" s="5" t="str">
        <f>IFERROR(__xludf.DUMMYFUNCTION("GOOGLETRANSLATE(B11405,""en"",""fr"")"),"Dans un champ herbeux, elle lance un bâton.")</f>
        <v>Dans un champ herbeux, elle lance un bâton.</v>
      </c>
    </row>
    <row r="11406">
      <c r="A11406" s="4" t="s">
        <v>14344</v>
      </c>
      <c r="B11406" s="4" t="s">
        <v>14345</v>
      </c>
      <c r="C11406" s="5" t="str">
        <f>IFERROR(__xludf.DUMMYFUNCTION("GOOGLETRANSLATE(B11406,""en"",""fr"")"),"Une image d'un homme est montrée puis des dessins de vertèbres humaines.")</f>
        <v>Une image d'un homme est montrée puis des dessins de vertèbres humaines.</v>
      </c>
    </row>
    <row r="11407">
      <c r="A11407" s="4" t="s">
        <v>14344</v>
      </c>
      <c r="B11407" s="4" t="s">
        <v>14346</v>
      </c>
      <c r="C11407" s="5" t="str">
        <f>IFERROR(__xludf.DUMMYFUNCTION("GOOGLETRANSLATE(B11407,""en"",""fr"")"),"L'homme en gris est debout dans une pièce et a commencé à faire tourner ses mains en avant et en arrière.")</f>
        <v>L'homme en gris est debout dans une pièce et a commencé à faire tourner ses mains en avant et en arrière.</v>
      </c>
    </row>
    <row r="11408">
      <c r="A11408" s="4" t="s">
        <v>14344</v>
      </c>
      <c r="B11408" s="4" t="s">
        <v>14347</v>
      </c>
      <c r="C11408" s="5" t="str">
        <f>IFERROR(__xludf.DUMMYFUNCTION("GOOGLETRANSLATE(B11408,""en"",""fr"")"),"L'homme se balance d'un côté à l'autre et bouge ses bras devant lui.")</f>
        <v>L'homme se balance d'un côté à l'autre et bouge ses bras devant lui.</v>
      </c>
    </row>
    <row r="11409">
      <c r="A11409" s="4" t="s">
        <v>14348</v>
      </c>
      <c r="B11409" s="4" t="s">
        <v>14349</v>
      </c>
      <c r="C11409" s="5" t="str">
        <f>IFERROR(__xludf.DUMMYFUNCTION("GOOGLETRANSLATE(B11409,""en"",""fr"")"),"Un homme se tient devant un chat qui continue de marcher sur son papier d'emballage.")</f>
        <v>Un homme se tient devant un chat qui continue de marcher sur son papier d'emballage.</v>
      </c>
    </row>
    <row r="11410">
      <c r="A11410" s="4" t="s">
        <v>14348</v>
      </c>
      <c r="B11410" s="4" t="s">
        <v>14350</v>
      </c>
      <c r="C11410" s="5" t="str">
        <f>IFERROR(__xludf.DUMMYFUNCTION("GOOGLETRANSLATE(B11410,""en"",""fr"")"),"L'homme pousse le chat sur le papier et le plie autour du chat.")</f>
        <v>L'homme pousse le chat sur le papier et le plie autour du chat.</v>
      </c>
    </row>
    <row r="11411">
      <c r="A11411" s="4" t="s">
        <v>14348</v>
      </c>
      <c r="B11411" s="4" t="s">
        <v>14351</v>
      </c>
      <c r="C11411" s="5" t="str">
        <f>IFERROR(__xludf.DUMMYFUNCTION("GOOGLETRANSLATE(B11411,""en"",""fr"")"),"Il enregistre ensuite le papier sur le chat, ne laissant que la tête qui sortait.")</f>
        <v>Il enregistre ensuite le papier sur le chat, ne laissant que la tête qui sortait.</v>
      </c>
    </row>
    <row r="11412">
      <c r="A11412" s="4" t="s">
        <v>14348</v>
      </c>
      <c r="B11412" s="4" t="s">
        <v>14352</v>
      </c>
      <c r="C11412" s="5" t="str">
        <f>IFERROR(__xludf.DUMMYFUNCTION("GOOGLETRANSLATE(B11412,""en"",""fr"")"),"Il place ensuite un arc sur la tête du chat.")</f>
        <v>Il place ensuite un arc sur la tête du chat.</v>
      </c>
    </row>
    <row r="11413">
      <c r="A11413" s="4" t="s">
        <v>14353</v>
      </c>
      <c r="B11413" s="4" t="s">
        <v>14354</v>
      </c>
      <c r="C11413" s="5" t="str">
        <f>IFERROR(__xludf.DUMMYFUNCTION("GOOGLETRANSLATE(B11413,""en"",""fr"")"),"Une mère essaie de brosser les dents d'un bébé.")</f>
        <v>Une mère essaie de brosser les dents d'un bébé.</v>
      </c>
    </row>
    <row r="11414">
      <c r="A11414" s="4" t="s">
        <v>14353</v>
      </c>
      <c r="B11414" s="4" t="s">
        <v>14355</v>
      </c>
      <c r="C11414" s="5" t="str">
        <f>IFERROR(__xludf.DUMMYFUNCTION("GOOGLETRANSLATE(B11414,""en"",""fr"")"),"Le bébé prend la brosse à dents et s'essaie.")</f>
        <v>Le bébé prend la brosse à dents et s'essaie.</v>
      </c>
    </row>
    <row r="11415">
      <c r="A11415" s="4" t="s">
        <v>14353</v>
      </c>
      <c r="B11415" s="4" t="s">
        <v>14356</v>
      </c>
      <c r="C11415" s="5" t="str">
        <f>IFERROR(__xludf.DUMMYFUNCTION("GOOGLETRANSLATE(B11415,""en"",""fr"")"),"Le bébé crache une partie de ce dentifrice mais continue d'essayer.")</f>
        <v>Le bébé crache une partie de ce dentifrice mais continue d'essayer.</v>
      </c>
    </row>
    <row r="11416">
      <c r="A11416" s="4" t="s">
        <v>14357</v>
      </c>
      <c r="B11416" s="4" t="s">
        <v>14358</v>
      </c>
      <c r="C11416" s="5" t="str">
        <f>IFERROR(__xludf.DUMMYFUNCTION("GOOGLETRANSLATE(B11416,""en"",""fr"")"),"Une corde de saut noire et jaune se trouve sur le sol tandis que trois personnes sont en arrière-plan.")</f>
        <v>Une corde de saut noire et jaune se trouve sur le sol tandis que trois personnes sont en arrière-plan.</v>
      </c>
    </row>
    <row r="11417">
      <c r="A11417" s="4" t="s">
        <v>14357</v>
      </c>
      <c r="B11417" s="6" t="s">
        <v>14359</v>
      </c>
      <c r="C11417" s="5" t="str">
        <f>IFERROR(__xludf.DUMMYFUNCTION("GOOGLETRANSLATE(B11417,""en"",""fr"")"),"Le titre, ""Jump Rope Steffisburg"", apparaît à l'écran tandis que plusieurs personnes dans des chemises vertes courent derrière.")</f>
        <v>Le titre, "Jump Rope Steffisburg", apparaît à l'écran tandis que plusieurs personnes dans des chemises vertes courent derrière.</v>
      </c>
    </row>
    <row r="11418">
      <c r="A11418" s="4" t="s">
        <v>14357</v>
      </c>
      <c r="B11418" s="4" t="s">
        <v>14360</v>
      </c>
      <c r="C11418" s="5" t="str">
        <f>IFERROR(__xludf.DUMMYFUNCTION("GOOGLETRANSLATE(B11418,""en"",""fr"")"),"Deux jeunes femmes interprètent un saut périlleux.")</f>
        <v>Deux jeunes femmes interprètent un saut périlleux.</v>
      </c>
    </row>
    <row r="11419">
      <c r="A11419" s="4" t="s">
        <v>14357</v>
      </c>
      <c r="B11419" s="4" t="s">
        <v>14361</v>
      </c>
      <c r="C11419" s="5" t="str">
        <f>IFERROR(__xludf.DUMMYFUNCTION("GOOGLETRANSLATE(B11419,""en"",""fr"")"),"Un grand groupe de personnes en chemises vertes effectue diverses cascades de corde de saut dans un grand gymnase.")</f>
        <v>Un grand groupe de personnes en chemises vertes effectue diverses cascades de corde de saut dans un grand gymnase.</v>
      </c>
    </row>
    <row r="11420">
      <c r="A11420" s="4" t="s">
        <v>14357</v>
      </c>
      <c r="B11420" s="4" t="s">
        <v>14362</v>
      </c>
      <c r="C11420" s="5" t="str">
        <f>IFERROR(__xludf.DUMMYFUNCTION("GOOGLETRANSLATE(B11420,""en"",""fr"")"),"Quelqu'un ramasse une corde de saut jaune et noire du sol et s'en va avec.")</f>
        <v>Quelqu'un ramasse une corde de saut jaune et noire du sol et s'en va avec.</v>
      </c>
    </row>
    <row r="11421">
      <c r="A11421" s="4" t="s">
        <v>14363</v>
      </c>
      <c r="B11421" s="4" t="s">
        <v>14364</v>
      </c>
      <c r="C11421" s="5" t="str">
        <f>IFERROR(__xludf.DUMMYFUNCTION("GOOGLETRANSLATE(B11421,""en"",""fr"")"),"Un écran noir annonce la vidéo.")</f>
        <v>Un écran noir annonce la vidéo.</v>
      </c>
    </row>
    <row r="11422">
      <c r="A11422" s="4" t="s">
        <v>14363</v>
      </c>
      <c r="B11422" s="4" t="s">
        <v>14365</v>
      </c>
      <c r="C11422" s="5" t="str">
        <f>IFERROR(__xludf.DUMMYFUNCTION("GOOGLETRANSLATE(B11422,""en"",""fr"")"),"Un homme est montré allongé tandis que quelqu'un se rasage la barbe.")</f>
        <v>Un homme est montré allongé tandis que quelqu'un se rasage la barbe.</v>
      </c>
    </row>
    <row r="11423">
      <c r="A11423" s="4" t="s">
        <v>14363</v>
      </c>
      <c r="B11423" s="6" t="s">
        <v>14366</v>
      </c>
      <c r="C11423" s="5" t="str">
        <f>IFERROR(__xludf.DUMMYFUNCTION("GOOGLETRANSLATE(B11423,""en"",""fr"")"),"La lame est représentée très près de la peau alors que l'homme le rasage soigneusement, rinçant entre les raclures.")</f>
        <v>La lame est représentée très près de la peau alors que l'homme le rasage soigneusement, rinçant entre les raclures.</v>
      </c>
    </row>
    <row r="11424">
      <c r="A11424" s="4" t="s">
        <v>14363</v>
      </c>
      <c r="B11424" s="4" t="s">
        <v>14367</v>
      </c>
      <c r="C11424" s="5" t="str">
        <f>IFERROR(__xludf.DUMMYFUNCTION("GOOGLETRANSLATE(B11424,""en"",""fr"")"),"L'écran s'estompe en noir lorsque l'homme termine le rasage.")</f>
        <v>L'écran s'estompe en noir lorsque l'homme termine le rasage.</v>
      </c>
    </row>
    <row r="11425">
      <c r="A11425" s="4" t="s">
        <v>14368</v>
      </c>
      <c r="B11425" s="4" t="s">
        <v>14369</v>
      </c>
      <c r="C11425" s="5" t="str">
        <f>IFERROR(__xludf.DUMMYFUNCTION("GOOGLETRANSLATE(B11425,""en"",""fr"")"),"Deux hommes jouent au tennis de table dans une petite pièce.")</f>
        <v>Deux hommes jouent au tennis de table dans une petite pièce.</v>
      </c>
    </row>
    <row r="11426">
      <c r="A11426" s="4" t="s">
        <v>14368</v>
      </c>
      <c r="B11426" s="4" t="s">
        <v>14370</v>
      </c>
      <c r="C11426" s="5" t="str">
        <f>IFERROR(__xludf.DUMMYFUNCTION("GOOGLETRANSLATE(B11426,""en"",""fr"")"),"Un autre homme marche en arrière-plan.")</f>
        <v>Un autre homme marche en arrière-plan.</v>
      </c>
    </row>
    <row r="11427">
      <c r="A11427" s="4" t="s">
        <v>14371</v>
      </c>
      <c r="B11427" s="4" t="s">
        <v>14372</v>
      </c>
      <c r="C11427" s="5" t="str">
        <f>IFERROR(__xludf.DUMMYFUNCTION("GOOGLETRANSLATE(B11427,""en"",""fr"")"),"Un groupe de femmes se tient comme l'un d'eux est sur un chameau.")</f>
        <v>Un groupe de femmes se tient comme l'un d'eux est sur un chameau.</v>
      </c>
    </row>
    <row r="11428">
      <c r="A11428" s="4" t="s">
        <v>14371</v>
      </c>
      <c r="B11428" s="4" t="s">
        <v>14373</v>
      </c>
      <c r="C11428" s="5" t="str">
        <f>IFERROR(__xludf.DUMMYFUNCTION("GOOGLETRANSLATE(B11428,""en"",""fr"")"),"Le chameau se soulève et que les formateurs et les autres amis regardent.")</f>
        <v>Le chameau se soulève et que les formateurs et les autres amis regardent.</v>
      </c>
    </row>
    <row r="11429">
      <c r="A11429" s="4" t="s">
        <v>14371</v>
      </c>
      <c r="B11429" s="4" t="s">
        <v>14374</v>
      </c>
      <c r="C11429" s="5" t="str">
        <f>IFERROR(__xludf.DUMMYFUNCTION("GOOGLETRANSLATE(B11429,""en"",""fr"")"),"Ils semblent passer un bon moment alors que l'appareil photo recule pour les montrer tous.")</f>
        <v>Ils semblent passer un bon moment alors que l'appareil photo recule pour les montrer tous.</v>
      </c>
    </row>
    <row r="11430">
      <c r="A11430" s="4" t="s">
        <v>14371</v>
      </c>
      <c r="B11430" s="4" t="s">
        <v>14375</v>
      </c>
      <c r="C11430" s="5" t="str">
        <f>IFERROR(__xludf.DUMMYFUNCTION("GOOGLETRANSLATE(B11430,""en"",""fr"")"),"Ils avancent avec le chameau très lentement et la dame qui monte les vagues.")</f>
        <v>Ils avancent avec le chameau très lentement et la dame qui monte les vagues.</v>
      </c>
    </row>
    <row r="11431">
      <c r="A11431" s="4" t="s">
        <v>14371</v>
      </c>
      <c r="B11431" s="6" t="s">
        <v>14376</v>
      </c>
      <c r="C11431" s="5" t="str">
        <f>IFERROR(__xludf.DUMMYFUNCTION("GOOGLETRANSLATE(B11431,""en"",""fr"")"),"La vidéo coupe ensuite, montrant le chameau s'arrêter avant de descendre au sol pour laisser partir la femme.")</f>
        <v>La vidéo coupe ensuite, montrant le chameau s'arrêter avant de descendre au sol pour laisser partir la femme.</v>
      </c>
    </row>
    <row r="11432">
      <c r="A11432" s="4" t="s">
        <v>14371</v>
      </c>
      <c r="B11432" s="4" t="s">
        <v>14377</v>
      </c>
      <c r="C11432" s="5" t="str">
        <f>IFERROR(__xludf.DUMMYFUNCTION("GOOGLETRANSLATE(B11432,""en"",""fr"")"),"Elle le caresse et la vidéo se termine.")</f>
        <v>Elle le caresse et la vidéo se termine.</v>
      </c>
    </row>
    <row r="11433">
      <c r="A11433" s="4" t="s">
        <v>14378</v>
      </c>
      <c r="B11433" s="4" t="s">
        <v>14379</v>
      </c>
      <c r="C11433" s="5" t="str">
        <f>IFERROR(__xludf.DUMMYFUNCTION("GOOGLETRANSLATE(B11433,""en"",""fr"")"),"Les gars se tiennent près d'un stand.")</f>
        <v>Les gars se tiennent près d'un stand.</v>
      </c>
    </row>
    <row r="11434">
      <c r="A11434" s="4" t="s">
        <v>14378</v>
      </c>
      <c r="B11434" s="4" t="s">
        <v>14380</v>
      </c>
      <c r="C11434" s="5" t="str">
        <f>IFERROR(__xludf.DUMMYFUNCTION("GOOGLETRANSLATE(B11434,""en"",""fr"")"),"Un gars à cheval poursuit un bétail.")</f>
        <v>Un gars à cheval poursuit un bétail.</v>
      </c>
    </row>
    <row r="11435">
      <c r="A11435" s="4" t="s">
        <v>14378</v>
      </c>
      <c r="B11435" s="4" t="s">
        <v>14381</v>
      </c>
      <c r="C11435" s="5" t="str">
        <f>IFERROR(__xludf.DUMMYFUNCTION("GOOGLETRANSLATE(B11435,""en"",""fr"")"),"Le gars lasse le bétail et descend de son cheval pour attacher les jambes du bétail.")</f>
        <v>Le gars lasse le bétail et descend de son cheval pour attacher les jambes du bétail.</v>
      </c>
    </row>
    <row r="11436">
      <c r="A11436" s="4" t="s">
        <v>14378</v>
      </c>
      <c r="B11436" s="4" t="s">
        <v>14382</v>
      </c>
      <c r="C11436" s="5" t="str">
        <f>IFERROR(__xludf.DUMMYFUNCTION("GOOGLETRANSLATE(B11436,""en"",""fr"")"),"Deux hommes retirent la corde autour du cou et des jambes du bétail.")</f>
        <v>Deux hommes retirent la corde autour du cou et des jambes du bétail.</v>
      </c>
    </row>
    <row r="11437">
      <c r="A11437" s="4" t="s">
        <v>14378</v>
      </c>
      <c r="B11437" s="4" t="s">
        <v>14383</v>
      </c>
      <c r="C11437" s="5" t="str">
        <f>IFERROR(__xludf.DUMMYFUNCTION("GOOGLETRANSLATE(B11437,""en"",""fr"")"),"Le bétail s'élève et s'enfuit.")</f>
        <v>Le bétail s'élève et s'enfuit.</v>
      </c>
    </row>
    <row r="11438">
      <c r="A11438" s="4" t="s">
        <v>14384</v>
      </c>
      <c r="B11438" s="4" t="s">
        <v>14385</v>
      </c>
      <c r="C11438" s="5" t="str">
        <f>IFERROR(__xludf.DUMMYFUNCTION("GOOGLETRANSLATE(B11438,""en"",""fr"")"),"Une personne est vue en train de faire des marques sur un papier à l'aide d'un outil ainsi que d'un crayon.")</f>
        <v>Une personne est vue en train de faire des marques sur un papier à l'aide d'un outil ainsi que d'un crayon.</v>
      </c>
    </row>
    <row r="11439">
      <c r="A11439" s="4" t="s">
        <v>14384</v>
      </c>
      <c r="B11439" s="4" t="s">
        <v>14386</v>
      </c>
      <c r="C11439" s="5" t="str">
        <f>IFERROR(__xludf.DUMMYFUNCTION("GOOGLETRANSLATE(B11439,""en"",""fr"")"),"Il baise ensuite les outils à la place des trous et la caméra pousse dans la zone finie.")</f>
        <v>Il baise ensuite les outils à la place des trous et la caméra pousse dans la zone finie.</v>
      </c>
    </row>
    <row r="11440">
      <c r="A11440" s="4" t="s">
        <v>14384</v>
      </c>
      <c r="B11440" s="6" t="s">
        <v>14387</v>
      </c>
      <c r="C11440" s="5" t="str">
        <f>IFERROR(__xludf.DUMMYFUNCTION("GOOGLETRANSLATE(B11440,""en"",""fr"")"),"Il essuie ensuite la zone, mesure plus de zone, puis roulant le papier sur un outil.")</f>
        <v>Il essuie ensuite la zone, mesure plus de zone, puis roulant le papier sur un outil.</v>
      </c>
    </row>
    <row r="11441">
      <c r="A11441" s="4" t="s">
        <v>14384</v>
      </c>
      <c r="B11441" s="4" t="s">
        <v>14388</v>
      </c>
      <c r="C11441" s="5" t="str">
        <f>IFERROR(__xludf.DUMMYFUNCTION("GOOGLETRANSLATE(B11441,""en"",""fr"")"),"Enfin, il prend un objet pointu et l'exécute tout le long du papier.")</f>
        <v>Enfin, il prend un objet pointu et l'exécute tout le long du papier.</v>
      </c>
    </row>
    <row r="11442">
      <c r="A11442" s="4" t="s">
        <v>14389</v>
      </c>
      <c r="B11442" s="4" t="s">
        <v>14390</v>
      </c>
      <c r="C11442" s="5" t="str">
        <f>IFERROR(__xludf.DUMMYFUNCTION("GOOGLETRANSLATE(B11442,""en"",""fr"")"),"Une personne dans un cube de Rubik.")</f>
        <v>Une personne dans un cube de Rubik.</v>
      </c>
    </row>
    <row r="11443">
      <c r="A11443" s="4" t="s">
        <v>14389</v>
      </c>
      <c r="B11443" s="4" t="s">
        <v>14391</v>
      </c>
      <c r="C11443" s="5" t="str">
        <f>IFERROR(__xludf.DUMMYFUNCTION("GOOGLETRANSLATE(B11443,""en"",""fr"")"),"La personne commence à résoudre le cube de Rubik.")</f>
        <v>La personne commence à résoudre le cube de Rubik.</v>
      </c>
    </row>
    <row r="11444">
      <c r="A11444" s="4" t="s">
        <v>14389</v>
      </c>
      <c r="B11444" s="4" t="s">
        <v>14392</v>
      </c>
      <c r="C11444" s="5" t="str">
        <f>IFERROR(__xludf.DUMMYFUNCTION("GOOGLETRANSLATE(B11444,""en"",""fr"")"),"La personne place le cube de Rubik résolu sur le bureau et cliquez précipitamment quelque chose.")</f>
        <v>La personne place le cube de Rubik résolu sur le bureau et cliquez précipitamment quelque chose.</v>
      </c>
    </row>
    <row r="11445">
      <c r="A11445" s="4" t="s">
        <v>14389</v>
      </c>
      <c r="B11445" s="4" t="s">
        <v>14393</v>
      </c>
      <c r="C11445" s="5" t="str">
        <f>IFERROR(__xludf.DUMMYFUNCTION("GOOGLETRANSLATE(B11445,""en"",""fr"")"),"La personne montre son écran d'ordinateur.")</f>
        <v>La personne montre son écran d'ordinateur.</v>
      </c>
    </row>
    <row r="11446">
      <c r="A11446" s="4" t="s">
        <v>14389</v>
      </c>
      <c r="B11446" s="4" t="s">
        <v>14394</v>
      </c>
      <c r="C11446" s="5" t="str">
        <f>IFERROR(__xludf.DUMMYFUNCTION("GOOGLETRANSLATE(B11446,""en"",""fr"")"),"La personne ramasse le cube de Rubik et montre chaque visage du cube Rubik résolu.")</f>
        <v>La personne ramasse le cube de Rubik et montre chaque visage du cube Rubik résolu.</v>
      </c>
    </row>
    <row r="11447">
      <c r="A11447" s="4" t="s">
        <v>14395</v>
      </c>
      <c r="B11447" s="4" t="s">
        <v>14396</v>
      </c>
      <c r="C11447" s="5" t="str">
        <f>IFERROR(__xludf.DUMMYFUNCTION("GOOGLETRANSLATE(B11447,""en"",""fr"")"),"Le garçon est debout sous l'arbre avec des yeux bandés pour frapper la pinata mais l'a raté.")</f>
        <v>Le garçon est debout sous l'arbre avec des yeux bandés pour frapper la pinata mais l'a raté.</v>
      </c>
    </row>
    <row r="11448">
      <c r="A11448" s="4" t="s">
        <v>14395</v>
      </c>
      <c r="B11448" s="4" t="s">
        <v>14397</v>
      </c>
      <c r="C11448" s="5" t="str">
        <f>IFERROR(__xludf.DUMMYFUNCTION("GOOGLETRANSLATE(B11448,""en"",""fr"")"),"Un homme est venu vers lui et l'a aidé, le garçon a frappé la Pinata une fois.")</f>
        <v>Un homme est venu vers lui et l'a aidé, le garçon a frappé la Pinata une fois.</v>
      </c>
    </row>
    <row r="11449">
      <c r="A11449" s="4" t="s">
        <v>14395</v>
      </c>
      <c r="B11449" s="4" t="s">
        <v>14398</v>
      </c>
      <c r="C11449" s="5" t="str">
        <f>IFERROR(__xludf.DUMMYFUNCTION("GOOGLETRANSLATE(B11449,""en"",""fr"")"),"L'homme fait pivoter la petite fille puis a laissé marcher un peu et la fille a frappé la pinata.")</f>
        <v>L'homme fait pivoter la petite fille puis a laissé marcher un peu et la fille a frappé la pinata.</v>
      </c>
    </row>
    <row r="11450">
      <c r="A11450" s="4" t="s">
        <v>14395</v>
      </c>
      <c r="B11450" s="4" t="s">
        <v>14399</v>
      </c>
      <c r="C11450" s="5" t="str">
        <f>IFERROR(__xludf.DUMMYFUNCTION("GOOGLETRANSLATE(B11450,""en"",""fr"")"),"Un jeune homme a frappé l'annonce de la pinata que les enfants sont alignés pour prendre leur tour pour frapper la pinata.")</f>
        <v>Un jeune homme a frappé l'annonce de la pinata que les enfants sont alignés pour prendre leur tour pour frapper la pinata.</v>
      </c>
    </row>
    <row r="11451">
      <c r="A11451" s="4" t="s">
        <v>14400</v>
      </c>
      <c r="B11451" s="4" t="s">
        <v>14401</v>
      </c>
      <c r="C11451" s="5" t="str">
        <f>IFERROR(__xludf.DUMMYFUNCTION("GOOGLETRANSLATE(B11451,""en"",""fr"")"),"Un lutteur en mémoire marron provoque l'homme noir.")</f>
        <v>Un lutteur en mémoire marron provoque l'homme noir.</v>
      </c>
    </row>
    <row r="11452">
      <c r="A11452" s="4" t="s">
        <v>14400</v>
      </c>
      <c r="B11452" s="4" t="s">
        <v>14402</v>
      </c>
      <c r="C11452" s="5" t="str">
        <f>IFERROR(__xludf.DUMMYFUNCTION("GOOGLETRANSLATE(B11452,""en"",""fr"")"),"L'homme noir a attaqué l'autre lutteur mais il a été renversé.")</f>
        <v>L'homme noir a attaqué l'autre lutteur mais il a été renversé.</v>
      </c>
    </row>
    <row r="11453">
      <c r="A11453" s="4" t="s">
        <v>14400</v>
      </c>
      <c r="B11453" s="4" t="s">
        <v>14403</v>
      </c>
      <c r="C11453" s="5" t="str">
        <f>IFERROR(__xludf.DUMMYFUNCTION("GOOGLETRANSLATE(B11453,""en"",""fr"")"),"Le lutteur avec un mémoire marron portait l'homme noir et le claque sur le sol.")</f>
        <v>Le lutteur avec un mémoire marron portait l'homme noir et le claque sur le sol.</v>
      </c>
    </row>
    <row r="11454">
      <c r="A11454" s="4" t="s">
        <v>14404</v>
      </c>
      <c r="B11454" s="4" t="s">
        <v>14405</v>
      </c>
      <c r="C11454" s="5" t="str">
        <f>IFERROR(__xludf.DUMMYFUNCTION("GOOGLETRANSLATE(B11454,""en"",""fr"")"),"Il y a un homme assis avec le logo des Jeux olympiques derrière lui, parlant de sport.")</f>
        <v>Il y a un homme assis avec le logo des Jeux olympiques derrière lui, parlant de sport.</v>
      </c>
    </row>
    <row r="11455">
      <c r="A11455" s="4" t="s">
        <v>14404</v>
      </c>
      <c r="B11455" s="4" t="s">
        <v>14406</v>
      </c>
      <c r="C11455" s="5" t="str">
        <f>IFERROR(__xludf.DUMMYFUNCTION("GOOGLETRANSLATE(B11455,""en"",""fr"")"),"Une photographie de groupe de nombreuses personnes de groupes d'âge différents est montrée.")</f>
        <v>Une photographie de groupe de nombreuses personnes de groupes d'âge différents est montrée.</v>
      </c>
    </row>
    <row r="11456">
      <c r="A11456" s="4" t="s">
        <v>14404</v>
      </c>
      <c r="B11456" s="6" t="s">
        <v>14407</v>
      </c>
      <c r="C11456" s="5" t="str">
        <f>IFERROR(__xludf.DUMMYFUNCTION("GOOGLETRANSLATE(B11456,""en"",""fr"")"),"Il y a des gens qui jouent au beach vol à la volée dans le sable par une journée ensoleillée avec plusieurs personnes les regardant.")</f>
        <v>Il y a des gens qui jouent au beach vol à la volée dans le sable par une journée ensoleillée avec plusieurs personnes les regardant.</v>
      </c>
    </row>
    <row r="11457">
      <c r="A11457" s="4" t="s">
        <v>14404</v>
      </c>
      <c r="B11457" s="4" t="s">
        <v>14408</v>
      </c>
      <c r="C11457" s="5" t="str">
        <f>IFERROR(__xludf.DUMMYFUNCTION("GOOGLETRANSLATE(B11457,""en"",""fr"")"),"L'un des joueurs frappe le ballon à son adversaire en le frappant avec son poing.")</f>
        <v>L'un des joueurs frappe le ballon à son adversaire en le frappant avec son poing.</v>
      </c>
    </row>
    <row r="11458">
      <c r="A11458" s="4" t="s">
        <v>14404</v>
      </c>
      <c r="B11458" s="4" t="s">
        <v>14409</v>
      </c>
      <c r="C11458" s="5" t="str">
        <f>IFERROR(__xludf.DUMMYFUNCTION("GOOGLETRANSLATE(B11458,""en"",""fr"")"),"Un autre joueur renvoie le ballon en le donnant un coup de pied à travers le filet.")</f>
        <v>Un autre joueur renvoie le ballon en le donnant un coup de pied à travers le filet.</v>
      </c>
    </row>
    <row r="11459">
      <c r="A11459" s="4" t="s">
        <v>14404</v>
      </c>
      <c r="B11459" s="4" t="s">
        <v>14410</v>
      </c>
      <c r="C11459" s="5" t="str">
        <f>IFERROR(__xludf.DUMMYFUNCTION("GOOGLETRANSLATE(B11459,""en"",""fr"")"),"Les joueurs continuent de jouer au jeu en frappant le ballon à travers le filet.")</f>
        <v>Les joueurs continuent de jouer au jeu en frappant le ballon à travers le filet.</v>
      </c>
    </row>
    <row r="11460">
      <c r="A11460" s="4" t="s">
        <v>14411</v>
      </c>
      <c r="B11460" s="6" t="s">
        <v>14412</v>
      </c>
      <c r="C11460" s="5" t="str">
        <f>IFERROR(__xludf.DUMMYFUNCTION("GOOGLETRANSLATE(B11460,""en"",""fr"")"),"Un champ ouvert est recouvert de neige, puis soudain, un grand ours apparaît sur une table et est ensuite mis dans une boîte.")</f>
        <v>Un champ ouvert est recouvert de neige, puis soudain, un grand ours apparaît sur une table et est ensuite mis dans une boîte.</v>
      </c>
    </row>
    <row r="11461">
      <c r="A11461" s="4" t="s">
        <v>14411</v>
      </c>
      <c r="B11461" s="4" t="s">
        <v>14413</v>
      </c>
      <c r="C11461" s="5" t="str">
        <f>IFERROR(__xludf.DUMMYFUNCTION("GOOGLETRANSLATE(B11461,""en"",""fr"")"),"Martha Stewart commence alors à enregistrer la boîte.")</f>
        <v>Martha Stewart commence alors à enregistrer la boîte.</v>
      </c>
    </row>
    <row r="11462">
      <c r="A11462" s="4" t="s">
        <v>14411</v>
      </c>
      <c r="B11462" s="6" t="s">
        <v>14414</v>
      </c>
      <c r="C11462" s="5" t="str">
        <f>IFERROR(__xludf.DUMMYFUNCTION("GOOGLETRANSLATE(B11462,""en"",""fr"")"),"La boîte est ensuite placée sur le dessus du comptoir et le papier d'emballage est placé aux deux extrémités à environ six pouces vers le haut de la boîte.")</f>
        <v>La boîte est ensuite placée sur le dessus du comptoir et le papier d'emballage est placé aux deux extrémités à environ six pouces vers le haut de la boîte.</v>
      </c>
    </row>
    <row r="11463">
      <c r="A11463" s="4" t="s">
        <v>14411</v>
      </c>
      <c r="B11463" s="4" t="s">
        <v>14415</v>
      </c>
      <c r="C11463" s="5" t="str">
        <f>IFERROR(__xludf.DUMMYFUNCTION("GOOGLETRANSLATE(B11463,""en"",""fr"")"),"Plus de papier d'emballage est ensuite retiré et enroulé autour de la boîte maintenant couverte au centre.")</f>
        <v>Plus de papier d'emballage est ensuite retiré et enroulé autour de la boîte maintenant couverte au centre.</v>
      </c>
    </row>
    <row r="11464">
      <c r="A11464" s="4" t="s">
        <v>14411</v>
      </c>
      <c r="B11464" s="4" t="s">
        <v>14416</v>
      </c>
      <c r="C11464" s="5" t="str">
        <f>IFERROR(__xludf.DUMMYFUNCTION("GOOGLETRANSLATE(B11464,""en"",""fr"")"),"Après avoir été collés, plusieurs arcs de paillettes rouges sont placés sur le dessus du papier d'emballage.")</f>
        <v>Après avoir été collés, plusieurs arcs de paillettes rouges sont placés sur le dessus du papier d'emballage.</v>
      </c>
    </row>
    <row r="11465">
      <c r="A11465" s="4" t="s">
        <v>14411</v>
      </c>
      <c r="B11465" s="4" t="s">
        <v>14417</v>
      </c>
      <c r="C11465" s="5" t="str">
        <f>IFERROR(__xludf.DUMMYFUNCTION("GOOGLETRANSLATE(B11465,""en"",""fr"")"),"Sur le comptoir, apparaît plusieurs autres rangées de papier et de tubes de rap.")</f>
        <v>Sur le comptoir, apparaît plusieurs autres rangées de papier et de tubes de rap.</v>
      </c>
    </row>
    <row r="11466">
      <c r="A11466" s="4" t="s">
        <v>14411</v>
      </c>
      <c r="B11466" s="4" t="s">
        <v>14418</v>
      </c>
      <c r="C11466" s="5" t="str">
        <f>IFERROR(__xludf.DUMMYFUNCTION("GOOGLETRANSLATE(B11466,""en"",""fr"")"),"Les chaussettes sont ensuite placées dans un tube et recouvertes du papier d'emballage argenté.")</f>
        <v>Les chaussettes sont ensuite placées dans un tube et recouvertes du papier d'emballage argenté.</v>
      </c>
    </row>
    <row r="11467">
      <c r="A11467" s="4" t="s">
        <v>14411</v>
      </c>
      <c r="B11467" s="6" t="s">
        <v>14419</v>
      </c>
      <c r="C11467" s="5" t="str">
        <f>IFERROR(__xludf.DUMMYFUNCTION("GOOGLETRANSLATE(B11467,""en"",""fr"")"),"La femme prend ensuite un objet de forme circulaire et le retrace avec un crayon et fait des gribouillis au milieu.")</f>
        <v>La femme prend ensuite un objet de forme circulaire et le retrace avec un crayon et fait des gribouillis au milieu.</v>
      </c>
    </row>
    <row r="11468">
      <c r="A11468" s="4" t="s">
        <v>14411</v>
      </c>
      <c r="B11468" s="6" t="s">
        <v>14420</v>
      </c>
      <c r="C11468" s="5" t="str">
        <f>IFERROR(__xludf.DUMMYFUNCTION("GOOGLETRANSLATE(B11468,""en"",""fr"")"),"Après leur découpe, ils sont placés à l'extrémité des tubes et empilés ensemble pour donner l'illusion de bois de feu.")</f>
        <v>Après leur découpe, ils sont placés à l'extrémité des tubes et empilés ensemble pour donner l'illusion de bois de feu.</v>
      </c>
    </row>
    <row r="11469">
      <c r="A11469" s="4" t="s">
        <v>14421</v>
      </c>
      <c r="B11469" s="6" t="s">
        <v>14422</v>
      </c>
      <c r="C11469" s="5" t="str">
        <f>IFERROR(__xludf.DUMMYFUNCTION("GOOGLETRANSLATE(B11469,""en"",""fr"")"),"Un groupe d'enfants se lance des balles les uns sur les autres dans une salle gonflable où les sols sont des plates-formes de rebond gonflables.")</f>
        <v>Un groupe d'enfants se lance des balles les uns sur les autres dans une salle gonflable où les sols sont des plates-formes de rebond gonflables.</v>
      </c>
    </row>
    <row r="11470">
      <c r="A11470" s="4" t="s">
        <v>14421</v>
      </c>
      <c r="B11470" s="6" t="s">
        <v>14423</v>
      </c>
      <c r="C11470" s="5" t="str">
        <f>IFERROR(__xludf.DUMMYFUNCTION("GOOGLETRANSLATE(B11470,""en"",""fr"")"),"Les enfants sur le côté droit de la pièce lancent des boules sur les enfants sur le côté gauche de la pièce alors que les balles volent sur le côté du tapis dans le but de les frapper.")</f>
        <v>Les enfants sur le côté droit de la pièce lancent des boules sur les enfants sur le côté gauche de la pièce alors que les balles volent sur le côté du tapis dans le but de les frapper.</v>
      </c>
    </row>
    <row r="11471">
      <c r="A11471" s="4" t="s">
        <v>14421</v>
      </c>
      <c r="B11471" s="6" t="s">
        <v>14424</v>
      </c>
      <c r="C11471" s="5" t="str">
        <f>IFERROR(__xludf.DUMMYFUNCTION("GOOGLETRANSLATE(B11471,""en"",""fr"")"),"Les enfants se lancent et esquivent avec un enfant dans un t-shirt bleu se retirant dans le coin le plus loin de la salle de rebond pour essayer d'éviter une balle qui vient le lancer de l'autre côté.")</f>
        <v>Les enfants se lancent et esquivent avec un enfant dans un t-shirt bleu se retirant dans le coin le plus loin de la salle de rebond pour essayer d'éviter une balle qui vient le lancer de l'autre côté.</v>
      </c>
    </row>
    <row r="11472">
      <c r="A11472" s="4" t="s">
        <v>14425</v>
      </c>
      <c r="B11472" s="4" t="s">
        <v>14426</v>
      </c>
      <c r="C11472" s="5" t="str">
        <f>IFERROR(__xludf.DUMMYFUNCTION("GOOGLETRANSLATE(B11472,""en"",""fr"")"),"Un jeune enfant est vu en train de nettoyer un sol avec une vadrouille et se déplacer dans toutes les zones de la pièce.")</f>
        <v>Un jeune enfant est vu en train de nettoyer un sol avec une vadrouille et se déplacer dans toutes les zones de la pièce.</v>
      </c>
    </row>
    <row r="11473">
      <c r="A11473" s="4" t="s">
        <v>14425</v>
      </c>
      <c r="B11473" s="4" t="s">
        <v>14427</v>
      </c>
      <c r="C11473" s="5" t="str">
        <f>IFERROR(__xludf.DUMMYFUNCTION("GOOGLETRANSLATE(B11473,""en"",""fr"")"),"Il s'arrête pour jouer un peu avec la vadrouille et repousse une boîte sous un stand.")</f>
        <v>Il s'arrête pour jouer un peu avec la vadrouille et repousse une boîte sous un stand.</v>
      </c>
    </row>
    <row r="11474">
      <c r="A11474" s="4" t="s">
        <v>14428</v>
      </c>
      <c r="B11474" s="4" t="s">
        <v>14429</v>
      </c>
      <c r="C11474" s="5" t="str">
        <f>IFERROR(__xludf.DUMMYFUNCTION("GOOGLETRANSLATE(B11474,""en"",""fr"")"),"Une femme en chemise noire danse dans une pièce.")</f>
        <v>Une femme en chemise noire danse dans une pièce.</v>
      </c>
    </row>
    <row r="11475">
      <c r="A11475" s="4" t="s">
        <v>14428</v>
      </c>
      <c r="B11475" s="4" t="s">
        <v>14430</v>
      </c>
      <c r="C11475" s="5" t="str">
        <f>IFERROR(__xludf.DUMMYFUNCTION("GOOGLETRANSLATE(B11475,""en"",""fr"")"),"Un petit chien sur le sol à côté de ses montres.")</f>
        <v>Un petit chien sur le sol à côté de ses montres.</v>
      </c>
    </row>
    <row r="11476">
      <c r="A11476" s="4" t="s">
        <v>14428</v>
      </c>
      <c r="B11476" s="4" t="s">
        <v>14431</v>
      </c>
      <c r="C11476" s="5" t="str">
        <f>IFERROR(__xludf.DUMMYFUNCTION("GOOGLETRANSLATE(B11476,""en"",""fr"")"),"Elle applaudit ses mains à la fin.")</f>
        <v>Elle applaudit ses mains à la fin.</v>
      </c>
    </row>
    <row r="11477">
      <c r="A11477" s="4" t="s">
        <v>14432</v>
      </c>
      <c r="B11477" s="4" t="s">
        <v>14433</v>
      </c>
      <c r="C11477" s="5" t="str">
        <f>IFERROR(__xludf.DUMMYFUNCTION("GOOGLETRANSLATE(B11477,""en"",""fr"")"),"Un groupe de personnes va dans un bowling et échoue hilarante.")</f>
        <v>Un groupe de personnes va dans un bowling et échoue hilarante.</v>
      </c>
    </row>
    <row r="11478">
      <c r="A11478" s="4" t="s">
        <v>14432</v>
      </c>
      <c r="B11478" s="4" t="s">
        <v>14434</v>
      </c>
      <c r="C11478" s="5" t="str">
        <f>IFERROR(__xludf.DUMMYFUNCTION("GOOGLETRANSLATE(B11478,""en"",""fr"")"),"Une femme parle aux épingles et détermine comment les épingles sont installées et remplacées.")</f>
        <v>Une femme parle aux épingles et détermine comment les épingles sont installées et remplacées.</v>
      </c>
    </row>
    <row r="11479">
      <c r="A11479" s="4" t="s">
        <v>14435</v>
      </c>
      <c r="B11479" s="6" t="s">
        <v>14436</v>
      </c>
      <c r="C11479" s="5" t="str">
        <f>IFERROR(__xludf.DUMMYFUNCTION("GOOGLETRANSLATE(B11479,""en"",""fr"")"),"Un petit groupe de personnes est vue assise autour d'une table qui se parle en utilisant un stylo narguilé et vapeur en même temps.")</f>
        <v>Un petit groupe de personnes est vue assise autour d'une table qui se parle en utilisant un stylo narguilé et vapeur en même temps.</v>
      </c>
    </row>
    <row r="11480">
      <c r="A11480" s="4" t="s">
        <v>14435</v>
      </c>
      <c r="B11480" s="6" t="s">
        <v>14437</v>
      </c>
      <c r="C11480" s="5" t="str">
        <f>IFERROR(__xludf.DUMMYFUNCTION("GOOGLETRANSLATE(B11480,""en"",""fr"")"),"Les hommes continuent de fumer et de regarder dans la caméra quand on commence à montrer son corps et à se placer dans la pièce.")</f>
        <v>Les hommes continuent de fumer et de regarder dans la caméra quand on commence à montrer son corps et à se placer dans la pièce.</v>
      </c>
    </row>
    <row r="11481">
      <c r="A11481" s="4" t="s">
        <v>14438</v>
      </c>
      <c r="B11481" s="6" t="s">
        <v>14439</v>
      </c>
      <c r="C11481" s="5" t="str">
        <f>IFERROR(__xludf.DUMMYFUNCTION("GOOGLETRANSLATE(B11481,""en"",""fr"")"),"Un tutoriel sur la façon d'envelopper un cadeau, vous mettez d'abord suffisamment de papier d'emballage et placez le cadeau dessus pour vous assurer qu'il est d'une taille décente.")</f>
        <v>Un tutoriel sur la façon d'envelopper un cadeau, vous mettez d'abord suffisamment de papier d'emballage et placez le cadeau dessus pour vous assurer qu'il est d'une taille décente.</v>
      </c>
    </row>
    <row r="11482">
      <c r="A11482" s="4" t="s">
        <v>14438</v>
      </c>
      <c r="B11482" s="4" t="s">
        <v>14440</v>
      </c>
      <c r="C11482" s="5" t="str">
        <f>IFERROR(__xludf.DUMMYFUNCTION("GOOGLETRANSLATE(B11482,""en"",""fr"")"),"Ensuite, vous pliez l'un des coins du papier d'emballage en triangles et appuyez à plusieurs reprises.")</f>
        <v>Ensuite, vous pliez l'un des coins du papier d'emballage en triangles et appuyez à plusieurs reprises.</v>
      </c>
    </row>
    <row r="11483">
      <c r="A11483" s="4" t="s">
        <v>14438</v>
      </c>
      <c r="B11483" s="4" t="s">
        <v>14441</v>
      </c>
      <c r="C11483" s="5" t="str">
        <f>IFERROR(__xludf.DUMMYFUNCTION("GOOGLETRANSLATE(B11483,""en"",""fr"")"),"Vous couperiez ensuite les bords et le ruban adhésif à l'extérieur de l'emballage pour qu'il colle.")</f>
        <v>Vous couperiez ensuite les bords et le ruban adhésif à l'extérieur de l'emballage pour qu'il colle.</v>
      </c>
    </row>
    <row r="11484">
      <c r="A11484" s="4" t="s">
        <v>14438</v>
      </c>
      <c r="B11484" s="6" t="s">
        <v>14442</v>
      </c>
      <c r="C11484" s="5" t="str">
        <f>IFERROR(__xludf.DUMMYFUNCTION("GOOGLETRANSLATE(B11484,""en"",""fr"")"),"Enfin, vous mettez le cadeau à l'intérieur du papier et pliez bien le papier autour de lui et le basez bien et vous avez un cadeau assez emballé.")</f>
        <v>Enfin, vous mettez le cadeau à l'intérieur du papier et pliez bien le papier autour de lui et le basez bien et vous avez un cadeau assez emballé.</v>
      </c>
    </row>
    <row r="11485">
      <c r="A11485" s="4" t="s">
        <v>14443</v>
      </c>
      <c r="B11485" s="6" t="s">
        <v>14444</v>
      </c>
      <c r="C11485" s="5" t="str">
        <f>IFERROR(__xludf.DUMMYFUNCTION("GOOGLETRANSLATE(B11485,""en"",""fr"")"),"Diverses images d'hommes sont présentées au début de la vidéo suivie de plusieurs lignes de texte indiquées.")</f>
        <v>Diverses images d'hommes sont présentées au début de la vidéo suivie de plusieurs lignes de texte indiquées.</v>
      </c>
    </row>
    <row r="11486">
      <c r="A11486" s="4" t="s">
        <v>14443</v>
      </c>
      <c r="B11486" s="4" t="s">
        <v>14445</v>
      </c>
      <c r="C11486" s="5" t="str">
        <f>IFERROR(__xludf.DUMMYFUNCTION("GOOGLETRANSLATE(B11486,""en"",""fr"")"),"Les hommes sont ensuite vus donner des coups de pied au football dans un but pendant qu'ils sauvent certains et les blocs de gardien de but.")</f>
        <v>Les hommes sont ensuite vus donner des coups de pied au football dans un but pendant qu'ils sauvent certains et les blocs de gardien de but.</v>
      </c>
    </row>
    <row r="11487">
      <c r="A11487" s="4" t="s">
        <v>14446</v>
      </c>
      <c r="B11487" s="6" t="s">
        <v>14447</v>
      </c>
      <c r="C11487" s="5" t="str">
        <f>IFERROR(__xludf.DUMMYFUNCTION("GOOGLETRANSLATE(B11487,""en"",""fr"")"),"Un homme est vu jouer un violon tandis que la caméra se met tout autour de lui en bougeant les bras de haut en bas.")</f>
        <v>Un homme est vu jouer un violon tandis que la caméra se met tout autour de lui en bougeant les bras de haut en bas.</v>
      </c>
    </row>
    <row r="11488">
      <c r="A11488" s="4" t="s">
        <v>14446</v>
      </c>
      <c r="B11488" s="6" t="s">
        <v>14448</v>
      </c>
      <c r="C11488" s="5" t="str">
        <f>IFERROR(__xludf.DUMMYFUNCTION("GOOGLETRANSLATE(B11488,""en"",""fr"")"),"L'homme continue de jouer tandis que d'autres jouent derrière lui et le violoniste jouant et regardant le public.")</f>
        <v>L'homme continue de jouer tandis que d'autres jouent derrière lui et le violoniste jouant et regardant le public.</v>
      </c>
    </row>
    <row r="11489">
      <c r="A11489" s="4" t="s">
        <v>14449</v>
      </c>
      <c r="B11489" s="6" t="s">
        <v>14450</v>
      </c>
      <c r="C11489" s="5" t="str">
        <f>IFERROR(__xludf.DUMMYFUNCTION("GOOGLETRANSLATE(B11489,""en"",""fr"")"),"Un groupe de personnes est vu jouer à un jeu de football dans un champ intérieur tandis qu'un groupe de personnes regarde sur les côtés.")</f>
        <v>Un groupe de personnes est vu jouer à un jeu de football dans un champ intérieur tandis qu'un groupe de personnes regarde sur les côtés.</v>
      </c>
    </row>
    <row r="11490">
      <c r="A11490" s="4" t="s">
        <v>14449</v>
      </c>
      <c r="B11490" s="6" t="s">
        <v>14451</v>
      </c>
      <c r="C11490" s="5" t="str">
        <f>IFERROR(__xludf.DUMMYFUNCTION("GOOGLETRANSLATE(B11490,""en"",""fr"")"),"Les gens montrés en combat dans les tribunes et les joueurs se promènent en regardant le combat et les ambulanciers paramédicaux emmènent un homme.")</f>
        <v>Les gens montrés en combat dans les tribunes et les joueurs se promènent en regardant le combat et les ambulanciers paramédicaux emmènent un homme.</v>
      </c>
    </row>
    <row r="11491">
      <c r="A11491" s="4" t="s">
        <v>14452</v>
      </c>
      <c r="B11491" s="4" t="s">
        <v>14453</v>
      </c>
      <c r="C11491" s="5" t="str">
        <f>IFERROR(__xludf.DUMMYFUNCTION("GOOGLETRANSLATE(B11491,""en"",""fr"")"),"Un écran avec du texte donne les détails d'un événement.")</f>
        <v>Un écran avec du texte donne les détails d'un événement.</v>
      </c>
    </row>
    <row r="11492">
      <c r="A11492" s="4" t="s">
        <v>14452</v>
      </c>
      <c r="B11492" s="4" t="s">
        <v>14454</v>
      </c>
      <c r="C11492" s="5" t="str">
        <f>IFERROR(__xludf.DUMMYFUNCTION("GOOGLETRANSLATE(B11492,""en"",""fr"")"),"Les visages garçons sont vus de près dans une expression faciale intense.")</f>
        <v>Les visages garçons sont vus de près dans une expression faciale intense.</v>
      </c>
    </row>
    <row r="11493">
      <c r="A11493" s="4" t="s">
        <v>14452</v>
      </c>
      <c r="B11493" s="4" t="s">
        <v>14455</v>
      </c>
      <c r="C11493" s="5" t="str">
        <f>IFERROR(__xludf.DUMMYFUNCTION("GOOGLETRANSLATE(B11493,""en"",""fr"")"),"Deux garçons jouent un jeu intense de soccer de table.")</f>
        <v>Deux garçons jouent un jeu intense de soccer de table.</v>
      </c>
    </row>
    <row r="11494">
      <c r="A11494" s="4" t="s">
        <v>14452</v>
      </c>
      <c r="B11494" s="4" t="s">
        <v>14456</v>
      </c>
      <c r="C11494" s="5" t="str">
        <f>IFERROR(__xludf.DUMMYFUNCTION("GOOGLETRANSLATE(B11494,""en"",""fr"")"),"Le garçon remporte le jeu et l'autre le frappe avec une poignée du jeu de tennis de table.")</f>
        <v>Le garçon remporte le jeu et l'autre le frappe avec une poignée du jeu de tennis de table.</v>
      </c>
    </row>
    <row r="11495">
      <c r="A11495" s="4" t="s">
        <v>14457</v>
      </c>
      <c r="B11495" s="4" t="s">
        <v>14458</v>
      </c>
      <c r="C11495" s="5" t="str">
        <f>IFERROR(__xludf.DUMMYFUNCTION("GOOGLETRANSLATE(B11495,""en"",""fr"")"),"Un homme est dans sa cour avant en train de tondre sa pelouse.")</f>
        <v>Un homme est dans sa cour avant en train de tondre sa pelouse.</v>
      </c>
    </row>
    <row r="11496">
      <c r="A11496" s="4" t="s">
        <v>14457</v>
      </c>
      <c r="B11496" s="4" t="s">
        <v>14459</v>
      </c>
      <c r="C11496" s="5" t="str">
        <f>IFERROR(__xludf.DUMMYFUNCTION("GOOGLETRANSLATE(B11496,""en"",""fr"")"),"La vidéo le montre ensuite tondre la pelouse dans un endroit différent du premier emplacement.")</f>
        <v>La vidéo le montre ensuite tondre la pelouse dans un endroit différent du premier emplacement.</v>
      </c>
    </row>
    <row r="11497">
      <c r="A11497" s="4" t="s">
        <v>14460</v>
      </c>
      <c r="B11497" s="6" t="s">
        <v>14461</v>
      </c>
      <c r="C11497" s="5" t="str">
        <f>IFERROR(__xludf.DUMMYFUNCTION("GOOGLETRANSLATE(B11497,""en"",""fr"")"),"Un homme est vu parler à la caméra tout en se tenant derrière un ensemble de poids et en pointant son corps.")</f>
        <v>Un homme est vu parler à la caméra tout en se tenant derrière un ensemble de poids et en pointant son corps.</v>
      </c>
    </row>
    <row r="11498">
      <c r="A11498" s="4" t="s">
        <v>14460</v>
      </c>
      <c r="B11498" s="4" t="s">
        <v>14462</v>
      </c>
      <c r="C11498" s="5" t="str">
        <f>IFERROR(__xludf.DUMMYFUNCTION("GOOGLETRANSLATE(B11498,""en"",""fr"")"),"L'homme se penche ensuite et attrape la barre tout en parlant à la caméra.")</f>
        <v>L'homme se penche ensuite et attrape la barre tout en parlant à la caméra.</v>
      </c>
    </row>
    <row r="11499">
      <c r="A11499" s="4" t="s">
        <v>14460</v>
      </c>
      <c r="B11499" s="4" t="s">
        <v>14463</v>
      </c>
      <c r="C11499" s="5" t="str">
        <f>IFERROR(__xludf.DUMMYFUNCTION("GOOGLETRANSLATE(B11499,""en"",""fr"")"),"L'homme soulève la barre puis redescendit tout en parlant à la caméra.")</f>
        <v>L'homme soulève la barre puis redescendit tout en parlant à la caméra.</v>
      </c>
    </row>
    <row r="11500">
      <c r="A11500" s="4" t="s">
        <v>14464</v>
      </c>
      <c r="B11500" s="4" t="s">
        <v>14465</v>
      </c>
      <c r="C11500" s="5" t="str">
        <f>IFERROR(__xludf.DUMMYFUNCTION("GOOGLETRANSLATE(B11500,""en"",""fr"")"),"Un homme en smoking blanc est conduit à une pinata par une femme en robe de mariée.")</f>
        <v>Un homme en smoking blanc est conduit à une pinata par une femme en robe de mariée.</v>
      </c>
    </row>
    <row r="11501">
      <c r="A11501" s="4" t="s">
        <v>14464</v>
      </c>
      <c r="B11501" s="4" t="s">
        <v>14466</v>
      </c>
      <c r="C11501" s="5" t="str">
        <f>IFERROR(__xludf.DUMMYFUNCTION("GOOGLETRANSLATE(B11501,""en"",""fr"")"),"Il frappe à la pinata qui continue de monter et descendre.")</f>
        <v>Il frappe à la pinata qui continue de monter et descendre.</v>
      </c>
    </row>
    <row r="11502">
      <c r="A11502" s="4" t="s">
        <v>14467</v>
      </c>
      <c r="B11502" s="4" t="s">
        <v>14468</v>
      </c>
      <c r="C11502" s="5" t="str">
        <f>IFERROR(__xludf.DUMMYFUNCTION("GOOGLETRANSLATE(B11502,""en"",""fr"")"),"Un homme travaille dans un magasin.")</f>
        <v>Un homme travaille dans un magasin.</v>
      </c>
    </row>
    <row r="11503">
      <c r="A11503" s="4" t="s">
        <v>14467</v>
      </c>
      <c r="B11503" s="4" t="s">
        <v>14469</v>
      </c>
      <c r="C11503" s="5" t="str">
        <f>IFERROR(__xludf.DUMMYFUNCTION("GOOGLETRANSLATE(B11503,""en"",""fr"")"),"Il roule un pneu sur un équipement.")</f>
        <v>Il roule un pneu sur un équipement.</v>
      </c>
    </row>
    <row r="11504">
      <c r="A11504" s="4" t="s">
        <v>14467</v>
      </c>
      <c r="B11504" s="4" t="s">
        <v>14470</v>
      </c>
      <c r="C11504" s="5" t="str">
        <f>IFERROR(__xludf.DUMMYFUNCTION("GOOGLETRANSLATE(B11504,""en"",""fr"")"),"Il montre comment monter le pneu sur l'équipement.")</f>
        <v>Il montre comment monter le pneu sur l'équipement.</v>
      </c>
    </row>
    <row r="11505">
      <c r="A11505" s="4" t="s">
        <v>14471</v>
      </c>
      <c r="B11505" s="4" t="s">
        <v>14472</v>
      </c>
      <c r="C11505" s="5" t="str">
        <f>IFERROR(__xludf.DUMMYFUNCTION("GOOGLETRANSLATE(B11505,""en"",""fr"")"),"Une femme parle dans un bureau.")</f>
        <v>Une femme parle dans un bureau.</v>
      </c>
    </row>
    <row r="11506">
      <c r="A11506" s="4" t="s">
        <v>14471</v>
      </c>
      <c r="B11506" s="4" t="s">
        <v>14473</v>
      </c>
      <c r="C11506" s="5" t="str">
        <f>IFERROR(__xludf.DUMMYFUNCTION("GOOGLETRANSLATE(B11506,""en"",""fr"")"),"On lui montre un traitement facial à une femme plus âgée.")</f>
        <v>On lui montre un traitement facial à une femme plus âgée.</v>
      </c>
    </row>
    <row r="11507">
      <c r="A11507" s="4" t="s">
        <v>14471</v>
      </c>
      <c r="B11507" s="4" t="s">
        <v>14474</v>
      </c>
      <c r="C11507" s="5" t="str">
        <f>IFERROR(__xludf.DUMMYFUNCTION("GOOGLETRANSLATE(B11507,""en"",""fr"")"),"Elle s'essuie face cachée de substances et de lotions.")</f>
        <v>Elle s'essuie face cachée de substances et de lotions.</v>
      </c>
    </row>
    <row r="11508">
      <c r="A11508" s="4" t="s">
        <v>14475</v>
      </c>
      <c r="B11508" s="4" t="s">
        <v>14476</v>
      </c>
      <c r="C11508" s="5" t="str">
        <f>IFERROR(__xludf.DUMMYFUNCTION("GOOGLETRANSLATE(B11508,""en"",""fr"")"),"Une femme en robe noire joue une pipe à sac sur scène.")</f>
        <v>Une femme en robe noire joue une pipe à sac sur scène.</v>
      </c>
    </row>
    <row r="11509">
      <c r="A11509" s="4" t="s">
        <v>14475</v>
      </c>
      <c r="B11509" s="4" t="s">
        <v>14477</v>
      </c>
      <c r="C11509" s="5" t="str">
        <f>IFERROR(__xludf.DUMMYFUNCTION("GOOGLETRANSLATE(B11509,""en"",""fr"")"),"Le mot ""Ilbo"" est dans une police rouge et fait défiler vers le bas sur le côté gauche de l'écran.")</f>
        <v>Le mot "Ilbo" est dans une police rouge et fait défiler vers le bas sur le côté gauche de l'écran.</v>
      </c>
    </row>
    <row r="11510">
      <c r="A11510" s="4" t="s">
        <v>14475</v>
      </c>
      <c r="B11510" s="4" t="s">
        <v>14478</v>
      </c>
      <c r="C11510" s="5" t="str">
        <f>IFERROR(__xludf.DUMMYFUNCTION("GOOGLETRANSLATE(B11510,""en"",""fr"")"),"La caméra zoome sur les doigts de la femme.")</f>
        <v>La caméra zoome sur les doigts de la femme.</v>
      </c>
    </row>
    <row r="11511">
      <c r="A11511" s="4" t="s">
        <v>14475</v>
      </c>
      <c r="B11511" s="4" t="s">
        <v>14479</v>
      </c>
      <c r="C11511" s="5" t="str">
        <f>IFERROR(__xludf.DUMMYFUNCTION("GOOGLETRANSLATE(B11511,""en"",""fr"")"),"La caméra se déplace vers quelqu'un qui joue un piano.")</f>
        <v>La caméra se déplace vers quelqu'un qui joue un piano.</v>
      </c>
    </row>
    <row r="11512">
      <c r="A11512" s="4" t="s">
        <v>14475</v>
      </c>
      <c r="B11512" s="4" t="s">
        <v>14480</v>
      </c>
      <c r="C11512" s="5" t="str">
        <f>IFERROR(__xludf.DUMMYFUNCTION("GOOGLETRANSLATE(B11512,""en"",""fr"")"),"Un groupe joue également des instruments de musique en arrière-plan.")</f>
        <v>Un groupe joue également des instruments de musique en arrière-plan.</v>
      </c>
    </row>
    <row r="11513">
      <c r="A11513" s="4" t="s">
        <v>14475</v>
      </c>
      <c r="B11513" s="4" t="s">
        <v>14481</v>
      </c>
      <c r="C11513" s="5" t="str">
        <f>IFERROR(__xludf.DUMMYFUNCTION("GOOGLETRANSLATE(B11513,""en"",""fr"")"),"La caméra zoome sur le visage de la femme jouant la pipe du sac.")</f>
        <v>La caméra zoome sur le visage de la femme jouant la pipe du sac.</v>
      </c>
    </row>
    <row r="11514">
      <c r="A11514" s="4" t="s">
        <v>14475</v>
      </c>
      <c r="B11514" s="4" t="s">
        <v>14482</v>
      </c>
      <c r="C11514" s="5" t="str">
        <f>IFERROR(__xludf.DUMMYFUNCTION("GOOGLETRANSLATE(B11514,""en"",""fr"")"),"La femme finit de jouer et les applaudissements du public.")</f>
        <v>La femme finit de jouer et les applaudissements du public.</v>
      </c>
    </row>
    <row r="11515">
      <c r="A11515" s="4" t="s">
        <v>14483</v>
      </c>
      <c r="B11515" s="4" t="s">
        <v>14484</v>
      </c>
      <c r="C11515" s="5" t="str">
        <f>IFERROR(__xludf.DUMMYFUNCTION("GOOGLETRANSLATE(B11515,""en"",""fr"")"),"Un garçon est assis dans sa chambre derrière un grand tambour.")</f>
        <v>Un garçon est assis dans sa chambre derrière un grand tambour.</v>
      </c>
    </row>
    <row r="11516">
      <c r="A11516" s="4" t="s">
        <v>14483</v>
      </c>
      <c r="B11516" s="4" t="s">
        <v>14485</v>
      </c>
      <c r="C11516" s="5" t="str">
        <f>IFERROR(__xludf.DUMMYFUNCTION("GOOGLETRANSLATE(B11516,""en"",""fr"")"),"Il joue doucement les tambours et les cymbales.")</f>
        <v>Il joue doucement les tambours et les cymbales.</v>
      </c>
    </row>
    <row r="11517">
      <c r="A11517" s="4" t="s">
        <v>14483</v>
      </c>
      <c r="B11517" s="4" t="s">
        <v>14486</v>
      </c>
      <c r="C11517" s="5" t="str">
        <f>IFERROR(__xludf.DUMMYFUNCTION("GOOGLETRANSLATE(B11517,""en"",""fr"")"),"Il accélère son tempo et sa force alors qu'il renforce la confiance.")</f>
        <v>Il accélère son tempo et sa force alors qu'il renforce la confiance.</v>
      </c>
    </row>
    <row r="11518">
      <c r="A11518" s="4" t="s">
        <v>14487</v>
      </c>
      <c r="B11518" s="4" t="s">
        <v>14488</v>
      </c>
      <c r="C11518" s="5" t="str">
        <f>IFERROR(__xludf.DUMMYFUNCTION("GOOGLETRANSLATE(B11518,""en"",""fr"")"),"Un gars se tient sur une plage volant un cerf-volant.")</f>
        <v>Un gars se tient sur une plage volant un cerf-volant.</v>
      </c>
    </row>
    <row r="11519">
      <c r="A11519" s="4" t="s">
        <v>14487</v>
      </c>
      <c r="B11519" s="4" t="s">
        <v>14489</v>
      </c>
      <c r="C11519" s="5" t="str">
        <f>IFERROR(__xludf.DUMMYFUNCTION("GOOGLETRANSLATE(B11519,""en"",""fr"")"),"Le gars détourne continuellement loin de la position du cerf-volant.")</f>
        <v>Le gars détourne continuellement loin de la position du cerf-volant.</v>
      </c>
    </row>
    <row r="11520">
      <c r="A11520" s="4" t="s">
        <v>14487</v>
      </c>
      <c r="B11520" s="4" t="s">
        <v>14490</v>
      </c>
      <c r="C11520" s="5" t="str">
        <f>IFERROR(__xludf.DUMMYFUNCTION("GOOGLETRANSLATE(B11520,""en"",""fr"")"),"Un homme s'approche du gars.")</f>
        <v>Un homme s'approche du gars.</v>
      </c>
    </row>
    <row r="11521">
      <c r="A11521" s="4" t="s">
        <v>14491</v>
      </c>
      <c r="B11521" s="4" t="s">
        <v>14492</v>
      </c>
      <c r="C11521" s="5" t="str">
        <f>IFERROR(__xludf.DUMMYFUNCTION("GOOGLETRANSLATE(B11521,""en"",""fr"")"),"Un homme porte un équipement de protection.")</f>
        <v>Un homme porte un équipement de protection.</v>
      </c>
    </row>
    <row r="11522">
      <c r="A11522" s="4" t="s">
        <v>14491</v>
      </c>
      <c r="B11522" s="4" t="s">
        <v>14493</v>
      </c>
      <c r="C11522" s="5" t="str">
        <f>IFERROR(__xludf.DUMMYFUNCTION("GOOGLETRANSLATE(B11522,""en"",""fr"")"),"Il utilise un soudeur et crée une lumière vive alors qu'il travaille sur le métal.")</f>
        <v>Il utilise un soudeur et crée une lumière vive alors qu'il travaille sur le métal.</v>
      </c>
    </row>
    <row r="11523">
      <c r="A11523" s="4" t="s">
        <v>14491</v>
      </c>
      <c r="B11523" s="4" t="s">
        <v>14494</v>
      </c>
      <c r="C11523" s="5" t="str">
        <f>IFERROR(__xludf.DUMMYFUNCTION("GOOGLETRANSLATE(B11523,""en"",""fr"")"),"Quand il a fini, il s'arrête et regarde la caméra, montrant le soudage terminé.")</f>
        <v>Quand il a fini, il s'arrête et regarde la caméra, montrant le soudage terminé.</v>
      </c>
    </row>
    <row r="11524">
      <c r="A11524" s="4" t="s">
        <v>14495</v>
      </c>
      <c r="B11524" s="4" t="s">
        <v>14496</v>
      </c>
      <c r="C11524" s="5" t="str">
        <f>IFERROR(__xludf.DUMMYFUNCTION("GOOGLETRANSLATE(B11524,""en"",""fr"")"),"Un grand terrain de sport extérieur est montré.")</f>
        <v>Un grand terrain de sport extérieur est montré.</v>
      </c>
    </row>
    <row r="11525">
      <c r="A11525" s="4" t="s">
        <v>14495</v>
      </c>
      <c r="B11525" s="4" t="s">
        <v>14497</v>
      </c>
      <c r="C11525" s="5" t="str">
        <f>IFERROR(__xludf.DUMMYFUNCTION("GOOGLETRANSLATE(B11525,""en"",""fr"")"),"Un homme court et fait une saut à la perche réussie.")</f>
        <v>Un homme court et fait une saut à la perche réussie.</v>
      </c>
    </row>
    <row r="11526">
      <c r="A11526" s="4" t="s">
        <v>14495</v>
      </c>
      <c r="B11526" s="4" t="s">
        <v>14498</v>
      </c>
      <c r="C11526" s="5" t="str">
        <f>IFERROR(__xludf.DUMMYFUNCTION("GOOGLETRANSLATE(B11526,""en"",""fr"")"),"Il se lève du coussin et ramasse le poteau.")</f>
        <v>Il se lève du coussin et ramasse le poteau.</v>
      </c>
    </row>
    <row r="11527">
      <c r="A11527" s="4" t="s">
        <v>14499</v>
      </c>
      <c r="B11527" s="4" t="s">
        <v>14500</v>
      </c>
      <c r="C11527" s="5" t="str">
        <f>IFERROR(__xludf.DUMMYFUNCTION("GOOGLETRANSLATE(B11527,""en"",""fr"")"),"Une caméra se déroule dans un parc ainsi qu'un lac et un homme qui parle à la caméra.")</f>
        <v>Une caméra se déroule dans un parc ainsi qu'un lac et un homme qui parle à la caméra.</v>
      </c>
    </row>
    <row r="11528">
      <c r="A11528" s="4" t="s">
        <v>14499</v>
      </c>
      <c r="B11528" s="6" t="s">
        <v>14501</v>
      </c>
      <c r="C11528" s="5" t="str">
        <f>IFERROR(__xludf.DUMMYFUNCTION("GOOGLETRANSLATE(B11528,""en"",""fr"")"),"L'appareil photo se déroule autour d'un canoë rempli d'objets et mène à l'homme rembourrant et parlant à la caméra.")</f>
        <v>L'appareil photo se déroule autour d'un canoë rempli d'objets et mène à l'homme rembourrant et parlant à la caméra.</v>
      </c>
    </row>
    <row r="11529">
      <c r="A11529" s="4" t="s">
        <v>14499</v>
      </c>
      <c r="B11529" s="4" t="s">
        <v>14502</v>
      </c>
      <c r="C11529" s="5" t="str">
        <f>IFERROR(__xludf.DUMMYFUNCTION("GOOGLETRANSLATE(B11529,""en"",""fr"")"),"Plus de coups de feu sont représentés des animaux à proximité ainsi qu'un homme et une femme parlant à la caméra.")</f>
        <v>Plus de coups de feu sont représentés des animaux à proximité ainsi qu'un homme et une femme parlant à la caméra.</v>
      </c>
    </row>
    <row r="11530">
      <c r="A11530" s="4" t="s">
        <v>14503</v>
      </c>
      <c r="B11530" s="4" t="s">
        <v>14504</v>
      </c>
      <c r="C11530" s="5" t="str">
        <f>IFERROR(__xludf.DUMMYFUNCTION("GOOGLETRANSLATE(B11530,""en"",""fr"")"),"Les gens jouent au volleyball sur une plage.")</f>
        <v>Les gens jouent au volleyball sur une plage.</v>
      </c>
    </row>
    <row r="11531">
      <c r="A11531" s="4" t="s">
        <v>14503</v>
      </c>
      <c r="B11531" s="4" t="s">
        <v>14505</v>
      </c>
      <c r="C11531" s="5" t="str">
        <f>IFERROR(__xludf.DUMMYFUNCTION("GOOGLETRANSLATE(B11531,""en"",""fr"")"),"Une fille tombe sur le sable.")</f>
        <v>Une fille tombe sur le sable.</v>
      </c>
    </row>
    <row r="11532">
      <c r="A11532" s="4" t="s">
        <v>14503</v>
      </c>
      <c r="B11532" s="4" t="s">
        <v>14506</v>
      </c>
      <c r="C11532" s="5" t="str">
        <f>IFERROR(__xludf.DUMMYFUNCTION("GOOGLETRANSLATE(B11532,""en"",""fr"")"),"Une fille lève les mains en l'air.")</f>
        <v>Une fille lève les mains en l'air.</v>
      </c>
    </row>
    <row r="11533">
      <c r="A11533" s="4" t="s">
        <v>14507</v>
      </c>
      <c r="B11533" s="6" t="s">
        <v>14508</v>
      </c>
      <c r="C11533" s="5" t="str">
        <f>IFERROR(__xludf.DUMMYFUNCTION("GOOGLETRANSLATE(B11533,""en"",""fr"")"),"Un écran blanc apparaît avec du texte noir qui est disponible deux fois sur l'écran, puis fait défiler l'écran tout en disparaissant.")</f>
        <v>Un écran blanc apparaît avec du texte noir qui est disponible deux fois sur l'écran, puis fait défiler l'écran tout en disparaissant.</v>
      </c>
    </row>
    <row r="11534">
      <c r="A11534" s="4" t="s">
        <v>14507</v>
      </c>
      <c r="B11534" s="4" t="s">
        <v>14509</v>
      </c>
      <c r="C11534" s="5" t="str">
        <f>IFERROR(__xludf.DUMMYFUNCTION("GOOGLETRANSLATE(B11534,""en"",""fr"")"),"Trois enfants dans des gilets de vie et deux adultes superviseurs sont sur un radeau qui attendent de faire du rafting.")</f>
        <v>Trois enfants dans des gilets de vie et deux adultes superviseurs sont sur un radeau qui attendent de faire du rafting.</v>
      </c>
    </row>
    <row r="11535">
      <c r="A11535" s="4" t="s">
        <v>14507</v>
      </c>
      <c r="B11535" s="4" t="s">
        <v>14510</v>
      </c>
      <c r="C11535" s="5" t="str">
        <f>IFERROR(__xludf.DUMMYFUNCTION("GOOGLETRANSLATE(B11535,""en"",""fr"")"),"Le groupe rafting sur une rivière avec toutes ses bosses et ses éclaboussures d'eau.")</f>
        <v>Le groupe rafting sur une rivière avec toutes ses bosses et ses éclaboussures d'eau.</v>
      </c>
    </row>
    <row r="11536">
      <c r="A11536" s="4" t="s">
        <v>14507</v>
      </c>
      <c r="B11536" s="4" t="s">
        <v>14511</v>
      </c>
      <c r="C11536" s="5" t="str">
        <f>IFERROR(__xludf.DUMMYFUNCTION("GOOGLETRANSLATE(B11536,""en"",""fr"")"),"Il y a un texte jaune qui vient à l'écran montrant les emplacements dans lesquels ils se trouvent.")</f>
        <v>Il y a un texte jaune qui vient à l'écran montrant les emplacements dans lesquels ils se trouvent.</v>
      </c>
    </row>
    <row r="11537">
      <c r="A11537" s="4" t="s">
        <v>14507</v>
      </c>
      <c r="B11537" s="4" t="s">
        <v>14512</v>
      </c>
      <c r="C11537" s="5" t="str">
        <f>IFERROR(__xludf.DUMMYFUNCTION("GOOGLETRANSLATE(B11537,""en"",""fr"")"),"Les enfants sont à destination alors qu'une jeune fille s'approche de la came et des vagues.")</f>
        <v>Les enfants sont à destination alors qu'une jeune fille s'approche de la came et des vagues.</v>
      </c>
    </row>
    <row r="11538">
      <c r="A11538" s="4" t="s">
        <v>14507</v>
      </c>
      <c r="B11538" s="6" t="s">
        <v>14513</v>
      </c>
      <c r="C11538" s="5" t="str">
        <f>IFERROR(__xludf.DUMMYFUNCTION("GOOGLETRANSLATE(B11538,""en"",""fr"")"),"Un écran blanc apparaît et deux mots apparaissent un en jaune en haut du Sceeen et un en bleu en bas sur l'écran et les deux s'éloignent ensuite de l'écran.")</f>
        <v>Un écran blanc apparaît et deux mots apparaissent un en jaune en haut du Sceeen et un en bleu en bas sur l'écran et les deux s'éloignent ensuite de l'écran.</v>
      </c>
    </row>
    <row r="11539">
      <c r="A11539" s="4" t="s">
        <v>14514</v>
      </c>
      <c r="B11539" s="4" t="s">
        <v>14515</v>
      </c>
      <c r="C11539" s="5" t="str">
        <f>IFERROR(__xludf.DUMMYFUNCTION("GOOGLETRANSLATE(B11539,""en"",""fr"")"),"Une femme est sur scène en parlant à une petite fille tout en tenant un microphone.")</f>
        <v>Une femme est sur scène en parlant à une petite fille tout en tenant un microphone.</v>
      </c>
    </row>
    <row r="11540">
      <c r="A11540" s="4" t="s">
        <v>14514</v>
      </c>
      <c r="B11540" s="4" t="s">
        <v>14516</v>
      </c>
      <c r="C11540" s="5" t="str">
        <f>IFERROR(__xludf.DUMMYFUNCTION("GOOGLETRANSLATE(B11540,""en"",""fr"")"),"La fille parle dans le microphone, puis effectue une pièce de ballet.")</f>
        <v>La fille parle dans le microphone, puis effectue une pièce de ballet.</v>
      </c>
    </row>
    <row r="11541">
      <c r="A11541" s="4" t="s">
        <v>14514</v>
      </c>
      <c r="B11541" s="4" t="s">
        <v>14517</v>
      </c>
      <c r="C11541" s="5" t="str">
        <f>IFERROR(__xludf.DUMMYFUNCTION("GOOGLETRANSLATE(B11541,""en"",""fr"")"),"Elle danse autour de la scène pour le public.")</f>
        <v>Elle danse autour de la scène pour le public.</v>
      </c>
    </row>
    <row r="11542">
      <c r="A11542" s="4" t="s">
        <v>14514</v>
      </c>
      <c r="B11542" s="4" t="s">
        <v>14518</v>
      </c>
      <c r="C11542" s="5" t="str">
        <f>IFERROR(__xludf.DUMMYFUNCTION("GOOGLETRANSLATE(B11542,""en"",""fr"")"),"Elle tombe sur un genou alors qu'elle termine sa performance.")</f>
        <v>Elle tombe sur un genou alors qu'elle termine sa performance.</v>
      </c>
    </row>
    <row r="11543">
      <c r="A11543" s="4" t="s">
        <v>14519</v>
      </c>
      <c r="B11543" s="4" t="s">
        <v>14520</v>
      </c>
      <c r="C11543" s="5" t="str">
        <f>IFERROR(__xludf.DUMMYFUNCTION("GOOGLETRANSLATE(B11543,""en"",""fr"")"),"Une personne suscite un grand bol de limonade.")</f>
        <v>Une personne suscite un grand bol de limonade.</v>
      </c>
    </row>
    <row r="11544">
      <c r="A11544" s="4" t="s">
        <v>14519</v>
      </c>
      <c r="B11544" s="4" t="s">
        <v>14521</v>
      </c>
      <c r="C11544" s="5" t="str">
        <f>IFERROR(__xludf.DUMMYFUNCTION("GOOGLETRANSLATE(B11544,""en"",""fr"")"),"Une femme coupe une pomme de terre.")</f>
        <v>Une femme coupe une pomme de terre.</v>
      </c>
    </row>
    <row r="11545">
      <c r="A11545" s="4" t="s">
        <v>14519</v>
      </c>
      <c r="B11545" s="4" t="s">
        <v>14522</v>
      </c>
      <c r="C11545" s="5" t="str">
        <f>IFERROR(__xludf.DUMMYFUNCTION("GOOGLETRANSLATE(B11545,""en"",""fr"")"),"Elle ajoute la pomme de terre à une grande casserole d'eau.")</f>
        <v>Elle ajoute la pomme de terre à une grande casserole d'eau.</v>
      </c>
    </row>
    <row r="11546">
      <c r="A11546" s="4" t="s">
        <v>14519</v>
      </c>
      <c r="B11546" s="4" t="s">
        <v>14523</v>
      </c>
      <c r="C11546" s="5" t="str">
        <f>IFERROR(__xludf.DUMMYFUNCTION("GOOGLETRANSLATE(B11546,""en"",""fr"")"),"Elle ajoute des citrons et de la laitue et des concombres au bol.")</f>
        <v>Elle ajoute des citrons et de la laitue et des concombres au bol.</v>
      </c>
    </row>
    <row r="11547">
      <c r="A11547" s="4" t="s">
        <v>14519</v>
      </c>
      <c r="B11547" s="4" t="s">
        <v>14524</v>
      </c>
      <c r="C11547" s="5" t="str">
        <f>IFERROR(__xludf.DUMMYFUNCTION("GOOGLETRANSLATE(B11547,""en"",""fr"")"),"Elle mélange le tout dans un bol.")</f>
        <v>Elle mélange le tout dans un bol.</v>
      </c>
    </row>
    <row r="11548">
      <c r="A11548" s="4" t="s">
        <v>14525</v>
      </c>
      <c r="B11548" s="4" t="s">
        <v>14526</v>
      </c>
      <c r="C11548" s="5" t="str">
        <f>IFERROR(__xludf.DUMMYFUNCTION("GOOGLETRANSLATE(B11548,""en"",""fr"")"),"Nous voyons un homme instruire un autre homme sur le tir de la flèche.")</f>
        <v>Nous voyons un homme instruire un autre homme sur le tir de la flèche.</v>
      </c>
    </row>
    <row r="11549">
      <c r="A11549" s="4" t="s">
        <v>14525</v>
      </c>
      <c r="B11549" s="4" t="s">
        <v>14527</v>
      </c>
      <c r="C11549" s="5" t="str">
        <f>IFERROR(__xludf.DUMMYFUNCTION("GOOGLETRANSLATE(B11549,""en"",""fr"")"),"La première flèche manque la première flèche.")</f>
        <v>La première flèche manque la première flèche.</v>
      </c>
    </row>
    <row r="11550">
      <c r="A11550" s="4" t="s">
        <v>14525</v>
      </c>
      <c r="B11550" s="4" t="s">
        <v>14528</v>
      </c>
      <c r="C11550" s="5" t="str">
        <f>IFERROR(__xludf.DUMMYFUNCTION("GOOGLETRANSLATE(B11550,""en"",""fr"")"),"L'homme charge une autre flèche.")</f>
        <v>L'homme charge une autre flèche.</v>
      </c>
    </row>
    <row r="11551">
      <c r="A11551" s="4" t="s">
        <v>14525</v>
      </c>
      <c r="B11551" s="4" t="s">
        <v>14529</v>
      </c>
      <c r="C11551" s="5" t="str">
        <f>IFERROR(__xludf.DUMMYFUNCTION("GOOGLETRANSLATE(B11551,""en"",""fr"")"),"Nous voyons les cibles devant une toile de fond.")</f>
        <v>Nous voyons les cibles devant une toile de fond.</v>
      </c>
    </row>
    <row r="11552">
      <c r="A11552" s="4" t="s">
        <v>14525</v>
      </c>
      <c r="B11552" s="4" t="s">
        <v>14530</v>
      </c>
      <c r="C11552" s="5" t="str">
        <f>IFERROR(__xludf.DUMMYFUNCTION("GOOGLETRANSLATE(B11552,""en"",""fr"")"),"L'homme frappe la toile de fond et il s'effondre.")</f>
        <v>L'homme frappe la toile de fond et il s'effondre.</v>
      </c>
    </row>
    <row r="11553">
      <c r="A11553" s="4" t="s">
        <v>14525</v>
      </c>
      <c r="B11553" s="4" t="s">
        <v>14531</v>
      </c>
      <c r="C11553" s="5" t="str">
        <f>IFERROR(__xludf.DUMMYFUNCTION("GOOGLETRANSLATE(B11553,""en"",""fr"")"),"Les gens restent tous en riant.")</f>
        <v>Les gens restent tous en riant.</v>
      </c>
    </row>
    <row r="11554">
      <c r="A11554" s="4" t="s">
        <v>14525</v>
      </c>
      <c r="B11554" s="4" t="s">
        <v>14532</v>
      </c>
      <c r="C11554" s="5" t="str">
        <f>IFERROR(__xludf.DUMMYFUNCTION("GOOGLETRANSLATE(B11554,""en"",""fr"")"),"L'instructeur se dirige vers les cibles.")</f>
        <v>L'instructeur se dirige vers les cibles.</v>
      </c>
    </row>
    <row r="11555">
      <c r="A11555" s="4" t="s">
        <v>14533</v>
      </c>
      <c r="B11555" s="4" t="s">
        <v>14534</v>
      </c>
      <c r="C11555" s="5" t="str">
        <f>IFERROR(__xludf.DUMMYFUNCTION("GOOGLETRANSLATE(B11555,""en"",""fr"")"),"Un panache de fumée est représenté sur une paire de skis.")</f>
        <v>Un panache de fumée est représenté sur une paire de skis.</v>
      </c>
    </row>
    <row r="11556">
      <c r="A11556" s="4" t="s">
        <v>14533</v>
      </c>
      <c r="B11556" s="4" t="s">
        <v>14535</v>
      </c>
      <c r="C11556" s="5" t="str">
        <f>IFERROR(__xludf.DUMMYFUNCTION("GOOGLETRANSLATE(B11556,""en"",""fr"")"),"Un homme sculpte des dessins, les brûle dans le bois.")</f>
        <v>Un homme sculpte des dessins, les brûle dans le bois.</v>
      </c>
    </row>
    <row r="11557">
      <c r="A11557" s="4" t="s">
        <v>14533</v>
      </c>
      <c r="B11557" s="4" t="s">
        <v>14536</v>
      </c>
      <c r="C11557" s="5" t="str">
        <f>IFERROR(__xludf.DUMMYFUNCTION("GOOGLETRANSLATE(B11557,""en"",""fr"")"),"Il fait ensuite un fer sur les planches, en réglant l'image.")</f>
        <v>Il fait ensuite un fer sur les planches, en réglant l'image.</v>
      </c>
    </row>
    <row r="11558">
      <c r="A11558" s="4" t="s">
        <v>14537</v>
      </c>
      <c r="B11558" s="6" t="s">
        <v>14538</v>
      </c>
      <c r="C11558" s="5" t="str">
        <f>IFERROR(__xludf.DUMMYFUNCTION("GOOGLETRANSLATE(B11558,""en"",""fr"")"),"Un homme est vu parler dans un micro qui passe à un gros plan d'une table de pong de bière ainsi que des gens qui jouent.")</f>
        <v>Un homme est vu parler dans un micro qui passe à un gros plan d'une table de pong de bière ainsi que des gens qui jouent.</v>
      </c>
    </row>
    <row r="11559">
      <c r="A11559" s="4" t="s">
        <v>14537</v>
      </c>
      <c r="B11559" s="6" t="s">
        <v>14539</v>
      </c>
      <c r="C11559" s="5" t="str">
        <f>IFERROR(__xludf.DUMMYFUNCTION("GOOGLETRANSLATE(B11559,""en"",""fr"")"),"Des plans de bière sont versés, des gens jouant du rock, du papier, des ciseaux, de l'argent et des écrans d'ordinateur pour la musique.")</f>
        <v>Des plans de bière sont versés, des gens jouant du rock, du papier, des ciseaux, de l'argent et des écrans d'ordinateur pour la musique.</v>
      </c>
    </row>
    <row r="11560">
      <c r="A11560" s="4" t="s">
        <v>14537</v>
      </c>
      <c r="B11560" s="6" t="s">
        <v>14540</v>
      </c>
      <c r="C11560" s="5" t="str">
        <f>IFERROR(__xludf.DUMMYFUNCTION("GOOGLETRANSLATE(B11560,""en"",""fr"")"),"Plus de gens sont montrés en jouant à la bière pong tout en étant interviewé à la caméra et en se promenant dans une pièce.")</f>
        <v>Plus de gens sont montrés en jouant à la bière pong tout en étant interviewé à la caméra et en se promenant dans une pièce.</v>
      </c>
    </row>
    <row r="11561">
      <c r="A11561" s="4" t="s">
        <v>14537</v>
      </c>
      <c r="B11561" s="6" t="s">
        <v>14541</v>
      </c>
      <c r="C11561" s="5" t="str">
        <f>IFERROR(__xludf.DUMMYFUNCTION("GOOGLETRANSLATE(B11561,""en"",""fr"")"),"Plusieurs autres tirs sont montrés des gens qui dansent, jouent Pong, se battent et se parlent.")</f>
        <v>Plusieurs autres tirs sont montrés des gens qui dansent, jouent Pong, se battent et se parlent.</v>
      </c>
    </row>
    <row r="11562">
      <c r="A11562" s="4" t="s">
        <v>14542</v>
      </c>
      <c r="B11562" s="6" t="s">
        <v>14543</v>
      </c>
      <c r="C11562" s="5" t="str">
        <f>IFERROR(__xludf.DUMMYFUNCTION("GOOGLETRANSLATE(B11562,""en"",""fr"")"),"On voit deux personnes parler à la caméra et mène à plusieurs clips de personnes jouant au volleyball les unes avec les autres.")</f>
        <v>On voit deux personnes parler à la caméra et mène à plusieurs clips de personnes jouant au volleyball les unes avec les autres.</v>
      </c>
    </row>
    <row r="11563">
      <c r="A11563" s="4" t="s">
        <v>14542</v>
      </c>
      <c r="B11563" s="6" t="s">
        <v>14544</v>
      </c>
      <c r="C11563" s="5" t="str">
        <f>IFERROR(__xludf.DUMMYFUNCTION("GOOGLETRANSLATE(B11563,""en"",""fr"")"),"Les gens continuent de jouer le sport tandis que d'autres parlent à la caméra et regardent les côtés et les cinq autres.")</f>
        <v>Les gens continuent de jouer le sport tandis que d'autres parlent à la caméra et regardent les côtés et les cinq autres.</v>
      </c>
    </row>
    <row r="11564">
      <c r="A11564" s="4" t="s">
        <v>14545</v>
      </c>
      <c r="B11564" s="4" t="s">
        <v>14546</v>
      </c>
      <c r="C11564" s="5" t="str">
        <f>IFERROR(__xludf.DUMMYFUNCTION("GOOGLETRANSLATE(B11564,""en"",""fr"")"),"Un homme marche le long d'un champ nu pendant qu'une femme se promène à côté de lui.")</f>
        <v>Un homme marche le long d'un champ nu pendant qu'une femme se promène à côté de lui.</v>
      </c>
    </row>
    <row r="11565">
      <c r="A11565" s="4" t="s">
        <v>14545</v>
      </c>
      <c r="B11565" s="4" t="s">
        <v>14547</v>
      </c>
      <c r="C11565" s="5" t="str">
        <f>IFERROR(__xludf.DUMMYFUNCTION("GOOGLETRANSLATE(B11565,""en"",""fr"")"),"Il revient et quatrième se préparant à sauter et finit par sauter sur un poteau.")</f>
        <v>Il revient et quatrième se préparant à sauter et finit par sauter sur un poteau.</v>
      </c>
    </row>
    <row r="11566">
      <c r="A11566" s="4" t="s">
        <v>14545</v>
      </c>
      <c r="B11566" s="4" t="s">
        <v>14548</v>
      </c>
      <c r="C11566" s="5" t="str">
        <f>IFERROR(__xludf.DUMMYFUNCTION("GOOGLETRANSLATE(B11566,""en"",""fr"")"),"Une fille applaudit pour lui et le même mouvement est à nouveau montré au ralenti.")</f>
        <v>Une fille applaudit pour lui et le même mouvement est à nouveau montré au ralenti.</v>
      </c>
    </row>
    <row r="11567">
      <c r="A11567" s="4" t="s">
        <v>14549</v>
      </c>
      <c r="B11567" s="4" t="s">
        <v>14550</v>
      </c>
      <c r="C11567" s="5" t="str">
        <f>IFERROR(__xludf.DUMMYFUNCTION("GOOGLETRANSLATE(B11567,""en"",""fr"")"),"Une vidéo montre comment nettoyer la neige d'une voiture.")</f>
        <v>Une vidéo montre comment nettoyer la neige d'une voiture.</v>
      </c>
    </row>
    <row r="11568">
      <c r="A11568" s="4" t="s">
        <v>14549</v>
      </c>
      <c r="B11568" s="4" t="s">
        <v>14551</v>
      </c>
      <c r="C11568" s="5" t="str">
        <f>IFERROR(__xludf.DUMMYFUNCTION("GOOGLETRANSLATE(B11568,""en"",""fr"")"),"Une personne plie un tissu bleu, l'enroulant soigneusement une brosse à neige.")</f>
        <v>Une personne plie un tissu bleu, l'enroulant soigneusement une brosse à neige.</v>
      </c>
    </row>
    <row r="11569">
      <c r="A11569" s="4" t="s">
        <v>14549</v>
      </c>
      <c r="B11569" s="4" t="s">
        <v>14552</v>
      </c>
      <c r="C11569" s="5" t="str">
        <f>IFERROR(__xludf.DUMMYFUNCTION("GOOGLETRANSLATE(B11569,""en"",""fr"")"),"Il utilise ensuite la brosse pour essuyer doucement la neige d'un véhicule.")</f>
        <v>Il utilise ensuite la brosse pour essuyer doucement la neige d'un véhicule.</v>
      </c>
    </row>
    <row r="11570">
      <c r="A11570" s="4" t="s">
        <v>14549</v>
      </c>
      <c r="B11570" s="4" t="s">
        <v>14553</v>
      </c>
      <c r="C11570" s="5" t="str">
        <f>IFERROR(__xludf.DUMMYFUNCTION("GOOGLETRANSLATE(B11570,""en"",""fr"")"),"La vidéo se termine par une publicité pour une boutique automobile.")</f>
        <v>La vidéo se termine par une publicité pour une boutique automobile.</v>
      </c>
    </row>
    <row r="11571">
      <c r="A11571" s="4" t="s">
        <v>14554</v>
      </c>
      <c r="B11571" s="4" t="s">
        <v>14555</v>
      </c>
      <c r="C11571" s="5" t="str">
        <f>IFERROR(__xludf.DUMMYFUNCTION("GOOGLETRANSLATE(B11571,""en"",""fr"")"),"Une femme enceinte prépare une citrouille pour la décoration et la sculpture.")</f>
        <v>Une femme enceinte prépare une citrouille pour la décoration et la sculpture.</v>
      </c>
    </row>
    <row r="11572">
      <c r="A11572" s="4" t="s">
        <v>14554</v>
      </c>
      <c r="B11572" s="4" t="s">
        <v>14556</v>
      </c>
      <c r="C11572" s="5" t="str">
        <f>IFERROR(__xludf.DUMMYFUNCTION("GOOGLETRANSLATE(B11572,""en"",""fr"")"),"La dame place du papier ciré sur la citrouille et pousse des trous sur le dessin en papier ciré.")</f>
        <v>La dame place du papier ciré sur la citrouille et pousse des trous sur le dessin en papier ciré.</v>
      </c>
    </row>
    <row r="11573">
      <c r="A11573" s="4" t="s">
        <v>14554</v>
      </c>
      <c r="B11573" s="6" t="s">
        <v>14557</v>
      </c>
      <c r="C11573" s="5" t="str">
        <f>IFERROR(__xludf.DUMMYFUNCTION("GOOGLETRANSLATE(B11573,""en"",""fr"")"),"La dame enlève le papier ciré et procède pour couper les tracés du trou de la bouche et des yeux tracés avec les trous percés du papier ciré.")</f>
        <v>La dame enlève le papier ciré et procède pour couper les tracés du trou de la bouche et des yeux tracés avec les trous percés du papier ciré.</v>
      </c>
    </row>
    <row r="11574">
      <c r="A11574" s="4" t="s">
        <v>14554</v>
      </c>
      <c r="B11574" s="4" t="s">
        <v>14558</v>
      </c>
      <c r="C11574" s="5" t="str">
        <f>IFERROR(__xludf.DUMMYFUNCTION("GOOGLETRANSLATE(B11574,""en"",""fr"")"),"Les citrouilles sculptées terminées sont affichées.")</f>
        <v>Les citrouilles sculptées terminées sont affichées.</v>
      </c>
    </row>
    <row r="11575">
      <c r="A11575" s="4" t="s">
        <v>14559</v>
      </c>
      <c r="B11575" s="6" t="s">
        <v>14560</v>
      </c>
      <c r="C11575" s="5" t="str">
        <f>IFERROR(__xludf.DUMMYFUNCTION("GOOGLETRANSLATE(B11575,""en"",""fr"")"),"Plusieurs plongeurs de plongée sont vus nager autour de l'océan tandis que les requins se déplacent autour d'eux en dessous.")</f>
        <v>Plusieurs plongeurs de plongée sont vus nager autour de l'océan tandis que les requins se déplacent autour d'eux en dessous.</v>
      </c>
    </row>
    <row r="11576">
      <c r="A11576" s="4" t="s">
        <v>14559</v>
      </c>
      <c r="B11576" s="6" t="s">
        <v>14561</v>
      </c>
      <c r="C11576" s="5" t="str">
        <f>IFERROR(__xludf.DUMMYFUNCTION("GOOGLETRANSLATE(B11576,""en"",""fr"")"),"La caméra suit continuellement les requins autour de l'eau et les plongeurs de plongée interagissent les uns avec les autres pendant qu'ils se déplacent.")</f>
        <v>La caméra suit continuellement les requins autour de l'eau et les plongeurs de plongée interagissent les uns avec les autres pendant qu'ils se déplacent.</v>
      </c>
    </row>
    <row r="11577">
      <c r="A11577" s="4" t="s">
        <v>14562</v>
      </c>
      <c r="B11577" s="6" t="s">
        <v>14563</v>
      </c>
      <c r="C11577" s="5" t="str">
        <f>IFERROR(__xludf.DUMMYFUNCTION("GOOGLETRANSLATE(B11577,""en"",""fr"")"),"Un écran bleu apparaît et sur le côté gauche, une bouteille claire verse du liquide dans un verre martini clair et des mots blancs apparaissent sur le côté gauche de l'écran qui disent ""les filles mélangeant des boissons dot com notre dame pick-me-up wit"&amp;"h stacey"".")</f>
        <v>Un écran bleu apparaît et sur le côté gauche, une bouteille claire verse du liquide dans un verre martini clair et des mots blancs apparaissent sur le côté gauche de l'écran qui disent "les filles mélangeant des boissons dot com notre dame pick-me-up with stacey".</v>
      </c>
    </row>
    <row r="11578">
      <c r="A11578" s="4" t="s">
        <v>14562</v>
      </c>
      <c r="B11578" s="6" t="s">
        <v>14564</v>
      </c>
      <c r="C11578" s="5" t="str">
        <f>IFERROR(__xludf.DUMMYFUNCTION("GOOGLETRANSLATE(B11578,""en"",""fr"")"),"Une femme brune portant tout le noir se tient dans un bar à parler, elle ramasse un verre à boire clair, met de la glace dedans et touche tous les ingrédients qu'elle va utiliser tout en parlant d'eux.")</f>
        <v>Une femme brune portant tout le noir se tient dans un bar à parler, elle ramasse un verre à boire clair, met de la glace dedans et touche tous les ingrédients qu'elle va utiliser tout en parlant d'eux.</v>
      </c>
    </row>
    <row r="11579">
      <c r="A11579" s="4" t="s">
        <v>14562</v>
      </c>
      <c r="B11579" s="6" t="s">
        <v>14565</v>
      </c>
      <c r="C11579" s="5" t="str">
        <f>IFERROR(__xludf.DUMMYFUNCTION("GOOGLETRANSLATE(B11579,""en"",""fr"")"),"La femme commence alors à mesurer chaque alcool dans un verre de coup, les verse dans la tasse, gicle du liquide d'une bouteille claire dans la tasse, verse du soda d'une boîte dans la tasse, verse du jus d'une boîte dans la tasse, puis Ajoute une paille "&amp;"à la tasse et pousse la tasse à l'avant du comptoir.")</f>
        <v>La femme commence alors à mesurer chaque alcool dans un verre de coup, les verse dans la tasse, gicle du liquide d'une bouteille claire dans la tasse, verse du soda d'une boîte dans la tasse, verse du jus d'une boîte dans la tasse, puis Ajoute une paille à la tasse et pousse la tasse à l'avant du comptoir.</v>
      </c>
    </row>
    <row r="11580">
      <c r="A11580" s="4" t="s">
        <v>14562</v>
      </c>
      <c r="B11580" s="6" t="s">
        <v>14566</v>
      </c>
      <c r="C11580" s="5" t="str">
        <f>IFERROR(__xludf.DUMMYFUNCTION("GOOGLETRANSLATE(B11580,""en"",""fr"")"),"Tout au long du temps, elle fabrique la boisson, le site Web apparaît de temps en temps en bas de l'écran, puis l'écran outro apparaît avec un fond diagonal rouge à deux tons de rayures épaisses et le site Web au milieu lit www dot girlsmakingdrinks dot c"&amp;"om .")</f>
        <v>Tout au long du temps, elle fabrique la boisson, le site Web apparaît de temps en temps en bas de l'écran, puis l'écran outro apparaît avec un fond diagonal rouge à deux tons de rayures épaisses et le site Web au milieu lit www dot girlsmakingdrinks dot com .</v>
      </c>
    </row>
    <row r="11581">
      <c r="A11581" s="4" t="s">
        <v>14567</v>
      </c>
      <c r="B11581" s="4" t="s">
        <v>14568</v>
      </c>
      <c r="C11581" s="5" t="str">
        <f>IFERROR(__xludf.DUMMYFUNCTION("GOOGLETRANSLATE(B11581,""en"",""fr"")"),"Une femme se tient derrière un contre-aimant un couteau.")</f>
        <v>Une femme se tient derrière un contre-aimant un couteau.</v>
      </c>
    </row>
    <row r="11582">
      <c r="A11582" s="4" t="s">
        <v>14567</v>
      </c>
      <c r="B11582" s="4" t="s">
        <v>14569</v>
      </c>
      <c r="C11582" s="5" t="str">
        <f>IFERROR(__xludf.DUMMYFUNCTION("GOOGLETRANSLATE(B11582,""en"",""fr"")"),"Elle verse de l'eau sur le pointeur du couteau et continue d'aiguiser le couteau.")</f>
        <v>Elle verse de l'eau sur le pointeur du couteau et continue d'aiguiser le couteau.</v>
      </c>
    </row>
    <row r="11583">
      <c r="A11583" s="4" t="s">
        <v>14567</v>
      </c>
      <c r="B11583" s="4" t="s">
        <v>14570</v>
      </c>
      <c r="C11583" s="5" t="str">
        <f>IFERROR(__xludf.DUMMYFUNCTION("GOOGLETRANSLATE(B11583,""en"",""fr"")"),"Elle ramasse un aiguillon de couteau et aiguise le couteau.")</f>
        <v>Elle ramasse un aiguillon de couteau et aiguise le couteau.</v>
      </c>
    </row>
    <row r="11584">
      <c r="A11584" s="4" t="s">
        <v>14571</v>
      </c>
      <c r="B11584" s="4" t="s">
        <v>14572</v>
      </c>
      <c r="C11584" s="5" t="str">
        <f>IFERROR(__xludf.DUMMYFUNCTION("GOOGLETRANSLATE(B11584,""en"",""fr"")"),"Les hommes apparaissent dans un champ avec des taureaux et les mots ""Tullfight Laos"" apparaissent à l'écran.")</f>
        <v>Les hommes apparaissent dans un champ avec des taureaux et les mots "Tullfight Laos" apparaissent à l'écran.</v>
      </c>
    </row>
    <row r="11585">
      <c r="A11585" s="4" t="s">
        <v>14571</v>
      </c>
      <c r="B11585" s="4" t="s">
        <v>14573</v>
      </c>
      <c r="C11585" s="5" t="str">
        <f>IFERROR(__xludf.DUMMYFUNCTION("GOOGLETRANSLATE(B11585,""en"",""fr"")"),"Les hommes se rassemblent autour du champ où se trouvent deux taureaux.")</f>
        <v>Les hommes se rassemblent autour du champ où se trouvent deux taureaux.</v>
      </c>
    </row>
    <row r="11586">
      <c r="A11586" s="4" t="s">
        <v>14571</v>
      </c>
      <c r="B11586" s="4" t="s">
        <v>14574</v>
      </c>
      <c r="C11586" s="5" t="str">
        <f>IFERROR(__xludf.DUMMYFUNCTION("GOOGLETRANSLATE(B11586,""en"",""fr"")"),"Les Bulls sont encouragés à se battre avec leurs cornes pendant que les gens regardent.")</f>
        <v>Les Bulls sont encouragés à se battre avec leurs cornes pendant que les gens regardent.</v>
      </c>
    </row>
    <row r="11587">
      <c r="A11587" s="4" t="s">
        <v>14575</v>
      </c>
      <c r="B11587" s="4" t="s">
        <v>14576</v>
      </c>
      <c r="C11587" s="5" t="str">
        <f>IFERROR(__xludf.DUMMYFUNCTION("GOOGLETRANSLATE(B11587,""en"",""fr"")"),"Un petit bébé frappe un bongo dans une pièce.")</f>
        <v>Un petit bébé frappe un bongo dans une pièce.</v>
      </c>
    </row>
    <row r="11588">
      <c r="A11588" s="4" t="s">
        <v>14575</v>
      </c>
      <c r="B11588" s="4" t="s">
        <v>14577</v>
      </c>
      <c r="C11588" s="5" t="str">
        <f>IFERROR(__xludf.DUMMYFUNCTION("GOOGLETRANSLATE(B11588,""en"",""fr"")"),"Le bébé s'arrête et enlève quelque chose de sa main.")</f>
        <v>Le bébé s'arrête et enlève quelque chose de sa main.</v>
      </c>
    </row>
    <row r="11589">
      <c r="A11589" s="4" t="s">
        <v>14575</v>
      </c>
      <c r="B11589" s="4" t="s">
        <v>14578</v>
      </c>
      <c r="C11589" s="5" t="str">
        <f>IFERROR(__xludf.DUMMYFUNCTION("GOOGLETRANSLATE(B11589,""en"",""fr"")"),"Le bébé recommence à jouer du tambour.")</f>
        <v>Le bébé recommence à jouer du tambour.</v>
      </c>
    </row>
    <row r="11590">
      <c r="A11590" s="4" t="s">
        <v>14579</v>
      </c>
      <c r="B11590" s="4" t="s">
        <v>14580</v>
      </c>
      <c r="C11590" s="5" t="str">
        <f>IFERROR(__xludf.DUMMYFUNCTION("GOOGLETRANSLATE(B11590,""en"",""fr"")"),"Nous voyons l'extérieur d'un restaurant avec un graphique de neige en bas.")</f>
        <v>Nous voyons l'extérieur d'un restaurant avec un graphique de neige en bas.</v>
      </c>
    </row>
    <row r="11591">
      <c r="A11591" s="4" t="s">
        <v>14579</v>
      </c>
      <c r="B11591" s="4" t="s">
        <v>14581</v>
      </c>
      <c r="C11591" s="5" t="str">
        <f>IFERROR(__xludf.DUMMYFUNCTION("GOOGLETRANSLATE(B11591,""en"",""fr"")"),"Nous voyons des hommes à l'intérieur du bar et un homme parler dans un microphone.")</f>
        <v>Nous voyons des hommes à l'intérieur du bar et un homme parler dans un microphone.</v>
      </c>
    </row>
    <row r="11592">
      <c r="A11592" s="4" t="s">
        <v>14579</v>
      </c>
      <c r="B11592" s="4" t="s">
        <v>14582</v>
      </c>
      <c r="C11592" s="5" t="str">
        <f>IFERROR(__xludf.DUMMYFUNCTION("GOOGLETRANSLATE(B11592,""en"",""fr"")"),"Nous voyons ensuite des dames jouer à Beer Pong contre une équipe d'hommes.")</f>
        <v>Nous voyons ensuite des dames jouer à Beer Pong contre une équipe d'hommes.</v>
      </c>
    </row>
    <row r="11593">
      <c r="A11593" s="4" t="s">
        <v>14579</v>
      </c>
      <c r="B11593" s="6" t="s">
        <v>14583</v>
      </c>
      <c r="C11593" s="5" t="str">
        <f>IFERROR(__xludf.DUMMYFUNCTION("GOOGLETRANSLATE(B11593,""en"",""fr"")"),"Deux équipes d'hommes jouent à Beer Pong ensemble alors qu'un homme se tient derrière eux en tenant une caméra en l'air.")</f>
        <v>Deux équipes d'hommes jouent à Beer Pong ensemble alors qu'un homme se tient derrière eux en tenant une caméra en l'air.</v>
      </c>
    </row>
    <row r="11594">
      <c r="A11594" s="4" t="s">
        <v>14579</v>
      </c>
      <c r="B11594" s="4" t="s">
        <v>14584</v>
      </c>
      <c r="C11594" s="5" t="str">
        <f>IFERROR(__xludf.DUMMYFUNCTION("GOOGLETRANSLATE(B11594,""en"",""fr"")"),"Nous changeons et voyons d'autres équipes dans la pièce jouer et voyons deux dames parler.")</f>
        <v>Nous changeons et voyons d'autres équipes dans la pièce jouer et voyons deux dames parler.</v>
      </c>
    </row>
    <row r="11595">
      <c r="A11595" s="4" t="s">
        <v>14579</v>
      </c>
      <c r="B11595" s="4" t="s">
        <v>14585</v>
      </c>
      <c r="C11595" s="5" t="str">
        <f>IFERROR(__xludf.DUMMYFUNCTION("GOOGLETRANSLATE(B11595,""en"",""fr"")"),"Nous voyons ensuite une dame jeter une balle sur une table.")</f>
        <v>Nous voyons ensuite une dame jeter une balle sur une table.</v>
      </c>
    </row>
    <row r="11596">
      <c r="A11596" s="4" t="s">
        <v>14579</v>
      </c>
      <c r="B11596" s="4" t="s">
        <v>3608</v>
      </c>
      <c r="C11596" s="5" t="str">
        <f>IFERROR(__xludf.DUMMYFUNCTION("GOOGLETRANSLATE(B11596,""en"",""fr"")"),"Nous voyons l'écran de fin.")</f>
        <v>Nous voyons l'écran de fin.</v>
      </c>
    </row>
    <row r="11597">
      <c r="A11597" s="4" t="s">
        <v>14586</v>
      </c>
      <c r="B11597" s="4" t="s">
        <v>14587</v>
      </c>
      <c r="C11597" s="5" t="str">
        <f>IFERROR(__xludf.DUMMYFUNCTION("GOOGLETRANSLATE(B11597,""en"",""fr"")"),"Un dessin d'un tribunal est affiché à l'écran.")</f>
        <v>Un dessin d'un tribunal est affiché à l'écran.</v>
      </c>
    </row>
    <row r="11598">
      <c r="A11598" s="4" t="s">
        <v>14586</v>
      </c>
      <c r="B11598" s="4" t="s">
        <v>14588</v>
      </c>
      <c r="C11598" s="5" t="str">
        <f>IFERROR(__xludf.DUMMYFUNCTION("GOOGLETRANSLATE(B11598,""en"",""fr"")"),"Nous voyons un jeu de football en cours sur un champ extérieur.")</f>
        <v>Nous voyons un jeu de football en cours sur un champ extérieur.</v>
      </c>
    </row>
    <row r="11599">
      <c r="A11599" s="4" t="s">
        <v>14586</v>
      </c>
      <c r="B11599" s="4" t="s">
        <v>14589</v>
      </c>
      <c r="C11599" s="5" t="str">
        <f>IFERROR(__xludf.DUMMYFUNCTION("GOOGLETRANSLATE(B11599,""en"",""fr"")"),"Les hommes reculent le ballon les uns des autres.")</f>
        <v>Les hommes reculent le ballon les uns des autres.</v>
      </c>
    </row>
    <row r="11600">
      <c r="A11600" s="4" t="s">
        <v>14586</v>
      </c>
      <c r="B11600" s="4" t="s">
        <v>14590</v>
      </c>
      <c r="C11600" s="5" t="str">
        <f>IFERROR(__xludf.DUMMYFUNCTION("GOOGLETRANSLATE(B11600,""en"",""fr"")"),"Ils essaient d'obtenir le ballon dans les buts adverses.")</f>
        <v>Ils essaient d'obtenir le ballon dans les buts adverses.</v>
      </c>
    </row>
    <row r="11601">
      <c r="A11601" s="4" t="s">
        <v>14591</v>
      </c>
      <c r="B11601" s="4" t="s">
        <v>14592</v>
      </c>
      <c r="C11601" s="5" t="str">
        <f>IFERROR(__xludf.DUMMYFUNCTION("GOOGLETRANSLATE(B11601,""en"",""fr"")"),"Deux lutteurs se rencontrent à une table à l'intérieur d'un ring de lutte.")</f>
        <v>Deux lutteurs se rencontrent à une table à l'intérieur d'un ring de lutte.</v>
      </c>
    </row>
    <row r="11602">
      <c r="A11602" s="4" t="s">
        <v>14591</v>
      </c>
      <c r="B11602" s="4" t="s">
        <v>14593</v>
      </c>
      <c r="C11602" s="5" t="str">
        <f>IFERROR(__xludf.DUMMYFUNCTION("GOOGLETRANSLATE(B11602,""en"",""fr"")"),"Ils s'assoient à la table et se tiennent les mains, prêts à se battre.")</f>
        <v>Ils s'assoient à la table et se tiennent les mains, prêts à se battre.</v>
      </c>
    </row>
    <row r="11603">
      <c r="A11603" s="4" t="s">
        <v>14591</v>
      </c>
      <c r="B11603" s="4" t="s">
        <v>14594</v>
      </c>
      <c r="C11603" s="5" t="str">
        <f>IFERROR(__xludf.DUMMYFUNCTION("GOOGLETRANSLATE(B11603,""en"",""fr"")"),"Les hommes s'efforcent de se battre, poussant fort de chaque côté.")</f>
        <v>Les hommes s'efforcent de se battre, poussant fort de chaque côté.</v>
      </c>
    </row>
    <row r="11604">
      <c r="A11604" s="4" t="s">
        <v>14591</v>
      </c>
      <c r="B11604" s="4" t="s">
        <v>14595</v>
      </c>
      <c r="C11604" s="5" t="str">
        <f>IFERROR(__xludf.DUMMYFUNCTION("GOOGLETRANSLATE(B11604,""en"",""fr"")"),"On gagne, puis ils se lèvent et commencent à se battre à l'intérieur du ring.")</f>
        <v>On gagne, puis ils se lèvent et commencent à se battre à l'intérieur du ring.</v>
      </c>
    </row>
    <row r="11605">
      <c r="A11605" s="4" t="s">
        <v>14591</v>
      </c>
      <c r="B11605" s="4" t="s">
        <v>14596</v>
      </c>
      <c r="C11605" s="5" t="str">
        <f>IFERROR(__xludf.DUMMYFUNCTION("GOOGLETRANSLATE(B11605,""en"",""fr"")"),"L'un est expulsé du ring, laissant le géant comme vainqueur.")</f>
        <v>L'un est expulsé du ring, laissant le géant comme vainqueur.</v>
      </c>
    </row>
    <row r="11606">
      <c r="A11606" s="4" t="s">
        <v>14597</v>
      </c>
      <c r="B11606" s="4" t="s">
        <v>14598</v>
      </c>
      <c r="C11606" s="5" t="str">
        <f>IFERROR(__xludf.DUMMYFUNCTION("GOOGLETRANSLATE(B11606,""en"",""fr"")"),"Un chien coule par un lac.")</f>
        <v>Un chien coule par un lac.</v>
      </c>
    </row>
    <row r="11607">
      <c r="A11607" s="4" t="s">
        <v>14597</v>
      </c>
      <c r="B11607" s="4" t="s">
        <v>14599</v>
      </c>
      <c r="C11607" s="5" t="str">
        <f>IFERROR(__xludf.DUMMYFUNCTION("GOOGLETRANSLATE(B11607,""en"",""fr"")"),"Un homme est en train d'embarquer derrière un bateau.")</f>
        <v>Un homme est en train d'embarquer derrière un bateau.</v>
      </c>
    </row>
    <row r="11608">
      <c r="A11608" s="4" t="s">
        <v>14597</v>
      </c>
      <c r="B11608" s="4" t="s">
        <v>14600</v>
      </c>
      <c r="C11608" s="5" t="str">
        <f>IFERROR(__xludf.DUMMYFUNCTION("GOOGLETRANSLATE(B11608,""en"",""fr"")"),"Une personne est assise dans l'eau.")</f>
        <v>Une personne est assise dans l'eau.</v>
      </c>
    </row>
    <row r="11609">
      <c r="A11609" s="4" t="s">
        <v>14601</v>
      </c>
      <c r="B11609" s="4" t="s">
        <v>14602</v>
      </c>
      <c r="C11609" s="5" t="str">
        <f>IFERROR(__xludf.DUMMYFUNCTION("GOOGLETRANSLATE(B11609,""en"",""fr"")"),"Un homme chevauche un bateau à moteur dans l'océan.")</f>
        <v>Un homme chevauche un bateau à moteur dans l'océan.</v>
      </c>
    </row>
    <row r="11610">
      <c r="A11610" s="4" t="s">
        <v>14601</v>
      </c>
      <c r="B11610" s="4" t="s">
        <v>14603</v>
      </c>
      <c r="C11610" s="5" t="str">
        <f>IFERROR(__xludf.DUMMYFUNCTION("GOOGLETRANSLATE(B11610,""en"",""fr"")"),"À côté de lui apparaît un homme sur une planche de surf.")</f>
        <v>À côté de lui apparaît un homme sur une planche de surf.</v>
      </c>
    </row>
    <row r="11611">
      <c r="A11611" s="4" t="s">
        <v>14601</v>
      </c>
      <c r="B11611" s="4" t="s">
        <v>14604</v>
      </c>
      <c r="C11611" s="5" t="str">
        <f>IFERROR(__xludf.DUMMYFUNCTION("GOOGLETRANSLATE(B11611,""en"",""fr"")"),"L'homme sur la planche de surf accélère, le laissant dans son sillage.")</f>
        <v>L'homme sur la planche de surf accélère, le laissant dans son sillage.</v>
      </c>
    </row>
    <row r="11612">
      <c r="A11612" s="4" t="s">
        <v>14605</v>
      </c>
      <c r="B11612" s="4" t="s">
        <v>14606</v>
      </c>
      <c r="C11612" s="5" t="str">
        <f>IFERROR(__xludf.DUMMYFUNCTION("GOOGLETRANSLATE(B11612,""en"",""fr"")"),"Un petit groupe de personnes est vu jouer à des jeux les uns avec les autres dans un grand gymnase.")</f>
        <v>Un petit groupe de personnes est vu jouer à des jeux les uns avec les autres dans un grand gymnase.</v>
      </c>
    </row>
    <row r="11613">
      <c r="A11613" s="4" t="s">
        <v>14605</v>
      </c>
      <c r="B11613" s="6" t="s">
        <v>14607</v>
      </c>
      <c r="C11613" s="5" t="str">
        <f>IFERROR(__xludf.DUMMYFUNCTION("GOOGLETRANSLATE(B11613,""en"",""fr"")"),"Beaucoup de gens regardent sur la touche et que les gens passent une mauvaise mitaine et quatrième les uns aux autres.")</f>
        <v>Beaucoup de gens regardent sur la touche et que les gens passent une mauvaise mitaine et quatrième les uns aux autres.</v>
      </c>
    </row>
    <row r="11614">
      <c r="A11614" s="4" t="s">
        <v>14608</v>
      </c>
      <c r="B11614" s="4" t="s">
        <v>14609</v>
      </c>
      <c r="C11614" s="5" t="str">
        <f>IFERROR(__xludf.DUMMYFUNCTION("GOOGLETRANSLATE(B11614,""en"",""fr"")"),"Un homme dans un speedo noir se tient sur un plongeon avec sa main sur ses côtés.")</f>
        <v>Un homme dans un speedo noir se tient sur un plongeon avec sa main sur ses côtés.</v>
      </c>
    </row>
    <row r="11615">
      <c r="A11615" s="4" t="s">
        <v>14608</v>
      </c>
      <c r="B11615" s="4" t="s">
        <v>14610</v>
      </c>
      <c r="C11615" s="5" t="str">
        <f>IFERROR(__xludf.DUMMYFUNCTION("GOOGLETRANSLATE(B11615,""en"",""fr"")"),"Il commence ensuite à courir et fait deux sauts pour arriver à la fin du conseil d'administration.")</f>
        <v>Il commence ensuite à courir et fait deux sauts pour arriver à la fin du conseil d'administration.</v>
      </c>
    </row>
    <row r="11616">
      <c r="A11616" s="4" t="s">
        <v>14608</v>
      </c>
      <c r="B11616" s="6" t="s">
        <v>14611</v>
      </c>
      <c r="C11616" s="5" t="str">
        <f>IFERROR(__xludf.DUMMYFUNCTION("GOOGLETRANSLATE(B11616,""en"",""fr"")"),"Enfin, il est au bout du plongeon et fait un retournement dans l'eau alors que la foule sur le côté regarde.")</f>
        <v>Enfin, il est au bout du plongeon et fait un retournement dans l'eau alors que la foule sur le côté regarde.</v>
      </c>
    </row>
    <row r="11617">
      <c r="A11617" s="4" t="s">
        <v>14612</v>
      </c>
      <c r="B11617" s="4" t="s">
        <v>14613</v>
      </c>
      <c r="C11617" s="5" t="str">
        <f>IFERROR(__xludf.DUMMYFUNCTION("GOOGLETRANSLATE(B11617,""en"",""fr"")"),"Un grand groupe de personnes est vu courir sur un terrain en jouant à un jeu de crosse.")</f>
        <v>Un grand groupe de personnes est vu courir sur un terrain en jouant à un jeu de crosse.</v>
      </c>
    </row>
    <row r="11618">
      <c r="A11618" s="4" t="s">
        <v>14612</v>
      </c>
      <c r="B11618" s="4" t="s">
        <v>14614</v>
      </c>
      <c r="C11618" s="5" t="str">
        <f>IFERROR(__xludf.DUMMYFUNCTION("GOOGLETRANSLATE(B11618,""en"",""fr"")"),"Les gens ont frappé le ballon tout le long du terrain tandis qu'un arbitre les regarde sur le côté.")</f>
        <v>Les gens ont frappé le ballon tout le long du terrain tandis qu'un arbitre les regarde sur le côté.</v>
      </c>
    </row>
    <row r="11619">
      <c r="A11619" s="4" t="s">
        <v>14612</v>
      </c>
      <c r="B11619" s="4" t="s">
        <v>14615</v>
      </c>
      <c r="C11619" s="5" t="str">
        <f>IFERROR(__xludf.DUMMYFUNCTION("GOOGLETRANSLATE(B11619,""en"",""fr"")"),"Le groupe continue de jouer ensemble pendant que la caméra recule et quatrième.")</f>
        <v>Le groupe continue de jouer ensemble pendant que la caméra recule et quatrième.</v>
      </c>
    </row>
    <row r="11620">
      <c r="A11620" s="4" t="s">
        <v>14616</v>
      </c>
      <c r="B11620" s="4" t="s">
        <v>14617</v>
      </c>
      <c r="C11620" s="5" t="str">
        <f>IFERROR(__xludf.DUMMYFUNCTION("GOOGLETRANSLATE(B11620,""en"",""fr"")"),"Un grand cerf-volant est vu surgir une plage avec des gens errant sur les côtés.")</f>
        <v>Un grand cerf-volant est vu surgir une plage avec des gens errant sur les côtés.</v>
      </c>
    </row>
    <row r="11621">
      <c r="A11621" s="4" t="s">
        <v>14616</v>
      </c>
      <c r="B11621" s="4" t="s">
        <v>14618</v>
      </c>
      <c r="C11621" s="5" t="str">
        <f>IFERROR(__xludf.DUMMYFUNCTION("GOOGLETRANSLATE(B11621,""en"",""fr"")"),"Un homme est vu voler le grand cerf-volant tandis que d'autres le regardent sur le côté.")</f>
        <v>Un homme est vu voler le grand cerf-volant tandis que d'autres le regardent sur le côté.</v>
      </c>
    </row>
    <row r="11622">
      <c r="A11622" s="4" t="s">
        <v>14616</v>
      </c>
      <c r="B11622" s="4" t="s">
        <v>14619</v>
      </c>
      <c r="C11622" s="5" t="str">
        <f>IFERROR(__xludf.DUMMYFUNCTION("GOOGLETRANSLATE(B11622,""en"",""fr"")"),"Un autre cerf-volant est montré volant à côté de la sienne et mène à une démonstration de l'océan.")</f>
        <v>Un autre cerf-volant est montré volant à côté de la sienne et mène à une démonstration de l'océan.</v>
      </c>
    </row>
    <row r="11623">
      <c r="A11623" s="4" t="s">
        <v>14620</v>
      </c>
      <c r="B11623" s="6" t="s">
        <v>14621</v>
      </c>
      <c r="C11623" s="5" t="str">
        <f>IFERROR(__xludf.DUMMYFUNCTION("GOOGLETRANSLATE(B11623,""en"",""fr"")"),"Un jeune garçon est vu s'étirer en cercle tout en enlevant sa chemise et en regardant au loin.")</f>
        <v>Un jeune garçon est vu s'étirer en cercle tout en enlevant sa chemise et en regardant au loin.</v>
      </c>
    </row>
    <row r="11624">
      <c r="A11624" s="4" t="s">
        <v>14620</v>
      </c>
      <c r="B11624" s="4" t="s">
        <v>14622</v>
      </c>
      <c r="C11624" s="5" t="str">
        <f>IFERROR(__xludf.DUMMYFUNCTION("GOOGLETRANSLATE(B11624,""en"",""fr"")"),"Le garçon commence alors à exécuter divers arts martiaux devant une grande foule.")</f>
        <v>Le garçon commence alors à exécuter divers arts martiaux devant une grande foule.</v>
      </c>
    </row>
    <row r="11625">
      <c r="A11625" s="4" t="s">
        <v>14620</v>
      </c>
      <c r="B11625" s="4" t="s">
        <v>14623</v>
      </c>
      <c r="C11625" s="5" t="str">
        <f>IFERROR(__xludf.DUMMYFUNCTION("GOOGLETRANSLATE(B11625,""en"",""fr"")"),"Le garçon continue de donner des coups de pied et de tourner tout en se terminant pour s'incliner à la caméra.")</f>
        <v>Le garçon continue de donner des coups de pied et de tourner tout en se terminant pour s'incliner à la caméra.</v>
      </c>
    </row>
    <row r="11626">
      <c r="A11626" s="4" t="s">
        <v>14624</v>
      </c>
      <c r="B11626" s="6" t="s">
        <v>14625</v>
      </c>
      <c r="C11626" s="5" t="str">
        <f>IFERROR(__xludf.DUMMYFUNCTION("GOOGLETRANSLATE(B11626,""en"",""fr"")"),"Une publicité automobile commence par de nombreuses personnes qui lavent un véhicule car il passe par un lavage de voiture professionnel.")</f>
        <v>Une publicité automobile commence par de nombreuses personnes qui lavent un véhicule car il passe par un lavage de voiture professionnel.</v>
      </c>
    </row>
    <row r="11627">
      <c r="A11627" s="4" t="s">
        <v>14624</v>
      </c>
      <c r="B11627" s="4" t="s">
        <v>14626</v>
      </c>
      <c r="C11627" s="5" t="str">
        <f>IFERROR(__xludf.DUMMYFUNCTION("GOOGLETRANSLATE(B11627,""en"",""fr"")"),"Les gens se tiennent dans un groupe, agitant leurs chiffons en l'air à la caméra, comme pour dire au revoir.")</f>
        <v>Les gens se tiennent dans un groupe, agitant leurs chiffons en l'air à la caméra, comme pour dire au revoir.</v>
      </c>
    </row>
    <row r="11628">
      <c r="A11628" s="4" t="s">
        <v>14624</v>
      </c>
      <c r="B11628" s="4" t="s">
        <v>14627</v>
      </c>
      <c r="C11628" s="5" t="str">
        <f>IFERROR(__xludf.DUMMYFUNCTION("GOOGLETRANSLATE(B11628,""en"",""fr"")"),"Ensuite, il passe à un écran final annonçant le nom du service.")</f>
        <v>Ensuite, il passe à un écran final annonçant le nom du service.</v>
      </c>
    </row>
    <row r="11629">
      <c r="A11629" s="4" t="s">
        <v>14628</v>
      </c>
      <c r="B11629" s="4" t="s">
        <v>14629</v>
      </c>
      <c r="C11629" s="5" t="str">
        <f>IFERROR(__xludf.DUMMYFUNCTION("GOOGLETRANSLATE(B11629,""en"",""fr"")"),"Un policier monte un cheval dans la rue très lentement.")</f>
        <v>Un policier monte un cheval dans la rue très lentement.</v>
      </c>
    </row>
    <row r="11630">
      <c r="A11630" s="4" t="s">
        <v>14628</v>
      </c>
      <c r="B11630" s="4" t="s">
        <v>14630</v>
      </c>
      <c r="C11630" s="5" t="str">
        <f>IFERROR(__xludf.DUMMYFUNCTION("GOOGLETRANSLATE(B11630,""en"",""fr"")"),"De nombreux passants passent, les voitures passent et se déplacent avec désinvolture.")</f>
        <v>De nombreux passants passent, les voitures passent et se déplacent avec désinvolture.</v>
      </c>
    </row>
    <row r="11631">
      <c r="A11631" s="4" t="s">
        <v>14628</v>
      </c>
      <c r="B11631" s="6" t="s">
        <v>14631</v>
      </c>
      <c r="C11631" s="5" t="str">
        <f>IFERROR(__xludf.DUMMYFUNCTION("GOOGLETRANSLATE(B11631,""en"",""fr"")"),"C'est juste une journée normale de rouler dans la rue pour protéger la portion, en s'assurant qu'aucun crime n'est commis.")</f>
        <v>C'est juste une journée normale de rouler dans la rue pour protéger la portion, en s'assurant qu'aucun crime n'est commis.</v>
      </c>
    </row>
    <row r="11632">
      <c r="A11632" s="4" t="s">
        <v>14628</v>
      </c>
      <c r="B11632" s="4" t="s">
        <v>14632</v>
      </c>
      <c r="C11632" s="5" t="str">
        <f>IFERROR(__xludf.DUMMYFUNCTION("GOOGLETRANSLATE(B11632,""en"",""fr"")"),"Il monte avec l'une de ses mains sur son arme et l'autre dirigeant le cheval.")</f>
        <v>Il monte avec l'une de ses mains sur son arme et l'autre dirigeant le cheval.</v>
      </c>
    </row>
    <row r="11633">
      <c r="A11633" s="4" t="s">
        <v>14633</v>
      </c>
      <c r="B11633" s="4" t="s">
        <v>14634</v>
      </c>
      <c r="C11633" s="5" t="str">
        <f>IFERROR(__xludf.DUMMYFUNCTION("GOOGLETRANSLATE(B11633,""en"",""fr"")"),"Nous voyons un écran d'ouverture vert.")</f>
        <v>Nous voyons un écran d'ouverture vert.</v>
      </c>
    </row>
    <row r="11634">
      <c r="A11634" s="4" t="s">
        <v>14633</v>
      </c>
      <c r="B11634" s="4" t="s">
        <v>14635</v>
      </c>
      <c r="C11634" s="5" t="str">
        <f>IFERROR(__xludf.DUMMYFUNCTION("GOOGLETRANSLATE(B11634,""en"",""fr"")"),"Nous voyons des cheveux de dames en gros plan.")</f>
        <v>Nous voyons des cheveux de dames en gros plan.</v>
      </c>
    </row>
    <row r="11635">
      <c r="A11635" s="4" t="s">
        <v>14633</v>
      </c>
      <c r="B11635" s="4" t="s">
        <v>14636</v>
      </c>
      <c r="C11635" s="5" t="str">
        <f>IFERROR(__xludf.DUMMYFUNCTION("GOOGLETRANSLATE(B11635,""en"",""fr"")"),"Une dame parle en s'asseyant sur un canapé.")</f>
        <v>Une dame parle en s'asseyant sur un canapé.</v>
      </c>
    </row>
    <row r="11636">
      <c r="A11636" s="4" t="s">
        <v>14633</v>
      </c>
      <c r="B11636" s="4" t="s">
        <v>14637</v>
      </c>
      <c r="C11636" s="5" t="str">
        <f>IFERROR(__xludf.DUMMYFUNCTION("GOOGLETRANSLATE(B11636,""en"",""fr"")"),"Nous voyons une dame mettre un rouleau dans ses cheveux.")</f>
        <v>Nous voyons une dame mettre un rouleau dans ses cheveux.</v>
      </c>
    </row>
    <row r="11637">
      <c r="A11637" s="4" t="s">
        <v>14633</v>
      </c>
      <c r="B11637" s="4" t="s">
        <v>14638</v>
      </c>
      <c r="C11637" s="5" t="str">
        <f>IFERROR(__xludf.DUMMYFUNCTION("GOOGLETRANSLATE(B11637,""en"",""fr"")"),"Nous voyons ensuite le produit fini.")</f>
        <v>Nous voyons ensuite le produit fini.</v>
      </c>
    </row>
    <row r="11638">
      <c r="A11638" s="4" t="s">
        <v>14639</v>
      </c>
      <c r="B11638" s="4" t="s">
        <v>14640</v>
      </c>
      <c r="C11638" s="5" t="str">
        <f>IFERROR(__xludf.DUMMYFUNCTION("GOOGLETRANSLATE(B11638,""en"",""fr"")"),"Un homme allume une caméra.")</f>
        <v>Un homme allume une caméra.</v>
      </c>
    </row>
    <row r="11639">
      <c r="A11639" s="4" t="s">
        <v>14639</v>
      </c>
      <c r="B11639" s="4" t="s">
        <v>14641</v>
      </c>
      <c r="C11639" s="5" t="str">
        <f>IFERROR(__xludf.DUMMYFUNCTION("GOOGLETRANSLATE(B11639,""en"",""fr"")"),"Un homme en chemise noire s'accroupie sur un canapé et fumait le narguilé.")</f>
        <v>Un homme en chemise noire s'accroupie sur un canapé et fumait le narguilé.</v>
      </c>
    </row>
    <row r="11640">
      <c r="A11640" s="4" t="s">
        <v>14639</v>
      </c>
      <c r="B11640" s="4" t="s">
        <v>14642</v>
      </c>
      <c r="C11640" s="5" t="str">
        <f>IFERROR(__xludf.DUMMYFUNCTION("GOOGLETRANSLATE(B11640,""en"",""fr"")"),"L'homme tente de souffler des anneaux de fumée.")</f>
        <v>L'homme tente de souffler des anneaux de fumée.</v>
      </c>
    </row>
    <row r="11641">
      <c r="A11641" s="4" t="s">
        <v>14639</v>
      </c>
      <c r="B11641" s="4" t="s">
        <v>14643</v>
      </c>
      <c r="C11641" s="5" t="str">
        <f>IFERROR(__xludf.DUMMYFUNCTION("GOOGLETRANSLATE(B11641,""en"",""fr"")"),"L'homme souffle de la fumée directement à la caméra.")</f>
        <v>L'homme souffle de la fumée directement à la caméra.</v>
      </c>
    </row>
    <row r="11642">
      <c r="A11642" s="4" t="s">
        <v>14639</v>
      </c>
      <c r="B11642" s="4" t="s">
        <v>14644</v>
      </c>
      <c r="C11642" s="5" t="str">
        <f>IFERROR(__xludf.DUMMYFUNCTION("GOOGLETRANSLATE(B11642,""en"",""fr"")"),"L'homme continue de faire sauter la fumée directement à la caméra.")</f>
        <v>L'homme continue de faire sauter la fumée directement à la caméra.</v>
      </c>
    </row>
    <row r="11643">
      <c r="A11643" s="4" t="s">
        <v>14639</v>
      </c>
      <c r="B11643" s="4" t="s">
        <v>14645</v>
      </c>
      <c r="C11643" s="5" t="str">
        <f>IFERROR(__xludf.DUMMYFUNCTION("GOOGLETRANSLATE(B11643,""en"",""fr"")"),"L'homme arrive pour éteindre la caméra.")</f>
        <v>L'homme arrive pour éteindre la caméra.</v>
      </c>
    </row>
    <row r="11644">
      <c r="A11644" s="4" t="s">
        <v>14646</v>
      </c>
      <c r="B11644" s="4" t="s">
        <v>14647</v>
      </c>
      <c r="C11644" s="5" t="str">
        <f>IFERROR(__xludf.DUMMYFUNCTION("GOOGLETRANSLATE(B11644,""en"",""fr"")"),"La caméra zoome pour montrer la roue avant droite de la voiture.")</f>
        <v>La caméra zoome pour montrer la roue avant droite de la voiture.</v>
      </c>
    </row>
    <row r="11645">
      <c r="A11645" s="4" t="s">
        <v>14646</v>
      </c>
      <c r="B11645" s="4" t="s">
        <v>14648</v>
      </c>
      <c r="C11645" s="5" t="str">
        <f>IFERROR(__xludf.DUMMYFUNCTION("GOOGLETRANSLATE(B11645,""en"",""fr"")"),"La caméra zoome pour montrer à l'homme pulvérisant la voiture avec du savon.")</f>
        <v>La caméra zoome pour montrer à l'homme pulvérisant la voiture avec du savon.</v>
      </c>
    </row>
    <row r="11646">
      <c r="A11646" s="4" t="s">
        <v>14646</v>
      </c>
      <c r="B11646" s="6" t="s">
        <v>14649</v>
      </c>
      <c r="C11646" s="5" t="str">
        <f>IFERROR(__xludf.DUMMYFUNCTION("GOOGLETRANSLATE(B11646,""en"",""fr"")"),"La caméra zoome à nouveau pour montrer le savon qui coule à l'arrière de la voiture, puis la caméra se déplace pour montrer le côté gauche de la voiture.")</f>
        <v>La caméra zoome à nouveau pour montrer le savon qui coule à l'arrière de la voiture, puis la caméra se déplace pour montrer le côté gauche de la voiture.</v>
      </c>
    </row>
    <row r="11647">
      <c r="A11647" s="4" t="s">
        <v>14646</v>
      </c>
      <c r="B11647" s="4" t="s">
        <v>14650</v>
      </c>
      <c r="C11647" s="5" t="str">
        <f>IFERROR(__xludf.DUMMYFUNCTION("GOOGLETRANSLATE(B11647,""en"",""fr"")"),"Ensuite, deux hommes vaporisent de l'eau sur la voiture pour laver le savon.")</f>
        <v>Ensuite, deux hommes vaporisent de l'eau sur la voiture pour laver le savon.</v>
      </c>
    </row>
    <row r="11648">
      <c r="A11648" s="4" t="s">
        <v>14651</v>
      </c>
      <c r="B11648" s="4" t="s">
        <v>14652</v>
      </c>
      <c r="C11648" s="5" t="str">
        <f>IFERROR(__xludf.DUMMYFUNCTION("GOOGLETRANSLATE(B11648,""en"",""fr"")"),"Une femme se rend au milieu de la pièce.")</f>
        <v>Une femme se rend au milieu de la pièce.</v>
      </c>
    </row>
    <row r="11649">
      <c r="A11649" s="4" t="s">
        <v>14651</v>
      </c>
      <c r="B11649" s="4" t="s">
        <v>14653</v>
      </c>
      <c r="C11649" s="5" t="str">
        <f>IFERROR(__xludf.DUMMYFUNCTION("GOOGLETRANSLATE(B11649,""en"",""fr"")"),"Elle effectue des mouvements de danse du ventre.")</f>
        <v>Elle effectue des mouvements de danse du ventre.</v>
      </c>
    </row>
    <row r="11650">
      <c r="A11650" s="4" t="s">
        <v>14651</v>
      </c>
      <c r="B11650" s="4" t="s">
        <v>14654</v>
      </c>
      <c r="C11650" s="5" t="str">
        <f>IFERROR(__xludf.DUMMYFUNCTION("GOOGLETRANSLATE(B11650,""en"",""fr"")"),"Elle étend ses doigts et finit sa danse.")</f>
        <v>Elle étend ses doigts et finit sa danse.</v>
      </c>
    </row>
    <row r="11651">
      <c r="A11651" s="4" t="s">
        <v>14655</v>
      </c>
      <c r="B11651" s="4" t="s">
        <v>14656</v>
      </c>
      <c r="C11651" s="5" t="str">
        <f>IFERROR(__xludf.DUMMYFUNCTION("GOOGLETRANSLATE(B11651,""en"",""fr"")"),"Une femme tourne une personne des yeux bandés tenant un bâton à l'avant une piñata.")</f>
        <v>Une femme tourne une personne des yeux bandés tenant un bâton à l'avant une piñata.</v>
      </c>
    </row>
    <row r="11652">
      <c r="A11652" s="4" t="s">
        <v>14655</v>
      </c>
      <c r="B11652" s="4" t="s">
        <v>14657</v>
      </c>
      <c r="C11652" s="5" t="str">
        <f>IFERROR(__xludf.DUMMYFUNCTION("GOOGLETRANSLATE(B11652,""en"",""fr"")"),"Ensuite, la personne frappe la forte, tandis que la piñata bouge.")</f>
        <v>Ensuite, la personne frappe la forte, tandis que la piñata bouge.</v>
      </c>
    </row>
    <row r="11653">
      <c r="A11653" s="4" t="s">
        <v>14655</v>
      </c>
      <c r="B11653" s="4" t="s">
        <v>14658</v>
      </c>
      <c r="C11653" s="5" t="str">
        <f>IFERROR(__xludf.DUMMYFUNCTION("GOOGLETRANSLATE(B11653,""en"",""fr"")"),"La personne rie et la femme s'approche d'elle.")</f>
        <v>La personne rie et la femme s'approche d'elle.</v>
      </c>
    </row>
    <row r="11654">
      <c r="A11654" s="4" t="s">
        <v>14659</v>
      </c>
      <c r="B11654" s="4" t="s">
        <v>14660</v>
      </c>
      <c r="C11654" s="5" t="str">
        <f>IFERROR(__xludf.DUMMYFUNCTION("GOOGLETRANSLATE(B11654,""en"",""fr"")"),"Une introduction est montrée pour une vidéo sur la façon de nettoyer les pointes de course.")</f>
        <v>Une introduction est montrée pour une vidéo sur la façon de nettoyer les pointes de course.</v>
      </c>
    </row>
    <row r="11655">
      <c r="A11655" s="4" t="s">
        <v>14659</v>
      </c>
      <c r="B11655" s="4" t="s">
        <v>14661</v>
      </c>
      <c r="C11655" s="5" t="str">
        <f>IFERROR(__xludf.DUMMYFUNCTION("GOOGLETRANSLATE(B11655,""en"",""fr"")"),"Un gars explique qu'il nettoiera les pointes tout en montrant la saleté sur les pointes.")</f>
        <v>Un gars explique qu'il nettoiera les pointes tout en montrant la saleté sur les pointes.</v>
      </c>
    </row>
    <row r="11656">
      <c r="A11656" s="4" t="s">
        <v>14659</v>
      </c>
      <c r="B11656" s="4" t="s">
        <v>14662</v>
      </c>
      <c r="C11656" s="5" t="str">
        <f>IFERROR(__xludf.DUMMYFUNCTION("GOOGLETRANSLATE(B11656,""en"",""fr"")"),"Il commence par brosser la boue des pointes dans un évier.")</f>
        <v>Il commence par brosser la boue des pointes dans un évier.</v>
      </c>
    </row>
    <row r="11657">
      <c r="A11657" s="4" t="s">
        <v>14659</v>
      </c>
      <c r="B11657" s="4" t="s">
        <v>14663</v>
      </c>
      <c r="C11657" s="5" t="str">
        <f>IFERROR(__xludf.DUMMYFUNCTION("GOOGLETRANSLATE(B11657,""en"",""fr"")"),"Il met une petite quantité d'eau dans l'évier et continue de s'épuiser.")</f>
        <v>Il met une petite quantité d'eau dans l'évier et continue de s'épuiser.</v>
      </c>
    </row>
    <row r="11658">
      <c r="A11658" s="4" t="s">
        <v>14659</v>
      </c>
      <c r="B11658" s="4" t="s">
        <v>14664</v>
      </c>
      <c r="C11658" s="5" t="str">
        <f>IFERROR(__xludf.DUMMYFUNCTION("GOOGLETRANSLATE(B11658,""en"",""fr"")"),"Il les retire de l'évier et met du papier journal à l'intérieur des spectacles pour les aider à sécher.")</f>
        <v>Il les retire de l'évier et met du papier journal à l'intérieur des spectacles pour les aider à sécher.</v>
      </c>
    </row>
    <row r="11659">
      <c r="A11659" s="4" t="s">
        <v>14665</v>
      </c>
      <c r="B11659" s="4" t="s">
        <v>14666</v>
      </c>
      <c r="C11659" s="5" t="str">
        <f>IFERROR(__xludf.DUMMYFUNCTION("GOOGLETRANSLATE(B11659,""en"",""fr"")"),"Un individu utilise un tuyau d'aspirateur pour jouer avec un chien.")</f>
        <v>Un individu utilise un tuyau d'aspirateur pour jouer avec un chien.</v>
      </c>
    </row>
    <row r="11660">
      <c r="A11660" s="4" t="s">
        <v>14665</v>
      </c>
      <c r="B11660" s="4" t="s">
        <v>14667</v>
      </c>
      <c r="C11660" s="5" t="str">
        <f>IFERROR(__xludf.DUMMYFUNCTION("GOOGLETRANSLATE(B11660,""en"",""fr"")"),"La caméra passe à une vue plus latérale du chien.")</f>
        <v>La caméra passe à une vue plus latérale du chien.</v>
      </c>
    </row>
    <row r="11661">
      <c r="A11661" s="4" t="s">
        <v>14665</v>
      </c>
      <c r="B11661" s="4" t="s">
        <v>14668</v>
      </c>
      <c r="C11661" s="5" t="str">
        <f>IFERROR(__xludf.DUMMYFUNCTION("GOOGLETRANSLATE(B11661,""en"",""fr"")"),"La caméra passe à une vue plus haut de gamme du chien.")</f>
        <v>La caméra passe à une vue plus haut de gamme du chien.</v>
      </c>
    </row>
    <row r="11662">
      <c r="A11662" s="4" t="s">
        <v>14669</v>
      </c>
      <c r="B11662" s="4" t="s">
        <v>14670</v>
      </c>
      <c r="C11662" s="5" t="str">
        <f>IFERROR(__xludf.DUMMYFUNCTION("GOOGLETRANSLATE(B11662,""en"",""fr"")"),"Un homme plonge une éponge dans un seau.")</f>
        <v>Un homme plonge une éponge dans un seau.</v>
      </c>
    </row>
    <row r="11663">
      <c r="A11663" s="4" t="s">
        <v>14669</v>
      </c>
      <c r="B11663" s="4" t="s">
        <v>14671</v>
      </c>
      <c r="C11663" s="5" t="str">
        <f>IFERROR(__xludf.DUMMYFUNCTION("GOOGLETRANSLATE(B11663,""en"",""fr"")"),"Il utilise l'éponge pour essuyer la boue noire partout dans un garçon.")</f>
        <v>Il utilise l'éponge pour essuyer la boue noire partout dans un garçon.</v>
      </c>
    </row>
    <row r="11664">
      <c r="A11664" s="4" t="s">
        <v>14669</v>
      </c>
      <c r="B11664" s="4" t="s">
        <v>14672</v>
      </c>
      <c r="C11664" s="5" t="str">
        <f>IFERROR(__xludf.DUMMYFUNCTION("GOOGLETRANSLATE(B11664,""en"",""fr"")"),"D'autres personnes couvrent des gens dans la peinture.")</f>
        <v>D'autres personnes couvrent des gens dans la peinture.</v>
      </c>
    </row>
    <row r="11665">
      <c r="A11665" s="4" t="s">
        <v>14669</v>
      </c>
      <c r="B11665" s="4" t="s">
        <v>14673</v>
      </c>
      <c r="C11665" s="5" t="str">
        <f>IFERROR(__xludf.DUMMYFUNCTION("GOOGLETRANSLATE(B11665,""en"",""fr"")"),"Ils se préparent à la course des taureaux en Espagne.")</f>
        <v>Ils se préparent à la course des taureaux en Espagne.</v>
      </c>
    </row>
    <row r="11666">
      <c r="A11666" s="4" t="s">
        <v>14674</v>
      </c>
      <c r="B11666" s="4" t="s">
        <v>14675</v>
      </c>
      <c r="C11666" s="5" t="str">
        <f>IFERROR(__xludf.DUMMYFUNCTION("GOOGLETRANSLATE(B11666,""en"",""fr"")"),"Nous voyons un écran de titre sur blanc.")</f>
        <v>Nous voyons un écran de titre sur blanc.</v>
      </c>
    </row>
    <row r="11667">
      <c r="A11667" s="4" t="s">
        <v>14674</v>
      </c>
      <c r="B11667" s="4" t="s">
        <v>14676</v>
      </c>
      <c r="C11667" s="5" t="str">
        <f>IFERROR(__xludf.DUMMYFUNCTION("GOOGLETRANSLATE(B11667,""en"",""fr"")"),"Une dame a un gâteau bouleversé qu'elle remet dans le plateau.")</f>
        <v>Une dame a un gâteau bouleversé qu'elle remet dans le plateau.</v>
      </c>
    </row>
    <row r="11668">
      <c r="A11668" s="4" t="s">
        <v>14674</v>
      </c>
      <c r="B11668" s="4" t="s">
        <v>14677</v>
      </c>
      <c r="C11668" s="5" t="str">
        <f>IFERROR(__xludf.DUMMYFUNCTION("GOOGLETRANSLATE(B11668,""en"",""fr"")"),"La Lady tranche des parties du gâteau et la retourne à nouveau.")</f>
        <v>La Lady tranche des parties du gâteau et la retourne à nouveau.</v>
      </c>
    </row>
    <row r="11669">
      <c r="A11669" s="4" t="s">
        <v>14674</v>
      </c>
      <c r="B11669" s="4" t="s">
        <v>14678</v>
      </c>
      <c r="C11669" s="5" t="str">
        <f>IFERROR(__xludf.DUMMYFUNCTION("GOOGLETRANSLATE(B11669,""en"",""fr"")"),"La dame coupe les bords du gâteau.")</f>
        <v>La dame coupe les bords du gâteau.</v>
      </c>
    </row>
    <row r="11670">
      <c r="A11670" s="4" t="s">
        <v>14674</v>
      </c>
      <c r="B11670" s="4" t="s">
        <v>14679</v>
      </c>
      <c r="C11670" s="5" t="str">
        <f>IFERROR(__xludf.DUMMYFUNCTION("GOOGLETRANSLATE(B11670,""en"",""fr"")"),"La dame déplace tout et le ramène.")</f>
        <v>La dame déplace tout et le ramène.</v>
      </c>
    </row>
    <row r="11671">
      <c r="A11671" s="4" t="s">
        <v>14674</v>
      </c>
      <c r="B11671" s="4" t="s">
        <v>1380</v>
      </c>
      <c r="C11671" s="5" t="str">
        <f>IFERROR(__xludf.DUMMYFUNCTION("GOOGLETRANSLATE(B11671,""en"",""fr"")"),"Nous voyons ensuite les crédits de fin.")</f>
        <v>Nous voyons ensuite les crédits de fin.</v>
      </c>
    </row>
    <row r="11672">
      <c r="A11672" s="4" t="s">
        <v>14680</v>
      </c>
      <c r="B11672" s="4" t="s">
        <v>14681</v>
      </c>
      <c r="C11672" s="5" t="str">
        <f>IFERROR(__xludf.DUMMYFUNCTION("GOOGLETRANSLATE(B11672,""en"",""fr"")"),"Un homme est vu marcher à côté d'une haie dans une zone publique avec un chien à côté de lui.")</f>
        <v>Un homme est vu marcher à côté d'une haie dans une zone publique avec un chien à côté de lui.</v>
      </c>
    </row>
    <row r="11673">
      <c r="A11673" s="4" t="s">
        <v>14680</v>
      </c>
      <c r="B11673" s="4" t="s">
        <v>14682</v>
      </c>
      <c r="C11673" s="5" t="str">
        <f>IFERROR(__xludf.DUMMYFUNCTION("GOOGLETRANSLATE(B11673,""en"",""fr"")"),"Le chien se voit marcher sur ses deux jambes et sauter à la fin.")</f>
        <v>Le chien se voit marcher sur ses deux jambes et sauter à la fin.</v>
      </c>
    </row>
    <row r="11674">
      <c r="A11674" s="4" t="s">
        <v>14683</v>
      </c>
      <c r="B11674" s="4" t="s">
        <v>14684</v>
      </c>
      <c r="C11674" s="5" t="str">
        <f>IFERROR(__xludf.DUMMYFUNCTION("GOOGLETRANSLATE(B11674,""en"",""fr"")"),"Quelqu'un dessine du ruban adhésif et le coupe.")</f>
        <v>Quelqu'un dessine du ruban adhésif et le coupe.</v>
      </c>
    </row>
    <row r="11675">
      <c r="A11675" s="4" t="s">
        <v>14683</v>
      </c>
      <c r="B11675" s="4" t="s">
        <v>14685</v>
      </c>
      <c r="C11675" s="5" t="str">
        <f>IFERROR(__xludf.DUMMYFUNCTION("GOOGLETRANSLATE(B11675,""en"",""fr"")"),"Ils trempent un pinceau dans la peinture et le peignent le mettent sur une éponge.")</f>
        <v>Ils trempent un pinceau dans la peinture et le peignent le mettent sur une éponge.</v>
      </c>
    </row>
    <row r="11676">
      <c r="A11676" s="4" t="s">
        <v>14683</v>
      </c>
      <c r="B11676" s="4" t="s">
        <v>14686</v>
      </c>
      <c r="C11676" s="5" t="str">
        <f>IFERROR(__xludf.DUMMYFUNCTION("GOOGLETRANSLATE(B11676,""en"",""fr"")"),"Ils ont mis cela sur leur ongle et ont mis une couche de finition.")</f>
        <v>Ils ont mis cela sur leur ongle et ont mis une couche de finition.</v>
      </c>
    </row>
    <row r="11677">
      <c r="A11677" s="4" t="s">
        <v>14683</v>
      </c>
      <c r="B11677" s="4" t="s">
        <v>14687</v>
      </c>
      <c r="C11677" s="5" t="str">
        <f>IFERROR(__xludf.DUMMYFUNCTION("GOOGLETRANSLATE(B11677,""en"",""fr"")"),"Ils ont mis des paillettes sur le cœur sur l'ongle.")</f>
        <v>Ils ont mis des paillettes sur le cœur sur l'ongle.</v>
      </c>
    </row>
    <row r="11678">
      <c r="A11678" s="4" t="s">
        <v>14688</v>
      </c>
      <c r="B11678" s="4" t="s">
        <v>14689</v>
      </c>
      <c r="C11678" s="5" t="str">
        <f>IFERROR(__xludf.DUMMYFUNCTION("GOOGLETRANSLATE(B11678,""en"",""fr"")"),"Une jeune fille a plusieurs personnes ouvertes l'œil tandis qu'un autre essaie de mettre une lentille de contact.")</f>
        <v>Une jeune fille a plusieurs personnes ouvertes l'œil tandis qu'un autre essaie de mettre une lentille de contact.</v>
      </c>
    </row>
    <row r="11679">
      <c r="A11679" s="4" t="s">
        <v>14688</v>
      </c>
      <c r="B11679" s="4" t="s">
        <v>14690</v>
      </c>
      <c r="C11679" s="5" t="str">
        <f>IFERROR(__xludf.DUMMYFUNCTION("GOOGLETRANSLATE(B11679,""en"",""fr"")"),"Ils ne peuvent pas mettre l'objectif à l'œil au début et essayer encore et encore.")</f>
        <v>Ils ne peuvent pas mettre l'objectif à l'œil au début et essayer encore et encore.</v>
      </c>
    </row>
    <row r="11680">
      <c r="A11680" s="4" t="s">
        <v>14688</v>
      </c>
      <c r="B11680" s="4" t="s">
        <v>14691</v>
      </c>
      <c r="C11680" s="5" t="str">
        <f>IFERROR(__xludf.DUMMYFUNCTION("GOOGLETRANSLATE(B11680,""en"",""fr"")"),"Ils finissent par réussir l'objectif, mais la fille se lève alors que les thers rit.")</f>
        <v>Ils finissent par réussir l'objectif, mais la fille se lève alors que les thers rit.</v>
      </c>
    </row>
    <row r="11681">
      <c r="A11681" s="4" t="s">
        <v>14692</v>
      </c>
      <c r="B11681" s="4" t="s">
        <v>14693</v>
      </c>
      <c r="C11681" s="5" t="str">
        <f>IFERROR(__xludf.DUMMYFUNCTION("GOOGLETRANSLATE(B11681,""en"",""fr"")"),"Les gens chevauchent des chevaux dans une arène intérieure.")</f>
        <v>Les gens chevauchent des chevaux dans une arène intérieure.</v>
      </c>
    </row>
    <row r="11682">
      <c r="A11682" s="4" t="s">
        <v>14692</v>
      </c>
      <c r="B11682" s="4" t="s">
        <v>14694</v>
      </c>
      <c r="C11682" s="5" t="str">
        <f>IFERROR(__xludf.DUMMYFUNCTION("GOOGLETRANSLATE(B11682,""en"",""fr"")"),"Les gens sont assis à l'extérieur de l'arène en les regardant.")</f>
        <v>Les gens sont assis à l'extérieur de l'arène en les regardant.</v>
      </c>
    </row>
    <row r="11683">
      <c r="A11683" s="4" t="s">
        <v>14692</v>
      </c>
      <c r="B11683" s="4" t="s">
        <v>14695</v>
      </c>
      <c r="C11683" s="5" t="str">
        <f>IFERROR(__xludf.DUMMYFUNCTION("GOOGLETRANSLATE(B11683,""en"",""fr"")"),"Ils arrêtent les chevaux et la fille se retourne.")</f>
        <v>Ils arrêtent les chevaux et la fille se retourne.</v>
      </c>
    </row>
    <row r="11684">
      <c r="A11684" s="4" t="s">
        <v>14696</v>
      </c>
      <c r="B11684" s="6" t="s">
        <v>14697</v>
      </c>
      <c r="C11684" s="5" t="str">
        <f>IFERROR(__xludf.DUMMYFUNCTION("GOOGLETRANSLATE(B11684,""en"",""fr"")"),"Un homme et une femme sont assis dans les hooters le restaurant, la femme est une employée et le gars est un client régulier.")</f>
        <v>Un homme et une femme sont assis dans les hooters le restaurant, la femme est une employée et le gars est un client régulier.</v>
      </c>
    </row>
    <row r="11685">
      <c r="A11685" s="4" t="s">
        <v>14696</v>
      </c>
      <c r="B11685" s="4" t="s">
        <v>14698</v>
      </c>
      <c r="C11685" s="5" t="str">
        <f>IFERROR(__xludf.DUMMYFUNCTION("GOOGLETRANSLATE(B11685,""en"",""fr"")"),"Il attrape une bière puis embrasse les filles.")</f>
        <v>Il attrape une bière puis embrasse les filles.</v>
      </c>
    </row>
    <row r="11686">
      <c r="A11686" s="4" t="s">
        <v>14696</v>
      </c>
      <c r="B11686" s="6" t="s">
        <v>14699</v>
      </c>
      <c r="C11686" s="5" t="str">
        <f>IFERROR(__xludf.DUMMYFUNCTION("GOOGLETRANSLATE(B11686,""en"",""fr"")"),"Il essaie trois fois de plus et il réussit mais la troisième fille a été par accident et elle frappe le gars et en devient extrêmement bouleversée.")</f>
        <v>Il essaie trois fois de plus et il réussit mais la troisième fille a été par accident et elle frappe le gars et en devient extrêmement bouleversée.</v>
      </c>
    </row>
    <row r="11687">
      <c r="A11687" s="4" t="s">
        <v>14696</v>
      </c>
      <c r="B11687" s="4" t="s">
        <v>14700</v>
      </c>
      <c r="C11687" s="5" t="str">
        <f>IFERROR(__xludf.DUMMYFUNCTION("GOOGLETRANSLATE(B11687,""en"",""fr"")"),"Le mâle le refait à nouveau et plus de filles du restaurant commencent à l'embrasser.")</f>
        <v>Le mâle le refait à nouveau et plus de filles du restaurant commencent à l'embrasser.</v>
      </c>
    </row>
    <row r="11688">
      <c r="A11688" s="4" t="s">
        <v>14701</v>
      </c>
      <c r="B11688" s="4" t="s">
        <v>14702</v>
      </c>
      <c r="C11688" s="5" t="str">
        <f>IFERROR(__xludf.DUMMYFUNCTION("GOOGLETRANSLATE(B11688,""en"",""fr"")"),"Il y a un homme dans la piscine jouant du water-polo.")</f>
        <v>Il y a un homme dans la piscine jouant du water-polo.</v>
      </c>
    </row>
    <row r="11689">
      <c r="A11689" s="4" t="s">
        <v>14701</v>
      </c>
      <c r="B11689" s="4" t="s">
        <v>14703</v>
      </c>
      <c r="C11689" s="5" t="str">
        <f>IFERROR(__xludf.DUMMYFUNCTION("GOOGLETRANSLATE(B11689,""en"",""fr"")"),"Il est dans la piscine en jouant du polo à eau avec une balle jaune et deux autres personnes.")</f>
        <v>Il est dans la piscine en jouant du polo à eau avec une balle jaune et deux autres personnes.</v>
      </c>
    </row>
    <row r="11690">
      <c r="A11690" s="4" t="s">
        <v>14701</v>
      </c>
      <c r="B11690" s="4" t="s">
        <v>14704</v>
      </c>
      <c r="C11690" s="5" t="str">
        <f>IFERROR(__xludf.DUMMYFUNCTION("GOOGLETRANSLATE(B11690,""en"",""fr"")"),"Il lance le ballon et les gens assis près de la piscine et le regardant jouer à bruyamment.")</f>
        <v>Il lance le ballon et les gens assis près de la piscine et le regardant jouer à bruyamment.</v>
      </c>
    </row>
    <row r="11691">
      <c r="A11691" s="4" t="s">
        <v>14705</v>
      </c>
      <c r="B11691" s="4" t="s">
        <v>14706</v>
      </c>
      <c r="C11691" s="5" t="str">
        <f>IFERROR(__xludf.DUMMYFUNCTION("GOOGLETRANSLATE(B11691,""en"",""fr"")"),"Deux hommes sont vus portant des gants de boxe et des coups de poing et des coups de pied.")</f>
        <v>Deux hommes sont vus portant des gants de boxe et des coups de poing et des coups de pied.</v>
      </c>
    </row>
    <row r="11692">
      <c r="A11692" s="4" t="s">
        <v>14705</v>
      </c>
      <c r="B11692" s="6" t="s">
        <v>14707</v>
      </c>
      <c r="C11692" s="5" t="str">
        <f>IFERROR(__xludf.DUMMYFUNCTION("GOOGLETRANSLATE(B11692,""en"",""fr"")"),"Les hommes continuent de revenir en arrière et quatrième les uns avec les autres et un texte apparaît à la fin de la vidéo.")</f>
        <v>Les hommes continuent de revenir en arrière et quatrième les uns avec les autres et un texte apparaît à la fin de la vidéo.</v>
      </c>
    </row>
    <row r="11693">
      <c r="A11693" s="4" t="s">
        <v>14708</v>
      </c>
      <c r="B11693" s="4" t="s">
        <v>14709</v>
      </c>
      <c r="C11693" s="5" t="str">
        <f>IFERROR(__xludf.DUMMYFUNCTION("GOOGLETRANSLATE(B11693,""en"",""fr"")"),"Un garçon rencontre le tir et donne un coup de pied à un ballon de football.")</f>
        <v>Un garçon rencontre le tir et donne un coup de pied à un ballon de football.</v>
      </c>
    </row>
    <row r="11694">
      <c r="A11694" s="4" t="s">
        <v>14708</v>
      </c>
      <c r="B11694" s="4" t="s">
        <v>14710</v>
      </c>
      <c r="C11694" s="5" t="str">
        <f>IFERROR(__xludf.DUMMYFUNCTION("GOOGLETRANSLATE(B11694,""en"",""fr"")"),"La balle lance vers une foule dans un parc.")</f>
        <v>La balle lance vers une foule dans un parc.</v>
      </c>
    </row>
    <row r="11695">
      <c r="A11695" s="4" t="s">
        <v>14708</v>
      </c>
      <c r="B11695" s="4" t="s">
        <v>14711</v>
      </c>
      <c r="C11695" s="5" t="str">
        <f>IFERROR(__xludf.DUMMYFUNCTION("GOOGLETRANSLATE(B11695,""en"",""fr"")"),"Peu d'autres garçons essaient d'attraper la balle en mouvement.")</f>
        <v>Peu d'autres garçons essaient d'attraper la balle en mouvement.</v>
      </c>
    </row>
    <row r="11696">
      <c r="A11696" s="4" t="s">
        <v>14708</v>
      </c>
      <c r="B11696" s="4" t="s">
        <v>14712</v>
      </c>
      <c r="C11696" s="5" t="str">
        <f>IFERROR(__xludf.DUMMYFUNCTION("GOOGLETRANSLATE(B11696,""en"",""fr"")"),"Un garçon finit par repousser le ballon vers la caméra.")</f>
        <v>Un garçon finit par repousser le ballon vers la caméra.</v>
      </c>
    </row>
    <row r="11697">
      <c r="A11697" s="4" t="s">
        <v>14708</v>
      </c>
      <c r="B11697" s="6" t="s">
        <v>14713</v>
      </c>
      <c r="C11697" s="5" t="str">
        <f>IFERROR(__xludf.DUMMYFUNCTION("GOOGLETRANSLATE(B11697,""en"",""fr"")"),"Une fille vient de la ligne de touche et rejette le ballon vers la foule des garçons et les enfants continuent ce cycle de coups de pied.")</f>
        <v>Une fille vient de la ligne de touche et rejette le ballon vers la foule des garçons et les enfants continuent ce cycle de coups de pied.</v>
      </c>
    </row>
    <row r="11698">
      <c r="A11698" s="4" t="s">
        <v>14714</v>
      </c>
      <c r="B11698" s="6" t="s">
        <v>14715</v>
      </c>
      <c r="C11698" s="5" t="str">
        <f>IFERROR(__xludf.DUMMYFUNCTION("GOOGLETRANSLATE(B11698,""en"",""fr"")"),"Un homme et une femme sont montrés assis à une table avec une cigarette dans sa bouche et leurs bras croisés les uns contre les autres.")</f>
        <v>Un homme et une femme sont montrés assis à une table avec une cigarette dans sa bouche et leurs bras croisés les uns contre les autres.</v>
      </c>
    </row>
    <row r="11699">
      <c r="A11699" s="4" t="s">
        <v>14714</v>
      </c>
      <c r="B11699" s="4" t="s">
        <v>14716</v>
      </c>
      <c r="C11699" s="5" t="str">
        <f>IFERROR(__xludf.DUMMYFUNCTION("GOOGLETRANSLATE(B11699,""en"",""fr"")"),"Ils commencent des luttes de bras et la fille avec la cigarette bat l'homme.")</f>
        <v>Ils commencent des luttes de bras et la fille avec la cigarette bat l'homme.</v>
      </c>
    </row>
    <row r="11700">
      <c r="A11700" s="4" t="s">
        <v>14717</v>
      </c>
      <c r="B11700" s="4" t="s">
        <v>14718</v>
      </c>
      <c r="C11700" s="5" t="str">
        <f>IFERROR(__xludf.DUMMYFUNCTION("GOOGLETRANSLATE(B11700,""en"",""fr"")"),"Une personne est vue en train de descendre un escalier et de tenir divers éléments de mesure.")</f>
        <v>Une personne est vue en train de descendre un escalier et de tenir divers éléments de mesure.</v>
      </c>
    </row>
    <row r="11701">
      <c r="A11701" s="4" t="s">
        <v>14717</v>
      </c>
      <c r="B11701" s="4" t="s">
        <v>14719</v>
      </c>
      <c r="C11701" s="5" t="str">
        <f>IFERROR(__xludf.DUMMYFUNCTION("GOOGLETRANSLATE(B11701,""en"",""fr"")"),"L'homme s'agenouille et commence à mettre la moquette sur le sol ainsi que dans les escaliers.")</f>
        <v>L'homme s'agenouille et commence à mettre la moquette sur le sol ainsi que dans les escaliers.</v>
      </c>
    </row>
    <row r="11702">
      <c r="A11702" s="4" t="s">
        <v>14717</v>
      </c>
      <c r="B11702" s="4" t="s">
        <v>14720</v>
      </c>
      <c r="C11702" s="5" t="str">
        <f>IFERROR(__xludf.DUMMYFUNCTION("GOOGLETRANSLATE(B11702,""en"",""fr"")"),"L'homme finit de poser le tapis et la caméra zoomant sur son travail.")</f>
        <v>L'homme finit de poser le tapis et la caméra zoomant sur son travail.</v>
      </c>
    </row>
    <row r="11703">
      <c r="A11703" s="4" t="s">
        <v>14721</v>
      </c>
      <c r="B11703" s="4" t="s">
        <v>14722</v>
      </c>
      <c r="C11703" s="5" t="str">
        <f>IFERROR(__xludf.DUMMYFUNCTION("GOOGLETRANSLATE(B11703,""en"",""fr"")"),"Un homme assis regarde un presse-papiers.")</f>
        <v>Un homme assis regarde un presse-papiers.</v>
      </c>
    </row>
    <row r="11704">
      <c r="A11704" s="4" t="s">
        <v>14721</v>
      </c>
      <c r="B11704" s="4" t="s">
        <v>14723</v>
      </c>
      <c r="C11704" s="5" t="str">
        <f>IFERROR(__xludf.DUMMYFUNCTION("GOOGLETRANSLATE(B11704,""en"",""fr"")"),"L'homme commence à fumer à partir d'une grande pipe.")</f>
        <v>L'homme commence à fumer à partir d'une grande pipe.</v>
      </c>
    </row>
    <row r="11705">
      <c r="A11705" s="4" t="s">
        <v>14721</v>
      </c>
      <c r="B11705" s="4" t="s">
        <v>14724</v>
      </c>
      <c r="C11705" s="5" t="str">
        <f>IFERROR(__xludf.DUMMYFUNCTION("GOOGLETRANSLATE(B11705,""en"",""fr"")"),"La caméra se déroule pour montrer les différents éléments de la table devant lui.")</f>
        <v>La caméra se déroule pour montrer les différents éléments de la table devant lui.</v>
      </c>
    </row>
    <row r="11706">
      <c r="A11706" s="4" t="s">
        <v>14721</v>
      </c>
      <c r="B11706" s="4" t="s">
        <v>14725</v>
      </c>
      <c r="C11706" s="5" t="str">
        <f>IFERROR(__xludf.DUMMYFUNCTION("GOOGLETRANSLATE(B11706,""en"",""fr"")"),"La caméra se remet à l'homme.")</f>
        <v>La caméra se remet à l'homme.</v>
      </c>
    </row>
    <row r="11707">
      <c r="A11707" s="4" t="s">
        <v>14726</v>
      </c>
      <c r="B11707" s="6" t="s">
        <v>14727</v>
      </c>
      <c r="C11707" s="5" t="str">
        <f>IFERROR(__xludf.DUMMYFUNCTION("GOOGLETRANSLATE(B11707,""en"",""fr"")"),"Les gens naviguent dans un bateau dans une rivière, et un homme tire une chaîne d'une personne qui se prépare pour effectuer du ski nautique.")</f>
        <v>Les gens naviguent dans un bateau dans une rivière, et un homme tire une chaîne d'une personne qui se prépare pour effectuer du ski nautique.</v>
      </c>
    </row>
    <row r="11708">
      <c r="A11708" s="4" t="s">
        <v>14726</v>
      </c>
      <c r="B11708" s="4" t="s">
        <v>14728</v>
      </c>
      <c r="C11708" s="5" t="str">
        <f>IFERROR(__xludf.DUMMYFUNCTION("GOOGLETRANSLATE(B11708,""en"",""fr"")"),"Ensuite, la personne skie nautique derrière le bateau pendant que les gens regardent.")</f>
        <v>Ensuite, la personne skie nautique derrière le bateau pendant que les gens regardent.</v>
      </c>
    </row>
    <row r="11709">
      <c r="A11709" s="4" t="s">
        <v>14726</v>
      </c>
      <c r="B11709" s="4" t="s">
        <v>14729</v>
      </c>
      <c r="C11709" s="5" t="str">
        <f>IFERROR(__xludf.DUMMYFUNCTION("GOOGLETRANSLATE(B11709,""en"",""fr"")"),"La personne tombe dans l'eau, mais se tient à nouveau et continue de faire du ski nautique.")</f>
        <v>La personne tombe dans l'eau, mais se tient à nouveau et continue de faire du ski nautique.</v>
      </c>
    </row>
    <row r="11710">
      <c r="A11710" s="4" t="s">
        <v>14726</v>
      </c>
      <c r="B11710" s="4" t="s">
        <v>14730</v>
      </c>
      <c r="C11710" s="5" t="str">
        <f>IFERROR(__xludf.DUMMYFUNCTION("GOOGLETRANSLATE(B11710,""en"",""fr"")"),"Un bateau apparaît dans la rivière derrière la personne, tandis que la personne skiable.")</f>
        <v>Un bateau apparaît dans la rivière derrière la personne, tandis que la personne skiable.</v>
      </c>
    </row>
    <row r="11711">
      <c r="A11711" s="4" t="s">
        <v>14726</v>
      </c>
      <c r="B11711" s="4" t="s">
        <v>14731</v>
      </c>
      <c r="C11711" s="5" t="str">
        <f>IFERROR(__xludf.DUMMYFUNCTION("GOOGLETRANSLATE(B11711,""en"",""fr"")"),"La personne tombe à nouveau dans l'eau, les gens du bateau rient et un homme fait du pouce.")</f>
        <v>La personne tombe à nouveau dans l'eau, les gens du bateau rient et un homme fait du pouce.</v>
      </c>
    </row>
    <row r="11712">
      <c r="A11712" s="4" t="s">
        <v>14732</v>
      </c>
      <c r="B11712" s="4" t="s">
        <v>14733</v>
      </c>
      <c r="C11712" s="5" t="str">
        <f>IFERROR(__xludf.DUMMYFUNCTION("GOOGLETRANSLATE(B11712,""en"",""fr"")"),"Une fille avec une corde à sauter est en short athlétique et un t-shirt, tenant une corde de saut.")</f>
        <v>Une fille avec une corde à sauter est en short athlétique et un t-shirt, tenant une corde de saut.</v>
      </c>
    </row>
    <row r="11713">
      <c r="A11713" s="4" t="s">
        <v>14732</v>
      </c>
      <c r="B11713" s="6" t="s">
        <v>14734</v>
      </c>
      <c r="C11713" s="5" t="str">
        <f>IFERROR(__xludf.DUMMYFUNCTION("GOOGLETRANSLATE(B11713,""en"",""fr"")"),"Elle commence à préformer des cascades compliquées, telles que les stands de main, les flips et les divisions en sautant la corde.")</f>
        <v>Elle commence à préformer des cascades compliquées, telles que les stands de main, les flips et les divisions en sautant la corde.</v>
      </c>
    </row>
    <row r="11714">
      <c r="A11714" s="4" t="s">
        <v>14732</v>
      </c>
      <c r="B11714" s="6" t="s">
        <v>14735</v>
      </c>
      <c r="C11714" s="5" t="str">
        <f>IFERROR(__xludf.DUMMYFUNCTION("GOOGLETRANSLATE(B11714,""en"",""fr"")"),"Elle a un bref accident alors qu'elle laisse tomber la corde de saut, puis la ramasse pour reprendre sa performance.")</f>
        <v>Elle a un bref accident alors qu'elle laisse tomber la corde de saut, puis la ramasse pour reprendre sa performance.</v>
      </c>
    </row>
    <row r="11715">
      <c r="A11715" s="4" t="s">
        <v>14732</v>
      </c>
      <c r="B11715" s="6" t="s">
        <v>14736</v>
      </c>
      <c r="C11715" s="5" t="str">
        <f>IFERROR(__xludf.DUMMYFUNCTION("GOOGLETRANSLATE(B11715,""en"",""fr"")"),"Beaucoup de gens sont assis sur la touche, certains qui regardent en tant que public, certains sont des juges, certains filment l'événement.")</f>
        <v>Beaucoup de gens sont assis sur la touche, certains qui regardent en tant que public, certains sont des juges, certains filment l'événement.</v>
      </c>
    </row>
    <row r="11716">
      <c r="A11716" s="4" t="s">
        <v>14737</v>
      </c>
      <c r="B11716" s="4" t="s">
        <v>14738</v>
      </c>
      <c r="C11716" s="5" t="str">
        <f>IFERROR(__xludf.DUMMYFUNCTION("GOOGLETRANSLATE(B11716,""en"",""fr"")"),"Une caméra se déroule autour d'une grande cour pour montrer deux personnes déplaçant un bar en bois.")</f>
        <v>Une caméra se déroule autour d'une grande cour pour montrer deux personnes déplaçant un bar en bois.</v>
      </c>
    </row>
    <row r="11717">
      <c r="A11717" s="4" t="s">
        <v>14737</v>
      </c>
      <c r="B11717" s="4" t="s">
        <v>14739</v>
      </c>
      <c r="C11717" s="5" t="str">
        <f>IFERROR(__xludf.DUMMYFUNCTION("GOOGLETRANSLATE(B11717,""en"",""fr"")"),"Un homme monte ensuite sur la barre et commence à utiliser un outil pour réduire les haies.")</f>
        <v>Un homme monte ensuite sur la barre et commence à utiliser un outil pour réduire les haies.</v>
      </c>
    </row>
    <row r="11718">
      <c r="A11718" s="4" t="s">
        <v>14737</v>
      </c>
      <c r="B11718" s="4" t="s">
        <v>14740</v>
      </c>
      <c r="C11718" s="5" t="str">
        <f>IFERROR(__xludf.DUMMYFUNCTION("GOOGLETRANSLATE(B11718,""en"",""fr"")"),"L'homme regarde la parole à la caméra et les hommes déplacent la barre.")</f>
        <v>L'homme regarde la parole à la caméra et les hommes déplacent la barre.</v>
      </c>
    </row>
    <row r="11719">
      <c r="A11719" s="4" t="s">
        <v>14741</v>
      </c>
      <c r="B11719" s="4" t="s">
        <v>14742</v>
      </c>
      <c r="C11719" s="5" t="str">
        <f>IFERROR(__xludf.DUMMYFUNCTION("GOOGLETRANSLATE(B11719,""en"",""fr"")"),"Nous voyons un gars dans un gymnase tenant une corde de saut.")</f>
        <v>Nous voyons un gars dans un gymnase tenant une corde de saut.</v>
      </c>
    </row>
    <row r="11720">
      <c r="A11720" s="4" t="s">
        <v>14741</v>
      </c>
      <c r="B11720" s="4" t="s">
        <v>14743</v>
      </c>
      <c r="C11720" s="5" t="str">
        <f>IFERROR(__xludf.DUMMYFUNCTION("GOOGLETRANSLATE(B11720,""en"",""fr"")"),"Le gars fait une routine de corde de saut.")</f>
        <v>Le gars fait une routine de corde de saut.</v>
      </c>
    </row>
    <row r="11721">
      <c r="A11721" s="4" t="s">
        <v>14741</v>
      </c>
      <c r="B11721" s="4" t="s">
        <v>14744</v>
      </c>
      <c r="C11721" s="5" t="str">
        <f>IFERROR(__xludf.DUMMYFUNCTION("GOOGLETRANSLATE(B11721,""en"",""fr"")"),"Le gars fait un flip avec la corde.")</f>
        <v>Le gars fait un flip avec la corde.</v>
      </c>
    </row>
    <row r="11722">
      <c r="A11722" s="4" t="s">
        <v>14741</v>
      </c>
      <c r="B11722" s="4" t="s">
        <v>14745</v>
      </c>
      <c r="C11722" s="5" t="str">
        <f>IFERROR(__xludf.DUMMYFUNCTION("GOOGLETRANSLATE(B11722,""en"",""fr"")"),"Le gars fait deux pompes.")</f>
        <v>Le gars fait deux pompes.</v>
      </c>
    </row>
    <row r="11723">
      <c r="A11723" s="4" t="s">
        <v>14741</v>
      </c>
      <c r="B11723" s="4" t="s">
        <v>14746</v>
      </c>
      <c r="C11723" s="5" t="str">
        <f>IFERROR(__xludf.DUMMYFUNCTION("GOOGLETRANSLATE(B11723,""en"",""fr"")"),"La jambe des gars se fait prendre sur la corde.")</f>
        <v>La jambe des gars se fait prendre sur la corde.</v>
      </c>
    </row>
    <row r="11724">
      <c r="A11724" s="4" t="s">
        <v>14741</v>
      </c>
      <c r="B11724" s="4" t="s">
        <v>14747</v>
      </c>
      <c r="C11724" s="5" t="str">
        <f>IFERROR(__xludf.DUMMYFUNCTION("GOOGLETRANSLATE(B11724,""en"",""fr"")"),"Le gars saute haut et la corde se mèche à nouveau.")</f>
        <v>Le gars saute haut et la corde se mèche à nouveau.</v>
      </c>
    </row>
    <row r="11725">
      <c r="A11725" s="4" t="s">
        <v>14741</v>
      </c>
      <c r="B11725" s="4" t="s">
        <v>14748</v>
      </c>
      <c r="C11725" s="5" t="str">
        <f>IFERROR(__xludf.DUMMYFUNCTION("GOOGLETRANSLATE(B11725,""en"",""fr"")"),"Le gars termine et se couche par terre.")</f>
        <v>Le gars termine et se couche par terre.</v>
      </c>
    </row>
    <row r="11726">
      <c r="A11726" s="4" t="s">
        <v>14741</v>
      </c>
      <c r="B11726" s="4" t="s">
        <v>14749</v>
      </c>
      <c r="C11726" s="5" t="str">
        <f>IFERROR(__xludf.DUMMYFUNCTION("GOOGLETRANSLATE(B11726,""en"",""fr"")"),"Le gars se lève et s'éloigne.")</f>
        <v>Le gars se lève et s'éloigne.</v>
      </c>
    </row>
    <row r="11727">
      <c r="A11727" s="4" t="s">
        <v>14750</v>
      </c>
      <c r="B11727" s="4" t="s">
        <v>14751</v>
      </c>
      <c r="C11727" s="5" t="str">
        <f>IFERROR(__xludf.DUMMYFUNCTION("GOOGLETRANSLATE(B11727,""en"",""fr"")"),"Une femme pose sur une plongée.")</f>
        <v>Une femme pose sur une plongée.</v>
      </c>
    </row>
    <row r="11728">
      <c r="A11728" s="4" t="s">
        <v>14750</v>
      </c>
      <c r="B11728" s="4" t="s">
        <v>14752</v>
      </c>
      <c r="C11728" s="5" t="str">
        <f>IFERROR(__xludf.DUMMYFUNCTION("GOOGLETRANSLATE(B11728,""en"",""fr"")"),"Elle recule dans l'eau devant un groupe d'observation.")</f>
        <v>Elle recule dans l'eau devant un groupe d'observation.</v>
      </c>
    </row>
    <row r="11729">
      <c r="A11729" s="4" t="s">
        <v>14753</v>
      </c>
      <c r="B11729" s="4" t="s">
        <v>14754</v>
      </c>
      <c r="C11729" s="5" t="str">
        <f>IFERROR(__xludf.DUMMYFUNCTION("GOOGLETRANSLATE(B11729,""en"",""fr"")"),"Nous voyons un couple danser sur une piste de danse dans un club.")</f>
        <v>Nous voyons un couple danser sur une piste de danse dans un club.</v>
      </c>
    </row>
    <row r="11730">
      <c r="A11730" s="4" t="s">
        <v>14753</v>
      </c>
      <c r="B11730" s="4" t="s">
        <v>14755</v>
      </c>
      <c r="C11730" s="5" t="str">
        <f>IFERROR(__xludf.DUMMYFUNCTION("GOOGLETRANSLATE(B11730,""en"",""fr"")"),"Nous voyons qu'un homme regarde dans la caméra et ouvre la bouche alors qu'un groupe de personnes passe devant.")</f>
        <v>Nous voyons qu'un homme regarde dans la caméra et ouvre la bouche alors qu'un groupe de personnes passe devant.</v>
      </c>
    </row>
    <row r="11731">
      <c r="A11731" s="4" t="s">
        <v>14753</v>
      </c>
      <c r="B11731" s="4" t="s">
        <v>14756</v>
      </c>
      <c r="C11731" s="5" t="str">
        <f>IFERROR(__xludf.DUMMYFUNCTION("GOOGLETRANSLATE(B11731,""en"",""fr"")"),"Un homme en chemise noire passe devant la caméra et se tient un instant.")</f>
        <v>Un homme en chemise noire passe devant la caméra et se tient un instant.</v>
      </c>
    </row>
    <row r="11732">
      <c r="A11732" s="4" t="s">
        <v>14753</v>
      </c>
      <c r="B11732" s="4" t="s">
        <v>14757</v>
      </c>
      <c r="C11732" s="5" t="str">
        <f>IFERROR(__xludf.DUMMYFUNCTION("GOOGLETRANSLATE(B11732,""en"",""fr"")"),"La Lady Shimmy est et se penche jusqu'au sol et remonte.")</f>
        <v>La Lady Shimmy est et se penche jusqu'au sol et remonte.</v>
      </c>
    </row>
    <row r="11733">
      <c r="A11733" s="4" t="s">
        <v>14753</v>
      </c>
      <c r="B11733" s="4" t="s">
        <v>14758</v>
      </c>
      <c r="C11733" s="5" t="str">
        <f>IFERROR(__xludf.DUMMYFUNCTION("GOOGLETRANSLATE(B11733,""en"",""fr"")"),"L'homme plonge la femme et le sourire à la caméra.")</f>
        <v>L'homme plonge la femme et le sourire à la caméra.</v>
      </c>
    </row>
    <row r="11734">
      <c r="A11734" s="4" t="s">
        <v>14759</v>
      </c>
      <c r="B11734" s="6" t="s">
        <v>14760</v>
      </c>
      <c r="C11734" s="5" t="str">
        <f>IFERROR(__xludf.DUMMYFUNCTION("GOOGLETRANSLATE(B11734,""en"",""fr"")"),"Un petit groupe de personnes est vu courir dans une arène en plein air et jouer au paintball les uns avec les autres.")</f>
        <v>Un petit groupe de personnes est vu courir dans une arène en plein air et jouer au paintball les uns avec les autres.</v>
      </c>
    </row>
    <row r="11735">
      <c r="A11735" s="4" t="s">
        <v>14759</v>
      </c>
      <c r="B11735" s="6" t="s">
        <v>14761</v>
      </c>
      <c r="C11735" s="5" t="str">
        <f>IFERROR(__xludf.DUMMYFUNCTION("GOOGLETRANSLATE(B11735,""en"",""fr"")"),"Un homme court en avant et un grand nuage de fumée tourne et un homme agite ses bras en l'air tandis qu'un autre aide.")</f>
        <v>Un homme court en avant et un grand nuage de fumée tourne et un homme agite ses bras en l'air tandis qu'un autre aide.</v>
      </c>
    </row>
    <row r="11736">
      <c r="A11736" s="4" t="s">
        <v>14762</v>
      </c>
      <c r="B11736" s="4" t="s">
        <v>14763</v>
      </c>
      <c r="C11736" s="5" t="str">
        <f>IFERROR(__xludf.DUMMYFUNCTION("GOOGLETRANSLATE(B11736,""en"",""fr"")"),"Les gens sont assis dans des chaises jouant de la batterie.")</f>
        <v>Les gens sont assis dans des chaises jouant de la batterie.</v>
      </c>
    </row>
    <row r="11737">
      <c r="A11737" s="4" t="s">
        <v>14762</v>
      </c>
      <c r="B11737" s="4" t="s">
        <v>14764</v>
      </c>
      <c r="C11737" s="5" t="str">
        <f>IFERROR(__xludf.DUMMYFUNCTION("GOOGLETRANSLATE(B11737,""en"",""fr"")"),"Les gens passent devant le trottoir.")</f>
        <v>Les gens passent devant le trottoir.</v>
      </c>
    </row>
    <row r="11738">
      <c r="A11738" s="4" t="s">
        <v>14762</v>
      </c>
      <c r="B11738" s="4" t="s">
        <v>14765</v>
      </c>
      <c r="C11738" s="5" t="str">
        <f>IFERROR(__xludf.DUMMYFUNCTION("GOOGLETRANSLATE(B11738,""en"",""fr"")"),"Une personne poussant une poussette à promener derrière elle.")</f>
        <v>Une personne poussant une poussette à promener derrière elle.</v>
      </c>
    </row>
    <row r="11739">
      <c r="A11739" s="4" t="s">
        <v>14766</v>
      </c>
      <c r="B11739" s="4" t="s">
        <v>14767</v>
      </c>
      <c r="C11739" s="5" t="str">
        <f>IFERROR(__xludf.DUMMYFUNCTION("GOOGLETRANSLATE(B11739,""en"",""fr"")"),"Un chat est debout sur une table se fait caresser.")</f>
        <v>Un chat est debout sur une table se fait caresser.</v>
      </c>
    </row>
    <row r="11740">
      <c r="A11740" s="4" t="s">
        <v>14766</v>
      </c>
      <c r="B11740" s="4" t="s">
        <v>14768</v>
      </c>
      <c r="C11740" s="5" t="str">
        <f>IFERROR(__xludf.DUMMYFUNCTION("GOOGLETRANSLATE(B11740,""en"",""fr"")"),"Une personne prend la patte des chats et commence à couper ses ongles.")</f>
        <v>Une personne prend la patte des chats et commence à couper ses ongles.</v>
      </c>
    </row>
    <row r="11741">
      <c r="A11741" s="4" t="s">
        <v>14766</v>
      </c>
      <c r="B11741" s="4" t="s">
        <v>14769</v>
      </c>
      <c r="C11741" s="5" t="str">
        <f>IFERROR(__xludf.DUMMYFUNCTION("GOOGLETRANSLATE(B11741,""en"",""fr"")"),"La personne ramasse le chat pour couper ses pattes arrière.")</f>
        <v>La personne ramasse le chat pour couper ses pattes arrière.</v>
      </c>
    </row>
    <row r="11742">
      <c r="A11742" s="4" t="s">
        <v>14766</v>
      </c>
      <c r="B11742" s="4" t="s">
        <v>14770</v>
      </c>
      <c r="C11742" s="5" t="str">
        <f>IFERROR(__xludf.DUMMYFUNCTION("GOOGLETRANSLATE(B11742,""en"",""fr"")"),"La personne caresse le chat après avoir coupé ses ongles.")</f>
        <v>La personne caresse le chat après avoir coupé ses ongles.</v>
      </c>
    </row>
    <row r="11743">
      <c r="A11743" s="4" t="s">
        <v>14771</v>
      </c>
      <c r="B11743" s="4" t="s">
        <v>14772</v>
      </c>
      <c r="C11743" s="5" t="str">
        <f>IFERROR(__xludf.DUMMYFUNCTION("GOOGLETRANSLATE(B11743,""en"",""fr"")"),"Une femme est vue en regardant la caméra puis en pleurant et en serrant un groupe de personnes.")</f>
        <v>Une femme est vue en regardant la caméra puis en pleurant et en serrant un groupe de personnes.</v>
      </c>
    </row>
    <row r="11744">
      <c r="A11744" s="4" t="s">
        <v>14771</v>
      </c>
      <c r="B11744" s="6" t="s">
        <v>14773</v>
      </c>
      <c r="C11744" s="5" t="str">
        <f>IFERROR(__xludf.DUMMYFUNCTION("GOOGLETRANSLATE(B11744,""en"",""fr"")"),"Des plans de personnes jouant à Shuffle Board sont présentés, suivis par des personnes célébrant et la femme qui parle à la caméra.")</f>
        <v>Des plans de personnes jouant à Shuffle Board sont présentés, suivis par des personnes célébrant et la femme qui parle à la caméra.</v>
      </c>
    </row>
    <row r="11745">
      <c r="A11745" s="4" t="s">
        <v>14771</v>
      </c>
      <c r="B11745" s="4" t="s">
        <v>14774</v>
      </c>
      <c r="C11745" s="5" t="str">
        <f>IFERROR(__xludf.DUMMYFUNCTION("GOOGLETRANSLATE(B11745,""en"",""fr"")"),"Plus de coups de célébration sont montrés et les coéquipiers se serrent tous étreintes.")</f>
        <v>Plus de coups de célébration sont montrés et les coéquipiers se serrent tous étreintes.</v>
      </c>
    </row>
    <row r="11746">
      <c r="A11746" s="4" t="s">
        <v>14775</v>
      </c>
      <c r="B11746" s="4" t="s">
        <v>14776</v>
      </c>
      <c r="C11746" s="5" t="str">
        <f>IFERROR(__xludf.DUMMYFUNCTION("GOOGLETRANSLATE(B11746,""en"",""fr"")"),"Un jeune garçon est debout dans l'herbe balançant une batte sur une pinata.")</f>
        <v>Un jeune garçon est debout dans l'herbe balançant une batte sur une pinata.</v>
      </c>
    </row>
    <row r="11747">
      <c r="A11747" s="4" t="s">
        <v>14775</v>
      </c>
      <c r="B11747" s="4" t="s">
        <v>14777</v>
      </c>
      <c r="C11747" s="5" t="str">
        <f>IFERROR(__xludf.DUMMYFUNCTION("GOOGLETRANSLATE(B11747,""en"",""fr"")"),"Les gens regardent le garçon.")</f>
        <v>Les gens regardent le garçon.</v>
      </c>
    </row>
    <row r="11748">
      <c r="A11748" s="4" t="s">
        <v>14775</v>
      </c>
      <c r="B11748" s="4" t="s">
        <v>14778</v>
      </c>
      <c r="C11748" s="5" t="str">
        <f>IFERROR(__xludf.DUMMYFUNCTION("GOOGLETRANSLATE(B11748,""en"",""fr"")"),"Une fille en maillot de bain bleu prend la batte et commence à se balancer à la Pinata.")</f>
        <v>Une fille en maillot de bain bleu prend la batte et commence à se balancer à la Pinata.</v>
      </c>
    </row>
    <row r="11749">
      <c r="A11749" s="4" t="s">
        <v>14779</v>
      </c>
      <c r="B11749" s="4" t="s">
        <v>14780</v>
      </c>
      <c r="C11749" s="5" t="str">
        <f>IFERROR(__xludf.DUMMYFUNCTION("GOOGLETRANSLATE(B11749,""en"",""fr"")"),"Nous voyons une GoPro et la carte de titre.")</f>
        <v>Nous voyons une GoPro et la carte de titre.</v>
      </c>
    </row>
    <row r="11750">
      <c r="A11750" s="4" t="s">
        <v>14779</v>
      </c>
      <c r="B11750" s="6" t="s">
        <v>14781</v>
      </c>
      <c r="C11750" s="5" t="str">
        <f>IFERROR(__xludf.DUMMYFUNCTION("GOOGLETRANSLATE(B11750,""en"",""fr"")"),"Nous voyons l'eau et un bateau plein de gens qui roulent sur l'eau et mettons des costumes humides et pénètrent dans l'eau.")</f>
        <v>Nous voyons l'eau et un bateau plein de gens qui roulent sur l'eau et mettons des costumes humides et pénètrent dans l'eau.</v>
      </c>
    </row>
    <row r="11751">
      <c r="A11751" s="4" t="s">
        <v>14779</v>
      </c>
      <c r="B11751" s="4" t="s">
        <v>14782</v>
      </c>
      <c r="C11751" s="5" t="str">
        <f>IFERROR(__xludf.DUMMYFUNCTION("GOOGLETRANSLATE(B11751,""en"",""fr"")"),"Nous voyons les gens sous l'eau nager.")</f>
        <v>Nous voyons les gens sous l'eau nager.</v>
      </c>
    </row>
    <row r="11752">
      <c r="A11752" s="4" t="s">
        <v>14779</v>
      </c>
      <c r="B11752" s="4" t="s">
        <v>14783</v>
      </c>
      <c r="C11752" s="5" t="str">
        <f>IFERROR(__xludf.DUMMYFUNCTION("GOOGLETRANSLATE(B11752,""en"",""fr"")"),"Une personne nage dans une crevasse.")</f>
        <v>Une personne nage dans une crevasse.</v>
      </c>
    </row>
    <row r="11753">
      <c r="A11753" s="4" t="s">
        <v>14779</v>
      </c>
      <c r="B11753" s="4" t="s">
        <v>14784</v>
      </c>
      <c r="C11753" s="5" t="str">
        <f>IFERROR(__xludf.DUMMYFUNCTION("GOOGLETRANSLATE(B11753,""en"",""fr"")"),"Nous voyons un animal sur un rocher.")</f>
        <v>Nous voyons un animal sur un rocher.</v>
      </c>
    </row>
    <row r="11754">
      <c r="A11754" s="4" t="s">
        <v>14779</v>
      </c>
      <c r="B11754" s="4" t="s">
        <v>14785</v>
      </c>
      <c r="C11754" s="5" t="str">
        <f>IFERROR(__xludf.DUMMYFUNCTION("GOOGLETRANSLATE(B11754,""en"",""fr"")"),"Nous voyons une partie d'un navire.")</f>
        <v>Nous voyons une partie d'un navire.</v>
      </c>
    </row>
    <row r="11755">
      <c r="A11755" s="4" t="s">
        <v>14779</v>
      </c>
      <c r="B11755" s="4" t="s">
        <v>14786</v>
      </c>
      <c r="C11755" s="5" t="str">
        <f>IFERROR(__xludf.DUMMYFUNCTION("GOOGLETRANSLATE(B11755,""en"",""fr"")"),"On nous montre diverses vies.")</f>
        <v>On nous montre diverses vies.</v>
      </c>
    </row>
    <row r="11756">
      <c r="A11756" s="4" t="s">
        <v>14779</v>
      </c>
      <c r="B11756" s="4" t="s">
        <v>14787</v>
      </c>
      <c r="C11756" s="5" t="str">
        <f>IFERROR(__xludf.DUMMYFUNCTION("GOOGLETRANSLATE(B11756,""en"",""fr"")"),"Nous voyons les gens près du navire.")</f>
        <v>Nous voyons les gens près du navire.</v>
      </c>
    </row>
    <row r="11757">
      <c r="A11757" s="4" t="s">
        <v>14779</v>
      </c>
      <c r="B11757" s="4" t="s">
        <v>14788</v>
      </c>
      <c r="C11757" s="5" t="str">
        <f>IFERROR(__xludf.DUMMYFUNCTION("GOOGLETRANSLATE(B11757,""en"",""fr"")"),"Les gens tiennent un grand linge de mer.")</f>
        <v>Les gens tiennent un grand linge de mer.</v>
      </c>
    </row>
    <row r="11758">
      <c r="A11758" s="4" t="s">
        <v>14779</v>
      </c>
      <c r="B11758" s="4" t="s">
        <v>14789</v>
      </c>
      <c r="C11758" s="5" t="str">
        <f>IFERROR(__xludf.DUMMYFUNCTION("GOOGLETRANSLATE(B11758,""en"",""fr"")"),"Nous voyons une grande tortue sous-marine sur le sol.")</f>
        <v>Nous voyons une grande tortue sous-marine sur le sol.</v>
      </c>
    </row>
    <row r="11759">
      <c r="A11759" s="4" t="s">
        <v>14779</v>
      </c>
      <c r="B11759" s="4" t="s">
        <v>14790</v>
      </c>
      <c r="C11759" s="5" t="str">
        <f>IFERROR(__xludf.DUMMYFUNCTION("GOOGLETRANSLATE(B11759,""en"",""fr"")"),"La bulle flotte à la surface et la vidéo se termine.")</f>
        <v>La bulle flotte à la surface et la vidéo se termine.</v>
      </c>
    </row>
    <row r="11760">
      <c r="A11760" s="4" t="s">
        <v>14791</v>
      </c>
      <c r="B11760" s="6" t="s">
        <v>14792</v>
      </c>
      <c r="C11760" s="5" t="str">
        <f>IFERROR(__xludf.DUMMYFUNCTION("GOOGLETRANSLATE(B11760,""en"",""fr"")"),"Un écran d'intro noire avec des mots blancs apparaît et il note l'emplacement, les gens et le gâteau qu'ils vont faire.")</f>
        <v>Un écran d'intro noire avec des mots blancs apparaît et il note l'emplacement, les gens et le gâteau qu'ils vont faire.</v>
      </c>
    </row>
    <row r="11761">
      <c r="A11761" s="4" t="s">
        <v>14791</v>
      </c>
      <c r="B11761" s="6" t="s">
        <v>14793</v>
      </c>
      <c r="C11761" s="5" t="str">
        <f>IFERROR(__xludf.DUMMYFUNCTION("GOOGLETRANSLATE(B11761,""en"",""fr"")"),"Un homme et une femme portant des tabliers rouges apparaissent dans une cuisine avec un mélangeur d'aide à la cuisine blanc devant eux et une bannière sur l'écran affichant tous les ingrédients.")</f>
        <v>Un homme et une femme portant des tabliers rouges apparaissent dans une cuisine avec un mélangeur d'aide à la cuisine blanc devant eux et une bannière sur l'écran affichant tous les ingrédients.</v>
      </c>
    </row>
    <row r="11762">
      <c r="A11762" s="4" t="s">
        <v>14791</v>
      </c>
      <c r="B11762" s="6" t="s">
        <v>14794</v>
      </c>
      <c r="C11762" s="5" t="str">
        <f>IFERROR(__xludf.DUMMYFUNCTION("GOOGLETRANSLATE(B11762,""en"",""fr"")"),"La vue passe ensuite à un tir d'en haut pour montrer ce que fait l'homme, et la bannière à l'écran affiche toujours les ingrédients utilisés.")</f>
        <v>La vue passe ensuite à un tir d'en haut pour montrer ce que fait l'homme, et la bannière à l'écran affiche toujours les ingrédients utilisés.</v>
      </c>
    </row>
    <row r="11763">
      <c r="A11763" s="4" t="s">
        <v>14791</v>
      </c>
      <c r="B11763" s="4" t="s">
        <v>14795</v>
      </c>
      <c r="C11763" s="5" t="str">
        <f>IFERROR(__xludf.DUMMYFUNCTION("GOOGLETRANSLATE(B11763,""en"",""fr"")"),"La vue passe de l'avant à un angle supérieur alors que l'homme mélange les ingrédients.")</f>
        <v>La vue passe de l'avant à un angle supérieur alors que l'homme mélange les ingrédients.</v>
      </c>
    </row>
    <row r="11764">
      <c r="A11764" s="4" t="s">
        <v>14791</v>
      </c>
      <c r="B11764" s="6" t="s">
        <v>14796</v>
      </c>
      <c r="C11764" s="5" t="str">
        <f>IFERROR(__xludf.DUMMYFUNCTION("GOOGLETRANSLATE(B11764,""en"",""fr"")"),"La vue revient ensuite à une vue avant et l'homme déplace l'aide de la cuisine sur le côté et attrape le comptoir derrière eux, un gâteau au four et une assiette avec une tranche de gâteau dessus.")</f>
        <v>La vue revient ensuite à une vue avant et l'homme déplace l'aide de la cuisine sur le côté et attrape le comptoir derrière eux, un gâteau au four et une assiette avec une tranche de gâteau dessus.</v>
      </c>
    </row>
    <row r="11765">
      <c r="A11765" s="4" t="s">
        <v>14791</v>
      </c>
      <c r="B11765" s="6" t="s">
        <v>14797</v>
      </c>
      <c r="C11765" s="5" t="str">
        <f>IFERROR(__xludf.DUMMYFUNCTION("GOOGLETRANSLATE(B11765,""en"",""fr"")"),"L'Undro comprend une photo de l'homme et de la femme debout ensemble, leurs noms, le nom du gâteau qu'ils ont fait, leur adresse et la station d'information qui l'a diffusée.")</f>
        <v>L'Undro comprend une photo de l'homme et de la femme debout ensemble, leurs noms, le nom du gâteau qu'ils ont fait, leur adresse et la station d'information qui l'a diffusée.</v>
      </c>
    </row>
    <row r="11766">
      <c r="A11766" s="4" t="s">
        <v>14791</v>
      </c>
      <c r="B11766" s="4" t="s">
        <v>14798</v>
      </c>
      <c r="C11766" s="5" t="str">
        <f>IFERROR(__xludf.DUMMYFUNCTION("GOOGLETRANSLATE(B11766,""en"",""fr"")"),"Les crédits commencent alors à faire défiler du bas en haut sur un écran noir avec des lettres blanches.")</f>
        <v>Les crédits commencent alors à faire défiler du bas en haut sur un écran noir avec des lettres blanches.</v>
      </c>
    </row>
    <row r="11767">
      <c r="A11767" s="4" t="s">
        <v>14799</v>
      </c>
      <c r="B11767" s="4" t="s">
        <v>14800</v>
      </c>
      <c r="C11767" s="5" t="str">
        <f>IFERROR(__xludf.DUMMYFUNCTION("GOOGLETRANSLATE(B11767,""en"",""fr"")"),"Un groupe d'hommes joue au football.")</f>
        <v>Un groupe d'hommes joue au football.</v>
      </c>
    </row>
    <row r="11768">
      <c r="A11768" s="4" t="s">
        <v>14799</v>
      </c>
      <c r="B11768" s="4" t="s">
        <v>14801</v>
      </c>
      <c r="C11768" s="5" t="str">
        <f>IFERROR(__xludf.DUMMYFUNCTION("GOOGLETRANSLATE(B11768,""en"",""fr"")"),"Un joueur lance le ballon dans le but avant d'aller pour le but adverse.")</f>
        <v>Un joueur lance le ballon dans le but avant d'aller pour le but adverse.</v>
      </c>
    </row>
    <row r="11769">
      <c r="A11769" s="4" t="s">
        <v>14799</v>
      </c>
      <c r="B11769" s="4" t="s">
        <v>14802</v>
      </c>
      <c r="C11769" s="5" t="str">
        <f>IFERROR(__xludf.DUMMYFUNCTION("GOOGLETRANSLATE(B11769,""en"",""fr"")"),"Ils continuent de se battre pour le ballon pendant une période prolongée.")</f>
        <v>Ils continuent de se battre pour le ballon pendant une période prolongée.</v>
      </c>
    </row>
    <row r="11770">
      <c r="A11770" s="4" t="s">
        <v>14803</v>
      </c>
      <c r="B11770" s="6" t="s">
        <v>14804</v>
      </c>
      <c r="C11770" s="5" t="str">
        <f>IFERROR(__xludf.DUMMYFUNCTION("GOOGLETRANSLATE(B11770,""en"",""fr"")"),"Une chemise Dame in White Stripes se tient à côté d'un jeune garçon, ils se tiennent au comptoir, ils ont coupé le côté du pain, mettez-le dessus, roulez le pain dans un plastique, coupez le côté du pain, mettez de la viande Sur le pain, déchiqueté le fro"&amp;"mage, roulez le pain dans le plastique.")</f>
        <v>Une chemise Dame in White Stripes se tient à côté d'un jeune garçon, ils se tiennent au comptoir, ils ont coupé le côté du pain, mettez-le dessus, roulez le pain dans un plastique, coupez le côté du pain, mettez de la viande Sur le pain, déchiqueté le fromage, roulez le pain dans le plastique.</v>
      </c>
    </row>
    <row r="11771">
      <c r="A11771" s="4" t="s">
        <v>14803</v>
      </c>
      <c r="B11771" s="4" t="s">
        <v>14805</v>
      </c>
      <c r="C11771" s="5" t="str">
        <f>IFERROR(__xludf.DUMMYFUNCTION("GOOGLETRANSLATE(B11771,""en"",""fr"")"),"La femme a tranché le plastique avec du pain, puis l'a mis dans une assiette rectangulaire.")</f>
        <v>La femme a tranché le plastique avec du pain, puis l'a mis dans une assiette rectangulaire.</v>
      </c>
    </row>
    <row r="11772">
      <c r="A11772" s="4" t="s">
        <v>14806</v>
      </c>
      <c r="B11772" s="4" t="s">
        <v>14807</v>
      </c>
      <c r="C11772" s="5" t="str">
        <f>IFERROR(__xludf.DUMMYFUNCTION("GOOGLETRANSLATE(B11772,""en"",""fr"")"),"Une femme est assise sur une chaise jouant un accordéon.")</f>
        <v>Une femme est assise sur une chaise jouant un accordéon.</v>
      </c>
    </row>
    <row r="11773">
      <c r="A11773" s="4" t="s">
        <v>14806</v>
      </c>
      <c r="B11773" s="4" t="s">
        <v>14808</v>
      </c>
      <c r="C11773" s="5" t="str">
        <f>IFERROR(__xludf.DUMMYFUNCTION("GOOGLETRANSLATE(B11773,""en"",""fr"")"),"Elle arrête de jouer et pose son bras.")</f>
        <v>Elle arrête de jouer et pose son bras.</v>
      </c>
    </row>
    <row r="11774">
      <c r="A11774" s="4" t="s">
        <v>14806</v>
      </c>
      <c r="B11774" s="4" t="s">
        <v>14809</v>
      </c>
      <c r="C11774" s="5" t="str">
        <f>IFERROR(__xludf.DUMMYFUNCTION("GOOGLETRANSLATE(B11774,""en"",""fr"")"),"Les mots clignotent sur l'écran.")</f>
        <v>Les mots clignotent sur l'écran.</v>
      </c>
    </row>
    <row r="11775">
      <c r="A11775" s="4" t="s">
        <v>14810</v>
      </c>
      <c r="B11775" s="4" t="s">
        <v>14811</v>
      </c>
      <c r="C11775" s="5" t="str">
        <f>IFERROR(__xludf.DUMMYFUNCTION("GOOGLETRANSLATE(B11775,""en"",""fr"")"),"Une personne rose les jambes arrière d'un homme utilisant un rasoir pendant qu'elle est couchée face contre terre.")</f>
        <v>Une personne rose les jambes arrière d'un homme utilisant un rasoir pendant qu'elle est couchée face contre terre.</v>
      </c>
    </row>
    <row r="11776">
      <c r="A11776" s="4" t="s">
        <v>14810</v>
      </c>
      <c r="B11776" s="4" t="s">
        <v>14812</v>
      </c>
      <c r="C11776" s="5" t="str">
        <f>IFERROR(__xludf.DUMMYFUNCTION("GOOGLETRANSLATE(B11776,""en"",""fr"")"),"Ensuite, l'homme se tourne vers le haut et la personne commence à raser les jambes.")</f>
        <v>Ensuite, l'homme se tourne vers le haut et la personne commence à raser les jambes.</v>
      </c>
    </row>
    <row r="11777">
      <c r="A11777" s="4" t="s">
        <v>14810</v>
      </c>
      <c r="B11777" s="6" t="s">
        <v>14813</v>
      </c>
      <c r="C11777" s="5" t="str">
        <f>IFERROR(__xludf.DUMMYFUNCTION("GOOGLETRANSLATE(B11777,""en"",""fr"")"),"Après, la personne utilise une machine sur les jambes, puis une image montre les jambes avant et après le rasage.")</f>
        <v>Après, la personne utilise une machine sur les jambes, puis une image montre les jambes avant et après le rasage.</v>
      </c>
    </row>
    <row r="11778">
      <c r="A11778" s="4" t="s">
        <v>14814</v>
      </c>
      <c r="B11778" s="4" t="s">
        <v>14815</v>
      </c>
      <c r="C11778" s="5" t="str">
        <f>IFERROR(__xludf.DUMMYFUNCTION("GOOGLETRANSLATE(B11778,""en"",""fr"")"),"Une femme derrière une clôture regarde un groupe de joueurs dans un champ.")</f>
        <v>Une femme derrière une clôture regarde un groupe de joueurs dans un champ.</v>
      </c>
    </row>
    <row r="11779">
      <c r="A11779" s="4" t="s">
        <v>14814</v>
      </c>
      <c r="B11779" s="4" t="s">
        <v>14816</v>
      </c>
      <c r="C11779" s="5" t="str">
        <f>IFERROR(__xludf.DUMMYFUNCTION("GOOGLETRANSLATE(B11779,""en"",""fr"")"),"Une vieille dame passe derrière la femme.")</f>
        <v>Une vieille dame passe derrière la femme.</v>
      </c>
    </row>
    <row r="11780">
      <c r="A11780" s="4" t="s">
        <v>14814</v>
      </c>
      <c r="B11780" s="4" t="s">
        <v>14817</v>
      </c>
      <c r="C11780" s="5" t="str">
        <f>IFERROR(__xludf.DUMMYFUNCTION("GOOGLETRANSLATE(B11780,""en"",""fr"")"),"Les gens jouent à la lancement dans un champ.")</f>
        <v>Les gens jouent à la lancement dans un champ.</v>
      </c>
    </row>
    <row r="11781">
      <c r="A11781" s="4" t="s">
        <v>14818</v>
      </c>
      <c r="B11781" s="4" t="s">
        <v>14819</v>
      </c>
      <c r="C11781" s="5" t="str">
        <f>IFERROR(__xludf.DUMMYFUNCTION("GOOGLETRANSLATE(B11781,""en"",""fr"")"),"Un homme met un pneu sur une machine et tourne le rime.")</f>
        <v>Un homme met un pneu sur une machine et tourne le rime.</v>
      </c>
    </row>
    <row r="11782">
      <c r="A11782" s="4" t="s">
        <v>14818</v>
      </c>
      <c r="B11782" s="4" t="s">
        <v>14820</v>
      </c>
      <c r="C11782" s="5" t="str">
        <f>IFERROR(__xludf.DUMMYFUNCTION("GOOGLETRANSLATE(B11782,""en"",""fr"")"),"Ensuite, l'homme utilise un outil pour perdre le rime, puis la machine supprime le pneu en caoutchouc.")</f>
        <v>Ensuite, l'homme utilise un outil pour perdre le rime, puis la machine supprime le pneu en caoutchouc.</v>
      </c>
    </row>
    <row r="11783">
      <c r="A11783" s="4" t="s">
        <v>14818</v>
      </c>
      <c r="B11783" s="6" t="s">
        <v>14821</v>
      </c>
      <c r="C11783" s="5" t="str">
        <f>IFERROR(__xludf.DUMMYFUNCTION("GOOGLETRANSLATE(B11783,""en"",""fr"")"),"Après, l'homme prend de la colle et brosse le pneu, puis en utilisant la machine, il met le pneu en caoutchouc dans la jante.")</f>
        <v>Après, l'homme prend de la colle et brosse le pneu, puis en utilisant la machine, il met le pneu en caoutchouc dans la jante.</v>
      </c>
    </row>
    <row r="11784">
      <c r="A11784" s="4" t="s">
        <v>14822</v>
      </c>
      <c r="B11784" s="4" t="s">
        <v>14823</v>
      </c>
      <c r="C11784" s="5" t="str">
        <f>IFERROR(__xludf.DUMMYFUNCTION("GOOGLETRANSLATE(B11784,""en"",""fr"")"),"Plusieurs personnes sont à l'extérieur, dont une conduite et des astuces sur une planche à roulettes.")</f>
        <v>Plusieurs personnes sont à l'extérieur, dont une conduite et des astuces sur une planche à roulettes.</v>
      </c>
    </row>
    <row r="11785">
      <c r="A11785" s="4" t="s">
        <v>14822</v>
      </c>
      <c r="B11785" s="6" t="s">
        <v>14824</v>
      </c>
      <c r="C11785" s="5" t="str">
        <f>IFERROR(__xludf.DUMMYFUNCTION("GOOGLETRANSLATE(B11785,""en"",""fr"")"),"L'homme va dans un groupe de personnes avant un autre homme, puis un autre est montré en descente dans la rue à rouler leurs planches à roulettes.")</f>
        <v>L'homme va dans un groupe de personnes avant un autre homme, puis un autre est montré en descente dans la rue à rouler leurs planches à roulettes.</v>
      </c>
    </row>
    <row r="11786">
      <c r="A11786" s="4" t="s">
        <v>14822</v>
      </c>
      <c r="B11786" s="4" t="s">
        <v>14825</v>
      </c>
      <c r="C11786" s="5" t="str">
        <f>IFERROR(__xludf.DUMMYFUNCTION("GOOGLETRANSLATE(B11786,""en"",""fr"")"),"Ils effectuent plusieurs astuces et flips au fur et à mesure.")</f>
        <v>Ils effectuent plusieurs astuces et flips au fur et à mesure.</v>
      </c>
    </row>
    <row r="11787">
      <c r="A11787" s="4" t="s">
        <v>14822</v>
      </c>
      <c r="B11787" s="4" t="s">
        <v>14826</v>
      </c>
      <c r="C11787" s="5" t="str">
        <f>IFERROR(__xludf.DUMMYFUNCTION("GOOGLETRANSLATE(B11787,""en"",""fr"")"),"Les gens applaudissent comme le gagnant est annoncé.")</f>
        <v>Les gens applaudissent comme le gagnant est annoncé.</v>
      </c>
    </row>
    <row r="11788">
      <c r="A11788" s="4" t="s">
        <v>14827</v>
      </c>
      <c r="B11788" s="4" t="s">
        <v>14828</v>
      </c>
      <c r="C11788" s="5" t="str">
        <f>IFERROR(__xludf.DUMMYFUNCTION("GOOGLETRANSLATE(B11788,""en"",""fr"")"),"Les hommes soulèvent plusieurs fois des poids lourds.")</f>
        <v>Les hommes soulèvent plusieurs fois des poids lourds.</v>
      </c>
    </row>
    <row r="11789">
      <c r="A11789" s="4" t="s">
        <v>14827</v>
      </c>
      <c r="B11789" s="4" t="s">
        <v>14829</v>
      </c>
      <c r="C11789" s="5" t="str">
        <f>IFERROR(__xludf.DUMMYFUNCTION("GOOGLETRANSLATE(B11789,""en"",""fr"")"),"Un homme en chemise bleue regarde l'un des hommes.")</f>
        <v>Un homme en chemise bleue regarde l'un des hommes.</v>
      </c>
    </row>
    <row r="11790">
      <c r="A11790" s="4" t="s">
        <v>14827</v>
      </c>
      <c r="B11790" s="4" t="s">
        <v>14830</v>
      </c>
      <c r="C11790" s="5" t="str">
        <f>IFERROR(__xludf.DUMMYFUNCTION("GOOGLETRANSLATE(B11790,""en"",""fr"")"),"Un homme en chemise grise imite la personne soulève le poids.")</f>
        <v>Un homme en chemise grise imite la personne soulève le poids.</v>
      </c>
    </row>
    <row r="11791">
      <c r="A11791" s="4" t="s">
        <v>14831</v>
      </c>
      <c r="B11791" s="6" t="s">
        <v>14832</v>
      </c>
      <c r="C11791" s="5" t="str">
        <f>IFERROR(__xludf.DUMMYFUNCTION("GOOGLETRANSLATE(B11791,""en"",""fr"")"),"Un grand groupe d'enfants est vu pratiquer des exercices de basket-ball sur un terrain et se transmettre rapidement le ballon.")</f>
        <v>Un grand groupe d'enfants est vu pratiquer des exercices de basket-ball sur un terrain et se transmettre rapidement le ballon.</v>
      </c>
    </row>
    <row r="11792">
      <c r="A11792" s="4" t="s">
        <v>14831</v>
      </c>
      <c r="B11792" s="6" t="s">
        <v>14833</v>
      </c>
      <c r="C11792" s="5" t="str">
        <f>IFERROR(__xludf.DUMMYFUNCTION("GOOGLETRANSLATE(B11792,""en"",""fr"")"),"Plusieurs garçons font des paniers tout en parlant les uns aux autres et l'entraîneur emménage et parle aux garçons.")</f>
        <v>Plusieurs garçons font des paniers tout en parlant les uns aux autres et l'entraîneur emménage et parle aux garçons.</v>
      </c>
    </row>
    <row r="11793">
      <c r="A11793" s="4" t="s">
        <v>14831</v>
      </c>
      <c r="B11793" s="4" t="s">
        <v>14834</v>
      </c>
      <c r="C11793" s="5" t="str">
        <f>IFERROR(__xludf.DUMMYFUNCTION("GOOGLETRANSLATE(B11793,""en"",""fr"")"),"Il s'éloigne et d'autres exercices sont montrés avec les garçons.")</f>
        <v>Il s'éloigne et d'autres exercices sont montrés avec les garçons.</v>
      </c>
    </row>
    <row r="11794">
      <c r="A11794" s="4" t="s">
        <v>14835</v>
      </c>
      <c r="B11794" s="4" t="s">
        <v>14836</v>
      </c>
      <c r="C11794" s="5" t="str">
        <f>IFERROR(__xludf.DUMMYFUNCTION("GOOGLETRANSLATE(B11794,""en"",""fr"")"),"Plusieurs gros plans sont représentés avec un homme entrant dans le cadre et parlant à la caméra.")</f>
        <v>Plusieurs gros plans sont représentés avec un homme entrant dans le cadre et parlant à la caméra.</v>
      </c>
    </row>
    <row r="11795">
      <c r="A11795" s="4" t="s">
        <v>14835</v>
      </c>
      <c r="B11795" s="6" t="s">
        <v>14837</v>
      </c>
      <c r="C11795" s="5" t="str">
        <f>IFERROR(__xludf.DUMMYFUNCTION("GOOGLETRANSLATE(B11795,""en"",""fr"")"),"L'homme continue de parler en pointant la caméra et commence à disposer du paillis pour mettre partout dans les plantes.")</f>
        <v>L'homme continue de parler en pointant la caméra et commence à disposer du paillis pour mettre partout dans les plantes.</v>
      </c>
    </row>
    <row r="11796">
      <c r="A11796" s="4" t="s">
        <v>14835</v>
      </c>
      <c r="B11796" s="4" t="s">
        <v>14838</v>
      </c>
      <c r="C11796" s="5" t="str">
        <f>IFERROR(__xludf.DUMMYFUNCTION("GOOGLETRANSLATE(B11796,""en"",""fr"")"),"L'homme continue de pousser la saleté et se termine en arrosant toutes les plantes.")</f>
        <v>L'homme continue de pousser la saleté et se termine en arrosant toutes les plantes.</v>
      </c>
    </row>
    <row r="11797">
      <c r="A11797" s="4" t="s">
        <v>14839</v>
      </c>
      <c r="B11797" s="6" t="s">
        <v>14840</v>
      </c>
      <c r="C11797" s="5" t="str">
        <f>IFERROR(__xludf.DUMMYFUNCTION("GOOGLETRANSLATE(B11797,""en"",""fr"")"),"L'intro est un écran blanc, le site Web en haut à gauche, les mots ""Howcast Original"" apparaissent et ensuite un autre ensemble de mots décrivant la leçon apparaissent et il se lit ""Vibrato débutant les leçons de violon"".")</f>
        <v>L'intro est un écran blanc, le site Web en haut à gauche, les mots "Howcast Original" apparaissent et ensuite un autre ensemble de mots décrivant la leçon apparaissent et il se lit "Vibrato débutant les leçons de violon".</v>
      </c>
    </row>
    <row r="11798">
      <c r="A11798" s="4" t="s">
        <v>14839</v>
      </c>
      <c r="B11798" s="6" t="s">
        <v>14841</v>
      </c>
      <c r="C11798" s="5" t="str">
        <f>IFERROR(__xludf.DUMMYFUNCTION("GOOGLETRANSLATE(B11798,""en"",""fr"")"),"Une femme nommée Julie Artzt Becker tient son violon assis et parle devant un écran bleu.")</f>
        <v>Une femme nommée Julie Artzt Becker tient son violon assis et parle devant un écran bleu.</v>
      </c>
    </row>
    <row r="11799">
      <c r="A11799" s="4" t="s">
        <v>14839</v>
      </c>
      <c r="B11799" s="4" t="s">
        <v>14842</v>
      </c>
      <c r="C11799" s="5" t="str">
        <f>IFERROR(__xludf.DUMMYFUNCTION("GOOGLETRANSLATE(B11799,""en"",""fr"")"),"La femme met le violon sur son menton et continue de parler.")</f>
        <v>La femme met le violon sur son menton et continue de parler.</v>
      </c>
    </row>
    <row r="11800">
      <c r="A11800" s="4" t="s">
        <v>14839</v>
      </c>
      <c r="B11800" s="6" t="s">
        <v>14843</v>
      </c>
      <c r="C11800" s="5" t="str">
        <f>IFERROR(__xludf.DUMMYFUNCTION("GOOGLETRANSLATE(B11800,""en"",""fr"")"),"La femme met ensuite ses doigts sur les cordes et avec son autre main, elle touche et pointe ses doigts sur les cordes et prenant l'arc à ses cordes de temps en temps.")</f>
        <v>La femme met ensuite ses doigts sur les cordes et avec son autre main, elle touche et pointe ses doigts sur les cordes et prenant l'arc à ses cordes de temps en temps.</v>
      </c>
    </row>
    <row r="11801">
      <c r="A11801" s="4" t="s">
        <v>14839</v>
      </c>
      <c r="B11801" s="6" t="s">
        <v>14844</v>
      </c>
      <c r="C11801" s="5" t="str">
        <f>IFERROR(__xludf.DUMMYFUNCTION("GOOGLETRANSLATE(B11801,""en"",""fr"")"),"La femme parle tout au long de la vidéo alors qu'elle démontre ses mouvements ou pointe vers ses mouvements des doigts.")</f>
        <v>La femme parle tout au long de la vidéo alors qu'elle démontre ses mouvements ou pointe vers ses mouvements des doigts.</v>
      </c>
    </row>
    <row r="11802">
      <c r="A11802" s="4" t="s">
        <v>14839</v>
      </c>
      <c r="B11802" s="6" t="s">
        <v>14845</v>
      </c>
      <c r="C11802" s="5" t="str">
        <f>IFERROR(__xludf.DUMMYFUNCTION("GOOGLETRANSLATE(B11802,""en"",""fr"")"),"Finalement, la femme cesse de parler et se termine par un sourire et les mots ""Howcast Original"" apparaissent sur l'écran blanc.")</f>
        <v>Finalement, la femme cesse de parler et se termine par un sourire et les mots "Howcast Original" apparaissent sur l'écran blanc.</v>
      </c>
    </row>
    <row r="11803">
      <c r="A11803" s="4" t="s">
        <v>14846</v>
      </c>
      <c r="B11803" s="4" t="s">
        <v>14847</v>
      </c>
      <c r="C11803" s="5" t="str">
        <f>IFERROR(__xludf.DUMMYFUNCTION("GOOGLETRANSLATE(B11803,""en"",""fr"")"),"Deux hommes se battent sous une forme d'art asiatique à l'extérieur.")</f>
        <v>Deux hommes se battent sous une forme d'art asiatique à l'extérieur.</v>
      </c>
    </row>
    <row r="11804">
      <c r="A11804" s="4" t="s">
        <v>14846</v>
      </c>
      <c r="B11804" s="4" t="s">
        <v>14848</v>
      </c>
      <c r="C11804" s="5" t="str">
        <f>IFERROR(__xludf.DUMMYFUNCTION("GOOGLETRANSLATE(B11804,""en"",""fr"")"),"Ils prennent des balançoires et des coups ainsi que des coups de pied partout.")</f>
        <v>Ils prennent des balançoires et des coups ainsi que des coups de pied partout.</v>
      </c>
    </row>
    <row r="11805">
      <c r="A11805" s="4" t="s">
        <v>14849</v>
      </c>
      <c r="B11805" s="4" t="s">
        <v>14850</v>
      </c>
      <c r="C11805" s="5" t="str">
        <f>IFERROR(__xludf.DUMMYFUNCTION("GOOGLETRANSLATE(B11805,""en"",""fr"")"),"Un homme se tient à l'intérieur d'une cuisine devant une petite table.")</f>
        <v>Un homme se tient à l'intérieur d'une cuisine devant une petite table.</v>
      </c>
    </row>
    <row r="11806">
      <c r="A11806" s="4" t="s">
        <v>14849</v>
      </c>
      <c r="B11806" s="4" t="s">
        <v>14851</v>
      </c>
      <c r="C11806" s="5" t="str">
        <f>IFERROR(__xludf.DUMMYFUNCTION("GOOGLETRANSLATE(B11806,""en"",""fr"")"),"Il montre et parle d'huile d'olive et de jus de citron.")</f>
        <v>Il montre et parle d'huile d'olive et de jus de citron.</v>
      </c>
    </row>
    <row r="11807">
      <c r="A11807" s="4" t="s">
        <v>14849</v>
      </c>
      <c r="B11807" s="4" t="s">
        <v>14852</v>
      </c>
      <c r="C11807" s="5" t="str">
        <f>IFERROR(__xludf.DUMMYFUNCTION("GOOGLETRANSLATE(B11807,""en"",""fr"")"),"Il utilise les articles pour nettoyer et polir la table des rayures.")</f>
        <v>Il utilise les articles pour nettoyer et polir la table des rayures.</v>
      </c>
    </row>
    <row r="11808">
      <c r="A11808" s="4" t="s">
        <v>14853</v>
      </c>
      <c r="B11808" s="4" t="s">
        <v>14854</v>
      </c>
      <c r="C11808" s="5" t="str">
        <f>IFERROR(__xludf.DUMMYFUNCTION("GOOGLETRANSLATE(B11808,""en"",""fr"")"),"Une intro mène à une femme utilisant une brosse pour pousser les cheveux d'un grand chien.")</f>
        <v>Une intro mène à une femme utilisant une brosse pour pousser les cheveux d'un grand chien.</v>
      </c>
    </row>
    <row r="11809">
      <c r="A11809" s="4" t="s">
        <v>14853</v>
      </c>
      <c r="B11809" s="6" t="s">
        <v>14855</v>
      </c>
      <c r="C11809" s="5" t="str">
        <f>IFERROR(__xludf.DUMMYFUNCTION("GOOGLETRANSLATE(B11809,""en"",""fr"")"),"Elle continue de brosser plusieurs autres chiens et de leur donner des animaux de compagnie avant de s'asseoir et de les caresser.")</f>
        <v>Elle continue de brosser plusieurs autres chiens et de leur donner des animaux de compagnie avant de s'asseoir et de les caresser.</v>
      </c>
    </row>
    <row r="11810">
      <c r="A11810" s="4" t="s">
        <v>14856</v>
      </c>
      <c r="B11810" s="4" t="s">
        <v>14857</v>
      </c>
      <c r="C11810" s="5" t="str">
        <f>IFERROR(__xludf.DUMMYFUNCTION("GOOGLETRANSLATE(B11810,""en"",""fr"")"),"Un homme dans des lunettes parle de la caméra.")</f>
        <v>Un homme dans des lunettes parle de la caméra.</v>
      </c>
    </row>
    <row r="11811">
      <c r="A11811" s="4" t="s">
        <v>14856</v>
      </c>
      <c r="B11811" s="4" t="s">
        <v>14858</v>
      </c>
      <c r="C11811" s="5" t="str">
        <f>IFERROR(__xludf.DUMMYFUNCTION("GOOGLETRANSLATE(B11811,""en"",""fr"")"),"Il démontre une clé autour de son cou et pointe vers sa trompette.")</f>
        <v>Il démontre une clé autour de son cou et pointe vers sa trompette.</v>
      </c>
    </row>
    <row r="11812">
      <c r="A11812" s="4" t="s">
        <v>14856</v>
      </c>
      <c r="B11812" s="6" t="s">
        <v>14859</v>
      </c>
      <c r="C11812" s="5" t="str">
        <f>IFERROR(__xludf.DUMMYFUNCTION("GOOGLETRANSLATE(B11812,""en"",""fr"")"),"Il attache la clé à la trompette et continue de parler et de démontrer des caractéristiques importantes de la trompette.")</f>
        <v>Il attache la clé à la trompette et continue de parler et de démontrer des caractéristiques importantes de la trompette.</v>
      </c>
    </row>
    <row r="11813">
      <c r="A11813" s="4" t="s">
        <v>14860</v>
      </c>
      <c r="B11813" s="4" t="s">
        <v>14861</v>
      </c>
      <c r="C11813" s="5" t="str">
        <f>IFERROR(__xludf.DUMMYFUNCTION("GOOGLETRANSLATE(B11813,""en"",""fr"")"),"Deux personnes sont vues réparer une voiture et changer les pneus sur un véhicule.")</f>
        <v>Deux personnes sont vues réparer une voiture et changer les pneus sur un véhicule.</v>
      </c>
    </row>
    <row r="11814">
      <c r="A11814" s="4" t="s">
        <v>14860</v>
      </c>
      <c r="B11814" s="4" t="s">
        <v>14862</v>
      </c>
      <c r="C11814" s="5" t="str">
        <f>IFERROR(__xludf.DUMMYFUNCTION("GOOGLETRANSLATE(B11814,""en"",""fr"")"),"Un autre homme entre dans le cadre ainsi que plusieurs autres enregistrant l'incident.")</f>
        <v>Un autre homme entre dans le cadre ainsi que plusieurs autres enregistrant l'incident.</v>
      </c>
    </row>
    <row r="11815">
      <c r="A11815" s="4" t="s">
        <v>14860</v>
      </c>
      <c r="B11815" s="4" t="s">
        <v>14863</v>
      </c>
      <c r="C11815" s="5" t="str">
        <f>IFERROR(__xludf.DUMMYFUNCTION("GOOGLETRANSLATE(B11815,""en"",""fr"")"),"Une personne grimpe dans la voiture et s'éloigne avec tout le monde qui regarde.")</f>
        <v>Une personne grimpe dans la voiture et s'éloigne avec tout le monde qui regarde.</v>
      </c>
    </row>
    <row r="11816">
      <c r="A11816" s="4" t="s">
        <v>14864</v>
      </c>
      <c r="B11816" s="4" t="s">
        <v>14865</v>
      </c>
      <c r="C11816" s="5" t="str">
        <f>IFERROR(__xludf.DUMMYFUNCTION("GOOGLETRANSLATE(B11816,""en"",""fr"")"),"Une personne tient un souffleur de feuilles rouges.")</f>
        <v>Une personne tient un souffleur de feuilles rouges.</v>
      </c>
    </row>
    <row r="11817">
      <c r="A11817" s="4" t="s">
        <v>14864</v>
      </c>
      <c r="B11817" s="4" t="s">
        <v>14866</v>
      </c>
      <c r="C11817" s="5" t="str">
        <f>IFERROR(__xludf.DUMMYFUNCTION("GOOGLETRANSLATE(B11817,""en"",""fr"")"),"Ils commencent à souffler les feuilles dans la cour.")</f>
        <v>Ils commencent à souffler les feuilles dans la cour.</v>
      </c>
    </row>
    <row r="11818">
      <c r="A11818" s="4" t="s">
        <v>14864</v>
      </c>
      <c r="B11818" s="4" t="s">
        <v>14867</v>
      </c>
      <c r="C11818" s="5" t="str">
        <f>IFERROR(__xludf.DUMMYFUNCTION("GOOGLETRANSLATE(B11818,""en"",""fr"")"),"Ils montrent à nouveau le souffleur de feuilles.")</f>
        <v>Ils montrent à nouveau le souffleur de feuilles.</v>
      </c>
    </row>
    <row r="11819">
      <c r="A11819" s="4" t="s">
        <v>14868</v>
      </c>
      <c r="B11819" s="6" t="s">
        <v>14869</v>
      </c>
      <c r="C11819" s="5" t="str">
        <f>IFERROR(__xludf.DUMMYFUNCTION("GOOGLETRANSLATE(B11819,""en"",""fr"")"),"Un homme plus âgé et une jeune femme sont vus tourner autour d'un bâton pendant que la fille a les yeux bandés et les gens assis autour de sa montre.")</f>
        <v>Un homme plus âgé et une jeune femme sont vus tourner autour d'un bâton pendant que la fille a les yeux bandés et les gens assis autour de sa montre.</v>
      </c>
    </row>
    <row r="11820">
      <c r="A11820" s="4" t="s">
        <v>14868</v>
      </c>
      <c r="B11820" s="6" t="s">
        <v>14870</v>
      </c>
      <c r="C11820" s="5" t="str">
        <f>IFERROR(__xludf.DUMMYFUNCTION("GOOGLETRANSLATE(B11820,""en"",""fr"")"),"La fille balance ensuite le bâton autour de l'air visant la pinata et frappant l'objet plusieurs fois.")</f>
        <v>La fille balance ensuite le bâton autour de l'air visant la pinata et frappant l'objet plusieurs fois.</v>
      </c>
    </row>
    <row r="11821">
      <c r="A11821" s="4" t="s">
        <v>14868</v>
      </c>
      <c r="B11821" s="4" t="s">
        <v>14871</v>
      </c>
      <c r="C11821" s="5" t="str">
        <f>IFERROR(__xludf.DUMMYFUNCTION("GOOGLETRANSLATE(B11821,""en"",""fr"")"),"Elle continue de se balancer dans les airs jusqu'à la fin quand elle le frappe enfin.")</f>
        <v>Elle continue de se balancer dans les airs jusqu'à la fin quand elle le frappe enfin.</v>
      </c>
    </row>
    <row r="11822">
      <c r="A11822" s="4" t="s">
        <v>14872</v>
      </c>
      <c r="B11822" s="4" t="s">
        <v>14873</v>
      </c>
      <c r="C11822" s="5" t="str">
        <f>IFERROR(__xludf.DUMMYFUNCTION("GOOGLETRANSLATE(B11822,""en"",""fr"")"),"Certaines personnes skient sur une montagne et se suivent.")</f>
        <v>Certaines personnes skient sur une montagne et se suivent.</v>
      </c>
    </row>
    <row r="11823">
      <c r="A11823" s="4" t="s">
        <v>14872</v>
      </c>
      <c r="B11823" s="4" t="s">
        <v>14874</v>
      </c>
      <c r="C11823" s="5" t="str">
        <f>IFERROR(__xludf.DUMMYFUNCTION("GOOGLETRANSLATE(B11823,""en"",""fr"")"),"Ils finissent en allant de plus en plus vite jusqu'à ce qu'ils terminent.")</f>
        <v>Ils finissent en allant de plus en plus vite jusqu'à ce qu'ils terminent.</v>
      </c>
    </row>
    <row r="11824">
      <c r="A11824" s="4" t="s">
        <v>14875</v>
      </c>
      <c r="B11824" s="6" t="s">
        <v>14876</v>
      </c>
      <c r="C11824" s="5" t="str">
        <f>IFERROR(__xludf.DUMMYFUNCTION("GOOGLETRANSLATE(B11824,""en"",""fr"")"),"Beaucoup d'hommes se tiennent à l'extérieur sur un terrain de terre et il y a deux équipes se tenant le long d'une corde tandis que beaucoup de gens se tiennent à les regarder.")</f>
        <v>Beaucoup d'hommes se tiennent à l'extérieur sur un terrain de terre et il y a deux équipes se tenant le long d'une corde tandis que beaucoup de gens se tiennent à les regarder.</v>
      </c>
    </row>
    <row r="11825">
      <c r="A11825" s="4" t="s">
        <v>14875</v>
      </c>
      <c r="B11825" s="6" t="s">
        <v>14877</v>
      </c>
      <c r="C11825" s="5" t="str">
        <f>IFERROR(__xludf.DUMMYFUNCTION("GOOGLETRANSLATE(B11825,""en"",""fr"")"),"Les hommes portant des chemises jaunes et bleues ramassent la corde et se mettent en position de jouer au remorqueur.")</f>
        <v>Les hommes portant des chemises jaunes et bleues ramassent la corde et se mettent en position de jouer au remorqueur.</v>
      </c>
    </row>
    <row r="11826">
      <c r="A11826" s="4" t="s">
        <v>14875</v>
      </c>
      <c r="B11826" s="6" t="s">
        <v>14878</v>
      </c>
      <c r="C11826" s="5" t="str">
        <f>IFERROR(__xludf.DUMMYFUNCTION("GOOGLETRANSLATE(B11826,""en"",""fr"")"),"Soudain, les hommes commencent à tirer sur la corde alors que d'autres hommes les instruit et que les spectateurs applaudissent.")</f>
        <v>Soudain, les hommes commencent à tirer sur la corde alors que d'autres hommes les instruit et que les spectateurs applaudissent.</v>
      </c>
    </row>
    <row r="11827">
      <c r="A11827" s="4" t="s">
        <v>14875</v>
      </c>
      <c r="B11827" s="6" t="s">
        <v>14879</v>
      </c>
      <c r="C11827" s="5" t="str">
        <f>IFERROR(__xludf.DUMMYFUNCTION("GOOGLETRANSLATE(B11827,""en"",""fr"")"),"Les hommes des chemises jaunes et bleus tirent facilement la corde et ils ont gagné pendant que les gens qui les entourent applaudissent.")</f>
        <v>Les hommes des chemises jaunes et bleus tirent facilement la corde et ils ont gagné pendant que les gens qui les entourent applaudissent.</v>
      </c>
    </row>
    <row r="11828">
      <c r="A11828" s="4" t="s">
        <v>14880</v>
      </c>
      <c r="B11828" s="4" t="s">
        <v>14881</v>
      </c>
      <c r="C11828" s="5" t="str">
        <f>IFERROR(__xludf.DUMMYFUNCTION("GOOGLETRANSLATE(B11828,""en"",""fr"")"),"Les cigarettes sont placées sur une table.")</f>
        <v>Les cigarettes sont placées sur une table.</v>
      </c>
    </row>
    <row r="11829">
      <c r="A11829" s="4" t="s">
        <v>14880</v>
      </c>
      <c r="B11829" s="4" t="s">
        <v>14882</v>
      </c>
      <c r="C11829" s="5" t="str">
        <f>IFERROR(__xludf.DUMMYFUNCTION("GOOGLETRANSLATE(B11829,""en"",""fr"")"),"Quelqu'un mélange des cartes sur la table.")</f>
        <v>Quelqu'un mélange des cartes sur la table.</v>
      </c>
    </row>
    <row r="11830">
      <c r="A11830" s="4" t="s">
        <v>14880</v>
      </c>
      <c r="B11830" s="4" t="s">
        <v>14883</v>
      </c>
      <c r="C11830" s="5" t="str">
        <f>IFERROR(__xludf.DUMMYFUNCTION("GOOGLETRANSLATE(B11830,""en"",""fr"")"),"Un homme pousse un balai derrière eux.")</f>
        <v>Un homme pousse un balai derrière eux.</v>
      </c>
    </row>
    <row r="11831">
      <c r="A11831" s="4" t="s">
        <v>14880</v>
      </c>
      <c r="B11831" s="4" t="s">
        <v>14884</v>
      </c>
      <c r="C11831" s="5" t="str">
        <f>IFERROR(__xludf.DUMMYFUNCTION("GOOGLETRANSLATE(B11831,""en"",""fr"")"),"Ils continuent à jouer aux cartes à la table.")</f>
        <v>Ils continuent à jouer aux cartes à la table.</v>
      </c>
    </row>
    <row r="11832">
      <c r="A11832" s="4" t="s">
        <v>14885</v>
      </c>
      <c r="B11832" s="4" t="s">
        <v>14886</v>
      </c>
      <c r="C11832" s="5" t="str">
        <f>IFERROR(__xludf.DUMMYFUNCTION("GOOGLETRANSLATE(B11832,""en"",""fr"")"),"Une vidéo mène à plusieurs clips d'un homme qui effectue des tours avec un chien.")</f>
        <v>Une vidéo mène à plusieurs clips d'un homme qui effectue des tours avec un chien.</v>
      </c>
    </row>
    <row r="11833">
      <c r="A11833" s="4" t="s">
        <v>14885</v>
      </c>
      <c r="B11833" s="6" t="s">
        <v>14887</v>
      </c>
      <c r="C11833" s="5" t="str">
        <f>IFERROR(__xludf.DUMMYFUNCTION("GOOGLETRANSLATE(B11833,""en"",""fr"")"),"L'homme continue de jouer des tours avec le chien alors que la caméra le capture sous plusieurs angles ainsi que d'autres faisant des trucs avec leurs chiens.")</f>
        <v>L'homme continue de jouer des tours avec le chien alors que la caméra le capture sous plusieurs angles ainsi que d'autres faisant des trucs avec leurs chiens.</v>
      </c>
    </row>
    <row r="11834">
      <c r="A11834" s="4" t="s">
        <v>14888</v>
      </c>
      <c r="B11834" s="4" t="s">
        <v>14889</v>
      </c>
      <c r="C11834" s="5" t="str">
        <f>IFERROR(__xludf.DUMMYFUNCTION("GOOGLETRANSLATE(B11834,""en"",""fr"")"),"Une petite fille entre dans une salle de bain et commence à parler à la caméra.")</f>
        <v>Une petite fille entre dans une salle de bain et commence à parler à la caméra.</v>
      </c>
    </row>
    <row r="11835">
      <c r="A11835" s="4" t="s">
        <v>14888</v>
      </c>
      <c r="B11835" s="4" t="s">
        <v>14890</v>
      </c>
      <c r="C11835" s="5" t="str">
        <f>IFERROR(__xludf.DUMMYFUNCTION("GOOGLETRANSLATE(B11835,""en"",""fr"")"),"La salle de bain se transforme en usine.")</f>
        <v>La salle de bain se transforme en usine.</v>
      </c>
    </row>
    <row r="11836">
      <c r="A11836" s="4" t="s">
        <v>14888</v>
      </c>
      <c r="B11836" s="4" t="s">
        <v>14891</v>
      </c>
      <c r="C11836" s="5" t="str">
        <f>IFERROR(__xludf.DUMMYFUNCTION("GOOGLETRANSLATE(B11836,""en"",""fr"")"),"La fille prend une brosse à dents et continue de parler.")</f>
        <v>La fille prend une brosse à dents et continue de parler.</v>
      </c>
    </row>
    <row r="11837">
      <c r="A11837" s="4" t="s">
        <v>14888</v>
      </c>
      <c r="B11837" s="4" t="s">
        <v>14892</v>
      </c>
      <c r="C11837" s="5" t="str">
        <f>IFERROR(__xludf.DUMMYFUNCTION("GOOGLETRANSLATE(B11837,""en"",""fr"")"),"Le dentifrice est appliqué sur une brosse à dents.")</f>
        <v>Le dentifrice est appliqué sur une brosse à dents.</v>
      </c>
    </row>
    <row r="11838">
      <c r="A11838" s="4" t="s">
        <v>14888</v>
      </c>
      <c r="B11838" s="4" t="s">
        <v>14893</v>
      </c>
      <c r="C11838" s="5" t="str">
        <f>IFERROR(__xludf.DUMMYFUNCTION("GOOGLETRANSLATE(B11838,""en"",""fr"")"),"La fille se brosse les dents et l'usine change dans une salle de bain.")</f>
        <v>La fille se brosse les dents et l'usine change dans une salle de bain.</v>
      </c>
    </row>
    <row r="11839">
      <c r="A11839" s="4" t="s">
        <v>14894</v>
      </c>
      <c r="B11839" s="4" t="s">
        <v>14895</v>
      </c>
      <c r="C11839" s="5" t="str">
        <f>IFERROR(__xludf.DUMMYFUNCTION("GOOGLETRANSLATE(B11839,""en"",""fr"")"),"Un homme parle dans un microphone.")</f>
        <v>Un homme parle dans un microphone.</v>
      </c>
    </row>
    <row r="11840">
      <c r="A11840" s="4" t="s">
        <v>14894</v>
      </c>
      <c r="B11840" s="4" t="s">
        <v>14896</v>
      </c>
      <c r="C11840" s="5" t="str">
        <f>IFERROR(__xludf.DUMMYFUNCTION("GOOGLETRANSLATE(B11840,""en"",""fr"")"),"Un homme portant une cape noire se fait raser sa barbe.")</f>
        <v>Un homme portant une cape noire se fait raser sa barbe.</v>
      </c>
    </row>
    <row r="11841">
      <c r="A11841" s="4" t="s">
        <v>14894</v>
      </c>
      <c r="B11841" s="4" t="s">
        <v>14897</v>
      </c>
      <c r="C11841" s="5" t="str">
        <f>IFERROR(__xludf.DUMMYFUNCTION("GOOGLETRANSLATE(B11841,""en"",""fr"")"),"Une personne met une serviette blanche sur le visage de l'homme.")</f>
        <v>Une personne met une serviette blanche sur le visage de l'homme.</v>
      </c>
    </row>
    <row r="11842">
      <c r="A11842" s="4" t="s">
        <v>14894</v>
      </c>
      <c r="B11842" s="4" t="s">
        <v>14898</v>
      </c>
      <c r="C11842" s="5" t="str">
        <f>IFERROR(__xludf.DUMMYFUNCTION("GOOGLETRANSLATE(B11842,""en"",""fr"")"),"Il met la crème à raser sur le visage de l'homme.")</f>
        <v>Il met la crème à raser sur le visage de l'homme.</v>
      </c>
    </row>
    <row r="11843">
      <c r="A11843" s="4" t="s">
        <v>14894</v>
      </c>
      <c r="B11843" s="4" t="s">
        <v>14899</v>
      </c>
      <c r="C11843" s="5" t="str">
        <f>IFERROR(__xludf.DUMMYFUNCTION("GOOGLETRANSLATE(B11843,""en"",""fr"")"),"Il met ensuite une serviette sur le visage de l'homme.")</f>
        <v>Il met ensuite une serviette sur le visage de l'homme.</v>
      </c>
    </row>
    <row r="11844">
      <c r="A11844" s="4" t="s">
        <v>14894</v>
      </c>
      <c r="B11844" s="4" t="s">
        <v>14900</v>
      </c>
      <c r="C11844" s="5" t="str">
        <f>IFERROR(__xludf.DUMMYFUNCTION("GOOGLETRANSLATE(B11844,""en"",""fr"")"),"Il rasage ensuite la barbe de l'homme avec un rasoir.")</f>
        <v>Il rasage ensuite la barbe de l'homme avec un rasoir.</v>
      </c>
    </row>
    <row r="11845">
      <c r="A11845" s="4" t="s">
        <v>14894</v>
      </c>
      <c r="B11845" s="4" t="s">
        <v>14901</v>
      </c>
      <c r="C11845" s="5" t="str">
        <f>IFERROR(__xludf.DUMMYFUNCTION("GOOGLETRANSLATE(B11845,""en"",""fr"")"),"L'homme met à nouveau une serviette sur le visage de l'autre homme.")</f>
        <v>L'homme met à nouveau une serviette sur le visage de l'autre homme.</v>
      </c>
    </row>
    <row r="11846">
      <c r="A11846" s="4" t="s">
        <v>14894</v>
      </c>
      <c r="B11846" s="4" t="s">
        <v>14902</v>
      </c>
      <c r="C11846" s="5" t="str">
        <f>IFERROR(__xludf.DUMMYFUNCTION("GOOGLETRANSLATE(B11846,""en"",""fr"")"),"Il enlève la cape et se lève.")</f>
        <v>Il enlève la cape et se lève.</v>
      </c>
    </row>
    <row r="11847">
      <c r="A11847" s="4" t="s">
        <v>14903</v>
      </c>
      <c r="B11847" s="4" t="s">
        <v>14904</v>
      </c>
      <c r="C11847" s="5" t="str">
        <f>IFERROR(__xludf.DUMMYFUNCTION("GOOGLETRANSLATE(B11847,""en"",""fr"")"),"Un couple danse sur une salle de bal avec des gens assis à des tables à proximité.")</f>
        <v>Un couple danse sur une salle de bal avec des gens assis à des tables à proximité.</v>
      </c>
    </row>
    <row r="11848">
      <c r="A11848" s="4" t="s">
        <v>14903</v>
      </c>
      <c r="B11848" s="4" t="s">
        <v>14905</v>
      </c>
      <c r="C11848" s="5" t="str">
        <f>IFERROR(__xludf.DUMMYFUNCTION("GOOGLETRANSLATE(B11848,""en"",""fr"")"),"Les gens à proximité prennent des photos du couple.")</f>
        <v>Les gens à proximité prennent des photos du couple.</v>
      </c>
    </row>
    <row r="11849">
      <c r="A11849" s="4" t="s">
        <v>14903</v>
      </c>
      <c r="B11849" s="4" t="s">
        <v>14906</v>
      </c>
      <c r="C11849" s="5" t="str">
        <f>IFERROR(__xludf.DUMMYFUNCTION("GOOGLETRANSLATE(B11849,""en"",""fr"")"),"Le couple termine et quitte la piste de danse.")</f>
        <v>Le couple termine et quitte la piste de danse.</v>
      </c>
    </row>
    <row r="11850">
      <c r="A11850" s="4" t="s">
        <v>14907</v>
      </c>
      <c r="B11850" s="4" t="s">
        <v>14908</v>
      </c>
      <c r="C11850" s="5" t="str">
        <f>IFERROR(__xludf.DUMMYFUNCTION("GOOGLETRANSLATE(B11850,""en"",""fr"")"),"Une jeune fille montre ses cheveux longs jusqu'à la taille.")</f>
        <v>Une jeune fille montre ses cheveux longs jusqu'à la taille.</v>
      </c>
    </row>
    <row r="11851">
      <c r="A11851" s="4" t="s">
        <v>14907</v>
      </c>
      <c r="B11851" s="4" t="s">
        <v>14909</v>
      </c>
      <c r="C11851" s="5" t="str">
        <f>IFERROR(__xludf.DUMMYFUNCTION("GOOGLETRANSLATE(B11851,""en"",""fr"")"),"Ensuite, un coiffeur coupe les cheveux de la jeune fille.")</f>
        <v>Ensuite, un coiffeur coupe les cheveux de la jeune fille.</v>
      </c>
    </row>
    <row r="11852">
      <c r="A11852" s="4" t="s">
        <v>14907</v>
      </c>
      <c r="B11852" s="4" t="s">
        <v>14910</v>
      </c>
      <c r="C11852" s="5" t="str">
        <f>IFERROR(__xludf.DUMMYFUNCTION("GOOGLETRANSLATE(B11852,""en"",""fr"")"),"Après, la fille montre ses cheveux courts et longs et deux tresses.")</f>
        <v>Après, la fille montre ses cheveux courts et longs et deux tresses.</v>
      </c>
    </row>
    <row r="11853">
      <c r="A11853" s="4" t="s">
        <v>14911</v>
      </c>
      <c r="B11853" s="4" t="s">
        <v>14912</v>
      </c>
      <c r="C11853" s="5" t="str">
        <f>IFERROR(__xludf.DUMMYFUNCTION("GOOGLETRANSLATE(B11853,""en"",""fr"")"),"Il y a une personne vêtue d'un costume de piste bleu démontrant comment utiliser une machine à aviron.")</f>
        <v>Il y a une personne vêtue d'un costume de piste bleu démontrant comment utiliser une machine à aviron.</v>
      </c>
    </row>
    <row r="11854">
      <c r="A11854" s="4" t="s">
        <v>14911</v>
      </c>
      <c r="B11854" s="4" t="s">
        <v>14913</v>
      </c>
      <c r="C11854" s="5" t="str">
        <f>IFERROR(__xludf.DUMMYFUNCTION("GOOGLETRANSLATE(B11854,""en"",""fr"")"),"Il est assis sur la barre de la machine et sécurise ses pieds dans le repos du pied.")</f>
        <v>Il est assis sur la barre de la machine et sécurise ses pieds dans le repos du pied.</v>
      </c>
    </row>
    <row r="11855">
      <c r="A11855" s="4" t="s">
        <v>14911</v>
      </c>
      <c r="B11855" s="4" t="s">
        <v>14914</v>
      </c>
      <c r="C11855" s="5" t="str">
        <f>IFERROR(__xludf.DUMMYFUNCTION("GOOGLETRANSLATE(B11855,""en"",""fr"")"),"Puis il commence par tirer la corde vers sa poitrine tout en redressant ses jambes.")</f>
        <v>Puis il commence par tirer la corde vers sa poitrine tout en redressant ses jambes.</v>
      </c>
    </row>
    <row r="11856">
      <c r="A11856" s="4" t="s">
        <v>14911</v>
      </c>
      <c r="B11856" s="4" t="s">
        <v>14915</v>
      </c>
      <c r="C11856" s="5" t="str">
        <f>IFERROR(__xludf.DUMMYFUNCTION("GOOGLETRANSLATE(B11856,""en"",""fr"")"),"Il continue ensuite à utiliser la machine en mouvement de va-et-vient.")</f>
        <v>Il continue ensuite à utiliser la machine en mouvement de va-et-vient.</v>
      </c>
    </row>
    <row r="11857">
      <c r="A11857" s="4" t="s">
        <v>14911</v>
      </c>
      <c r="B11857" s="4" t="s">
        <v>14916</v>
      </c>
      <c r="C11857" s="5" t="str">
        <f>IFERROR(__xludf.DUMMYFUNCTION("GOOGLETRANSLATE(B11857,""en"",""fr"")"),"Voit ensuite se reposer en libérant la corde et en se penchant en arrière.")</f>
        <v>Voit ensuite se reposer en libérant la corde et en se penchant en arrière.</v>
      </c>
    </row>
    <row r="11858">
      <c r="A11858" s="4" t="s">
        <v>14917</v>
      </c>
      <c r="B11858" s="6" t="s">
        <v>14918</v>
      </c>
      <c r="C11858" s="5" t="str">
        <f>IFERROR(__xludf.DUMMYFUNCTION("GOOGLETRANSLATE(B11858,""en"",""fr"")"),"Un gros plan d'une sneaker est montré suivi par une personne qui tourne un robinet et laissant l'eau couler sur la chaussure.")</f>
        <v>Un gros plan d'une sneaker est montré suivi par une personne qui tourne un robinet et laissant l'eau couler sur la chaussure.</v>
      </c>
    </row>
    <row r="11859">
      <c r="A11859" s="4" t="s">
        <v>14917</v>
      </c>
      <c r="B11859" s="6" t="s">
        <v>14919</v>
      </c>
      <c r="C11859" s="5" t="str">
        <f>IFERROR(__xludf.DUMMYFUNCTION("GOOGLETRANSLATE(B11859,""en"",""fr"")"),"La personne prend ensuite du polissage et commence à frotter la chaussure avec une brosse à dents tout en le faisant courir sous l'eau.")</f>
        <v>La personne prend ensuite du polissage et commence à frotter la chaussure avec une brosse à dents tout en le faisant courir sous l'eau.</v>
      </c>
    </row>
    <row r="11860">
      <c r="A11860" s="4" t="s">
        <v>14917</v>
      </c>
      <c r="B11860" s="4" t="s">
        <v>14920</v>
      </c>
      <c r="C11860" s="5" t="str">
        <f>IFERROR(__xludf.DUMMYFUNCTION("GOOGLETRANSLATE(B11860,""en"",""fr"")"),"La personne éteint l'eau et présente la chaussure dans l'évier.")</f>
        <v>La personne éteint l'eau et présente la chaussure dans l'évier.</v>
      </c>
    </row>
    <row r="11861">
      <c r="A11861" s="4" t="s">
        <v>14921</v>
      </c>
      <c r="B11861" s="4" t="s">
        <v>14922</v>
      </c>
      <c r="C11861" s="5" t="str">
        <f>IFERROR(__xludf.DUMMYFUNCTION("GOOGLETRANSLATE(B11861,""en"",""fr"")"),"Une femme saute sur deux bars et fait une routine de gymnastique.")</f>
        <v>Une femme saute sur deux bars et fait une routine de gymnastique.</v>
      </c>
    </row>
    <row r="11862">
      <c r="A11862" s="4" t="s">
        <v>14921</v>
      </c>
      <c r="B11862" s="4" t="s">
        <v>14923</v>
      </c>
      <c r="C11862" s="5" t="str">
        <f>IFERROR(__xludf.DUMMYFUNCTION("GOOGLETRANSLATE(B11862,""en"",""fr"")"),"Le public la regarde jouer.")</f>
        <v>Le public la regarde jouer.</v>
      </c>
    </row>
    <row r="11863">
      <c r="A11863" s="4" t="s">
        <v>14921</v>
      </c>
      <c r="B11863" s="4" t="s">
        <v>14924</v>
      </c>
      <c r="C11863" s="5" t="str">
        <f>IFERROR(__xludf.DUMMYFUNCTION("GOOGLETRANSLATE(B11863,""en"",""fr"")"),"Elle saute des barreaux et atterrit sur le tapis avec ses mains en l'air.")</f>
        <v>Elle saute des barreaux et atterrit sur le tapis avec ses mains en l'air.</v>
      </c>
    </row>
    <row r="11864">
      <c r="A11864" s="4" t="s">
        <v>14921</v>
      </c>
      <c r="B11864" s="4" t="s">
        <v>14925</v>
      </c>
      <c r="C11864" s="5" t="str">
        <f>IFERROR(__xludf.DUMMYFUNCTION("GOOGLETRANSLATE(B11864,""en"",""fr"")"),"Une rediffusion de sa performance est montrée.")</f>
        <v>Une rediffusion de sa performance est montrée.</v>
      </c>
    </row>
    <row r="11865">
      <c r="A11865" s="4" t="s">
        <v>14921</v>
      </c>
      <c r="B11865" s="4" t="s">
        <v>14926</v>
      </c>
      <c r="C11865" s="5" t="str">
        <f>IFERROR(__xludf.DUMMYFUNCTION("GOOGLETRANSLATE(B11865,""en"",""fr"")"),"Les mots sont ensuite affichés à l'écran.")</f>
        <v>Les mots sont ensuite affichés à l'écran.</v>
      </c>
    </row>
    <row r="11866">
      <c r="A11866" s="4" t="s">
        <v>14927</v>
      </c>
      <c r="B11866" s="4" t="s">
        <v>14928</v>
      </c>
      <c r="C11866" s="5" t="str">
        <f>IFERROR(__xludf.DUMMYFUNCTION("GOOGLETRANSLATE(B11866,""en"",""fr"")"),"Deux hommes jouent à la courge dans une pièce.")</f>
        <v>Deux hommes jouent à la courge dans une pièce.</v>
      </c>
    </row>
    <row r="11867">
      <c r="A11867" s="4" t="s">
        <v>14927</v>
      </c>
      <c r="B11867" s="4" t="s">
        <v>14929</v>
      </c>
      <c r="C11867" s="5" t="str">
        <f>IFERROR(__xludf.DUMMYFUNCTION("GOOGLETRANSLATE(B11867,""en"",""fr"")"),"Un joueur va trouver le ballon et le jeter à son partenaire.")</f>
        <v>Un joueur va trouver le ballon et le jeter à son partenaire.</v>
      </c>
    </row>
    <row r="11868">
      <c r="A11868" s="4" t="s">
        <v>14927</v>
      </c>
      <c r="B11868" s="4" t="s">
        <v>14930</v>
      </c>
      <c r="C11868" s="5" t="str">
        <f>IFERROR(__xludf.DUMMYFUNCTION("GOOGLETRANSLATE(B11868,""en"",""fr"")"),"Ensuite, les deux hommes continuent de jouer à la courge.")</f>
        <v>Ensuite, les deux hommes continuent de jouer à la courge.</v>
      </c>
    </row>
    <row r="11869">
      <c r="A11869" s="4" t="s">
        <v>14927</v>
      </c>
      <c r="B11869" s="4" t="s">
        <v>14931</v>
      </c>
      <c r="C11869" s="5" t="str">
        <f>IFERROR(__xludf.DUMMYFUNCTION("GOOGLETRANSLATE(B11869,""en"",""fr"")"),"Un homme ramasse une balle du sol et continue la courge.")</f>
        <v>Un homme ramasse une balle du sol et continue la courge.</v>
      </c>
    </row>
    <row r="11870">
      <c r="A11870" s="4" t="s">
        <v>14932</v>
      </c>
      <c r="B11870" s="6" t="s">
        <v>14933</v>
      </c>
      <c r="C11870" s="5" t="str">
        <f>IFERROR(__xludf.DUMMYFUNCTION("GOOGLETRANSLATE(B11870,""en"",""fr"")"),"Deux ensembles de personnes sont au milieu du kayak de bois, dans de l'eau blanche vibrante entourée de gros rochers.")</f>
        <v>Deux ensembles de personnes sont au milieu du kayak de bois, dans de l'eau blanche vibrante entourée de gros rochers.</v>
      </c>
    </row>
    <row r="11871">
      <c r="A11871" s="4" t="s">
        <v>14932</v>
      </c>
      <c r="B11871" s="6" t="s">
        <v>14934</v>
      </c>
      <c r="C11871" s="5" t="str">
        <f>IFERROR(__xludf.DUMMYFUNCTION("GOOGLETRANSLATE(B11871,""en"",""fr"")"),"Ils commencent à se déplacer vers leur gauche et à tomber sur la première colline de gros rochers et à se rencontrer dans le coin et à parler.")</f>
        <v>Ils commencent à se déplacer vers leur gauche et à tomber sur la première colline de gros rochers et à se rencontrer dans le coin et à parler.</v>
      </c>
    </row>
    <row r="11872">
      <c r="A11872" s="4" t="s">
        <v>14932</v>
      </c>
      <c r="B11872" s="6" t="s">
        <v>14935</v>
      </c>
      <c r="C11872" s="5" t="str">
        <f>IFERROR(__xludf.DUMMYFUNCTION("GOOGLETRANSLATE(B11872,""en"",""fr"")"),"La deuxième personne commence à faire du kayak et descend férocement dans la prochaine colline escarpée de rochers et d'attentions.")</f>
        <v>La deuxième personne commence à faire du kayak et descend férocement dans la prochaine colline escarpée de rochers et d'attentions.</v>
      </c>
    </row>
    <row r="11873">
      <c r="A11873" s="4" t="s">
        <v>14932</v>
      </c>
      <c r="B11873" s="4" t="s">
        <v>14936</v>
      </c>
      <c r="C11873" s="5" t="str">
        <f>IFERROR(__xludf.DUMMYFUNCTION("GOOGLETRANSLATE(B11873,""en"",""fr"")"),"Peu de temps après, l'homme dans la veste bleue emboîte le pas et vient derrière eux.")</f>
        <v>Peu de temps après, l'homme dans la veste bleue emboîte le pas et vient derrière eux.</v>
      </c>
    </row>
    <row r="11874">
      <c r="A11874" s="4" t="s">
        <v>14932</v>
      </c>
      <c r="B11874" s="6" t="s">
        <v>14937</v>
      </c>
      <c r="C11874" s="5" t="str">
        <f>IFERROR(__xludf.DUMMYFUNCTION("GOOGLETRANSLATE(B11874,""en"",""fr"")"),"Enfin, ils prennent deux photos avec la forêt comme arrière près d'un panneau brun avec des mots blancs lisant les grandes chutes.")</f>
        <v>Enfin, ils prennent deux photos avec la forêt comme arrière près d'un panneau brun avec des mots blancs lisant les grandes chutes.</v>
      </c>
    </row>
    <row r="11875">
      <c r="A11875" s="4" t="s">
        <v>14938</v>
      </c>
      <c r="B11875" s="4" t="s">
        <v>14939</v>
      </c>
      <c r="C11875" s="5" t="str">
        <f>IFERROR(__xludf.DUMMYFUNCTION("GOOGLETRANSLATE(B11875,""en"",""fr"")"),"La personne serre les citrons dans le Squeezer.")</f>
        <v>La personne serre les citrons dans le Squeezer.</v>
      </c>
    </row>
    <row r="11876">
      <c r="A11876" s="4" t="s">
        <v>14938</v>
      </c>
      <c r="B11876" s="4" t="s">
        <v>14940</v>
      </c>
      <c r="C11876" s="5" t="str">
        <f>IFERROR(__xludf.DUMMYFUNCTION("GOOGLETRANSLATE(B11876,""en"",""fr"")"),"La personne verse le citron dans le flacon pulvérisateur blanc et ajouté de l'eau.")</f>
        <v>La personne verse le citron dans le flacon pulvérisateur blanc et ajouté de l'eau.</v>
      </c>
    </row>
    <row r="11877">
      <c r="A11877" s="4" t="s">
        <v>14938</v>
      </c>
      <c r="B11877" s="4" t="s">
        <v>14941</v>
      </c>
      <c r="C11877" s="5" t="str">
        <f>IFERROR(__xludf.DUMMYFUNCTION("GOOGLETRANSLATE(B11877,""en"",""fr"")"),"La personne pulvérise le jus de citron dans un arc et frottez le bol avec une éponge.")</f>
        <v>La personne pulvérise le jus de citron dans un arc et frottez le bol avec une éponge.</v>
      </c>
    </row>
    <row r="11878">
      <c r="A11878" s="4" t="s">
        <v>14942</v>
      </c>
      <c r="B11878" s="4" t="s">
        <v>14943</v>
      </c>
      <c r="C11878" s="5" t="str">
        <f>IFERROR(__xludf.DUMMYFUNCTION("GOOGLETRANSLATE(B11878,""en"",""fr"")"),"Un sportif lance un javelot dans un stade.")</f>
        <v>Un sportif lance un javelot dans un stade.</v>
      </c>
    </row>
    <row r="11879">
      <c r="A11879" s="4" t="s">
        <v>14942</v>
      </c>
      <c r="B11879" s="4" t="s">
        <v>14944</v>
      </c>
      <c r="C11879" s="5" t="str">
        <f>IFERROR(__xludf.DUMMYFUNCTION("GOOGLETRANSLATE(B11879,""en"",""fr"")"),"Le javelot vole dans l'air et atterrit sur la piste verte, puis un homme coule vers lui.")</f>
        <v>Le javelot vole dans l'air et atterrit sur la piste verte, puis un homme coule vers lui.</v>
      </c>
    </row>
    <row r="11880">
      <c r="A11880" s="4" t="s">
        <v>14942</v>
      </c>
      <c r="B11880" s="4" t="s">
        <v>14945</v>
      </c>
      <c r="C11880" s="5" t="str">
        <f>IFERROR(__xludf.DUMMYFUNCTION("GOOGLETRANSLATE(B11880,""en"",""fr"")"),"La marche des sportifs levant les mains et applaudie les mains.")</f>
        <v>La marche des sportifs levant les mains et applaudie les mains.</v>
      </c>
    </row>
    <row r="11881">
      <c r="A11881" s="4" t="s">
        <v>14942</v>
      </c>
      <c r="B11881" s="4" t="s">
        <v>14946</v>
      </c>
      <c r="C11881" s="5" t="str">
        <f>IFERROR(__xludf.DUMMYFUNCTION("GOOGLETRANSLATE(B11881,""en"",""fr"")"),"Un film de caméraman The Athlete.")</f>
        <v>Un film de caméraman The Athlete.</v>
      </c>
    </row>
    <row r="11882">
      <c r="A11882" s="4" t="s">
        <v>14942</v>
      </c>
      <c r="B11882" s="4" t="s">
        <v>14947</v>
      </c>
      <c r="C11882" s="5" t="str">
        <f>IFERROR(__xludf.DUMMYFUNCTION("GOOGLETRANSLATE(B11882,""en"",""fr"")"),"Le gymnaste lance un javelot dans le stade.")</f>
        <v>Le gymnaste lance un javelot dans le stade.</v>
      </c>
    </row>
    <row r="11883">
      <c r="A11883" s="4" t="s">
        <v>14948</v>
      </c>
      <c r="B11883" s="6" t="s">
        <v>14949</v>
      </c>
      <c r="C11883" s="5" t="str">
        <f>IFERROR(__xludf.DUMMYFUNCTION("GOOGLETRANSLATE(B11883,""en"",""fr"")"),"Plusieurs images sont montrées de personnes qui brillent pour d'autres dans divers endroits à l'aide de chiffons et de pinceaux sur leurs chaussures.")</f>
        <v>Plusieurs images sont montrées de personnes qui brillent pour d'autres dans divers endroits à l'aide de chiffons et de pinceaux sur leurs chaussures.</v>
      </c>
    </row>
    <row r="11884">
      <c r="A11884" s="4" t="s">
        <v>14948</v>
      </c>
      <c r="B11884" s="6" t="s">
        <v>14950</v>
      </c>
      <c r="C11884" s="5" t="str">
        <f>IFERROR(__xludf.DUMMYFUNCTION("GOOGLETRANSLATE(B11884,""en"",""fr"")"),"La vidéo continue avec de nombreuses autres images montrées par des gens qui brillent des chaussures et un homme debout avec un tablier à la fin.")</f>
        <v>La vidéo continue avec de nombreuses autres images montrées par des gens qui brillent des chaussures et un homme debout avec un tablier à la fin.</v>
      </c>
    </row>
    <row r="11885">
      <c r="A11885" s="4" t="s">
        <v>14951</v>
      </c>
      <c r="B11885" s="4" t="s">
        <v>14952</v>
      </c>
      <c r="C11885" s="5" t="str">
        <f>IFERROR(__xludf.DUMMYFUNCTION("GOOGLETRANSLATE(B11885,""en"",""fr"")"),"Une porte avec des panneaux rouges le couvre.")</f>
        <v>Une porte avec des panneaux rouges le couvre.</v>
      </c>
    </row>
    <row r="11886">
      <c r="A11886" s="4" t="s">
        <v>14951</v>
      </c>
      <c r="B11886" s="4" t="s">
        <v>14953</v>
      </c>
      <c r="C11886" s="5" t="str">
        <f>IFERROR(__xludf.DUMMYFUNCTION("GOOGLETRANSLATE(B11886,""en"",""fr"")"),"Un pompier court à l'extérieur en portant une planche.")</f>
        <v>Un pompier court à l'extérieur en portant une planche.</v>
      </c>
    </row>
    <row r="11887">
      <c r="A11887" s="4" t="s">
        <v>14951</v>
      </c>
      <c r="B11887" s="4" t="s">
        <v>14954</v>
      </c>
      <c r="C11887" s="5" t="str">
        <f>IFERROR(__xludf.DUMMYFUNCTION("GOOGLETRANSLATE(B11887,""en"",""fr"")"),"Il traîne sur la route derrière une voiture, faisant le tour des virages et tombant plusieurs fois.")</f>
        <v>Il traîne sur la route derrière une voiture, faisant le tour des virages et tombant plusieurs fois.</v>
      </c>
    </row>
    <row r="11888">
      <c r="A11888" s="4" t="s">
        <v>14955</v>
      </c>
      <c r="B11888" s="4" t="s">
        <v>14956</v>
      </c>
      <c r="C11888" s="5" t="str">
        <f>IFERROR(__xludf.DUMMYFUNCTION("GOOGLETRANSLATE(B11888,""en"",""fr"")"),"Une fille dans un chemisier violet est assise sur un poteau de clôture alors qu'elle frotte un cheval attaché à la clôture.")</f>
        <v>Une fille dans un chemisier violet est assise sur un poteau de clôture alors qu'elle frotte un cheval attaché à la clôture.</v>
      </c>
    </row>
    <row r="11889">
      <c r="A11889" s="4" t="s">
        <v>14955</v>
      </c>
      <c r="B11889" s="4" t="s">
        <v>14957</v>
      </c>
      <c r="C11889" s="5" t="str">
        <f>IFERROR(__xludf.DUMMYFUNCTION("GOOGLETRANSLATE(B11889,""en"",""fr"")"),"La fille se tient sur le poteau de clôture tout en atteignant pour brosser la crinière des chevaux.")</f>
        <v>La fille se tient sur le poteau de clôture tout en atteignant pour brosser la crinière des chevaux.</v>
      </c>
    </row>
    <row r="11890">
      <c r="A11890" s="4" t="s">
        <v>14955</v>
      </c>
      <c r="B11890" s="6" t="s">
        <v>14958</v>
      </c>
      <c r="C11890" s="5" t="str">
        <f>IFERROR(__xludf.DUMMYFUNCTION("GOOGLETRANSLATE(B11890,""en"",""fr"")"),"La fille continue debout sur le poteau de clôture se penche sur les chevaux et brosse l'arrière du cheval alors qu'elle sourit à la caméra.")</f>
        <v>La fille continue debout sur le poteau de clôture se penche sur les chevaux et brosse l'arrière du cheval alors qu'elle sourit à la caméra.</v>
      </c>
    </row>
    <row r="11891">
      <c r="A11891" s="4" t="s">
        <v>14955</v>
      </c>
      <c r="B11891" s="4" t="s">
        <v>14959</v>
      </c>
      <c r="C11891" s="5" t="str">
        <f>IFERROR(__xludf.DUMMYFUNCTION("GOOGLETRANSLATE(B11891,""en"",""fr"")"),"La fille se monte sur les chevaux alors qu'elle continue de brosser le cou et la crinière des chevaux.")</f>
        <v>La fille se monte sur les chevaux alors qu'elle continue de brosser le cou et la crinière des chevaux.</v>
      </c>
    </row>
    <row r="11892">
      <c r="A11892" s="4" t="s">
        <v>14955</v>
      </c>
      <c r="B11892" s="6" t="s">
        <v>14960</v>
      </c>
      <c r="C11892" s="5" t="str">
        <f>IFERROR(__xludf.DUMMYFUNCTION("GOOGLETRANSLATE(B11892,""en"",""fr"")"),"La fille du chemisier violet démonte le cheval et se tient sur le poteau de clôture brosse le quartier arrière des chevaux.")</f>
        <v>La fille du chemisier violet démonte le cheval et se tient sur le poteau de clôture brosse le quartier arrière des chevaux.</v>
      </c>
    </row>
    <row r="11893">
      <c r="A11893" s="4" t="s">
        <v>14961</v>
      </c>
      <c r="B11893" s="6" t="s">
        <v>14962</v>
      </c>
      <c r="C11893" s="5" t="str">
        <f>IFERROR(__xludf.DUMMYFUNCTION("GOOGLETRANSLATE(B11893,""en"",""fr"")"),"Diverses images d'ingrédients sont présentées avec du texte à travers l'écran et mènent à une femme lavant et éplucher des citrons.")</f>
        <v>Diverses images d'ingrédients sont présentées avec du texte à travers l'écran et mènent à une femme lavant et éplucher des citrons.</v>
      </c>
    </row>
    <row r="11894">
      <c r="A11894" s="4" t="s">
        <v>14961</v>
      </c>
      <c r="B11894" s="4" t="s">
        <v>14963</v>
      </c>
      <c r="C11894" s="5" t="str">
        <f>IFERROR(__xludf.DUMMYFUNCTION("GOOGLETRANSLATE(B11894,""en"",""fr"")"),"Elle roule les citrons sur une table et les a coupés en moitié.")</f>
        <v>Elle roule les citrons sur une table et les a coupés en moitié.</v>
      </c>
    </row>
    <row r="11895">
      <c r="A11895" s="4" t="s">
        <v>14961</v>
      </c>
      <c r="B11895" s="4" t="s">
        <v>14964</v>
      </c>
      <c r="C11895" s="5" t="str">
        <f>IFERROR(__xludf.DUMMYFUNCTION("GOOGLETRANSLATE(B11895,""en"",""fr"")"),"Ensuite, elle fait du jus de citron et verse le mélange dans une grande casserole avec du sucre.")</f>
        <v>Ensuite, elle fait du jus de citron et verse le mélange dans une grande casserole avec du sucre.</v>
      </c>
    </row>
    <row r="11896">
      <c r="A11896" s="4" t="s">
        <v>14961</v>
      </c>
      <c r="B11896" s="4" t="s">
        <v>14965</v>
      </c>
      <c r="C11896" s="5" t="str">
        <f>IFERROR(__xludf.DUMMYFUNCTION("GOOGLETRANSLATE(B11896,""en"",""fr"")"),"Elle bouilla le pot et verse le résultat final dans plusieurs verres, profitant d'une gorgée à la fin.")</f>
        <v>Elle bouilla le pot et verse le résultat final dans plusieurs verres, profitant d'une gorgée à la fin.</v>
      </c>
    </row>
    <row r="11897">
      <c r="A11897" s="4" t="s">
        <v>14966</v>
      </c>
      <c r="B11897" s="4" t="s">
        <v>14967</v>
      </c>
      <c r="C11897" s="5" t="str">
        <f>IFERROR(__xludf.DUMMYFUNCTION("GOOGLETRANSLATE(B11897,""en"",""fr"")"),"Un pinceau à poils de sanglier est montré, puis un DVD vidéo de la façon de se raser.")</f>
        <v>Un pinceau à poils de sanglier est montré, puis un DVD vidéo de la façon de se raser.</v>
      </c>
    </row>
    <row r="11898">
      <c r="A11898" s="4" t="s">
        <v>14966</v>
      </c>
      <c r="B11898" s="4" t="s">
        <v>14968</v>
      </c>
      <c r="C11898" s="5" t="str">
        <f>IFERROR(__xludf.DUMMYFUNCTION("GOOGLETRANSLATE(B11898,""en"",""fr"")"),"Un homme est allongé, mousse sur son visage tandis qu'un coiffeur se rasage la barbe.")</f>
        <v>Un homme est allongé, mousse sur son visage tandis qu'un coiffeur se rasage la barbe.</v>
      </c>
    </row>
    <row r="11899">
      <c r="A11899" s="4" t="s">
        <v>14966</v>
      </c>
      <c r="B11899" s="4" t="s">
        <v>14969</v>
      </c>
      <c r="C11899" s="5" t="str">
        <f>IFERROR(__xludf.DUMMYFUNCTION("GOOGLETRANSLATE(B11899,""en"",""fr"")"),"L'homme se lance alors la tête et le rasage avec un rasoir droit.")</f>
        <v>L'homme se lance alors la tête et le rasage avec un rasoir droit.</v>
      </c>
    </row>
    <row r="11900">
      <c r="A11900" s="4" t="s">
        <v>14966</v>
      </c>
      <c r="B11900" s="4" t="s">
        <v>14970</v>
      </c>
      <c r="C11900" s="5" t="str">
        <f>IFERROR(__xludf.DUMMYFUNCTION("GOOGLETRANSLATE(B11900,""en"",""fr"")"),"Une image du DVD est à nouveau affichée.")</f>
        <v>Une image du DVD est à nouveau affichée.</v>
      </c>
    </row>
    <row r="11901">
      <c r="A11901" s="4" t="s">
        <v>14971</v>
      </c>
      <c r="B11901" s="4" t="s">
        <v>14972</v>
      </c>
      <c r="C11901" s="5" t="str">
        <f>IFERROR(__xludf.DUMMYFUNCTION("GOOGLETRANSLATE(B11901,""en"",""fr"")"),"Un homme et un chien se tiennent dans un champ entouré d'un groupe de personnes.")</f>
        <v>Un homme et un chien se tiennent dans un champ entouré d'un groupe de personnes.</v>
      </c>
    </row>
    <row r="11902">
      <c r="A11902" s="4" t="s">
        <v>14971</v>
      </c>
      <c r="B11902" s="4" t="s">
        <v>14973</v>
      </c>
      <c r="C11902" s="5" t="str">
        <f>IFERROR(__xludf.DUMMYFUNCTION("GOOGLETRANSLATE(B11902,""en"",""fr"")"),"Le chien continue, puis l'homme est vu en quittant le champ.")</f>
        <v>Le chien continue, puis l'homme est vu en quittant le champ.</v>
      </c>
    </row>
    <row r="11903">
      <c r="A11903" s="4" t="s">
        <v>14971</v>
      </c>
      <c r="B11903" s="6" t="s">
        <v>14974</v>
      </c>
      <c r="C11903" s="5" t="str">
        <f>IFERROR(__xludf.DUMMYFUNCTION("GOOGLETRANSLATE(B11903,""en"",""fr"")"),"Cependant, une dame demeure et elle et son chien commencent à faire du frisbee et à des tours au Purina Dog Challenge.")</f>
        <v>Cependant, une dame demeure et elle et son chien commencent à faire du frisbee et à des tours au Purina Dog Challenge.</v>
      </c>
    </row>
    <row r="11904">
      <c r="A11904" s="4" t="s">
        <v>14975</v>
      </c>
      <c r="B11904" s="4" t="s">
        <v>14976</v>
      </c>
      <c r="C11904" s="5" t="str">
        <f>IFERROR(__xludf.DUMMYFUNCTION("GOOGLETRANSLATE(B11904,""en"",""fr"")"),"Un homme skier à navette à l'avant un glacier.")</f>
        <v>Un homme skier à navette à l'avant un glacier.</v>
      </c>
    </row>
    <row r="11905">
      <c r="A11905" s="4" t="s">
        <v>14975</v>
      </c>
      <c r="B11905" s="4" t="s">
        <v>14977</v>
      </c>
      <c r="C11905" s="5" t="str">
        <f>IFERROR(__xludf.DUMMYFUNCTION("GOOGLETRANSLATE(B11905,""en"",""fr"")"),"L'homme regarde un sceau et une baleine dans l'eau froide.")</f>
        <v>L'homme regarde un sceau et une baleine dans l'eau froide.</v>
      </c>
    </row>
    <row r="11906">
      <c r="A11906" s="4" t="s">
        <v>14975</v>
      </c>
      <c r="B11906" s="4" t="s">
        <v>14978</v>
      </c>
      <c r="C11906" s="5" t="str">
        <f>IFERROR(__xludf.DUMMYFUNCTION("GOOGLETRANSLATE(B11906,""en"",""fr"")"),"L'homme skie dans l'eau dans l'eau tenant une corde tirée par un bateau.")</f>
        <v>L'homme skie dans l'eau dans l'eau tenant une corde tirée par un bateau.</v>
      </c>
    </row>
    <row r="11907">
      <c r="A11907" s="4" t="s">
        <v>14975</v>
      </c>
      <c r="B11907" s="4" t="s">
        <v>14979</v>
      </c>
      <c r="C11907" s="5" t="str">
        <f>IFERROR(__xludf.DUMMYFUNCTION("GOOGLETRANSLATE(B11907,""en"",""fr"")"),"L'homme se penche pour passer un glacier, puis il passe sur un iceberg.")</f>
        <v>L'homme se penche pour passer un glacier, puis il passe sur un iceberg.</v>
      </c>
    </row>
    <row r="11908">
      <c r="A11908" s="4" t="s">
        <v>14975</v>
      </c>
      <c r="B11908" s="4" t="s">
        <v>14980</v>
      </c>
      <c r="C11908" s="5" t="str">
        <f>IFERROR(__xludf.DUMMYFUNCTION("GOOGLETRANSLATE(B11908,""en"",""fr"")"),"Une baleine nage dans l'océan.")</f>
        <v>Une baleine nage dans l'océan.</v>
      </c>
    </row>
    <row r="11909">
      <c r="A11909" s="4" t="s">
        <v>14975</v>
      </c>
      <c r="B11909" s="4" t="s">
        <v>14981</v>
      </c>
      <c r="C11909" s="5" t="str">
        <f>IFERROR(__xludf.DUMMYFUNCTION("GOOGLETRANSLATE(B11909,""en"",""fr"")"),"Après, l'homme passe sur un iceberg et tourne, puis le neige sur un grand iceberg.")</f>
        <v>Après, l'homme passe sur un iceberg et tourne, puis le neige sur un grand iceberg.</v>
      </c>
    </row>
    <row r="11910">
      <c r="A11910" s="4" t="s">
        <v>14975</v>
      </c>
      <c r="B11910" s="4" t="s">
        <v>14982</v>
      </c>
      <c r="C11910" s="5" t="str">
        <f>IFERROR(__xludf.DUMMYFUNCTION("GOOGLETRANSLATE(B11910,""en"",""fr"")"),"L'homme glisse d'un iceberg et tombe dans l'eau, et les gens se tiennent pour regarder un iceberg tomber.")</f>
        <v>L'homme glisse d'un iceberg et tombe dans l'eau, et les gens se tiennent pour regarder un iceberg tomber.</v>
      </c>
    </row>
    <row r="11911">
      <c r="A11911" s="4" t="s">
        <v>14983</v>
      </c>
      <c r="B11911" s="4" t="s">
        <v>14984</v>
      </c>
      <c r="C11911" s="5" t="str">
        <f>IFERROR(__xludf.DUMMYFUNCTION("GOOGLETRANSLATE(B11911,""en"",""fr"")"),"Un snowboarder donne un tutoriel sur la façon de frapper un saut.")</f>
        <v>Un snowboarder donne un tutoriel sur la façon de frapper un saut.</v>
      </c>
    </row>
    <row r="11912">
      <c r="A11912" s="4" t="s">
        <v>14983</v>
      </c>
      <c r="B11912" s="4" t="s">
        <v>14985</v>
      </c>
      <c r="C11912" s="5" t="str">
        <f>IFERROR(__xludf.DUMMYFUNCTION("GOOGLETRANSLATE(B11912,""en"",""fr"")"),"Quelques techniques sont indiquées en quatre parties.")</f>
        <v>Quelques techniques sont indiquées en quatre parties.</v>
      </c>
    </row>
    <row r="11913">
      <c r="A11913" s="4" t="s">
        <v>14986</v>
      </c>
      <c r="B11913" s="4" t="s">
        <v>14987</v>
      </c>
      <c r="C11913" s="5" t="str">
        <f>IFERROR(__xludf.DUMMYFUNCTION("GOOGLETRANSLATE(B11913,""en"",""fr"")"),"L'intro arrive sur l'écran en introduisant une vidéo sur Ho pour grimper des rochers.")</f>
        <v>L'intro arrive sur l'écran en introduisant une vidéo sur Ho pour grimper des rochers.</v>
      </c>
    </row>
    <row r="11914">
      <c r="A11914" s="4" t="s">
        <v>14986</v>
      </c>
      <c r="B11914" s="4" t="s">
        <v>14988</v>
      </c>
      <c r="C11914" s="5" t="str">
        <f>IFERROR(__xludf.DUMMYFUNCTION("GOOGLETRANSLATE(B11914,""en"",""fr"")"),"Un homme apparaît à l'écran suspendu à un harnais pour donner quelques instructions.")</f>
        <v>Un homme apparaît à l'écran suspendu à un harnais pour donner quelques instructions.</v>
      </c>
    </row>
    <row r="11915">
      <c r="A11915" s="4" t="s">
        <v>14986</v>
      </c>
      <c r="B11915" s="4" t="s">
        <v>14989</v>
      </c>
      <c r="C11915" s="5" t="str">
        <f>IFERROR(__xludf.DUMMYFUNCTION("GOOGLETRANSLATE(B11915,""en"",""fr"")"),"La vidéo lui coupe grimpant le mur pendant qu'il continue sa narration.")</f>
        <v>La vidéo lui coupe grimpant le mur pendant qu'il continue sa narration.</v>
      </c>
    </row>
    <row r="11916">
      <c r="A11916" s="4" t="s">
        <v>14986</v>
      </c>
      <c r="B11916" s="4" t="s">
        <v>14990</v>
      </c>
      <c r="C11916" s="5" t="str">
        <f>IFERROR(__xludf.DUMMYFUNCTION("GOOGLETRANSLATE(B11916,""en"",""fr"")"),"La vidéo coupe une autre personne dans une chemise verte obtenant de l'aide pour essayer de gravir le mur.")</f>
        <v>La vidéo coupe une autre personne dans une chemise verte obtenant de l'aide pour essayer de gravir le mur.</v>
      </c>
    </row>
    <row r="11917">
      <c r="A11917" s="4" t="s">
        <v>14986</v>
      </c>
      <c r="B11917" s="4" t="s">
        <v>14991</v>
      </c>
      <c r="C11917" s="5" t="str">
        <f>IFERROR(__xludf.DUMMYFUNCTION("GOOGLETRANSLATE(B11917,""en"",""fr"")"),"La vidéo montre un écran partagé avec deux vues d'un homme grimpant au mur.")</f>
        <v>La vidéo montre un écran partagé avec deux vues d'un homme grimpant au mur.</v>
      </c>
    </row>
    <row r="11918">
      <c r="A11918" s="4" t="s">
        <v>14986</v>
      </c>
      <c r="B11918" s="4" t="s">
        <v>14992</v>
      </c>
      <c r="C11918" s="5" t="str">
        <f>IFERROR(__xludf.DUMMYFUNCTION("GOOGLETRANSLATE(B11918,""en"",""fr"")"),"Ensuite, une femme est montrée en essayant de gravir le mur.")</f>
        <v>Ensuite, une femme est montrée en essayant de gravir le mur.</v>
      </c>
    </row>
    <row r="11919">
      <c r="A11919" s="4" t="s">
        <v>14986</v>
      </c>
      <c r="B11919" s="4" t="s">
        <v>14993</v>
      </c>
      <c r="C11919" s="5" t="str">
        <f>IFERROR(__xludf.DUMMYFUNCTION("GOOGLETRANSLATE(B11919,""en"",""fr"")"),"Un avertissement est affiché à l'écran à la fin de la vidéo.")</f>
        <v>Un avertissement est affiché à l'écran à la fin de la vidéo.</v>
      </c>
    </row>
    <row r="11920">
      <c r="A11920" s="4" t="s">
        <v>14994</v>
      </c>
      <c r="B11920" s="4" t="s">
        <v>14995</v>
      </c>
      <c r="C11920" s="5" t="str">
        <f>IFERROR(__xludf.DUMMYFUNCTION("GOOGLETRANSLATE(B11920,""en"",""fr"")"),"Nous voyons les crédits d'ouverture sur un écran noir.")</f>
        <v>Nous voyons les crédits d'ouverture sur un écran noir.</v>
      </c>
    </row>
    <row r="11921">
      <c r="A11921" s="4" t="s">
        <v>14994</v>
      </c>
      <c r="B11921" s="4" t="s">
        <v>14996</v>
      </c>
      <c r="C11921" s="5" t="str">
        <f>IFERROR(__xludf.DUMMYFUNCTION("GOOGLETRANSLATE(B11921,""en"",""fr"")"),"Nous voyons ensuite un homme entraîner un homme dans un garage et parler à la caméra.")</f>
        <v>Nous voyons ensuite un homme entraîner un homme dans un garage et parler à la caméra.</v>
      </c>
    </row>
    <row r="11922">
      <c r="A11922" s="4" t="s">
        <v>14994</v>
      </c>
      <c r="B11922" s="4" t="s">
        <v>14997</v>
      </c>
      <c r="C11922" s="5" t="str">
        <f>IFERROR(__xludf.DUMMYFUNCTION("GOOGLETRANSLATE(B11922,""en"",""fr"")"),"L'homme en gris se met à genoux sur le tapis bleu.")</f>
        <v>L'homme en gris se met à genoux sur le tapis bleu.</v>
      </c>
    </row>
    <row r="11923">
      <c r="A11923" s="4" t="s">
        <v>14994</v>
      </c>
      <c r="B11923" s="4" t="s">
        <v>14998</v>
      </c>
      <c r="C11923" s="5" t="str">
        <f>IFERROR(__xludf.DUMMYFUNCTION("GOOGLETRANSLATE(B11923,""en"",""fr"")"),"L'homme se lève et se met à genoux.")</f>
        <v>L'homme se lève et se met à genoux.</v>
      </c>
    </row>
    <row r="11924">
      <c r="A11924" s="4" t="s">
        <v>14994</v>
      </c>
      <c r="B11924" s="4" t="s">
        <v>14999</v>
      </c>
      <c r="C11924" s="5" t="str">
        <f>IFERROR(__xludf.DUMMYFUNCTION("GOOGLETRANSLATE(B11924,""en"",""fr"")"),"L'homme à genoux se lève à nouveau.")</f>
        <v>L'homme à genoux se lève à nouveau.</v>
      </c>
    </row>
    <row r="11925">
      <c r="A11925" s="4" t="s">
        <v>14994</v>
      </c>
      <c r="B11925" s="4" t="s">
        <v>15000</v>
      </c>
      <c r="C11925" s="5" t="str">
        <f>IFERROR(__xludf.DUMMYFUNCTION("GOOGLETRANSLATE(B11925,""en"",""fr"")"),"Nous voyons un écran de titre et voyons l'homme à genoux tenant une machine qu'il tire et sortit.")</f>
        <v>Nous voyons un écran de titre et voyons l'homme à genoux tenant une machine qu'il tire et sortit.</v>
      </c>
    </row>
    <row r="11926">
      <c r="A11926" s="4" t="s">
        <v>14994</v>
      </c>
      <c r="B11926" s="4" t="s">
        <v>15001</v>
      </c>
      <c r="C11926" s="5" t="str">
        <f>IFERROR(__xludf.DUMMYFUNCTION("GOOGLETRANSLATE(B11926,""en"",""fr"")"),"Il libère le cordon, les crédits sur la course vidéo.")</f>
        <v>Il libère le cordon, les crédits sur la course vidéo.</v>
      </c>
    </row>
    <row r="11927">
      <c r="A11927" s="4" t="s">
        <v>15002</v>
      </c>
      <c r="B11927" s="4" t="s">
        <v>15003</v>
      </c>
      <c r="C11927" s="5" t="str">
        <f>IFERROR(__xludf.DUMMYFUNCTION("GOOGLETRANSLATE(B11927,""en"",""fr"")"),"Les petits enfants se tiennent devant une Ouse parlant à la caméra et font de la limonade.")</f>
        <v>Les petits enfants se tiennent devant une Ouse parlant à la caméra et font de la limonade.</v>
      </c>
    </row>
    <row r="11928">
      <c r="A11928" s="4" t="s">
        <v>15002</v>
      </c>
      <c r="B11928" s="6" t="s">
        <v>15004</v>
      </c>
      <c r="C11928" s="5" t="str">
        <f>IFERROR(__xludf.DUMMYFUNCTION("GOOGLETRANSLATE(B11928,""en"",""fr"")"),"L'enfant ouvre une casserole et attrape du sucre et versé dans une tasse d'eau, du jus de citron et le mélangez avec une cuillère.")</f>
        <v>L'enfant ouvre une casserole et attrape du sucre et versé dans une tasse d'eau, du jus de citron et le mélangez avec une cuillère.</v>
      </c>
    </row>
    <row r="11929">
      <c r="A11929" s="4" t="s">
        <v>15005</v>
      </c>
      <c r="B11929" s="4" t="s">
        <v>15006</v>
      </c>
      <c r="C11929" s="5" t="str">
        <f>IFERROR(__xludf.DUMMYFUNCTION("GOOGLETRANSLATE(B11929,""en"",""fr"")"),"Un homme est vu debout prêt avec un ensemble de cornemas et commence à les jouer pour la caméra.")</f>
        <v>Un homme est vu debout prêt avec un ensemble de cornemas et commence à les jouer pour la caméra.</v>
      </c>
    </row>
    <row r="11930">
      <c r="A11930" s="4" t="s">
        <v>15005</v>
      </c>
      <c r="B11930" s="4" t="s">
        <v>15007</v>
      </c>
      <c r="C11930" s="5" t="str">
        <f>IFERROR(__xludf.DUMMYFUNCTION("GOOGLETRANSLATE(B11930,""en"",""fr"")"),"L'homme continue de jouer puis s'arrête pour regarder la caméra.")</f>
        <v>L'homme continue de jouer puis s'arrête pour regarder la caméra.</v>
      </c>
    </row>
    <row r="11931">
      <c r="A11931" s="4" t="s">
        <v>15008</v>
      </c>
      <c r="B11931" s="4" t="s">
        <v>15009</v>
      </c>
      <c r="C11931" s="5" t="str">
        <f>IFERROR(__xludf.DUMMYFUNCTION("GOOGLETRANSLATE(B11931,""en"",""fr"")"),"Un écran blanc avec des formes bleues et blanches et des mots noirs clignotent sur l'écran.")</f>
        <v>Un écran blanc avec des formes bleues et blanches et des mots noirs clignotent sur l'écran.</v>
      </c>
    </row>
    <row r="11932">
      <c r="A11932" s="4" t="s">
        <v>15008</v>
      </c>
      <c r="B11932" s="6" t="s">
        <v>15010</v>
      </c>
      <c r="C11932" s="5" t="str">
        <f>IFERROR(__xludf.DUMMYFUNCTION("GOOGLETRANSLATE(B11932,""en"",""fr"")"),"Un homme noir souriant est dans une cuisine résidentielle et il porte un chapeau de Père Noël et verse des ingrédients dans un grand bol.")</f>
        <v>Un homme noir souriant est dans une cuisine résidentielle et il porte un chapeau de Père Noël et verse des ingrédients dans un grand bol.</v>
      </c>
    </row>
    <row r="11933">
      <c r="A11933" s="4" t="s">
        <v>15008</v>
      </c>
      <c r="B11933" s="6" t="s">
        <v>15011</v>
      </c>
      <c r="C11933" s="5" t="str">
        <f>IFERROR(__xludf.DUMMYFUNCTION("GOOGLETRANSLATE(B11933,""en"",""fr"")"),"Une main pousse un bol transparent rempli de figues sombres et une planche à découper apparaît immédiatement après et les instructions à l'écran disent de couper les tiges de 1 lb de figues et de les quart.")</f>
        <v>Une main pousse un bol transparent rempli de figues sombres et une planche à découper apparaît immédiatement après et les instructions à l'écran disent de couper les tiges de 1 lb de figues et de les quart.</v>
      </c>
    </row>
    <row r="11934">
      <c r="A11934" s="4" t="s">
        <v>15008</v>
      </c>
      <c r="B11934" s="6" t="s">
        <v>15012</v>
      </c>
      <c r="C11934" s="5" t="str">
        <f>IFERROR(__xludf.DUMMYFUNCTION("GOOGLETRANSLATE(B11934,""en"",""fr"")"),"Alors que la liste des ingrédients est représentée qui comprend: 1 lb Figs, 1lb de raisins secs, cerises 1 lb, cassis de 1 lb, pruneaux de 1 lb, vin de port et amers angostura; Ils sont tous versés dans un seau blanc.")</f>
        <v>Alors que la liste des ingrédients est représentée qui comprend: 1 lb Figs, 1lb de raisins secs, cerises 1 lb, cassis de 1 lb, pruneaux de 1 lb, vin de port et amers angostura; Ils sont tous versés dans un seau blanc.</v>
      </c>
    </row>
    <row r="11935">
      <c r="A11935" s="4" t="s">
        <v>15008</v>
      </c>
      <c r="B11935" s="6" t="s">
        <v>15013</v>
      </c>
      <c r="C11935" s="5" t="str">
        <f>IFERROR(__xludf.DUMMYFUNCTION("GOOGLETRANSLATE(B11935,""en"",""fr"")"),"L'agitation commence immédiatement et les instructions à l'écran disent de le laisser tremper pendant au moins deux semaines jusqu'à 30 jours.")</f>
        <v>L'agitation commence immédiatement et les instructions à l'écran disent de le laisser tremper pendant au moins deux semaines jusqu'à 30 jours.</v>
      </c>
    </row>
    <row r="11936">
      <c r="A11936" s="4" t="s">
        <v>15008</v>
      </c>
      <c r="B11936" s="4" t="s">
        <v>15014</v>
      </c>
      <c r="C11936" s="5" t="str">
        <f>IFERROR(__xludf.DUMMYFUNCTION("GOOGLETRANSLATE(B11936,""en"",""fr"")"),"30 jours plus tard, le contenu est remué et mis dans un robot culinaire et transformé en pâte.")</f>
        <v>30 jours plus tard, le contenu est remué et mis dans un robot culinaire et transformé en pâte.</v>
      </c>
    </row>
    <row r="11937">
      <c r="A11937" s="4" t="s">
        <v>15008</v>
      </c>
      <c r="B11937" s="4" t="s">
        <v>15015</v>
      </c>
      <c r="C11937" s="5" t="str">
        <f>IFERROR(__xludf.DUMMYFUNCTION("GOOGLETRANSLATE(B11937,""en"",""fr"")"),"L'homme graisse un moule à gâteau rond 10x3 et le couvre avec du papier parchemin.")</f>
        <v>L'homme graisse un moule à gâteau rond 10x3 et le couvre avec du papier parchemin.</v>
      </c>
    </row>
    <row r="11938">
      <c r="A11938" s="4" t="s">
        <v>15008</v>
      </c>
      <c r="B11938" s="6" t="s">
        <v>15016</v>
      </c>
      <c r="C11938" s="5" t="str">
        <f>IFERROR(__xludf.DUMMYFUNCTION("GOOGLETRANSLATE(B11938,""en"",""fr"")"),"Une liste et des bols d'ingrédients supplémentaires sont préparés et versés dans un grand pot en métal et remués vigoureusement.")</f>
        <v>Une liste et des bols d'ingrédients supplémentaires sont préparés et versés dans un grand pot en métal et remués vigoureusement.</v>
      </c>
    </row>
    <row r="11939">
      <c r="A11939" s="4" t="s">
        <v>15008</v>
      </c>
      <c r="B11939" s="4" t="s">
        <v>15017</v>
      </c>
      <c r="C11939" s="5" t="str">
        <f>IFERROR(__xludf.DUMMYFUNCTION("GOOGLETRANSLATE(B11939,""en"",""fr"")"),"Une grande casserole en métal rectangulaire apparaît avec des instructions qui disent le remplir d'une casserole d'eau chaude.")</f>
        <v>Une grande casserole en métal rectangulaire apparaît avec des instructions qui disent le remplir d'une casserole d'eau chaude.</v>
      </c>
    </row>
    <row r="11940">
      <c r="A11940" s="4" t="s">
        <v>15008</v>
      </c>
      <c r="B11940" s="6" t="s">
        <v>15018</v>
      </c>
      <c r="C11940" s="5" t="str">
        <f>IFERROR(__xludf.DUMMYFUNCTION("GOOGLETRANSLATE(B11940,""en"",""fr"")"),"Le moule à gâteau circulaire qui était auparavant graissé apparaît, et le contenu agité est versé dedans et placé dans la casserole d'eau chaude où ils sont tous placés dans le four.")</f>
        <v>Le moule à gâteau circulaire qui était auparavant graissé apparaît, et le contenu agité est versé dedans et placé dans la casserole d'eau chaude où ils sont tous placés dans le four.</v>
      </c>
    </row>
    <row r="11941">
      <c r="A11941" s="4" t="s">
        <v>15008</v>
      </c>
      <c r="B11941" s="6" t="s">
        <v>15019</v>
      </c>
      <c r="C11941" s="5" t="str">
        <f>IFERROR(__xludf.DUMMYFUNCTION("GOOGLETRANSLATE(B11941,""en"",""fr"")"),"Quand il est fait de la cuisson et du refroidissement, le gâteau est mis sur une assiette où il est vitré, coupé et une tranche est mise sur une autre assiette.")</f>
        <v>Quand il est fait de la cuisson et du refroidissement, le gâteau est mis sur une assiette où il est vitré, coupé et une tranche est mise sur une autre assiette.</v>
      </c>
    </row>
    <row r="11942">
      <c r="A11942" s="4" t="s">
        <v>15020</v>
      </c>
      <c r="B11942" s="4" t="s">
        <v>15021</v>
      </c>
      <c r="C11942" s="5" t="str">
        <f>IFERROR(__xludf.DUMMYFUNCTION("GOOGLETRANSLATE(B11942,""en"",""fr"")"),"Un homme aux yeux bandés se balance dans une pinata avec une batte tandis que d'autres regardent des sièges à proximité.")</f>
        <v>Un homme aux yeux bandés se balance dans une pinata avec une batte tandis que d'autres regardent des sièges à proximité.</v>
      </c>
    </row>
    <row r="11943">
      <c r="A11943" s="4" t="s">
        <v>15020</v>
      </c>
      <c r="B11943" s="4" t="s">
        <v>15022</v>
      </c>
      <c r="C11943" s="5" t="str">
        <f>IFERROR(__xludf.DUMMYFUNCTION("GOOGLETRANSLATE(B11943,""en"",""fr"")"),"L'homme réussit à briser la pinata.")</f>
        <v>L'homme réussit à briser la pinata.</v>
      </c>
    </row>
    <row r="11944">
      <c r="A11944" s="4" t="s">
        <v>15020</v>
      </c>
      <c r="B11944" s="4" t="s">
        <v>15023</v>
      </c>
      <c r="C11944" s="5" t="str">
        <f>IFERROR(__xludf.DUMMYFUNCTION("GOOGLETRANSLATE(B11944,""en"",""fr"")"),"L'homme retire son bandeau à mesure que certains des autres s'approchent de lui.")</f>
        <v>L'homme retire son bandeau à mesure que certains des autres s'approchent de lui.</v>
      </c>
    </row>
    <row r="11945">
      <c r="A11945" s="4" t="s">
        <v>15024</v>
      </c>
      <c r="B11945" s="4" t="s">
        <v>15025</v>
      </c>
      <c r="C11945" s="5" t="str">
        <f>IFERROR(__xludf.DUMMYFUNCTION("GOOGLETRANSLATE(B11945,""en"",""fr"")"),"Deux hommes entrent dans un terrain de squash pour concourir dans un jeu de squash.")</f>
        <v>Deux hommes entrent dans un terrain de squash pour concourir dans un jeu de squash.</v>
      </c>
    </row>
    <row r="11946">
      <c r="A11946" s="4" t="s">
        <v>15024</v>
      </c>
      <c r="B11946" s="4" t="s">
        <v>15026</v>
      </c>
      <c r="C11946" s="5" t="str">
        <f>IFERROR(__xludf.DUMMYFUNCTION("GOOGLETRANSLATE(B11946,""en"",""fr"")"),"Un homme porte une chemise blanche et l'autre homme porte une chemise sombre.")</f>
        <v>Un homme porte une chemise blanche et l'autre homme porte une chemise sombre.</v>
      </c>
    </row>
    <row r="11947">
      <c r="A11947" s="4" t="s">
        <v>15024</v>
      </c>
      <c r="B11947" s="4" t="s">
        <v>15027</v>
      </c>
      <c r="C11947" s="5" t="str">
        <f>IFERROR(__xludf.DUMMYFUNCTION("GOOGLETRANSLATE(B11947,""en"",""fr"")"),"Les hommes commencent à jouer pendant que le jeu progresse que chaque homme sert de la boîte de service.")</f>
        <v>Les hommes commencent à jouer pendant que le jeu progresse que chaque homme sert de la boîte de service.</v>
      </c>
    </row>
    <row r="11948">
      <c r="A11948" s="4" t="s">
        <v>15024</v>
      </c>
      <c r="B11948" s="4" t="s">
        <v>15028</v>
      </c>
      <c r="C11948" s="5" t="str">
        <f>IFERROR(__xludf.DUMMYFUNCTION("GOOGLETRANSLATE(B11948,""en"",""fr"")"),"Le jeu se termine par une serre de main et une vague pour la foule.")</f>
        <v>Le jeu se termine par une serre de main et une vague pour la foule.</v>
      </c>
    </row>
    <row r="11949">
      <c r="A11949" s="4" t="s">
        <v>15024</v>
      </c>
      <c r="B11949" s="4" t="s">
        <v>15029</v>
      </c>
      <c r="C11949" s="5" t="str">
        <f>IFERROR(__xludf.DUMMYFUNCTION("GOOGLETRANSLATE(B11949,""en"",""fr"")"),"Une fille dans un chemisier rose entre dans la cour de squash alors qu'un autre homme entre dans le tribunal.")</f>
        <v>Une fille dans un chemisier rose entre dans la cour de squash alors qu'un autre homme entre dans le tribunal.</v>
      </c>
    </row>
    <row r="11950">
      <c r="A11950" s="4" t="s">
        <v>15030</v>
      </c>
      <c r="B11950" s="4" t="s">
        <v>15031</v>
      </c>
      <c r="C11950" s="5" t="str">
        <f>IFERROR(__xludf.DUMMYFUNCTION("GOOGLETRANSLATE(B11950,""en"",""fr"")"),"Plusieurs images mènent à des clips de personnes qui roulent sur une rivière sur des canoës et des kayaks.")</f>
        <v>Plusieurs images mènent à des clips de personnes qui roulent sur une rivière sur des canoës et des kayaks.</v>
      </c>
    </row>
    <row r="11951">
      <c r="A11951" s="4" t="s">
        <v>15030</v>
      </c>
      <c r="B11951" s="4" t="s">
        <v>15032</v>
      </c>
      <c r="C11951" s="5" t="str">
        <f>IFERROR(__xludf.DUMMYFUNCTION("GOOGLETRANSLATE(B11951,""en"",""fr"")"),"Plusieurs personnes sont montrées sur les rivières rugueuses tout en se pagayant.")</f>
        <v>Plusieurs personnes sont montrées sur les rivières rugueuses tout en se pagayant.</v>
      </c>
    </row>
    <row r="11952">
      <c r="A11952" s="4" t="s">
        <v>15030</v>
      </c>
      <c r="B11952" s="6" t="s">
        <v>15033</v>
      </c>
      <c r="C11952" s="5" t="str">
        <f>IFERROR(__xludf.DUMMYFUNCTION("GOOGLETRANSLATE(B11952,""en"",""fr"")"),"Les gens continuent de se pousser le long de l'eau pendant que la caméra suit leurs mouvements.")</f>
        <v>Les gens continuent de se pousser le long de l'eau pendant que la caméra suit leurs mouvements.</v>
      </c>
    </row>
    <row r="11953">
      <c r="A11953" s="4" t="s">
        <v>15034</v>
      </c>
      <c r="B11953" s="4" t="s">
        <v>15035</v>
      </c>
      <c r="C11953" s="5" t="str">
        <f>IFERROR(__xludf.DUMMYFUNCTION("GOOGLETRANSLATE(B11953,""en"",""fr"")"),"Les femmes s'asseyent à l'extérieur en petites chaises et lavent les vêtements à la main dans des bacs en plastique.")</f>
        <v>Les femmes s'asseyent à l'extérieur en petites chaises et lavent les vêtements à la main dans des bacs en plastique.</v>
      </c>
    </row>
    <row r="11954">
      <c r="A11954" s="4" t="s">
        <v>15034</v>
      </c>
      <c r="B11954" s="4" t="s">
        <v>15036</v>
      </c>
      <c r="C11954" s="5" t="str">
        <f>IFERROR(__xludf.DUMMYFUNCTION("GOOGLETRANSLATE(B11954,""en"",""fr"")"),"La dame frotte un vêtement sur une planche en bois.")</f>
        <v>La dame frotte un vêtement sur une planche en bois.</v>
      </c>
    </row>
    <row r="11955">
      <c r="A11955" s="4" t="s">
        <v>15034</v>
      </c>
      <c r="B11955" s="4" t="s">
        <v>15037</v>
      </c>
      <c r="C11955" s="5" t="str">
        <f>IFERROR(__xludf.DUMMYFUNCTION("GOOGLETRANSLATE(B11955,""en"",""fr"")"),"La dame sonne dans l'eau d'un vêtement puis la jette de côté lors de la fin de la laver.")</f>
        <v>La dame sonne dans l'eau d'un vêtement puis la jette de côté lors de la fin de la laver.</v>
      </c>
    </row>
    <row r="11956">
      <c r="A11956" s="4" t="s">
        <v>15038</v>
      </c>
      <c r="B11956" s="4" t="s">
        <v>15039</v>
      </c>
      <c r="C11956" s="5" t="str">
        <f>IFERROR(__xludf.DUMMYFUNCTION("GOOGLETRANSLATE(B11956,""en"",""fr"")"),"Un garçon patine dans un parking.")</f>
        <v>Un garçon patine dans un parking.</v>
      </c>
    </row>
    <row r="11957">
      <c r="A11957" s="4" t="s">
        <v>15038</v>
      </c>
      <c r="B11957" s="4" t="s">
        <v>15040</v>
      </c>
      <c r="C11957" s="5" t="str">
        <f>IFERROR(__xludf.DUMMYFUNCTION("GOOGLETRANSLATE(B11957,""en"",""fr"")"),"Il fait plusieurs mouvements, dansant et parle.")</f>
        <v>Il fait plusieurs mouvements, dansant et parle.</v>
      </c>
    </row>
    <row r="11958">
      <c r="A11958" s="4" t="s">
        <v>15038</v>
      </c>
      <c r="B11958" s="4" t="s">
        <v>15041</v>
      </c>
      <c r="C11958" s="5" t="str">
        <f>IFERROR(__xludf.DUMMYFUNCTION("GOOGLETRANSLATE(B11958,""en"",""fr"")"),"Le garçon patine autour du parking sur des patins en ligne.")</f>
        <v>Le garçon patine autour du parking sur des patins en ligne.</v>
      </c>
    </row>
    <row r="11959">
      <c r="A11959" s="4" t="s">
        <v>15042</v>
      </c>
      <c r="B11959" s="6" t="s">
        <v>15043</v>
      </c>
      <c r="C11959" s="5" t="str">
        <f>IFERROR(__xludf.DUMMYFUNCTION("GOOGLETRANSLATE(B11959,""en"",""fr"")"),"Un grand groupe de personnes se voit marcher sur une scène avec un homme parlant à la foule et mène le groupe dansant les uns avec les autres.")</f>
        <v>Un grand groupe de personnes se voit marcher sur une scène avec un homme parlant à la foule et mène le groupe dansant les uns avec les autres.</v>
      </c>
    </row>
    <row r="11960">
      <c r="A11960" s="4" t="s">
        <v>15042</v>
      </c>
      <c r="B11960" s="4" t="s">
        <v>15044</v>
      </c>
      <c r="C11960" s="5" t="str">
        <f>IFERROR(__xludf.DUMMYFUNCTION("GOOGLETRANSLATE(B11960,""en"",""fr"")"),"Les gens continuent de danser ensemble alors que la caméra les capture sous plusieurs angles.")</f>
        <v>Les gens continuent de danser ensemble alors que la caméra les capture sous plusieurs angles.</v>
      </c>
    </row>
    <row r="11961">
      <c r="A11961" s="4" t="s">
        <v>15045</v>
      </c>
      <c r="B11961" s="4" t="s">
        <v>15046</v>
      </c>
      <c r="C11961" s="5" t="str">
        <f>IFERROR(__xludf.DUMMYFUNCTION("GOOGLETRANSLATE(B11961,""en"",""fr"")"),"La caméra se concentre sur un homme qui pilote un voilier dans un environnement portuaire.")</f>
        <v>La caméra se concentre sur un homme qui pilote un voilier dans un environnement portuaire.</v>
      </c>
    </row>
    <row r="11962">
      <c r="A11962" s="4" t="s">
        <v>15045</v>
      </c>
      <c r="B11962" s="4" t="s">
        <v>15047</v>
      </c>
      <c r="C11962" s="5" t="str">
        <f>IFERROR(__xludf.DUMMYFUNCTION("GOOGLETRANSLATE(B11962,""en"",""fr"")"),"La voile du bateau plonge dans l'eau.")</f>
        <v>La voile du bateau plonge dans l'eau.</v>
      </c>
    </row>
    <row r="11963">
      <c r="A11963" s="4" t="s">
        <v>15045</v>
      </c>
      <c r="B11963" s="4" t="s">
        <v>15048</v>
      </c>
      <c r="C11963" s="5" t="str">
        <f>IFERROR(__xludf.DUMMYFUNCTION("GOOGLETRANSLATE(B11963,""en"",""fr"")"),"L'homme fait valoir le voilier et continue.")</f>
        <v>L'homme fait valoir le voilier et continue.</v>
      </c>
    </row>
    <row r="11964">
      <c r="A11964" s="4" t="s">
        <v>15049</v>
      </c>
      <c r="B11964" s="4" t="s">
        <v>15050</v>
      </c>
      <c r="C11964" s="5" t="str">
        <f>IFERROR(__xludf.DUMMYFUNCTION("GOOGLETRANSLATE(B11964,""en"",""fr"")"),"Un homme s'entraîne à l'intérieur, il fait des intervalles de saut pendant la course.")</f>
        <v>Un homme s'entraîne à l'intérieur, il fait des intervalles de saut pendant la course.</v>
      </c>
    </row>
    <row r="11965">
      <c r="A11965" s="4" t="s">
        <v>15049</v>
      </c>
      <c r="B11965" s="4" t="s">
        <v>15051</v>
      </c>
      <c r="C11965" s="5" t="str">
        <f>IFERROR(__xludf.DUMMYFUNCTION("GOOGLETRANSLATE(B11965,""en"",""fr"")"),"Une fois qu'il a atterri dans le sable, il revient pour recommencer.")</f>
        <v>Une fois qu'il a atterri dans le sable, il revient pour recommencer.</v>
      </c>
    </row>
    <row r="11966">
      <c r="A11966" s="4" t="s">
        <v>15049</v>
      </c>
      <c r="B11966" s="4" t="s">
        <v>15052</v>
      </c>
      <c r="C11966" s="5" t="str">
        <f>IFERROR(__xludf.DUMMYFUNCTION("GOOGLETRANSLATE(B11966,""en"",""fr"")"),"Il le fait encore et encore à chaque fois en commençant plus loin.")</f>
        <v>Il le fait encore et encore à chaque fois en commençant plus loin.</v>
      </c>
    </row>
    <row r="11967">
      <c r="A11967" s="4" t="s">
        <v>15049</v>
      </c>
      <c r="B11967" s="4" t="s">
        <v>15053</v>
      </c>
      <c r="C11967" s="5" t="str">
        <f>IFERROR(__xludf.DUMMYFUNCTION("GOOGLETRANSLATE(B11967,""en"",""fr"")"),"Ensuite, la pratique est terminée et c'est fait.")</f>
        <v>Ensuite, la pratique est terminée et c'est fait.</v>
      </c>
    </row>
    <row r="11968">
      <c r="A11968" s="4" t="s">
        <v>15054</v>
      </c>
      <c r="B11968" s="4" t="s">
        <v>15055</v>
      </c>
      <c r="C11968" s="5" t="str">
        <f>IFERROR(__xludf.DUMMYFUNCTION("GOOGLETRANSLATE(B11968,""en"",""fr"")"),"Une camionnette conduit sur une route de campagne et s'arrête sur le côté de la route avec un pneu plat.")</f>
        <v>Une camionnette conduit sur une route de campagne et s'arrête sur le côté de la route avec un pneu plat.</v>
      </c>
    </row>
    <row r="11969">
      <c r="A11969" s="4" t="s">
        <v>15054</v>
      </c>
      <c r="B11969" s="4" t="s">
        <v>15056</v>
      </c>
      <c r="C11969" s="5" t="str">
        <f>IFERROR(__xludf.DUMMYFUNCTION("GOOGLETRANSLATE(B11969,""en"",""fr"")"),"Le conducteur échappe avec une prise à main et est frustré.")</f>
        <v>Le conducteur échappe avec une prise à main et est frustré.</v>
      </c>
    </row>
    <row r="11970">
      <c r="A11970" s="4" t="s">
        <v>15054</v>
      </c>
      <c r="B11970" s="4" t="s">
        <v>15057</v>
      </c>
      <c r="C11970" s="5" t="str">
        <f>IFERROR(__xludf.DUMMYFUNCTION("GOOGLETRANSLATE(B11970,""en"",""fr"")"),"Le conducteur utilise ensuite un cric de voiture électrique pour soulever la roue de voiture à la place.")</f>
        <v>Le conducteur utilise ensuite un cric de voiture électrique pour soulever la roue de voiture à la place.</v>
      </c>
    </row>
    <row r="11971">
      <c r="A11971" s="4" t="s">
        <v>15054</v>
      </c>
      <c r="B11971" s="4" t="s">
        <v>15058</v>
      </c>
      <c r="C11971" s="5" t="str">
        <f>IFERROR(__xludf.DUMMYFUNCTION("GOOGLETRANSLATE(B11971,""en"",""fr"")"),"La femme branche une perceuse à main électrique qui l'utilise et l'utilise pour retirer les écrous de roue.")</f>
        <v>La femme branche une perceuse à main électrique qui l'utilise et l'utilise pour retirer les écrous de roue.</v>
      </c>
    </row>
    <row r="11972">
      <c r="A11972" s="4" t="s">
        <v>15054</v>
      </c>
      <c r="B11972" s="4" t="s">
        <v>15059</v>
      </c>
      <c r="C11972" s="5" t="str">
        <f>IFERROR(__xludf.DUMMYFUNCTION("GOOGLETRANSLATE(B11972,""en"",""fr"")"),"La femme met un nouveau pneu sur la voiture et la boucle en place.")</f>
        <v>La femme met un nouveau pneu sur la voiture et la boucle en place.</v>
      </c>
    </row>
    <row r="11973">
      <c r="A11973" s="4" t="s">
        <v>15054</v>
      </c>
      <c r="B11973" s="4" t="s">
        <v>15060</v>
      </c>
      <c r="C11973" s="5" t="str">
        <f>IFERROR(__xludf.DUMMYFUNCTION("GOOGLETRANSLATE(B11973,""en"",""fr"")"),"La femme abaisse la roue de voiture hors de la prise.")</f>
        <v>La femme abaisse la roue de voiture hors de la prise.</v>
      </c>
    </row>
    <row r="11974">
      <c r="A11974" s="4" t="s">
        <v>15054</v>
      </c>
      <c r="B11974" s="4" t="s">
        <v>15061</v>
      </c>
      <c r="C11974" s="5" t="str">
        <f>IFERROR(__xludf.DUMMYFUNCTION("GOOGLETRANSLATE(B11974,""en"",""fr"")"),"Un homme pointe vers les différents outils d'une boîte à outils.")</f>
        <v>Un homme pointe vers les différents outils d'une boîte à outils.</v>
      </c>
    </row>
    <row r="11975">
      <c r="A11975" s="4" t="s">
        <v>15054</v>
      </c>
      <c r="B11975" s="4" t="s">
        <v>15062</v>
      </c>
      <c r="C11975" s="5" t="str">
        <f>IFERROR(__xludf.DUMMYFUNCTION("GOOGLETRANSLATE(B11975,""en"",""fr"")"),"L'homme accroche un chargeur à la batterie de la voiture.")</f>
        <v>L'homme accroche un chargeur à la batterie de la voiture.</v>
      </c>
    </row>
    <row r="11976">
      <c r="A11976" s="4" t="s">
        <v>15063</v>
      </c>
      <c r="B11976" s="4" t="s">
        <v>15064</v>
      </c>
      <c r="C11976" s="5" t="str">
        <f>IFERROR(__xludf.DUMMYFUNCTION("GOOGLETRANSLATE(B11976,""en"",""fr"")"),"Un homme s'agenouille sur une balle et tient une tige.")</f>
        <v>Un homme s'agenouille sur une balle et tient une tige.</v>
      </c>
    </row>
    <row r="11977">
      <c r="A11977" s="4" t="s">
        <v>15063</v>
      </c>
      <c r="B11977" s="4" t="s">
        <v>15065</v>
      </c>
      <c r="C11977" s="5" t="str">
        <f>IFERROR(__xludf.DUMMYFUNCTION("GOOGLETRANSLATE(B11977,""en"",""fr"")"),"L'homme pousse son corps en avant en poussant la tige.")</f>
        <v>L'homme pousse son corps en avant en poussant la tige.</v>
      </c>
    </row>
    <row r="11978">
      <c r="A11978" s="4" t="s">
        <v>15063</v>
      </c>
      <c r="B11978" s="4" t="s">
        <v>15066</v>
      </c>
      <c r="C11978" s="5" t="str">
        <f>IFERROR(__xludf.DUMMYFUNCTION("GOOGLETRANSLATE(B11978,""en"",""fr"")"),"Ensuite, l'homme mette son corps à une position droite, puis a encore fait avancer son corps.")</f>
        <v>Ensuite, l'homme mette son corps à une position droite, puis a encore fait avancer son corps.</v>
      </c>
    </row>
    <row r="11979">
      <c r="A11979" s="4" t="s">
        <v>15067</v>
      </c>
      <c r="B11979" s="4" t="s">
        <v>15068</v>
      </c>
      <c r="C11979" s="5" t="str">
        <f>IFERROR(__xludf.DUMMYFUNCTION("GOOGLETRANSLATE(B11979,""en"",""fr"")"),"Une femme est en train de nettoyer le sol carrelé blanc avec une vadrouille.")</f>
        <v>Une femme est en train de nettoyer le sol carrelé blanc avec une vadrouille.</v>
      </c>
    </row>
    <row r="11980">
      <c r="A11980" s="4" t="s">
        <v>15067</v>
      </c>
      <c r="B11980" s="6" t="s">
        <v>15069</v>
      </c>
      <c r="C11980" s="5" t="str">
        <f>IFERROR(__xludf.DUMMYFUNCTION("GOOGLETRANSLATE(B11980,""en"",""fr"")"),"La femme a mis la vadrouille dans un seau vert, et l'a mise dans une passoire pour presser l'excès d'eau, puis elle a poussé la poignée de la carte du sol en pressant l'eau et en commençant à nettoyer le sol, et sous les chaises, côté du côté du côté du c"&amp;"ôté du côté du côté du côté Couch, le liquide sur le sol.")</f>
        <v>La femme a mis la vadrouille dans un seau vert, et l'a mise dans une passoire pour presser l'excès d'eau, puis elle a poussé la poignée de la carte du sol en pressant l'eau et en commençant à nettoyer le sol, et sous les chaises, côté du côté du côté du côté du côté du côté du côté Couch, le liquide sur le sol.</v>
      </c>
    </row>
    <row r="11981">
      <c r="A11981" s="4" t="s">
        <v>15070</v>
      </c>
      <c r="B11981" s="4" t="s">
        <v>15071</v>
      </c>
      <c r="C11981" s="5" t="str">
        <f>IFERROR(__xludf.DUMMYFUNCTION("GOOGLETRANSLATE(B11981,""en"",""fr"")"),"Une femme noire fait une routine sur le faisceau d'équilibre.")</f>
        <v>Une femme noire fait une routine sur le faisceau d'équilibre.</v>
      </c>
    </row>
    <row r="11982">
      <c r="A11982" s="4" t="s">
        <v>15070</v>
      </c>
      <c r="B11982" s="4" t="s">
        <v>15072</v>
      </c>
      <c r="C11982" s="5" t="str">
        <f>IFERROR(__xludf.DUMMYFUNCTION("GOOGLETRANSLATE(B11982,""en"",""fr"")"),"Elle tourne, saute, tournonne et retourne.")</f>
        <v>Elle tourne, saute, tournonne et retourne.</v>
      </c>
    </row>
    <row r="11983">
      <c r="A11983" s="4" t="s">
        <v>15070</v>
      </c>
      <c r="B11983" s="4" t="s">
        <v>15073</v>
      </c>
      <c r="C11983" s="5" t="str">
        <f>IFERROR(__xludf.DUMMYFUNCTION("GOOGLETRANSLATE(B11983,""en"",""fr"")"),"Elle tombe, termine sa routine, et elles démontent un public applaudissant.")</f>
        <v>Elle tombe, termine sa routine, et elles démontent un public applaudissant.</v>
      </c>
    </row>
    <row r="11984">
      <c r="A11984" s="4" t="s">
        <v>15074</v>
      </c>
      <c r="B11984" s="4" t="s">
        <v>15075</v>
      </c>
      <c r="C11984" s="5" t="str">
        <f>IFERROR(__xludf.DUMMYFUNCTION("GOOGLETRANSLATE(B11984,""en"",""fr"")"),"Les gens sur un bateau se répartissent dans un équipement de plongée puis sautent dans l'eau.")</f>
        <v>Les gens sur un bateau se répartissent dans un équipement de plongée puis sautent dans l'eau.</v>
      </c>
    </row>
    <row r="11985">
      <c r="A11985" s="4" t="s">
        <v>15074</v>
      </c>
      <c r="B11985" s="4" t="s">
        <v>15076</v>
      </c>
      <c r="C11985" s="5" t="str">
        <f>IFERROR(__xludf.DUMMYFUNCTION("GOOGLETRANSLATE(B11985,""en"",""fr"")"),"Les plongeurs de plongée nagent dans une zone de grotte.")</f>
        <v>Les plongeurs de plongée nagent dans une zone de grotte.</v>
      </c>
    </row>
    <row r="11986">
      <c r="A11986" s="4" t="s">
        <v>15074</v>
      </c>
      <c r="B11986" s="4" t="s">
        <v>15077</v>
      </c>
      <c r="C11986" s="5" t="str">
        <f>IFERROR(__xludf.DUMMYFUNCTION("GOOGLETRANSLATE(B11986,""en"",""fr"")"),"Une plage tropicale est vue.")</f>
        <v>Une plage tropicale est vue.</v>
      </c>
    </row>
    <row r="11987">
      <c r="A11987" s="4" t="s">
        <v>15074</v>
      </c>
      <c r="B11987" s="4" t="s">
        <v>15078</v>
      </c>
      <c r="C11987" s="5" t="str">
        <f>IFERROR(__xludf.DUMMYFUNCTION("GOOGLETRANSLATE(B11987,""en"",""fr"")"),"Les tortues de mer paissent et nagent dans l'océan.")</f>
        <v>Les tortues de mer paissent et nagent dans l'océan.</v>
      </c>
    </row>
    <row r="11988">
      <c r="A11988" s="4" t="s">
        <v>15074</v>
      </c>
      <c r="B11988" s="4" t="s">
        <v>15079</v>
      </c>
      <c r="C11988" s="5" t="str">
        <f>IFERROR(__xludf.DUMMYFUNCTION("GOOGLETRANSLATE(B11988,""en"",""fr"")"),"Divers poissons sont vus nager à travers le récif.")</f>
        <v>Divers poissons sont vus nager à travers le récif.</v>
      </c>
    </row>
    <row r="11989">
      <c r="A11989" s="4" t="s">
        <v>15074</v>
      </c>
      <c r="B11989" s="4" t="s">
        <v>15080</v>
      </c>
      <c r="C11989" s="5" t="str">
        <f>IFERROR(__xludf.DUMMYFUNCTION("GOOGLETRANSLATE(B11989,""en"",""fr"")"),"Un rayon de manta nage dans l'océan sur un récif.")</f>
        <v>Un rayon de manta nage dans l'océan sur un récif.</v>
      </c>
    </row>
    <row r="11990">
      <c r="A11990" s="4" t="s">
        <v>15081</v>
      </c>
      <c r="B11990" s="4" t="s">
        <v>15082</v>
      </c>
      <c r="C11990" s="5" t="str">
        <f>IFERROR(__xludf.DUMMYFUNCTION("GOOGLETRANSLATE(B11990,""en"",""fr"")"),"Un salon de tatouage est illustré à l'extérieur puis à l'intérieur.")</f>
        <v>Un salon de tatouage est illustré à l'extérieur puis à l'intérieur.</v>
      </c>
    </row>
    <row r="11991">
      <c r="A11991" s="4" t="s">
        <v>15081</v>
      </c>
      <c r="B11991" s="4" t="s">
        <v>15083</v>
      </c>
      <c r="C11991" s="5" t="str">
        <f>IFERROR(__xludf.DUMMYFUNCTION("GOOGLETRANSLATE(B11991,""en"",""fr"")"),"Un tableau de choix de tatouage est indiqué sur un mur.")</f>
        <v>Un tableau de choix de tatouage est indiqué sur un mur.</v>
      </c>
    </row>
    <row r="11992">
      <c r="A11992" s="4" t="s">
        <v>15081</v>
      </c>
      <c r="B11992" s="4" t="s">
        <v>15084</v>
      </c>
      <c r="C11992" s="5" t="str">
        <f>IFERROR(__xludf.DUMMYFUNCTION("GOOGLETRANSLATE(B11992,""en"",""fr"")"),"Un artiste est montré en dessinant et colorant en tatouages ​​sur un morceau de papier.")</f>
        <v>Un artiste est montré en dessinant et colorant en tatouages ​​sur un morceau de papier.</v>
      </c>
    </row>
    <row r="11993">
      <c r="A11993" s="4" t="s">
        <v>15085</v>
      </c>
      <c r="B11993" s="4" t="s">
        <v>15086</v>
      </c>
      <c r="C11993" s="5" t="str">
        <f>IFERROR(__xludf.DUMMYFUNCTION("GOOGLETRANSLATE(B11993,""en"",""fr"")"),"Un groupe de personnes est rassemblé sur une colline enneigée.")</f>
        <v>Un groupe de personnes est rassemblé sur une colline enneigée.</v>
      </c>
    </row>
    <row r="11994">
      <c r="A11994" s="4" t="s">
        <v>15085</v>
      </c>
      <c r="B11994" s="4" t="s">
        <v>15087</v>
      </c>
      <c r="C11994" s="5" t="str">
        <f>IFERROR(__xludf.DUMMYFUNCTION("GOOGLETRANSLATE(B11994,""en"",""fr"")"),"Ils se promènent avec des intertubes.")</f>
        <v>Ils se promènent avec des intertubes.</v>
      </c>
    </row>
    <row r="11995">
      <c r="A11995" s="4" t="s">
        <v>15085</v>
      </c>
      <c r="B11995" s="4" t="s">
        <v>15088</v>
      </c>
      <c r="C11995" s="5" t="str">
        <f>IFERROR(__xludf.DUMMYFUNCTION("GOOGLETRANSLATE(B11995,""en"",""fr"")"),"Ils montent les intertubes sur le flanc de la montagne enneigée.")</f>
        <v>Ils montent les intertubes sur le flanc de la montagne enneigée.</v>
      </c>
    </row>
    <row r="11996">
      <c r="A11996" s="4" t="s">
        <v>15089</v>
      </c>
      <c r="B11996" s="6" t="s">
        <v>15090</v>
      </c>
      <c r="C11996" s="5" t="str">
        <f>IFERROR(__xludf.DUMMYFUNCTION("GOOGLETRANSLATE(B11996,""en"",""fr"")"),"Une jeune ballerine portant un tutu est vue debout dans un barreau de ballet effectuant divers mouvements de ballet et se déplaçant au sol.")</f>
        <v>Une jeune ballerine portant un tutu est vue debout dans un barreau de ballet effectuant divers mouvements de ballet et se déplaçant au sol.</v>
      </c>
    </row>
    <row r="11997">
      <c r="A11997" s="4" t="s">
        <v>15089</v>
      </c>
      <c r="B11997" s="6" t="s">
        <v>15091</v>
      </c>
      <c r="C11997" s="5" t="str">
        <f>IFERROR(__xludf.DUMMYFUNCTION("GOOGLETRANSLATE(B11997,""en"",""fr"")"),"Elle continue de se déplacer dans le sol dansant et l'amène à tenir un rasoir et à mettre une lotion sur ses jambes.")</f>
        <v>Elle continue de se déplacer dans le sol dansant et l'amène à tenir un rasoir et à mettre une lotion sur ses jambes.</v>
      </c>
    </row>
    <row r="11998">
      <c r="A11998" s="4" t="s">
        <v>15089</v>
      </c>
      <c r="B11998" s="4" t="s">
        <v>15092</v>
      </c>
      <c r="C11998" s="5" t="str">
        <f>IFERROR(__xludf.DUMMYFUNCTION("GOOGLETRANSLATE(B11998,""en"",""fr"")"),"Elle se rase les jambes tout en déplaçant ses jambes et continue de danser avec le rasoir en vue.")</f>
        <v>Elle se rase les jambes tout en déplaçant ses jambes et continue de danser avec le rasoir en vue.</v>
      </c>
    </row>
    <row r="11999">
      <c r="A11999" s="4" t="s">
        <v>15093</v>
      </c>
      <c r="B11999" s="4" t="s">
        <v>15094</v>
      </c>
      <c r="C11999" s="5" t="str">
        <f>IFERROR(__xludf.DUMMYFUNCTION("GOOGLETRANSLATE(B11999,""en"",""fr"")"),"Un homme lance une balle dans une tasse.")</f>
        <v>Un homme lance une balle dans une tasse.</v>
      </c>
    </row>
    <row r="12000">
      <c r="A12000" s="4" t="s">
        <v>15093</v>
      </c>
      <c r="B12000" s="4" t="s">
        <v>15095</v>
      </c>
      <c r="C12000" s="5" t="str">
        <f>IFERROR(__xludf.DUMMYFUNCTION("GOOGLETRANSLATE(B12000,""en"",""fr"")"),"Un autre homme lance une balle dans une tasse.")</f>
        <v>Un autre homme lance une balle dans une tasse.</v>
      </c>
    </row>
    <row r="12001">
      <c r="A12001" s="4" t="s">
        <v>15093</v>
      </c>
      <c r="B12001" s="4" t="s">
        <v>15096</v>
      </c>
      <c r="C12001" s="5" t="str">
        <f>IFERROR(__xludf.DUMMYFUNCTION("GOOGLETRANSLATE(B12001,""en"",""fr"")"),"Les deux hommes prennent une tasse et le boivent.")</f>
        <v>Les deux hommes prennent une tasse et le boivent.</v>
      </c>
    </row>
    <row r="12002">
      <c r="A12002" s="4" t="s">
        <v>15097</v>
      </c>
      <c r="B12002" s="4" t="s">
        <v>15098</v>
      </c>
      <c r="C12002" s="5" t="str">
        <f>IFERROR(__xludf.DUMMYFUNCTION("GOOGLETRANSLATE(B12002,""en"",""fr"")"),"Un homme se tient devant les fils et met un casque de soudage.")</f>
        <v>Un homme se tient devant les fils et met un casque de soudage.</v>
      </c>
    </row>
    <row r="12003">
      <c r="A12003" s="4" t="s">
        <v>15097</v>
      </c>
      <c r="B12003" s="4" t="s">
        <v>15099</v>
      </c>
      <c r="C12003" s="5" t="str">
        <f>IFERROR(__xludf.DUMMYFUNCTION("GOOGLETRANSLATE(B12003,""en"",""fr"")"),"Il commence à souder le coin de la pièce.")</f>
        <v>Il commence à souder le coin de la pièce.</v>
      </c>
    </row>
    <row r="12004">
      <c r="A12004" s="4" t="s">
        <v>15097</v>
      </c>
      <c r="B12004" s="4" t="s">
        <v>15100</v>
      </c>
      <c r="C12004" s="5" t="str">
        <f>IFERROR(__xludf.DUMMYFUNCTION("GOOGLETRANSLATE(B12004,""en"",""fr"")"),"L'homme ponce le coin où il soudait.")</f>
        <v>L'homme ponce le coin où il soudait.</v>
      </c>
    </row>
    <row r="12005">
      <c r="A12005" s="4" t="s">
        <v>15097</v>
      </c>
      <c r="B12005" s="4" t="s">
        <v>15101</v>
      </c>
      <c r="C12005" s="5" t="str">
        <f>IFERROR(__xludf.DUMMYFUNCTION("GOOGLETRANSLATE(B12005,""en"",""fr"")"),"Il continue de souder dans le même coin.")</f>
        <v>Il continue de souder dans le même coin.</v>
      </c>
    </row>
    <row r="12006">
      <c r="A12006" s="4" t="s">
        <v>15097</v>
      </c>
      <c r="B12006" s="4" t="s">
        <v>15102</v>
      </c>
      <c r="C12006" s="5" t="str">
        <f>IFERROR(__xludf.DUMMYFUNCTION("GOOGLETRANSLATE(B12006,""en"",""fr"")"),"L'homme pousse son casque vers le haut et remplace à nouveau les fils et ponce la même zone.")</f>
        <v>L'homme pousse son casque vers le haut et remplace à nouveau les fils et ponce la même zone.</v>
      </c>
    </row>
    <row r="12007">
      <c r="A12007" s="4" t="s">
        <v>15097</v>
      </c>
      <c r="B12007" s="4" t="s">
        <v>15103</v>
      </c>
      <c r="C12007" s="5" t="str">
        <f>IFERROR(__xludf.DUMMYFUNCTION("GOOGLETRANSLATE(B12007,""en"",""fr"")"),"Il place ses gants et montre la soudure qu'il a terminée.")</f>
        <v>Il place ses gants et montre la soudure qu'il a terminée.</v>
      </c>
    </row>
    <row r="12008">
      <c r="A12008" s="4" t="s">
        <v>15104</v>
      </c>
      <c r="B12008" s="4" t="s">
        <v>15105</v>
      </c>
      <c r="C12008" s="5" t="str">
        <f>IFERROR(__xludf.DUMMYFUNCTION("GOOGLETRANSLATE(B12008,""en"",""fr"")"),"Un homme se tient à l'extérieur en tenant une bouteille d'écran solaire et en parlant.")</f>
        <v>Un homme se tient à l'extérieur en tenant une bouteille d'écran solaire et en parlant.</v>
      </c>
    </row>
    <row r="12009">
      <c r="A12009" s="4" t="s">
        <v>15104</v>
      </c>
      <c r="B12009" s="4" t="s">
        <v>15106</v>
      </c>
      <c r="C12009" s="5" t="str">
        <f>IFERROR(__xludf.DUMMYFUNCTION("GOOGLETRANSLATE(B12009,""en"",""fr"")"),"Il pulvérise l'écran solaire sur son bras et le frotte.")</f>
        <v>Il pulvérise l'écran solaire sur son bras et le frotte.</v>
      </c>
    </row>
    <row r="12010">
      <c r="A12010" s="4" t="s">
        <v>15107</v>
      </c>
      <c r="B12010" s="4" t="s">
        <v>15108</v>
      </c>
      <c r="C12010" s="5" t="str">
        <f>IFERROR(__xludf.DUMMYFUNCTION("GOOGLETRANSLATE(B12010,""en"",""fr"")"),"Un homme portant une chemise bleue lance une boule de bowling dans une piste de bowling.")</f>
        <v>Un homme portant une chemise bleue lance une boule de bowling dans une piste de bowling.</v>
      </c>
    </row>
    <row r="12011">
      <c r="A12011" s="4" t="s">
        <v>15107</v>
      </c>
      <c r="B12011" s="4" t="s">
        <v>15109</v>
      </c>
      <c r="C12011" s="5" t="str">
        <f>IFERROR(__xludf.DUMMYFUNCTION("GOOGLETRANSLATE(B12011,""en"",""fr"")"),"La balle frappe les deux épingles et rebondit dans l'allée adjacente frappant la broche là-bas aussi.")</f>
        <v>La balle frappe les deux épingles et rebondit dans l'allée adjacente frappant la broche là-bas aussi.</v>
      </c>
    </row>
    <row r="12012">
      <c r="A12012" s="4" t="s">
        <v>15107</v>
      </c>
      <c r="B12012" s="4" t="s">
        <v>15110</v>
      </c>
      <c r="C12012" s="5" t="str">
        <f>IFERROR(__xludf.DUMMYFUNCTION("GOOGLETRANSLATE(B12012,""en"",""fr"")"),"Un homme assis dans une chemise rouge secoue la tête.")</f>
        <v>Un homme assis dans une chemise rouge secoue la tête.</v>
      </c>
    </row>
    <row r="12013">
      <c r="A12013" s="4" t="s">
        <v>15107</v>
      </c>
      <c r="B12013" s="4" t="s">
        <v>15111</v>
      </c>
      <c r="C12013" s="5" t="str">
        <f>IFERROR(__xludf.DUMMYFUNCTION("GOOGLETRANSLATE(B12013,""en"",""fr"")"),"L'homme dans la chemise bleue revient.")</f>
        <v>L'homme dans la chemise bleue revient.</v>
      </c>
    </row>
    <row r="12014">
      <c r="A12014" s="4" t="s">
        <v>15112</v>
      </c>
      <c r="B12014" s="4" t="s">
        <v>15113</v>
      </c>
      <c r="C12014" s="5" t="str">
        <f>IFERROR(__xludf.DUMMYFUNCTION("GOOGLETRANSLATE(B12014,""en"",""fr"")"),"Une introduction arrive à l'écran pour une vidéo sur le curling du sport d'hiver.")</f>
        <v>Une introduction arrive à l'écran pour une vidéo sur le curling du sport d'hiver.</v>
      </c>
    </row>
    <row r="12015">
      <c r="A12015" s="4" t="s">
        <v>15112</v>
      </c>
      <c r="B12015" s="4" t="s">
        <v>15114</v>
      </c>
      <c r="C12015" s="5" t="str">
        <f>IFERROR(__xludf.DUMMYFUNCTION("GOOGLETRANSLATE(B12015,""en"",""fr"")"),"Les bigoudis sont montrés lorsqu'ils prennent des tirs différents et balayer la glace.")</f>
        <v>Les bigoudis sont montrés lorsqu'ils prennent des tirs différents et balayer la glace.</v>
      </c>
    </row>
    <row r="12016">
      <c r="A12016" s="4" t="s">
        <v>15112</v>
      </c>
      <c r="B12016" s="4" t="s">
        <v>15115</v>
      </c>
      <c r="C12016" s="5" t="str">
        <f>IFERROR(__xludf.DUMMYFUNCTION("GOOGLETRANSLATE(B12016,""en"",""fr"")"),"La vidéo se termine par les crédits de clôture et les graphiques.")</f>
        <v>La vidéo se termine par les crédits de clôture et les graphiques.</v>
      </c>
    </row>
    <row r="12017">
      <c r="A12017" s="4" t="s">
        <v>15116</v>
      </c>
      <c r="B12017" s="4" t="s">
        <v>15117</v>
      </c>
      <c r="C12017" s="5" t="str">
        <f>IFERROR(__xludf.DUMMYFUNCTION("GOOGLETRANSLATE(B12017,""en"",""fr"")"),"Un homme gratte la neige du côté d'une voiture.")</f>
        <v>Un homme gratte la neige du côté d'une voiture.</v>
      </c>
    </row>
    <row r="12018">
      <c r="A12018" s="4" t="s">
        <v>15116</v>
      </c>
      <c r="B12018" s="4" t="s">
        <v>15118</v>
      </c>
      <c r="C12018" s="5" t="str">
        <f>IFERROR(__xludf.DUMMYFUNCTION("GOOGLETRANSLATE(B12018,""en"",""fr"")"),"Il gratte ensuite la neige du capot.")</f>
        <v>Il gratte ensuite la neige du capot.</v>
      </c>
    </row>
    <row r="12019">
      <c r="A12019" s="4" t="s">
        <v>15116</v>
      </c>
      <c r="B12019" s="4" t="s">
        <v>15119</v>
      </c>
      <c r="C12019" s="5" t="str">
        <f>IFERROR(__xludf.DUMMYFUNCTION("GOOGLETRANSLATE(B12019,""en"",""fr"")"),"Il se déplace ensuite de l'autre côté pour enlever plus de neige.")</f>
        <v>Il se déplace ensuite de l'autre côté pour enlever plus de neige.</v>
      </c>
    </row>
    <row r="12020">
      <c r="A12020" s="4" t="s">
        <v>15116</v>
      </c>
      <c r="B12020" s="4" t="s">
        <v>15120</v>
      </c>
      <c r="C12020" s="5" t="str">
        <f>IFERROR(__xludf.DUMMYFUNCTION("GOOGLETRANSLATE(B12020,""en"",""fr"")"),"Enfin, il finit de nettoyer la voiture.")</f>
        <v>Enfin, il finit de nettoyer la voiture.</v>
      </c>
    </row>
    <row r="12021">
      <c r="A12021" s="4" t="s">
        <v>15121</v>
      </c>
      <c r="B12021" s="6" t="s">
        <v>15122</v>
      </c>
      <c r="C12021" s="5" t="str">
        <f>IFERROR(__xludf.DUMMYFUNCTION("GOOGLETRANSLATE(B12021,""en"",""fr"")"),"Un petit petit garçon est assis sur sa chaise haute plongeant une fourche dans un verre de lait au chocolat détenu par un adulte.")</f>
        <v>Un petit petit garçon est assis sur sa chaise haute plongeant une fourche dans un verre de lait au chocolat détenu par un adulte.</v>
      </c>
    </row>
    <row r="12022">
      <c r="A12022" s="4" t="s">
        <v>15121</v>
      </c>
      <c r="B12022" s="4" t="s">
        <v>15123</v>
      </c>
      <c r="C12022" s="5" t="str">
        <f>IFERROR(__xludf.DUMMYFUNCTION("GOOGLETRANSLATE(B12022,""en"",""fr"")"),"L'adulte prend plusieurs virages plonger la fourche dans la tasse et le lécher.")</f>
        <v>L'adulte prend plusieurs virages plonger la fourche dans la tasse et le lécher.</v>
      </c>
    </row>
    <row r="12023">
      <c r="A12023" s="4" t="s">
        <v>15121</v>
      </c>
      <c r="B12023" s="4" t="s">
        <v>15124</v>
      </c>
      <c r="C12023" s="5" t="str">
        <f>IFERROR(__xludf.DUMMYFUNCTION("GOOGLETRANSLATE(B12023,""en"",""fr"")"),"Puis il s'arrête pendant une minute et commence à jouer avec la fourche.")</f>
        <v>Puis il s'arrête pendant une minute et commence à jouer avec la fourche.</v>
      </c>
    </row>
    <row r="12024">
      <c r="A12024" s="4" t="s">
        <v>15125</v>
      </c>
      <c r="B12024" s="6" t="s">
        <v>15126</v>
      </c>
      <c r="C12024" s="5" t="str">
        <f>IFERROR(__xludf.DUMMYFUNCTION("GOOGLETRANSLATE(B12024,""en"",""fr"")"),"Un arbre de Noël est montré suivi par plusieurs personnes se déplaçant en mouvement rapide suspendu un ensemble de lumières.")</f>
        <v>Un arbre de Noël est montré suivi par plusieurs personnes se déplaçant en mouvement rapide suspendu un ensemble de lumières.</v>
      </c>
    </row>
    <row r="12025">
      <c r="A12025" s="4" t="s">
        <v>15125</v>
      </c>
      <c r="B12025" s="6" t="s">
        <v>15127</v>
      </c>
      <c r="C12025" s="5" t="str">
        <f>IFERROR(__xludf.DUMMYFUNCTION("GOOGLETRANSLATE(B12025,""en"",""fr"")"),"Les gens se déplacent tout autour de la maison de haut en bas de l'échelle et se terminent en éteignant les lumières pour voir.")</f>
        <v>Les gens se déplacent tout autour de la maison de haut en bas de l'échelle et se terminent en éteignant les lumières pour voir.</v>
      </c>
    </row>
    <row r="12026">
      <c r="A12026" s="4" t="s">
        <v>15128</v>
      </c>
      <c r="B12026" s="6" t="s">
        <v>15129</v>
      </c>
      <c r="C12026" s="5" t="str">
        <f>IFERROR(__xludf.DUMMYFUNCTION("GOOGLETRANSLATE(B12026,""en"",""fr"")"),"Une vidéo de jeu très lente d'un homme très fort est montrée alors qu'il ramasse une haltère qui a beaucoup de poids lourds dessus, et il s'accroupie un peu avec sa poitrine.")</f>
        <v>Une vidéo de jeu très lente d'un homme très fort est montrée alors qu'il ramasse une haltère qui a beaucoup de poids lourds dessus, et il s'accroupie un peu avec sa poitrine.</v>
      </c>
    </row>
    <row r="12027">
      <c r="A12027" s="4" t="s">
        <v>15128</v>
      </c>
      <c r="B12027" s="4" t="s">
        <v>15130</v>
      </c>
      <c r="C12027" s="5" t="str">
        <f>IFERROR(__xludf.DUMMYFUNCTION("GOOGLETRANSLATE(B12027,""en"",""fr"")"),"L'homme se lève alors et tient l'haltère de sa poitrine.")</f>
        <v>L'homme se lève alors et tient l'haltère de sa poitrine.</v>
      </c>
    </row>
    <row r="12028">
      <c r="A12028" s="4" t="s">
        <v>15128</v>
      </c>
      <c r="B12028" s="6" t="s">
        <v>15131</v>
      </c>
      <c r="C12028" s="5" t="str">
        <f>IFERROR(__xludf.DUMMYFUNCTION("GOOGLETRANSLATE(B12028,""en"",""fr"")"),"L'homme essaie alors de tenir l'haltère au-dessus de sa tête pendant qu'il s'accroupit mais il finit par laisser tomber l'haltère puis regarde ses mains comme s'ils lui avaient échoué.")</f>
        <v>L'homme essaie alors de tenir l'haltère au-dessus de sa tête pendant qu'il s'accroupit mais il finit par laisser tomber l'haltère puis regarde ses mains comme s'ils lui avaient échoué.</v>
      </c>
    </row>
    <row r="12029">
      <c r="A12029" s="4" t="s">
        <v>15132</v>
      </c>
      <c r="B12029" s="6" t="s">
        <v>15133</v>
      </c>
      <c r="C12029" s="5" t="str">
        <f>IFERROR(__xludf.DUMMYFUNCTION("GOOGLETRANSLATE(B12029,""en"",""fr"")"),"Une intro de thème de bowling d'effet spécial apparaît et le texte au milieu a lu ""Chris Hardwick's All Star Celebrity Bowling"".")</f>
        <v>Une intro de thème de bowling d'effet spécial apparaît et le texte au milieu a lu "Chris Hardwick's All Star Celebrity Bowling".</v>
      </c>
    </row>
    <row r="12030">
      <c r="A12030" s="4" t="s">
        <v>15132</v>
      </c>
      <c r="B12030" s="6" t="s">
        <v>15134</v>
      </c>
      <c r="C12030" s="5" t="str">
        <f>IFERROR(__xludf.DUMMYFUNCTION("GOOGLETRANSLATE(B12030,""en"",""fr"")"),"Il y a quatre hommes posant dans un bowling, tous portent des chemises jaunes et le ""nerdist"" de leur nom de son équipe.")</f>
        <v>Il y a quatre hommes posant dans un bowling, tous portent des chemises jaunes et le "nerdist" de leur nom de son équipe.</v>
      </c>
    </row>
    <row r="12031">
      <c r="A12031" s="4" t="s">
        <v>15132</v>
      </c>
      <c r="B12031" s="6" t="s">
        <v>15135</v>
      </c>
      <c r="C12031" s="5" t="str">
        <f>IFERROR(__xludf.DUMMYFUNCTION("GOOGLETRANSLATE(B12031,""en"",""fr"")"),"Un groupe de 4 personnes apparaît ensuite et il y a 3 hommes et 1 femme et le texte du nom de l'équipe Says ""WWE Superstars"".")</f>
        <v>Un groupe de 4 personnes apparaît ensuite et il y a 3 hommes et 1 femme et le texte du nom de l'équipe Says "WWE Superstars".</v>
      </c>
    </row>
    <row r="12032">
      <c r="A12032" s="4" t="s">
        <v>15132</v>
      </c>
      <c r="B12032" s="6" t="s">
        <v>15136</v>
      </c>
      <c r="C12032" s="5" t="str">
        <f>IFERROR(__xludf.DUMMYFUNCTION("GOOGLETRANSLATE(B12032,""en"",""fr"")"),"Les clips commencent à jouer et comprennent diverses personnes bowling, parler, démontrer le bowling, donner des interviews, passer du temps, rire, jouer, raser les poils du visage, faire des pompes, manger, se nourrir les uns les autres et etc.")</f>
        <v>Les clips commencent à jouer et comprennent diverses personnes bowling, parler, démontrer le bowling, donner des interviews, passer du temps, rire, jouer, raser les poils du visage, faire des pompes, manger, se nourrir les uns les autres et etc.</v>
      </c>
    </row>
    <row r="12033">
      <c r="A12033" s="4" t="s">
        <v>15132</v>
      </c>
      <c r="B12033" s="6" t="s">
        <v>15137</v>
      </c>
      <c r="C12033" s="5" t="str">
        <f>IFERROR(__xludf.DUMMYFUNCTION("GOOGLETRANSLATE(B12033,""en"",""fr"")"),"De grands mots jaunes à l'écran apparaissent et il dit ""l'équipe Nerdist gagne!"" Et toute l'équipe se lève et célèbre.")</f>
        <v>De grands mots jaunes à l'écran apparaissent et il dit "l'équipe Nerdist gagne!" Et toute l'équipe se lève et célèbre.</v>
      </c>
    </row>
    <row r="12034">
      <c r="A12034" s="4" t="s">
        <v>15132</v>
      </c>
      <c r="B12034" s="6" t="s">
        <v>15138</v>
      </c>
      <c r="C12034" s="5" t="str">
        <f>IFERROR(__xludf.DUMMYFUNCTION("GOOGLETRANSLATE(B12034,""en"",""fr"")"),"Un membre de l'équipe nerdist parle joyeusement à la caméra, puis un membre malheureux d'une autre équipe parle malheureusement à la caméra.")</f>
        <v>Un membre de l'équipe nerdist parle joyeusement à la caméra, puis un membre malheureux d'une autre équipe parle malheureusement à la caméra.</v>
      </c>
    </row>
    <row r="12035">
      <c r="A12035" s="4" t="s">
        <v>15139</v>
      </c>
      <c r="B12035" s="4" t="s">
        <v>15140</v>
      </c>
      <c r="C12035" s="5" t="str">
        <f>IFERROR(__xludf.DUMMYFUNCTION("GOOGLETRANSLATE(B12035,""en"",""fr"")"),"Nous voyons une carte de titre sur un écran noir.")</f>
        <v>Nous voyons une carte de titre sur un écran noir.</v>
      </c>
    </row>
    <row r="12036">
      <c r="A12036" s="4" t="s">
        <v>15139</v>
      </c>
      <c r="B12036" s="4" t="s">
        <v>15141</v>
      </c>
      <c r="C12036" s="5" t="str">
        <f>IFERROR(__xludf.DUMMYFUNCTION("GOOGLETRANSLATE(B12036,""en"",""fr"")"),"Il change dans le skateboard effectuant des astuces.")</f>
        <v>Il change dans le skateboard effectuant des astuces.</v>
      </c>
    </row>
    <row r="12037">
      <c r="A12037" s="4" t="s">
        <v>15139</v>
      </c>
      <c r="B12037" s="4" t="s">
        <v>15142</v>
      </c>
      <c r="C12037" s="5" t="str">
        <f>IFERROR(__xludf.DUMMYFUNCTION("GOOGLETRANSLATE(B12037,""en"",""fr"")"),"Nous voyons un photographe prendre des photos.")</f>
        <v>Nous voyons un photographe prendre des photos.</v>
      </c>
    </row>
    <row r="12038">
      <c r="A12038" s="4" t="s">
        <v>15139</v>
      </c>
      <c r="B12038" s="4" t="s">
        <v>15143</v>
      </c>
      <c r="C12038" s="5" t="str">
        <f>IFERROR(__xludf.DUMMYFUNCTION("GOOGLETRANSLATE(B12038,""en"",""fr"")"),"Un homme saute une bouche d'incendie.")</f>
        <v>Un homme saute une bouche d'incendie.</v>
      </c>
    </row>
    <row r="12039">
      <c r="A12039" s="4" t="s">
        <v>15139</v>
      </c>
      <c r="B12039" s="4" t="s">
        <v>15144</v>
      </c>
      <c r="C12039" s="5" t="str">
        <f>IFERROR(__xludf.DUMMYFUNCTION("GOOGLETRANSLATE(B12039,""en"",""fr"")"),"Nous voyons un homme sauter par-dessus les escaliers de près.")</f>
        <v>Nous voyons un homme sauter par-dessus les escaliers de près.</v>
      </c>
    </row>
    <row r="12040">
      <c r="A12040" s="4" t="s">
        <v>15139</v>
      </c>
      <c r="B12040" s="4" t="s">
        <v>15145</v>
      </c>
      <c r="C12040" s="5" t="str">
        <f>IFERROR(__xludf.DUMMYFUNCTION("GOOGLETRANSLATE(B12040,""en"",""fr"")"),"Un homme monte avec beaucoup de caméras clignotant.")</f>
        <v>Un homme monte avec beaucoup de caméras clignotant.</v>
      </c>
    </row>
    <row r="12041">
      <c r="A12041" s="4" t="s">
        <v>15139</v>
      </c>
      <c r="B12041" s="4" t="s">
        <v>15146</v>
      </c>
      <c r="C12041" s="5" t="str">
        <f>IFERROR(__xludf.DUMMYFUNCTION("GOOGLETRANSLATE(B12041,""en"",""fr"")"),"La caméra ralentit et la scène se termine.")</f>
        <v>La caméra ralentit et la scène se termine.</v>
      </c>
    </row>
    <row r="12042">
      <c r="A12042" s="4" t="s">
        <v>15139</v>
      </c>
      <c r="B12042" s="4" t="s">
        <v>15147</v>
      </c>
      <c r="C12042" s="5" t="str">
        <f>IFERROR(__xludf.DUMMYFUNCTION("GOOGLETRANSLATE(B12042,""en"",""fr"")"),"Nous voyons un écran noir et des crédits.")</f>
        <v>Nous voyons un écran noir et des crédits.</v>
      </c>
    </row>
    <row r="12043">
      <c r="A12043" s="4" t="s">
        <v>15148</v>
      </c>
      <c r="B12043" s="4" t="s">
        <v>15149</v>
      </c>
      <c r="C12043" s="5" t="str">
        <f>IFERROR(__xludf.DUMMYFUNCTION("GOOGLETRANSLATE(B12043,""en"",""fr"")"),"Un jeune homme pompe de haut en bas à genoux sur les deux jambes.")</f>
        <v>Un jeune homme pompe de haut en bas à genoux sur les deux jambes.</v>
      </c>
    </row>
    <row r="12044">
      <c r="A12044" s="4" t="s">
        <v>15148</v>
      </c>
      <c r="B12044" s="6" t="s">
        <v>15150</v>
      </c>
      <c r="C12044" s="5" t="str">
        <f>IFERROR(__xludf.DUMMYFUNCTION("GOOGLETRANSLATE(B12044,""en"",""fr"")"),"L'élève saute de la position agenouillée et atterrit au-dessus d'une pile de tapis puis atterrit sur le sol.")</f>
        <v>L'élève saute de la position agenouillée et atterrit au-dessus d'une pile de tapis puis atterrit sur le sol.</v>
      </c>
    </row>
    <row r="12045">
      <c r="A12045" s="4" t="s">
        <v>15151</v>
      </c>
      <c r="B12045" s="4" t="s">
        <v>15152</v>
      </c>
      <c r="C12045" s="5" t="str">
        <f>IFERROR(__xludf.DUMMYFUNCTION("GOOGLETRANSLATE(B12045,""en"",""fr"")"),"Les gens et les chiens marchent sur un sentier.")</f>
        <v>Les gens et les chiens marchent sur un sentier.</v>
      </c>
    </row>
    <row r="12046">
      <c r="A12046" s="4" t="s">
        <v>15151</v>
      </c>
      <c r="B12046" s="4" t="s">
        <v>15153</v>
      </c>
      <c r="C12046" s="5" t="str">
        <f>IFERROR(__xludf.DUMMYFUNCTION("GOOGLETRANSLATE(B12046,""en"",""fr"")"),"Des fleurs roses sur un buisson sont représentées.")</f>
        <v>Des fleurs roses sur un buisson sont représentées.</v>
      </c>
    </row>
    <row r="12047">
      <c r="A12047" s="4" t="s">
        <v>15151</v>
      </c>
      <c r="B12047" s="4" t="s">
        <v>15154</v>
      </c>
      <c r="C12047" s="5" t="str">
        <f>IFERROR(__xludf.DUMMYFUNCTION("GOOGLETRANSLATE(B12047,""en"",""fr"")"),"Les gens marchent sur des chiens en laisse dans une rue.")</f>
        <v>Les gens marchent sur des chiens en laisse dans une rue.</v>
      </c>
    </row>
    <row r="12048">
      <c r="A12048" s="4" t="s">
        <v>15155</v>
      </c>
      <c r="B12048" s="4" t="s">
        <v>15156</v>
      </c>
      <c r="C12048" s="5" t="str">
        <f>IFERROR(__xludf.DUMMYFUNCTION("GOOGLETRANSLATE(B12048,""en"",""fr"")"),"Un taureau est dans un anneau, regardant les taureaux à l'extérieur.")</f>
        <v>Un taureau est dans un anneau, regardant les taureaux à l'extérieur.</v>
      </c>
    </row>
    <row r="12049">
      <c r="A12049" s="4" t="s">
        <v>15155</v>
      </c>
      <c r="B12049" s="4" t="s">
        <v>15157</v>
      </c>
      <c r="C12049" s="5" t="str">
        <f>IFERROR(__xludf.DUMMYFUNCTION("GOOGLETRANSLATE(B12049,""en"",""fr"")"),"Un tas de combattants se lèvent derrière.")</f>
        <v>Un tas de combattants se lèvent derrière.</v>
      </c>
    </row>
    <row r="12050">
      <c r="A12050" s="4" t="s">
        <v>15155</v>
      </c>
      <c r="B12050" s="6" t="s">
        <v>15158</v>
      </c>
      <c r="C12050" s="5" t="str">
        <f>IFERROR(__xludf.DUMMYFUNCTION("GOOGLETRANSLATE(B12050,""en"",""fr"")"),"Ils commencent à se battre avec le taureau, tirant parfois sa queue et agitant la cape devant lui pour le faire charger.")</f>
        <v>Ils commencent à se battre avec le taureau, tirant parfois sa queue et agitant la cape devant lui pour le faire charger.</v>
      </c>
    </row>
    <row r="12051">
      <c r="A12051" s="4" t="s">
        <v>15159</v>
      </c>
      <c r="B12051" s="6" t="s">
        <v>15160</v>
      </c>
      <c r="C12051" s="5" t="str">
        <f>IFERROR(__xludf.DUMMYFUNCTION("GOOGLETRANSLATE(B12051,""en"",""fr"")"),"Un homme est vu parler à la caméra tout en tenant une raquette de tennis et commence à frapper le ballon contre le mur.")</f>
        <v>Un homme est vu parler à la caméra tout en tenant une raquette de tennis et commence à frapper le ballon contre le mur.</v>
      </c>
    </row>
    <row r="12052">
      <c r="A12052" s="4" t="s">
        <v>15159</v>
      </c>
      <c r="B12052" s="4" t="s">
        <v>15161</v>
      </c>
      <c r="C12052" s="5" t="str">
        <f>IFERROR(__xludf.DUMMYFUNCTION("GOOGLETRANSLATE(B12052,""en"",""fr"")"),"Il continue de parler à la caméra et se transforme vers lui en frappant le ballon.")</f>
        <v>Il continue de parler à la caméra et se transforme vers lui en frappant le ballon.</v>
      </c>
    </row>
    <row r="12053">
      <c r="A12053" s="4" t="s">
        <v>15162</v>
      </c>
      <c r="B12053" s="4" t="s">
        <v>15163</v>
      </c>
      <c r="C12053" s="5" t="str">
        <f>IFERROR(__xludf.DUMMYFUNCTION("GOOGLETRANSLATE(B12053,""en"",""fr"")"),"Un homme en sweat gris se tient à un arrêt de bus.")</f>
        <v>Un homme en sweat gris se tient à un arrêt de bus.</v>
      </c>
    </row>
    <row r="12054">
      <c r="A12054" s="4" t="s">
        <v>15162</v>
      </c>
      <c r="B12054" s="4" t="s">
        <v>15164</v>
      </c>
      <c r="C12054" s="5" t="str">
        <f>IFERROR(__xludf.DUMMYFUNCTION("GOOGLETRANSLATE(B12054,""en"",""fr"")"),"Il commence à rouler dans une rue et fait des tours.")</f>
        <v>Il commence à rouler dans une rue et fait des tours.</v>
      </c>
    </row>
    <row r="12055">
      <c r="A12055" s="4" t="s">
        <v>15162</v>
      </c>
      <c r="B12055" s="4" t="s">
        <v>15165</v>
      </c>
      <c r="C12055" s="5" t="str">
        <f>IFERROR(__xludf.DUMMYFUNCTION("GOOGLETRANSLATE(B12055,""en"",""fr"")"),"L'homme patine en arrière.")</f>
        <v>L'homme patine en arrière.</v>
      </c>
    </row>
    <row r="12056">
      <c r="A12056" s="4" t="s">
        <v>15166</v>
      </c>
      <c r="B12056" s="4" t="s">
        <v>15167</v>
      </c>
      <c r="C12056" s="5" t="str">
        <f>IFERROR(__xludf.DUMMYFUNCTION("GOOGLETRANSLATE(B12056,""en"",""fr"")"),"Un homme en pantalon noir se tient sur un toit et cloue un long gan à toit sur le toit.")</f>
        <v>Un homme en pantalon noir se tient sur un toit et cloue un long gan à toit sur le toit.</v>
      </c>
    </row>
    <row r="12057">
      <c r="A12057" s="4" t="s">
        <v>15166</v>
      </c>
      <c r="B12057" s="4" t="s">
        <v>15168</v>
      </c>
      <c r="C12057" s="5" t="str">
        <f>IFERROR(__xludf.DUMMYFUNCTION("GOOGLETRANSLATE(B12057,""en"",""fr"")"),"Un homme en short bleu apparaît à droite et cloue également de longs bardeaux sur le toit.")</f>
        <v>Un homme en short bleu apparaît à droite et cloue également de longs bardeaux sur le toit.</v>
      </c>
    </row>
    <row r="12058">
      <c r="A12058" s="4" t="s">
        <v>15166</v>
      </c>
      <c r="B12058" s="6" t="s">
        <v>15169</v>
      </c>
      <c r="C12058" s="5" t="str">
        <f>IFERROR(__xludf.DUMMYFUNCTION("GOOGLETRANSLATE(B12058,""en"",""fr"")"),"Le zoom va sur le pantalon noir et portant un long et il cloue des bardeaux sur le périmètre extérieur du toit.")</f>
        <v>Le zoom va sur le pantalon noir et portant un long et il cloue des bardeaux sur le périmètre extérieur du toit.</v>
      </c>
    </row>
    <row r="12059">
      <c r="A12059" s="4" t="s">
        <v>15170</v>
      </c>
      <c r="B12059" s="6" t="s">
        <v>15171</v>
      </c>
      <c r="C12059" s="5" t="str">
        <f>IFERROR(__xludf.DUMMYFUNCTION("GOOGLETRANSLATE(B12059,""en"",""fr"")"),"Une femme est vue jouer d'une flûte pendant qu'un homme parle dans un microphone et deux personnes jouent le piano derrière elle.")</f>
        <v>Une femme est vue jouer d'une flûte pendant qu'un homme parle dans un microphone et deux personnes jouent le piano derrière elle.</v>
      </c>
    </row>
    <row r="12060">
      <c r="A12060" s="4" t="s">
        <v>15170</v>
      </c>
      <c r="B12060" s="4" t="s">
        <v>15172</v>
      </c>
      <c r="C12060" s="5" t="str">
        <f>IFERROR(__xludf.DUMMYFUNCTION("GOOGLETRANSLATE(B12060,""en"",""fr"")"),"La femme s'arrête pour parler à l'homme et l'homme prend la flûte d'elle et joue.")</f>
        <v>La femme s'arrête pour parler à l'homme et l'homme prend la flûte d'elle et joue.</v>
      </c>
    </row>
    <row r="12061">
      <c r="A12061" s="4" t="s">
        <v>15170</v>
      </c>
      <c r="B12061" s="4" t="s">
        <v>15173</v>
      </c>
      <c r="C12061" s="5" t="str">
        <f>IFERROR(__xludf.DUMMYFUNCTION("GOOGLETRANSLATE(B12061,""en"",""fr"")"),"L'homme lui tend le dos à la flûte pour jouer et se termine en lui parlant toujours.")</f>
        <v>L'homme lui tend le dos à la flûte pour jouer et se termine en lui parlant toujours.</v>
      </c>
    </row>
    <row r="12062">
      <c r="A12062" s="4" t="s">
        <v>15174</v>
      </c>
      <c r="B12062" s="4" t="s">
        <v>15175</v>
      </c>
      <c r="C12062" s="5" t="str">
        <f>IFERROR(__xludf.DUMMYFUNCTION("GOOGLETRANSLATE(B12062,""en"",""fr"")"),"Un homme athlétique est vu courir sur une piste dans une fosse.")</f>
        <v>Un homme athlétique est vu courir sur une piste dans une fosse.</v>
      </c>
    </row>
    <row r="12063">
      <c r="A12063" s="4" t="s">
        <v>15174</v>
      </c>
      <c r="B12063" s="4" t="s">
        <v>15176</v>
      </c>
      <c r="C12063" s="5" t="str">
        <f>IFERROR(__xludf.DUMMYFUNCTION("GOOGLETRANSLATE(B12063,""en"",""fr"")"),"Plusieurs autres personnes sont vues courir sur la piste dans une fosse.")</f>
        <v>Plusieurs autres personnes sont vues courir sur la piste dans une fosse.</v>
      </c>
    </row>
    <row r="12064">
      <c r="A12064" s="4" t="s">
        <v>15174</v>
      </c>
      <c r="B12064" s="4" t="s">
        <v>15177</v>
      </c>
      <c r="C12064" s="5" t="str">
        <f>IFERROR(__xludf.DUMMYFUNCTION("GOOGLETRANSLATE(B12064,""en"",""fr"")"),"Un après l'autre, d'autres personnes sautent.")</f>
        <v>Un après l'autre, d'autres personnes sautent.</v>
      </c>
    </row>
    <row r="12065">
      <c r="A12065" s="4" t="s">
        <v>15178</v>
      </c>
      <c r="B12065" s="4" t="s">
        <v>15179</v>
      </c>
      <c r="C12065" s="5" t="str">
        <f>IFERROR(__xludf.DUMMYFUNCTION("GOOGLETRANSLATE(B12065,""en"",""fr"")"),"Une présentatrice de nouvelles à White Coat parle devant la caméra.")</f>
        <v>Une présentatrice de nouvelles à White Coat parle devant la caméra.</v>
      </c>
    </row>
    <row r="12066">
      <c r="A12066" s="4" t="s">
        <v>15178</v>
      </c>
      <c r="B12066" s="4" t="s">
        <v>15180</v>
      </c>
      <c r="C12066" s="5" t="str">
        <f>IFERROR(__xludf.DUMMYFUNCTION("GOOGLETRANSLATE(B12066,""en"",""fr"")"),"Le joueur a lancé le ballon et a frappé le but.")</f>
        <v>Le joueur a lancé le ballon et a frappé le but.</v>
      </c>
    </row>
    <row r="12067">
      <c r="A12067" s="4" t="s">
        <v>15178</v>
      </c>
      <c r="B12067" s="6" t="s">
        <v>15181</v>
      </c>
      <c r="C12067" s="5" t="str">
        <f>IFERROR(__xludf.DUMMYFUNCTION("GOOGLETRANSLATE(B12067,""en"",""fr"")"),"Deux joueurs du terrain ont commencé à se disputer et se sont poussés et se battent, l'un des joueurs a lancé le ballon à l'autre personne, les joueurs ont commencé à chasser et se sont poussés, puis l'équipe en uniformes bleus s'est éloigné.")</f>
        <v>Deux joueurs du terrain ont commencé à se disputer et se sont poussés et se battent, l'un des joueurs a lancé le ballon à l'autre personne, les joueurs ont commencé à chasser et se sont poussés, puis l'équipe en uniformes bleus s'est éloigné.</v>
      </c>
    </row>
    <row r="12068">
      <c r="A12068" s="4" t="s">
        <v>15178</v>
      </c>
      <c r="B12068" s="4" t="s">
        <v>15182</v>
      </c>
      <c r="C12068" s="5" t="str">
        <f>IFERROR(__xludf.DUMMYFUNCTION("GOOGLETRANSLATE(B12068,""en"",""fr"")"),"L'équipe en uniformes blancs est resté au tribunal et a applaudi.")</f>
        <v>L'équipe en uniformes blancs est resté au tribunal et a applaudi.</v>
      </c>
    </row>
    <row r="12069">
      <c r="A12069" s="4" t="s">
        <v>15183</v>
      </c>
      <c r="B12069" s="6" t="s">
        <v>15184</v>
      </c>
      <c r="C12069" s="5" t="str">
        <f>IFERROR(__xludf.DUMMYFUNCTION("GOOGLETRANSLATE(B12069,""en"",""fr"")"),"Une intro est montrée d'une femme tricoter avec ses mains tandis que diverses photos de chats sont montrées en arrière-plan.")</f>
        <v>Une intro est montrée d'une femme tricoter avec ses mains tandis que diverses photos de chats sont montrées en arrière-plan.</v>
      </c>
    </row>
    <row r="12070">
      <c r="A12070" s="4" t="s">
        <v>15183</v>
      </c>
      <c r="B12070" s="6" t="s">
        <v>15185</v>
      </c>
      <c r="C12070" s="5" t="str">
        <f>IFERROR(__xludf.DUMMYFUNCTION("GOOGLETRANSLATE(B12070,""en"",""fr"")"),"Le texte sur la façon de tricoter apparaît pendant que ses mains continuent de bouger pour démontrer comment tricoter correctement.")</f>
        <v>Le texte sur la façon de tricoter apparaît pendant que ses mains continuent de bouger pour démontrer comment tricoter correctement.</v>
      </c>
    </row>
    <row r="12071">
      <c r="A12071" s="4" t="s">
        <v>15186</v>
      </c>
      <c r="B12071" s="4" t="s">
        <v>15187</v>
      </c>
      <c r="C12071" s="5" t="str">
        <f>IFERROR(__xludf.DUMMYFUNCTION("GOOGLETRANSLATE(B12071,""en"",""fr"")"),"Une femme parle et s'allonge sur le sol, puis elle plie les jambes et soulève les deux.")</f>
        <v>Une femme parle et s'allonge sur le sol, puis elle plie les jambes et soulève les deux.</v>
      </c>
    </row>
    <row r="12072">
      <c r="A12072" s="4" t="s">
        <v>15186</v>
      </c>
      <c r="B12072" s="4" t="s">
        <v>15188</v>
      </c>
      <c r="C12072" s="5" t="str">
        <f>IFERROR(__xludf.DUMMYFUNCTION("GOOGLETRANSLATE(B12072,""en"",""fr"")"),"Ensuite, la femme soulève les deux jambes droites.")</f>
        <v>Ensuite, la femme soulève les deux jambes droites.</v>
      </c>
    </row>
    <row r="12073">
      <c r="A12073" s="4" t="s">
        <v>15186</v>
      </c>
      <c r="B12073" s="4" t="s">
        <v>15189</v>
      </c>
      <c r="C12073" s="5" t="str">
        <f>IFERROR(__xludf.DUMMYFUNCTION("GOOGLETRANSLATE(B12073,""en"",""fr"")"),"Après, la femme ne soulève qu'une seule jambe et l'autre des jambes se plient sur le sol.")</f>
        <v>Après, la femme ne soulève qu'une seule jambe et l'autre des jambes se plient sur le sol.</v>
      </c>
    </row>
    <row r="12074">
      <c r="A12074" s="4" t="s">
        <v>15190</v>
      </c>
      <c r="B12074" s="4" t="s">
        <v>15191</v>
      </c>
      <c r="C12074" s="5" t="str">
        <f>IFERROR(__xludf.DUMMYFUNCTION("GOOGLETRANSLATE(B12074,""en"",""fr"")"),"Le petit garçon est assis dans le kayak bleu tenant des pagaies.")</f>
        <v>Le petit garçon est assis dans le kayak bleu tenant des pagaies.</v>
      </c>
    </row>
    <row r="12075">
      <c r="A12075" s="4" t="s">
        <v>15190</v>
      </c>
      <c r="B12075" s="4" t="s">
        <v>15192</v>
      </c>
      <c r="C12075" s="5" t="str">
        <f>IFERROR(__xludf.DUMMYFUNCTION("GOOGLETRANSLATE(B12075,""en"",""fr"")"),"Ensuite, quelqu'un d'autre est montré pagayer dans l'eau et il y a des gens debout sur le rivage.")</f>
        <v>Ensuite, quelqu'un d'autre est montré pagayer dans l'eau et il y a des gens debout sur le rivage.</v>
      </c>
    </row>
    <row r="12076">
      <c r="A12076" s="4" t="s">
        <v>15190</v>
      </c>
      <c r="B12076" s="4" t="s">
        <v>15193</v>
      </c>
      <c r="C12076" s="5" t="str">
        <f>IFERROR(__xludf.DUMMYFUNCTION("GOOGLETRANSLATE(B12076,""en"",""fr"")"),"La caméra se retourne plusieurs fois pour montrer les arbres et le ciel.")</f>
        <v>La caméra se retourne plusieurs fois pour montrer les arbres et le ciel.</v>
      </c>
    </row>
    <row r="12077">
      <c r="A12077" s="4" t="s">
        <v>15194</v>
      </c>
      <c r="B12077" s="4" t="s">
        <v>15195</v>
      </c>
      <c r="C12077" s="5" t="str">
        <f>IFERROR(__xludf.DUMMYFUNCTION("GOOGLETRANSLATE(B12077,""en"",""fr"")"),"Une femme d'information parle à la caméra dans une salle de nouvelles.")</f>
        <v>Une femme d'information parle à la caméra dans une salle de nouvelles.</v>
      </c>
    </row>
    <row r="12078">
      <c r="A12078" s="4" t="s">
        <v>15194</v>
      </c>
      <c r="B12078" s="4" t="s">
        <v>15196</v>
      </c>
      <c r="C12078" s="5" t="str">
        <f>IFERROR(__xludf.DUMMYFUNCTION("GOOGLETRANSLATE(B12078,""en"",""fr"")"),"Une autre femme montre une série de fournitures de nettoyage.")</f>
        <v>Une autre femme montre une série de fournitures de nettoyage.</v>
      </c>
    </row>
    <row r="12079">
      <c r="A12079" s="4" t="s">
        <v>15194</v>
      </c>
      <c r="B12079" s="4" t="s">
        <v>15197</v>
      </c>
      <c r="C12079" s="5" t="str">
        <f>IFERROR(__xludf.DUMMYFUNCTION("GOOGLETRANSLATE(B12079,""en"",""fr"")"),"Elle enseigne comment les utiliser, mais pas pour mélanger certains éléments.")</f>
        <v>Elle enseigne comment les utiliser, mais pas pour mélanger certains éléments.</v>
      </c>
    </row>
    <row r="12080">
      <c r="A12080" s="4" t="s">
        <v>15194</v>
      </c>
      <c r="B12080" s="4" t="s">
        <v>15198</v>
      </c>
      <c r="C12080" s="5" t="str">
        <f>IFERROR(__xludf.DUMMYFUNCTION("GOOGLETRANSLATE(B12080,""en"",""fr"")"),"Elle verse les liquides dans des tasses et se transforme en une bouteille de pulvérisateur pour nettoyer une cuisine.")</f>
        <v>Elle verse les liquides dans des tasses et se transforme en une bouteille de pulvérisateur pour nettoyer une cuisine.</v>
      </c>
    </row>
    <row r="12081">
      <c r="A12081" s="4" t="s">
        <v>15199</v>
      </c>
      <c r="B12081" s="4" t="s">
        <v>15200</v>
      </c>
      <c r="C12081" s="5" t="str">
        <f>IFERROR(__xludf.DUMMYFUNCTION("GOOGLETRANSLATE(B12081,""en"",""fr"")"),"Un homme se tient à un comptoir avec un couteau Smith.")</f>
        <v>Un homme se tient à un comptoir avec un couteau Smith.</v>
      </c>
    </row>
    <row r="12082">
      <c r="A12082" s="4" t="s">
        <v>15199</v>
      </c>
      <c r="B12082" s="4" t="s">
        <v>15201</v>
      </c>
      <c r="C12082" s="5" t="str">
        <f>IFERROR(__xludf.DUMMYFUNCTION("GOOGLETRANSLATE(B12082,""en"",""fr"")"),"Il montre comment aiguiser le couteau.")</f>
        <v>Il montre comment aiguiser le couteau.</v>
      </c>
    </row>
    <row r="12083">
      <c r="A12083" s="4" t="s">
        <v>15199</v>
      </c>
      <c r="B12083" s="4" t="s">
        <v>15202</v>
      </c>
      <c r="C12083" s="5" t="str">
        <f>IFERROR(__xludf.DUMMYFUNCTION("GOOGLETRANSLATE(B12083,""en"",""fr"")"),"Il verse de l'huile sur l'outil d'aiguisme et passe le couteau dessus.")</f>
        <v>Il verse de l'huile sur l'outil d'aiguisme et passe le couteau dessus.</v>
      </c>
    </row>
    <row r="12084">
      <c r="A12084" s="4" t="s">
        <v>15199</v>
      </c>
      <c r="B12084" s="4" t="s">
        <v>15203</v>
      </c>
      <c r="C12084" s="5" t="str">
        <f>IFERROR(__xludf.DUMMYFUNCTION("GOOGLETRANSLATE(B12084,""en"",""fr"")"),"Il nettoie l'outil et le range.")</f>
        <v>Il nettoie l'outil et le range.</v>
      </c>
    </row>
    <row r="12085">
      <c r="A12085" s="4" t="s">
        <v>15204</v>
      </c>
      <c r="B12085" s="4" t="s">
        <v>15205</v>
      </c>
      <c r="C12085" s="5" t="str">
        <f>IFERROR(__xludf.DUMMYFUNCTION("GOOGLETRANSLATE(B12085,""en"",""fr"")"),"Une femme en rouge se tient à côté d'une table expliquant certaines choses.")</f>
        <v>Une femme en rouge se tient à côté d'une table expliquant certaines choses.</v>
      </c>
    </row>
    <row r="12086">
      <c r="A12086" s="4" t="s">
        <v>15204</v>
      </c>
      <c r="B12086" s="4" t="s">
        <v>15206</v>
      </c>
      <c r="C12086" s="5" t="str">
        <f>IFERROR(__xludf.DUMMYFUNCTION("GOOGLETRANSLATE(B12086,""en"",""fr"")"),"Elle met sa main sur l'arbre de Noël et en parle plus.")</f>
        <v>Elle met sa main sur l'arbre de Noël et en parle plus.</v>
      </c>
    </row>
    <row r="12087">
      <c r="A12087" s="4" t="s">
        <v>15204</v>
      </c>
      <c r="B12087" s="4" t="s">
        <v>15207</v>
      </c>
      <c r="C12087" s="5" t="str">
        <f>IFERROR(__xludf.DUMMYFUNCTION("GOOGLETRANSLATE(B12087,""en"",""fr"")"),"Elle attrape un ruban rouge et commence à attacher un arc.")</f>
        <v>Elle attrape un ruban rouge et commence à attacher un arc.</v>
      </c>
    </row>
    <row r="12088">
      <c r="A12088" s="4" t="s">
        <v>15204</v>
      </c>
      <c r="B12088" s="4" t="s">
        <v>15208</v>
      </c>
      <c r="C12088" s="5" t="str">
        <f>IFERROR(__xludf.DUMMYFUNCTION("GOOGLETRANSLATE(B12088,""en"",""fr"")"),"Elle va ensuite le placer sur l'arbre de Noël et continue d'en parler.")</f>
        <v>Elle va ensuite le placer sur l'arbre de Noël et continue d'en parler.</v>
      </c>
    </row>
    <row r="12089">
      <c r="A12089" s="4" t="s">
        <v>15209</v>
      </c>
      <c r="B12089" s="4" t="s">
        <v>15210</v>
      </c>
      <c r="C12089" s="5" t="str">
        <f>IFERROR(__xludf.DUMMYFUNCTION("GOOGLETRANSLATE(B12089,""en"",""fr"")"),"Les outils de coiffure sont affichés en gros plan.")</f>
        <v>Les outils de coiffure sont affichés en gros plan.</v>
      </c>
    </row>
    <row r="12090">
      <c r="A12090" s="4" t="s">
        <v>15209</v>
      </c>
      <c r="B12090" s="4" t="s">
        <v>15211</v>
      </c>
      <c r="C12090" s="5" t="str">
        <f>IFERROR(__xludf.DUMMYFUNCTION("GOOGLETRANSLATE(B12090,""en"",""fr"")"),"Une femme marche dans une rue dans un salon.")</f>
        <v>Une femme marche dans une rue dans un salon.</v>
      </c>
    </row>
    <row r="12091">
      <c r="A12091" s="4" t="s">
        <v>15209</v>
      </c>
      <c r="B12091" s="4" t="s">
        <v>15212</v>
      </c>
      <c r="C12091" s="5" t="str">
        <f>IFERROR(__xludf.DUMMYFUNCTION("GOOGLETRANSLATE(B12091,""en"",""fr"")"),"La femme interagit avec un homme dans le salon.")</f>
        <v>La femme interagit avec un homme dans le salon.</v>
      </c>
    </row>
    <row r="12092">
      <c r="A12092" s="4" t="s">
        <v>15209</v>
      </c>
      <c r="B12092" s="4" t="s">
        <v>15213</v>
      </c>
      <c r="C12092" s="5" t="str">
        <f>IFERROR(__xludf.DUMMYFUNCTION("GOOGLETRANSLATE(B12092,""en"",""fr"")"),"L'homme et la femme regardent des photos de coiffures ensemble.")</f>
        <v>L'homme et la femme regardent des photos de coiffures ensemble.</v>
      </c>
    </row>
    <row r="12093">
      <c r="A12093" s="4" t="s">
        <v>15209</v>
      </c>
      <c r="B12093" s="4" t="s">
        <v>15214</v>
      </c>
      <c r="C12093" s="5" t="str">
        <f>IFERROR(__xludf.DUMMYFUNCTION("GOOGLETRANSLATE(B12093,""en"",""fr"")"),"Des scènes de la femme avec ses cheveux coupées et coiffées sont montrées.")</f>
        <v>Des scènes de la femme avec ses cheveux coupées et coiffées sont montrées.</v>
      </c>
    </row>
    <row r="12094">
      <c r="A12094" s="4" t="s">
        <v>15209</v>
      </c>
      <c r="B12094" s="4" t="s">
        <v>15215</v>
      </c>
      <c r="C12094" s="5" t="str">
        <f>IFERROR(__xludf.DUMMYFUNCTION("GOOGLETRANSLATE(B12094,""en"",""fr"")"),"L'homme et la femme interagissent alors qu'ils examinent son nouveau style.")</f>
        <v>L'homme et la femme interagissent alors qu'ils examinent son nouveau style.</v>
      </c>
    </row>
    <row r="12095">
      <c r="A12095" s="4" t="s">
        <v>15209</v>
      </c>
      <c r="B12095" s="4" t="s">
        <v>15216</v>
      </c>
      <c r="C12095" s="5" t="str">
        <f>IFERROR(__xludf.DUMMYFUNCTION("GOOGLETRANSLATE(B12095,""en"",""fr"")"),"Un gros plan de cheveux sur le sol est montré.")</f>
        <v>Un gros plan de cheveux sur le sol est montré.</v>
      </c>
    </row>
    <row r="12096">
      <c r="A12096" s="4" t="s">
        <v>15217</v>
      </c>
      <c r="B12096" s="6" t="s">
        <v>15218</v>
      </c>
      <c r="C12096" s="5" t="str">
        <f>IFERROR(__xludf.DUMMYFUNCTION("GOOGLETRANSLATE(B12096,""en"",""fr"")"),"Un homme et des femmes parlent à une caméra et la fille démontre comment tenir correctement.")</f>
        <v>Un homme et des femmes parlent à une caméra et la fille démontre comment tenir correctement.</v>
      </c>
    </row>
    <row r="12097">
      <c r="A12097" s="4" t="s">
        <v>15217</v>
      </c>
      <c r="B12097" s="6" t="s">
        <v>15219</v>
      </c>
      <c r="C12097" s="5" t="str">
        <f>IFERROR(__xludf.DUMMYFUNCTION("GOOGLETRANSLATE(B12097,""en"",""fr"")"),"Deuxièmement, elle montre la bonne position de lancer l'objet et lance la discussion dans les airs.")</f>
        <v>Deuxièmement, elle montre la bonne position de lancer l'objet et lance la discussion dans les airs.</v>
      </c>
    </row>
    <row r="12098">
      <c r="A12098" s="4" t="s">
        <v>15217</v>
      </c>
      <c r="B12098" s="4" t="s">
        <v>15220</v>
      </c>
      <c r="C12098" s="5" t="str">
        <f>IFERROR(__xludf.DUMMYFUNCTION("GOOGLETRANSLATE(B12098,""en"",""fr"")"),"Elle démontre la flexion et la tournure avec le disque et fait un jet plein.")</f>
        <v>Elle démontre la flexion et la tournure avec le disque et fait un jet plein.</v>
      </c>
    </row>
    <row r="12099">
      <c r="A12099" s="4" t="s">
        <v>15217</v>
      </c>
      <c r="B12099" s="4" t="s">
        <v>15221</v>
      </c>
      <c r="C12099" s="5" t="str">
        <f>IFERROR(__xludf.DUMMYFUNCTION("GOOGLETRANSLATE(B12099,""en"",""fr"")"),"L'homme essaie alors de jeter comment la femme a fait et tente de lancer plus et de s'améliorer.")</f>
        <v>L'homme essaie alors de jeter comment la femme a fait et tente de lancer plus et de s'améliorer.</v>
      </c>
    </row>
    <row r="12100">
      <c r="A12100" s="4" t="s">
        <v>15222</v>
      </c>
      <c r="B12100" s="4" t="s">
        <v>15223</v>
      </c>
      <c r="C12100" s="5" t="str">
        <f>IFERROR(__xludf.DUMMYFUNCTION("GOOGLETRANSLATE(B12100,""en"",""fr"")"),"Les gens sont assis dans des tampants qui s'écrasent.")</f>
        <v>Les gens sont assis dans des tampants qui s'écrasent.</v>
      </c>
    </row>
    <row r="12101">
      <c r="A12101" s="4" t="s">
        <v>15222</v>
      </c>
      <c r="B12101" s="4" t="s">
        <v>15224</v>
      </c>
      <c r="C12101" s="5" t="str">
        <f>IFERROR(__xludf.DUMMYFUNCTION("GOOGLETRANSLATE(B12101,""en"",""fr"")"),"Ils s'arrêtent et sortent des voitures.")</f>
        <v>Ils s'arrêtent et sortent des voitures.</v>
      </c>
    </row>
    <row r="12102">
      <c r="A12102" s="4" t="s">
        <v>15222</v>
      </c>
      <c r="B12102" s="4" t="s">
        <v>15225</v>
      </c>
      <c r="C12102" s="5" t="str">
        <f>IFERROR(__xludf.DUMMYFUNCTION("GOOGLETRANSLATE(B12102,""en"",""fr"")"),"Un garçon en chemise blanche sort avec un garçon dans une chemise bleue.")</f>
        <v>Un garçon en chemise blanche sort avec un garçon dans une chemise bleue.</v>
      </c>
    </row>
    <row r="12103">
      <c r="A12103" s="4" t="s">
        <v>15226</v>
      </c>
      <c r="B12103" s="4" t="s">
        <v>15227</v>
      </c>
      <c r="C12103" s="5" t="str">
        <f>IFERROR(__xludf.DUMMYFUNCTION("GOOGLETRANSLATE(B12103,""en"",""fr"")"),"Une femme est vue assise sur un équipement d'exercice avec ses bras et ses jambes attachés.")</f>
        <v>Une femme est vue assise sur un équipement d'exercice avec ses bras et ses jambes attachés.</v>
      </c>
    </row>
    <row r="12104">
      <c r="A12104" s="4" t="s">
        <v>15226</v>
      </c>
      <c r="B12104" s="4" t="s">
        <v>15228</v>
      </c>
      <c r="C12104" s="5" t="str">
        <f>IFERROR(__xludf.DUMMYFUNCTION("GOOGLETRANSLATE(B12104,""en"",""fr"")"),"La femme est vue reculer et quatrième sur la machine tout en regardant vers l'avenir.")</f>
        <v>La femme est vue reculer et quatrième sur la machine tout en regardant vers l'avenir.</v>
      </c>
    </row>
    <row r="12105">
      <c r="A12105" s="4" t="s">
        <v>15226</v>
      </c>
      <c r="B12105" s="4" t="s">
        <v>15229</v>
      </c>
      <c r="C12105" s="5" t="str">
        <f>IFERROR(__xludf.DUMMYFUNCTION("GOOGLETRANSLATE(B12105,""en"",""fr"")"),"La femme continue de se déplacer sur la machine pendant que la caméra regarde ses mouvements.")</f>
        <v>La femme continue de se déplacer sur la machine pendant que la caméra regarde ses mouvements.</v>
      </c>
    </row>
    <row r="12106">
      <c r="A12106" s="4" t="s">
        <v>15230</v>
      </c>
      <c r="B12106" s="4" t="s">
        <v>1487</v>
      </c>
      <c r="C12106" s="5" t="str">
        <f>IFERROR(__xludf.DUMMYFUNCTION("GOOGLETRANSLATE(B12106,""en"",""fr"")"),"Nous voyons un écran de titre d'ouverture.")</f>
        <v>Nous voyons un écran de titre d'ouverture.</v>
      </c>
    </row>
    <row r="12107">
      <c r="A12107" s="4" t="s">
        <v>15230</v>
      </c>
      <c r="B12107" s="4" t="s">
        <v>15231</v>
      </c>
      <c r="C12107" s="5" t="str">
        <f>IFERROR(__xludf.DUMMYFUNCTION("GOOGLETRANSLATE(B12107,""en"",""fr"")"),"Une dame montre ses ongles.")</f>
        <v>Une dame montre ses ongles.</v>
      </c>
    </row>
    <row r="12108">
      <c r="A12108" s="4" t="s">
        <v>15230</v>
      </c>
      <c r="B12108" s="4" t="s">
        <v>15232</v>
      </c>
      <c r="C12108" s="5" t="str">
        <f>IFERROR(__xludf.DUMMYFUNCTION("GOOGLETRANSLATE(B12108,""en"",""fr"")"),"La dame met des gouttes de peinture blanche sur ses ongles.")</f>
        <v>La dame met des gouttes de peinture blanche sur ses ongles.</v>
      </c>
    </row>
    <row r="12109">
      <c r="A12109" s="4" t="s">
        <v>15230</v>
      </c>
      <c r="B12109" s="4" t="s">
        <v>15233</v>
      </c>
      <c r="C12109" s="5" t="str">
        <f>IFERROR(__xludf.DUMMYFUNCTION("GOOGLETRANSLATE(B12109,""en"",""fr"")"),"La dame utilise un cure-dent et le traîne à travers la peinture blanche.")</f>
        <v>La dame utilise un cure-dent et le traîne à travers la peinture blanche.</v>
      </c>
    </row>
    <row r="12110">
      <c r="A12110" s="4" t="s">
        <v>15230</v>
      </c>
      <c r="B12110" s="4" t="s">
        <v>15234</v>
      </c>
      <c r="C12110" s="5" t="str">
        <f>IFERROR(__xludf.DUMMYFUNCTION("GOOGLETRANSLATE(B12110,""en"",""fr"")"),"Elle fait une autre ongle avec le même processus.")</f>
        <v>Elle fait une autre ongle avec le même processus.</v>
      </c>
    </row>
    <row r="12111">
      <c r="A12111" s="4" t="s">
        <v>15230</v>
      </c>
      <c r="B12111" s="4" t="s">
        <v>15235</v>
      </c>
      <c r="C12111" s="5" t="str">
        <f>IFERROR(__xludf.DUMMYFUNCTION("GOOGLETRANSLATE(B12111,""en"",""fr"")"),"La dame nous montre les conceptions de fleurs sur ses ongles.")</f>
        <v>La dame nous montre les conceptions de fleurs sur ses ongles.</v>
      </c>
    </row>
    <row r="12112">
      <c r="A12112" s="4" t="s">
        <v>15236</v>
      </c>
      <c r="B12112" s="4" t="s">
        <v>15237</v>
      </c>
      <c r="C12112" s="5" t="str">
        <f>IFERROR(__xludf.DUMMYFUNCTION("GOOGLETRANSLATE(B12112,""en"",""fr"")"),"Les bandes de marche sont en position de positionnement sur le terrain.")</f>
        <v>Les bandes de marche sont en position de positionnement sur le terrain.</v>
      </c>
    </row>
    <row r="12113">
      <c r="A12113" s="4" t="s">
        <v>15236</v>
      </c>
      <c r="B12113" s="4" t="s">
        <v>15238</v>
      </c>
      <c r="C12113" s="5" t="str">
        <f>IFERROR(__xludf.DUMMYFUNCTION("GOOGLETRANSLATE(B12113,""en"",""fr"")"),"Ensuite, le groupe a commencé à jouer leurs instruments.")</f>
        <v>Ensuite, le groupe a commencé à jouer leurs instruments.</v>
      </c>
    </row>
    <row r="12114">
      <c r="A12114" s="4" t="s">
        <v>15236</v>
      </c>
      <c r="B12114" s="4" t="s">
        <v>15239</v>
      </c>
      <c r="C12114" s="5" t="str">
        <f>IFERROR(__xludf.DUMMYFUNCTION("GOOGLETRANSLATE(B12114,""en"",""fr"")"),"Les dames avec des drapeaux ont déplacé leurs drapeaux de haut en bas et les faire pivoter pendant que le groupe joue.")</f>
        <v>Les dames avec des drapeaux ont déplacé leurs drapeaux de haut en bas et les faire pivoter pendant que le groupe joue.</v>
      </c>
    </row>
    <row r="12115">
      <c r="A12115" s="4" t="s">
        <v>15240</v>
      </c>
      <c r="B12115" s="4" t="s">
        <v>15241</v>
      </c>
      <c r="C12115" s="5" t="str">
        <f>IFERROR(__xludf.DUMMYFUNCTION("GOOGLETRANSLATE(B12115,""en"",""fr"")"),"Un homme est vu debout à l'extérieur en tenant une corde et en l'attachant autour d'une écorce d'arbre.")</f>
        <v>Un homme est vu debout à l'extérieur en tenant une corde et en l'attachant autour d'une écorce d'arbre.</v>
      </c>
    </row>
    <row r="12116">
      <c r="A12116" s="4" t="s">
        <v>15240</v>
      </c>
      <c r="B12116" s="4" t="s">
        <v>15242</v>
      </c>
      <c r="C12116" s="5" t="str">
        <f>IFERROR(__xludf.DUMMYFUNCTION("GOOGLETRANSLATE(B12116,""en"",""fr"")"),"Il a ensuite des axes le journal sur le sol et le divise en deux.")</f>
        <v>Il a ensuite des axes le journal sur le sol et le divise en deux.</v>
      </c>
    </row>
    <row r="12117">
      <c r="A12117" s="4" t="s">
        <v>15243</v>
      </c>
      <c r="B12117" s="4" t="s">
        <v>15244</v>
      </c>
      <c r="C12117" s="5" t="str">
        <f>IFERROR(__xludf.DUMMYFUNCTION("GOOGLETRANSLATE(B12117,""en"",""fr"")"),"Un homme est montré pointe vers un pneu de vélo et coupe un morceau de fil à l'aide de pinces.")</f>
        <v>Un homme est montré pointe vers un pneu de vélo et coupe un morceau de fil à l'aide de pinces.</v>
      </c>
    </row>
    <row r="12118">
      <c r="A12118" s="4" t="s">
        <v>15243</v>
      </c>
      <c r="B12118" s="6" t="s">
        <v>15245</v>
      </c>
      <c r="C12118" s="5" t="str">
        <f>IFERROR(__xludf.DUMMYFUNCTION("GOOGLETRANSLATE(B12118,""en"",""fr"")"),"Il se déplace ensuite vers des bars et tournant la roue suivie d'un bâton pressant contre le pneu.")</f>
        <v>Il se déplace ensuite vers des bars et tournant la roue suivie d'un bâton pressant contre le pneu.</v>
      </c>
    </row>
    <row r="12119">
      <c r="A12119" s="4" t="s">
        <v>15243</v>
      </c>
      <c r="B12119" s="4" t="s">
        <v>15246</v>
      </c>
      <c r="C12119" s="5" t="str">
        <f>IFERROR(__xludf.DUMMYFUNCTION("GOOGLETRANSLATE(B12119,""en"",""fr"")"),"Il pousse un tube dans le pneu et ajuste les fils à l'aide d'un appareil.")</f>
        <v>Il pousse un tube dans le pneu et ajuste les fils à l'aide d'un appareil.</v>
      </c>
    </row>
    <row r="12120">
      <c r="A12120" s="4" t="s">
        <v>15243</v>
      </c>
      <c r="B12120" s="4" t="s">
        <v>15247</v>
      </c>
      <c r="C12120" s="5" t="str">
        <f>IFERROR(__xludf.DUMMYFUNCTION("GOOGLETRANSLATE(B12120,""en"",""fr"")"),"Il teste soigneusement la roue et assure que le vélo est prêt à partir.")</f>
        <v>Il teste soigneusement la roue et assure que le vélo est prêt à partir.</v>
      </c>
    </row>
    <row r="12121">
      <c r="A12121" s="4" t="s">
        <v>15248</v>
      </c>
      <c r="B12121" s="4" t="s">
        <v>15249</v>
      </c>
      <c r="C12121" s="5" t="str">
        <f>IFERROR(__xludf.DUMMYFUNCTION("GOOGLETRANSLATE(B12121,""en"",""fr"")"),"Une femme parle à une caméra.")</f>
        <v>Une femme parle à une caméra.</v>
      </c>
    </row>
    <row r="12122">
      <c r="A12122" s="4" t="s">
        <v>15248</v>
      </c>
      <c r="B12122" s="4" t="s">
        <v>15250</v>
      </c>
      <c r="C12122" s="5" t="str">
        <f>IFERROR(__xludf.DUMMYFUNCTION("GOOGLETRANSLATE(B12122,""en"",""fr"")"),"Elle ramasse une flûte et commence à jouer.")</f>
        <v>Elle ramasse une flûte et commence à jouer.</v>
      </c>
    </row>
    <row r="12123">
      <c r="A12123" s="4" t="s">
        <v>15248</v>
      </c>
      <c r="B12123" s="4" t="s">
        <v>15251</v>
      </c>
      <c r="C12123" s="5" t="str">
        <f>IFERROR(__xludf.DUMMYFUNCTION("GOOGLETRANSLATE(B12123,""en"",""fr"")"),"Elle pose le conduit sur ses genoux et continue de parler.")</f>
        <v>Elle pose le conduit sur ses genoux et continue de parler.</v>
      </c>
    </row>
    <row r="12124">
      <c r="A12124" s="4" t="s">
        <v>15248</v>
      </c>
      <c r="B12124" s="4" t="s">
        <v>15252</v>
      </c>
      <c r="C12124" s="5" t="str">
        <f>IFERROR(__xludf.DUMMYFUNCTION("GOOGLETRANSLATE(B12124,""en"",""fr"")"),"Elle remet la flûte à sa bouche et continue de jouer.")</f>
        <v>Elle remet la flûte à sa bouche et continue de jouer.</v>
      </c>
    </row>
    <row r="12125">
      <c r="A12125" s="4" t="s">
        <v>15248</v>
      </c>
      <c r="B12125" s="4" t="s">
        <v>15253</v>
      </c>
      <c r="C12125" s="5" t="str">
        <f>IFERROR(__xludf.DUMMYFUNCTION("GOOGLETRANSLATE(B12125,""en"",""fr"")"),"Elle remit la flûte et hoche la tête.")</f>
        <v>Elle remit la flûte et hoche la tête.</v>
      </c>
    </row>
    <row r="12126">
      <c r="A12126" s="4" t="s">
        <v>15248</v>
      </c>
      <c r="B12126" s="4" t="s">
        <v>15254</v>
      </c>
      <c r="C12126" s="5" t="str">
        <f>IFERROR(__xludf.DUMMYFUNCTION("GOOGLETRANSLATE(B12126,""en"",""fr"")"),"Elle remet la flûte à ses lèvres et joue.")</f>
        <v>Elle remet la flûte à ses lèvres et joue.</v>
      </c>
    </row>
    <row r="12127">
      <c r="A12127" s="4" t="s">
        <v>15255</v>
      </c>
      <c r="B12127" s="4" t="s">
        <v>15256</v>
      </c>
      <c r="C12127" s="5" t="str">
        <f>IFERROR(__xludf.DUMMYFUNCTION("GOOGLETRANSLATE(B12127,""en"",""fr"")"),"Une personne skie nautique derrière un bateau.")</f>
        <v>Une personne skie nautique derrière un bateau.</v>
      </c>
    </row>
    <row r="12128">
      <c r="A12128" s="4" t="s">
        <v>15255</v>
      </c>
      <c r="B12128" s="4" t="s">
        <v>15257</v>
      </c>
      <c r="C12128" s="5" t="str">
        <f>IFERROR(__xludf.DUMMYFUNCTION("GOOGLETRANSLATE(B12128,""en"",""fr"")"),"Un autre bateau est vu dans l'eau derrière eux.")</f>
        <v>Un autre bateau est vu dans l'eau derrière eux.</v>
      </c>
    </row>
    <row r="12129">
      <c r="A12129" s="4" t="s">
        <v>15255</v>
      </c>
      <c r="B12129" s="4" t="s">
        <v>15258</v>
      </c>
      <c r="C12129" s="5" t="str">
        <f>IFERROR(__xludf.DUMMYFUNCTION("GOOGLETRANSLATE(B12129,""en"",""fr"")"),"Ils font le tour des cônes jaunes dans l'eau.")</f>
        <v>Ils font le tour des cônes jaunes dans l'eau.</v>
      </c>
    </row>
    <row r="12130">
      <c r="A12130" s="4" t="s">
        <v>15259</v>
      </c>
      <c r="B12130" s="4" t="s">
        <v>15260</v>
      </c>
      <c r="C12130" s="5" t="str">
        <f>IFERROR(__xludf.DUMMYFUNCTION("GOOGLETRANSLATE(B12130,""en"",""fr"")"),"Un homme est vu en marchant dans un champ suivi de plusieurs personnes qui courent en arrière et quatrième.")</f>
        <v>Un homme est vu en marchant dans un champ suivi de plusieurs personnes qui courent en arrière et quatrième.</v>
      </c>
    </row>
    <row r="12131">
      <c r="A12131" s="4" t="s">
        <v>15259</v>
      </c>
      <c r="B12131" s="4" t="s">
        <v>15261</v>
      </c>
      <c r="C12131" s="5" t="str">
        <f>IFERROR(__xludf.DUMMYFUNCTION("GOOGLETRANSLATE(B12131,""en"",""fr"")"),"Les hommes jettent le ballon dans la cour et continuent de monter et descendre sur l'herbe.")</f>
        <v>Les hommes jettent le ballon dans la cour et continuent de monter et descendre sur l'herbe.</v>
      </c>
    </row>
    <row r="12132">
      <c r="A12132" s="4" t="s">
        <v>15262</v>
      </c>
      <c r="B12132" s="4" t="s">
        <v>15263</v>
      </c>
      <c r="C12132" s="5" t="str">
        <f>IFERROR(__xludf.DUMMYFUNCTION("GOOGLETRANSLATE(B12132,""en"",""fr"")"),"Deux paires d'hommes s'apprêtent à se préparer.")</f>
        <v>Deux paires d'hommes s'apprêtent à se préparer.</v>
      </c>
    </row>
    <row r="12133">
      <c r="A12133" s="4" t="s">
        <v>15262</v>
      </c>
      <c r="B12133" s="4" t="s">
        <v>15264</v>
      </c>
      <c r="C12133" s="5" t="str">
        <f>IFERROR(__xludf.DUMMYFUNCTION("GOOGLETRANSLATE(B12133,""en"",""fr"")"),"Les deux paires d'hommes sont vues de boxe.")</f>
        <v>Les deux paires d'hommes sont vues de boxe.</v>
      </c>
    </row>
    <row r="12134">
      <c r="A12134" s="4" t="s">
        <v>15262</v>
      </c>
      <c r="B12134" s="4" t="s">
        <v>15265</v>
      </c>
      <c r="C12134" s="5" t="str">
        <f>IFERROR(__xludf.DUMMYFUNCTION("GOOGLETRANSLATE(B12134,""en"",""fr"")"),"On voit une autre paire d'hommes parler et faire un geste de boxe au loin.")</f>
        <v>On voit une autre paire d'hommes parler et faire un geste de boxe au loin.</v>
      </c>
    </row>
    <row r="12135">
      <c r="A12135" s="4" t="s">
        <v>15262</v>
      </c>
      <c r="B12135" s="4" t="s">
        <v>15266</v>
      </c>
      <c r="C12135" s="5" t="str">
        <f>IFERROR(__xludf.DUMMYFUNCTION("GOOGLETRANSLATE(B12135,""en"",""fr"")"),"La paire principale de boxeurs fait une courte pause.")</f>
        <v>La paire principale de boxeurs fait une courte pause.</v>
      </c>
    </row>
    <row r="12136">
      <c r="A12136" s="4" t="s">
        <v>15262</v>
      </c>
      <c r="B12136" s="4" t="s">
        <v>15267</v>
      </c>
      <c r="C12136" s="5" t="str">
        <f>IFERROR(__xludf.DUMMYFUNCTION("GOOGLETRANSLATE(B12136,""en"",""fr"")"),"Tous les groupes arrêtent la boxe et commencent à parler.")</f>
        <v>Tous les groupes arrêtent la boxe et commencent à parler.</v>
      </c>
    </row>
    <row r="12137">
      <c r="A12137" s="4" t="s">
        <v>15262</v>
      </c>
      <c r="B12137" s="4" t="s">
        <v>15268</v>
      </c>
      <c r="C12137" s="5" t="str">
        <f>IFERROR(__xludf.DUMMYFUNCTION("GOOGLETRANSLATE(B12137,""en"",""fr"")"),"L'un des hommes commence à accrocher sur une corde et se balançant vers l'avant et en arrière.")</f>
        <v>L'un des hommes commence à accrocher sur une corde et se balançant vers l'avant et en arrière.</v>
      </c>
    </row>
    <row r="12138">
      <c r="A12138" s="4" t="s">
        <v>15269</v>
      </c>
      <c r="B12138" s="4" t="s">
        <v>15270</v>
      </c>
      <c r="C12138" s="5" t="str">
        <f>IFERROR(__xludf.DUMMYFUNCTION("GOOGLETRANSLATE(B12138,""en"",""fr"")"),"Une femme vêtue d'un débardeur noir et de collants noirs fait des craquements d'estomac sur un tapis.")</f>
        <v>Une femme vêtue d'un débardeur noir et de collants noirs fait des craquements d'estomac sur un tapis.</v>
      </c>
    </row>
    <row r="12139">
      <c r="A12139" s="4" t="s">
        <v>15269</v>
      </c>
      <c r="B12139" s="4" t="s">
        <v>15271</v>
      </c>
      <c r="C12139" s="5" t="str">
        <f>IFERROR(__xludf.DUMMYFUNCTION("GOOGLETRANSLATE(B12139,""en"",""fr"")"),"Elle fait de l'exercice sur un parquet dans le gymnase.")</f>
        <v>Elle fait de l'exercice sur un parquet dans le gymnase.</v>
      </c>
    </row>
    <row r="12140">
      <c r="A12140" s="4" t="s">
        <v>15269</v>
      </c>
      <c r="B12140" s="4" t="s">
        <v>15272</v>
      </c>
      <c r="C12140" s="5" t="str">
        <f>IFERROR(__xludf.DUMMYFUNCTION("GOOGLETRANSLATE(B12140,""en"",""fr"")"),"Elle continue de faire des craquements à l'estomac.")</f>
        <v>Elle continue de faire des craquements à l'estomac.</v>
      </c>
    </row>
    <row r="12141">
      <c r="A12141" s="4" t="s">
        <v>15273</v>
      </c>
      <c r="B12141" s="4" t="s">
        <v>15274</v>
      </c>
      <c r="C12141" s="5" t="str">
        <f>IFERROR(__xludf.DUMMYFUNCTION("GOOGLETRANSLATE(B12141,""en"",""fr"")"),"Une introduction mène à un gros plan d'une table de football et en panorant autour de plusieurs spécifications de la table.")</f>
        <v>Une introduction mène à un gros plan d'une table de football et en panorant autour de plusieurs spécifications de la table.</v>
      </c>
    </row>
    <row r="12142">
      <c r="A12142" s="4" t="s">
        <v>15273</v>
      </c>
      <c r="B12142" s="6" t="s">
        <v>15275</v>
      </c>
      <c r="C12142" s="5" t="str">
        <f>IFERROR(__xludf.DUMMYFUNCTION("GOOGLETRANSLATE(B12142,""en"",""fr"")"),"Deux personnes sont vues jouer les unes avec les autres pendant que la caméra montre la table à plusieurs endroits et que les garçons se chiffrent les uns les autres.")</f>
        <v>Deux personnes sont vues jouer les unes avec les autres pendant que la caméra montre la table à plusieurs endroits et que les garçons se chiffrent les uns les autres.</v>
      </c>
    </row>
    <row r="12143">
      <c r="A12143" s="4" t="s">
        <v>15276</v>
      </c>
      <c r="B12143" s="4" t="s">
        <v>15277</v>
      </c>
      <c r="C12143" s="5" t="str">
        <f>IFERROR(__xludf.DUMMYFUNCTION("GOOGLETRANSLATE(B12143,""en"",""fr"")"),"Diverses images de personnes peignant sont présentées à l'aide de plusieurs outils sur les murs durs.")</f>
        <v>Diverses images de personnes peignant sont présentées à l'aide de plusieurs outils sur les murs durs.</v>
      </c>
    </row>
    <row r="12144">
      <c r="A12144" s="4" t="s">
        <v>15276</v>
      </c>
      <c r="B12144" s="4" t="s">
        <v>15278</v>
      </c>
      <c r="C12144" s="5" t="str">
        <f>IFERROR(__xludf.DUMMYFUNCTION("GOOGLETRANSLATE(B12144,""en"",""fr"")"),"Plus d'images sont montrées des personnes qui plâtrsent avec diverses images de texte indiquées à l'intérieur.")</f>
        <v>Plus d'images sont montrées des personnes qui plâtrsent avec diverses images de texte indiquées à l'intérieur.</v>
      </c>
    </row>
    <row r="12145">
      <c r="A12145" s="4" t="s">
        <v>15279</v>
      </c>
      <c r="B12145" s="4" t="s">
        <v>15280</v>
      </c>
      <c r="C12145" s="5" t="str">
        <f>IFERROR(__xludf.DUMMYFUNCTION("GOOGLETRANSLATE(B12145,""en"",""fr"")"),"Un homme assemble un vélo sur une table.")</f>
        <v>Un homme assemble un vélo sur une table.</v>
      </c>
    </row>
    <row r="12146">
      <c r="A12146" s="4" t="s">
        <v>15279</v>
      </c>
      <c r="B12146" s="4" t="s">
        <v>15281</v>
      </c>
      <c r="C12146" s="5" t="str">
        <f>IFERROR(__xludf.DUMMYFUNCTION("GOOGLETRANSLATE(B12146,""en"",""fr"")"),"Il met des roues d'entraînement sur la roue arrière du vélo.")</f>
        <v>Il met des roues d'entraînement sur la roue arrière du vélo.</v>
      </c>
    </row>
    <row r="12147">
      <c r="A12147" s="4" t="s">
        <v>15279</v>
      </c>
      <c r="B12147" s="4" t="s">
        <v>15282</v>
      </c>
      <c r="C12147" s="5" t="str">
        <f>IFERROR(__xludf.DUMMYFUNCTION("GOOGLETRANSLATE(B12147,""en"",""fr"")"),"Il met le pneu avant sur le vélo.")</f>
        <v>Il met le pneu avant sur le vélo.</v>
      </c>
    </row>
    <row r="12148">
      <c r="A12148" s="4" t="s">
        <v>15279</v>
      </c>
      <c r="B12148" s="4" t="s">
        <v>15283</v>
      </c>
      <c r="C12148" s="5" t="str">
        <f>IFERROR(__xludf.DUMMYFUNCTION("GOOGLETRANSLATE(B12148,""en"",""fr"")"),"Il met le guidon sur le vélo.")</f>
        <v>Il met le guidon sur le vélo.</v>
      </c>
    </row>
    <row r="12149">
      <c r="A12149" s="4" t="s">
        <v>15279</v>
      </c>
      <c r="B12149" s="4" t="s">
        <v>15284</v>
      </c>
      <c r="C12149" s="5" t="str">
        <f>IFERROR(__xludf.DUMMYFUNCTION("GOOGLETRANSLATE(B12149,""en"",""fr"")"),"Il met les pédales sur le vélo.")</f>
        <v>Il met les pédales sur le vélo.</v>
      </c>
    </row>
    <row r="12150">
      <c r="A12150" s="4" t="s">
        <v>15279</v>
      </c>
      <c r="B12150" s="4" t="s">
        <v>15285</v>
      </c>
      <c r="C12150" s="5" t="str">
        <f>IFERROR(__xludf.DUMMYFUNCTION("GOOGLETRANSLATE(B12150,""en"",""fr"")"),"Il met le siège sur le vélo.")</f>
        <v>Il met le siège sur le vélo.</v>
      </c>
    </row>
    <row r="12151">
      <c r="A12151" s="4" t="s">
        <v>15286</v>
      </c>
      <c r="B12151" s="4" t="s">
        <v>15287</v>
      </c>
      <c r="C12151" s="5" t="str">
        <f>IFERROR(__xludf.DUMMYFUNCTION("GOOGLETRANSLATE(B12151,""en"",""fr"")"),"Un homme balance une batte de baseball.")</f>
        <v>Un homme balance une batte de baseball.</v>
      </c>
    </row>
    <row r="12152">
      <c r="A12152" s="4" t="s">
        <v>15286</v>
      </c>
      <c r="B12152" s="4" t="s">
        <v>15288</v>
      </c>
      <c r="C12152" s="5" t="str">
        <f>IFERROR(__xludf.DUMMYFUNCTION("GOOGLETRANSLATE(B12152,""en"",""fr"")"),"Il frappe une balle et il passe sur un toit.")</f>
        <v>Il frappe une balle et il passe sur un toit.</v>
      </c>
    </row>
    <row r="12153">
      <c r="A12153" s="4" t="s">
        <v>15286</v>
      </c>
      <c r="B12153" s="4" t="s">
        <v>15289</v>
      </c>
      <c r="C12153" s="5" t="str">
        <f>IFERROR(__xludf.DUMMYFUNCTION("GOOGLETRANSLATE(B12153,""en"",""fr"")"),"Un homme court et lance une balle.")</f>
        <v>Un homme court et lance une balle.</v>
      </c>
    </row>
    <row r="12154">
      <c r="A12154" s="4" t="s">
        <v>15290</v>
      </c>
      <c r="B12154" s="4" t="s">
        <v>15291</v>
      </c>
      <c r="C12154" s="5" t="str">
        <f>IFERROR(__xludf.DUMMYFUNCTION("GOOGLETRANSLATE(B12154,""en"",""fr"")"),"Une femme verse des coups d'alcool dans un verre de glace.")</f>
        <v>Une femme verse des coups d'alcool dans un verre de glace.</v>
      </c>
    </row>
    <row r="12155">
      <c r="A12155" s="4" t="s">
        <v>15290</v>
      </c>
      <c r="B12155" s="4" t="s">
        <v>15292</v>
      </c>
      <c r="C12155" s="5" t="str">
        <f>IFERROR(__xludf.DUMMYFUNCTION("GOOGLETRANSLATE(B12155,""en"",""fr"")"),"Elle secoue le verre et la posa.")</f>
        <v>Elle secoue le verre et la posa.</v>
      </c>
    </row>
    <row r="12156">
      <c r="A12156" s="4" t="s">
        <v>15290</v>
      </c>
      <c r="B12156" s="4" t="s">
        <v>15293</v>
      </c>
      <c r="C12156" s="5" t="str">
        <f>IFERROR(__xludf.DUMMYFUNCTION("GOOGLETRANSLATE(B12156,""en"",""fr"")"),"Elle le verse ensuite dans un autre verre et colle une paille dedans.")</f>
        <v>Elle le verse ensuite dans un autre verre et colle une paille dedans.</v>
      </c>
    </row>
    <row r="12157">
      <c r="A12157" s="4" t="s">
        <v>15290</v>
      </c>
      <c r="B12157" s="4" t="s">
        <v>15294</v>
      </c>
      <c r="C12157" s="5" t="str">
        <f>IFERROR(__xludf.DUMMYFUNCTION("GOOGLETRANSLATE(B12157,""en"",""fr"")"),"Elle prend la boisson en parlant.")</f>
        <v>Elle prend la boisson en parlant.</v>
      </c>
    </row>
    <row r="12158">
      <c r="A12158" s="4" t="s">
        <v>15295</v>
      </c>
      <c r="B12158" s="6" t="s">
        <v>15296</v>
      </c>
      <c r="C12158" s="5" t="str">
        <f>IFERROR(__xludf.DUMMYFUNCTION("GOOGLETRANSLATE(B12158,""en"",""fr"")"),"Deux groupes d'hommes portant des uniformes, un avec des chemises sombres et une avec des chemises blanches, jouent sur un terrain de volleyball intérieur.")</f>
        <v>Deux groupes d'hommes portant des uniformes, un avec des chemises sombres et une avec des chemises blanches, jouent sur un terrain de volleyball intérieur.</v>
      </c>
    </row>
    <row r="12159">
      <c r="A12159" s="4" t="s">
        <v>15295</v>
      </c>
      <c r="B12159" s="4" t="s">
        <v>15297</v>
      </c>
      <c r="C12159" s="5" t="str">
        <f>IFERROR(__xludf.DUMMYFUNCTION("GOOGLETRANSLATE(B12159,""en"",""fr"")"),"L'homme dans le maillot plus sombre portant le numéro 17 plonge au sol pour sauver le ballon.")</f>
        <v>L'homme dans le maillot plus sombre portant le numéro 17 plonge au sol pour sauver le ballon.</v>
      </c>
    </row>
    <row r="12160">
      <c r="A12160" s="4" t="s">
        <v>15295</v>
      </c>
      <c r="B12160" s="6" t="s">
        <v>15298</v>
      </c>
      <c r="C12160" s="5" t="str">
        <f>IFERROR(__xludf.DUMMYFUNCTION("GOOGLETRANSLATE(B12160,""en"",""fr"")"),"Un membre de l'équipe portant une chemise sombre augmente le ballon, mais il sort des limites et l'équipe avec les chemises plus légères encouragera tandis que le gars qui a mis le ballon hors des limites se penche en déception.")</f>
        <v>Un membre de l'équipe portant une chemise sombre augmente le ballon, mais il sort des limites et l'équipe avec les chemises plus légères encouragera tandis que le gars qui a mis le ballon hors des limites se penche en déception.</v>
      </c>
    </row>
    <row r="12161">
      <c r="A12161" s="4" t="s">
        <v>15299</v>
      </c>
      <c r="B12161" s="4" t="s">
        <v>15300</v>
      </c>
      <c r="C12161" s="5" t="str">
        <f>IFERROR(__xludf.DUMMYFUNCTION("GOOGLETRANSLATE(B12161,""en"",""fr"")"),"Deux aspirateurs un plus haut et un est plus court est le spectacle.")</f>
        <v>Deux aspirateurs un plus haut et un est plus court est le spectacle.</v>
      </c>
    </row>
    <row r="12162">
      <c r="A12162" s="4" t="s">
        <v>15299</v>
      </c>
      <c r="B12162" s="6" t="s">
        <v>15301</v>
      </c>
      <c r="C12162" s="5" t="str">
        <f>IFERROR(__xludf.DUMMYFUNCTION("GOOGLETRANSLATE(B12162,""en"",""fr"")"),"L'aspirateur est utilisé sur le tapis, le plancher en bois, au coin, sous la table et sur le côté de la poubelle puis le tapis.")</f>
        <v>L'aspirateur est utilisé sur le tapis, le plancher en bois, au coin, sous la table et sur le côté de la poubelle puis le tapis.</v>
      </c>
    </row>
    <row r="12163">
      <c r="A12163" s="4" t="s">
        <v>15299</v>
      </c>
      <c r="B12163" s="6" t="s">
        <v>15302</v>
      </c>
      <c r="C12163" s="5" t="str">
        <f>IFERROR(__xludf.DUMMYFUNCTION("GOOGLETRANSLATE(B12163,""en"",""fr"")"),"Une main retire un tube, a utilisé le tube pour l'aspirateur dans les escaliers et le coin du plafond, puis une main a sorti le tube et a jeté la poussière du tube transparent.")</f>
        <v>Une main retire un tube, a utilisé le tube pour l'aspirateur dans les escaliers et le coin du plafond, puis une main a sorti le tube et a jeté la poussière du tube transparent.</v>
      </c>
    </row>
    <row r="12164">
      <c r="A12164" s="4" t="s">
        <v>15299</v>
      </c>
      <c r="B12164" s="4" t="s">
        <v>15303</v>
      </c>
      <c r="C12164" s="5" t="str">
        <f>IFERROR(__xludf.DUMMYFUNCTION("GOOGLETRANSLATE(B12164,""en"",""fr"")"),"Une femme porte le vide et la met dans le stockage.")</f>
        <v>Une femme porte le vide et la met dans le stockage.</v>
      </c>
    </row>
    <row r="12165">
      <c r="A12165" s="4" t="s">
        <v>15299</v>
      </c>
      <c r="B12165" s="4" t="s">
        <v>15304</v>
      </c>
      <c r="C12165" s="5" t="str">
        <f>IFERROR(__xludf.DUMMYFUNCTION("GOOGLETRANSLATE(B12165,""en"",""fr"")"),"Une femme marche à l'usine, puis une personne tire le vide dans une feuille blanche.")</f>
        <v>Une femme marche à l'usine, puis une personne tire le vide dans une feuille blanche.</v>
      </c>
    </row>
    <row r="12166">
      <c r="A12166" s="4" t="s">
        <v>15305</v>
      </c>
      <c r="B12166" s="4" t="s">
        <v>15306</v>
      </c>
      <c r="C12166" s="5" t="str">
        <f>IFERROR(__xludf.DUMMYFUNCTION("GOOGLETRANSLATE(B12166,""en"",""fr"")"),"Une personne fout un papier brun.")</f>
        <v>Une personne fout un papier brun.</v>
      </c>
    </row>
    <row r="12167">
      <c r="A12167" s="4" t="s">
        <v>15305</v>
      </c>
      <c r="B12167" s="4" t="s">
        <v>15307</v>
      </c>
      <c r="C12167" s="5" t="str">
        <f>IFERROR(__xludf.DUMMYFUNCTION("GOOGLETRANSLATE(B12167,""en"",""fr"")"),"La personne retourne le fer autour et continue de repasser.")</f>
        <v>La personne retourne le fer autour et continue de repasser.</v>
      </c>
    </row>
    <row r="12168">
      <c r="A12168" s="4" t="s">
        <v>15305</v>
      </c>
      <c r="B12168" s="4" t="s">
        <v>15308</v>
      </c>
      <c r="C12168" s="5" t="str">
        <f>IFERROR(__xludf.DUMMYFUNCTION("GOOGLETRANSLATE(B12168,""en"",""fr"")"),"Le papier repoussé et le dépose.")</f>
        <v>Le papier repoussé et le dépose.</v>
      </c>
    </row>
    <row r="12169">
      <c r="A12169" s="4" t="s">
        <v>15305</v>
      </c>
      <c r="B12169" s="4" t="s">
        <v>15309</v>
      </c>
      <c r="C12169" s="5" t="str">
        <f>IFERROR(__xludf.DUMMYFUNCTION("GOOGLETRANSLATE(B12169,""en"",""fr"")"),"La personne quitte le fer sur un nouveau papier brun.")</f>
        <v>La personne quitte le fer sur un nouveau papier brun.</v>
      </c>
    </row>
    <row r="12170">
      <c r="A12170" s="4" t="s">
        <v>15310</v>
      </c>
      <c r="B12170" s="4" t="s">
        <v>15311</v>
      </c>
      <c r="C12170" s="5" t="str">
        <f>IFERROR(__xludf.DUMMYFUNCTION("GOOGLETRANSLATE(B12170,""en"",""fr"")"),"Une foule regarde plusieurs coureurs dans un passé de jogging.")</f>
        <v>Une foule regarde plusieurs coureurs dans un passé de jogging.</v>
      </c>
    </row>
    <row r="12171">
      <c r="A12171" s="4" t="s">
        <v>15310</v>
      </c>
      <c r="B12171" s="4" t="s">
        <v>15312</v>
      </c>
      <c r="C12171" s="5" t="str">
        <f>IFERROR(__xludf.DUMMYFUNCTION("GOOGLETRANSLATE(B12171,""en"",""fr"")"),"Ils continuent de faire du jogging, arrivant à la fin de la course.")</f>
        <v>Ils continuent de faire du jogging, arrivant à la fin de la course.</v>
      </c>
    </row>
    <row r="12172">
      <c r="A12172" s="4" t="s">
        <v>15313</v>
      </c>
      <c r="B12172" s="4" t="s">
        <v>15314</v>
      </c>
      <c r="C12172" s="5" t="str">
        <f>IFERROR(__xludf.DUMMYFUNCTION("GOOGLETRANSLATE(B12172,""en"",""fr"")"),"Un chat est sur les genoux d'une femme dans la salle de bain.")</f>
        <v>Un chat est sur les genoux d'une femme dans la salle de bain.</v>
      </c>
    </row>
    <row r="12173">
      <c r="A12173" s="4" t="s">
        <v>15313</v>
      </c>
      <c r="B12173" s="4" t="s">
        <v>15315</v>
      </c>
      <c r="C12173" s="5" t="str">
        <f>IFERROR(__xludf.DUMMYFUNCTION("GOOGLETRANSLATE(B12173,""en"",""fr"")"),"Elle tire une serviette sur la tête du chat.")</f>
        <v>Elle tire une serviette sur la tête du chat.</v>
      </c>
    </row>
    <row r="12174">
      <c r="A12174" s="4" t="s">
        <v>15313</v>
      </c>
      <c r="B12174" s="4" t="s">
        <v>15316</v>
      </c>
      <c r="C12174" s="5" t="str">
        <f>IFERROR(__xludf.DUMMYFUNCTION("GOOGLETRANSLATE(B12174,""en"",""fr"")"),"Elle essaie ensuite doucement de couper ses griffes une à la fois.")</f>
        <v>Elle essaie ensuite doucement de couper ses griffes une à la fois.</v>
      </c>
    </row>
    <row r="12175">
      <c r="A12175" s="4" t="s">
        <v>15317</v>
      </c>
      <c r="B12175" s="4" t="s">
        <v>15318</v>
      </c>
      <c r="C12175" s="5" t="str">
        <f>IFERROR(__xludf.DUMMYFUNCTION("GOOGLETRANSLATE(B12175,""en"",""fr"")"),"Une femme frotte une chaise blanche avec une éponge jaune.")</f>
        <v>Une femme frotte une chaise blanche avec une éponge jaune.</v>
      </c>
    </row>
    <row r="12176">
      <c r="A12176" s="4" t="s">
        <v>15317</v>
      </c>
      <c r="B12176" s="4" t="s">
        <v>15319</v>
      </c>
      <c r="C12176" s="5" t="str">
        <f>IFERROR(__xludf.DUMMYFUNCTION("GOOGLETRANSLATE(B12176,""en"",""fr"")"),"Elle verse maintenant quelque chose sur un chiffon et lave une table blanche.")</f>
        <v>Elle verse maintenant quelque chose sur un chiffon et lave une table blanche.</v>
      </c>
    </row>
    <row r="12177">
      <c r="A12177" s="4" t="s">
        <v>15317</v>
      </c>
      <c r="B12177" s="4" t="s">
        <v>15320</v>
      </c>
      <c r="C12177" s="5" t="str">
        <f>IFERROR(__xludf.DUMMYFUNCTION("GOOGLETRANSLATE(B12177,""en"",""fr"")"),"Elle est en train de peindre la chaise et la table qu'elle vient de laver.")</f>
        <v>Elle est en train de peindre la chaise et la table qu'elle vient de laver.</v>
      </c>
    </row>
    <row r="12178">
      <c r="A12178" s="4" t="s">
        <v>15317</v>
      </c>
      <c r="B12178" s="4" t="s">
        <v>15321</v>
      </c>
      <c r="C12178" s="5" t="str">
        <f>IFERROR(__xludf.DUMMYFUNCTION("GOOGLETRANSLATE(B12178,""en"",""fr"")"),"Le mobilier fini est affiché.")</f>
        <v>Le mobilier fini est affiché.</v>
      </c>
    </row>
    <row r="12179">
      <c r="A12179" s="4" t="s">
        <v>15322</v>
      </c>
      <c r="B12179" s="4" t="s">
        <v>15323</v>
      </c>
      <c r="C12179" s="5" t="str">
        <f>IFERROR(__xludf.DUMMYFUNCTION("GOOGLETRANSLATE(B12179,""en"",""fr"")"),"Un jeune enfant est assis à jouer sur une batterie.")</f>
        <v>Un jeune enfant est assis à jouer sur une batterie.</v>
      </c>
    </row>
    <row r="12180">
      <c r="A12180" s="4" t="s">
        <v>15322</v>
      </c>
      <c r="B12180" s="4" t="s">
        <v>15324</v>
      </c>
      <c r="C12180" s="5" t="str">
        <f>IFERROR(__xludf.DUMMYFUNCTION("GOOGLETRANSLATE(B12180,""en"",""fr"")"),"Utiliser son pied pour la base et tambour sur la caisse claire comme un naturel.")</f>
        <v>Utiliser son pied pour la base et tambour sur la caisse claire comme un naturel.</v>
      </c>
    </row>
    <row r="12181">
      <c r="A12181" s="4" t="s">
        <v>15322</v>
      </c>
      <c r="B12181" s="4" t="s">
        <v>15325</v>
      </c>
      <c r="C12181" s="5" t="str">
        <f>IFERROR(__xludf.DUMMYFUNCTION("GOOGLETRANSLATE(B12181,""en"",""fr"")"),"Une femme est sur un piano jouant avec l'enfant.")</f>
        <v>Une femme est sur un piano jouant avec l'enfant.</v>
      </c>
    </row>
    <row r="12182">
      <c r="A12182" s="4" t="s">
        <v>15322</v>
      </c>
      <c r="B12182" s="4" t="s">
        <v>15326</v>
      </c>
      <c r="C12182" s="5" t="str">
        <f>IFERROR(__xludf.DUMMYFUNCTION("GOOGLETRANSLATE(B12182,""en"",""fr"")"),"Ils ont un petit public assis et les regardent jouer.")</f>
        <v>Ils ont un petit public assis et les regardent jouer.</v>
      </c>
    </row>
    <row r="12183">
      <c r="A12183" s="4" t="s">
        <v>15327</v>
      </c>
      <c r="B12183" s="4" t="s">
        <v>15328</v>
      </c>
      <c r="C12183" s="5" t="str">
        <f>IFERROR(__xludf.DUMMYFUNCTION("GOOGLETRANSLATE(B12183,""en"",""fr"")"),"Un homme vêtu d'un uniforme bleu se bat contre un homme vêtu d'un uniforme entièrement rouge.")</f>
        <v>Un homme vêtu d'un uniforme bleu se bat contre un homme vêtu d'un uniforme entièrement rouge.</v>
      </c>
    </row>
    <row r="12184">
      <c r="A12184" s="4" t="s">
        <v>15327</v>
      </c>
      <c r="B12184" s="4" t="s">
        <v>15329</v>
      </c>
      <c r="C12184" s="5" t="str">
        <f>IFERROR(__xludf.DUMMYFUNCTION("GOOGLETRANSLATE(B12184,""en"",""fr"")"),"L'homme dans le rouge, le ramasse et le laisse tomber sur le match de lutte.")</f>
        <v>L'homme dans le rouge, le ramasse et le laisse tomber sur le match de lutte.</v>
      </c>
    </row>
    <row r="12185">
      <c r="A12185" s="4" t="s">
        <v>15327</v>
      </c>
      <c r="B12185" s="4" t="s">
        <v>15330</v>
      </c>
      <c r="C12185" s="5" t="str">
        <f>IFERROR(__xludf.DUMMYFUNCTION("GOOGLETRANSLATE(B12185,""en"",""fr"")"),"Après, l'arbitre tombe et frappe le tapis en comptant la fin du match.")</f>
        <v>Après, l'arbitre tombe et frappe le tapis en comptant la fin du match.</v>
      </c>
    </row>
    <row r="12186">
      <c r="A12186" s="4" t="s">
        <v>15331</v>
      </c>
      <c r="B12186" s="4" t="s">
        <v>15332</v>
      </c>
      <c r="C12186" s="5" t="str">
        <f>IFERROR(__xludf.DUMMYFUNCTION("GOOGLETRANSLATE(B12186,""en"",""fr"")"),"Une jeune femme parle alors qu'elle sourit.")</f>
        <v>Une jeune femme parle alors qu'elle sourit.</v>
      </c>
    </row>
    <row r="12187">
      <c r="A12187" s="4" t="s">
        <v>15331</v>
      </c>
      <c r="B12187" s="4" t="s">
        <v>15333</v>
      </c>
      <c r="C12187" s="5" t="str">
        <f>IFERROR(__xludf.DUMMYFUNCTION("GOOGLETRANSLATE(B12187,""en"",""fr"")"),"Elle serre le côté de son œil droit et sort une lentille de contact.")</f>
        <v>Elle serre le côté de son œil droit et sort une lentille de contact.</v>
      </c>
    </row>
    <row r="12188">
      <c r="A12188" s="4" t="s">
        <v>15331</v>
      </c>
      <c r="B12188" s="4" t="s">
        <v>15334</v>
      </c>
      <c r="C12188" s="5" t="str">
        <f>IFERROR(__xludf.DUMMYFUNCTION("GOOGLETRANSLATE(B12188,""en"",""fr"")"),"Elle se déplace sur son œil gauche et sort une lentille de contact.")</f>
        <v>Elle se déplace sur son œil gauche et sort une lentille de contact.</v>
      </c>
    </row>
    <row r="12189">
      <c r="A12189" s="4" t="s">
        <v>15335</v>
      </c>
      <c r="B12189" s="4" t="s">
        <v>15336</v>
      </c>
      <c r="C12189" s="5" t="str">
        <f>IFERROR(__xludf.DUMMYFUNCTION("GOOGLETRANSLATE(B12189,""en"",""fr"")"),"Un groupe de joueuses marche sur un terrain derrière leur entraîneur.")</f>
        <v>Un groupe de joueuses marche sur un terrain derrière leur entraîneur.</v>
      </c>
    </row>
    <row r="12190">
      <c r="A12190" s="4" t="s">
        <v>15335</v>
      </c>
      <c r="B12190" s="4" t="s">
        <v>15337</v>
      </c>
      <c r="C12190" s="5" t="str">
        <f>IFERROR(__xludf.DUMMYFUNCTION("GOOGLETRANSLATE(B12190,""en"",""fr"")"),"Ils s'engagent dans un match de crosse, se battant sur le ballon avec leurs chauves-souris.")</f>
        <v>Ils s'engagent dans un match de crosse, se battant sur le ballon avec leurs chauves-souris.</v>
      </c>
    </row>
    <row r="12191">
      <c r="A12191" s="4" t="s">
        <v>15335</v>
      </c>
      <c r="B12191" s="4" t="s">
        <v>15338</v>
      </c>
      <c r="C12191" s="5" t="str">
        <f>IFERROR(__xludf.DUMMYFUNCTION("GOOGLETRANSLATE(B12191,""en"",""fr"")"),"Les filles célèbrent leur victoire avec des fleurs et des câlins.")</f>
        <v>Les filles célèbrent leur victoire avec des fleurs et des câlins.</v>
      </c>
    </row>
    <row r="12192">
      <c r="A12192" s="4" t="s">
        <v>15339</v>
      </c>
      <c r="B12192" s="4" t="s">
        <v>15340</v>
      </c>
      <c r="C12192" s="5" t="str">
        <f>IFERROR(__xludf.DUMMYFUNCTION("GOOGLETRANSLATE(B12192,""en"",""fr"")"),"Une gymnaste est vue debout avec ses bras et saute sur une planche.")</f>
        <v>Une gymnaste est vue debout avec ses bras et saute sur une planche.</v>
      </c>
    </row>
    <row r="12193">
      <c r="A12193" s="4" t="s">
        <v>15339</v>
      </c>
      <c r="B12193" s="4" t="s">
        <v>15341</v>
      </c>
      <c r="C12193" s="5" t="str">
        <f>IFERROR(__xludf.DUMMYFUNCTION("GOOGLETRANSLATE(B12193,""en"",""fr"")"),"Il commence ensuite à se tourner pendant que les juges regardent sur les côtés.")</f>
        <v>Il commence ensuite à se tourner pendant que les juges regardent sur les côtés.</v>
      </c>
    </row>
    <row r="12194">
      <c r="A12194" s="4" t="s">
        <v>15339</v>
      </c>
      <c r="B12194" s="4" t="s">
        <v>15342</v>
      </c>
      <c r="C12194" s="5" t="str">
        <f>IFERROR(__xludf.DUMMYFUNCTION("GOOGLETRANSLATE(B12194,""en"",""fr"")"),"Il continue sa routine et saute les bras.")</f>
        <v>Il continue sa routine et saute les bras.</v>
      </c>
    </row>
    <row r="12195">
      <c r="A12195" s="4" t="s">
        <v>15343</v>
      </c>
      <c r="B12195" s="6" t="s">
        <v>15344</v>
      </c>
      <c r="C12195" s="5" t="str">
        <f>IFERROR(__xludf.DUMMYFUNCTION("GOOGLETRANSLATE(B12195,""en"",""fr"")"),"Un nouveau segment mène à des clips d'une femme parlant à la caméra et en tenant un arc et une flèche.")</f>
        <v>Un nouveau segment mène à des clips d'une femme parlant à la caméra et en tenant un arc et une flèche.</v>
      </c>
    </row>
    <row r="12196">
      <c r="A12196" s="4" t="s">
        <v>15343</v>
      </c>
      <c r="B12196" s="4" t="s">
        <v>15345</v>
      </c>
      <c r="C12196" s="5" t="str">
        <f>IFERROR(__xludf.DUMMYFUNCTION("GOOGLETRANSLATE(B12196,""en"",""fr"")"),"La fille tire sur l'arc tout en parlant à la caméra et en pliant l'arc.")</f>
        <v>La fille tire sur l'arc tout en parlant à la caméra et en pliant l'arc.</v>
      </c>
    </row>
    <row r="12197">
      <c r="A12197" s="4" t="s">
        <v>15343</v>
      </c>
      <c r="B12197" s="4" t="s">
        <v>15346</v>
      </c>
      <c r="C12197" s="5" t="str">
        <f>IFERROR(__xludf.DUMMYFUNCTION("GOOGLETRANSLATE(B12197,""en"",""fr"")"),"Elle continue de parler tout en utilisant ses mains et en montrant des photos à l'appareil photo.")</f>
        <v>Elle continue de parler tout en utilisant ses mains et en montrant des photos à l'appareil photo.</v>
      </c>
    </row>
    <row r="12198">
      <c r="A12198" s="4" t="s">
        <v>15347</v>
      </c>
      <c r="B12198" s="4" t="s">
        <v>15348</v>
      </c>
      <c r="C12198" s="5" t="str">
        <f>IFERROR(__xludf.DUMMYFUNCTION("GOOGLETRANSLATE(B12198,""en"",""fr"")"),"Une fille danse alors qu'elle s'assoit dans un stand.")</f>
        <v>Une fille danse alors qu'elle s'assoit dans un stand.</v>
      </c>
    </row>
    <row r="12199">
      <c r="A12199" s="4" t="s">
        <v>15347</v>
      </c>
      <c r="B12199" s="4" t="s">
        <v>15349</v>
      </c>
      <c r="C12199" s="5" t="str">
        <f>IFERROR(__xludf.DUMMYFUNCTION("GOOGLETRANSLATE(B12199,""en"",""fr"")"),"La fille mélange les ingrédients dans un pot.")</f>
        <v>La fille mélange les ingrédients dans un pot.</v>
      </c>
    </row>
    <row r="12200">
      <c r="A12200" s="4" t="s">
        <v>15347</v>
      </c>
      <c r="B12200" s="4" t="s">
        <v>15350</v>
      </c>
      <c r="C12200" s="5" t="str">
        <f>IFERROR(__xludf.DUMMYFUNCTION("GOOGLETRANSLATE(B12200,""en"",""fr"")"),"La fille ajoute des ingrédients séchés au pot.")</f>
        <v>La fille ajoute des ingrédients séchés au pot.</v>
      </c>
    </row>
    <row r="12201">
      <c r="A12201" s="4" t="s">
        <v>15347</v>
      </c>
      <c r="B12201" s="4" t="s">
        <v>15351</v>
      </c>
      <c r="C12201" s="5" t="str">
        <f>IFERROR(__xludf.DUMMYFUNCTION("GOOGLETRANSLATE(B12201,""en"",""fr"")"),"La fille ajoute des tomates et des œufs d'une assiette au pot.")</f>
        <v>La fille ajoute des tomates et des œufs d'une assiette au pot.</v>
      </c>
    </row>
    <row r="12202">
      <c r="A12202" s="4" t="s">
        <v>15347</v>
      </c>
      <c r="B12202" s="4" t="s">
        <v>15352</v>
      </c>
      <c r="C12202" s="5" t="str">
        <f>IFERROR(__xludf.DUMMYFUNCTION("GOOGLETRANSLATE(B12202,""en"",""fr"")"),"Les filles agitent au revoir et se penchent sur le stand.")</f>
        <v>Les filles agitent au revoir et se penchent sur le stand.</v>
      </c>
    </row>
    <row r="12203">
      <c r="A12203" s="4" t="s">
        <v>15353</v>
      </c>
      <c r="B12203" s="4" t="s">
        <v>15354</v>
      </c>
      <c r="C12203" s="5" t="str">
        <f>IFERROR(__xludf.DUMMYFUNCTION("GOOGLETRANSLATE(B12203,""en"",""fr"")"),"Il y a un cheval brun attaché à l'extérieur d'un club de polo.")</f>
        <v>Il y a un cheval brun attaché à l'extérieur d'un club de polo.</v>
      </c>
    </row>
    <row r="12204">
      <c r="A12204" s="4" t="s">
        <v>15353</v>
      </c>
      <c r="B12204" s="4" t="s">
        <v>15355</v>
      </c>
      <c r="C12204" s="5" t="str">
        <f>IFERROR(__xludf.DUMMYFUNCTION("GOOGLETRANSLATE(B12204,""en"",""fr"")"),"Il y a plusieurs jockeys jouant au polo sur le terrain dans un événement.")</f>
        <v>Il y a plusieurs jockeys jouant au polo sur le terrain dans un événement.</v>
      </c>
    </row>
    <row r="12205">
      <c r="A12205" s="4" t="s">
        <v>15353</v>
      </c>
      <c r="B12205" s="4" t="s">
        <v>15356</v>
      </c>
      <c r="C12205" s="5" t="str">
        <f>IFERROR(__xludf.DUMMYFUNCTION("GOOGLETRANSLATE(B12205,""en"",""fr"")"),"Il y a aussi plusieurs spectateurs debout et regardent l'événement.")</f>
        <v>Il y a aussi plusieurs spectateurs debout et regardent l'événement.</v>
      </c>
    </row>
    <row r="12206">
      <c r="A12206" s="4" t="s">
        <v>15353</v>
      </c>
      <c r="B12206" s="4" t="s">
        <v>15357</v>
      </c>
      <c r="C12206" s="5" t="str">
        <f>IFERROR(__xludf.DUMMYFUNCTION("GOOGLETRANSLATE(B12206,""en"",""fr"")"),"L'un des joueurs de polo trotte sur le cheval sur le terrain.")</f>
        <v>L'un des joueurs de polo trotte sur le cheval sur le terrain.</v>
      </c>
    </row>
    <row r="12207">
      <c r="A12207" s="4" t="s">
        <v>15353</v>
      </c>
      <c r="B12207" s="4" t="s">
        <v>15358</v>
      </c>
      <c r="C12207" s="5" t="str">
        <f>IFERROR(__xludf.DUMMYFUNCTION("GOOGLETRANSLATE(B12207,""en"",""fr"")"),"Un autre jeu de polo se déroule où plusieurs spectateurs regardent.")</f>
        <v>Un autre jeu de polo se déroule où plusieurs spectateurs regardent.</v>
      </c>
    </row>
    <row r="12208">
      <c r="A12208" s="4" t="s">
        <v>15353</v>
      </c>
      <c r="B12208" s="4" t="s">
        <v>15359</v>
      </c>
      <c r="C12208" s="5" t="str">
        <f>IFERROR(__xludf.DUMMYFUNCTION("GOOGLETRANSLATE(B12208,""en"",""fr"")"),"Une fois l'événement terminé, le juge Hands Awards aux gagnants.")</f>
        <v>Une fois l'événement terminé, le juge Hands Awards aux gagnants.</v>
      </c>
    </row>
    <row r="12209">
      <c r="A12209" s="4" t="s">
        <v>15353</v>
      </c>
      <c r="B12209" s="4" t="s">
        <v>15360</v>
      </c>
      <c r="C12209" s="5" t="str">
        <f>IFERROR(__xludf.DUMMYFUNCTION("GOOGLETRANSLATE(B12209,""en"",""fr"")"),"Il y a un drapeau britannique volant haut sur le terrain.")</f>
        <v>Il y a un drapeau britannique volant haut sur le terrain.</v>
      </c>
    </row>
    <row r="12210">
      <c r="A12210" s="4" t="s">
        <v>15361</v>
      </c>
      <c r="B12210" s="4" t="s">
        <v>15362</v>
      </c>
      <c r="C12210" s="5" t="str">
        <f>IFERROR(__xludf.DUMMYFUNCTION("GOOGLETRANSLATE(B12210,""en"",""fr"")"),"Un danseur du ventre marche sur la scène derrière les rideaux.")</f>
        <v>Un danseur du ventre marche sur la scène derrière les rideaux.</v>
      </c>
    </row>
    <row r="12211">
      <c r="A12211" s="4" t="s">
        <v>15361</v>
      </c>
      <c r="B12211" s="4" t="s">
        <v>15363</v>
      </c>
      <c r="C12211" s="5" t="str">
        <f>IFERROR(__xludf.DUMMYFUNCTION("GOOGLETRANSLATE(B12211,""en"",""fr"")"),"La danseuse du ventre danse sur scène secouant ses hanches et son corps.")</f>
        <v>La danseuse du ventre danse sur scène secouant ses hanches et son corps.</v>
      </c>
    </row>
    <row r="12212">
      <c r="A12212" s="4" t="s">
        <v>15361</v>
      </c>
      <c r="B12212" s="4" t="s">
        <v>15364</v>
      </c>
      <c r="C12212" s="5" t="str">
        <f>IFERROR(__xludf.DUMMYFUNCTION("GOOGLETRANSLATE(B12212,""en"",""fr"")"),"Le danseur du ventre tourne en rond pendant la représentation.")</f>
        <v>Le danseur du ventre tourne en rond pendant la représentation.</v>
      </c>
    </row>
    <row r="12213">
      <c r="A12213" s="4" t="s">
        <v>15361</v>
      </c>
      <c r="B12213" s="4" t="s">
        <v>15365</v>
      </c>
      <c r="C12213" s="5" t="str">
        <f>IFERROR(__xludf.DUMMYFUNCTION("GOOGLETRANSLATE(B12213,""en"",""fr"")"),"Les danseurs se retournent avec son dos au public et dansent.")</f>
        <v>Les danseurs se retournent avec son dos au public et dansent.</v>
      </c>
    </row>
    <row r="12214">
      <c r="A12214" s="4" t="s">
        <v>15361</v>
      </c>
      <c r="B12214" s="4" t="s">
        <v>15366</v>
      </c>
      <c r="C12214" s="5" t="str">
        <f>IFERROR(__xludf.DUMMYFUNCTION("GOOGLETRANSLATE(B12214,""en"",""fr"")"),"Le danseur s'incline à la fin de la performance.")</f>
        <v>Le danseur s'incline à la fin de la performance.</v>
      </c>
    </row>
    <row r="12215">
      <c r="A12215" s="4" t="s">
        <v>15367</v>
      </c>
      <c r="B12215" s="4" t="s">
        <v>15368</v>
      </c>
      <c r="C12215" s="5" t="str">
        <f>IFERROR(__xludf.DUMMYFUNCTION("GOOGLETRANSLATE(B12215,""en"",""fr"")"),"Deux enfants sont dans une petite voiture en regardant un petit enfant tenant un poteau frappant une Piñata McQueen Lightning.")</f>
        <v>Deux enfants sont dans une petite voiture en regardant un petit enfant tenant un poteau frappant une Piñata McQueen Lightning.</v>
      </c>
    </row>
    <row r="12216">
      <c r="A12216" s="4" t="s">
        <v>15367</v>
      </c>
      <c r="B12216" s="4" t="s">
        <v>15369</v>
      </c>
      <c r="C12216" s="5" t="str">
        <f>IFERROR(__xludf.DUMMYFUNCTION("GOOGLETRANSLATE(B12216,""en"",""fr"")"),"Les gens sont rassemblés autour du petit enfant.")</f>
        <v>Les gens sont rassemblés autour du petit enfant.</v>
      </c>
    </row>
    <row r="12217">
      <c r="A12217" s="4" t="s">
        <v>15370</v>
      </c>
      <c r="B12217" s="4" t="s">
        <v>15371</v>
      </c>
      <c r="C12217" s="5" t="str">
        <f>IFERROR(__xludf.DUMMYFUNCTION("GOOGLETRANSLATE(B12217,""en"",""fr"")"),"Il y a deux personnes qui parlent de pilotes utilisés par les cascadeurs.")</f>
        <v>Il y a deux personnes qui parlent de pilotes utilisés par les cascadeurs.</v>
      </c>
    </row>
    <row r="12218">
      <c r="A12218" s="4" t="s">
        <v>15370</v>
      </c>
      <c r="B12218" s="4" t="s">
        <v>15372</v>
      </c>
      <c r="C12218" s="5" t="str">
        <f>IFERROR(__xludf.DUMMYFUNCTION("GOOGLETRANSLATE(B12218,""en"",""fr"")"),"Ils se tiennent dans une rue près de plusieurs clubs et restaurants.")</f>
        <v>Ils se tiennent dans une rue près de plusieurs clubs et restaurants.</v>
      </c>
    </row>
    <row r="12219">
      <c r="A12219" s="4" t="s">
        <v>15370</v>
      </c>
      <c r="B12219" s="4" t="s">
        <v>15373</v>
      </c>
      <c r="C12219" s="5" t="str">
        <f>IFERROR(__xludf.DUMMYFUNCTION("GOOGLETRANSLATE(B12219,""en"",""fr"")"),"L'un des hommes montre comment les échasses sont utilisés dans les cascades.")</f>
        <v>L'un des hommes montre comment les échasses sont utilisés dans les cascades.</v>
      </c>
    </row>
    <row r="12220">
      <c r="A12220" s="4" t="s">
        <v>15370</v>
      </c>
      <c r="B12220" s="6" t="s">
        <v>15374</v>
      </c>
      <c r="C12220" s="5" t="str">
        <f>IFERROR(__xludf.DUMMYFUNCTION("GOOGLETRANSLATE(B12220,""en"",""fr"")"),"Henry, le gars vêtu de la chemise blanche montre à quel point il peut sauter avec les échasses et effectuer des cascades.")</f>
        <v>Henry, le gars vêtu de la chemise blanche montre à quel point il peut sauter avec les échasses et effectuer des cascades.</v>
      </c>
    </row>
    <row r="12221">
      <c r="A12221" s="4" t="s">
        <v>15370</v>
      </c>
      <c r="B12221" s="4" t="s">
        <v>15375</v>
      </c>
      <c r="C12221" s="5" t="str">
        <f>IFERROR(__xludf.DUMMYFUNCTION("GOOGLETRANSLATE(B12221,""en"",""fr"")"),"Il montre de nombreuses astuces sur la façon dont il saute haut et sur des bancs et des tables.")</f>
        <v>Il montre de nombreuses astuces sur la façon dont il saute haut et sur des bancs et des tables.</v>
      </c>
    </row>
    <row r="12222">
      <c r="A12222" s="4" t="s">
        <v>15370</v>
      </c>
      <c r="B12222" s="4" t="s">
        <v>15376</v>
      </c>
      <c r="C12222" s="5" t="str">
        <f>IFERROR(__xludf.DUMMYFUNCTION("GOOGLETRANSLATE(B12222,""en"",""fr"")"),"Il montre comment il utilise les compétences de saut de colonne montante dans les rues et dans le parc.")</f>
        <v>Il montre comment il utilise les compétences de saut de colonne montante dans les rues et dans le parc.</v>
      </c>
    </row>
    <row r="12223">
      <c r="A12223" s="4" t="s">
        <v>15377</v>
      </c>
      <c r="B12223" s="6" t="s">
        <v>15378</v>
      </c>
      <c r="C12223" s="5" t="str">
        <f>IFERROR(__xludf.DUMMYFUNCTION("GOOGLETRANSLATE(B12223,""en"",""fr"")"),"Une femme est vue effectuant une routine de danse du ventre sur une scène avec des fleurs suspendues en arrière-plan.")</f>
        <v>Une femme est vue effectuant une routine de danse du ventre sur une scène avec des fleurs suspendues en arrière-plan.</v>
      </c>
    </row>
    <row r="12224">
      <c r="A12224" s="4" t="s">
        <v>15377</v>
      </c>
      <c r="B12224" s="4" t="s">
        <v>15379</v>
      </c>
      <c r="C12224" s="5" t="str">
        <f>IFERROR(__xludf.DUMMYFUNCTION("GOOGLETRANSLATE(B12224,""en"",""fr"")"),"Elle continue d'exécuter sa routine et se termine en tournant et en posant.")</f>
        <v>Elle continue d'exécuter sa routine et se termine en tournant et en posant.</v>
      </c>
    </row>
    <row r="12225">
      <c r="A12225" s="4" t="s">
        <v>15380</v>
      </c>
      <c r="B12225" s="4" t="s">
        <v>15381</v>
      </c>
      <c r="C12225" s="5" t="str">
        <f>IFERROR(__xludf.DUMMYFUNCTION("GOOGLETRANSLATE(B12225,""en"",""fr"")"),"Un grand groupe de personnes est vue debout et se souriant les uns aux autres.")</f>
        <v>Un grand groupe de personnes est vue debout et se souriant les uns aux autres.</v>
      </c>
    </row>
    <row r="12226">
      <c r="A12226" s="4" t="s">
        <v>15380</v>
      </c>
      <c r="B12226" s="4" t="s">
        <v>15382</v>
      </c>
      <c r="C12226" s="5" t="str">
        <f>IFERROR(__xludf.DUMMYFUNCTION("GOOGLETRANSLATE(B12226,""en"",""fr"")"),"Ils commencent à jouer un ensemble de batterie tandis qu'un autre homme est vu jouer du piano.")</f>
        <v>Ils commencent à jouer un ensemble de batterie tandis qu'un autre homme est vu jouer du piano.</v>
      </c>
    </row>
    <row r="12227">
      <c r="A12227" s="4" t="s">
        <v>15380</v>
      </c>
      <c r="B12227" s="4" t="s">
        <v>15383</v>
      </c>
      <c r="C12227" s="5" t="str">
        <f>IFERROR(__xludf.DUMMYFUNCTION("GOOGLETRANSLATE(B12227,""en"",""fr"")"),"Plus de gens sont vus sur les côtés dansant sur la musique.")</f>
        <v>Plus de gens sont vus sur les côtés dansant sur la musique.</v>
      </c>
    </row>
    <row r="12228">
      <c r="A12228" s="4" t="s">
        <v>15384</v>
      </c>
      <c r="B12228" s="6" t="s">
        <v>15385</v>
      </c>
      <c r="C12228" s="5" t="str">
        <f>IFERROR(__xludf.DUMMYFUNCTION("GOOGLETRANSLATE(B12228,""en"",""fr"")"),"Une femme en chemise blanche se tient à côté d'un évier en métal, elle sort deux assiettes blanches, un récipient en argent, une passoire, des cuillères et la placa sur le récipient en métal à côté de l'évier.")</f>
        <v>Une femme en chemise blanche se tient à côté d'un évier en métal, elle sort deux assiettes blanches, un récipient en argent, une passoire, des cuillères et la placa sur le récipient en métal à côté de l'évier.</v>
      </c>
    </row>
    <row r="12229">
      <c r="A12229" s="4" t="s">
        <v>15384</v>
      </c>
      <c r="B12229" s="6" t="s">
        <v>15386</v>
      </c>
      <c r="C12229" s="5" t="str">
        <f>IFERROR(__xludf.DUMMYFUNCTION("GOOGLETRANSLATE(B12229,""en"",""fr"")"),"Elle prend ensuite une casserole dans l'évier, mettez de l'eau, mettez du savon liquide dans une éponge, frottez-le sur les plaques, le couvercle, le conteneur, les cuillères.")</f>
        <v>Elle prend ensuite une casserole dans l'évier, mettez de l'eau, mettez du savon liquide dans une éponge, frottez-le sur les plaques, le couvercle, le conteneur, les cuillères.</v>
      </c>
    </row>
    <row r="12230">
      <c r="A12230" s="4" t="s">
        <v>15384</v>
      </c>
      <c r="B12230" s="6" t="s">
        <v>15387</v>
      </c>
      <c r="C12230" s="5" t="str">
        <f>IFERROR(__xludf.DUMMYFUNCTION("GOOGLETRANSLATE(B12230,""en"",""fr"")"),"Elle essuya le comptoir avec sa main, puis plaça un panier vert, rincez les assiettes, le couvercle, le conteneur, la casserole et les met dans le panier.")</f>
        <v>Elle essuya le comptoir avec sa main, puis plaça un panier vert, rincez les assiettes, le couvercle, le conteneur, la casserole et les met dans le panier.</v>
      </c>
    </row>
    <row r="12231">
      <c r="A12231" s="4" t="s">
        <v>15388</v>
      </c>
      <c r="B12231" s="4" t="s">
        <v>15389</v>
      </c>
      <c r="C12231" s="5" t="str">
        <f>IFERROR(__xludf.DUMMYFUNCTION("GOOGLETRANSLATE(B12231,""en"",""fr"")"),"Une femme en chemise bleue se dresse à côté d'un cheval brun.")</f>
        <v>Une femme en chemise bleue se dresse à côté d'un cheval brun.</v>
      </c>
    </row>
    <row r="12232">
      <c r="A12232" s="4" t="s">
        <v>15388</v>
      </c>
      <c r="B12232" s="4" t="s">
        <v>15390</v>
      </c>
      <c r="C12232" s="5" t="str">
        <f>IFERROR(__xludf.DUMMYFUNCTION("GOOGLETRANSLATE(B12232,""en"",""fr"")"),"Elle tient le plomb rouge des chevaux.")</f>
        <v>Elle tient le plomb rouge des chevaux.</v>
      </c>
    </row>
    <row r="12233">
      <c r="A12233" s="4" t="s">
        <v>15388</v>
      </c>
      <c r="B12233" s="4" t="s">
        <v>15391</v>
      </c>
      <c r="C12233" s="5" t="str">
        <f>IFERROR(__xludf.DUMMYFUNCTION("GOOGLETRANSLATE(B12233,""en"",""fr"")"),"Elle frôle le côté du cheval.")</f>
        <v>Elle frôle le côté du cheval.</v>
      </c>
    </row>
    <row r="12234">
      <c r="A12234" s="4" t="s">
        <v>15388</v>
      </c>
      <c r="B12234" s="4" t="s">
        <v>15392</v>
      </c>
      <c r="C12234" s="5" t="str">
        <f>IFERROR(__xludf.DUMMYFUNCTION("GOOGLETRANSLATE(B12234,""en"",""fr"")"),"Elle s'éloigne du cheval et se penche.")</f>
        <v>Elle s'éloigne du cheval et se penche.</v>
      </c>
    </row>
    <row r="12235">
      <c r="A12235" s="4" t="s">
        <v>15388</v>
      </c>
      <c r="B12235" s="4" t="s">
        <v>15393</v>
      </c>
      <c r="C12235" s="5" t="str">
        <f>IFERROR(__xludf.DUMMYFUNCTION("GOOGLETRANSLATE(B12235,""en"",""fr"")"),"Elle ramasse une brosse plus grande et recommence à brosser le cheval.")</f>
        <v>Elle ramasse une brosse plus grande et recommence à brosser le cheval.</v>
      </c>
    </row>
    <row r="12236">
      <c r="A12236" s="4" t="s">
        <v>15388</v>
      </c>
      <c r="B12236" s="4" t="s">
        <v>15394</v>
      </c>
      <c r="C12236" s="5" t="str">
        <f>IFERROR(__xludf.DUMMYFUNCTION("GOOGLETRANSLATE(B12236,""en"",""fr"")"),"Elle frôle le visage et le cou des chevaux.")</f>
        <v>Elle frôle le visage et le cou des chevaux.</v>
      </c>
    </row>
    <row r="12237">
      <c r="A12237" s="4" t="s">
        <v>15388</v>
      </c>
      <c r="B12237" s="4" t="s">
        <v>15395</v>
      </c>
      <c r="C12237" s="5" t="str">
        <f>IFERROR(__xludf.DUMMYFUNCTION("GOOGLETRANSLATE(B12237,""en"",""fr"")"),"Elle frôle la jambe avant des chevaux dans un mouvement vers le bas.")</f>
        <v>Elle frôle la jambe avant des chevaux dans un mouvement vers le bas.</v>
      </c>
    </row>
    <row r="12238">
      <c r="A12238" s="4" t="s">
        <v>15396</v>
      </c>
      <c r="B12238" s="4" t="s">
        <v>15397</v>
      </c>
      <c r="C12238" s="5" t="str">
        <f>IFERROR(__xludf.DUMMYFUNCTION("GOOGLETRANSLATE(B12238,""en"",""fr"")"),"Un salon de tatouage a affiché un cycle de moteur bleu métallique.")</f>
        <v>Un salon de tatouage a affiché un cycle de moteur bleu métallique.</v>
      </c>
    </row>
    <row r="12239">
      <c r="A12239" s="4" t="s">
        <v>15396</v>
      </c>
      <c r="B12239" s="4" t="s">
        <v>15398</v>
      </c>
      <c r="C12239" s="5" t="str">
        <f>IFERROR(__xludf.DUMMYFUNCTION("GOOGLETRANSLATE(B12239,""en"",""fr"")"),"Il y a une personne assise sur le comptoir du salon.")</f>
        <v>Il y a une personne assise sur le comptoir du salon.</v>
      </c>
    </row>
    <row r="12240">
      <c r="A12240" s="4" t="s">
        <v>15396</v>
      </c>
      <c r="B12240" s="4" t="s">
        <v>15399</v>
      </c>
      <c r="C12240" s="5" t="str">
        <f>IFERROR(__xludf.DUMMYFUNCTION("GOOGLETRANSLATE(B12240,""en"",""fr"")"),"Un client entre et donne une photo d'un enfant au tatoueur.")</f>
        <v>Un client entre et donne une photo d'un enfant au tatoueur.</v>
      </c>
    </row>
    <row r="12241">
      <c r="A12241" s="4" t="s">
        <v>15396</v>
      </c>
      <c r="B12241" s="4" t="s">
        <v>15400</v>
      </c>
      <c r="C12241" s="5" t="str">
        <f>IFERROR(__xludf.DUMMYFUNCTION("GOOGLETRANSLATE(B12241,""en"",""fr"")"),"Le tatoueur retrace l'image de l'enfant sur un papier.")</f>
        <v>Le tatoueur retrace l'image de l'enfant sur un papier.</v>
      </c>
    </row>
    <row r="12242">
      <c r="A12242" s="4" t="s">
        <v>15396</v>
      </c>
      <c r="B12242" s="4" t="s">
        <v>15401</v>
      </c>
      <c r="C12242" s="5" t="str">
        <f>IFERROR(__xludf.DUMMYFUNCTION("GOOGLETRANSLATE(B12242,""en"",""fr"")"),"Puis il nettoie les bras du client avec de l'alcool.")</f>
        <v>Puis il nettoie les bras du client avec de l'alcool.</v>
      </c>
    </row>
    <row r="12243">
      <c r="A12243" s="4" t="s">
        <v>15396</v>
      </c>
      <c r="B12243" s="4" t="s">
        <v>15402</v>
      </c>
      <c r="C12243" s="5" t="str">
        <f>IFERROR(__xludf.DUMMYFUNCTION("GOOGLETRANSLATE(B12243,""en"",""fr"")"),"L'artiste porte une paire de gants en latex et commence à tatouer le bras du client.")</f>
        <v>L'artiste porte une paire de gants en latex et commence à tatouer le bras du client.</v>
      </c>
    </row>
    <row r="12244">
      <c r="A12244" s="4" t="s">
        <v>15396</v>
      </c>
      <c r="B12244" s="6" t="s">
        <v>15403</v>
      </c>
      <c r="C12244" s="5" t="str">
        <f>IFERROR(__xludf.DUMMYFUNCTION("GOOGLETRANSLATE(B12244,""en"",""fr"")"),"Il reproduit l'image tracée de l'image sur le bras du client ainsi que des conceptions supplémentaires.")</f>
        <v>Il reproduit l'image tracée de l'image sur le bras du client ainsi que des conceptions supplémentaires.</v>
      </c>
    </row>
    <row r="12245">
      <c r="A12245" s="4" t="s">
        <v>15396</v>
      </c>
      <c r="B12245" s="4" t="s">
        <v>15404</v>
      </c>
      <c r="C12245" s="5" t="str">
        <f>IFERROR(__xludf.DUMMYFUNCTION("GOOGLETRANSLATE(B12245,""en"",""fr"")"),"Il prend ensuite une photo du bras tatoué du client sur un téléphone portable.")</f>
        <v>Il prend ensuite une photo du bras tatoué du client sur un téléphone portable.</v>
      </c>
    </row>
    <row r="12246">
      <c r="A12246" s="4" t="s">
        <v>15405</v>
      </c>
      <c r="B12246" s="6" t="s">
        <v>15406</v>
      </c>
      <c r="C12246" s="5" t="str">
        <f>IFERROR(__xludf.DUMMYFUNCTION("GOOGLETRANSLATE(B12246,""en"",""fr"")"),"Un grand groupe de personnes est vu nager dans une piscine en jouant à un jeu tandis que la vidéo s'arrête pour montrer les joueurs.")</f>
        <v>Un grand groupe de personnes est vu nager dans une piscine en jouant à un jeu tandis que la vidéo s'arrête pour montrer les joueurs.</v>
      </c>
    </row>
    <row r="12247">
      <c r="A12247" s="4" t="s">
        <v>15405</v>
      </c>
      <c r="B12247" s="6" t="s">
        <v>15407</v>
      </c>
      <c r="C12247" s="5" t="str">
        <f>IFERROR(__xludf.DUMMYFUNCTION("GOOGLETRANSLATE(B12247,""en"",""fr"")"),"La caméra continue de se lancer autour des joueurs nageant tout autour de la piscine en train de lancer une balle et d'autres réagissant sur la touche.")</f>
        <v>La caméra continue de se lancer autour des joueurs nageant tout autour de la piscine en train de lancer une balle et d'autres réagissant sur la touche.</v>
      </c>
    </row>
    <row r="12248">
      <c r="A12248" s="4" t="s">
        <v>15408</v>
      </c>
      <c r="B12248" s="4" t="s">
        <v>15409</v>
      </c>
      <c r="C12248" s="5" t="str">
        <f>IFERROR(__xludf.DUMMYFUNCTION("GOOGLETRANSLATE(B12248,""en"",""fr"")"),"Une personne saute dans l'océan et nous les voyons être tirées sur une ligne.")</f>
        <v>Une personne saute dans l'océan et nous les voyons être tirées sur une ligne.</v>
      </c>
    </row>
    <row r="12249">
      <c r="A12249" s="4" t="s">
        <v>15408</v>
      </c>
      <c r="B12249" s="4" t="s">
        <v>15410</v>
      </c>
      <c r="C12249" s="5" t="str">
        <f>IFERROR(__xludf.DUMMYFUNCTION("GOOGLETRANSLATE(B12249,""en"",""fr"")"),"Nous voyons des plongeurs sous l'eau et voyons Sealfe et des gens sur les bateaux.")</f>
        <v>Nous voyons des plongeurs sous l'eau et voyons Sealfe et des gens sur les bateaux.</v>
      </c>
    </row>
    <row r="12250">
      <c r="A12250" s="4" t="s">
        <v>15408</v>
      </c>
      <c r="B12250" s="4" t="s">
        <v>15411</v>
      </c>
      <c r="C12250" s="5" t="str">
        <f>IFERROR(__xludf.DUMMYFUNCTION("GOOGLETRANSLATE(B12250,""en"",""fr"")"),"Une personne avec une caméra sur la tête saute du bateau dans l'eau.")</f>
        <v>Une personne avec une caméra sur la tête saute du bateau dans l'eau.</v>
      </c>
    </row>
    <row r="12251">
      <c r="A12251" s="4" t="s">
        <v>15408</v>
      </c>
      <c r="B12251" s="4" t="s">
        <v>15412</v>
      </c>
      <c r="C12251" s="5" t="str">
        <f>IFERROR(__xludf.DUMMYFUNCTION("GOOGLETRANSLATE(B12251,""en"",""fr"")"),"Deux hommes agitent et nous voyons Sealife, y compris un dauphin nageant à côté du bateau.")</f>
        <v>Deux hommes agitent et nous voyons Sealife, y compris un dauphin nageant à côté du bateau.</v>
      </c>
    </row>
    <row r="12252">
      <c r="A12252" s="4" t="s">
        <v>15408</v>
      </c>
      <c r="B12252" s="4" t="s">
        <v>15413</v>
      </c>
      <c r="C12252" s="5" t="str">
        <f>IFERROR(__xludf.DUMMYFUNCTION("GOOGLETRANSLATE(B12252,""en"",""fr"")"),"Une dame fait semblant de battre un homme en le frappant dans la tête pendant ses sous-marins.")</f>
        <v>Une dame fait semblant de battre un homme en le frappant dans la tête pendant ses sous-marins.</v>
      </c>
    </row>
    <row r="12253">
      <c r="A12253" s="4" t="s">
        <v>15408</v>
      </c>
      <c r="B12253" s="4" t="s">
        <v>777</v>
      </c>
      <c r="C12253" s="5" t="str">
        <f>IFERROR(__xludf.DUMMYFUNCTION("GOOGLETRANSLATE(B12253,""en"",""fr"")"),"Nous voyons l'écran du titre de fin.")</f>
        <v>Nous voyons l'écran du titre de fin.</v>
      </c>
    </row>
    <row r="12254">
      <c r="A12254" s="4" t="s">
        <v>15414</v>
      </c>
      <c r="B12254" s="4" t="s">
        <v>15415</v>
      </c>
      <c r="C12254" s="5" t="str">
        <f>IFERROR(__xludf.DUMMYFUNCTION("GOOGLETRANSLATE(B12254,""en"",""fr"")"),"Une femme en chemise rose sprinte sur une piste et saute dans le sable.")</f>
        <v>Une femme en chemise rose sprinte sur une piste et saute dans le sable.</v>
      </c>
    </row>
    <row r="12255">
      <c r="A12255" s="4" t="s">
        <v>15414</v>
      </c>
      <c r="B12255" s="4" t="s">
        <v>15416</v>
      </c>
      <c r="C12255" s="5" t="str">
        <f>IFERROR(__xludf.DUMMYFUNCTION("GOOGLETRANSLATE(B12255,""en"",""fr"")"),"Une rediffusion de son saut est montrée plusieurs fois.")</f>
        <v>Une rediffusion de son saut est montrée plusieurs fois.</v>
      </c>
    </row>
    <row r="12256">
      <c r="A12256" s="4" t="s">
        <v>15414</v>
      </c>
      <c r="B12256" s="4" t="s">
        <v>15417</v>
      </c>
      <c r="C12256" s="5" t="str">
        <f>IFERROR(__xludf.DUMMYFUNCTION("GOOGLETRANSLATE(B12256,""en"",""fr"")"),"Elle s'éloigne sur l'herbe.")</f>
        <v>Elle s'éloigne sur l'herbe.</v>
      </c>
    </row>
    <row r="12257">
      <c r="A12257" s="4" t="s">
        <v>15418</v>
      </c>
      <c r="B12257" s="6" t="s">
        <v>15419</v>
      </c>
      <c r="C12257" s="5" t="str">
        <f>IFERROR(__xludf.DUMMYFUNCTION("GOOGLETRANSLATE(B12257,""en"",""fr"")"),"Deux scouts sont vus debout et parlent à un grand groupe de personnes et tentent d'allumer un match.")</f>
        <v>Deux scouts sont vus debout et parlent à un grand groupe de personnes et tentent d'allumer un match.</v>
      </c>
    </row>
    <row r="12258">
      <c r="A12258" s="4" t="s">
        <v>15418</v>
      </c>
      <c r="B12258" s="4" t="s">
        <v>15420</v>
      </c>
      <c r="C12258" s="5" t="str">
        <f>IFERROR(__xludf.DUMMYFUNCTION("GOOGLETRANSLATE(B12258,""en"",""fr"")"),"Une tasse ses mains et crée une flamme en utilisant de l'oxygène et met la flamme dans une fosse.")</f>
        <v>Une tasse ses mains et crée une flamme en utilisant de l'oxygène et met la flamme dans une fosse.</v>
      </c>
    </row>
    <row r="12259">
      <c r="A12259" s="4" t="s">
        <v>15421</v>
      </c>
      <c r="B12259" s="4" t="s">
        <v>15422</v>
      </c>
      <c r="C12259" s="5" t="str">
        <f>IFERROR(__xludf.DUMMYFUNCTION("GOOGLETRANSLATE(B12259,""en"",""fr"")"),"Une femme à la plage parle de la caméra.")</f>
        <v>Une femme à la plage parle de la caméra.</v>
      </c>
    </row>
    <row r="12260">
      <c r="A12260" s="4" t="s">
        <v>15421</v>
      </c>
      <c r="B12260" s="4" t="s">
        <v>15423</v>
      </c>
      <c r="C12260" s="5" t="str">
        <f>IFERROR(__xludf.DUMMYFUNCTION("GOOGLETRANSLATE(B12260,""en"",""fr"")"),"La caméra se déroule d'avant en arrière pour montrer l'activité d'autres activités des amateurs de plage autour de la femme.")</f>
        <v>La caméra se déroule d'avant en arrière pour montrer l'activité d'autres activités des amateurs de plage autour de la femme.</v>
      </c>
    </row>
    <row r="12261">
      <c r="A12261" s="4" t="s">
        <v>15421</v>
      </c>
      <c r="B12261" s="4" t="s">
        <v>15424</v>
      </c>
      <c r="C12261" s="5" t="str">
        <f>IFERROR(__xludf.DUMMYFUNCTION("GOOGLETRANSLATE(B12261,""en"",""fr"")"),"La femme jette un seau de sable sur la plage.")</f>
        <v>La femme jette un seau de sable sur la plage.</v>
      </c>
    </row>
    <row r="12262">
      <c r="A12262" s="4" t="s">
        <v>15421</v>
      </c>
      <c r="B12262" s="4" t="s">
        <v>15425</v>
      </c>
      <c r="C12262" s="5" t="str">
        <f>IFERROR(__xludf.DUMMYFUNCTION("GOOGLETRANSLATE(B12262,""en"",""fr"")"),"La femme combine du sable et de l'eau dans un seau.")</f>
        <v>La femme combine du sable et de l'eau dans un seau.</v>
      </c>
    </row>
    <row r="12263">
      <c r="A12263" s="4" t="s">
        <v>15421</v>
      </c>
      <c r="B12263" s="4" t="s">
        <v>15426</v>
      </c>
      <c r="C12263" s="5" t="str">
        <f>IFERROR(__xludf.DUMMYFUNCTION("GOOGLETRANSLATE(B12263,""en"",""fr"")"),"La femme jette le mélange sur la plage.")</f>
        <v>La femme jette le mélange sur la plage.</v>
      </c>
    </row>
    <row r="12264">
      <c r="A12264" s="4" t="s">
        <v>15427</v>
      </c>
      <c r="B12264" s="4" t="s">
        <v>15428</v>
      </c>
      <c r="C12264" s="5" t="str">
        <f>IFERROR(__xludf.DUMMYFUNCTION("GOOGLETRANSLATE(B12264,""en"",""fr"")"),"Une femme est vue en parlant à la caméra tout en se tenant devant un vélo d'exercice.")</f>
        <v>Une femme est vue en parlant à la caméra tout en se tenant devant un vélo d'exercice.</v>
      </c>
    </row>
    <row r="12265">
      <c r="A12265" s="4" t="s">
        <v>15427</v>
      </c>
      <c r="B12265" s="4" t="s">
        <v>15429</v>
      </c>
      <c r="C12265" s="5" t="str">
        <f>IFERROR(__xludf.DUMMYFUNCTION("GOOGLETRANSLATE(B12265,""en"",""fr"")"),"La femme continue de parler et commence à grimper sur le vélo.")</f>
        <v>La femme continue de parler et commence à grimper sur le vélo.</v>
      </c>
    </row>
    <row r="12266">
      <c r="A12266" s="4" t="s">
        <v>15427</v>
      </c>
      <c r="B12266" s="6" t="s">
        <v>15430</v>
      </c>
      <c r="C12266" s="5" t="str">
        <f>IFERROR(__xludf.DUMMYFUNCTION("GOOGLETRANSLATE(B12266,""en"",""fr"")"),"Elle se tourne sur le vélo en s'asseyant et en se tenant debout et la caméra qui panorait autour de la fille.")</f>
        <v>Elle se tourne sur le vélo en s'asseyant et en se tenant debout et la caméra qui panorait autour de la fille.</v>
      </c>
    </row>
    <row r="12267">
      <c r="A12267" s="4" t="s">
        <v>15431</v>
      </c>
      <c r="B12267" s="6" t="s">
        <v>15432</v>
      </c>
      <c r="C12267" s="5" t="str">
        <f>IFERROR(__xludf.DUMMYFUNCTION("GOOGLETRANSLATE(B12267,""en"",""fr"")"),"Deux personnes sont vues courir à l'intérieur d'une pièce fermée intérieure et frapper une balle de tennis avec des raquettes.")</f>
        <v>Deux personnes sont vues courir à l'intérieur d'une pièce fermée intérieure et frapper une balle de tennis avec des raquettes.</v>
      </c>
    </row>
    <row r="12268">
      <c r="A12268" s="4" t="s">
        <v>15431</v>
      </c>
      <c r="B12268" s="4" t="s">
        <v>15433</v>
      </c>
      <c r="C12268" s="5" t="str">
        <f>IFERROR(__xludf.DUMMYFUNCTION("GOOGLETRANSLATE(B12268,""en"",""fr"")"),"Les hommes continuent de courir en frappant le ballon du mur.")</f>
        <v>Les hommes continuent de courir en frappant le ballon du mur.</v>
      </c>
    </row>
    <row r="12269">
      <c r="A12269" s="4" t="s">
        <v>15434</v>
      </c>
      <c r="B12269" s="4" t="s">
        <v>15435</v>
      </c>
      <c r="C12269" s="5" t="str">
        <f>IFERROR(__xludf.DUMMYFUNCTION("GOOGLETRANSLATE(B12269,""en"",""fr"")"),"Une grosse femme et une femme mince parle face à face dans un salon de beauté.")</f>
        <v>Une grosse femme et une femme mince parle face à face dans un salon de beauté.</v>
      </c>
    </row>
    <row r="12270">
      <c r="A12270" s="4" t="s">
        <v>15434</v>
      </c>
      <c r="B12270" s="4" t="s">
        <v>15436</v>
      </c>
      <c r="C12270" s="5" t="str">
        <f>IFERROR(__xludf.DUMMYFUNCTION("GOOGLETRANSLATE(B12270,""en"",""fr"")"),"La grosse femme parle et la femme mince se lave et met de la crème sur son visage.")</f>
        <v>La grosse femme parle et la femme mince se lave et met de la crème sur son visage.</v>
      </c>
    </row>
    <row r="12271">
      <c r="A12271" s="4" t="s">
        <v>15434</v>
      </c>
      <c r="B12271" s="4" t="s">
        <v>15437</v>
      </c>
      <c r="C12271" s="5" t="str">
        <f>IFERROR(__xludf.DUMMYFUNCTION("GOOGLETRANSLATE(B12271,""en"",""fr"")"),"Ensuite, la grosse femme passe un appareil sur le visage de la femme mince.")</f>
        <v>Ensuite, la grosse femme passe un appareil sur le visage de la femme mince.</v>
      </c>
    </row>
    <row r="12272">
      <c r="A12272" s="4" t="s">
        <v>15438</v>
      </c>
      <c r="B12272" s="4" t="s">
        <v>15439</v>
      </c>
      <c r="C12272" s="5" t="str">
        <f>IFERROR(__xludf.DUMMYFUNCTION("GOOGLETRANSLATE(B12272,""en"",""fr"")"),"Un grand groupe de personnes est vue debout dans un gymnase avec deux personnes devant.")</f>
        <v>Un grand groupe de personnes est vue debout dans un gymnase avec deux personnes devant.</v>
      </c>
    </row>
    <row r="12273">
      <c r="A12273" s="4" t="s">
        <v>15438</v>
      </c>
      <c r="B12273" s="4" t="s">
        <v>15440</v>
      </c>
      <c r="C12273" s="5" t="str">
        <f>IFERROR(__xludf.DUMMYFUNCTION("GOOGLETRANSLATE(B12273,""en"",""fr"")"),"Le groupe commence alors à danser les uns avec les autres et mène à un autre grand groupe de personnes.")</f>
        <v>Le groupe commence alors à danser les uns avec les autres et mène à un autre grand groupe de personnes.</v>
      </c>
    </row>
    <row r="12274">
      <c r="A12274" s="4" t="s">
        <v>15438</v>
      </c>
      <c r="B12274" s="4" t="s">
        <v>15441</v>
      </c>
      <c r="C12274" s="5" t="str">
        <f>IFERROR(__xludf.DUMMYFUNCTION("GOOGLETRANSLATE(B12274,""en"",""fr"")"),"On voit des gens parler à la caméra et les mène en sautant à la fin.")</f>
        <v>On voit des gens parler à la caméra et les mène en sautant à la fin.</v>
      </c>
    </row>
    <row r="12275">
      <c r="A12275" s="4" t="s">
        <v>15442</v>
      </c>
      <c r="B12275" s="4" t="s">
        <v>15443</v>
      </c>
      <c r="C12275" s="5" t="str">
        <f>IFERROR(__xludf.DUMMYFUNCTION("GOOGLETRANSLATE(B12275,""en"",""fr"")"),"Un homme parle à la caméra qui suit un écran d'introduction pour lui patiner.")</f>
        <v>Un homme parle à la caméra qui suit un écran d'introduction pour lui patiner.</v>
      </c>
    </row>
    <row r="12276">
      <c r="A12276" s="4" t="s">
        <v>15442</v>
      </c>
      <c r="B12276" s="6" t="s">
        <v>15444</v>
      </c>
      <c r="C12276" s="5" t="str">
        <f>IFERROR(__xludf.DUMMYFUNCTION("GOOGLETRANSLATE(B12276,""en"",""fr"")"),"Il continue de parler à la caméra et d'exécuter diverses astuces sur sa planche dans toute la région.")</f>
        <v>Il continue de parler à la caméra et d'exécuter diverses astuces sur sa planche dans toute la région.</v>
      </c>
    </row>
    <row r="12277">
      <c r="A12277" s="4" t="s">
        <v>15445</v>
      </c>
      <c r="B12277" s="4" t="s">
        <v>15446</v>
      </c>
      <c r="C12277" s="5" t="str">
        <f>IFERROR(__xludf.DUMMYFUNCTION("GOOGLETRANSLATE(B12277,""en"",""fr"")"),"Cet homme est montré en jouant un tambour au début de la vidéo et il dit quelques mots.")</f>
        <v>Cet homme est montré en jouant un tambour au début de la vidéo et il dit quelques mots.</v>
      </c>
    </row>
    <row r="12278">
      <c r="A12278" s="4" t="s">
        <v>15445</v>
      </c>
      <c r="B12278" s="6" t="s">
        <v>15447</v>
      </c>
      <c r="C12278" s="5" t="str">
        <f>IFERROR(__xludf.DUMMYFUNCTION("GOOGLETRANSLATE(B12278,""en"",""fr"")"),"Puis un homme s'assoit à côté de lui et commence à jouer de sa guitare et l'autre homme se joint lentement pour commencer à jouer de la batterie.")</f>
        <v>Puis un homme s'assoit à côté de lui et commence à jouer de sa guitare et l'autre homme se joint lentement pour commencer à jouer de la batterie.</v>
      </c>
    </row>
    <row r="12279">
      <c r="A12279" s="4" t="s">
        <v>15445</v>
      </c>
      <c r="B12279" s="6" t="s">
        <v>15448</v>
      </c>
      <c r="C12279" s="5" t="str">
        <f>IFERROR(__xludf.DUMMYFUNCTION("GOOGLETRANSLATE(B12279,""en"",""fr"")"),"L'homme qui est assis à côté de l'homme jouant de la batterie ne joue pas seulement de la guitare, mais il chante aussi.")</f>
        <v>L'homme qui est assis à côté de l'homme jouant de la batterie ne joue pas seulement de la guitare, mais il chante aussi.</v>
      </c>
    </row>
    <row r="12280">
      <c r="A12280" s="4" t="s">
        <v>15449</v>
      </c>
      <c r="B12280" s="4" t="s">
        <v>15450</v>
      </c>
      <c r="C12280" s="5" t="str">
        <f>IFERROR(__xludf.DUMMYFUNCTION("GOOGLETRANSLATE(B12280,""en"",""fr"")"),"Nous voyons un homme marcher sur la glace.")</f>
        <v>Nous voyons un homme marcher sur la glace.</v>
      </c>
    </row>
    <row r="12281">
      <c r="A12281" s="4" t="s">
        <v>15449</v>
      </c>
      <c r="B12281" s="4" t="s">
        <v>15451</v>
      </c>
      <c r="C12281" s="5" t="str">
        <f>IFERROR(__xludf.DUMMYFUNCTION("GOOGLETRANSLATE(B12281,""en"",""fr"")"),"Il déplace un bâton et tire une ligne de pêche d'un trou.")</f>
        <v>Il déplace un bâton et tire une ligne de pêche d'un trou.</v>
      </c>
    </row>
    <row r="12282">
      <c r="A12282" s="4" t="s">
        <v>15449</v>
      </c>
      <c r="B12282" s="4" t="s">
        <v>15452</v>
      </c>
      <c r="C12282" s="5" t="str">
        <f>IFERROR(__xludf.DUMMYFUNCTION("GOOGLETRANSLATE(B12282,""en"",""fr"")"),"L'homme sort un poisson hors du trou.")</f>
        <v>L'homme sort un poisson hors du trou.</v>
      </c>
    </row>
    <row r="12283">
      <c r="A12283" s="4" t="s">
        <v>15449</v>
      </c>
      <c r="B12283" s="4" t="s">
        <v>15453</v>
      </c>
      <c r="C12283" s="5" t="str">
        <f>IFERROR(__xludf.DUMMYFUNCTION("GOOGLETRANSLATE(B12283,""en"",""fr"")"),"Il prend le poisson et nous montre le poisson.")</f>
        <v>Il prend le poisson et nous montre le poisson.</v>
      </c>
    </row>
    <row r="12284">
      <c r="A12284" s="4" t="s">
        <v>15449</v>
      </c>
      <c r="B12284" s="4" t="s">
        <v>15454</v>
      </c>
      <c r="C12284" s="5" t="str">
        <f>IFERROR(__xludf.DUMMYFUNCTION("GOOGLETRANSLATE(B12284,""en"",""fr"")"),"L'homme repousse ensuite le poisson dans le trou.")</f>
        <v>L'homme repousse ensuite le poisson dans le trou.</v>
      </c>
    </row>
    <row r="12285">
      <c r="A12285" s="4" t="s">
        <v>15455</v>
      </c>
      <c r="B12285" s="4" t="s">
        <v>15456</v>
      </c>
      <c r="C12285" s="5" t="str">
        <f>IFERROR(__xludf.DUMMYFUNCTION("GOOGLETRANSLATE(B12285,""en"",""fr"")"),"Une femme dans l'homme en vêtements noires se tient ensemble et discute d'une routine.")</f>
        <v>Une femme dans l'homme en vêtements noires se tient ensemble et discute d'une routine.</v>
      </c>
    </row>
    <row r="12286">
      <c r="A12286" s="4" t="s">
        <v>15455</v>
      </c>
      <c r="B12286" s="4" t="s">
        <v>15457</v>
      </c>
      <c r="C12286" s="5" t="str">
        <f>IFERROR(__xludf.DUMMYFUNCTION("GOOGLETRANSLATE(B12286,""en"",""fr"")"),"La femme commence à danser et va plusieurs fois en cercle pendant que l'homme regarde.")</f>
        <v>La femme commence à danser et va plusieurs fois en cercle pendant que l'homme regarde.</v>
      </c>
    </row>
    <row r="12287">
      <c r="A12287" s="4" t="s">
        <v>15455</v>
      </c>
      <c r="B12287" s="6" t="s">
        <v>15458</v>
      </c>
      <c r="C12287" s="5" t="str">
        <f>IFERROR(__xludf.DUMMYFUNCTION("GOOGLETRANSLATE(B12287,""en"",""fr"")"),"La femme continue de discuter de la routine puis tient la main avec son partenaire et ils commencent à danser ensemble.")</f>
        <v>La femme continue de discuter de la routine puis tient la main avec son partenaire et ils commencent à danser ensemble.</v>
      </c>
    </row>
    <row r="12288">
      <c r="A12288" s="4" t="s">
        <v>15459</v>
      </c>
      <c r="B12288" s="4" t="s">
        <v>15460</v>
      </c>
      <c r="C12288" s="5" t="str">
        <f>IFERROR(__xludf.DUMMYFUNCTION("GOOGLETRANSLATE(B12288,""en"",""fr"")"),"Une femme parle de la façon de faire une salade.")</f>
        <v>Une femme parle de la façon de faire une salade.</v>
      </c>
    </row>
    <row r="12289">
      <c r="A12289" s="4" t="s">
        <v>15459</v>
      </c>
      <c r="B12289" s="4" t="s">
        <v>15461</v>
      </c>
      <c r="C12289" s="5" t="str">
        <f>IFERROR(__xludf.DUMMYFUNCTION("GOOGLETRANSLATE(B12289,""en"",""fr"")"),"Elle brise la laitue en parties plus petites.")</f>
        <v>Elle brise la laitue en parties plus petites.</v>
      </c>
    </row>
    <row r="12290">
      <c r="A12290" s="4" t="s">
        <v>15462</v>
      </c>
      <c r="B12290" s="6" t="s">
        <v>15463</v>
      </c>
      <c r="C12290" s="5" t="str">
        <f>IFERROR(__xludf.DUMMYFUNCTION("GOOGLETRANSLATE(B12290,""en"",""fr"")"),"Un homme et un jeune enfant sont vus pousser une tondeuse à gazon sur la cour pendant que le garçon sourit à la caméra.")</f>
        <v>Un homme et un jeune enfant sont vus pousser une tondeuse à gazon sur la cour pendant que le garçon sourit à la caméra.</v>
      </c>
    </row>
    <row r="12291">
      <c r="A12291" s="4" t="s">
        <v>15462</v>
      </c>
      <c r="B12291" s="6" t="s">
        <v>15464</v>
      </c>
      <c r="C12291" s="5" t="str">
        <f>IFERROR(__xludf.DUMMYFUNCTION("GOOGLETRANSLATE(B12291,""en"",""fr"")"),"L'homme et le garçon continuent de pousser la tondeuse à gazon le long de la cour tout en s'arrêtant pour regarder la caméra.")</f>
        <v>L'homme et le garçon continuent de pousser la tondeuse à gazon le long de la cour tout en s'arrêtant pour regarder la caméra.</v>
      </c>
    </row>
    <row r="12292">
      <c r="A12292" s="4" t="s">
        <v>15465</v>
      </c>
      <c r="B12292" s="6" t="s">
        <v>15466</v>
      </c>
      <c r="C12292" s="5" t="str">
        <f>IFERROR(__xludf.DUMMYFUNCTION("GOOGLETRANSLATE(B12292,""en"",""fr"")"),"Tous les ingrédients dont vous avez besoin pour faire du gâteau au beurre sont sur le comptoir, quelqu'un pointe sur chaque ingrédient et commence à les saisir.")</f>
        <v>Tous les ingrédients dont vous avez besoin pour faire du gâteau au beurre sont sur le comptoir, quelqu'un pointe sur chaque ingrédient et commence à les saisir.</v>
      </c>
    </row>
    <row r="12293">
      <c r="A12293" s="4" t="s">
        <v>15465</v>
      </c>
      <c r="B12293" s="4" t="s">
        <v>15467</v>
      </c>
      <c r="C12293" s="5" t="str">
        <f>IFERROR(__xludf.DUMMYFUNCTION("GOOGLETRANSLATE(B12293,""en"",""fr"")"),"Ils utilisent un mélangeur pour mélanger certains des ingrédients ensemble.")</f>
        <v>Ils utilisent un mélangeur pour mélanger certains des ingrédients ensemble.</v>
      </c>
    </row>
    <row r="12294">
      <c r="A12294" s="4" t="s">
        <v>15465</v>
      </c>
      <c r="B12294" s="6" t="s">
        <v>15468</v>
      </c>
      <c r="C12294" s="5" t="str">
        <f>IFERROR(__xludf.DUMMYFUNCTION("GOOGLETRANSLATE(B12294,""en"",""fr"")"),"Ils ajoutent les œufs dans un par un pendant que le mélangeur se mélange toujours, puis ils l'éteignent et en ajoutent plus.")</f>
        <v>Ils ajoutent les œufs dans un par un pendant que le mélangeur se mélange toujours, puis ils l'éteignent et en ajoutent plus.</v>
      </c>
    </row>
    <row r="12295">
      <c r="A12295" s="4" t="s">
        <v>15465</v>
      </c>
      <c r="B12295" s="6" t="s">
        <v>15469</v>
      </c>
      <c r="C12295" s="5" t="str">
        <f>IFERROR(__xludf.DUMMYFUNCTION("GOOGLETRANSLATE(B12295,""en"",""fr"")"),"Ils utilisent une casserole et mettent un fond dedans et retient le mélange dedans avant de finalement se préparer à le mettre dans le four à cuire.")</f>
        <v>Ils utilisent une casserole et mettent un fond dedans et retient le mélange dedans avant de finalement se préparer à le mettre dans le four à cuire.</v>
      </c>
    </row>
    <row r="12296">
      <c r="A12296" s="4" t="s">
        <v>15470</v>
      </c>
      <c r="B12296" s="4" t="s">
        <v>15471</v>
      </c>
      <c r="C12296" s="5" t="str">
        <f>IFERROR(__xludf.DUMMYFUNCTION("GOOGLETRANSLATE(B12296,""en"",""fr"")"),"Un gros plan d'une fissure est visible.")</f>
        <v>Un gros plan d'une fissure est visible.</v>
      </c>
    </row>
    <row r="12297">
      <c r="A12297" s="4" t="s">
        <v>15470</v>
      </c>
      <c r="B12297" s="4" t="s">
        <v>15472</v>
      </c>
      <c r="C12297" s="5" t="str">
        <f>IFERROR(__xludf.DUMMYFUNCTION("GOOGLETRANSLATE(B12297,""en"",""fr"")"),"Une femme est à l'extérieur, pelleter la neige.")</f>
        <v>Une femme est à l'extérieur, pelleter la neige.</v>
      </c>
    </row>
    <row r="12298">
      <c r="A12298" s="4" t="s">
        <v>15470</v>
      </c>
      <c r="B12298" s="4" t="s">
        <v>15473</v>
      </c>
      <c r="C12298" s="5" t="str">
        <f>IFERROR(__xludf.DUMMYFUNCTION("GOOGLETRANSLATE(B12298,""en"",""fr"")"),"Un chien remue sa queue alors qu'il essaie d'aider.")</f>
        <v>Un chien remue sa queue alors qu'il essaie d'aider.</v>
      </c>
    </row>
    <row r="12299">
      <c r="A12299" s="4" t="s">
        <v>15474</v>
      </c>
      <c r="B12299" s="4" t="s">
        <v>15475</v>
      </c>
      <c r="C12299" s="5" t="str">
        <f>IFERROR(__xludf.DUMMYFUNCTION("GOOGLETRANSLATE(B12299,""en"",""fr"")"),"Un groupe d'hommes est à l'extérieur dans un grand champ sur des chevaux jouant à un jeu de polo.")</f>
        <v>Un groupe d'hommes est à l'extérieur dans un grand champ sur des chevaux jouant à un jeu de polo.</v>
      </c>
    </row>
    <row r="12300">
      <c r="A12300" s="4" t="s">
        <v>15474</v>
      </c>
      <c r="B12300" s="6" t="s">
        <v>15476</v>
      </c>
      <c r="C12300" s="5" t="str">
        <f>IFERROR(__xludf.DUMMYFUNCTION("GOOGLETRANSLATE(B12300,""en"",""fr"")"),"Le joueur numéro trois emmène le ballon jusqu'au bout du terrain et il est ensuite suivi par quatre autres personnes.")</f>
        <v>Le joueur numéro trois emmène le ballon jusqu'au bout du terrain et il est ensuite suivi par quatre autres personnes.</v>
      </c>
    </row>
    <row r="12301">
      <c r="A12301" s="4" t="s">
        <v>15474</v>
      </c>
      <c r="B12301" s="6" t="s">
        <v>15477</v>
      </c>
      <c r="C12301" s="5" t="str">
        <f>IFERROR(__xludf.DUMMYFUNCTION("GOOGLETRANSLATE(B12301,""en"",""fr"")"),"Une fois qu'ils ont quitté la fin du terrain, ils commencent tous à trotter au milieu par l'arbitre sur un cheval.")</f>
        <v>Une fois qu'ils ont quitté la fin du terrain, ils commencent tous à trotter au milieu par l'arbitre sur un cheval.</v>
      </c>
    </row>
    <row r="12302">
      <c r="A12302" s="4" t="s">
        <v>15478</v>
      </c>
      <c r="B12302" s="4" t="s">
        <v>15479</v>
      </c>
      <c r="C12302" s="5" t="str">
        <f>IFERROR(__xludf.DUMMYFUNCTION("GOOGLETRANSLATE(B12302,""en"",""fr"")"),"Plusieurs plans sont montrés des signes et des paysages et conduit à une personne liant une corde.")</f>
        <v>Plusieurs plans sont montrés des signes et des paysages et conduit à une personne liant une corde.</v>
      </c>
    </row>
    <row r="12303">
      <c r="A12303" s="4" t="s">
        <v>15478</v>
      </c>
      <c r="B12303" s="6" t="s">
        <v>15480</v>
      </c>
      <c r="C12303" s="5" t="str">
        <f>IFERROR(__xludf.DUMMYFUNCTION("GOOGLETRANSLATE(B12303,""en"",""fr"")"),"Plusieurs personnes sont vues errer et souriant à la caméra ainsi que grimper un rocher.")</f>
        <v>Plusieurs personnes sont vues errer et souriant à la caméra ainsi que grimper un rocher.</v>
      </c>
    </row>
    <row r="12304">
      <c r="A12304" s="4" t="s">
        <v>15478</v>
      </c>
      <c r="B12304" s="4" t="s">
        <v>15481</v>
      </c>
      <c r="C12304" s="5" t="str">
        <f>IFERROR(__xludf.DUMMYFUNCTION("GOOGLETRANSLATE(B12304,""en"",""fr"")"),"Plus de gens sont vus grimper sur le rocher ainsi qu'un homme qui descendit.")</f>
        <v>Plus de gens sont vus grimper sur le rocher ainsi qu'un homme qui descendit.</v>
      </c>
    </row>
    <row r="12305">
      <c r="A12305" s="4" t="s">
        <v>15482</v>
      </c>
      <c r="B12305" s="4" t="s">
        <v>15483</v>
      </c>
      <c r="C12305" s="5" t="str">
        <f>IFERROR(__xludf.DUMMYFUNCTION("GOOGLETRANSLATE(B12305,""en"",""fr"")"),"Les deux personnes tendent les mains pour commencer un match de lutte de bras.")</f>
        <v>Les deux personnes tendent les mains pour commencer un match de lutte de bras.</v>
      </c>
    </row>
    <row r="12306">
      <c r="A12306" s="4" t="s">
        <v>15482</v>
      </c>
      <c r="B12306" s="4" t="s">
        <v>15484</v>
      </c>
      <c r="C12306" s="5" t="str">
        <f>IFERROR(__xludf.DUMMYFUNCTION("GOOGLETRANSLATE(B12306,""en"",""fr"")"),"Les femmes rivalisent dans un match de lutte de bras assis à une table.")</f>
        <v>Les femmes rivalisent dans un match de lutte de bras assis à une table.</v>
      </c>
    </row>
    <row r="12307">
      <c r="A12307" s="4" t="s">
        <v>15482</v>
      </c>
      <c r="B12307" s="4" t="s">
        <v>15485</v>
      </c>
      <c r="C12307" s="5" t="str">
        <f>IFERROR(__xludf.DUMMYFUNCTION("GOOGLETRANSLATE(B12307,""en"",""fr"")"),"Les femmes changent les mains et se battent avec leurs mains gauche.")</f>
        <v>Les femmes changent les mains et se battent avec leurs mains gauche.</v>
      </c>
    </row>
    <row r="12308">
      <c r="A12308" s="4" t="s">
        <v>15482</v>
      </c>
      <c r="B12308" s="4" t="s">
        <v>15486</v>
      </c>
      <c r="C12308" s="5" t="str">
        <f>IFERROR(__xludf.DUMMYFUNCTION("GOOGLETRANSLATE(B12308,""en"",""fr"")"),"Les femmes ont un match revanche avec leurs mains dominées.")</f>
        <v>Les femmes ont un match revanche avec leurs mains dominées.</v>
      </c>
    </row>
    <row r="12309">
      <c r="A12309" s="4" t="s">
        <v>15482</v>
      </c>
      <c r="B12309" s="4" t="s">
        <v>15487</v>
      </c>
      <c r="C12309" s="5" t="str">
        <f>IFERROR(__xludf.DUMMYFUNCTION("GOOGLETRANSLATE(B12309,""en"",""fr"")"),"Les deux athlètes fléchissent leurs bras.")</f>
        <v>Les deux athlètes fléchissent leurs bras.</v>
      </c>
    </row>
    <row r="12310">
      <c r="A12310" s="4" t="s">
        <v>15488</v>
      </c>
      <c r="B12310" s="6" t="s">
        <v>15489</v>
      </c>
      <c r="C12310" s="5" t="str">
        <f>IFERROR(__xludf.DUMMYFUNCTION("GOOGLETRANSLATE(B12310,""en"",""fr"")"),"Il y a un plongeur portant des troncs de natation jaunes plongeant à partir d'une plongée dans une piscine intérieure.")</f>
        <v>Il y a un plongeur portant des troncs de natation jaunes plongeant à partir d'une plongée dans une piscine intérieure.</v>
      </c>
    </row>
    <row r="12311">
      <c r="A12311" s="4" t="s">
        <v>15488</v>
      </c>
      <c r="B12311" s="6" t="s">
        <v>15490</v>
      </c>
      <c r="C12311" s="5" t="str">
        <f>IFERROR(__xludf.DUMMYFUNCTION("GOOGLETRANSLATE(B12311,""en"",""fr"")"),"Il saute à plusieurs reprises de la plongée alors que d'autres personnes nagent tranquillement dans la piscine.")</f>
        <v>Il saute à plusieurs reprises de la plongée alors que d'autres personnes nagent tranquillement dans la piscine.</v>
      </c>
    </row>
    <row r="12312">
      <c r="A12312" s="4" t="s">
        <v>15488</v>
      </c>
      <c r="B12312" s="6" t="s">
        <v>15491</v>
      </c>
      <c r="C12312" s="5" t="str">
        <f>IFERROR(__xludf.DUMMYFUNCTION("GOOGLETRANSLATE(B12312,""en"",""fr"")"),"Il fait les mouvements de plongée en arrière et en avant alors qu'un autre jeune homme le regarde plonger dans la piscine.")</f>
        <v>Il fait les mouvements de plongée en arrière et en avant alors qu'un autre jeune homme le regarde plonger dans la piscine.</v>
      </c>
    </row>
    <row r="12313">
      <c r="A12313" s="4" t="s">
        <v>15488</v>
      </c>
      <c r="B12313" s="4" t="s">
        <v>15492</v>
      </c>
      <c r="C12313" s="5" t="str">
        <f>IFERROR(__xludf.DUMMYFUNCTION("GOOGLETRANSLATE(B12313,""en"",""fr"")"),"Puis un autre jeune homme plonge du même bascule de plongée.")</f>
        <v>Puis un autre jeune homme plonge du même bascule de plongée.</v>
      </c>
    </row>
    <row r="12314">
      <c r="A12314" s="4" t="s">
        <v>15488</v>
      </c>
      <c r="B12314" s="4" t="s">
        <v>15493</v>
      </c>
      <c r="C12314" s="5" t="str">
        <f>IFERROR(__xludf.DUMMYFUNCTION("GOOGLETRANSLATE(B12314,""en"",""fr"")"),"Ils font tous les deux le mouvement de la plongée vers l'avant.")</f>
        <v>Ils font tous les deux le mouvement de la plongée vers l'avant.</v>
      </c>
    </row>
    <row r="12315">
      <c r="A12315" s="4" t="s">
        <v>15488</v>
      </c>
      <c r="B12315" s="4" t="s">
        <v>15494</v>
      </c>
      <c r="C12315" s="5" t="str">
        <f>IFERROR(__xludf.DUMMYFUNCTION("GOOGLETRANSLATE(B12315,""en"",""fr"")"),"Un autre plongeur monte beaucoup plus haut et plonge directement dans la piscine.")</f>
        <v>Un autre plongeur monte beaucoup plus haut et plonge directement dans la piscine.</v>
      </c>
    </row>
    <row r="12316">
      <c r="A12316" s="4" t="s">
        <v>15495</v>
      </c>
      <c r="B12316" s="4" t="s">
        <v>15496</v>
      </c>
      <c r="C12316" s="5" t="str">
        <f>IFERROR(__xludf.DUMMYFUNCTION("GOOGLETRANSLATE(B12316,""en"",""fr"")"),"Une jeune fille est vue assise devant une caméra et présente divers objets à ongles à la caméra.")</f>
        <v>Une jeune fille est vue assise devant une caméra et présente divers objets à ongles à la caméra.</v>
      </c>
    </row>
    <row r="12317">
      <c r="A12317" s="4" t="s">
        <v>15495</v>
      </c>
      <c r="B12317" s="6" t="s">
        <v>15497</v>
      </c>
      <c r="C12317" s="5" t="str">
        <f>IFERROR(__xludf.DUMMYFUNCTION("GOOGLETRANSLATE(B12317,""en"",""fr"")"),"Elle commence ensuite à peindre tous ses ongles et termine la vidéo avec diverses photos d'elle et de ses ongles.")</f>
        <v>Elle commence ensuite à peindre tous ses ongles et termine la vidéo avec diverses photos d'elle et de ses ongles.</v>
      </c>
    </row>
    <row r="12318">
      <c r="A12318" s="4" t="s">
        <v>15498</v>
      </c>
      <c r="B12318" s="4" t="s">
        <v>15499</v>
      </c>
      <c r="C12318" s="5" t="str">
        <f>IFERROR(__xludf.DUMMYFUNCTION("GOOGLETRANSLATE(B12318,""en"",""fr"")"),"Un petit garçon dans une chemise jaune tient un bâton à volants jaunes.")</f>
        <v>Un petit garçon dans une chemise jaune tient un bâton à volants jaunes.</v>
      </c>
    </row>
    <row r="12319">
      <c r="A12319" s="4" t="s">
        <v>15498</v>
      </c>
      <c r="B12319" s="6" t="s">
        <v>15500</v>
      </c>
      <c r="C12319" s="5" t="str">
        <f>IFERROR(__xludf.DUMMYFUNCTION("GOOGLETRANSLATE(B12319,""en"",""fr"")"),"Il essaie de frapper la suspension de Batman Pinata, il a raté puis il l'a frappé, il fait le tour de la pinata pour le frapper.")</f>
        <v>Il essaie de frapper la suspension de Batman Pinata, il a raté puis il l'a frappé, il fait le tour de la pinata pour le frapper.</v>
      </c>
    </row>
    <row r="12320">
      <c r="A12320" s="4" t="s">
        <v>15501</v>
      </c>
      <c r="B12320" s="4" t="s">
        <v>15502</v>
      </c>
      <c r="C12320" s="5" t="str">
        <f>IFERROR(__xludf.DUMMYFUNCTION("GOOGLETRANSLATE(B12320,""en"",""fr"")"),"Une personne pousse une charrue de neige dans la neige.")</f>
        <v>Une personne pousse une charrue de neige dans la neige.</v>
      </c>
    </row>
    <row r="12321">
      <c r="A12321" s="4" t="s">
        <v>15501</v>
      </c>
      <c r="B12321" s="4" t="s">
        <v>15503</v>
      </c>
      <c r="C12321" s="5" t="str">
        <f>IFERROR(__xludf.DUMMYFUNCTION("GOOGLETRANSLATE(B12321,""en"",""fr"")"),"Ils nettoient un chemin sur un trottoir.")</f>
        <v>Ils nettoient un chemin sur un trottoir.</v>
      </c>
    </row>
    <row r="12322">
      <c r="A12322" s="4" t="s">
        <v>15501</v>
      </c>
      <c r="B12322" s="4" t="s">
        <v>15504</v>
      </c>
      <c r="C12322" s="5" t="str">
        <f>IFERROR(__xludf.DUMMYFUNCTION("GOOGLETRANSLATE(B12322,""en"",""fr"")"),"Une voiture blanche plonge dans la rue.")</f>
        <v>Une voiture blanche plonge dans la rue.</v>
      </c>
    </row>
    <row r="12323">
      <c r="A12323" s="4" t="s">
        <v>15505</v>
      </c>
      <c r="B12323" s="6" t="s">
        <v>15506</v>
      </c>
      <c r="C12323" s="5" t="str">
        <f>IFERROR(__xludf.DUMMYFUNCTION("GOOGLETRANSLATE(B12323,""en"",""fr"")"),"Un petit groupe de personnes est vu en train de tirer dans un bac quand un autre est vu en ratissant autour de l'arbre.")</f>
        <v>Un petit groupe de personnes est vu en train de tirer dans un bac quand un autre est vu en ratissant autour de l'arbre.</v>
      </c>
    </row>
    <row r="12324">
      <c r="A12324" s="4" t="s">
        <v>15505</v>
      </c>
      <c r="B12324" s="6" t="s">
        <v>15507</v>
      </c>
      <c r="C12324" s="5" t="str">
        <f>IFERROR(__xludf.DUMMYFUNCTION("GOOGLETRANSLATE(B12324,""en"",""fr"")"),"Ils continuent de se gratter du paillis tout en mesurant la zone et mène à une seule coupe de l'herbe autour de l'arbre.")</f>
        <v>Ils continuent de se gratter du paillis tout en mesurant la zone et mène à une seule coupe de l'herbe autour de l'arbre.</v>
      </c>
    </row>
    <row r="12325">
      <c r="A12325" s="4" t="s">
        <v>15505</v>
      </c>
      <c r="B12325" s="4" t="s">
        <v>15508</v>
      </c>
      <c r="C12325" s="5" t="str">
        <f>IFERROR(__xludf.DUMMYFUNCTION("GOOGLETRANSLATE(B12325,""en"",""fr"")"),"Ils disposent plus de saleté uniformément tandis que certains saisissent des sacs derrière eux.")</f>
        <v>Ils disposent plus de saleté uniformément tandis que certains saisissent des sacs derrière eux.</v>
      </c>
    </row>
    <row r="12326">
      <c r="A12326" s="4" t="s">
        <v>15509</v>
      </c>
      <c r="B12326" s="4" t="s">
        <v>15510</v>
      </c>
      <c r="C12326" s="5" t="str">
        <f>IFERROR(__xludf.DUMMYFUNCTION("GOOGLETRANSLATE(B12326,""en"",""fr"")"),"Une personne tient une tasse de café dans une piscine de koi.")</f>
        <v>Une personne tient une tasse de café dans une piscine de koi.</v>
      </c>
    </row>
    <row r="12327">
      <c r="A12327" s="4" t="s">
        <v>15509</v>
      </c>
      <c r="B12327" s="4" t="s">
        <v>15511</v>
      </c>
      <c r="C12327" s="5" t="str">
        <f>IFERROR(__xludf.DUMMYFUNCTION("GOOGLETRANSLATE(B12327,""en"",""fr"")"),"Le koi nage vers la tasse de café.")</f>
        <v>Le koi nage vers la tasse de café.</v>
      </c>
    </row>
    <row r="12328">
      <c r="A12328" s="4" t="s">
        <v>15512</v>
      </c>
      <c r="B12328" s="4" t="s">
        <v>15513</v>
      </c>
      <c r="C12328" s="5" t="str">
        <f>IFERROR(__xludf.DUMMYFUNCTION("GOOGLETRANSLATE(B12328,""en"",""fr"")"),"Une femme est sur un terrain jouant avec un bâton.")</f>
        <v>Une femme est sur un terrain jouant avec un bâton.</v>
      </c>
    </row>
    <row r="12329">
      <c r="A12329" s="4" t="s">
        <v>15512</v>
      </c>
      <c r="B12329" s="4" t="s">
        <v>15514</v>
      </c>
      <c r="C12329" s="5" t="str">
        <f>IFERROR(__xludf.DUMMYFUNCTION("GOOGLETRANSLATE(B12329,""en"",""fr"")"),"Elle frappe une balle sur le terrain.")</f>
        <v>Elle frappe une balle sur le terrain.</v>
      </c>
    </row>
    <row r="12330">
      <c r="A12330" s="4" t="s">
        <v>15512</v>
      </c>
      <c r="B12330" s="4" t="s">
        <v>15515</v>
      </c>
      <c r="C12330" s="5" t="str">
        <f>IFERROR(__xludf.DUMMYFUNCTION("GOOGLETRANSLATE(B12330,""en"",""fr"")"),"Elle montre comment se balancer et frapper le ballon.")</f>
        <v>Elle montre comment se balancer et frapper le ballon.</v>
      </c>
    </row>
    <row r="12331">
      <c r="A12331" s="4" t="s">
        <v>15516</v>
      </c>
      <c r="B12331" s="4" t="s">
        <v>15517</v>
      </c>
      <c r="C12331" s="5" t="str">
        <f>IFERROR(__xludf.DUMMYFUNCTION("GOOGLETRANSLATE(B12331,""en"",""fr"")"),"Un homme court vers une poutre et saute par-dessus plusieurs fois.")</f>
        <v>Un homme court vers une poutre et saute par-dessus plusieurs fois.</v>
      </c>
    </row>
    <row r="12332">
      <c r="A12332" s="4" t="s">
        <v>15516</v>
      </c>
      <c r="B12332" s="4" t="s">
        <v>15518</v>
      </c>
      <c r="C12332" s="5" t="str">
        <f>IFERROR(__xludf.DUMMYFUNCTION("GOOGLETRANSLATE(B12332,""en"",""fr"")"),"Il fait au moins six tentatives.")</f>
        <v>Il fait au moins six tentatives.</v>
      </c>
    </row>
    <row r="12333">
      <c r="A12333" s="4" t="s">
        <v>15519</v>
      </c>
      <c r="B12333" s="4" t="s">
        <v>15520</v>
      </c>
      <c r="C12333" s="5" t="str">
        <f>IFERROR(__xludf.DUMMYFUNCTION("GOOGLETRANSLATE(B12333,""en"",""fr"")"),"Les femmes en justaucorps dansent ensemble en ligne.")</f>
        <v>Les femmes en justaucorps dansent ensemble en ligne.</v>
      </c>
    </row>
    <row r="12334">
      <c r="A12334" s="4" t="s">
        <v>15519</v>
      </c>
      <c r="B12334" s="4" t="s">
        <v>15521</v>
      </c>
      <c r="C12334" s="5" t="str">
        <f>IFERROR(__xludf.DUMMYFUNCTION("GOOGLETRANSLATE(B12334,""en"",""fr"")"),"Les femmes sautent dans la piscine.")</f>
        <v>Les femmes sautent dans la piscine.</v>
      </c>
    </row>
    <row r="12335">
      <c r="A12335" s="4" t="s">
        <v>15519</v>
      </c>
      <c r="B12335" s="4" t="s">
        <v>15522</v>
      </c>
      <c r="C12335" s="5" t="str">
        <f>IFERROR(__xludf.DUMMYFUNCTION("GOOGLETRANSLATE(B12335,""en"",""fr"")"),"Les femmes synchronisent la danse dans la piscine.")</f>
        <v>Les femmes synchronisent la danse dans la piscine.</v>
      </c>
    </row>
    <row r="12336">
      <c r="A12336" s="4" t="s">
        <v>15519</v>
      </c>
      <c r="B12336" s="4" t="s">
        <v>15523</v>
      </c>
      <c r="C12336" s="5" t="str">
        <f>IFERROR(__xludf.DUMMYFUNCTION("GOOGLETRANSLATE(B12336,""en"",""fr"")"),"Les annonceurs parlent à la caméra.")</f>
        <v>Les annonceurs parlent à la caméra.</v>
      </c>
    </row>
    <row r="12337">
      <c r="A12337" s="4" t="s">
        <v>15519</v>
      </c>
      <c r="B12337" s="4" t="s">
        <v>15524</v>
      </c>
      <c r="C12337" s="5" t="str">
        <f>IFERROR(__xludf.DUMMYFUNCTION("GOOGLETRANSLATE(B12337,""en"",""fr"")"),"Les hommes du côté de la piscine parlent.")</f>
        <v>Les hommes du côté de la piscine parlent.</v>
      </c>
    </row>
    <row r="12338">
      <c r="A12338" s="4" t="s">
        <v>15519</v>
      </c>
      <c r="B12338" s="4" t="s">
        <v>15525</v>
      </c>
      <c r="C12338" s="5" t="str">
        <f>IFERROR(__xludf.DUMMYFUNCTION("GOOGLETRANSLATE(B12338,""en"",""fr"")"),"L'homme en jaune parle à la caméra.")</f>
        <v>L'homme en jaune parle à la caméra.</v>
      </c>
    </row>
    <row r="12339">
      <c r="A12339" s="4" t="s">
        <v>15519</v>
      </c>
      <c r="B12339" s="4" t="s">
        <v>15526</v>
      </c>
      <c r="C12339" s="5" t="str">
        <f>IFERROR(__xludf.DUMMYFUNCTION("GOOGLETRANSLATE(B12339,""en"",""fr"")"),"L'homme en justaucorps rose saute de la piscine.")</f>
        <v>L'homme en justaucorps rose saute de la piscine.</v>
      </c>
    </row>
    <row r="12340">
      <c r="A12340" s="4" t="s">
        <v>15527</v>
      </c>
      <c r="B12340" s="4" t="s">
        <v>15528</v>
      </c>
      <c r="C12340" s="5" t="str">
        <f>IFERROR(__xludf.DUMMYFUNCTION("GOOGLETRANSLATE(B12340,""en"",""fr"")"),"Un garçon se tient sur un terrain avec un tir mis en main.")</f>
        <v>Un garçon se tient sur un terrain avec un tir mis en main.</v>
      </c>
    </row>
    <row r="12341">
      <c r="A12341" s="4" t="s">
        <v>15527</v>
      </c>
      <c r="B12341" s="4" t="s">
        <v>15529</v>
      </c>
      <c r="C12341" s="5" t="str">
        <f>IFERROR(__xludf.DUMMYFUNCTION("GOOGLETRANSLATE(B12341,""en"",""fr"")"),"Le garçon commence à tourner.")</f>
        <v>Le garçon commence à tourner.</v>
      </c>
    </row>
    <row r="12342">
      <c r="A12342" s="4" t="s">
        <v>15527</v>
      </c>
      <c r="B12342" s="4" t="s">
        <v>15530</v>
      </c>
      <c r="C12342" s="5" t="str">
        <f>IFERROR(__xludf.DUMMYFUNCTION("GOOGLETRANSLATE(B12342,""en"",""fr"")"),"Le garçon lance le lancer du poids.")</f>
        <v>Le garçon lance le lancer du poids.</v>
      </c>
    </row>
    <row r="12343">
      <c r="A12343" s="4" t="s">
        <v>15527</v>
      </c>
      <c r="B12343" s="4" t="s">
        <v>15531</v>
      </c>
      <c r="C12343" s="5" t="str">
        <f>IFERROR(__xludf.DUMMYFUNCTION("GOOGLETRANSLATE(B12343,""en"",""fr"")"),"Les tours et lance un autre lancer du poids.")</f>
        <v>Les tours et lance un autre lancer du poids.</v>
      </c>
    </row>
    <row r="12344">
      <c r="A12344" s="4" t="s">
        <v>15532</v>
      </c>
      <c r="B12344" s="6" t="s">
        <v>15533</v>
      </c>
      <c r="C12344" s="5" t="str">
        <f>IFERROR(__xludf.DUMMYFUNCTION("GOOGLETRANSLATE(B12344,""en"",""fr"")"),"Une entreprise de rénovation de meubles annonce ses services en montrant plusieurs maisons et outils sur lesquels ils ont travaillé et utilisé et quel type de travail ils font.")</f>
        <v>Une entreprise de rénovation de meubles annonce ses services en montrant plusieurs maisons et outils sur lesquels ils ont travaillé et utilisé et quel type de travail ils font.</v>
      </c>
    </row>
    <row r="12345">
      <c r="A12345" s="4" t="s">
        <v>15532</v>
      </c>
      <c r="B12345" s="4" t="s">
        <v>15534</v>
      </c>
      <c r="C12345" s="5" t="str">
        <f>IFERROR(__xludf.DUMMYFUNCTION("GOOGLETRANSLATE(B12345,""en"",""fr"")"),"Un homme dans un tablier met soigneusement une substance colorée sur une assiette.")</f>
        <v>Un homme dans un tablier met soigneusement une substance colorée sur une assiette.</v>
      </c>
    </row>
    <row r="12346">
      <c r="A12346" s="4" t="s">
        <v>15532</v>
      </c>
      <c r="B12346" s="4" t="s">
        <v>15535</v>
      </c>
      <c r="C12346" s="5" t="str">
        <f>IFERROR(__xludf.DUMMYFUNCTION("GOOGLETRANSLATE(B12346,""en"",""fr"")"),"L'homme mélange deux des différentes substances de couleur avec un pinceau.")</f>
        <v>L'homme mélange deux des différentes substances de couleur avec un pinceau.</v>
      </c>
    </row>
    <row r="12347">
      <c r="A12347" s="4" t="s">
        <v>15532</v>
      </c>
      <c r="B12347" s="6" t="s">
        <v>15536</v>
      </c>
      <c r="C12347" s="5" t="str">
        <f>IFERROR(__xludf.DUMMYFUNCTION("GOOGLETRANSLATE(B12347,""en"",""fr"")"),"L'homme touche soigneusement le pinceau à une ancienne partie des parties de coloration de la table qui ont été endommagées.")</f>
        <v>L'homme touche soigneusement le pinceau à une ancienne partie des parties de coloration de la table qui ont été endommagées.</v>
      </c>
    </row>
    <row r="12348">
      <c r="A12348" s="4" t="s">
        <v>15532</v>
      </c>
      <c r="B12348" s="4" t="s">
        <v>15537</v>
      </c>
      <c r="C12348" s="5" t="str">
        <f>IFERROR(__xludf.DUMMYFUNCTION("GOOGLETRANSLATE(B12348,""en"",""fr"")"),"Un homme différent dans un tablier et un masque facial plie une vieille table.")</f>
        <v>Un homme différent dans un tablier et un masque facial plie une vieille table.</v>
      </c>
    </row>
    <row r="12349">
      <c r="A12349" s="4" t="s">
        <v>15532</v>
      </c>
      <c r="B12349" s="4" t="s">
        <v>15538</v>
      </c>
      <c r="C12349" s="5" t="str">
        <f>IFERROR(__xludf.DUMMYFUNCTION("GOOGLETRANSLATE(B12349,""en"",""fr"")"),"L'homme met ensuite le vernis sur un chiffon et polisse la table.")</f>
        <v>L'homme met ensuite le vernis sur un chiffon et polisse la table.</v>
      </c>
    </row>
    <row r="12350">
      <c r="A12350" s="4" t="s">
        <v>15532</v>
      </c>
      <c r="B12350" s="4" t="s">
        <v>15539</v>
      </c>
      <c r="C12350" s="5" t="str">
        <f>IFERROR(__xludf.DUMMYFUNCTION("GOOGLETRANSLATE(B12350,""en"",""fr"")"),"L'homme polit une vieille table différente.")</f>
        <v>L'homme polit une vieille table différente.</v>
      </c>
    </row>
    <row r="12351">
      <c r="A12351" s="4" t="s">
        <v>15532</v>
      </c>
      <c r="B12351" s="4" t="s">
        <v>15540</v>
      </c>
      <c r="C12351" s="5" t="str">
        <f>IFERROR(__xludf.DUMMYFUNCTION("GOOGLETRANSLATE(B12351,""en"",""fr"")"),"Des informations sur la façon d'atteindre la société de restauration sont affichées.")</f>
        <v>Des informations sur la façon d'atteindre la société de restauration sont affichées.</v>
      </c>
    </row>
    <row r="12352">
      <c r="A12352" s="4" t="s">
        <v>15541</v>
      </c>
      <c r="B12352" s="4" t="s">
        <v>15542</v>
      </c>
      <c r="C12352" s="5" t="str">
        <f>IFERROR(__xludf.DUMMYFUNCTION("GOOGLETRANSLATE(B12352,""en"",""fr"")"),"Une femme est vue debout à côté d'une fille assise en brossant les cheveux.")</f>
        <v>Une femme est vue debout à côté d'une fille assise en brossant les cheveux.</v>
      </c>
    </row>
    <row r="12353">
      <c r="A12353" s="4" t="s">
        <v>15541</v>
      </c>
      <c r="B12353" s="4" t="s">
        <v>15543</v>
      </c>
      <c r="C12353" s="5" t="str">
        <f>IFERROR(__xludf.DUMMYFUNCTION("GOOGLETRANSLATE(B12353,""en"",""fr"")"),"Un garçon regarde sur le côté tandis que la femme continue de brosser les cheveux.")</f>
        <v>Un garçon regarde sur le côté tandis que la femme continue de brosser les cheveux.</v>
      </c>
    </row>
    <row r="12354">
      <c r="A12354" s="4" t="s">
        <v>15541</v>
      </c>
      <c r="B12354" s="4" t="s">
        <v>15544</v>
      </c>
      <c r="C12354" s="5" t="str">
        <f>IFERROR(__xludf.DUMMYFUNCTION("GOOGLETRANSLATE(B12354,""en"",""fr"")"),"La femme parle à la fille tout en faisant couler la brosse sur ses cheveux.")</f>
        <v>La femme parle à la fille tout en faisant couler la brosse sur ses cheveux.</v>
      </c>
    </row>
    <row r="12355">
      <c r="A12355" s="4" t="s">
        <v>15545</v>
      </c>
      <c r="B12355" s="6" t="s">
        <v>15546</v>
      </c>
      <c r="C12355" s="5" t="str">
        <f>IFERROR(__xludf.DUMMYFUNCTION("GOOGLETRANSLATE(B12355,""en"",""fr"")"),"Un homme vêtu d'un costume noir et d'une femme vêtu d'une robe noire danse ensemble à la musique latino.")</f>
        <v>Un homme vêtu d'un costume noir et d'une femme vêtu d'une robe noire danse ensemble à la musique latino.</v>
      </c>
    </row>
    <row r="12356">
      <c r="A12356" s="4" t="s">
        <v>15545</v>
      </c>
      <c r="B12356" s="4" t="s">
        <v>15547</v>
      </c>
      <c r="C12356" s="5" t="str">
        <f>IFERROR(__xludf.DUMMYFUNCTION("GOOGLETRANSLATE(B12356,""en"",""fr"")"),"Ils font une combinaison de danse de salle de bal et de valse.")</f>
        <v>Ils font une combinaison de danse de salle de bal et de valse.</v>
      </c>
    </row>
    <row r="12357">
      <c r="A12357" s="4" t="s">
        <v>15545</v>
      </c>
      <c r="B12357" s="6" t="s">
        <v>15548</v>
      </c>
      <c r="C12357" s="5" t="str">
        <f>IFERROR(__xludf.DUMMYFUNCTION("GOOGLETRANSLATE(B12357,""en"",""fr"")"),"Ils dansent sur le trottoir d'une ville où il y a plusieurs passants qui les observent et les regardent danser.")</f>
        <v>Ils dansent sur le trottoir d'une ville où il y a plusieurs passants qui les observent et les regardent danser.</v>
      </c>
    </row>
    <row r="12358">
      <c r="A12358" s="4" t="s">
        <v>15545</v>
      </c>
      <c r="B12358" s="4" t="s">
        <v>15549</v>
      </c>
      <c r="C12358" s="5" t="str">
        <f>IFERROR(__xludf.DUMMYFUNCTION("GOOGLETRANSLATE(B12358,""en"",""fr"")"),"Ils continuent de danser main dans la main à la musique.")</f>
        <v>Ils continuent de danser main dans la main à la musique.</v>
      </c>
    </row>
    <row r="12359">
      <c r="A12359" s="4" t="s">
        <v>15545</v>
      </c>
      <c r="B12359" s="4" t="s">
        <v>15550</v>
      </c>
      <c r="C12359" s="5" t="str">
        <f>IFERROR(__xludf.DUMMYFUNCTION("GOOGLETRANSLATE(B12359,""en"",""fr"")"),"Un groupe de personnes debout à droite commence à les applaudir.")</f>
        <v>Un groupe de personnes debout à droite commence à les applaudir.</v>
      </c>
    </row>
    <row r="12360">
      <c r="A12360" s="4" t="s">
        <v>15545</v>
      </c>
      <c r="B12360" s="4" t="s">
        <v>15551</v>
      </c>
      <c r="C12360" s="5" t="str">
        <f>IFERROR(__xludf.DUMMYFUNCTION("GOOGLETRANSLATE(B12360,""en"",""fr"")"),"Le couple continue de tourbillonner et de tournoyer alors que la musique joue et plus de gens dans la foule applaudissent.")</f>
        <v>Le couple continue de tourbillonner et de tournoyer alors que la musique joue et plus de gens dans la foule applaudissent.</v>
      </c>
    </row>
    <row r="12361">
      <c r="A12361" s="4" t="s">
        <v>15545</v>
      </c>
      <c r="B12361" s="4" t="s">
        <v>15552</v>
      </c>
      <c r="C12361" s="5" t="str">
        <f>IFERROR(__xludf.DUMMYFUNCTION("GOOGLETRANSLATE(B12361,""en"",""fr"")"),"La dame saute enfin dans les bras de l'homme alors que la musique se termine.")</f>
        <v>La dame saute enfin dans les bras de l'homme alors que la musique se termine.</v>
      </c>
    </row>
    <row r="12362">
      <c r="A12362" s="4" t="s">
        <v>15545</v>
      </c>
      <c r="B12362" s="4" t="s">
        <v>15553</v>
      </c>
      <c r="C12362" s="5" t="str">
        <f>IFERROR(__xludf.DUMMYFUNCTION("GOOGLETRANSLATE(B12362,""en"",""fr"")"),"La foule applaudit et applaudit bruyamment au couple.")</f>
        <v>La foule applaudit et applaudit bruyamment au couple.</v>
      </c>
    </row>
    <row r="12363">
      <c r="A12363" s="4" t="s">
        <v>15554</v>
      </c>
      <c r="B12363" s="6" t="s">
        <v>15555</v>
      </c>
      <c r="C12363" s="5" t="str">
        <f>IFERROR(__xludf.DUMMYFUNCTION("GOOGLETRANSLATE(B12363,""en"",""fr"")"),"Comment expo montre comment faire une salade de trois haricots avec des haricots noirs, des haricots garbanzo et des haricots rénaux.")</f>
        <v>Comment expo montre comment faire une salade de trois haricots avec des haricots noirs, des haricots garbanzo et des haricots rénaux.</v>
      </c>
    </row>
    <row r="12364">
      <c r="A12364" s="4" t="s">
        <v>15554</v>
      </c>
      <c r="B12364" s="6" t="s">
        <v>15556</v>
      </c>
      <c r="C12364" s="5" t="str">
        <f>IFERROR(__xludf.DUMMYFUNCTION("GOOGLETRANSLATE(B12364,""en"",""fr"")"),"Le présentateur montre de l'ail haché, des oignons hachés et du poivron rouge haché, ainsi que du persil haché et une cuillère à café de cumin.")</f>
        <v>Le présentateur montre de l'ail haché, des oignons hachés et du poivron rouge haché, ainsi que du persil haché et une cuillère à café de cumin.</v>
      </c>
    </row>
    <row r="12365">
      <c r="A12365" s="4" t="s">
        <v>15554</v>
      </c>
      <c r="B12365" s="4" t="s">
        <v>15557</v>
      </c>
      <c r="C12365" s="5" t="str">
        <f>IFERROR(__xludf.DUMMYFUNCTION("GOOGLETRANSLATE(B12365,""en"",""fr"")"),"Elle montre également les ingrédients de vinaigrette comme l'huile d'olive, le vinaigre de vin rouge et le sel.")</f>
        <v>Elle montre également les ingrédients de vinaigrette comme l'huile d'olive, le vinaigre de vin rouge et le sel.</v>
      </c>
    </row>
    <row r="12366">
      <c r="A12366" s="4" t="s">
        <v>15554</v>
      </c>
      <c r="B12366" s="4" t="s">
        <v>15558</v>
      </c>
      <c r="C12366" s="5" t="str">
        <f>IFERROR(__xludf.DUMMYFUNCTION("GOOGLETRANSLATE(B12366,""en"",""fr"")"),"Ensuite, elle prend un grand bol et commence à mélanger tous les ingrédients ensemble.")</f>
        <v>Ensuite, elle prend un grand bol et commence à mélanger tous les ingrédients ensemble.</v>
      </c>
    </row>
    <row r="12367">
      <c r="A12367" s="4" t="s">
        <v>15554</v>
      </c>
      <c r="B12367" s="4" t="s">
        <v>15559</v>
      </c>
      <c r="C12367" s="5" t="str">
        <f>IFERROR(__xludf.DUMMYFUNCTION("GOOGLETRANSLATE(B12367,""en"",""fr"")"),"Elle mélange tout avec les trois types de haricots.")</f>
        <v>Elle mélange tout avec les trois types de haricots.</v>
      </c>
    </row>
    <row r="12368">
      <c r="A12368" s="4" t="s">
        <v>15554</v>
      </c>
      <c r="B12368" s="4" t="s">
        <v>15560</v>
      </c>
      <c r="C12368" s="5" t="str">
        <f>IFERROR(__xludf.DUMMYFUNCTION("GOOGLETRANSLATE(B12368,""en"",""fr"")"),"Elle prend une grande spatule et mélange tout bien.")</f>
        <v>Elle prend une grande spatule et mélange tout bien.</v>
      </c>
    </row>
    <row r="12369">
      <c r="A12369" s="4" t="s">
        <v>15554</v>
      </c>
      <c r="B12369" s="4" t="s">
        <v>15561</v>
      </c>
      <c r="C12369" s="5" t="str">
        <f>IFERROR(__xludf.DUMMYFUNCTION("GOOGLETRANSLATE(B12369,""en"",""fr"")"),"Ensuite, elle prend de l'huile d'olive et du vinaigre et la mélange ensemble pour la vinaigrette.")</f>
        <v>Ensuite, elle prend de l'huile d'olive et du vinaigre et la mélange ensemble pour la vinaigrette.</v>
      </c>
    </row>
    <row r="12370">
      <c r="A12370" s="4" t="s">
        <v>15554</v>
      </c>
      <c r="B12370" s="4" t="s">
        <v>15562</v>
      </c>
      <c r="C12370" s="5" t="str">
        <f>IFERROR(__xludf.DUMMYFUNCTION("GOOGLETRANSLATE(B12370,""en"",""fr"")"),"Elle verse la salade dans une assiette et le dessus est avec la vinaigrette.")</f>
        <v>Elle verse la salade dans une assiette et le dessus est avec la vinaigrette.</v>
      </c>
    </row>
    <row r="12371">
      <c r="A12371" s="4" t="s">
        <v>15563</v>
      </c>
      <c r="B12371" s="6" t="s">
        <v>15564</v>
      </c>
      <c r="C12371" s="5" t="str">
        <f>IFERROR(__xludf.DUMMYFUNCTION("GOOGLETRANSLATE(B12371,""en"",""fr"")"),"Un gars plonge d'une plongée en faisant des flips dans les airs et atterrit dans une mare d'eau, le gars plonge et fait des flips différents à plusieurs reprises.")</f>
        <v>Un gars plonge d'une plongée en faisant des flips dans les airs et atterrit dans une mare d'eau, le gars plonge et fait des flips différents à plusieurs reprises.</v>
      </c>
    </row>
    <row r="12372">
      <c r="A12372" s="4" t="s">
        <v>15563</v>
      </c>
      <c r="B12372" s="4" t="s">
        <v>15565</v>
      </c>
      <c r="C12372" s="5" t="str">
        <f>IFERROR(__xludf.DUMMYFUNCTION("GOOGLETRANSLATE(B12372,""en"",""fr"")"),"L'homme semble pratiquer ses plongées et ses flips de la plongée.")</f>
        <v>L'homme semble pratiquer ses plongées et ses flips de la plongée.</v>
      </c>
    </row>
    <row r="12373">
      <c r="A12373" s="4" t="s">
        <v>15563</v>
      </c>
      <c r="B12373" s="4" t="s">
        <v>15566</v>
      </c>
      <c r="C12373" s="5" t="str">
        <f>IFERROR(__xludf.DUMMYFUNCTION("GOOGLETRANSLATE(B12373,""en"",""fr"")"),"Le gars essaie de sauter son plus haut pour obtenir un meilleur retournement de plongée.")</f>
        <v>Le gars essaie de sauter son plus haut pour obtenir un meilleur retournement de plongée.</v>
      </c>
    </row>
    <row r="12374">
      <c r="A12374" s="4" t="s">
        <v>15567</v>
      </c>
      <c r="B12374" s="4" t="s">
        <v>15568</v>
      </c>
      <c r="C12374" s="5" t="str">
        <f>IFERROR(__xludf.DUMMYFUNCTION("GOOGLETRANSLATE(B12374,""en"",""fr"")"),"Un homme est vu parler à la caméra alors qu'il installe un ski sur un banc de travail à l'intérieur d'une boutique de ski.")</f>
        <v>Un homme est vu parler à la caméra alors qu'il installe un ski sur un banc de travail à l'intérieur d'une boutique de ski.</v>
      </c>
    </row>
    <row r="12375">
      <c r="A12375" s="4" t="s">
        <v>15567</v>
      </c>
      <c r="B12375" s="6" t="s">
        <v>15569</v>
      </c>
      <c r="C12375" s="5" t="str">
        <f>IFERROR(__xludf.DUMMYFUNCTION("GOOGLETRANSLATE(B12375,""en"",""fr"")"),"Après avoir aligné le ski et l'avoir fixé sur le banc, il utilise une carte en plastique et passe au fond du ski trois fois.")</f>
        <v>Après avoir aligné le ski et l'avoir fixé sur le banc, il utilise une carte en plastique et passe au fond du ski trois fois.</v>
      </c>
    </row>
    <row r="12376">
      <c r="A12376" s="4" t="s">
        <v>15567</v>
      </c>
      <c r="B12376" s="4" t="s">
        <v>15570</v>
      </c>
      <c r="C12376" s="5" t="str">
        <f>IFERROR(__xludf.DUMMYFUNCTION("GOOGLETRANSLATE(B12376,""en"",""fr"")"),"Ensuite, il utilise une brosse hérissée et frotte le fond du ski.")</f>
        <v>Ensuite, il utilise une brosse hérissée et frotte le fond du ski.</v>
      </c>
    </row>
    <row r="12377">
      <c r="A12377" s="4" t="s">
        <v>15567</v>
      </c>
      <c r="B12377" s="4" t="s">
        <v>15571</v>
      </c>
      <c r="C12377" s="5" t="str">
        <f>IFERROR(__xludf.DUMMYFUNCTION("GOOGLETRANSLATE(B12377,""en"",""fr"")"),"Enfin, il utilise un pinceau doux et le passe à nouveau sur le ski.")</f>
        <v>Enfin, il utilise un pinceau doux et le passe à nouveau sur le ski.</v>
      </c>
    </row>
    <row r="12378">
      <c r="A12378" s="4" t="s">
        <v>15572</v>
      </c>
      <c r="B12378" s="4" t="s">
        <v>15573</v>
      </c>
      <c r="C12378" s="5" t="str">
        <f>IFERROR(__xludf.DUMMYFUNCTION("GOOGLETRANSLATE(B12378,""en"",""fr"")"),"La vidéo commence par une photo d'écran de titre.")</f>
        <v>La vidéo commence par une photo d'écran de titre.</v>
      </c>
    </row>
    <row r="12379">
      <c r="A12379" s="4" t="s">
        <v>15572</v>
      </c>
      <c r="B12379" s="4" t="s">
        <v>15574</v>
      </c>
      <c r="C12379" s="5" t="str">
        <f>IFERROR(__xludf.DUMMYFUNCTION("GOOGLETRANSLATE(B12379,""en"",""fr"")"),"Un homme en chemise blanche montre l'application de plâtre sur une pièce.")</f>
        <v>Un homme en chemise blanche montre l'application de plâtre sur une pièce.</v>
      </c>
    </row>
    <row r="12380">
      <c r="A12380" s="4" t="s">
        <v>15572</v>
      </c>
      <c r="B12380" s="4" t="s">
        <v>15575</v>
      </c>
      <c r="C12380" s="5" t="str">
        <f>IFERROR(__xludf.DUMMYFUNCTION("GOOGLETRANSLATE(B12380,""en"",""fr"")"),"Comme il applique le plâtre, une voix décrit les techniques utilisées par l'entreprise.")</f>
        <v>Comme il applique le plâtre, une voix décrit les techniques utilisées par l'entreprise.</v>
      </c>
    </row>
    <row r="12381">
      <c r="A12381" s="4" t="s">
        <v>15572</v>
      </c>
      <c r="B12381" s="4" t="s">
        <v>15576</v>
      </c>
      <c r="C12381" s="5" t="str">
        <f>IFERROR(__xludf.DUMMYFUNCTION("GOOGLETRANSLATE(B12381,""en"",""fr"")"),"La vidéo se termine alors que l'homme atteint le bout de la pièce.")</f>
        <v>La vidéo se termine alors que l'homme atteint le bout de la pièce.</v>
      </c>
    </row>
    <row r="12382">
      <c r="A12382" s="4" t="s">
        <v>15577</v>
      </c>
      <c r="B12382" s="4" t="s">
        <v>15578</v>
      </c>
      <c r="C12382" s="5" t="str">
        <f>IFERROR(__xludf.DUMMYFUNCTION("GOOGLETRANSLATE(B12382,""en"",""fr"")"),"Une femme se tient derrière un comptoir dans une cuisine.")</f>
        <v>Une femme se tient derrière un comptoir dans une cuisine.</v>
      </c>
    </row>
    <row r="12383">
      <c r="A12383" s="4" t="s">
        <v>15577</v>
      </c>
      <c r="B12383" s="4" t="s">
        <v>15579</v>
      </c>
      <c r="C12383" s="5" t="str">
        <f>IFERROR(__xludf.DUMMYFUNCTION("GOOGLETRANSLATE(B12383,""en"",""fr"")"),"Elle enlève le couvercle d'un pot de salade.")</f>
        <v>Elle enlève le couvercle d'un pot de salade.</v>
      </c>
    </row>
    <row r="12384">
      <c r="A12384" s="4" t="s">
        <v>15577</v>
      </c>
      <c r="B12384" s="4" t="s">
        <v>15580</v>
      </c>
      <c r="C12384" s="5" t="str">
        <f>IFERROR(__xludf.DUMMYFUNCTION("GOOGLETRANSLATE(B12384,""en"",""fr"")"),"Elle déplace la salade dans un nouveau bol.")</f>
        <v>Elle déplace la salade dans un nouveau bol.</v>
      </c>
    </row>
    <row r="12385">
      <c r="A12385" s="4" t="s">
        <v>15577</v>
      </c>
      <c r="B12385" s="4" t="s">
        <v>15581</v>
      </c>
      <c r="C12385" s="5" t="str">
        <f>IFERROR(__xludf.DUMMYFUNCTION("GOOGLETRANSLATE(B12385,""en"",""fr"")"),"Elle prend la serviette et la met sur la laitue.")</f>
        <v>Elle prend la serviette et la met sur la laitue.</v>
      </c>
    </row>
    <row r="12386">
      <c r="A12386" s="4" t="s">
        <v>15577</v>
      </c>
      <c r="B12386" s="4" t="s">
        <v>15582</v>
      </c>
      <c r="C12386" s="5" t="str">
        <f>IFERROR(__xludf.DUMMYFUNCTION("GOOGLETRANSLATE(B12386,""en"",""fr"")"),"Elle prend la laitue et la met dans un bol en bois.")</f>
        <v>Elle prend la laitue et la met dans un bol en bois.</v>
      </c>
    </row>
    <row r="12387">
      <c r="A12387" s="4" t="s">
        <v>15577</v>
      </c>
      <c r="B12387" s="4" t="s">
        <v>15583</v>
      </c>
      <c r="C12387" s="5" t="str">
        <f>IFERROR(__xludf.DUMMYFUNCTION("GOOGLETRANSLATE(B12387,""en"",""fr"")"),"Elle jette la salade avec deux cuillères.")</f>
        <v>Elle jette la salade avec deux cuillères.</v>
      </c>
    </row>
    <row r="12388">
      <c r="A12388" s="4" t="s">
        <v>15584</v>
      </c>
      <c r="B12388" s="4" t="s">
        <v>15585</v>
      </c>
      <c r="C12388" s="5" t="str">
        <f>IFERROR(__xludf.DUMMYFUNCTION("GOOGLETRANSLATE(B12388,""en"",""fr"")"),"Un ensemble d'enfants est dans les tamponneurs et commence à se conduire et à se frapper.")</f>
        <v>Un ensemble d'enfants est dans les tamponneurs et commence à se conduire et à se frapper.</v>
      </c>
    </row>
    <row r="12389">
      <c r="A12389" s="4" t="s">
        <v>15584</v>
      </c>
      <c r="B12389" s="4" t="s">
        <v>15586</v>
      </c>
      <c r="C12389" s="5" t="str">
        <f>IFERROR(__xludf.DUMMYFUNCTION("GOOGLETRANSLATE(B12389,""en"",""fr"")"),"L'un des jeunes enfants se rend dans le mur et les hommes qui font la conduite aident l'enfant.")</f>
        <v>L'un des jeunes enfants se rend dans le mur et les hommes qui font la conduite aident l'enfant.</v>
      </c>
    </row>
    <row r="12390">
      <c r="A12390" s="4" t="s">
        <v>15587</v>
      </c>
      <c r="B12390" s="4" t="s">
        <v>15588</v>
      </c>
      <c r="C12390" s="5" t="str">
        <f>IFERROR(__xludf.DUMMYFUNCTION("GOOGLETRANSLATE(B12390,""en"",""fr"")"),"Les mots comment appliquer le mascara apparaissent.")</f>
        <v>Les mots comment appliquer le mascara apparaissent.</v>
      </c>
    </row>
    <row r="12391">
      <c r="A12391" s="4" t="s">
        <v>15587</v>
      </c>
      <c r="B12391" s="4" t="s">
        <v>15589</v>
      </c>
      <c r="C12391" s="5" t="str">
        <f>IFERROR(__xludf.DUMMYFUNCTION("GOOGLETRANSLATE(B12391,""en"",""fr"")"),"Une femme aux longs cheveux noirs parle à la caméra.")</f>
        <v>Une femme aux longs cheveux noirs parle à la caméra.</v>
      </c>
    </row>
    <row r="12392">
      <c r="A12392" s="4" t="s">
        <v>15587</v>
      </c>
      <c r="B12392" s="4" t="s">
        <v>15590</v>
      </c>
      <c r="C12392" s="5" t="str">
        <f>IFERROR(__xludf.DUMMYFUNCTION("GOOGLETRANSLATE(B12392,""en"",""fr"")"),"Elle tient une baguette de mascara.")</f>
        <v>Elle tient une baguette de mascara.</v>
      </c>
    </row>
    <row r="12393">
      <c r="A12393" s="4" t="s">
        <v>15587</v>
      </c>
      <c r="B12393" s="4" t="s">
        <v>15591</v>
      </c>
      <c r="C12393" s="5" t="str">
        <f>IFERROR(__xludf.DUMMYFUNCTION("GOOGLETRANSLATE(B12393,""en"",""fr"")"),"Elle montre ensuite comment l'appliquer, un œil à la fois.")</f>
        <v>Elle montre ensuite comment l'appliquer, un œil à la fois.</v>
      </c>
    </row>
    <row r="12394">
      <c r="A12394" s="4" t="s">
        <v>15592</v>
      </c>
      <c r="B12394" s="4" t="s">
        <v>15593</v>
      </c>
      <c r="C12394" s="5" t="str">
        <f>IFERROR(__xludf.DUMMYFUNCTION("GOOGLETRANSLATE(B12394,""en"",""fr"")"),"Plusieurs plans d'assiettes sont représentés avec de la nourriture menant à un homme préparant de la nourriture.")</f>
        <v>Plusieurs plans d'assiettes sont représentés avec de la nourriture menant à un homme préparant de la nourriture.</v>
      </c>
    </row>
    <row r="12395">
      <c r="A12395" s="4" t="s">
        <v>15592</v>
      </c>
      <c r="B12395" s="4" t="s">
        <v>15594</v>
      </c>
      <c r="C12395" s="5" t="str">
        <f>IFERROR(__xludf.DUMMYFUNCTION("GOOGLETRANSLATE(B12395,""en"",""fr"")"),"L'homme met ensuite plus de nourriture dans une assiette et tourne autour des ingrédients.")</f>
        <v>L'homme met ensuite plus de nourriture dans une assiette et tourne autour des ingrédients.</v>
      </c>
    </row>
    <row r="12396">
      <c r="A12396" s="4" t="s">
        <v>15592</v>
      </c>
      <c r="B12396" s="4" t="s">
        <v>15595</v>
      </c>
      <c r="C12396" s="5" t="str">
        <f>IFERROR(__xludf.DUMMYFUNCTION("GOOGLETRANSLATE(B12396,""en"",""fr"")"),"Il continue de mettre de la nourriture sur une assiette et se termine en le présentant à la caméra.")</f>
        <v>Il continue de mettre de la nourriture sur une assiette et se termine en le présentant à la caméra.</v>
      </c>
    </row>
    <row r="12397">
      <c r="A12397" s="4" t="s">
        <v>15596</v>
      </c>
      <c r="B12397" s="4" t="s">
        <v>15597</v>
      </c>
      <c r="C12397" s="5" t="str">
        <f>IFERROR(__xludf.DUMMYFUNCTION("GOOGLETRANSLATE(B12397,""en"",""fr"")"),"On voit deux personnes frapper une table de ping-pong et quatrième au milieu d'un parc extérieur.")</f>
        <v>On voit deux personnes frapper une table de ping-pong et quatrième au milieu d'un parc extérieur.</v>
      </c>
    </row>
    <row r="12398">
      <c r="A12398" s="4" t="s">
        <v>15596</v>
      </c>
      <c r="B12398" s="4" t="s">
        <v>15598</v>
      </c>
      <c r="C12398" s="5" t="str">
        <f>IFERROR(__xludf.DUMMYFUNCTION("GOOGLETRANSLATE(B12398,""en"",""fr"")"),"Ils laissent tomber le ballon et le ramassent puis continuent de jouer à nouveau.")</f>
        <v>Ils laissent tomber le ballon et le ramassent puis continuent de jouer à nouveau.</v>
      </c>
    </row>
    <row r="12399">
      <c r="A12399" s="4" t="s">
        <v>15599</v>
      </c>
      <c r="B12399" s="6" t="s">
        <v>15600</v>
      </c>
      <c r="C12399" s="5" t="str">
        <f>IFERROR(__xludf.DUMMYFUNCTION("GOOGLETRANSLATE(B12399,""en"",""fr"")"),"La chaussure d'une personne est vue assise dans un évier et la personne frotte l'extérieur de la chaussure avec de l'eau en marche.")</f>
        <v>La chaussure d'une personne est vue assise dans un évier et la personne frotte l'extérieur de la chaussure avec de l'eau en marche.</v>
      </c>
    </row>
    <row r="12400">
      <c r="A12400" s="4" t="s">
        <v>15599</v>
      </c>
      <c r="B12400" s="4" t="s">
        <v>15601</v>
      </c>
      <c r="C12400" s="5" t="str">
        <f>IFERROR(__xludf.DUMMYFUNCTION("GOOGLETRANSLATE(B12400,""en"",""fr"")"),"La personne éteint l'eau et laissons la saleté de la chaussure qui coule dans l'évier.")</f>
        <v>La personne éteint l'eau et laissons la saleté de la chaussure qui coule dans l'évier.</v>
      </c>
    </row>
    <row r="12401">
      <c r="A12401" s="4" t="s">
        <v>15602</v>
      </c>
      <c r="B12401" s="4" t="s">
        <v>15603</v>
      </c>
      <c r="C12401" s="5" t="str">
        <f>IFERROR(__xludf.DUMMYFUNCTION("GOOGLETRANSLATE(B12401,""en"",""fr"")"),"Un homme skie nautique sur une rivière.")</f>
        <v>Un homme skie nautique sur une rivière.</v>
      </c>
    </row>
    <row r="12402">
      <c r="A12402" s="4" t="s">
        <v>15602</v>
      </c>
      <c r="B12402" s="4" t="s">
        <v>15604</v>
      </c>
      <c r="C12402" s="5" t="str">
        <f>IFERROR(__xludf.DUMMYFUNCTION("GOOGLETRANSLATE(B12402,""en"",""fr"")"),"Il se penche en arrière, se tenant toujours.")</f>
        <v>Il se penche en arrière, se tenant toujours.</v>
      </c>
    </row>
    <row r="12403">
      <c r="A12403" s="4" t="s">
        <v>15602</v>
      </c>
      <c r="B12403" s="4" t="s">
        <v>15605</v>
      </c>
      <c r="C12403" s="5" t="str">
        <f>IFERROR(__xludf.DUMMYFUNCTION("GOOGLETRANSLATE(B12403,""en"",""fr"")"),"Il tourne et soulève également un pied dans les airs.")</f>
        <v>Il tourne et soulève également un pied dans les airs.</v>
      </c>
    </row>
    <row r="12404">
      <c r="A12404" s="4" t="s">
        <v>15606</v>
      </c>
      <c r="B12404" s="4" t="s">
        <v>15607</v>
      </c>
      <c r="C12404" s="5" t="str">
        <f>IFERROR(__xludf.DUMMYFUNCTION("GOOGLETRANSLATE(B12404,""en"",""fr"")"),"Une grande fanfare est vue debout au milieu d'une pelouse.")</f>
        <v>Une grande fanfare est vue debout au milieu d'une pelouse.</v>
      </c>
    </row>
    <row r="12405">
      <c r="A12405" s="4" t="s">
        <v>15606</v>
      </c>
      <c r="B12405" s="4" t="s">
        <v>15608</v>
      </c>
      <c r="C12405" s="5" t="str">
        <f>IFERROR(__xludf.DUMMYFUNCTION("GOOGLETRANSLATE(B12405,""en"",""fr"")"),"Le milieu du groupe commence à jouer suivi des autres autour d'eux.")</f>
        <v>Le milieu du groupe commence à jouer suivi des autres autour d'eux.</v>
      </c>
    </row>
    <row r="12406">
      <c r="A12406" s="4" t="s">
        <v>15606</v>
      </c>
      <c r="B12406" s="4" t="s">
        <v>15609</v>
      </c>
      <c r="C12406" s="5" t="str">
        <f>IFERROR(__xludf.DUMMYFUNCTION("GOOGLETRANSLATE(B12406,""en"",""fr"")"),"Le groupe se retire à tour de rôle et quatrième et se termine en restant immobile.")</f>
        <v>Le groupe se retire à tour de rôle et quatrième et se termine en restant immobile.</v>
      </c>
    </row>
    <row r="12407">
      <c r="A12407" s="4" t="s">
        <v>15610</v>
      </c>
      <c r="B12407" s="4" t="s">
        <v>15611</v>
      </c>
      <c r="C12407" s="5" t="str">
        <f>IFERROR(__xludf.DUMMYFUNCTION("GOOGLETRANSLATE(B12407,""en"",""fr"")"),"L'homme joue la guerre d'un remorqueur dans un champ ouvert dans la police d'un lac.")</f>
        <v>L'homme joue la guerre d'un remorqueur dans un champ ouvert dans la police d'un lac.</v>
      </c>
    </row>
    <row r="12408">
      <c r="A12408" s="4" t="s">
        <v>15610</v>
      </c>
      <c r="B12408" s="4" t="s">
        <v>15612</v>
      </c>
      <c r="C12408" s="5" t="str">
        <f>IFERROR(__xludf.DUMMYFUNCTION("GOOGLETRANSLATE(B12408,""en"",""fr"")"),"Les hommes se tiennent sur le trottoir en regardant les hommes jouer et prendre des photos.")</f>
        <v>Les hommes se tiennent sur le trottoir en regardant les hommes jouer et prendre des photos.</v>
      </c>
    </row>
    <row r="12409">
      <c r="A12409" s="4" t="s">
        <v>15610</v>
      </c>
      <c r="B12409" s="4" t="s">
        <v>15613</v>
      </c>
      <c r="C12409" s="5" t="str">
        <f>IFERROR(__xludf.DUMMYFUNCTION("GOOGLETRANSLATE(B12409,""en"",""fr"")"),"Les hommes se réunissent et posent à une photo et beaucoup de caméscopes prennent des photos.")</f>
        <v>Les hommes se réunissent et posent à une photo et beaucoup de caméscopes prennent des photos.</v>
      </c>
    </row>
    <row r="12410">
      <c r="A12410" s="4" t="s">
        <v>15614</v>
      </c>
      <c r="B12410" s="4" t="s">
        <v>15615</v>
      </c>
      <c r="C12410" s="5" t="str">
        <f>IFERROR(__xludf.DUMMYFUNCTION("GOOGLETRANSLATE(B12410,""en"",""fr"")"),"Un homme met une paire de chaussures.")</f>
        <v>Un homme met une paire de chaussures.</v>
      </c>
    </row>
    <row r="12411">
      <c r="A12411" s="4" t="s">
        <v>15614</v>
      </c>
      <c r="B12411" s="4" t="s">
        <v>15616</v>
      </c>
      <c r="C12411" s="5" t="str">
        <f>IFERROR(__xludf.DUMMYFUNCTION("GOOGLETRANSLATE(B12411,""en"",""fr"")"),"Il attrape son ciel et embarque un ascenseur.")</f>
        <v>Il attrape son ciel et embarque un ascenseur.</v>
      </c>
    </row>
    <row r="12412">
      <c r="A12412" s="4" t="s">
        <v>15614</v>
      </c>
      <c r="B12412" s="4" t="s">
        <v>15617</v>
      </c>
      <c r="C12412" s="5" t="str">
        <f>IFERROR(__xludf.DUMMYFUNCTION("GOOGLETRANSLATE(B12412,""en"",""fr"")"),"On lui montre ensuite le ski sur différentes collines et montagnes.")</f>
        <v>On lui montre ensuite le ski sur différentes collines et montagnes.</v>
      </c>
    </row>
    <row r="12413">
      <c r="A12413" s="4" t="s">
        <v>15618</v>
      </c>
      <c r="B12413" s="4" t="s">
        <v>15619</v>
      </c>
      <c r="C12413" s="5" t="str">
        <f>IFERROR(__xludf.DUMMYFUNCTION("GOOGLETRANSLATE(B12413,""en"",""fr"")"),"Un homme qui parle de la façon de s'entraîner dans une certaine position.")</f>
        <v>Un homme qui parle de la façon de s'entraîner dans une certaine position.</v>
      </c>
    </row>
    <row r="12414">
      <c r="A12414" s="4" t="s">
        <v>15618</v>
      </c>
      <c r="B12414" s="4" t="s">
        <v>15620</v>
      </c>
      <c r="C12414" s="5" t="str">
        <f>IFERROR(__xludf.DUMMYFUNCTION("GOOGLETRANSLATE(B12414,""en"",""fr"")"),"Il l'explique et montre en détail comment cela doit être fait.")</f>
        <v>Il l'explique et montre en détail comment cela doit être fait.</v>
      </c>
    </row>
    <row r="12415">
      <c r="A12415" s="4" t="s">
        <v>15618</v>
      </c>
      <c r="B12415" s="4" t="s">
        <v>15621</v>
      </c>
      <c r="C12415" s="5" t="str">
        <f>IFERROR(__xludf.DUMMYFUNCTION("GOOGLETRANSLATE(B12415,""en"",""fr"")"),"Puis il attrape le bar et démontre comme ça aussi.")</f>
        <v>Puis il attrape le bar et démontre comme ça aussi.</v>
      </c>
    </row>
    <row r="12416">
      <c r="A12416" s="4" t="s">
        <v>15618</v>
      </c>
      <c r="B12416" s="4" t="s">
        <v>15622</v>
      </c>
      <c r="C12416" s="5" t="str">
        <f>IFERROR(__xludf.DUMMYFUNCTION("GOOGLETRANSLATE(B12416,""en"",""fr"")"),"Il commence à le faire en répétition plusieurs fois avant de terminer.")</f>
        <v>Il commence à le faire en répétition plusieurs fois avant de terminer.</v>
      </c>
    </row>
    <row r="12417">
      <c r="A12417" s="4" t="s">
        <v>15623</v>
      </c>
      <c r="B12417" s="4" t="s">
        <v>15624</v>
      </c>
      <c r="C12417" s="5" t="str">
        <f>IFERROR(__xludf.DUMMYFUNCTION("GOOGLETRANSLATE(B12417,""en"",""fr"")"),"Un homme est à la poubelle et il fait ressortir une valise et en retire un vélo.")</f>
        <v>Un homme est à la poubelle et il fait ressortir une valise et en retire un vélo.</v>
      </c>
    </row>
    <row r="12418">
      <c r="A12418" s="4" t="s">
        <v>15623</v>
      </c>
      <c r="B12418" s="4" t="s">
        <v>15625</v>
      </c>
      <c r="C12418" s="5" t="str">
        <f>IFERROR(__xludf.DUMMYFUNCTION("GOOGLETRANSLATE(B12418,""en"",""fr"")"),"Il commence à démêler le vélo et à commencer à tout mettre ensemble.")</f>
        <v>Il commence à démêler le vélo et à commencer à tout mettre ensemble.</v>
      </c>
    </row>
    <row r="12419">
      <c r="A12419" s="4" t="s">
        <v>15623</v>
      </c>
      <c r="B12419" s="4" t="s">
        <v>15626</v>
      </c>
      <c r="C12419" s="5" t="str">
        <f>IFERROR(__xludf.DUMMYFUNCTION("GOOGLETRANSLATE(B12419,""en"",""fr"")"),"Il baise dans quelques morceaux et met les barres de main sur un couteau de poche.")</f>
        <v>Il baise dans quelques morceaux et met les barres de main sur un couteau de poche.</v>
      </c>
    </row>
    <row r="12420">
      <c r="A12420" s="4" t="s">
        <v>15623</v>
      </c>
      <c r="B12420" s="4" t="s">
        <v>15627</v>
      </c>
      <c r="C12420" s="5" t="str">
        <f>IFERROR(__xludf.DUMMYFUNCTION("GOOGLETRANSLATE(B12420,""en"",""fr"")"),"Il gonfle les pneus avec de l'air et finit de rassembler le reste, puis il s'éteint.")</f>
        <v>Il gonfle les pneus avec de l'air et finit de rassembler le reste, puis il s'éteint.</v>
      </c>
    </row>
    <row r="12421">
      <c r="A12421" s="4" t="s">
        <v>15628</v>
      </c>
      <c r="B12421" s="4" t="s">
        <v>15629</v>
      </c>
      <c r="C12421" s="5" t="str">
        <f>IFERROR(__xludf.DUMMYFUNCTION("GOOGLETRANSLATE(B12421,""en"",""fr"")"),"Trois filles qui associent des vêtements sautent à la corde lors d'une compétition.")</f>
        <v>Trois filles qui associent des vêtements sautent à la corde lors d'une compétition.</v>
      </c>
    </row>
    <row r="12422">
      <c r="A12422" s="4" t="s">
        <v>15628</v>
      </c>
      <c r="B12422" s="4" t="s">
        <v>15630</v>
      </c>
      <c r="C12422" s="5" t="str">
        <f>IFERROR(__xludf.DUMMYFUNCTION("GOOGLETRANSLATE(B12422,""en"",""fr"")"),"Ils commencent à changer de place entre les pulls, faisant des astuces tout en sautant.")</f>
        <v>Ils commencent à changer de place entre les pulls, faisant des astuces tout en sautant.</v>
      </c>
    </row>
    <row r="12423">
      <c r="A12423" s="4" t="s">
        <v>15628</v>
      </c>
      <c r="B12423" s="4" t="s">
        <v>15631</v>
      </c>
      <c r="C12423" s="5" t="str">
        <f>IFERROR(__xludf.DUMMYFUNCTION("GOOGLETRANSLATE(B12423,""en"",""fr"")"),"Ils se déplacent de haut en bas du sol tout en ne s'arrêtant jamais.")</f>
        <v>Ils se déplacent de haut en bas du sol tout en ne s'arrêtant jamais.</v>
      </c>
    </row>
    <row r="12424">
      <c r="A12424" s="4" t="s">
        <v>15628</v>
      </c>
      <c r="B12424" s="4" t="s">
        <v>15632</v>
      </c>
      <c r="C12424" s="5" t="str">
        <f>IFERROR(__xludf.DUMMYFUNCTION("GOOGLETRANSLATE(B12424,""en"",""fr"")"),"Ensuite, ils laissent tomber leur corde et s'arrête.")</f>
        <v>Ensuite, ils laissent tomber leur corde et s'arrête.</v>
      </c>
    </row>
    <row r="12425">
      <c r="A12425" s="4" t="s">
        <v>15633</v>
      </c>
      <c r="B12425" s="4" t="s">
        <v>15634</v>
      </c>
      <c r="C12425" s="5" t="str">
        <f>IFERROR(__xludf.DUMMYFUNCTION("GOOGLETRANSLATE(B12425,""en"",""fr"")"),"Un groupe d'hommes est dans un anneau autour d'un tapis.")</f>
        <v>Un groupe d'hommes est dans un anneau autour d'un tapis.</v>
      </c>
    </row>
    <row r="12426">
      <c r="A12426" s="4" t="s">
        <v>15633</v>
      </c>
      <c r="B12426" s="4" t="s">
        <v>15635</v>
      </c>
      <c r="C12426" s="5" t="str">
        <f>IFERROR(__xludf.DUMMYFUNCTION("GOOGLETRANSLATE(B12426,""en"",""fr"")"),"Deux s'accroupissent l'un devant l'autre avant de monter sur le tapis, de se battre et de donner des coups de pied.")</f>
        <v>Deux s'accroupissent l'un devant l'autre avant de monter sur le tapis, de se battre et de donner des coups de pied.</v>
      </c>
    </row>
    <row r="12427">
      <c r="A12427" s="4" t="s">
        <v>15633</v>
      </c>
      <c r="B12427" s="4" t="s">
        <v>15636</v>
      </c>
      <c r="C12427" s="5" t="str">
        <f>IFERROR(__xludf.DUMMYFUNCTION("GOOGLETRANSLATE(B12427,""en"",""fr"")"),"Ils effectuent un type d'arts martiaux, combattant leur oponent comme des caméras flash.")</f>
        <v>Ils effectuent un type d'arts martiaux, combattant leur oponent comme des caméras flash.</v>
      </c>
    </row>
    <row r="12428">
      <c r="A12428" s="4" t="s">
        <v>15637</v>
      </c>
      <c r="B12428" s="4" t="s">
        <v>15638</v>
      </c>
      <c r="C12428" s="5" t="str">
        <f>IFERROR(__xludf.DUMMYFUNCTION("GOOGLETRANSLATE(B12428,""en"",""fr"")"),"Un chien coule dans une maison d'une pièce à l'autre.")</f>
        <v>Un chien coule dans une maison d'une pièce à l'autre.</v>
      </c>
    </row>
    <row r="12429">
      <c r="A12429" s="4" t="s">
        <v>15637</v>
      </c>
      <c r="B12429" s="4" t="s">
        <v>15639</v>
      </c>
      <c r="C12429" s="5" t="str">
        <f>IFERROR(__xludf.DUMMYFUNCTION("GOOGLETRANSLATE(B12429,""en"",""fr"")"),"Deux hommes emmènent le chien dans la salle de bain et le mettent dans la baignoire.")</f>
        <v>Deux hommes emmènent le chien dans la salle de bain et le mettent dans la baignoire.</v>
      </c>
    </row>
    <row r="12430">
      <c r="A12430" s="4" t="s">
        <v>15637</v>
      </c>
      <c r="B12430" s="4" t="s">
        <v>15640</v>
      </c>
      <c r="C12430" s="5" t="str">
        <f>IFERROR(__xludf.DUMMYFUNCTION("GOOGLETRANSLATE(B12430,""en"",""fr"")"),"L'un des hommes lave le chien.")</f>
        <v>L'un des hommes lave le chien.</v>
      </c>
    </row>
    <row r="12431">
      <c r="A12431" s="4" t="s">
        <v>15637</v>
      </c>
      <c r="B12431" s="4" t="s">
        <v>15641</v>
      </c>
      <c r="C12431" s="5" t="str">
        <f>IFERROR(__xludf.DUMMYFUNCTION("GOOGLETRANSLATE(B12431,""en"",""fr"")"),"L'autre homme enregistre ce qui se passe.")</f>
        <v>L'autre homme enregistre ce qui se passe.</v>
      </c>
    </row>
    <row r="12432">
      <c r="A12432" s="4" t="s">
        <v>15637</v>
      </c>
      <c r="B12432" s="4" t="s">
        <v>15642</v>
      </c>
      <c r="C12432" s="5" t="str">
        <f>IFERROR(__xludf.DUMMYFUNCTION("GOOGLETRANSLATE(B12432,""en"",""fr"")"),"Le chien saute de la baignoire et l'un des hommes le sèche.")</f>
        <v>Le chien saute de la baignoire et l'un des hommes le sèche.</v>
      </c>
    </row>
    <row r="12433">
      <c r="A12433" s="4" t="s">
        <v>15637</v>
      </c>
      <c r="B12433" s="4" t="s">
        <v>15643</v>
      </c>
      <c r="C12433" s="5" t="str">
        <f>IFERROR(__xludf.DUMMYFUNCTION("GOOGLETRANSLATE(B12433,""en"",""fr"")"),"Un homme maintient la bouche des chiens ouverte tandis que l'autre homme brosse les dents des chiens.")</f>
        <v>Un homme maintient la bouche des chiens ouverte tandis que l'autre homme brosse les dents des chiens.</v>
      </c>
    </row>
    <row r="12434">
      <c r="A12434" s="4" t="s">
        <v>15644</v>
      </c>
      <c r="B12434" s="4" t="s">
        <v>15645</v>
      </c>
      <c r="C12434" s="5" t="str">
        <f>IFERROR(__xludf.DUMMYFUNCTION("GOOGLETRANSLATE(B12434,""en"",""fr"")"),"Un appareil photo se déroule tout autour d'un cours de paintball et montre un gros plan d'une personne qui parle.")</f>
        <v>Un appareil photo se déroule tout autour d'un cours de paintball et montre un gros plan d'une personne qui parle.</v>
      </c>
    </row>
    <row r="12435">
      <c r="A12435" s="4" t="s">
        <v>15644</v>
      </c>
      <c r="B12435" s="4" t="s">
        <v>15646</v>
      </c>
      <c r="C12435" s="5" t="str">
        <f>IFERROR(__xludf.DUMMYFUNCTION("GOOGLETRANSLATE(B12435,""en"",""fr"")"),"Plusieurs clips sont vus des gens qui courent sur le parcours et tirent du paintball les uns aux autres.")</f>
        <v>Plusieurs clips sont vus des gens qui courent sur le parcours et tirent du paintball les uns aux autres.</v>
      </c>
    </row>
    <row r="12436">
      <c r="A12436" s="4" t="s">
        <v>15644</v>
      </c>
      <c r="B12436" s="6" t="s">
        <v>15647</v>
      </c>
      <c r="C12436" s="5" t="str">
        <f>IFERROR(__xludf.DUMMYFUNCTION("GOOGLETRANSLATE(B12436,""en"",""fr"")"),"Plus de gros plans sont montrés d'un pistolet ainsi que d'un homme parlant à la caméra et à d'autres qui socialisent les uns avec les autres.")</f>
        <v>Plus de gros plans sont montrés d'un pistolet ainsi que d'un homme parlant à la caméra et à d'autres qui socialisent les uns avec les autres.</v>
      </c>
    </row>
    <row r="12437">
      <c r="A12437" s="4" t="s">
        <v>15648</v>
      </c>
      <c r="B12437" s="4" t="s">
        <v>15649</v>
      </c>
      <c r="C12437" s="5" t="str">
        <f>IFERROR(__xludf.DUMMYFUNCTION("GOOGLETRANSLATE(B12437,""en"",""fr"")"),"Une petite table se trouve au sommet d'une autre table.")</f>
        <v>Une petite table se trouve au sommet d'une autre table.</v>
      </c>
    </row>
    <row r="12438">
      <c r="A12438" s="4" t="s">
        <v>15648</v>
      </c>
      <c r="B12438" s="4" t="s">
        <v>15650</v>
      </c>
      <c r="C12438" s="5" t="str">
        <f>IFERROR(__xludf.DUMMYFUNCTION("GOOGLETRANSLATE(B12438,""en"",""fr"")"),"Un homme entre avec un sweat à capuche noir.")</f>
        <v>Un homme entre avec un sweat à capuche noir.</v>
      </c>
    </row>
    <row r="12439">
      <c r="A12439" s="4" t="s">
        <v>15648</v>
      </c>
      <c r="B12439" s="4" t="s">
        <v>15651</v>
      </c>
      <c r="C12439" s="5" t="str">
        <f>IFERROR(__xludf.DUMMYFUNCTION("GOOGLETRANSLATE(B12439,""en"",""fr"")"),"Il ouvre un pot et sort quelque chose.")</f>
        <v>Il ouvre un pot et sort quelque chose.</v>
      </c>
    </row>
    <row r="12440">
      <c r="A12440" s="4" t="s">
        <v>15648</v>
      </c>
      <c r="B12440" s="4" t="s">
        <v>15652</v>
      </c>
      <c r="C12440" s="5" t="str">
        <f>IFERROR(__xludf.DUMMYFUNCTION("GOOGLETRANSLATE(B12440,""en"",""fr"")"),"Il vernis la table.")</f>
        <v>Il vernis la table.</v>
      </c>
    </row>
    <row r="12441">
      <c r="A12441" s="4" t="s">
        <v>15653</v>
      </c>
      <c r="B12441" s="6" t="s">
        <v>15654</v>
      </c>
      <c r="C12441" s="5" t="str">
        <f>IFERROR(__xludf.DUMMYFUNCTION("GOOGLETRANSLATE(B12441,""en"",""fr"")"),"Une introduction d'un écran noir avec un logo et les mots Cameron Hansen Gallery apparaissent avec le site Web en bas à droite.")</f>
        <v>Une introduction d'un écran noir avec un logo et les mots Cameron Hansen Gallery apparaissent avec le site Web en bas à droite.</v>
      </c>
    </row>
    <row r="12442">
      <c r="A12442" s="4" t="s">
        <v>15653</v>
      </c>
      <c r="B12442" s="6" t="s">
        <v>15655</v>
      </c>
      <c r="C12442" s="5" t="str">
        <f>IFERROR(__xludf.DUMMYFUNCTION("GOOGLETRANSLATE(B12442,""en"",""fr"")"),"Une école de poissons nageant dans l'océan apparaît et l'emplacement et la description de la vidéo sont affichés.")</f>
        <v>Une école de poissons nageant dans l'océan apparaît et l'emplacement et la description de la vidéo sont affichés.</v>
      </c>
    </row>
    <row r="12443">
      <c r="A12443" s="4" t="s">
        <v>15653</v>
      </c>
      <c r="B12443" s="6" t="s">
        <v>15656</v>
      </c>
      <c r="C12443" s="5" t="str">
        <f>IFERROR(__xludf.DUMMYFUNCTION("GOOGLETRANSLATE(B12443,""en"",""fr"")"),"Une série de nombreuses vidéos différentes commencent et comprend des images sous l'eau avec un tuba, de nombreuses nages de vie marine et même une natation d'éléphant.")</f>
        <v>Une série de nombreuses vidéos différentes commencent et comprend des images sous l'eau avec un tuba, de nombreuses nages de vie marine et même une natation d'éléphant.</v>
      </c>
    </row>
    <row r="12444">
      <c r="A12444" s="4" t="s">
        <v>15653</v>
      </c>
      <c r="B12444" s="6" t="s">
        <v>15657</v>
      </c>
      <c r="C12444" s="5" t="str">
        <f>IFERROR(__xludf.DUMMYFUNCTION("GOOGLETRANSLATE(B12444,""en"",""fr"")"),"Le prochain ensemble de clips comprend différentes images de personnes qui sont au-dessus de l'eau et les paysages qui les entourent.")</f>
        <v>Le prochain ensemble de clips comprend différentes images de personnes qui sont au-dessus de l'eau et les paysages qui les entourent.</v>
      </c>
    </row>
    <row r="12445">
      <c r="A12445" s="4" t="s">
        <v>15653</v>
      </c>
      <c r="B12445" s="6" t="s">
        <v>15658</v>
      </c>
      <c r="C12445" s="5" t="str">
        <f>IFERROR(__xludf.DUMMYFUNCTION("GOOGLETRANSLATE(B12445,""en"",""fr"")"),"Il passe ensuite à des grottes et il montre l'extérieur, à l'intérieur, puis le plongée en apnée arrière sous l'eau tenant une lampe de poche pour voir car il est très sombre.")</f>
        <v>Il passe ensuite à des grottes et il montre l'extérieur, à l'intérieur, puis le plongée en apnée arrière sous l'eau tenant une lampe de poche pour voir car il est très sombre.</v>
      </c>
    </row>
    <row r="12446">
      <c r="A12446" s="4" t="s">
        <v>15653</v>
      </c>
      <c r="B12446" s="6" t="s">
        <v>15659</v>
      </c>
      <c r="C12446" s="5" t="str">
        <f>IFERROR(__xludf.DUMMYFUNCTION("GOOGLETRANSLATE(B12446,""en"",""fr"")"),"L'accent remonte à d'autres clips où l'éléphant nage à nouveau, une photo de la plage est affichée et plus de clips de l'eau au-dessus.")</f>
        <v>L'accent remonte à d'autres clips où l'éléphant nage à nouveau, une photo de la plage est affichée et plus de clips de l'eau au-dessus.</v>
      </c>
    </row>
    <row r="12447">
      <c r="A12447" s="4" t="s">
        <v>15653</v>
      </c>
      <c r="B12447" s="6" t="s">
        <v>15660</v>
      </c>
      <c r="C12447" s="5" t="str">
        <f>IFERROR(__xludf.DUMMYFUNCTION("GOOGLETRANSLATE(B12447,""en"",""fr"")"),"Il se termine par une image d'une grande branche d'arbre près de l'eau et les mots que les îles Andaman apparaissent en haut et se fondent à un écran tout noir.")</f>
        <v>Il se termine par une image d'une grande branche d'arbre près de l'eau et les mots que les îles Andaman apparaissent en haut et se fondent à un écran tout noir.</v>
      </c>
    </row>
    <row r="12448">
      <c r="A12448" s="4" t="s">
        <v>15661</v>
      </c>
      <c r="B12448" s="4" t="s">
        <v>15662</v>
      </c>
      <c r="C12448" s="5" t="str">
        <f>IFERROR(__xludf.DUMMYFUNCTION("GOOGLETRANSLATE(B12448,""en"",""fr"")"),"Une jeune femme est assise à la porte d'un bâtiment.")</f>
        <v>Une jeune femme est assise à la porte d'un bâtiment.</v>
      </c>
    </row>
    <row r="12449">
      <c r="A12449" s="4" t="s">
        <v>15661</v>
      </c>
      <c r="B12449" s="4" t="s">
        <v>15663</v>
      </c>
      <c r="C12449" s="5" t="str">
        <f>IFERROR(__xludf.DUMMYFUNCTION("GOOGLETRANSLATE(B12449,""en"",""fr"")"),"Elle regarde la caméra.")</f>
        <v>Elle regarde la caméra.</v>
      </c>
    </row>
    <row r="12450">
      <c r="A12450" s="4" t="s">
        <v>15661</v>
      </c>
      <c r="B12450" s="4" t="s">
        <v>15664</v>
      </c>
      <c r="C12450" s="5" t="str">
        <f>IFERROR(__xludf.DUMMYFUNCTION("GOOGLETRANSLATE(B12450,""en"",""fr"")"),"Elle continue de prendre des bouffées d'une cigarette alors qu'elle s'assoit.")</f>
        <v>Elle continue de prendre des bouffées d'une cigarette alors qu'elle s'assoit.</v>
      </c>
    </row>
    <row r="12451">
      <c r="A12451" s="4" t="s">
        <v>15665</v>
      </c>
      <c r="B12451" s="6" t="s">
        <v>15666</v>
      </c>
      <c r="C12451" s="5" t="str">
        <f>IFERROR(__xludf.DUMMYFUNCTION("GOOGLETRANSLATE(B12451,""en"",""fr"")"),"Un segment d'actualités commence et l'image en noir et blanc d'une fille souriante apparaît à l'écran et la bannière à l'écran dit ""Henrico Teen Dies après que le père de course raconte les derniers moments de la fille"".")</f>
        <v>Un segment d'actualités commence et l'image en noir et blanc d'une fille souriante apparaît à l'écran et la bannière à l'écran dit "Henrico Teen Dies après que le père de course raconte les derniers moments de la fille".</v>
      </c>
    </row>
    <row r="12452">
      <c r="A12452" s="4" t="s">
        <v>15665</v>
      </c>
      <c r="B12452" s="6" t="s">
        <v>15667</v>
      </c>
      <c r="C12452" s="5" t="str">
        <f>IFERROR(__xludf.DUMMYFUNCTION("GOOGLETRANSLATE(B12452,""en"",""fr"")"),"Le journal apparaît avec ses parents parlant de la fille pendant que des clips de la course jouent, et prenaient toujours des photos de la fille apparaissent sur la caméra.")</f>
        <v>Le journal apparaît avec ses parents parlant de la fille pendant que des clips de la course jouent, et prenaient toujours des photos de la fille apparaissent sur la caméra.</v>
      </c>
    </row>
    <row r="12453">
      <c r="A12453" s="4" t="s">
        <v>15665</v>
      </c>
      <c r="B12453" s="6" t="s">
        <v>15668</v>
      </c>
      <c r="C12453" s="5" t="str">
        <f>IFERROR(__xludf.DUMMYFUNCTION("GOOGLETRANSLATE(B12453,""en"",""fr"")"),"Lorsque les photos et les clips vidéo de l'interview et de la race sont terminés, le journal parle seul à la station d'information.")</f>
        <v>Lorsque les photos et les clips vidéo de l'interview et de la race sont terminés, le journal parle seul à la station d'information.</v>
      </c>
    </row>
    <row r="12454">
      <c r="A12454" s="4" t="s">
        <v>15669</v>
      </c>
      <c r="B12454" s="6" t="s">
        <v>15670</v>
      </c>
      <c r="C12454" s="5" t="str">
        <f>IFERROR(__xludf.DUMMYFUNCTION("GOOGLETRANSLATE(B12454,""en"",""fr"")"),"Deux petits enfants sont assis dans le style indien sur le tapis à l'intérieur de la maison, ils ont un narguilé et le fument.")</f>
        <v>Deux petits enfants sont assis dans le style indien sur le tapis à l'intérieur de la maison, ils ont un narguilé et le fument.</v>
      </c>
    </row>
    <row r="12455">
      <c r="A12455" s="4" t="s">
        <v>15669</v>
      </c>
      <c r="B12455" s="4" t="s">
        <v>15671</v>
      </c>
      <c r="C12455" s="5" t="str">
        <f>IFERROR(__xludf.DUMMYFUNCTION("GOOGLETRANSLATE(B12455,""en"",""fr"")"),"Ils inhalaient et exhalant la fumée.")</f>
        <v>Ils inhalaient et exhalant la fumée.</v>
      </c>
    </row>
    <row r="12456">
      <c r="A12456" s="4" t="s">
        <v>15669</v>
      </c>
      <c r="B12456" s="4" t="s">
        <v>15672</v>
      </c>
      <c r="C12456" s="5" t="str">
        <f>IFERROR(__xludf.DUMMYFUNCTION("GOOGLETRANSLATE(B12456,""en"",""fr"")"),"Ils expirent de leur nez comme ils le font souvent et ont été formés comme de petits pros.")</f>
        <v>Ils expirent de leur nez comme ils le font souvent et ont été formés comme de petits pros.</v>
      </c>
    </row>
    <row r="12457">
      <c r="A12457" s="4" t="s">
        <v>15669</v>
      </c>
      <c r="B12457" s="4" t="s">
        <v>15673</v>
      </c>
      <c r="C12457" s="5" t="str">
        <f>IFERROR(__xludf.DUMMYFUNCTION("GOOGLETRANSLATE(B12457,""en"",""fr"")"),"Il est très triste que ces enfants soient autorisés à le faire comme c'est normal, ils semblent en profiter aussi.")</f>
        <v>Il est très triste que ces enfants soient autorisés à le faire comme c'est normal, ils semblent en profiter aussi.</v>
      </c>
    </row>
    <row r="12458">
      <c r="A12458" s="4" t="s">
        <v>15674</v>
      </c>
      <c r="B12458" s="4" t="s">
        <v>15675</v>
      </c>
      <c r="C12458" s="5" t="str">
        <f>IFERROR(__xludf.DUMMYFUNCTION("GOOGLETRANSLATE(B12458,""en"",""fr"")"),"On voit deux filles parler à la caméra avec un donnant un coup de pouce.")</f>
        <v>On voit deux filles parler à la caméra avec un donnant un coup de pouce.</v>
      </c>
    </row>
    <row r="12459">
      <c r="A12459" s="4" t="s">
        <v>15674</v>
      </c>
      <c r="B12459" s="4" t="s">
        <v>15676</v>
      </c>
      <c r="C12459" s="5" t="str">
        <f>IFERROR(__xludf.DUMMYFUNCTION("GOOGLETRANSLATE(B12459,""en"",""fr"")"),"Les filles jouent ensuite à un jeu de Scotch hop les uns avec les autres et se donnant les uns les autres à la fin.")</f>
        <v>Les filles jouent ensuite à un jeu de Scotch hop les uns avec les autres et se donnant les uns les autres à la fin.</v>
      </c>
    </row>
    <row r="12460">
      <c r="A12460" s="4" t="s">
        <v>15677</v>
      </c>
      <c r="B12460" s="4" t="s">
        <v>15678</v>
      </c>
      <c r="C12460" s="5" t="str">
        <f>IFERROR(__xludf.DUMMYFUNCTION("GOOGLETRANSLATE(B12460,""en"",""fr"")"),"Une femme est vue en tenant une brosse et en saisissant une brosse.")</f>
        <v>Une femme est vue en tenant une brosse et en saisissant une brosse.</v>
      </c>
    </row>
    <row r="12461">
      <c r="A12461" s="4" t="s">
        <v>15677</v>
      </c>
      <c r="B12461" s="4" t="s">
        <v>15679</v>
      </c>
      <c r="C12461" s="5" t="str">
        <f>IFERROR(__xludf.DUMMYFUNCTION("GOOGLETRANSLATE(B12461,""en"",""fr"")"),"Une autre fille se brosse dans ses cheveux pendant que la caméra met ses mouvements.")</f>
        <v>Une autre fille se brosse dans ses cheveux pendant que la caméra met ses mouvements.</v>
      </c>
    </row>
    <row r="12462">
      <c r="A12462" s="4" t="s">
        <v>15677</v>
      </c>
      <c r="B12462" s="4" t="s">
        <v>15680</v>
      </c>
      <c r="C12462" s="5" t="str">
        <f>IFERROR(__xludf.DUMMYFUNCTION("GOOGLETRANSLATE(B12462,""en"",""fr"")"),"Elle continue de brosser les cheveux de l'autre tout en regardant la caméra.")</f>
        <v>Elle continue de brosser les cheveux de l'autre tout en regardant la caméra.</v>
      </c>
    </row>
    <row r="12463">
      <c r="A12463" s="4" t="s">
        <v>15681</v>
      </c>
      <c r="B12463" s="4" t="s">
        <v>15682</v>
      </c>
      <c r="C12463" s="5" t="str">
        <f>IFERROR(__xludf.DUMMYFUNCTION("GOOGLETRANSLATE(B12463,""en"",""fr"")"),"Nous voyons un écran de titre blanc.")</f>
        <v>Nous voyons un écran de titre blanc.</v>
      </c>
    </row>
    <row r="12464">
      <c r="A12464" s="4" t="s">
        <v>15681</v>
      </c>
      <c r="B12464" s="4" t="s">
        <v>15683</v>
      </c>
      <c r="C12464" s="5" t="str">
        <f>IFERROR(__xludf.DUMMYFUNCTION("GOOGLETRANSLATE(B12464,""en"",""fr"")"),"Nous voyons ensuite une dame se morfondre et tordre la vadrouille à la main.")</f>
        <v>Nous voyons ensuite une dame se morfondre et tordre la vadrouille à la main.</v>
      </c>
    </row>
    <row r="12465">
      <c r="A12465" s="4" t="s">
        <v>15681</v>
      </c>
      <c r="B12465" s="4" t="s">
        <v>15684</v>
      </c>
      <c r="C12465" s="5" t="str">
        <f>IFERROR(__xludf.DUMMYFUNCTION("GOOGLETRANSLATE(B12465,""en"",""fr"")"),"Nous voyons un seau qui sonne une vadrouille ronde sans la toucher.")</f>
        <v>Nous voyons un seau qui sonne une vadrouille ronde sans la toucher.</v>
      </c>
    </row>
    <row r="12466">
      <c r="A12466" s="4" t="s">
        <v>15681</v>
      </c>
      <c r="B12466" s="4" t="s">
        <v>15685</v>
      </c>
      <c r="C12466" s="5" t="str">
        <f>IFERROR(__xludf.DUMMYFUNCTION("GOOGLETRANSLATE(B12466,""en"",""fr"")"),"Une dame change la tête de vadrouille avec son pied.")</f>
        <v>Une dame change la tête de vadrouille avec son pied.</v>
      </c>
    </row>
    <row r="12467">
      <c r="A12467" s="4" t="s">
        <v>15681</v>
      </c>
      <c r="B12467" s="4" t="s">
        <v>15686</v>
      </c>
      <c r="C12467" s="5" t="str">
        <f>IFERROR(__xludf.DUMMYFUNCTION("GOOGLETRANSLATE(B12467,""en"",""fr"")"),"Trois dames donnent des recommandations et nous les voyons utiliser la vadrouille.")</f>
        <v>Trois dames donnent des recommandations et nous les voyons utiliser la vadrouille.</v>
      </c>
    </row>
    <row r="12468">
      <c r="A12468" s="4" t="s">
        <v>15681</v>
      </c>
      <c r="B12468" s="4" t="s">
        <v>15687</v>
      </c>
      <c r="C12468" s="5" t="str">
        <f>IFERROR(__xludf.DUMMYFUNCTION("GOOGLETRANSLATE(B12468,""en"",""fr"")"),"Nous voyons alors plus de la vadrouille en action.")</f>
        <v>Nous voyons alors plus de la vadrouille en action.</v>
      </c>
    </row>
    <row r="12469">
      <c r="A12469" s="4" t="s">
        <v>15681</v>
      </c>
      <c r="B12469" s="4" t="s">
        <v>777</v>
      </c>
      <c r="C12469" s="5" t="str">
        <f>IFERROR(__xludf.DUMMYFUNCTION("GOOGLETRANSLATE(B12469,""en"",""fr"")"),"Nous voyons l'écran du titre de fin.")</f>
        <v>Nous voyons l'écran du titre de fin.</v>
      </c>
    </row>
    <row r="12470">
      <c r="A12470" s="4" t="s">
        <v>15688</v>
      </c>
      <c r="B12470" s="4" t="s">
        <v>15689</v>
      </c>
      <c r="C12470" s="5" t="str">
        <f>IFERROR(__xludf.DUMMYFUNCTION("GOOGLETRANSLATE(B12470,""en"",""fr"")"),"Les gens sont assis sur des marches, après que les gens soient sur des bateaux dans une rivière.")</f>
        <v>Les gens sont assis sur des marches, après que les gens soient sur des bateaux dans une rivière.</v>
      </c>
    </row>
    <row r="12471">
      <c r="A12471" s="4" t="s">
        <v>15688</v>
      </c>
      <c r="B12471" s="4" t="s">
        <v>15690</v>
      </c>
      <c r="C12471" s="5" t="str">
        <f>IFERROR(__xludf.DUMMYFUNCTION("GOOGLETRANSLATE(B12471,""en"",""fr"")"),"Un adulte et plusieurs adolescents en canoës tient des pagaies.")</f>
        <v>Un adulte et plusieurs adolescents en canoës tient des pagaies.</v>
      </c>
    </row>
    <row r="12472">
      <c r="A12472" s="4" t="s">
        <v>15688</v>
      </c>
      <c r="B12472" s="4" t="s">
        <v>15691</v>
      </c>
      <c r="C12472" s="5" t="str">
        <f>IFERROR(__xludf.DUMMYFUNCTION("GOOGLETRANSLATE(B12472,""en"",""fr"")"),"L'homme montre aux adolescents comment déplacer les rames.")</f>
        <v>L'homme montre aux adolescents comment déplacer les rames.</v>
      </c>
    </row>
    <row r="12473">
      <c r="A12473" s="4" t="s">
        <v>15688</v>
      </c>
      <c r="B12473" s="4" t="s">
        <v>15692</v>
      </c>
      <c r="C12473" s="5" t="str">
        <f>IFERROR(__xludf.DUMMYFUNCTION("GOOGLETRANSLATE(B12473,""en"",""fr"")"),"Les adolescents suivent les instructions de l'homme et rament les rames.")</f>
        <v>Les adolescents suivent les instructions de l'homme et rament les rames.</v>
      </c>
    </row>
    <row r="12474">
      <c r="A12474" s="4" t="s">
        <v>15693</v>
      </c>
      <c r="B12474" s="4" t="s">
        <v>15694</v>
      </c>
      <c r="C12474" s="5" t="str">
        <f>IFERROR(__xludf.DUMMYFUNCTION("GOOGLETRANSLATE(B12474,""en"",""fr"")"),"Il y a des chaussures placées sur le sol juste allongées là.")</f>
        <v>Il y a des chaussures placées sur le sol juste allongées là.</v>
      </c>
    </row>
    <row r="12475">
      <c r="A12475" s="4" t="s">
        <v>15693</v>
      </c>
      <c r="B12475" s="4" t="s">
        <v>15695</v>
      </c>
      <c r="C12475" s="5" t="str">
        <f>IFERROR(__xludf.DUMMYFUNCTION("GOOGLETRANSLATE(B12475,""en"",""fr"")"),"Quelqu'un met les pieds dans l'une de ses chaussures très lentement.")</f>
        <v>Quelqu'un met les pieds dans l'une de ses chaussures très lentement.</v>
      </c>
    </row>
    <row r="12476">
      <c r="A12476" s="4" t="s">
        <v>15693</v>
      </c>
      <c r="B12476" s="4" t="s">
        <v>15696</v>
      </c>
      <c r="C12476" s="5" t="str">
        <f>IFERROR(__xludf.DUMMYFUNCTION("GOOGLETRANSLATE(B12476,""en"",""fr"")"),"Ils commencent à boucler les sangles sur la chaussure gauche.")</f>
        <v>Ils commencent à boucler les sangles sur la chaussure gauche.</v>
      </c>
    </row>
    <row r="12477">
      <c r="A12477" s="4" t="s">
        <v>15693</v>
      </c>
      <c r="B12477" s="6" t="s">
        <v>15697</v>
      </c>
      <c r="C12477" s="5" t="str">
        <f>IFERROR(__xludf.DUMMYFUNCTION("GOOGLETRANSLATE(B12477,""en"",""fr"")"),"Ensuite, ils ont mis le pied plus solidement dans la bonne chaussure, frottant finalement les sangles sur cette chaussure aussi.")</f>
        <v>Ensuite, ils ont mis le pied plus solidement dans la bonne chaussure, frottant finalement les sangles sur cette chaussure aussi.</v>
      </c>
    </row>
    <row r="12478">
      <c r="A12478" s="4" t="s">
        <v>15698</v>
      </c>
      <c r="B12478" s="4" t="s">
        <v>15699</v>
      </c>
      <c r="C12478" s="5" t="str">
        <f>IFERROR(__xludf.DUMMYFUNCTION("GOOGLETRANSLATE(B12478,""en"",""fr"")"),"Un homme et une femme parlent.")</f>
        <v>Un homme et une femme parlent.</v>
      </c>
    </row>
    <row r="12479">
      <c r="A12479" s="4" t="s">
        <v>15698</v>
      </c>
      <c r="B12479" s="4" t="s">
        <v>15700</v>
      </c>
      <c r="C12479" s="5" t="str">
        <f>IFERROR(__xludf.DUMMYFUNCTION("GOOGLETRANSLATE(B12479,""en"",""fr"")"),"Un homme commence à jouer un harmonica.")</f>
        <v>Un homme commence à jouer un harmonica.</v>
      </c>
    </row>
    <row r="12480">
      <c r="A12480" s="4" t="s">
        <v>15698</v>
      </c>
      <c r="B12480" s="4" t="s">
        <v>15701</v>
      </c>
      <c r="C12480" s="5" t="str">
        <f>IFERROR(__xludf.DUMMYFUNCTION("GOOGLETRANSLATE(B12480,""en"",""fr"")"),"La foule le regarde jouer.")</f>
        <v>La foule le regarde jouer.</v>
      </c>
    </row>
    <row r="12481">
      <c r="A12481" s="4" t="s">
        <v>15702</v>
      </c>
      <c r="B12481" s="4" t="s">
        <v>15703</v>
      </c>
      <c r="C12481" s="5" t="str">
        <f>IFERROR(__xludf.DUMMYFUNCTION("GOOGLETRANSLATE(B12481,""en"",""fr"")"),"Un vélo est montré dans la passerelle étroite.")</f>
        <v>Un vélo est montré dans la passerelle étroite.</v>
      </c>
    </row>
    <row r="12482">
      <c r="A12482" s="4" t="s">
        <v>15702</v>
      </c>
      <c r="B12482" s="6" t="s">
        <v>15704</v>
      </c>
      <c r="C12482" s="5" t="str">
        <f>IFERROR(__xludf.DUMMYFUNCTION("GOOGLETRANSLATE(B12482,""en"",""fr"")"),"Un vieil homme portant une chemise grise met en place et baise les barres de poignée noire à l'avant du vélo, puis mette la roue avant du vélo, serrez la vis, et enfin il a mis le siège.")</f>
        <v>Un vieil homme portant une chemise grise met en place et baise les barres de poignée noire à l'avant du vélo, puis mette la roue avant du vélo, serrez la vis, et enfin il a mis le siège.</v>
      </c>
    </row>
    <row r="12483">
      <c r="A12483" s="4" t="s">
        <v>15705</v>
      </c>
      <c r="B12483" s="4" t="s">
        <v>15706</v>
      </c>
      <c r="C12483" s="5" t="str">
        <f>IFERROR(__xludf.DUMMYFUNCTION("GOOGLETRANSLATE(B12483,""en"",""fr"")"),"Une fille se tient dans sa maison avec ses mains derrière son dos et la largeur de l'épaule des jambes.")</f>
        <v>Une fille se tient dans sa maison avec ses mains derrière son dos et la largeur de l'épaule des jambes.</v>
      </c>
    </row>
    <row r="12484">
      <c r="A12484" s="4" t="s">
        <v>15705</v>
      </c>
      <c r="B12484" s="6" t="s">
        <v>15707</v>
      </c>
      <c r="C12484" s="5" t="str">
        <f>IFERROR(__xludf.DUMMYFUNCTION("GOOGLETRANSLATE(B12484,""en"",""fr"")"),"La fille laisse alors fermement ses mains à ses côtés, rassemble ses pieds et fait un arc et continue de faire une routine de divers mouvements de karaté.")</f>
        <v>La fille laisse alors fermement ses mains à ses côtés, rassemble ses pieds et fait un arc et continue de faire une routine de divers mouvements de karaté.</v>
      </c>
    </row>
    <row r="12485">
      <c r="A12485" s="4" t="s">
        <v>15705</v>
      </c>
      <c r="B12485" s="6" t="s">
        <v>15708</v>
      </c>
      <c r="C12485" s="5" t="str">
        <f>IFERROR(__xludf.DUMMYFUNCTION("GOOGLETRANSLATE(B12485,""en"",""fr"")"),"La fille met fin à son routage un peu plus loin du point qu'elle a commencé et dépose fermement ses mains sur ses côtés et fait un petit arc, puis ouvre la longueur des épaules de ses jambes et revient dans la même position qu'elle était quand elle a comm"&amp;"encé.")</f>
        <v>La fille met fin à son routage un peu plus loin du point qu'elle a commencé et dépose fermement ses mains sur ses côtés et fait un petit arc, puis ouvre la longueur des épaules de ses jambes et revient dans la même position qu'elle était quand elle a commencé.</v>
      </c>
    </row>
    <row r="12486">
      <c r="A12486" s="4" t="s">
        <v>15705</v>
      </c>
      <c r="B12486" s="4" t="s">
        <v>15709</v>
      </c>
      <c r="C12486" s="5" t="str">
        <f>IFERROR(__xludf.DUMMYFUNCTION("GOOGLETRANSLATE(B12486,""en"",""fr"")"),"Après avoir fini de tenir la position pendant un certain temps, la fille se détend puis s'éloigne.")</f>
        <v>Après avoir fini de tenir la position pendant un certain temps, la fille se détend puis s'éloigne.</v>
      </c>
    </row>
    <row r="12487">
      <c r="A12487" s="4" t="s">
        <v>15710</v>
      </c>
      <c r="B12487" s="4" t="s">
        <v>15711</v>
      </c>
      <c r="C12487" s="5" t="str">
        <f>IFERROR(__xludf.DUMMYFUNCTION("GOOGLETRANSLATE(B12487,""en"",""fr"")"),"Deux personnes sont vues à genoux devant une planche et en poussant des objets.")</f>
        <v>Deux personnes sont vues à genoux devant une planche et en poussant des objets.</v>
      </c>
    </row>
    <row r="12488">
      <c r="A12488" s="4" t="s">
        <v>15710</v>
      </c>
      <c r="B12488" s="4" t="s">
        <v>15712</v>
      </c>
      <c r="C12488" s="5" t="str">
        <f>IFERROR(__xludf.DUMMYFUNCTION("GOOGLETRANSLATE(B12488,""en"",""fr"")"),"D'autres personnes regardent sur le côté alors que les deux robots commencent à s'attaquer.")</f>
        <v>D'autres personnes regardent sur le côté alors que les deux robots commencent à s'attaquer.</v>
      </c>
    </row>
    <row r="12489">
      <c r="A12489" s="4" t="s">
        <v>15710</v>
      </c>
      <c r="B12489" s="4" t="s">
        <v>15713</v>
      </c>
      <c r="C12489" s="5" t="str">
        <f>IFERROR(__xludf.DUMMYFUNCTION("GOOGLETRANSLATE(B12489,""en"",""fr"")"),"L'un pousse l'autre du côté et les hommes remettent les robots pour combattre plusieurs autres.")</f>
        <v>L'un pousse l'autre du côté et les hommes remettent les robots pour combattre plusieurs autres.</v>
      </c>
    </row>
    <row r="12490">
      <c r="A12490" s="4" t="s">
        <v>15714</v>
      </c>
      <c r="B12490" s="4" t="s">
        <v>15715</v>
      </c>
      <c r="C12490" s="5" t="str">
        <f>IFERROR(__xludf.DUMMYFUNCTION("GOOGLETRANSLATE(B12490,""en"",""fr"")"),"Un homme a les mains en l'air.")</f>
        <v>Un homme a les mains en l'air.</v>
      </c>
    </row>
    <row r="12491">
      <c r="A12491" s="4" t="s">
        <v>15714</v>
      </c>
      <c r="B12491" s="4" t="s">
        <v>15716</v>
      </c>
      <c r="C12491" s="5" t="str">
        <f>IFERROR(__xludf.DUMMYFUNCTION("GOOGLETRANSLATE(B12491,""en"",""fr"")"),"Deux lutteurs sont montrés en sautant sur le ring.")</f>
        <v>Deux lutteurs sont montrés en sautant sur le ring.</v>
      </c>
    </row>
    <row r="12492">
      <c r="A12492" s="4" t="s">
        <v>15714</v>
      </c>
      <c r="B12492" s="4" t="s">
        <v>15717</v>
      </c>
      <c r="C12492" s="5" t="str">
        <f>IFERROR(__xludf.DUMMYFUNCTION("GOOGLETRANSLATE(B12492,""en"",""fr"")"),"Ils s'effondrent alors que différentes personnes font le même saut.")</f>
        <v>Ils s'effondrent alors que différentes personnes font le même saut.</v>
      </c>
    </row>
    <row r="12493">
      <c r="A12493" s="4" t="s">
        <v>15718</v>
      </c>
      <c r="B12493" s="6" t="s">
        <v>15719</v>
      </c>
      <c r="C12493" s="5" t="str">
        <f>IFERROR(__xludf.DUMMYFUNCTION("GOOGLETRANSLATE(B12493,""en"",""fr"")"),"Une femme athlétique est vue en parlant à la caméra et mène à son enseignement d'une classe de vélo avec d'autres.")</f>
        <v>Une femme athlétique est vue en parlant à la caméra et mène à son enseignement d'une classe de vélo avec d'autres.</v>
      </c>
    </row>
    <row r="12494">
      <c r="A12494" s="4" t="s">
        <v>15718</v>
      </c>
      <c r="B12494" s="4" t="s">
        <v>15720</v>
      </c>
      <c r="C12494" s="5" t="str">
        <f>IFERROR(__xludf.DUMMYFUNCTION("GOOGLETRANSLATE(B12494,""en"",""fr"")"),"Plus de photos de sa direction sont montrées dans différentes zones.")</f>
        <v>Plus de photos de sa direction sont montrées dans différentes zones.</v>
      </c>
    </row>
    <row r="12495">
      <c r="A12495" s="4" t="s">
        <v>15721</v>
      </c>
      <c r="B12495" s="4" t="s">
        <v>15722</v>
      </c>
      <c r="C12495" s="5" t="str">
        <f>IFERROR(__xludf.DUMMYFUNCTION("GOOGLETRANSLATE(B12495,""en"",""fr"")"),"Une dame est assise dans la douche en lavant un chien moelleux.")</f>
        <v>Une dame est assise dans la douche en lavant un chien moelleux.</v>
      </c>
    </row>
    <row r="12496">
      <c r="A12496" s="4" t="s">
        <v>15721</v>
      </c>
      <c r="B12496" s="4" t="s">
        <v>15723</v>
      </c>
      <c r="C12496" s="5" t="str">
        <f>IFERROR(__xludf.DUMMYFUNCTION("GOOGLETRANSLATE(B12496,""en"",""fr"")"),"La dame se penche sur le chien et lave sa patte avant sur la gauche.")</f>
        <v>La dame se penche sur le chien et lave sa patte avant sur la gauche.</v>
      </c>
    </row>
    <row r="12497">
      <c r="A12497" s="4" t="s">
        <v>15724</v>
      </c>
      <c r="B12497" s="4" t="s">
        <v>15725</v>
      </c>
      <c r="C12497" s="5" t="str">
        <f>IFERROR(__xludf.DUMMYFUNCTION("GOOGLETRANSLATE(B12497,""en"",""fr"")"),"Une caméra suit un petit bateau qui se déplace le long de l'eau ainsi que des paysages.")</f>
        <v>Une caméra suit un petit bateau qui se déplace le long de l'eau ainsi que des paysages.</v>
      </c>
    </row>
    <row r="12498">
      <c r="A12498" s="4" t="s">
        <v>15724</v>
      </c>
      <c r="B12498" s="4" t="s">
        <v>15726</v>
      </c>
      <c r="C12498" s="5" t="str">
        <f>IFERROR(__xludf.DUMMYFUNCTION("GOOGLETRANSLATE(B12498,""en"",""fr"")"),"La caméra zoome sur le bateau et montre des gens à l'intérieur.")</f>
        <v>La caméra zoome sur le bateau et montre des gens à l'intérieur.</v>
      </c>
    </row>
    <row r="12499">
      <c r="A12499" s="4" t="s">
        <v>15727</v>
      </c>
      <c r="B12499" s="4" t="s">
        <v>15728</v>
      </c>
      <c r="C12499" s="5" t="str">
        <f>IFERROR(__xludf.DUMMYFUNCTION("GOOGLETRANSLATE(B12499,""en"",""fr"")"),"Un homme monte une échelle vers un toit.")</f>
        <v>Un homme monte une échelle vers un toit.</v>
      </c>
    </row>
    <row r="12500">
      <c r="A12500" s="4" t="s">
        <v>15727</v>
      </c>
      <c r="B12500" s="4" t="s">
        <v>15729</v>
      </c>
      <c r="C12500" s="5" t="str">
        <f>IFERROR(__xludf.DUMMYFUNCTION("GOOGLETRANSLATE(B12500,""en"",""fr"")"),"Il se tient devant une maison qui parle.")</f>
        <v>Il se tient devant une maison qui parle.</v>
      </c>
    </row>
    <row r="12501">
      <c r="A12501" s="4" t="s">
        <v>15727</v>
      </c>
      <c r="B12501" s="4" t="s">
        <v>15730</v>
      </c>
      <c r="C12501" s="5" t="str">
        <f>IFERROR(__xludf.DUMMYFUNCTION("GOOGLETRANSLATE(B12501,""en"",""fr"")"),"Les hommes mettent de nouveaux bardeaux sur un toit.")</f>
        <v>Les hommes mettent de nouveaux bardeaux sur un toit.</v>
      </c>
    </row>
    <row r="12502">
      <c r="A12502" s="4" t="s">
        <v>15731</v>
      </c>
      <c r="B12502" s="4" t="s">
        <v>15732</v>
      </c>
      <c r="C12502" s="5" t="str">
        <f>IFERROR(__xludf.DUMMYFUNCTION("GOOGLETRANSLATE(B12502,""en"",""fr"")"),"Un bébé nage dans une piscine sur le dos.")</f>
        <v>Un bébé nage dans une piscine sur le dos.</v>
      </c>
    </row>
    <row r="12503">
      <c r="A12503" s="4" t="s">
        <v>15731</v>
      </c>
      <c r="B12503" s="4" t="s">
        <v>15733</v>
      </c>
      <c r="C12503" s="5" t="str">
        <f>IFERROR(__xludf.DUMMYFUNCTION("GOOGLETRANSLATE(B12503,""en"",""fr"")"),"Le bébé donne des coups de pied dans l'eau.")</f>
        <v>Le bébé donne des coups de pied dans l'eau.</v>
      </c>
    </row>
    <row r="12504">
      <c r="A12504" s="4" t="s">
        <v>15731</v>
      </c>
      <c r="B12504" s="4" t="s">
        <v>15734</v>
      </c>
      <c r="C12504" s="5" t="str">
        <f>IFERROR(__xludf.DUMMYFUNCTION("GOOGLETRANSLATE(B12504,""en"",""fr"")"),"La main de quelqu'un tient ce bébé dans l'eau.")</f>
        <v>La main de quelqu'un tient ce bébé dans l'eau.</v>
      </c>
    </row>
    <row r="12505">
      <c r="A12505" s="4" t="s">
        <v>15735</v>
      </c>
      <c r="B12505" s="6" t="s">
        <v>15736</v>
      </c>
      <c r="C12505" s="5" t="str">
        <f>IFERROR(__xludf.DUMMYFUNCTION("GOOGLETRANSLATE(B12505,""en"",""fr"")"),"La liste de départ de l'événement de saut à la perche masculine est affichée sur l'arrière-plan de la zone de compétition.")</f>
        <v>La liste de départ de l'événement de saut à la perche masculine est affichée sur l'arrière-plan de la zone de compétition.</v>
      </c>
    </row>
    <row r="12506">
      <c r="A12506" s="4" t="s">
        <v>15735</v>
      </c>
      <c r="B12506" s="4" t="s">
        <v>15737</v>
      </c>
      <c r="C12506" s="5" t="str">
        <f>IFERROR(__xludf.DUMMYFUNCTION("GOOGLETRANSLATE(B12506,""en"",""fr"")"),"Plusieurs vaulters tentent de sauter, l'un après l'autre, certains avec succès et d'autres non.")</f>
        <v>Plusieurs vaulters tentent de sauter, l'un après l'autre, certains avec succès et d'autres non.</v>
      </c>
    </row>
    <row r="12507">
      <c r="A12507" s="4" t="s">
        <v>15735</v>
      </c>
      <c r="B12507" s="6" t="s">
        <v>15738</v>
      </c>
      <c r="C12507" s="5" t="str">
        <f>IFERROR(__xludf.DUMMYFUNCTION("GOOGLETRANSLATE(B12507,""en"",""fr"")"),"La caméra coupe à un homme essuyant son visage avec une serviette, puis un coup rapide de la dernière tentative de saut, puis un coup rapide d'un autre homme s'éloignant de la caméra.")</f>
        <v>La caméra coupe à un homme essuyant son visage avec une serviette, puis un coup rapide de la dernière tentative de saut, puis un coup rapide d'un autre homme s'éloignant de la caméra.</v>
      </c>
    </row>
    <row r="12508">
      <c r="A12508" s="4" t="s">
        <v>15735</v>
      </c>
      <c r="B12508" s="4" t="s">
        <v>15739</v>
      </c>
      <c r="C12508" s="5" t="str">
        <f>IFERROR(__xludf.DUMMYFUNCTION("GOOGLETRANSLATE(B12508,""en"",""fr"")"),"Un autre homme en coffre-fort blanc et bleu et réussit.")</f>
        <v>Un autre homme en coffre-fort blanc et bleu et réussit.</v>
      </c>
    </row>
    <row r="12509">
      <c r="A12509" s="4" t="s">
        <v>15735</v>
      </c>
      <c r="B12509" s="4" t="s">
        <v>15740</v>
      </c>
      <c r="C12509" s="5" t="str">
        <f>IFERROR(__xludf.DUMMYFUNCTION("GOOGLETRANSLATE(B12509,""en"",""fr"")"),"La caméra passe à quatre autres concurrents en regardant.")</f>
        <v>La caméra passe à quatre autres concurrents en regardant.</v>
      </c>
    </row>
    <row r="12510">
      <c r="A12510" s="4" t="s">
        <v>15735</v>
      </c>
      <c r="B12510" s="4" t="s">
        <v>15741</v>
      </c>
      <c r="C12510" s="5" t="str">
        <f>IFERROR(__xludf.DUMMYFUNCTION("GOOGLETRANSLATE(B12510,""en"",""fr"")"),"La caméra coupe un homme en blanc et en bleu célébrant tout en tenant un drapeau contre son noir.")</f>
        <v>La caméra coupe un homme en blanc et en bleu célébrant tout en tenant un drapeau contre son noir.</v>
      </c>
    </row>
    <row r="12511">
      <c r="A12511" s="4" t="s">
        <v>15735</v>
      </c>
      <c r="B12511" s="4" t="s">
        <v>15742</v>
      </c>
      <c r="C12511" s="5" t="str">
        <f>IFERROR(__xludf.DUMMYFUNCTION("GOOGLETRANSLATE(B12511,""en"",""fr"")"),"L'homme qui a célébré est interviewé.")</f>
        <v>L'homme qui a célébré est interviewé.</v>
      </c>
    </row>
    <row r="12512">
      <c r="A12512" s="4" t="s">
        <v>15735</v>
      </c>
      <c r="B12512" s="4" t="s">
        <v>15743</v>
      </c>
      <c r="C12512" s="5" t="str">
        <f>IFERROR(__xludf.DUMMYFUNCTION("GOOGLETRANSLATE(B12512,""en"",""fr"")"),"Un concurrent différent, portant du rouge, est interviewé.")</f>
        <v>Un concurrent différent, portant du rouge, est interviewé.</v>
      </c>
    </row>
    <row r="12513">
      <c r="A12513" s="4" t="s">
        <v>15744</v>
      </c>
      <c r="B12513" s="4" t="s">
        <v>15745</v>
      </c>
      <c r="C12513" s="5" t="str">
        <f>IFERROR(__xludf.DUMMYFUNCTION("GOOGLETRANSLATE(B12513,""en"",""fr"")"),"Un homme s'assoit devant un lit.")</f>
        <v>Un homme s'assoit devant un lit.</v>
      </c>
    </row>
    <row r="12514">
      <c r="A12514" s="4" t="s">
        <v>15744</v>
      </c>
      <c r="B12514" s="4" t="s">
        <v>15746</v>
      </c>
      <c r="C12514" s="5" t="str">
        <f>IFERROR(__xludf.DUMMYFUNCTION("GOOGLETRANSLATE(B12514,""en"",""fr"")"),"Il commence à jouer d'une guitare électrique.")</f>
        <v>Il commence à jouer d'une guitare électrique.</v>
      </c>
    </row>
    <row r="12515">
      <c r="A12515" s="4" t="s">
        <v>15744</v>
      </c>
      <c r="B12515" s="4" t="s">
        <v>15747</v>
      </c>
      <c r="C12515" s="5" t="str">
        <f>IFERROR(__xludf.DUMMYFUNCTION("GOOGLETRANSLATE(B12515,""en"",""fr"")"),"Il finit de jouer et se lève.")</f>
        <v>Il finit de jouer et se lève.</v>
      </c>
    </row>
    <row r="12516">
      <c r="A12516" s="4" t="s">
        <v>15748</v>
      </c>
      <c r="B12516" s="4" t="s">
        <v>15749</v>
      </c>
      <c r="C12516" s="5" t="str">
        <f>IFERROR(__xludf.DUMMYFUNCTION("GOOGLETRANSLATE(B12516,""en"",""fr"")"),"Deux filles se tiennent dans un magasin et se serrent dans les bras.")</f>
        <v>Deux filles se tiennent dans un magasin et se serrent dans les bras.</v>
      </c>
    </row>
    <row r="12517">
      <c r="A12517" s="4" t="s">
        <v>15748</v>
      </c>
      <c r="B12517" s="4" t="s">
        <v>15750</v>
      </c>
      <c r="C12517" s="5" t="str">
        <f>IFERROR(__xludf.DUMMYFUNCTION("GOOGLETRANSLATE(B12517,""en"",""fr"")"),"Les deux filles reconnaissent la fille tenant la caméra.")</f>
        <v>Les deux filles reconnaissent la fille tenant la caméra.</v>
      </c>
    </row>
    <row r="12518">
      <c r="A12518" s="4" t="s">
        <v>15748</v>
      </c>
      <c r="B12518" s="4" t="s">
        <v>15751</v>
      </c>
      <c r="C12518" s="5" t="str">
        <f>IFERROR(__xludf.DUMMYFUNCTION("GOOGLETRANSLATE(B12518,""en"",""fr"")"),"Ils montrent chacun à leurs oreilles qu'ils veulent être percés.")</f>
        <v>Ils montrent chacun à leurs oreilles qu'ils veulent être percés.</v>
      </c>
    </row>
    <row r="12519">
      <c r="A12519" s="4" t="s">
        <v>15748</v>
      </c>
      <c r="B12519" s="6" t="s">
        <v>15752</v>
      </c>
      <c r="C12519" s="5" t="str">
        <f>IFERROR(__xludf.DUMMYFUNCTION("GOOGLETRANSLATE(B12519,""en"",""fr"")"),"La femme travaillant dans la boutique redresse la tête des filles et lui marque l'oreille et lui perce l'oreille droite, alors que la fille fait des grimaces.")</f>
        <v>La femme travaillant dans la boutique redresse la tête des filles et lui marque l'oreille et lui perce l'oreille droite, alors que la fille fait des grimaces.</v>
      </c>
    </row>
    <row r="12520">
      <c r="A12520" s="4" t="s">
        <v>15748</v>
      </c>
      <c r="B12520" s="4" t="s">
        <v>15753</v>
      </c>
      <c r="C12520" s="5" t="str">
        <f>IFERROR(__xludf.DUMMYFUNCTION("GOOGLETRANSLATE(B12520,""en"",""fr"")"),"La femme a l'air choquée lorsque le travailleur lui parle et tient le miroir pour que Her ait l'oreille.")</f>
        <v>La femme a l'air choquée lorsque le travailleur lui parle et tient le miroir pour que Her ait l'oreille.</v>
      </c>
    </row>
    <row r="12521">
      <c r="A12521" s="4" t="s">
        <v>15748</v>
      </c>
      <c r="B12521" s="4" t="s">
        <v>15754</v>
      </c>
      <c r="C12521" s="5" t="str">
        <f>IFERROR(__xludf.DUMMYFUNCTION("GOOGLETRANSLATE(B12521,""en"",""fr"")"),"À poursuivre est affiché à l'écran.")</f>
        <v>À poursuivre est affiché à l'écran.</v>
      </c>
    </row>
    <row r="12522">
      <c r="A12522" s="4" t="s">
        <v>15748</v>
      </c>
      <c r="B12522" s="6" t="s">
        <v>15755</v>
      </c>
      <c r="C12522" s="5" t="str">
        <f>IFERROR(__xludf.DUMMYFUNCTION("GOOGLETRANSLATE(B12522,""en"",""fr"")"),"La fille montre son oreille alors qu'elle s'assoit sur la chaise et essaie de ne pas pleurer alors que la caméra zoome sur son oreille.")</f>
        <v>La fille montre son oreille alors qu'elle s'assoit sur la chaise et essaie de ne pas pleurer alors que la caméra zoome sur son oreille.</v>
      </c>
    </row>
    <row r="12523">
      <c r="A12523" s="4" t="s">
        <v>15756</v>
      </c>
      <c r="B12523" s="6" t="s">
        <v>15757</v>
      </c>
      <c r="C12523" s="5" t="str">
        <f>IFERROR(__xludf.DUMMYFUNCTION("GOOGLETRANSLATE(B12523,""en"",""fr"")"),"Une femme est vue en parlant à une caméra et mène à elle-même avec des cheveux mouillés et en le brossant.")</f>
        <v>Une femme est vue en parlant à une caméra et mène à elle-même avec des cheveux mouillés et en le brossant.</v>
      </c>
    </row>
    <row r="12524">
      <c r="A12524" s="4" t="s">
        <v>15756</v>
      </c>
      <c r="B12524" s="4" t="s">
        <v>15758</v>
      </c>
      <c r="C12524" s="5" t="str">
        <f>IFERROR(__xludf.DUMMYFUNCTION("GOOGLETRANSLATE(B12524,""en"",""fr"")"),"Ses cheveux sont secs et sèchent et elle met des clips dans ses cheveux et commence à curler.")</f>
        <v>Ses cheveux sont secs et sèchent et elle met des clips dans ses cheveux et commence à curler.</v>
      </c>
    </row>
    <row r="12525">
      <c r="A12525" s="4" t="s">
        <v>15756</v>
      </c>
      <c r="B12525" s="6" t="s">
        <v>15759</v>
      </c>
      <c r="C12525" s="5" t="str">
        <f>IFERROR(__xludf.DUMMYFUNCTION("GOOGLETRANSLATE(B12525,""en"",""fr"")"),"Elle continue de boucler les extrémités de ses cheveux et passe ses doigts à la fin et sourit à la caméra tout en donnant un coup de pouce.")</f>
        <v>Elle continue de boucler les extrémités de ses cheveux et passe ses doigts à la fin et sourit à la caméra tout en donnant un coup de pouce.</v>
      </c>
    </row>
    <row r="12526">
      <c r="A12526" s="4" t="s">
        <v>15760</v>
      </c>
      <c r="B12526" s="6" t="s">
        <v>15761</v>
      </c>
      <c r="C12526" s="5" t="str">
        <f>IFERROR(__xludf.DUMMYFUNCTION("GOOGLETRANSLATE(B12526,""en"",""fr"")"),"Une grosse poubelle verte est poussée contre un mur de briques et un renne saute en buvant dans une tasse de café.")</f>
        <v>Une grosse poubelle verte est poussée contre un mur de briques et un renne saute en buvant dans une tasse de café.</v>
      </c>
    </row>
    <row r="12527">
      <c r="A12527" s="4" t="s">
        <v>15760</v>
      </c>
      <c r="B12527" s="6" t="s">
        <v>15762</v>
      </c>
      <c r="C12527" s="5" t="str">
        <f>IFERROR(__xludf.DUMMYFUNCTION("GOOGLETRANSLATE(B12527,""en"",""fr"")"),"Le renne continue de boire de la tasse de café et finit par tomber sur la poubelle.")</f>
        <v>Le renne continue de boire de la tasse de café et finit par tomber sur la poubelle.</v>
      </c>
    </row>
    <row r="12528">
      <c r="A12528" s="4" t="s">
        <v>15763</v>
      </c>
      <c r="B12528" s="4" t="s">
        <v>15764</v>
      </c>
      <c r="C12528" s="5" t="str">
        <f>IFERROR(__xludf.DUMMYFUNCTION("GOOGLETRANSLATE(B12528,""en"",""fr"")"),"L'écran affiche les mots punch des mots.")</f>
        <v>L'écran affiche les mots punch des mots.</v>
      </c>
    </row>
    <row r="12529">
      <c r="A12529" s="4" t="s">
        <v>15763</v>
      </c>
      <c r="B12529" s="4" t="s">
        <v>15765</v>
      </c>
      <c r="C12529" s="5" t="str">
        <f>IFERROR(__xludf.DUMMYFUNCTION("GOOGLETRANSLATE(B12529,""en"",""fr"")"),"Kurt Roberts, dans un haut jaune, lance le ballon et un homme se précipite pour mesurer le lancer.")</f>
        <v>Kurt Roberts, dans un haut jaune, lance le ballon et un homme se précipite pour mesurer le lancer.</v>
      </c>
    </row>
    <row r="12530">
      <c r="A12530" s="4" t="s">
        <v>15763</v>
      </c>
      <c r="B12530" s="4" t="s">
        <v>15766</v>
      </c>
      <c r="C12530" s="5" t="str">
        <f>IFERROR(__xludf.DUMMYFUNCTION("GOOGLETRANSLATE(B12530,""en"",""fr"")"),"Kurt boit dans une bouteille Gatorade.")</f>
        <v>Kurt boit dans une bouteille Gatorade.</v>
      </c>
    </row>
    <row r="12531">
      <c r="A12531" s="4" t="s">
        <v>15763</v>
      </c>
      <c r="B12531" s="4" t="s">
        <v>15767</v>
      </c>
      <c r="C12531" s="5" t="str">
        <f>IFERROR(__xludf.DUMMYFUNCTION("GOOGLETRANSLATE(B12531,""en"",""fr"")"),"Reese Hoffa s'intensifie et lance le ballon et un homme se précipite pour mesurer le lancer.")</f>
        <v>Reese Hoffa s'intensifie et lance le ballon et un homme se précipite pour mesurer le lancer.</v>
      </c>
    </row>
    <row r="12532">
      <c r="A12532" s="4" t="s">
        <v>15763</v>
      </c>
      <c r="B12532" s="4" t="s">
        <v>15768</v>
      </c>
      <c r="C12532" s="5" t="str">
        <f>IFERROR(__xludf.DUMMYFUNCTION("GOOGLETRANSLATE(B12532,""en"",""fr"")"),"Reese ajuste sa chemise et attend son score.")</f>
        <v>Reese ajuste sa chemise et attend son score.</v>
      </c>
    </row>
    <row r="12533">
      <c r="A12533" s="4" t="s">
        <v>15763</v>
      </c>
      <c r="B12533" s="4" t="s">
        <v>15769</v>
      </c>
      <c r="C12533" s="5" t="str">
        <f>IFERROR(__xludf.DUMMYFUNCTION("GOOGLETRANSLATE(B12533,""en"",""fr"")"),"Davis Storl est assis et est présenté à l'écran.")</f>
        <v>Davis Storl est assis et est présenté à l'écran.</v>
      </c>
    </row>
    <row r="12534">
      <c r="A12534" s="4" t="s">
        <v>15763</v>
      </c>
      <c r="B12534" s="4" t="s">
        <v>15770</v>
      </c>
      <c r="C12534" s="5" t="str">
        <f>IFERROR(__xludf.DUMMYFUNCTION("GOOGLETRANSLATE(B12534,""en"",""fr"")"),"Il lance ensuite le ballon et l'homme se précipite pour mesurer la distance.")</f>
        <v>Il lance ensuite le ballon et l'homme se précipite pour mesurer la distance.</v>
      </c>
    </row>
    <row r="12535">
      <c r="A12535" s="4" t="s">
        <v>15763</v>
      </c>
      <c r="B12535" s="4" t="s">
        <v>15771</v>
      </c>
      <c r="C12535" s="5" t="str">
        <f>IFERROR(__xludf.DUMMYFUNCTION("GOOGLETRANSLATE(B12535,""en"",""fr"")"),"Il est montré debout avec son équipe et une rediffusion instantanée du lancer est montrée.")</f>
        <v>Il est montré debout avec son équipe et une rediffusion instantanée du lancer est montrée.</v>
      </c>
    </row>
    <row r="12536">
      <c r="A12536" s="4" t="s">
        <v>15763</v>
      </c>
      <c r="B12536" s="4" t="s">
        <v>15772</v>
      </c>
      <c r="C12536" s="5" t="str">
        <f>IFERROR(__xludf.DUMMYFUNCTION("GOOGLETRANSLATE(B12536,""en"",""fr"")"),"Le score est affiché à l'écran.")</f>
        <v>Le score est affiché à l'écran.</v>
      </c>
    </row>
    <row r="12537">
      <c r="A12537" s="4" t="s">
        <v>15763</v>
      </c>
      <c r="B12537" s="4" t="s">
        <v>15773</v>
      </c>
      <c r="C12537" s="5" t="str">
        <f>IFERROR(__xludf.DUMMYFUNCTION("GOOGLETRANSLATE(B12537,""en"",""fr"")"),"Les fans sont montrés en faisant la vague.")</f>
        <v>Les fans sont montrés en faisant la vague.</v>
      </c>
    </row>
    <row r="12538">
      <c r="A12538" s="4" t="s">
        <v>15774</v>
      </c>
      <c r="B12538" s="4" t="s">
        <v>15775</v>
      </c>
      <c r="C12538" s="5" t="str">
        <f>IFERROR(__xludf.DUMMYFUNCTION("GOOGLETRANSLATE(B12538,""en"",""fr"")"),"Un enfant skie sur la neige tenant deux poteaux et portant un ciel.")</f>
        <v>Un enfant skie sur la neige tenant deux poteaux et portant un ciel.</v>
      </c>
    </row>
    <row r="12539">
      <c r="A12539" s="4" t="s">
        <v>15774</v>
      </c>
      <c r="B12539" s="4" t="s">
        <v>15776</v>
      </c>
      <c r="C12539" s="5" t="str">
        <f>IFERROR(__xludf.DUMMYFUNCTION("GOOGLETRANSLATE(B12539,""en"",""fr"")"),"Les adultes skient derrière l'enfant.")</f>
        <v>Les adultes skient derrière l'enfant.</v>
      </c>
    </row>
    <row r="12540">
      <c r="A12540" s="4" t="s">
        <v>15774</v>
      </c>
      <c r="B12540" s="4" t="s">
        <v>15777</v>
      </c>
      <c r="C12540" s="5" t="str">
        <f>IFERROR(__xludf.DUMMYFUNCTION("GOOGLETRANSLATE(B12540,""en"",""fr"")"),"Ensuite, l'enfant s'arrête, puis commencez à marcher jusqu'à commencer à glisser sur la colline.")</f>
        <v>Ensuite, l'enfant s'arrête, puis commencez à marcher jusqu'à commencer à glisser sur la colline.</v>
      </c>
    </row>
    <row r="12541">
      <c r="A12541" s="4" t="s">
        <v>15778</v>
      </c>
      <c r="B12541" s="4" t="s">
        <v>15779</v>
      </c>
      <c r="C12541" s="5" t="str">
        <f>IFERROR(__xludf.DUMMYFUNCTION("GOOGLETRANSLATE(B12541,""en"",""fr"")"),"Une vue aérienne d'un champ et des animaux est montrée.")</f>
        <v>Une vue aérienne d'un champ et des animaux est montrée.</v>
      </c>
    </row>
    <row r="12542">
      <c r="A12542" s="4" t="s">
        <v>15778</v>
      </c>
      <c r="B12542" s="4" t="s">
        <v>15780</v>
      </c>
      <c r="C12542" s="5" t="str">
        <f>IFERROR(__xludf.DUMMYFUNCTION("GOOGLETRANSLATE(B12542,""en"",""fr"")"),"Les gens se mettent autour d'un plancher et commencent ensuite à faire des choses à bûcherons avec des bûches.")</f>
        <v>Les gens se mettent autour d'un plancher et commencent ensuite à faire des choses à bûcherons avec des bûches.</v>
      </c>
    </row>
    <row r="12543">
      <c r="A12543" s="4" t="s">
        <v>15778</v>
      </c>
      <c r="B12543" s="4" t="s">
        <v>15781</v>
      </c>
      <c r="C12543" s="5" t="str">
        <f>IFERROR(__xludf.DUMMYFUNCTION("GOOGLETRANSLATE(B12543,""en"",""fr"")"),"Un bateau est préparé et le groupe commence le ski nautique, le wakeboard, etc.")</f>
        <v>Un bateau est préparé et le groupe commence le ski nautique, le wakeboard, etc.</v>
      </c>
    </row>
    <row r="12544">
      <c r="A12544" s="4" t="s">
        <v>15778</v>
      </c>
      <c r="B12544" s="4" t="s">
        <v>15782</v>
      </c>
      <c r="C12544" s="5" t="str">
        <f>IFERROR(__xludf.DUMMYFUNCTION("GOOGLETRANSLATE(B12544,""en"",""fr"")"),"À la fin, les gens se détendent sur le bateau.")</f>
        <v>À la fin, les gens se détendent sur le bateau.</v>
      </c>
    </row>
    <row r="12545">
      <c r="A12545" s="4" t="s">
        <v>15783</v>
      </c>
      <c r="B12545" s="4" t="s">
        <v>15784</v>
      </c>
      <c r="C12545" s="5" t="str">
        <f>IFERROR(__xludf.DUMMYFUNCTION("GOOGLETRANSLATE(B12545,""en"",""fr"")"),"Les gens jouent au badminton sur un tribunal.")</f>
        <v>Les gens jouent au badminton sur un tribunal.</v>
      </c>
    </row>
    <row r="12546">
      <c r="A12546" s="4" t="s">
        <v>15783</v>
      </c>
      <c r="B12546" s="4" t="s">
        <v>15785</v>
      </c>
      <c r="C12546" s="5" t="str">
        <f>IFERROR(__xludf.DUMMYFUNCTION("GOOGLETRANSLATE(B12546,""en"",""fr"")"),"Un public les regarde jouer.")</f>
        <v>Un public les regarde jouer.</v>
      </c>
    </row>
    <row r="12547">
      <c r="A12547" s="4" t="s">
        <v>15783</v>
      </c>
      <c r="B12547" s="4" t="s">
        <v>15786</v>
      </c>
      <c r="C12547" s="5" t="str">
        <f>IFERROR(__xludf.DUMMYFUNCTION("GOOGLETRANSLATE(B12547,""en"",""fr"")"),"Un dessin animé de personnes jouant au jeu est montré.")</f>
        <v>Un dessin animé de personnes jouant au jeu est montré.</v>
      </c>
    </row>
    <row r="12548">
      <c r="A12548" s="4" t="s">
        <v>15783</v>
      </c>
      <c r="B12548" s="4" t="s">
        <v>15787</v>
      </c>
      <c r="C12548" s="5" t="str">
        <f>IFERROR(__xludf.DUMMYFUNCTION("GOOGLETRANSLATE(B12548,""en"",""fr"")"),"Un homme en pull bleu parle à la caméra.")</f>
        <v>Un homme en pull bleu parle à la caméra.</v>
      </c>
    </row>
    <row r="12549">
      <c r="A12549" s="4" t="s">
        <v>15788</v>
      </c>
      <c r="B12549" s="4" t="s">
        <v>15789</v>
      </c>
      <c r="C12549" s="5" t="str">
        <f>IFERROR(__xludf.DUMMYFUNCTION("GOOGLETRANSLATE(B12549,""en"",""fr"")"),"Le boulanger met un anneau sûr sur un mouleur en silicone.")</f>
        <v>Le boulanger met un anneau sûr sur un mouleur en silicone.</v>
      </c>
    </row>
    <row r="12550">
      <c r="A12550" s="4" t="s">
        <v>15788</v>
      </c>
      <c r="B12550" s="6" t="s">
        <v>15790</v>
      </c>
      <c r="C12550" s="5" t="str">
        <f>IFERROR(__xludf.DUMMYFUNCTION("GOOGLETRANSLATE(B12550,""en"",""fr"")"),"Le boulanger verse la pâte dans le mouleur violet, puis il place un plateau en silicone dans le four et a mis le gâteau au four.")</f>
        <v>Le boulanger verse la pâte dans le mouleur violet, puis il place un plateau en silicone dans le four et a mis le gâteau au four.</v>
      </c>
    </row>
    <row r="12551">
      <c r="A12551" s="4" t="s">
        <v>15788</v>
      </c>
      <c r="B12551" s="4" t="s">
        <v>15791</v>
      </c>
      <c r="C12551" s="5" t="str">
        <f>IFERROR(__xludf.DUMMYFUNCTION("GOOGLETRANSLATE(B12551,""en"",""fr"")"),"Le boulanger retourne le gâteau dans l'assiette et mettez le glaçage et les fruits sur le dessus.")</f>
        <v>Le boulanger retourne le gâteau dans l'assiette et mettez le glaçage et les fruits sur le dessus.</v>
      </c>
    </row>
    <row r="12552">
      <c r="A12552" s="4" t="s">
        <v>15788</v>
      </c>
      <c r="B12552" s="4" t="s">
        <v>15792</v>
      </c>
      <c r="C12552" s="5" t="str">
        <f>IFERROR(__xludf.DUMMYFUNCTION("GOOGLETRANSLATE(B12552,""en"",""fr"")"),"Le boulanger a mis la sécurité sur le moulin, a mis de la gelée dedans, puis il a mis la gelée de la moisissure.")</f>
        <v>Le boulanger a mis la sécurité sur le moulin, a mis de la gelée dedans, puis il a mis la gelée de la moisissure.</v>
      </c>
    </row>
    <row r="12553">
      <c r="A12553" s="4" t="s">
        <v>15788</v>
      </c>
      <c r="B12553" s="4" t="s">
        <v>15793</v>
      </c>
      <c r="C12553" s="5" t="str">
        <f>IFERROR(__xludf.DUMMYFUNCTION("GOOGLETRANSLATE(B12553,""en"",""fr"")"),"Les boulangeries et les décorations de gâteaux et les chocolats ont fait du boulanger en utilisant le mouleur.")</f>
        <v>Les boulangeries et les décorations de gâteaux et les chocolats ont fait du boulanger en utilisant le mouleur.</v>
      </c>
    </row>
    <row r="12554">
      <c r="A12554" s="4" t="s">
        <v>15794</v>
      </c>
      <c r="B12554" s="4" t="s">
        <v>15795</v>
      </c>
      <c r="C12554" s="5" t="str">
        <f>IFERROR(__xludf.DUMMYFUNCTION("GOOGLETRANSLATE(B12554,""en"",""fr"")"),"Un homme est vu rouler sur un cheval, puis cord un mollet tandis que d'autres regardent.")</f>
        <v>Un homme est vu rouler sur un cheval, puis cord un mollet tandis que d'autres regardent.</v>
      </c>
    </row>
    <row r="12555">
      <c r="A12555" s="4" t="s">
        <v>15794</v>
      </c>
      <c r="B12555" s="4" t="s">
        <v>15796</v>
      </c>
      <c r="C12555" s="5" t="str">
        <f>IFERROR(__xludf.DUMMYFUNCTION("GOOGLETRANSLATE(B12555,""en"",""fr"")"),"L'homme attache ensuite le veau et grimpe sur le cheval et d'autres entrent dans le ring.")</f>
        <v>L'homme attache ensuite le veau et grimpe sur le cheval et d'autres entrent dans le ring.</v>
      </c>
    </row>
    <row r="12556">
      <c r="A12556" s="4" t="s">
        <v>15797</v>
      </c>
      <c r="B12556" s="4" t="s">
        <v>15798</v>
      </c>
      <c r="C12556" s="5" t="str">
        <f>IFERROR(__xludf.DUMMYFUNCTION("GOOGLETRANSLATE(B12556,""en"",""fr"")"),"Une gymnaste féminine est montrée sur une photo.")</f>
        <v>Une gymnaste féminine est montrée sur une photo.</v>
      </c>
    </row>
    <row r="12557">
      <c r="A12557" s="4" t="s">
        <v>15797</v>
      </c>
      <c r="B12557" s="4" t="s">
        <v>15799</v>
      </c>
      <c r="C12557" s="5" t="str">
        <f>IFERROR(__xludf.DUMMYFUNCTION("GOOGLETRANSLATE(B12557,""en"",""fr"")"),"Elle est ensuite montrée en préparation puis en montant un faisceau de route.")</f>
        <v>Elle est ensuite montrée en préparation puis en montant un faisceau de route.</v>
      </c>
    </row>
    <row r="12558">
      <c r="A12558" s="4" t="s">
        <v>15797</v>
      </c>
      <c r="B12558" s="4" t="s">
        <v>15800</v>
      </c>
      <c r="C12558" s="5" t="str">
        <f>IFERROR(__xludf.DUMMYFUNCTION("GOOGLETRANSLATE(B12558,""en"",""fr"")"),"Elle se retourne et allume le faisceau, changeant entre deux poutres.")</f>
        <v>Elle se retourne et allume le faisceau, changeant entre deux poutres.</v>
      </c>
    </row>
    <row r="12559">
      <c r="A12559" s="4" t="s">
        <v>15797</v>
      </c>
      <c r="B12559" s="4" t="s">
        <v>15801</v>
      </c>
      <c r="C12559" s="5" t="str">
        <f>IFERROR(__xludf.DUMMYFUNCTION("GOOGLETRANSLATE(B12559,""en"",""fr"")"),"Elle démonte, jetant ses bras dans l'air triomphalement.")</f>
        <v>Elle démonte, jetant ses bras dans l'air triomphalement.</v>
      </c>
    </row>
    <row r="12560">
      <c r="A12560" s="4" t="s">
        <v>15802</v>
      </c>
      <c r="B12560" s="4" t="s">
        <v>15803</v>
      </c>
      <c r="C12560" s="5" t="str">
        <f>IFERROR(__xludf.DUMMYFUNCTION("GOOGLETRANSLATE(B12560,""en"",""fr"")"),"Un enfant est assis sur un comptoir avec un récipient de couleurs de l'eau.")</f>
        <v>Un enfant est assis sur un comptoir avec un récipient de couleurs de l'eau.</v>
      </c>
    </row>
    <row r="12561">
      <c r="A12561" s="4" t="s">
        <v>15802</v>
      </c>
      <c r="B12561" s="4" t="s">
        <v>15804</v>
      </c>
      <c r="C12561" s="5" t="str">
        <f>IFERROR(__xludf.DUMMYFUNCTION("GOOGLETRANSLATE(B12561,""en"",""fr"")"),"Elle utilise un pinceau pour appliquer les peintures sur son visage.")</f>
        <v>Elle utilise un pinceau pour appliquer les peintures sur son visage.</v>
      </c>
    </row>
    <row r="12562">
      <c r="A12562" s="4" t="s">
        <v>15802</v>
      </c>
      <c r="B12562" s="4" t="s">
        <v>15805</v>
      </c>
      <c r="C12562" s="5" t="str">
        <f>IFERROR(__xludf.DUMMYFUNCTION("GOOGLETRANSLATE(B12562,""en"",""fr"")"),"Elle commence alors à mettre la peinture sur toute sa poitrine.")</f>
        <v>Elle commence alors à mettre la peinture sur toute sa poitrine.</v>
      </c>
    </row>
    <row r="12563">
      <c r="A12563" s="4" t="s">
        <v>15806</v>
      </c>
      <c r="B12563" s="4" t="s">
        <v>15807</v>
      </c>
      <c r="C12563" s="5" t="str">
        <f>IFERROR(__xludf.DUMMYFUNCTION("GOOGLETRANSLATE(B12563,""en"",""fr"")"),"Un compte à rebours est montré qui mène à une personne qui marque un panier dans un jeu.")</f>
        <v>Un compte à rebours est montré qui mène à une personne qui marque un panier dans un jeu.</v>
      </c>
    </row>
    <row r="12564">
      <c r="A12564" s="4" t="s">
        <v>15806</v>
      </c>
      <c r="B12564" s="4" t="s">
        <v>15808</v>
      </c>
      <c r="C12564" s="5" t="str">
        <f>IFERROR(__xludf.DUMMYFUNCTION("GOOGLETRANSLATE(B12564,""en"",""fr"")"),"Plus de texte sont affichés en comptant une liste et montrant une autre personne marquant un point.")</f>
        <v>Plus de texte sont affichés en comptant une liste et montrant une autre personne marquant un point.</v>
      </c>
    </row>
    <row r="12565">
      <c r="A12565" s="4" t="s">
        <v>15806</v>
      </c>
      <c r="B12565" s="6" t="s">
        <v>15809</v>
      </c>
      <c r="C12565" s="5" t="str">
        <f>IFERROR(__xludf.DUMMYFUNCTION("GOOGLETRANSLATE(B12565,""en"",""fr"")"),"Plusieurs autres tirs sont montrés des personnes qui effectuent des tactiques sportives impressionnantes tandis que la liste compte.")</f>
        <v>Plusieurs autres tirs sont montrés des personnes qui effectuent des tactiques sportives impressionnantes tandis que la liste compte.</v>
      </c>
    </row>
    <row r="12566">
      <c r="A12566" s="4" t="s">
        <v>15810</v>
      </c>
      <c r="B12566" s="4" t="s">
        <v>15811</v>
      </c>
      <c r="C12566" s="5" t="str">
        <f>IFERROR(__xludf.DUMMYFUNCTION("GOOGLETRANSLATE(B12566,""en"",""fr"")"),"Un bateau va dans un lac avec une corde derrière.")</f>
        <v>Un bateau va dans un lac avec une corde derrière.</v>
      </c>
    </row>
    <row r="12567">
      <c r="A12567" s="4" t="s">
        <v>15810</v>
      </c>
      <c r="B12567" s="4" t="s">
        <v>15812</v>
      </c>
      <c r="C12567" s="5" t="str">
        <f>IFERROR(__xludf.DUMMYFUNCTION("GOOGLETRANSLATE(B12567,""en"",""fr"")"),"Un garçon attrape la corde et va dans l'eau après le bateau.")</f>
        <v>Un garçon attrape la corde et va dans l'eau après le bateau.</v>
      </c>
    </row>
    <row r="12568">
      <c r="A12568" s="4" t="s">
        <v>15810</v>
      </c>
      <c r="B12568" s="4" t="s">
        <v>15813</v>
      </c>
      <c r="C12568" s="5" t="str">
        <f>IFERROR(__xludf.DUMMYFUNCTION("GOOGLETRANSLATE(B12568,""en"",""fr"")"),"Le bateau commence à accélérer.")</f>
        <v>Le bateau commence à accélérer.</v>
      </c>
    </row>
    <row r="12569">
      <c r="A12569" s="4" t="s">
        <v>15810</v>
      </c>
      <c r="B12569" s="4" t="s">
        <v>15814</v>
      </c>
      <c r="C12569" s="5" t="str">
        <f>IFERROR(__xludf.DUMMYFUNCTION("GOOGLETRANSLATE(B12569,""en"",""fr"")"),"Le garçon est amené à ses pieds et commence à skier nautique.")</f>
        <v>Le garçon est amené à ses pieds et commence à skier nautique.</v>
      </c>
    </row>
    <row r="12570">
      <c r="A12570" s="4" t="s">
        <v>15815</v>
      </c>
      <c r="B12570" s="4" t="s">
        <v>15816</v>
      </c>
      <c r="C12570" s="5" t="str">
        <f>IFERROR(__xludf.DUMMYFUNCTION("GOOGLETRANSLATE(B12570,""en"",""fr"")"),"Un homme marche sur un tapis et soulève un gros poids au-dessus de sa tête.")</f>
        <v>Un homme marche sur un tapis et soulève un gros poids au-dessus de sa tête.</v>
      </c>
    </row>
    <row r="12571">
      <c r="A12571" s="4" t="s">
        <v>15815</v>
      </c>
      <c r="B12571" s="4" t="s">
        <v>15817</v>
      </c>
      <c r="C12571" s="5" t="str">
        <f>IFERROR(__xludf.DUMMYFUNCTION("GOOGLETRANSLATE(B12571,""en"",""fr"")"),"Un homme en chemise rouge est assis.")</f>
        <v>Un homme en chemise rouge est assis.</v>
      </c>
    </row>
    <row r="12572">
      <c r="A12572" s="4" t="s">
        <v>15815</v>
      </c>
      <c r="B12572" s="4" t="s">
        <v>15818</v>
      </c>
      <c r="C12572" s="5" t="str">
        <f>IFERROR(__xludf.DUMMYFUNCTION("GOOGLETRANSLATE(B12572,""en"",""fr"")"),"Un homme monte et soulève un gros poids sur sa tête et le laisse tomber sur le sol.")</f>
        <v>Un homme monte et soulève un gros poids sur sa tête et le laisse tomber sur le sol.</v>
      </c>
    </row>
    <row r="12573">
      <c r="A12573" s="4" t="s">
        <v>15815</v>
      </c>
      <c r="B12573" s="4" t="s">
        <v>15819</v>
      </c>
      <c r="C12573" s="5" t="str">
        <f>IFERROR(__xludf.DUMMYFUNCTION("GOOGLETRANSLATE(B12573,""en"",""fr"")"),"Un autre homme vient sur le tapis et soulève un poids au-dessus de leur tête.")</f>
        <v>Un autre homme vient sur le tapis et soulève un poids au-dessus de leur tête.</v>
      </c>
    </row>
    <row r="12574">
      <c r="A12574" s="4" t="s">
        <v>15820</v>
      </c>
      <c r="B12574" s="4" t="s">
        <v>15821</v>
      </c>
      <c r="C12574" s="5" t="str">
        <f>IFERROR(__xludf.DUMMYFUNCTION("GOOGLETRANSLATE(B12574,""en"",""fr"")"),"Un homme est vu debout devant un miroir tenant un rasoir.")</f>
        <v>Un homme est vu debout devant un miroir tenant un rasoir.</v>
      </c>
    </row>
    <row r="12575">
      <c r="A12575" s="4" t="s">
        <v>15820</v>
      </c>
      <c r="B12575" s="4" t="s">
        <v>15822</v>
      </c>
      <c r="C12575" s="5" t="str">
        <f>IFERROR(__xludf.DUMMYFUNCTION("GOOGLETRANSLATE(B12575,""en"",""fr"")"),"Il commence alors à se raser le visage tout en regardant dans le miroir.")</f>
        <v>Il commence alors à se raser le visage tout en regardant dans le miroir.</v>
      </c>
    </row>
    <row r="12576">
      <c r="A12576" s="4" t="s">
        <v>15820</v>
      </c>
      <c r="B12576" s="4" t="s">
        <v>15823</v>
      </c>
      <c r="C12576" s="5" t="str">
        <f>IFERROR(__xludf.DUMMYFUNCTION("GOOGLETRANSLATE(B12576,""en"",""fr"")"),"Il finit de se raser le visage et regarde en souriant la caméra.")</f>
        <v>Il finit de se raser le visage et regarde en souriant la caméra.</v>
      </c>
    </row>
    <row r="12577">
      <c r="A12577" s="4" t="s">
        <v>15824</v>
      </c>
      <c r="B12577" s="6" t="s">
        <v>15825</v>
      </c>
      <c r="C12577" s="5" t="str">
        <f>IFERROR(__xludf.DUMMYFUNCTION("GOOGLETRANSLATE(B12577,""en"",""fr"")"),"La petite fille aux cheveux longs danse dans un salon avec beaucoup de bottes et de chaussures sur le sol, elle les a mis et les enlever.")</f>
        <v>La petite fille aux cheveux longs danse dans un salon avec beaucoup de bottes et de chaussures sur le sol, elle les a mis et les enlever.</v>
      </c>
    </row>
    <row r="12578">
      <c r="A12578" s="4" t="s">
        <v>15824</v>
      </c>
      <c r="B12578" s="4" t="s">
        <v>15826</v>
      </c>
      <c r="C12578" s="5" t="str">
        <f>IFERROR(__xludf.DUMMYFUNCTION("GOOGLETRANSLATE(B12578,""en"",""fr"")"),"Girl est sur la planche à roulettes dans le salon et dans la pièce à nouveau.")</f>
        <v>Girl est sur la planche à roulettes dans le salon et dans la pièce à nouveau.</v>
      </c>
    </row>
    <row r="12579">
      <c r="A12579" s="4" t="s">
        <v>15824</v>
      </c>
      <c r="B12579" s="4" t="s">
        <v>15827</v>
      </c>
      <c r="C12579" s="5" t="str">
        <f>IFERROR(__xludf.DUMMYFUNCTION("GOOGLETRANSLATE(B12579,""en"",""fr"")"),"Little Girl est dans la bibliothèque et attrape quelque chose puis commence à danser dans la pièce.")</f>
        <v>Little Girl est dans la bibliothèque et attrape quelque chose puis commence à danser dans la pièce.</v>
      </c>
    </row>
    <row r="12580">
      <c r="A12580" s="4" t="s">
        <v>15828</v>
      </c>
      <c r="B12580" s="4" t="s">
        <v>15829</v>
      </c>
      <c r="C12580" s="5" t="str">
        <f>IFERROR(__xludf.DUMMYFUNCTION("GOOGLETRANSLATE(B12580,""en"",""fr"")"),"Les gens sont assis derrière de gros tambours.")</f>
        <v>Les gens sont assis derrière de gros tambours.</v>
      </c>
    </row>
    <row r="12581">
      <c r="A12581" s="4" t="s">
        <v>15828</v>
      </c>
      <c r="B12581" s="4" t="s">
        <v>15830</v>
      </c>
      <c r="C12581" s="5" t="str">
        <f>IFERROR(__xludf.DUMMYFUNCTION("GOOGLETRANSLATE(B12581,""en"",""fr"")"),"Ils commencent à jouer de la batterie avec leurs mains.")</f>
        <v>Ils commencent à jouer de la batterie avec leurs mains.</v>
      </c>
    </row>
    <row r="12582">
      <c r="A12582" s="4" t="s">
        <v>15828</v>
      </c>
      <c r="B12582" s="4" t="s">
        <v>15831</v>
      </c>
      <c r="C12582" s="5" t="str">
        <f>IFERROR(__xludf.DUMMYFUNCTION("GOOGLETRANSLATE(B12582,""en"",""fr"")"),"Les gens se tiennent dans la rue en les regardant.")</f>
        <v>Les gens se tiennent dans la rue en les regardant.</v>
      </c>
    </row>
    <row r="12583">
      <c r="A12583" s="4" t="s">
        <v>15828</v>
      </c>
      <c r="B12583" s="4" t="s">
        <v>15832</v>
      </c>
      <c r="C12583" s="5" t="str">
        <f>IFERROR(__xludf.DUMMYFUNCTION("GOOGLETRANSLATE(B12583,""en"",""fr"")"),"Un homme prend sa chaise et le retourne à l'envers à la batterie.")</f>
        <v>Un homme prend sa chaise et le retourne à l'envers à la batterie.</v>
      </c>
    </row>
    <row r="12584">
      <c r="A12584" s="4" t="s">
        <v>15833</v>
      </c>
      <c r="B12584" s="4" t="s">
        <v>15834</v>
      </c>
      <c r="C12584" s="5" t="str">
        <f>IFERROR(__xludf.DUMMYFUNCTION("GOOGLETRANSLATE(B12584,""en"",""fr"")"),"Un homme et une femme sont sur scène ensemble.")</f>
        <v>Un homme et une femme sont sur scène ensemble.</v>
      </c>
    </row>
    <row r="12585">
      <c r="A12585" s="4" t="s">
        <v>15833</v>
      </c>
      <c r="B12585" s="4" t="s">
        <v>15835</v>
      </c>
      <c r="C12585" s="5" t="str">
        <f>IFERROR(__xludf.DUMMYFUNCTION("GOOGLETRANSLATE(B12585,""en"",""fr"")"),"Ils jouent rapidement à la batterie avant une foule.")</f>
        <v>Ils jouent rapidement à la batterie avant une foule.</v>
      </c>
    </row>
    <row r="12586">
      <c r="A12586" s="4" t="s">
        <v>15833</v>
      </c>
      <c r="B12586" s="4" t="s">
        <v>15836</v>
      </c>
      <c r="C12586" s="5" t="str">
        <f>IFERROR(__xludf.DUMMYFUNCTION("GOOGLETRANSLATE(B12586,""en"",""fr"")"),"Un homme plus âgé est ensuite vu aussi jouer de la batterie.")</f>
        <v>Un homme plus âgé est ensuite vu aussi jouer de la batterie.</v>
      </c>
    </row>
    <row r="12587">
      <c r="A12587" s="4" t="s">
        <v>15837</v>
      </c>
      <c r="B12587" s="4" t="s">
        <v>15838</v>
      </c>
      <c r="C12587" s="5" t="str">
        <f>IFERROR(__xludf.DUMMYFUNCTION("GOOGLETRANSLATE(B12587,""en"",""fr"")"),"Une caméra se déroule autour d'un magasin et se remet à une fille qui parle.")</f>
        <v>Une caméra se déroule autour d'un magasin et se remet à une fille qui parle.</v>
      </c>
    </row>
    <row r="12588">
      <c r="A12588" s="4" t="s">
        <v>15837</v>
      </c>
      <c r="B12588" s="4" t="s">
        <v>15839</v>
      </c>
      <c r="C12588" s="5" t="str">
        <f>IFERROR(__xludf.DUMMYFUNCTION("GOOGLETRANSLATE(B12588,""en"",""fr"")"),"Elle pointe son visage plusieurs fois et donne une petite visite de sa chambre.")</f>
        <v>Elle pointe son visage plusieurs fois et donne une petite visite de sa chambre.</v>
      </c>
    </row>
    <row r="12589">
      <c r="A12589" s="4" t="s">
        <v>15837</v>
      </c>
      <c r="B12589" s="6" t="s">
        <v>15840</v>
      </c>
      <c r="C12589" s="5" t="str">
        <f>IFERROR(__xludf.DUMMYFUNCTION("GOOGLETRANSLATE(B12589,""en"",""fr"")"),"Elle continue de parler à la caméra et montre finalement des images d'elle se faisant percer le nez.")</f>
        <v>Elle continue de parler à la caméra et montre finalement des images d'elle se faisant percer le nez.</v>
      </c>
    </row>
    <row r="12590">
      <c r="A12590" s="4" t="s">
        <v>15837</v>
      </c>
      <c r="B12590" s="4" t="s">
        <v>15841</v>
      </c>
      <c r="C12590" s="5" t="str">
        <f>IFERROR(__xludf.DUMMYFUNCTION("GOOGLETRANSLATE(B12590,""en"",""fr"")"),"Elle se repose dans la pièce avec le nez percé et montre un verre et des sushis.")</f>
        <v>Elle se repose dans la pièce avec le nez percé et montre un verre et des sushis.</v>
      </c>
    </row>
    <row r="12591">
      <c r="A12591" s="4" t="s">
        <v>15837</v>
      </c>
      <c r="B12591" s="4" t="s">
        <v>15842</v>
      </c>
      <c r="C12591" s="5" t="str">
        <f>IFERROR(__xludf.DUMMYFUNCTION("GOOGLETRANSLATE(B12591,""en"",""fr"")"),"Enfin, elle montre un livre ainsi qu'un sac avec de la poudre blanche et elle-même dans une queue de poney.")</f>
        <v>Enfin, elle montre un livre ainsi qu'un sac avec de la poudre blanche et elle-même dans une queue de poney.</v>
      </c>
    </row>
    <row r="12592">
      <c r="A12592" s="4" t="s">
        <v>15843</v>
      </c>
      <c r="B12592" s="4" t="s">
        <v>15844</v>
      </c>
      <c r="C12592" s="5" t="str">
        <f>IFERROR(__xludf.DUMMYFUNCTION("GOOGLETRANSLATE(B12592,""en"",""fr"")"),"Un homme parle à l'avant le batteur et tenant deux bâtons.")</f>
        <v>Un homme parle à l'avant le batteur et tenant deux bâtons.</v>
      </c>
    </row>
    <row r="12593">
      <c r="A12593" s="4" t="s">
        <v>15843</v>
      </c>
      <c r="B12593" s="4" t="s">
        <v>15845</v>
      </c>
      <c r="C12593" s="5" t="str">
        <f>IFERROR(__xludf.DUMMYFUNCTION("GOOGLETRANSLATE(B12593,""en"",""fr"")"),"L'homme fait semblant de jouer de la batterie, puis continue de parler.")</f>
        <v>L'homme fait semblant de jouer de la batterie, puis continue de parler.</v>
      </c>
    </row>
    <row r="12594">
      <c r="A12594" s="4" t="s">
        <v>15846</v>
      </c>
      <c r="B12594" s="4" t="s">
        <v>15847</v>
      </c>
      <c r="C12594" s="5" t="str">
        <f>IFERROR(__xludf.DUMMYFUNCTION("GOOGLETRANSLATE(B12594,""en"",""fr"")"),"Une femme portant un débardeur bleu clair et un short noir fait de l'exercice sur un elliptique.")</f>
        <v>Une femme portant un débardeur bleu clair et un short noir fait de l'exercice sur un elliptique.</v>
      </c>
    </row>
    <row r="12595">
      <c r="A12595" s="4" t="s">
        <v>15846</v>
      </c>
      <c r="B12595" s="4" t="s">
        <v>15848</v>
      </c>
      <c r="C12595" s="5" t="str">
        <f>IFERROR(__xludf.DUMMYFUNCTION("GOOGLETRANSLATE(B12595,""en"",""fr"")"),"Elle continue de marcher sur l'elliptique alors qu'elle avance ses mains en avant et en arrière.")</f>
        <v>Elle continue de marcher sur l'elliptique alors qu'elle avance ses mains en avant et en arrière.</v>
      </c>
    </row>
    <row r="12596">
      <c r="A12596" s="4" t="s">
        <v>15846</v>
      </c>
      <c r="B12596" s="6" t="s">
        <v>15849</v>
      </c>
      <c r="C12596" s="5" t="str">
        <f>IFERROR(__xludf.DUMMYFUNCTION("GOOGLETRANSLATE(B12596,""en"",""fr"")"),"Elle termine ensuite sa routine d'exercice, descend de l'équipement et prend un verre d'eau d'une bouteille d'eau bleue.")</f>
        <v>Elle termine ensuite sa routine d'exercice, descend de l'équipement et prend un verre d'eau d'une bouteille d'eau bleue.</v>
      </c>
    </row>
    <row r="12597">
      <c r="A12597" s="4" t="s">
        <v>15846</v>
      </c>
      <c r="B12597" s="4" t="s">
        <v>15850</v>
      </c>
      <c r="C12597" s="5" t="str">
        <f>IFERROR(__xludf.DUMMYFUNCTION("GOOGLETRANSLATE(B12597,""en"",""fr"")"),"Elle s'éloigne en tenant la bouteille dans sa main.")</f>
        <v>Elle s'éloigne en tenant la bouteille dans sa main.</v>
      </c>
    </row>
    <row r="12598">
      <c r="A12598" s="4" t="s">
        <v>15851</v>
      </c>
      <c r="B12598" s="4" t="s">
        <v>15852</v>
      </c>
      <c r="C12598" s="5" t="str">
        <f>IFERROR(__xludf.DUMMYFUNCTION("GOOGLETRANSLATE(B12598,""en"",""fr"")"),"Nous voyons une petite fille peindre une clôture rouge.")</f>
        <v>Nous voyons une petite fille peindre une clôture rouge.</v>
      </c>
    </row>
    <row r="12599">
      <c r="A12599" s="4" t="s">
        <v>15851</v>
      </c>
      <c r="B12599" s="4" t="s">
        <v>15853</v>
      </c>
      <c r="C12599" s="5" t="str">
        <f>IFERROR(__xludf.DUMMYFUNCTION("GOOGLETRANSLATE(B12599,""en"",""fr"")"),"La fille met plus de peinture sur son pinceau.")</f>
        <v>La fille met plus de peinture sur son pinceau.</v>
      </c>
    </row>
    <row r="12600">
      <c r="A12600" s="4" t="s">
        <v>15851</v>
      </c>
      <c r="B12600" s="4" t="s">
        <v>15854</v>
      </c>
      <c r="C12600" s="5" t="str">
        <f>IFERROR(__xludf.DUMMYFUNCTION("GOOGLETRANSLATE(B12600,""en"",""fr"")"),"La fille remplit à nouveau son pinceau.")</f>
        <v>La fille remplit à nouveau son pinceau.</v>
      </c>
    </row>
    <row r="12601">
      <c r="A12601" s="4" t="s">
        <v>15851</v>
      </c>
      <c r="B12601" s="4" t="s">
        <v>15855</v>
      </c>
      <c r="C12601" s="5" t="str">
        <f>IFERROR(__xludf.DUMMYFUNCTION("GOOGLETRANSLATE(B12601,""en"",""fr"")"),"Nous voyons la clôture et un adulte lui montre comment peindre.")</f>
        <v>Nous voyons la clôture et un adulte lui montre comment peindre.</v>
      </c>
    </row>
    <row r="12602">
      <c r="A12602" s="4" t="s">
        <v>15851</v>
      </c>
      <c r="B12602" s="4" t="s">
        <v>15856</v>
      </c>
      <c r="C12602" s="5" t="str">
        <f>IFERROR(__xludf.DUMMYFUNCTION("GOOGLETRANSLATE(B12602,""en"",""fr"")"),"L'adulte pointe à un endroit manqué.")</f>
        <v>L'adulte pointe à un endroit manqué.</v>
      </c>
    </row>
    <row r="12603">
      <c r="A12603" s="4" t="s">
        <v>15857</v>
      </c>
      <c r="B12603" s="4" t="s">
        <v>15858</v>
      </c>
      <c r="C12603" s="5" t="str">
        <f>IFERROR(__xludf.DUMMYFUNCTION("GOOGLETRANSLATE(B12603,""en"",""fr"")"),"Une femme aux cheveux noirs explique quelque chose.")</f>
        <v>Une femme aux cheveux noirs explique quelque chose.</v>
      </c>
    </row>
    <row r="12604">
      <c r="A12604" s="4" t="s">
        <v>15857</v>
      </c>
      <c r="B12604" s="4" t="s">
        <v>15859</v>
      </c>
      <c r="C12604" s="5" t="str">
        <f>IFERROR(__xludf.DUMMYFUNCTION("GOOGLETRANSLATE(B12604,""en"",""fr"")"),"La femme sort un récipient avec des rouleaux de cheveux.")</f>
        <v>La femme sort un récipient avec des rouleaux de cheveux.</v>
      </c>
    </row>
    <row r="12605">
      <c r="A12605" s="4" t="s">
        <v>15857</v>
      </c>
      <c r="B12605" s="4" t="s">
        <v>15860</v>
      </c>
      <c r="C12605" s="5" t="str">
        <f>IFERROR(__xludf.DUMMYFUNCTION("GOOGLETRANSLATE(B12605,""en"",""fr"")"),"La femme sort une bouteille de shampooing.")</f>
        <v>La femme sort une bouteille de shampooing.</v>
      </c>
    </row>
    <row r="12606">
      <c r="A12606" s="4" t="s">
        <v>15857</v>
      </c>
      <c r="B12606" s="4" t="s">
        <v>15861</v>
      </c>
      <c r="C12606" s="5" t="str">
        <f>IFERROR(__xludf.DUMMYFUNCTION("GOOGLETRANSLATE(B12606,""en"",""fr"")"),"La femme roule les cheveux et les épingle en place et la laisse pendant dix minutes.")</f>
        <v>La femme roule les cheveux et les épingle en place et la laisse pendant dix minutes.</v>
      </c>
    </row>
    <row r="12607">
      <c r="A12607" s="4" t="s">
        <v>15857</v>
      </c>
      <c r="B12607" s="4" t="s">
        <v>15862</v>
      </c>
      <c r="C12607" s="5" t="str">
        <f>IFERROR(__xludf.DUMMYFUNCTION("GOOGLETRANSLATE(B12607,""en"",""fr"")"),"Les femmes enlèvent les rouleaux de ses cheveux.")</f>
        <v>Les femmes enlèvent les rouleaux de ses cheveux.</v>
      </c>
    </row>
    <row r="12608">
      <c r="A12608" s="4" t="s">
        <v>15857</v>
      </c>
      <c r="B12608" s="4" t="s">
        <v>15863</v>
      </c>
      <c r="C12608" s="5" t="str">
        <f>IFERROR(__xludf.DUMMYFUNCTION("GOOGLETRANSLATE(B12608,""en"",""fr"")"),"La femme enlève des sprays de cheveux et les pulvérise sur ses cheveux.")</f>
        <v>La femme enlève des sprays de cheveux et les pulvérise sur ses cheveux.</v>
      </c>
    </row>
    <row r="12609">
      <c r="A12609" s="4" t="s">
        <v>15864</v>
      </c>
      <c r="B12609" s="6" t="s">
        <v>15865</v>
      </c>
      <c r="C12609" s="5" t="str">
        <f>IFERROR(__xludf.DUMMYFUNCTION("GOOGLETRANSLATE(B12609,""en"",""fr"")"),"Il y a beaucoup de gens à l'intérieur dans un grand bâtiment qui marche ou traîner, et la bannière ci-dessous ""Quoi du monde? Les championnats nationaux de la lutte contre la guerre de la Chine"" et il logo sur le bon discours ""East Sports West"".")</f>
        <v>Il y a beaucoup de gens à l'intérieur dans un grand bâtiment qui marche ou traîner, et la bannière ci-dessous "Quoi du monde? Les championnats nationaux de la lutte contre la guerre de la Chine" et il logo sur le bon discours "East Sports West".</v>
      </c>
    </row>
    <row r="12610">
      <c r="A12610" s="4" t="s">
        <v>15864</v>
      </c>
      <c r="B12610" s="4" t="s">
        <v>15866</v>
      </c>
      <c r="C12610" s="5" t="str">
        <f>IFERROR(__xludf.DUMMYFUNCTION("GOOGLETRANSLATE(B12610,""en"",""fr"")"),"Il y a deux ensembles de personnes le long d'une corde et ils sont séparés au milieu par des arbitres.")</f>
        <v>Il y a deux ensembles de personnes le long d'une corde et ils sont séparés au milieu par des arbitres.</v>
      </c>
    </row>
    <row r="12611">
      <c r="A12611" s="4" t="s">
        <v>15864</v>
      </c>
      <c r="B12611" s="6" t="s">
        <v>15867</v>
      </c>
      <c r="C12611" s="5" t="str">
        <f>IFERROR(__xludf.DUMMYFUNCTION("GOOGLETRANSLATE(B12611,""en"",""fr"")"),"Ils prennent un arc, ramassent la corde et chaque équipe commence à tirer sur la corde jusqu'à ce qu'un gagnant soit appelé.")</f>
        <v>Ils prennent un arc, ramassent la corde et chaque équipe commence à tirer sur la corde jusqu'à ce qu'un gagnant soit appelé.</v>
      </c>
    </row>
    <row r="12612">
      <c r="A12612" s="4" t="s">
        <v>15864</v>
      </c>
      <c r="B12612" s="6" t="s">
        <v>15868</v>
      </c>
      <c r="C12612" s="5" t="str">
        <f>IFERROR(__xludf.DUMMYFUNCTION("GOOGLETRANSLATE(B12612,""en"",""fr"")"),"Une arbitre est maintenant debout avec ses deux bras et elle les laisse tomber pour indiquer que les deux équipes peuvent commencer à tirer sur la corde, et elles le font jusqu'à ce qu'elle siffle pour indiquer le vainqueur.")</f>
        <v>Une arbitre est maintenant debout avec ses deux bras et elle les laisse tomber pour indiquer que les deux équipes peuvent commencer à tirer sur la corde, et elles le font jusqu'à ce qu'elle siffle pour indiquer le vainqueur.</v>
      </c>
    </row>
    <row r="12613">
      <c r="A12613" s="4" t="s">
        <v>15864</v>
      </c>
      <c r="B12613" s="6" t="s">
        <v>15869</v>
      </c>
      <c r="C12613" s="5" t="str">
        <f>IFERROR(__xludf.DUMMYFUNCTION("GOOGLETRANSLATE(B12613,""en"",""fr"")"),"Deux courts clips jouent et il montre un match de lutte contre la guerre pour femmes, puis un homme mais il ne montre pas grand-chose, puis il va directement aux photos en plein air de la ville et le texte à l'écran apparaît avec le logo du réseau, le sit"&amp;"e Web, le site Web, et les droits de la vidéo.")</f>
        <v>Deux courts clips jouent et il montre un match de lutte contre la guerre pour femmes, puis un homme mais il ne montre pas grand-chose, puis il va directement aux photos en plein air de la ville et le texte à l'écran apparaît avec le logo du réseau, le site Web, le site Web, et les droits de la vidéo.</v>
      </c>
    </row>
    <row r="12614">
      <c r="A12614" s="4" t="s">
        <v>15870</v>
      </c>
      <c r="B12614" s="4" t="s">
        <v>15871</v>
      </c>
      <c r="C12614" s="5" t="str">
        <f>IFERROR(__xludf.DUMMYFUNCTION("GOOGLETRANSLATE(B12614,""en"",""fr"")"),"Un homme conduit une voiture, la voiture s'arrête avec un pneu plat.")</f>
        <v>Un homme conduit une voiture, la voiture s'arrête avec un pneu plat.</v>
      </c>
    </row>
    <row r="12615">
      <c r="A12615" s="4" t="s">
        <v>15870</v>
      </c>
      <c r="B12615" s="4" t="s">
        <v>15872</v>
      </c>
      <c r="C12615" s="5" t="str">
        <f>IFERROR(__xludf.DUMMYFUNCTION("GOOGLETRANSLATE(B12615,""en"",""fr"")"),"L'homme éteint les lumières d'urgence, puis utilise un kit de réparation pour gonfler le pneu.")</f>
        <v>L'homme éteint les lumières d'urgence, puis utilise un kit de réparation pour gonfler le pneu.</v>
      </c>
    </row>
    <row r="12616">
      <c r="A12616" s="4" t="s">
        <v>15870</v>
      </c>
      <c r="B12616" s="4" t="s">
        <v>15873</v>
      </c>
      <c r="C12616" s="5" t="str">
        <f>IFERROR(__xludf.DUMMYFUNCTION("GOOGLETRANSLATE(B12616,""en"",""fr"")"),"Ensuite, l'homme avance un peu la voiture et le pneu se gonfle.")</f>
        <v>Ensuite, l'homme avance un peu la voiture et le pneu se gonfle.</v>
      </c>
    </row>
    <row r="12617">
      <c r="A12617" s="4" t="s">
        <v>15870</v>
      </c>
      <c r="B12617" s="4" t="s">
        <v>15874</v>
      </c>
      <c r="C12617" s="5" t="str">
        <f>IFERROR(__xludf.DUMMYFUNCTION("GOOGLETRANSLATE(B12617,""en"",""fr"")"),"Après, l'homme conduit sa voiture.")</f>
        <v>Après, l'homme conduit sa voiture.</v>
      </c>
    </row>
    <row r="12618">
      <c r="A12618" s="4" t="s">
        <v>15875</v>
      </c>
      <c r="B12618" s="4" t="s">
        <v>15876</v>
      </c>
      <c r="C12618" s="5" t="str">
        <f>IFERROR(__xludf.DUMMYFUNCTION("GOOGLETRANSLATE(B12618,""en"",""fr"")"),"Un gros tas de feuilles est vu souffler autour d'une cour alors qu'une personne utilise un outil pour les pousser.")</f>
        <v>Un gros tas de feuilles est vu souffler autour d'une cour alors qu'une personne utilise un outil pour les pousser.</v>
      </c>
    </row>
    <row r="12619">
      <c r="A12619" s="4" t="s">
        <v>15875</v>
      </c>
      <c r="B12619" s="6" t="s">
        <v>15877</v>
      </c>
      <c r="C12619" s="5" t="str">
        <f>IFERROR(__xludf.DUMMYFUNCTION("GOOGLETRANSLATE(B12619,""en"",""fr"")"),"La caméra continue de capturer l'homme soufflant les feuilles et utilise plusieurs effets de la caméra sur les cadres.")</f>
        <v>La caméra continue de capturer l'homme soufflant les feuilles et utilise plusieurs effets de la caméra sur les cadres.</v>
      </c>
    </row>
    <row r="12620">
      <c r="A12620" s="4" t="s">
        <v>15878</v>
      </c>
      <c r="B12620" s="6" t="s">
        <v>15879</v>
      </c>
      <c r="C12620" s="5" t="str">
        <f>IFERROR(__xludf.DUMMYFUNCTION("GOOGLETRANSLATE(B12620,""en"",""fr"")"),"Un petit groupe de personnes est vu en train de rouler sur une rivière rugueuse avec une personne effectuant un retournement dans l'eau.")</f>
        <v>Un petit groupe de personnes est vu en train de rouler sur une rivière rugueuse avec une personne effectuant un retournement dans l'eau.</v>
      </c>
    </row>
    <row r="12621">
      <c r="A12621" s="4" t="s">
        <v>15878</v>
      </c>
      <c r="B12621" s="4" t="s">
        <v>15880</v>
      </c>
      <c r="C12621" s="5" t="str">
        <f>IFERROR(__xludf.DUMMYFUNCTION("GOOGLETRANSLATE(B12621,""en"",""fr"")"),"La personne effectue plusieurs autres flips avec la caméra le capture de loin.")</f>
        <v>La personne effectue plusieurs autres flips avec la caméra le capture de loin.</v>
      </c>
    </row>
    <row r="12622">
      <c r="A12622" s="4" t="s">
        <v>15881</v>
      </c>
      <c r="B12622" s="4" t="s">
        <v>15882</v>
      </c>
      <c r="C12622" s="5" t="str">
        <f>IFERROR(__xludf.DUMMYFUNCTION("GOOGLETRANSLATE(B12622,""en"",""fr"")"),"Nous voyons les écrans du titre d'ouverture.")</f>
        <v>Nous voyons les écrans du titre d'ouverture.</v>
      </c>
    </row>
    <row r="12623">
      <c r="A12623" s="4" t="s">
        <v>15881</v>
      </c>
      <c r="B12623" s="4" t="s">
        <v>15883</v>
      </c>
      <c r="C12623" s="5" t="str">
        <f>IFERROR(__xludf.DUMMYFUNCTION("GOOGLETRANSLATE(B12623,""en"",""fr"")"),"Un homme entre dans une pièce et attrape un seau et revient avec.")</f>
        <v>Un homme entre dans une pièce et attrape un seau et revient avec.</v>
      </c>
    </row>
    <row r="12624">
      <c r="A12624" s="4" t="s">
        <v>15881</v>
      </c>
      <c r="B12624" s="4" t="s">
        <v>15884</v>
      </c>
      <c r="C12624" s="5" t="str">
        <f>IFERROR(__xludf.DUMMYFUNCTION("GOOGLETRANSLATE(B12624,""en"",""fr"")"),"Nous voyons un homme dans une chemise brillante mélange en plâtre dans un seau et l'étalons sur un mur.")</f>
        <v>Nous voyons un homme dans une chemise brillante mélange en plâtre dans un seau et l'étalons sur un mur.</v>
      </c>
    </row>
    <row r="12625">
      <c r="A12625" s="4" t="s">
        <v>15881</v>
      </c>
      <c r="B12625" s="4" t="s">
        <v>15885</v>
      </c>
      <c r="C12625" s="5" t="str">
        <f>IFERROR(__xludf.DUMMYFUNCTION("GOOGLETRANSLATE(B12625,""en"",""fr"")"),"L'homme ajoute plus de plâtre à sa base et le répand sur le mur.")</f>
        <v>L'homme ajoute plus de plâtre à sa base et le répand sur le mur.</v>
      </c>
    </row>
    <row r="12626">
      <c r="A12626" s="4" t="s">
        <v>15886</v>
      </c>
      <c r="B12626" s="6" t="s">
        <v>15887</v>
      </c>
      <c r="C12626" s="5" t="str">
        <f>IFERROR(__xludf.DUMMYFUNCTION("GOOGLETRANSLATE(B12626,""en"",""fr"")"),"Diverses personnes sont montrées en train de rouler sur des chevaux tenant des bâtons dans les airs et roulant les uns autour des autres.")</f>
        <v>Diverses personnes sont montrées en train de rouler sur des chevaux tenant des bâtons dans les airs et roulant les uns autour des autres.</v>
      </c>
    </row>
    <row r="12627">
      <c r="A12627" s="4" t="s">
        <v>15886</v>
      </c>
      <c r="B12627" s="4" t="s">
        <v>15888</v>
      </c>
      <c r="C12627" s="5" t="str">
        <f>IFERROR(__xludf.DUMMYFUNCTION("GOOGLETRANSLATE(B12627,""en"",""fr"")"),"Les gens entrent et sortent du cadre et les gens continuent de se déplacer sur les chevaux.")</f>
        <v>Les gens entrent et sortent du cadre et les gens continuent de se déplacer sur les chevaux.</v>
      </c>
    </row>
    <row r="12628">
      <c r="A12628" s="4" t="s">
        <v>15889</v>
      </c>
      <c r="B12628" s="4" t="s">
        <v>15890</v>
      </c>
      <c r="C12628" s="5" t="str">
        <f>IFERROR(__xludf.DUMMYFUNCTION("GOOGLETRANSLATE(B12628,""en"",""fr"")"),"Un homme s'assoit sur une chaise en mettant ses baskets et pointe un renard qui coule.")</f>
        <v>Un homme s'assoit sur une chaise en mettant ses baskets et pointe un renard qui coule.</v>
      </c>
    </row>
    <row r="12629">
      <c r="A12629" s="4" t="s">
        <v>15889</v>
      </c>
      <c r="B12629" s="6" t="s">
        <v>15891</v>
      </c>
      <c r="C12629" s="5" t="str">
        <f>IFERROR(__xludf.DUMMYFUNCTION("GOOGLETRANSLATE(B12629,""en"",""fr"")"),"Le renard se tient près de l'homme et saute de haut en bas sur ses genoux pendant qu'il continue de mettre ses chaussures.")</f>
        <v>Le renard se tient près de l'homme et saute de haut en bas sur ses genoux pendant qu'il continue de mettre ses chaussures.</v>
      </c>
    </row>
    <row r="12630">
      <c r="A12630" s="4" t="s">
        <v>15892</v>
      </c>
      <c r="B12630" s="4" t="s">
        <v>15893</v>
      </c>
      <c r="C12630" s="5" t="str">
        <f>IFERROR(__xludf.DUMMYFUNCTION("GOOGLETRANSLATE(B12630,""en"",""fr"")"),"Une personne met du ruban adhésif sur un canapé en cuir pour former un carré.")</f>
        <v>Une personne met du ruban adhésif sur un canapé en cuir pour former un carré.</v>
      </c>
    </row>
    <row r="12631">
      <c r="A12631" s="4" t="s">
        <v>15892</v>
      </c>
      <c r="B12631" s="4" t="s">
        <v>15894</v>
      </c>
      <c r="C12631" s="5" t="str">
        <f>IFERROR(__xludf.DUMMYFUNCTION("GOOGLETRANSLATE(B12631,""en"",""fr"")"),"Ensuite, la personne applique de la mousse sur une éponge et nettoie à l'intérieur du carré.")</f>
        <v>Ensuite, la personne applique de la mousse sur une éponge et nettoie à l'intérieur du carré.</v>
      </c>
    </row>
    <row r="12632">
      <c r="A12632" s="4" t="s">
        <v>15892</v>
      </c>
      <c r="B12632" s="4" t="s">
        <v>15895</v>
      </c>
      <c r="C12632" s="5" t="str">
        <f>IFERROR(__xludf.DUMMYFUNCTION("GOOGLETRANSLATE(B12632,""en"",""fr"")"),"Après, la personne nettoie avec un tissu et décolle la bande.")</f>
        <v>Après, la personne nettoie avec un tissu et décolle la bande.</v>
      </c>
    </row>
    <row r="12633">
      <c r="A12633" s="4" t="s">
        <v>15892</v>
      </c>
      <c r="B12633" s="4" t="s">
        <v>15896</v>
      </c>
      <c r="C12633" s="5" t="str">
        <f>IFERROR(__xludf.DUMMYFUNCTION("GOOGLETRANSLATE(B12633,""en"",""fr"")"),"Ensuite, la personne nettoie tout le canapé en mettant de la mousse sur un chiffon et frottant le canapé.")</f>
        <v>Ensuite, la personne nettoie tout le canapé en mettant de la mousse sur un chiffon et frottant le canapé.</v>
      </c>
    </row>
    <row r="12634">
      <c r="A12634" s="4" t="s">
        <v>15897</v>
      </c>
      <c r="B12634" s="4" t="s">
        <v>15898</v>
      </c>
      <c r="C12634" s="5" t="str">
        <f>IFERROR(__xludf.DUMMYFUNCTION("GOOGLETRANSLATE(B12634,""en"",""fr"")"),"Une machine à polissage à chaussures se trouve dans un salon.")</f>
        <v>Une machine à polissage à chaussures se trouve dans un salon.</v>
      </c>
    </row>
    <row r="12635">
      <c r="A12635" s="4" t="s">
        <v>15897</v>
      </c>
      <c r="B12635" s="4" t="s">
        <v>15899</v>
      </c>
      <c r="C12635" s="5" t="str">
        <f>IFERROR(__xludf.DUMMYFUNCTION("GOOGLETRANSLATE(B12635,""en"",""fr"")"),"Un homme s'approche de la machine à polissage de la chaussure, l'allume.")</f>
        <v>Un homme s'approche de la machine à polissage de la chaussure, l'allume.</v>
      </c>
    </row>
    <row r="12636">
      <c r="A12636" s="4" t="s">
        <v>15897</v>
      </c>
      <c r="B12636" s="4" t="s">
        <v>15900</v>
      </c>
      <c r="C12636" s="5" t="str">
        <f>IFERROR(__xludf.DUMMYFUNCTION("GOOGLETRANSLATE(B12636,""en"",""fr"")"),"L'homme portant un jean bleu commence à brouiller ses chaussures noires.")</f>
        <v>L'homme portant un jean bleu commence à brouiller ses chaussures noires.</v>
      </c>
    </row>
    <row r="12637">
      <c r="A12637" s="4" t="s">
        <v>15897</v>
      </c>
      <c r="B12637" s="4" t="s">
        <v>15901</v>
      </c>
      <c r="C12637" s="5" t="str">
        <f>IFERROR(__xludf.DUMMYFUNCTION("GOOGLETRANSLATE(B12637,""en"",""fr"")"),"L'homme commence alors à brosser et à polir ses chaussures brunes.")</f>
        <v>L'homme commence alors à brosser et à polir ses chaussures brunes.</v>
      </c>
    </row>
    <row r="12638">
      <c r="A12638" s="4" t="s">
        <v>15897</v>
      </c>
      <c r="B12638" s="4" t="s">
        <v>15902</v>
      </c>
      <c r="C12638" s="5" t="str">
        <f>IFERROR(__xludf.DUMMYFUNCTION("GOOGLETRANSLATE(B12638,""en"",""fr"")"),"L'homme s'approche de la machine de polissage de la chaussure et brosse ses baskets grises.")</f>
        <v>L'homme s'approche de la machine de polissage de la chaussure et brosse ses baskets grises.</v>
      </c>
    </row>
    <row r="12639">
      <c r="A12639" s="4" t="s">
        <v>15897</v>
      </c>
      <c r="B12639" s="4" t="s">
        <v>15903</v>
      </c>
      <c r="C12639" s="5" t="str">
        <f>IFERROR(__xludf.DUMMYFUNCTION("GOOGLETRANSLATE(B12639,""en"",""fr"")"),"L'homme s'accroupi et sort un bac à poussière sous la machine à polir.")</f>
        <v>L'homme s'accroupi et sort un bac à poussière sous la machine à polir.</v>
      </c>
    </row>
    <row r="12640">
      <c r="A12640" s="4" t="s">
        <v>15904</v>
      </c>
      <c r="B12640" s="6" t="s">
        <v>15905</v>
      </c>
      <c r="C12640" s="5" t="str">
        <f>IFERROR(__xludf.DUMMYFUNCTION("GOOGLETRANSLATE(B12640,""en"",""fr"")"),"Un grand groupe de personnes est vue debout dans une foule lorsqu'un homme tenant un ensemble de tuyaux de sac s'approche et donne à chacun les cornes du diable.")</f>
        <v>Un grand groupe de personnes est vue debout dans une foule lorsqu'un homme tenant un ensemble de tuyaux de sac s'approche et donne à chacun les cornes du diable.</v>
      </c>
    </row>
    <row r="12641">
      <c r="A12641" s="4" t="s">
        <v>15904</v>
      </c>
      <c r="B12641" s="4" t="s">
        <v>15906</v>
      </c>
      <c r="C12641" s="5" t="str">
        <f>IFERROR(__xludf.DUMMYFUNCTION("GOOGLETRANSLATE(B12641,""en"",""fr"")"),"Ils rendent les cornes et l'homme joue en marchant sur la scène.")</f>
        <v>Ils rendent les cornes et l'homme joue en marchant sur la scène.</v>
      </c>
    </row>
    <row r="12642">
      <c r="A12642" s="4" t="s">
        <v>15907</v>
      </c>
      <c r="B12642" s="4" t="s">
        <v>15908</v>
      </c>
      <c r="C12642" s="5" t="str">
        <f>IFERROR(__xludf.DUMMYFUNCTION("GOOGLETRANSLATE(B12642,""en"",""fr"")"),"Plusieurs panneaux pour les magasins de tatouage sont affichés, ainsi qu'une fille s'adressant à la caméra.")</f>
        <v>Plusieurs panneaux pour les magasins de tatouage sont affichés, ainsi qu'une fille s'adressant à la caméra.</v>
      </c>
    </row>
    <row r="12643">
      <c r="A12643" s="4" t="s">
        <v>15907</v>
      </c>
      <c r="B12643" s="4" t="s">
        <v>15909</v>
      </c>
      <c r="C12643" s="5" t="str">
        <f>IFERROR(__xludf.DUMMYFUNCTION("GOOGLETRANSLATE(B12643,""en"",""fr"")"),"Elle montre le tatouage qu'elle veut obtenir.")</f>
        <v>Elle montre le tatouage qu'elle veut obtenir.</v>
      </c>
    </row>
    <row r="12644">
      <c r="A12644" s="4" t="s">
        <v>15907</v>
      </c>
      <c r="B12644" s="4" t="s">
        <v>15910</v>
      </c>
      <c r="C12644" s="5" t="str">
        <f>IFERROR(__xludf.DUMMYFUNCTION("GOOGLETRANSLATE(B12644,""en"",""fr"")"),"La femme est assise sur une chaise alors qu'un tatoueur fait un flocon de neige sur son bras.")</f>
        <v>La femme est assise sur une chaise alors qu'un tatoueur fait un flocon de neige sur son bras.</v>
      </c>
    </row>
    <row r="12645">
      <c r="A12645" s="4" t="s">
        <v>15907</v>
      </c>
      <c r="B12645" s="4" t="s">
        <v>15911</v>
      </c>
      <c r="C12645" s="5" t="str">
        <f>IFERROR(__xludf.DUMMYFUNCTION("GOOGLETRANSLATE(B12645,""en"",""fr"")"),"Elle parle à la caméra tout le temps alors qu'il l'ennourge.")</f>
        <v>Elle parle à la caméra tout le temps alors qu'il l'ennourge.</v>
      </c>
    </row>
    <row r="12646">
      <c r="A12646" s="4" t="s">
        <v>15907</v>
      </c>
      <c r="B12646" s="4" t="s">
        <v>15912</v>
      </c>
      <c r="C12646" s="5" t="str">
        <f>IFERROR(__xludf.DUMMYFUNCTION("GOOGLETRANSLATE(B12646,""en"",""fr"")"),"Par la suite, elle montre son tatouage terminé et en parle.")</f>
        <v>Par la suite, elle montre son tatouage terminé et en parle.</v>
      </c>
    </row>
    <row r="12647">
      <c r="A12647" s="4" t="s">
        <v>15913</v>
      </c>
      <c r="B12647" s="4" t="s">
        <v>15914</v>
      </c>
      <c r="C12647" s="5" t="str">
        <f>IFERROR(__xludf.DUMMYFUNCTION("GOOGLETRANSLATE(B12647,""en"",""fr"")"),"Un homme se tient dans une salle de sport.")</f>
        <v>Un homme se tient dans une salle de sport.</v>
      </c>
    </row>
    <row r="12648">
      <c r="A12648" s="4" t="s">
        <v>15913</v>
      </c>
      <c r="B12648" s="4" t="s">
        <v>15915</v>
      </c>
      <c r="C12648" s="5" t="str">
        <f>IFERROR(__xludf.DUMMYFUNCTION("GOOGLETRANSLATE(B12648,""en"",""fr"")"),"Il se penche et prend un gros poids.")</f>
        <v>Il se penche et prend un gros poids.</v>
      </c>
    </row>
    <row r="12649">
      <c r="A12649" s="4" t="s">
        <v>15913</v>
      </c>
      <c r="B12649" s="4" t="s">
        <v>15916</v>
      </c>
      <c r="C12649" s="5" t="str">
        <f>IFERROR(__xludf.DUMMYFUNCTION("GOOGLETRANSLATE(B12649,""en"",""fr"")"),"Il le détient et parle à la caméra.")</f>
        <v>Il le détient et parle à la caméra.</v>
      </c>
    </row>
    <row r="12650">
      <c r="A12650" s="4" t="s">
        <v>15917</v>
      </c>
      <c r="B12650" s="4" t="s">
        <v>15918</v>
      </c>
      <c r="C12650" s="5" t="str">
        <f>IFERROR(__xludf.DUMMYFUNCTION("GOOGLETRANSLATE(B12650,""en"",""fr"")"),"La femme chevauche un chameau alors qu'elle parle à la caméra.")</f>
        <v>La femme chevauche un chameau alors qu'elle parle à la caméra.</v>
      </c>
    </row>
    <row r="12651">
      <c r="A12651" s="4" t="s">
        <v>15917</v>
      </c>
      <c r="B12651" s="4" t="s">
        <v>15919</v>
      </c>
      <c r="C12651" s="5" t="str">
        <f>IFERROR(__xludf.DUMMYFUNCTION("GOOGLETRANSLATE(B12651,""en"",""fr"")"),"Un homme guide le chameau et donne à la nourriture de chameau.")</f>
        <v>Un homme guide le chameau et donne à la nourriture de chameau.</v>
      </c>
    </row>
    <row r="12652">
      <c r="A12652" s="4" t="s">
        <v>15917</v>
      </c>
      <c r="B12652" s="4" t="s">
        <v>15920</v>
      </c>
      <c r="C12652" s="5" t="str">
        <f>IFERROR(__xludf.DUMMYFUNCTION("GOOGLETRANSLATE(B12652,""en"",""fr"")"),"La femme rapporte alors qu'elle est à l'arrière du chameau.")</f>
        <v>La femme rapporte alors qu'elle est à l'arrière du chameau.</v>
      </c>
    </row>
    <row r="12653">
      <c r="A12653" s="4" t="s">
        <v>15921</v>
      </c>
      <c r="B12653" s="4" t="s">
        <v>15922</v>
      </c>
      <c r="C12653" s="5" t="str">
        <f>IFERROR(__xludf.DUMMYFUNCTION("GOOGLETRANSLATE(B12653,""en"",""fr"")"),"Une personne ouvre un robinet et mouille les mains.")</f>
        <v>Une personne ouvre un robinet et mouille les mains.</v>
      </c>
    </row>
    <row r="12654">
      <c r="A12654" s="4" t="s">
        <v>15921</v>
      </c>
      <c r="B12654" s="4" t="s">
        <v>15923</v>
      </c>
      <c r="C12654" s="5" t="str">
        <f>IFERROR(__xludf.DUMMYFUNCTION("GOOGLETRANSLATE(B12654,""en"",""fr"")"),"La personne utilise du savon pour frotter vigoureusement les mains.")</f>
        <v>La personne utilise du savon pour frotter vigoureusement les mains.</v>
      </c>
    </row>
    <row r="12655">
      <c r="A12655" s="4" t="s">
        <v>15921</v>
      </c>
      <c r="B12655" s="4" t="s">
        <v>15924</v>
      </c>
      <c r="C12655" s="5" t="str">
        <f>IFERROR(__xludf.DUMMYFUNCTION("GOOGLETRANSLATE(B12655,""en"",""fr"")"),"Après, la personne rince à fond la main avec beaucoup d'eau.")</f>
        <v>Après, la personne rince à fond la main avec beaucoup d'eau.</v>
      </c>
    </row>
    <row r="12656">
      <c r="A12656" s="4" t="s">
        <v>15921</v>
      </c>
      <c r="B12656" s="4" t="s">
        <v>15925</v>
      </c>
      <c r="C12656" s="5" t="str">
        <f>IFERROR(__xludf.DUMMYFUNCTION("GOOGLETRANSLATE(B12656,""en"",""fr"")"),"Après que la personne séche les mains avec une serviette propre et tourne l'évier à l'aide de la serviette.")</f>
        <v>Après que la personne séche les mains avec une serviette propre et tourne l'évier à l'aide de la serviette.</v>
      </c>
    </row>
    <row r="12657">
      <c r="A12657" s="4" t="s">
        <v>15926</v>
      </c>
      <c r="B12657" s="4" t="s">
        <v>15927</v>
      </c>
      <c r="C12657" s="5" t="str">
        <f>IFERROR(__xludf.DUMMYFUNCTION("GOOGLETRANSLATE(B12657,""en"",""fr"")"),"Les mots ""Speed ​​Cubing 53 sec"" apparaissent sur un écran noir.")</f>
        <v>Les mots "Speed ​​Cubing 53 sec" apparaissent sur un écran noir.</v>
      </c>
    </row>
    <row r="12658">
      <c r="A12658" s="4" t="s">
        <v>15926</v>
      </c>
      <c r="B12658" s="4" t="s">
        <v>15928</v>
      </c>
      <c r="C12658" s="5" t="str">
        <f>IFERROR(__xludf.DUMMYFUNCTION("GOOGLETRANSLATE(B12658,""en"",""fr"")"),"Un jeune homme est assis à une table et commence à jouer avec un Rubik's Cube.")</f>
        <v>Un jeune homme est assis à une table et commence à jouer avec un Rubik's Cube.</v>
      </c>
    </row>
    <row r="12659">
      <c r="A12659" s="4" t="s">
        <v>15926</v>
      </c>
      <c r="B12659" s="4" t="s">
        <v>15929</v>
      </c>
      <c r="C12659" s="5" t="str">
        <f>IFERROR(__xludf.DUMMYFUNCTION("GOOGLETRANSLATE(B12659,""en"",""fr"")"),"L'homme résout le puzzle terminant tous les côtés du cube et l'écran devient noir.")</f>
        <v>L'homme résout le puzzle terminant tous les côtés du cube et l'écran devient noir.</v>
      </c>
    </row>
    <row r="12660">
      <c r="A12660" s="4" t="s">
        <v>15930</v>
      </c>
      <c r="B12660" s="4" t="s">
        <v>15931</v>
      </c>
      <c r="C12660" s="5" t="str">
        <f>IFERROR(__xludf.DUMMYFUNCTION("GOOGLETRANSLATE(B12660,""en"",""fr"")"),"Un chat se gratte les pattes sur le tapis.")</f>
        <v>Un chat se gratte les pattes sur le tapis.</v>
      </c>
    </row>
    <row r="12661">
      <c r="A12661" s="4" t="s">
        <v>15930</v>
      </c>
      <c r="B12661" s="4" t="s">
        <v>15932</v>
      </c>
      <c r="C12661" s="5" t="str">
        <f>IFERROR(__xludf.DUMMYFUNCTION("GOOGLETRANSLATE(B12661,""en"",""fr"")"),"Un homme tient la patte des chats et commence à couper ses ongles.")</f>
        <v>Un homme tient la patte des chats et commence à couper ses ongles.</v>
      </c>
    </row>
    <row r="12662">
      <c r="A12662" s="4" t="s">
        <v>15930</v>
      </c>
      <c r="B12662" s="4" t="s">
        <v>15933</v>
      </c>
      <c r="C12662" s="5" t="str">
        <f>IFERROR(__xludf.DUMMYFUNCTION("GOOGLETRANSLATE(B12662,""en"",""fr"")"),"Il tient le chat à l'extérieur.")</f>
        <v>Il tient le chat à l'extérieur.</v>
      </c>
    </row>
    <row r="12663">
      <c r="A12663" s="4" t="s">
        <v>15934</v>
      </c>
      <c r="B12663" s="4" t="s">
        <v>15935</v>
      </c>
      <c r="C12663" s="5" t="str">
        <f>IFERROR(__xludf.DUMMYFUNCTION("GOOGLETRANSLATE(B12663,""en"",""fr"")"),"Un groupe de personnes se rassemble sur un tarmac.")</f>
        <v>Un groupe de personnes se rassemble sur un tarmac.</v>
      </c>
    </row>
    <row r="12664">
      <c r="A12664" s="4" t="s">
        <v>15934</v>
      </c>
      <c r="B12664" s="4" t="s">
        <v>15936</v>
      </c>
      <c r="C12664" s="5" t="str">
        <f>IFERROR(__xludf.DUMMYFUNCTION("GOOGLETRANSLATE(B12664,""en"",""fr"")"),"Ils montent à bord de l'avion avant de décoller, montrant la piste et les nuages ​​dans le ciel.")</f>
        <v>Ils montent à bord de l'avion avant de décoller, montrant la piste et les nuages ​​dans le ciel.</v>
      </c>
    </row>
    <row r="12665">
      <c r="A12665" s="4" t="s">
        <v>15934</v>
      </c>
      <c r="B12665" s="4" t="s">
        <v>15937</v>
      </c>
      <c r="C12665" s="5" t="str">
        <f>IFERROR(__xludf.DUMMYFUNCTION("GOOGLETRANSLATE(B12665,""en"",""fr"")"),"Ils sont dans un aéroport, puis conduisent sur la route.")</f>
        <v>Ils sont dans un aéroport, puis conduisent sur la route.</v>
      </c>
    </row>
    <row r="12666">
      <c r="A12666" s="4" t="s">
        <v>15934</v>
      </c>
      <c r="B12666" s="4" t="s">
        <v>15938</v>
      </c>
      <c r="C12666" s="5" t="str">
        <f>IFERROR(__xludf.DUMMYFUNCTION("GOOGLETRANSLATE(B12666,""en"",""fr"")"),"Enfin, ils chevauchent un bateau dans le coean, regardant une carte et affrétant les eaux.")</f>
        <v>Enfin, ils chevauchent un bateau dans le coean, regardant une carte et affrétant les eaux.</v>
      </c>
    </row>
    <row r="12667">
      <c r="A12667" s="4" t="s">
        <v>15934</v>
      </c>
      <c r="B12667" s="4" t="s">
        <v>15939</v>
      </c>
      <c r="C12667" s="5" t="str">
        <f>IFERROR(__xludf.DUMMYFUNCTION("GOOGLETRANSLATE(B12667,""en"",""fr"")"),"Ils font du surf dans les grandes vagues.")</f>
        <v>Ils font du surf dans les grandes vagues.</v>
      </c>
    </row>
    <row r="12668">
      <c r="A12668" s="4" t="s">
        <v>15940</v>
      </c>
      <c r="B12668" s="6" t="s">
        <v>15941</v>
      </c>
      <c r="C12668" s="5" t="str">
        <f>IFERROR(__xludf.DUMMYFUNCTION("GOOGLETRANSLATE(B12668,""en"",""fr"")"),"Une introduction arrive sur l'écran pour une vidéo qui montrera une démo de certains produits de conciergerie.")</f>
        <v>Une introduction arrive sur l'écran pour une vidéo qui montrera une démo de certains produits de conciergerie.</v>
      </c>
    </row>
    <row r="12669">
      <c r="A12669" s="4" t="s">
        <v>15940</v>
      </c>
      <c r="B12669" s="4" t="s">
        <v>15942</v>
      </c>
      <c r="C12669" s="5" t="str">
        <f>IFERROR(__xludf.DUMMYFUNCTION("GOOGLETRANSLATE(B12669,""en"",""fr"")"),"Un homme à l'écran commence à décrire un ensemble de vadrouilles et de seau qui sont utilisés pour nettoyer les planchers.")</f>
        <v>Un homme à l'écran commence à décrire un ensemble de vadrouilles et de seau qui sont utilisés pour nettoyer les planchers.</v>
      </c>
    </row>
    <row r="12670">
      <c r="A12670" s="4" t="s">
        <v>15940</v>
      </c>
      <c r="B12670" s="4" t="s">
        <v>15943</v>
      </c>
      <c r="C12670" s="5" t="str">
        <f>IFERROR(__xludf.DUMMYFUNCTION("GOOGLETRANSLATE(B12670,""en"",""fr"")"),"Il commence ensuite à montrer comment utiliser l'ensemble de vadrouille et de seau.")</f>
        <v>Il commence ensuite à montrer comment utiliser l'ensemble de vadrouille et de seau.</v>
      </c>
    </row>
    <row r="12671">
      <c r="A12671" s="4" t="s">
        <v>15940</v>
      </c>
      <c r="B12671" s="4" t="s">
        <v>15944</v>
      </c>
      <c r="C12671" s="5" t="str">
        <f>IFERROR(__xludf.DUMMYFUNCTION("GOOGLETRANSLATE(B12671,""en"",""fr"")"),"Ensuite, il montre les seaux de près et commence à décrire comment utiliser les seaux.")</f>
        <v>Ensuite, il montre les seaux de près et commence à décrire comment utiliser les seaux.</v>
      </c>
    </row>
    <row r="12672">
      <c r="A12672" s="4" t="s">
        <v>15940</v>
      </c>
      <c r="B12672" s="4" t="s">
        <v>15945</v>
      </c>
      <c r="C12672" s="5" t="str">
        <f>IFERROR(__xludf.DUMMYFUNCTION("GOOGLETRANSLATE(B12672,""en"",""fr"")"),"À la fin de la vidéo, les crédits de clôture sont affichés.")</f>
        <v>À la fin de la vidéo, les crédits de clôture sont affichés.</v>
      </c>
    </row>
    <row r="12673">
      <c r="A12673" s="4" t="s">
        <v>15946</v>
      </c>
      <c r="B12673" s="4" t="s">
        <v>15947</v>
      </c>
      <c r="C12673" s="5" t="str">
        <f>IFERROR(__xludf.DUMMYFUNCTION("GOOGLETRANSLATE(B12673,""en"",""fr"")"),"Une jeune femme sur un cheval blanc est montrée sur le terrain.")</f>
        <v>Une jeune femme sur un cheval blanc est montrée sur le terrain.</v>
      </c>
    </row>
    <row r="12674">
      <c r="A12674" s="4" t="s">
        <v>15946</v>
      </c>
      <c r="B12674" s="4" t="s">
        <v>15948</v>
      </c>
      <c r="C12674" s="5" t="str">
        <f>IFERROR(__xludf.DUMMYFUNCTION("GOOGLETRANSLATE(B12674,""en"",""fr"")"),"La dame est ensuite montrée en train de faire de l'exercice sur un tapis bleu faisant plusieurs étirements de yoga.")</f>
        <v>La dame est ensuite montrée en train de faire de l'exercice sur un tapis bleu faisant plusieurs étirements de yoga.</v>
      </c>
    </row>
    <row r="12675">
      <c r="A12675" s="4" t="s">
        <v>15946</v>
      </c>
      <c r="B12675" s="4" t="s">
        <v>15949</v>
      </c>
      <c r="C12675" s="5" t="str">
        <f>IFERROR(__xludf.DUMMYFUNCTION("GOOGLETRANSLATE(B12675,""en"",""fr"")"),"Après, elle est photographiée chez elle à parler alors qu'elle était assise sur le canapé.")</f>
        <v>Après, elle est photographiée chez elle à parler alors qu'elle était assise sur le canapé.</v>
      </c>
    </row>
    <row r="12676">
      <c r="A12676" s="4" t="s">
        <v>15946</v>
      </c>
      <c r="B12676" s="6" t="s">
        <v>15950</v>
      </c>
      <c r="C12676" s="5" t="str">
        <f>IFERROR(__xludf.DUMMYFUNCTION("GOOGLETRANSLATE(B12676,""en"",""fr"")"),"Enfin, l'écran revient et elle est montrée à l'équitation sur le terrain en passant par l'écurie.")</f>
        <v>Enfin, l'écran revient et elle est montrée à l'équitation sur le terrain en passant par l'écurie.</v>
      </c>
    </row>
    <row r="12677">
      <c r="A12677" s="4" t="s">
        <v>15951</v>
      </c>
      <c r="B12677" s="6" t="s">
        <v>15952</v>
      </c>
      <c r="C12677" s="5" t="str">
        <f>IFERROR(__xludf.DUMMYFUNCTION("GOOGLETRANSLATE(B12677,""en"",""fr"")"),"Un petit groupe de personnes est vu en patinant autour de la glace en jouant à un jeu de hockey les uns contre les autres.")</f>
        <v>Un petit groupe de personnes est vu en patinant autour de la glace en jouant à un jeu de hockey les uns contre les autres.</v>
      </c>
    </row>
    <row r="12678">
      <c r="A12678" s="4" t="s">
        <v>15951</v>
      </c>
      <c r="B12678" s="4" t="s">
        <v>15953</v>
      </c>
      <c r="C12678" s="5" t="str">
        <f>IFERROR(__xludf.DUMMYFUNCTION("GOOGLETRANSLATE(B12678,""en"",""fr"")"),"Un membre marque alors que la caméra se déroule autour d'eux et un homme qui regarde.")</f>
        <v>Un membre marque alors que la caméra se déroule autour d'eux et un homme qui regarde.</v>
      </c>
    </row>
    <row r="12679">
      <c r="A12679" s="4" t="s">
        <v>15954</v>
      </c>
      <c r="B12679" s="4" t="s">
        <v>15955</v>
      </c>
      <c r="C12679" s="5" t="str">
        <f>IFERROR(__xludf.DUMMYFUNCTION("GOOGLETRANSLATE(B12679,""en"",""fr"")"),"Un homme est vu debout dans une grande fosse avec un groupe d'enfants et leur apprenant à se tenir debout.")</f>
        <v>Un homme est vu debout dans une grande fosse avec un groupe d'enfants et leur apprenant à se tenir debout.</v>
      </c>
    </row>
    <row r="12680">
      <c r="A12680" s="4" t="s">
        <v>15954</v>
      </c>
      <c r="B12680" s="4" t="s">
        <v>15956</v>
      </c>
      <c r="C12680" s="5" t="str">
        <f>IFERROR(__xludf.DUMMYFUNCTION("GOOGLETRANSLATE(B12680,""en"",""fr"")"),"Les enfants ont ensuite de la poudre sur leurs mains et l'homme les poursuit et s'amuse.")</f>
        <v>Les enfants ont ensuite de la poudre sur leurs mains et l'homme les poursuit et s'amuse.</v>
      </c>
    </row>
    <row r="12681">
      <c r="A12681" s="4" t="s">
        <v>15957</v>
      </c>
      <c r="B12681" s="4" t="s">
        <v>15958</v>
      </c>
      <c r="C12681" s="5" t="str">
        <f>IFERROR(__xludf.DUMMYFUNCTION("GOOGLETRANSLATE(B12681,""en"",""fr"")"),"La caméra se déroule autour d'une femme athlétique debout et d'autres la regardant sur le côté.")</f>
        <v>La caméra se déroule autour d'une femme athlétique debout et d'autres la regardant sur le côté.</v>
      </c>
    </row>
    <row r="12682">
      <c r="A12682" s="4" t="s">
        <v>15957</v>
      </c>
      <c r="B12682" s="6" t="s">
        <v>15959</v>
      </c>
      <c r="C12682" s="5" t="str">
        <f>IFERROR(__xludf.DUMMYFUNCTION("GOOGLETRANSLATE(B12682,""en"",""fr"")"),"Elle saute haut sur un poteau et s'éloigne alors que son saut est à nouveau illustré au ralenti et un autre coureur s'améliore.")</f>
        <v>Elle saute haut sur un poteau et s'éloigne alors que son saut est à nouveau illustré au ralenti et un autre coureur s'améliore.</v>
      </c>
    </row>
    <row r="12683">
      <c r="A12683" s="4" t="s">
        <v>15957</v>
      </c>
      <c r="B12683" s="6" t="s">
        <v>15960</v>
      </c>
      <c r="C12683" s="5" t="str">
        <f>IFERROR(__xludf.DUMMYFUNCTION("GOOGLETRANSLATE(B12683,""en"",""fr"")"),"Plusieurs autres femmes sont présentées en sautant sur le faisceau pendant que leurs scores sont indiqués immédiatement après.")</f>
        <v>Plusieurs autres femmes sont présentées en sautant sur le faisceau pendant que leurs scores sont indiqués immédiatement après.</v>
      </c>
    </row>
    <row r="12684">
      <c r="A12684" s="4" t="s">
        <v>15961</v>
      </c>
      <c r="B12684" s="4" t="s">
        <v>15962</v>
      </c>
      <c r="C12684" s="5" t="str">
        <f>IFERROR(__xludf.DUMMYFUNCTION("GOOGLETRANSLATE(B12684,""en"",""fr"")"),"Nous voyons un écran d'ouverture comme un film noir et blanc.")</f>
        <v>Nous voyons un écran d'ouverture comme un film noir et blanc.</v>
      </c>
    </row>
    <row r="12685">
      <c r="A12685" s="4" t="s">
        <v>15961</v>
      </c>
      <c r="B12685" s="4" t="s">
        <v>15963</v>
      </c>
      <c r="C12685" s="5" t="str">
        <f>IFERROR(__xludf.DUMMYFUNCTION("GOOGLETRANSLATE(B12685,""en"",""fr"")"),"Nous voyons ensuite des gens mettre des équipements de clôture.")</f>
        <v>Nous voyons ensuite des gens mettre des équipements de clôture.</v>
      </c>
    </row>
    <row r="12686">
      <c r="A12686" s="4" t="s">
        <v>15961</v>
      </c>
      <c r="B12686" s="4" t="s">
        <v>15964</v>
      </c>
      <c r="C12686" s="5" t="str">
        <f>IFERROR(__xludf.DUMMYFUNCTION("GOOGLETRANSLATE(B12686,""en"",""fr"")"),"Les deux hommes clôturent entre les écrans de titre.")</f>
        <v>Les deux hommes clôturent entre les écrans de titre.</v>
      </c>
    </row>
    <row r="12687">
      <c r="A12687" s="4" t="s">
        <v>15961</v>
      </c>
      <c r="B12687" s="4" t="s">
        <v>15965</v>
      </c>
      <c r="C12687" s="5" t="str">
        <f>IFERROR(__xludf.DUMMYFUNCTION("GOOGLETRANSLATE(B12687,""en"",""fr"")"),"Les hommes passent de l'extérieur à l'intérieur.")</f>
        <v>Les hommes passent de l'extérieur à l'intérieur.</v>
      </c>
    </row>
    <row r="12688">
      <c r="A12688" s="4" t="s">
        <v>15961</v>
      </c>
      <c r="B12688" s="4" t="s">
        <v>15966</v>
      </c>
      <c r="C12688" s="5" t="str">
        <f>IFERROR(__xludf.DUMMYFUNCTION("GOOGLETRANSLATE(B12688,""en"",""fr"")"),"Nous voyons un casque d'un homme.")</f>
        <v>Nous voyons un casque d'un homme.</v>
      </c>
    </row>
    <row r="12689">
      <c r="A12689" s="4" t="s">
        <v>15961</v>
      </c>
      <c r="B12689" s="4" t="s">
        <v>15967</v>
      </c>
      <c r="C12689" s="5" t="str">
        <f>IFERROR(__xludf.DUMMYFUNCTION("GOOGLETRANSLATE(B12689,""en"",""fr"")"),"Nous voyons un homme se battre au ralenti.")</f>
        <v>Nous voyons un homme se battre au ralenti.</v>
      </c>
    </row>
    <row r="12690">
      <c r="A12690" s="4" t="s">
        <v>15961</v>
      </c>
      <c r="B12690" s="4" t="s">
        <v>15968</v>
      </c>
      <c r="C12690" s="5" t="str">
        <f>IFERROR(__xludf.DUMMYFUNCTION("GOOGLETRANSLATE(B12690,""en"",""fr"")"),"Les hommes finissent et s'éloignent les uns des autres.")</f>
        <v>Les hommes finissent et s'éloignent les uns des autres.</v>
      </c>
    </row>
    <row r="12691">
      <c r="A12691" s="4" t="s">
        <v>15969</v>
      </c>
      <c r="B12691" s="4" t="s">
        <v>15970</v>
      </c>
      <c r="C12691" s="5" t="str">
        <f>IFERROR(__xludf.DUMMYFUNCTION("GOOGLETRANSLATE(B12691,""en"",""fr"")"),"Un homme prend un poids lourd.")</f>
        <v>Un homme prend un poids lourd.</v>
      </c>
    </row>
    <row r="12692">
      <c r="A12692" s="4" t="s">
        <v>15969</v>
      </c>
      <c r="B12692" s="4" t="s">
        <v>15971</v>
      </c>
      <c r="C12692" s="5" t="str">
        <f>IFERROR(__xludf.DUMMYFUNCTION("GOOGLETRANSLATE(B12692,""en"",""fr"")"),"Il le laisse tomber au sol.")</f>
        <v>Il le laisse tomber au sol.</v>
      </c>
    </row>
    <row r="12693">
      <c r="A12693" s="4" t="s">
        <v>15972</v>
      </c>
      <c r="B12693" s="6" t="s">
        <v>15973</v>
      </c>
      <c r="C12693" s="5" t="str">
        <f>IFERROR(__xludf.DUMMYFUNCTION("GOOGLETRANSLATE(B12693,""en"",""fr"")"),"Il y a une femme vêtue d'une robe brune debout à côté d'une autre dame en bleu qui fait preuve d'une recette.")</f>
        <v>Il y a une femme vêtue d'une robe brune debout à côté d'une autre dame en bleu qui fait preuve d'une recette.</v>
      </c>
    </row>
    <row r="12694">
      <c r="A12694" s="4" t="s">
        <v>15972</v>
      </c>
      <c r="B12694" s="6" t="s">
        <v>15974</v>
      </c>
      <c r="C12694" s="5" t="str">
        <f>IFERROR(__xludf.DUMMYFUNCTION("GOOGLETRANSLATE(B12694,""en"",""fr"")"),"Ils se tiennent à côté du comptoir de la cuisine qui contient plusieurs bols remplis de divers ingrédients.")</f>
        <v>Ils se tiennent à côté du comptoir de la cuisine qui contient plusieurs bols remplis de divers ingrédients.</v>
      </c>
    </row>
    <row r="12695">
      <c r="A12695" s="4" t="s">
        <v>15972</v>
      </c>
      <c r="B12695" s="4" t="s">
        <v>15975</v>
      </c>
      <c r="C12695" s="5" t="str">
        <f>IFERROR(__xludf.DUMMYFUNCTION("GOOGLETRANSLATE(B12695,""en"",""fr"")"),"Le chef parle des recettes pour lesquelles les ingrédients sont utilisés.")</f>
        <v>Le chef parle des recettes pour lesquelles les ingrédients sont utilisés.</v>
      </c>
    </row>
    <row r="12696">
      <c r="A12696" s="4" t="s">
        <v>15972</v>
      </c>
      <c r="B12696" s="4" t="s">
        <v>15976</v>
      </c>
      <c r="C12696" s="5" t="str">
        <f>IFERROR(__xludf.DUMMYFUNCTION("GOOGLETRANSLATE(B12696,""en"",""fr"")"),"Il y a une assiette blanche avec de la viande râpée sur le comptoir de la cuisine.")</f>
        <v>Il y a une assiette blanche avec de la viande râpée sur le comptoir de la cuisine.</v>
      </c>
    </row>
    <row r="12697">
      <c r="A12697" s="4" t="s">
        <v>15972</v>
      </c>
      <c r="B12697" s="4" t="s">
        <v>15977</v>
      </c>
      <c r="C12697" s="5" t="str">
        <f>IFERROR(__xludf.DUMMYFUNCTION("GOOGLETRANSLATE(B12697,""en"",""fr"")"),"Le chef ramasse ensuite l'assiette de viande et le donne à la dame en brun.")</f>
        <v>Le chef ramasse ensuite l'assiette de viande et le donne à la dame en brun.</v>
      </c>
    </row>
    <row r="12698">
      <c r="A12698" s="4" t="s">
        <v>15972</v>
      </c>
      <c r="B12698" s="4" t="s">
        <v>15978</v>
      </c>
      <c r="C12698" s="5" t="str">
        <f>IFERROR(__xludf.DUMMYFUNCTION("GOOGLETRANSLATE(B12698,""en"",""fr"")"),"Le présentateur vide ensuite la viande dans un bol bleu.")</f>
        <v>Le présentateur vide ensuite la viande dans un bol bleu.</v>
      </c>
    </row>
    <row r="12699">
      <c r="A12699" s="4" t="s">
        <v>15972</v>
      </c>
      <c r="B12699" s="4" t="s">
        <v>15979</v>
      </c>
      <c r="C12699" s="5" t="str">
        <f>IFERROR(__xludf.DUMMYFUNCTION("GOOGLETRANSLATE(B12699,""en"",""fr"")"),"Le chef continue d'expliquer la recette.")</f>
        <v>Le chef continue d'expliquer la recette.</v>
      </c>
    </row>
    <row r="12700">
      <c r="A12700" s="4" t="s">
        <v>15972</v>
      </c>
      <c r="B12700" s="4" t="s">
        <v>15980</v>
      </c>
      <c r="C12700" s="5" t="str">
        <f>IFERROR(__xludf.DUMMYFUNCTION("GOOGLETRANSLATE(B12700,""en"",""fr"")"),"Ensuite, ils ajoutent du concombre haché dans le bol bleu et le mélangent avec une cuillère.")</f>
        <v>Ensuite, ils ajoutent du concombre haché dans le bol bleu et le mélangent avec une cuillère.</v>
      </c>
    </row>
    <row r="12701">
      <c r="A12701" s="4" t="s">
        <v>15972</v>
      </c>
      <c r="B12701" s="4" t="s">
        <v>15981</v>
      </c>
      <c r="C12701" s="5" t="str">
        <f>IFERROR(__xludf.DUMMYFUNCTION("GOOGLETRANSLATE(B12701,""en"",""fr"")"),"Le chef montre les concombres qu'elle a utilisés dans la salade.")</f>
        <v>Le chef montre les concombres qu'elle a utilisés dans la salade.</v>
      </c>
    </row>
    <row r="12702">
      <c r="A12702" s="4" t="s">
        <v>15972</v>
      </c>
      <c r="B12702" s="4" t="s">
        <v>15982</v>
      </c>
      <c r="C12702" s="5" t="str">
        <f>IFERROR(__xludf.DUMMYFUNCTION("GOOGLETRANSLATE(B12702,""en"",""fr"")"),"Ensuite, ils ajoutent des tomates cerises hachées, suivies d'oignons blancs en tranches et de légumes verts à feuilles.")</f>
        <v>Ensuite, ils ajoutent des tomates cerises hachées, suivies d'oignons blancs en tranches et de légumes verts à feuilles.</v>
      </c>
    </row>
    <row r="12703">
      <c r="A12703" s="4" t="s">
        <v>15972</v>
      </c>
      <c r="B12703" s="4" t="s">
        <v>15983</v>
      </c>
      <c r="C12703" s="5" t="str">
        <f>IFERROR(__xludf.DUMMYFUNCTION("GOOGLETRANSLATE(B12703,""en"",""fr"")"),"Ensuite, ils ajoutent un peu plus de garnish sur la salade.")</f>
        <v>Ensuite, ils ajoutent un peu plus de garnish sur la salade.</v>
      </c>
    </row>
    <row r="12704">
      <c r="A12704" s="4" t="s">
        <v>15984</v>
      </c>
      <c r="B12704" s="4" t="s">
        <v>15985</v>
      </c>
      <c r="C12704" s="5" t="str">
        <f>IFERROR(__xludf.DUMMYFUNCTION("GOOGLETRANSLATE(B12704,""en"",""fr"")"),"Une fille se déplace autour d'un terrain de jeu intérieur.")</f>
        <v>Une fille se déplace autour d'un terrain de jeu intérieur.</v>
      </c>
    </row>
    <row r="12705">
      <c r="A12705" s="4" t="s">
        <v>15984</v>
      </c>
      <c r="B12705" s="4" t="s">
        <v>15986</v>
      </c>
      <c r="C12705" s="5" t="str">
        <f>IFERROR(__xludf.DUMMYFUNCTION("GOOGLETRANSLATE(B12705,""en"",""fr"")"),"La fille glisse vers le bas et grimpe une diapositive avec un garçon.")</f>
        <v>La fille glisse vers le bas et grimpe une diapositive avec un garçon.</v>
      </c>
    </row>
    <row r="12706">
      <c r="A12706" s="4" t="s">
        <v>15984</v>
      </c>
      <c r="B12706" s="4" t="s">
        <v>15987</v>
      </c>
      <c r="C12706" s="5" t="str">
        <f>IFERROR(__xludf.DUMMYFUNCTION("GOOGLETRANSLATE(B12706,""en"",""fr"")"),"Un doigt touche les cheveux et la tête des filles.")</f>
        <v>Un doigt touche les cheveux et la tête des filles.</v>
      </c>
    </row>
    <row r="12707">
      <c r="A12707" s="4" t="s">
        <v>15988</v>
      </c>
      <c r="B12707" s="4" t="s">
        <v>15989</v>
      </c>
      <c r="C12707" s="5" t="str">
        <f>IFERROR(__xludf.DUMMYFUNCTION("GOOGLETRANSLATE(B12707,""en"",""fr"")"),"Un homme tient un Hummer est assis par terre.")</f>
        <v>Un homme tient un Hummer est assis par terre.</v>
      </c>
    </row>
    <row r="12708">
      <c r="A12708" s="4" t="s">
        <v>15988</v>
      </c>
      <c r="B12708" s="4" t="s">
        <v>15990</v>
      </c>
      <c r="C12708" s="5" t="str">
        <f>IFERROR(__xludf.DUMMYFUNCTION("GOOGLETRANSLATE(B12708,""en"",""fr"")"),"Ensuite, l'homme tourne le marteau plusieurs fois et le jette loin.")</f>
        <v>Ensuite, l'homme tourne le marteau plusieurs fois et le jette loin.</v>
      </c>
    </row>
    <row r="12709">
      <c r="A12709" s="4" t="s">
        <v>15988</v>
      </c>
      <c r="B12709" s="4" t="s">
        <v>15991</v>
      </c>
      <c r="C12709" s="5" t="str">
        <f>IFERROR(__xludf.DUMMYFUNCTION("GOOGLETRANSLATE(B12709,""en"",""fr"")"),"Un autre homme interprète le lancer du marteau pendant que les gens regardent.")</f>
        <v>Un autre homme interprète le lancer du marteau pendant que les gens regardent.</v>
      </c>
    </row>
    <row r="12710">
      <c r="A12710" s="4" t="s">
        <v>15992</v>
      </c>
      <c r="B12710" s="4" t="s">
        <v>15993</v>
      </c>
      <c r="C12710" s="5" t="str">
        <f>IFERROR(__xludf.DUMMYFUNCTION("GOOGLETRANSLATE(B12710,""en"",""fr"")"),"Il y a beaucoup de gens en maillot de bain debout dans un lac avec des bateaux à moteur derrière eux.")</f>
        <v>Il y a beaucoup de gens en maillot de bain debout dans un lac avec des bateaux à moteur derrière eux.</v>
      </c>
    </row>
    <row r="12711">
      <c r="A12711" s="4" t="s">
        <v>15992</v>
      </c>
      <c r="B12711" s="6" t="s">
        <v>15994</v>
      </c>
      <c r="C12711" s="5" t="str">
        <f>IFERROR(__xludf.DUMMYFUNCTION("GOOGLETRANSLATE(B12711,""en"",""fr"")"),"Une fille portant un bikini et tenant une boîte de coke dans sa main se frotte la crème solaire sur la poitrine d'une autre femme.")</f>
        <v>Une fille portant un bikini et tenant une boîte de coke dans sa main se frotte la crème solaire sur la poitrine d'une autre femme.</v>
      </c>
    </row>
    <row r="12712">
      <c r="A12712" s="4" t="s">
        <v>15992</v>
      </c>
      <c r="B12712" s="4" t="s">
        <v>15995</v>
      </c>
      <c r="C12712" s="5" t="str">
        <f>IFERROR(__xludf.DUMMYFUNCTION("GOOGLETRANSLATE(B12712,""en"",""fr"")"),"Il y a des hommes debout dans des troncs de natation derrière eux, se parlent.")</f>
        <v>Il y a des hommes debout dans des troncs de natation derrière eux, se parlent.</v>
      </c>
    </row>
    <row r="12713">
      <c r="A12713" s="4" t="s">
        <v>15996</v>
      </c>
      <c r="B12713" s="4" t="s">
        <v>15997</v>
      </c>
      <c r="C12713" s="5" t="str">
        <f>IFERROR(__xludf.DUMMYFUNCTION("GOOGLETRANSLATE(B12713,""en"",""fr"")"),"Les coupures de presse d'un joueur de water-polo sont présentées, ainsi que des images et des images fixes.")</f>
        <v>Les coupures de presse d'un joueur de water-polo sont présentées, ainsi que des images et des images fixes.</v>
      </c>
    </row>
    <row r="12714">
      <c r="A12714" s="4" t="s">
        <v>15996</v>
      </c>
      <c r="B12714" s="4" t="s">
        <v>15998</v>
      </c>
      <c r="C12714" s="5" t="str">
        <f>IFERROR(__xludf.DUMMYFUNCTION("GOOGLETRANSLATE(B12714,""en"",""fr"")"),"Nous voyons ensuite les jeux de water-polo en vidéo, alors que les joueurs essaient de faire pression sur un filet.")</f>
        <v>Nous voyons ensuite les jeux de water-polo en vidéo, alors que les joueurs essaient de faire pression sur un filet.</v>
      </c>
    </row>
    <row r="12715">
      <c r="A12715" s="4" t="s">
        <v>15996</v>
      </c>
      <c r="B12715" s="4" t="s">
        <v>15999</v>
      </c>
      <c r="C12715" s="5" t="str">
        <f>IFERROR(__xludf.DUMMYFUNCTION("GOOGLETRANSLATE(B12715,""en"",""fr"")"),"Les gens se battent sur le ballon, et une petite foule applaudit et applaudit.")</f>
        <v>Les gens se battent sur le ballon, et une petite foule applaudit et applaudit.</v>
      </c>
    </row>
    <row r="12716">
      <c r="A12716" s="4" t="s">
        <v>16000</v>
      </c>
      <c r="B12716" s="4" t="s">
        <v>16001</v>
      </c>
      <c r="C12716" s="5" t="str">
        <f>IFERROR(__xludf.DUMMYFUNCTION("GOOGLETRANSLATE(B12716,""en"",""fr"")"),"Une foule est rassemblée autour d'une zone carrelée noire.")</f>
        <v>Une foule est rassemblée autour d'une zone carrelée noire.</v>
      </c>
    </row>
    <row r="12717">
      <c r="A12717" s="4" t="s">
        <v>16000</v>
      </c>
      <c r="B12717" s="4" t="s">
        <v>16002</v>
      </c>
      <c r="C12717" s="5" t="str">
        <f>IFERROR(__xludf.DUMMYFUNCTION("GOOGLETRANSLATE(B12717,""en"",""fr"")"),"Un homme en noir fait des mouvements de breakdance.")</f>
        <v>Un homme en noir fait des mouvements de breakdance.</v>
      </c>
    </row>
    <row r="12718">
      <c r="A12718" s="4" t="s">
        <v>16000</v>
      </c>
      <c r="B12718" s="6" t="s">
        <v>16003</v>
      </c>
      <c r="C12718" s="5" t="str">
        <f>IFERROR(__xludf.DUMMYFUNCTION("GOOGLETRANSLATE(B12718,""en"",""fr"")"),"Il se négocie ensuite avec un homme en blanc, plusieurs breakdancers échangent des mouvements pendant que la foule regarde.")</f>
        <v>Il se négocie ensuite avec un homme en blanc, plusieurs breakdancers échangent des mouvements pendant que la foule regarde.</v>
      </c>
    </row>
    <row r="12719">
      <c r="A12719" s="4" t="s">
        <v>16000</v>
      </c>
      <c r="B12719" s="4" t="s">
        <v>16004</v>
      </c>
      <c r="C12719" s="5" t="str">
        <f>IFERROR(__xludf.DUMMYFUNCTION("GOOGLETRANSLATE(B12719,""en"",""fr"")"),"Enfin, le dernier breakdancer termine sa routine.")</f>
        <v>Enfin, le dernier breakdancer termine sa routine.</v>
      </c>
    </row>
    <row r="12720">
      <c r="A12720" s="4" t="s">
        <v>16005</v>
      </c>
      <c r="B12720" s="4" t="s">
        <v>16006</v>
      </c>
      <c r="C12720" s="5" t="str">
        <f>IFERROR(__xludf.DUMMYFUNCTION("GOOGLETRANSLATE(B12720,""en"",""fr"")"),"Un match de polo est tenu à l'extérieur dans un champ.")</f>
        <v>Un match de polo est tenu à l'extérieur dans un champ.</v>
      </c>
    </row>
    <row r="12721">
      <c r="A12721" s="4" t="s">
        <v>16005</v>
      </c>
      <c r="B12721" s="4" t="s">
        <v>16007</v>
      </c>
      <c r="C12721" s="5" t="str">
        <f>IFERROR(__xludf.DUMMYFUNCTION("GOOGLETRANSLATE(B12721,""en"",""fr"")"),"Un joueur sur un cheval frappe le ballon.")</f>
        <v>Un joueur sur un cheval frappe le ballon.</v>
      </c>
    </row>
    <row r="12722">
      <c r="A12722" s="4" t="s">
        <v>16005</v>
      </c>
      <c r="B12722" s="4" t="s">
        <v>16008</v>
      </c>
      <c r="C12722" s="5" t="str">
        <f>IFERROR(__xludf.DUMMYFUNCTION("GOOGLETRANSLATE(B12722,""en"",""fr"")"),"Un large tir de l'action du champ de polo est montré.")</f>
        <v>Un large tir de l'action du champ de polo est montré.</v>
      </c>
    </row>
    <row r="12723">
      <c r="A12723" s="4" t="s">
        <v>16009</v>
      </c>
      <c r="B12723" s="6" t="s">
        <v>16010</v>
      </c>
      <c r="C12723" s="5" t="str">
        <f>IFERROR(__xludf.DUMMYFUNCTION("GOOGLETRANSLATE(B12723,""en"",""fr"")"),"Une jeune femme est vue parler à la caméra et l'amène à montrer ses cheveux puis à l'attacher à une queue de cheval.")</f>
        <v>Une jeune femme est vue parler à la caméra et l'amène à montrer ses cheveux puis à l'attacher à une queue de cheval.</v>
      </c>
    </row>
    <row r="12724">
      <c r="A12724" s="4" t="s">
        <v>16009</v>
      </c>
      <c r="B12724" s="6" t="s">
        <v>16011</v>
      </c>
      <c r="C12724" s="5" t="str">
        <f>IFERROR(__xludf.DUMMYFUNCTION("GOOGLETRANSLATE(B12724,""en"",""fr"")"),"Elle gonfle ses cheveux, puis tresse sa frange, suivie en repoussant la tresse en queue de cheval.")</f>
        <v>Elle gonfle ses cheveux, puis tresse sa frange, suivie en repoussant la tresse en queue de cheval.</v>
      </c>
    </row>
    <row r="12725">
      <c r="A12725" s="4" t="s">
        <v>16009</v>
      </c>
      <c r="B12725" s="4" t="s">
        <v>16012</v>
      </c>
      <c r="C12725" s="5" t="str">
        <f>IFERROR(__xludf.DUMMYFUNCTION("GOOGLETRANSLATE(B12725,""en"",""fr"")"),"Elle met un arc dans ses cheveux à la fin et sourit à la caméra.")</f>
        <v>Elle met un arc dans ses cheveux à la fin et sourit à la caméra.</v>
      </c>
    </row>
    <row r="12726">
      <c r="A12726" s="4" t="s">
        <v>16013</v>
      </c>
      <c r="B12726" s="6" t="s">
        <v>16014</v>
      </c>
      <c r="C12726" s="5" t="str">
        <f>IFERROR(__xludf.DUMMYFUNCTION("GOOGLETRANSLATE(B12726,""en"",""fr"")"),"Un écran blanc apparaît et des visages heureux sont affichés et des mots de texte noir lisent ""Happyface Entertainment"".")</f>
        <v>Un écran blanc apparaît et des visages heureux sont affichés et des mots de texte noir lisent "Happyface Entertainment".</v>
      </c>
    </row>
    <row r="12727">
      <c r="A12727" s="4" t="s">
        <v>16013</v>
      </c>
      <c r="B12727" s="6" t="s">
        <v>16015</v>
      </c>
      <c r="C12727" s="5" t="str">
        <f>IFERROR(__xludf.DUMMYFUNCTION("GOOGLETRANSLATE(B12727,""en"",""fr"")"),"Il y a deux femmes asiatiques debout face à face très près les unes des autres et parlant d'une boîte tandis que les sous-titres apparaissent en bas.")</f>
        <v>Il y a deux femmes asiatiques debout face à face très près les unes des autres et parlant d'une boîte tandis que les sous-titres apparaissent en bas.</v>
      </c>
    </row>
    <row r="12728">
      <c r="A12728" s="4" t="s">
        <v>16013</v>
      </c>
      <c r="B12728" s="6" t="s">
        <v>16016</v>
      </c>
      <c r="C12728" s="5" t="str">
        <f>IFERROR(__xludf.DUMMYFUNCTION("GOOGLETRANSLATE(B12728,""en"",""fr"")"),"La femme tenant la bouteille sur la droite essaie de dévisser la bouteille et a du mal, alors quelqu'un arrive et l'ouvre pour elle et le remet en arrière.")</f>
        <v>La femme tenant la bouteille sur la droite essaie de dévisser la bouteille et a du mal, alors quelqu'un arrive et l'ouvre pour elle et le remet en arrière.</v>
      </c>
    </row>
    <row r="12729">
      <c r="A12729" s="4" t="s">
        <v>16013</v>
      </c>
      <c r="B12729" s="6" t="s">
        <v>16017</v>
      </c>
      <c r="C12729" s="5" t="str">
        <f>IFERROR(__xludf.DUMMYFUNCTION("GOOGLETRANSLATE(B12729,""en"",""fr"")"),"Les femmes rient, sentent le contenu dans la bouteille et la brune en a un peu en a un peu et elles rient toutes les deux.")</f>
        <v>Les femmes rient, sentent le contenu dans la bouteille et la brune en a un peu en a un peu et elles rient toutes les deux.</v>
      </c>
    </row>
    <row r="12730">
      <c r="A12730" s="4" t="s">
        <v>16018</v>
      </c>
      <c r="B12730" s="4" t="s">
        <v>16019</v>
      </c>
      <c r="C12730" s="5" t="str">
        <f>IFERROR(__xludf.DUMMYFUNCTION("GOOGLETRANSLATE(B12730,""en"",""fr"")"),"Un écran noir apparaît avec les lettres et les chiffres blancs qui disent l'examen 2012.")</f>
        <v>Un écran noir apparaît avec les lettres et les chiffres blancs qui disent l'examen 2012.</v>
      </c>
    </row>
    <row r="12731">
      <c r="A12731" s="4" t="s">
        <v>16018</v>
      </c>
      <c r="B12731" s="6" t="s">
        <v>16020</v>
      </c>
      <c r="C12731" s="5" t="str">
        <f>IFERROR(__xludf.DUMMYFUNCTION("GOOGLETRANSLATE(B12731,""en"",""fr"")"),"Un bâtiment en plein air d'un bâtiment plus âgé de deux étages est montré et les lettres blanches à l'écran disent la Bolshoi Ballet Academy.")</f>
        <v>Un bâtiment en plein air d'un bâtiment plus âgé de deux étages est montré et les lettres blanches à l'écran disent la Bolshoi Ballet Academy.</v>
      </c>
    </row>
    <row r="12732">
      <c r="A12732" s="4" t="s">
        <v>16018</v>
      </c>
      <c r="B12732" s="6" t="s">
        <v>16021</v>
      </c>
      <c r="C12732" s="5" t="str">
        <f>IFERROR(__xludf.DUMMYFUNCTION("GOOGLETRANSLATE(B12732,""en"",""fr"")"),"Une femme blonde est montrée assise dans un piano et alors qu'elle commence à jouer un tas de jeunes femmes est montrée vêtue de leur équipement de ballet et danse du ballet sur une scène pendant que les gens les regardent.")</f>
        <v>Une femme blonde est montrée assise dans un piano et alors qu'elle commence à jouer un tas de jeunes femmes est montrée vêtue de leur équipement de ballet et danse du ballet sur une scène pendant que les gens les regardent.</v>
      </c>
    </row>
    <row r="12733">
      <c r="A12733" s="4" t="s">
        <v>16018</v>
      </c>
      <c r="B12733" s="6" t="s">
        <v>16022</v>
      </c>
      <c r="C12733" s="5" t="str">
        <f>IFERROR(__xludf.DUMMYFUNCTION("GOOGLETRANSLATE(B12733,""en"",""fr"")"),"Certaines filles sont montrées en mettant des tutus qui collent directement, elles marchent sur la scène et commencent à danser alors que leurs tutus qui restent tout droit rebondissent avec elles.")</f>
        <v>Certaines filles sont montrées en mettant des tutus qui collent directement, elles marchent sur la scène et commencent à danser alors que leurs tutus qui restent tout droit rebondissent avec elles.</v>
      </c>
    </row>
    <row r="12734">
      <c r="A12734" s="4" t="s">
        <v>16018</v>
      </c>
      <c r="B12734" s="6" t="s">
        <v>16023</v>
      </c>
      <c r="C12734" s="5" t="str">
        <f>IFERROR(__xludf.DUMMYFUNCTION("GOOGLETRANSLATE(B12734,""en"",""fr"")"),"Les femmes mettent fin à leur routine de ballet, et elles marchent toutes sur le côté de la scène pour saisir la main de la femme, elles sont toutes routinières sur la scène, prennent un arc et toutes les danses de ballet célèbrent leur performance et don"&amp;"nent un autre câlin.")</f>
        <v>Les femmes mettent fin à leur routine de ballet, et elles marchent toutes sur le côté de la scène pour saisir la main de la femme, elles sont toutes routinières sur la scène, prennent un arc et toutes les danses de ballet célèbrent leur performance et donnent un autre câlin.</v>
      </c>
    </row>
    <row r="12735">
      <c r="A12735" s="4" t="s">
        <v>16024</v>
      </c>
      <c r="B12735" s="4" t="s">
        <v>16025</v>
      </c>
      <c r="C12735" s="5" t="str">
        <f>IFERROR(__xludf.DUMMYFUNCTION("GOOGLETRANSLATE(B12735,""en"",""fr"")"),"Un sandwich est assis sur un comptoir.")</f>
        <v>Un sandwich est assis sur un comptoir.</v>
      </c>
    </row>
    <row r="12736">
      <c r="A12736" s="4" t="s">
        <v>16024</v>
      </c>
      <c r="B12736" s="4" t="s">
        <v>16026</v>
      </c>
      <c r="C12736" s="5" t="str">
        <f>IFERROR(__xludf.DUMMYFUNCTION("GOOGLETRANSLATE(B12736,""en"",""fr"")"),"Il y a beaucoup de légumes autour du sandwich.")</f>
        <v>Il y a beaucoup de légumes autour du sandwich.</v>
      </c>
    </row>
    <row r="12737">
      <c r="A12737" s="4" t="s">
        <v>16024</v>
      </c>
      <c r="B12737" s="4" t="s">
        <v>16027</v>
      </c>
      <c r="C12737" s="5" t="str">
        <f>IFERROR(__xludf.DUMMYFUNCTION("GOOGLETRANSLATE(B12737,""en"",""fr"")"),"Une personne met des concombres au-dessus du sandwich.")</f>
        <v>Une personne met des concombres au-dessus du sandwich.</v>
      </c>
    </row>
    <row r="12738">
      <c r="A12738" s="4" t="s">
        <v>16028</v>
      </c>
      <c r="B12738" s="6" t="s">
        <v>16029</v>
      </c>
      <c r="C12738" s="5" t="str">
        <f>IFERROR(__xludf.DUMMYFUNCTION("GOOGLETRANSLATE(B12738,""en"",""fr"")"),"Un homme est montré en train de fumer une cigarette qui souffle en continu de la fumée de sa bouche et de regarder dans la caméra.")</f>
        <v>Un homme est montré en train de fumer une cigarette qui souffle en continu de la fumée de sa bouche et de regarder dans la caméra.</v>
      </c>
    </row>
    <row r="12739">
      <c r="A12739" s="4" t="s">
        <v>16028</v>
      </c>
      <c r="B12739" s="4" t="s">
        <v>16030</v>
      </c>
      <c r="C12739" s="5" t="str">
        <f>IFERROR(__xludf.DUMMYFUNCTION("GOOGLETRANSLATE(B12739,""en"",""fr"")"),"Il met des lunettes de soleil et continue de retirer les bouffées de la cigarette.")</f>
        <v>Il met des lunettes de soleil et continue de retirer les bouffées de la cigarette.</v>
      </c>
    </row>
    <row r="12740">
      <c r="A12740" s="4" t="s">
        <v>16028</v>
      </c>
      <c r="B12740" s="4" t="s">
        <v>16031</v>
      </c>
      <c r="C12740" s="5" t="str">
        <f>IFERROR(__xludf.DUMMYFUNCTION("GOOGLETRANSLATE(B12740,""en"",""fr"")"),"Il pans la caméra à une fissure dans le sol et retourne sur son visage en train de fumer à l'extérieur.")</f>
        <v>Il pans la caméra à une fissure dans le sol et retourne sur son visage en train de fumer à l'extérieur.</v>
      </c>
    </row>
    <row r="12741">
      <c r="A12741" s="4" t="s">
        <v>16032</v>
      </c>
      <c r="B12741" s="4" t="s">
        <v>16033</v>
      </c>
      <c r="C12741" s="5" t="str">
        <f>IFERROR(__xludf.DUMMYFUNCTION("GOOGLETRANSLATE(B12741,""en"",""fr"")"),"Deux petits enfants comme on voit assis à une table en riant les uns avec les autres.")</f>
        <v>Deux petits enfants comme on voit assis à une table en riant les uns avec les autres.</v>
      </c>
    </row>
    <row r="12742">
      <c r="A12742" s="4" t="s">
        <v>16032</v>
      </c>
      <c r="B12742" s="4" t="s">
        <v>16034</v>
      </c>
      <c r="C12742" s="5" t="str">
        <f>IFERROR(__xludf.DUMMYFUNCTION("GOOGLETRANSLATE(B12742,""en"",""fr"")"),"Une fille est vue en train de peindre les ongles d'un autre pendant qu'elle regarde au loin.")</f>
        <v>Une fille est vue en train de peindre les ongles d'un autre pendant qu'elle regarde au loin.</v>
      </c>
    </row>
    <row r="12743">
      <c r="A12743" s="4" t="s">
        <v>16032</v>
      </c>
      <c r="B12743" s="4" t="s">
        <v>16035</v>
      </c>
      <c r="C12743" s="5" t="str">
        <f>IFERROR(__xludf.DUMMYFUNCTION("GOOGLETRANSLATE(B12743,""en"",""fr"")"),"La fille continue de peindre les ongles des autres pendant qu'elle rit dans la caméra.")</f>
        <v>La fille continue de peindre les ongles des autres pendant qu'elle rit dans la caméra.</v>
      </c>
    </row>
    <row r="12744">
      <c r="A12744" s="4" t="s">
        <v>16036</v>
      </c>
      <c r="B12744" s="4" t="s">
        <v>16037</v>
      </c>
      <c r="C12744" s="5" t="str">
        <f>IFERROR(__xludf.DUMMYFUNCTION("GOOGLETRANSLATE(B12744,""en"",""fr"")"),"Une personne prend un couteau et coupe les extrémités d'une pomme de terre, puis la personne décolle la pomme de terre.")</f>
        <v>Une personne prend un couteau et coupe les extrémités d'une pomme de terre, puis la personne décolle la pomme de terre.</v>
      </c>
    </row>
    <row r="12745">
      <c r="A12745" s="4" t="s">
        <v>16036</v>
      </c>
      <c r="B12745" s="4" t="s">
        <v>16038</v>
      </c>
      <c r="C12745" s="5" t="str">
        <f>IFERROR(__xludf.DUMMYFUNCTION("GOOGLETRANSLATE(B12745,""en"",""fr"")"),"Après, la personne a coupé la pomme de terre en carrés.")</f>
        <v>Après, la personne a coupé la pomme de terre en carrés.</v>
      </c>
    </row>
    <row r="12746">
      <c r="A12746" s="4" t="s">
        <v>16039</v>
      </c>
      <c r="B12746" s="4" t="s">
        <v>16040</v>
      </c>
      <c r="C12746" s="5" t="str">
        <f>IFERROR(__xludf.DUMMYFUNCTION("GOOGLETRANSLATE(B12746,""en"",""fr"")"),"Nous voyons une scène d'ouverture rose.")</f>
        <v>Nous voyons une scène d'ouverture rose.</v>
      </c>
    </row>
    <row r="12747">
      <c r="A12747" s="4" t="s">
        <v>16039</v>
      </c>
      <c r="B12747" s="4" t="s">
        <v>16041</v>
      </c>
      <c r="C12747" s="5" t="str">
        <f>IFERROR(__xludf.DUMMYFUNCTION("GOOGLETRANSLATE(B12747,""en"",""fr"")"),"Une dame monte les escaliers et les gens sont rassemblés dans une place à l'extérieur.")</f>
        <v>Une dame monte les escaliers et les gens sont rassemblés dans une place à l'extérieur.</v>
      </c>
    </row>
    <row r="12748">
      <c r="A12748" s="4" t="s">
        <v>16039</v>
      </c>
      <c r="B12748" s="4" t="s">
        <v>16042</v>
      </c>
      <c r="C12748" s="5" t="str">
        <f>IFERROR(__xludf.DUMMYFUNCTION("GOOGLETRANSLATE(B12748,""en"",""fr"")"),"Nous voyons une bannière de course et des gens se déplacer sous la bannière.")</f>
        <v>Nous voyons une bannière de course et des gens se déplacer sous la bannière.</v>
      </c>
    </row>
    <row r="12749">
      <c r="A12749" s="4" t="s">
        <v>16039</v>
      </c>
      <c r="B12749" s="4" t="s">
        <v>16043</v>
      </c>
      <c r="C12749" s="5" t="str">
        <f>IFERROR(__xludf.DUMMYFUNCTION("GOOGLETRANSLATE(B12749,""en"",""fr"")"),"Les coureurs courent dans une rue de la ville dans un marathon.")</f>
        <v>Les coureurs courent dans une rue de la ville dans un marathon.</v>
      </c>
    </row>
    <row r="12750">
      <c r="A12750" s="4" t="s">
        <v>16039</v>
      </c>
      <c r="B12750" s="4" t="s">
        <v>16044</v>
      </c>
      <c r="C12750" s="5" t="str">
        <f>IFERROR(__xludf.DUMMYFUNCTION("GOOGLETRANSLATE(B12750,""en"",""fr"")"),"Nous voyons une structure de type stade A KM 8.")</f>
        <v>Nous voyons une structure de type stade A KM 8.</v>
      </c>
    </row>
    <row r="12751">
      <c r="A12751" s="4" t="s">
        <v>16039</v>
      </c>
      <c r="B12751" s="4" t="s">
        <v>16045</v>
      </c>
      <c r="C12751" s="5" t="str">
        <f>IFERROR(__xludf.DUMMYFUNCTION("GOOGLETRANSLATE(B12751,""en"",""fr"")"),"Nous voyons une fontaine pulvériser de l'eau.")</f>
        <v>Nous voyons une fontaine pulvériser de l'eau.</v>
      </c>
    </row>
    <row r="12752">
      <c r="A12752" s="4" t="s">
        <v>16039</v>
      </c>
      <c r="B12752" s="4" t="s">
        <v>16046</v>
      </c>
      <c r="C12752" s="5" t="str">
        <f>IFERROR(__xludf.DUMMYFUNCTION("GOOGLETRANSLATE(B12752,""en"",""fr"")"),"Un groupe Mariachi est assis sur le trottoir en jouant de la musique suivie de batteurs.")</f>
        <v>Un groupe Mariachi est assis sur le trottoir en jouant de la musique suivie de batteurs.</v>
      </c>
    </row>
    <row r="12753">
      <c r="A12753" s="4" t="s">
        <v>16039</v>
      </c>
      <c r="B12753" s="4" t="s">
        <v>16047</v>
      </c>
      <c r="C12753" s="5" t="str">
        <f>IFERROR(__xludf.DUMMYFUNCTION("GOOGLETRANSLATE(B12753,""en"",""fr"")"),"Nous voyons la fin et une tasse de café et une médaille.")</f>
        <v>Nous voyons la fin et une tasse de café et une médaille.</v>
      </c>
    </row>
    <row r="12754">
      <c r="A12754" s="4" t="s">
        <v>16039</v>
      </c>
      <c r="B12754" s="4" t="s">
        <v>16048</v>
      </c>
      <c r="C12754" s="5" t="str">
        <f>IFERROR(__xludf.DUMMYFUNCTION("GOOGLETRANSLATE(B12754,""en"",""fr"")"),"Une photo de lady fait l'objet de sa photo avec le groupe Mariachi.")</f>
        <v>Une photo de lady fait l'objet de sa photo avec le groupe Mariachi.</v>
      </c>
    </row>
    <row r="12755">
      <c r="A12755" s="4" t="s">
        <v>16039</v>
      </c>
      <c r="B12755" s="4" t="s">
        <v>1998</v>
      </c>
      <c r="C12755" s="5" t="str">
        <f>IFERROR(__xludf.DUMMYFUNCTION("GOOGLETRANSLATE(B12755,""en"",""fr"")"),"L'écran du titre de fin est affiché.")</f>
        <v>L'écran du titre de fin est affiché.</v>
      </c>
    </row>
    <row r="12756">
      <c r="A12756" s="4" t="s">
        <v>16049</v>
      </c>
      <c r="B12756" s="4" t="s">
        <v>16050</v>
      </c>
      <c r="C12756" s="5" t="str">
        <f>IFERROR(__xludf.DUMMYFUNCTION("GOOGLETRANSLATE(B12756,""en"",""fr"")"),"Il y a une fille qui parle de la joie, de la gymnastique et du culbutage.")</f>
        <v>Il y a une fille qui parle de la joie, de la gymnastique et du culbutage.</v>
      </c>
    </row>
    <row r="12757">
      <c r="A12757" s="4" t="s">
        <v>16049</v>
      </c>
      <c r="B12757" s="4" t="s">
        <v>16051</v>
      </c>
      <c r="C12757" s="5" t="str">
        <f>IFERROR(__xludf.DUMMYFUNCTION("GOOGLETRANSLATE(B12757,""en"",""fr"")"),"Elle montre comment faire des sautsauts, des roues de charrette, un randonnée à l'arrière et à l'avant.")</f>
        <v>Elle montre comment faire des sautsauts, des roues de charrette, un randonnée à l'arrière et à l'avant.</v>
      </c>
    </row>
    <row r="12758">
      <c r="A12758" s="4" t="s">
        <v>16049</v>
      </c>
      <c r="B12758" s="4" t="s">
        <v>16052</v>
      </c>
      <c r="C12758" s="5" t="str">
        <f>IFERROR(__xludf.DUMMYFUNCTION("GOOGLETRANSLATE(B12758,""en"",""fr"")"),"Elle montre également divers autres mouvements comme Aerial, tic-toc et Back Handspring.")</f>
        <v>Elle montre également divers autres mouvements comme Aerial, tic-toc et Back Handspring.</v>
      </c>
    </row>
    <row r="12759">
      <c r="A12759" s="4" t="s">
        <v>16049</v>
      </c>
      <c r="B12759" s="6" t="s">
        <v>16053</v>
      </c>
      <c r="C12759" s="5" t="str">
        <f>IFERROR(__xludf.DUMMYFUNCTION("GOOGLETRANSLATE(B12759,""en"",""fr"")"),"Elle continue de démontrer plusieurs autres mouvements de gymnastique en déplaçant rapidement son corps à travers des retournements avant.")</f>
        <v>Elle continue de démontrer plusieurs autres mouvements de gymnastique en déplaçant rapidement son corps à travers des retournements avant.</v>
      </c>
    </row>
    <row r="12760">
      <c r="A12760" s="4" t="s">
        <v>16054</v>
      </c>
      <c r="B12760" s="6" t="s">
        <v>16055</v>
      </c>
      <c r="C12760" s="5" t="str">
        <f>IFERROR(__xludf.DUMMYFUNCTION("GOOGLETRANSLATE(B12760,""en"",""fr"")"),"Un homme en veste brun sort une flèche de la carte cible, puis il parlait à la caméra, puis il sortit son arc et commença à l'utiliser avec son arc pour frapper la carte cible, il a tiré ses arcs plusieurs fois.")</f>
        <v>Un homme en veste brun sort une flèche de la carte cible, puis il parlait à la caméra, puis il sortit son arc et commença à l'utiliser avec son arc pour frapper la carte cible, il a tiré ses arcs plusieurs fois.</v>
      </c>
    </row>
    <row r="12761">
      <c r="A12761" s="4" t="s">
        <v>16054</v>
      </c>
      <c r="B12761" s="4" t="s">
        <v>16056</v>
      </c>
      <c r="C12761" s="5" t="str">
        <f>IFERROR(__xludf.DUMMYFUNCTION("GOOGLETRANSLATE(B12761,""en"",""fr"")"),"L'homme est allé au tableau cible et a parlé à la caméra.")</f>
        <v>L'homme est allé au tableau cible et a parlé à la caméra.</v>
      </c>
    </row>
    <row r="12762">
      <c r="A12762" s="4" t="s">
        <v>16057</v>
      </c>
      <c r="B12762" s="6" t="s">
        <v>16058</v>
      </c>
      <c r="C12762" s="5" t="str">
        <f>IFERROR(__xludf.DUMMYFUNCTION("GOOGLETRANSLATE(B12762,""en"",""fr"")"),"Un garçon est montré se balançant sur un équipement de gymnastique avec d'autres qui s'entraînent en arrière-plan.")</f>
        <v>Un garçon est montré se balançant sur un équipement de gymnastique avec d'autres qui s'entraînent en arrière-plan.</v>
      </c>
    </row>
    <row r="12763">
      <c r="A12763" s="4" t="s">
        <v>16057</v>
      </c>
      <c r="B12763" s="6" t="s">
        <v>16059</v>
      </c>
      <c r="C12763" s="5" t="str">
        <f>IFERROR(__xludf.DUMMYFUNCTION("GOOGLETRANSLATE(B12763,""en"",""fr"")"),"La caméra montre plusieurs plans de différents garçons se balançant sur l'équipement autour et autour avec la caméra qui se dirige vers différents angles.")</f>
        <v>La caméra montre plusieurs plans de différents garçons se balançant sur l'équipement autour et autour avec la caméra qui se dirige vers différents angles.</v>
      </c>
    </row>
    <row r="12764">
      <c r="A12764" s="4" t="s">
        <v>16060</v>
      </c>
      <c r="B12764" s="4" t="s">
        <v>16061</v>
      </c>
      <c r="C12764" s="5" t="str">
        <f>IFERROR(__xludf.DUMMYFUNCTION("GOOGLETRANSLATE(B12764,""en"",""fr"")"),"Un homme et une femme sont vus debout sur une piste de bowling avec une autre lecture au loin.")</f>
        <v>Un homme et une femme sont vus debout sur une piste de bowling avec une autre lecture au loin.</v>
      </c>
    </row>
    <row r="12765">
      <c r="A12765" s="4" t="s">
        <v>16060</v>
      </c>
      <c r="B12765" s="4" t="s">
        <v>16062</v>
      </c>
      <c r="C12765" s="5" t="str">
        <f>IFERROR(__xludf.DUMMYFUNCTION("GOOGLETRANSLATE(B12765,""en"",""fr"")"),"Une femme entre et parle à la femme blonde et lui tend quelques chaussures de bowling.")</f>
        <v>Une femme entre et parle à la femme blonde et lui tend quelques chaussures de bowling.</v>
      </c>
    </row>
    <row r="12766">
      <c r="A12766" s="4" t="s">
        <v>16060</v>
      </c>
      <c r="B12766" s="4" t="s">
        <v>16063</v>
      </c>
      <c r="C12766" s="5" t="str">
        <f>IFERROR(__xludf.DUMMYFUNCTION("GOOGLETRANSLATE(B12766,""en"",""fr"")"),"L'homme parle et la fille lance la boule de bowling avec ses talons.")</f>
        <v>L'homme parle et la fille lance la boule de bowling avec ses talons.</v>
      </c>
    </row>
    <row r="12767">
      <c r="A12767" s="4" t="s">
        <v>16064</v>
      </c>
      <c r="B12767" s="4" t="s">
        <v>16065</v>
      </c>
      <c r="C12767" s="5" t="str">
        <f>IFERROR(__xludf.DUMMYFUNCTION("GOOGLETRANSLATE(B12767,""en"",""fr"")"),"Le lanceur jette le ballon au frappeur en jouant à Criquet.")</f>
        <v>Le lanceur jette le ballon au frappeur en jouant à Criquet.</v>
      </c>
    </row>
    <row r="12768">
      <c r="A12768" s="4" t="s">
        <v>16064</v>
      </c>
      <c r="B12768" s="4" t="s">
        <v>16066</v>
      </c>
      <c r="C12768" s="5" t="str">
        <f>IFERROR(__xludf.DUMMYFUNCTION("GOOGLETRANSLATE(B12768,""en"",""fr"")"),"Le frappeur se soumet avec l'homme et d'autres personnes essaient de le calmer.")</f>
        <v>Le frappeur se soumet avec l'homme et d'autres personnes essaient de le calmer.</v>
      </c>
    </row>
    <row r="12769">
      <c r="A12769" s="4" t="s">
        <v>16064</v>
      </c>
      <c r="B12769" s="4" t="s">
        <v>16067</v>
      </c>
      <c r="C12769" s="5" t="str">
        <f>IFERROR(__xludf.DUMMYFUNCTION("GOOGLETRANSLATE(B12769,""en"",""fr"")"),"Une lo de personnes portant des unifroms noirs coule dans le combat.")</f>
        <v>Une lo de personnes portant des unifroms noirs coule dans le combat.</v>
      </c>
    </row>
    <row r="12770">
      <c r="A12770" s="4" t="s">
        <v>16068</v>
      </c>
      <c r="B12770" s="6" t="s">
        <v>16069</v>
      </c>
      <c r="C12770" s="5" t="str">
        <f>IFERROR(__xludf.DUMMYFUNCTION("GOOGLETRANSLATE(B12770,""en"",""fr"")"),"Diverses femmes sont vues se promener avec des pots de tir entre leurs mains, suivis de plus de coups d'athlètes se promenant, lançant le ballon et agitant vers la foule.")</f>
        <v>Diverses femmes sont vues se promener avec des pots de tir entre leurs mains, suivis de plus de coups d'athlètes se promenant, lançant le ballon et agitant vers la foule.</v>
      </c>
    </row>
    <row r="12771">
      <c r="A12771" s="4" t="s">
        <v>16068</v>
      </c>
      <c r="B12771" s="6" t="s">
        <v>16070</v>
      </c>
      <c r="C12771" s="5" t="str">
        <f>IFERROR(__xludf.DUMMYFUNCTION("GOOGLETRANSLATE(B12771,""en"",""fr"")"),"La vidéo continue avec plusieurs plans différents d'athlètes féminines lançant des puts de tir ainsi que des applaudissements sur la foule et se déplaçant.")</f>
        <v>La vidéo continue avec plusieurs plans différents d'athlètes féminines lançant des puts de tir ainsi que des applaudissements sur la foule et se déplaçant.</v>
      </c>
    </row>
    <row r="12772">
      <c r="A12772" s="4" t="s">
        <v>16071</v>
      </c>
      <c r="B12772" s="6" t="s">
        <v>16072</v>
      </c>
      <c r="C12772" s="5" t="str">
        <f>IFERROR(__xludf.DUMMYFUNCTION("GOOGLETRANSLATE(B12772,""en"",""fr"")"),"Deux hommes jouent des cornemusets, tout en étant photographiés lors d'une cérémonie militaire et de police en plein air avec un conférencier sur un podium entouré d'hommes en uniforme et devant un public officiellement assis.")</f>
        <v>Deux hommes jouent des cornemusets, tout en étant photographiés lors d'une cérémonie militaire et de police en plein air avec un conférencier sur un podium entouré d'hommes en uniforme et devant un public officiellement assis.</v>
      </c>
    </row>
    <row r="12773">
      <c r="A12773" s="4" t="s">
        <v>16071</v>
      </c>
      <c r="B12773" s="6" t="s">
        <v>16073</v>
      </c>
      <c r="C12773" s="5" t="str">
        <f>IFERROR(__xludf.DUMMYFUNCTION("GOOGLETRANSLATE(B12773,""en"",""fr"")"),"Deux hommes jouent des cornemusets devant une rangée de policiers et un homme en uniforme militaire, le tout en tant que photographe prend leur photo ci-dessous.")</f>
        <v>Deux hommes jouent des cornemusets devant une rangée de policiers et un homme en uniforme militaire, le tout en tant que photographe prend leur photo ci-dessous.</v>
      </c>
    </row>
    <row r="12774">
      <c r="A12774" s="4" t="s">
        <v>16071</v>
      </c>
      <c r="B12774" s="6" t="s">
        <v>16074</v>
      </c>
      <c r="C12774" s="5" t="str">
        <f>IFERROR(__xludf.DUMMYFUNCTION("GOOGLETRANSLATE(B12774,""en"",""fr"")"),"L'appareil photo se déroule à un homme en costume debout sur un podium devant un groupe de personnes qui se tiennent avec les rangées de personnes en uniforme derrière le haut-parleur.")</f>
        <v>L'appareil photo se déroule à un homme en costume debout sur un podium devant un groupe de personnes qui se tiennent avec les rangées de personnes en uniforme derrière le haut-parleur.</v>
      </c>
    </row>
    <row r="12775">
      <c r="A12775" s="4" t="s">
        <v>16071</v>
      </c>
      <c r="B12775" s="6" t="s">
        <v>16075</v>
      </c>
      <c r="C12775" s="5" t="str">
        <f>IFERROR(__xludf.DUMMYFUNCTION("GOOGLETRANSLATE(B12775,""en"",""fr"")"),"La caméra passe ensuite à trois avions militaires volant au-dessus dans le cadre de la cérémonie avant de retourner au peuple, qui se tient debout, devant l'homme au podium.")</f>
        <v>La caméra passe ensuite à trois avions militaires volant au-dessus dans le cadre de la cérémonie avant de retourner au peuple, qui se tient debout, devant l'homme au podium.</v>
      </c>
    </row>
    <row r="12776">
      <c r="A12776" s="4" t="s">
        <v>16076</v>
      </c>
      <c r="B12776" s="6" t="s">
        <v>16077</v>
      </c>
      <c r="C12776" s="5" t="str">
        <f>IFERROR(__xludf.DUMMYFUNCTION("GOOGLETRANSLATE(B12776,""en"",""fr"")"),"Des photos de personnes debout sur les côtés sont montrées ainsi qu'un groupe de filles jouant du remorqueur les uns avec les autres.")</f>
        <v>Des photos de personnes debout sur les côtés sont montrées ainsi qu'un groupe de filles jouant du remorqueur les uns avec les autres.</v>
      </c>
    </row>
    <row r="12777">
      <c r="A12777" s="4" t="s">
        <v>16076</v>
      </c>
      <c r="B12777" s="6" t="s">
        <v>16078</v>
      </c>
      <c r="C12777" s="5" t="str">
        <f>IFERROR(__xludf.DUMMYFUNCTION("GOOGLETRANSLATE(B12777,""en"",""fr"")"),"Plusieurs autres tirs sont montrés des filles jouant du remorqueur les unes contre les autres pendant que les gens célèbrent sur les côtés ainsi qu'avec leurs coéquipiers.")</f>
        <v>Plusieurs autres tirs sont montrés des filles jouant du remorqueur les unes contre les autres pendant que les gens célèbrent sur les côtés ainsi qu'avec leurs coéquipiers.</v>
      </c>
    </row>
    <row r="12778">
      <c r="A12778" s="4" t="s">
        <v>16079</v>
      </c>
      <c r="B12778" s="4" t="s">
        <v>16080</v>
      </c>
      <c r="C12778" s="5" t="str">
        <f>IFERROR(__xludf.DUMMYFUNCTION("GOOGLETRANSLATE(B12778,""en"",""fr"")"),"Un homme portant des gants est sur ses mains et ses genoux à l'aide d'un outil électrique qui crée des étincelles.")</f>
        <v>Un homme portant des gants est sur ses mains et ses genoux à l'aide d'un outil électrique qui crée des étincelles.</v>
      </c>
    </row>
    <row r="12779">
      <c r="A12779" s="4" t="s">
        <v>16079</v>
      </c>
      <c r="B12779" s="4" t="s">
        <v>16081</v>
      </c>
      <c r="C12779" s="5" t="str">
        <f>IFERROR(__xludf.DUMMYFUNCTION("GOOGLETRANSLATE(B12779,""en"",""fr"")"),"Il continue en utilisant l'objet pendant que le caméra regarde et termine en brûlant l'objet.")</f>
        <v>Il continue en utilisant l'objet pendant que le caméra regarde et termine en brûlant l'objet.</v>
      </c>
    </row>
    <row r="12780">
      <c r="A12780" s="4" t="s">
        <v>16082</v>
      </c>
      <c r="B12780" s="4" t="s">
        <v>16083</v>
      </c>
      <c r="C12780" s="5" t="str">
        <f>IFERROR(__xludf.DUMMYFUNCTION("GOOGLETRANSLATE(B12780,""en"",""fr"")"),"Le garçon se tient devant une porte qui parle avec d'autres garçons devant une cuisine.")</f>
        <v>Le garçon se tient devant une porte qui parle avec d'autres garçons devant une cuisine.</v>
      </c>
    </row>
    <row r="12781">
      <c r="A12781" s="4" t="s">
        <v>16082</v>
      </c>
      <c r="B12781" s="4" t="s">
        <v>16084</v>
      </c>
      <c r="C12781" s="5" t="str">
        <f>IFERROR(__xludf.DUMMYFUNCTION("GOOGLETRANSLATE(B12781,""en"",""fr"")"),"L'homme se dirige vers le salon devant une table de ping-pong.")</f>
        <v>L'homme se dirige vers le salon devant une table de ping-pong.</v>
      </c>
    </row>
    <row r="12782">
      <c r="A12782" s="4" t="s">
        <v>16082</v>
      </c>
      <c r="B12782" s="6" t="s">
        <v>16085</v>
      </c>
      <c r="C12782" s="5" t="str">
        <f>IFERROR(__xludf.DUMMYFUNCTION("GOOGLETRANSLATE(B12782,""en"",""fr"")"),"L'homme met les chaussures, attrape une planche à roulettes et se fait du skateboard par un trottoir avec ses amis.")</f>
        <v>L'homme met les chaussures, attrape une planche à roulettes et se fait du skateboard par un trottoir avec ses amis.</v>
      </c>
    </row>
    <row r="12783">
      <c r="A12783" s="4" t="s">
        <v>16082</v>
      </c>
      <c r="B12783" s="4" t="s">
        <v>16086</v>
      </c>
      <c r="C12783" s="5" t="str">
        <f>IFERROR(__xludf.DUMMYFUNCTION("GOOGLETRANSLATE(B12783,""en"",""fr"")"),"L'homme est suspendu à des lianes sur un arbre sur un parc.")</f>
        <v>L'homme est suspendu à des lianes sur un arbre sur un parc.</v>
      </c>
    </row>
    <row r="12784">
      <c r="A12784" s="4" t="s">
        <v>16087</v>
      </c>
      <c r="B12784" s="4" t="s">
        <v>16088</v>
      </c>
      <c r="C12784" s="5" t="str">
        <f>IFERROR(__xludf.DUMMYFUNCTION("GOOGLETRANSLATE(B12784,""en"",""fr"")"),"Un enfant est debout avec des hommes à un lifting, vêtu d'un équipement de ski.")</f>
        <v>Un enfant est debout avec des hommes à un lifting, vêtu d'un équipement de ski.</v>
      </c>
    </row>
    <row r="12785">
      <c r="A12785" s="4" t="s">
        <v>16087</v>
      </c>
      <c r="B12785" s="4" t="s">
        <v>16089</v>
      </c>
      <c r="C12785" s="5" t="str">
        <f>IFERROR(__xludf.DUMMYFUNCTION("GOOGLETRANSLATE(B12785,""en"",""fr"")"),"Le garçon skie sur une colline, mais tombe.")</f>
        <v>Le garçon skie sur une colline, mais tombe.</v>
      </c>
    </row>
    <row r="12786">
      <c r="A12786" s="4" t="s">
        <v>16087</v>
      </c>
      <c r="B12786" s="4" t="s">
        <v>16090</v>
      </c>
      <c r="C12786" s="5" t="str">
        <f>IFERROR(__xludf.DUMMYFUNCTION("GOOGLETRANSLATE(B12786,""en"",""fr"")"),"Il est ensuite montré en faisant un retournement dans les airs, suivi de plusieurs rampes et tournant.")</f>
        <v>Il est ensuite montré en faisant un retournement dans les airs, suivi de plusieurs rampes et tournant.</v>
      </c>
    </row>
    <row r="12787">
      <c r="A12787" s="4" t="s">
        <v>16087</v>
      </c>
      <c r="B12787" s="4" t="s">
        <v>16091</v>
      </c>
      <c r="C12787" s="5" t="str">
        <f>IFERROR(__xludf.DUMMYFUNCTION("GOOGLETRANSLATE(B12787,""en"",""fr"")"),"Quand ils ont fini, ils entrent dans un bâtiment.")</f>
        <v>Quand ils ont fini, ils entrent dans un bâtiment.</v>
      </c>
    </row>
    <row r="12788">
      <c r="A12788" s="4" t="s">
        <v>16092</v>
      </c>
      <c r="B12788" s="6" t="s">
        <v>16093</v>
      </c>
      <c r="C12788" s="5" t="str">
        <f>IFERROR(__xludf.DUMMYFUNCTION("GOOGLETRANSLATE(B12788,""en"",""fr"")"),"On montre que divers groupes d'hommes conduisent à un homme portant un uniforme et parle à la caméra.")</f>
        <v>On montre que divers groupes d'hommes conduisent à un homme portant un uniforme et parle à la caméra.</v>
      </c>
    </row>
    <row r="12789">
      <c r="A12789" s="4" t="s">
        <v>16092</v>
      </c>
      <c r="B12789" s="4" t="s">
        <v>16094</v>
      </c>
      <c r="C12789" s="5" t="str">
        <f>IFERROR(__xludf.DUMMYFUNCTION("GOOGLETRANSLATE(B12789,""en"",""fr"")"),"Il conduit ensuite un groupe de personnes à jouer un instrument tous ensemble pendant que la caméra se déroule.")</f>
        <v>Il conduit ensuite un groupe de personnes à jouer un instrument tous ensemble pendant que la caméra se déroule.</v>
      </c>
    </row>
    <row r="12790">
      <c r="A12790" s="4" t="s">
        <v>16095</v>
      </c>
      <c r="B12790" s="4" t="s">
        <v>16096</v>
      </c>
      <c r="C12790" s="5" t="str">
        <f>IFERROR(__xludf.DUMMYFUNCTION("GOOGLETRANSLATE(B12790,""en"",""fr"")"),"Un homme est vu debout devant un évier le frottant avec une éponge.")</f>
        <v>Un homme est vu debout devant un évier le frottant avec une éponge.</v>
      </c>
    </row>
    <row r="12791">
      <c r="A12791" s="4" t="s">
        <v>16095</v>
      </c>
      <c r="B12791" s="4" t="s">
        <v>16097</v>
      </c>
      <c r="C12791" s="5" t="str">
        <f>IFERROR(__xludf.DUMMYFUNCTION("GOOGLETRANSLATE(B12791,""en"",""fr"")"),"L'homme continue d'essuyer le comptoir tout en regardant occasionnellement la caméra.")</f>
        <v>L'homme continue d'essuyer le comptoir tout en regardant occasionnellement la caméra.</v>
      </c>
    </row>
    <row r="12792">
      <c r="A12792" s="4" t="s">
        <v>16098</v>
      </c>
      <c r="B12792" s="4" t="s">
        <v>16099</v>
      </c>
      <c r="C12792" s="5" t="str">
        <f>IFERROR(__xludf.DUMMYFUNCTION("GOOGLETRANSLATE(B12792,""en"",""fr"")"),"Plusieurs hommes jouent au football en salle.")</f>
        <v>Plusieurs hommes jouent au football en salle.</v>
      </c>
    </row>
    <row r="12793">
      <c r="A12793" s="4" t="s">
        <v>16098</v>
      </c>
      <c r="B12793" s="4" t="s">
        <v>16100</v>
      </c>
      <c r="C12793" s="5" t="str">
        <f>IFERROR(__xludf.DUMMYFUNCTION("GOOGLETRANSLATE(B12793,""en"",""fr"")"),"Une grande foule regarde depuis les tribunes.")</f>
        <v>Une grande foule regarde depuis les tribunes.</v>
      </c>
    </row>
    <row r="12794">
      <c r="A12794" s="4" t="s">
        <v>16098</v>
      </c>
      <c r="B12794" s="6" t="s">
        <v>16101</v>
      </c>
      <c r="C12794" s="5" t="str">
        <f>IFERROR(__xludf.DUMMYFUNCTION("GOOGLETRANSLATE(B12794,""en"",""fr"")"),"Un homme portant le jaune donne le ballon dans le but et célèbre avec son équipe avant qu'une rediffusion de son objectif ne soit montré.")</f>
        <v>Un homme portant le jaune donne le ballon dans le but et célèbre avec son équipe avant qu'une rediffusion de son objectif ne soit montré.</v>
      </c>
    </row>
    <row r="12795">
      <c r="A12795" s="4" t="s">
        <v>16098</v>
      </c>
      <c r="B12795" s="6" t="s">
        <v>16102</v>
      </c>
      <c r="C12795" s="5" t="str">
        <f>IFERROR(__xludf.DUMMYFUNCTION("GOOGLETRANSLATE(B12795,""en"",""fr"")"),"Le jeu se poursuit et deux hommes se renversent avant que l'équipe rouge marque un but et qu'une rediffusion soit affichée.")</f>
        <v>Le jeu se poursuit et deux hommes se renversent avant que l'équipe rouge marque un but et qu'une rediffusion soit affichée.</v>
      </c>
    </row>
    <row r="12796">
      <c r="A12796" s="4" t="s">
        <v>16098</v>
      </c>
      <c r="B12796" s="6" t="s">
        <v>16103</v>
      </c>
      <c r="C12796" s="5" t="str">
        <f>IFERROR(__xludf.DUMMYFUNCTION("GOOGLETRANSLATE(B12796,""en"",""fr"")"),"L'équipe jaune essaie de marquer et est bloquée plusieurs fois avant de finalement marquer et une rediffusion de cet objectif est montrée deux fois.")</f>
        <v>L'équipe jaune essaie de marquer et est bloquée plusieurs fois avant de finalement marquer et une rediffusion de cet objectif est montrée deux fois.</v>
      </c>
    </row>
    <row r="12797">
      <c r="A12797" s="4" t="s">
        <v>16098</v>
      </c>
      <c r="B12797" s="4" t="s">
        <v>16104</v>
      </c>
      <c r="C12797" s="5" t="str">
        <f>IFERROR(__xludf.DUMMYFUNCTION("GOOGLETRANSLATE(B12797,""en"",""fr"")"),"Le jeu se poursuit jusqu'à ce que l'équipe rouge marque.")</f>
        <v>Le jeu se poursuit jusqu'à ce que l'équipe rouge marque.</v>
      </c>
    </row>
    <row r="12798">
      <c r="A12798" s="4" t="s">
        <v>16098</v>
      </c>
      <c r="B12798" s="6" t="s">
        <v>16105</v>
      </c>
      <c r="C12798" s="5" t="str">
        <f>IFERROR(__xludf.DUMMYFUNCTION("GOOGLETRANSLATE(B12798,""en"",""fr"")"),"Un homme de chaque équipe lance le ballon au but, chaque homme obtient le ballon dans le filet et il revient.")</f>
        <v>Un homme de chaque équipe lance le ballon au but, chaque homme obtient le ballon dans le filet et il revient.</v>
      </c>
    </row>
    <row r="12799">
      <c r="A12799" s="4" t="s">
        <v>16098</v>
      </c>
      <c r="B12799" s="4" t="s">
        <v>16106</v>
      </c>
      <c r="C12799" s="5" t="str">
        <f>IFERROR(__xludf.DUMMYFUNCTION("GOOGLETRANSLATE(B12799,""en"",""fr"")"),"La même chose se produit pour un autre homme de chaque équipe.")</f>
        <v>La même chose se produit pour un autre homme de chaque équipe.</v>
      </c>
    </row>
    <row r="12800">
      <c r="A12800" s="4" t="s">
        <v>16098</v>
      </c>
      <c r="B12800" s="4" t="s">
        <v>16107</v>
      </c>
      <c r="C12800" s="5" t="str">
        <f>IFERROR(__xludf.DUMMYFUNCTION("GOOGLETRANSLATE(B12800,""en"",""fr"")"),"Lorsque le prochain membre de l'équipe rouge donne un coup de pied, le gardien de but bloque le ballon.")</f>
        <v>Lorsque le prochain membre de l'équipe rouge donne un coup de pied, le gardien de but bloque le ballon.</v>
      </c>
    </row>
    <row r="12801">
      <c r="A12801" s="4" t="s">
        <v>16098</v>
      </c>
      <c r="B12801" s="4" t="s">
        <v>16108</v>
      </c>
      <c r="C12801" s="5" t="str">
        <f>IFERROR(__xludf.DUMMYFUNCTION("GOOGLETRANSLATE(B12801,""en"",""fr"")"),"Un autre homme de chaque équipe marque avant que le gardien de but ne bloque une balle lancée par un homme en jaune.")</f>
        <v>Un autre homme de chaque équipe marque avant que le gardien de but ne bloque une balle lancée par un homme en jaune.</v>
      </c>
    </row>
    <row r="12802">
      <c r="A12802" s="4" t="s">
        <v>16098</v>
      </c>
      <c r="B12802" s="6" t="s">
        <v>16109</v>
      </c>
      <c r="C12802" s="5" t="str">
        <f>IFERROR(__xludf.DUMMYFUNCTION("GOOGLETRANSLATE(B12802,""en"",""fr"")"),"Une autre balle de Thew Red Team est bloquée et deux hommes des lignes de touche en costumes sautent et courent sur le terrain et serrent la main avec quelques joueurs.")</f>
        <v>Une autre balle de Thew Red Team est bloquée et deux hommes des lignes de touche en costumes sautent et courent sur le terrain et serrent la main avec quelques joueurs.</v>
      </c>
    </row>
    <row r="12803">
      <c r="A12803" s="4" t="s">
        <v>16098</v>
      </c>
      <c r="B12803" s="4" t="s">
        <v>16110</v>
      </c>
      <c r="C12803" s="5" t="str">
        <f>IFERROR(__xludf.DUMMYFUNCTION("GOOGLETRANSLATE(B12803,""en"",""fr"")"),"Les joueurs célèbrent certains suivis d'une caméra.")</f>
        <v>Les joueurs célèbrent certains suivis d'une caméra.</v>
      </c>
    </row>
    <row r="12804">
      <c r="A12804" s="4" t="s">
        <v>16098</v>
      </c>
      <c r="B12804" s="6" t="s">
        <v>16111</v>
      </c>
      <c r="C12804" s="5" t="str">
        <f>IFERROR(__xludf.DUMMYFUNCTION("GOOGLETRANSLATE(B12804,""en"",""fr"")"),"Les hommes en costume remettent un trophée à un homme en jaune et il le tient au-dessus de sa tête avec tout le monde en arrière-plan célébrant.")</f>
        <v>Les hommes en costume remettent un trophée à un homme en jaune et il le tient au-dessus de sa tête avec tout le monde en arrière-plan célébrant.</v>
      </c>
    </row>
    <row r="12805">
      <c r="A12805" s="4" t="s">
        <v>16112</v>
      </c>
      <c r="B12805" s="4" t="s">
        <v>16113</v>
      </c>
      <c r="C12805" s="5" t="str">
        <f>IFERROR(__xludf.DUMMYFUNCTION("GOOGLETRANSLATE(B12805,""en"",""fr"")"),"Une vue est montrée de la neige escarpée de montagne.")</f>
        <v>Une vue est montrée de la neige escarpée de montagne.</v>
      </c>
    </row>
    <row r="12806">
      <c r="A12806" s="4" t="s">
        <v>16112</v>
      </c>
      <c r="B12806" s="4" t="s">
        <v>16114</v>
      </c>
      <c r="C12806" s="5" t="str">
        <f>IFERROR(__xludf.DUMMYFUNCTION("GOOGLETRANSLATE(B12806,""en"",""fr"")"),"Les skieurs voyagent sur un ascenseur.")</f>
        <v>Les skieurs voyagent sur un ascenseur.</v>
      </c>
    </row>
    <row r="12807">
      <c r="A12807" s="4" t="s">
        <v>16112</v>
      </c>
      <c r="B12807" s="4" t="s">
        <v>16115</v>
      </c>
      <c r="C12807" s="5" t="str">
        <f>IFERROR(__xludf.DUMMYFUNCTION("GOOGLETRANSLATE(B12807,""en"",""fr"")"),"Ils traînent sur la neige sur une colline escarpée.")</f>
        <v>Ils traînent sur la neige sur une colline escarpée.</v>
      </c>
    </row>
    <row r="12808">
      <c r="A12808" s="4" t="s">
        <v>16116</v>
      </c>
      <c r="B12808" s="4" t="s">
        <v>16117</v>
      </c>
      <c r="C12808" s="5" t="str">
        <f>IFERROR(__xludf.DUMMYFUNCTION("GOOGLETRANSLATE(B12808,""en"",""fr"")"),"Un texte qui lit ""la recette de Deeba"" apparaît à l'écran.")</f>
        <v>Un texte qui lit "la recette de Deeba" apparaît à l'écran.</v>
      </c>
    </row>
    <row r="12809">
      <c r="A12809" s="4" t="s">
        <v>16116</v>
      </c>
      <c r="B12809" s="4" t="s">
        <v>16118</v>
      </c>
      <c r="C12809" s="5" t="str">
        <f>IFERROR(__xludf.DUMMYFUNCTION("GOOGLETRANSLATE(B12809,""en"",""fr"")"),"La vidéo coupe ensuite une femme debout derrière une table remplie d'ingrédients de cuisson.")</f>
        <v>La vidéo coupe ensuite une femme debout derrière une table remplie d'ingrédients de cuisson.</v>
      </c>
    </row>
    <row r="12810">
      <c r="A12810" s="4" t="s">
        <v>16116</v>
      </c>
      <c r="B12810" s="4" t="s">
        <v>16119</v>
      </c>
      <c r="C12810" s="5" t="str">
        <f>IFERROR(__xludf.DUMMYFUNCTION("GOOGLETRANSLATE(B12810,""en"",""fr"")"),"Elle parle à la caméra tout en montrant une partie de ce qu'elle a préparé pour le plat.")</f>
        <v>Elle parle à la caméra tout en montrant une partie de ce qu'elle a préparé pour le plat.</v>
      </c>
    </row>
    <row r="12811">
      <c r="A12811" s="4" t="s">
        <v>16116</v>
      </c>
      <c r="B12811" s="4" t="s">
        <v>16120</v>
      </c>
      <c r="C12811" s="5" t="str">
        <f>IFERROR(__xludf.DUMMYFUNCTION("GOOGLETRANSLATE(B12811,""en"",""fr"")"),"Elle place les différents ingrédients dans un bol et le garnit très précisément.")</f>
        <v>Elle place les différents ingrédients dans un bol et le garnit très précisément.</v>
      </c>
    </row>
    <row r="12812">
      <c r="A12812" s="4" t="s">
        <v>16116</v>
      </c>
      <c r="B12812" s="4" t="s">
        <v>16121</v>
      </c>
      <c r="C12812" s="5" t="str">
        <f>IFERROR(__xludf.DUMMYFUNCTION("GOOGLETRANSLATE(B12812,""en"",""fr"")"),"Elle verse ensuite une sauce partout.")</f>
        <v>Elle verse ensuite une sauce partout.</v>
      </c>
    </row>
    <row r="12813">
      <c r="A12813" s="4" t="s">
        <v>16116</v>
      </c>
      <c r="B12813" s="4" t="s">
        <v>16122</v>
      </c>
      <c r="C12813" s="5" t="str">
        <f>IFERROR(__xludf.DUMMYFUNCTION("GOOGLETRANSLATE(B12813,""en"",""fr"")"),"Elle parle ensuite plus à la caméra pour offrir des conseils sur la façon de faire le plat.")</f>
        <v>Elle parle ensuite plus à la caméra pour offrir des conseils sur la façon de faire le plat.</v>
      </c>
    </row>
    <row r="12814">
      <c r="A12814" s="4" t="s">
        <v>16116</v>
      </c>
      <c r="B12814" s="4" t="s">
        <v>16123</v>
      </c>
      <c r="C12814" s="5" t="str">
        <f>IFERROR(__xludf.DUMMYFUNCTION("GOOGLETRANSLATE(B12814,""en"",""fr"")"),"Un autre ensemble de texte montrant à nouveau la recette de ""Deeba"" est affiché.")</f>
        <v>Un autre ensemble de texte montrant à nouveau la recette de "Deeba" est affiché.</v>
      </c>
    </row>
    <row r="12815">
      <c r="A12815" s="4" t="s">
        <v>16124</v>
      </c>
      <c r="B12815" s="4" t="s">
        <v>16125</v>
      </c>
      <c r="C12815" s="5" t="str">
        <f>IFERROR(__xludf.DUMMYFUNCTION("GOOGLETRANSLATE(B12815,""en"",""fr"")"),"Une personne est vue tenant un cadeau enveloppé et commence à envelopper du papier autour d'une boîte.")</f>
        <v>Une personne est vue tenant un cadeau enveloppé et commence à envelopper du papier autour d'une boîte.</v>
      </c>
    </row>
    <row r="12816">
      <c r="A12816" s="4" t="s">
        <v>16124</v>
      </c>
      <c r="B12816" s="4" t="s">
        <v>16126</v>
      </c>
      <c r="C12816" s="5" t="str">
        <f>IFERROR(__xludf.DUMMYFUNCTION("GOOGLETRANSLATE(B12816,""en"",""fr"")"),"La fille le pousse sur les côtés et commence à taper la boîte.")</f>
        <v>La fille le pousse sur les côtés et commence à taper la boîte.</v>
      </c>
    </row>
    <row r="12817">
      <c r="A12817" s="4" t="s">
        <v>16124</v>
      </c>
      <c r="B12817" s="4" t="s">
        <v>16127</v>
      </c>
      <c r="C12817" s="5" t="str">
        <f>IFERROR(__xludf.DUMMYFUNCTION("GOOGLETRANSLATE(B12817,""en"",""fr"")"),"Elle finit de taper tout autour de la boîte et se termine en la présentant à la caméra.")</f>
        <v>Elle finit de taper tout autour de la boîte et se termine en la présentant à la caméra.</v>
      </c>
    </row>
    <row r="12818">
      <c r="A12818" s="4" t="s">
        <v>16128</v>
      </c>
      <c r="B12818" s="4" t="s">
        <v>16129</v>
      </c>
      <c r="C12818" s="5" t="str">
        <f>IFERROR(__xludf.DUMMYFUNCTION("GOOGLETRANSLATE(B12818,""en"",""fr"")"),"L'écran s'ouvre avec une promo ACDC.")</f>
        <v>L'écran s'ouvre avec une promo ACDC.</v>
      </c>
    </row>
    <row r="12819">
      <c r="A12819" s="4" t="s">
        <v>16128</v>
      </c>
      <c r="B12819" s="4" t="s">
        <v>16130</v>
      </c>
      <c r="C12819" s="5" t="str">
        <f>IFERROR(__xludf.DUMMYFUNCTION("GOOGLETRANSLATE(B12819,""en"",""fr"")"),"Un petit garçon parle à la caméra.")</f>
        <v>Un petit garçon parle à la caméra.</v>
      </c>
    </row>
    <row r="12820">
      <c r="A12820" s="4" t="s">
        <v>16128</v>
      </c>
      <c r="B12820" s="4" t="s">
        <v>16131</v>
      </c>
      <c r="C12820" s="5" t="str">
        <f>IFERROR(__xludf.DUMMYFUNCTION("GOOGLETRANSLATE(B12820,""en"",""fr"")"),"Le petit garçon commence à casser la danse et fait de nombreux flips.")</f>
        <v>Le petit garçon commence à casser la danse et fait de nombreux flips.</v>
      </c>
    </row>
    <row r="12821">
      <c r="A12821" s="4" t="s">
        <v>16128</v>
      </c>
      <c r="B12821" s="4" t="s">
        <v>16132</v>
      </c>
      <c r="C12821" s="5" t="str">
        <f>IFERROR(__xludf.DUMMYFUNCTION("GOOGLETRANSLATE(B12821,""en"",""fr"")"),"Il se lève et commence à raper.")</f>
        <v>Il se lève et commence à raper.</v>
      </c>
    </row>
    <row r="12822">
      <c r="A12822" s="4" t="s">
        <v>16133</v>
      </c>
      <c r="B12822" s="4" t="s">
        <v>16134</v>
      </c>
      <c r="C12822" s="5" t="str">
        <f>IFERROR(__xludf.DUMMYFUNCTION("GOOGLETRANSLATE(B12822,""en"",""fr"")"),"L'homme se tient derrière un compteur derrière la piscine.")</f>
        <v>L'homme se tient derrière un compteur derrière la piscine.</v>
      </c>
    </row>
    <row r="12823">
      <c r="A12823" s="4" t="s">
        <v>16133</v>
      </c>
      <c r="B12823" s="4" t="s">
        <v>16135</v>
      </c>
      <c r="C12823" s="5" t="str">
        <f>IFERROR(__xludf.DUMMYFUNCTION("GOOGLETRANSLATE(B12823,""en"",""fr"")"),"Deux hommes se tiennent sur les trampolines et font un saut synchronisé dans la piscine.")</f>
        <v>Deux hommes se tiennent sur les trampolines et font un saut synchronisé dans la piscine.</v>
      </c>
    </row>
    <row r="12824">
      <c r="A12824" s="4" t="s">
        <v>16133</v>
      </c>
      <c r="B12824" s="4" t="s">
        <v>16136</v>
      </c>
      <c r="C12824" s="5" t="str">
        <f>IFERROR(__xludf.DUMMYFUNCTION("GOOGLETRANSLATE(B12824,""en"",""fr"")"),"L'homme monte les escaliers jusqu'au trampoline.")</f>
        <v>L'homme monte les escaliers jusqu'au trampoline.</v>
      </c>
    </row>
    <row r="12825">
      <c r="A12825" s="4" t="s">
        <v>16137</v>
      </c>
      <c r="B12825" s="4" t="s">
        <v>16138</v>
      </c>
      <c r="C12825" s="5" t="str">
        <f>IFERROR(__xludf.DUMMYFUNCTION("GOOGLETRANSLATE(B12825,""en"",""fr"")"),"La personne est montrée renversant 9 des épingles de bowling, ce qui signifie qu'il a une pièce de rechange.")</f>
        <v>La personne est montrée renversant 9 des épingles de bowling, ce qui signifie qu'il a une pièce de rechange.</v>
      </c>
    </row>
    <row r="12826">
      <c r="A12826" s="4" t="s">
        <v>16137</v>
      </c>
      <c r="B12826" s="4" t="s">
        <v>16139</v>
      </c>
      <c r="C12826" s="5" t="str">
        <f>IFERROR(__xludf.DUMMYFUNCTION("GOOGLETRANSLATE(B12826,""en"",""fr"")"),"Ensuite, il renverse toutes les épingles et obtient une grève.")</f>
        <v>Ensuite, il renverse toutes les épingles et obtient une grève.</v>
      </c>
    </row>
    <row r="12827">
      <c r="A12827" s="4" t="s">
        <v>16140</v>
      </c>
      <c r="B12827" s="4" t="s">
        <v>16141</v>
      </c>
      <c r="C12827" s="5" t="str">
        <f>IFERROR(__xludf.DUMMYFUNCTION("GOOGLETRANSLATE(B12827,""en"",""fr"")"),"Trois enfants grimpent une montagne sans aucune corde.")</f>
        <v>Trois enfants grimpent une montagne sans aucune corde.</v>
      </c>
    </row>
    <row r="12828">
      <c r="A12828" s="4" t="s">
        <v>16140</v>
      </c>
      <c r="B12828" s="4" t="s">
        <v>16142</v>
      </c>
      <c r="C12828" s="5" t="str">
        <f>IFERROR(__xludf.DUMMYFUNCTION("GOOGLETRANSLATE(B12828,""en"",""fr"")"),"Ensuite, ils traînent dans leur chambre en riant et s'amusent.")</f>
        <v>Ensuite, ils traînent dans leur chambre en riant et s'amusent.</v>
      </c>
    </row>
    <row r="12829">
      <c r="A12829" s="4" t="s">
        <v>16140</v>
      </c>
      <c r="B12829" s="6" t="s">
        <v>16143</v>
      </c>
      <c r="C12829" s="5" t="str">
        <f>IFERROR(__xludf.DUMMYFUNCTION("GOOGLETRANSLATE(B12829,""en"",""fr"")"),"Ce ne sont que trois meilleurs amis qui font tout ensemble, marchant, shopping, se détendre et grimper des montagnes.")</f>
        <v>Ce ne sont que trois meilleurs amis qui font tout ensemble, marchant, shopping, se détendre et grimper des montagnes.</v>
      </c>
    </row>
    <row r="12830">
      <c r="A12830" s="4" t="s">
        <v>16140</v>
      </c>
      <c r="B12830" s="4" t="s">
        <v>16144</v>
      </c>
      <c r="C12830" s="5" t="str">
        <f>IFERROR(__xludf.DUMMYFUNCTION("GOOGLETRANSLATE(B12830,""en"",""fr"")"),"Quand ils arrivent au sommet de la montagne, ils s'embrassent.")</f>
        <v>Quand ils arrivent au sommet de la montagne, ils s'embrassent.</v>
      </c>
    </row>
    <row r="12831">
      <c r="A12831" s="4" t="s">
        <v>16145</v>
      </c>
      <c r="B12831" s="4" t="s">
        <v>16146</v>
      </c>
      <c r="C12831" s="5" t="str">
        <f>IFERROR(__xludf.DUMMYFUNCTION("GOOGLETRANSLATE(B12831,""en"",""fr"")"),"Un groupe joue au football sur un grand terrain.")</f>
        <v>Un groupe joue au football sur un grand terrain.</v>
      </c>
    </row>
    <row r="12832">
      <c r="A12832" s="4" t="s">
        <v>16145</v>
      </c>
      <c r="B12832" s="4" t="s">
        <v>16147</v>
      </c>
      <c r="C12832" s="5" t="str">
        <f>IFERROR(__xludf.DUMMYFUNCTION("GOOGLETRANSLATE(B12832,""en"",""fr"")"),"Une boule verte rebondit soudainement sur la ligne de cinquante mètres.")</f>
        <v>Une boule verte rebondit soudainement sur la ligne de cinquante mètres.</v>
      </c>
    </row>
    <row r="12833">
      <c r="A12833" s="4" t="s">
        <v>16145</v>
      </c>
      <c r="B12833" s="4" t="s">
        <v>16148</v>
      </c>
      <c r="C12833" s="5" t="str">
        <f>IFERROR(__xludf.DUMMYFUNCTION("GOOGLETRANSLATE(B12833,""en"",""fr"")"),"Cela s'arrête, et les gens reculent.")</f>
        <v>Cela s'arrête, et les gens reculent.</v>
      </c>
    </row>
    <row r="12834">
      <c r="A12834" s="4" t="s">
        <v>16149</v>
      </c>
      <c r="B12834" s="4" t="s">
        <v>16150</v>
      </c>
      <c r="C12834" s="5" t="str">
        <f>IFERROR(__xludf.DUMMYFUNCTION("GOOGLETRANSLATE(B12834,""en"",""fr"")"),"Une gymnaste féminine monte une faillite devant son entraîneur.")</f>
        <v>Une gymnaste féminine monte une faillite devant son entraîneur.</v>
      </c>
    </row>
    <row r="12835">
      <c r="A12835" s="4" t="s">
        <v>16149</v>
      </c>
      <c r="B12835" s="4" t="s">
        <v>16151</v>
      </c>
      <c r="C12835" s="5" t="str">
        <f>IFERROR(__xludf.DUMMYFUNCTION("GOOGLETRANSLATE(B12835,""en"",""fr"")"),"Elle fait plusieurs flips en avant et en arrière.")</f>
        <v>Elle fait plusieurs flips en avant et en arrière.</v>
      </c>
    </row>
    <row r="12836">
      <c r="A12836" s="4" t="s">
        <v>16149</v>
      </c>
      <c r="B12836" s="4" t="s">
        <v>16152</v>
      </c>
      <c r="C12836" s="5" t="str">
        <f>IFERROR(__xludf.DUMMYFUNCTION("GOOGLETRANSLATE(B12836,""en"",""fr"")"),"Elle démonte et il applaudit en s'éloignant.")</f>
        <v>Elle démonte et il applaudit en s'éloignant.</v>
      </c>
    </row>
    <row r="12837">
      <c r="A12837" s="4" t="s">
        <v>16153</v>
      </c>
      <c r="B12837" s="4" t="s">
        <v>16154</v>
      </c>
      <c r="C12837" s="5" t="str">
        <f>IFERROR(__xludf.DUMMYFUNCTION("GOOGLETRANSLATE(B12837,""en"",""fr"")"),"Un homme est allongé dans le lit sous les couvertures.")</f>
        <v>Un homme est allongé dans le lit sous les couvertures.</v>
      </c>
    </row>
    <row r="12838">
      <c r="A12838" s="4" t="s">
        <v>16153</v>
      </c>
      <c r="B12838" s="4" t="s">
        <v>16155</v>
      </c>
      <c r="C12838" s="5" t="str">
        <f>IFERROR(__xludf.DUMMYFUNCTION("GOOGLETRANSLATE(B12838,""en"",""fr"")"),"Il s'assoit sur le bord du lit, se grattant la barbe.")</f>
        <v>Il s'assoit sur le bord du lit, se grattant la barbe.</v>
      </c>
    </row>
    <row r="12839">
      <c r="A12839" s="4" t="s">
        <v>16153</v>
      </c>
      <c r="B12839" s="4" t="s">
        <v>16156</v>
      </c>
      <c r="C12839" s="5" t="str">
        <f>IFERROR(__xludf.DUMMYFUNCTION("GOOGLETRANSLATE(B12839,""en"",""fr"")"),"Il regarde ensuite le rasoir sur sa table, le ramassant.")</f>
        <v>Il regarde ensuite le rasoir sur sa table, le ramassant.</v>
      </c>
    </row>
    <row r="12840">
      <c r="A12840" s="4" t="s">
        <v>16153</v>
      </c>
      <c r="B12840" s="6" t="s">
        <v>16157</v>
      </c>
      <c r="C12840" s="5" t="str">
        <f>IFERROR(__xludf.DUMMYFUNCTION("GOOGLETRANSLATE(B12840,""en"",""fr"")"),"L'homme se rase son ours, le rendant beaucoup plus court avant de se coucher dans son lit, se blottir avec le sac rempli de cheveux de la barbe.")</f>
        <v>L'homme se rase son ours, le rendant beaucoup plus court avant de se coucher dans son lit, se blottir avec le sac rempli de cheveux de la barbe.</v>
      </c>
    </row>
    <row r="12841">
      <c r="A12841" s="4" t="s">
        <v>16158</v>
      </c>
      <c r="B12841" s="4" t="s">
        <v>16159</v>
      </c>
      <c r="C12841" s="5" t="str">
        <f>IFERROR(__xludf.DUMMYFUNCTION("GOOGLETRANSLATE(B12841,""en"",""fr"")"),"Un grand groupe de personnes est vue en courant dans la rue tandis que beaucoup veillent sur les côtés.")</f>
        <v>Un grand groupe de personnes est vue en courant dans la rue tandis que beaucoup veillent sur les côtés.</v>
      </c>
    </row>
    <row r="12842">
      <c r="A12842" s="4" t="s">
        <v>16158</v>
      </c>
      <c r="B12842" s="4" t="s">
        <v>16160</v>
      </c>
      <c r="C12842" s="5" t="str">
        <f>IFERROR(__xludf.DUMMYFUNCTION("GOOGLETRANSLATE(B12842,""en"",""fr"")"),"Plusieurs personnes sont vues à la caméra car de plus en plus de coups sont montrés des personnes qui courent.")</f>
        <v>Plusieurs personnes sont vues à la caméra car de plus en plus de coups sont montrés des personnes qui courent.</v>
      </c>
    </row>
    <row r="12843">
      <c r="A12843" s="4" t="s">
        <v>16158</v>
      </c>
      <c r="B12843" s="4" t="s">
        <v>16161</v>
      </c>
      <c r="C12843" s="5" t="str">
        <f>IFERROR(__xludf.DUMMYFUNCTION("GOOGLETRANSLATE(B12843,""en"",""fr"")"),"Les gens encouragent les autres sur les côtés ainsi que les fanfares qui jouent et les gens courent toujours.")</f>
        <v>Les gens encouragent les autres sur les côtés ainsi que les fanfares qui jouent et les gens courent toujours.</v>
      </c>
    </row>
    <row r="12844">
      <c r="A12844" s="4" t="s">
        <v>16162</v>
      </c>
      <c r="B12844" s="4" t="s">
        <v>16163</v>
      </c>
      <c r="C12844" s="5" t="str">
        <f>IFERROR(__xludf.DUMMYFUNCTION("GOOGLETRANSLATE(B12844,""en"",""fr"")"),"Une fille est montrée en regardant plusieurs photos de coiffure et mène à une autre coupure de cheveux.")</f>
        <v>Une fille est montrée en regardant plusieurs photos de coiffure et mène à une autre coupure de cheveux.</v>
      </c>
    </row>
    <row r="12845">
      <c r="A12845" s="4" t="s">
        <v>16162</v>
      </c>
      <c r="B12845" s="4" t="s">
        <v>16164</v>
      </c>
      <c r="C12845" s="5" t="str">
        <f>IFERROR(__xludf.DUMMYFUNCTION("GOOGLETRANSLATE(B12845,""en"",""fr"")"),"Les enfants s'assoient patiemment avec une serviette sur la tête et parle à la caméra.")</f>
        <v>Les enfants s'assoient patiemment avec une serviette sur la tête et parle à la caméra.</v>
      </c>
    </row>
    <row r="12846">
      <c r="A12846" s="4" t="s">
        <v>16162</v>
      </c>
      <c r="B12846" s="4" t="s">
        <v>16165</v>
      </c>
      <c r="C12846" s="5" t="str">
        <f>IFERROR(__xludf.DUMMYFUNCTION("GOOGLETRANSLATE(B12846,""en"",""fr"")"),"Un poisson rouge est montré suivi par un homme qui coupe et coiffait ses cheveux.")</f>
        <v>Un poisson rouge est montré suivi par un homme qui coupe et coiffait ses cheveux.</v>
      </c>
    </row>
    <row r="12847">
      <c r="A12847" s="4" t="s">
        <v>16162</v>
      </c>
      <c r="B12847" s="4" t="s">
        <v>16166</v>
      </c>
      <c r="C12847" s="5" t="str">
        <f>IFERROR(__xludf.DUMMYFUNCTION("GOOGLETRANSLATE(B12847,""en"",""fr"")"),"L'homme coupe les cheveux de la fille et les style en un look adorable.")</f>
        <v>L'homme coupe les cheveux de la fille et les style en un look adorable.</v>
      </c>
    </row>
    <row r="12848">
      <c r="A12848" s="4" t="s">
        <v>16162</v>
      </c>
      <c r="B12848" s="4" t="s">
        <v>16167</v>
      </c>
      <c r="C12848" s="5" t="str">
        <f>IFERROR(__xludf.DUMMYFUNCTION("GOOGLETRANSLATE(B12848,""en"",""fr"")"),"La fille sourit et laisse le salon de coiffure heureuse.")</f>
        <v>La fille sourit et laisse le salon de coiffure heureuse.</v>
      </c>
    </row>
    <row r="12849">
      <c r="A12849" s="4" t="s">
        <v>16168</v>
      </c>
      <c r="B12849" s="4" t="s">
        <v>16169</v>
      </c>
      <c r="C12849" s="5" t="str">
        <f>IFERROR(__xludf.DUMMYFUNCTION("GOOGLETRANSLATE(B12849,""en"",""fr"")"),"Une personne parle à la caméra tout en montrant divers outils au sol.")</f>
        <v>Une personne parle à la caméra tout en montrant divers outils au sol.</v>
      </c>
    </row>
    <row r="12850">
      <c r="A12850" s="4" t="s">
        <v>16168</v>
      </c>
      <c r="B12850" s="4" t="s">
        <v>16170</v>
      </c>
      <c r="C12850" s="5" t="str">
        <f>IFERROR(__xludf.DUMMYFUNCTION("GOOGLETRANSLATE(B12850,""en"",""fr"")"),"Une personne met des objets devant un pneu pour déplacer la voiture.")</f>
        <v>Une personne met des objets devant un pneu pour déplacer la voiture.</v>
      </c>
    </row>
    <row r="12851">
      <c r="A12851" s="4" t="s">
        <v>16168</v>
      </c>
      <c r="B12851" s="4" t="s">
        <v>16171</v>
      </c>
      <c r="C12851" s="5" t="str">
        <f>IFERROR(__xludf.DUMMYFUNCTION("GOOGLETRANSLATE(B12851,""en"",""fr"")"),"Une personne conduit la voiture sur l'objet pour le déplacer.")</f>
        <v>Une personne conduit la voiture sur l'objet pour le déplacer.</v>
      </c>
    </row>
    <row r="12852">
      <c r="A12852" s="4" t="s">
        <v>16168</v>
      </c>
      <c r="B12852" s="4" t="s">
        <v>16172</v>
      </c>
      <c r="C12852" s="5" t="str">
        <f>IFERROR(__xludf.DUMMYFUNCTION("GOOGLETRANSLATE(B12852,""en"",""fr"")"),"Le pneu est maintenant assis au-dessus d'un objet et ils l'enlèvent.")</f>
        <v>Le pneu est maintenant assis au-dessus d'un objet et ils l'enlèvent.</v>
      </c>
    </row>
    <row r="12853">
      <c r="A12853" s="4" t="s">
        <v>16168</v>
      </c>
      <c r="B12853" s="4" t="s">
        <v>16173</v>
      </c>
      <c r="C12853" s="5" t="str">
        <f>IFERROR(__xludf.DUMMYFUNCTION("GOOGLETRANSLATE(B12853,""en"",""fr"")"),"Une personne fait ressortir un vieux vélo et parler de ce qui doit être fait.")</f>
        <v>Une personne fait ressortir un vieux vélo et parler de ce qui doit être fait.</v>
      </c>
    </row>
    <row r="12854">
      <c r="A12854" s="4" t="s">
        <v>16174</v>
      </c>
      <c r="B12854" s="4" t="s">
        <v>16175</v>
      </c>
      <c r="C12854" s="5" t="str">
        <f>IFERROR(__xludf.DUMMYFUNCTION("GOOGLETRANSLATE(B12854,""en"",""fr"")"),"La personne est en train de faire de l'eau.")</f>
        <v>La personne est en train de faire de l'eau.</v>
      </c>
    </row>
    <row r="12855">
      <c r="A12855" s="4" t="s">
        <v>16174</v>
      </c>
      <c r="B12855" s="4" t="s">
        <v>16176</v>
      </c>
      <c r="C12855" s="5" t="str">
        <f>IFERROR(__xludf.DUMMYFUNCTION("GOOGLETRANSLATE(B12855,""en"",""fr"")"),"Alors que la personne navigue, il a commencé à rebondir sur l'eau.")</f>
        <v>Alors que la personne navigue, il a commencé à rebondir sur l'eau.</v>
      </c>
    </row>
    <row r="12856">
      <c r="A12856" s="4" t="s">
        <v>16174</v>
      </c>
      <c r="B12856" s="4" t="s">
        <v>16177</v>
      </c>
      <c r="C12856" s="5" t="str">
        <f>IFERROR(__xludf.DUMMYFUNCTION("GOOGLETRANSLATE(B12856,""en"",""fr"")"),"La personne manœuvre la voile pour faire demi-tour.")</f>
        <v>La personne manœuvre la voile pour faire demi-tour.</v>
      </c>
    </row>
    <row r="12857">
      <c r="A12857" s="4" t="s">
        <v>16178</v>
      </c>
      <c r="B12857" s="4" t="s">
        <v>16179</v>
      </c>
      <c r="C12857" s="5" t="str">
        <f>IFERROR(__xludf.DUMMYFUNCTION("GOOGLETRANSLATE(B12857,""en"",""fr"")"),"Les femmes dansent sur une scène.")</f>
        <v>Les femmes dansent sur une scène.</v>
      </c>
    </row>
    <row r="12858">
      <c r="A12858" s="4" t="s">
        <v>16178</v>
      </c>
      <c r="B12858" s="4" t="s">
        <v>16180</v>
      </c>
      <c r="C12858" s="5" t="str">
        <f>IFERROR(__xludf.DUMMYFUNCTION("GOOGLETRANSLATE(B12858,""en"",""fr"")"),"Les femmes agitent des drapeaux derrière elles.")</f>
        <v>Les femmes agitent des drapeaux derrière elles.</v>
      </c>
    </row>
    <row r="12859">
      <c r="A12859" s="4" t="s">
        <v>16178</v>
      </c>
      <c r="B12859" s="4" t="s">
        <v>16181</v>
      </c>
      <c r="C12859" s="5" t="str">
        <f>IFERROR(__xludf.DUMMYFUNCTION("GOOGLETRANSLATE(B12859,""en"",""fr"")"),"Une femme fait une danse du ventre au milieu de la scène.")</f>
        <v>Une femme fait une danse du ventre au milieu de la scène.</v>
      </c>
    </row>
    <row r="12860">
      <c r="A12860" s="4" t="s">
        <v>16182</v>
      </c>
      <c r="B12860" s="6" t="s">
        <v>16183</v>
      </c>
      <c r="C12860" s="5" t="str">
        <f>IFERROR(__xludf.DUMMYFUNCTION("GOOGLETRANSLATE(B12860,""en"",""fr"")"),"La vidéo commence par des plans de personnes qui applaudissent ainsi que plusieurs plans de joueurs debout sur une fosse de sable.")</f>
        <v>La vidéo commence par des plans de personnes qui applaudissent ainsi que plusieurs plans de joueurs debout sur une fosse de sable.</v>
      </c>
    </row>
    <row r="12861">
      <c r="A12861" s="4" t="s">
        <v>16182</v>
      </c>
      <c r="B12861" s="6" t="s">
        <v>16184</v>
      </c>
      <c r="C12861" s="5" t="str">
        <f>IFERROR(__xludf.DUMMYFUNCTION("GOOGLETRANSLATE(B12861,""en"",""fr"")"),"La foule est vue en faisant la vague et continue de réjouir alors que la caméra montre divers clips d'un match de football en cours.")</f>
        <v>La foule est vue en faisant la vague et continue de réjouir alors que la caméra montre divers clips d'un match de football en cours.</v>
      </c>
    </row>
    <row r="12862">
      <c r="A12862" s="4" t="s">
        <v>16185</v>
      </c>
      <c r="B12862" s="4" t="s">
        <v>16186</v>
      </c>
      <c r="C12862" s="5" t="str">
        <f>IFERROR(__xludf.DUMMYFUNCTION("GOOGLETRANSLATE(B12862,""en"",""fr"")"),"Un garçon se balance d'avant en arrière.")</f>
        <v>Un garçon se balance d'avant en arrière.</v>
      </c>
    </row>
    <row r="12863">
      <c r="A12863" s="4" t="s">
        <v>16185</v>
      </c>
      <c r="B12863" s="4" t="s">
        <v>16187</v>
      </c>
      <c r="C12863" s="5" t="str">
        <f>IFERROR(__xludf.DUMMYFUNCTION("GOOGLETRANSLATE(B12863,""en"",""fr"")"),"Le garçon tombe alors sur son visage et pleure.")</f>
        <v>Le garçon tombe alors sur son visage et pleure.</v>
      </c>
    </row>
    <row r="12864">
      <c r="A12864" s="4" t="s">
        <v>16188</v>
      </c>
      <c r="B12864" s="4" t="s">
        <v>16189</v>
      </c>
      <c r="C12864" s="5" t="str">
        <f>IFERROR(__xludf.DUMMYFUNCTION("GOOGLETRANSLATE(B12864,""en"",""fr"")"),"Une femme en short bleu tend un homme une fléchette.")</f>
        <v>Une femme en short bleu tend un homme une fléchette.</v>
      </c>
    </row>
    <row r="12865">
      <c r="A12865" s="4" t="s">
        <v>16188</v>
      </c>
      <c r="B12865" s="4" t="s">
        <v>16190</v>
      </c>
      <c r="C12865" s="5" t="str">
        <f>IFERROR(__xludf.DUMMYFUNCTION("GOOGLETRANSLATE(B12865,""en"",""fr"")"),"Un homme en chapeau blanc jette une fléchette sur une planche.")</f>
        <v>Un homme en chapeau blanc jette une fléchette sur une planche.</v>
      </c>
    </row>
    <row r="12866">
      <c r="A12866" s="4" t="s">
        <v>16188</v>
      </c>
      <c r="B12866" s="4" t="s">
        <v>16191</v>
      </c>
      <c r="C12866" s="5" t="str">
        <f>IFERROR(__xludf.DUMMYFUNCTION("GOOGLETRANSLATE(B12866,""en"",""fr"")"),"La femme se dirige vers le conseil d'administration.")</f>
        <v>La femme se dirige vers le conseil d'administration.</v>
      </c>
    </row>
    <row r="12867">
      <c r="A12867" s="4" t="s">
        <v>16192</v>
      </c>
      <c r="B12867" s="4" t="s">
        <v>16193</v>
      </c>
      <c r="C12867" s="5" t="str">
        <f>IFERROR(__xludf.DUMMYFUNCTION("GOOGLETRANSLATE(B12867,""en"",""fr"")"),"Un homme travaille sur le dos d'une bande-annonce.")</f>
        <v>Un homme travaille sur le dos d'une bande-annonce.</v>
      </c>
    </row>
    <row r="12868">
      <c r="A12868" s="4" t="s">
        <v>16192</v>
      </c>
      <c r="B12868" s="4" t="s">
        <v>16194</v>
      </c>
      <c r="C12868" s="5" t="str">
        <f>IFERROR(__xludf.DUMMYFUNCTION("GOOGLETRANSLATE(B12868,""en"",""fr"")"),"Il soudure le métal entre deux morceaux de bois.")</f>
        <v>Il soudure le métal entre deux morceaux de bois.</v>
      </c>
    </row>
    <row r="12869">
      <c r="A12869" s="4" t="s">
        <v>16192</v>
      </c>
      <c r="B12869" s="4" t="s">
        <v>16195</v>
      </c>
      <c r="C12869" s="5" t="str">
        <f>IFERROR(__xludf.DUMMYFUNCTION("GOOGLETRANSLATE(B12869,""en"",""fr"")"),"Les étincelles volent pendant qu'il travaille, s'accroupissant sur le trottoir.")</f>
        <v>Les étincelles volent pendant qu'il travaille, s'accroupissant sur le trottoir.</v>
      </c>
    </row>
    <row r="12870">
      <c r="A12870" s="4" t="s">
        <v>16196</v>
      </c>
      <c r="B12870" s="4" t="s">
        <v>16197</v>
      </c>
      <c r="C12870" s="5" t="str">
        <f>IFERROR(__xludf.DUMMYFUNCTION("GOOGLETRANSLATE(B12870,""en"",""fr"")"),"Un homme dans la tenue d'un chef parle dans une cuisine tout en tenant une pomme de terre.")</f>
        <v>Un homme dans la tenue d'un chef parle dans une cuisine tout en tenant une pomme de terre.</v>
      </c>
    </row>
    <row r="12871">
      <c r="A12871" s="4" t="s">
        <v>16196</v>
      </c>
      <c r="B12871" s="4" t="s">
        <v>16198</v>
      </c>
      <c r="C12871" s="5" t="str">
        <f>IFERROR(__xludf.DUMMYFUNCTION("GOOGLETRANSLATE(B12871,""en"",""fr"")"),"Un homme travaille derrière lui alors qu'il décolle la pomme de terre avec un outil.")</f>
        <v>Un homme travaille derrière lui alors qu'il décolle la pomme de terre avec un outil.</v>
      </c>
    </row>
    <row r="12872">
      <c r="A12872" s="4" t="s">
        <v>16196</v>
      </c>
      <c r="B12872" s="4" t="s">
        <v>16199</v>
      </c>
      <c r="C12872" s="5" t="str">
        <f>IFERROR(__xludf.DUMMYFUNCTION("GOOGLETRANSLATE(B12872,""en"",""fr"")"),"Il décolle extrêmement vite, terminant en quelques secondes.")</f>
        <v>Il décolle extrêmement vite, terminant en quelques secondes.</v>
      </c>
    </row>
    <row r="12873">
      <c r="A12873" s="4" t="s">
        <v>16200</v>
      </c>
      <c r="B12873" s="4" t="s">
        <v>16201</v>
      </c>
      <c r="C12873" s="5" t="str">
        <f>IFERROR(__xludf.DUMMYFUNCTION("GOOGLETRANSLATE(B12873,""en"",""fr"")"),"Les premières boules de piscine différentes sont affichées.")</f>
        <v>Les premières boules de piscine différentes sont affichées.</v>
      </c>
    </row>
    <row r="12874">
      <c r="A12874" s="4" t="s">
        <v>16200</v>
      </c>
      <c r="B12874" s="4" t="s">
        <v>16202</v>
      </c>
      <c r="C12874" s="5" t="str">
        <f>IFERROR(__xludf.DUMMYFUNCTION("GOOGLETRANSLATE(B12874,""en"",""fr"")"),"Ensuite, le garçon commence à jouer à la piscine tout seul avec les balles.")</f>
        <v>Ensuite, le garçon commence à jouer à la piscine tout seul avec les balles.</v>
      </c>
    </row>
    <row r="12875">
      <c r="A12875" s="4" t="s">
        <v>16203</v>
      </c>
      <c r="B12875" s="4" t="s">
        <v>16204</v>
      </c>
      <c r="C12875" s="5" t="str">
        <f>IFERROR(__xludf.DUMMYFUNCTION("GOOGLETRANSLATE(B12875,""en"",""fr"")"),"Il y a plusieurs chevaux bruns jockey dans un stade lors d'un événement Derby.")</f>
        <v>Il y a plusieurs chevaux bruns jockey dans un stade lors d'un événement Derby.</v>
      </c>
    </row>
    <row r="12876">
      <c r="A12876" s="4" t="s">
        <v>16203</v>
      </c>
      <c r="B12876" s="4" t="s">
        <v>16205</v>
      </c>
      <c r="C12876" s="5" t="str">
        <f>IFERROR(__xludf.DUMMYFUNCTION("GOOGLETRANSLATE(B12876,""en"",""fr"")"),"Là, la foule applaudie bruyamment alors qu'ils se tiennent avec des chapeaux de paille et des parapluies.")</f>
        <v>Là, la foule applaudie bruyamment alors qu'ils se tiennent avec des chapeaux de paille et des parapluies.</v>
      </c>
    </row>
    <row r="12877">
      <c r="A12877" s="4" t="s">
        <v>16203</v>
      </c>
      <c r="B12877" s="4" t="s">
        <v>16206</v>
      </c>
      <c r="C12877" s="5" t="str">
        <f>IFERROR(__xludf.DUMMYFUNCTION("GOOGLETRANSLATE(B12877,""en"",""fr"")"),"Les jockeys se préparent à jouer au polo alors qu'ils se déplacent avec leurs bâtons.")</f>
        <v>Les jockeys se préparent à jouer au polo alors qu'ils se déplacent avec leurs bâtons.</v>
      </c>
    </row>
    <row r="12878">
      <c r="A12878" s="4" t="s">
        <v>16203</v>
      </c>
      <c r="B12878" s="4" t="s">
        <v>16207</v>
      </c>
      <c r="C12878" s="5" t="str">
        <f>IFERROR(__xludf.DUMMYFUNCTION("GOOGLETRANSLATE(B12878,""en"",""fr"")"),"Une femme applaudit bruyamment dans la caméra.")</f>
        <v>Une femme applaudit bruyamment dans la caméra.</v>
      </c>
    </row>
    <row r="12879">
      <c r="A12879" s="4" t="s">
        <v>16203</v>
      </c>
      <c r="B12879" s="4" t="s">
        <v>16208</v>
      </c>
      <c r="C12879" s="5" t="str">
        <f>IFERROR(__xludf.DUMMYFUNCTION("GOOGLETRANSLATE(B12879,""en"",""fr"")"),"Les jockeys roulent lentement sur le terrain.")</f>
        <v>Les jockeys roulent lentement sur le terrain.</v>
      </c>
    </row>
    <row r="12880">
      <c r="A12880" s="4" t="s">
        <v>16209</v>
      </c>
      <c r="B12880" s="4" t="s">
        <v>16210</v>
      </c>
      <c r="C12880" s="5" t="str">
        <f>IFERROR(__xludf.DUMMYFUNCTION("GOOGLETRANSLATE(B12880,""en"",""fr"")"),"L'équipe de crosse des garçons est montrée en train de fonctionner.")</f>
        <v>L'équipe de crosse des garçons est montrée en train de fonctionner.</v>
      </c>
    </row>
    <row r="12881">
      <c r="A12881" s="4" t="s">
        <v>16209</v>
      </c>
      <c r="B12881" s="4" t="s">
        <v>16211</v>
      </c>
      <c r="C12881" s="5" t="str">
        <f>IFERROR(__xludf.DUMMYFUNCTION("GOOGLETRANSLATE(B12881,""en"",""fr"")"),"Ils exécutent ensuite des exercices sur le gravier.")</f>
        <v>Ils exécutent ensuite des exercices sur le gravier.</v>
      </c>
    </row>
    <row r="12882">
      <c r="A12882" s="4" t="s">
        <v>16209</v>
      </c>
      <c r="B12882" s="4" t="s">
        <v>16212</v>
      </c>
      <c r="C12882" s="5" t="str">
        <f>IFERROR(__xludf.DUMMYFUNCTION("GOOGLETRANSLATE(B12882,""en"",""fr"")"),"Ensuite, l'équipe est dans une mêlée sur le terrain.")</f>
        <v>Ensuite, l'équipe est dans une mêlée sur le terrain.</v>
      </c>
    </row>
    <row r="12883">
      <c r="A12883" s="4" t="s">
        <v>16209</v>
      </c>
      <c r="B12883" s="4" t="s">
        <v>16213</v>
      </c>
      <c r="C12883" s="5" t="str">
        <f>IFERROR(__xludf.DUMMYFUNCTION("GOOGLETRANSLATE(B12883,""en"",""fr"")"),"Après cela, ils ont été montrés en jouant un jeu réel, qui coule d'avant en arrière.")</f>
        <v>Après cela, ils ont été montrés en jouant un jeu réel, qui coule d'avant en arrière.</v>
      </c>
    </row>
    <row r="12884">
      <c r="A12884" s="4" t="s">
        <v>16209</v>
      </c>
      <c r="B12884" s="4" t="s">
        <v>16214</v>
      </c>
      <c r="C12884" s="5" t="str">
        <f>IFERROR(__xludf.DUMMYFUNCTION("GOOGLETRANSLATE(B12884,""en"",""fr"")"),"Enfin, quelques membres sont à un jeu professionnel.")</f>
        <v>Enfin, quelques membres sont à un jeu professionnel.</v>
      </c>
    </row>
    <row r="12885">
      <c r="A12885" s="4" t="s">
        <v>16215</v>
      </c>
      <c r="B12885" s="4" t="s">
        <v>16216</v>
      </c>
      <c r="C12885" s="5" t="str">
        <f>IFERROR(__xludf.DUMMYFUNCTION("GOOGLETRANSLATE(B12885,""en"",""fr"")"),"Une femme est vue se pencher sur un évier avec un petit enfant à côté d'elle.")</f>
        <v>Une femme est vue se pencher sur un évier avec un petit enfant à côté d'elle.</v>
      </c>
    </row>
    <row r="12886">
      <c r="A12886" s="4" t="s">
        <v>16215</v>
      </c>
      <c r="B12886" s="4" t="s">
        <v>16217</v>
      </c>
      <c r="C12886" s="5" t="str">
        <f>IFERROR(__xludf.DUMMYFUNCTION("GOOGLETRANSLATE(B12886,""en"",""fr"")"),"La femme et l'enfant collent leurs mains sous un évier pour les laver.")</f>
        <v>La femme et l'enfant collent leurs mains sous un évier pour les laver.</v>
      </c>
    </row>
    <row r="12887">
      <c r="A12887" s="4" t="s">
        <v>16215</v>
      </c>
      <c r="B12887" s="4" t="s">
        <v>16218</v>
      </c>
      <c r="C12887" s="5" t="str">
        <f>IFERROR(__xludf.DUMMYFUNCTION("GOOGLETRANSLATE(B12887,""en"",""fr"")"),"La femme sèche les mains des filles à la fin et montre sa lotion.")</f>
        <v>La femme sèche les mains des filles à la fin et montre sa lotion.</v>
      </c>
    </row>
    <row r="12888">
      <c r="A12888" s="4" t="s">
        <v>16219</v>
      </c>
      <c r="B12888" s="4" t="s">
        <v>1251</v>
      </c>
      <c r="C12888" s="5" t="str">
        <f>IFERROR(__xludf.DUMMYFUNCTION("GOOGLETRANSLATE(B12888,""en"",""fr"")"),"Les crédits du clip sont affichés.")</f>
        <v>Les crédits du clip sont affichés.</v>
      </c>
    </row>
    <row r="12889">
      <c r="A12889" s="4" t="s">
        <v>16219</v>
      </c>
      <c r="B12889" s="4" t="s">
        <v>16220</v>
      </c>
      <c r="C12889" s="5" t="str">
        <f>IFERROR(__xludf.DUMMYFUNCTION("GOOGLETRANSLATE(B12889,""en"",""fr"")"),"Un gars se tient à côté des chevaux avec un presse-papiers.")</f>
        <v>Un gars se tient à côté des chevaux avec un presse-papiers.</v>
      </c>
    </row>
    <row r="12890">
      <c r="A12890" s="4" t="s">
        <v>16219</v>
      </c>
      <c r="B12890" s="4" t="s">
        <v>16221</v>
      </c>
      <c r="C12890" s="5" t="str">
        <f>IFERROR(__xludf.DUMMYFUNCTION("GOOGLETRANSLATE(B12890,""en"",""fr"")"),"Un gars marche sous une clôture à cheval.")</f>
        <v>Un gars marche sous une clôture à cheval.</v>
      </c>
    </row>
    <row r="12891">
      <c r="A12891" s="4" t="s">
        <v>16219</v>
      </c>
      <c r="B12891" s="4" t="s">
        <v>16222</v>
      </c>
      <c r="C12891" s="5" t="str">
        <f>IFERROR(__xludf.DUMMYFUNCTION("GOOGLETRANSLATE(B12891,""en"",""fr"")"),"Une personne mène un cheval.")</f>
        <v>Une personne mène un cheval.</v>
      </c>
    </row>
    <row r="12892">
      <c r="A12892" s="4" t="s">
        <v>16219</v>
      </c>
      <c r="B12892" s="4" t="s">
        <v>16223</v>
      </c>
      <c r="C12892" s="5" t="str">
        <f>IFERROR(__xludf.DUMMYFUNCTION("GOOGLETRANSLATE(B12892,""en"",""fr"")"),"Le gars monte au sommet du cheval.")</f>
        <v>Le gars monte au sommet du cheval.</v>
      </c>
    </row>
    <row r="12893">
      <c r="A12893" s="4" t="s">
        <v>16219</v>
      </c>
      <c r="B12893" s="4" t="s">
        <v>16224</v>
      </c>
      <c r="C12893" s="5" t="str">
        <f>IFERROR(__xludf.DUMMYFUNCTION("GOOGLETRANSLATE(B12893,""en"",""fr"")"),"Le gars tape le cheval et fait de l'équitation.")</f>
        <v>Le gars tape le cheval et fait de l'équitation.</v>
      </c>
    </row>
    <row r="12894">
      <c r="A12894" s="4" t="s">
        <v>16219</v>
      </c>
      <c r="B12894" s="4" t="s">
        <v>16225</v>
      </c>
      <c r="C12894" s="5" t="str">
        <f>IFERROR(__xludf.DUMMYFUNCTION("GOOGLETRANSLATE(B12894,""en"",""fr"")"),"Les gens font des chevaux sur un sentier.")</f>
        <v>Les gens font des chevaux sur un sentier.</v>
      </c>
    </row>
    <row r="12895">
      <c r="A12895" s="4" t="s">
        <v>16226</v>
      </c>
      <c r="B12895" s="4" t="s">
        <v>16227</v>
      </c>
      <c r="C12895" s="5" t="str">
        <f>IFERROR(__xludf.DUMMYFUNCTION("GOOGLETRANSLATE(B12895,""en"",""fr"")"),"Un tir d'un bâtiment mène à un jeu 3D de lutte contre les hommes Sumo.")</f>
        <v>Un tir d'un bâtiment mène à un jeu 3D de lutte contre les hommes Sumo.</v>
      </c>
    </row>
    <row r="12896">
      <c r="A12896" s="4" t="s">
        <v>16226</v>
      </c>
      <c r="B12896" s="4" t="s">
        <v>16228</v>
      </c>
      <c r="C12896" s="5" t="str">
        <f>IFERROR(__xludf.DUMMYFUNCTION("GOOGLETRANSLATE(B12896,""en"",""fr"")"),"Le jeu continue avec les personnages qui se battent et un refetre sur le côté.")</f>
        <v>Le jeu continue avec les personnages qui se battent et un refetre sur le côté.</v>
      </c>
    </row>
    <row r="12897">
      <c r="A12897" s="4" t="s">
        <v>16226</v>
      </c>
      <c r="B12897" s="4" t="s">
        <v>16229</v>
      </c>
      <c r="C12897" s="5" t="str">
        <f>IFERROR(__xludf.DUMMYFUNCTION("GOOGLETRANSLATE(B12897,""en"",""fr"")"),"Le jeu se termine et montre plus de photos de la lutte et du pointage des hommes Sumo.")</f>
        <v>Le jeu se termine et montre plus de photos de la lutte et du pointage des hommes Sumo.</v>
      </c>
    </row>
    <row r="12898">
      <c r="A12898" s="4" t="s">
        <v>16230</v>
      </c>
      <c r="B12898" s="4" t="s">
        <v>16231</v>
      </c>
      <c r="C12898" s="5" t="str">
        <f>IFERROR(__xludf.DUMMYFUNCTION("GOOGLETRANSLATE(B12898,""en"",""fr"")"),"Une intro rouge, blanche et noire a un logo et les mots et la lettre W2K15.")</f>
        <v>Une intro rouge, blanche et noire a un logo et les mots et la lettre W2K15.</v>
      </c>
    </row>
    <row r="12899">
      <c r="A12899" s="4" t="s">
        <v>16230</v>
      </c>
      <c r="B12899" s="6" t="s">
        <v>16232</v>
      </c>
      <c r="C12899" s="5" t="str">
        <f>IFERROR(__xludf.DUMMYFUNCTION("GOOGLETRANSLATE(B12899,""en"",""fr"")"),"Le jeu vidéo commence et il y a 3 personnages contre 1 personnage et ils luttent dans une patinoire effectuant de nombreux astuces comme s'étrangler, frapper, courir dans le personnage pour les faire tomber, ou les ramasser, puis les claquer au sol pendan"&amp;"t que le L'arbitre se tient dans le coin.")</f>
        <v>Le jeu vidéo commence et il y a 3 personnages contre 1 personnage et ils luttent dans une patinoire effectuant de nombreux astuces comme s'étrangler, frapper, courir dans le personnage pour les faire tomber, ou les ramasser, puis les claquer au sol pendant que le L'arbitre se tient dans le coin.</v>
      </c>
    </row>
    <row r="12900">
      <c r="A12900" s="4" t="s">
        <v>16230</v>
      </c>
      <c r="B12900" s="6" t="s">
        <v>16233</v>
      </c>
      <c r="C12900" s="5" t="str">
        <f>IFERROR(__xludf.DUMMYFUNCTION("GOOGLETRANSLATE(B12900,""en"",""fr"")"),"Une nouvelle ronde commence avec différents personnages qui luttent et l'arbitre essaie de les arrêter, mais l'un des personnages prend l'arbitre puis le claque au sol où il y est allongé pendant quelques secondes.")</f>
        <v>Une nouvelle ronde commence avec différents personnages qui luttent et l'arbitre essaie de les arrêter, mais l'un des personnages prend l'arbitre puis le claque au sol où il y est allongé pendant quelques secondes.</v>
      </c>
    </row>
    <row r="12901">
      <c r="A12901" s="4" t="s">
        <v>16230</v>
      </c>
      <c r="B12901" s="6" t="s">
        <v>16234</v>
      </c>
      <c r="C12901" s="5" t="str">
        <f>IFERROR(__xludf.DUMMYFUNCTION("GOOGLETRANSLATE(B12901,""en"",""fr"")"),"L'arbitre se lève puis donne un coup de pied à l'un des personnages de la patinoire puis il tombe sur le sol pour lui frapper la main sur la patinoire pour mettre fin à la lutte.")</f>
        <v>L'arbitre se lève puis donne un coup de pied à l'un des personnages de la patinoire puis il tombe sur le sol pour lui frapper la main sur la patinoire pour mettre fin à la lutte.</v>
      </c>
    </row>
    <row r="12902">
      <c r="A12902" s="4" t="s">
        <v>16230</v>
      </c>
      <c r="B12902" s="4" t="s">
        <v>16235</v>
      </c>
      <c r="C12902" s="5" t="str">
        <f>IFERROR(__xludf.DUMMYFUNCTION("GOOGLETRANSLATE(B12902,""en"",""fr"")"),"La vidéo outro commence et c'est la même chose que la vidéo d'introduction.")</f>
        <v>La vidéo outro commence et c'est la même chose que la vidéo d'introduction.</v>
      </c>
    </row>
    <row r="12903">
      <c r="A12903" s="4" t="s">
        <v>16236</v>
      </c>
      <c r="B12903" s="4" t="s">
        <v>16237</v>
      </c>
      <c r="C12903" s="5" t="str">
        <f>IFERROR(__xludf.DUMMYFUNCTION("GOOGLETRANSLATE(B12903,""en"",""fr"")"),"Un logo pour ""The Galley"" avec le slogan ""réinventer la cuisine"" apparaît brièvement.")</f>
        <v>Un logo pour "The Galley" avec le slogan "réinventer la cuisine" apparaît brièvement.</v>
      </c>
    </row>
    <row r="12904">
      <c r="A12904" s="4" t="s">
        <v>16236</v>
      </c>
      <c r="B12904" s="4" t="s">
        <v>16238</v>
      </c>
      <c r="C12904" s="5" t="str">
        <f>IFERROR(__xludf.DUMMYFUNCTION("GOOGLETRANSLATE(B12904,""en"",""fr"")"),"La scène est racontée par une conférencière.")</f>
        <v>La scène est racontée par une conférencière.</v>
      </c>
    </row>
    <row r="12905">
      <c r="A12905" s="4" t="s">
        <v>16236</v>
      </c>
      <c r="B12905" s="6" t="s">
        <v>16239</v>
      </c>
      <c r="C12905" s="5" t="str">
        <f>IFERROR(__xludf.DUMMYFUNCTION("GOOGLETRANSLATE(B12905,""en"",""fr"")"),"Une femme aux cheveux blonds prépare un lavabo à lavage à vaisselle avec un évier suspendu et des barres de séchage au-dessus d'un canal métallique.")</f>
        <v>Une femme aux cheveux blonds prépare un lavabo à lavage à vaisselle avec un évier suspendu et des barres de séchage au-dessus d'un canal métallique.</v>
      </c>
    </row>
    <row r="12906">
      <c r="A12906" s="4" t="s">
        <v>16236</v>
      </c>
      <c r="B12906" s="4" t="s">
        <v>16240</v>
      </c>
      <c r="C12906" s="5" t="str">
        <f>IFERROR(__xludf.DUMMYFUNCTION("GOOGLETRANSLATE(B12906,""en"",""fr"")"),"La femme lave des verres, des assiettes et des couteaux, puis place chacun sur les racks pour sécher.")</f>
        <v>La femme lave des verres, des assiettes et des couteaux, puis place chacun sur les racks pour sécher.</v>
      </c>
    </row>
    <row r="12907">
      <c r="A12907" s="4" t="s">
        <v>16236</v>
      </c>
      <c r="B12907" s="6" t="s">
        <v>16241</v>
      </c>
      <c r="C12907" s="5" t="str">
        <f>IFERROR(__xludf.DUMMYFUNCTION("GOOGLETRANSLATE(B12907,""en"",""fr"")"),"La femme termine en tirant le bouchon sur l'évier suspendu permettant à l'eau de s'écouler dans le canal en dessous.")</f>
        <v>La femme termine en tirant le bouchon sur l'évier suspendu permettant à l'eau de s'écouler dans le canal en dessous.</v>
      </c>
    </row>
    <row r="12908">
      <c r="A12908" s="4" t="s">
        <v>16236</v>
      </c>
      <c r="B12908" s="4" t="s">
        <v>16242</v>
      </c>
      <c r="C12908" s="5" t="str">
        <f>IFERROR(__xludf.DUMMYFUNCTION("GOOGLETRANSLATE(B12908,""en"",""fr"")"),"Le logo ""The Galley"" apparaît à nouveau.")</f>
        <v>Le logo "The Galley" apparaît à nouveau.</v>
      </c>
    </row>
    <row r="12909">
      <c r="A12909" s="4" t="s">
        <v>16243</v>
      </c>
      <c r="B12909" s="4" t="s">
        <v>16244</v>
      </c>
      <c r="C12909" s="5" t="str">
        <f>IFERROR(__xludf.DUMMYFUNCTION("GOOGLETRANSLATE(B12909,""en"",""fr"")"),"La femme est dans l'actualité pour parler à la caméra d'un écran solaire à main.")</f>
        <v>La femme est dans l'actualité pour parler à la caméra d'un écran solaire à main.</v>
      </c>
    </row>
    <row r="12910">
      <c r="A12910" s="4" t="s">
        <v>16243</v>
      </c>
      <c r="B12910" s="6" t="s">
        <v>16245</v>
      </c>
      <c r="C12910" s="5" t="str">
        <f>IFERROR(__xludf.DUMMYFUNCTION("GOOGLETRANSLATE(B12910,""en"",""fr"")"),"La femme tient un tube de crème solaire et le met dans ses bras, ses mains et son visage et la femme en studio continue de parler de la crème solaire naturelle.")</f>
        <v>La femme tient un tube de crème solaire et le met dans ses bras, ses mains et son visage et la femme en studio continue de parler de la crème solaire naturelle.</v>
      </c>
    </row>
    <row r="12911">
      <c r="A12911" s="4" t="s">
        <v>16246</v>
      </c>
      <c r="B12911" s="6" t="s">
        <v>16247</v>
      </c>
      <c r="C12911" s="5" t="str">
        <f>IFERROR(__xludf.DUMMYFUNCTION("GOOGLETRANSLATE(B12911,""en"",""fr"")"),"Une intro du texte mène à plusieurs plans d'une citrouille ainsi qu'à des outils suivis d'un homme sculptant la citrouille.")</f>
        <v>Une intro du texte mène à plusieurs plans d'une citrouille ainsi qu'à des outils suivis d'un homme sculptant la citrouille.</v>
      </c>
    </row>
    <row r="12912">
      <c r="A12912" s="4" t="s">
        <v>16246</v>
      </c>
      <c r="B12912" s="4" t="s">
        <v>16248</v>
      </c>
      <c r="C12912" s="5" t="str">
        <f>IFERROR(__xludf.DUMMYFUNCTION("GOOGLETRANSLATE(B12912,""en"",""fr"")"),"L'homme tire et coupe tout autour de l'avant de la citrouille tout en se déplaçant en mouvement rapide.")</f>
        <v>L'homme tire et coupe tout autour de l'avant de la citrouille tout en se déplaçant en mouvement rapide.</v>
      </c>
    </row>
    <row r="12913">
      <c r="A12913" s="4" t="s">
        <v>16246</v>
      </c>
      <c r="B12913" s="4" t="s">
        <v>16249</v>
      </c>
      <c r="C12913" s="5" t="str">
        <f>IFERROR(__xludf.DUMMYFUNCTION("GOOGLETRANSLATE(B12913,""en"",""fr"")"),"L'homme termine sa citrouille et la caméra se met tout autour du côté.")</f>
        <v>L'homme termine sa citrouille et la caméra se met tout autour du côté.</v>
      </c>
    </row>
    <row r="12914">
      <c r="A12914" s="4" t="s">
        <v>16250</v>
      </c>
      <c r="B12914" s="4" t="s">
        <v>16251</v>
      </c>
      <c r="C12914" s="5" t="str">
        <f>IFERROR(__xludf.DUMMYFUNCTION("GOOGLETRANSLATE(B12914,""en"",""fr"")"),"Un homme se tient à l'extérieur avec un moule à peinture.")</f>
        <v>Un homme se tient à l'extérieur avec un moule à peinture.</v>
      </c>
    </row>
    <row r="12915">
      <c r="A12915" s="4" t="s">
        <v>16250</v>
      </c>
      <c r="B12915" s="4" t="s">
        <v>16252</v>
      </c>
      <c r="C12915" s="5" t="str">
        <f>IFERROR(__xludf.DUMMYFUNCTION("GOOGLETRANSLATE(B12915,""en"",""fr"")"),"Il parle alors qu'il montre comment peindre du bois extérieur.")</f>
        <v>Il parle alors qu'il montre comment peindre du bois extérieur.</v>
      </c>
    </row>
    <row r="12916">
      <c r="A12916" s="4" t="s">
        <v>16250</v>
      </c>
      <c r="B12916" s="4" t="s">
        <v>16253</v>
      </c>
      <c r="C12916" s="5" t="str">
        <f>IFERROR(__xludf.DUMMYFUNCTION("GOOGLETRANSLATE(B12916,""en"",""fr"")"),"Il montre un rouleau de peinture.")</f>
        <v>Il montre un rouleau de peinture.</v>
      </c>
    </row>
    <row r="12917">
      <c r="A12917" s="4" t="s">
        <v>16250</v>
      </c>
      <c r="B12917" s="4" t="s">
        <v>16254</v>
      </c>
      <c r="C12917" s="5" t="str">
        <f>IFERROR(__xludf.DUMMYFUNCTION("GOOGLETRANSLATE(B12917,""en"",""fr"")"),"Il continue de parler du processus tel qu'il est là.")</f>
        <v>Il continue de parler du processus tel qu'il est là.</v>
      </c>
    </row>
    <row r="12918">
      <c r="A12918" s="4" t="s">
        <v>16255</v>
      </c>
      <c r="B12918" s="4" t="s">
        <v>16256</v>
      </c>
      <c r="C12918" s="5" t="str">
        <f>IFERROR(__xludf.DUMMYFUNCTION("GOOGLETRANSLATE(B12918,""en"",""fr"")"),"Un homme tient un bar alors qu'il se tient sur un ski nautique.")</f>
        <v>Un homme tient un bar alors qu'il se tient sur un ski nautique.</v>
      </c>
    </row>
    <row r="12919">
      <c r="A12919" s="4" t="s">
        <v>16255</v>
      </c>
      <c r="B12919" s="4" t="s">
        <v>16257</v>
      </c>
      <c r="C12919" s="5" t="str">
        <f>IFERROR(__xludf.DUMMYFUNCTION("GOOGLETRANSLATE(B12919,""en"",""fr"")"),"Il est tiré dans l'eau par un bateau à moteur.")</f>
        <v>Il est tiré dans l'eau par un bateau à moteur.</v>
      </c>
    </row>
    <row r="12920">
      <c r="A12920" s="4" t="s">
        <v>16255</v>
      </c>
      <c r="B12920" s="4" t="s">
        <v>16258</v>
      </c>
      <c r="C12920" s="5" t="str">
        <f>IFERROR(__xludf.DUMMYFUNCTION("GOOGLETRANSLATE(B12920,""en"",""fr"")"),"Il skie nautique sur un long lac, essayant de rester debout.")</f>
        <v>Il skie nautique sur un long lac, essayant de rester debout.</v>
      </c>
    </row>
    <row r="12921">
      <c r="A12921" s="4" t="s">
        <v>16259</v>
      </c>
      <c r="B12921" s="4" t="s">
        <v>16260</v>
      </c>
      <c r="C12921" s="5" t="str">
        <f>IFERROR(__xludf.DUMMYFUNCTION("GOOGLETRANSLATE(B12921,""en"",""fr"")"),"Une femme dans un peignoir faisant face à un miroir nettoie ses mains.")</f>
        <v>Une femme dans un peignoir faisant face à un miroir nettoie ses mains.</v>
      </c>
    </row>
    <row r="12922">
      <c r="A12922" s="4" t="s">
        <v>16259</v>
      </c>
      <c r="B12922" s="4" t="s">
        <v>16261</v>
      </c>
      <c r="C12922" s="5" t="str">
        <f>IFERROR(__xludf.DUMMYFUNCTION("GOOGLETRANSLATE(B12922,""en"",""fr"")"),"La caméra coupe les scènes de gros plan de ses doigts qui ramassent une lentille de contact et le maintiennent.")</f>
        <v>La caméra coupe les scènes de gros plan de ses doigts qui ramassent une lentille de contact et le maintiennent.</v>
      </c>
    </row>
    <row r="12923">
      <c r="A12923" s="4" t="s">
        <v>16259</v>
      </c>
      <c r="B12923" s="4" t="s">
        <v>16262</v>
      </c>
      <c r="C12923" s="5" t="str">
        <f>IFERROR(__xludf.DUMMYFUNCTION("GOOGLETRANSLATE(B12923,""en"",""fr"")"),"La caméra coupe brièvement le visage de la femme avant de revenir.")</f>
        <v>La caméra coupe brièvement le visage de la femme avant de revenir.</v>
      </c>
    </row>
    <row r="12924">
      <c r="A12924" s="4" t="s">
        <v>16259</v>
      </c>
      <c r="B12924" s="4" t="s">
        <v>16263</v>
      </c>
      <c r="C12924" s="5" t="str">
        <f>IFERROR(__xludf.DUMMYFUNCTION("GOOGLETRANSLATE(B12924,""en"",""fr"")"),"La femme met la lentille de contact sur son œil.")</f>
        <v>La femme met la lentille de contact sur son œil.</v>
      </c>
    </row>
    <row r="12925">
      <c r="A12925" s="4" t="s">
        <v>16259</v>
      </c>
      <c r="B12925" s="4" t="s">
        <v>16264</v>
      </c>
      <c r="C12925" s="5" t="str">
        <f>IFERROR(__xludf.DUMMYFUNCTION("GOOGLETRANSLATE(B12925,""en"",""fr"")"),"La femme applique une solution de lentille de contact dans son cas de transport d'objectif.")</f>
        <v>La femme applique une solution de lentille de contact dans son cas de transport d'objectif.</v>
      </c>
    </row>
    <row r="12926">
      <c r="A12926" s="4" t="s">
        <v>16259</v>
      </c>
      <c r="B12926" s="4" t="s">
        <v>16265</v>
      </c>
      <c r="C12926" s="5" t="str">
        <f>IFERROR(__xludf.DUMMYFUNCTION("GOOGLETRANSLATE(B12926,""en"",""fr"")"),"La femme se lave les mains.")</f>
        <v>La femme se lave les mains.</v>
      </c>
    </row>
    <row r="12927">
      <c r="A12927" s="4" t="s">
        <v>16259</v>
      </c>
      <c r="B12927" s="4" t="s">
        <v>16266</v>
      </c>
      <c r="C12927" s="5" t="str">
        <f>IFERROR(__xludf.DUMMYFUNCTION("GOOGLETRANSLATE(B12927,""en"",""fr"")"),"La femme retire l'objectif de contact de son œil.")</f>
        <v>La femme retire l'objectif de contact de son œil.</v>
      </c>
    </row>
    <row r="12928">
      <c r="A12928" s="4" t="s">
        <v>16259</v>
      </c>
      <c r="B12928" s="4" t="s">
        <v>16267</v>
      </c>
      <c r="C12928" s="5" t="str">
        <f>IFERROR(__xludf.DUMMYFUNCTION("GOOGLETRANSLATE(B12928,""en"",""fr"")"),"La femme place l'objectif sur sa paume et, en utilisant une solution, la nettoie.")</f>
        <v>La femme place l'objectif sur sa paume et, en utilisant une solution, la nettoie.</v>
      </c>
    </row>
    <row r="12929">
      <c r="A12929" s="4" t="s">
        <v>16259</v>
      </c>
      <c r="B12929" s="4" t="s">
        <v>16268</v>
      </c>
      <c r="C12929" s="5" t="str">
        <f>IFERROR(__xludf.DUMMYFUNCTION("GOOGLETRANSLATE(B12929,""en"",""fr"")"),"La femme place l'objectif dans le boîtier et ajoute une solution.")</f>
        <v>La femme place l'objectif dans le boîtier et ajoute une solution.</v>
      </c>
    </row>
    <row r="12930">
      <c r="A12930" s="4" t="s">
        <v>16259</v>
      </c>
      <c r="B12930" s="4" t="s">
        <v>16269</v>
      </c>
      <c r="C12930" s="5" t="str">
        <f>IFERROR(__xludf.DUMMYFUNCTION("GOOGLETRANSLATE(B12930,""en"",""fr"")"),"La femme commence à quitter le cadre de la caméra.")</f>
        <v>La femme commence à quitter le cadre de la caméra.</v>
      </c>
    </row>
    <row r="12931">
      <c r="A12931" s="4" t="s">
        <v>16270</v>
      </c>
      <c r="B12931" s="4" t="s">
        <v>16271</v>
      </c>
      <c r="C12931" s="5" t="str">
        <f>IFERROR(__xludf.DUMMYFUNCTION("GOOGLETRANSLATE(B12931,""en"",""fr"")"),"Une personne est vue assise sur un vélo avant qu'une piste ne regarde en bas.")</f>
        <v>Une personne est vue assise sur un vélo avant qu'une piste ne regarde en bas.</v>
      </c>
    </row>
    <row r="12932">
      <c r="A12932" s="4" t="s">
        <v>16270</v>
      </c>
      <c r="B12932" s="4" t="s">
        <v>16272</v>
      </c>
      <c r="C12932" s="5" t="str">
        <f>IFERROR(__xludf.DUMMYFUNCTION("GOOGLETRANSLATE(B12932,""en"",""fr"")"),"L'homme commence alors à rouler sur la piste avec plusieurs autres roulant devant.")</f>
        <v>L'homme commence alors à rouler sur la piste avec plusieurs autres roulant devant.</v>
      </c>
    </row>
    <row r="12933">
      <c r="A12933" s="4" t="s">
        <v>16270</v>
      </c>
      <c r="B12933" s="4" t="s">
        <v>16273</v>
      </c>
      <c r="C12933" s="5" t="str">
        <f>IFERROR(__xludf.DUMMYFUNCTION("GOOGLETRANSLATE(B12933,""en"",""fr"")"),"La personne monte tout autour de la zone et se termine par un logo Go Pro.")</f>
        <v>La personne monte tout autour de la zone et se termine par un logo Go Pro.</v>
      </c>
    </row>
    <row r="12934">
      <c r="A12934" s="4" t="s">
        <v>16274</v>
      </c>
      <c r="B12934" s="6" t="s">
        <v>16275</v>
      </c>
      <c r="C12934" s="5" t="str">
        <f>IFERROR(__xludf.DUMMYFUNCTION("GOOGLETRANSLATE(B12934,""en"",""fr"")"),"Un homme portant un costume dans la ville descend dans les rues de New York et rencontre un autre homme qui aime comme lui.")</f>
        <v>Un homme portant un costume dans la ville descend dans les rues de New York et rencontre un autre homme qui aime comme lui.</v>
      </c>
    </row>
    <row r="12935">
      <c r="A12935" s="4" t="s">
        <v>16274</v>
      </c>
      <c r="B12935" s="4" t="s">
        <v>16276</v>
      </c>
      <c r="C12935" s="5" t="str">
        <f>IFERROR(__xludf.DUMMYFUNCTION("GOOGLETRANSLATE(B12935,""en"",""fr"")"),"Les hommes comparent les articles puis effectuent une routine de danse au centre.")</f>
        <v>Les hommes comparent les articles puis effectuent une routine de danse au centre.</v>
      </c>
    </row>
    <row r="12936">
      <c r="A12936" s="4" t="s">
        <v>16274</v>
      </c>
      <c r="B12936" s="4" t="s">
        <v>16277</v>
      </c>
      <c r="C12936" s="5" t="str">
        <f>IFERROR(__xludf.DUMMYFUNCTION("GOOGLETRANSLATE(B12936,""en"",""fr"")"),"Les hommes attrapent les mains pour mettre fin à la routine puis s'éloigner les uns des autres.")</f>
        <v>Les hommes attrapent les mains pour mettre fin à la routine puis s'éloigner les uns des autres.</v>
      </c>
    </row>
    <row r="12937">
      <c r="A12937" s="4" t="s">
        <v>16278</v>
      </c>
      <c r="B12937" s="6" t="s">
        <v>16279</v>
      </c>
      <c r="C12937" s="5" t="str">
        <f>IFERROR(__xludf.DUMMYFUNCTION("GOOGLETRANSLATE(B12937,""en"",""fr"")"),"Une athlète est vue en avant en secouant les bras et les jambes et ajustant son maillot de bain.")</f>
        <v>Une athlète est vue en avant en secouant les bras et les jambes et ajustant son maillot de bain.</v>
      </c>
    </row>
    <row r="12938">
      <c r="A12938" s="4" t="s">
        <v>16278</v>
      </c>
      <c r="B12938" s="6" t="s">
        <v>16280</v>
      </c>
      <c r="C12938" s="5" t="str">
        <f>IFERROR(__xludf.DUMMYFUNCTION("GOOGLETRANSLATE(B12938,""en"",""fr"")"),"La fille se penche en avant et effectue une plongée dans la piscine tandis que la caméra se remet à un tableau de bord.")</f>
        <v>La fille se penche en avant et effectue une plongée dans la piscine tandis que la caméra se remet à un tableau de bord.</v>
      </c>
    </row>
    <row r="12939">
      <c r="A12939" s="4" t="s">
        <v>16281</v>
      </c>
      <c r="B12939" s="4" t="s">
        <v>16282</v>
      </c>
      <c r="C12939" s="5" t="str">
        <f>IFERROR(__xludf.DUMMYFUNCTION("GOOGLETRANSLATE(B12939,""en"",""fr"")"),"Un homme a le pied sur les toilettes.")</f>
        <v>Un homme a le pied sur les toilettes.</v>
      </c>
    </row>
    <row r="12940">
      <c r="A12940" s="4" t="s">
        <v>16281</v>
      </c>
      <c r="B12940" s="4" t="s">
        <v>16283</v>
      </c>
      <c r="C12940" s="5" t="str">
        <f>IFERROR(__xludf.DUMMYFUNCTION("GOOGLETRANSLATE(B12940,""en"",""fr"")"),"Il commence à se raser la jambe avec un rasoir.")</f>
        <v>Il commence à se raser la jambe avec un rasoir.</v>
      </c>
    </row>
    <row r="12941">
      <c r="A12941" s="4" t="s">
        <v>16281</v>
      </c>
      <c r="B12941" s="4" t="s">
        <v>16284</v>
      </c>
      <c r="C12941" s="5" t="str">
        <f>IFERROR(__xludf.DUMMYFUNCTION("GOOGLETRANSLATE(B12941,""en"",""fr"")"),"Il tire son pantalon et commence à raser son autre jambe.")</f>
        <v>Il tire son pantalon et commence à raser son autre jambe.</v>
      </c>
    </row>
    <row r="12942">
      <c r="A12942" s="4" t="s">
        <v>16285</v>
      </c>
      <c r="B12942" s="4" t="s">
        <v>16286</v>
      </c>
      <c r="C12942" s="5" t="str">
        <f>IFERROR(__xludf.DUMMYFUNCTION("GOOGLETRANSLATE(B12942,""en"",""fr"")"),"Un homme pellette du paillis dans un baril de roue.")</f>
        <v>Un homme pellette du paillis dans un baril de roue.</v>
      </c>
    </row>
    <row r="12943">
      <c r="A12943" s="4" t="s">
        <v>16285</v>
      </c>
      <c r="B12943" s="6" t="s">
        <v>16287</v>
      </c>
      <c r="C12943" s="5" t="str">
        <f>IFERROR(__xludf.DUMMYFUNCTION("GOOGLETRANSLATE(B12943,""en"",""fr"")"),"Il amène le baril de roue et le jette dans une pile où une femme utilise un râteau pour la répandre uniformément.")</f>
        <v>Il amène le baril de roue et le jette dans une pile où une femme utilise un râteau pour la répandre uniformément.</v>
      </c>
    </row>
    <row r="12944">
      <c r="A12944" s="4" t="s">
        <v>16285</v>
      </c>
      <c r="B12944" s="4" t="s">
        <v>16288</v>
      </c>
      <c r="C12944" s="5" t="str">
        <f>IFERROR(__xludf.DUMMYFUNCTION("GOOGLETRANSLATE(B12944,""en"",""fr"")"),"Ils continuent de provoquer des charges de paillis et un homme jette un petit tracteur de saleté.")</f>
        <v>Ils continuent de provoquer des charges de paillis et un homme jette un petit tracteur de saleté.</v>
      </c>
    </row>
    <row r="12945">
      <c r="A12945" s="4" t="s">
        <v>16285</v>
      </c>
      <c r="B12945" s="4" t="s">
        <v>16289</v>
      </c>
      <c r="C12945" s="5" t="str">
        <f>IFERROR(__xludf.DUMMYFUNCTION("GOOGLETRANSLATE(B12945,""en"",""fr"")"),"Il roule sur le petit cerf John Tractor tandis que les autres continuent de ratir.")</f>
        <v>Il roule sur le petit cerf John Tractor tandis que les autres continuent de ratir.</v>
      </c>
    </row>
    <row r="12946">
      <c r="A12946" s="4" t="s">
        <v>16290</v>
      </c>
      <c r="B12946" s="6" t="s">
        <v>16291</v>
      </c>
      <c r="C12946" s="5" t="str">
        <f>IFERROR(__xludf.DUMMYFUNCTION("GOOGLETRANSLATE(B12946,""en"",""fr"")"),"Une personne est vue se promener dans un champ suivi de plusieurs coups de feu et de gens qui regardent sur les côtés.")</f>
        <v>Une personne est vue se promener dans un champ suivi de plusieurs coups de feu et de gens qui regardent sur les côtés.</v>
      </c>
    </row>
    <row r="12947">
      <c r="A12947" s="4" t="s">
        <v>16290</v>
      </c>
      <c r="B12947" s="4" t="s">
        <v>16292</v>
      </c>
      <c r="C12947" s="5" t="str">
        <f>IFERROR(__xludf.DUMMYFUNCTION("GOOGLETRANSLATE(B12947,""en"",""fr"")"),"La vidéo passe à plusieurs plans de formateurs faisant des trucs avec leurs chiens utilisant des Frisbees.")</f>
        <v>La vidéo passe à plusieurs plans de formateurs faisant des trucs avec leurs chiens utilisant des Frisbees.</v>
      </c>
    </row>
    <row r="12948">
      <c r="A12948" s="4" t="s">
        <v>16290</v>
      </c>
      <c r="B12948" s="6" t="s">
        <v>16293</v>
      </c>
      <c r="C12948" s="5" t="str">
        <f>IFERROR(__xludf.DUMMYFUNCTION("GOOGLETRANSLATE(B12948,""en"",""fr"")"),"Les gens jettent continuellement le frisbee autour du terrain pendant que le chien poursuit après et court sur le terrain.")</f>
        <v>Les gens jettent continuellement le frisbee autour du terrain pendant que le chien poursuit après et court sur le terrain.</v>
      </c>
    </row>
    <row r="12949">
      <c r="A12949" s="4" t="s">
        <v>16294</v>
      </c>
      <c r="B12949" s="6" t="s">
        <v>16295</v>
      </c>
      <c r="C12949" s="5" t="str">
        <f>IFERROR(__xludf.DUMMYFUNCTION("GOOGLETRANSLATE(B12949,""en"",""fr"")"),"La vidéo commence par un homme effectuant divers mouvements de ballet tandis que la caméra suit et se répète au ralenti.")</f>
        <v>La vidéo commence par un homme effectuant divers mouvements de ballet tandis que la caméra suit et se répète au ralenti.</v>
      </c>
    </row>
    <row r="12950">
      <c r="A12950" s="4" t="s">
        <v>16294</v>
      </c>
      <c r="B12950" s="4" t="s">
        <v>16296</v>
      </c>
      <c r="C12950" s="5" t="str">
        <f>IFERROR(__xludf.DUMMYFUNCTION("GOOGLETRANSLATE(B12950,""en"",""fr"")"),"L'homme interviewe la caméra et mène à un autre danseur en effectuant des étapes.")</f>
        <v>L'homme interviewe la caméra et mène à un autre danseur en effectuant des étapes.</v>
      </c>
    </row>
    <row r="12951">
      <c r="A12951" s="4" t="s">
        <v>16294</v>
      </c>
      <c r="B12951" s="4" t="s">
        <v>16297</v>
      </c>
      <c r="C12951" s="5" t="str">
        <f>IFERROR(__xludf.DUMMYFUNCTION("GOOGLETRANSLATE(B12951,""en"",""fr"")"),"Plusieurs autres personnes sont vues jouer des mouvements de danse et parler à la caméra.")</f>
        <v>Plusieurs autres personnes sont vues jouer des mouvements de danse et parler à la caméra.</v>
      </c>
    </row>
    <row r="12952">
      <c r="A12952" s="4" t="s">
        <v>16298</v>
      </c>
      <c r="B12952" s="4" t="s">
        <v>16299</v>
      </c>
      <c r="C12952" s="5" t="str">
        <f>IFERROR(__xludf.DUMMYFUNCTION("GOOGLETRANSLATE(B12952,""en"",""fr"")"),"Une personne montre un meuble.")</f>
        <v>Une personne montre un meuble.</v>
      </c>
    </row>
    <row r="12953">
      <c r="A12953" s="4" t="s">
        <v>16298</v>
      </c>
      <c r="B12953" s="4" t="s">
        <v>16300</v>
      </c>
      <c r="C12953" s="5" t="str">
        <f>IFERROR(__xludf.DUMMYFUNCTION("GOOGLETRANSLATE(B12953,""en"",""fr"")"),"Ensuite, la personne couvre une boîte en bois avec du tapis et coupe les restes.")</f>
        <v>Ensuite, la personne couvre une boîte en bois avec du tapis et coupe les restes.</v>
      </c>
    </row>
    <row r="12954">
      <c r="A12954" s="4" t="s">
        <v>16298</v>
      </c>
      <c r="B12954" s="4" t="s">
        <v>16301</v>
      </c>
      <c r="C12954" s="5" t="str">
        <f>IFERROR(__xludf.DUMMYFUNCTION("GOOGLETRANSLATE(B12954,""en"",""fr"")"),"Ensuite, la personne pliez le tapis sur les bordures et coupez les pièces qui ne sont pas nécessaires.")</f>
        <v>Ensuite, la personne pliez le tapis sur les bordures et coupez les pièces qui ne sont pas nécessaires.</v>
      </c>
    </row>
    <row r="12955">
      <c r="A12955" s="4" t="s">
        <v>16302</v>
      </c>
      <c r="B12955" s="6" t="s">
        <v>16303</v>
      </c>
      <c r="C12955" s="5" t="str">
        <f>IFERROR(__xludf.DUMMYFUNCTION("GOOGLETRANSLATE(B12955,""en"",""fr"")"),"Une femme de caucasion se tient dans la cuisine en train de parler à un tout-petit et ils commencent à se cogner sur l'île.")</f>
        <v>Une femme de caucasion se tient dans la cuisine en train de parler à un tout-petit et ils commencent à se cogner sur l'île.</v>
      </c>
    </row>
    <row r="12956">
      <c r="A12956" s="4" t="s">
        <v>16302</v>
      </c>
      <c r="B12956" s="4" t="s">
        <v>16304</v>
      </c>
      <c r="C12956" s="5" t="str">
        <f>IFERROR(__xludf.DUMMYFUNCTION("GOOGLETRANSLATE(B12956,""en"",""fr"")"),"Un écran rouge apparaît avec une image de la limonade et les deux réapparaissent.")</f>
        <v>Un écran rouge apparaît avec une image de la limonade et les deux réapparaissent.</v>
      </c>
    </row>
    <row r="12957">
      <c r="A12957" s="4" t="s">
        <v>16302</v>
      </c>
      <c r="B12957" s="4" t="s">
        <v>16305</v>
      </c>
      <c r="C12957" s="5" t="str">
        <f>IFERROR(__xludf.DUMMYFUNCTION("GOOGLETRANSLATE(B12957,""en"",""fr"")"),"La dame commence à parler extrêmement énergique à la caméra.")</f>
        <v>La dame commence à parler extrêmement énergique à la caméra.</v>
      </c>
    </row>
    <row r="12958">
      <c r="A12958" s="4" t="s">
        <v>16302</v>
      </c>
      <c r="B12958" s="6" t="s">
        <v>16306</v>
      </c>
      <c r="C12958" s="5" t="str">
        <f>IFERROR(__xludf.DUMMYFUNCTION("GOOGLETRANSLATE(B12958,""en"",""fr"")"),"Les deux commencent alors à jeter des ingrédients dans un mélangeur, en commençant par des fraises et en se terminant par du sirop.")</f>
        <v>Les deux commencent alors à jeter des ingrédients dans un mélangeur, en commençant par des fraises et en se terminant par du sirop.</v>
      </c>
    </row>
    <row r="12959">
      <c r="A12959" s="4" t="s">
        <v>16302</v>
      </c>
      <c r="B12959" s="4" t="s">
        <v>16307</v>
      </c>
      <c r="C12959" s="5" t="str">
        <f>IFERROR(__xludf.DUMMYFUNCTION("GOOGLETRANSLATE(B12959,""en"",""fr"")"),"Enfin, le tout-petit jette une tasse de glace dans le mélangeur et la dame mélange les ingrédients.")</f>
        <v>Enfin, le tout-petit jette une tasse de glace dans le mélangeur et la dame mélange les ingrédients.</v>
      </c>
    </row>
    <row r="12960">
      <c r="A12960" s="4" t="s">
        <v>16302</v>
      </c>
      <c r="B12960" s="4" t="s">
        <v>16308</v>
      </c>
      <c r="C12960" s="5" t="str">
        <f>IFERROR(__xludf.DUMMYFUNCTION("GOOGLETRANSLATE(B12960,""en"",""fr"")"),"Une fois terminé, la dame attrape deux tasses et les remplit et les deux profitent d'un verre ensemble.")</f>
        <v>Une fois terminé, la dame attrape deux tasses et les remplit et les deux profitent d'un verre ensemble.</v>
      </c>
    </row>
    <row r="12961">
      <c r="A12961" s="4" t="s">
        <v>16309</v>
      </c>
      <c r="B12961" s="4" t="s">
        <v>16310</v>
      </c>
      <c r="C12961" s="5" t="str">
        <f>IFERROR(__xludf.DUMMYFUNCTION("GOOGLETRANSLATE(B12961,""en"",""fr"")"),"Un petit garçon se tient dans un salon.")</f>
        <v>Un petit garçon se tient dans un salon.</v>
      </c>
    </row>
    <row r="12962">
      <c r="A12962" s="4" t="s">
        <v>16309</v>
      </c>
      <c r="B12962" s="4" t="s">
        <v>16311</v>
      </c>
      <c r="C12962" s="5" t="str">
        <f>IFERROR(__xludf.DUMMYFUNCTION("GOOGLETRANSLATE(B12962,""en"",""fr"")"),"Il lance des fléchettes sur une cible.")</f>
        <v>Il lance des fléchettes sur une cible.</v>
      </c>
    </row>
    <row r="12963">
      <c r="A12963" s="4" t="s">
        <v>16309</v>
      </c>
      <c r="B12963" s="4" t="s">
        <v>16312</v>
      </c>
      <c r="C12963" s="5" t="str">
        <f>IFERROR(__xludf.DUMMYFUNCTION("GOOGLETRANSLATE(B12963,""en"",""fr"")"),"Il marche et retire les fléchettes avant de réessayer.")</f>
        <v>Il marche et retire les fléchettes avant de réessayer.</v>
      </c>
    </row>
    <row r="12964">
      <c r="A12964" s="4" t="s">
        <v>16313</v>
      </c>
      <c r="B12964" s="6" t="s">
        <v>16314</v>
      </c>
      <c r="C12964" s="5" t="str">
        <f>IFERROR(__xludf.DUMMYFUNCTION("GOOGLETRANSLATE(B12964,""en"",""fr"")"),"L'alcool est montré versé dans un verre et mène dans une femme tenant un verre et y versant de la glace.")</f>
        <v>L'alcool est montré versé dans un verre et mène dans une femme tenant un verre et y versant de la glace.</v>
      </c>
    </row>
    <row r="12965">
      <c r="A12965" s="4" t="s">
        <v>16313</v>
      </c>
      <c r="B12965" s="6" t="s">
        <v>16315</v>
      </c>
      <c r="C12965" s="5" t="str">
        <f>IFERROR(__xludf.DUMMYFUNCTION("GOOGLETRANSLATE(B12965,""en"",""fr"")"),"La femme verse ensuite divers mélanges d'alcool dans le verre et se termine en présentant le verre à la caméra.")</f>
        <v>La femme verse ensuite divers mélanges d'alcool dans le verre et se termine en présentant le verre à la caméra.</v>
      </c>
    </row>
    <row r="12966">
      <c r="A12966" s="4" t="s">
        <v>16316</v>
      </c>
      <c r="B12966" s="6" t="s">
        <v>16317</v>
      </c>
      <c r="C12966" s="5" t="str">
        <f>IFERROR(__xludf.DUMMYFUNCTION("GOOGLETRANSLATE(B12966,""en"",""fr"")"),"Une gymnaste américaine grimpe le faisceau d'équilibre, elle effectue quatre flips vers l'arrière et un flip vers l'avant.")</f>
        <v>Une gymnaste américaine grimpe le faisceau d'équilibre, elle effectue quatre flips vers l'arrière et un flip vers l'avant.</v>
      </c>
    </row>
    <row r="12967">
      <c r="A12967" s="4" t="s">
        <v>16316</v>
      </c>
      <c r="B12967" s="6" t="s">
        <v>16318</v>
      </c>
      <c r="C12967" s="5" t="str">
        <f>IFERROR(__xludf.DUMMYFUNCTION("GOOGLETRANSLATE(B12967,""en"",""fr"")"),"Ensuite, la gymnaste tourne vers l'arrière une fois sur le côté, puis elle saute et se retourne deux fois vers l'arrière.")</f>
        <v>Ensuite, la gymnaste tourne vers l'arrière une fois sur le côté, puis elle saute et se retourne deux fois vers l'arrière.</v>
      </c>
    </row>
    <row r="12968">
      <c r="A12968" s="4" t="s">
        <v>16316</v>
      </c>
      <c r="B12968" s="4" t="s">
        <v>16319</v>
      </c>
      <c r="C12968" s="5" t="str">
        <f>IFERROR(__xludf.DUMMYFUNCTION("GOOGLETRANSLATE(B12968,""en"",""fr"")"),"Après que la gymnaste saute, tourne et tourne.")</f>
        <v>Après que la gymnaste saute, tourne et tourne.</v>
      </c>
    </row>
    <row r="12969">
      <c r="A12969" s="4" t="s">
        <v>16316</v>
      </c>
      <c r="B12969" s="6" t="s">
        <v>16320</v>
      </c>
      <c r="C12969" s="5" t="str">
        <f>IFERROR(__xludf.DUMMYFUNCTION("GOOGLETRANSLATE(B12969,""en"",""fr"")"),"La gymnaste se tient à l'extrémité du faisceau, puis elle court et se retourne jusqu'aux heures et se stand sur le tapis.")</f>
        <v>La gymnaste se tient à l'extrémité du faisceau, puis elle court et se retourne jusqu'aux heures et se stand sur le tapis.</v>
      </c>
    </row>
    <row r="12970">
      <c r="A12970" s="4" t="s">
        <v>16316</v>
      </c>
      <c r="B12970" s="4" t="s">
        <v>16321</v>
      </c>
      <c r="C12970" s="5" t="str">
        <f>IFERROR(__xludf.DUMMYFUNCTION("GOOGLETRANSLATE(B12970,""en"",""fr"")"),"Après, la gymnaste lève les bras et elle est félicitée par les gens.")</f>
        <v>Après, la gymnaste lève les bras et elle est félicitée par les gens.</v>
      </c>
    </row>
    <row r="12971">
      <c r="A12971" s="4" t="s">
        <v>16316</v>
      </c>
      <c r="B12971" s="4" t="s">
        <v>16322</v>
      </c>
      <c r="C12971" s="5" t="str">
        <f>IFERROR(__xludf.DUMMYFUNCTION("GOOGLETRANSLATE(B12971,""en"",""fr"")"),"La routine de la gymnaste se répète à nouveau.")</f>
        <v>La routine de la gymnaste se répète à nouveau.</v>
      </c>
    </row>
    <row r="12972">
      <c r="A12972" s="4" t="s">
        <v>16323</v>
      </c>
      <c r="B12972" s="4" t="s">
        <v>16324</v>
      </c>
      <c r="C12972" s="5" t="str">
        <f>IFERROR(__xludf.DUMMYFUNCTION("GOOGLETRANSLATE(B12972,""en"",""fr"")"),"Une photo avant et après est montrée.")</f>
        <v>Une photo avant et après est montrée.</v>
      </c>
    </row>
    <row r="12973">
      <c r="A12973" s="4" t="s">
        <v>16323</v>
      </c>
      <c r="B12973" s="4" t="s">
        <v>16325</v>
      </c>
      <c r="C12973" s="5" t="str">
        <f>IFERROR(__xludf.DUMMYFUNCTION("GOOGLETRANSLATE(B12973,""en"",""fr"")"),"Une personne est ensuite montrée en mettant une éponge et en frottant un évier.")</f>
        <v>Une personne est ensuite montrée en mettant une éponge et en frottant un évier.</v>
      </c>
    </row>
    <row r="12974">
      <c r="A12974" s="4" t="s">
        <v>16323</v>
      </c>
      <c r="B12974" s="4" t="s">
        <v>16326</v>
      </c>
      <c r="C12974" s="5" t="str">
        <f>IFERROR(__xludf.DUMMYFUNCTION("GOOGLETRANSLATE(B12974,""en"",""fr"")"),"Les produits de nettoyage et l'évier propre sont ensuite illustrés.")</f>
        <v>Les produits de nettoyage et l'évier propre sont ensuite illustrés.</v>
      </c>
    </row>
    <row r="12975">
      <c r="A12975" s="4" t="s">
        <v>16327</v>
      </c>
      <c r="B12975" s="4" t="s">
        <v>16328</v>
      </c>
      <c r="C12975" s="5" t="str">
        <f>IFERROR(__xludf.DUMMYFUNCTION("GOOGLETRANSLATE(B12975,""en"",""fr"")"),"Six enfants portant des vêtements blancs et des ceintures d'orange sont dans une pièce avec d'autres qui regardent.")</f>
        <v>Six enfants portant des vêtements blancs et des ceintures d'orange sont dans une pièce avec d'autres qui regardent.</v>
      </c>
    </row>
    <row r="12976">
      <c r="A12976" s="4" t="s">
        <v>16327</v>
      </c>
      <c r="B12976" s="4" t="s">
        <v>16329</v>
      </c>
      <c r="C12976" s="5" t="str">
        <f>IFERROR(__xludf.DUMMYFUNCTION("GOOGLETRANSLATE(B12976,""en"",""fr"")"),"Un homme crie un ordre et les enfants démontrent leur taekwondo.")</f>
        <v>Un homme crie un ordre et les enfants démontrent leur taekwondo.</v>
      </c>
    </row>
    <row r="12977">
      <c r="A12977" s="4" t="s">
        <v>16327</v>
      </c>
      <c r="B12977" s="4" t="s">
        <v>16330</v>
      </c>
      <c r="C12977" s="5" t="str">
        <f>IFERROR(__xludf.DUMMYFUNCTION("GOOGLETRANSLATE(B12977,""en"",""fr"")"),"L'homme crie à nouveau et les enfants s'alignent et s'inclinent.")</f>
        <v>L'homme crie à nouveau et les enfants s'alignent et s'inclinent.</v>
      </c>
    </row>
    <row r="12978">
      <c r="A12978" s="4" t="s">
        <v>16327</v>
      </c>
      <c r="B12978" s="4" t="s">
        <v>16331</v>
      </c>
      <c r="C12978" s="5" t="str">
        <f>IFERROR(__xludf.DUMMYFUNCTION("GOOGLETRANSLATE(B12978,""en"",""fr"")"),"Les enfants démontrent des pose comme l'homme leur ordonne.")</f>
        <v>Les enfants démontrent des pose comme l'homme leur ordonne.</v>
      </c>
    </row>
    <row r="12979">
      <c r="A12979" s="4" t="s">
        <v>16327</v>
      </c>
      <c r="B12979" s="4" t="s">
        <v>16332</v>
      </c>
      <c r="C12979" s="5" t="str">
        <f>IFERROR(__xludf.DUMMYFUNCTION("GOOGLETRANSLATE(B12979,""en"",""fr"")"),"Ils effectuent ensuite plus de mouvements d'arts martiaux.")</f>
        <v>Ils effectuent ensuite plus de mouvements d'arts martiaux.</v>
      </c>
    </row>
    <row r="12980">
      <c r="A12980" s="4" t="s">
        <v>16327</v>
      </c>
      <c r="B12980" s="4" t="s">
        <v>16333</v>
      </c>
      <c r="C12980" s="5" t="str">
        <f>IFERROR(__xludf.DUMMYFUNCTION("GOOGLETRANSLATE(B12980,""en"",""fr"")"),"Ils retournent sur la ligne dans laquelle ils se tenaient auparavant.")</f>
        <v>Ils retournent sur la ligne dans laquelle ils se tenaient auparavant.</v>
      </c>
    </row>
    <row r="12981">
      <c r="A12981" s="4" t="s">
        <v>16327</v>
      </c>
      <c r="B12981" s="4" t="s">
        <v>16334</v>
      </c>
      <c r="C12981" s="5" t="str">
        <f>IFERROR(__xludf.DUMMYFUNCTION("GOOGLETRANSLATE(B12981,""en"",""fr"")"),"Ils démontrent des mouvements supplémentaires, notamment des coups de pied et des coups de poing.")</f>
        <v>Ils démontrent des mouvements supplémentaires, notamment des coups de pied et des coups de poing.</v>
      </c>
    </row>
    <row r="12982">
      <c r="A12982" s="4" t="s">
        <v>16327</v>
      </c>
      <c r="B12982" s="4" t="s">
        <v>16335</v>
      </c>
      <c r="C12982" s="5" t="str">
        <f>IFERROR(__xludf.DUMMYFUNCTION("GOOGLETRANSLATE(B12982,""en"",""fr"")"),"Ils s'alignent à nouveau et s'inclinent pour la deuxième fois.")</f>
        <v>Ils s'alignent à nouveau et s'inclinent pour la deuxième fois.</v>
      </c>
    </row>
    <row r="12983">
      <c r="A12983" s="4" t="s">
        <v>16336</v>
      </c>
      <c r="B12983" s="4" t="s">
        <v>16337</v>
      </c>
      <c r="C12983" s="5" t="str">
        <f>IFERROR(__xludf.DUMMYFUNCTION("GOOGLETRANSLATE(B12983,""en"",""fr"")"),"Une fille parle à une caméra sur laquelle elle tient, suivie de photos d'un magasin et de son chien dans une voiture.")</f>
        <v>Une fille parle à une caméra sur laquelle elle tient, suivie de photos d'un magasin et de son chien dans une voiture.</v>
      </c>
    </row>
    <row r="12984">
      <c r="A12984" s="4" t="s">
        <v>16336</v>
      </c>
      <c r="B12984" s="4" t="s">
        <v>16338</v>
      </c>
      <c r="C12984" s="5" t="str">
        <f>IFERROR(__xludf.DUMMYFUNCTION("GOOGLETRANSLATE(B12984,""en"",""fr"")"),"Elle enregistre plusieurs articles montrés dans le magasin puis elle-même en bikini.")</f>
        <v>Elle enregistre plusieurs articles montrés dans le magasin puis elle-même en bikini.</v>
      </c>
    </row>
    <row r="12985">
      <c r="A12985" s="4" t="s">
        <v>16336</v>
      </c>
      <c r="B12985" s="4" t="s">
        <v>16339</v>
      </c>
      <c r="C12985" s="5" t="str">
        <f>IFERROR(__xludf.DUMMYFUNCTION("GOOGLETRANSLATE(B12985,""en"",""fr"")"),"Elle met la lotion sur elle-même debout devant un lac et souriant dans la caméra.")</f>
        <v>Elle met la lotion sur elle-même debout devant un lac et souriant dans la caméra.</v>
      </c>
    </row>
    <row r="12986">
      <c r="A12986" s="4" t="s">
        <v>16340</v>
      </c>
      <c r="B12986" s="6" t="s">
        <v>16341</v>
      </c>
      <c r="C12986" s="5" t="str">
        <f>IFERROR(__xludf.DUMMYFUNCTION("GOOGLETRANSLATE(B12986,""en"",""fr"")"),"Plusieurs photos de divers aliments sont présentées et conduisent à une personne qui coupe les aliments sur une planche à découper.")</f>
        <v>Plusieurs photos de divers aliments sont présentées et conduisent à une personne qui coupe les aliments sur une planche à découper.</v>
      </c>
    </row>
    <row r="12987">
      <c r="A12987" s="4" t="s">
        <v>16340</v>
      </c>
      <c r="B12987" s="4" t="s">
        <v>16342</v>
      </c>
      <c r="C12987" s="5" t="str">
        <f>IFERROR(__xludf.DUMMYFUNCTION("GOOGLETRANSLATE(B12987,""en"",""fr"")"),"Plus d'images sont affichées pendant que l'homme coupe les légumes et les mélange dans un bol.")</f>
        <v>Plus d'images sont affichées pendant que l'homme coupe les légumes et les mélange dans un bol.</v>
      </c>
    </row>
    <row r="12988">
      <c r="A12988" s="4" t="s">
        <v>16340</v>
      </c>
      <c r="B12988" s="4" t="s">
        <v>16343</v>
      </c>
      <c r="C12988" s="5" t="str">
        <f>IFERROR(__xludf.DUMMYFUNCTION("GOOGLETRANSLATE(B12988,""en"",""fr"")"),"Il remue autour des ingrédients et d'autres photos des aliments sont montrées.")</f>
        <v>Il remue autour des ingrédients et d'autres photos des aliments sont montrées.</v>
      </c>
    </row>
    <row r="12989">
      <c r="A12989" s="4" t="s">
        <v>16344</v>
      </c>
      <c r="B12989" s="4" t="s">
        <v>16345</v>
      </c>
      <c r="C12989" s="5" t="str">
        <f>IFERROR(__xludf.DUMMYFUNCTION("GOOGLETRANSLATE(B12989,""en"",""fr"")"),"Nous voyons un garçon jouer de la batterie dans un magasin d'instruments.")</f>
        <v>Nous voyons un garçon jouer de la batterie dans un magasin d'instruments.</v>
      </c>
    </row>
    <row r="12990">
      <c r="A12990" s="4" t="s">
        <v>16344</v>
      </c>
      <c r="B12990" s="4" t="s">
        <v>16346</v>
      </c>
      <c r="C12990" s="5" t="str">
        <f>IFERROR(__xludf.DUMMYFUNCTION("GOOGLETRANSLATE(B12990,""en"",""fr"")"),"Nous voyons un homme de l'autre côté de la pièce jouer de la batterie.")</f>
        <v>Nous voyons un homme de l'autre côté de la pièce jouer de la batterie.</v>
      </c>
    </row>
    <row r="12991">
      <c r="A12991" s="4" t="s">
        <v>16344</v>
      </c>
      <c r="B12991" s="4" t="s">
        <v>16347</v>
      </c>
      <c r="C12991" s="5" t="str">
        <f>IFERROR(__xludf.DUMMYFUNCTION("GOOGLETRANSLATE(B12991,""en"",""fr"")"),"Nous voyons une fille, un autre garçon et le père.")</f>
        <v>Nous voyons une fille, un autre garçon et le père.</v>
      </c>
    </row>
    <row r="12992">
      <c r="A12992" s="4" t="s">
        <v>16344</v>
      </c>
      <c r="B12992" s="4" t="s">
        <v>16348</v>
      </c>
      <c r="C12992" s="5" t="str">
        <f>IFERROR(__xludf.DUMMYFUNCTION("GOOGLETRANSLATE(B12992,""en"",""fr"")"),"Nous voyons l'homme de l'autre côté de la pièce, puis le garçon.")</f>
        <v>Nous voyons l'homme de l'autre côté de la pièce, puis le garçon.</v>
      </c>
    </row>
    <row r="12993">
      <c r="A12993" s="4" t="s">
        <v>16344</v>
      </c>
      <c r="B12993" s="4" t="s">
        <v>16349</v>
      </c>
      <c r="C12993" s="5" t="str">
        <f>IFERROR(__xludf.DUMMYFUNCTION("GOOGLETRANSLATE(B12993,""en"",""fr"")"),"Le garçon en rayures touche quelque chose sur les tambours.")</f>
        <v>Le garçon en rayures touche quelque chose sur les tambours.</v>
      </c>
    </row>
    <row r="12994">
      <c r="A12994" s="4" t="s">
        <v>16344</v>
      </c>
      <c r="B12994" s="4" t="s">
        <v>16350</v>
      </c>
      <c r="C12994" s="5" t="str">
        <f>IFERROR(__xludf.DUMMYFUNCTION("GOOGLETRANSLATE(B12994,""en"",""fr"")"),"Nous voyons le garçon et l'homme en même temps.")</f>
        <v>Nous voyons le garçon et l'homme en même temps.</v>
      </c>
    </row>
    <row r="12995">
      <c r="A12995" s="4" t="s">
        <v>16344</v>
      </c>
      <c r="B12995" s="4" t="s">
        <v>16351</v>
      </c>
      <c r="C12995" s="5" t="str">
        <f>IFERROR(__xludf.DUMMYFUNCTION("GOOGLETRANSLATE(B12995,""en"",""fr"")"),"Le garçon dans la chemise Stripes bascule d'avant en arrière.")</f>
        <v>Le garçon dans la chemise Stripes bascule d'avant en arrière.</v>
      </c>
    </row>
    <row r="12996">
      <c r="A12996" s="4" t="s">
        <v>16344</v>
      </c>
      <c r="B12996" s="4" t="s">
        <v>16352</v>
      </c>
      <c r="C12996" s="5" t="str">
        <f>IFERROR(__xludf.DUMMYFUNCTION("GOOGLETRANSLATE(B12996,""en"",""fr"")"),"Le garçon finit et regarde la caméra.")</f>
        <v>Le garçon finit et regarde la caméra.</v>
      </c>
    </row>
    <row r="12997">
      <c r="A12997" s="4" t="s">
        <v>16353</v>
      </c>
      <c r="B12997" s="4" t="s">
        <v>16354</v>
      </c>
      <c r="C12997" s="5" t="str">
        <f>IFERROR(__xludf.DUMMYFUNCTION("GOOGLETRANSLATE(B12997,""en"",""fr"")"),"Un homme travaille à l'extérieur dans un jardin.")</f>
        <v>Un homme travaille à l'extérieur dans un jardin.</v>
      </c>
    </row>
    <row r="12998">
      <c r="A12998" s="4" t="s">
        <v>16353</v>
      </c>
      <c r="B12998" s="4" t="s">
        <v>16355</v>
      </c>
      <c r="C12998" s="5" t="str">
        <f>IFERROR(__xludf.DUMMYFUNCTION("GOOGLETRANSLATE(B12998,""en"",""fr"")"),"Il utilise des coupeurs pour couper des morceaux d'une plante.")</f>
        <v>Il utilise des coupeurs pour couper des morceaux d'une plante.</v>
      </c>
    </row>
    <row r="12999">
      <c r="A12999" s="4" t="s">
        <v>16353</v>
      </c>
      <c r="B12999" s="4" t="s">
        <v>16356</v>
      </c>
      <c r="C12999" s="5" t="str">
        <f>IFERROR(__xludf.DUMMYFUNCTION("GOOGLETRANSLATE(B12999,""en"",""fr"")"),"Quand il a terminé, la plante est complètement taillée.")</f>
        <v>Quand il a terminé, la plante est complètement taillée.</v>
      </c>
    </row>
    <row r="13000">
      <c r="A13000" s="4" t="s">
        <v>16357</v>
      </c>
      <c r="B13000" s="4" t="s">
        <v>16358</v>
      </c>
      <c r="C13000" s="5" t="str">
        <f>IFERROR(__xludf.DUMMYFUNCTION("GOOGLETRANSLATE(B13000,""en"",""fr"")"),"Un écran bleu clignote avec une écriture jaune avec une page de titre et plusieurs paragraphes.")</f>
        <v>Un écran bleu clignote avec une écriture jaune avec une page de titre et plusieurs paragraphes.</v>
      </c>
    </row>
    <row r="13001">
      <c r="A13001" s="4" t="s">
        <v>16357</v>
      </c>
      <c r="B13001" s="4" t="s">
        <v>16359</v>
      </c>
      <c r="C13001" s="5" t="str">
        <f>IFERROR(__xludf.DUMMYFUNCTION("GOOGLETRANSLATE(B13001,""en"",""fr"")"),"Un homme apparaît alors dans une cage avec un cercle dedans en tournant en rond avant qu'il ne lance un lancer de poids.")</f>
        <v>Un homme apparaît alors dans une cage avec un cercle dedans en tournant en rond avant qu'il ne lance un lancer de poids.</v>
      </c>
    </row>
    <row r="13002">
      <c r="A13002" s="4" t="s">
        <v>16357</v>
      </c>
      <c r="B13002" s="6" t="s">
        <v>16360</v>
      </c>
      <c r="C13002" s="5" t="str">
        <f>IFERROR(__xludf.DUMMYFUNCTION("GOOGLETRANSLATE(B13002,""en"",""fr"")"),"La vidéo rejoue et il s'arrête alors qu'il fait les bonnes étapes pour lancer le ballon en commençant par l'épaule et en suivant le reste du corps.")</f>
        <v>La vidéo rejoue et il s'arrête alors qu'il fait les bonnes étapes pour lancer le ballon en commençant par l'épaule et en suivant le reste du corps.</v>
      </c>
    </row>
    <row r="13003">
      <c r="A13003" s="4" t="s">
        <v>16361</v>
      </c>
      <c r="B13003" s="4" t="s">
        <v>16362</v>
      </c>
      <c r="C13003" s="5" t="str">
        <f>IFERROR(__xludf.DUMMYFUNCTION("GOOGLETRANSLATE(B13003,""en"",""fr"")"),"Un homme est montré à la caméra et mène à le se tenir debout devant un cadre de vélo.")</f>
        <v>Un homme est montré à la caméra et mène à le se tenir debout devant un cadre de vélo.</v>
      </c>
    </row>
    <row r="13004">
      <c r="A13004" s="4" t="s">
        <v>16361</v>
      </c>
      <c r="B13004" s="6" t="s">
        <v>16363</v>
      </c>
      <c r="C13004" s="5" t="str">
        <f>IFERROR(__xludf.DUMMYFUNCTION("GOOGLETRANSLATE(B13004,""en"",""fr"")"),"Il pointe vers le cadre tout en parlant à la caméra et mène à le visser des objets en place.")</f>
        <v>Il pointe vers le cadre tout en parlant à la caméra et mène à le visser des objets en place.</v>
      </c>
    </row>
    <row r="13005">
      <c r="A13005" s="4" t="s">
        <v>16361</v>
      </c>
      <c r="B13005" s="6" t="s">
        <v>16364</v>
      </c>
      <c r="C13005" s="5" t="str">
        <f>IFERROR(__xludf.DUMMYFUNCTION("GOOGLETRANSLATE(B13005,""en"",""fr"")"),"La personne continue de visser le cadre ainsi que la chaîne tout en tournant et en parlant à la caméra.")</f>
        <v>La personne continue de visser le cadre ainsi que la chaîne tout en tournant et en parlant à la caméra.</v>
      </c>
    </row>
    <row r="13006">
      <c r="A13006" s="4" t="s">
        <v>16365</v>
      </c>
      <c r="B13006" s="6" t="s">
        <v>16366</v>
      </c>
      <c r="C13006" s="5" t="str">
        <f>IFERROR(__xludf.DUMMYFUNCTION("GOOGLETRANSLATE(B13006,""en"",""fr"")"),"Un gymnase vide est montré lorsqu'une fille frappe un bouton sur l'ordinateur et commence à démarrer une routine.")</f>
        <v>Un gymnase vide est montré lorsqu'une fille frappe un bouton sur l'ordinateur et commence à démarrer une routine.</v>
      </c>
    </row>
    <row r="13007">
      <c r="A13007" s="4" t="s">
        <v>16365</v>
      </c>
      <c r="B13007" s="4" t="s">
        <v>16367</v>
      </c>
      <c r="C13007" s="5" t="str">
        <f>IFERROR(__xludf.DUMMYFUNCTION("GOOGLETRANSLATE(B13007,""en"",""fr"")"),"Elle tourbillonne dans le sol du gymnase avec un bâton et déplace ses bras.")</f>
        <v>Elle tourbillonne dans le sol du gymnase avec un bâton et déplace ses bras.</v>
      </c>
    </row>
    <row r="13008">
      <c r="A13008" s="4" t="s">
        <v>16365</v>
      </c>
      <c r="B13008" s="4" t="s">
        <v>16368</v>
      </c>
      <c r="C13008" s="5" t="str">
        <f>IFERROR(__xludf.DUMMYFUNCTION("GOOGLETRANSLATE(B13008,""en"",""fr"")"),"Elle donne des coups de pied en continu avec ses bras.")</f>
        <v>Elle donne des coups de pied en continu avec ses bras.</v>
      </c>
    </row>
    <row r="13009">
      <c r="A13009" s="4" t="s">
        <v>16369</v>
      </c>
      <c r="B13009" s="4" t="s">
        <v>16370</v>
      </c>
      <c r="C13009" s="5" t="str">
        <f>IFERROR(__xludf.DUMMYFUNCTION("GOOGLETRANSLATE(B13009,""en"",""fr"")"),"Une jeune fille se tient dans la pièce dans une camie noire et des jambes noires et blanches se préparant à parler.")</f>
        <v>Une jeune fille se tient dans la pièce dans une camie noire et des jambes noires et blanches se préparant à parler.</v>
      </c>
    </row>
    <row r="13010">
      <c r="A13010" s="4" t="s">
        <v>16369</v>
      </c>
      <c r="B13010" s="6" t="s">
        <v>16371</v>
      </c>
      <c r="C13010" s="5" t="str">
        <f>IFERROR(__xludf.DUMMYFUNCTION("GOOGLETRANSLATE(B13010,""en"",""fr"")"),"On lui montre ensuite parler à une jeune fille avec un pull rose et une jupe noire et plusieurs jeux de ciseaux en papier de roche sont joués entre elle et deux autres filles.")</f>
        <v>On lui montre ensuite parler à une jeune fille avec un pull rose et une jupe noire et plusieurs jeux de ciseaux en papier de roche sont joués entre elle et deux autres filles.</v>
      </c>
    </row>
    <row r="13011">
      <c r="A13011" s="4" t="s">
        <v>16369</v>
      </c>
      <c r="B13011" s="4" t="s">
        <v>16372</v>
      </c>
      <c r="C13011" s="5" t="str">
        <f>IFERROR(__xludf.DUMMYFUNCTION("GOOGLETRANSLATE(B13011,""en"",""fr"")"),"La fille avec le pull rose gagne et elle s'assoit sur le visage des filles.")</f>
        <v>La fille avec le pull rose gagne et elle s'assoit sur le visage des filles.</v>
      </c>
    </row>
    <row r="13012">
      <c r="A13012" s="4" t="s">
        <v>16369</v>
      </c>
      <c r="B13012" s="4" t="s">
        <v>16373</v>
      </c>
      <c r="C13012" s="5" t="str">
        <f>IFERROR(__xludf.DUMMYFUNCTION("GOOGLETRANSLATE(B13012,""en"",""fr"")"),"Ensuite, les trois filles se tiennent ensemble et commencent à parler à la caméra.")</f>
        <v>Ensuite, les trois filles se tiennent ensemble et commencent à parler à la caméra.</v>
      </c>
    </row>
    <row r="13013">
      <c r="A13013" s="4" t="s">
        <v>16374</v>
      </c>
      <c r="B13013" s="4" t="s">
        <v>16375</v>
      </c>
      <c r="C13013" s="5" t="str">
        <f>IFERROR(__xludf.DUMMYFUNCTION("GOOGLETRANSLATE(B13013,""en"",""fr"")"),"Les femmes font des sauts de gymnasie dans un couloir.")</f>
        <v>Les femmes font des sauts de gymnasie dans un couloir.</v>
      </c>
    </row>
    <row r="13014">
      <c r="A13014" s="4" t="s">
        <v>16374</v>
      </c>
      <c r="B13014" s="4" t="s">
        <v>16376</v>
      </c>
      <c r="C13014" s="5" t="str">
        <f>IFERROR(__xludf.DUMMYFUNCTION("GOOGLETRANSLATE(B13014,""en"",""fr"")"),"Les hommes et les femmes sont dans les grands magasins qui font des sauts de gymnastique.")</f>
        <v>Les hommes et les femmes sont dans les grands magasins qui font des sauts de gymnastique.</v>
      </c>
    </row>
    <row r="13015">
      <c r="A13015" s="4" t="s">
        <v>16374</v>
      </c>
      <c r="B13015" s="4" t="s">
        <v>16377</v>
      </c>
      <c r="C13015" s="5" t="str">
        <f>IFERROR(__xludf.DUMMYFUNCTION("GOOGLETRANSLATE(B13015,""en"",""fr"")"),"La femme fait un stand de main dans un parking et sur les magasins.")</f>
        <v>La femme fait un stand de main dans un parking et sur les magasins.</v>
      </c>
    </row>
    <row r="13016">
      <c r="A13016" s="4" t="s">
        <v>16374</v>
      </c>
      <c r="B13016" s="4" t="s">
        <v>16378</v>
      </c>
      <c r="C13016" s="5" t="str">
        <f>IFERROR(__xludf.DUMMYFUNCTION("GOOGLETRANSLATE(B13016,""en"",""fr"")"),"L'homme ponçonne une clôture dans un centre commercial au premier étage.")</f>
        <v>L'homme ponçonne une clôture dans un centre commercial au premier étage.</v>
      </c>
    </row>
    <row r="13017">
      <c r="A13017" s="4" t="s">
        <v>16379</v>
      </c>
      <c r="B13017" s="4" t="s">
        <v>16380</v>
      </c>
      <c r="C13017" s="5" t="str">
        <f>IFERROR(__xludf.DUMMYFUNCTION("GOOGLETRANSLATE(B13017,""en"",""fr"")"),"Une fille salue la caméra et commence à parler suivie de divers ingrédients disposés.")</f>
        <v>Une fille salue la caméra et commence à parler suivie de divers ingrédients disposés.</v>
      </c>
    </row>
    <row r="13018">
      <c r="A13018" s="4" t="s">
        <v>16379</v>
      </c>
      <c r="B13018" s="4" t="s">
        <v>16381</v>
      </c>
      <c r="C13018" s="5" t="str">
        <f>IFERROR(__xludf.DUMMYFUNCTION("GOOGLETRANSLATE(B13018,""en"",""fr"")"),"La fille met ensuite les ingrédients sur une assiette et met enveloppe la nourriture.")</f>
        <v>La fille met ensuite les ingrédients sur une assiette et met enveloppe la nourriture.</v>
      </c>
    </row>
    <row r="13019">
      <c r="A13019" s="4" t="s">
        <v>16379</v>
      </c>
      <c r="B13019" s="4" t="s">
        <v>16382</v>
      </c>
      <c r="C13019" s="5" t="str">
        <f>IFERROR(__xludf.DUMMYFUNCTION("GOOGLETRANSLATE(B13019,""en"",""fr"")"),"Elle mélange les aliments avec d'autres ingrédients suivis d'un pain sur le dessus et coupé en morceaux.")</f>
        <v>Elle mélange les aliments avec d'autres ingrédients suivis d'un pain sur le dessus et coupé en morceaux.</v>
      </c>
    </row>
    <row r="13020">
      <c r="A13020" s="4" t="s">
        <v>16379</v>
      </c>
      <c r="B13020" s="4" t="s">
        <v>16383</v>
      </c>
      <c r="C13020" s="5" t="str">
        <f>IFERROR(__xludf.DUMMYFUNCTION("GOOGLETRANSLATE(B13020,""en"",""fr"")"),"Elle prend une bouchée de nourriture et mène finalement à des photos de sa nourriture à côté d'une tasse de thé.")</f>
        <v>Elle prend une bouchée de nourriture et mène finalement à des photos de sa nourriture à côté d'une tasse de thé.</v>
      </c>
    </row>
    <row r="13021">
      <c r="A13021" s="4" t="s">
        <v>16384</v>
      </c>
      <c r="B13021" s="4" t="s">
        <v>16385</v>
      </c>
      <c r="C13021" s="5" t="str">
        <f>IFERROR(__xludf.DUMMYFUNCTION("GOOGLETRANSLATE(B13021,""en"",""fr"")"),"Un groupe est montré sur une scène.")</f>
        <v>Un groupe est montré sur une scène.</v>
      </c>
    </row>
    <row r="13022">
      <c r="A13022" s="4" t="s">
        <v>16384</v>
      </c>
      <c r="B13022" s="4" t="s">
        <v>16386</v>
      </c>
      <c r="C13022" s="5" t="str">
        <f>IFERROR(__xludf.DUMMYFUNCTION("GOOGLETRANSLATE(B13022,""en"",""fr"")"),"Un homme joue de la guitare, et l'homme à sa droite joue la batterie.")</f>
        <v>Un homme joue de la guitare, et l'homme à sa droite joue la batterie.</v>
      </c>
    </row>
    <row r="13023">
      <c r="A13023" s="4" t="s">
        <v>16384</v>
      </c>
      <c r="B13023" s="4" t="s">
        <v>16387</v>
      </c>
      <c r="C13023" s="5" t="str">
        <f>IFERROR(__xludf.DUMMYFUNCTION("GOOGLETRANSLATE(B13023,""en"",""fr"")"),"La personne devant elle danse et chante.")</f>
        <v>La personne devant elle danse et chante.</v>
      </c>
    </row>
    <row r="13024">
      <c r="A13024" s="4" t="s">
        <v>16388</v>
      </c>
      <c r="B13024" s="6" t="s">
        <v>16389</v>
      </c>
      <c r="C13024" s="5" t="str">
        <f>IFERROR(__xludf.DUMMYFUNCTION("GOOGLETRANSLATE(B13024,""en"",""fr"")"),"Il y a deux vieillards portant des chapeaux de paille, vêtus de t-shirts et de shorts pour jouer au shuffleboard.")</f>
        <v>Il y a deux vieillards portant des chapeaux de paille, vêtus de t-shirts et de shorts pour jouer au shuffleboard.</v>
      </c>
    </row>
    <row r="13025">
      <c r="A13025" s="4" t="s">
        <v>16388</v>
      </c>
      <c r="B13025" s="4" t="s">
        <v>16390</v>
      </c>
      <c r="C13025" s="5" t="str">
        <f>IFERROR(__xludf.DUMMYFUNCTION("GOOGLETRANSLATE(B13025,""en"",""fr"")"),"Il y a deux autres hommes debout à quelques mètres avec leurs bâtons de repère.")</f>
        <v>Il y a deux autres hommes debout à quelques mètres avec leurs bâtons de repère.</v>
      </c>
    </row>
    <row r="13026">
      <c r="A13026" s="4" t="s">
        <v>16388</v>
      </c>
      <c r="B13026" s="4" t="s">
        <v>16391</v>
      </c>
      <c r="C13026" s="5" t="str">
        <f>IFERROR(__xludf.DUMMYFUNCTION("GOOGLETRANSLATE(B13026,""en"",""fr"")"),"Une femme aux cheveux gris et une chemise jaune est vue en train de jouer au shuffleboard.")</f>
        <v>Une femme aux cheveux gris et une chemise jaune est vue en train de jouer au shuffleboard.</v>
      </c>
    </row>
    <row r="13027">
      <c r="A13027" s="4" t="s">
        <v>16388</v>
      </c>
      <c r="B13027" s="4" t="s">
        <v>16392</v>
      </c>
      <c r="C13027" s="5" t="str">
        <f>IFERROR(__xludf.DUMMYFUNCTION("GOOGLETRANSLATE(B13027,""en"",""fr"")"),"Il y a deux disques sur le terrain qui sont frappés par un autre disque.")</f>
        <v>Il y a deux disques sur le terrain qui sont frappés par un autre disque.</v>
      </c>
    </row>
    <row r="13028">
      <c r="A13028" s="4" t="s">
        <v>16388</v>
      </c>
      <c r="B13028" s="6" t="s">
        <v>16393</v>
      </c>
      <c r="C13028" s="5" t="str">
        <f>IFERROR(__xludf.DUMMYFUNCTION("GOOGLETRANSLATE(B13028,""en"",""fr"")"),"Plusieurs spectateurs regardent un événement de jeu de palets où diverses personnes sont en compétition et jouent.")</f>
        <v>Plusieurs spectateurs regardent un événement de jeu de palets où diverses personnes sont en compétition et jouent.</v>
      </c>
    </row>
    <row r="13029">
      <c r="A13029" s="4" t="s">
        <v>16388</v>
      </c>
      <c r="B13029" s="4" t="s">
        <v>16394</v>
      </c>
      <c r="C13029" s="5" t="str">
        <f>IFERROR(__xludf.DUMMYFUNCTION("GOOGLETRANSLATE(B13029,""en"",""fr"")"),"L'un des joueurs ajuste ses disques avant de le frapper avec le bâton de repère.")</f>
        <v>L'un des joueurs ajuste ses disques avant de le frapper avec le bâton de repère.</v>
      </c>
    </row>
    <row r="13030">
      <c r="A13030" s="4" t="s">
        <v>16395</v>
      </c>
      <c r="B13030" s="4" t="s">
        <v>16396</v>
      </c>
      <c r="C13030" s="5" t="str">
        <f>IFERROR(__xludf.DUMMYFUNCTION("GOOGLETRANSLATE(B13030,""en"",""fr"")"),"Le texte blanc apparaît sur un fond bleu.")</f>
        <v>Le texte blanc apparaît sur un fond bleu.</v>
      </c>
    </row>
    <row r="13031">
      <c r="A13031" s="4" t="s">
        <v>16395</v>
      </c>
      <c r="B13031" s="4" t="s">
        <v>16397</v>
      </c>
      <c r="C13031" s="5" t="str">
        <f>IFERROR(__xludf.DUMMYFUNCTION("GOOGLETRANSLATE(B13031,""en"",""fr"")"),"Une fille de maquillage et de cheerleading est montrée dans un jeu.")</f>
        <v>Une fille de maquillage et de cheerleading est montrée dans un jeu.</v>
      </c>
    </row>
    <row r="13032">
      <c r="A13032" s="4" t="s">
        <v>16395</v>
      </c>
      <c r="B13032" s="6" t="s">
        <v>16398</v>
      </c>
      <c r="C13032" s="5" t="str">
        <f>IFERROR(__xludf.DUMMYFUNCTION("GOOGLETRANSLATE(B13032,""en"",""fr"")"),"Ensuite, nous voyons une gymnaste faire des flips à travers un tapis avant de faire unprié de dos dans plusieurs styles différents.")</f>
        <v>Ensuite, nous voyons une gymnaste faire des flips à travers un tapis avant de faire unprié de dos dans plusieurs styles différents.</v>
      </c>
    </row>
    <row r="13033">
      <c r="A13033" s="4" t="s">
        <v>16399</v>
      </c>
      <c r="B13033" s="4" t="s">
        <v>16400</v>
      </c>
      <c r="C13033" s="5" t="str">
        <f>IFERROR(__xludf.DUMMYFUNCTION("GOOGLETRANSLATE(B13033,""en"",""fr"")"),"Une personne fait une lanterne Jack O.")</f>
        <v>Une personne fait une lanterne Jack O.</v>
      </c>
    </row>
    <row r="13034">
      <c r="A13034" s="4" t="s">
        <v>16399</v>
      </c>
      <c r="B13034" s="4" t="s">
        <v>16401</v>
      </c>
      <c r="C13034" s="5" t="str">
        <f>IFERROR(__xludf.DUMMYFUNCTION("GOOGLETRANSLATE(B13034,""en"",""fr"")"),"Ils ont d'abord coupé le haut d'une citrouille verte et ramasser les graines et autres trucs.")</f>
        <v>Ils ont d'abord coupé le haut d'une citrouille verte et ramasser les graines et autres trucs.</v>
      </c>
    </row>
    <row r="13035">
      <c r="A13035" s="4" t="s">
        <v>16399</v>
      </c>
      <c r="B13035" s="4" t="s">
        <v>16402</v>
      </c>
      <c r="C13035" s="5" t="str">
        <f>IFERROR(__xludf.DUMMYFUNCTION("GOOGLETRANSLATE(B13035,""en"",""fr"")"),"Les intérieurs restants sont coupés et grattés avec un scoop de crème glacée.")</f>
        <v>Les intérieurs restants sont coupés et grattés avec un scoop de crème glacée.</v>
      </c>
    </row>
    <row r="13036">
      <c r="A13036" s="4" t="s">
        <v>16399</v>
      </c>
      <c r="B13036" s="4" t="s">
        <v>16403</v>
      </c>
      <c r="C13036" s="5" t="str">
        <f>IFERROR(__xludf.DUMMYFUNCTION("GOOGLETRANSLATE(B13036,""en"",""fr"")"),"Un design est dessiné sur la citrouille puis découpé.")</f>
        <v>Un design est dessiné sur la citrouille puis découpé.</v>
      </c>
    </row>
    <row r="13037">
      <c r="A13037" s="4" t="s">
        <v>16399</v>
      </c>
      <c r="B13037" s="4" t="s">
        <v>16404</v>
      </c>
      <c r="C13037" s="5" t="str">
        <f>IFERROR(__xludf.DUMMYFUNCTION("GOOGLETRANSLATE(B13037,""en"",""fr"")"),"L'intérieur de la citrouille est pulvérisé avec un dissolvant de moisissure et sec.")</f>
        <v>L'intérieur de la citrouille est pulvérisé avec un dissolvant de moisissure et sec.</v>
      </c>
    </row>
    <row r="13038">
      <c r="A13038" s="4" t="s">
        <v>16399</v>
      </c>
      <c r="B13038" s="4" t="s">
        <v>16405</v>
      </c>
      <c r="C13038" s="5" t="str">
        <f>IFERROR(__xludf.DUMMYFUNCTION("GOOGLETRANSLATE(B13038,""en"",""fr"")"),"Une bougie est placée à l'intérieur et allumée et le couvercle est remis.")</f>
        <v>Une bougie est placée à l'intérieur et allumée et le couvercle est remis.</v>
      </c>
    </row>
    <row r="13039">
      <c r="A13039" s="4" t="s">
        <v>16399</v>
      </c>
      <c r="B13039" s="4" t="s">
        <v>16406</v>
      </c>
      <c r="C13039" s="5" t="str">
        <f>IFERROR(__xludf.DUMMYFUNCTION("GOOGLETRANSLATE(B13039,""en"",""fr"")"),"Avec les lumières baissées, la lanterne Jack O peut être vue.")</f>
        <v>Avec les lumières baissées, la lanterne Jack O peut être vue.</v>
      </c>
    </row>
    <row r="13040">
      <c r="A13040" s="4" t="s">
        <v>16407</v>
      </c>
      <c r="B13040" s="4" t="s">
        <v>16408</v>
      </c>
      <c r="C13040" s="5" t="str">
        <f>IFERROR(__xludf.DUMMYFUNCTION("GOOGLETRANSLATE(B13040,""en"",""fr"")"),"La vidéo mène à plusieurs plans de coureurs olympiques terminant des sauts longs dans des fosses de sable.")</f>
        <v>La vidéo mène à plusieurs plans de coureurs olympiques terminant des sauts longs dans des fosses de sable.</v>
      </c>
    </row>
    <row r="13041">
      <c r="A13041" s="4" t="s">
        <v>16407</v>
      </c>
      <c r="B13041" s="6" t="s">
        <v>16409</v>
      </c>
      <c r="C13041" s="5" t="str">
        <f>IFERROR(__xludf.DUMMYFUNCTION("GOOGLETRANSLATE(B13041,""en"",""fr"")"),"La vidéo continue de montrer à plusieurs coureurs différents terminant leurs sauts et leur applaudissant la foule par la suite.")</f>
        <v>La vidéo continue de montrer à plusieurs coureurs différents terminant leurs sauts et leur applaudissant la foule par la suite.</v>
      </c>
    </row>
    <row r="13042">
      <c r="A13042" s="4" t="s">
        <v>16410</v>
      </c>
      <c r="B13042" s="4" t="s">
        <v>16411</v>
      </c>
      <c r="C13042" s="5" t="str">
        <f>IFERROR(__xludf.DUMMYFUNCTION("GOOGLETRANSLATE(B13042,""en"",""fr"")"),"Deux personnes se détendent sur leurs planches à roulettes.")</f>
        <v>Deux personnes se détendent sur leurs planches à roulettes.</v>
      </c>
    </row>
    <row r="13043">
      <c r="A13043" s="4" t="s">
        <v>16410</v>
      </c>
      <c r="B13043" s="4" t="s">
        <v>16412</v>
      </c>
      <c r="C13043" s="5" t="str">
        <f>IFERROR(__xludf.DUMMYFUNCTION("GOOGLETRANSLATE(B13043,""en"",""fr"")"),"Ils réparent certaines pièces puis viennent de patiner.")</f>
        <v>Ils réparent certaines pièces puis viennent de patiner.</v>
      </c>
    </row>
    <row r="13044">
      <c r="A13044" s="4" t="s">
        <v>16413</v>
      </c>
      <c r="B13044" s="4" t="s">
        <v>16414</v>
      </c>
      <c r="C13044" s="5" t="str">
        <f>IFERROR(__xludf.DUMMYFUNCTION("GOOGLETRANSLATE(B13044,""en"",""fr"")"),"Une femme est vue assise sur une chaise en riant pendant qu'un homme pointe devant elle.")</f>
        <v>Une femme est vue assise sur une chaise en riant pendant qu'un homme pointe devant elle.</v>
      </c>
    </row>
    <row r="13045">
      <c r="A13045" s="4" t="s">
        <v>16413</v>
      </c>
      <c r="B13045" s="4" t="s">
        <v>16415</v>
      </c>
      <c r="C13045" s="5" t="str">
        <f>IFERROR(__xludf.DUMMYFUNCTION("GOOGLETRANSLATE(B13045,""en"",""fr"")"),"L'homme tient alors un pistolet vers son nez et perce son nez.")</f>
        <v>L'homme tient alors un pistolet vers son nez et perce son nez.</v>
      </c>
    </row>
    <row r="13046">
      <c r="A13046" s="4" t="s">
        <v>16413</v>
      </c>
      <c r="B13046" s="4" t="s">
        <v>16416</v>
      </c>
      <c r="C13046" s="5" t="str">
        <f>IFERROR(__xludf.DUMMYFUNCTION("GOOGLETRANSLATE(B13046,""en"",""fr"")"),"Une femme joue avec les cheveux des filles tout en parlant à la fille et en montrant son perçage de nez.")</f>
        <v>Une femme joue avec les cheveux des filles tout en parlant à la fille et en montrant son perçage de nez.</v>
      </c>
    </row>
    <row r="13047">
      <c r="A13047" s="4" t="s">
        <v>16417</v>
      </c>
      <c r="B13047" s="4" t="s">
        <v>16418</v>
      </c>
      <c r="C13047" s="5" t="str">
        <f>IFERROR(__xludf.DUMMYFUNCTION("GOOGLETRANSLATE(B13047,""en"",""fr"")"),"Un charpentier pulvérise un plafond avec de la peinture.")</f>
        <v>Un charpentier pulvérise un plafond avec de la peinture.</v>
      </c>
    </row>
    <row r="13048">
      <c r="A13048" s="4" t="s">
        <v>16417</v>
      </c>
      <c r="B13048" s="4" t="s">
        <v>16419</v>
      </c>
      <c r="C13048" s="5" t="str">
        <f>IFERROR(__xludf.DUMMYFUNCTION("GOOGLETRANSLATE(B13048,""en"",""fr"")"),"Un deuxième menuisier lisse la peinture au plafond.")</f>
        <v>Un deuxième menuisier lisse la peinture au plafond.</v>
      </c>
    </row>
    <row r="13049">
      <c r="A13049" s="4" t="s">
        <v>16417</v>
      </c>
      <c r="B13049" s="4" t="s">
        <v>16420</v>
      </c>
      <c r="C13049" s="5" t="str">
        <f>IFERROR(__xludf.DUMMYFUNCTION("GOOGLETRANSLATE(B13049,""en"",""fr"")"),"Le premier charpentier pulvérise peinture partout dans le plafond.")</f>
        <v>Le premier charpentier pulvérise peinture partout dans le plafond.</v>
      </c>
    </row>
    <row r="13050">
      <c r="A13050" s="4" t="s">
        <v>16417</v>
      </c>
      <c r="B13050" s="4" t="s">
        <v>16421</v>
      </c>
      <c r="C13050" s="5" t="str">
        <f>IFERROR(__xludf.DUMMYFUNCTION("GOOGLETRANSLATE(B13050,""en"",""fr"")"),"Quelques charpentiers lissent la peinture au plafond.")</f>
        <v>Quelques charpentiers lissent la peinture au plafond.</v>
      </c>
    </row>
    <row r="13051">
      <c r="A13051" s="4" t="s">
        <v>16417</v>
      </c>
      <c r="B13051" s="4" t="s">
        <v>16422</v>
      </c>
      <c r="C13051" s="5" t="str">
        <f>IFERROR(__xludf.DUMMYFUNCTION("GOOGLETRANSLATE(B13051,""en"",""fr"")"),"L'un des charpentiers voit pulvériser le plafond et s'arrête pendant une seconde pour déplacer une lumière.")</f>
        <v>L'un des charpentiers voit pulvériser le plafond et s'arrête pendant une seconde pour déplacer une lumière.</v>
      </c>
    </row>
    <row r="13052">
      <c r="A13052" s="4" t="s">
        <v>16417</v>
      </c>
      <c r="B13052" s="4" t="s">
        <v>16423</v>
      </c>
      <c r="C13052" s="5" t="str">
        <f>IFERROR(__xludf.DUMMYFUNCTION("GOOGLETRANSLATE(B13052,""en"",""fr"")"),"La peinture se poursuit ainsi que le lissage de la peinture.")</f>
        <v>La peinture se poursuit ainsi que le lissage de la peinture.</v>
      </c>
    </row>
    <row r="13053">
      <c r="A13053" s="4" t="s">
        <v>16424</v>
      </c>
      <c r="B13053" s="4" t="s">
        <v>16425</v>
      </c>
      <c r="C13053" s="5" t="str">
        <f>IFERROR(__xludf.DUMMYFUNCTION("GOOGLETRANSLATE(B13053,""en"",""fr"")"),"Les enfants sont montrés en basket-ball sur un terrain.")</f>
        <v>Les enfants sont montrés en basket-ball sur un terrain.</v>
      </c>
    </row>
    <row r="13054">
      <c r="A13054" s="4" t="s">
        <v>16424</v>
      </c>
      <c r="B13054" s="4" t="s">
        <v>16426</v>
      </c>
      <c r="C13054" s="5" t="str">
        <f>IFERROR(__xludf.DUMMYFUNCTION("GOOGLETRANSLATE(B13054,""en"",""fr"")"),"L'entraîneur leur parle et essaie de leur dire comment jouer.")</f>
        <v>L'entraîneur leur parle et essaie de leur dire comment jouer.</v>
      </c>
    </row>
    <row r="13055">
      <c r="A13055" s="4" t="s">
        <v>16424</v>
      </c>
      <c r="B13055" s="4" t="s">
        <v>16427</v>
      </c>
      <c r="C13055" s="5" t="str">
        <f>IFERROR(__xludf.DUMMYFUNCTION("GOOGLETRANSLATE(B13055,""en"",""fr"")"),"Les enfants interprètent des installations.")</f>
        <v>Les enfants interprètent des installations.</v>
      </c>
    </row>
    <row r="13056">
      <c r="A13056" s="4" t="s">
        <v>16428</v>
      </c>
      <c r="B13056" s="4" t="s">
        <v>1487</v>
      </c>
      <c r="C13056" s="5" t="str">
        <f>IFERROR(__xludf.DUMMYFUNCTION("GOOGLETRANSLATE(B13056,""en"",""fr"")"),"Nous voyons un écran de titre d'ouverture.")</f>
        <v>Nous voyons un écran de titre d'ouverture.</v>
      </c>
    </row>
    <row r="13057">
      <c r="A13057" s="4" t="s">
        <v>16428</v>
      </c>
      <c r="B13057" s="4" t="s">
        <v>16429</v>
      </c>
      <c r="C13057" s="5" t="str">
        <f>IFERROR(__xludf.DUMMYFUNCTION("GOOGLETRANSLATE(B13057,""en"",""fr"")"),"Nous voyons une fille courir et effectuer un saut en hauteur et passer au-dessus du bar.")</f>
        <v>Nous voyons une fille courir et effectuer un saut en hauteur et passer au-dessus du bar.</v>
      </c>
    </row>
    <row r="13058">
      <c r="A13058" s="4" t="s">
        <v>16428</v>
      </c>
      <c r="B13058" s="4" t="s">
        <v>16430</v>
      </c>
      <c r="C13058" s="5" t="str">
        <f>IFERROR(__xludf.DUMMYFUNCTION("GOOGLETRANSLATE(B13058,""en"",""fr"")"),"Nous voyons ensuite une relecture et une relecture au ralenti.")</f>
        <v>Nous voyons ensuite une relecture et une relecture au ralenti.</v>
      </c>
    </row>
    <row r="13059">
      <c r="A13059" s="4" t="s">
        <v>16428</v>
      </c>
      <c r="B13059" s="4" t="s">
        <v>777</v>
      </c>
      <c r="C13059" s="5" t="str">
        <f>IFERROR(__xludf.DUMMYFUNCTION("GOOGLETRANSLATE(B13059,""en"",""fr"")"),"Nous voyons l'écran du titre de fin.")</f>
        <v>Nous voyons l'écran du titre de fin.</v>
      </c>
    </row>
    <row r="13060">
      <c r="A13060" s="4" t="s">
        <v>16431</v>
      </c>
      <c r="B13060" s="4" t="s">
        <v>16432</v>
      </c>
      <c r="C13060" s="5" t="str">
        <f>IFERROR(__xludf.DUMMYFUNCTION("GOOGLETRANSLATE(B13060,""en"",""fr"")"),"Un homme dribble un basket.")</f>
        <v>Un homme dribble un basket.</v>
      </c>
    </row>
    <row r="13061">
      <c r="A13061" s="4" t="s">
        <v>16431</v>
      </c>
      <c r="B13061" s="4" t="s">
        <v>16433</v>
      </c>
      <c r="C13061" s="5" t="str">
        <f>IFERROR(__xludf.DUMMYFUNCTION("GOOGLETRANSLATE(B13061,""en"",""fr"")"),"Il saute et tire le basket-ball dans le cerceau.")</f>
        <v>Il saute et tire le basket-ball dans le cerceau.</v>
      </c>
    </row>
    <row r="13062">
      <c r="A13062" s="4" t="s">
        <v>16431</v>
      </c>
      <c r="B13062" s="4" t="s">
        <v>16434</v>
      </c>
      <c r="C13062" s="5" t="str">
        <f>IFERROR(__xludf.DUMMYFUNCTION("GOOGLETRANSLATE(B13062,""en"",""fr"")"),"Les mots sont affichés à l'écran à la fin.")</f>
        <v>Les mots sont affichés à l'écran à la fin.</v>
      </c>
    </row>
    <row r="13063">
      <c r="A13063" s="4" t="s">
        <v>16435</v>
      </c>
      <c r="B13063" s="4" t="s">
        <v>16436</v>
      </c>
      <c r="C13063" s="5" t="str">
        <f>IFERROR(__xludf.DUMMYFUNCTION("GOOGLETRANSLATE(B13063,""en"",""fr"")"),"Une femme s'agenouille sur un tapis bleu.")</f>
        <v>Une femme s'agenouille sur un tapis bleu.</v>
      </c>
    </row>
    <row r="13064">
      <c r="A13064" s="4" t="s">
        <v>16435</v>
      </c>
      <c r="B13064" s="4" t="s">
        <v>16437</v>
      </c>
      <c r="C13064" s="5" t="str">
        <f>IFERROR(__xludf.DUMMYFUNCTION("GOOGLETRANSLATE(B13064,""en"",""fr"")"),"Un homme se tient derrière elle en train de parler.")</f>
        <v>Un homme se tient derrière elle en train de parler.</v>
      </c>
    </row>
    <row r="13065">
      <c r="A13065" s="4" t="s">
        <v>16435</v>
      </c>
      <c r="B13065" s="4" t="s">
        <v>16438</v>
      </c>
      <c r="C13065" s="5" t="str">
        <f>IFERROR(__xludf.DUMMYFUNCTION("GOOGLETRANSLATE(B13065,""en"",""fr"")"),"La femme commence à bouger ses jambes et ses bras.")</f>
        <v>La femme commence à bouger ses jambes et ses bras.</v>
      </c>
    </row>
    <row r="13066">
      <c r="A13066" s="4" t="s">
        <v>16439</v>
      </c>
      <c r="B13066" s="4" t="s">
        <v>16440</v>
      </c>
      <c r="C13066" s="5" t="str">
        <f>IFERROR(__xludf.DUMMYFUNCTION("GOOGLETRANSLATE(B13066,""en"",""fr"")"),"Deux hommes se tiennent à l'extérieur avec une foule de personnes soulevant des poids et faisant de l'exercice.")</f>
        <v>Deux hommes se tiennent à l'extérieur avec une foule de personnes soulevant des poids et faisant de l'exercice.</v>
      </c>
    </row>
    <row r="13067">
      <c r="A13067" s="4" t="s">
        <v>16439</v>
      </c>
      <c r="B13067" s="6" t="s">
        <v>16441</v>
      </c>
      <c r="C13067" s="5" t="str">
        <f>IFERROR(__xludf.DUMMYFUNCTION("GOOGLETRANSLATE(B13067,""en"",""fr"")"),"Beaucoup de gens commencent à filmer les gars sur leur téléphone, le poids se poursuit et plusieurs personnes reviennent pour faire des interviews.")</f>
        <v>Beaucoup de gens commencent à filmer les gars sur leur téléphone, le poids se poursuit et plusieurs personnes reviennent pour faire des interviews.</v>
      </c>
    </row>
    <row r="13068">
      <c r="A13068" s="4" t="s">
        <v>16439</v>
      </c>
      <c r="B13068" s="4" t="s">
        <v>16442</v>
      </c>
      <c r="C13068" s="5" t="str">
        <f>IFERROR(__xludf.DUMMYFUNCTION("GOOGLETRANSLATE(B13068,""en"",""fr"")"),"Plus de gens sont montrés, puis un logo vient parrainé par Reebok.")</f>
        <v>Plus de gens sont montrés, puis un logo vient parrainé par Reebok.</v>
      </c>
    </row>
    <row r="13069">
      <c r="A13069" s="4" t="s">
        <v>16443</v>
      </c>
      <c r="B13069" s="4" t="s">
        <v>16444</v>
      </c>
      <c r="C13069" s="5" t="str">
        <f>IFERROR(__xludf.DUMMYFUNCTION("GOOGLETRANSLATE(B13069,""en"",""fr"")"),"Les gens courent à jouer au paintball.")</f>
        <v>Les gens courent à jouer au paintball.</v>
      </c>
    </row>
    <row r="13070">
      <c r="A13070" s="4" t="s">
        <v>16443</v>
      </c>
      <c r="B13070" s="4" t="s">
        <v>16445</v>
      </c>
      <c r="C13070" s="5" t="str">
        <f>IFERROR(__xludf.DUMMYFUNCTION("GOOGLETRANSLATE(B13070,""en"",""fr"")"),"Un homme tombe dans une grande flaque de boue.")</f>
        <v>Un homme tombe dans une grande flaque de boue.</v>
      </c>
    </row>
    <row r="13071">
      <c r="A13071" s="4" t="s">
        <v>16443</v>
      </c>
      <c r="B13071" s="4" t="s">
        <v>16446</v>
      </c>
      <c r="C13071" s="5" t="str">
        <f>IFERROR(__xludf.DUMMYFUNCTION("GOOGLETRANSLATE(B13071,""en"",""fr"")"),"Un homme tombe et un autre homme court pour le vérifier.")</f>
        <v>Un homme tombe et un autre homme court pour le vérifier.</v>
      </c>
    </row>
    <row r="13072">
      <c r="A13072" s="4" t="s">
        <v>16447</v>
      </c>
      <c r="B13072" s="4" t="s">
        <v>16448</v>
      </c>
      <c r="C13072" s="5" t="str">
        <f>IFERROR(__xludf.DUMMYFUNCTION("GOOGLETRANSLATE(B13072,""en"",""fr"")"),"Une femme est vue en parlant à la caméra et mène à elle dénoncer un short payant.")</f>
        <v>Une femme est vue en parlant à la caméra et mène à elle dénoncer un short payant.</v>
      </c>
    </row>
    <row r="13073">
      <c r="A13073" s="4" t="s">
        <v>16447</v>
      </c>
      <c r="B13073" s="4" t="s">
        <v>16449</v>
      </c>
      <c r="C13073" s="5" t="str">
        <f>IFERROR(__xludf.DUMMYFUNCTION("GOOGLETRANSLATE(B13073,""en"",""fr"")"),"Elle montre ensuite comment repasser correctement les vêtements.")</f>
        <v>Elle montre ensuite comment repasser correctement les vêtements.</v>
      </c>
    </row>
    <row r="13074">
      <c r="A13074" s="4" t="s">
        <v>16450</v>
      </c>
      <c r="B13074" s="4" t="s">
        <v>16451</v>
      </c>
      <c r="C13074" s="5" t="str">
        <f>IFERROR(__xludf.DUMMYFUNCTION("GOOGLETRANSLATE(B13074,""en"",""fr"")"),"Une personne joue aux cornemas dans un parc.")</f>
        <v>Une personne joue aux cornemas dans un parc.</v>
      </c>
    </row>
    <row r="13075">
      <c r="A13075" s="4" t="s">
        <v>16450</v>
      </c>
      <c r="B13075" s="4" t="s">
        <v>16452</v>
      </c>
      <c r="C13075" s="5" t="str">
        <f>IFERROR(__xludf.DUMMYFUNCTION("GOOGLETRANSLATE(B13075,""en"",""fr"")"),"Un homme et deux garçons qui regardent de loin.")</f>
        <v>Un homme et deux garçons qui regardent de loin.</v>
      </c>
    </row>
    <row r="13076">
      <c r="A13076" s="4" t="s">
        <v>16450</v>
      </c>
      <c r="B13076" s="4" t="s">
        <v>16453</v>
      </c>
      <c r="C13076" s="5" t="str">
        <f>IFERROR(__xludf.DUMMYFUNCTION("GOOGLETRANSLATE(B13076,""en"",""fr"")"),"La caméra tire des zones tout autour du parc tandis que les cornemusets jouent.")</f>
        <v>La caméra tire des zones tout autour du parc tandis que les cornemusets jouent.</v>
      </c>
    </row>
    <row r="13077">
      <c r="A13077" s="4" t="s">
        <v>16454</v>
      </c>
      <c r="B13077" s="4" t="s">
        <v>16455</v>
      </c>
      <c r="C13077" s="5" t="str">
        <f>IFERROR(__xludf.DUMMYFUNCTION("GOOGLETRANSLATE(B13077,""en"",""fr"")"),"Un athlète est vu courir sur une grande piste et jeter un javelot en l'air.")</f>
        <v>Un athlète est vu courir sur une grande piste et jeter un javelot en l'air.</v>
      </c>
    </row>
    <row r="13078">
      <c r="A13078" s="4" t="s">
        <v>16454</v>
      </c>
      <c r="B13078" s="4" t="s">
        <v>16456</v>
      </c>
      <c r="C13078" s="5" t="str">
        <f>IFERROR(__xludf.DUMMYFUNCTION("GOOGLETRANSLATE(B13078,""en"",""fr"")"),"Son lancer est à nouveau montré au ralenti suivi par plusieurs autres athlètes qui se tournent.")</f>
        <v>Son lancer est à nouveau montré au ralenti suivi par plusieurs autres athlètes qui se tournent.</v>
      </c>
    </row>
    <row r="13079">
      <c r="A13079" s="4" t="s">
        <v>16457</v>
      </c>
      <c r="B13079" s="4" t="s">
        <v>16458</v>
      </c>
      <c r="C13079" s="5" t="str">
        <f>IFERROR(__xludf.DUMMYFUNCTION("GOOGLETRANSLATE(B13079,""en"",""fr"")"),"Nous voyons un titre d'écran d'ouverture.")</f>
        <v>Nous voyons un titre d'écran d'ouverture.</v>
      </c>
    </row>
    <row r="13080">
      <c r="A13080" s="4" t="s">
        <v>16457</v>
      </c>
      <c r="B13080" s="4" t="s">
        <v>16459</v>
      </c>
      <c r="C13080" s="5" t="str">
        <f>IFERROR(__xludf.DUMMYFUNCTION("GOOGLETRANSLATE(B13080,""en"",""fr"")"),"Les gens travaillent sur des caméras dans un atelier.")</f>
        <v>Les gens travaillent sur des caméras dans un atelier.</v>
      </c>
    </row>
    <row r="13081">
      <c r="A13081" s="4" t="s">
        <v>16457</v>
      </c>
      <c r="B13081" s="4" t="s">
        <v>16460</v>
      </c>
      <c r="C13081" s="5" t="str">
        <f>IFERROR(__xludf.DUMMYFUNCTION("GOOGLETRANSLATE(B13081,""en"",""fr"")"),"Nous les voyons le monter dans un tube.")</f>
        <v>Nous les voyons le monter dans un tube.</v>
      </c>
    </row>
    <row r="13082">
      <c r="A13082" s="4" t="s">
        <v>16457</v>
      </c>
      <c r="B13082" s="4" t="s">
        <v>16461</v>
      </c>
      <c r="C13082" s="5" t="str">
        <f>IFERROR(__xludf.DUMMYFUNCTION("GOOGLETRANSLATE(B13082,""en"",""fr"")"),"La dame danse ensuite le cerceau avec le tube.")</f>
        <v>La dame danse ensuite le cerceau avec le tube.</v>
      </c>
    </row>
    <row r="13083">
      <c r="A13083" s="4" t="s">
        <v>16457</v>
      </c>
      <c r="B13083" s="4" t="s">
        <v>16462</v>
      </c>
      <c r="C13083" s="5" t="str">
        <f>IFERROR(__xludf.DUMMYFUNCTION("GOOGLETRANSLATE(B13083,""en"",""fr"")"),"Nous voyons un homme blond faire des ajustements au tube.")</f>
        <v>Nous voyons un homme blond faire des ajustements au tube.</v>
      </c>
    </row>
    <row r="13084">
      <c r="A13084" s="4" t="s">
        <v>16457</v>
      </c>
      <c r="B13084" s="4" t="s">
        <v>16463</v>
      </c>
      <c r="C13084" s="5" t="str">
        <f>IFERROR(__xludf.DUMMYFUNCTION("GOOGLETRANSLATE(B13084,""en"",""fr"")"),"Nous voyons l'écran de fin de clôture.")</f>
        <v>Nous voyons l'écran de fin de clôture.</v>
      </c>
    </row>
    <row r="13085">
      <c r="A13085" s="4" t="s">
        <v>16464</v>
      </c>
      <c r="B13085" s="4" t="s">
        <v>16465</v>
      </c>
      <c r="C13085" s="5" t="str">
        <f>IFERROR(__xludf.DUMMYFUNCTION("GOOGLETRANSLATE(B13085,""en"",""fr"")"),"Une caméra se déroule autour d'un groupe de personnes assises à une table suivie d'un homme tenant une planche de surf.")</f>
        <v>Une caméra se déroule autour d'un groupe de personnes assises à une table suivie d'un homme tenant une planche de surf.</v>
      </c>
    </row>
    <row r="13086">
      <c r="A13086" s="4" t="s">
        <v>16464</v>
      </c>
      <c r="B13086" s="4" t="s">
        <v>16466</v>
      </c>
      <c r="C13086" s="5" t="str">
        <f>IFERROR(__xludf.DUMMYFUNCTION("GOOGLETRANSLATE(B13086,""en"",""fr"")"),"L'homme transporte la planche sur l'eau et commence à monter à l'eau.")</f>
        <v>L'homme transporte la planche sur l'eau et commence à monter à l'eau.</v>
      </c>
    </row>
    <row r="13087">
      <c r="A13087" s="4" t="s">
        <v>16464</v>
      </c>
      <c r="B13087" s="4" t="s">
        <v>16467</v>
      </c>
      <c r="C13087" s="5" t="str">
        <f>IFERROR(__xludf.DUMMYFUNCTION("GOOGLETRANSLATE(B13087,""en"",""fr"")"),"La personne continue de rouler en suivant une autre personne sur l'eau.")</f>
        <v>La personne continue de rouler en suivant une autre personne sur l'eau.</v>
      </c>
    </row>
    <row r="13088">
      <c r="A13088" s="4" t="s">
        <v>16468</v>
      </c>
      <c r="B13088" s="6" t="s">
        <v>16469</v>
      </c>
      <c r="C13088" s="5" t="str">
        <f>IFERROR(__xludf.DUMMYFUNCTION("GOOGLETRANSLATE(B13088,""en"",""fr"")"),"Diverses plans d'un parc à thème sont montrés, y compris des promenades, le déménagement, les gens jouant à des jeux et d'autres personnes interagissant les uns avec les autres.")</f>
        <v>Diverses plans d'un parc à thème sont montrés, y compris des promenades, le déménagement, les gens jouant à des jeux et d'autres personnes interagissant les uns avec les autres.</v>
      </c>
    </row>
    <row r="13089">
      <c r="A13089" s="4" t="s">
        <v>16468</v>
      </c>
      <c r="B13089" s="6" t="s">
        <v>16470</v>
      </c>
      <c r="C13089" s="5" t="str">
        <f>IFERROR(__xludf.DUMMYFUNCTION("GOOGLETRANSLATE(B13089,""en"",""fr"")"),"Deux hommes sont ensuite montrés en train de conduire dans une zone sur les tampants tout en riant de la caméra et d'autres parlant à la caméra.")</f>
        <v>Deux hommes sont ensuite montrés en train de conduire dans une zone sur les tampants tout en riant de la caméra et d'autres parlant à la caméra.</v>
      </c>
    </row>
    <row r="13090">
      <c r="A13090" s="4" t="s">
        <v>16468</v>
      </c>
      <c r="B13090" s="4" t="s">
        <v>16471</v>
      </c>
      <c r="C13090" s="5" t="str">
        <f>IFERROR(__xludf.DUMMYFUNCTION("GOOGLETRANSLATE(B13090,""en"",""fr"")"),"Les hommes continuent de rouler et se terminent avec une femme qui tire une couverture pour le jeu.")</f>
        <v>Les hommes continuent de rouler et se terminent avec une femme qui tire une couverture pour le jeu.</v>
      </c>
    </row>
    <row r="13091">
      <c r="A13091" s="4" t="s">
        <v>16472</v>
      </c>
      <c r="B13091" s="4" t="s">
        <v>16473</v>
      </c>
      <c r="C13091" s="5" t="str">
        <f>IFERROR(__xludf.DUMMYFUNCTION("GOOGLETRANSLATE(B13091,""en"",""fr"")"),"Un homme traverse une corde raide, comme on le voit de la vue du dessous de la corde.")</f>
        <v>Un homme traverse une corde raide, comme on le voit de la vue du dessous de la corde.</v>
      </c>
    </row>
    <row r="13092">
      <c r="A13092" s="4" t="s">
        <v>16472</v>
      </c>
      <c r="B13092" s="4" t="s">
        <v>16474</v>
      </c>
      <c r="C13092" s="5" t="str">
        <f>IFERROR(__xludf.DUMMYFUNCTION("GOOGLETRANSLATE(B13092,""en"",""fr"")"),"Une casserole hors de la rivière et un ferry est visible à Hong Kong.")</f>
        <v>Une casserole hors de la rivière et un ferry est visible à Hong Kong.</v>
      </c>
    </row>
    <row r="13093">
      <c r="A13093" s="4" t="s">
        <v>16472</v>
      </c>
      <c r="B13093" s="6" t="s">
        <v>16475</v>
      </c>
      <c r="C13093" s="5" t="str">
        <f>IFERROR(__xludf.DUMMYFUNCTION("GOOGLETRANSLATE(B13093,""en"",""fr"")"),"Un homme fait un spectacle alors qu'il équilibre dans plusieurs positions différentes sur une corde raide pour une petite foule.")</f>
        <v>Un homme fait un spectacle alors qu'il équilibre dans plusieurs positions différentes sur une corde raide pour une petite foule.</v>
      </c>
    </row>
    <row r="13094">
      <c r="A13094" s="4" t="s">
        <v>16472</v>
      </c>
      <c r="B13094" s="4" t="s">
        <v>16476</v>
      </c>
      <c r="C13094" s="5" t="str">
        <f>IFERROR(__xludf.DUMMYFUNCTION("GOOGLETRANSLATE(B13094,""en"",""fr"")"),"Un autre homme le rejoint, et ils équilibrent, marchent et font des poussées.")</f>
        <v>Un autre homme le rejoint, et ils équilibrent, marchent et font des poussées.</v>
      </c>
    </row>
    <row r="13095">
      <c r="A13095" s="4" t="s">
        <v>16477</v>
      </c>
      <c r="B13095" s="4" t="s">
        <v>16478</v>
      </c>
      <c r="C13095" s="5" t="str">
        <f>IFERROR(__xludf.DUMMYFUNCTION("GOOGLETRANSLATE(B13095,""en"",""fr"")"),"Une personne marche lentement sur la glace, essayant de la casser.")</f>
        <v>Une personne marche lentement sur la glace, essayant de la casser.</v>
      </c>
    </row>
    <row r="13096">
      <c r="A13096" s="4" t="s">
        <v>16477</v>
      </c>
      <c r="B13096" s="6" t="s">
        <v>16479</v>
      </c>
      <c r="C13096" s="5" t="str">
        <f>IFERROR(__xludf.DUMMYFUNCTION("GOOGLETRANSLATE(B13096,""en"",""fr"")"),"La personne a fait de nombreux trou de taille moyenne dans la glace et a la ligne de pêche suspendue profondément dans l'eau en dessous.")</f>
        <v>La personne a fait de nombreux trou de taille moyenne dans la glace et a la ligne de pêche suspendue profondément dans l'eau en dessous.</v>
      </c>
    </row>
    <row r="13097">
      <c r="A13097" s="4" t="s">
        <v>16477</v>
      </c>
      <c r="B13097" s="4" t="s">
        <v>16480</v>
      </c>
      <c r="C13097" s="5" t="str">
        <f>IFERROR(__xludf.DUMMYFUNCTION("GOOGLETRANSLATE(B13097,""en"",""fr"")"),"La personne marchant vers l'un des trou et vérifie la ligne de pêche pour voir s'il a attrapé le poisson.")</f>
        <v>La personne marchant vers l'un des trou et vérifie la ligne de pêche pour voir s'il a attrapé le poisson.</v>
      </c>
    </row>
    <row r="13098">
      <c r="A13098" s="4" t="s">
        <v>16477</v>
      </c>
      <c r="B13098" s="4" t="s">
        <v>16481</v>
      </c>
      <c r="C13098" s="5" t="str">
        <f>IFERROR(__xludf.DUMMYFUNCTION("GOOGLETRANSLATE(B13098,""en"",""fr"")"),"Le gars tire ensuite fort sur la ligne de pêche et le traîne.")</f>
        <v>Le gars tire ensuite fort sur la ligne de pêche et le traîne.</v>
      </c>
    </row>
    <row r="13099">
      <c r="A13099" s="4" t="s">
        <v>16477</v>
      </c>
      <c r="B13099" s="4" t="s">
        <v>16482</v>
      </c>
      <c r="C13099" s="5" t="str">
        <f>IFERROR(__xludf.DUMMYFUNCTION("GOOGLETRANSLATE(B13099,""en"",""fr"")"),"Enfin, il utilise un long crochet métallique pour accrocher le poisson qu'il a attrapé et le fait sortir le trou.")</f>
        <v>Enfin, il utilise un long crochet métallique pour accrocher le poisson qu'il a attrapé et le fait sortir le trou.</v>
      </c>
    </row>
    <row r="13100">
      <c r="A13100" s="4" t="s">
        <v>16477</v>
      </c>
      <c r="B13100" s="6" t="s">
        <v>16483</v>
      </c>
      <c r="C13100" s="5" t="str">
        <f>IFERROR(__xludf.DUMMYFUNCTION("GOOGLETRANSLATE(B13100,""en"",""fr"")"),"Il décroche ensuite le long crochet et utilise ses outils pour décrocher le petit crochet de pêche à la bouche du poisson, laissant le poisson sanglant.")</f>
        <v>Il décroche ensuite le long crochet et utilise ses outils pour décrocher le petit crochet de pêche à la bouche du poisson, laissant le poisson sanglant.</v>
      </c>
    </row>
    <row r="13101">
      <c r="A13101" s="4" t="s">
        <v>16484</v>
      </c>
      <c r="B13101" s="4" t="s">
        <v>16485</v>
      </c>
      <c r="C13101" s="5" t="str">
        <f>IFERROR(__xludf.DUMMYFUNCTION("GOOGLETRANSLATE(B13101,""en"",""fr"")"),"L'équipe de water-polo se tient près de la piscine en train de parler à la caméra.")</f>
        <v>L'équipe de water-polo se tient près de la piscine en train de parler à la caméra.</v>
      </c>
    </row>
    <row r="13102">
      <c r="A13102" s="4" t="s">
        <v>16484</v>
      </c>
      <c r="B13102" s="4" t="s">
        <v>16486</v>
      </c>
      <c r="C13102" s="5" t="str">
        <f>IFERROR(__xludf.DUMMYFUNCTION("GOOGLETRANSLATE(B13102,""en"",""fr"")"),"L'homme saute dans l'eau et tient une balle et Sart jouant dans la piscine.")</f>
        <v>L'homme saute dans l'eau et tient une balle et Sart jouant dans la piscine.</v>
      </c>
    </row>
    <row r="13103">
      <c r="A13103" s="4" t="s">
        <v>16487</v>
      </c>
      <c r="B13103" s="4" t="s">
        <v>16488</v>
      </c>
      <c r="C13103" s="5" t="str">
        <f>IFERROR(__xludf.DUMMYFUNCTION("GOOGLETRANSLATE(B13103,""en"",""fr"")"),"Un homme se penche et ramasse deux cloches de bouilloire.")</f>
        <v>Un homme se penche et ramasse deux cloches de bouilloire.</v>
      </c>
    </row>
    <row r="13104">
      <c r="A13104" s="4" t="s">
        <v>16487</v>
      </c>
      <c r="B13104" s="4" t="s">
        <v>16489</v>
      </c>
      <c r="C13104" s="5" t="str">
        <f>IFERROR(__xludf.DUMMYFUNCTION("GOOGLETRANSLATE(B13104,""en"",""fr"")"),"Il soulève et abaisse les cloches de la bouilloire.")</f>
        <v>Il soulève et abaisse les cloches de la bouilloire.</v>
      </c>
    </row>
    <row r="13105">
      <c r="A13105" s="4" t="s">
        <v>16487</v>
      </c>
      <c r="B13105" s="4" t="s">
        <v>16490</v>
      </c>
      <c r="C13105" s="5" t="str">
        <f>IFERROR(__xludf.DUMMYFUNCTION("GOOGLETRANSLATE(B13105,""en"",""fr"")"),"Il les pose sur l'herbe devant lui.")</f>
        <v>Il les pose sur l'herbe devant lui.</v>
      </c>
    </row>
    <row r="13106">
      <c r="A13106" s="4" t="s">
        <v>16491</v>
      </c>
      <c r="B13106" s="4" t="s">
        <v>16492</v>
      </c>
      <c r="C13106" s="5" t="str">
        <f>IFERROR(__xludf.DUMMYFUNCTION("GOOGLETRANSLATE(B13106,""en"",""fr"")"),"Un homme se tient derrière un bar avec plusieurs boissons mélangées.")</f>
        <v>Un homme se tient derrière un bar avec plusieurs boissons mélangées.</v>
      </c>
    </row>
    <row r="13107">
      <c r="A13107" s="4" t="s">
        <v>16491</v>
      </c>
      <c r="B13107" s="4" t="s">
        <v>16493</v>
      </c>
      <c r="C13107" s="5" t="str">
        <f>IFERROR(__xludf.DUMMYFUNCTION("GOOGLETRANSLATE(B13107,""en"",""fr"")"),"Il verse de la glace dans un verre et le garnit avec différentes liqueurs.")</f>
        <v>Il verse de la glace dans un verre et le garnit avec différentes liqueurs.</v>
      </c>
    </row>
    <row r="13108">
      <c r="A13108" s="4" t="s">
        <v>16491</v>
      </c>
      <c r="B13108" s="4" t="s">
        <v>16494</v>
      </c>
      <c r="C13108" s="5" t="str">
        <f>IFERROR(__xludf.DUMMYFUNCTION("GOOGLETRANSLATE(B13108,""en"",""fr"")"),"Il ajoute ensuite une petite paille.")</f>
        <v>Il ajoute ensuite une petite paille.</v>
      </c>
    </row>
    <row r="13109">
      <c r="A13109" s="4" t="s">
        <v>16495</v>
      </c>
      <c r="B13109" s="4" t="s">
        <v>16496</v>
      </c>
      <c r="C13109" s="5" t="str">
        <f>IFERROR(__xludf.DUMMYFUNCTION("GOOGLETRANSLATE(B13109,""en"",""fr"")"),"Une introduction mène à des clips de personnes chevauchant des planches de surf sur l'eau ainsi que des jet-skis.")</f>
        <v>Une introduction mène à des clips de personnes chevauchant des planches de surf sur l'eau ainsi que des jet-skis.</v>
      </c>
    </row>
    <row r="13110">
      <c r="A13110" s="4" t="s">
        <v>16495</v>
      </c>
      <c r="B13110" s="4" t="s">
        <v>16497</v>
      </c>
      <c r="C13110" s="5" t="str">
        <f>IFERROR(__xludf.DUMMYFUNCTION("GOOGLETRANSLATE(B13110,""en"",""fr"")"),"La caméra se déroule dans la région et continue de montrer plus de clips de personnes surfant.")</f>
        <v>La caméra se déroule dans la région et continue de montrer plus de clips de personnes surfant.</v>
      </c>
    </row>
    <row r="13111">
      <c r="A13111" s="4" t="s">
        <v>16495</v>
      </c>
      <c r="B13111" s="4" t="s">
        <v>16498</v>
      </c>
      <c r="C13111" s="5" t="str">
        <f>IFERROR(__xludf.DUMMYFUNCTION("GOOGLETRANSLATE(B13111,""en"",""fr"")"),"Un gros plan d'une planche de surf est montré suivi par beaucoup plus de personnes surfant sur l'eau.")</f>
        <v>Un gros plan d'une planche de surf est montré suivi par beaucoup plus de personnes surfant sur l'eau.</v>
      </c>
    </row>
    <row r="13112">
      <c r="A13112" s="4" t="s">
        <v>16499</v>
      </c>
      <c r="B13112" s="6" t="s">
        <v>16500</v>
      </c>
      <c r="C13112" s="5" t="str">
        <f>IFERROR(__xludf.DUMMYFUNCTION("GOOGLETRANSLATE(B13112,""en"",""fr"")"),"Un écran apparaît avec les rayons de vélo comme l'arrière-plan et les mots rouges qui lisent ""la révision et les plateaux de coupe et des cônes de révision et de réglage"" et un site Web en gris juste sous les mots rouges.")</f>
        <v>Un écran apparaît avec les rayons de vélo comme l'arrière-plan et les mots rouges qui lisent "la révision et les plateaux de coupe et des cônes de révision et de réglage" et un site Web en gris juste sous les mots rouges.</v>
      </c>
    </row>
    <row r="13113">
      <c r="A13113" s="4" t="s">
        <v>16499</v>
      </c>
      <c r="B13113" s="6" t="s">
        <v>16501</v>
      </c>
      <c r="C13113" s="5" t="str">
        <f>IFERROR(__xludf.DUMMYFUNCTION("GOOGLETRANSLATE(B13113,""en"",""fr"")"),"Un homme entre ensuite et par derrière, il utilise des outils sur le moyeu pour le démonter, le nettoyer soigneusement, le graisser, puis il remet le tout et s'assure que tout est sécurisé.")</f>
        <v>Un homme entre ensuite et par derrière, il utilise des outils sur le moyeu pour le démonter, le nettoyer soigneusement, le graisser, puis il remet le tout et s'assure que tout est sécurisé.</v>
      </c>
    </row>
    <row r="13114">
      <c r="A13114" s="4" t="s">
        <v>16499</v>
      </c>
      <c r="B13114" s="6" t="s">
        <v>16502</v>
      </c>
      <c r="C13114" s="5" t="str">
        <f>IFERROR(__xludf.DUMMYFUNCTION("GOOGLETRANSLATE(B13114,""en"",""fr"")"),"L'Undro est une roue qui tourne avec des mots de défilement rapide allant du bas en haut, puis il s'estompe rapidement à un écran noir.")</f>
        <v>L'Undro est une roue qui tourne avec des mots de défilement rapide allant du bas en haut, puis il s'estompe rapidement à un écran noir.</v>
      </c>
    </row>
    <row r="13115">
      <c r="A13115" s="4" t="s">
        <v>16503</v>
      </c>
      <c r="B13115" s="4" t="s">
        <v>16504</v>
      </c>
      <c r="C13115" s="5" t="str">
        <f>IFERROR(__xludf.DUMMYFUNCTION("GOOGLETRANSLATE(B13115,""en"",""fr"")"),"Aux équipes, jouent à lancer dans un champ tout en tenant un bâton.")</f>
        <v>Aux équipes, jouent à lancer dans un champ tout en tenant un bâton.</v>
      </c>
    </row>
    <row r="13116">
      <c r="A13116" s="4" t="s">
        <v>16503</v>
      </c>
      <c r="B13116" s="4" t="s">
        <v>16505</v>
      </c>
      <c r="C13116" s="5" t="str">
        <f>IFERROR(__xludf.DUMMYFUNCTION("GOOGLETRANSLATE(B13116,""en"",""fr"")"),"Une femme se dresse et une dame marche sur un banc.")</f>
        <v>Une femme se dresse et une dame marche sur un banc.</v>
      </c>
    </row>
    <row r="13117">
      <c r="A13117" s="4" t="s">
        <v>16503</v>
      </c>
      <c r="B13117" s="4" t="s">
        <v>16506</v>
      </c>
      <c r="C13117" s="5" t="str">
        <f>IFERROR(__xludf.DUMMYFUNCTION("GOOGLETRANSLATE(B13117,""en"",""fr"")"),"L'arbitre étend son bras gauche.")</f>
        <v>L'arbitre étend son bras gauche.</v>
      </c>
    </row>
    <row r="13118">
      <c r="A13118" s="4" t="s">
        <v>16507</v>
      </c>
      <c r="B13118" s="4" t="s">
        <v>16508</v>
      </c>
      <c r="C13118" s="5" t="str">
        <f>IFERROR(__xludf.DUMMYFUNCTION("GOOGLETRANSLATE(B13118,""en"",""fr"")"),"Diverses plans d'outils sont montrés qui conduisent à un homme assis en tenant une guitare.")</f>
        <v>Diverses plans d'outils sont montrés qui conduisent à un homme assis en tenant une guitare.</v>
      </c>
    </row>
    <row r="13119">
      <c r="A13119" s="4" t="s">
        <v>16507</v>
      </c>
      <c r="B13119" s="4" t="s">
        <v>16509</v>
      </c>
      <c r="C13119" s="5" t="str">
        <f>IFERROR(__xludf.DUMMYFUNCTION("GOOGLETRANSLATE(B13119,""en"",""fr"")"),"L'homme gratte alors la guitare un peu et s'arrête.")</f>
        <v>L'homme gratte alors la guitare un peu et s'arrête.</v>
      </c>
    </row>
    <row r="13120">
      <c r="A13120" s="4" t="s">
        <v>16507</v>
      </c>
      <c r="B13120" s="4" t="s">
        <v>16510</v>
      </c>
      <c r="C13120" s="5" t="str">
        <f>IFERROR(__xludf.DUMMYFUNCTION("GOOGLETRANSLATE(B13120,""en"",""fr"")"),"Il est ensuite montré en jouant à nouveau ainsi que plus d'outils affichés.")</f>
        <v>Il est ensuite montré en jouant à nouveau ainsi que plus d'outils affichés.</v>
      </c>
    </row>
    <row r="13121">
      <c r="A13121" s="4" t="s">
        <v>16511</v>
      </c>
      <c r="B13121" s="4" t="s">
        <v>16512</v>
      </c>
      <c r="C13121" s="5" t="str">
        <f>IFERROR(__xludf.DUMMYFUNCTION("GOOGLETRANSLATE(B13121,""en"",""fr"")"),"Plusieurs groupes de personnes dans des bateaux explorent une rivière.")</f>
        <v>Plusieurs groupes de personnes dans des bateaux explorent une rivière.</v>
      </c>
    </row>
    <row r="13122">
      <c r="A13122" s="4" t="s">
        <v>16511</v>
      </c>
      <c r="B13122" s="4" t="s">
        <v>16513</v>
      </c>
      <c r="C13122" s="5" t="str">
        <f>IFERROR(__xludf.DUMMYFUNCTION("GOOGLETRANSLATE(B13122,""en"",""fr"")"),"Le vent souffle les arbres dans le Grand Canyon.")</f>
        <v>Le vent souffle les arbres dans le Grand Canyon.</v>
      </c>
    </row>
    <row r="13123">
      <c r="A13123" s="4" t="s">
        <v>16511</v>
      </c>
      <c r="B13123" s="4" t="s">
        <v>16514</v>
      </c>
      <c r="C13123" s="5" t="str">
        <f>IFERROR(__xludf.DUMMYFUNCTION("GOOGLETRANSLATE(B13123,""en"",""fr"")"),"Un groupe de personnes sur un bateau blanc pagaye dans les eaux de la rivière.")</f>
        <v>Un groupe de personnes sur un bateau blanc pagaye dans les eaux de la rivière.</v>
      </c>
    </row>
    <row r="13124">
      <c r="A13124" s="4" t="s">
        <v>16511</v>
      </c>
      <c r="B13124" s="4" t="s">
        <v>16515</v>
      </c>
      <c r="C13124" s="5" t="str">
        <f>IFERROR(__xludf.DUMMYFUNCTION("GOOGLETRANSLATE(B13124,""en"",""fr"")"),"Plusieurs groupes luttent contre les hautes eaux violentes.")</f>
        <v>Plusieurs groupes luttent contre les hautes eaux violentes.</v>
      </c>
    </row>
    <row r="13125">
      <c r="A13125" s="4" t="s">
        <v>16511</v>
      </c>
      <c r="B13125" s="4" t="s">
        <v>16516</v>
      </c>
      <c r="C13125" s="5" t="str">
        <f>IFERROR(__xludf.DUMMYFUNCTION("GOOGLETRANSLATE(B13125,""en"",""fr"")"),"À un moment donné, les eaux violentes semblent presque renverser l'un des groupes.")</f>
        <v>À un moment donné, les eaux violentes semblent presque renverser l'un des groupes.</v>
      </c>
    </row>
    <row r="13126">
      <c r="A13126" s="4" t="s">
        <v>16511</v>
      </c>
      <c r="B13126" s="4" t="s">
        <v>16517</v>
      </c>
      <c r="C13126" s="5" t="str">
        <f>IFERROR(__xludf.DUMMYFUNCTION("GOOGLETRANSLATE(B13126,""en"",""fr"")"),"Un kayaker courageux et simple pagaye dans les eaux.")</f>
        <v>Un kayaker courageux et simple pagaye dans les eaux.</v>
      </c>
    </row>
    <row r="13127">
      <c r="A13127" s="4" t="s">
        <v>16518</v>
      </c>
      <c r="B13127" s="4" t="s">
        <v>16519</v>
      </c>
      <c r="C13127" s="5" t="str">
        <f>IFERROR(__xludf.DUMMYFUNCTION("GOOGLETRANSLATE(B13127,""en"",""fr"")"),"Un homme d'âge moyen est debout dans la rue avec des roues à roulettes.")</f>
        <v>Un homme d'âge moyen est debout dans la rue avec des roues à roulettes.</v>
      </c>
    </row>
    <row r="13128">
      <c r="A13128" s="4" t="s">
        <v>16518</v>
      </c>
      <c r="B13128" s="4" t="s">
        <v>16520</v>
      </c>
      <c r="C13128" s="5" t="str">
        <f>IFERROR(__xludf.DUMMYFUNCTION("GOOGLETRANSLATE(B13128,""en"",""fr"")"),"L'homme patine précisément entre une rangée serrée de petits cônes.")</f>
        <v>L'homme patine précisément entre une rangée serrée de petits cônes.</v>
      </c>
    </row>
    <row r="13129">
      <c r="A13129" s="4" t="s">
        <v>16518</v>
      </c>
      <c r="B13129" s="4" t="s">
        <v>16521</v>
      </c>
      <c r="C13129" s="5" t="str">
        <f>IFERROR(__xludf.DUMMYFUNCTION("GOOGLETRANSLATE(B13129,""en"",""fr"")"),"L'homme fait un appui-à-dire après avoir terminé le cours et remonte au début.")</f>
        <v>L'homme fait un appui-à-dire après avoir terminé le cours et remonte au début.</v>
      </c>
    </row>
    <row r="13130">
      <c r="A13130" s="4" t="s">
        <v>16522</v>
      </c>
      <c r="B13130" s="4" t="s">
        <v>16523</v>
      </c>
      <c r="C13130" s="5" t="str">
        <f>IFERROR(__xludf.DUMMYFUNCTION("GOOGLETRANSLATE(B13130,""en"",""fr"")"),"Deux hommes marchent le long de la plage avec leurs planches de surf.")</f>
        <v>Deux hommes marchent le long de la plage avec leurs planches de surf.</v>
      </c>
    </row>
    <row r="13131">
      <c r="A13131" s="4" t="s">
        <v>16522</v>
      </c>
      <c r="B13131" s="4" t="s">
        <v>16524</v>
      </c>
      <c r="C13131" s="5" t="str">
        <f>IFERROR(__xludf.DUMMYFUNCTION("GOOGLETRANSLATE(B13131,""en"",""fr"")"),"Ils entrent dans l'eau et le surfeur avec la planche blanche attrape une vague.")</f>
        <v>Ils entrent dans l'eau et le surfeur avec la planche blanche attrape une vague.</v>
      </c>
    </row>
    <row r="13132">
      <c r="A13132" s="4" t="s">
        <v>16522</v>
      </c>
      <c r="B13132" s="6" t="s">
        <v>16525</v>
      </c>
      <c r="C13132" s="5" t="str">
        <f>IFERROR(__xludf.DUMMYFUNCTION("GOOGLETRANSLATE(B13132,""en"",""fr"")"),"White Board attrape une autre vague lorsque la planche bleue se retire, plus de vagues prises par la planche blanche sont montrées.")</f>
        <v>White Board attrape une autre vague lorsque la planche bleue se retire, plus de vagues prises par la planche blanche sont montrées.</v>
      </c>
    </row>
    <row r="13133">
      <c r="A13133" s="4" t="s">
        <v>16522</v>
      </c>
      <c r="B13133" s="4" t="s">
        <v>16526</v>
      </c>
      <c r="C13133" s="5" t="str">
        <f>IFERROR(__xludf.DUMMYFUNCTION("GOOGLETRANSLATE(B13133,""en"",""fr"")"),"Le surfeur sur la planche bleue attrape quelques vagues.")</f>
        <v>Le surfeur sur la planche bleue attrape quelques vagues.</v>
      </c>
    </row>
    <row r="13134">
      <c r="A13134" s="4" t="s">
        <v>16522</v>
      </c>
      <c r="B13134" s="4" t="s">
        <v>16527</v>
      </c>
      <c r="C13134" s="5" t="str">
        <f>IFERROR(__xludf.DUMMYFUNCTION("GOOGLETRANSLATE(B13134,""en"",""fr"")"),"Le surfeur blanc est montré glissant sur plus de vagues, clairement comme un expert.")</f>
        <v>Le surfeur blanc est montré glissant sur plus de vagues, clairement comme un expert.</v>
      </c>
    </row>
    <row r="13135">
      <c r="A13135" s="4" t="s">
        <v>16528</v>
      </c>
      <c r="B13135" s="4" t="s">
        <v>16529</v>
      </c>
      <c r="C13135" s="5" t="str">
        <f>IFERROR(__xludf.DUMMYFUNCTION("GOOGLETRANSLATE(B13135,""en"",""fr"")"),"Une série d'écrans apparaît avec des mots blancs et violets sous forme de paragraphe.")</f>
        <v>Une série d'écrans apparaît avec des mots blancs et violets sous forme de paragraphe.</v>
      </c>
    </row>
    <row r="13136">
      <c r="A13136" s="4" t="s">
        <v>16528</v>
      </c>
      <c r="B13136" s="4" t="s">
        <v>16530</v>
      </c>
      <c r="C13136" s="5" t="str">
        <f>IFERROR(__xludf.DUMMYFUNCTION("GOOGLETRANSLATE(B13136,""en"",""fr"")"),"Une personne est ensuite montrée en marchant vers la voiture avec un ustensile qui retire la neige du verre.")</f>
        <v>Une personne est ensuite montrée en marchant vers la voiture avec un ustensile qui retire la neige du verre.</v>
      </c>
    </row>
    <row r="13137">
      <c r="A13137" s="4" t="s">
        <v>16528</v>
      </c>
      <c r="B13137" s="4" t="s">
        <v>16531</v>
      </c>
      <c r="C13137" s="5" t="str">
        <f>IFERROR(__xludf.DUMMYFUNCTION("GOOGLETRANSLATE(B13137,""en"",""fr"")"),"Ensuite, un autre écran apparaît avec des mots blancs et affiche une phrase et l'emplacement.")</f>
        <v>Ensuite, un autre écran apparaît avec des mots blancs et affiche une phrase et l'emplacement.</v>
      </c>
    </row>
    <row r="13138">
      <c r="A13138" s="4" t="s">
        <v>16532</v>
      </c>
      <c r="B13138" s="4" t="s">
        <v>16533</v>
      </c>
      <c r="C13138" s="5" t="str">
        <f>IFERROR(__xludf.DUMMYFUNCTION("GOOGLETRANSLATE(B13138,""en"",""fr"")"),"Deux personnes sont vues debout sur un tapis et commencent à se battre.")</f>
        <v>Deux personnes sont vues debout sur un tapis et commencent à se battre.</v>
      </c>
    </row>
    <row r="13139">
      <c r="A13139" s="4" t="s">
        <v>16532</v>
      </c>
      <c r="B13139" s="4" t="s">
        <v>16534</v>
      </c>
      <c r="C13139" s="5" t="str">
        <f>IFERROR(__xludf.DUMMYFUNCTION("GOOGLETRANSLATE(B13139,""en"",""fr"")"),"Les hommes s'arrêtent un instant et continuent de se battre pendant que les gens regardent sur le côté.")</f>
        <v>Les hommes s'arrêtent un instant et continuent de se battre pendant que les gens regardent sur le côté.</v>
      </c>
    </row>
    <row r="13140">
      <c r="A13140" s="4" t="s">
        <v>16532</v>
      </c>
      <c r="B13140" s="4" t="s">
        <v>16535</v>
      </c>
      <c r="C13140" s="5" t="str">
        <f>IFERROR(__xludf.DUMMYFUNCTION("GOOGLETRANSLATE(B13140,""en"",""fr"")"),"Les garçons continuent de se battre et s'arrêtent à la fin.")</f>
        <v>Les garçons continuent de se battre et s'arrêtent à la fin.</v>
      </c>
    </row>
    <row r="13141">
      <c r="A13141" s="4" t="s">
        <v>16536</v>
      </c>
      <c r="B13141" s="4" t="s">
        <v>16537</v>
      </c>
      <c r="C13141" s="5" t="str">
        <f>IFERROR(__xludf.DUMMYFUNCTION("GOOGLETRANSLATE(B13141,""en"",""fr"")"),"Une personne est vue en train de tourner un robinet et de se frotter les mains sous l'eau.")</f>
        <v>Une personne est vue en train de tourner un robinet et de se frotter les mains sous l'eau.</v>
      </c>
    </row>
    <row r="13142">
      <c r="A13142" s="4" t="s">
        <v>16536</v>
      </c>
      <c r="B13142" s="6" t="s">
        <v>16538</v>
      </c>
      <c r="C13142" s="5" t="str">
        <f>IFERROR(__xludf.DUMMYFUNCTION("GOOGLETRANSLATE(B13142,""en"",""fr"")"),"La personne pousse le savon dans ses mains, regardant le savon goutte à goutte, puis se frott les mains.")</f>
        <v>La personne pousse le savon dans ses mains, regardant le savon goutte à goutte, puis se frott les mains.</v>
      </c>
    </row>
    <row r="13143">
      <c r="A13143" s="4" t="s">
        <v>16539</v>
      </c>
      <c r="B13143" s="6" t="s">
        <v>16540</v>
      </c>
      <c r="C13143" s="5" t="str">
        <f>IFERROR(__xludf.DUMMYFUNCTION("GOOGLETRANSLATE(B13143,""en"",""fr"")"),"Il y a une femme avec un tatouage à main et des ongles peints en rouge fixant et vissant des pièces dans le coffre d'une voiture pour fixer le pneu de secours.")</f>
        <v>Il y a une femme avec un tatouage à main et des ongles peints en rouge fixant et vissant des pièces dans le coffre d'une voiture pour fixer le pneu de secours.</v>
      </c>
    </row>
    <row r="13144">
      <c r="A13144" s="4" t="s">
        <v>16539</v>
      </c>
      <c r="B13144" s="4" t="s">
        <v>16541</v>
      </c>
      <c r="C13144" s="5" t="str">
        <f>IFERROR(__xludf.DUMMYFUNCTION("GOOGLETRANSLATE(B13144,""en"",""fr"")"),"Puis elle place le pneu de secours dans le boîtier en métal.")</f>
        <v>Puis elle place le pneu de secours dans le boîtier en métal.</v>
      </c>
    </row>
    <row r="13145">
      <c r="A13145" s="4" t="s">
        <v>16539</v>
      </c>
      <c r="B13145" s="4" t="s">
        <v>16542</v>
      </c>
      <c r="C13145" s="5" t="str">
        <f>IFERROR(__xludf.DUMMYFUNCTION("GOOGLETRANSLATE(B13145,""en"",""fr"")"),"Elle prend le cadran en plastique et le vissez en toute sécurité pour s'adapter au pneu de secours dans le coffre.")</f>
        <v>Elle prend le cadran en plastique et le vissez en toute sécurité pour s'adapter au pneu de secours dans le coffre.</v>
      </c>
    </row>
    <row r="13146">
      <c r="A13146" s="4" t="s">
        <v>16539</v>
      </c>
      <c r="B13146" s="4" t="s">
        <v>16543</v>
      </c>
      <c r="C13146" s="5" t="str">
        <f>IFERROR(__xludf.DUMMYFUNCTION("GOOGLETRANSLATE(B13146,""en"",""fr"")"),"Elle place la couverture sur le pneu à l'intérieur du coffre.")</f>
        <v>Elle place la couverture sur le pneu à l'intérieur du coffre.</v>
      </c>
    </row>
    <row r="13147">
      <c r="A13147" s="4" t="s">
        <v>16544</v>
      </c>
      <c r="B13147" s="6" t="s">
        <v>16545</v>
      </c>
      <c r="C13147" s="5" t="str">
        <f>IFERROR(__xludf.DUMMYFUNCTION("GOOGLETRANSLATE(B13147,""en"",""fr"")"),"Il y a beaucoup d'enfants allant des tout-petits aux adolescents s'amusant lors d'une fête d'anniversaire d'arrière-cour.")</f>
        <v>Il y a beaucoup d'enfants allant des tout-petits aux adolescents s'amusant lors d'une fête d'anniversaire d'arrière-cour.</v>
      </c>
    </row>
    <row r="13148">
      <c r="A13148" s="4" t="s">
        <v>16544</v>
      </c>
      <c r="B13148" s="4" t="s">
        <v>16546</v>
      </c>
      <c r="C13148" s="5" t="str">
        <f>IFERROR(__xludf.DUMMYFUNCTION("GOOGLETRANSLATE(B13148,""en"",""fr"")"),"Il y a une princesse Disney Piñata suspendue à un arbre.")</f>
        <v>Il y a une princesse Disney Piñata suspendue à un arbre.</v>
      </c>
    </row>
    <row r="13149">
      <c r="A13149" s="4" t="s">
        <v>16544</v>
      </c>
      <c r="B13149" s="4" t="s">
        <v>16547</v>
      </c>
      <c r="C13149" s="5" t="str">
        <f>IFERROR(__xludf.DUMMYFUNCTION("GOOGLETRANSLATE(B13149,""en"",""fr"")"),"Les enfants aiment frapper la piñata avec un bâton bleu.")</f>
        <v>Les enfants aiment frapper la piñata avec un bâton bleu.</v>
      </c>
    </row>
    <row r="13150">
      <c r="A13150" s="4" t="s">
        <v>16544</v>
      </c>
      <c r="B13150" s="4" t="s">
        <v>16548</v>
      </c>
      <c r="C13150" s="5" t="str">
        <f>IFERROR(__xludf.DUMMYFUNCTION("GOOGLETRANSLATE(B13150,""en"",""fr"")"),"Ils se pressent à tour de rôle pour frapper la piñata.")</f>
        <v>Ils se pressent à tour de rôle pour frapper la piñata.</v>
      </c>
    </row>
    <row r="13151">
      <c r="A13151" s="4" t="s">
        <v>16544</v>
      </c>
      <c r="B13151" s="4" t="s">
        <v>16549</v>
      </c>
      <c r="C13151" s="5" t="str">
        <f>IFERROR(__xludf.DUMMYFUNCTION("GOOGLETRANSLATE(B13151,""en"",""fr"")"),"Une petite fille vêtue d'une jupe violette essaie de déchirer la piñata en la frappant fort avec le bâton.")</f>
        <v>Une petite fille vêtue d'une jupe violette essaie de déchirer la piñata en la frappant fort avec le bâton.</v>
      </c>
    </row>
    <row r="13152">
      <c r="A13152" s="4" t="s">
        <v>16550</v>
      </c>
      <c r="B13152" s="4" t="s">
        <v>16551</v>
      </c>
      <c r="C13152" s="5" t="str">
        <f>IFERROR(__xludf.DUMMYFUNCTION("GOOGLETRANSLATE(B13152,""en"",""fr"")"),"Un jeune enfant est vu debout devant une table de paletterie tenant un bâton.")</f>
        <v>Un jeune enfant est vu debout devant une table de paletterie tenant un bâton.</v>
      </c>
    </row>
    <row r="13153">
      <c r="A13153" s="4" t="s">
        <v>16550</v>
      </c>
      <c r="B13153" s="4" t="s">
        <v>16552</v>
      </c>
      <c r="C13153" s="5" t="str">
        <f>IFERROR(__xludf.DUMMYFUNCTION("GOOGLETRANSLATE(B13153,""en"",""fr"")"),"Le garçon pousse ensuite la rondelle à travers le jeu.")</f>
        <v>Le garçon pousse ensuite la rondelle à travers le jeu.</v>
      </c>
    </row>
    <row r="13154">
      <c r="A13154" s="4" t="s">
        <v>16550</v>
      </c>
      <c r="B13154" s="4" t="s">
        <v>16553</v>
      </c>
      <c r="C13154" s="5" t="str">
        <f>IFERROR(__xludf.DUMMYFUNCTION("GOOGLETRANSLATE(B13154,""en"",""fr"")"),"La caméra suit les mouvements des rondelles et ramène au garçon.")</f>
        <v>La caméra suit les mouvements des rondelles et ramène au garçon.</v>
      </c>
    </row>
    <row r="13155">
      <c r="A13155" s="4" t="s">
        <v>16554</v>
      </c>
      <c r="B13155" s="4" t="s">
        <v>16555</v>
      </c>
      <c r="C13155" s="5" t="str">
        <f>IFERROR(__xludf.DUMMYFUNCTION("GOOGLETRANSLATE(B13155,""en"",""fr"")"),"Un homme frappe une balle avec une batte.")</f>
        <v>Un homme frappe une balle avec une batte.</v>
      </c>
    </row>
    <row r="13156">
      <c r="A13156" s="4" t="s">
        <v>16554</v>
      </c>
      <c r="B13156" s="4" t="s">
        <v>16556</v>
      </c>
      <c r="C13156" s="5" t="str">
        <f>IFERROR(__xludf.DUMMYFUNCTION("GOOGLETRANSLATE(B13156,""en"",""fr"")"),"Trois hommes se tiennent sur un champ.")</f>
        <v>Trois hommes se tiennent sur un champ.</v>
      </c>
    </row>
    <row r="13157">
      <c r="A13157" s="4" t="s">
        <v>16554</v>
      </c>
      <c r="B13157" s="4" t="s">
        <v>16557</v>
      </c>
      <c r="C13157" s="5" t="str">
        <f>IFERROR(__xludf.DUMMYFUNCTION("GOOGLETRANSLATE(B13157,""en"",""fr"")"),"Un homme lance une balle sur le terrain.")</f>
        <v>Un homme lance une balle sur le terrain.</v>
      </c>
    </row>
    <row r="13158">
      <c r="A13158" s="4" t="s">
        <v>16554</v>
      </c>
      <c r="B13158" s="4" t="s">
        <v>16558</v>
      </c>
      <c r="C13158" s="5" t="str">
        <f>IFERROR(__xludf.DUMMYFUNCTION("GOOGLETRANSLATE(B13158,""en"",""fr"")"),"Trois hommes retournent une pièce.")</f>
        <v>Trois hommes retournent une pièce.</v>
      </c>
    </row>
    <row r="13159">
      <c r="A13159" s="4" t="s">
        <v>16559</v>
      </c>
      <c r="B13159" s="4" t="s">
        <v>16560</v>
      </c>
      <c r="C13159" s="5" t="str">
        <f>IFERROR(__xludf.DUMMYFUNCTION("GOOGLETRANSLATE(B13159,""en"",""fr"")"),"Une personne joue une guitare acoustique.")</f>
        <v>Une personne joue une guitare acoustique.</v>
      </c>
    </row>
    <row r="13160">
      <c r="A13160" s="4" t="s">
        <v>16559</v>
      </c>
      <c r="B13160" s="4" t="s">
        <v>16561</v>
      </c>
      <c r="C13160" s="5" t="str">
        <f>IFERROR(__xludf.DUMMYFUNCTION("GOOGLETRANSLATE(B13160,""en"",""fr"")"),"Il y a un arbre de Noël derrière lui.")</f>
        <v>Il y a un arbre de Noël derrière lui.</v>
      </c>
    </row>
    <row r="13161">
      <c r="A13161" s="4" t="s">
        <v>16559</v>
      </c>
      <c r="B13161" s="4" t="s">
        <v>16562</v>
      </c>
      <c r="C13161" s="5" t="str">
        <f>IFERROR(__xludf.DUMMYFUNCTION("GOOGLETRANSLATE(B13161,""en"",""fr"")"),"Un logo avec des mots arrive sur l'écran.")</f>
        <v>Un logo avec des mots arrive sur l'écran.</v>
      </c>
    </row>
    <row r="13162">
      <c r="A13162" s="4" t="s">
        <v>16563</v>
      </c>
      <c r="B13162" s="4" t="s">
        <v>16564</v>
      </c>
      <c r="C13162" s="5" t="str">
        <f>IFERROR(__xludf.DUMMYFUNCTION("GOOGLETRANSLATE(B13162,""en"",""fr"")"),"Des vues différentes autour d'une ville sont visibles.")</f>
        <v>Des vues différentes autour d'une ville sont visibles.</v>
      </c>
    </row>
    <row r="13163">
      <c r="A13163" s="4" t="s">
        <v>16563</v>
      </c>
      <c r="B13163" s="4" t="s">
        <v>16565</v>
      </c>
      <c r="C13163" s="5" t="str">
        <f>IFERROR(__xludf.DUMMYFUNCTION("GOOGLETRANSLATE(B13163,""en"",""fr"")"),"Une grande foule est vue encourageant dans un grand auditorium.")</f>
        <v>Une grande foule est vue encourageant dans un grand auditorium.</v>
      </c>
    </row>
    <row r="13164">
      <c r="A13164" s="4" t="s">
        <v>16563</v>
      </c>
      <c r="B13164" s="6" t="s">
        <v>16566</v>
      </c>
      <c r="C13164" s="5" t="str">
        <f>IFERROR(__xludf.DUMMYFUNCTION("GOOGLETRANSLATE(B13164,""en"",""fr"")"),"Les athlètes marchent ensemble dans un couloir puis se tiennent sur des bûches et les coupent en compétition.")</f>
        <v>Les athlètes marchent ensemble dans un couloir puis se tiennent sur des bûches et les coupent en compétition.</v>
      </c>
    </row>
    <row r="13165">
      <c r="A13165" s="4" t="s">
        <v>16563</v>
      </c>
      <c r="B13165" s="6" t="s">
        <v>16567</v>
      </c>
      <c r="C13165" s="5" t="str">
        <f>IFERROR(__xludf.DUMMYFUNCTION("GOOGLETRANSLATE(B13165,""en"",""fr"")"),"Deux athlètes traversent des maillots verts et oranges ont ensuite vu à travers de gros journaux dans une compétition.")</f>
        <v>Deux athlètes traversent des maillots verts et oranges ont ensuite vu à travers de gros journaux dans une compétition.</v>
      </c>
    </row>
    <row r="13166">
      <c r="A13166" s="4" t="s">
        <v>16563</v>
      </c>
      <c r="B13166" s="4" t="s">
        <v>16568</v>
      </c>
      <c r="C13166" s="5" t="str">
        <f>IFERROR(__xludf.DUMMYFUNCTION("GOOGLETRANSLATE(B13166,""en"",""fr"")"),"Le juge inspecte le journal et déclare un gagnant à la foule.")</f>
        <v>Le juge inspecte le journal et déclare un gagnant à la foule.</v>
      </c>
    </row>
    <row r="13167">
      <c r="A13167" s="4" t="s">
        <v>16563</v>
      </c>
      <c r="B13167" s="4" t="s">
        <v>16569</v>
      </c>
      <c r="C13167" s="5" t="str">
        <f>IFERROR(__xludf.DUMMYFUNCTION("GOOGLETRANSLATE(B13167,""en"",""fr"")"),"Deux athlètes traversent un couloir puis coupent une bûche verticale en compétition.")</f>
        <v>Deux athlètes traversent un couloir puis coupent une bûche verticale en compétition.</v>
      </c>
    </row>
    <row r="13168">
      <c r="A13168" s="4" t="s">
        <v>16563</v>
      </c>
      <c r="B13168" s="4" t="s">
        <v>16570</v>
      </c>
      <c r="C13168" s="5" t="str">
        <f>IFERROR(__xludf.DUMMYFUNCTION("GOOGLETRANSLATE(B13168,""en"",""fr"")"),"Les pom-pom girls entrent dans un couloir puis dansent sur scène.")</f>
        <v>Les pom-pom girls entrent dans un couloir puis dansent sur scène.</v>
      </c>
    </row>
    <row r="13169">
      <c r="A13169" s="4" t="s">
        <v>16563</v>
      </c>
      <c r="B13169" s="4" t="s">
        <v>16571</v>
      </c>
      <c r="C13169" s="5" t="str">
        <f>IFERROR(__xludf.DUMMYFUNCTION("GOOGLETRANSLATE(B13169,""en"",""fr"")"),"Deux athlètes pénètrent dans un couloir puis utilisent une scie à main pour couper un journal.")</f>
        <v>Deux athlètes pénètrent dans un couloir puis utilisent une scie à main pour couper un journal.</v>
      </c>
    </row>
    <row r="13170">
      <c r="A13170" s="4" t="s">
        <v>16563</v>
      </c>
      <c r="B13170" s="6" t="s">
        <v>16572</v>
      </c>
      <c r="C13170" s="5" t="str">
        <f>IFERROR(__xludf.DUMMYFUNCTION("GOOGLETRANSLATE(B13170,""en"",""fr"")"),"Deux athlètes pénètrent dans un couloir puis placent des planches dans une bûche pour se tenir debout tout en le coupant.")</f>
        <v>Deux athlètes pénètrent dans un couloir puis placent des planches dans une bûche pour se tenir debout tout en le coupant.</v>
      </c>
    </row>
    <row r="13171">
      <c r="A13171" s="4" t="s">
        <v>16563</v>
      </c>
      <c r="B13171" s="6" t="s">
        <v>16573</v>
      </c>
      <c r="C13171" s="5" t="str">
        <f>IFERROR(__xludf.DUMMYFUNCTION("GOOGLETRANSLATE(B13171,""en"",""fr"")"),"Les athlètes participent à une compétition de tronçonneuse et ont vu à travers de grands journaux avant de se féliciter.")</f>
        <v>Les athlètes participent à une compétition de tronçonneuse et ont vu à travers de grands journaux avant de se féliciter.</v>
      </c>
    </row>
    <row r="13172">
      <c r="A13172" s="4" t="s">
        <v>16563</v>
      </c>
      <c r="B13172" s="4" t="s">
        <v>16574</v>
      </c>
      <c r="C13172" s="5" t="str">
        <f>IFERROR(__xludf.DUMMYFUNCTION("GOOGLETRANSLATE(B13172,""en"",""fr"")"),"Le vainqueur est vu en tenant un trophée avec les finalistes et la foule applaudit.")</f>
        <v>Le vainqueur est vu en tenant un trophée avec les finalistes et la foule applaudit.</v>
      </c>
    </row>
    <row r="13173">
      <c r="A13173" s="4" t="s">
        <v>16575</v>
      </c>
      <c r="B13173" s="4" t="s">
        <v>16576</v>
      </c>
      <c r="C13173" s="5" t="str">
        <f>IFERROR(__xludf.DUMMYFUNCTION("GOOGLETRANSLATE(B13173,""en"",""fr"")"),"Ces 2 équipes différentes courent sur le terrain parce qu'elles jouent à Shinty.")</f>
        <v>Ces 2 équipes différentes courent sur le terrain parce qu'elles jouent à Shinty.</v>
      </c>
    </row>
    <row r="13174">
      <c r="A13174" s="4" t="s">
        <v>16575</v>
      </c>
      <c r="B13174" s="6" t="s">
        <v>16577</v>
      </c>
      <c r="C13174" s="5" t="str">
        <f>IFERROR(__xludf.DUMMYFUNCTION("GOOGLETRANSLATE(B13174,""en"",""fr"")"),"Seule la moitié de la foule est remplie de gens, tandis que l'autre côté est vide sans personne pour regarder quoi que ce soit.")</f>
        <v>Seule la moitié de la foule est remplie de gens, tandis que l'autre côté est vide sans personne pour regarder quoi que ce soit.</v>
      </c>
    </row>
    <row r="13175">
      <c r="A13175" s="4" t="s">
        <v>16575</v>
      </c>
      <c r="B13175" s="4" t="s">
        <v>16578</v>
      </c>
      <c r="C13175" s="5" t="str">
        <f>IFERROR(__xludf.DUMMYFUNCTION("GOOGLETRANSLATE(B13175,""en"",""fr"")"),"En fin de compte, quelqu'un gagne et des gens dans la foule applaudissent et applaudissent.")</f>
        <v>En fin de compte, quelqu'un gagne et des gens dans la foule applaudissent et applaudissent.</v>
      </c>
    </row>
    <row r="13176">
      <c r="A13176" s="4" t="s">
        <v>16579</v>
      </c>
      <c r="B13176" s="4" t="s">
        <v>16580</v>
      </c>
      <c r="C13176" s="5" t="str">
        <f>IFERROR(__xludf.DUMMYFUNCTION("GOOGLETRANSLATE(B13176,""en"",""fr"")"),"Un homme est assis avec une guitare électrique.")</f>
        <v>Un homme est assis avec une guitare électrique.</v>
      </c>
    </row>
    <row r="13177">
      <c r="A13177" s="4" t="s">
        <v>16579</v>
      </c>
      <c r="B13177" s="4" t="s">
        <v>16581</v>
      </c>
      <c r="C13177" s="5" t="str">
        <f>IFERROR(__xludf.DUMMYFUNCTION("GOOGLETRANSLATE(B13177,""en"",""fr"")"),"Il parle à la caméra, puis il commence à jouer.")</f>
        <v>Il parle à la caméra, puis il commence à jouer.</v>
      </c>
    </row>
    <row r="13178">
      <c r="A13178" s="4" t="s">
        <v>16579</v>
      </c>
      <c r="B13178" s="4" t="s">
        <v>16582</v>
      </c>
      <c r="C13178" s="5" t="str">
        <f>IFERROR(__xludf.DUMMYFUNCTION("GOOGLETRANSLATE(B13178,""en"",""fr"")"),"Un autre homme joue les accords sur une table.")</f>
        <v>Un autre homme joue les accords sur une table.</v>
      </c>
    </row>
    <row r="13179">
      <c r="A13179" s="4" t="s">
        <v>16583</v>
      </c>
      <c r="B13179" s="4" t="s">
        <v>16584</v>
      </c>
      <c r="C13179" s="5" t="str">
        <f>IFERROR(__xludf.DUMMYFUNCTION("GOOGLETRANSLATE(B13179,""en"",""fr"")"),"Une femme dans un chapeau et un gilet se dresse acheter un chariot.")</f>
        <v>Une femme dans un chapeau et un gilet se dresse acheter un chariot.</v>
      </c>
    </row>
    <row r="13180">
      <c r="A13180" s="4" t="s">
        <v>16583</v>
      </c>
      <c r="B13180" s="4" t="s">
        <v>16585</v>
      </c>
      <c r="C13180" s="5" t="str">
        <f>IFERROR(__xludf.DUMMYFUNCTION("GOOGLETRANSLATE(B13180,""en"",""fr"")"),"Elle crochette quelque chose en noir et blanc.")</f>
        <v>Elle crochette quelque chose en noir et blanc.</v>
      </c>
    </row>
    <row r="13181">
      <c r="A13181" s="4" t="s">
        <v>16583</v>
      </c>
      <c r="B13181" s="4" t="s">
        <v>16586</v>
      </c>
      <c r="C13181" s="5" t="str">
        <f>IFERROR(__xludf.DUMMYFUNCTION("GOOGLETRANSLATE(B13181,""en"",""fr"")"),"Une voiture passe par le chariot.")</f>
        <v>Une voiture passe par le chariot.</v>
      </c>
    </row>
    <row r="13182">
      <c r="A13182" s="4" t="s">
        <v>16583</v>
      </c>
      <c r="B13182" s="4" t="s">
        <v>16587</v>
      </c>
      <c r="C13182" s="5" t="str">
        <f>IFERROR(__xludf.DUMMYFUNCTION("GOOGLETRANSLATE(B13182,""en"",""fr"")"),"Une autre personne atteint la voiture.")</f>
        <v>Une autre personne atteint la voiture.</v>
      </c>
    </row>
    <row r="13183">
      <c r="A13183" s="4" t="s">
        <v>16588</v>
      </c>
      <c r="B13183" s="4" t="s">
        <v>16589</v>
      </c>
      <c r="C13183" s="5" t="str">
        <f>IFERROR(__xludf.DUMMYFUNCTION("GOOGLETRANSLATE(B13183,""en"",""fr"")"),"Une personne portant un chapeau n'est assise pas de canapé.")</f>
        <v>Une personne portant un chapeau n'est assise pas de canapé.</v>
      </c>
    </row>
    <row r="13184">
      <c r="A13184" s="4" t="s">
        <v>16588</v>
      </c>
      <c r="B13184" s="4" t="s">
        <v>16590</v>
      </c>
      <c r="C13184" s="5" t="str">
        <f>IFERROR(__xludf.DUMMYFUNCTION("GOOGLETRANSLATE(B13184,""en"",""fr"")"),"Ils commencent à jouer un accordéon.")</f>
        <v>Ils commencent à jouer un accordéon.</v>
      </c>
    </row>
    <row r="13185">
      <c r="A13185" s="4" t="s">
        <v>16588</v>
      </c>
      <c r="B13185" s="4" t="s">
        <v>16591</v>
      </c>
      <c r="C13185" s="5" t="str">
        <f>IFERROR(__xludf.DUMMYFUNCTION("GOOGLETRANSLATE(B13185,""en"",""fr"")"),"Ils pointent les boutons de l'accordéon avec un tournevis.")</f>
        <v>Ils pointent les boutons de l'accordéon avec un tournevis.</v>
      </c>
    </row>
    <row r="13186">
      <c r="A13186" s="4" t="s">
        <v>16592</v>
      </c>
      <c r="B13186" s="6" t="s">
        <v>16593</v>
      </c>
      <c r="C13186" s="5" t="str">
        <f>IFERROR(__xludf.DUMMYFUNCTION("GOOGLETRANSLATE(B13186,""en"",""fr"")"),"Une gymnaste est vue se balançant sur un bar faisant divers flips et astuces sur deux ensembles de poutres.")</f>
        <v>Une gymnaste est vue se balançant sur un bar faisant divers flips et astuces sur deux ensembles de poutres.</v>
      </c>
    </row>
    <row r="13187">
      <c r="A13187" s="4" t="s">
        <v>16592</v>
      </c>
      <c r="B13187" s="4" t="s">
        <v>16594</v>
      </c>
      <c r="C13187" s="5" t="str">
        <f>IFERROR(__xludf.DUMMYFUNCTION("GOOGLETRANSLATE(B13187,""en"",""fr"")"),"Elle continue de tourner et se termine les mains et son entraîneur applaudissant.")</f>
        <v>Elle continue de tourner et se termine les mains et son entraîneur applaudissant.</v>
      </c>
    </row>
    <row r="13188">
      <c r="A13188" s="4" t="s">
        <v>16592</v>
      </c>
      <c r="B13188" s="4" t="s">
        <v>16595</v>
      </c>
      <c r="C13188" s="5" t="str">
        <f>IFERROR(__xludf.DUMMYFUNCTION("GOOGLETRANSLATE(B13188,""en"",""fr"")"),"Les gens regardent sur les côtés et ses scores sont finalement montrés.")</f>
        <v>Les gens regardent sur les côtés et ses scores sont finalement montrés.</v>
      </c>
    </row>
    <row r="13189">
      <c r="A13189" s="4" t="s">
        <v>16596</v>
      </c>
      <c r="B13189" s="6" t="s">
        <v>16597</v>
      </c>
      <c r="C13189" s="5" t="str">
        <f>IFERROR(__xludf.DUMMYFUNCTION("GOOGLETRANSLATE(B13189,""en"",""fr"")"),"Il y a deux lycéens dans la cafétéria du lycée debout à côté d'une table où certains élèves sont assis.")</f>
        <v>Il y a deux lycéens dans la cafétéria du lycée debout à côté d'une table où certains élèves sont assis.</v>
      </c>
    </row>
    <row r="13190">
      <c r="A13190" s="4" t="s">
        <v>16596</v>
      </c>
      <c r="B13190" s="6" t="s">
        <v>16598</v>
      </c>
      <c r="C13190" s="5" t="str">
        <f>IFERROR(__xludf.DUMMYFUNCTION("GOOGLETRANSLATE(B13190,""en"",""fr"")"),"L'un des étudiants se déshabille et change son short tandis que l'autre étudiant dans une chemise rouge le regarde.")</f>
        <v>L'un des étudiants se déshabille et change son short tandis que l'autre étudiant dans une chemise rouge le regarde.</v>
      </c>
    </row>
    <row r="13191">
      <c r="A13191" s="4" t="s">
        <v>16596</v>
      </c>
      <c r="B13191" s="4" t="s">
        <v>16599</v>
      </c>
      <c r="C13191" s="5" t="str">
        <f>IFERROR(__xludf.DUMMYFUNCTION("GOOGLETRANSLATE(B13191,""en"",""fr"")"),"Une fois que l'élève a fini de changer, le garçon de la chemise rouge se moque de lui.")</f>
        <v>Une fois que l'élève a fini de changer, le garçon de la chemise rouge se moque de lui.</v>
      </c>
    </row>
    <row r="13192">
      <c r="A13192" s="4" t="s">
        <v>16596</v>
      </c>
      <c r="B13192" s="6" t="s">
        <v>16600</v>
      </c>
      <c r="C13192" s="5" t="str">
        <f>IFERROR(__xludf.DUMMYFUNCTION("GOOGLETRANSLATE(B13192,""en"",""fr"")"),"L'élève est provoqué et frappe le garçon dans la chemise rouge sur son visage, le faisant tomber sur le sol sur sa tête.")</f>
        <v>L'élève est provoqué et frappe le garçon dans la chemise rouge sur son visage, le faisant tomber sur le sol sur sa tête.</v>
      </c>
    </row>
    <row r="13193">
      <c r="A13193" s="4" t="s">
        <v>16601</v>
      </c>
      <c r="B13193" s="4" t="s">
        <v>16602</v>
      </c>
      <c r="C13193" s="5" t="str">
        <f>IFERROR(__xludf.DUMMYFUNCTION("GOOGLETRANSLATE(B13193,""en"",""fr"")"),"Une femme se promène sur une scène tenant un saxophone.")</f>
        <v>Une femme se promène sur une scène tenant un saxophone.</v>
      </c>
    </row>
    <row r="13194">
      <c r="A13194" s="4" t="s">
        <v>16601</v>
      </c>
      <c r="B13194" s="4" t="s">
        <v>16603</v>
      </c>
      <c r="C13194" s="5" t="str">
        <f>IFERROR(__xludf.DUMMYFUNCTION("GOOGLETRANSLATE(B13194,""en"",""fr"")"),"Elle commence à jouer du saxophone alors qu'elle danse.")</f>
        <v>Elle commence à jouer du saxophone alors qu'elle danse.</v>
      </c>
    </row>
    <row r="13195">
      <c r="A13195" s="4" t="s">
        <v>16601</v>
      </c>
      <c r="B13195" s="4" t="s">
        <v>16604</v>
      </c>
      <c r="C13195" s="5" t="str">
        <f>IFERROR(__xludf.DUMMYFUNCTION("GOOGLETRANSLATE(B13195,""en"",""fr"")"),"Elle s'arrête et parle à nouveau à la foule.")</f>
        <v>Elle s'arrête et parle à nouveau à la foule.</v>
      </c>
    </row>
    <row r="13196">
      <c r="A13196" s="4" t="s">
        <v>16601</v>
      </c>
      <c r="B13196" s="4" t="s">
        <v>16605</v>
      </c>
      <c r="C13196" s="5" t="str">
        <f>IFERROR(__xludf.DUMMYFUNCTION("GOOGLETRANSLATE(B13196,""en"",""fr"")"),"Elle recommence à jouer et à danser.")</f>
        <v>Elle recommence à jouer et à danser.</v>
      </c>
    </row>
    <row r="13197">
      <c r="A13197" s="4" t="s">
        <v>16606</v>
      </c>
      <c r="B13197" s="4" t="s">
        <v>16607</v>
      </c>
      <c r="C13197" s="5" t="str">
        <f>IFERROR(__xludf.DUMMYFUNCTION("GOOGLETRANSLATE(B13197,""en"",""fr"")"),"Un homme est vu assis devant une table avec un cube Rubix dessus et ses mains sur une plate-forme.")</f>
        <v>Un homme est vu assis devant une table avec un cube Rubix dessus et ses mains sur une plate-forme.</v>
      </c>
    </row>
    <row r="13198">
      <c r="A13198" s="4" t="s">
        <v>16606</v>
      </c>
      <c r="B13198" s="4" t="s">
        <v>16608</v>
      </c>
      <c r="C13198" s="5" t="str">
        <f>IFERROR(__xludf.DUMMYFUNCTION("GOOGLETRANSLATE(B13198,""en"",""fr"")"),"Il résout ensuite le cube Rubix en quelques secondes et montre son temps à la caméra.")</f>
        <v>Il résout ensuite le cube Rubix en quelques secondes et montre son temps à la caméra.</v>
      </c>
    </row>
    <row r="13199">
      <c r="A13199" s="4" t="s">
        <v>16609</v>
      </c>
      <c r="B13199" s="4" t="s">
        <v>16610</v>
      </c>
      <c r="C13199" s="5" t="str">
        <f>IFERROR(__xludf.DUMMYFUNCTION("GOOGLETRANSLATE(B13199,""en"",""fr"")"),"Cette fille fait une vidéo de la façon de rendre vos chaussures blanches et de devenir scintillantes.")</f>
        <v>Cette fille fait une vidéo de la façon de rendre vos chaussures blanches et de devenir scintillantes.</v>
      </c>
    </row>
    <row r="13200">
      <c r="A13200" s="4" t="s">
        <v>16609</v>
      </c>
      <c r="B13200" s="6" t="s">
        <v>16611</v>
      </c>
      <c r="C13200" s="5" t="str">
        <f>IFERROR(__xludf.DUMMYFUNCTION("GOOGLETRANSLATE(B13200,""en"",""fr"")"),"Vous aurez besoin d'une brosse à dents, d'une poudre pour bébé, d'une tasse de verre ou d'un bol, de blanchiment et de Q-tips, de la souffrance et de l'eau.")</f>
        <v>Vous aurez besoin d'une brosse à dents, d'une poudre pour bébé, d'une tasse de verre ou d'un bol, de blanchiment et de Q-tips, de la souffrance et de l'eau.</v>
      </c>
    </row>
    <row r="13201">
      <c r="A13201" s="4" t="s">
        <v>16609</v>
      </c>
      <c r="B13201" s="6" t="s">
        <v>16612</v>
      </c>
      <c r="C13201" s="5" t="str">
        <f>IFERROR(__xludf.DUMMYFUNCTION("GOOGLETRANSLATE(B13201,""en"",""fr"")"),"Elle ajoute d'abord que l'eau verse un peu de poudre pour bébé dans le petit bol et elle le mélange à l'aide de la brosse à dents.")</f>
        <v>Elle ajoute d'abord que l'eau verse un peu de poudre pour bébé dans le petit bol et elle le mélange à l'aide de la brosse à dents.</v>
      </c>
    </row>
    <row r="13202">
      <c r="A13202" s="4" t="s">
        <v>16609</v>
      </c>
      <c r="B13202" s="4" t="s">
        <v>16613</v>
      </c>
      <c r="C13202" s="5" t="str">
        <f>IFERROR(__xludf.DUMMYFUNCTION("GOOGLETRANSLATE(B13202,""en"",""fr"")"),"Elle met la brosse à dents trempée en poudre pour bébé sur la chaussure et commence à le frotter là-bas.")</f>
        <v>Elle met la brosse à dents trempée en poudre pour bébé sur la chaussure et commence à le frotter là-bas.</v>
      </c>
    </row>
    <row r="13203">
      <c r="A13203" s="4" t="s">
        <v>16609</v>
      </c>
      <c r="B13203" s="4" t="s">
        <v>16614</v>
      </c>
      <c r="C13203" s="5" t="str">
        <f>IFERROR(__xludf.DUMMYFUNCTION("GOOGLETRANSLATE(B13203,""en"",""fr"")"),"Ensuite, elle attrape le mouchonnage et Sweldrys la chaussure et les frotte à nouveau.")</f>
        <v>Ensuite, elle attrape le mouchonnage et Sweldrys la chaussure et les frotte à nouveau.</v>
      </c>
    </row>
    <row r="13204">
      <c r="A13204" s="4" t="s">
        <v>16609</v>
      </c>
      <c r="B13204" s="6" t="s">
        <v>16615</v>
      </c>
      <c r="C13204" s="5" t="str">
        <f>IFERROR(__xludf.DUMMYFUNCTION("GOOGLETRANSLATE(B13204,""en"",""fr"")"),"Ensuite, elle verse de l'eau de Javel dans le petit bol qui contient de la poudre pour bébé et elle met la brosse à dents dans le bol et la frotte à nouveau sur la chaussure.")</f>
        <v>Ensuite, elle verse de l'eau de Javel dans le petit bol qui contient de la poudre pour bébé et elle met la brosse à dents dans le bol et la frotte à nouveau sur la chaussure.</v>
      </c>
    </row>
    <row r="13205">
      <c r="A13205" s="4" t="s">
        <v>16609</v>
      </c>
      <c r="B13205" s="4" t="s">
        <v>16616</v>
      </c>
      <c r="C13205" s="5" t="str">
        <f>IFERROR(__xludf.DUMMYFUNCTION("GOOGLETRANSLATE(B13205,""en"",""fr"")"),"Enfin, elle assure un chiffon avec de l'eau et essuie la chaussure.")</f>
        <v>Enfin, elle assure un chiffon avec de l'eau et essuie la chaussure.</v>
      </c>
    </row>
    <row r="13206">
      <c r="A13206" s="4" t="s">
        <v>16617</v>
      </c>
      <c r="B13206" s="4" t="s">
        <v>16618</v>
      </c>
      <c r="C13206" s="5" t="str">
        <f>IFERROR(__xludf.DUMMYFUNCTION("GOOGLETRANSLATE(B13206,""en"",""fr"")"),"Un homme et une femme luttent sur une table.")</f>
        <v>Un homme et une femme luttent sur une table.</v>
      </c>
    </row>
    <row r="13207">
      <c r="A13207" s="4" t="s">
        <v>16617</v>
      </c>
      <c r="B13207" s="4" t="s">
        <v>16619</v>
      </c>
      <c r="C13207" s="5" t="str">
        <f>IFERROR(__xludf.DUMMYFUNCTION("GOOGLETRANSLATE(B13207,""en"",""fr"")"),"Une femme en chemise blanche passe devant eux.")</f>
        <v>Une femme en chemise blanche passe devant eux.</v>
      </c>
    </row>
    <row r="13208">
      <c r="A13208" s="4" t="s">
        <v>16617</v>
      </c>
      <c r="B13208" s="4" t="s">
        <v>16620</v>
      </c>
      <c r="C13208" s="5" t="str">
        <f>IFERROR(__xludf.DUMMYFUNCTION("GOOGLETRANSLATE(B13208,""en"",""fr"")"),"La femme gagne et s'éloigne.")</f>
        <v>La femme gagne et s'éloigne.</v>
      </c>
    </row>
    <row r="13209">
      <c r="A13209" s="4" t="s">
        <v>16621</v>
      </c>
      <c r="B13209" s="4" t="s">
        <v>16622</v>
      </c>
      <c r="C13209" s="5" t="str">
        <f>IFERROR(__xludf.DUMMYFUNCTION("GOOGLETRANSLATE(B13209,""en"",""fr"")"),"Un artiste perçant élimine un tissu du nez d'une femme et essuie la partie du nez.")</f>
        <v>Un artiste perçant élimine un tissu du nez d'une femme et essuie la partie du nez.</v>
      </c>
    </row>
    <row r="13210">
      <c r="A13210" s="4" t="s">
        <v>16621</v>
      </c>
      <c r="B13210" s="4" t="s">
        <v>16623</v>
      </c>
      <c r="C13210" s="5" t="str">
        <f>IFERROR(__xludf.DUMMYFUNCTION("GOOGLETRANSLATE(B13210,""en"",""fr"")"),"La femme tient des pinces perçantes contre le nez d'une femme.")</f>
        <v>La femme tient des pinces perçantes contre le nez d'une femme.</v>
      </c>
    </row>
    <row r="13211">
      <c r="A13211" s="4" t="s">
        <v>16621</v>
      </c>
      <c r="B13211" s="4" t="s">
        <v>16624</v>
      </c>
      <c r="C13211" s="5" t="str">
        <f>IFERROR(__xludf.DUMMYFUNCTION("GOOGLETRANSLATE(B13211,""en"",""fr"")"),"Elle perce une aiguille par le nez et maintient la pince en place.")</f>
        <v>Elle perce une aiguille par le nez et maintient la pince en place.</v>
      </c>
    </row>
    <row r="13212">
      <c r="A13212" s="4" t="s">
        <v>16621</v>
      </c>
      <c r="B13212" s="4" t="s">
        <v>16625</v>
      </c>
      <c r="C13212" s="5" t="str">
        <f>IFERROR(__xludf.DUMMYFUNCTION("GOOGLETRANSLATE(B13212,""en"",""fr"")"),"Elle retire la pince du nez de la femme.")</f>
        <v>Elle retire la pince du nez de la femme.</v>
      </c>
    </row>
    <row r="13213">
      <c r="A13213" s="4" t="s">
        <v>16621</v>
      </c>
      <c r="B13213" s="4" t="s">
        <v>16626</v>
      </c>
      <c r="C13213" s="5" t="str">
        <f>IFERROR(__xludf.DUMMYFUNCTION("GOOGLETRANSLATE(B13213,""en"",""fr"")"),"La femme assise parle.")</f>
        <v>La femme assise parle.</v>
      </c>
    </row>
    <row r="13214">
      <c r="A13214" s="4" t="s">
        <v>16621</v>
      </c>
      <c r="B13214" s="4" t="s">
        <v>16627</v>
      </c>
      <c r="C13214" s="5" t="str">
        <f>IFERROR(__xludf.DUMMYFUNCTION("GOOGLETRANSLATE(B13214,""en"",""fr"")"),"L'artiste perçant touche l'aiguille et le nez alors qu'elle baise un anneau de nez.")</f>
        <v>L'artiste perçant touche l'aiguille et le nez alors qu'elle baise un anneau de nez.</v>
      </c>
    </row>
    <row r="13215">
      <c r="A13215" s="4" t="s">
        <v>16621</v>
      </c>
      <c r="B13215" s="4" t="s">
        <v>16628</v>
      </c>
      <c r="C13215" s="5" t="str">
        <f>IFERROR(__xludf.DUMMYFUNCTION("GOOGLETRANSLATE(B13215,""en"",""fr"")"),"Les artistes perçants arrangent le perçage à l'intérieur du nez avec quelques pinces.")</f>
        <v>Les artistes perçants arrangent le perçage à l'intérieur du nez avec quelques pinces.</v>
      </c>
    </row>
    <row r="13216">
      <c r="A13216" s="4" t="s">
        <v>16621</v>
      </c>
      <c r="B13216" s="4" t="s">
        <v>16629</v>
      </c>
      <c r="C13216" s="5" t="str">
        <f>IFERROR(__xludf.DUMMYFUNCTION("GOOGLETRANSLATE(B13216,""en"",""fr"")"),"L'artiste perçant touche le piercing.")</f>
        <v>L'artiste perçant touche le piercing.</v>
      </c>
    </row>
    <row r="13217">
      <c r="A13217" s="4" t="s">
        <v>16621</v>
      </c>
      <c r="B13217" s="4" t="s">
        <v>16630</v>
      </c>
      <c r="C13217" s="5" t="str">
        <f>IFERROR(__xludf.DUMMYFUNCTION("GOOGLETRANSLATE(B13217,""en"",""fr"")"),"Les artistes perçants utilisent un tissu pour collecter du sang autour du piercing.")</f>
        <v>Les artistes perçants utilisent un tissu pour collecter du sang autour du piercing.</v>
      </c>
    </row>
    <row r="13218">
      <c r="A13218" s="4" t="s">
        <v>16621</v>
      </c>
      <c r="B13218" s="4" t="s">
        <v>16631</v>
      </c>
      <c r="C13218" s="5" t="str">
        <f>IFERROR(__xludf.DUMMYFUNCTION("GOOGLETRANSLATE(B13218,""en"",""fr"")"),"Une collection d'œuvres d'art est vue sur le mur.")</f>
        <v>Une collection d'œuvres d'art est vue sur le mur.</v>
      </c>
    </row>
    <row r="13219">
      <c r="A13219" s="4" t="s">
        <v>16621</v>
      </c>
      <c r="B13219" s="4" t="s">
        <v>16632</v>
      </c>
      <c r="C13219" s="5" t="str">
        <f>IFERROR(__xludf.DUMMYFUNCTION("GOOGLETRANSLATE(B13219,""en"",""fr"")"),"L'artiste perçant utilise continuellement un tissu pour essuyer le sang du nez de la femme.")</f>
        <v>L'artiste perçant utilise continuellement un tissu pour essuyer le sang du nez de la femme.</v>
      </c>
    </row>
    <row r="13220">
      <c r="A13220" s="4" t="s">
        <v>16621</v>
      </c>
      <c r="B13220" s="4" t="s">
        <v>16633</v>
      </c>
      <c r="C13220" s="5" t="str">
        <f>IFERROR(__xludf.DUMMYFUNCTION("GOOGLETRANSLATE(B13220,""en"",""fr"")"),"La femme se lève et salue.")</f>
        <v>La femme se lève et salue.</v>
      </c>
    </row>
    <row r="13221">
      <c r="A13221" s="4" t="s">
        <v>16634</v>
      </c>
      <c r="B13221" s="4" t="s">
        <v>16635</v>
      </c>
      <c r="C13221" s="5" t="str">
        <f>IFERROR(__xludf.DUMMYFUNCTION("GOOGLETRANSLATE(B13221,""en"",""fr"")"),"Nous voyons un livre sur une table.")</f>
        <v>Nous voyons un livre sur une table.</v>
      </c>
    </row>
    <row r="13222">
      <c r="A13222" s="4" t="s">
        <v>16634</v>
      </c>
      <c r="B13222" s="4" t="s">
        <v>16636</v>
      </c>
      <c r="C13222" s="5" t="str">
        <f>IFERROR(__xludf.DUMMYFUNCTION("GOOGLETRANSLATE(B13222,""en"",""fr"")"),"Nous voyons l'image dans le livre avec des vidéos de personnes tricotant.")</f>
        <v>Nous voyons l'image dans le livre avec des vidéos de personnes tricotant.</v>
      </c>
    </row>
    <row r="13223">
      <c r="A13223" s="4" t="s">
        <v>16634</v>
      </c>
      <c r="B13223" s="4" t="s">
        <v>16637</v>
      </c>
      <c r="C13223" s="5" t="str">
        <f>IFERROR(__xludf.DUMMYFUNCTION("GOOGLETRANSLATE(B13223,""en"",""fr"")"),"Nous voyons une dame enseigner deux filles.")</f>
        <v>Nous voyons une dame enseigner deux filles.</v>
      </c>
    </row>
    <row r="13224">
      <c r="A13224" s="4" t="s">
        <v>16634</v>
      </c>
      <c r="B13224" s="4" t="s">
        <v>16638</v>
      </c>
      <c r="C13224" s="5" t="str">
        <f>IFERROR(__xludf.DUMMYFUNCTION("GOOGLETRANSLATE(B13224,""en"",""fr"")"),"Nous voyons un enseignant enseigner à un garçon à tricoter.")</f>
        <v>Nous voyons un enseignant enseigner à un garçon à tricoter.</v>
      </c>
    </row>
    <row r="13225">
      <c r="A13225" s="4" t="s">
        <v>16634</v>
      </c>
      <c r="B13225" s="4" t="s">
        <v>16639</v>
      </c>
      <c r="C13225" s="5" t="str">
        <f>IFERROR(__xludf.DUMMYFUNCTION("GOOGLETRANSLATE(B13225,""en"",""fr"")"),"Nous voyons une dame enseigner à un groupe d'enfants à tricoter.")</f>
        <v>Nous voyons une dame enseigner à un groupe d'enfants à tricoter.</v>
      </c>
    </row>
    <row r="13226">
      <c r="A13226" s="4" t="s">
        <v>16634</v>
      </c>
      <c r="B13226" s="4" t="s">
        <v>7242</v>
      </c>
      <c r="C13226" s="5" t="str">
        <f>IFERROR(__xludf.DUMMYFUNCTION("GOOGLETRANSLATE(B13226,""en"",""fr"")"),"Nous voyons ensuite l'écran de clôture.")</f>
        <v>Nous voyons ensuite l'écran de clôture.</v>
      </c>
    </row>
    <row r="13227">
      <c r="A13227" s="4" t="s">
        <v>16640</v>
      </c>
      <c r="B13227" s="4" t="s">
        <v>16641</v>
      </c>
      <c r="C13227" s="5" t="str">
        <f>IFERROR(__xludf.DUMMYFUNCTION("GOOGLETRANSLATE(B13227,""en"",""fr"")"),"Un groupe d'enfants est dans les tampres.")</f>
        <v>Un groupe d'enfants est dans les tampres.</v>
      </c>
    </row>
    <row r="13228">
      <c r="A13228" s="4" t="s">
        <v>16640</v>
      </c>
      <c r="B13228" s="4" t="s">
        <v>16642</v>
      </c>
      <c r="C13228" s="5" t="str">
        <f>IFERROR(__xludf.DUMMYFUNCTION("GOOGLETRANSLATE(B13228,""en"",""fr"")"),"Ils roulent, essayant de se frapper.")</f>
        <v>Ils roulent, essayant de se frapper.</v>
      </c>
    </row>
    <row r="13229">
      <c r="A13229" s="4" t="s">
        <v>16640</v>
      </c>
      <c r="B13229" s="4" t="s">
        <v>16643</v>
      </c>
      <c r="C13229" s="5" t="str">
        <f>IFERROR(__xludf.DUMMYFUNCTION("GOOGLETRANSLATE(B13229,""en"",""fr"")"),"Ils tombent sur les autres voitures au fur et à mesure.")</f>
        <v>Ils tombent sur les autres voitures au fur et à mesure.</v>
      </c>
    </row>
    <row r="13230">
      <c r="A13230" s="4" t="s">
        <v>16644</v>
      </c>
      <c r="B13230" s="4" t="s">
        <v>16645</v>
      </c>
      <c r="C13230" s="5" t="str">
        <f>IFERROR(__xludf.DUMMYFUNCTION("GOOGLETRANSLATE(B13230,""en"",""fr"")"),"Un homme est vu debout dans un grand champ tenant un outil.")</f>
        <v>Un homme est vu debout dans un grand champ tenant un outil.</v>
      </c>
    </row>
    <row r="13231">
      <c r="A13231" s="4" t="s">
        <v>16644</v>
      </c>
      <c r="B13231" s="4" t="s">
        <v>16646</v>
      </c>
      <c r="C13231" s="5" t="str">
        <f>IFERROR(__xludf.DUMMYFUNCTION("GOOGLETRANSLATE(B13231,""en"",""fr"")"),"L'homme utilise ensuite l'outil sur l'herbe dans la police de lui rapidement.")</f>
        <v>L'homme utilise ensuite l'outil sur l'herbe dans la police de lui rapidement.</v>
      </c>
    </row>
    <row r="13232">
      <c r="A13232" s="4" t="s">
        <v>16644</v>
      </c>
      <c r="B13232" s="4" t="s">
        <v>16647</v>
      </c>
      <c r="C13232" s="5" t="str">
        <f>IFERROR(__xludf.DUMMYFUNCTION("GOOGLETRANSLATE(B13232,""en"",""fr"")"),"L'homme continue de couper l'herbe pendant que la caméra capture son mouvement.")</f>
        <v>L'homme continue de couper l'herbe pendant que la caméra capture son mouvement.</v>
      </c>
    </row>
    <row r="13233">
      <c r="A13233" s="4" t="s">
        <v>16648</v>
      </c>
      <c r="B13233" s="4" t="s">
        <v>16649</v>
      </c>
      <c r="C13233" s="5" t="str">
        <f>IFERROR(__xludf.DUMMYFUNCTION("GOOGLETRANSLATE(B13233,""en"",""fr"")"),"Un homme divise le bois dur pour une utilisation dans les poêles en bois.")</f>
        <v>Un homme divise le bois dur pour une utilisation dans les poêles en bois.</v>
      </c>
    </row>
    <row r="13234">
      <c r="A13234" s="4" t="s">
        <v>16648</v>
      </c>
      <c r="B13234" s="4" t="s">
        <v>16650</v>
      </c>
      <c r="C13234" s="5" t="str">
        <f>IFERROR(__xludf.DUMMYFUNCTION("GOOGLETRANSLATE(B13234,""en"",""fr"")"),"Il y a deux techniques utilisées, une avec une hache et une avec un marteau et une hache.")</f>
        <v>Il y a deux techniques utilisées, une avec une hache et une avec un marteau et une hache.</v>
      </c>
    </row>
    <row r="13235">
      <c r="A13235" s="4" t="s">
        <v>16651</v>
      </c>
      <c r="B13235" s="6" t="s">
        <v>16652</v>
      </c>
      <c r="C13235" s="5" t="str">
        <f>IFERROR(__xludf.DUMMYFUNCTION("GOOGLETRANSLATE(B13235,""en"",""fr"")"),"L'homme met d'abord sa minuterie attachée à sa poitrine et il s'assoit et met sa jambe sur le ski.")</f>
        <v>L'homme met d'abord sa minuterie attachée à sa poitrine et il s'assoit et met sa jambe sur le ski.</v>
      </c>
    </row>
    <row r="13236">
      <c r="A13236" s="4" t="s">
        <v>16651</v>
      </c>
      <c r="B13236" s="6" t="s">
        <v>16653</v>
      </c>
      <c r="C13236" s="5" t="str">
        <f>IFERROR(__xludf.DUMMYFUNCTION("GOOGLETRANSLATE(B13236,""en"",""fr"")"),"Ensuite, il se lève tout en tenant quelque chose et il commence à skier nautique alors qu'il est tiré par le bateau.")</f>
        <v>Ensuite, il se lève tout en tenant quelque chose et il commence à skier nautique alors qu'il est tiré par le bateau.</v>
      </c>
    </row>
    <row r="13237">
      <c r="A13237" s="4" t="s">
        <v>16651</v>
      </c>
      <c r="B13237" s="4" t="s">
        <v>16654</v>
      </c>
      <c r="C13237" s="5" t="str">
        <f>IFERROR(__xludf.DUMMYFUNCTION("GOOGLETRANSLATE(B13237,""en"",""fr"")"),"Mais, il finit par tomber et est vu debout dans l'eau.")</f>
        <v>Mais, il finit par tomber et est vu debout dans l'eau.</v>
      </c>
    </row>
    <row r="13238">
      <c r="A13238" s="4" t="s">
        <v>16655</v>
      </c>
      <c r="B13238" s="4" t="s">
        <v>16656</v>
      </c>
      <c r="C13238" s="5" t="str">
        <f>IFERROR(__xludf.DUMMYFUNCTION("GOOGLETRANSLATE(B13238,""en"",""fr"")"),"Une femme exerce dans une machine.")</f>
        <v>Une femme exerce dans une machine.</v>
      </c>
    </row>
    <row r="13239">
      <c r="A13239" s="4" t="s">
        <v>16655</v>
      </c>
      <c r="B13239" s="4" t="s">
        <v>16657</v>
      </c>
      <c r="C13239" s="5" t="str">
        <f>IFERROR(__xludf.DUMMYFUNCTION("GOOGLETRANSLATE(B13239,""en"",""fr"")"),"La caméra se concentre et dispose de parties spécifiques de la machine.")</f>
        <v>La caméra se concentre et dispose de parties spécifiques de la machine.</v>
      </c>
    </row>
    <row r="13240">
      <c r="A13240" s="4" t="s">
        <v>16655</v>
      </c>
      <c r="B13240" s="4" t="s">
        <v>16658</v>
      </c>
      <c r="C13240" s="5" t="str">
        <f>IFERROR(__xludf.DUMMYFUNCTION("GOOGLETRANSLATE(B13240,""en"",""fr"")"),"La femme montre la pliage de la machine pour le stockage.")</f>
        <v>La femme montre la pliage de la machine pour le stockage.</v>
      </c>
    </row>
    <row r="13241">
      <c r="A13241" s="4" t="s">
        <v>16655</v>
      </c>
      <c r="B13241" s="4" t="s">
        <v>16659</v>
      </c>
      <c r="C13241" s="5" t="str">
        <f>IFERROR(__xludf.DUMMYFUNCTION("GOOGLETRANSLATE(B13241,""en"",""fr"")"),"La femme continue de faire de l'exercice sur la machine.")</f>
        <v>La femme continue de faire de l'exercice sur la machine.</v>
      </c>
    </row>
    <row r="13242">
      <c r="A13242" s="4" t="s">
        <v>16660</v>
      </c>
      <c r="B13242" s="4" t="s">
        <v>16661</v>
      </c>
      <c r="C13242" s="5" t="str">
        <f>IFERROR(__xludf.DUMMYFUNCTION("GOOGLETRANSLATE(B13242,""en"",""fr"")"),"Un groupe d'hommes est dehors assis autour d'une fontaine jouant à un jeu de marelle étrangement dessinée.")</f>
        <v>Un groupe d'hommes est dehors assis autour d'une fontaine jouant à un jeu de marelle étrangement dessinée.</v>
      </c>
    </row>
    <row r="13243">
      <c r="A13243" s="4" t="s">
        <v>16660</v>
      </c>
      <c r="B13243" s="4" t="s">
        <v>16662</v>
      </c>
      <c r="C13243" s="5" t="str">
        <f>IFERROR(__xludf.DUMMYFUNCTION("GOOGLETRANSLATE(B13243,""en"",""fr"")"),"Un garçon prend son tour, puis ils recommencent à parler à nouveau.")</f>
        <v>Un garçon prend son tour, puis ils recommencent à parler à nouveau.</v>
      </c>
    </row>
    <row r="13244">
      <c r="A13244" s="4" t="s">
        <v>16660</v>
      </c>
      <c r="B13244" s="4" t="s">
        <v>16663</v>
      </c>
      <c r="C13244" s="5" t="str">
        <f>IFERROR(__xludf.DUMMYFUNCTION("GOOGLETRANSLATE(B13244,""en"",""fr"")"),"Ensuite, un garçon essaie de sauter par-dessus les briques mais finit par tomber.")</f>
        <v>Ensuite, un garçon essaie de sauter par-dessus les briques mais finit par tomber.</v>
      </c>
    </row>
    <row r="13245">
      <c r="A13245" s="4" t="s">
        <v>16660</v>
      </c>
      <c r="B13245" s="4" t="s">
        <v>16664</v>
      </c>
      <c r="C13245" s="5" t="str">
        <f>IFERROR(__xludf.DUMMYFUNCTION("GOOGLETRANSLATE(B13245,""en"",""fr"")"),"Un autre garçon saute après lui et il réussit.")</f>
        <v>Un autre garçon saute après lui et il réussit.</v>
      </c>
    </row>
    <row r="13246">
      <c r="A13246" s="4" t="s">
        <v>16660</v>
      </c>
      <c r="B13246" s="6" t="s">
        <v>16665</v>
      </c>
      <c r="C13246" s="5" t="str">
        <f>IFERROR(__xludf.DUMMYFUNCTION("GOOGLETRANSLATE(B13246,""en"",""fr"")"),"Cependant, le prochain garçon saute et doit se tenir sur un pied et récupérer toutes les pièces lancées derrière lui.")</f>
        <v>Cependant, le prochain garçon saute et doit se tenir sur un pied et récupérer toutes les pièces lancées derrière lui.</v>
      </c>
    </row>
    <row r="13247">
      <c r="A13247" s="4" t="s">
        <v>16666</v>
      </c>
      <c r="B13247" s="6" t="s">
        <v>16667</v>
      </c>
      <c r="C13247" s="5" t="str">
        <f>IFERROR(__xludf.DUMMYFUNCTION("GOOGLETRANSLATE(B13247,""en"",""fr"")"),"Un homme est vu parler à la caméra et l'amène en le respectant un outil et en pointant plusieurs buissons.")</f>
        <v>Un homme est vu parler à la caméra et l'amène en le respectant un outil et en pointant plusieurs buissons.</v>
      </c>
    </row>
    <row r="13248">
      <c r="A13248" s="4" t="s">
        <v>16666</v>
      </c>
      <c r="B13248" s="6" t="s">
        <v>16668</v>
      </c>
      <c r="C13248" s="5" t="str">
        <f>IFERROR(__xludf.DUMMYFUNCTION("GOOGLETRANSLATE(B13248,""en"",""fr"")"),"L'homme coupe ensuite le long de la brousse tout en s'arrêtant pour parler à la caméra et en tenant l'outil.")</f>
        <v>L'homme coupe ensuite le long de la brousse tout en s'arrêtant pour parler à la caméra et en tenant l'outil.</v>
      </c>
    </row>
    <row r="13249">
      <c r="A13249" s="4" t="s">
        <v>16669</v>
      </c>
      <c r="B13249" s="4" t="s">
        <v>16670</v>
      </c>
      <c r="C13249" s="5" t="str">
        <f>IFERROR(__xludf.DUMMYFUNCTION("GOOGLETRANSLATE(B13249,""en"",""fr"")"),"Une gymnaste est vue debout sur une poutre et commence à effectuer des mouvements de gymnastique sur le faisceau.")</f>
        <v>Une gymnaste est vue debout sur une poutre et commence à effectuer des mouvements de gymnastique sur le faisceau.</v>
      </c>
    </row>
    <row r="13250">
      <c r="A13250" s="4" t="s">
        <v>16669</v>
      </c>
      <c r="B13250" s="4" t="s">
        <v>16671</v>
      </c>
      <c r="C13250" s="5" t="str">
        <f>IFERROR(__xludf.DUMMYFUNCTION("GOOGLETRANSLATE(B13250,""en"",""fr"")"),"La fille tourne et retourne tout le long du faisceau tandis que la caméra capture ses mouvements.")</f>
        <v>La fille tourne et retourne tout le long du faisceau tandis que la caméra capture ses mouvements.</v>
      </c>
    </row>
    <row r="13251">
      <c r="A13251" s="4" t="s">
        <v>16669</v>
      </c>
      <c r="B13251" s="4" t="s">
        <v>16672</v>
      </c>
      <c r="C13251" s="5" t="str">
        <f>IFERROR(__xludf.DUMMYFUNCTION("GOOGLETRANSLATE(B13251,""en"",""fr"")"),"Elle met fin à sa routine mais sautant sur le côté les bras vers le haut et s'éloignant.")</f>
        <v>Elle met fin à sa routine mais sautant sur le côté les bras vers le haut et s'éloignant.</v>
      </c>
    </row>
    <row r="13252">
      <c r="A13252" s="4" t="s">
        <v>16673</v>
      </c>
      <c r="B13252" s="6" t="s">
        <v>16674</v>
      </c>
      <c r="C13252" s="5" t="str">
        <f>IFERROR(__xludf.DUMMYFUNCTION("GOOGLETRANSLATE(B13252,""en"",""fr"")"),"Deux hommes se rendent au canon dans une cour dans un barbecue et les hommes atteignent tous les deux la dernière bière dans le baril.")</f>
        <v>Deux hommes se rendent au canon dans une cour dans un barbecue et les hommes atteignent tous les deux la dernière bière dans le baril.</v>
      </c>
    </row>
    <row r="13253">
      <c r="A13253" s="4" t="s">
        <v>16673</v>
      </c>
      <c r="B13253" s="6" t="s">
        <v>16675</v>
      </c>
      <c r="C13253" s="5" t="str">
        <f>IFERROR(__xludf.DUMMYFUNCTION("GOOGLETRANSLATE(B13253,""en"",""fr"")"),"Les hommes font des ciseaux en papier de roche et l'homme droit frappe la gauche avec un rocher, enlève la bière et quitte.")</f>
        <v>Les hommes font des ciseaux en papier de roche et l'homme droit frappe la gauche avec un rocher, enlève la bière et quitte.</v>
      </c>
    </row>
    <row r="13254">
      <c r="A13254" s="4" t="s">
        <v>16673</v>
      </c>
      <c r="B13254" s="4" t="s">
        <v>16676</v>
      </c>
      <c r="C13254" s="5" t="str">
        <f>IFERROR(__xludf.DUMMYFUNCTION("GOOGLETRANSLATE(B13254,""en"",""fr"")"),"Nous voyons une bière coulée dans un verre.")</f>
        <v>Nous voyons une bière coulée dans un verre.</v>
      </c>
    </row>
    <row r="13255">
      <c r="A13255" s="4" t="s">
        <v>16673</v>
      </c>
      <c r="B13255" s="4" t="s">
        <v>16677</v>
      </c>
      <c r="C13255" s="5" t="str">
        <f>IFERROR(__xludf.DUMMYFUNCTION("GOOGLETRANSLATE(B13255,""en"",""fr"")"),"Nous voyons l'homme blessé avec sa main et un homme passe devant et lui donne un high cinq.")</f>
        <v>Nous voyons l'homme blessé avec sa main et un homme passe devant et lui donne un high cinq.</v>
      </c>
    </row>
    <row r="13256">
      <c r="A13256" s="4" t="s">
        <v>16678</v>
      </c>
      <c r="B13256" s="4" t="s">
        <v>16679</v>
      </c>
      <c r="C13256" s="5" t="str">
        <f>IFERROR(__xludf.DUMMYFUNCTION("GOOGLETRANSLATE(B13256,""en"",""fr"")"),"Un homme est vu parler à la caméra devant une grande bande-annonce dans les humeurs.")</f>
        <v>Un homme est vu parler à la caméra devant une grande bande-annonce dans les humeurs.</v>
      </c>
    </row>
    <row r="13257">
      <c r="A13257" s="4" t="s">
        <v>16678</v>
      </c>
      <c r="B13257" s="4" t="s">
        <v>16680</v>
      </c>
      <c r="C13257" s="5" t="str">
        <f>IFERROR(__xludf.DUMMYFUNCTION("GOOGLETRANSLATE(B13257,""en"",""fr"")"),"L'homme est alors vu à genoux sur un feu et commence à allumer une flamme dans une fosse.")</f>
        <v>L'homme est alors vu à genoux sur un feu et commence à allumer une flamme dans une fosse.</v>
      </c>
    </row>
    <row r="13258">
      <c r="A13258" s="4" t="s">
        <v>16678</v>
      </c>
      <c r="B13258" s="6" t="s">
        <v>16681</v>
      </c>
      <c r="C13258" s="5" t="str">
        <f>IFERROR(__xludf.DUMMYFUNCTION("GOOGLETRANSLATE(B13258,""en"",""fr"")"),"Un garçon est vu se promener avec une raquette de tennis et pointe vers le sol tandis que l'homme est toujours assis devant le feu.")</f>
        <v>Un garçon est vu se promener avec une raquette de tennis et pointe vers le sol tandis que l'homme est toujours assis devant le feu.</v>
      </c>
    </row>
    <row r="13259">
      <c r="A13259" s="4" t="s">
        <v>16682</v>
      </c>
      <c r="B13259" s="4" t="s">
        <v>16683</v>
      </c>
      <c r="C13259" s="5" t="str">
        <f>IFERROR(__xludf.DUMMYFUNCTION("GOOGLETRANSLATE(B13259,""en"",""fr"")"),"Une introduction mène à plusieurs clips de différents athlètes effectuant des lancers de tir dans un cercle.")</f>
        <v>Une introduction mène à plusieurs clips de différents athlètes effectuant des lancers de tir dans un cercle.</v>
      </c>
    </row>
    <row r="13260">
      <c r="A13260" s="4" t="s">
        <v>16682</v>
      </c>
      <c r="B13260" s="4" t="s">
        <v>16684</v>
      </c>
      <c r="C13260" s="5" t="str">
        <f>IFERROR(__xludf.DUMMYFUNCTION("GOOGLETRANSLATE(B13260,""en"",""fr"")"),"Plus d'hommes continuent d'intensifier et de jeter l'objet tandis que beaucoup veillent sur la touche.")</f>
        <v>Plus d'hommes continuent d'intensifier et de jeter l'objet tandis que beaucoup veillent sur la touche.</v>
      </c>
    </row>
    <row r="13261">
      <c r="A13261" s="4" t="s">
        <v>16685</v>
      </c>
      <c r="B13261" s="4" t="s">
        <v>16686</v>
      </c>
      <c r="C13261" s="5" t="str">
        <f>IFERROR(__xludf.DUMMYFUNCTION("GOOGLETRANSLATE(B13261,""en"",""fr"")"),"Une adolescente est assise sur le sol en tenant une chaussure.")</f>
        <v>Une adolescente est assise sur le sol en tenant une chaussure.</v>
      </c>
    </row>
    <row r="13262">
      <c r="A13262" s="4" t="s">
        <v>16685</v>
      </c>
      <c r="B13262" s="4" t="s">
        <v>16687</v>
      </c>
      <c r="C13262" s="5" t="str">
        <f>IFERROR(__xludf.DUMMYFUNCTION("GOOGLETRANSLATE(B13262,""en"",""fr"")"),"On lui montre ensuite l'essuyant la chaussure avec une solution de nettoyage.")</f>
        <v>On lui montre ensuite l'essuyant la chaussure avec une solution de nettoyage.</v>
      </c>
    </row>
    <row r="13263">
      <c r="A13263" s="4" t="s">
        <v>16685</v>
      </c>
      <c r="B13263" s="4" t="s">
        <v>16688</v>
      </c>
      <c r="C13263" s="5" t="str">
        <f>IFERROR(__xludf.DUMMYFUNCTION("GOOGLETRANSLATE(B13263,""en"",""fr"")"),"Elle montre la chaussure rapprochée après avoir terminé.")</f>
        <v>Elle montre la chaussure rapprochée après avoir terminé.</v>
      </c>
    </row>
    <row r="13264">
      <c r="A13264" s="4" t="s">
        <v>16689</v>
      </c>
      <c r="B13264" s="4" t="s">
        <v>16690</v>
      </c>
      <c r="C13264" s="5" t="str">
        <f>IFERROR(__xludf.DUMMYFUNCTION("GOOGLETRANSLATE(B13264,""en"",""fr"")"),"Un homme se tient à l'extérieur d'une grande fenêtre et commence à le nettoyer avec un long bâton.")</f>
        <v>Un homme se tient à l'extérieur d'une grande fenêtre et commence à le nettoyer avec un long bâton.</v>
      </c>
    </row>
    <row r="13265">
      <c r="A13265" s="4" t="s">
        <v>16689</v>
      </c>
      <c r="B13265" s="6" t="s">
        <v>16691</v>
      </c>
      <c r="C13265" s="5" t="str">
        <f>IFERROR(__xludf.DUMMYFUNCTION("GOOGLETRANSLATE(B13265,""en"",""fr"")"),"L'une de la fenêtre est mouillée, il prend le rasoir comme un bâton et le traîne de haut en bas en éloignant l'eau.")</f>
        <v>L'une de la fenêtre est mouillée, il prend le rasoir comme un bâton et le traîne de haut en bas en éloignant l'eau.</v>
      </c>
    </row>
    <row r="13266">
      <c r="A13266" s="4" t="s">
        <v>16689</v>
      </c>
      <c r="B13266" s="4" t="s">
        <v>16692</v>
      </c>
      <c r="C13266" s="5" t="str">
        <f>IFERROR(__xludf.DUMMYFUNCTION("GOOGLETRANSLATE(B13266,""en"",""fr"")"),"Une fois les deux fenêtres supérieures terminées, il laisse les deux autres intacts et s'éloigne.")</f>
        <v>Une fois les deux fenêtres supérieures terminées, il laisse les deux autres intacts et s'éloigne.</v>
      </c>
    </row>
    <row r="13267">
      <c r="A13267" s="4" t="s">
        <v>16693</v>
      </c>
      <c r="B13267" s="4" t="s">
        <v>16694</v>
      </c>
      <c r="C13267" s="5" t="str">
        <f>IFERROR(__xludf.DUMMYFUNCTION("GOOGLETRANSLATE(B13267,""en"",""fr"")"),"Un homme se penche aux genoux devant une haltère.")</f>
        <v>Un homme se penche aux genoux devant une haltère.</v>
      </c>
    </row>
    <row r="13268">
      <c r="A13268" s="4" t="s">
        <v>16693</v>
      </c>
      <c r="B13268" s="4" t="s">
        <v>16695</v>
      </c>
      <c r="C13268" s="5" t="str">
        <f>IFERROR(__xludf.DUMMYFUNCTION("GOOGLETRANSLATE(B13268,""en"",""fr"")"),"Il le soulève lentement, le portant à sa poitrine.")</f>
        <v>Il le soulève lentement, le portant à sa poitrine.</v>
      </c>
    </row>
    <row r="13269">
      <c r="A13269" s="4" t="s">
        <v>16693</v>
      </c>
      <c r="B13269" s="4" t="s">
        <v>16696</v>
      </c>
      <c r="C13269" s="5" t="str">
        <f>IFERROR(__xludf.DUMMYFUNCTION("GOOGLETRANSLATE(B13269,""en"",""fr"")"),"Il s'arrête, puis le soulève au-dessus de sa tête avant de le retourner au sol.")</f>
        <v>Il s'arrête, puis le soulève au-dessus de sa tête avant de le retourner au sol.</v>
      </c>
    </row>
    <row r="13270">
      <c r="A13270" s="4" t="s">
        <v>16697</v>
      </c>
      <c r="B13270" s="4" t="s">
        <v>16698</v>
      </c>
      <c r="C13270" s="5" t="str">
        <f>IFERROR(__xludf.DUMMYFUNCTION("GOOGLETRANSLATE(B13270,""en"",""fr"")"),"Un homme se tient sur un rebord d'une tour.")</f>
        <v>Un homme se tient sur un rebord d'une tour.</v>
      </c>
    </row>
    <row r="13271">
      <c r="A13271" s="4" t="s">
        <v>16697</v>
      </c>
      <c r="B13271" s="4" t="s">
        <v>16699</v>
      </c>
      <c r="C13271" s="5" t="str">
        <f>IFERROR(__xludf.DUMMYFUNCTION("GOOGLETRANSLATE(B13271,""en"",""fr"")"),"Il saute et les sauts élastiques.")</f>
        <v>Il saute et les sauts élastiques.</v>
      </c>
    </row>
    <row r="13272">
      <c r="A13272" s="4" t="s">
        <v>16697</v>
      </c>
      <c r="B13272" s="4" t="s">
        <v>16700</v>
      </c>
      <c r="C13272" s="5" t="str">
        <f>IFERROR(__xludf.DUMMYFUNCTION("GOOGLETRANSLATE(B13272,""en"",""fr"")"),"Il est montré au ralenti.")</f>
        <v>Il est montré au ralenti.</v>
      </c>
    </row>
    <row r="13273">
      <c r="A13273" s="4" t="s">
        <v>16701</v>
      </c>
      <c r="B13273" s="6" t="s">
        <v>16702</v>
      </c>
      <c r="C13273" s="5" t="str">
        <f>IFERROR(__xludf.DUMMYFUNCTION("GOOGLETRANSLATE(B13273,""en"",""fr"")"),"La caméra se déroule autour de plusieurs hommes buvant un grand récipient d'alcool et la caméra qui revient au début.")</f>
        <v>La caméra se déroule autour de plusieurs hommes buvant un grand récipient d'alcool et la caméra qui revient au début.</v>
      </c>
    </row>
    <row r="13274">
      <c r="A13274" s="4" t="s">
        <v>16701</v>
      </c>
      <c r="B13274" s="6" t="s">
        <v>16703</v>
      </c>
      <c r="C13274" s="5" t="str">
        <f>IFERROR(__xludf.DUMMYFUNCTION("GOOGLETRANSLATE(B13274,""en"",""fr"")"),"La caméra continue de capturer les hommes à boire et à se parler et à se frotter les yeux à la fin.")</f>
        <v>La caméra continue de capturer les hommes à boire et à se parler et à se frotter les yeux à la fin.</v>
      </c>
    </row>
    <row r="13275">
      <c r="A13275" s="4" t="s">
        <v>16704</v>
      </c>
      <c r="B13275" s="4" t="s">
        <v>16705</v>
      </c>
      <c r="C13275" s="5" t="str">
        <f>IFERROR(__xludf.DUMMYFUNCTION("GOOGLETRANSLATE(B13275,""en"",""fr"")"),"Un jeune homme est assis dans un salon.")</f>
        <v>Un jeune homme est assis dans un salon.</v>
      </c>
    </row>
    <row r="13276">
      <c r="A13276" s="4" t="s">
        <v>16704</v>
      </c>
      <c r="B13276" s="4" t="s">
        <v>16706</v>
      </c>
      <c r="C13276" s="5" t="str">
        <f>IFERROR(__xludf.DUMMYFUNCTION("GOOGLETRANSLATE(B13276,""en"",""fr"")"),"Il joue un clavier électronique.")</f>
        <v>Il joue un clavier électronique.</v>
      </c>
    </row>
    <row r="13277">
      <c r="A13277" s="4" t="s">
        <v>16704</v>
      </c>
      <c r="B13277" s="4" t="s">
        <v>16707</v>
      </c>
      <c r="C13277" s="5" t="str">
        <f>IFERROR(__xludf.DUMMYFUNCTION("GOOGLETRANSLATE(B13277,""en"",""fr"")"),"Le clavier imprime un document au fur et à mesure.")</f>
        <v>Le clavier imprime un document au fur et à mesure.</v>
      </c>
    </row>
    <row r="13278">
      <c r="A13278" s="4" t="s">
        <v>16708</v>
      </c>
      <c r="B13278" s="6" t="s">
        <v>16709</v>
      </c>
      <c r="C13278" s="5" t="str">
        <f>IFERROR(__xludf.DUMMYFUNCTION("GOOGLETRANSLATE(B13278,""en"",""fr"")"),"Une dame explique des boissons et le mélange d'eux, elle attrape une tasse avec de la glace et y ajoute de l'alcool en utilisant un verre de tir pour obtenir la bonne mesure.")</f>
        <v>Une dame explique des boissons et le mélange d'eux, elle attrape une tasse avec de la glace et y ajoute de l'alcool en utilisant un verre de tir pour obtenir la bonne mesure.</v>
      </c>
    </row>
    <row r="13279">
      <c r="A13279" s="4" t="s">
        <v>16708</v>
      </c>
      <c r="B13279" s="4" t="s">
        <v>16710</v>
      </c>
      <c r="C13279" s="5" t="str">
        <f>IFERROR(__xludf.DUMMYFUNCTION("GOOGLETRANSLATE(B13279,""en"",""fr"")"),"La dame mélange ensuite un autre type d'alcool au premier type qu'elle a versé dans le verre.")</f>
        <v>La dame mélange ensuite un autre type d'alcool au premier type qu'elle a versé dans le verre.</v>
      </c>
    </row>
    <row r="13280">
      <c r="A13280" s="4" t="s">
        <v>16708</v>
      </c>
      <c r="B13280" s="4" t="s">
        <v>16711</v>
      </c>
      <c r="C13280" s="5" t="str">
        <f>IFERROR(__xludf.DUMMYFUNCTION("GOOGLETRANSLATE(B13280,""en"",""fr"")"),"Enfin, elle ajoute un type de jus à la boisson avec une orange et une paille en tranches.")</f>
        <v>Enfin, elle ajoute un type de jus à la boisson avec une orange et une paille en tranches.</v>
      </c>
    </row>
    <row r="13281">
      <c r="A13281" s="4" t="s">
        <v>16712</v>
      </c>
      <c r="B13281" s="4" t="s">
        <v>16713</v>
      </c>
      <c r="C13281" s="5" t="str">
        <f>IFERROR(__xludf.DUMMYFUNCTION("GOOGLETRANSLATE(B13281,""en"",""fr"")"),"Un homme tourne en rond et lance une discussion pour une compétition.")</f>
        <v>Un homme tourne en rond et lance une discussion pour une compétition.</v>
      </c>
    </row>
    <row r="13282">
      <c r="A13282" s="4" t="s">
        <v>16712</v>
      </c>
      <c r="B13282" s="4" t="s">
        <v>16714</v>
      </c>
      <c r="C13282" s="5" t="str">
        <f>IFERROR(__xludf.DUMMYFUNCTION("GOOGLETRANSLATE(B13282,""en"",""fr"")"),"La vidéo ralentit et montre le même lancer mais au ralenti.")</f>
        <v>La vidéo ralentit et montre le même lancer mais au ralenti.</v>
      </c>
    </row>
    <row r="13283">
      <c r="A13283" s="4" t="s">
        <v>16712</v>
      </c>
      <c r="B13283" s="4" t="s">
        <v>16715</v>
      </c>
      <c r="C13283" s="5" t="str">
        <f>IFERROR(__xludf.DUMMYFUNCTION("GOOGLETRANSLATE(B13283,""en"",""fr"")"),"Un autre homme s'approche de l'assiette et lance la discussion.")</f>
        <v>Un autre homme s'approche de l'assiette et lance la discussion.</v>
      </c>
    </row>
    <row r="13284">
      <c r="A13284" s="4" t="s">
        <v>16712</v>
      </c>
      <c r="B13284" s="4" t="s">
        <v>16716</v>
      </c>
      <c r="C13284" s="5" t="str">
        <f>IFERROR(__xludf.DUMMYFUNCTION("GOOGLETRANSLATE(B13284,""en"",""fr"")"),"Encore une fois, la vidéo ralentit et montre le même lancer au ralenti.")</f>
        <v>Encore une fois, la vidéo ralentit et montre le même lancer au ralenti.</v>
      </c>
    </row>
    <row r="13285">
      <c r="A13285" s="4" t="s">
        <v>16712</v>
      </c>
      <c r="B13285" s="4" t="s">
        <v>16717</v>
      </c>
      <c r="C13285" s="5" t="str">
        <f>IFERROR(__xludf.DUMMYFUNCTION("GOOGLETRANSLATE(B13285,""en"",""fr"")"),"Un troisième joueur s'intensifie et lance la discussion au ralenti.")</f>
        <v>Un troisième joueur s'intensifie et lance la discussion au ralenti.</v>
      </c>
    </row>
    <row r="13286">
      <c r="A13286" s="4" t="s">
        <v>16712</v>
      </c>
      <c r="B13286" s="4" t="s">
        <v>16718</v>
      </c>
      <c r="C13286" s="5" t="str">
        <f>IFERROR(__xludf.DUMMYFUNCTION("GOOGLETRANSLATE(B13286,""en"",""fr"")"),"Plusieurs autres joueurs interviennent et prennent leur tour en lançant le disque.")</f>
        <v>Plusieurs autres joueurs interviennent et prennent leur tour en lançant le disque.</v>
      </c>
    </row>
    <row r="13287">
      <c r="A13287" s="4" t="s">
        <v>16719</v>
      </c>
      <c r="B13287" s="4" t="s">
        <v>16720</v>
      </c>
      <c r="C13287" s="5" t="str">
        <f>IFERROR(__xludf.DUMMYFUNCTION("GOOGLETRANSLATE(B13287,""en"",""fr"")"),"Nous voyons une image d'une dame et d'un enfant.")</f>
        <v>Nous voyons une image d'une dame et d'un enfant.</v>
      </c>
    </row>
    <row r="13288">
      <c r="A13288" s="4" t="s">
        <v>16719</v>
      </c>
      <c r="B13288" s="4" t="s">
        <v>16721</v>
      </c>
      <c r="C13288" s="5" t="str">
        <f>IFERROR(__xludf.DUMMYFUNCTION("GOOGLETRANSLATE(B13288,""en"",""fr"")"),"La dame s'estompe, l'enfant joue une flûte et nous voyons un homme.")</f>
        <v>La dame s'estompe, l'enfant joue une flûte et nous voyons un homme.</v>
      </c>
    </row>
    <row r="13289">
      <c r="A13289" s="4" t="s">
        <v>16719</v>
      </c>
      <c r="B13289" s="4" t="s">
        <v>16722</v>
      </c>
      <c r="C13289" s="5" t="str">
        <f>IFERROR(__xludf.DUMMYFUNCTION("GOOGLETRANSLATE(B13289,""en"",""fr"")"),"L'homme pleure pendant que l'enfant joue, nous voyons les gens dans le ciel.")</f>
        <v>L'homme pleure pendant que l'enfant joue, nous voyons les gens dans le ciel.</v>
      </c>
    </row>
    <row r="13290">
      <c r="A13290" s="4" t="s">
        <v>16719</v>
      </c>
      <c r="B13290" s="4" t="s">
        <v>16723</v>
      </c>
      <c r="C13290" s="5" t="str">
        <f>IFERROR(__xludf.DUMMYFUNCTION("GOOGLETRANSLATE(B13290,""en"",""fr"")"),"Nous voyons un homme et une femme s'embrasser dans le ciel.")</f>
        <v>Nous voyons un homme et une femme s'embrasser dans le ciel.</v>
      </c>
    </row>
    <row r="13291">
      <c r="A13291" s="4" t="s">
        <v>16719</v>
      </c>
      <c r="B13291" s="4" t="s">
        <v>16724</v>
      </c>
      <c r="C13291" s="5" t="str">
        <f>IFERROR(__xludf.DUMMYFUNCTION("GOOGLETRANSLATE(B13291,""en"",""fr"")"),"Nous voyons des images de la nature.")</f>
        <v>Nous voyons des images de la nature.</v>
      </c>
    </row>
    <row r="13292">
      <c r="A13292" s="4" t="s">
        <v>16719</v>
      </c>
      <c r="B13292" s="4" t="s">
        <v>16725</v>
      </c>
      <c r="C13292" s="5" t="str">
        <f>IFERROR(__xludf.DUMMYFUNCTION("GOOGLETRANSLATE(B13292,""en"",""fr"")"),"Les gens du ciel s'affrontent et dansent.")</f>
        <v>Les gens du ciel s'affrontent et dansent.</v>
      </c>
    </row>
    <row r="13293">
      <c r="A13293" s="4" t="s">
        <v>16719</v>
      </c>
      <c r="B13293" s="4" t="s">
        <v>16726</v>
      </c>
      <c r="C13293" s="5" t="str">
        <f>IFERROR(__xludf.DUMMYFUNCTION("GOOGLETRANSLATE(B13293,""en"",""fr"")"),"L'homme se pose dans une position de prière.")</f>
        <v>L'homme se pose dans une position de prière.</v>
      </c>
    </row>
    <row r="13294">
      <c r="A13294" s="4" t="s">
        <v>16719</v>
      </c>
      <c r="B13294" s="4" t="s">
        <v>16727</v>
      </c>
      <c r="C13294" s="5" t="str">
        <f>IFERROR(__xludf.DUMMYFUNCTION("GOOGLETRANSLATE(B13294,""en"",""fr"")"),"L'enfant finit de jouer de la flûte.")</f>
        <v>L'enfant finit de jouer de la flûte.</v>
      </c>
    </row>
    <row r="13295">
      <c r="A13295" s="4" t="s">
        <v>16728</v>
      </c>
      <c r="B13295" s="6" t="s">
        <v>16729</v>
      </c>
      <c r="C13295" s="5" t="str">
        <f>IFERROR(__xludf.DUMMYFUNCTION("GOOGLETRANSLATE(B13295,""en"",""fr"")"),"La caméra se déroule autour de plusieurs piqûres assis dans un bar ainsi que les barmans répondant aux besoins des gens.")</f>
        <v>La caméra se déroule autour de plusieurs piqûres assis dans un bar ainsi que les barmans répondant aux besoins des gens.</v>
      </c>
    </row>
    <row r="13296">
      <c r="A13296" s="4" t="s">
        <v>16728</v>
      </c>
      <c r="B13296" s="6" t="s">
        <v>16730</v>
      </c>
      <c r="C13296" s="5" t="str">
        <f>IFERROR(__xludf.DUMMYFUNCTION("GOOGLETRANSLATE(B13296,""en"",""fr"")"),"Plus de coups sont montrés des personnes qui interagissent dans le restaurant et enfin des gens qui parlent à la caméra.")</f>
        <v>Plus de coups sont montrés des personnes qui interagissent dans le restaurant et enfin des gens qui parlent à la caméra.</v>
      </c>
    </row>
    <row r="13297">
      <c r="A13297" s="4" t="s">
        <v>16731</v>
      </c>
      <c r="B13297" s="4" t="s">
        <v>16732</v>
      </c>
      <c r="C13297" s="5" t="str">
        <f>IFERROR(__xludf.DUMMYFUNCTION("GOOGLETRANSLATE(B13297,""en"",""fr"")"),"Une jeune femme est vue en se brossant les cheveux qui mène à elle parler à la caméra.")</f>
        <v>Une jeune femme est vue en se brossant les cheveux qui mène à elle parler à la caméra.</v>
      </c>
    </row>
    <row r="13298">
      <c r="A13298" s="4" t="s">
        <v>16731</v>
      </c>
      <c r="B13298" s="4" t="s">
        <v>16733</v>
      </c>
      <c r="C13298" s="5" t="str">
        <f>IFERROR(__xludf.DUMMYFUNCTION("GOOGLETRANSLATE(B13298,""en"",""fr"")"),"Elle tient plusieurs pinceaux tout en parlant à la caméra ainsi qu'à divers objets.")</f>
        <v>Elle tient plusieurs pinceaux tout en parlant à la caméra ainsi qu'à divers objets.</v>
      </c>
    </row>
    <row r="13299">
      <c r="A13299" s="4" t="s">
        <v>16731</v>
      </c>
      <c r="B13299" s="6" t="s">
        <v>16734</v>
      </c>
      <c r="C13299" s="5" t="str">
        <f>IFERROR(__xludf.DUMMYFUNCTION("GOOGLETRANSLATE(B13299,""en"",""fr"")"),"Elle utilise des ciseaux pour sortir les cheveux d'une brosse ainsi qu'une brosse à dents et un bol pour nettoyer ses pinceaux.")</f>
        <v>Elle utilise des ciseaux pour sortir les cheveux d'une brosse ainsi qu'une brosse à dents et un bol pour nettoyer ses pinceaux.</v>
      </c>
    </row>
    <row r="13300">
      <c r="A13300" s="4" t="s">
        <v>16735</v>
      </c>
      <c r="B13300" s="4" t="s">
        <v>16736</v>
      </c>
      <c r="C13300" s="5" t="str">
        <f>IFERROR(__xludf.DUMMYFUNCTION("GOOGLETRANSLATE(B13300,""en"",""fr"")"),"Un jeune homme danse dans une pièce en se déplaçant les mains et en mettant derrière son dos.")</f>
        <v>Un jeune homme danse dans une pièce en se déplaçant les mains et en mettant derrière son dos.</v>
      </c>
    </row>
    <row r="13301">
      <c r="A13301" s="4" t="s">
        <v>16735</v>
      </c>
      <c r="B13301" s="4" t="s">
        <v>16737</v>
      </c>
      <c r="C13301" s="5" t="str">
        <f>IFERROR(__xludf.DUMMYFUNCTION("GOOGLETRANSLATE(B13301,""en"",""fr"")"),"Puis, l'homme a mis sa main derrière sa tête.")</f>
        <v>Puis, l'homme a mis sa main derrière sa tête.</v>
      </c>
    </row>
    <row r="13302">
      <c r="A13302" s="4" t="s">
        <v>16735</v>
      </c>
      <c r="B13302" s="4" t="s">
        <v>16738</v>
      </c>
      <c r="C13302" s="5" t="str">
        <f>IFERROR(__xludf.DUMMYFUNCTION("GOOGLETRANSLATE(B13302,""en"",""fr"")"),"Le reflet de l'homme est dans le miroir.")</f>
        <v>Le reflet de l'homme est dans le miroir.</v>
      </c>
    </row>
    <row r="13303">
      <c r="A13303" s="4" t="s">
        <v>16739</v>
      </c>
      <c r="B13303" s="4" t="s">
        <v>16740</v>
      </c>
      <c r="C13303" s="5" t="str">
        <f>IFERROR(__xludf.DUMMYFUNCTION("GOOGLETRANSLATE(B13303,""en"",""fr"")"),"Un homme est vu debout sur des échasses dans une place de la ville tandis que d'autres personnes autour de lui lame à rouleaux.")</f>
        <v>Un homme est vu debout sur des échasses dans une place de la ville tandis que d'autres personnes autour de lui lame à rouleaux.</v>
      </c>
    </row>
    <row r="13304">
      <c r="A13304" s="4" t="s">
        <v>16739</v>
      </c>
      <c r="B13304" s="4" t="s">
        <v>16741</v>
      </c>
      <c r="C13304" s="5" t="str">
        <f>IFERROR(__xludf.DUMMYFUNCTION("GOOGLETRANSLATE(B13304,""en"",""fr"")"),"L'homme décolle en courant dans le bloc puis revient à l'endroit où il a commencé.")</f>
        <v>L'homme décolle en courant dans le bloc puis revient à l'endroit où il a commencé.</v>
      </c>
    </row>
    <row r="13305">
      <c r="A13305" s="4" t="s">
        <v>16742</v>
      </c>
      <c r="B13305" s="4" t="s">
        <v>16743</v>
      </c>
      <c r="C13305" s="5" t="str">
        <f>IFERROR(__xludf.DUMMYFUNCTION("GOOGLETRANSLATE(B13305,""en"",""fr"")"),"Une femme dans une chemise bleue tourne et lance une balle sur le terrain.")</f>
        <v>Une femme dans une chemise bleue tourne et lance une balle sur le terrain.</v>
      </c>
    </row>
    <row r="13306">
      <c r="A13306" s="4" t="s">
        <v>16742</v>
      </c>
      <c r="B13306" s="4" t="s">
        <v>16744</v>
      </c>
      <c r="C13306" s="5" t="str">
        <f>IFERROR(__xludf.DUMMYFUNCTION("GOOGLETRANSLATE(B13306,""en"",""fr"")"),"Une autre personne vient et jette un disque sur le terrain.")</f>
        <v>Une autre personne vient et jette un disque sur le terrain.</v>
      </c>
    </row>
    <row r="13307">
      <c r="A13307" s="4" t="s">
        <v>16742</v>
      </c>
      <c r="B13307" s="4" t="s">
        <v>16745</v>
      </c>
      <c r="C13307" s="5" t="str">
        <f>IFERROR(__xludf.DUMMYFUNCTION("GOOGLETRANSLATE(B13307,""en"",""fr"")"),"Les gens se tiennent sur le côté du terrain.")</f>
        <v>Les gens se tiennent sur le côté du terrain.</v>
      </c>
    </row>
    <row r="13308">
      <c r="A13308" s="4" t="s">
        <v>16746</v>
      </c>
      <c r="B13308" s="6" t="s">
        <v>16747</v>
      </c>
      <c r="C13308" s="5" t="str">
        <f>IFERROR(__xludf.DUMMYFUNCTION("GOOGLETRANSLATE(B13308,""en"",""fr"")"),"Une entreprise et le domaine qui l'entourent est montré et le nom sur les ""Nationals de Lumberjack"" de l'entreprise a sculpté dans un panneau en bois, et le texte blanc ci-dessous ""Columbia Basin BMX Richland, WA"".")</f>
        <v>Une entreprise et le domaine qui l'entourent est montré et le nom sur les "Nationals de Lumberjack" de l'entreprise a sculpté dans un panneau en bois, et le texte blanc ci-dessous "Columbia Basin BMX Richland, WA".</v>
      </c>
    </row>
    <row r="13309">
      <c r="A13309" s="4" t="s">
        <v>16746</v>
      </c>
      <c r="B13309" s="6" t="s">
        <v>16748</v>
      </c>
      <c r="C13309" s="5" t="str">
        <f>IFERROR(__xludf.DUMMYFUNCTION("GOOGLETRANSLATE(B13309,""en"",""fr"")"),"Un garçon vêtu d'un équipement de vélo met un casque tout en se tenant debout et du texte sur le côté droit de l'écran apparaît et dit ""@ Brycebetts13z Chase Staystrong"" alors que le garçon monte sur son vélo et le pousse hors de l'écran.")</f>
        <v>Un garçon vêtu d'un équipement de vélo met un casque tout en se tenant debout et du texte sur le côté droit de l'écran apparaît et dit "@ Brycebetts13z Chase Staystrong" alors que le garçon monte sur son vélo et le pousse hors de l'écran.</v>
      </c>
    </row>
    <row r="13310">
      <c r="A13310" s="4" t="s">
        <v>16746</v>
      </c>
      <c r="B13310" s="6" t="s">
        <v>16749</v>
      </c>
      <c r="C13310" s="5" t="str">
        <f>IFERROR(__xludf.DUMMYFUNCTION("GOOGLETRANSLATE(B13310,""en"",""fr"")"),"Le garçon est maintenant sur la piste de vélo de terre sinueuse et sinueuse roulant très rapidement et parfois d'autres personnes sont également montrées sur la piste.")</f>
        <v>Le garçon est maintenant sur la piste de vélo de terre sinueuse et sinueuse roulant très rapidement et parfois d'autres personnes sont également montrées sur la piste.</v>
      </c>
    </row>
    <row r="13311">
      <c r="A13311" s="4" t="s">
        <v>16746</v>
      </c>
      <c r="B13311" s="6" t="s">
        <v>16750</v>
      </c>
      <c r="C13311" s="5" t="str">
        <f>IFERROR(__xludf.DUMMYFUNCTION("GOOGLETRANSLATE(B13311,""en"",""fr"")"),"Un outro d'effet spécial apparaît avec le garçon toujours sur la piste et d'autres texte et logos apparaissent sur l'écran jusqu'à ce qu'il s'estompe vers un écran blanc qui se termine par un clip sur la gauche et les grands mots qui lisent Mendo Media à "&amp;"droite.")</f>
        <v>Un outro d'effet spécial apparaît avec le garçon toujours sur la piste et d'autres texte et logos apparaissent sur l'écran jusqu'à ce qu'il s'estompe vers un écran blanc qui se termine par un clip sur la gauche et les grands mots qui lisent Mendo Media à droite.</v>
      </c>
    </row>
    <row r="13312">
      <c r="A13312" s="4" t="s">
        <v>16751</v>
      </c>
      <c r="B13312" s="4" t="s">
        <v>16752</v>
      </c>
      <c r="C13312" s="5" t="str">
        <f>IFERROR(__xludf.DUMMYFUNCTION("GOOGLETRANSLATE(B13312,""en"",""fr"")"),"Les joueurs sur un terrain courent pour jouer à un jeu.")</f>
        <v>Les joueurs sur un terrain courent pour jouer à un jeu.</v>
      </c>
    </row>
    <row r="13313">
      <c r="A13313" s="4" t="s">
        <v>16751</v>
      </c>
      <c r="B13313" s="4" t="s">
        <v>16753</v>
      </c>
      <c r="C13313" s="5" t="str">
        <f>IFERROR(__xludf.DUMMYFUNCTION("GOOGLETRANSLATE(B13313,""en"",""fr"")"),"Ils se battent sur le terrain.")</f>
        <v>Ils se battent sur le terrain.</v>
      </c>
    </row>
    <row r="13314">
      <c r="A13314" s="4" t="s">
        <v>16751</v>
      </c>
      <c r="B13314" s="4" t="s">
        <v>16754</v>
      </c>
      <c r="C13314" s="5" t="str">
        <f>IFERROR(__xludf.DUMMYFUNCTION("GOOGLETRANSLATE(B13314,""en"",""fr"")"),"L'arbitre vient et brise la lutte.")</f>
        <v>L'arbitre vient et brise la lutte.</v>
      </c>
    </row>
    <row r="13315">
      <c r="A13315" s="4" t="s">
        <v>16751</v>
      </c>
      <c r="B13315" s="4" t="s">
        <v>16755</v>
      </c>
      <c r="C13315" s="5" t="str">
        <f>IFERROR(__xludf.DUMMYFUNCTION("GOOGLETRANSLATE(B13315,""en"",""fr"")"),"Un homme en chemise à rayures jaunes parle à l'arbitre.")</f>
        <v>Un homme en chemise à rayures jaunes parle à l'arbitre.</v>
      </c>
    </row>
    <row r="13316">
      <c r="A13316" s="4" t="s">
        <v>16756</v>
      </c>
      <c r="B13316" s="6" t="s">
        <v>16757</v>
      </c>
      <c r="C13316" s="5" t="str">
        <f>IFERROR(__xludf.DUMMYFUNCTION("GOOGLETRANSLATE(B13316,""en"",""fr"")"),"Plusieurs clips sont représentés de personnes qui grimpent de haut en bas des parois rocheuses tandis que beaucoup d'autres parlent de la caméra.")</f>
        <v>Plusieurs clips sont représentés de personnes qui grimpent de haut en bas des parois rocheuses tandis que beaucoup d'autres parlent de la caméra.</v>
      </c>
    </row>
    <row r="13317">
      <c r="A13317" s="4" t="s">
        <v>16756</v>
      </c>
      <c r="B13317" s="6" t="s">
        <v>16758</v>
      </c>
      <c r="C13317" s="5" t="str">
        <f>IFERROR(__xludf.DUMMYFUNCTION("GOOGLETRANSLATE(B13317,""en"",""fr"")"),"Plusieurs autres personnes sont montrées grimpant sur les rochers tout en parlant à la caméra et en descendant de haut en bas.")</f>
        <v>Plusieurs autres personnes sont montrées grimpant sur les rochers tout en parlant à la caméra et en descendant de haut en bas.</v>
      </c>
    </row>
    <row r="13318">
      <c r="A13318" s="4" t="s">
        <v>16759</v>
      </c>
      <c r="B13318" s="4" t="s">
        <v>16760</v>
      </c>
      <c r="C13318" s="5" t="str">
        <f>IFERROR(__xludf.DUMMYFUNCTION("GOOGLETRANSLATE(B13318,""en"",""fr"")"),"Plusieurs chiens marchent dans une rue.")</f>
        <v>Plusieurs chiens marchent dans une rue.</v>
      </c>
    </row>
    <row r="13319">
      <c r="A13319" s="4" t="s">
        <v>16759</v>
      </c>
      <c r="B13319" s="4" t="s">
        <v>16761</v>
      </c>
      <c r="C13319" s="5" t="str">
        <f>IFERROR(__xludf.DUMMYFUNCTION("GOOGLETRANSLATE(B13319,""en"",""fr"")"),"Ils sont en laisse tenus par leurs propriétaires.")</f>
        <v>Ils sont en laisse tenus par leurs propriétaires.</v>
      </c>
    </row>
    <row r="13320">
      <c r="A13320" s="4" t="s">
        <v>16759</v>
      </c>
      <c r="B13320" s="4" t="s">
        <v>16762</v>
      </c>
      <c r="C13320" s="5" t="str">
        <f>IFERROR(__xludf.DUMMYFUNCTION("GOOGLETRANSLATE(B13320,""en"",""fr"")"),"Le flux d'entre eux est infini.")</f>
        <v>Le flux d'entre eux est infini.</v>
      </c>
    </row>
    <row r="13321">
      <c r="A13321" s="4" t="s">
        <v>16759</v>
      </c>
      <c r="B13321" s="4" t="s">
        <v>16763</v>
      </c>
      <c r="C13321" s="5" t="str">
        <f>IFERROR(__xludf.DUMMYFUNCTION("GOOGLETRANSLATE(B13321,""en"",""fr"")"),"Une femme tient son chien.")</f>
        <v>Une femme tient son chien.</v>
      </c>
    </row>
    <row r="13322">
      <c r="A13322" s="4" t="s">
        <v>16764</v>
      </c>
      <c r="B13322" s="6" t="s">
        <v>16765</v>
      </c>
      <c r="C13322" s="5" t="str">
        <f>IFERROR(__xludf.DUMMYFUNCTION("GOOGLETRANSLATE(B13322,""en"",""fr"")"),"Une image encore prise d'un plan d'eau apparaît et des mots jaunes apparaissent à l'écran et lisent ""American Disk"" et incluent le site Web.")</f>
        <v>Une image encore prise d'un plan d'eau apparaît et des mots jaunes apparaissent à l'écran et lisent "American Disk" et incluent le site Web.</v>
      </c>
    </row>
    <row r="13323">
      <c r="A13323" s="4" t="s">
        <v>16764</v>
      </c>
      <c r="B13323" s="4" t="s">
        <v>16766</v>
      </c>
      <c r="C13323" s="5" t="str">
        <f>IFERROR(__xludf.DUMMYFUNCTION("GOOGLETRANSLATE(B13323,""en"",""fr"")"),"Une femme brune parle maintenant à côté de l'eau et elle sourit tout le temps.")</f>
        <v>Une femme brune parle maintenant à côté de l'eau et elle sourit tout le temps.</v>
      </c>
    </row>
    <row r="13324">
      <c r="A13324" s="4" t="s">
        <v>16764</v>
      </c>
      <c r="B13324" s="6" t="s">
        <v>16767</v>
      </c>
      <c r="C13324" s="5" t="str">
        <f>IFERROR(__xludf.DUMMYFUNCTION("GOOGLETRANSLATE(B13324,""en"",""fr"")"),"Divers clips de personnes jouent et ils se tiennent tous à côté ou dans l'eau aussi et ils semblent tous heureux.")</f>
        <v>Divers clips de personnes jouent et ils se tiennent tous à côté ou dans l'eau aussi et ils semblent tous heureux.</v>
      </c>
    </row>
    <row r="13325">
      <c r="A13325" s="4" t="s">
        <v>16764</v>
      </c>
      <c r="B13325" s="6" t="s">
        <v>16768</v>
      </c>
      <c r="C13325" s="5" t="str">
        <f>IFERROR(__xludf.DUMMYFUNCTION("GOOGLETRANSLATE(B13325,""en"",""fr"")"),"Les gens sont maintenant sur l'eau et font différentes choses, avec une grande planche circulaire qu'ils sont debout, assis, s'accroupir, agenouillé, conduisant ou font des astuces pendant qu'ils sont parfois tirés par un bateau en mouvement rapide.")</f>
        <v>Les gens sont maintenant sur l'eau et font différentes choses, avec une grande planche circulaire qu'ils sont debout, assis, s'accroupir, agenouillé, conduisant ou font des astuces pendant qu'ils sont parfois tirés par un bateau en mouvement rapide.</v>
      </c>
    </row>
    <row r="13326">
      <c r="A13326" s="4" t="s">
        <v>16764</v>
      </c>
      <c r="B13326" s="6" t="s">
        <v>16769</v>
      </c>
      <c r="C13326" s="5" t="str">
        <f>IFERROR(__xludf.DUMMYFUNCTION("GOOGLETRANSLATE(B13326,""en"",""fr"")"),"Un écran noir apparaît et les mots jaunes sont affichés sur l'écran et lisent ""le disque"", et encore une fois la femme brune parle en se tenant près de l'eau.")</f>
        <v>Un écran noir apparaît et les mots jaunes sont affichés sur l'écran et lisent "le disque", et encore une fois la femme brune parle en se tenant près de l'eau.</v>
      </c>
    </row>
    <row r="13327">
      <c r="A13327" s="4" t="s">
        <v>16764</v>
      </c>
      <c r="B13327" s="4" t="s">
        <v>16770</v>
      </c>
      <c r="C13327" s="5" t="str">
        <f>IFERROR(__xludf.DUMMYFUNCTION("GOOGLETRANSLATE(B13327,""en"",""fr"")"),"L'écran va ensuite au noir et affiche leur site Web en lettres jaunes.")</f>
        <v>L'écran va ensuite au noir et affiche leur site Web en lettres jaunes.</v>
      </c>
    </row>
    <row r="13328">
      <c r="A13328" s="4" t="s">
        <v>16771</v>
      </c>
      <c r="B13328" s="6" t="s">
        <v>16772</v>
      </c>
      <c r="C13328" s="5" t="str">
        <f>IFERROR(__xludf.DUMMYFUNCTION("GOOGLETRANSLATE(B13328,""en"",""fr"")"),"Un gros plan d'une table est illustré qui mène à plusieurs clips d'une rondelle se déplaçant le long de la table sous différents angles.")</f>
        <v>Un gros plan d'une table est illustré qui mène à plusieurs clips d'une rondelle se déplaçant le long de la table sous différents angles.</v>
      </c>
    </row>
    <row r="13329">
      <c r="A13329" s="4" t="s">
        <v>16771</v>
      </c>
      <c r="B13329" s="6" t="s">
        <v>16773</v>
      </c>
      <c r="C13329" s="5" t="str">
        <f>IFERROR(__xludf.DUMMYFUNCTION("GOOGLETRANSLATE(B13329,""en"",""fr"")"),"Les gens poussent et regardent vers les rondelles alors qu'ils avancent et continuent de jouer le jeu les uns avec les autres et la quatrième.")</f>
        <v>Les gens poussent et regardent vers les rondelles alors qu'ils avancent et continuent de jouer le jeu les uns avec les autres et la quatrième.</v>
      </c>
    </row>
    <row r="13330">
      <c r="A13330" s="4" t="s">
        <v>16774</v>
      </c>
      <c r="B13330" s="4" t="s">
        <v>16775</v>
      </c>
      <c r="C13330" s="5" t="str">
        <f>IFERROR(__xludf.DUMMYFUNCTION("GOOGLETRANSLATE(B13330,""en"",""fr"")"),"Un chat est assis dans un lit de chat.")</f>
        <v>Un chat est assis dans un lit de chat.</v>
      </c>
    </row>
    <row r="13331">
      <c r="A13331" s="4" t="s">
        <v>16774</v>
      </c>
      <c r="B13331" s="4" t="s">
        <v>16776</v>
      </c>
      <c r="C13331" s="5" t="str">
        <f>IFERROR(__xludf.DUMMYFUNCTION("GOOGLETRANSLATE(B13331,""en"",""fr"")"),"Il lèche sa patte.")</f>
        <v>Il lèche sa patte.</v>
      </c>
    </row>
    <row r="13332">
      <c r="A13332" s="4" t="s">
        <v>16774</v>
      </c>
      <c r="B13332" s="4" t="s">
        <v>16777</v>
      </c>
      <c r="C13332" s="5" t="str">
        <f>IFERROR(__xludf.DUMMYFUNCTION("GOOGLETRANSLATE(B13332,""en"",""fr"")"),"Il essuie ensuite sa patte sur son oreille.")</f>
        <v>Il essuie ensuite sa patte sur son oreille.</v>
      </c>
    </row>
    <row r="13333">
      <c r="A13333" s="4" t="s">
        <v>16778</v>
      </c>
      <c r="B13333" s="4" t="s">
        <v>16779</v>
      </c>
      <c r="C13333" s="5" t="str">
        <f>IFERROR(__xludf.DUMMYFUNCTION("GOOGLETRANSLATE(B13333,""en"",""fr"")"),"Une femme dans une robe verte étincelante parle sur une scène.")</f>
        <v>Une femme dans une robe verte étincelante parle sur une scène.</v>
      </c>
    </row>
    <row r="13334">
      <c r="A13334" s="4" t="s">
        <v>16778</v>
      </c>
      <c r="B13334" s="4" t="s">
        <v>16780</v>
      </c>
      <c r="C13334" s="5" t="str">
        <f>IFERROR(__xludf.DUMMYFUNCTION("GOOGLETRANSLATE(B13334,""en"",""fr"")"),"Un couple est montré dansant, des coups de pied et tourbillonnant de manière créative.")</f>
        <v>Un couple est montré dansant, des coups de pied et tourbillonnant de manière créative.</v>
      </c>
    </row>
    <row r="13335">
      <c r="A13335" s="4" t="s">
        <v>16778</v>
      </c>
      <c r="B13335" s="4" t="s">
        <v>16781</v>
      </c>
      <c r="C13335" s="5" t="str">
        <f>IFERROR(__xludf.DUMMYFUNCTION("GOOGLETRANSLATE(B13335,""en"",""fr"")"),"Quand ils ont fini, ils se tiennent la main pendant que la foule applaudit.")</f>
        <v>Quand ils ont fini, ils se tiennent la main pendant que la foule applaudit.</v>
      </c>
    </row>
    <row r="13336">
      <c r="A13336" s="4" t="s">
        <v>16778</v>
      </c>
      <c r="B13336" s="4" t="s">
        <v>16782</v>
      </c>
      <c r="C13336" s="5" t="str">
        <f>IFERROR(__xludf.DUMMYFUNCTION("GOOGLETRANSLATE(B13336,""en"",""fr"")"),"Ils se dirigent vers la femme dans une robe verte, la serrant dans ses bras avant de quitter la scène.")</f>
        <v>Ils se dirigent vers la femme dans une robe verte, la serrant dans ses bras avant de quitter la scène.</v>
      </c>
    </row>
    <row r="13337">
      <c r="A13337" s="4" t="s">
        <v>16783</v>
      </c>
      <c r="B13337" s="4" t="s">
        <v>16784</v>
      </c>
      <c r="C13337" s="5" t="str">
        <f>IFERROR(__xludf.DUMMYFUNCTION("GOOGLETRANSLATE(B13337,""en"",""fr"")"),"Deux hommes jouent au tennis de table tandis que deux juges sont assis à chaque extrémité.")</f>
        <v>Deux hommes jouent au tennis de table tandis que deux juges sont assis à chaque extrémité.</v>
      </c>
    </row>
    <row r="13338">
      <c r="A13338" s="4" t="s">
        <v>16783</v>
      </c>
      <c r="B13338" s="4" t="s">
        <v>16785</v>
      </c>
      <c r="C13338" s="5" t="str">
        <f>IFERROR(__xludf.DUMMYFUNCTION("GOOGLETRANSLATE(B13338,""en"",""fr"")"),"Les hommes ont frappé le ballon d'avant en arrière.")</f>
        <v>Les hommes ont frappé le ballon d'avant en arrière.</v>
      </c>
    </row>
    <row r="13339">
      <c r="A13339" s="4" t="s">
        <v>16783</v>
      </c>
      <c r="B13339" s="4" t="s">
        <v>16786</v>
      </c>
      <c r="C13339" s="5" t="str">
        <f>IFERROR(__xludf.DUMMYFUNCTION("GOOGLETRANSLATE(B13339,""en"",""fr"")"),"Le vainqueur lève les mains tandis que la foule applaudit.")</f>
        <v>Le vainqueur lève les mains tandis que la foule applaudit.</v>
      </c>
    </row>
    <row r="13340">
      <c r="A13340" s="4" t="s">
        <v>16783</v>
      </c>
      <c r="B13340" s="4" t="s">
        <v>16787</v>
      </c>
      <c r="C13340" s="5" t="str">
        <f>IFERROR(__xludf.DUMMYFUNCTION("GOOGLETRANSLATE(B13340,""en"",""fr"")"),"La scène est rejouée de son succès réussi.")</f>
        <v>La scène est rejouée de son succès réussi.</v>
      </c>
    </row>
    <row r="13341">
      <c r="A13341" s="4" t="s">
        <v>16788</v>
      </c>
      <c r="B13341" s="4" t="s">
        <v>16789</v>
      </c>
      <c r="C13341" s="5" t="str">
        <f>IFERROR(__xludf.DUMMYFUNCTION("GOOGLETRANSLATE(B13341,""en"",""fr"")"),"Un homme est dans un gymnase à genoux en tenant une balle de médecine de taille moyenne.")</f>
        <v>Un homme est dans un gymnase à genoux en tenant une balle de médecine de taille moyenne.</v>
      </c>
    </row>
    <row r="13342">
      <c r="A13342" s="4" t="s">
        <v>16788</v>
      </c>
      <c r="B13342" s="4" t="s">
        <v>16790</v>
      </c>
      <c r="C13342" s="5" t="str">
        <f>IFERROR(__xludf.DUMMYFUNCTION("GOOGLETRANSLATE(B13342,""en"",""fr"")"),"Il s'assoit ensuite et commence à jeter le ballon d'avant en arrière contre le mur.")</f>
        <v>Il s'assoit ensuite et commence à jeter le ballon d'avant en arrière contre le mur.</v>
      </c>
    </row>
    <row r="13343">
      <c r="A13343" s="4" t="s">
        <v>16788</v>
      </c>
      <c r="B13343" s="4" t="s">
        <v>16791</v>
      </c>
      <c r="C13343" s="5" t="str">
        <f>IFERROR(__xludf.DUMMYFUNCTION("GOOGLETRANSLATE(B13343,""en"",""fr"")"),"Après, une liste d'indices apparaît avant de montrer le lieu et leur page YouTube.")</f>
        <v>Après, une liste d'indices apparaît avant de montrer le lieu et leur page YouTube.</v>
      </c>
    </row>
    <row r="13344">
      <c r="A13344" s="4" t="s">
        <v>16792</v>
      </c>
      <c r="B13344" s="6" t="s">
        <v>16793</v>
      </c>
      <c r="C13344" s="5" t="str">
        <f>IFERROR(__xludf.DUMMYFUNCTION("GOOGLETRANSLATE(B13344,""en"",""fr"")"),"Un homme en vert assis au bout du carré de sable prenant une vidéo, sur les côtés de la place, sont trois hommes.")</f>
        <v>Un homme en vert assis au bout du carré de sable prenant une vidéo, sur les côtés de la place, sont trois hommes.</v>
      </c>
    </row>
    <row r="13345">
      <c r="A13345" s="4" t="s">
        <v>16792</v>
      </c>
      <c r="B13345" s="4" t="s">
        <v>16794</v>
      </c>
      <c r="C13345" s="5" t="str">
        <f>IFERROR(__xludf.DUMMYFUNCTION("GOOGLETRANSLATE(B13345,""en"",""fr"")"),"Le jeune athlète en uniforme bleu coule dans une voie étroite, saute et saute sur le sol sablonneux.")</f>
        <v>Le jeune athlète en uniforme bleu coule dans une voie étroite, saute et saute sur le sol sablonneux.</v>
      </c>
    </row>
    <row r="13346">
      <c r="A13346" s="4" t="s">
        <v>16795</v>
      </c>
      <c r="B13346" s="4" t="s">
        <v>16796</v>
      </c>
      <c r="C13346" s="5" t="str">
        <f>IFERROR(__xludf.DUMMYFUNCTION("GOOGLETRANSLATE(B13346,""en"",""fr"")"),"Trois personnes sont dans une salle de nouvelles, parlant à la caméra.")</f>
        <v>Trois personnes sont dans une salle de nouvelles, parlant à la caméra.</v>
      </c>
    </row>
    <row r="13347">
      <c r="A13347" s="4" t="s">
        <v>16795</v>
      </c>
      <c r="B13347" s="4" t="s">
        <v>16797</v>
      </c>
      <c r="C13347" s="5" t="str">
        <f>IFERROR(__xludf.DUMMYFUNCTION("GOOGLETRANSLATE(B13347,""en"",""fr"")"),"Une équipe joue au hockey sur glace et est célèbre en remportant un match.")</f>
        <v>Une équipe joue au hockey sur glace et est célèbre en remportant un match.</v>
      </c>
    </row>
    <row r="13348">
      <c r="A13348" s="4" t="s">
        <v>16795</v>
      </c>
      <c r="B13348" s="4" t="s">
        <v>16798</v>
      </c>
      <c r="C13348" s="5" t="str">
        <f>IFERROR(__xludf.DUMMYFUNCTION("GOOGLETRANSLATE(B13348,""en"",""fr"")"),"Les coéquipiers heureux sourient pour des interviews dans les vestiaires après.")</f>
        <v>Les coéquipiers heureux sourient pour des interviews dans les vestiaires après.</v>
      </c>
    </row>
    <row r="13349">
      <c r="A13349" s="4" t="s">
        <v>16795</v>
      </c>
      <c r="B13349" s="4" t="s">
        <v>16799</v>
      </c>
      <c r="C13349" s="5" t="str">
        <f>IFERROR(__xludf.DUMMYFUNCTION("GOOGLETRANSLATE(B13349,""en"",""fr"")"),"Les coulisses de nouvelles sont montrés en tenant des bâtons de numéro et en riant.")</f>
        <v>Les coulisses de nouvelles sont montrés en tenant des bâtons de numéro et en riant.</v>
      </c>
    </row>
    <row r="13350">
      <c r="A13350" s="4" t="s">
        <v>16800</v>
      </c>
      <c r="B13350" s="4" t="s">
        <v>16801</v>
      </c>
      <c r="C13350" s="5" t="str">
        <f>IFERROR(__xludf.DUMMYFUNCTION("GOOGLETRANSLATE(B13350,""en"",""fr"")"),"Une femme est vue en train de sortir de la nourriture d'un réfrigérateur et de parler à une fille qui descend.")</f>
        <v>Une femme est vue en train de sortir de la nourriture d'un réfrigérateur et de parler à une fille qui descend.</v>
      </c>
    </row>
    <row r="13351">
      <c r="A13351" s="4" t="s">
        <v>16800</v>
      </c>
      <c r="B13351" s="4" t="s">
        <v>16802</v>
      </c>
      <c r="C13351" s="5" t="str">
        <f>IFERROR(__xludf.DUMMYFUNCTION("GOOGLETRANSLATE(B13351,""en"",""fr"")"),"Les femmes continuent de parler lorsqu'un homme descend également dans les escaliers.")</f>
        <v>Les femmes continuent de parler lorsqu'un homme descend également dans les escaliers.</v>
      </c>
    </row>
    <row r="13352">
      <c r="A13352" s="4" t="s">
        <v>16800</v>
      </c>
      <c r="B13352" s="4" t="s">
        <v>16803</v>
      </c>
      <c r="C13352" s="5" t="str">
        <f>IFERROR(__xludf.DUMMYFUNCTION("GOOGLETRANSLATE(B13352,""en"",""fr"")"),"La femme et l'homme parle ensuite et l'autre femme monte à l'étage.")</f>
        <v>La femme et l'homme parle ensuite et l'autre femme monte à l'étage.</v>
      </c>
    </row>
    <row r="13353">
      <c r="A13353" s="4" t="s">
        <v>16804</v>
      </c>
      <c r="B13353" s="4" t="s">
        <v>1487</v>
      </c>
      <c r="C13353" s="5" t="str">
        <f>IFERROR(__xludf.DUMMYFUNCTION("GOOGLETRANSLATE(B13353,""en"",""fr"")"),"Nous voyons un écran de titre d'ouverture.")</f>
        <v>Nous voyons un écran de titre d'ouverture.</v>
      </c>
    </row>
    <row r="13354">
      <c r="A13354" s="4" t="s">
        <v>16804</v>
      </c>
      <c r="B13354" s="4" t="s">
        <v>16805</v>
      </c>
      <c r="C13354" s="5" t="str">
        <f>IFERROR(__xludf.DUMMYFUNCTION("GOOGLETRANSLATE(B13354,""en"",""fr"")"),"Nous voyons des mains avec du vernis à ongles dessus.")</f>
        <v>Nous voyons des mains avec du vernis à ongles dessus.</v>
      </c>
    </row>
    <row r="13355">
      <c r="A13355" s="4" t="s">
        <v>16804</v>
      </c>
      <c r="B13355" s="4" t="s">
        <v>16806</v>
      </c>
      <c r="C13355" s="5" t="str">
        <f>IFERROR(__xludf.DUMMYFUNCTION("GOOGLETRANSLATE(B13355,""en"",""fr"")"),"La dame met du ruban adhésif sur son ongle et met un vernis clair et blanc sur eux.")</f>
        <v>La dame met du ruban adhésif sur son ongle et met un vernis clair et blanc sur eux.</v>
      </c>
    </row>
    <row r="13356">
      <c r="A13356" s="4" t="s">
        <v>16804</v>
      </c>
      <c r="B13356" s="4" t="s">
        <v>16807</v>
      </c>
      <c r="C13356" s="5" t="str">
        <f>IFERROR(__xludf.DUMMYFUNCTION("GOOGLETRANSLATE(B13356,""en"",""fr"")"),"La dame ajoute des gouttes de vernis à ongles à un verre de liquide et la tire à travers.")</f>
        <v>La dame ajoute des gouttes de vernis à ongles à un verre de liquide et la tire à travers.</v>
      </c>
    </row>
    <row r="13357">
      <c r="A13357" s="4" t="s">
        <v>16804</v>
      </c>
      <c r="B13357" s="4" t="s">
        <v>16808</v>
      </c>
      <c r="C13357" s="5" t="str">
        <f>IFERROR(__xludf.DUMMYFUNCTION("GOOGLETRANSLATE(B13357,""en"",""fr"")"),"La dame met son ongle dans la tasse et utilise un bâton pour retirer le vernis.")</f>
        <v>La dame met son ongle dans la tasse et utilise un bâton pour retirer le vernis.</v>
      </c>
    </row>
    <row r="13358">
      <c r="A13358" s="4" t="s">
        <v>16804</v>
      </c>
      <c r="B13358" s="4" t="s">
        <v>16809</v>
      </c>
      <c r="C13358" s="5" t="str">
        <f>IFERROR(__xludf.DUMMYFUNCTION("GOOGLETRANSLATE(B13358,""en"",""fr"")"),"La dame tire le ruban de puis met un manteau clair sur ses ongles.")</f>
        <v>La dame tire le ruban de puis met un manteau clair sur ses ongles.</v>
      </c>
    </row>
    <row r="13359">
      <c r="A13359" s="4" t="s">
        <v>16804</v>
      </c>
      <c r="B13359" s="4" t="s">
        <v>5107</v>
      </c>
      <c r="C13359" s="5" t="str">
        <f>IFERROR(__xludf.DUMMYFUNCTION("GOOGLETRANSLATE(B13359,""en"",""fr"")"),"Nous voyons ensuite l'écran du titre de fin.")</f>
        <v>Nous voyons ensuite l'écran du titre de fin.</v>
      </c>
    </row>
    <row r="13360">
      <c r="A13360" s="4" t="s">
        <v>16810</v>
      </c>
      <c r="B13360" s="4" t="s">
        <v>16811</v>
      </c>
      <c r="C13360" s="5" t="str">
        <f>IFERROR(__xludf.DUMMYFUNCTION("GOOGLETRANSLATE(B13360,""en"",""fr"")"),"Une femme est sur scène en faisant une routine de danse du ventre, elle en est très passionnée.")</f>
        <v>Une femme est sur scène en faisant une routine de danse du ventre, elle en est très passionnée.</v>
      </c>
    </row>
    <row r="13361">
      <c r="A13361" s="4" t="s">
        <v>16810</v>
      </c>
      <c r="B13361" s="4" t="s">
        <v>16812</v>
      </c>
      <c r="C13361" s="5" t="str">
        <f>IFERROR(__xludf.DUMMYFUNCTION("GOOGLETRANSLATE(B13361,""en"",""fr"")"),"Elle commence à tourner en rond, sa robe tournoyant avec elle.")</f>
        <v>Elle commence à tourner en rond, sa robe tournoyant avec elle.</v>
      </c>
    </row>
    <row r="13362">
      <c r="A13362" s="4" t="s">
        <v>16810</v>
      </c>
      <c r="B13362" s="6" t="s">
        <v>16813</v>
      </c>
      <c r="C13362" s="5" t="str">
        <f>IFERROR(__xludf.DUMMYFUNCTION("GOOGLETRANSLATE(B13362,""en"",""fr"")"),"Sa robe monte sur la tête puis vers ses épaules, elle continue de tourner en rond et enlève la robe et la tient comme un bébé.")</f>
        <v>Sa robe monte sur la tête puis vers ses épaules, elle continue de tourner en rond et enlève la robe et la tient comme un bébé.</v>
      </c>
    </row>
    <row r="13363">
      <c r="A13363" s="4" t="s">
        <v>16810</v>
      </c>
      <c r="B13363" s="4" t="s">
        <v>16814</v>
      </c>
      <c r="C13363" s="5" t="str">
        <f>IFERROR(__xludf.DUMMYFUNCTION("GOOGLETRANSLATE(B13363,""en"",""fr"")"),"Elle recommence à tourner jusqu'à ce que sa danse soit terminée, puis elle tombe au sol.")</f>
        <v>Elle recommence à tourner jusqu'à ce que sa danse soit terminée, puis elle tombe au sol.</v>
      </c>
    </row>
    <row r="13364">
      <c r="A13364" s="4" t="s">
        <v>16815</v>
      </c>
      <c r="B13364" s="4" t="s">
        <v>16816</v>
      </c>
      <c r="C13364" s="5" t="str">
        <f>IFERROR(__xludf.DUMMYFUNCTION("GOOGLETRANSLATE(B13364,""en"",""fr"")"),"Une femme et une fille essaient de prendre un chien sous une douche.")</f>
        <v>Une femme et une fille essaient de prendre un chien sous une douche.</v>
      </c>
    </row>
    <row r="13365">
      <c r="A13365" s="4" t="s">
        <v>16815</v>
      </c>
      <c r="B13365" s="4" t="s">
        <v>16817</v>
      </c>
      <c r="C13365" s="5" t="str">
        <f>IFERROR(__xludf.DUMMYFUNCTION("GOOGLETRANSLATE(B13365,""en"",""fr"")"),"Le chien continue de sauter en arrière.")</f>
        <v>Le chien continue de sauter en arrière.</v>
      </c>
    </row>
    <row r="13366">
      <c r="A13366" s="4" t="s">
        <v>16815</v>
      </c>
      <c r="B13366" s="4" t="s">
        <v>16818</v>
      </c>
      <c r="C13366" s="5" t="str">
        <f>IFERROR(__xludf.DUMMYFUNCTION("GOOGLETRANSLATE(B13366,""en"",""fr"")"),"Ils donnent enfin au chien un bain à l'extérieur avec un tuyau.")</f>
        <v>Ils donnent enfin au chien un bain à l'extérieur avec un tuyau.</v>
      </c>
    </row>
    <row r="13367">
      <c r="A13367" s="4" t="s">
        <v>16819</v>
      </c>
      <c r="B13367" s="6" t="s">
        <v>16820</v>
      </c>
      <c r="C13367" s="5" t="str">
        <f>IFERROR(__xludf.DUMMYFUNCTION("GOOGLETRANSLATE(B13367,""en"",""fr"")"),"Un homme snowboards sur des pentes et des collines couverts de neige et plusieurs autres objets comme les balustrades, les toits, les garages et les souches d'arbres.")</f>
        <v>Un homme snowboards sur des pentes et des collines couverts de neige et plusieurs autres objets comme les balustrades, les toits, les garages et les souches d'arbres.</v>
      </c>
    </row>
    <row r="13368">
      <c r="A13368" s="4" t="s">
        <v>16819</v>
      </c>
      <c r="B13368" s="4" t="s">
        <v>16821</v>
      </c>
      <c r="C13368" s="5" t="str">
        <f>IFERROR(__xludf.DUMMYFUNCTION("GOOGLETRANSLATE(B13368,""en"",""fr"")"),"Un homme snowboards sur la colline couverte de neige.")</f>
        <v>Un homme snowboards sur la colline couverte de neige.</v>
      </c>
    </row>
    <row r="13369">
      <c r="A13369" s="4" t="s">
        <v>16819</v>
      </c>
      <c r="B13369" s="4" t="s">
        <v>16822</v>
      </c>
      <c r="C13369" s="5" t="str">
        <f>IFERROR(__xludf.DUMMYFUNCTION("GOOGLETRANSLATE(B13369,""en"",""fr"")"),"L'homme continue ensuite à snowboard hors d'un toit de garage, d'une balustrade d'escalier et de plusieurs autres endroits.")</f>
        <v>L'homme continue ensuite à snowboard hors d'un toit de garage, d'une balustrade d'escalier et de plusieurs autres endroits.</v>
      </c>
    </row>
    <row r="13370">
      <c r="A13370" s="4" t="s">
        <v>16819</v>
      </c>
      <c r="B13370" s="4" t="s">
        <v>16823</v>
      </c>
      <c r="C13370" s="5" t="str">
        <f>IFERROR(__xludf.DUMMYFUNCTION("GOOGLETRANSLATE(B13370,""en"",""fr"")"),"L'homme fait un tour complet dans la neige dans le dernier coup.")</f>
        <v>L'homme fait un tour complet dans la neige dans le dernier coup.</v>
      </c>
    </row>
    <row r="13371">
      <c r="A13371" s="4" t="s">
        <v>16824</v>
      </c>
      <c r="B13371" s="4" t="s">
        <v>16825</v>
      </c>
      <c r="C13371" s="5" t="str">
        <f>IFERROR(__xludf.DUMMYFUNCTION("GOOGLETRANSLATE(B13371,""en"",""fr"")"),"Un garçon rince le visage avec de l'eau dans un lavabo de salle de bain.")</f>
        <v>Un garçon rince le visage avec de l'eau dans un lavabo de salle de bain.</v>
      </c>
    </row>
    <row r="13372">
      <c r="A13372" s="4" t="s">
        <v>16824</v>
      </c>
      <c r="B13372" s="4" t="s">
        <v>16826</v>
      </c>
      <c r="C13372" s="5" t="str">
        <f>IFERROR(__xludf.DUMMYFUNCTION("GOOGLETRANSLATE(B13372,""en"",""fr"")"),"Les garçons rient et plaisantent ensemble dans la salle de bain.")</f>
        <v>Les garçons rient et plaisantent ensemble dans la salle de bain.</v>
      </c>
    </row>
    <row r="13373">
      <c r="A13373" s="4" t="s">
        <v>16824</v>
      </c>
      <c r="B13373" s="4" t="s">
        <v>16827</v>
      </c>
      <c r="C13373" s="5" t="str">
        <f>IFERROR(__xludf.DUMMYFUNCTION("GOOGLETRANSLATE(B13373,""en"",""fr"")"),"Un garçon frotte du savon sur ses mains puis sur son visage.")</f>
        <v>Un garçon frotte du savon sur ses mains puis sur son visage.</v>
      </c>
    </row>
    <row r="13374">
      <c r="A13374" s="4" t="s">
        <v>16824</v>
      </c>
      <c r="B13374" s="4" t="s">
        <v>16828</v>
      </c>
      <c r="C13374" s="5" t="str">
        <f>IFERROR(__xludf.DUMMYFUNCTION("GOOGLETRANSLATE(B13374,""en"",""fr"")"),"Le garçon rince le savon de son visage dans l'évier.")</f>
        <v>Le garçon rince le savon de son visage dans l'évier.</v>
      </c>
    </row>
    <row r="13375">
      <c r="A13375" s="4" t="s">
        <v>16824</v>
      </c>
      <c r="B13375" s="4" t="s">
        <v>16829</v>
      </c>
      <c r="C13375" s="5" t="str">
        <f>IFERROR(__xludf.DUMMYFUNCTION("GOOGLETRANSLATE(B13375,""en"",""fr"")"),"Le garçon enroule la serviette et le jette dans le coin de la pièce.")</f>
        <v>Le garçon enroule la serviette et le jette dans le coin de la pièce.</v>
      </c>
    </row>
    <row r="13376">
      <c r="A13376" s="4" t="s">
        <v>16830</v>
      </c>
      <c r="B13376" s="4" t="s">
        <v>16831</v>
      </c>
      <c r="C13376" s="5" t="str">
        <f>IFERROR(__xludf.DUMMYFUNCTION("GOOGLETRANSLATE(B13376,""en"",""fr"")"),"Un vieil homme retourne une planche à roulettes avec ses pieds, puis le prends et jetez au sol et patinez.")</f>
        <v>Un vieil homme retourne une planche à roulettes avec ses pieds, puis le prends et jetez au sol et patinez.</v>
      </c>
    </row>
    <row r="13377">
      <c r="A13377" s="4" t="s">
        <v>16830</v>
      </c>
      <c r="B13377" s="6" t="s">
        <v>16832</v>
      </c>
      <c r="C13377" s="5" t="str">
        <f>IFERROR(__xludf.DUMMYFUNCTION("GOOGLETRANSLATE(B13377,""en"",""fr"")"),"Après, l'homme a frappé la planche à roulettes avec son pied et il relève haut, l'homme essaie d'attraper le skateboard mais il le manque.")</f>
        <v>Après, l'homme a frappé la planche à roulettes avec son pied et il relève haut, l'homme essaie d'attraper le skateboard mais il le manque.</v>
      </c>
    </row>
    <row r="13378">
      <c r="A13378" s="4" t="s">
        <v>16830</v>
      </c>
      <c r="B13378" s="4" t="s">
        <v>16833</v>
      </c>
      <c r="C13378" s="5" t="str">
        <f>IFERROR(__xludf.DUMMYFUNCTION("GOOGLETRANSLATE(B13378,""en"",""fr"")"),"Un garçon est presque touché par une planche à roulettes.")</f>
        <v>Un garçon est presque touché par une planche à roulettes.</v>
      </c>
    </row>
    <row r="13379">
      <c r="A13379" s="4" t="s">
        <v>16830</v>
      </c>
      <c r="B13379" s="4" t="s">
        <v>16834</v>
      </c>
      <c r="C13379" s="5" t="str">
        <f>IFERROR(__xludf.DUMMYFUNCTION("GOOGLETRANSLATE(B13379,""en"",""fr"")"),"Ensuite, l'homme patine sur le parc puis se rend sur une piste de skateboard.")</f>
        <v>Ensuite, l'homme patine sur le parc puis se rend sur une piste de skateboard.</v>
      </c>
    </row>
    <row r="13380">
      <c r="A13380" s="4" t="s">
        <v>16835</v>
      </c>
      <c r="B13380" s="4" t="s">
        <v>16836</v>
      </c>
      <c r="C13380" s="5" t="str">
        <f>IFERROR(__xludf.DUMMYFUNCTION("GOOGLETRANSLATE(B13380,""en"",""fr"")"),"Un jeune garçon dans un pull bleu saute du côté et se tient devant une planche de fléchette.")</f>
        <v>Un jeune garçon dans un pull bleu saute du côté et se tient devant une planche de fléchette.</v>
      </c>
    </row>
    <row r="13381">
      <c r="A13381" s="4" t="s">
        <v>16835</v>
      </c>
      <c r="B13381" s="4" t="s">
        <v>16837</v>
      </c>
      <c r="C13381" s="5" t="str">
        <f>IFERROR(__xludf.DUMMYFUNCTION("GOOGLETRANSLATE(B13381,""en"",""fr"")"),"Une fois qu'il se calme, il se retourne et commence à jeter des fléchettes sur le tableau.")</f>
        <v>Une fois qu'il se calme, il se retourne et commence à jeter des fléchettes sur le tableau.</v>
      </c>
    </row>
    <row r="13382">
      <c r="A13382" s="4" t="s">
        <v>16835</v>
      </c>
      <c r="B13382" s="4" t="s">
        <v>16838</v>
      </c>
      <c r="C13382" s="5" t="str">
        <f>IFERROR(__xludf.DUMMYFUNCTION("GOOGLETRANSLATE(B13382,""en"",""fr"")"),"Après que toutes les fléchettes soient jetées, la caméra zoome sur les fléchettes pour montrer ce qu'il avait fait.")</f>
        <v>Après que toutes les fléchettes soient jetées, la caméra zoome sur les fléchettes pour montrer ce qu'il avait fait.</v>
      </c>
    </row>
    <row r="13383">
      <c r="A13383" s="4" t="s">
        <v>16839</v>
      </c>
      <c r="B13383" s="4" t="s">
        <v>16840</v>
      </c>
      <c r="C13383" s="5" t="str">
        <f>IFERROR(__xludf.DUMMYFUNCTION("GOOGLETRANSLATE(B13383,""en"",""fr"")"),"Un homme en chapeau noir parle à la caméra.")</f>
        <v>Un homme en chapeau noir parle à la caméra.</v>
      </c>
    </row>
    <row r="13384">
      <c r="A13384" s="4" t="s">
        <v>16839</v>
      </c>
      <c r="B13384" s="4" t="s">
        <v>16841</v>
      </c>
      <c r="C13384" s="5" t="str">
        <f>IFERROR(__xludf.DUMMYFUNCTION("GOOGLETRANSLATE(B13384,""en"",""fr"")"),"Il commence à jouer d'un violon sur son épaule.")</f>
        <v>Il commence à jouer d'un violon sur son épaule.</v>
      </c>
    </row>
    <row r="13385">
      <c r="A13385" s="4" t="s">
        <v>16839</v>
      </c>
      <c r="B13385" s="4" t="s">
        <v>16842</v>
      </c>
      <c r="C13385" s="5" t="str">
        <f>IFERROR(__xludf.DUMMYFUNCTION("GOOGLETRANSLATE(B13385,""en"",""fr"")"),"Il arrête de jouer et met le violon à ses côtés.")</f>
        <v>Il arrête de jouer et met le violon à ses côtés.</v>
      </c>
    </row>
    <row r="13386">
      <c r="A13386" s="4" t="s">
        <v>16843</v>
      </c>
      <c r="B13386" s="6" t="s">
        <v>16844</v>
      </c>
      <c r="C13386" s="5" t="str">
        <f>IFERROR(__xludf.DUMMYFUNCTION("GOOGLETRANSLATE(B13386,""en"",""fr"")"),"Un homme et un chien sont dans un champ et le chien tient le frisbee entre ses jambes et le chien saute par-dessus le dos de la personne et remonte le frisbee.")</f>
        <v>Un homme et un chien sont dans un champ et le chien tient le frisbee entre ses jambes et le chien saute par-dessus le dos de la personne et remonte le frisbee.</v>
      </c>
    </row>
    <row r="13387">
      <c r="A13387" s="4" t="s">
        <v>16843</v>
      </c>
      <c r="B13387" s="6" t="s">
        <v>16845</v>
      </c>
      <c r="C13387" s="5" t="str">
        <f>IFERROR(__xludf.DUMMYFUNCTION("GOOGLETRANSLATE(B13387,""en"",""fr"")"),"Le jeu continue et les deux continuent de jouer avec le Frisbee tandis que le propriétaire met ses jambes pour que le chien puisse l'obtenir.")</f>
        <v>Le jeu continue et les deux continuent de jouer avec le Frisbee tandis que le propriétaire met ses jambes pour que le chien puisse l'obtenir.</v>
      </c>
    </row>
    <row r="13388">
      <c r="A13388" s="4" t="s">
        <v>16843</v>
      </c>
      <c r="B13388" s="4" t="s">
        <v>16846</v>
      </c>
      <c r="C13388" s="5" t="str">
        <f>IFERROR(__xludf.DUMMYFUNCTION("GOOGLETRANSLATE(B13388,""en"",""fr"")"),"Maintenant, l'humain a quatre ou cinq frisbees et commence à les jeter rapidement pour que le chien puisse l'obtenir.")</f>
        <v>Maintenant, l'humain a quatre ou cinq frisbees et commence à les jeter rapidement pour que le chien puisse l'obtenir.</v>
      </c>
    </row>
    <row r="13389">
      <c r="A13389" s="4" t="s">
        <v>16847</v>
      </c>
      <c r="B13389" s="4" t="s">
        <v>16848</v>
      </c>
      <c r="C13389" s="5" t="str">
        <f>IFERROR(__xludf.DUMMYFUNCTION("GOOGLETRANSLATE(B13389,""en"",""fr"")"),"Une vue d'une maison est brièvement montrée.")</f>
        <v>Une vue d'une maison est brièvement montrée.</v>
      </c>
    </row>
    <row r="13390">
      <c r="A13390" s="4" t="s">
        <v>16847</v>
      </c>
      <c r="B13390" s="6" t="s">
        <v>16849</v>
      </c>
      <c r="C13390" s="5" t="str">
        <f>IFERROR(__xludf.DUMMYFUNCTION("GOOGLETRANSLATE(B13390,""en"",""fr"")"),"Il passe dans une autre pièce et il montre un petit enfant assis dans un set de batterie, suçant une tétine et tenant deux pilons et frappant les tambours.")</f>
        <v>Il passe dans une autre pièce et il montre un petit enfant assis dans un set de batterie, suçant une tétine et tenant deux pilons et frappant les tambours.</v>
      </c>
    </row>
    <row r="13391">
      <c r="A13391" s="4" t="s">
        <v>16847</v>
      </c>
      <c r="B13391" s="6" t="s">
        <v>16850</v>
      </c>
      <c r="C13391" s="5" t="str">
        <f>IFERROR(__xludf.DUMMYFUNCTION("GOOGLETRANSLATE(B13391,""en"",""fr"")"),"L'enfant frappe les cymbales plusieurs fois avec sa main gauche, puis il attrape les pilons et commence à frapper tous les tambours.")</f>
        <v>L'enfant frappe les cymbales plusieurs fois avec sa main gauche, puis il attrape les pilons et commence à frapper tous les tambours.</v>
      </c>
    </row>
    <row r="13392">
      <c r="A13392" s="4" t="s">
        <v>16851</v>
      </c>
      <c r="B13392" s="6" t="s">
        <v>16852</v>
      </c>
      <c r="C13392" s="5" t="str">
        <f>IFERROR(__xludf.DUMMYFUNCTION("GOOGLETRANSLATE(B13392,""en"",""fr"")"),"Deux hommes sont vus se tenant la main avec une reflète les tenant ensemble et mène à un match de lutte de bras.")</f>
        <v>Deux hommes sont vus se tenant la main avec une reflète les tenant ensemble et mène à un match de lutte de bras.</v>
      </c>
    </row>
    <row r="13393">
      <c r="A13393" s="4" t="s">
        <v>16851</v>
      </c>
      <c r="B13393" s="4" t="s">
        <v>16853</v>
      </c>
      <c r="C13393" s="5" t="str">
        <f>IFERROR(__xludf.DUMMYFUNCTION("GOOGLETRANSLATE(B13393,""en"",""fr"")"),"Un homme gagne puis continue de lutter contre plusieurs autres personnes.")</f>
        <v>Un homme gagne puis continue de lutter contre plusieurs autres personnes.</v>
      </c>
    </row>
    <row r="13394">
      <c r="A13394" s="4" t="s">
        <v>16854</v>
      </c>
      <c r="B13394" s="4" t="s">
        <v>16855</v>
      </c>
      <c r="C13394" s="5" t="str">
        <f>IFERROR(__xludf.DUMMYFUNCTION("GOOGLETRANSLATE(B13394,""en"",""fr"")"),"Un homme parle dehors dans un jardin.")</f>
        <v>Un homme parle dehors dans un jardin.</v>
      </c>
    </row>
    <row r="13395">
      <c r="A13395" s="4" t="s">
        <v>16854</v>
      </c>
      <c r="B13395" s="4" t="s">
        <v>16856</v>
      </c>
      <c r="C13395" s="5" t="str">
        <f>IFERROR(__xludf.DUMMYFUNCTION("GOOGLETRANSLATE(B13395,""en"",""fr"")"),"Il tient un couteau de poche dans sa main.")</f>
        <v>Il tient un couteau de poche dans sa main.</v>
      </c>
    </row>
    <row r="13396">
      <c r="A13396" s="4" t="s">
        <v>16854</v>
      </c>
      <c r="B13396" s="4" t="s">
        <v>16857</v>
      </c>
      <c r="C13396" s="5" t="str">
        <f>IFERROR(__xludf.DUMMYFUNCTION("GOOGLETRANSLATE(B13396,""en"",""fr"")"),"Il utilise une pierre pour aiguiser le couteau pour la caméra.")</f>
        <v>Il utilise une pierre pour aiguiser le couteau pour la caméra.</v>
      </c>
    </row>
    <row r="13397">
      <c r="A13397" s="4" t="s">
        <v>16858</v>
      </c>
      <c r="B13397" s="4" t="s">
        <v>16859</v>
      </c>
      <c r="C13397" s="5" t="str">
        <f>IFERROR(__xludf.DUMMYFUNCTION("GOOGLETRANSLATE(B13397,""en"",""fr"")"),"Les gens se tiennent dans un cercle en applaudissant.")</f>
        <v>Les gens se tiennent dans un cercle en applaudissant.</v>
      </c>
    </row>
    <row r="13398">
      <c r="A13398" s="4" t="s">
        <v>16858</v>
      </c>
      <c r="B13398" s="4" t="s">
        <v>16860</v>
      </c>
      <c r="C13398" s="5" t="str">
        <f>IFERROR(__xludf.DUMMYFUNCTION("GOOGLETRANSLATE(B13398,""en"",""fr"")"),"Deux personnes commencent à se battre dans le cercle.")</f>
        <v>Deux personnes commencent à se battre dans le cercle.</v>
      </c>
    </row>
    <row r="13399">
      <c r="A13399" s="4" t="s">
        <v>16858</v>
      </c>
      <c r="B13399" s="4" t="s">
        <v>16861</v>
      </c>
      <c r="C13399" s="5" t="str">
        <f>IFERROR(__xludf.DUMMYFUNCTION("GOOGLETRANSLATE(B13399,""en"",""fr"")"),"Les femmes dansent et tiennent des bâtons.")</f>
        <v>Les femmes dansent et tiennent des bâtons.</v>
      </c>
    </row>
    <row r="13400">
      <c r="A13400" s="4" t="s">
        <v>16862</v>
      </c>
      <c r="B13400" s="6" t="s">
        <v>16863</v>
      </c>
      <c r="C13400" s="5" t="str">
        <f>IFERROR(__xludf.DUMMYFUNCTION("GOOGLETRANSLATE(B13400,""en"",""fr"")"),"Un homme athlétique est vu s'arrêter jusqu'à un ensemble de barres inégales et met ses bras pour présenter qu'il est prêt.")</f>
        <v>Un homme athlétique est vu s'arrêter jusqu'à un ensemble de barres inégales et met ses bras pour présenter qu'il est prêt.</v>
      </c>
    </row>
    <row r="13401">
      <c r="A13401" s="4" t="s">
        <v>16862</v>
      </c>
      <c r="B13401" s="4" t="s">
        <v>16864</v>
      </c>
      <c r="C13401" s="5" t="str">
        <f>IFERROR(__xludf.DUMMYFUNCTION("GOOGLETRANSLATE(B13401,""en"",""fr"")"),"L'homme continue de se tourner autour des flips et des astuces sur les barres inégales.")</f>
        <v>L'homme continue de se tourner autour des flips et des astuces sur les barres inégales.</v>
      </c>
    </row>
    <row r="13402">
      <c r="A13402" s="4" t="s">
        <v>16862</v>
      </c>
      <c r="B13402" s="4" t="s">
        <v>16865</v>
      </c>
      <c r="C13402" s="5" t="str">
        <f>IFERROR(__xludf.DUMMYFUNCTION("GOOGLETRANSLATE(B13402,""en"",""fr"")"),"L'homme continue de se retourner et se termine en vacillant mais met ses mains pour finir.")</f>
        <v>L'homme continue de se retourner et se termine en vacillant mais met ses mains pour finir.</v>
      </c>
    </row>
    <row r="13403">
      <c r="A13403" s="4" t="s">
        <v>16866</v>
      </c>
      <c r="B13403" s="4" t="s">
        <v>16867</v>
      </c>
      <c r="C13403" s="5" t="str">
        <f>IFERROR(__xludf.DUMMYFUNCTION("GOOGLETRANSLATE(B13403,""en"",""fr"")"),"Un homme se dirige vers la fin d'une table qui a un tas de tasses rouges disposées dans un triangle.")</f>
        <v>Un homme se dirige vers la fin d'une table qui a un tas de tasses rouges disposées dans un triangle.</v>
      </c>
    </row>
    <row r="13404">
      <c r="A13404" s="4" t="s">
        <v>16866</v>
      </c>
      <c r="B13404" s="4" t="s">
        <v>16868</v>
      </c>
      <c r="C13404" s="5" t="str">
        <f>IFERROR(__xludf.DUMMYFUNCTION("GOOGLETRANSLATE(B13404,""en"",""fr"")"),"Il commence à jeter une balle dans les tasses.")</f>
        <v>Il commence à jeter une balle dans les tasses.</v>
      </c>
    </row>
    <row r="13405">
      <c r="A13405" s="4" t="s">
        <v>16866</v>
      </c>
      <c r="B13405" s="4" t="s">
        <v>16869</v>
      </c>
      <c r="C13405" s="5" t="str">
        <f>IFERROR(__xludf.DUMMYFUNCTION("GOOGLETRANSLATE(B13405,""en"",""fr"")"),"La vidéo va en noir et un graphique semble fermer le clip.")</f>
        <v>La vidéo va en noir et un graphique semble fermer le clip.</v>
      </c>
    </row>
    <row r="13406">
      <c r="A13406" s="4" t="s">
        <v>16870</v>
      </c>
      <c r="B13406" s="4" t="s">
        <v>16871</v>
      </c>
      <c r="C13406" s="5" t="str">
        <f>IFERROR(__xludf.DUMMYFUNCTION("GOOGLETRANSLATE(B13406,""en"",""fr"")"),"Une femme dans une chemise noire danse.")</f>
        <v>Une femme dans une chemise noire danse.</v>
      </c>
    </row>
    <row r="13407">
      <c r="A13407" s="4" t="s">
        <v>16870</v>
      </c>
      <c r="B13407" s="4" t="s">
        <v>16872</v>
      </c>
      <c r="C13407" s="5" t="str">
        <f>IFERROR(__xludf.DUMMYFUNCTION("GOOGLETRANSLATE(B13407,""en"",""fr"")"),"Elle tournoie un bâton.")</f>
        <v>Elle tournoie un bâton.</v>
      </c>
    </row>
    <row r="13408">
      <c r="A13408" s="4" t="s">
        <v>16870</v>
      </c>
      <c r="B13408" s="4" t="s">
        <v>16873</v>
      </c>
      <c r="C13408" s="5" t="str">
        <f>IFERROR(__xludf.DUMMYFUNCTION("GOOGLETRANSLATE(B13408,""en"",""fr"")"),"Elle attrape le bâton et les tourbillons.")</f>
        <v>Elle attrape le bâton et les tourbillons.</v>
      </c>
    </row>
    <row r="13409">
      <c r="A13409" s="4" t="s">
        <v>16874</v>
      </c>
      <c r="B13409" s="4" t="s">
        <v>16875</v>
      </c>
      <c r="C13409" s="5" t="str">
        <f>IFERROR(__xludf.DUMMYFUNCTION("GOOGLETRANSLATE(B13409,""en"",""fr"")"),"Un groupe se rend dans une rivière, entrant dans des radeaux gonflables.")</f>
        <v>Un groupe se rend dans une rivière, entrant dans des radeaux gonflables.</v>
      </c>
    </row>
    <row r="13410">
      <c r="A13410" s="4" t="s">
        <v>16874</v>
      </c>
      <c r="B13410" s="4" t="s">
        <v>16876</v>
      </c>
      <c r="C13410" s="5" t="str">
        <f>IFERROR(__xludf.DUMMYFUNCTION("GOOGLETRANSLATE(B13410,""en"",""fr"")"),"Ils pagayent rapidement sur la rivière à travers les rapides blancs déchaînés et sur de petites cascades.")</f>
        <v>Ils pagayent rapidement sur la rivière à travers les rapides blancs déchaînés et sur de petites cascades.</v>
      </c>
    </row>
    <row r="13411">
      <c r="A13411" s="4" t="s">
        <v>16874</v>
      </c>
      <c r="B13411" s="4" t="s">
        <v>16877</v>
      </c>
      <c r="C13411" s="5" t="str">
        <f>IFERROR(__xludf.DUMMYFUNCTION("GOOGLETRANSLATE(B13411,""en"",""fr"")"),"Ils flottent lentement alors que l'eau se répand sur une chute.")</f>
        <v>Ils flottent lentement alors que l'eau se répand sur une chute.</v>
      </c>
    </row>
    <row r="13412">
      <c r="A13412" s="4" t="s">
        <v>16878</v>
      </c>
      <c r="B13412" s="6" t="s">
        <v>16879</v>
      </c>
      <c r="C13412" s="5" t="str">
        <f>IFERROR(__xludf.DUMMYFUNCTION("GOOGLETRANSLATE(B13412,""en"",""fr"")"),"Nous voyons le visage d'un homme de près avec son nom imposé à ce sujet alors que l'homme se prépare à courir sur une piste.")</f>
        <v>Nous voyons le visage d'un homme de près avec son nom imposé à ce sujet alors que l'homme se prépare à courir sur une piste.</v>
      </c>
    </row>
    <row r="13413">
      <c r="A13413" s="4" t="s">
        <v>16878</v>
      </c>
      <c r="B13413" s="4" t="s">
        <v>16880</v>
      </c>
      <c r="C13413" s="5" t="str">
        <f>IFERROR(__xludf.DUMMYFUNCTION("GOOGLETRANSLATE(B13413,""en"",""fr"")"),"L'homme coule sur la piste et effectue un saut en longueur et jette ses bras en l'air.")</f>
        <v>L'homme coule sur la piste et effectue un saut en longueur et jette ses bras en l'air.</v>
      </c>
    </row>
    <row r="13414">
      <c r="A13414" s="4" t="s">
        <v>16878</v>
      </c>
      <c r="B13414" s="4" t="s">
        <v>16881</v>
      </c>
      <c r="C13414" s="5" t="str">
        <f>IFERROR(__xludf.DUMMYFUNCTION("GOOGLETRANSLATE(B13414,""en"",""fr"")"),"Nous voyons un autre homme étirer ses bras.")</f>
        <v>Nous voyons un autre homme étirer ses bras.</v>
      </c>
    </row>
    <row r="13415">
      <c r="A13415" s="4" t="s">
        <v>16878</v>
      </c>
      <c r="B13415" s="6" t="s">
        <v>16882</v>
      </c>
      <c r="C13415" s="5" t="str">
        <f>IFERROR(__xludf.DUMMYFUNCTION("GOOGLETRANSLATE(B13415,""en"",""fr"")"),"Le pull attend que les scores apparaissent à l'écran et l'homme qui a sauté jette ses mains en l'air et s'enfuit.")</f>
        <v>Le pull attend que les scores apparaissent à l'écran et l'homme qui a sauté jette ses mains en l'air et s'enfuit.</v>
      </c>
    </row>
    <row r="13416">
      <c r="A13416" s="4" t="s">
        <v>16878</v>
      </c>
      <c r="B13416" s="4" t="s">
        <v>16883</v>
      </c>
      <c r="C13416" s="5" t="str">
        <f>IFERROR(__xludf.DUMMYFUNCTION("GOOGLETRANSLATE(B13416,""en"",""fr"")"),"Une réponse du saut est jouée.")</f>
        <v>Une réponse du saut est jouée.</v>
      </c>
    </row>
    <row r="13417">
      <c r="A13417" s="4" t="s">
        <v>16884</v>
      </c>
      <c r="B13417" s="4" t="s">
        <v>16885</v>
      </c>
      <c r="C13417" s="5" t="str">
        <f>IFERROR(__xludf.DUMMYFUNCTION("GOOGLETRANSLATE(B13417,""en"",""fr"")"),"Un groupe d'hommes est à la caméra, chantant dans une vidéo et parle.")</f>
        <v>Un groupe d'hommes est à la caméra, chantant dans une vidéo et parle.</v>
      </c>
    </row>
    <row r="13418">
      <c r="A13418" s="4" t="s">
        <v>16884</v>
      </c>
      <c r="B13418" s="4" t="s">
        <v>16886</v>
      </c>
      <c r="C13418" s="5" t="str">
        <f>IFERROR(__xludf.DUMMYFUNCTION("GOOGLETRANSLATE(B13418,""en"",""fr"")"),"Ils portent des lunettes de soleil car ils changent de beaucoup à un entrepôt couvert de peinture.")</f>
        <v>Ils portent des lunettes de soleil car ils changent de beaucoup à un entrepôt couvert de peinture.</v>
      </c>
    </row>
    <row r="13419">
      <c r="A13419" s="4" t="s">
        <v>16884</v>
      </c>
      <c r="B13419" s="4" t="s">
        <v>16887</v>
      </c>
      <c r="C13419" s="5" t="str">
        <f>IFERROR(__xludf.DUMMYFUNCTION("GOOGLETRANSLATE(B13419,""en"",""fr"")"),"Un homme est couvert de peinture et porte des gants de boxe alors qu'il se réjouit de la caméra.")</f>
        <v>Un homme est couvert de peinture et porte des gants de boxe alors qu'il se réjouit de la caméra.</v>
      </c>
    </row>
    <row r="13420">
      <c r="A13420" s="4" t="s">
        <v>16888</v>
      </c>
      <c r="B13420" s="6" t="s">
        <v>16889</v>
      </c>
      <c r="C13420" s="5" t="str">
        <f>IFERROR(__xludf.DUMMYFUNCTION("GOOGLETRANSLATE(B13420,""en"",""fr"")"),"Il y a deux personnes sur une pente de tube de neige où l'un d'eux est une vidéo enregistrant son expérience de tube de neige avec son ami.")</f>
        <v>Il y a deux personnes sur une pente de tube de neige où l'un d'eux est une vidéo enregistrant son expérience de tube de neige avec son ami.</v>
      </c>
    </row>
    <row r="13421">
      <c r="A13421" s="4" t="s">
        <v>16888</v>
      </c>
      <c r="B13421" s="4" t="s">
        <v>16890</v>
      </c>
      <c r="C13421" s="5" t="str">
        <f>IFERROR(__xludf.DUMMYFUNCTION("GOOGLETRANSLATE(B13421,""en"",""fr"")"),"Il y a une femme qui ramasse de la glace qui est tombée sur le sol.")</f>
        <v>Il y a une femme qui ramasse de la glace qui est tombée sur le sol.</v>
      </c>
    </row>
    <row r="13422">
      <c r="A13422" s="4" t="s">
        <v>16888</v>
      </c>
      <c r="B13422" s="4" t="s">
        <v>16891</v>
      </c>
      <c r="C13422" s="5" t="str">
        <f>IFERROR(__xludf.DUMMYFUNCTION("GOOGLETRANSLATE(B13422,""en"",""fr"")"),"Il y a plusieurs personnes qui font la queue pour faire des tubes de neige.")</f>
        <v>Il y a plusieurs personnes qui font la queue pour faire des tubes de neige.</v>
      </c>
    </row>
    <row r="13423">
      <c r="A13423" s="4" t="s">
        <v>16888</v>
      </c>
      <c r="B13423" s="4" t="s">
        <v>16892</v>
      </c>
      <c r="C13423" s="5" t="str">
        <f>IFERROR(__xludf.DUMMYFUNCTION("GOOGLETRANSLATE(B13423,""en"",""fr"")"),"Après avoir atteint le sommet de la pente, ils pénètrent dans leurs tubes et commencent à glisser en descente.")</f>
        <v>Après avoir atteint le sommet de la pente, ils pénètrent dans leurs tubes et commencent à glisser en descente.</v>
      </c>
    </row>
    <row r="13424">
      <c r="A13424" s="4" t="s">
        <v>16888</v>
      </c>
      <c r="B13424" s="4" t="s">
        <v>16893</v>
      </c>
      <c r="C13424" s="5" t="str">
        <f>IFERROR(__xludf.DUMMYFUNCTION("GOOGLETRANSLATE(B13424,""en"",""fr"")"),"Ils descendent les pentes couvertes de neige jusqu'à ce qu'ils atteignent le fond.")</f>
        <v>Ils descendent les pentes couvertes de neige jusqu'à ce qu'ils atteignent le fond.</v>
      </c>
    </row>
    <row r="13425">
      <c r="A13425" s="4" t="s">
        <v>16894</v>
      </c>
      <c r="B13425" s="4" t="s">
        <v>16895</v>
      </c>
      <c r="C13425" s="5" t="str">
        <f>IFERROR(__xludf.DUMMYFUNCTION("GOOGLETRANSLATE(B13425,""en"",""fr"")"),"Les gens se tiennent autour d'un camping en coupant du bois.")</f>
        <v>Les gens se tiennent autour d'un camping en coupant du bois.</v>
      </c>
    </row>
    <row r="13426">
      <c r="A13426" s="4" t="s">
        <v>16894</v>
      </c>
      <c r="B13426" s="4" t="s">
        <v>16896</v>
      </c>
      <c r="C13426" s="5" t="str">
        <f>IFERROR(__xludf.DUMMYFUNCTION("GOOGLETRANSLATE(B13426,""en"",""fr"")"),"Un garçon se lève en tenant un bâton.")</f>
        <v>Un garçon se lève en tenant un bâton.</v>
      </c>
    </row>
    <row r="13427">
      <c r="A13427" s="4" t="s">
        <v>16894</v>
      </c>
      <c r="B13427" s="4" t="s">
        <v>16897</v>
      </c>
      <c r="C13427" s="5" t="str">
        <f>IFERROR(__xludf.DUMMYFUNCTION("GOOGLETRANSLATE(B13427,""en"",""fr"")"),"Un homme jette des morceaux de bois dans un tas.")</f>
        <v>Un homme jette des morceaux de bois dans un tas.</v>
      </c>
    </row>
    <row r="13428">
      <c r="A13428" s="4" t="s">
        <v>16894</v>
      </c>
      <c r="B13428" s="4" t="s">
        <v>16898</v>
      </c>
      <c r="C13428" s="5" t="str">
        <f>IFERROR(__xludf.DUMMYFUNCTION("GOOGLETRANSLATE(B13428,""en"",""fr"")"),"Les chaises du camping sont présentées.")</f>
        <v>Les chaises du camping sont présentées.</v>
      </c>
    </row>
    <row r="13429">
      <c r="A13429" s="4" t="s">
        <v>16894</v>
      </c>
      <c r="B13429" s="4" t="s">
        <v>16899</v>
      </c>
      <c r="C13429" s="5" t="str">
        <f>IFERROR(__xludf.DUMMYFUNCTION("GOOGLETRANSLATE(B13429,""en"",""fr"")"),"Un homme se dirige vers la caméra en train de parler.")</f>
        <v>Un homme se dirige vers la caméra en train de parler.</v>
      </c>
    </row>
    <row r="13430">
      <c r="A13430" s="4" t="s">
        <v>16894</v>
      </c>
      <c r="B13430" s="4" t="s">
        <v>16900</v>
      </c>
      <c r="C13430" s="5" t="str">
        <f>IFERROR(__xludf.DUMMYFUNCTION("GOOGLETRANSLATE(B13430,""en"",""fr"")"),"Ils continuent de couper du bois sur le camping.")</f>
        <v>Ils continuent de couper du bois sur le camping.</v>
      </c>
    </row>
    <row r="13431">
      <c r="A13431" s="4" t="s">
        <v>16901</v>
      </c>
      <c r="B13431" s="4" t="s">
        <v>16902</v>
      </c>
      <c r="C13431" s="5" t="str">
        <f>IFERROR(__xludf.DUMMYFUNCTION("GOOGLETRANSLATE(B13431,""en"",""fr"")"),"Une personne est vue se promener dans une cour ainsi que de nombreuses personnes debout.")</f>
        <v>Une personne est vue se promener dans une cour ainsi que de nombreuses personnes debout.</v>
      </c>
    </row>
    <row r="13432">
      <c r="A13432" s="4" t="s">
        <v>16901</v>
      </c>
      <c r="B13432" s="4" t="s">
        <v>16903</v>
      </c>
      <c r="C13432" s="5" t="str">
        <f>IFERROR(__xludf.DUMMYFUNCTION("GOOGLETRANSLATE(B13432,""en"",""fr"")"),"Les gens commencent alors à jouer un jeu les uns avec les autres et courent dans la cour.")</f>
        <v>Les gens commencent alors à jouer un jeu les uns avec les autres et courent dans la cour.</v>
      </c>
    </row>
    <row r="13433">
      <c r="A13433" s="4" t="s">
        <v>16901</v>
      </c>
      <c r="B13433" s="6" t="s">
        <v>16904</v>
      </c>
      <c r="C13433" s="5" t="str">
        <f>IFERROR(__xludf.DUMMYFUNCTION("GOOGLETRANSLATE(B13433,""en"",""fr"")"),"Les gens se blottissent ensemble tout en menant à plus de plans de personnes jouant au jeu et parlant à la caméra.")</f>
        <v>Les gens se blottissent ensemble tout en menant à plus de plans de personnes jouant au jeu et parlant à la caméra.</v>
      </c>
    </row>
    <row r="13434">
      <c r="A13434" s="4" t="s">
        <v>16905</v>
      </c>
      <c r="B13434" s="4" t="s">
        <v>16906</v>
      </c>
      <c r="C13434" s="5" t="str">
        <f>IFERROR(__xludf.DUMMYFUNCTION("GOOGLETRANSLATE(B13434,""en"",""fr"")"),"Un gros plan des lames à rouleaux d'une personne est montrée avec un homme debout dans le cadre.")</f>
        <v>Un gros plan des lames à rouleaux d'une personne est montrée avec un homme debout dans le cadre.</v>
      </c>
    </row>
    <row r="13435">
      <c r="A13435" s="4" t="s">
        <v>16905</v>
      </c>
      <c r="B13435" s="4" t="s">
        <v>16907</v>
      </c>
      <c r="C13435" s="5" t="str">
        <f>IFERROR(__xludf.DUMMYFUNCTION("GOOGLETRANSLATE(B13435,""en"",""fr"")"),"La personne allume ensuite ses lames et saute en place.")</f>
        <v>La personne allume ensuite ses lames et saute en place.</v>
      </c>
    </row>
    <row r="13436">
      <c r="A13436" s="4" t="s">
        <v>16905</v>
      </c>
      <c r="B13436" s="4" t="s">
        <v>16908</v>
      </c>
      <c r="C13436" s="5" t="str">
        <f>IFERROR(__xludf.DUMMYFUNCTION("GOOGLETRANSLATE(B13436,""en"",""fr"")"),"La personne continue de rouler et se lève les pieds pendant que les étincelles volent.")</f>
        <v>La personne continue de rouler et se lève les pieds pendant que les étincelles volent.</v>
      </c>
    </row>
    <row r="13437">
      <c r="A13437" s="4" t="s">
        <v>16909</v>
      </c>
      <c r="B13437" s="6" t="s">
        <v>16910</v>
      </c>
      <c r="C13437" s="5" t="str">
        <f>IFERROR(__xludf.DUMMYFUNCTION("GOOGLETRANSLATE(B13437,""en"",""fr"")"),"On voit la main d'une personne qui traite des cartes sur une table ainsi que plusieurs clips d'un casino affiché.")</f>
        <v>On voit la main d'une personne qui traite des cartes sur une table ainsi que plusieurs clips d'un casino affiché.</v>
      </c>
    </row>
    <row r="13438">
      <c r="A13438" s="4" t="s">
        <v>16909</v>
      </c>
      <c r="B13438" s="6" t="s">
        <v>16911</v>
      </c>
      <c r="C13438" s="5" t="str">
        <f>IFERROR(__xludf.DUMMYFUNCTION("GOOGLETRANSLATE(B13438,""en"",""fr"")"),"D'autres tirs sont montrés des personnes qui traitent des cartes à d'autres ainsi que des gens qui encouragent et continuent de traiter des cartes.")</f>
        <v>D'autres tirs sont montrés des personnes qui traitent des cartes à d'autres ainsi que des gens qui encouragent et continuent de traiter des cartes.</v>
      </c>
    </row>
    <row r="13439">
      <c r="A13439" s="4" t="s">
        <v>16912</v>
      </c>
      <c r="B13439" s="4" t="s">
        <v>16913</v>
      </c>
      <c r="C13439" s="5" t="str">
        <f>IFERROR(__xludf.DUMMYFUNCTION("GOOGLETRANSLATE(B13439,""en"",""fr"")"),"Un moniteur d'ordinateur se trouve sur un bureau.")</f>
        <v>Un moniteur d'ordinateur se trouve sur un bureau.</v>
      </c>
    </row>
    <row r="13440">
      <c r="A13440" s="4" t="s">
        <v>16912</v>
      </c>
      <c r="B13440" s="4" t="s">
        <v>16914</v>
      </c>
      <c r="C13440" s="5" t="str">
        <f>IFERROR(__xludf.DUMMYFUNCTION("GOOGLETRANSLATE(B13440,""en"",""fr"")"),"Un garçon met des gants.")</f>
        <v>Un garçon met des gants.</v>
      </c>
    </row>
    <row r="13441">
      <c r="A13441" s="4" t="s">
        <v>16912</v>
      </c>
      <c r="B13441" s="4" t="s">
        <v>16915</v>
      </c>
      <c r="C13441" s="5" t="str">
        <f>IFERROR(__xludf.DUMMYFUNCTION("GOOGLETRANSLATE(B13441,""en"",""fr"")"),"Il met ensuite un casque.")</f>
        <v>Il met ensuite un casque.</v>
      </c>
    </row>
    <row r="13442">
      <c r="A13442" s="4" t="s">
        <v>16912</v>
      </c>
      <c r="B13442" s="4" t="s">
        <v>16916</v>
      </c>
      <c r="C13442" s="5" t="str">
        <f>IFERROR(__xludf.DUMMYFUNCTION("GOOGLETRANSLATE(B13442,""en"",""fr"")"),"Il monte ensuite un longboard.")</f>
        <v>Il monte ensuite un longboard.</v>
      </c>
    </row>
    <row r="13443">
      <c r="A13443" s="4" t="s">
        <v>16917</v>
      </c>
      <c r="B13443" s="4" t="s">
        <v>16918</v>
      </c>
      <c r="C13443" s="5" t="str">
        <f>IFERROR(__xludf.DUMMYFUNCTION("GOOGLETRANSLATE(B13443,""en"",""fr"")"),"Un homme montre une performance de gymnastique sur deux bars.")</f>
        <v>Un homme montre une performance de gymnastique sur deux bars.</v>
      </c>
    </row>
    <row r="13444">
      <c r="A13444" s="4" t="s">
        <v>16917</v>
      </c>
      <c r="B13444" s="4" t="s">
        <v>16919</v>
      </c>
      <c r="C13444" s="5" t="str">
        <f>IFERROR(__xludf.DUMMYFUNCTION("GOOGLETRANSLATE(B13444,""en"",""fr"")"),"Il y a des spectateurs qui regardent la performance.")</f>
        <v>Il y a des spectateurs qui regardent la performance.</v>
      </c>
    </row>
    <row r="13445">
      <c r="A13445" s="4" t="s">
        <v>16917</v>
      </c>
      <c r="B13445" s="4" t="s">
        <v>16920</v>
      </c>
      <c r="C13445" s="5" t="str">
        <f>IFERROR(__xludf.DUMMYFUNCTION("GOOGLETRANSLATE(B13445,""en"",""fr"")"),"Une personne photographie la performance.")</f>
        <v>Une personne photographie la performance.</v>
      </c>
    </row>
    <row r="13446">
      <c r="A13446" s="4" t="s">
        <v>16917</v>
      </c>
      <c r="B13446" s="4" t="s">
        <v>16921</v>
      </c>
      <c r="C13446" s="5" t="str">
        <f>IFERROR(__xludf.DUMMYFUNCTION("GOOGLETRANSLATE(B13446,""en"",""fr"")"),"La gymnaste saute des barreaux et une autre gymnaste coule vers eux.")</f>
        <v>La gymnaste saute des barreaux et une autre gymnaste coule vers eux.</v>
      </c>
    </row>
    <row r="13447">
      <c r="A13447" s="4" t="s">
        <v>16922</v>
      </c>
      <c r="B13447" s="4" t="s">
        <v>16923</v>
      </c>
      <c r="C13447" s="5" t="str">
        <f>IFERROR(__xludf.DUMMYFUNCTION("GOOGLETRANSLATE(B13447,""en"",""fr"")"),"Un homme joue les tambours à main dans un salon.")</f>
        <v>Un homme joue les tambours à main dans un salon.</v>
      </c>
    </row>
    <row r="13448">
      <c r="A13448" s="4" t="s">
        <v>16922</v>
      </c>
      <c r="B13448" s="4" t="s">
        <v>16924</v>
      </c>
      <c r="C13448" s="5" t="str">
        <f>IFERROR(__xludf.DUMMYFUNCTION("GOOGLETRANSLATE(B13448,""en"",""fr"")"),"L'homme rejette sa tête en arrière.")</f>
        <v>L'homme rejette sa tête en arrière.</v>
      </c>
    </row>
    <row r="13449">
      <c r="A13449" s="4" t="s">
        <v>16922</v>
      </c>
      <c r="B13449" s="4" t="s">
        <v>16925</v>
      </c>
      <c r="C13449" s="5" t="str">
        <f>IFERROR(__xludf.DUMMYFUNCTION("GOOGLETRANSLATE(B13449,""en"",""fr"")"),"Nous faisons un zoom sur les mains de l'homme.")</f>
        <v>Nous faisons un zoom sur les mains de l'homme.</v>
      </c>
    </row>
    <row r="13450">
      <c r="A13450" s="4" t="s">
        <v>16922</v>
      </c>
      <c r="B13450" s="4" t="s">
        <v>16926</v>
      </c>
      <c r="C13450" s="5" t="str">
        <f>IFERROR(__xludf.DUMMYFUNCTION("GOOGLETRANSLATE(B13450,""en"",""fr"")"),"Nous faisons un zoom arrière et voyons l'homme entier.")</f>
        <v>Nous faisons un zoom arrière et voyons l'homme entier.</v>
      </c>
    </row>
    <row r="13451">
      <c r="A13451" s="4" t="s">
        <v>16922</v>
      </c>
      <c r="B13451" s="4" t="s">
        <v>16927</v>
      </c>
      <c r="C13451" s="5" t="str">
        <f>IFERROR(__xludf.DUMMYFUNCTION("GOOGLETRANSLATE(B13451,""en"",""fr"")"),"Il finit de jouer et prend un arc.")</f>
        <v>Il finit de jouer et prend un arc.</v>
      </c>
    </row>
    <row r="13452">
      <c r="A13452" s="4" t="s">
        <v>16928</v>
      </c>
      <c r="B13452" s="4" t="s">
        <v>16929</v>
      </c>
      <c r="C13452" s="5" t="str">
        <f>IFERROR(__xludf.DUMMYFUNCTION("GOOGLETRANSLATE(B13452,""en"",""fr"")"),"Un homme jaillit sur une piste et saute sur une zone de saleté.")</f>
        <v>Un homme jaillit sur une piste et saute sur une zone de saleté.</v>
      </c>
    </row>
    <row r="13453">
      <c r="A13453" s="4" t="s">
        <v>16928</v>
      </c>
      <c r="B13453" s="4" t="s">
        <v>16930</v>
      </c>
      <c r="C13453" s="5" t="str">
        <f>IFERROR(__xludf.DUMMYFUNCTION("GOOGLETRANSLATE(B13453,""en"",""fr"")"),"Un deuxième homme fait de même.")</f>
        <v>Un deuxième homme fait de même.</v>
      </c>
    </row>
    <row r="13454">
      <c r="A13454" s="4" t="s">
        <v>16928</v>
      </c>
      <c r="B13454" s="4" t="s">
        <v>16931</v>
      </c>
      <c r="C13454" s="5" t="str">
        <f>IFERROR(__xludf.DUMMYFUNCTION("GOOGLETRANSLATE(B13454,""en"",""fr"")"),"Un troisième homme le suit.")</f>
        <v>Un troisième homme le suit.</v>
      </c>
    </row>
    <row r="13455">
      <c r="A13455" s="4" t="s">
        <v>16928</v>
      </c>
      <c r="B13455" s="4" t="s">
        <v>16932</v>
      </c>
      <c r="C13455" s="5" t="str">
        <f>IFERROR(__xludf.DUMMYFUNCTION("GOOGLETRANSLATE(B13455,""en"",""fr"")"),"Un quatrième homme le poursuit.")</f>
        <v>Un quatrième homme le poursuit.</v>
      </c>
    </row>
    <row r="13456">
      <c r="A13456" s="4" t="s">
        <v>16928</v>
      </c>
      <c r="B13456" s="4" t="s">
        <v>16933</v>
      </c>
      <c r="C13456" s="5" t="str">
        <f>IFERROR(__xludf.DUMMYFUNCTION("GOOGLETRANSLATE(B13456,""en"",""fr"")"),"Un cinquième homme commence à sprinter alors qu'il tient une longue barre.")</f>
        <v>Un cinquième homme commence à sprinter alors qu'il tient une longue barre.</v>
      </c>
    </row>
    <row r="13457">
      <c r="A13457" s="4" t="s">
        <v>16934</v>
      </c>
      <c r="B13457" s="4" t="s">
        <v>16935</v>
      </c>
      <c r="C13457" s="5" t="str">
        <f>IFERROR(__xludf.DUMMYFUNCTION("GOOGLETRANSLATE(B13457,""en"",""fr"")"),"Les mots sont écrits à l'écran.")</f>
        <v>Les mots sont écrits à l'écran.</v>
      </c>
    </row>
    <row r="13458">
      <c r="A13458" s="4" t="s">
        <v>16934</v>
      </c>
      <c r="B13458" s="4" t="s">
        <v>16936</v>
      </c>
      <c r="C13458" s="5" t="str">
        <f>IFERROR(__xludf.DUMMYFUNCTION("GOOGLETRANSLATE(B13458,""en"",""fr"")"),"Un couteau est placé dans un aiguillon et déplacé d'avant en arrière et utilisé sur un aiguillon circulaire.")</f>
        <v>Un couteau est placé dans un aiguillon et déplacé d'avant en arrière et utilisé sur un aiguillon circulaire.</v>
      </c>
    </row>
    <row r="13459">
      <c r="A13459" s="4" t="s">
        <v>16934</v>
      </c>
      <c r="B13459" s="4" t="s">
        <v>16937</v>
      </c>
      <c r="C13459" s="5" t="str">
        <f>IFERROR(__xludf.DUMMYFUNCTION("GOOGLETRANSLATE(B13459,""en"",""fr"")"),"Une paire de ciseaux est aiguisée sur le taille-creux.")</f>
        <v>Une paire de ciseaux est aiguisée sur le taille-creux.</v>
      </c>
    </row>
    <row r="13460">
      <c r="A13460" s="4" t="s">
        <v>16934</v>
      </c>
      <c r="B13460" s="4" t="s">
        <v>16938</v>
      </c>
      <c r="C13460" s="5" t="str">
        <f>IFERROR(__xludf.DUMMYFUNCTION("GOOGLETRANSLATE(B13460,""en"",""fr"")"),"Les ciseaux ont coupé une serviette violette et un morceau de papier.")</f>
        <v>Les ciseaux ont coupé une serviette violette et un morceau de papier.</v>
      </c>
    </row>
    <row r="13461">
      <c r="A13461" s="4" t="s">
        <v>16934</v>
      </c>
      <c r="B13461" s="4" t="s">
        <v>16939</v>
      </c>
      <c r="C13461" s="5" t="str">
        <f>IFERROR(__xludf.DUMMYFUNCTION("GOOGLETRANSLATE(B13461,""en"",""fr"")"),"Les mots sont à nouveau affichés à l'écran.")</f>
        <v>Les mots sont à nouveau affichés à l'écran.</v>
      </c>
    </row>
    <row r="13462">
      <c r="A13462" s="4" t="s">
        <v>16940</v>
      </c>
      <c r="B13462" s="6" t="s">
        <v>16941</v>
      </c>
      <c r="C13462" s="5" t="str">
        <f>IFERROR(__xludf.DUMMYFUNCTION("GOOGLETRANSLATE(B13462,""en"",""fr"")"),"Une fille aux cheveux blonds longs, portant une robe bleue fait un tutoriel sur la façon d'utiliser des rouleaux chauds dans ses cheveux.")</f>
        <v>Une fille aux cheveux blonds longs, portant une robe bleue fait un tutoriel sur la façon d'utiliser des rouleaux chauds dans ses cheveux.</v>
      </c>
    </row>
    <row r="13463">
      <c r="A13463" s="4" t="s">
        <v>16940</v>
      </c>
      <c r="B13463" s="6" t="s">
        <v>16942</v>
      </c>
      <c r="C13463" s="5" t="str">
        <f>IFERROR(__xludf.DUMMYFUNCTION("GOOGLETRANSLATE(B13463,""en"",""fr"")"),"Il y a une autre femme portant du blanc qui montre comment sectionner ses cheveux et commencer à mettre les rouleaux dans celui-ci un par un.")</f>
        <v>Il y a une autre femme portant du blanc qui montre comment sectionner ses cheveux et commencer à mettre les rouleaux dans celui-ci un par un.</v>
      </c>
    </row>
    <row r="13464">
      <c r="A13464" s="4" t="s">
        <v>16940</v>
      </c>
      <c r="B13464" s="6" t="s">
        <v>16943</v>
      </c>
      <c r="C13464" s="5" t="str">
        <f>IFERROR(__xludf.DUMMYFUNCTION("GOOGLETRANSLATE(B13464,""en"",""fr"")"),"Après avoir fini de mettre les rouleaux sur toute la tête, elle utilise un sèche-linge pour ajouter de la chaleur aux cheveux.")</f>
        <v>Après avoir fini de mettre les rouleaux sur toute la tête, elle utilise un sèche-linge pour ajouter de la chaleur aux cheveux.</v>
      </c>
    </row>
    <row r="13465">
      <c r="A13465" s="4" t="s">
        <v>16940</v>
      </c>
      <c r="B13465" s="4" t="s">
        <v>16944</v>
      </c>
      <c r="C13465" s="5" t="str">
        <f>IFERROR(__xludf.DUMMYFUNCTION("GOOGLETRANSLATE(B13465,""en"",""fr"")"),"Puis elle enlève les rouleaux des cheveux du modèle et commence à passer ses doigts dans les cheveux.")</f>
        <v>Puis elle enlève les rouleaux des cheveux du modèle et commence à passer ses doigts dans les cheveux.</v>
      </c>
    </row>
    <row r="13466">
      <c r="A13466" s="4" t="s">
        <v>16940</v>
      </c>
      <c r="B13466" s="4" t="s">
        <v>16945</v>
      </c>
      <c r="C13466" s="5" t="str">
        <f>IFERROR(__xludf.DUMMYFUNCTION("GOOGLETRANSLATE(B13466,""en"",""fr"")"),"Elle repousse ensuite ses cheveux doucement avec une brosse.")</f>
        <v>Elle repousse ensuite ses cheveux doucement avec une brosse.</v>
      </c>
    </row>
    <row r="13467">
      <c r="A13467" s="4" t="s">
        <v>16940</v>
      </c>
      <c r="B13467" s="6" t="s">
        <v>16946</v>
      </c>
      <c r="C13467" s="5" t="str">
        <f>IFERROR(__xludf.DUMMYFUNCTION("GOOGLETRANSLATE(B13467,""en"",""fr"")"),"Elle montre comment terminer le look en passant ses doigts dans ses cheveux sans utiliser de pinceau.")</f>
        <v>Elle montre comment terminer le look en passant ses doigts dans ses cheveux sans utiliser de pinceau.</v>
      </c>
    </row>
    <row r="13468">
      <c r="A13468" s="4" t="s">
        <v>16947</v>
      </c>
      <c r="B13468" s="6" t="s">
        <v>16948</v>
      </c>
      <c r="C13468" s="5" t="str">
        <f>IFERROR(__xludf.DUMMYFUNCTION("GOOGLETRANSLATE(B13468,""en"",""fr"")"),"Un homme portant un gilet noir tient le disque blanc dans sa main tandis qu'un frontière Collie se tient devant lui.")</f>
        <v>Un homme portant un gilet noir tient le disque blanc dans sa main tandis qu'un frontière Collie se tient devant lui.</v>
      </c>
    </row>
    <row r="13469">
      <c r="A13469" s="4" t="s">
        <v>16947</v>
      </c>
      <c r="B13469" s="4" t="s">
        <v>16949</v>
      </c>
      <c r="C13469" s="5" t="str">
        <f>IFERROR(__xludf.DUMMYFUNCTION("GOOGLETRANSLATE(B13469,""en"",""fr"")"),"L'homme fait marcher Froward et gifle les disques blancs sur sa cuisse.")</f>
        <v>L'homme fait marcher Froward et gifle les disques blancs sur sa cuisse.</v>
      </c>
    </row>
    <row r="13470">
      <c r="A13470" s="4" t="s">
        <v>16947</v>
      </c>
      <c r="B13470" s="4" t="s">
        <v>16950</v>
      </c>
      <c r="C13470" s="5" t="str">
        <f>IFERROR(__xludf.DUMMYFUNCTION("GOOGLETRANSLATE(B13470,""en"",""fr"")"),"L'homme avance en bassant chaque pied alors que le pensionnaire Collie court entre les jambes de l'homme.")</f>
        <v>L'homme avance en bassant chaque pied alors que le pensionnaire Collie court entre les jambes de l'homme.</v>
      </c>
    </row>
    <row r="13471">
      <c r="A13471" s="4" t="s">
        <v>16947</v>
      </c>
      <c r="B13471" s="6" t="s">
        <v>16951</v>
      </c>
      <c r="C13471" s="5" t="str">
        <f>IFERROR(__xludf.DUMMYFUNCTION("GOOGLETRANSLATE(B13471,""en"",""fr"")"),"L'homme tape la tête avec le disque blanc qu'il accroupi et le pensionnaire Collie saute sur son dos et équilibre le leur.")</f>
        <v>L'homme tape la tête avec le disque blanc qu'il accroupi et le pensionnaire Collie saute sur son dos et équilibre le leur.</v>
      </c>
    </row>
    <row r="13472">
      <c r="A13472" s="4" t="s">
        <v>16947</v>
      </c>
      <c r="B13472" s="4" t="s">
        <v>16952</v>
      </c>
      <c r="C13472" s="5" t="str">
        <f>IFERROR(__xludf.DUMMYFUNCTION("GOOGLETRANSLATE(B13472,""en"",""fr"")"),"L'homme jette le disque au-dessus de sa tête et le pensionnaire Collie l'attrape et s'enfuit.")</f>
        <v>L'homme jette le disque au-dessus de sa tête et le pensionnaire Collie l'attrape et s'enfuit.</v>
      </c>
    </row>
    <row r="13473">
      <c r="A13473" s="4" t="s">
        <v>16953</v>
      </c>
      <c r="B13473" s="6" t="s">
        <v>16954</v>
      </c>
      <c r="C13473" s="5" t="str">
        <f>IFERROR(__xludf.DUMMYFUNCTION("GOOGLETRANSLATE(B13473,""en"",""fr"")"),"Divers clips sont montrés des jeunes qui dansent et font la fête les uns avec les autres ainsi que pour boire et jouer au pong de bière.")</f>
        <v>Divers clips sont montrés des jeunes qui dansent et font la fête les uns avec les autres ainsi que pour boire et jouer au pong de bière.</v>
      </c>
    </row>
    <row r="13474">
      <c r="A13474" s="4" t="s">
        <v>16953</v>
      </c>
      <c r="B13474" s="6" t="s">
        <v>16955</v>
      </c>
      <c r="C13474" s="5" t="str">
        <f>IFERROR(__xludf.DUMMYFUNCTION("GOOGLETRANSLATE(B13474,""en"",""fr"")"),"Plus de coups sont montrés des personnes qui cherchent et parlent à la caméra tout en jouant à Pong et en buvant de la bière les uns avec les autres.")</f>
        <v>Plus de coups sont montrés des personnes qui cherchent et parlent à la caméra tout en jouant à Pong et en buvant de la bière les uns avec les autres.</v>
      </c>
    </row>
    <row r="13475">
      <c r="A13475" s="4" t="s">
        <v>16956</v>
      </c>
      <c r="B13475" s="4" t="s">
        <v>16957</v>
      </c>
      <c r="C13475" s="5" t="str">
        <f>IFERROR(__xludf.DUMMYFUNCTION("GOOGLETRANSLATE(B13475,""en"",""fr"")"),"Une vidéo de skieur sur une colline enneigée tire une vidéo d'eux-mêmes comme du ski que d'autres skieurs dépassent.")</f>
        <v>Une vidéo de skieur sur une colline enneigée tire une vidéo d'eux-mêmes comme du ski que d'autres skieurs dépassent.</v>
      </c>
    </row>
    <row r="13476">
      <c r="A13476" s="4" t="s">
        <v>16956</v>
      </c>
      <c r="B13476" s="4" t="s">
        <v>16958</v>
      </c>
      <c r="C13476" s="5" t="str">
        <f>IFERROR(__xludf.DUMMYFUNCTION("GOOGLETRANSLATE(B13476,""en"",""fr"")"),"Le skieur passe devant les ascenseurs de ski alors qu'il parcourt un coin et dépasse les ascenseurs.")</f>
        <v>Le skieur passe devant les ascenseurs de ski alors qu'il parcourt un coin et dépasse les ascenseurs.</v>
      </c>
    </row>
    <row r="13477">
      <c r="A13477" s="4" t="s">
        <v>16956</v>
      </c>
      <c r="B13477" s="6" t="s">
        <v>16959</v>
      </c>
      <c r="C13477" s="5" t="str">
        <f>IFERROR(__xludf.DUMMYFUNCTION("GOOGLETRANSLATE(B13477,""en"",""fr"")"),"Ils se retournent ensuite et passent sous l'ascenseur et se déplacent plus loin sur un chemin qui passe des clôtures bleues, un panneau de marqueur de sentier et se terminant dans un lodge.")</f>
        <v>Ils se retournent ensuite et passent sous l'ascenseur et se déplacent plus loin sur un chemin qui passe des clôtures bleues, un panneau de marqueur de sentier et se terminant dans un lodge.</v>
      </c>
    </row>
    <row r="13478">
      <c r="A13478" s="4" t="s">
        <v>16960</v>
      </c>
      <c r="B13478" s="4" t="s">
        <v>16961</v>
      </c>
      <c r="C13478" s="5" t="str">
        <f>IFERROR(__xludf.DUMMYFUNCTION("GOOGLETRANSLATE(B13478,""en"",""fr"")"),"Un enfant va jouer dans un lieu de jeu.")</f>
        <v>Un enfant va jouer dans un lieu de jeu.</v>
      </c>
    </row>
    <row r="13479">
      <c r="A13479" s="4" t="s">
        <v>16960</v>
      </c>
      <c r="B13479" s="4" t="s">
        <v>16962</v>
      </c>
      <c r="C13479" s="5" t="str">
        <f>IFERROR(__xludf.DUMMYFUNCTION("GOOGLETRANSLATE(B13479,""en"",""fr"")"),"Elle grimpe, descend des diapositives, bascule d'avant en arrière, et a une gaieté générale.")</f>
        <v>Elle grimpe, descend des diapositives, bascule d'avant en arrière, et a une gaieté générale.</v>
      </c>
    </row>
    <row r="13480">
      <c r="A13480" s="4" t="s">
        <v>16963</v>
      </c>
      <c r="B13480" s="6" t="s">
        <v>16964</v>
      </c>
      <c r="C13480" s="5" t="str">
        <f>IFERROR(__xludf.DUMMYFUNCTION("GOOGLETRANSLATE(B13480,""en"",""fr"")"),"À l'extérieur, alors qu'un groupe regarde, un homme soulève un gars sur son épaule et le jette sur une table qui se casse.")</f>
        <v>À l'extérieur, alors qu'un groupe regarde, un homme soulève un gars sur son épaule et le jette sur une table qui se casse.</v>
      </c>
    </row>
    <row r="13481">
      <c r="A13481" s="4" t="s">
        <v>16963</v>
      </c>
      <c r="B13481" s="4" t="s">
        <v>16965</v>
      </c>
      <c r="C13481" s="5" t="str">
        <f>IFERROR(__xludf.DUMMYFUNCTION("GOOGLETRANSLATE(B13481,""en"",""fr"")"),"À l'extérieur, un dos masculin se retourne sur un trampoline et atterrit sur son visage.")</f>
        <v>À l'extérieur, un dos masculin se retourne sur un trampoline et atterrit sur son visage.</v>
      </c>
    </row>
    <row r="13482">
      <c r="A13482" s="4" t="s">
        <v>16963</v>
      </c>
      <c r="B13482" s="6" t="s">
        <v>16966</v>
      </c>
      <c r="C13482" s="5" t="str">
        <f>IFERROR(__xludf.DUMMYFUNCTION("GOOGLETRANSLATE(B13482,""en"",""fr"")"),"Deux hommes déposent le mâle et regardent son visage, et une autre personne déplace un individu pongeant pour regarder le visage du mâle.")</f>
        <v>Deux hommes déposent le mâle et regardent son visage, et une autre personne déplace un individu pongeant pour regarder le visage du mâle.</v>
      </c>
    </row>
    <row r="13483">
      <c r="A13483" s="4" t="s">
        <v>16967</v>
      </c>
      <c r="B13483" s="4" t="s">
        <v>16968</v>
      </c>
      <c r="C13483" s="5" t="str">
        <f>IFERROR(__xludf.DUMMYFUNCTION("GOOGLETRANSLATE(B13483,""en"",""fr"")"),"Une photo est représentée d'un bébé juxtaposé à côté d'une petite fille.")</f>
        <v>Une photo est représentée d'un bébé juxtaposé à côté d'une petite fille.</v>
      </c>
    </row>
    <row r="13484">
      <c r="A13484" s="4" t="s">
        <v>16967</v>
      </c>
      <c r="B13484" s="4" t="s">
        <v>16969</v>
      </c>
      <c r="C13484" s="5" t="str">
        <f>IFERROR(__xludf.DUMMYFUNCTION("GOOGLETRANSLATE(B13484,""en"",""fr"")"),"Une femme est vue avec une jeune fille pendant qu'elle parle.")</f>
        <v>Une femme est vue avec une jeune fille pendant qu'elle parle.</v>
      </c>
    </row>
    <row r="13485">
      <c r="A13485" s="4" t="s">
        <v>16967</v>
      </c>
      <c r="B13485" s="4" t="s">
        <v>16970</v>
      </c>
      <c r="C13485" s="5" t="str">
        <f>IFERROR(__xludf.DUMMYFUNCTION("GOOGLETRANSLATE(B13485,""en"",""fr"")"),"Elle a ensuite la fille s'asseoir alors qu'elle continue de tresser ses cheveux en morceaux longs et épais.")</f>
        <v>Elle a ensuite la fille s'asseoir alors qu'elle continue de tresser ses cheveux en morceaux longs et épais.</v>
      </c>
    </row>
    <row r="13486">
      <c r="A13486" s="4" t="s">
        <v>16967</v>
      </c>
      <c r="B13486" s="4" t="s">
        <v>16971</v>
      </c>
      <c r="C13486" s="5" t="str">
        <f>IFERROR(__xludf.DUMMYFUNCTION("GOOGLETRANSLATE(B13486,""en"",""fr"")"),"Elle épingle les cheveux en place, puis agite au revoir à la caméra.")</f>
        <v>Elle épingle les cheveux en place, puis agite au revoir à la caméra.</v>
      </c>
    </row>
    <row r="13487">
      <c r="A13487" s="4" t="s">
        <v>16972</v>
      </c>
      <c r="B13487" s="4" t="s">
        <v>16973</v>
      </c>
      <c r="C13487" s="5" t="str">
        <f>IFERROR(__xludf.DUMMYFUNCTION("GOOGLETRANSLATE(B13487,""en"",""fr"")"),"Un homme déroule une feuille de papier peint à partir d'un tube, puis une grande photo.")</f>
        <v>Un homme déroule une feuille de papier peint à partir d'un tube, puis une grande photo.</v>
      </c>
    </row>
    <row r="13488">
      <c r="A13488" s="4" t="s">
        <v>16972</v>
      </c>
      <c r="B13488" s="4" t="s">
        <v>16974</v>
      </c>
      <c r="C13488" s="5" t="str">
        <f>IFERROR(__xludf.DUMMYFUNCTION("GOOGLETRANSLATE(B13488,""en"",""fr"")"),"Il applique la feuille et les photos au mur, créant une vraie murale de photographie.")</f>
        <v>Il applique la feuille et les photos au mur, créant une vraie murale de photographie.</v>
      </c>
    </row>
    <row r="13489">
      <c r="A13489" s="4" t="s">
        <v>16972</v>
      </c>
      <c r="B13489" s="4" t="s">
        <v>16975</v>
      </c>
      <c r="C13489" s="5" t="str">
        <f>IFERROR(__xludf.DUMMYFUNCTION("GOOGLETRANSLATE(B13489,""en"",""fr"")"),"Il essuie proprement les images sur le mur.")</f>
        <v>Il essuie proprement les images sur le mur.</v>
      </c>
    </row>
    <row r="13490">
      <c r="A13490" s="4" t="s">
        <v>16976</v>
      </c>
      <c r="B13490" s="4" t="s">
        <v>16977</v>
      </c>
      <c r="C13490" s="5" t="str">
        <f>IFERROR(__xludf.DUMMYFUNCTION("GOOGLETRANSLATE(B13490,""en"",""fr"")"),"Une foule est rassemblée autour de deux femmes qui luttent sur les bras.")</f>
        <v>Une foule est rassemblée autour de deux femmes qui luttent sur les bras.</v>
      </c>
    </row>
    <row r="13491">
      <c r="A13491" s="4" t="s">
        <v>16976</v>
      </c>
      <c r="B13491" s="4" t="s">
        <v>16978</v>
      </c>
      <c r="C13491" s="5" t="str">
        <f>IFERROR(__xludf.DUMMYFUNCTION("GOOGLETRANSLATE(B13491,""en"",""fr"")"),"Les femmes se saisissent les mains et poussent aussi fort que possible jusqu'à ce que l'une d'entre elles perde.")</f>
        <v>Les femmes se saisissent les mains et poussent aussi fort que possible jusqu'à ce que l'une d'entre elles perde.</v>
      </c>
    </row>
    <row r="13492">
      <c r="A13492" s="4" t="s">
        <v>16976</v>
      </c>
      <c r="B13492" s="4" t="s">
        <v>16979</v>
      </c>
      <c r="C13492" s="5" t="str">
        <f>IFERROR(__xludf.DUMMYFUNCTION("GOOGLETRANSLATE(B13492,""en"",""fr"")"),"Ils refont la lutte du bras.")</f>
        <v>Ils refont la lutte du bras.</v>
      </c>
    </row>
    <row r="13493">
      <c r="A13493" s="4" t="s">
        <v>16976</v>
      </c>
      <c r="B13493" s="4" t="s">
        <v>16980</v>
      </c>
      <c r="C13493" s="5" t="str">
        <f>IFERROR(__xludf.DUMMYFUNCTION("GOOGLETRANSLATE(B13493,""en"",""fr"")"),"L'une des filles lâche sa main et l'autre fille ouvre la bouche sous le choc.")</f>
        <v>L'une des filles lâche sa main et l'autre fille ouvre la bouche sous le choc.</v>
      </c>
    </row>
    <row r="13494">
      <c r="A13494" s="4" t="s">
        <v>16981</v>
      </c>
      <c r="B13494" s="6" t="s">
        <v>16982</v>
      </c>
      <c r="C13494" s="5" t="str">
        <f>IFERROR(__xludf.DUMMYFUNCTION("GOOGLETRANSLATE(B13494,""en"",""fr"")"),"Une personne est vue au milieu d'un grand gymnase sautant avec un autre homme au milieu levant les bras.")</f>
        <v>Une personne est vue au milieu d'un grand gymnase sautant avec un autre homme au milieu levant les bras.</v>
      </c>
    </row>
    <row r="13495">
      <c r="A13495" s="4" t="s">
        <v>16981</v>
      </c>
      <c r="B13495" s="4" t="s">
        <v>16983</v>
      </c>
      <c r="C13495" s="5" t="str">
        <f>IFERROR(__xludf.DUMMYFUNCTION("GOOGLETRANSLATE(B13495,""en"",""fr"")"),"La personne en limons saute ensuite par-dessus la personne avec les bras ainsi qu'une autre.")</f>
        <v>La personne en limons saute ensuite par-dessus la personne avec les bras ainsi qu'une autre.</v>
      </c>
    </row>
    <row r="13496">
      <c r="A13496" s="4" t="s">
        <v>16984</v>
      </c>
      <c r="B13496" s="6" t="s">
        <v>16985</v>
      </c>
      <c r="C13496" s="5" t="str">
        <f>IFERROR(__xludf.DUMMYFUNCTION("GOOGLETRANSLATE(B13496,""en"",""fr"")"),"Deux hommes sont vus debout derrière une table en parlant à la caméra, puis maintenez divers objets à la caméra.")</f>
        <v>Deux hommes sont vus debout derrière une table en parlant à la caméra, puis maintenez divers objets à la caméra.</v>
      </c>
    </row>
    <row r="13497">
      <c r="A13497" s="4" t="s">
        <v>16984</v>
      </c>
      <c r="B13497" s="4" t="s">
        <v>16986</v>
      </c>
      <c r="C13497" s="5" t="str">
        <f>IFERROR(__xludf.DUMMYFUNCTION("GOOGLETRANSLATE(B13497,""en"",""fr"")"),"Ils utilisent des outils sur une boîte d'étain et sont ensuite vus assis à l'extérieur en tenant plus d'outils.")</f>
        <v>Ils utilisent des outils sur une boîte d'étain et sont ensuite vus assis à l'extérieur en tenant plus d'outils.</v>
      </c>
    </row>
    <row r="13498">
      <c r="A13498" s="4" t="s">
        <v>16987</v>
      </c>
      <c r="B13498" s="4" t="s">
        <v>16988</v>
      </c>
      <c r="C13498" s="5" t="str">
        <f>IFERROR(__xludf.DUMMYFUNCTION("GOOGLETRANSLATE(B13498,""en"",""fr"")"),"Un groupe marche dans une rue jouant de la batterie.")</f>
        <v>Un groupe marche dans une rue jouant de la batterie.</v>
      </c>
    </row>
    <row r="13499">
      <c r="A13499" s="4" t="s">
        <v>16987</v>
      </c>
      <c r="B13499" s="4" t="s">
        <v>16989</v>
      </c>
      <c r="C13499" s="5" t="str">
        <f>IFERROR(__xludf.DUMMYFUNCTION("GOOGLETRANSLATE(B13499,""en"",""fr"")"),"Une femme dans un chapeau noir se tient dans la rue en les regardant.")</f>
        <v>Une femme dans un chapeau noir se tient dans la rue en les regardant.</v>
      </c>
    </row>
    <row r="13500">
      <c r="A13500" s="4" t="s">
        <v>16987</v>
      </c>
      <c r="B13500" s="4" t="s">
        <v>16990</v>
      </c>
      <c r="C13500" s="5" t="str">
        <f>IFERROR(__xludf.DUMMYFUNCTION("GOOGLETRANSLATE(B13500,""en"",""fr"")"),"Les gens se lèvent à regarder le groupe.")</f>
        <v>Les gens se lèvent à regarder le groupe.</v>
      </c>
    </row>
    <row r="13501">
      <c r="A13501" s="4" t="s">
        <v>16991</v>
      </c>
      <c r="B13501" s="4" t="s">
        <v>16992</v>
      </c>
      <c r="C13501" s="5" t="str">
        <f>IFERROR(__xludf.DUMMYFUNCTION("GOOGLETRANSLATE(B13501,""en"",""fr"")"),"Un homme est représenté autour d'un champ avec un chien tenant un frisbee dans les cheveux.")</f>
        <v>Un homme est représenté autour d'un champ avec un chien tenant un frisbee dans les cheveux.</v>
      </c>
    </row>
    <row r="13502">
      <c r="A13502" s="4" t="s">
        <v>16991</v>
      </c>
      <c r="B13502" s="6" t="s">
        <v>16993</v>
      </c>
      <c r="C13502" s="5" t="str">
        <f>IFERROR(__xludf.DUMMYFUNCTION("GOOGLETRANSLATE(B13502,""en"",""fr"")"),"L'homme se déplace dans le frisbee avec le chien et effectue plusieurs astuces au ralenti avec le chien.")</f>
        <v>L'homme se déplace dans le frisbee avec le chien et effectue plusieurs astuces au ralenti avec le chien.</v>
      </c>
    </row>
    <row r="13503">
      <c r="A13503" s="4" t="s">
        <v>16991</v>
      </c>
      <c r="B13503" s="6" t="s">
        <v>16994</v>
      </c>
      <c r="C13503" s="5" t="str">
        <f>IFERROR(__xludf.DUMMYFUNCTION("GOOGLETRANSLATE(B13503,""en"",""fr"")"),"Il est montré dans plusieurs autres endroits sous différents angles de caméra effectuant de plus en plus de trucs avec le chien.")</f>
        <v>Il est montré dans plusieurs autres endroits sous différents angles de caméra effectuant de plus en plus de trucs avec le chien.</v>
      </c>
    </row>
    <row r="13504">
      <c r="A13504" s="4" t="s">
        <v>16995</v>
      </c>
      <c r="B13504" s="4" t="s">
        <v>16996</v>
      </c>
      <c r="C13504" s="5" t="str">
        <f>IFERROR(__xludf.DUMMYFUNCTION("GOOGLETRANSLATE(B13504,""en"",""fr"")"),"Un homme est vu s'agenouiller jusqu'à un pneu et le place puis le place sur une machine.")</f>
        <v>Un homme est vu s'agenouiller jusqu'à un pneu et le place puis le place sur une machine.</v>
      </c>
    </row>
    <row r="13505">
      <c r="A13505" s="4" t="s">
        <v>16995</v>
      </c>
      <c r="B13505" s="6" t="s">
        <v>16997</v>
      </c>
      <c r="C13505" s="5" t="str">
        <f>IFERROR(__xludf.DUMMYFUNCTION("GOOGLETRANSLATE(B13505,""en"",""fr"")"),"Il continue d'utiliser la machine pour retirer le caoutchouc du pneu et se termine en le remettant.")</f>
        <v>Il continue d'utiliser la machine pour retirer le caoutchouc du pneu et se termine en le remettant.</v>
      </c>
    </row>
    <row r="13506">
      <c r="A13506" s="4" t="s">
        <v>16998</v>
      </c>
      <c r="B13506" s="6" t="s">
        <v>16999</v>
      </c>
      <c r="C13506" s="5" t="str">
        <f>IFERROR(__xludf.DUMMYFUNCTION("GOOGLETRANSLATE(B13506,""en"",""fr"")"),"Un cheval est vu au loin suivi d'un homme parlant à la caméra devant un grand groupe de chevaux.")</f>
        <v>Un cheval est vu au loin suivi d'un homme parlant à la caméra devant un grand groupe de chevaux.</v>
      </c>
    </row>
    <row r="13507">
      <c r="A13507" s="4" t="s">
        <v>16998</v>
      </c>
      <c r="B13507" s="6" t="s">
        <v>17000</v>
      </c>
      <c r="C13507" s="5" t="str">
        <f>IFERROR(__xludf.DUMMYFUNCTION("GOOGLETRANSLATE(B13507,""en"",""fr"")"),"Diverses personnes sont ensuite vues rouler sur des chevaux à travers différents paysages et être dirigés par des gens.")</f>
        <v>Diverses personnes sont ensuite vues rouler sur des chevaux à travers différents paysages et être dirigés par des gens.</v>
      </c>
    </row>
    <row r="13508">
      <c r="A13508" s="4" t="s">
        <v>16998</v>
      </c>
      <c r="B13508" s="4" t="s">
        <v>17001</v>
      </c>
      <c r="C13508" s="5" t="str">
        <f>IFERROR(__xludf.DUMMYFUNCTION("GOOGLETRANSLATE(B13508,""en"",""fr"")"),"Les hommes continuent de conduire les gens sur les chevaux à travers un grand plan d'eau.")</f>
        <v>Les hommes continuent de conduire les gens sur les chevaux à travers un grand plan d'eau.</v>
      </c>
    </row>
    <row r="13509">
      <c r="A13509" s="4" t="s">
        <v>17002</v>
      </c>
      <c r="B13509" s="4" t="s">
        <v>17003</v>
      </c>
      <c r="C13509" s="5" t="str">
        <f>IFERROR(__xludf.DUMMYFUNCTION("GOOGLETRANSLATE(B13509,""en"",""fr"")"),"Un chef travaille dans une cuisine.")</f>
        <v>Un chef travaille dans une cuisine.</v>
      </c>
    </row>
    <row r="13510">
      <c r="A13510" s="4" t="s">
        <v>17002</v>
      </c>
      <c r="B13510" s="4" t="s">
        <v>17004</v>
      </c>
      <c r="C13510" s="5" t="str">
        <f>IFERROR(__xludf.DUMMYFUNCTION("GOOGLETRANSLATE(B13510,""en"",""fr"")"),"Il appuie sur les boutons sur un écran numérique.")</f>
        <v>Il appuie sur les boutons sur un écran numérique.</v>
      </c>
    </row>
    <row r="13511">
      <c r="A13511" s="4" t="s">
        <v>17002</v>
      </c>
      <c r="B13511" s="4" t="s">
        <v>17005</v>
      </c>
      <c r="C13511" s="5" t="str">
        <f>IFERROR(__xludf.DUMMYFUNCTION("GOOGLETRANSLATE(B13511,""en"",""fr"")"),"Il prépare un grand plat de pâtes, qu'il cuisine dans la machine.")</f>
        <v>Il prépare un grand plat de pâtes, qu'il cuisine dans la machine.</v>
      </c>
    </row>
    <row r="13512">
      <c r="A13512" s="4" t="s">
        <v>17006</v>
      </c>
      <c r="B13512" s="6" t="s">
        <v>17007</v>
      </c>
      <c r="C13512" s="5" t="str">
        <f>IFERROR(__xludf.DUMMYFUNCTION("GOOGLETRANSLATE(B13512,""en"",""fr"")"),"Un homme est montré en parlant à une caméra suivie par lui et une autre femme debout près d'un filet de volley-ball.")</f>
        <v>Un homme est montré en parlant à une caméra suivie par lui et une autre femme debout près d'un filet de volley-ball.</v>
      </c>
    </row>
    <row r="13513">
      <c r="A13513" s="4" t="s">
        <v>17006</v>
      </c>
      <c r="B13513" s="4" t="s">
        <v>17008</v>
      </c>
      <c r="C13513" s="5" t="str">
        <f>IFERROR(__xludf.DUMMYFUNCTION("GOOGLETRANSLATE(B13513,""en"",""fr"")"),"L'homme lance le ballon à la fille qui le rebondit.")</f>
        <v>L'homme lance le ballon à la fille qui le rebondit.</v>
      </c>
    </row>
    <row r="13514">
      <c r="A13514" s="4" t="s">
        <v>17006</v>
      </c>
      <c r="B13514" s="4" t="s">
        <v>17009</v>
      </c>
      <c r="C13514" s="5" t="str">
        <f>IFERROR(__xludf.DUMMYFUNCTION("GOOGLETRANSLATE(B13514,""en"",""fr"")"),"Il continue de parler et de démontrer divers mouvements de volleyball pour faire de manière appropriée.")</f>
        <v>Il continue de parler et de démontrer divers mouvements de volleyball pour faire de manière appropriée.</v>
      </c>
    </row>
    <row r="13515">
      <c r="A13515" s="4" t="s">
        <v>17010</v>
      </c>
      <c r="B13515" s="4" t="s">
        <v>17011</v>
      </c>
      <c r="C13515" s="5" t="str">
        <f>IFERROR(__xludf.DUMMYFUNCTION("GOOGLETRANSLATE(B13515,""en"",""fr"")"),"Un grand groupe de personnes est assis autour d'une table et passe à des personnes assises sur un lifting de ski.")</f>
        <v>Un grand groupe de personnes est assis autour d'une table et passe à des personnes assises sur un lifting de ski.</v>
      </c>
    </row>
    <row r="13516">
      <c r="A13516" s="4" t="s">
        <v>17010</v>
      </c>
      <c r="B13516" s="6" t="s">
        <v>17012</v>
      </c>
      <c r="C13516" s="5" t="str">
        <f>IFERROR(__xludf.DUMMYFUNCTION("GOOGLETRANSLATE(B13516,""en"",""fr"")"),"Ils commencent à tourner à tour de rôle sur la montagne enneigée et plusieurs coups sont montrés d'eux en montant l'ascenseur et en bas de la montagne.")</f>
        <v>Ils commencent à tourner à tour de rôle sur la montagne enneigée et plusieurs coups sont montrés d'eux en montant l'ascenseur et en bas de la montagne.</v>
      </c>
    </row>
    <row r="13517">
      <c r="A13517" s="4" t="s">
        <v>17013</v>
      </c>
      <c r="B13517" s="4" t="s">
        <v>17014</v>
      </c>
      <c r="C13517" s="5" t="str">
        <f>IFERROR(__xludf.DUMMYFUNCTION("GOOGLETRANSLATE(B13517,""en"",""fr"")"),"Une personne prend un morceau de fruit.")</f>
        <v>Une personne prend un morceau de fruit.</v>
      </c>
    </row>
    <row r="13518">
      <c r="A13518" s="4" t="s">
        <v>17013</v>
      </c>
      <c r="B13518" s="4" t="s">
        <v>17015</v>
      </c>
      <c r="C13518" s="5" t="str">
        <f>IFERROR(__xludf.DUMMYFUNCTION("GOOGLETRANSLATE(B13518,""en"",""fr"")"),"Un pinceau est illustré à l'écran.")</f>
        <v>Un pinceau est illustré à l'écran.</v>
      </c>
    </row>
    <row r="13519">
      <c r="A13519" s="4" t="s">
        <v>17013</v>
      </c>
      <c r="B13519" s="4" t="s">
        <v>17016</v>
      </c>
      <c r="C13519" s="5" t="str">
        <f>IFERROR(__xludf.DUMMYFUNCTION("GOOGLETRANSLATE(B13519,""en"",""fr"")"),"Un homme rasait sa barbe.")</f>
        <v>Un homme rasait sa barbe.</v>
      </c>
    </row>
    <row r="13520">
      <c r="A13520" s="4" t="s">
        <v>17017</v>
      </c>
      <c r="B13520" s="4" t="s">
        <v>17018</v>
      </c>
      <c r="C13520" s="5" t="str">
        <f>IFERROR(__xludf.DUMMYFUNCTION("GOOGLETRANSLATE(B13520,""en"",""fr"")"),"On voit une personne sur un monocycle au milieu d'une forêt tout en tenant un instrument.")</f>
        <v>On voit une personne sur un monocycle au milieu d'une forêt tout en tenant un instrument.</v>
      </c>
    </row>
    <row r="13521">
      <c r="A13521" s="4" t="s">
        <v>17017</v>
      </c>
      <c r="B13521" s="4" t="s">
        <v>17019</v>
      </c>
      <c r="C13521" s="5" t="str">
        <f>IFERROR(__xludf.DUMMYFUNCTION("GOOGLETRANSLATE(B13521,""en"",""fr"")"),"L'homme continue de rouler sur le chemin alors que la caméra suit ses mouvements.")</f>
        <v>L'homme continue de rouler sur le chemin alors que la caméra suit ses mouvements.</v>
      </c>
    </row>
    <row r="13522">
      <c r="A13522" s="4" t="s">
        <v>17020</v>
      </c>
      <c r="B13522" s="6" t="s">
        <v>17021</v>
      </c>
      <c r="C13522" s="5" t="str">
        <f>IFERROR(__xludf.DUMMYFUNCTION("GOOGLETRANSLATE(B13522,""en"",""fr"")"),"Un écran noir apparaît avec un logo rouge et blanc en haut à gauche, les mots noirs et blancs devenant diagonaux sur le milieu supérieur qui lisent ""Sokol Dobris"" et le bas a des mots violets et blancs qui lisent ""Saute de corde"".")</f>
        <v>Un écran noir apparaît avec un logo rouge et blanc en haut à gauche, les mots noirs et blancs devenant diagonaux sur le milieu supérieur qui lisent "Sokol Dobris" et le bas a des mots violets et blancs qui lisent "Saute de corde".</v>
      </c>
    </row>
    <row r="13523">
      <c r="A13523" s="4" t="s">
        <v>17020</v>
      </c>
      <c r="B13523" s="6" t="s">
        <v>17022</v>
      </c>
      <c r="C13523" s="5" t="str">
        <f>IFERROR(__xludf.DUMMYFUNCTION("GOOGLETRANSLATE(B13523,""en"",""fr"")"),"Suivant montré est une photo immobile de chemise noire avec le logo en haut à gauche de la poitrine et le mot ""Dobris"" en dessous et une corde de saut rouge et blanche est au-dessus.")</f>
        <v>Suivant montré est une photo immobile de chemise noire avec le logo en haut à gauche de la poitrine et le mot "Dobris" en dessous et une corde de saut rouge et blanche est au-dessus.</v>
      </c>
    </row>
    <row r="13524">
      <c r="A13524" s="4" t="s">
        <v>17020</v>
      </c>
      <c r="B13524" s="6" t="s">
        <v>17023</v>
      </c>
      <c r="C13524" s="5" t="str">
        <f>IFERROR(__xludf.DUMMYFUNCTION("GOOGLETRANSLATE(B13524,""en"",""fr"")"),"Il y a 4 personnes différentes debout sur un terrain d'intérieur, et 3 tiennent les extrémités de 2 cordes de saut différentes et 1 personne sautait par corde.")</f>
        <v>Il y a 4 personnes différentes debout sur un terrain d'intérieur, et 3 tiennent les extrémités de 2 cordes de saut différentes et 1 personne sautait par corde.</v>
      </c>
    </row>
    <row r="13525">
      <c r="A13525" s="4" t="s">
        <v>17020</v>
      </c>
      <c r="B13525" s="6" t="s">
        <v>17024</v>
      </c>
      <c r="C13525" s="5" t="str">
        <f>IFERROR(__xludf.DUMMYFUNCTION("GOOGLETRANSLATE(B13525,""en"",""fr"")"),"Divers clips de personnes de la corde sautant le jeu et parfois il n'y a qu'une personne qui sautait seule, mais la plupart du temps, il y a entre 2 et 4 et souvent, ils alternent entre sauter et tenir la corde.")</f>
        <v>Divers clips de personnes de la corde sautant le jeu et parfois il n'y a qu'une personne qui sautait seule, mais la plupart du temps, il y a entre 2 et 4 et souvent, ils alternent entre sauter et tenir la corde.</v>
      </c>
    </row>
    <row r="13526">
      <c r="A13526" s="4" t="s">
        <v>17020</v>
      </c>
      <c r="B13526" s="6" t="s">
        <v>17025</v>
      </c>
      <c r="C13526" s="5" t="str">
        <f>IFERROR(__xludf.DUMMYFUNCTION("GOOGLETRANSLATE(B13526,""en"",""fr"")"),"Les clips de vidéos se terminent et diverses images encore tirées impliquant un saut de corde sont affichées sur l'écran et un écran noir apparaît lorsque les images sont terminées et que les lettres violettes et blanches apparaissent sur l'écran qui dise"&amp;"nt ""saut de corde"".")</f>
        <v>Les clips de vidéos se terminent et diverses images encore tirées impliquant un saut de corde sont affichées sur l'écran et un écran noir apparaît lorsque les images sont terminées et que les lettres violettes et blanches apparaissent sur l'écran qui disent "saut de corde".</v>
      </c>
    </row>
    <row r="13527">
      <c r="A13527" s="4" t="s">
        <v>17026</v>
      </c>
      <c r="B13527" s="4" t="s">
        <v>17027</v>
      </c>
      <c r="C13527" s="5" t="str">
        <f>IFERROR(__xludf.DUMMYFUNCTION("GOOGLETRANSLATE(B13527,""en"",""fr"")"),"Un homme avec un arc et une flèche pratique son objectif et sa forme.")</f>
        <v>Un homme avec un arc et une flèche pratique son objectif et sa forme.</v>
      </c>
    </row>
    <row r="13528">
      <c r="A13528" s="4" t="s">
        <v>17026</v>
      </c>
      <c r="B13528" s="4" t="s">
        <v>17028</v>
      </c>
      <c r="C13528" s="5" t="str">
        <f>IFERROR(__xludf.DUMMYFUNCTION("GOOGLETRANSLATE(B13528,""en"",""fr"")"),"Il tire une flèche et en attrape un autre derrière HM et se prépare à tirer à nouveau.")</f>
        <v>Il tire une flèche et en attrape un autre derrière HM et se prépare à tirer à nouveau.</v>
      </c>
    </row>
    <row r="13529">
      <c r="A13529" s="4" t="s">
        <v>17026</v>
      </c>
      <c r="B13529" s="4" t="s">
        <v>17029</v>
      </c>
      <c r="C13529" s="5" t="str">
        <f>IFERROR(__xludf.DUMMYFUNCTION("GOOGLETRANSLATE(B13529,""en"",""fr"")"),"Il tire la ficelle sur l'arc et le libère avec la flèche.")</f>
        <v>Il tire la ficelle sur l'arc et le libère avec la flèche.</v>
      </c>
    </row>
    <row r="13530">
      <c r="A13530" s="4" t="s">
        <v>17026</v>
      </c>
      <c r="B13530" s="4" t="s">
        <v>17030</v>
      </c>
      <c r="C13530" s="5" t="str">
        <f>IFERROR(__xludf.DUMMYFUNCTION("GOOGLETRANSLATE(B13530,""en"",""fr"")"),"Il continue cette routine encore et encore, pratiquant pour la perfection.")</f>
        <v>Il continue cette routine encore et encore, pratiquant pour la perfection.</v>
      </c>
    </row>
    <row r="13531">
      <c r="A13531" s="4" t="s">
        <v>17031</v>
      </c>
      <c r="B13531" s="4" t="s">
        <v>17032</v>
      </c>
      <c r="C13531" s="5" t="str">
        <f>IFERROR(__xludf.DUMMYFUNCTION("GOOGLETRANSLATE(B13531,""en"",""fr"")"),"Une jeune fille portant un pull gris avec de longs cheveux de couleur rouge se brosse les cheveux.")</f>
        <v>Une jeune fille portant un pull gris avec de longs cheveux de couleur rouge se brosse les cheveux.</v>
      </c>
    </row>
    <row r="13532">
      <c r="A13532" s="4" t="s">
        <v>17031</v>
      </c>
      <c r="B13532" s="6" t="s">
        <v>17033</v>
      </c>
      <c r="C13532" s="5" t="str">
        <f>IFERROR(__xludf.DUMMYFUNCTION("GOOGLETRANSLATE(B13532,""en"",""fr"")"),"Elle utilise une brosse à palette en argent pour enlever les nœuds de ses cheveux et la démombrer pendant qu'elle la brosse.")</f>
        <v>Elle utilise une brosse à palette en argent pour enlever les nœuds de ses cheveux et la démombrer pendant qu'elle la brosse.</v>
      </c>
    </row>
    <row r="13533">
      <c r="A13533" s="4" t="s">
        <v>17031</v>
      </c>
      <c r="B13533" s="4" t="s">
        <v>17034</v>
      </c>
      <c r="C13533" s="5" t="str">
        <f>IFERROR(__xludf.DUMMYFUNCTION("GOOGLETRANSLATE(B13533,""en"",""fr"")"),"Elle commence soudainement à crier alors qu'elle se brosse les cheveux.")</f>
        <v>Elle commence soudainement à crier alors qu'elle se brosse les cheveux.</v>
      </c>
    </row>
    <row r="13534">
      <c r="A13534" s="4" t="s">
        <v>17035</v>
      </c>
      <c r="B13534" s="4" t="s">
        <v>17036</v>
      </c>
      <c r="C13534" s="5" t="str">
        <f>IFERROR(__xludf.DUMMYFUNCTION("GOOGLETRANSLATE(B13534,""en"",""fr"")"),"On voit un jeune enfant qui ait un cornet de crème glacée et parle à la caméra en souriant.")</f>
        <v>On voit un jeune enfant qui ait un cornet de crème glacée et parle à la caméra en souriant.</v>
      </c>
    </row>
    <row r="13535">
      <c r="A13535" s="4" t="s">
        <v>17035</v>
      </c>
      <c r="B13535" s="4" t="s">
        <v>17037</v>
      </c>
      <c r="C13535" s="5" t="str">
        <f>IFERROR(__xludf.DUMMYFUNCTION("GOOGLETRANSLATE(B13535,""en"",""fr"")"),"Elle parle à l'homme de la caméra tenant une poupée dans l'autre main, puis s'assoit sur le sol.")</f>
        <v>Elle parle à l'homme de la caméra tenant une poupée dans l'autre main, puis s'assoit sur le sol.</v>
      </c>
    </row>
    <row r="13536">
      <c r="A13536" s="4" t="s">
        <v>17038</v>
      </c>
      <c r="B13536" s="4" t="s">
        <v>17039</v>
      </c>
      <c r="C13536" s="5" t="str">
        <f>IFERROR(__xludf.DUMMYFUNCTION("GOOGLETRANSLATE(B13536,""en"",""fr"")"),"Une femme et un homme se tiennent à l'extérieur en faisant des techniques intéressantes les unes avec les autres.")</f>
        <v>Une femme et un homme se tiennent à l'extérieur en faisant des techniques intéressantes les unes avec les autres.</v>
      </c>
    </row>
    <row r="13537">
      <c r="A13537" s="4" t="s">
        <v>17038</v>
      </c>
      <c r="B13537" s="4" t="s">
        <v>17040</v>
      </c>
      <c r="C13537" s="5" t="str">
        <f>IFERROR(__xludf.DUMMYFUNCTION("GOOGLETRANSLATE(B13537,""en"",""fr"")"),"Ils semblent bien fonctionner les uns avec les autres se déplaçant en synchronisation ou moins de ne jamais frapper l'autre.")</f>
        <v>Ils semblent bien fonctionner les uns avec les autres se déplaçant en synchronisation ou moins de ne jamais frapper l'autre.</v>
      </c>
    </row>
    <row r="13538">
      <c r="A13538" s="4" t="s">
        <v>17038</v>
      </c>
      <c r="B13538" s="4" t="s">
        <v>17041</v>
      </c>
      <c r="C13538" s="5" t="str">
        <f>IFERROR(__xludf.DUMMYFUNCTION("GOOGLETRANSLATE(B13538,""en"",""fr"")"),"Ils font un type de karaté ou quelque chose comme ça.")</f>
        <v>Ils font un type de karaté ou quelque chose comme ça.</v>
      </c>
    </row>
    <row r="13539">
      <c r="A13539" s="4" t="s">
        <v>17038</v>
      </c>
      <c r="B13539" s="4" t="s">
        <v>17042</v>
      </c>
      <c r="C13539" s="5" t="str">
        <f>IFERROR(__xludf.DUMMYFUNCTION("GOOGLETRANSLATE(B13539,""en"",""fr"")"),"Celui saisit intensément l'homme et le serre dans ses bras, il semblait qu'ils voulaient embrasser mais ils ne l'ont pas fait.")</f>
        <v>Celui saisit intensément l'homme et le serre dans ses bras, il semblait qu'ils voulaient embrasser mais ils ne l'ont pas fait.</v>
      </c>
    </row>
    <row r="13540">
      <c r="A13540" s="4" t="s">
        <v>17043</v>
      </c>
      <c r="B13540" s="4" t="s">
        <v>17044</v>
      </c>
      <c r="C13540" s="5" t="str">
        <f>IFERROR(__xludf.DUMMYFUNCTION("GOOGLETRANSLATE(B13540,""en"",""fr"")"),"Un groupe de personnes âgées est assise sur des chaises à l'extérieur.")</f>
        <v>Un groupe de personnes âgées est assise sur des chaises à l'extérieur.</v>
      </c>
    </row>
    <row r="13541">
      <c r="A13541" s="4" t="s">
        <v>17043</v>
      </c>
      <c r="B13541" s="4" t="s">
        <v>17045</v>
      </c>
      <c r="C13541" s="5" t="str">
        <f>IFERROR(__xludf.DUMMYFUNCTION("GOOGLETRANSLATE(B13541,""en"",""fr"")"),"Un homme joue un morceau en utilisant un bâton et une scie.")</f>
        <v>Un homme joue un morceau en utilisant un bâton et une scie.</v>
      </c>
    </row>
    <row r="13542">
      <c r="A13542" s="4" t="s">
        <v>17043</v>
      </c>
      <c r="B13542" s="4" t="s">
        <v>17046</v>
      </c>
      <c r="C13542" s="5" t="str">
        <f>IFERROR(__xludf.DUMMYFUNCTION("GOOGLETRANSLATE(B13542,""en"",""fr"")"),"Les hommes à côté de lui tiennent des instruments, attendant leur tour.")</f>
        <v>Les hommes à côté de lui tiennent des instruments, attendant leur tour.</v>
      </c>
    </row>
    <row r="13543">
      <c r="A13543" s="4" t="s">
        <v>17047</v>
      </c>
      <c r="B13543" s="4" t="s">
        <v>17048</v>
      </c>
      <c r="C13543" s="5" t="str">
        <f>IFERROR(__xludf.DUMMYFUNCTION("GOOGLETRANSLATE(B13543,""en"",""fr"")"),"Un terrain de jeu est illustré et une cour arrière alors que la caméra passe à une fenêtre sur un toit.")</f>
        <v>Un terrain de jeu est illustré et une cour arrière alors que la caméra passe à une fenêtre sur un toit.</v>
      </c>
    </row>
    <row r="13544">
      <c r="A13544" s="4" t="s">
        <v>17047</v>
      </c>
      <c r="B13544" s="6" t="s">
        <v>17049</v>
      </c>
      <c r="C13544" s="5" t="str">
        <f>IFERROR(__xludf.DUMMYFUNCTION("GOOGLETRANSLATE(B13544,""en"",""fr"")"),"La vidéo montre diverses images sur la façon de réparer un toit et l'homme passe à nouveau sur la fenêtre avec du matériel.")</f>
        <v>La vidéo montre diverses images sur la façon de réparer un toit et l'homme passe à nouveau sur la fenêtre avec du matériel.</v>
      </c>
    </row>
    <row r="13545">
      <c r="A13545" s="4" t="s">
        <v>17047</v>
      </c>
      <c r="B13545" s="6" t="s">
        <v>17050</v>
      </c>
      <c r="C13545" s="5" t="str">
        <f>IFERROR(__xludf.DUMMYFUNCTION("GOOGLETRANSLATE(B13545,""en"",""fr"")"),"Il place divers objets autour de la fenêtre et montre plus de photos du toit avec le produit fini.")</f>
        <v>Il place divers objets autour de la fenêtre et montre plus de photos du toit avec le produit fini.</v>
      </c>
    </row>
    <row r="13546">
      <c r="A13546" s="4" t="s">
        <v>17051</v>
      </c>
      <c r="B13546" s="4" t="s">
        <v>17052</v>
      </c>
      <c r="C13546" s="5" t="str">
        <f>IFERROR(__xludf.DUMMYFUNCTION("GOOGLETRANSLATE(B13546,""en"",""fr"")"),"Un cavalier de rodéo sort de la porte sur un taureau et est jeté.")</f>
        <v>Un cavalier de rodéo sort de la porte sur un taureau et est jeté.</v>
      </c>
    </row>
    <row r="13547">
      <c r="A13547" s="4" t="s">
        <v>17051</v>
      </c>
      <c r="B13547" s="4" t="s">
        <v>17053</v>
      </c>
      <c r="C13547" s="5" t="str">
        <f>IFERROR(__xludf.DUMMYFUNCTION("GOOGLETRANSLATE(B13547,""en"",""fr"")"),"Les clowns de rodéo distraient le taureau lorsque le cavalier se rend en sécurité.")</f>
        <v>Les clowns de rodéo distraient le taureau lorsque le cavalier se rend en sécurité.</v>
      </c>
    </row>
    <row r="13548">
      <c r="A13548" s="4" t="s">
        <v>17051</v>
      </c>
      <c r="B13548" s="4" t="s">
        <v>17054</v>
      </c>
      <c r="C13548" s="5" t="str">
        <f>IFERROR(__xludf.DUMMYFUNCTION("GOOGLETRANSLATE(B13548,""en"",""fr"")"),"Un clown est blessé et va pour le traitement d'une jolie dame.")</f>
        <v>Un clown est blessé et va pour le traitement d'une jolie dame.</v>
      </c>
    </row>
    <row r="13549">
      <c r="A13549" s="4" t="s">
        <v>17051</v>
      </c>
      <c r="B13549" s="4" t="s">
        <v>17055</v>
      </c>
      <c r="C13549" s="5" t="str">
        <f>IFERROR(__xludf.DUMMYFUNCTION("GOOGLETRANSLATE(B13549,""en"",""fr"")"),"Un groupe d'hommes sur des chevaux parlent et pendant qu'ils s'éloignent, le clown redémarre son travail sur le ring.")</f>
        <v>Un groupe d'hommes sur des chevaux parlent et pendant qu'ils s'éloignent, le clown redémarre son travail sur le ring.</v>
      </c>
    </row>
    <row r="13550">
      <c r="A13550" s="4" t="s">
        <v>17051</v>
      </c>
      <c r="B13550" s="4" t="s">
        <v>17056</v>
      </c>
      <c r="C13550" s="5" t="str">
        <f>IFERROR(__xludf.DUMMYFUNCTION("GOOGLETRANSLATE(B13550,""en"",""fr"")"),"Le clown se blesse à nouveau alors qu'il saute par-dessus une tête de taureaux et les autres clowns l'aident.")</f>
        <v>Le clown se blesse à nouveau alors qu'il saute par-dessus une tête de taureaux et les autres clowns l'aident.</v>
      </c>
    </row>
    <row r="13551">
      <c r="A13551" s="4" t="s">
        <v>17057</v>
      </c>
      <c r="B13551" s="6" t="s">
        <v>17058</v>
      </c>
      <c r="C13551" s="5" t="str">
        <f>IFERROR(__xludf.DUMMYFUNCTION("GOOGLETRANSLATE(B13551,""en"",""fr"")"),"On voit un grand groupe de personnes tenant une corde tandis que deux autres entrent dans le cadre et la caméra se rapproche des gens.")</f>
        <v>On voit un grand groupe de personnes tenant une corde tandis que deux autres entrent dans le cadre et la caméra se rapproche des gens.</v>
      </c>
    </row>
    <row r="13552">
      <c r="A13552" s="4" t="s">
        <v>17057</v>
      </c>
      <c r="B13552" s="6" t="s">
        <v>17059</v>
      </c>
      <c r="C13552" s="5" t="str">
        <f>IFERROR(__xludf.DUMMYFUNCTION("GOOGLETRANSLATE(B13552,""en"",""fr"")"),"La caméra continue de se dérouler autour des gens et mène à un match de tiraille et aux femmes célébrant.")</f>
        <v>La caméra continue de se dérouler autour des gens et mène à un match de tiraille et aux femmes célébrant.</v>
      </c>
    </row>
    <row r="13553">
      <c r="A13553" s="4" t="s">
        <v>17060</v>
      </c>
      <c r="B13553" s="4" t="s">
        <v>17061</v>
      </c>
      <c r="C13553" s="5" t="str">
        <f>IFERROR(__xludf.DUMMYFUNCTION("GOOGLETRANSLATE(B13553,""en"",""fr"")"),"Les gars se tiennent ou s'asseyent autour de leurs vélos de terre.")</f>
        <v>Les gars se tiennent ou s'asseyent autour de leurs vélos de terre.</v>
      </c>
    </row>
    <row r="13554">
      <c r="A13554" s="4" t="s">
        <v>17060</v>
      </c>
      <c r="B13554" s="4" t="s">
        <v>17062</v>
      </c>
      <c r="C13554" s="5" t="str">
        <f>IFERROR(__xludf.DUMMYFUNCTION("GOOGLETRANSLATE(B13554,""en"",""fr"")"),"Les gars roulent sur leurs vélos de terre.")</f>
        <v>Les gars roulent sur leurs vélos de terre.</v>
      </c>
    </row>
    <row r="13555">
      <c r="A13555" s="4" t="s">
        <v>17060</v>
      </c>
      <c r="B13555" s="4" t="s">
        <v>17063</v>
      </c>
      <c r="C13555" s="5" t="str">
        <f>IFERROR(__xludf.DUMMYFUNCTION("GOOGLETRANSLATE(B13555,""en"",""fr"")"),"Un gars enlève son gilet pare-haut du haut du corps assis sur son vélo de saleté.")</f>
        <v>Un gars enlève son gilet pare-haut du haut du corps assis sur son vélo de saleté.</v>
      </c>
    </row>
    <row r="13556">
      <c r="A13556" s="4" t="s">
        <v>17064</v>
      </c>
      <c r="B13556" s="4" t="s">
        <v>17065</v>
      </c>
      <c r="C13556" s="5" t="str">
        <f>IFERROR(__xludf.DUMMYFUNCTION("GOOGLETRANSLATE(B13556,""en"",""fr"")"),"Une longue ligne de motards est montrée dans l'obscurité lors d'un événement.")</f>
        <v>Une longue ligne de motards est montrée dans l'obscurité lors d'un événement.</v>
      </c>
    </row>
    <row r="13557">
      <c r="A13557" s="4" t="s">
        <v>17064</v>
      </c>
      <c r="B13557" s="4" t="s">
        <v>17066</v>
      </c>
      <c r="C13557" s="5" t="str">
        <f>IFERROR(__xludf.DUMMYFUNCTION("GOOGLETRANSLATE(B13557,""en"",""fr"")"),"Un homme parle sur scène aux gens alors qu'il se prépare pour l'événement principal.")</f>
        <v>Un homme parle sur scène aux gens alors qu'il se prépare pour l'événement principal.</v>
      </c>
    </row>
    <row r="13558">
      <c r="A13558" s="4" t="s">
        <v>17064</v>
      </c>
      <c r="B13558" s="6" t="s">
        <v>17067</v>
      </c>
      <c r="C13558" s="5" t="str">
        <f>IFERROR(__xludf.DUMMYFUNCTION("GOOGLETRANSLATE(B13558,""en"",""fr"")"),"Les gens courent et passent devant la foule acclamant, jusqu'à la fin de la ligne d'arrivée, où ils s'arrêtent pour parler et maintenir la corde qu'ils ont démoli.")</f>
        <v>Les gens courent et passent devant la foule acclamant, jusqu'à la fin de la ligne d'arrivée, où ils s'arrêtent pour parler et maintenir la corde qu'ils ont démoli.</v>
      </c>
    </row>
    <row r="13559">
      <c r="A13559" s="4" t="s">
        <v>17068</v>
      </c>
      <c r="B13559" s="6" t="s">
        <v>17069</v>
      </c>
      <c r="C13559" s="5" t="str">
        <f>IFERROR(__xludf.DUMMYFUNCTION("GOOGLETRANSLATE(B13559,""en"",""fr"")"),"Un propriétaire de chien emmène trois chiens à un service de nettoyage de chiens et à une entreprise où les chiens sont lavés et séchés.")</f>
        <v>Un propriétaire de chien emmène trois chiens à un service de nettoyage de chiens et à une entreprise où les chiens sont lavés et séchés.</v>
      </c>
    </row>
    <row r="13560">
      <c r="A13560" s="4" t="s">
        <v>17068</v>
      </c>
      <c r="B13560" s="4" t="s">
        <v>17070</v>
      </c>
      <c r="C13560" s="5" t="str">
        <f>IFERROR(__xludf.DUMMYFUNCTION("GOOGLETRANSLATE(B13560,""en"",""fr"")"),"Trois chiens sont montrés salir en se réveillant dans des flaques de boue et à travers la saleté et l'herbe.")</f>
        <v>Trois chiens sont montrés salir en se réveillant dans des flaques de boue et à travers la saleté et l'herbe.</v>
      </c>
    </row>
    <row r="13561">
      <c r="A13561" s="4" t="s">
        <v>17068</v>
      </c>
      <c r="B13561" s="6" t="s">
        <v>17071</v>
      </c>
      <c r="C13561" s="5" t="str">
        <f>IFERROR(__xludf.DUMMYFUNCTION("GOOGLETRANSLATE(B13561,""en"",""fr"")"),"Les chiens sont ensuite chargés dans un véhicule et emmenés dans une entreprise de lavage de chiens où ils sont placés dans des lavabos.")</f>
        <v>Les chiens sont ensuite chargés dans un véhicule et emmenés dans une entreprise de lavage de chiens où ils sont placés dans des lavabos.</v>
      </c>
    </row>
    <row r="13562">
      <c r="A13562" s="4" t="s">
        <v>17068</v>
      </c>
      <c r="B13562" s="6" t="s">
        <v>17072</v>
      </c>
      <c r="C13562" s="5" t="str">
        <f>IFERROR(__xludf.DUMMYFUNCTION("GOOGLETRANSLATE(B13562,""en"",""fr"")"),"Les trois chiens sont lavés et séchés par des personnes, après quoi les gens sont présentés en nettoyant la zone où les chiens ont été lavés.")</f>
        <v>Les trois chiens sont lavés et séchés par des personnes, après quoi les gens sont présentés en nettoyant la zone où les chiens ont été lavés.</v>
      </c>
    </row>
    <row r="13563">
      <c r="A13563" s="4" t="s">
        <v>17073</v>
      </c>
      <c r="B13563" s="4" t="s">
        <v>17074</v>
      </c>
      <c r="C13563" s="5" t="str">
        <f>IFERROR(__xludf.DUMMYFUNCTION("GOOGLETRANSLATE(B13563,""en"",""fr"")"),"Un homme commence à souder.")</f>
        <v>Un homme commence à souder.</v>
      </c>
    </row>
    <row r="13564">
      <c r="A13564" s="4" t="s">
        <v>17073</v>
      </c>
      <c r="B13564" s="4" t="s">
        <v>17075</v>
      </c>
      <c r="C13564" s="5" t="str">
        <f>IFERROR(__xludf.DUMMYFUNCTION("GOOGLETRANSLATE(B13564,""en"",""fr"")"),"Il commence à souder un morceau de métal sur un cadre.")</f>
        <v>Il commence à souder un morceau de métal sur un cadre.</v>
      </c>
    </row>
    <row r="13565">
      <c r="A13565" s="4" t="s">
        <v>17073</v>
      </c>
      <c r="B13565" s="4" t="s">
        <v>17076</v>
      </c>
      <c r="C13565" s="5" t="str">
        <f>IFERROR(__xludf.DUMMYFUNCTION("GOOGLETRANSLATE(B13565,""en"",""fr"")"),"Il termine sa soudure et recule.")</f>
        <v>Il termine sa soudure et recule.</v>
      </c>
    </row>
    <row r="13566">
      <c r="A13566" s="4" t="s">
        <v>17077</v>
      </c>
      <c r="B13566" s="4" t="s">
        <v>17078</v>
      </c>
      <c r="C13566" s="5" t="str">
        <f>IFERROR(__xludf.DUMMYFUNCTION("GOOGLETRANSLATE(B13566,""en"",""fr"")"),"Un homme déroule le tapis sur le sol.")</f>
        <v>Un homme déroule le tapis sur le sol.</v>
      </c>
    </row>
    <row r="13567">
      <c r="A13567" s="4" t="s">
        <v>17077</v>
      </c>
      <c r="B13567" s="4" t="s">
        <v>17079</v>
      </c>
      <c r="C13567" s="5" t="str">
        <f>IFERROR(__xludf.DUMMYFUNCTION("GOOGLETRANSLATE(B13567,""en"",""fr"")"),"Il est à genoux en coupant le tapis.")</f>
        <v>Il est à genoux en coupant le tapis.</v>
      </c>
    </row>
    <row r="13568">
      <c r="A13568" s="4" t="s">
        <v>17077</v>
      </c>
      <c r="B13568" s="4" t="s">
        <v>17080</v>
      </c>
      <c r="C13568" s="5" t="str">
        <f>IFERROR(__xludf.DUMMYFUNCTION("GOOGLETRANSLATE(B13568,""en"",""fr"")"),"Il met de la colle sur le sol.")</f>
        <v>Il met de la colle sur le sol.</v>
      </c>
    </row>
    <row r="13569">
      <c r="A13569" s="4" t="s">
        <v>17077</v>
      </c>
      <c r="B13569" s="4" t="s">
        <v>17081</v>
      </c>
      <c r="C13569" s="5" t="str">
        <f>IFERROR(__xludf.DUMMYFUNCTION("GOOGLETRANSLATE(B13569,""en"",""fr"")"),"Il pose ensuite le tapis par-dessus et le lisse.")</f>
        <v>Il pose ensuite le tapis par-dessus et le lisse.</v>
      </c>
    </row>
    <row r="13570">
      <c r="A13570" s="4" t="s">
        <v>17077</v>
      </c>
      <c r="B13570" s="4" t="s">
        <v>17082</v>
      </c>
      <c r="C13570" s="5" t="str">
        <f>IFERROR(__xludf.DUMMYFUNCTION("GOOGLETRANSLATE(B13570,""en"",""fr"")"),"Il aspire ensuite le tapis quand il a terminé.")</f>
        <v>Il aspire ensuite le tapis quand il a terminé.</v>
      </c>
    </row>
    <row r="13571">
      <c r="A13571" s="4" t="s">
        <v>17083</v>
      </c>
      <c r="B13571" s="4" t="s">
        <v>17084</v>
      </c>
      <c r="C13571" s="5" t="str">
        <f>IFERROR(__xludf.DUMMYFUNCTION("GOOGLETRANSLATE(B13571,""en"",""fr"")"),"Un petit garçon est assis sur le sol avec une tasse et une cuillère.")</f>
        <v>Un petit garçon est assis sur le sol avec une tasse et une cuillère.</v>
      </c>
    </row>
    <row r="13572">
      <c r="A13572" s="4" t="s">
        <v>17083</v>
      </c>
      <c r="B13572" s="4" t="s">
        <v>17085</v>
      </c>
      <c r="C13572" s="5" t="str">
        <f>IFERROR(__xludf.DUMMYFUNCTION("GOOGLETRANSLATE(B13572,""en"",""fr"")"),"Il mange une substance blanche alors que sa mère vient le vérifier.")</f>
        <v>Il mange une substance blanche alors que sa mère vient le vérifier.</v>
      </c>
    </row>
    <row r="13573">
      <c r="A13573" s="4" t="s">
        <v>17083</v>
      </c>
      <c r="B13573" s="4" t="s">
        <v>17086</v>
      </c>
      <c r="C13573" s="5" t="str">
        <f>IFERROR(__xludf.DUMMYFUNCTION("GOOGLETRANSLATE(B13573,""en"",""fr"")"),"Il continue de manger lentement en passant devant.")</f>
        <v>Il continue de manger lentement en passant devant.</v>
      </c>
    </row>
    <row r="13574">
      <c r="A13574" s="4" t="s">
        <v>17087</v>
      </c>
      <c r="B13574" s="4" t="s">
        <v>17088</v>
      </c>
      <c r="C13574" s="5" t="str">
        <f>IFERROR(__xludf.DUMMYFUNCTION("GOOGLETRANSLATE(B13574,""en"",""fr"")"),"Quelques femmes parlent alors qu'elles se tiennent dans une cour.")</f>
        <v>Quelques femmes parlent alors qu'elles se tiennent dans une cour.</v>
      </c>
    </row>
    <row r="13575">
      <c r="A13575" s="4" t="s">
        <v>17087</v>
      </c>
      <c r="B13575" s="4" t="s">
        <v>17089</v>
      </c>
      <c r="C13575" s="5" t="str">
        <f>IFERROR(__xludf.DUMMYFUNCTION("GOOGLETRANSLATE(B13575,""en"",""fr"")"),"Ils tiennent Moss Killer attaché aux tuyaux.")</f>
        <v>Ils tiennent Moss Killer attaché aux tuyaux.</v>
      </c>
    </row>
    <row r="13576">
      <c r="A13576" s="4" t="s">
        <v>17087</v>
      </c>
      <c r="B13576" s="4" t="s">
        <v>17090</v>
      </c>
      <c r="C13576" s="5" t="str">
        <f>IFERROR(__xludf.DUMMYFUNCTION("GOOGLETRANSLATE(B13576,""en"",""fr"")"),"Les femmes vaporisent le tueur de mousse sur le toit d'un hangar, tuant la croissance avec le liquide.")</f>
        <v>Les femmes vaporisent le tueur de mousse sur le toit d'un hangar, tuant la croissance avec le liquide.</v>
      </c>
    </row>
    <row r="13577">
      <c r="A13577" s="4" t="s">
        <v>17087</v>
      </c>
      <c r="B13577" s="4" t="s">
        <v>17091</v>
      </c>
      <c r="C13577" s="5" t="str">
        <f>IFERROR(__xludf.DUMMYFUNCTION("GOOGLETRANSLATE(B13577,""en"",""fr"")"),"Ils retiennent ensuite les bandes de mousse dans une boîte.")</f>
        <v>Ils retiennent ensuite les bandes de mousse dans une boîte.</v>
      </c>
    </row>
    <row r="13578">
      <c r="A13578" s="4" t="s">
        <v>17092</v>
      </c>
      <c r="B13578" s="4" t="s">
        <v>17093</v>
      </c>
      <c r="C13578" s="5" t="str">
        <f>IFERROR(__xludf.DUMMYFUNCTION("GOOGLETRANSLATE(B13578,""en"",""fr"")"),"Un homme est assis dans un kayak dans la rivière tout en parlant à la caméra de son voyage.")</f>
        <v>Un homme est assis dans un kayak dans la rivière tout en parlant à la caméra de son voyage.</v>
      </c>
    </row>
    <row r="13579">
      <c r="A13579" s="4" t="s">
        <v>17092</v>
      </c>
      <c r="B13579" s="4" t="s">
        <v>17094</v>
      </c>
      <c r="C13579" s="5" t="str">
        <f>IFERROR(__xludf.DUMMYFUNCTION("GOOGLETRANSLATE(B13579,""en"",""fr"")"),"Il se déplace lentement dans l'eau tout en donnant des instructions sur la façon de déplacer correctement le kayak.")</f>
        <v>Il se déplace lentement dans l'eau tout en donnant des instructions sur la façon de déplacer correctement le kayak.</v>
      </c>
    </row>
    <row r="13580">
      <c r="A13580" s="4" t="s">
        <v>17092</v>
      </c>
      <c r="B13580" s="4" t="s">
        <v>17095</v>
      </c>
      <c r="C13580" s="5" t="str">
        <f>IFERROR(__xludf.DUMMYFUNCTION("GOOGLETRANSLATE(B13580,""en"",""fr"")"),"Il commence à pagayer dans le flux et à montrer quoi faire si vous êtes coincé.")</f>
        <v>Il commence à pagayer dans le flux et à montrer quoi faire si vous êtes coincé.</v>
      </c>
    </row>
    <row r="13581">
      <c r="A13581" s="4" t="s">
        <v>17096</v>
      </c>
      <c r="B13581" s="4" t="s">
        <v>17097</v>
      </c>
      <c r="C13581" s="5" t="str">
        <f>IFERROR(__xludf.DUMMYFUNCTION("GOOGLETRANSLATE(B13581,""en"",""fr"")"),"L'homme parle à une caméra et tient un couteau et quelques magazines.")</f>
        <v>L'homme parle à une caméra et tient un couteau et quelques magazines.</v>
      </c>
    </row>
    <row r="13582">
      <c r="A13582" s="4" t="s">
        <v>17096</v>
      </c>
      <c r="B13582" s="4" t="s">
        <v>17098</v>
      </c>
      <c r="C13582" s="5" t="str">
        <f>IFERROR(__xludf.DUMMYFUNCTION("GOOGLETRANSLATE(B13582,""en"",""fr"")"),"L'homme tient le couteau et le petit morceau de son bras.")</f>
        <v>L'homme tient le couteau et le petit morceau de son bras.</v>
      </c>
    </row>
    <row r="13583">
      <c r="A13583" s="4" t="s">
        <v>17096</v>
      </c>
      <c r="B13583" s="4" t="s">
        <v>17099</v>
      </c>
      <c r="C13583" s="5" t="str">
        <f>IFERROR(__xludf.DUMMYFUNCTION("GOOGLETRANSLATE(B13583,""en"",""fr"")"),"L'homme attrape quelques rochers d'une tasse d'eau et tranche le couteau.")</f>
        <v>L'homme attrape quelques rochers d'une tasse d'eau et tranche le couteau.</v>
      </c>
    </row>
    <row r="13584">
      <c r="A13584" s="4" t="s">
        <v>17096</v>
      </c>
      <c r="B13584" s="4" t="s">
        <v>17100</v>
      </c>
      <c r="C13584" s="5" t="str">
        <f>IFERROR(__xludf.DUMMYFUNCTION("GOOGLETRANSLATE(B13584,""en"",""fr"")"),"L'homme utilise le couteau pour couper le magazine.")</f>
        <v>L'homme utilise le couteau pour couper le magazine.</v>
      </c>
    </row>
    <row r="13585">
      <c r="A13585" s="4" t="s">
        <v>17101</v>
      </c>
      <c r="B13585" s="4" t="s">
        <v>17102</v>
      </c>
      <c r="C13585" s="5" t="str">
        <f>IFERROR(__xludf.DUMMYFUNCTION("GOOGLETRANSLATE(B13585,""en"",""fr"")"),"Un homme est vu dans les eaux de l'océan.")</f>
        <v>Un homme est vu dans les eaux de l'océan.</v>
      </c>
    </row>
    <row r="13586">
      <c r="A13586" s="4" t="s">
        <v>17101</v>
      </c>
      <c r="B13586" s="4" t="s">
        <v>17103</v>
      </c>
      <c r="C13586" s="5" t="str">
        <f>IFERROR(__xludf.DUMMYFUNCTION("GOOGLETRANSLATE(B13586,""en"",""fr"")"),"Il monte une paire de skis nautiques.")</f>
        <v>Il monte une paire de skis nautiques.</v>
      </c>
    </row>
    <row r="13587">
      <c r="A13587" s="4" t="s">
        <v>17101</v>
      </c>
      <c r="B13587" s="4" t="s">
        <v>17104</v>
      </c>
      <c r="C13587" s="5" t="str">
        <f>IFERROR(__xludf.DUMMYFUNCTION("GOOGLETRANSLATE(B13587,""en"",""fr"")"),"Il est de la drogue par un bateau alors qu'il skie à travers les vagues.")</f>
        <v>Il est de la drogue par un bateau alors qu'il skie à travers les vagues.</v>
      </c>
    </row>
    <row r="13588">
      <c r="A13588" s="4" t="s">
        <v>17105</v>
      </c>
      <c r="B13588" s="4" t="s">
        <v>15882</v>
      </c>
      <c r="C13588" s="5" t="str">
        <f>IFERROR(__xludf.DUMMYFUNCTION("GOOGLETRANSLATE(B13588,""en"",""fr"")"),"Nous voyons les écrans du titre d'ouverture.")</f>
        <v>Nous voyons les écrans du titre d'ouverture.</v>
      </c>
    </row>
    <row r="13589">
      <c r="A13589" s="4" t="s">
        <v>17105</v>
      </c>
      <c r="B13589" s="4" t="s">
        <v>17106</v>
      </c>
      <c r="C13589" s="5" t="str">
        <f>IFERROR(__xludf.DUMMYFUNCTION("GOOGLETRANSLATE(B13589,""en"",""fr"")"),"Une personne se lave et coupe une citrouille.")</f>
        <v>Une personne se lave et coupe une citrouille.</v>
      </c>
    </row>
    <row r="13590">
      <c r="A13590" s="4" t="s">
        <v>17105</v>
      </c>
      <c r="B13590" s="4" t="s">
        <v>17107</v>
      </c>
      <c r="C13590" s="5" t="str">
        <f>IFERROR(__xludf.DUMMYFUNCTION("GOOGLETRANSLATE(B13590,""en"",""fr"")"),"La personne nettoie à l'intérieur et tire un visage sur la citrouille.")</f>
        <v>La personne nettoie à l'intérieur et tire un visage sur la citrouille.</v>
      </c>
    </row>
    <row r="13591">
      <c r="A13591" s="4" t="s">
        <v>17105</v>
      </c>
      <c r="B13591" s="4" t="s">
        <v>17108</v>
      </c>
      <c r="C13591" s="5" t="str">
        <f>IFERROR(__xludf.DUMMYFUNCTION("GOOGLETRANSLATE(B13591,""en"",""fr"")"),"Ils sculptent le visage pour faire un Jackolantern.")</f>
        <v>Ils sculptent le visage pour faire un Jackolantern.</v>
      </c>
    </row>
    <row r="13592">
      <c r="A13592" s="4" t="s">
        <v>17105</v>
      </c>
      <c r="B13592" s="4" t="s">
        <v>17109</v>
      </c>
      <c r="C13592" s="5" t="str">
        <f>IFERROR(__xludf.DUMMYFUNCTION("GOOGLETRANSLATE(B13592,""en"",""fr"")"),"Nous voyons ensuite la citrouille sculptée avec une bougie à l'intérieur et l'écran de fermeture.")</f>
        <v>Nous voyons ensuite la citrouille sculptée avec une bougie à l'intérieur et l'écran de fermeture.</v>
      </c>
    </row>
    <row r="13593">
      <c r="A13593" s="4" t="s">
        <v>17110</v>
      </c>
      <c r="B13593" s="4" t="s">
        <v>17111</v>
      </c>
      <c r="C13593" s="5" t="str">
        <f>IFERROR(__xludf.DUMMYFUNCTION("GOOGLETRANSLATE(B13593,""en"",""fr"")"),"Nous voyons une série de bêtises de bowling.")</f>
        <v>Nous voyons une série de bêtises de bowling.</v>
      </c>
    </row>
    <row r="13594">
      <c r="A13594" s="4" t="s">
        <v>17110</v>
      </c>
      <c r="B13594" s="4" t="s">
        <v>17112</v>
      </c>
      <c r="C13594" s="5" t="str">
        <f>IFERROR(__xludf.DUMMYFUNCTION("GOOGLETRANSLATE(B13594,""en"",""fr"")"),"Nous voyons un bébé lancer une balle et une chute adulte.")</f>
        <v>Nous voyons un bébé lancer une balle et une chute adulte.</v>
      </c>
    </row>
    <row r="13595">
      <c r="A13595" s="4" t="s">
        <v>17110</v>
      </c>
      <c r="B13595" s="4" t="s">
        <v>17113</v>
      </c>
      <c r="C13595" s="5" t="str">
        <f>IFERROR(__xludf.DUMMYFUNCTION("GOOGLETRANSLATE(B13595,""en"",""fr"")"),"Nous voyons une dame tomber en s'asseyant sur un banc.")</f>
        <v>Nous voyons une dame tomber en s'asseyant sur un banc.</v>
      </c>
    </row>
    <row r="13596">
      <c r="A13596" s="4" t="s">
        <v>17110</v>
      </c>
      <c r="B13596" s="4" t="s">
        <v>17114</v>
      </c>
      <c r="C13596" s="5" t="str">
        <f>IFERROR(__xludf.DUMMYFUNCTION("GOOGLETRANSLATE(B13596,""en"",""fr"")"),"Nous voyons un homme mettre une boule de bowling dans un canon et le tirer sur un champ.")</f>
        <v>Nous voyons un homme mettre une boule de bowling dans un canon et le tirer sur un champ.</v>
      </c>
    </row>
    <row r="13597">
      <c r="A13597" s="4" t="s">
        <v>17115</v>
      </c>
      <c r="B13597" s="4" t="s">
        <v>17116</v>
      </c>
      <c r="C13597" s="5" t="str">
        <f>IFERROR(__xludf.DUMMYFUNCTION("GOOGLETRANSLATE(B13597,""en"",""fr"")"),"Un grand groupe se trouve à l'intérieur d'un radeau sur une rivière.")</f>
        <v>Un grand groupe se trouve à l'intérieur d'un radeau sur une rivière.</v>
      </c>
    </row>
    <row r="13598">
      <c r="A13598" s="4" t="s">
        <v>17115</v>
      </c>
      <c r="B13598" s="4" t="s">
        <v>17117</v>
      </c>
      <c r="C13598" s="5" t="str">
        <f>IFERROR(__xludf.DUMMYFUNCTION("GOOGLETRANSLATE(B13598,""en"",""fr"")"),"Un homme en kayak est à côté d'eux.")</f>
        <v>Un homme en kayak est à côté d'eux.</v>
      </c>
    </row>
    <row r="13599">
      <c r="A13599" s="4" t="s">
        <v>17115</v>
      </c>
      <c r="B13599" s="4" t="s">
        <v>17118</v>
      </c>
      <c r="C13599" s="5" t="str">
        <f>IFERROR(__xludf.DUMMYFUNCTION("GOOGLETRANSLATE(B13599,""en"",""fr"")"),"Ils flottent dans les rapides, essayant de les traverser.")</f>
        <v>Ils flottent dans les rapides, essayant de les traverser.</v>
      </c>
    </row>
    <row r="13600">
      <c r="A13600" s="4" t="s">
        <v>17119</v>
      </c>
      <c r="B13600" s="4" t="s">
        <v>17120</v>
      </c>
      <c r="C13600" s="5" t="str">
        <f>IFERROR(__xludf.DUMMYFUNCTION("GOOGLETRANSLATE(B13600,""en"",""fr"")"),"Un logo est vu et les légendes sont affichées à l'écran.")</f>
        <v>Un logo est vu et les légendes sont affichées à l'écran.</v>
      </c>
    </row>
    <row r="13601">
      <c r="A13601" s="4" t="s">
        <v>17119</v>
      </c>
      <c r="B13601" s="4" t="s">
        <v>17121</v>
      </c>
      <c r="C13601" s="5" t="str">
        <f>IFERROR(__xludf.DUMMYFUNCTION("GOOGLETRANSLATE(B13601,""en"",""fr"")"),"Les arbres et le paillis sont représentés avec une légère brise.")</f>
        <v>Les arbres et le paillis sont représentés avec une légère brise.</v>
      </c>
    </row>
    <row r="13602">
      <c r="A13602" s="4" t="s">
        <v>17119</v>
      </c>
      <c r="B13602" s="4" t="s">
        <v>17122</v>
      </c>
      <c r="C13602" s="5" t="str">
        <f>IFERROR(__xludf.DUMMYFUNCTION("GOOGLETRANSLATE(B13602,""en"",""fr"")"),"Plusieurs personnes sont montrées en plantant un arbre.")</f>
        <v>Plusieurs personnes sont montrées en plantant un arbre.</v>
      </c>
    </row>
    <row r="13603">
      <c r="A13603" s="4" t="s">
        <v>17119</v>
      </c>
      <c r="B13603" s="4" t="s">
        <v>17123</v>
      </c>
      <c r="C13603" s="5" t="str">
        <f>IFERROR(__xludf.DUMMYFUNCTION("GOOGLETRANSLATE(B13603,""en"",""fr"")"),"Les gens répandent le paillis autour de l'arbre.")</f>
        <v>Les gens répandent le paillis autour de l'arbre.</v>
      </c>
    </row>
    <row r="13604">
      <c r="A13604" s="4" t="s">
        <v>17119</v>
      </c>
      <c r="B13604" s="4" t="s">
        <v>17124</v>
      </c>
      <c r="C13604" s="5" t="str">
        <f>IFERROR(__xludf.DUMMYFUNCTION("GOOGLETRANSLATE(B13604,""en"",""fr"")"),"Plusieurs logos sont affichés à l'écran.")</f>
        <v>Plusieurs logos sont affichés à l'écran.</v>
      </c>
    </row>
    <row r="13605">
      <c r="A13605" s="4" t="s">
        <v>17125</v>
      </c>
      <c r="B13605" s="6" t="s">
        <v>17126</v>
      </c>
      <c r="C13605" s="5" t="str">
        <f>IFERROR(__xludf.DUMMYFUNCTION("GOOGLETRANSLATE(B13605,""en"",""fr"")"),"Un homme donne une leçon d'harmonica avec des gros plans et fondamentalement un moyen de savoir comment jouer l'harmonica.")</f>
        <v>Un homme donne une leçon d'harmonica avec des gros plans et fondamentalement un moyen de savoir comment jouer l'harmonica.</v>
      </c>
    </row>
    <row r="13606">
      <c r="A13606" s="4" t="s">
        <v>17125</v>
      </c>
      <c r="B13606" s="4" t="s">
        <v>17127</v>
      </c>
      <c r="C13606" s="5" t="str">
        <f>IFERROR(__xludf.DUMMYFUNCTION("GOOGLETRANSLATE(B13606,""en"",""fr"")"),"L'homme présente également d'autres types d'harmonicas.")</f>
        <v>L'homme présente également d'autres types d'harmonicas.</v>
      </c>
    </row>
    <row r="13607">
      <c r="A13607" s="4" t="s">
        <v>17128</v>
      </c>
      <c r="B13607" s="4" t="s">
        <v>17129</v>
      </c>
      <c r="C13607" s="5" t="str">
        <f>IFERROR(__xludf.DUMMYFUNCTION("GOOGLETRANSLATE(B13607,""en"",""fr"")"),"Une intro de texte mène à une personne vue assise sur un vélo d'exercice.")</f>
        <v>Une intro de texte mène à une personne vue assise sur un vélo d'exercice.</v>
      </c>
    </row>
    <row r="13608">
      <c r="A13608" s="4" t="s">
        <v>17128</v>
      </c>
      <c r="B13608" s="4" t="s">
        <v>17130</v>
      </c>
      <c r="C13608" s="5" t="str">
        <f>IFERROR(__xludf.DUMMYFUNCTION("GOOGLETRANSLATE(B13608,""en"",""fr"")"),"La personne parle à un cours qu'elle parle tout en lui colpant ses pieds.")</f>
        <v>La personne parle à un cours qu'elle parle tout en lui colpant ses pieds.</v>
      </c>
    </row>
    <row r="13609">
      <c r="A13609" s="4" t="s">
        <v>17128</v>
      </c>
      <c r="B13609" s="4" t="s">
        <v>17131</v>
      </c>
      <c r="C13609" s="5" t="str">
        <f>IFERROR(__xludf.DUMMYFUNCTION("GOOGLETRANSLATE(B13609,""en"",""fr"")"),"La femme continue de bouger ses pieds ainsi que d'autres dans la classe.")</f>
        <v>La femme continue de bouger ses pieds ainsi que d'autres dans la classe.</v>
      </c>
    </row>
    <row r="13610">
      <c r="A13610" s="4" t="s">
        <v>17132</v>
      </c>
      <c r="B13610" s="4" t="s">
        <v>17133</v>
      </c>
      <c r="C13610" s="5" t="str">
        <f>IFERROR(__xludf.DUMMYFUNCTION("GOOGLETRANSLATE(B13610,""en"",""fr"")"),"Un homme portant une chemise bleue lance le lancer du poids.")</f>
        <v>Un homme portant une chemise bleue lance le lancer du poids.</v>
      </c>
    </row>
    <row r="13611">
      <c r="A13611" s="4" t="s">
        <v>17132</v>
      </c>
      <c r="B13611" s="4" t="s">
        <v>17134</v>
      </c>
      <c r="C13611" s="5" t="str">
        <f>IFERROR(__xludf.DUMMYFUNCTION("GOOGLETRANSLATE(B13611,""en"",""fr"")"),"Il va dans un mouvement circulaire sur un cercle rouge peint sur le sol.")</f>
        <v>Il va dans un mouvement circulaire sur un cercle rouge peint sur le sol.</v>
      </c>
    </row>
    <row r="13612">
      <c r="A13612" s="4" t="s">
        <v>17132</v>
      </c>
      <c r="B13612" s="4" t="s">
        <v>17135</v>
      </c>
      <c r="C13612" s="5" t="str">
        <f>IFERROR(__xludf.DUMMYFUNCTION("GOOGLETRANSLATE(B13612,""en"",""fr"")"),"Il lance le coup de pied dans les airs.")</f>
        <v>Il lance le coup de pied dans les airs.</v>
      </c>
    </row>
    <row r="13613">
      <c r="A13613" s="4" t="s">
        <v>17132</v>
      </c>
      <c r="B13613" s="4" t="s">
        <v>17136</v>
      </c>
      <c r="C13613" s="5" t="str">
        <f>IFERROR(__xludf.DUMMYFUNCTION("GOOGLETRANSLATE(B13613,""en"",""fr"")"),"Un autre homme se balance en mouvement circulaire, prêt à lancer le lancer du poids.")</f>
        <v>Un autre homme se balance en mouvement circulaire, prêt à lancer le lancer du poids.</v>
      </c>
    </row>
    <row r="13614">
      <c r="A13614" s="4" t="s">
        <v>17137</v>
      </c>
      <c r="B13614" s="4" t="s">
        <v>17138</v>
      </c>
      <c r="C13614" s="5" t="str">
        <f>IFERROR(__xludf.DUMMYFUNCTION("GOOGLETRANSLATE(B13614,""en"",""fr"")"),"Un cavalier jette une corde pour attraper un mollet pendant que les gens regardent.")</f>
        <v>Un cavalier jette une corde pour attraper un mollet pendant que les gens regardent.</v>
      </c>
    </row>
    <row r="13615">
      <c r="A13615" s="4" t="s">
        <v>17137</v>
      </c>
      <c r="B13615" s="4" t="s">
        <v>17139</v>
      </c>
      <c r="C13615" s="5" t="str">
        <f>IFERROR(__xludf.DUMMYFUNCTION("GOOGLETRANSLATE(B13615,""en"",""fr"")"),"Intermédiaire, l'homme descendit le cheval et attache le veau.")</f>
        <v>Intermédiaire, l'homme descendit le cheval et attache le veau.</v>
      </c>
    </row>
    <row r="13616">
      <c r="A13616" s="4" t="s">
        <v>17137</v>
      </c>
      <c r="B13616" s="4" t="s">
        <v>17140</v>
      </c>
      <c r="C13616" s="5" t="str">
        <f>IFERROR(__xludf.DUMMYFUNCTION("GOOGLETRANSLATE(B13616,""en"",""fr"")"),"Les hommes marchent derrière le cheval.")</f>
        <v>Les hommes marchent derrière le cheval.</v>
      </c>
    </row>
    <row r="13617">
      <c r="A13617" s="4" t="s">
        <v>17137</v>
      </c>
      <c r="B13617" s="4" t="s">
        <v>17141</v>
      </c>
      <c r="C13617" s="5" t="str">
        <f>IFERROR(__xludf.DUMMYFUNCTION("GOOGLETRANSLATE(B13617,""en"",""fr"")"),"Après, l'homme monte au cheval.")</f>
        <v>Après, l'homme monte au cheval.</v>
      </c>
    </row>
    <row r="13618">
      <c r="A13618" s="4" t="s">
        <v>17142</v>
      </c>
      <c r="B13618" s="4" t="s">
        <v>17143</v>
      </c>
      <c r="C13618" s="5" t="str">
        <f>IFERROR(__xludf.DUMMYFUNCTION("GOOGLETRANSLATE(B13618,""en"",""fr"")"),"Les canards nagent dans l'eau.")</f>
        <v>Les canards nagent dans l'eau.</v>
      </c>
    </row>
    <row r="13619">
      <c r="A13619" s="4" t="s">
        <v>17142</v>
      </c>
      <c r="B13619" s="4" t="s">
        <v>17144</v>
      </c>
      <c r="C13619" s="5" t="str">
        <f>IFERROR(__xludf.DUMMYFUNCTION("GOOGLETRANSLATE(B13619,""en"",""fr"")"),"Les gens déplacent la saleté dans un parc.")</f>
        <v>Les gens déplacent la saleté dans un parc.</v>
      </c>
    </row>
    <row r="13620">
      <c r="A13620" s="4" t="s">
        <v>17142</v>
      </c>
      <c r="B13620" s="4" t="s">
        <v>17145</v>
      </c>
      <c r="C13620" s="5" t="str">
        <f>IFERROR(__xludf.DUMMYFUNCTION("GOOGLETRANSLATE(B13620,""en"",""fr"")"),"Une femme dans une chemise noire et des lunettes parle à la caméra.")</f>
        <v>Une femme dans une chemise noire et des lunettes parle à la caméra.</v>
      </c>
    </row>
    <row r="13621">
      <c r="A13621" s="4" t="s">
        <v>17142</v>
      </c>
      <c r="B13621" s="4" t="s">
        <v>17146</v>
      </c>
      <c r="C13621" s="5" t="str">
        <f>IFERROR(__xludf.DUMMYFUNCTION("GOOGLETRANSLATE(B13621,""en"",""fr"")"),"Les gens ratissent la saleté.")</f>
        <v>Les gens ratissent la saleté.</v>
      </c>
    </row>
    <row r="13622">
      <c r="A13622" s="4" t="s">
        <v>17142</v>
      </c>
      <c r="B13622" s="4" t="s">
        <v>17147</v>
      </c>
      <c r="C13622" s="5" t="str">
        <f>IFERROR(__xludf.DUMMYFUNCTION("GOOGLETRANSLATE(B13622,""en"",""fr"")"),"Différentes personnes parlent à la caméra.")</f>
        <v>Différentes personnes parlent à la caméra.</v>
      </c>
    </row>
    <row r="13623">
      <c r="A13623" s="4" t="s">
        <v>17142</v>
      </c>
      <c r="B13623" s="4" t="s">
        <v>17148</v>
      </c>
      <c r="C13623" s="5" t="str">
        <f>IFERROR(__xludf.DUMMYFUNCTION("GOOGLETRANSLATE(B13623,""en"",""fr"")"),"Les gens continuent de paysager dans le parc.")</f>
        <v>Les gens continuent de paysager dans le parc.</v>
      </c>
    </row>
    <row r="13624">
      <c r="A13624" s="4" t="s">
        <v>17149</v>
      </c>
      <c r="B13624" s="6" t="s">
        <v>17150</v>
      </c>
      <c r="C13624" s="5" t="str">
        <f>IFERROR(__xludf.DUMMYFUNCTION("GOOGLETRANSLATE(B13624,""en"",""fr"")"),"Une photo encore prise d'une omelette versée dans une casserole et sur une plaque blanche apparaît et le texte blanc dit ""Comment faire une omelette"".")</f>
        <v>Une photo encore prise d'une omelette versée dans une casserole et sur une plaque blanche apparaît et le texte blanc dit "Comment faire une omelette".</v>
      </c>
    </row>
    <row r="13625">
      <c r="A13625" s="4" t="s">
        <v>17149</v>
      </c>
      <c r="B13625" s="6" t="s">
        <v>17151</v>
      </c>
      <c r="C13625" s="5" t="str">
        <f>IFERROR(__xludf.DUMMYFUNCTION("GOOGLETRANSLATE(B13625,""en"",""fr"")"),"Un écran blanc avec un clipart de lion rouge portant une couronne apparaît et les mots bleus ""La qualité du lion britannique est autour de lui.")</f>
        <v>Un écran blanc avec un clipart de lion rouge portant une couronne apparaît et les mots bleus "La qualité du lion britannique est autour de lui.</v>
      </c>
    </row>
    <row r="13626">
      <c r="A13626" s="4" t="s">
        <v>17149</v>
      </c>
      <c r="B13626" s="6" t="s">
        <v>17152</v>
      </c>
      <c r="C13626" s="5" t="str">
        <f>IFERROR(__xludf.DUMMYFUNCTION("GOOGLETRANSLATE(B13626,""en"",""fr"")"),"Une femme est maintenant dans la cuisine debout devant une casserole sur un poêle, elle allume le four, attrape une grande tasse à mesurer et commence à craquer des œufs puis ajoute divers autres ingrédients aux œufs, puis tout fouette.")</f>
        <v>Une femme est maintenant dans la cuisine debout devant une casserole sur un poêle, elle allume le four, attrape une grande tasse à mesurer et commence à craquer des œufs puis ajoute divers autres ingrédients aux œufs, puis tout fouette.</v>
      </c>
    </row>
    <row r="13627">
      <c r="A13627" s="4" t="s">
        <v>17149</v>
      </c>
      <c r="B13627" s="4" t="s">
        <v>17153</v>
      </c>
      <c r="C13627" s="5" t="str">
        <f>IFERROR(__xludf.DUMMYFUNCTION("GOOGLETRANSLATE(B13627,""en"",""fr"")"),"La femme met ensuite du beurre dans la poêle, la fonte tout autour, puis verse son mélange d'oeufs dans la poêle.")</f>
        <v>La femme met ensuite du beurre dans la poêle, la fonte tout autour, puis verse son mélange d'oeufs dans la poêle.</v>
      </c>
    </row>
    <row r="13628">
      <c r="A13628" s="4" t="s">
        <v>17149</v>
      </c>
      <c r="B13628" s="6" t="s">
        <v>17154</v>
      </c>
      <c r="C13628" s="5" t="str">
        <f>IFERROR(__xludf.DUMMYFUNCTION("GOOGLETRANSLATE(B13628,""en"",""fr"")"),"La femme attrape sa spatule en bois et commence à manipuler les œufs dans la poêle en s'assurant qu'elle ne colle pas et qu'elle cuit soigneusement.")</f>
        <v>La femme attrape sa spatule en bois et commence à manipuler les œufs dans la poêle en s'assurant qu'elle ne colle pas et qu'elle cuit soigneusement.</v>
      </c>
    </row>
    <row r="13629">
      <c r="A13629" s="4" t="s">
        <v>17149</v>
      </c>
      <c r="B13629" s="6" t="s">
        <v>17155</v>
      </c>
      <c r="C13629" s="5" t="str">
        <f>IFERROR(__xludf.DUMMYFUNCTION("GOOGLETRANSLATE(B13629,""en"",""fr"")"),"La femme emmène ensuite l'œuf à l'assiette blanche et la plie dessus puis ajoute une poignée de légumes verts à côté.")</f>
        <v>La femme emmène ensuite l'œuf à l'assiette blanche et la plie dessus puis ajoute une poignée de légumes verts à côté.</v>
      </c>
    </row>
    <row r="13630">
      <c r="A13630" s="4" t="s">
        <v>17149</v>
      </c>
      <c r="B13630" s="6" t="s">
        <v>17156</v>
      </c>
      <c r="C13630" s="5" t="str">
        <f>IFERROR(__xludf.DUMMYFUNCTION("GOOGLETRANSLATE(B13630,""en"",""fr"")"),"Un écran blanc apparaît avec le Clipart Lion rouge au milieu et les mots bleus ""British Lion Quality"" qui le contournent.")</f>
        <v>Un écran blanc apparaît avec le Clipart Lion rouge au milieu et les mots bleus "British Lion Quality" qui le contournent.</v>
      </c>
    </row>
    <row r="13631">
      <c r="A13631" s="4" t="s">
        <v>17157</v>
      </c>
      <c r="B13631" s="4" t="s">
        <v>17158</v>
      </c>
      <c r="C13631" s="5" t="str">
        <f>IFERROR(__xludf.DUMMYFUNCTION("GOOGLETRANSLATE(B13631,""en"",""fr"")"),"Un homme fait du skateboard sur un trottoir.")</f>
        <v>Un homme fait du skateboard sur un trottoir.</v>
      </c>
    </row>
    <row r="13632">
      <c r="A13632" s="4" t="s">
        <v>17157</v>
      </c>
      <c r="B13632" s="4" t="s">
        <v>17159</v>
      </c>
      <c r="C13632" s="5" t="str">
        <f>IFERROR(__xludf.DUMMYFUNCTION("GOOGLETRANSLATE(B13632,""en"",""fr"")"),"Il fait un retournement sur la planche à roulettes.")</f>
        <v>Il fait un retournement sur la planche à roulettes.</v>
      </c>
    </row>
    <row r="13633">
      <c r="A13633" s="4" t="s">
        <v>17157</v>
      </c>
      <c r="B13633" s="4" t="s">
        <v>17160</v>
      </c>
      <c r="C13633" s="5" t="str">
        <f>IFERROR(__xludf.DUMMYFUNCTION("GOOGLETRANSLATE(B13633,""en"",""fr"")"),"Il tombe du skateboard sur le sol.")</f>
        <v>Il tombe du skateboard sur le sol.</v>
      </c>
    </row>
    <row r="13634">
      <c r="A13634" s="4" t="s">
        <v>17161</v>
      </c>
      <c r="B13634" s="4" t="s">
        <v>17162</v>
      </c>
      <c r="C13634" s="5" t="str">
        <f>IFERROR(__xludf.DUMMYFUNCTION("GOOGLETRANSLATE(B13634,""en"",""fr"")"),"Un homme et une femme ont des relations sexuelles et s'embrassent dans une douche.")</f>
        <v>Un homme et une femme ont des relations sexuelles et s'embrassent dans une douche.</v>
      </c>
    </row>
    <row r="13635">
      <c r="A13635" s="4" t="s">
        <v>17161</v>
      </c>
      <c r="B13635" s="4" t="s">
        <v>17163</v>
      </c>
      <c r="C13635" s="5" t="str">
        <f>IFERROR(__xludf.DUMMYFUNCTION("GOOGLETRANSLATE(B13635,""en"",""fr"")"),"Elle le repousse et commence à pleurer.")</f>
        <v>Elle le repousse et commence à pleurer.</v>
      </c>
    </row>
    <row r="13636">
      <c r="A13636" s="4" t="s">
        <v>17161</v>
      </c>
      <c r="B13636" s="4" t="s">
        <v>17164</v>
      </c>
      <c r="C13636" s="5" t="str">
        <f>IFERROR(__xludf.DUMMYFUNCTION("GOOGLETRANSLATE(B13636,""en"",""fr"")"),"Un couple fait l'amour sur un lit.")</f>
        <v>Un couple fait l'amour sur un lit.</v>
      </c>
    </row>
    <row r="13637">
      <c r="A13637" s="4" t="s">
        <v>17161</v>
      </c>
      <c r="B13637" s="4" t="s">
        <v>17165</v>
      </c>
      <c r="C13637" s="5" t="str">
        <f>IFERROR(__xludf.DUMMYFUNCTION("GOOGLETRANSLATE(B13637,""en"",""fr"")"),"La femme sort une plume et la lèche.")</f>
        <v>La femme sort une plume et la lèche.</v>
      </c>
    </row>
    <row r="13638">
      <c r="A13638" s="4" t="s">
        <v>17161</v>
      </c>
      <c r="B13638" s="4" t="s">
        <v>17166</v>
      </c>
      <c r="C13638" s="5" t="str">
        <f>IFERROR(__xludf.DUMMYFUNCTION("GOOGLETRANSLATE(B13638,""en"",""fr"")"),"Elle le frotte sur le visage de l'homme.")</f>
        <v>Elle le frotte sur le visage de l'homme.</v>
      </c>
    </row>
    <row r="13639">
      <c r="A13639" s="4" t="s">
        <v>17161</v>
      </c>
      <c r="B13639" s="4" t="s">
        <v>17167</v>
      </c>
      <c r="C13639" s="5" t="str">
        <f>IFERROR(__xludf.DUMMYFUNCTION("GOOGLETRANSLATE(B13639,""en"",""fr"")"),"Elle a un couteau et le frotte dans sa poitrine.")</f>
        <v>Elle a un couteau et le frotte dans sa poitrine.</v>
      </c>
    </row>
    <row r="13640">
      <c r="A13640" s="4" t="s">
        <v>17161</v>
      </c>
      <c r="B13640" s="4" t="s">
        <v>17168</v>
      </c>
      <c r="C13640" s="5" t="str">
        <f>IFERROR(__xludf.DUMMYFUNCTION("GOOGLETRANSLATE(B13640,""en"",""fr"")"),"Elle le lève les yeux et allume une cigarette.")</f>
        <v>Elle le lève les yeux et allume une cigarette.</v>
      </c>
    </row>
    <row r="13641">
      <c r="A13641" s="4" t="s">
        <v>17161</v>
      </c>
      <c r="B13641" s="4" t="s">
        <v>17169</v>
      </c>
      <c r="C13641" s="5" t="str">
        <f>IFERROR(__xludf.DUMMYFUNCTION("GOOGLETRANSLATE(B13641,""en"",""fr"")"),"Elle se couche sur le dos et rit.")</f>
        <v>Elle se couche sur le dos et rit.</v>
      </c>
    </row>
    <row r="13642">
      <c r="A13642" s="4" t="s">
        <v>17161</v>
      </c>
      <c r="B13642" s="4" t="s">
        <v>17170</v>
      </c>
      <c r="C13642" s="5" t="str">
        <f>IFERROR(__xludf.DUMMYFUNCTION("GOOGLETRANSLATE(B13642,""en"",""fr"")"),"La femme parle et rit en tenant un serpent.")</f>
        <v>La femme parle et rit en tenant un serpent.</v>
      </c>
    </row>
    <row r="13643">
      <c r="A13643" s="4" t="s">
        <v>17161</v>
      </c>
      <c r="B13643" s="4" t="s">
        <v>17171</v>
      </c>
      <c r="C13643" s="5" t="str">
        <f>IFERROR(__xludf.DUMMYFUNCTION("GOOGLETRANSLATE(B13643,""en"",""fr"")"),"La femme parle à quelqu'un.")</f>
        <v>La femme parle à quelqu'un.</v>
      </c>
    </row>
    <row r="13644">
      <c r="A13644" s="4" t="s">
        <v>17161</v>
      </c>
      <c r="B13644" s="4" t="s">
        <v>17172</v>
      </c>
      <c r="C13644" s="5" t="str">
        <f>IFERROR(__xludf.DUMMYFUNCTION("GOOGLETRANSLATE(B13644,""en"",""fr"")"),"Une table avec de la nourriture est montrée.")</f>
        <v>Une table avec de la nourriture est montrée.</v>
      </c>
    </row>
    <row r="13645">
      <c r="A13645" s="4" t="s">
        <v>17161</v>
      </c>
      <c r="B13645" s="4" t="s">
        <v>17173</v>
      </c>
      <c r="C13645" s="5" t="str">
        <f>IFERROR(__xludf.DUMMYFUNCTION("GOOGLETRANSLATE(B13645,""en"",""fr"")"),"Un verre à vin est donné à un homme par la femme.")</f>
        <v>Un verre à vin est donné à un homme par la femme.</v>
      </c>
    </row>
    <row r="13646">
      <c r="A13646" s="4" t="s">
        <v>17161</v>
      </c>
      <c r="B13646" s="4" t="s">
        <v>17174</v>
      </c>
      <c r="C13646" s="5" t="str">
        <f>IFERROR(__xludf.DUMMYFUNCTION("GOOGLETRANSLATE(B13646,""en"",""fr"")"),"Il nie la boisson et elle prend une gorgée.")</f>
        <v>Il nie la boisson et elle prend une gorgée.</v>
      </c>
    </row>
    <row r="13647">
      <c r="A13647" s="4" t="s">
        <v>17161</v>
      </c>
      <c r="B13647" s="4" t="s">
        <v>17175</v>
      </c>
      <c r="C13647" s="5" t="str">
        <f>IFERROR(__xludf.DUMMYFUNCTION("GOOGLETRANSLATE(B13647,""en"",""fr"")"),"Ils commencent à s'embrasser.")</f>
        <v>Ils commencent à s'embrasser.</v>
      </c>
    </row>
    <row r="13648">
      <c r="A13648" s="4" t="s">
        <v>17176</v>
      </c>
      <c r="B13648" s="4" t="s">
        <v>17177</v>
      </c>
      <c r="C13648" s="5" t="str">
        <f>IFERROR(__xludf.DUMMYFUNCTION("GOOGLETRANSLATE(B13648,""en"",""fr"")"),"La caméra suit une personne en pantalon rouge sur un snowboard sur une pente.")</f>
        <v>La caméra suit une personne en pantalon rouge sur un snowboard sur une pente.</v>
      </c>
    </row>
    <row r="13649">
      <c r="A13649" s="4" t="s">
        <v>17176</v>
      </c>
      <c r="B13649" s="4" t="s">
        <v>17178</v>
      </c>
      <c r="C13649" s="5" t="str">
        <f>IFERROR(__xludf.DUMMYFUNCTION("GOOGLETRANSLATE(B13649,""en"",""fr"")"),"La caméra s'éloigne brièvement de la femme pour se concentrer sur la pente.")</f>
        <v>La caméra s'éloigne brièvement de la femme pour se concentrer sur la pente.</v>
      </c>
    </row>
    <row r="13650">
      <c r="A13650" s="4" t="s">
        <v>17176</v>
      </c>
      <c r="B13650" s="4" t="s">
        <v>17179</v>
      </c>
      <c r="C13650" s="5" t="str">
        <f>IFERROR(__xludf.DUMMYFUNCTION("GOOGLETRANSLATE(B13650,""en"",""fr"")"),"La caméra se détache de la femme pour se concentrer sur la pente.")</f>
        <v>La caméra se détache de la femme pour se concentrer sur la pente.</v>
      </c>
    </row>
    <row r="13651">
      <c r="A13651" s="4" t="s">
        <v>17180</v>
      </c>
      <c r="B13651" s="4" t="s">
        <v>17181</v>
      </c>
      <c r="C13651" s="5" t="str">
        <f>IFERROR(__xludf.DUMMYFUNCTION("GOOGLETRANSLATE(B13651,""en"",""fr"")"),"Un homme est vu parler à la caméra tenant une pagaie et assis dans un kayak.")</f>
        <v>Un homme est vu parler à la caméra tenant une pagaie et assis dans un kayak.</v>
      </c>
    </row>
    <row r="13652">
      <c r="A13652" s="4" t="s">
        <v>17180</v>
      </c>
      <c r="B13652" s="6" t="s">
        <v>17182</v>
      </c>
      <c r="C13652" s="5" t="str">
        <f>IFERROR(__xludf.DUMMYFUNCTION("GOOGLETRANSLATE(B13652,""en"",""fr"")"),"L'homme se pmupte ensuite dans la zone du kayak se retournant et regardant la caméra.")</f>
        <v>L'homme se pmupte ensuite dans la zone du kayak se retournant et regardant la caméra.</v>
      </c>
    </row>
    <row r="13653">
      <c r="A13653" s="4" t="s">
        <v>17183</v>
      </c>
      <c r="B13653" s="4" t="s">
        <v>17184</v>
      </c>
      <c r="C13653" s="5" t="str">
        <f>IFERROR(__xludf.DUMMYFUNCTION("GOOGLETRANSLATE(B13653,""en"",""fr"")"),"Une femme monte un cheval dans une grange intérieure tout en jouant à un jeu de polo solo.")</f>
        <v>Une femme monte un cheval dans une grange intérieure tout en jouant à un jeu de polo solo.</v>
      </c>
    </row>
    <row r="13654">
      <c r="A13654" s="4" t="s">
        <v>17183</v>
      </c>
      <c r="B13654" s="6" t="s">
        <v>17185</v>
      </c>
      <c r="C13654" s="5" t="str">
        <f>IFERROR(__xludf.DUMMYFUNCTION("GOOGLETRANSLATE(B13654,""en"",""fr"")"),"Une femme monte un cheval dans une grange intérieure et joue du polo tout en tenant un bâton de polo et en poursuivant une boule rouge dans le cadre intérieur.")</f>
        <v>Une femme monte un cheval dans une grange intérieure et joue du polo tout en tenant un bâton de polo et en poursuivant une boule rouge dans le cadre intérieur.</v>
      </c>
    </row>
    <row r="13655">
      <c r="A13655" s="4" t="s">
        <v>17183</v>
      </c>
      <c r="B13655" s="4" t="s">
        <v>17186</v>
      </c>
      <c r="C13655" s="5" t="str">
        <f>IFERROR(__xludf.DUMMYFUNCTION("GOOGLETRANSLATE(B13655,""en"",""fr"")"),"La femme frappe au ballon en montant le cheval en rond.")</f>
        <v>La femme frappe au ballon en montant le cheval en rond.</v>
      </c>
    </row>
    <row r="13656">
      <c r="A13656" s="4" t="s">
        <v>17183</v>
      </c>
      <c r="B13656" s="4" t="s">
        <v>17187</v>
      </c>
      <c r="C13656" s="5" t="str">
        <f>IFERROR(__xludf.DUMMYFUNCTION("GOOGLETRANSLATE(B13656,""en"",""fr"")"),"La femme monte le cheval jusqu'à ce que le soleil commence à se coucher et que la scène devient de plus en plus sombre.")</f>
        <v>La femme monte le cheval jusqu'à ce que le soleil commence à se coucher et que la scène devient de plus en plus sombre.</v>
      </c>
    </row>
    <row r="13657">
      <c r="A13657" s="4" t="s">
        <v>17188</v>
      </c>
      <c r="B13657" s="4" t="s">
        <v>17189</v>
      </c>
      <c r="C13657" s="5" t="str">
        <f>IFERROR(__xludf.DUMMYFUNCTION("GOOGLETRANSLATE(B13657,""en"",""fr"")"),"Les lutteurs se battent dans un anneau.")</f>
        <v>Les lutteurs se battent dans un anneau.</v>
      </c>
    </row>
    <row r="13658">
      <c r="A13658" s="4" t="s">
        <v>17188</v>
      </c>
      <c r="B13658" s="4" t="s">
        <v>17190</v>
      </c>
      <c r="C13658" s="5" t="str">
        <f>IFERROR(__xludf.DUMMYFUNCTION("GOOGLETRANSLATE(B13658,""en"",""fr"")"),"Un homme est ramassé et jeté par d'autres hommes.")</f>
        <v>Un homme est ramassé et jeté par d'autres hommes.</v>
      </c>
    </row>
    <row r="13659">
      <c r="A13659" s="4" t="s">
        <v>17188</v>
      </c>
      <c r="B13659" s="4" t="s">
        <v>17191</v>
      </c>
      <c r="C13659" s="5" t="str">
        <f>IFERROR(__xludf.DUMMYFUNCTION("GOOGLETRANSLATE(B13659,""en"",""fr"")"),"Un homme tombe sur une table et le brise.")</f>
        <v>Un homme tombe sur une table et le brise.</v>
      </c>
    </row>
    <row r="13660">
      <c r="A13660" s="4" t="s">
        <v>17192</v>
      </c>
      <c r="B13660" s="4" t="s">
        <v>17193</v>
      </c>
      <c r="C13660" s="5" t="str">
        <f>IFERROR(__xludf.DUMMYFUNCTION("GOOGLETRANSLATE(B13660,""en"",""fr"")"),"Un homme portant des lunettes se tient à l'extérieur dans la neige avec des gadgets qui parlent.")</f>
        <v>Un homme portant des lunettes se tient à l'extérieur dans la neige avec des gadgets qui parlent.</v>
      </c>
    </row>
    <row r="13661">
      <c r="A13661" s="4" t="s">
        <v>17192</v>
      </c>
      <c r="B13661" s="6" t="s">
        <v>17194</v>
      </c>
      <c r="C13661" s="5" t="str">
        <f>IFERROR(__xludf.DUMMYFUNCTION("GOOGLETRANSLATE(B13661,""en"",""fr"")"),"Il avance le gadget à la pelle à la pelle bleue, parle toujours puis attrape une autre pelle.")</f>
        <v>Il avance le gadget à la pelle à la pelle bleue, parle toujours puis attrape une autre pelle.</v>
      </c>
    </row>
    <row r="13662">
      <c r="A13662" s="4" t="s">
        <v>17192</v>
      </c>
      <c r="B13662" s="4" t="s">
        <v>17195</v>
      </c>
      <c r="C13662" s="5" t="str">
        <f>IFERROR(__xludf.DUMMYFUNCTION("GOOGLETRANSLATE(B13662,""en"",""fr"")"),"Il lance la pelle puis marche pour démontrer comment pelleter la neige.")</f>
        <v>Il lance la pelle puis marche pour démontrer comment pelleter la neige.</v>
      </c>
    </row>
    <row r="13663">
      <c r="A13663" s="4" t="s">
        <v>17192</v>
      </c>
      <c r="B13663" s="4" t="s">
        <v>17196</v>
      </c>
      <c r="C13663" s="5" t="str">
        <f>IFERROR(__xludf.DUMMYFUNCTION("GOOGLETRANSLATE(B13663,""en"",""fr"")"),"Il continue de parler puis recommence à utiliser le gadget de pelle.")</f>
        <v>Il continue de parler puis recommence à utiliser le gadget de pelle.</v>
      </c>
    </row>
    <row r="13664">
      <c r="A13664" s="4" t="s">
        <v>17192</v>
      </c>
      <c r="B13664" s="4" t="s">
        <v>17197</v>
      </c>
      <c r="C13664" s="5" t="str">
        <f>IFERROR(__xludf.DUMMYFUNCTION("GOOGLETRANSLATE(B13664,""en"",""fr"")"),"Il pelle des piles de neige.")</f>
        <v>Il pelle des piles de neige.</v>
      </c>
    </row>
    <row r="13665">
      <c r="A13665" s="4" t="s">
        <v>17198</v>
      </c>
      <c r="B13665" s="4" t="s">
        <v>17199</v>
      </c>
      <c r="C13665" s="5" t="str">
        <f>IFERROR(__xludf.DUMMYFUNCTION("GOOGLETRANSLATE(B13665,""en"",""fr"")"),"Les gens se tiennent dans un anneau de taureau.")</f>
        <v>Les gens se tiennent dans un anneau de taureau.</v>
      </c>
    </row>
    <row r="13666">
      <c r="A13666" s="4" t="s">
        <v>17198</v>
      </c>
      <c r="B13666" s="4" t="s">
        <v>17200</v>
      </c>
      <c r="C13666" s="5" t="str">
        <f>IFERROR(__xludf.DUMMYFUNCTION("GOOGLETRANSLATE(B13666,""en"",""fr"")"),"Un taureau commence à poursuivre un homme tenant une couverture colorée.")</f>
        <v>Un taureau commence à poursuivre un homme tenant une couverture colorée.</v>
      </c>
    </row>
    <row r="13667">
      <c r="A13667" s="4" t="s">
        <v>17198</v>
      </c>
      <c r="B13667" s="4" t="s">
        <v>17201</v>
      </c>
      <c r="C13667" s="5" t="str">
        <f>IFERROR(__xludf.DUMMYFUNCTION("GOOGLETRANSLATE(B13667,""en"",""fr"")"),"Deux chevaux traînent un taureau de l'arène.")</f>
        <v>Deux chevaux traînent un taureau de l'arène.</v>
      </c>
    </row>
    <row r="13668">
      <c r="A13668" s="4" t="s">
        <v>17202</v>
      </c>
      <c r="B13668" s="6" t="s">
        <v>17203</v>
      </c>
      <c r="C13668" s="5" t="str">
        <f>IFERROR(__xludf.DUMMYFUNCTION("GOOGLETRANSLATE(B13668,""en"",""fr"")"),"L'homme est assis dans un magasin de musique jouant une guitare acoustique et parle à la caméra montrant la guitare Ibanez.")</f>
        <v>L'homme est assis dans un magasin de musique jouant une guitare acoustique et parle à la caméra montrant la guitare Ibanez.</v>
      </c>
    </row>
    <row r="13669">
      <c r="A13669" s="4" t="s">
        <v>17202</v>
      </c>
      <c r="B13669" s="4" t="s">
        <v>17204</v>
      </c>
      <c r="C13669" s="5" t="str">
        <f>IFERROR(__xludf.DUMMYFUNCTION("GOOGLETRANSLATE(B13669,""en"",""fr"")"),"L'homme commence à jouer de la guitare montrant comment la guitare sonne connectée à un amplificateur.")</f>
        <v>L'homme commence à jouer de la guitare montrant comment la guitare sonne connectée à un amplificateur.</v>
      </c>
    </row>
    <row r="13670">
      <c r="A13670" s="4" t="s">
        <v>17205</v>
      </c>
      <c r="B13670" s="4" t="s">
        <v>17206</v>
      </c>
      <c r="C13670" s="5" t="str">
        <f>IFERROR(__xludf.DUMMYFUNCTION("GOOGLETRANSLATE(B13670,""en"",""fr"")"),"Plusieurs tenues de peuples sont en cours de bas en haut.")</f>
        <v>Plusieurs tenues de peuples sont en cours de bas en haut.</v>
      </c>
    </row>
    <row r="13671">
      <c r="A13671" s="4" t="s">
        <v>17205</v>
      </c>
      <c r="B13671" s="4" t="s">
        <v>17207</v>
      </c>
      <c r="C13671" s="5" t="str">
        <f>IFERROR(__xludf.DUMMYFUNCTION("GOOGLETRANSLATE(B13671,""en"",""fr"")"),"Ensuite, un groupe de tasses est sur la table et ils commencent à jouer à Beer Pong avec un groupe de personnes.")</f>
        <v>Ensuite, un groupe de tasses est sur la table et ils commencent à jouer à Beer Pong avec un groupe de personnes.</v>
      </c>
    </row>
    <row r="13672">
      <c r="A13672" s="4" t="s">
        <v>17205</v>
      </c>
      <c r="B13672" s="4" t="s">
        <v>17208</v>
      </c>
      <c r="C13672" s="5" t="str">
        <f>IFERROR(__xludf.DUMMYFUNCTION("GOOGLETRANSLATE(B13672,""en"",""fr"")"),"Plusieurs pièces et couples sont représentés et la balle est lancée dans une tasse.")</f>
        <v>Plusieurs pièces et couples sont représentés et la balle est lancée dans une tasse.</v>
      </c>
    </row>
    <row r="13673">
      <c r="A13673" s="4" t="s">
        <v>17205</v>
      </c>
      <c r="B13673" s="6" t="s">
        <v>17209</v>
      </c>
      <c r="C13673" s="5" t="str">
        <f>IFERROR(__xludf.DUMMYFUNCTION("GOOGLETRANSLATE(B13673,""en"",""fr"")"),"Une fois terminé, la caméra se déroule et vous pouvez voir que les couples se concréateur les uns contre les autres dans une pièce.")</f>
        <v>Une fois terminé, la caméra se déroule et vous pouvez voir que les couples se concréateur les uns contre les autres dans une pièce.</v>
      </c>
    </row>
    <row r="13674">
      <c r="A13674" s="4" t="s">
        <v>17205</v>
      </c>
      <c r="B13674" s="4" t="s">
        <v>17210</v>
      </c>
      <c r="C13674" s="5" t="str">
        <f>IFERROR(__xludf.DUMMYFUNCTION("GOOGLETRANSLATE(B13674,""en"",""fr"")"),"Les couples reviennent et plus de jeux de bière de bière reviennent.")</f>
        <v>Les couples reviennent et plus de jeux de bière de bière reviennent.</v>
      </c>
    </row>
    <row r="13675">
      <c r="A13675" s="4" t="s">
        <v>17211</v>
      </c>
      <c r="B13675" s="4" t="s">
        <v>17212</v>
      </c>
      <c r="C13675" s="5" t="str">
        <f>IFERROR(__xludf.DUMMYFUNCTION("GOOGLETRANSLATE(B13675,""en"",""fr"")"),"Un homme jette un frisbee bleu et un chien le poursuit.")</f>
        <v>Un homme jette un frisbee bleu et un chien le poursuit.</v>
      </c>
    </row>
    <row r="13676">
      <c r="A13676" s="4" t="s">
        <v>17211</v>
      </c>
      <c r="B13676" s="4" t="s">
        <v>17213</v>
      </c>
      <c r="C13676" s="5" t="str">
        <f>IFERROR(__xludf.DUMMYFUNCTION("GOOGLETRANSLATE(B13676,""en"",""fr"")"),"Le chien saute par-dessus l'homme à genoux sur l'herbe.")</f>
        <v>Le chien saute par-dessus l'homme à genoux sur l'herbe.</v>
      </c>
    </row>
    <row r="13677">
      <c r="A13677" s="4" t="s">
        <v>17211</v>
      </c>
      <c r="B13677" s="4" t="s">
        <v>17214</v>
      </c>
      <c r="C13677" s="5" t="str">
        <f>IFERROR(__xludf.DUMMYFUNCTION("GOOGLETRANSLATE(B13677,""en"",""fr"")"),"Ils continuent de jouer à Frisbee avec le chien.")</f>
        <v>Ils continuent de jouer à Frisbee avec le chien.</v>
      </c>
    </row>
    <row r="13678">
      <c r="A13678" s="4" t="s">
        <v>17215</v>
      </c>
      <c r="B13678" s="4" t="s">
        <v>17216</v>
      </c>
      <c r="C13678" s="5" t="str">
        <f>IFERROR(__xludf.DUMMYFUNCTION("GOOGLETRANSLATE(B13678,""en"",""fr"")"),"Cet homme âgé se lève en coupant la tomate rouge en tranches.")</f>
        <v>Cet homme âgé se lève en coupant la tomate rouge en tranches.</v>
      </c>
    </row>
    <row r="13679">
      <c r="A13679" s="4" t="s">
        <v>17215</v>
      </c>
      <c r="B13679" s="4" t="s">
        <v>17217</v>
      </c>
      <c r="C13679" s="5" t="str">
        <f>IFERROR(__xludf.DUMMYFUNCTION("GOOGLETRANSLATE(B13679,""en"",""fr"")"),"Il est dans la cuisine en train de couper la tomate à l'aide d'un couteau bon marché.")</f>
        <v>Il est dans la cuisine en train de couper la tomate à l'aide d'un couteau bon marché.</v>
      </c>
    </row>
    <row r="13680">
      <c r="A13680" s="4" t="s">
        <v>17215</v>
      </c>
      <c r="B13680" s="6" t="s">
        <v>17218</v>
      </c>
      <c r="C13680" s="5" t="str">
        <f>IFERROR(__xludf.DUMMYFUNCTION("GOOGLETRANSLATE(B13680,""en"",""fr"")"),"Il lui semble difficile d'essayer d'utiliser un couteau qui fait à peine quoi que ce soit pour essayer de couper la tomate, mais la différence se manifeste dans de bons produits.")</f>
        <v>Il lui semble difficile d'essayer d'utiliser un couteau qui fait à peine quoi que ce soit pour essayer de couper la tomate, mais la différence se manifeste dans de bons produits.</v>
      </c>
    </row>
    <row r="13681">
      <c r="A13681" s="4" t="s">
        <v>17219</v>
      </c>
      <c r="B13681" s="4" t="s">
        <v>17220</v>
      </c>
      <c r="C13681" s="5" t="str">
        <f>IFERROR(__xludf.DUMMYFUNCTION("GOOGLETRANSLATE(B13681,""en"",""fr"")"),"Plusieurs motards montent en arrière et pour le festival du dessert.")</f>
        <v>Plusieurs motards montent en arrière et pour le festival du dessert.</v>
      </c>
    </row>
    <row r="13682">
      <c r="A13682" s="4" t="s">
        <v>17219</v>
      </c>
      <c r="B13682" s="6" t="s">
        <v>17221</v>
      </c>
      <c r="C13682" s="5" t="str">
        <f>IFERROR(__xludf.DUMMYFUNCTION("GOOGLETRANSLATE(B13682,""en"",""fr"")"),"Un homme vêtu de vêtements pour femmes arrive sur l'écran et commence à Hula Hoop pendant qu'une caméra est attachée au cerceau du hula.")</f>
        <v>Un homme vêtu de vêtements pour femmes arrive sur l'écran et commence à Hula Hoop pendant qu'une caméra est attachée au cerceau du hula.</v>
      </c>
    </row>
    <row r="13683">
      <c r="A13683" s="4" t="s">
        <v>17219</v>
      </c>
      <c r="B13683" s="4" t="s">
        <v>17222</v>
      </c>
      <c r="C13683" s="5" t="str">
        <f>IFERROR(__xludf.DUMMYFUNCTION("GOOGLETRANSLATE(B13683,""en"",""fr"")"),"Plusieurs autres personnes se produisent à l'intérieur de l'appareil photo Hula Hoop pendant que la musique joue.")</f>
        <v>Plusieurs autres personnes se produisent à l'intérieur de l'appareil photo Hula Hoop pendant que la musique joue.</v>
      </c>
    </row>
    <row r="13684">
      <c r="A13684" s="4" t="s">
        <v>17219</v>
      </c>
      <c r="B13684" s="4" t="s">
        <v>17223</v>
      </c>
      <c r="C13684" s="5" t="str">
        <f>IFERROR(__xludf.DUMMYFUNCTION("GOOGLETRANSLATE(B13684,""en"",""fr"")"),"Ensuite, plusieurs personnes sont présentées en Waliling jusqu'à la caméra Hula Hoop se préparant à Hula Hoop.")</f>
        <v>Ensuite, plusieurs personnes sont présentées en Waliling jusqu'à la caméra Hula Hoop se préparant à Hula Hoop.</v>
      </c>
    </row>
    <row r="13685">
      <c r="A13685" s="4" t="s">
        <v>17219</v>
      </c>
      <c r="B13685" s="4" t="s">
        <v>17224</v>
      </c>
      <c r="C13685" s="5" t="str">
        <f>IFERROR(__xludf.DUMMYFUNCTION("GOOGLETRANSLATE(B13685,""en"",""fr"")"),"L'homme qui est habillé en femme fait un câlin à quelqu'un.")</f>
        <v>L'homme qui est habillé en femme fait un câlin à quelqu'un.</v>
      </c>
    </row>
    <row r="13686">
      <c r="A13686" s="4" t="s">
        <v>17219</v>
      </c>
      <c r="B13686" s="4" t="s">
        <v>17225</v>
      </c>
      <c r="C13686" s="5" t="str">
        <f>IFERROR(__xludf.DUMMYFUNCTION("GOOGLETRANSLATE(B13686,""en"",""fr"")"),"La vidéo se termine par des personnes qui roulent sur un vélo pendant que la caméra est attachée au vélo.")</f>
        <v>La vidéo se termine par des personnes qui roulent sur un vélo pendant que la caméra est attachée au vélo.</v>
      </c>
    </row>
    <row r="13687">
      <c r="A13687" s="4" t="s">
        <v>17226</v>
      </c>
      <c r="B13687" s="6" t="s">
        <v>17227</v>
      </c>
      <c r="C13687" s="5" t="str">
        <f>IFERROR(__xludf.DUMMYFUNCTION("GOOGLETRANSLATE(B13687,""en"",""fr"")"),"Une femme est assise sur une chaise pendant qu'elle tire des morceaux de feuille d'art minces d'une petite table devant elle, et l'applique à une petite commode qui est également devant elle.")</f>
        <v>Une femme est assise sur une chaise pendant qu'elle tire des morceaux de feuille d'art minces d'une petite table devant elle, et l'applique à une petite commode qui est également devant elle.</v>
      </c>
    </row>
    <row r="13688">
      <c r="A13688" s="4" t="s">
        <v>17226</v>
      </c>
      <c r="B13688" s="6" t="s">
        <v>17228</v>
      </c>
      <c r="C13688" s="5" t="str">
        <f>IFERROR(__xludf.DUMMYFUNCTION("GOOGLETRANSLATE(B13688,""en"",""fr"")"),"La femme prend ensuite son pinceau et commence à brosser tous les morceaux de feuilles sur le tiroir supérieur tout en tenant une main sous elle pour attraper toutes les pièces qui tombent.")</f>
        <v>La femme prend ensuite son pinceau et commence à brosser tous les morceaux de feuilles sur le tiroir supérieur tout en tenant une main sous elle pour attraper toutes les pièces qui tombent.</v>
      </c>
    </row>
    <row r="13689">
      <c r="A13689" s="4" t="s">
        <v>17226</v>
      </c>
      <c r="B13689" s="4" t="s">
        <v>17229</v>
      </c>
      <c r="C13689" s="5" t="str">
        <f>IFERROR(__xludf.DUMMYFUNCTION("GOOGLETRANSLATE(B13689,""en"",""fr"")"),"La femme ferme ensuite le tiroir et la brosse un peu plus.")</f>
        <v>La femme ferme ensuite le tiroir et la brosse un peu plus.</v>
      </c>
    </row>
    <row r="13690">
      <c r="A13690" s="4" t="s">
        <v>17230</v>
      </c>
      <c r="B13690" s="4" t="s">
        <v>17231</v>
      </c>
      <c r="C13690" s="5" t="str">
        <f>IFERROR(__xludf.DUMMYFUNCTION("GOOGLETRANSLATE(B13690,""en"",""fr"")"),"Une femme est dans un gymnase qui parle.")</f>
        <v>Une femme est dans un gymnase qui parle.</v>
      </c>
    </row>
    <row r="13691">
      <c r="A13691" s="4" t="s">
        <v>17230</v>
      </c>
      <c r="B13691" s="4" t="s">
        <v>17232</v>
      </c>
      <c r="C13691" s="5" t="str">
        <f>IFERROR(__xludf.DUMMYFUNCTION("GOOGLETRANSLATE(B13691,""en"",""fr"")"),"La femme montre comment faire un exercice avec un pas.")</f>
        <v>La femme montre comment faire un exercice avec un pas.</v>
      </c>
    </row>
    <row r="13692">
      <c r="A13692" s="4" t="s">
        <v>17233</v>
      </c>
      <c r="B13692" s="4" t="s">
        <v>17234</v>
      </c>
      <c r="C13692" s="5" t="str">
        <f>IFERROR(__xludf.DUMMYFUNCTION("GOOGLETRANSLATE(B13692,""en"",""fr"")"),"Un homme chevauche un Jetski sur une rivière avec la caméra à distance.")</f>
        <v>Un homme chevauche un Jetski sur une rivière avec la caméra à distance.</v>
      </c>
    </row>
    <row r="13693">
      <c r="A13693" s="4" t="s">
        <v>17233</v>
      </c>
      <c r="B13693" s="4" t="s">
        <v>17235</v>
      </c>
      <c r="C13693" s="5" t="str">
        <f>IFERROR(__xludf.DUMMYFUNCTION("GOOGLETRANSLATE(B13693,""en"",""fr"")"),"L'homme jetskis tout en tenant la caméra à distance du bras.")</f>
        <v>L'homme jetskis tout en tenant la caméra à distance du bras.</v>
      </c>
    </row>
    <row r="13694">
      <c r="A13694" s="4" t="s">
        <v>17233</v>
      </c>
      <c r="B13694" s="4" t="s">
        <v>17236</v>
      </c>
      <c r="C13694" s="5" t="str">
        <f>IFERROR(__xludf.DUMMYFUNCTION("GOOGLETRANSLATE(B13694,""en"",""fr"")"),"L'homme est montré en ski nautique tout en étant tiré par le Jetski.")</f>
        <v>L'homme est montré en ski nautique tout en étant tiré par le Jetski.</v>
      </c>
    </row>
    <row r="13695">
      <c r="A13695" s="4" t="s">
        <v>17233</v>
      </c>
      <c r="B13695" s="4" t="s">
        <v>17237</v>
      </c>
      <c r="C13695" s="5" t="str">
        <f>IFERROR(__xludf.DUMMYFUNCTION("GOOGLETRANSLATE(B13695,""en"",""fr"")"),"L'homme tombe et est brièvement submergé.")</f>
        <v>L'homme tombe et est brièvement submergé.</v>
      </c>
    </row>
    <row r="13696">
      <c r="A13696" s="4" t="s">
        <v>17238</v>
      </c>
      <c r="B13696" s="4" t="s">
        <v>17239</v>
      </c>
      <c r="C13696" s="5" t="str">
        <f>IFERROR(__xludf.DUMMYFUNCTION("GOOGLETRANSLATE(B13696,""en"",""fr"")"),"Une personne est vue en plaçant un tapis sur un sol avec divers outils disposés autour de lui.")</f>
        <v>Une personne est vue en plaçant un tapis sur un sol avec divers outils disposés autour de lui.</v>
      </c>
    </row>
    <row r="13697">
      <c r="A13697" s="4" t="s">
        <v>17238</v>
      </c>
      <c r="B13697" s="6" t="s">
        <v>17240</v>
      </c>
      <c r="C13697" s="5" t="str">
        <f>IFERROR(__xludf.DUMMYFUNCTION("GOOGLETRANSLATE(B13697,""en"",""fr"")"),"Il mesure le sol avec un souverain suivi par lui de mettre du plâtre sur le sol et de remettre le tapis.")</f>
        <v>Il mesure le sol avec un souverain suivi par lui de mettre du plâtre sur le sol et de remettre le tapis.</v>
      </c>
    </row>
    <row r="13698">
      <c r="A13698" s="4" t="s">
        <v>17241</v>
      </c>
      <c r="B13698" s="4" t="s">
        <v>17242</v>
      </c>
      <c r="C13698" s="5" t="str">
        <f>IFERROR(__xludf.DUMMYFUNCTION("GOOGLETRANSLATE(B13698,""en"",""fr"")"),"Un jeune bébé est à l'extérieur dans l'eau trouble, tenant une barre blanche.")</f>
        <v>Un jeune bébé est à l'extérieur dans l'eau trouble, tenant une barre blanche.</v>
      </c>
    </row>
    <row r="13699">
      <c r="A13699" s="4" t="s">
        <v>17241</v>
      </c>
      <c r="B13699" s="4" t="s">
        <v>17243</v>
      </c>
      <c r="C13699" s="5" t="str">
        <f>IFERROR(__xludf.DUMMYFUNCTION("GOOGLETRANSLATE(B13699,""en"",""fr"")"),"Deux hommes le poussent et il est montré en conduisant un véhicule à eau tiré par un certain type de chose.")</f>
        <v>Deux hommes le poussent et il est montré en conduisant un véhicule à eau tiré par un certain type de chose.</v>
      </c>
    </row>
    <row r="13700">
      <c r="A13700" s="4" t="s">
        <v>17241</v>
      </c>
      <c r="B13700" s="6" t="s">
        <v>17244</v>
      </c>
      <c r="C13700" s="5" t="str">
        <f>IFERROR(__xludf.DUMMYFUNCTION("GOOGLETRANSLATE(B13700,""en"",""fr"")"),"Pendant qu'il se déplace, une femme est du côté de lui le suivant et l'arrêta en train de s'assurer qu'il va bien.")</f>
        <v>Pendant qu'il se déplace, une femme est du côté de lui le suivant et l'arrêta en train de s'assurer qu'il va bien.</v>
      </c>
    </row>
    <row r="13701">
      <c r="A13701" s="4" t="s">
        <v>17245</v>
      </c>
      <c r="B13701" s="6" t="s">
        <v>17246</v>
      </c>
      <c r="C13701" s="5" t="str">
        <f>IFERROR(__xludf.DUMMYFUNCTION("GOOGLETRANSLATE(B13701,""en"",""fr"")"),"Une main est vue jouer avec une machine suivie de plans d'une plage et d'un jeune garçon portant une voile de vent.")</f>
        <v>Une main est vue jouer avec une machine suivie de plans d'une plage et d'un jeune garçon portant une voile de vent.</v>
      </c>
    </row>
    <row r="13702">
      <c r="A13702" s="4" t="s">
        <v>17245</v>
      </c>
      <c r="B13702" s="6" t="s">
        <v>17247</v>
      </c>
      <c r="C13702" s="5" t="str">
        <f>IFERROR(__xludf.DUMMYFUNCTION("GOOGLETRANSLATE(B13702,""en"",""fr"")"),"Beaucoup de gens se tiennent sur la plage en se promenant et en menant à un homme qui tire une voile sur un bateau et des gens se préparant à surfer sur le vent.")</f>
        <v>Beaucoup de gens se tiennent sur la plage en se promenant et en menant à un homme qui tire une voile sur un bateau et des gens se préparant à surfer sur le vent.</v>
      </c>
    </row>
    <row r="13703">
      <c r="A13703" s="4" t="s">
        <v>17245</v>
      </c>
      <c r="B13703" s="6" t="s">
        <v>17248</v>
      </c>
      <c r="C13703" s="5" t="str">
        <f>IFERROR(__xludf.DUMMYFUNCTION("GOOGLETRANSLATE(B13703,""en"",""fr"")"),"Plusieurs plans sont représentés des personnes qui roulent le long de l'eau avec un cerf-volant ainsi que des personnes sur un bateau et divers paysages.")</f>
        <v>Plusieurs plans sont représentés des personnes qui roulent le long de l'eau avec un cerf-volant ainsi que des personnes sur un bateau et divers paysages.</v>
      </c>
    </row>
    <row r="13704">
      <c r="A13704" s="4" t="s">
        <v>17245</v>
      </c>
      <c r="B13704" s="4" t="s">
        <v>17249</v>
      </c>
      <c r="C13704" s="5" t="str">
        <f>IFERROR(__xludf.DUMMYFUNCTION("GOOGLETRANSLATE(B13704,""en"",""fr"")"),"À la fin, une photo d'un coucher de soleil est montrée.")</f>
        <v>À la fin, une photo d'un coucher de soleil est montrée.</v>
      </c>
    </row>
    <row r="13705">
      <c r="A13705" s="4" t="s">
        <v>17250</v>
      </c>
      <c r="B13705" s="4" t="s">
        <v>17251</v>
      </c>
      <c r="C13705" s="5" t="str">
        <f>IFERROR(__xludf.DUMMYFUNCTION("GOOGLETRANSLATE(B13705,""en"",""fr"")"),"Un homme met des ingrédients dans une casserole.")</f>
        <v>Un homme met des ingrédients dans une casserole.</v>
      </c>
    </row>
    <row r="13706">
      <c r="A13706" s="4" t="s">
        <v>17250</v>
      </c>
      <c r="B13706" s="4" t="s">
        <v>17252</v>
      </c>
      <c r="C13706" s="5" t="str">
        <f>IFERROR(__xludf.DUMMYFUNCTION("GOOGLETRANSLATE(B13706,""en"",""fr"")"),"Il le remue ensemble sur un poêle.")</f>
        <v>Il le remue ensemble sur un poêle.</v>
      </c>
    </row>
    <row r="13707">
      <c r="A13707" s="4" t="s">
        <v>17250</v>
      </c>
      <c r="B13707" s="4" t="s">
        <v>17253</v>
      </c>
      <c r="C13707" s="5" t="str">
        <f>IFERROR(__xludf.DUMMYFUNCTION("GOOGLETRANSLATE(B13707,""en"",""fr"")"),"Il le met sur une assiette et montre la caméra.")</f>
        <v>Il le met sur une assiette et montre la caméra.</v>
      </c>
    </row>
    <row r="13708">
      <c r="A13708" s="4" t="s">
        <v>17254</v>
      </c>
      <c r="B13708" s="4" t="s">
        <v>17255</v>
      </c>
      <c r="C13708" s="5" t="str">
        <f>IFERROR(__xludf.DUMMYFUNCTION("GOOGLETRANSLATE(B13708,""en"",""fr"")"),"Un homme coule sur la piste.")</f>
        <v>Un homme coule sur la piste.</v>
      </c>
    </row>
    <row r="13709">
      <c r="A13709" s="4" t="s">
        <v>17254</v>
      </c>
      <c r="B13709" s="4" t="s">
        <v>17256</v>
      </c>
      <c r="C13709" s="5" t="str">
        <f>IFERROR(__xludf.DUMMYFUNCTION("GOOGLETRANSLATE(B13709,""en"",""fr"")"),"Il jette un javelot sur le terrain.")</f>
        <v>Il jette un javelot sur le terrain.</v>
      </c>
    </row>
    <row r="13710">
      <c r="A13710" s="4" t="s">
        <v>17254</v>
      </c>
      <c r="B13710" s="4" t="s">
        <v>17257</v>
      </c>
      <c r="C13710" s="5" t="str">
        <f>IFERROR(__xludf.DUMMYFUNCTION("GOOGLETRANSLATE(B13710,""en"",""fr"")"),"Le public est derrière lui dans les tribunes en regardant.")</f>
        <v>Le public est derrière lui dans les tribunes en regardant.</v>
      </c>
    </row>
    <row r="13711">
      <c r="A13711" s="4" t="s">
        <v>17258</v>
      </c>
      <c r="B13711" s="4" t="s">
        <v>17259</v>
      </c>
      <c r="C13711" s="5" t="str">
        <f>IFERROR(__xludf.DUMMYFUNCTION("GOOGLETRANSLATE(B13711,""en"",""fr"")"),"Un homme athlétique est vu courir pour lancer une balle et une autre personne le frappe dans le public.")</f>
        <v>Un homme athlétique est vu courir pour lancer une balle et une autre personne le frappe dans le public.</v>
      </c>
    </row>
    <row r="13712">
      <c r="A13712" s="4" t="s">
        <v>17258</v>
      </c>
      <c r="B13712" s="6" t="s">
        <v>17260</v>
      </c>
      <c r="C13712" s="5" t="str">
        <f>IFERROR(__xludf.DUMMYFUNCTION("GOOGLETRANSLATE(B13712,""en"",""fr"")"),"Plus de clips sont montrés des personnes jouant le jeu sur le terrain avec les acclamations du public et les joueurs se déplacent sur le terrain.")</f>
        <v>Plus de clips sont montrés des personnes jouant le jeu sur le terrain avec les acclamations du public et les joueurs se déplacent sur le terrain.</v>
      </c>
    </row>
    <row r="13713">
      <c r="A13713" s="4" t="s">
        <v>17261</v>
      </c>
      <c r="B13713" s="4" t="s">
        <v>17262</v>
      </c>
      <c r="C13713" s="5" t="str">
        <f>IFERROR(__xludf.DUMMYFUNCTION("GOOGLETRANSLATE(B13713,""en"",""fr"")"),"Les gens sortent d'une camionnette tenant des snowboards.")</f>
        <v>Les gens sortent d'une camionnette tenant des snowboards.</v>
      </c>
    </row>
    <row r="13714">
      <c r="A13714" s="4" t="s">
        <v>17261</v>
      </c>
      <c r="B13714" s="4" t="s">
        <v>17263</v>
      </c>
      <c r="C13714" s="5" t="str">
        <f>IFERROR(__xludf.DUMMYFUNCTION("GOOGLETRANSLATE(B13714,""en"",""fr"")"),"Un homme traverse son snowboard.")</f>
        <v>Un homme traverse son snowboard.</v>
      </c>
    </row>
    <row r="13715">
      <c r="A13715" s="4" t="s">
        <v>17261</v>
      </c>
      <c r="B13715" s="4" t="s">
        <v>17264</v>
      </c>
      <c r="C13715" s="5" t="str">
        <f>IFERROR(__xludf.DUMMYFUNCTION("GOOGLETRANSLATE(B13715,""en"",""fr"")"),"Plusieurs personnes font du neige sur une colline.")</f>
        <v>Plusieurs personnes font du neige sur une colline.</v>
      </c>
    </row>
    <row r="13716">
      <c r="A13716" s="4" t="s">
        <v>17261</v>
      </c>
      <c r="B13716" s="4" t="s">
        <v>17265</v>
      </c>
      <c r="C13716" s="5" t="str">
        <f>IFERROR(__xludf.DUMMYFUNCTION("GOOGLETRANSLATE(B13716,""en"",""fr"")"),"Un homme en lunettes parle.")</f>
        <v>Un homme en lunettes parle.</v>
      </c>
    </row>
    <row r="13717">
      <c r="A13717" s="4" t="s">
        <v>17261</v>
      </c>
      <c r="B13717" s="4" t="s">
        <v>17266</v>
      </c>
      <c r="C13717" s="5" t="str">
        <f>IFERROR(__xludf.DUMMYFUNCTION("GOOGLETRANSLATE(B13717,""en"",""fr"")"),"Une femme tient un enfant pour embrasser un homme.")</f>
        <v>Une femme tient un enfant pour embrasser un homme.</v>
      </c>
    </row>
    <row r="13718">
      <c r="A13718" s="4" t="s">
        <v>17261</v>
      </c>
      <c r="B13718" s="4" t="s">
        <v>17267</v>
      </c>
      <c r="C13718" s="5" t="str">
        <f>IFERROR(__xludf.DUMMYFUNCTION("GOOGLETRANSLATE(B13718,""en"",""fr"")"),"Les gens sont du snowboard sur une colline.")</f>
        <v>Les gens sont du snowboard sur une colline.</v>
      </c>
    </row>
    <row r="13719">
      <c r="A13719" s="4" t="s">
        <v>17261</v>
      </c>
      <c r="B13719" s="4" t="s">
        <v>17268</v>
      </c>
      <c r="C13719" s="5" t="str">
        <f>IFERROR(__xludf.DUMMYFUNCTION("GOOGLETRANSLATE(B13719,""en"",""fr"")"),"Un homme parle à la caméra.")</f>
        <v>Un homme parle à la caméra.</v>
      </c>
    </row>
    <row r="13720">
      <c r="A13720" s="4" t="s">
        <v>17261</v>
      </c>
      <c r="B13720" s="4" t="s">
        <v>17269</v>
      </c>
      <c r="C13720" s="5" t="str">
        <f>IFERROR(__xludf.DUMMYFUNCTION("GOOGLETRANSLATE(B13720,""en"",""fr"")"),"Plusieurs personnes font des astuces sur leurs snowboards.")</f>
        <v>Plusieurs personnes font des astuces sur leurs snowboards.</v>
      </c>
    </row>
    <row r="13721">
      <c r="A13721" s="4" t="s">
        <v>17261</v>
      </c>
      <c r="B13721" s="4" t="s">
        <v>17270</v>
      </c>
      <c r="C13721" s="5" t="str">
        <f>IFERROR(__xludf.DUMMYFUNCTION("GOOGLETRANSLATE(B13721,""en"",""fr"")"),"Un homme parle à nouveau à la caméra.")</f>
        <v>Un homme parle à nouveau à la caméra.</v>
      </c>
    </row>
    <row r="13722">
      <c r="A13722" s="4" t="s">
        <v>17261</v>
      </c>
      <c r="B13722" s="4" t="s">
        <v>17271</v>
      </c>
      <c r="C13722" s="5" t="str">
        <f>IFERROR(__xludf.DUMMYFUNCTION("GOOGLETRANSLATE(B13722,""en"",""fr"")"),"Plusieurs autres personnes sont du snowboard et parlent.")</f>
        <v>Plusieurs autres personnes sont du snowboard et parlent.</v>
      </c>
    </row>
    <row r="13723">
      <c r="A13723" s="4" t="s">
        <v>17261</v>
      </c>
      <c r="B13723" s="4" t="s">
        <v>17272</v>
      </c>
      <c r="C13723" s="5" t="str">
        <f>IFERROR(__xludf.DUMMYFUNCTION("GOOGLETRANSLATE(B13723,""en"",""fr"")"),"Un homme avec une barbe parle à la caméra.")</f>
        <v>Un homme avec une barbe parle à la caméra.</v>
      </c>
    </row>
    <row r="13724">
      <c r="A13724" s="4" t="s">
        <v>17261</v>
      </c>
      <c r="B13724" s="4" t="s">
        <v>17273</v>
      </c>
      <c r="C13724" s="5" t="str">
        <f>IFERROR(__xludf.DUMMYFUNCTION("GOOGLETRANSLATE(B13724,""en"",""fr"")"),"Un homme enlève son snowboard.")</f>
        <v>Un homme enlève son snowboard.</v>
      </c>
    </row>
    <row r="13725">
      <c r="A13725" s="4" t="s">
        <v>17274</v>
      </c>
      <c r="B13725" s="6" t="s">
        <v>17275</v>
      </c>
      <c r="C13725" s="5" t="str">
        <f>IFERROR(__xludf.DUMMYFUNCTION("GOOGLETRANSLATE(B13725,""en"",""fr"")"),"Deux garçons en costume de karaté bleu et des ceintures rouges se tiennent sur une scène dans une cafétéria scolaire et ils font une routine de karaté à l'unisson.")</f>
        <v>Deux garçons en costume de karaté bleu et des ceintures rouges se tiennent sur une scène dans une cafétéria scolaire et ils font une routine de karaté à l'unisson.</v>
      </c>
    </row>
    <row r="13726">
      <c r="A13726" s="4" t="s">
        <v>17274</v>
      </c>
      <c r="B13726" s="6" t="s">
        <v>17276</v>
      </c>
      <c r="C13726" s="5" t="str">
        <f>IFERROR(__xludf.DUMMYFUNCTION("GOOGLETRANSLATE(B13726,""en"",""fr"")"),"Quand ils ont fini, ils se tournent les uns contre les autres, s'inclinent et font des matchs de karaté qui impliquent de se jeter doucement à la terre et lorsqu'ils sont terminés avec les matchs, ils prennent chacun un arc face à la foule.")</f>
        <v>Quand ils ont fini, ils se tournent les uns contre les autres, s'inclinent et font des matchs de karaté qui impliquent de se jeter doucement à la terre et lorsqu'ils sont terminés avec les matchs, ils prennent chacun un arc face à la foule.</v>
      </c>
    </row>
    <row r="13727">
      <c r="A13727" s="4" t="s">
        <v>17274</v>
      </c>
      <c r="B13727" s="6" t="s">
        <v>17277</v>
      </c>
      <c r="C13727" s="5" t="str">
        <f>IFERROR(__xludf.DUMMYFUNCTION("GOOGLETRANSLATE(B13727,""en"",""fr"")"),"Les garçons commencent alors une autre routine de karaté et ils font divers mouvements avec leurs bras et leurs jambes tout en les faisant à l'unisson autant que possible.")</f>
        <v>Les garçons commencent alors une autre routine de karaté et ils font divers mouvements avec leurs bras et leurs jambes tout en les faisant à l'unisson autant que possible.</v>
      </c>
    </row>
    <row r="13728">
      <c r="A13728" s="4" t="s">
        <v>17274</v>
      </c>
      <c r="B13728" s="4" t="s">
        <v>17278</v>
      </c>
      <c r="C13728" s="5" t="str">
        <f>IFERROR(__xludf.DUMMYFUNCTION("GOOGLETRANSLATE(B13728,""en"",""fr"")"),"Une fois terminés, ils prennent tous les deux un arc face à la foule et ils courent tous les deux de la scène de l'école.")</f>
        <v>Une fois terminés, ils prennent tous les deux un arc face à la foule et ils courent tous les deux de la scène de l'école.</v>
      </c>
    </row>
    <row r="13729">
      <c r="A13729" s="4" t="s">
        <v>17279</v>
      </c>
      <c r="B13729" s="4" t="s">
        <v>17280</v>
      </c>
      <c r="C13729" s="5" t="str">
        <f>IFERROR(__xludf.DUMMYFUNCTION("GOOGLETRANSLATE(B13729,""en"",""fr"")"),"Un homme et un petit garçon tondent une pelouse.")</f>
        <v>Un homme et un petit garçon tondent une pelouse.</v>
      </c>
    </row>
    <row r="13730">
      <c r="A13730" s="4" t="s">
        <v>17279</v>
      </c>
      <c r="B13730" s="4" t="s">
        <v>17281</v>
      </c>
      <c r="C13730" s="5" t="str">
        <f>IFERROR(__xludf.DUMMYFUNCTION("GOOGLETRANSLATE(B13730,""en"",""fr"")"),"L'homme pousse la vraie tondeuse d'avant en arrière.")</f>
        <v>L'homme pousse la vraie tondeuse d'avant en arrière.</v>
      </c>
    </row>
    <row r="13731">
      <c r="A13731" s="4" t="s">
        <v>17279</v>
      </c>
      <c r="B13731" s="4" t="s">
        <v>17282</v>
      </c>
      <c r="C13731" s="5" t="str">
        <f>IFERROR(__xludf.DUMMYFUNCTION("GOOGLETRANSLATE(B13731,""en"",""fr"")"),"Le petit garçon le suit avec une tondeuse à jouets.")</f>
        <v>Le petit garçon le suit avec une tondeuse à jouets.</v>
      </c>
    </row>
    <row r="13732">
      <c r="A13732" s="4" t="s">
        <v>17283</v>
      </c>
      <c r="B13732" s="4" t="s">
        <v>17284</v>
      </c>
      <c r="C13732" s="5" t="str">
        <f>IFERROR(__xludf.DUMMYFUNCTION("GOOGLETRANSLATE(B13732,""en"",""fr"")"),"Un homme est vu faire divers flips et astuces sur un sol de gym tandis que d'autres s'entraînent derrière lui.")</f>
        <v>Un homme est vu faire divers flips et astuces sur un sol de gym tandis que d'autres s'entraînent derrière lui.</v>
      </c>
    </row>
    <row r="13733">
      <c r="A13733" s="4" t="s">
        <v>17283</v>
      </c>
      <c r="B13733" s="4" t="s">
        <v>17285</v>
      </c>
      <c r="C13733" s="5" t="str">
        <f>IFERROR(__xludf.DUMMYFUNCTION("GOOGLETRANSLATE(B13733,""en"",""fr"")"),"L'homme continue de glisser dans la pièce pendant que les gens qui le promenaient s'arrêtent et regardent.")</f>
        <v>L'homme continue de glisser dans la pièce pendant que les gens qui le promenaient s'arrêtent et regardent.</v>
      </c>
    </row>
    <row r="13734">
      <c r="A13734" s="4" t="s">
        <v>17286</v>
      </c>
      <c r="B13734" s="4" t="s">
        <v>17287</v>
      </c>
      <c r="C13734" s="5" t="str">
        <f>IFERROR(__xludf.DUMMYFUNCTION("GOOGLETRANSLATE(B13734,""en"",""fr"")"),"Un athlète effectue un saut en longueur lors d'un événement sportif professionnel alors que les spectateurs montrent et applaudissent.")</f>
        <v>Un athlète effectue un saut en longueur lors d'un événement sportif professionnel alors que les spectateurs montrent et applaudissent.</v>
      </c>
    </row>
    <row r="13735">
      <c r="A13735" s="4" t="s">
        <v>17286</v>
      </c>
      <c r="B13735" s="4" t="s">
        <v>17288</v>
      </c>
      <c r="C13735" s="5" t="str">
        <f>IFERROR(__xludf.DUMMYFUNCTION("GOOGLETRANSLATE(B13735,""en"",""fr"")"),"Un homme dans une tenue athlétique et un numéro de papier épinglé à ses pas de poitrine sur un terrain de sport.")</f>
        <v>Un homme dans une tenue athlétique et un numéro de papier épinglé à ses pas de poitrine sur un terrain de sport.</v>
      </c>
    </row>
    <row r="13736">
      <c r="A13736" s="4" t="s">
        <v>17286</v>
      </c>
      <c r="B13736" s="4" t="s">
        <v>17289</v>
      </c>
      <c r="C13736" s="5" t="str">
        <f>IFERROR(__xludf.DUMMYFUNCTION("GOOGLETRANSLATE(B13736,""en"",""fr"")"),"L'homme parcourt une distance et effectue un saut en longueur.")</f>
        <v>L'homme parcourt une distance et effectue un saut en longueur.</v>
      </c>
    </row>
    <row r="13737">
      <c r="A13737" s="4" t="s">
        <v>17286</v>
      </c>
      <c r="B13737" s="6" t="s">
        <v>17290</v>
      </c>
      <c r="C13737" s="5" t="str">
        <f>IFERROR(__xludf.DUMMYFUNCTION("GOOGLETRANSLATE(B13737,""en"",""fr"")"),"L'homme sourit et passe après le saut en longueur alors qu'un drapeau britannique vague en arrière-plan et un modèle de son score traverse l'écran avec des réacrations au ralenti.")</f>
        <v>L'homme sourit et passe après le saut en longueur alors qu'un drapeau britannique vague en arrière-plan et un modèle de son score traverse l'écran avec des réacrations au ralenti.</v>
      </c>
    </row>
    <row r="13738">
      <c r="A13738" s="4" t="s">
        <v>17286</v>
      </c>
      <c r="B13738" s="4" t="s">
        <v>17291</v>
      </c>
      <c r="C13738" s="5" t="str">
        <f>IFERROR(__xludf.DUMMYFUNCTION("GOOGLETRANSLATE(B13738,""en"",""fr"")"),"L'homme enlève ses chaussures en s'asseyant sur un banc.")</f>
        <v>L'homme enlève ses chaussures en s'asseyant sur un banc.</v>
      </c>
    </row>
    <row r="13739">
      <c r="A13739" s="4" t="s">
        <v>17292</v>
      </c>
      <c r="B13739" s="4" t="s">
        <v>17293</v>
      </c>
      <c r="C13739" s="5" t="str">
        <f>IFERROR(__xludf.DUMMYFUNCTION("GOOGLETRANSLATE(B13739,""en"",""fr"")"),"Un groupe de personnes est vu rouler dans les tampres et se heurter les uns aux autres.")</f>
        <v>Un groupe de personnes est vu rouler dans les tampres et se heurter les uns aux autres.</v>
      </c>
    </row>
    <row r="13740">
      <c r="A13740" s="4" t="s">
        <v>17292</v>
      </c>
      <c r="B13740" s="6" t="s">
        <v>17294</v>
      </c>
      <c r="C13740" s="5" t="str">
        <f>IFERROR(__xludf.DUMMYFUNCTION("GOOGLETRANSLATE(B13740,""en"",""fr"")"),"Les gens continuent de se cogner et de conduire, puis s'arrêtent pour sortir des voitures.")</f>
        <v>Les gens continuent de se cogner et de conduire, puis s'arrêtent pour sortir des voitures.</v>
      </c>
    </row>
    <row r="13741">
      <c r="A13741" s="4" t="s">
        <v>17295</v>
      </c>
      <c r="B13741" s="4" t="s">
        <v>17296</v>
      </c>
      <c r="C13741" s="5" t="str">
        <f>IFERROR(__xludf.DUMMYFUNCTION("GOOGLETRANSLATE(B13741,""en"",""fr"")"),"Les gens conduisent dans une voiture dans la rue.")</f>
        <v>Les gens conduisent dans une voiture dans la rue.</v>
      </c>
    </row>
    <row r="13742">
      <c r="A13742" s="4" t="s">
        <v>17295</v>
      </c>
      <c r="B13742" s="4" t="s">
        <v>17297</v>
      </c>
      <c r="C13742" s="5" t="str">
        <f>IFERROR(__xludf.DUMMYFUNCTION("GOOGLETRANSLATE(B13742,""en"",""fr"")"),"Un homme est un wakeboard dans l'eau plein de baies.")</f>
        <v>Un homme est un wakeboard dans l'eau plein de baies.</v>
      </c>
    </row>
    <row r="13743">
      <c r="A13743" s="4" t="s">
        <v>17295</v>
      </c>
      <c r="B13743" s="4" t="s">
        <v>17298</v>
      </c>
      <c r="C13743" s="5" t="str">
        <f>IFERROR(__xludf.DUMMYFUNCTION("GOOGLETRANSLATE(B13743,""en"",""fr"")"),"Une camionnette conduit sur une route au bord de l'eau.")</f>
        <v>Une camionnette conduit sur une route au bord de l'eau.</v>
      </c>
    </row>
    <row r="13744">
      <c r="A13744" s="4" t="s">
        <v>17299</v>
      </c>
      <c r="B13744" s="4" t="s">
        <v>17300</v>
      </c>
      <c r="C13744" s="5" t="str">
        <f>IFERROR(__xludf.DUMMYFUNCTION("GOOGLETRANSLATE(B13744,""en"",""fr"")"),"Une jeune fille dans une tenue jaune pose avec un bâton.")</f>
        <v>Une jeune fille dans une tenue jaune pose avec un bâton.</v>
      </c>
    </row>
    <row r="13745">
      <c r="A13745" s="4" t="s">
        <v>17299</v>
      </c>
      <c r="B13745" s="4" t="s">
        <v>17301</v>
      </c>
      <c r="C13745" s="5" t="str">
        <f>IFERROR(__xludf.DUMMYFUNCTION("GOOGLETRANSLATE(B13745,""en"",""fr"")"),"Elle commence à danser, faisant tournoyer le bâton au fur et à mesure.")</f>
        <v>Elle commence à danser, faisant tournoyer le bâton au fur et à mesure.</v>
      </c>
    </row>
    <row r="13746">
      <c r="A13746" s="4" t="s">
        <v>17299</v>
      </c>
      <c r="B13746" s="4" t="s">
        <v>17302</v>
      </c>
      <c r="C13746" s="5" t="str">
        <f>IFERROR(__xludf.DUMMYFUNCTION("GOOGLETRANSLATE(B13746,""en"",""fr"")"),"La fille tourne, s'assoit, glisse et tournoie pendant qu'elle se produit.")</f>
        <v>La fille tourne, s'assoit, glisse et tournoie pendant qu'elle se produit.</v>
      </c>
    </row>
    <row r="13747">
      <c r="A13747" s="4" t="s">
        <v>17299</v>
      </c>
      <c r="B13747" s="4" t="s">
        <v>17303</v>
      </c>
      <c r="C13747" s="5" t="str">
        <f>IFERROR(__xludf.DUMMYFUNCTION("GOOGLETRANSLATE(B13747,""en"",""fr"")"),"Elle tombe au sol dans une pose et sourit alors qu'elle termine.")</f>
        <v>Elle tombe au sol dans une pose et sourit alors qu'elle termine.</v>
      </c>
    </row>
    <row r="13748">
      <c r="A13748" s="4" t="s">
        <v>17304</v>
      </c>
      <c r="B13748" s="4" t="s">
        <v>17305</v>
      </c>
      <c r="C13748" s="5" t="str">
        <f>IFERROR(__xludf.DUMMYFUNCTION("GOOGLETRANSLATE(B13748,""en"",""fr"")"),"Un homme est vu à genoux sur un sol et met ses mains derrière sa tête.")</f>
        <v>Un homme est vu à genoux sur un sol et met ses mains derrière sa tête.</v>
      </c>
    </row>
    <row r="13749">
      <c r="A13749" s="4" t="s">
        <v>17304</v>
      </c>
      <c r="B13749" s="4" t="s">
        <v>17306</v>
      </c>
      <c r="C13749" s="5" t="str">
        <f>IFERROR(__xludf.DUMMYFUNCTION("GOOGLETRANSLATE(B13749,""en"",""fr"")"),"Il plie ensuite son corps en avant et effectue plusieurs sauts sur ses pieds.")</f>
        <v>Il plie ensuite son corps en avant et effectue plusieurs sauts sur ses pieds.</v>
      </c>
    </row>
    <row r="13750">
      <c r="A13750" s="4" t="s">
        <v>17307</v>
      </c>
      <c r="B13750" s="6" t="s">
        <v>17308</v>
      </c>
      <c r="C13750" s="5" t="str">
        <f>IFERROR(__xludf.DUMMYFUNCTION("GOOGLETRANSLATE(B13750,""en"",""fr"")"),"Trois personnes roulent sur des planches à roulettes sur une route dans une ville et le texte sur l'écran inférieur gauche dit ""Trois habitués justice - New Jack"" et ils patinent rapidement à l'avenir, se tournent, se plient et font d'autres astuces tou"&amp;"t au long du ville et ne portant aucun casque ou autre équipement de sécurité.")</f>
        <v>Trois personnes roulent sur des planches à roulettes sur une route dans une ville et le texte sur l'écran inférieur gauche dit "Trois habitués justice - New Jack" et ils patinent rapidement à l'avenir, se tournent, se plient et font d'autres astuces tout au long du ville et ne portant aucun casque ou autre équipement de sécurité.</v>
      </c>
    </row>
    <row r="13751">
      <c r="A13751" s="4" t="s">
        <v>17307</v>
      </c>
      <c r="B13751" s="6" t="s">
        <v>17309</v>
      </c>
      <c r="C13751" s="5" t="str">
        <f>IFERROR(__xludf.DUMMYFUNCTION("GOOGLETRANSLATE(B13751,""en"",""fr"")"),"Deux des gars sont arrêtés sur une route, puis tout d'un coup, l'un d'eux ramasse une planche à roulettes et le jette très fort contre le mur.")</f>
        <v>Deux des gars sont arrêtés sur une route, puis tout d'un coup, l'un d'eux ramasse une planche à roulettes et le jette très fort contre le mur.</v>
      </c>
    </row>
    <row r="13752">
      <c r="A13752" s="4" t="s">
        <v>17307</v>
      </c>
      <c r="B13752" s="6" t="s">
        <v>17310</v>
      </c>
      <c r="C13752" s="5" t="str">
        <f>IFERROR(__xludf.DUMMYFUNCTION("GOOGLETRANSLATE(B13752,""en"",""fr"")"),"Les gars sont affichés à nouveau de la planche à roulettes et cette fois, ils portent des casques alors qu'ils skateboard sur les routes de cette ville se déroulent très vite et font plusieurs astuces diverses.")</f>
        <v>Les gars sont affichés à nouveau de la planche à roulettes et cette fois, ils portent des casques alors qu'ils skateboard sur les routes de cette ville se déroulent très vite et font plusieurs astuces diverses.</v>
      </c>
    </row>
    <row r="13753">
      <c r="A13753" s="4" t="s">
        <v>17311</v>
      </c>
      <c r="B13753" s="4" t="s">
        <v>17312</v>
      </c>
      <c r="C13753" s="5" t="str">
        <f>IFERROR(__xludf.DUMMYFUNCTION("GOOGLETRANSLATE(B13753,""en"",""fr"")"),"Nous voyons de jeunes femmes s'embrasser sur une piste.")</f>
        <v>Nous voyons de jeunes femmes s'embrasser sur une piste.</v>
      </c>
    </row>
    <row r="13754">
      <c r="A13754" s="4" t="s">
        <v>17311</v>
      </c>
      <c r="B13754" s="4" t="s">
        <v>17313</v>
      </c>
      <c r="C13754" s="5" t="str">
        <f>IFERROR(__xludf.DUMMYFUNCTION("GOOGLETRANSLATE(B13754,""en"",""fr"")"),"Nous voyons ensuite la relecture de leur course.")</f>
        <v>Nous voyons ensuite la relecture de leur course.</v>
      </c>
    </row>
    <row r="13755">
      <c r="A13755" s="4" t="s">
        <v>17311</v>
      </c>
      <c r="B13755" s="4" t="s">
        <v>17314</v>
      </c>
      <c r="C13755" s="5" t="str">
        <f>IFERROR(__xludf.DUMMYFUNCTION("GOOGLETRANSLATE(B13755,""en"",""fr"")"),"Une dame balance ses bras en terminant.")</f>
        <v>Une dame balance ses bras en terminant.</v>
      </c>
    </row>
    <row r="13756">
      <c r="A13756" s="4" t="s">
        <v>17311</v>
      </c>
      <c r="B13756" s="4" t="s">
        <v>6208</v>
      </c>
      <c r="C13756" s="5" t="str">
        <f>IFERROR(__xludf.DUMMYFUNCTION("GOOGLETRANSLATE(B13756,""en"",""fr"")"),"Nous voyons un écran de titre.")</f>
        <v>Nous voyons un écran de titre.</v>
      </c>
    </row>
    <row r="13757">
      <c r="A13757" s="4" t="s">
        <v>17311</v>
      </c>
      <c r="B13757" s="4" t="s">
        <v>17315</v>
      </c>
      <c r="C13757" s="5" t="str">
        <f>IFERROR(__xludf.DUMMYFUNCTION("GOOGLETRANSLATE(B13757,""en"",""fr"")"),"Nous voyons 4 dames lancer le marteau.")</f>
        <v>Nous voyons 4 dames lancer le marteau.</v>
      </c>
    </row>
    <row r="13758">
      <c r="A13758" s="4" t="s">
        <v>17311</v>
      </c>
      <c r="B13758" s="4" t="s">
        <v>17316</v>
      </c>
      <c r="C13758" s="5" t="str">
        <f>IFERROR(__xludf.DUMMYFUNCTION("GOOGLETRANSLATE(B13758,""en"",""fr"")"),"Une dame étreint quelqu'un après son lancement.")</f>
        <v>Une dame étreint quelqu'un après son lancement.</v>
      </c>
    </row>
    <row r="13759">
      <c r="A13759" s="4" t="s">
        <v>17311</v>
      </c>
      <c r="B13759" s="4" t="s">
        <v>17317</v>
      </c>
      <c r="C13759" s="5" t="str">
        <f>IFERROR(__xludf.DUMMYFUNCTION("GOOGLETRANSLATE(B13759,""en"",""fr"")"),"Une dame étreint une femme et un homme.")</f>
        <v>Une dame étreint une femme et un homme.</v>
      </c>
    </row>
    <row r="13760">
      <c r="A13760" s="4" t="s">
        <v>17318</v>
      </c>
      <c r="B13760" s="4" t="s">
        <v>17319</v>
      </c>
      <c r="C13760" s="5" t="str">
        <f>IFERROR(__xludf.DUMMYFUNCTION("GOOGLETRANSLATE(B13760,""en"",""fr"")"),"Un petit garçon balance un grand équipement de terrain de jeu.")</f>
        <v>Un petit garçon balance un grand équipement de terrain de jeu.</v>
      </c>
    </row>
    <row r="13761">
      <c r="A13761" s="4" t="s">
        <v>17318</v>
      </c>
      <c r="B13761" s="4" t="s">
        <v>17320</v>
      </c>
      <c r="C13761" s="5" t="str">
        <f>IFERROR(__xludf.DUMMYFUNCTION("GOOGLETRANSLATE(B13761,""en"",""fr"")"),"Il balance à travers les barreaux, essayant de tenir le coup.")</f>
        <v>Il balance à travers les barreaux, essayant de tenir le coup.</v>
      </c>
    </row>
    <row r="13762">
      <c r="A13762" s="4" t="s">
        <v>17318</v>
      </c>
      <c r="B13762" s="4" t="s">
        <v>17321</v>
      </c>
      <c r="C13762" s="5" t="str">
        <f>IFERROR(__xludf.DUMMYFUNCTION("GOOGLETRANSLATE(B13762,""en"",""fr"")"),"Il arrive jusqu'à la fin avant de sauter.")</f>
        <v>Il arrive jusqu'à la fin avant de sauter.</v>
      </c>
    </row>
    <row r="13763">
      <c r="A13763" s="4" t="s">
        <v>17322</v>
      </c>
      <c r="B13763" s="6" t="s">
        <v>17323</v>
      </c>
      <c r="C13763" s="5" t="str">
        <f>IFERROR(__xludf.DUMMYFUNCTION("GOOGLETRANSLATE(B13763,""en"",""fr"")"),"Un gros plan de chaussures est montré suivi par une personne tenant les chaussures et frottant le vernis autour des chaussures.")</f>
        <v>Un gros plan de chaussures est montré suivi par une personne tenant les chaussures et frottant le vernis autour des chaussures.</v>
      </c>
    </row>
    <row r="13764">
      <c r="A13764" s="4" t="s">
        <v>17322</v>
      </c>
      <c r="B13764" s="6" t="s">
        <v>17324</v>
      </c>
      <c r="C13764" s="5" t="str">
        <f>IFERROR(__xludf.DUMMYFUNCTION("GOOGLETRANSLATE(B13764,""en"",""fr"")"),"L'homme frotte ensuite le vernis dans l'autre chaussure sur la table ainsi que sur celui sur lequel il a commencé.")</f>
        <v>L'homme frotte ensuite le vernis dans l'autre chaussure sur la table ainsi que sur celui sur lequel il a commencé.</v>
      </c>
    </row>
    <row r="13765">
      <c r="A13765" s="4" t="s">
        <v>17322</v>
      </c>
      <c r="B13765" s="4" t="s">
        <v>17325</v>
      </c>
      <c r="C13765" s="5" t="str">
        <f>IFERROR(__xludf.DUMMYFUNCTION("GOOGLETRANSLATE(B13765,""en"",""fr"")"),"Il prend un pinceau et l'utilise sur la chaussure, se terminant avec lui saisissant la caméra.")</f>
        <v>Il prend un pinceau et l'utilise sur la chaussure, se terminant avec lui saisissant la caméra.</v>
      </c>
    </row>
    <row r="13766">
      <c r="A13766" s="4" t="s">
        <v>17326</v>
      </c>
      <c r="B13766" s="4" t="s">
        <v>17327</v>
      </c>
      <c r="C13766" s="5" t="str">
        <f>IFERROR(__xludf.DUMMYFUNCTION("GOOGLETRANSLATE(B13766,""en"",""fr"")"),"Cette femme montre aux téléspectateurs comment faire un whisky aigre.")</f>
        <v>Cette femme montre aux téléspectateurs comment faire un whisky aigre.</v>
      </c>
    </row>
    <row r="13767">
      <c r="A13767" s="4" t="s">
        <v>17326</v>
      </c>
      <c r="B13767" s="4" t="s">
        <v>17328</v>
      </c>
      <c r="C13767" s="5" t="str">
        <f>IFERROR(__xludf.DUMMYFUNCTION("GOOGLETRANSLATE(B13767,""en"",""fr"")"),"Elle verse d'abord une once de whisky sur de la glace dans le verre Ross.")</f>
        <v>Elle verse d'abord une once de whisky sur de la glace dans le verre Ross.</v>
      </c>
    </row>
    <row r="13768">
      <c r="A13768" s="4" t="s">
        <v>17326</v>
      </c>
      <c r="B13768" s="4" t="s">
        <v>17329</v>
      </c>
      <c r="C13768" s="5" t="str">
        <f>IFERROR(__xludf.DUMMYFUNCTION("GOOGLETRANSLATE(B13768,""en"",""fr"")"),"Puis elle verse des agrumes dans le verre et y met une paille.")</f>
        <v>Puis elle verse des agrumes dans le verre et y met une paille.</v>
      </c>
    </row>
    <row r="13769">
      <c r="A13769" s="4" t="s">
        <v>17330</v>
      </c>
      <c r="B13769" s="4" t="s">
        <v>17331</v>
      </c>
      <c r="C13769" s="5" t="str">
        <f>IFERROR(__xludf.DUMMYFUNCTION("GOOGLETRANSLATE(B13769,""en"",""fr"")"),"Un homme est dans un parking enneigé.")</f>
        <v>Un homme est dans un parking enneigé.</v>
      </c>
    </row>
    <row r="13770">
      <c r="A13770" s="4" t="s">
        <v>17330</v>
      </c>
      <c r="B13770" s="4" t="s">
        <v>17332</v>
      </c>
      <c r="C13770" s="5" t="str">
        <f>IFERROR(__xludf.DUMMYFUNCTION("GOOGLETRANSLATE(B13770,""en"",""fr"")"),"Il utilise un pinceau pour essuyer la neige du pare-brise arrière de sa voiture.")</f>
        <v>Il utilise un pinceau pour essuyer la neige du pare-brise arrière de sa voiture.</v>
      </c>
    </row>
    <row r="13771">
      <c r="A13771" s="4" t="s">
        <v>17330</v>
      </c>
      <c r="B13771" s="4" t="s">
        <v>17333</v>
      </c>
      <c r="C13771" s="5" t="str">
        <f>IFERROR(__xludf.DUMMYFUNCTION("GOOGLETRANSLATE(B13771,""en"",""fr"")"),"Il jette un coup d'œil à la caméra, puis continue d'essuyer.")</f>
        <v>Il jette un coup d'œil à la caméra, puis continue d'essuyer.</v>
      </c>
    </row>
    <row r="13772">
      <c r="A13772" s="4" t="s">
        <v>17334</v>
      </c>
      <c r="B13772" s="4" t="s">
        <v>17335</v>
      </c>
      <c r="C13772" s="5" t="str">
        <f>IFERROR(__xludf.DUMMYFUNCTION("GOOGLETRANSLATE(B13772,""en"",""fr"")"),"Un homme est vu parler à la caméra et commence à tenir un rasoir sur son visage.")</f>
        <v>Un homme est vu parler à la caméra et commence à tenir un rasoir sur son visage.</v>
      </c>
    </row>
    <row r="13773">
      <c r="A13773" s="4" t="s">
        <v>17334</v>
      </c>
      <c r="B13773" s="4" t="s">
        <v>17336</v>
      </c>
      <c r="C13773" s="5" t="str">
        <f>IFERROR(__xludf.DUMMYFUNCTION("GOOGLETRANSLATE(B13773,""en"",""fr"")"),"L'homme se rase ensuite le visage sur les côtés et se termine en parlant toujours à la caméra.")</f>
        <v>L'homme se rase ensuite le visage sur les côtés et se termine en parlant toujours à la caméra.</v>
      </c>
    </row>
    <row r="13774">
      <c r="A13774" s="4" t="s">
        <v>17337</v>
      </c>
      <c r="B13774" s="4" t="s">
        <v>17338</v>
      </c>
      <c r="C13774" s="5" t="str">
        <f>IFERROR(__xludf.DUMMYFUNCTION("GOOGLETRANSLATE(B13774,""en"",""fr"")"),"Une femme effectue des mouvements d'arts partiels avec un homme sur une scène.")</f>
        <v>Une femme effectue des mouvements d'arts partiels avec un homme sur une scène.</v>
      </c>
    </row>
    <row r="13775">
      <c r="A13775" s="4" t="s">
        <v>17337</v>
      </c>
      <c r="B13775" s="4" t="s">
        <v>17339</v>
      </c>
      <c r="C13775" s="5" t="str">
        <f>IFERROR(__xludf.DUMMYFUNCTION("GOOGLETRANSLATE(B13775,""en"",""fr"")"),"Un groupe joue des instruments en arrière-plan.")</f>
        <v>Un groupe joue des instruments en arrière-plan.</v>
      </c>
    </row>
    <row r="13776">
      <c r="A13776" s="4" t="s">
        <v>17337</v>
      </c>
      <c r="B13776" s="4" t="s">
        <v>17340</v>
      </c>
      <c r="C13776" s="5" t="str">
        <f>IFERROR(__xludf.DUMMYFUNCTION("GOOGLETRANSLATE(B13776,""en"",""fr"")"),"Les deux tournent, flip et coups de pied, se tournent à tour de rôle.")</f>
        <v>Les deux tournent, flip et coups de pied, se tournent à tour de rôle.</v>
      </c>
    </row>
    <row r="13777">
      <c r="A13777" s="4" t="s">
        <v>17341</v>
      </c>
      <c r="B13777" s="4" t="s">
        <v>17342</v>
      </c>
      <c r="C13777" s="5" t="str">
        <f>IFERROR(__xludf.DUMMYFUNCTION("GOOGLETRANSLATE(B13777,""en"",""fr"")"),"Une dame joue seule piscine à l'intérieur.")</f>
        <v>Une dame joue seule piscine à l'intérieur.</v>
      </c>
    </row>
    <row r="13778">
      <c r="A13778" s="4" t="s">
        <v>17341</v>
      </c>
      <c r="B13778" s="4" t="s">
        <v>17343</v>
      </c>
      <c r="C13778" s="5" t="str">
        <f>IFERROR(__xludf.DUMMYFUNCTION("GOOGLETRANSLATE(B13778,""en"",""fr"")"),"La balle blanche tombe de la table de billard.")</f>
        <v>La balle blanche tombe de la table de billard.</v>
      </c>
    </row>
    <row r="13779">
      <c r="A13779" s="4" t="s">
        <v>17341</v>
      </c>
      <c r="B13779" s="4" t="s">
        <v>17344</v>
      </c>
      <c r="C13779" s="5" t="str">
        <f>IFERROR(__xludf.DUMMYFUNCTION("GOOGLETRANSLATE(B13779,""en"",""fr"")"),"La dame ramasse la balle blanche du sol.")</f>
        <v>La dame ramasse la balle blanche du sol.</v>
      </c>
    </row>
    <row r="13780">
      <c r="A13780" s="4" t="s">
        <v>17345</v>
      </c>
      <c r="B13780" s="4" t="s">
        <v>17346</v>
      </c>
      <c r="C13780" s="5" t="str">
        <f>IFERROR(__xludf.DUMMYFUNCTION("GOOGLETRANSLATE(B13780,""en"",""fr"")"),"Nous voyons un homme courir et sauter sur un radeau alors qu'il glisse sur une longue colline enneigée.")</f>
        <v>Nous voyons un homme courir et sauter sur un radeau alors qu'il glisse sur une longue colline enneigée.</v>
      </c>
    </row>
    <row r="13781">
      <c r="A13781" s="4" t="s">
        <v>17345</v>
      </c>
      <c r="B13781" s="4" t="s">
        <v>17347</v>
      </c>
      <c r="C13781" s="5" t="str">
        <f>IFERROR(__xludf.DUMMYFUNCTION("GOOGLETRANSLATE(B13781,""en"",""fr"")"),"Le radeau s'arrête et le caméraman se lève et se promène tout en tournant le sol.")</f>
        <v>Le radeau s'arrête et le caméraman se lève et se promène tout en tournant le sol.</v>
      </c>
    </row>
    <row r="13782">
      <c r="A13782" s="4" t="s">
        <v>17345</v>
      </c>
      <c r="B13782" s="4" t="s">
        <v>17348</v>
      </c>
      <c r="C13782" s="5" t="str">
        <f>IFERROR(__xludf.DUMMYFUNCTION("GOOGLETRANSLATE(B13782,""en"",""fr"")"),"Une main couvre alors la caméra.")</f>
        <v>Une main couvre alors la caméra.</v>
      </c>
    </row>
    <row r="13783">
      <c r="A13783" s="4" t="s">
        <v>17349</v>
      </c>
      <c r="B13783" s="4" t="s">
        <v>17350</v>
      </c>
      <c r="C13783" s="5" t="str">
        <f>IFERROR(__xludf.DUMMYFUNCTION("GOOGLETRANSLATE(B13783,""en"",""fr"")"),"Une femme plus âgée décolle une pomme de terre sur une table.")</f>
        <v>Une femme plus âgée décolle une pomme de terre sur une table.</v>
      </c>
    </row>
    <row r="13784">
      <c r="A13784" s="4" t="s">
        <v>17349</v>
      </c>
      <c r="B13784" s="4" t="s">
        <v>17351</v>
      </c>
      <c r="C13784" s="5" t="str">
        <f>IFERROR(__xludf.DUMMYFUNCTION("GOOGLETRANSLATE(B13784,""en"",""fr"")"),"Elle pose le couteau sur la table.")</f>
        <v>Elle pose le couteau sur la table.</v>
      </c>
    </row>
    <row r="13785">
      <c r="A13785" s="4" t="s">
        <v>17352</v>
      </c>
      <c r="B13785" s="4" t="s">
        <v>17353</v>
      </c>
      <c r="C13785" s="5" t="str">
        <f>IFERROR(__xludf.DUMMYFUNCTION("GOOGLETRANSLATE(B13785,""en"",""fr"")"),"Les gens flottent sur une rivière dans des tubes.")</f>
        <v>Les gens flottent sur une rivière dans des tubes.</v>
      </c>
    </row>
    <row r="13786">
      <c r="A13786" s="4" t="s">
        <v>17352</v>
      </c>
      <c r="B13786" s="4" t="s">
        <v>17354</v>
      </c>
      <c r="C13786" s="5" t="str">
        <f>IFERROR(__xludf.DUMMYFUNCTION("GOOGLETRANSLATE(B13786,""en"",""fr"")"),"Les pieds d'une personne sont représentés sur un tube.")</f>
        <v>Les pieds d'une personne sont représentés sur un tube.</v>
      </c>
    </row>
    <row r="13787">
      <c r="A13787" s="4" t="s">
        <v>17352</v>
      </c>
      <c r="B13787" s="4" t="s">
        <v>17355</v>
      </c>
      <c r="C13787" s="5" t="str">
        <f>IFERROR(__xludf.DUMMYFUNCTION("GOOGLETRANSLATE(B13787,""en"",""fr"")"),"Les gens se tiennent sur le court à côté de leurs tubes.")</f>
        <v>Les gens se tiennent sur le court à côté de leurs tubes.</v>
      </c>
    </row>
    <row r="13788">
      <c r="A13788" s="4" t="s">
        <v>17356</v>
      </c>
      <c r="B13788" s="4" t="s">
        <v>17357</v>
      </c>
      <c r="C13788" s="5" t="str">
        <f>IFERROR(__xludf.DUMMYFUNCTION("GOOGLETRANSLATE(B13788,""en"",""fr"")"),"Les hommes sont dans une piste de course de poussière qui fait des tours.")</f>
        <v>Les hommes sont dans une piste de course de poussière qui fait des tours.</v>
      </c>
    </row>
    <row r="13789">
      <c r="A13789" s="4" t="s">
        <v>17356</v>
      </c>
      <c r="B13789" s="4" t="s">
        <v>17358</v>
      </c>
      <c r="C13789" s="5" t="str">
        <f>IFERROR(__xludf.DUMMYFUNCTION("GOOGLETRANSLATE(B13789,""en"",""fr"")"),"Les petits enfants descendent une glissière dans une voie de poussière.")</f>
        <v>Les petits enfants descendent une glissière dans une voie de poussière.</v>
      </c>
    </row>
    <row r="13790">
      <c r="A13790" s="4" t="s">
        <v>17359</v>
      </c>
      <c r="B13790" s="4" t="s">
        <v>17360</v>
      </c>
      <c r="C13790" s="5" t="str">
        <f>IFERROR(__xludf.DUMMYFUNCTION("GOOGLETRANSLATE(B13790,""en"",""fr"")"),"Un garçon explique comment mettre des chaussures sur les chaussures sur son pied gauche.")</f>
        <v>Un garçon explique comment mettre des chaussures sur les chaussures sur son pied gauche.</v>
      </c>
    </row>
    <row r="13791">
      <c r="A13791" s="4" t="s">
        <v>17359</v>
      </c>
      <c r="B13791" s="4" t="s">
        <v>17361</v>
      </c>
      <c r="C13791" s="5" t="str">
        <f>IFERROR(__xludf.DUMMYFUNCTION("GOOGLETRANSLATE(B13791,""en"",""fr"")"),"Ensuite, le garçon soulève le bon pied et retire la chaussure des orteils et continuez à expliquer.")</f>
        <v>Ensuite, le garçon soulève le bon pied et retire la chaussure des orteils et continuez à expliquer.</v>
      </c>
    </row>
    <row r="13792">
      <c r="A13792" s="4" t="s">
        <v>17362</v>
      </c>
      <c r="B13792" s="4" t="s">
        <v>17363</v>
      </c>
      <c r="C13792" s="5" t="str">
        <f>IFERROR(__xludf.DUMMYFUNCTION("GOOGLETRANSLATE(B13792,""en"",""fr"")"),"Une personne fait un pot de café.")</f>
        <v>Une personne fait un pot de café.</v>
      </c>
    </row>
    <row r="13793">
      <c r="A13793" s="4" t="s">
        <v>17362</v>
      </c>
      <c r="B13793" s="4" t="s">
        <v>17364</v>
      </c>
      <c r="C13793" s="5" t="str">
        <f>IFERROR(__xludf.DUMMYFUNCTION("GOOGLETRANSLATE(B13793,""en"",""fr"")"),"La personne y ajoute ensuite un tas de produits sucrés.")</f>
        <v>La personne y ajoute ensuite un tas de produits sucrés.</v>
      </c>
    </row>
    <row r="13794">
      <c r="A13794" s="4" t="s">
        <v>17362</v>
      </c>
      <c r="B13794" s="4" t="s">
        <v>17365</v>
      </c>
      <c r="C13794" s="5" t="str">
        <f>IFERROR(__xludf.DUMMYFUNCTION("GOOGLETRANSLATE(B13794,""en"",""fr"")"),"L'homme le boit puis appelle les gens d'un téléphone intelligent.")</f>
        <v>L'homme le boit puis appelle les gens d'un téléphone intelligent.</v>
      </c>
    </row>
    <row r="13795">
      <c r="A13795" s="4" t="s">
        <v>17366</v>
      </c>
      <c r="B13795" s="4" t="s">
        <v>17367</v>
      </c>
      <c r="C13795" s="5" t="str">
        <f>IFERROR(__xludf.DUMMYFUNCTION("GOOGLETRANSLATE(B13795,""en"",""fr"")"),"Il y a deux femmes boxeurs qui participent à un kickboxing l'une contre l'autre dans un événement de boxe.")</f>
        <v>Il y a deux femmes boxeurs qui participent à un kickboxing l'une contre l'autre dans un événement de boxe.</v>
      </c>
    </row>
    <row r="13796">
      <c r="A13796" s="4" t="s">
        <v>17366</v>
      </c>
      <c r="B13796" s="4" t="s">
        <v>17368</v>
      </c>
      <c r="C13796" s="5" t="str">
        <f>IFERROR(__xludf.DUMMYFUNCTION("GOOGLETRANSLATE(B13796,""en"",""fr"")"),"L'arbitre se tient à côté d'eux.")</f>
        <v>L'arbitre se tient à côté d'eux.</v>
      </c>
    </row>
    <row r="13797">
      <c r="A13797" s="4" t="s">
        <v>17366</v>
      </c>
      <c r="B13797" s="4" t="s">
        <v>17369</v>
      </c>
      <c r="C13797" s="5" t="str">
        <f>IFERROR(__xludf.DUMMYFUNCTION("GOOGLETRANSLATE(B13797,""en"",""fr"")"),"Il y a plusieurs spectateurs qui regardent les boxeurs rivaliser.")</f>
        <v>Il y a plusieurs spectateurs qui regardent les boxeurs rivaliser.</v>
      </c>
    </row>
    <row r="13798">
      <c r="A13798" s="4" t="s">
        <v>17366</v>
      </c>
      <c r="B13798" s="4" t="s">
        <v>17370</v>
      </c>
      <c r="C13798" s="5" t="str">
        <f>IFERROR(__xludf.DUMMYFUNCTION("GOOGLETRANSLATE(B13798,""en"",""fr"")"),"Après que l'arbitre ait essayé, les concurrents commencent le match.")</f>
        <v>Après que l'arbitre ait essayé, les concurrents commencent le match.</v>
      </c>
    </row>
    <row r="13799">
      <c r="A13799" s="4" t="s">
        <v>17366</v>
      </c>
      <c r="B13799" s="4" t="s">
        <v>17371</v>
      </c>
      <c r="C13799" s="5" t="str">
        <f>IFERROR(__xludf.DUMMYFUNCTION("GOOGLETRANSLATE(B13799,""en"",""fr"")"),"La foule les encourage pendant qu'ils rivalisent.")</f>
        <v>La foule les encourage pendant qu'ils rivalisent.</v>
      </c>
    </row>
    <row r="13800">
      <c r="A13800" s="4" t="s">
        <v>17366</v>
      </c>
      <c r="B13800" s="4" t="s">
        <v>17372</v>
      </c>
      <c r="C13800" s="5" t="str">
        <f>IFERROR(__xludf.DUMMYFUNCTION("GOOGLETRANSLATE(B13800,""en"",""fr"")"),"Le boxeur de l'uniforme noir frappe le boxeur en rouge et la fait tomber.")</f>
        <v>Le boxeur de l'uniforme noir frappe le boxeur en rouge et la fait tomber.</v>
      </c>
    </row>
    <row r="13801">
      <c r="A13801" s="4" t="s">
        <v>17366</v>
      </c>
      <c r="B13801" s="4" t="s">
        <v>17373</v>
      </c>
      <c r="C13801" s="5" t="str">
        <f>IFERROR(__xludf.DUMMYFUNCTION("GOOGLETRANSLATE(B13801,""en"",""fr"")"),"Le boxeur en rouge donne un coup de pied à son adversaire.")</f>
        <v>Le boxeur en rouge donne un coup de pied à son adversaire.</v>
      </c>
    </row>
    <row r="13802">
      <c r="A13802" s="4" t="s">
        <v>17366</v>
      </c>
      <c r="B13802" s="4" t="s">
        <v>17374</v>
      </c>
      <c r="C13802" s="5" t="str">
        <f>IFERROR(__xludf.DUMMYFUNCTION("GOOGLETRANSLATE(B13802,""en"",""fr"")"),"Le boxeur en noir frappe son adversaire et le boxeur en rouge lui frappe le visage.")</f>
        <v>Le boxeur en noir frappe son adversaire et le boxeur en rouge lui frappe le visage.</v>
      </c>
    </row>
    <row r="13803">
      <c r="A13803" s="4" t="s">
        <v>17366</v>
      </c>
      <c r="B13803" s="4" t="s">
        <v>17375</v>
      </c>
      <c r="C13803" s="5" t="str">
        <f>IFERROR(__xludf.DUMMYFUNCTION("GOOGLETRANSLATE(B13803,""en"",""fr"")"),"L'arbitre déclare le boxeur en noir alors que le vainqueur et la foule applaudit sa victoire.")</f>
        <v>L'arbitre déclare le boxeur en noir alors que le vainqueur et la foule applaudit sa victoire.</v>
      </c>
    </row>
    <row r="13804">
      <c r="A13804" s="4" t="s">
        <v>17376</v>
      </c>
      <c r="B13804" s="6" t="s">
        <v>17377</v>
      </c>
      <c r="C13804" s="5" t="str">
        <f>IFERROR(__xludf.DUMMYFUNCTION("GOOGLETRANSLATE(B13804,""en"",""fr"")"),"Une caméra se déroule autour d'une personne debout et mène à le regarder au loin et à transporter du matériel.")</f>
        <v>Une caméra se déroule autour d'une personne debout et mène à le regarder au loin et à transporter du matériel.</v>
      </c>
    </row>
    <row r="13805">
      <c r="A13805" s="4" t="s">
        <v>17376</v>
      </c>
      <c r="B13805" s="4" t="s">
        <v>17378</v>
      </c>
      <c r="C13805" s="5" t="str">
        <f>IFERROR(__xludf.DUMMYFUNCTION("GOOGLETRANSLATE(B13805,""en"",""fr"")"),"L'homme s'adapte alors que la caméra montre des gros plans de sa planche.")</f>
        <v>L'homme s'adapte alors que la caméra montre des gros plans de sa planche.</v>
      </c>
    </row>
    <row r="13806">
      <c r="A13806" s="4" t="s">
        <v>17376</v>
      </c>
      <c r="B13806" s="4" t="s">
        <v>17379</v>
      </c>
      <c r="C13806" s="5" t="str">
        <f>IFERROR(__xludf.DUMMYFUNCTION("GOOGLETRANSLATE(B13806,""en"",""fr"")"),"L'homme est ensuite vu faire de nombreuses astuces sur l'eau tout en suivant derrière un bateau.")</f>
        <v>L'homme est ensuite vu faire de nombreuses astuces sur l'eau tout en suivant derrière un bateau.</v>
      </c>
    </row>
    <row r="13807">
      <c r="A13807" s="4" t="s">
        <v>17380</v>
      </c>
      <c r="B13807" s="4" t="s">
        <v>17381</v>
      </c>
      <c r="C13807" s="5" t="str">
        <f>IFERROR(__xludf.DUMMYFUNCTION("GOOGLETRANSLATE(B13807,""en"",""fr"")"),"Deux hommes boxent dans une salle de sport.")</f>
        <v>Deux hommes boxent dans une salle de sport.</v>
      </c>
    </row>
    <row r="13808">
      <c r="A13808" s="4" t="s">
        <v>17380</v>
      </c>
      <c r="B13808" s="4" t="s">
        <v>7190</v>
      </c>
      <c r="C13808" s="5" t="str">
        <f>IFERROR(__xludf.DUMMYFUNCTION("GOOGLETRANSLATE(B13808,""en"",""fr"")"),"Ils sont engagés dans un art martial appelé Kickboxing.")</f>
        <v>Ils sont engagés dans un art martial appelé Kickboxing.</v>
      </c>
    </row>
    <row r="13809">
      <c r="A13809" s="4" t="s">
        <v>17380</v>
      </c>
      <c r="B13809" s="4" t="s">
        <v>17382</v>
      </c>
      <c r="C13809" s="5" t="str">
        <f>IFERROR(__xludf.DUMMYFUNCTION("GOOGLETRANSLATE(B13809,""en"",""fr"")"),"Les deux hommes donnent des coups de pied et des coups alternés avec des coups de poing.")</f>
        <v>Les deux hommes donnent des coups de pied et des coups alternés avec des coups de poing.</v>
      </c>
    </row>
    <row r="13810">
      <c r="A13810" s="4" t="s">
        <v>17383</v>
      </c>
      <c r="B13810" s="4" t="s">
        <v>17384</v>
      </c>
      <c r="C13810" s="5" t="str">
        <f>IFERROR(__xludf.DUMMYFUNCTION("GOOGLETRANSLATE(B13810,""en"",""fr"")"),"Une femme ponçonne une étagère avec une ponceuse.")</f>
        <v>Une femme ponçonne une étagère avec une ponceuse.</v>
      </c>
    </row>
    <row r="13811">
      <c r="A13811" s="4" t="s">
        <v>17383</v>
      </c>
      <c r="B13811" s="4" t="s">
        <v>17385</v>
      </c>
      <c r="C13811" s="5" t="str">
        <f>IFERROR(__xludf.DUMMYFUNCTION("GOOGLETRANSLATE(B13811,""en"",""fr"")"),"Elle touche la portion de ponce avec sa main.")</f>
        <v>Elle touche la portion de ponce avec sa main.</v>
      </c>
    </row>
    <row r="13812">
      <c r="A13812" s="4" t="s">
        <v>17383</v>
      </c>
      <c r="B13812" s="4" t="s">
        <v>17386</v>
      </c>
      <c r="C13812" s="5" t="str">
        <f>IFERROR(__xludf.DUMMYFUNCTION("GOOGLETRANSLATE(B13812,""en"",""fr"")"),"Elle se tient à côté de l'étagère qui parle.")</f>
        <v>Elle se tient à côté de l'étagère qui parle.</v>
      </c>
    </row>
    <row r="13813">
      <c r="A13813" s="4" t="s">
        <v>17387</v>
      </c>
      <c r="B13813" s="4" t="s">
        <v>17388</v>
      </c>
      <c r="C13813" s="5" t="str">
        <f>IFERROR(__xludf.DUMMYFUNCTION("GOOGLETRANSLATE(B13813,""en"",""fr"")"),"Une personne est vue se promener dans une pièce portant un balai.")</f>
        <v>Une personne est vue se promener dans une pièce portant un balai.</v>
      </c>
    </row>
    <row r="13814">
      <c r="A13814" s="4" t="s">
        <v>17387</v>
      </c>
      <c r="B13814" s="4" t="s">
        <v>17389</v>
      </c>
      <c r="C13814" s="5" t="str">
        <f>IFERROR(__xludf.DUMMYFUNCTION("GOOGLETRANSLATE(B13814,""en"",""fr"")"),"Elle le pousse le long du mur à côté d'elle.")</f>
        <v>Elle le pousse le long du mur à côté d'elle.</v>
      </c>
    </row>
    <row r="13815">
      <c r="A13815" s="4" t="s">
        <v>17387</v>
      </c>
      <c r="B13815" s="4" t="s">
        <v>17390</v>
      </c>
      <c r="C13815" s="5" t="str">
        <f>IFERROR(__xludf.DUMMYFUNCTION("GOOGLETRANSLATE(B13815,""en"",""fr"")"),"À la fin, elle se retourne et la repousse.")</f>
        <v>À la fin, elle se retourne et la repousse.</v>
      </c>
    </row>
    <row r="13816">
      <c r="A13816" s="4" t="s">
        <v>17391</v>
      </c>
      <c r="B13816" s="6" t="s">
        <v>17392</v>
      </c>
      <c r="C13816" s="5" t="str">
        <f>IFERROR(__xludf.DUMMYFUNCTION("GOOGLETRANSLATE(B13816,""en"",""fr"")"),"Une femme est vue à l'extérieur jouant à un jeu de ballon de beach-volée le servant sur le filet au ralenti.")</f>
        <v>Une femme est vue à l'extérieur jouant à un jeu de ballon de beach-volée le servant sur le filet au ralenti.</v>
      </c>
    </row>
    <row r="13817">
      <c r="A13817" s="4" t="s">
        <v>17391</v>
      </c>
      <c r="B13817" s="4" t="s">
        <v>17393</v>
      </c>
      <c r="C13817" s="5" t="str">
        <f>IFERROR(__xludf.DUMMYFUNCTION("GOOGLETRANSLATE(B13817,""en"",""fr"")"),"Il en fait sur le filet et l'autre équipe de deux balles est capable de la reprendre sur le filet.")</f>
        <v>Il en fait sur le filet et l'autre équipe de deux balles est capable de la reprendre sur le filet.</v>
      </c>
    </row>
    <row r="13818">
      <c r="A13818" s="4" t="s">
        <v>17391</v>
      </c>
      <c r="B13818" s="6" t="s">
        <v>17394</v>
      </c>
      <c r="C13818" s="5" t="str">
        <f>IFERROR(__xludf.DUMMYFUNCTION("GOOGLETRANSLATE(B13818,""en"",""fr"")"),"Les deux paires de personnes continuent de jouer le jeu et finalement le côté avec l'homme et la femme de l'équipe finissent par gagner.")</f>
        <v>Les deux paires de personnes continuent de jouer le jeu et finalement le côté avec l'homme et la femme de l'équipe finissent par gagner.</v>
      </c>
    </row>
    <row r="13819">
      <c r="A13819" s="4" t="s">
        <v>17395</v>
      </c>
      <c r="B13819" s="4" t="s">
        <v>17396</v>
      </c>
      <c r="C13819" s="5" t="str">
        <f>IFERROR(__xludf.DUMMYFUNCTION("GOOGLETRANSLATE(B13819,""en"",""fr"")"),"Une gymnaste est vue debout devant un grand faisceau et levant les mains en l'air.")</f>
        <v>Une gymnaste est vue debout devant un grand faisceau et levant les mains en l'air.</v>
      </c>
    </row>
    <row r="13820">
      <c r="A13820" s="4" t="s">
        <v>17395</v>
      </c>
      <c r="B13820" s="6" t="s">
        <v>17397</v>
      </c>
      <c r="C13820" s="5" t="str">
        <f>IFERROR(__xludf.DUMMYFUNCTION("GOOGLETRANSLATE(B13820,""en"",""fr"")"),"Il effectue ensuite une routine de gymnastes tout en se balançant tout autour du bar et se termine en sautant.")</f>
        <v>Il effectue ensuite une routine de gymnastes tout en se balançant tout autour du bar et se termine en sautant.</v>
      </c>
    </row>
    <row r="13821">
      <c r="A13821" s="4" t="s">
        <v>17398</v>
      </c>
      <c r="B13821" s="4" t="s">
        <v>17399</v>
      </c>
      <c r="C13821" s="5" t="str">
        <f>IFERROR(__xludf.DUMMYFUNCTION("GOOGLETRANSLATE(B13821,""en"",""fr"")"),"Un jeune enfant est vu assis à côté d'une baignoire et se penchant sur le côté.")</f>
        <v>Un jeune enfant est vu assis à côté d'une baignoire et se penchant sur le côté.</v>
      </c>
    </row>
    <row r="13822">
      <c r="A13822" s="4" t="s">
        <v>17398</v>
      </c>
      <c r="B13822" s="4" t="s">
        <v>17400</v>
      </c>
      <c r="C13822" s="5" t="str">
        <f>IFERROR(__xludf.DUMMYFUNCTION("GOOGLETRANSLATE(B13822,""en"",""fr"")"),"Une personne lui parle sur le côté pendant qu'elle regarde la caméra.")</f>
        <v>Une personne lui parle sur le côté pendant qu'elle regarde la caméra.</v>
      </c>
    </row>
    <row r="13823">
      <c r="A13823" s="4" t="s">
        <v>17398</v>
      </c>
      <c r="B13823" s="4" t="s">
        <v>17401</v>
      </c>
      <c r="C13823" s="5" t="str">
        <f>IFERROR(__xludf.DUMMYFUNCTION("GOOGLETRANSLATE(B13823,""en"",""fr"")"),"Elle se penche plus loin dans l'évier puis remonte à la caméra pour regarder.")</f>
        <v>Elle se penche plus loin dans l'évier puis remonte à la caméra pour regarder.</v>
      </c>
    </row>
    <row r="13824">
      <c r="A13824" s="4" t="s">
        <v>17402</v>
      </c>
      <c r="B13824" s="4" t="s">
        <v>17403</v>
      </c>
      <c r="C13824" s="5" t="str">
        <f>IFERROR(__xludf.DUMMYFUNCTION("GOOGLETRANSLATE(B13824,""en"",""fr"")"),"Une caméra zoome sur une personne jouant de la guitare et mène à un homme qui parle.")</f>
        <v>Une caméra zoome sur une personne jouant de la guitare et mène à un homme qui parle.</v>
      </c>
    </row>
    <row r="13825">
      <c r="A13825" s="4" t="s">
        <v>17402</v>
      </c>
      <c r="B13825" s="6" t="s">
        <v>17404</v>
      </c>
      <c r="C13825" s="5" t="str">
        <f>IFERROR(__xludf.DUMMYFUNCTION("GOOGLETRANSLATE(B13825,""en"",""fr"")"),"Plusieurs autres photos de personnes jouant de la guitare et des guitares sur les murs sont montrées ainsi que le même homme qui parle de la caméra.")</f>
        <v>Plusieurs autres photos de personnes jouant de la guitare et des guitares sur les murs sont montrées ainsi que le même homme qui parle de la caméra.</v>
      </c>
    </row>
    <row r="13826">
      <c r="A13826" s="4" t="s">
        <v>17405</v>
      </c>
      <c r="B13826" s="4" t="s">
        <v>17406</v>
      </c>
      <c r="C13826" s="5" t="str">
        <f>IFERROR(__xludf.DUMMYFUNCTION("GOOGLETRANSLATE(B13826,""en"",""fr"")"),"Nous voyons un homme sauter sur le saut tressaillit.")</f>
        <v>Nous voyons un homme sauter sur le saut tressaillit.</v>
      </c>
    </row>
    <row r="13827">
      <c r="A13827" s="4" t="s">
        <v>17405</v>
      </c>
      <c r="B13827" s="4" t="s">
        <v>17407</v>
      </c>
      <c r="C13827" s="5" t="str">
        <f>IFERROR(__xludf.DUMMYFUNCTION("GOOGLETRANSLATE(B13827,""en"",""fr"")"),"Nous voyons une personne assise dans la cour.")</f>
        <v>Nous voyons une personne assise dans la cour.</v>
      </c>
    </row>
    <row r="13828">
      <c r="A13828" s="4" t="s">
        <v>17405</v>
      </c>
      <c r="B13828" s="4" t="s">
        <v>17408</v>
      </c>
      <c r="C13828" s="5" t="str">
        <f>IFERROR(__xludf.DUMMYFUNCTION("GOOGLETRANSLATE(B13828,""en"",""fr"")"),"L'homme sur les échasses s'arrête et se tourne vers la caméra.")</f>
        <v>L'homme sur les échasses s'arrête et se tourne vers la caméra.</v>
      </c>
    </row>
    <row r="13829">
      <c r="A13829" s="4" t="s">
        <v>17409</v>
      </c>
      <c r="B13829" s="6" t="s">
        <v>17410</v>
      </c>
      <c r="C13829" s="5" t="str">
        <f>IFERROR(__xludf.DUMMYFUNCTION("GOOGLETRANSLATE(B13829,""en"",""fr"")"),"Des spectacles au ralenti de personnes chevauchant des chevaux sur des sauts sont montrés qui conduisent une femme parlant à la caméra avec un cheval derrière elle.")</f>
        <v>Des spectacles au ralenti de personnes chevauchant des chevaux sur des sauts sont montrés qui conduisent une femme parlant à la caméra avec un cheval derrière elle.</v>
      </c>
    </row>
    <row r="13830">
      <c r="A13830" s="4" t="s">
        <v>17409</v>
      </c>
      <c r="B13830" s="6" t="s">
        <v>17411</v>
      </c>
      <c r="C13830" s="5" t="str">
        <f>IFERROR(__xludf.DUMMYFUNCTION("GOOGLETRANSLATE(B13830,""en"",""fr"")"),"La femme porte ensuite un gant et brosse le cheval partout pendant que la capture capture ses mouvements et le cheval.")</f>
        <v>La femme porte ensuite un gant et brosse le cheval partout pendant que la capture capture ses mouvements et le cheval.</v>
      </c>
    </row>
    <row r="13831">
      <c r="A13831" s="4" t="s">
        <v>17409</v>
      </c>
      <c r="B13831" s="4" t="s">
        <v>17412</v>
      </c>
      <c r="C13831" s="5" t="str">
        <f>IFERROR(__xludf.DUMMYFUNCTION("GOOGLETRANSLATE(B13831,""en"",""fr"")"),"Elle brosse à l'arrière de sa queue et finit son ventre.")</f>
        <v>Elle brosse à l'arrière de sa queue et finit son ventre.</v>
      </c>
    </row>
    <row r="13832">
      <c r="A13832" s="4" t="s">
        <v>17413</v>
      </c>
      <c r="B13832" s="4" t="s">
        <v>17414</v>
      </c>
      <c r="C13832" s="5" t="str">
        <f>IFERROR(__xludf.DUMMYFUNCTION("GOOGLETRANSLATE(B13832,""en"",""fr"")"),"Les betteraves sont coupées sur un hachage.")</f>
        <v>Les betteraves sont coupées sur un hachage.</v>
      </c>
    </row>
    <row r="13833">
      <c r="A13833" s="4" t="s">
        <v>17413</v>
      </c>
      <c r="B13833" s="4" t="s">
        <v>17415</v>
      </c>
      <c r="C13833" s="5" t="str">
        <f>IFERROR(__xludf.DUMMYFUNCTION("GOOGLETRANSLATE(B13833,""en"",""fr"")"),"Ils sont mis dans une casserole et recouverts d'eau.")</f>
        <v>Ils sont mis dans une casserole et recouverts d'eau.</v>
      </c>
    </row>
    <row r="13834">
      <c r="A13834" s="4" t="s">
        <v>17413</v>
      </c>
      <c r="B13834" s="4" t="s">
        <v>17416</v>
      </c>
      <c r="C13834" s="5" t="str">
        <f>IFERROR(__xludf.DUMMYFUNCTION("GOOGLETRANSLATE(B13834,""en"",""fr"")"),"Le chou frisé est coupé sur une planche à découper.")</f>
        <v>Le chou frisé est coupé sur une planche à découper.</v>
      </c>
    </row>
    <row r="13835">
      <c r="A13835" s="4" t="s">
        <v>17413</v>
      </c>
      <c r="B13835" s="4" t="s">
        <v>17417</v>
      </c>
      <c r="C13835" s="5" t="str">
        <f>IFERROR(__xludf.DUMMYFUNCTION("GOOGLETRANSLATE(B13835,""en"",""fr"")"),"Il est jeté en sel pendant quelques minutes.")</f>
        <v>Il est jeté en sel pendant quelques minutes.</v>
      </c>
    </row>
    <row r="13836">
      <c r="A13836" s="4" t="s">
        <v>17413</v>
      </c>
      <c r="B13836" s="4" t="s">
        <v>17418</v>
      </c>
      <c r="C13836" s="5" t="str">
        <f>IFERROR(__xludf.DUMMYFUNCTION("GOOGLETRANSLATE(B13836,""en"",""fr"")"),"Les carottes sont râpées sur le chou frisé.")</f>
        <v>Les carottes sont râpées sur le chou frisé.</v>
      </c>
    </row>
    <row r="13837">
      <c r="A13837" s="4" t="s">
        <v>17413</v>
      </c>
      <c r="B13837" s="4" t="s">
        <v>17419</v>
      </c>
      <c r="C13837" s="5" t="str">
        <f>IFERROR(__xludf.DUMMYFUNCTION("GOOGLETRANSLATE(B13837,""en"",""fr"")"),"Une tomate est en dés et mélangé à la vinaigrette.")</f>
        <v>Une tomate est en dés et mélangé à la vinaigrette.</v>
      </c>
    </row>
    <row r="13838">
      <c r="A13838" s="4" t="s">
        <v>17413</v>
      </c>
      <c r="B13838" s="4" t="s">
        <v>17420</v>
      </c>
      <c r="C13838" s="5" t="str">
        <f>IFERROR(__xludf.DUMMYFUNCTION("GOOGLETRANSLATE(B13838,""en"",""fr"")"),"Ceci est ensuite versé sur le chou frisé.")</f>
        <v>Ceci est ensuite versé sur le chou frisé.</v>
      </c>
    </row>
    <row r="13839">
      <c r="A13839" s="4" t="s">
        <v>17413</v>
      </c>
      <c r="B13839" s="4" t="s">
        <v>17421</v>
      </c>
      <c r="C13839" s="5" t="str">
        <f>IFERROR(__xludf.DUMMYFUNCTION("GOOGLETRANSLATE(B13839,""en"",""fr"")"),"Un homme prend une bouchée de la salade.")</f>
        <v>Un homme prend une bouchée de la salade.</v>
      </c>
    </row>
    <row r="13840">
      <c r="A13840" s="4" t="s">
        <v>17422</v>
      </c>
      <c r="B13840" s="4" t="s">
        <v>17423</v>
      </c>
      <c r="C13840" s="5" t="str">
        <f>IFERROR(__xludf.DUMMYFUNCTION("GOOGLETRANSLATE(B13840,""en"",""fr"")"),"Une personne est vue se déplaçant en mouvement rapide déballant un sac et assemblant des parties d'un pneu.")</f>
        <v>Une personne est vue se déplaçant en mouvement rapide déballant un sac et assemblant des parties d'un pneu.</v>
      </c>
    </row>
    <row r="13841">
      <c r="A13841" s="4" t="s">
        <v>17422</v>
      </c>
      <c r="B13841" s="6" t="s">
        <v>17424</v>
      </c>
      <c r="C13841" s="5" t="str">
        <f>IFERROR(__xludf.DUMMYFUNCTION("GOOGLETRANSLATE(B13841,""en"",""fr"")"),"Beaucoup de gens s'arrêtent pour regarder sur la touche tandis que l'homme continue de construire le vélo et se termine en emballant tout et en tenant ses bras en souriant.")</f>
        <v>Beaucoup de gens s'arrêtent pour regarder sur la touche tandis que l'homme continue de construire le vélo et se termine en emballant tout et en tenant ses bras en souriant.</v>
      </c>
    </row>
    <row r="13842">
      <c r="A13842" s="4" t="s">
        <v>17425</v>
      </c>
      <c r="B13842" s="4" t="s">
        <v>17426</v>
      </c>
      <c r="C13842" s="5" t="str">
        <f>IFERROR(__xludf.DUMMYFUNCTION("GOOGLETRANSLATE(B13842,""en"",""fr"")"),"Une femme grimpe à l'arrière d'une camionnette avec d'autres personnes.")</f>
        <v>Une femme grimpe à l'arrière d'une camionnette avec d'autres personnes.</v>
      </c>
    </row>
    <row r="13843">
      <c r="A13843" s="4" t="s">
        <v>17425</v>
      </c>
      <c r="B13843" s="4" t="s">
        <v>17427</v>
      </c>
      <c r="C13843" s="5" t="str">
        <f>IFERROR(__xludf.DUMMYFUNCTION("GOOGLETRANSLATE(B13843,""en"",""fr"")"),"Plusieurs hommes se tiennent ensemble dans une ligne avant de voir une personne en costume de gorille.")</f>
        <v>Plusieurs hommes se tiennent ensemble dans une ligne avant de voir une personne en costume de gorille.</v>
      </c>
    </row>
    <row r="13844">
      <c r="A13844" s="4" t="s">
        <v>17425</v>
      </c>
      <c r="B13844" s="6" t="s">
        <v>17428</v>
      </c>
      <c r="C13844" s="5" t="str">
        <f>IFERROR(__xludf.DUMMYFUNCTION("GOOGLETRANSLATE(B13844,""en"",""fr"")"),"Beaucoup de gens dansent, tombent des planches à roulettes et effectuent divers trucs comme la marche de la corde et les flips.")</f>
        <v>Beaucoup de gens dansent, tombent des planches à roulettes et effectuent divers trucs comme la marche de la corde et les flips.</v>
      </c>
    </row>
    <row r="13845">
      <c r="A13845" s="4" t="s">
        <v>17425</v>
      </c>
      <c r="B13845" s="4" t="s">
        <v>17429</v>
      </c>
      <c r="C13845" s="5" t="str">
        <f>IFERROR(__xludf.DUMMYFUNCTION("GOOGLETRANSLATE(B13845,""en"",""fr"")"),"Le groupe sort du bâtiment ensemble, faisant des panneaux et des visages à la caméra.")</f>
        <v>Le groupe sort du bâtiment ensemble, faisant des panneaux et des visages à la caméra.</v>
      </c>
    </row>
    <row r="13846">
      <c r="A13846" s="4" t="s">
        <v>17430</v>
      </c>
      <c r="B13846" s="4" t="s">
        <v>17431</v>
      </c>
      <c r="C13846" s="5" t="str">
        <f>IFERROR(__xludf.DUMMYFUNCTION("GOOGLETRANSLATE(B13846,""en"",""fr"")"),"Un train passe sur une piste et plusieurs voitures sont vues conduire sur une route humide.")</f>
        <v>Un train passe sur une piste et plusieurs voitures sont vues conduire sur une route humide.</v>
      </c>
    </row>
    <row r="13847">
      <c r="A13847" s="4" t="s">
        <v>17430</v>
      </c>
      <c r="B13847" s="4" t="s">
        <v>17432</v>
      </c>
      <c r="C13847" s="5" t="str">
        <f>IFERROR(__xludf.DUMMYFUNCTION("GOOGLETRANSLATE(B13847,""en"",""fr"")"),"Une femme sort et s'accroupie par un pneu plat.")</f>
        <v>Une femme sort et s'accroupie par un pneu plat.</v>
      </c>
    </row>
    <row r="13848">
      <c r="A13848" s="4" t="s">
        <v>17430</v>
      </c>
      <c r="B13848" s="4" t="s">
        <v>17433</v>
      </c>
      <c r="C13848" s="5" t="str">
        <f>IFERROR(__xludf.DUMMYFUNCTION("GOOGLETRANSLATE(B13848,""en"",""fr"")"),"Elle utilise du matériel pour soulever la voiture du sol, puis retire le pneu.")</f>
        <v>Elle utilise du matériel pour soulever la voiture du sol, puis retire le pneu.</v>
      </c>
    </row>
    <row r="13849">
      <c r="A13849" s="4" t="s">
        <v>17430</v>
      </c>
      <c r="B13849" s="4" t="s">
        <v>17434</v>
      </c>
      <c r="C13849" s="5" t="str">
        <f>IFERROR(__xludf.DUMMYFUNCTION("GOOGLETRANSLATE(B13849,""en"",""fr"")"),"Elle remplace le mauvais pneu par une pièce de rechange.")</f>
        <v>Elle remplace le mauvais pneu par une pièce de rechange.</v>
      </c>
    </row>
    <row r="13850">
      <c r="A13850" s="4" t="s">
        <v>17430</v>
      </c>
      <c r="B13850" s="4" t="s">
        <v>17435</v>
      </c>
      <c r="C13850" s="5" t="str">
        <f>IFERROR(__xludf.DUMMYFUNCTION("GOOGLETRANSLATE(B13850,""en"",""fr"")"),"Elle range ensuite son équipement et donne un coup de pouce avant de partir en toute sécurité.")</f>
        <v>Elle range ensuite son équipement et donne un coup de pouce avant de partir en toute sécurité.</v>
      </c>
    </row>
    <row r="13851">
      <c r="A13851" s="4" t="s">
        <v>17436</v>
      </c>
      <c r="B13851" s="4" t="s">
        <v>17437</v>
      </c>
      <c r="C13851" s="5" t="str">
        <f>IFERROR(__xludf.DUMMYFUNCTION("GOOGLETRANSLATE(B13851,""en"",""fr"")"),"Il y a une personne wakeboard dans un lac.")</f>
        <v>Il y a une personne wakeboard dans un lac.</v>
      </c>
    </row>
    <row r="13852">
      <c r="A13852" s="4" t="s">
        <v>17436</v>
      </c>
      <c r="B13852" s="4" t="s">
        <v>17438</v>
      </c>
      <c r="C13852" s="5" t="str">
        <f>IFERROR(__xludf.DUMMYFUNCTION("GOOGLETRANSLATE(B13852,""en"",""fr"")"),"Il est tiré par une corde rouge qui est fixée à un bateau à vapeur.")</f>
        <v>Il est tiré par une corde rouge qui est fixée à un bateau à vapeur.</v>
      </c>
    </row>
    <row r="13853">
      <c r="A13853" s="4" t="s">
        <v>17436</v>
      </c>
      <c r="B13853" s="4" t="s">
        <v>17439</v>
      </c>
      <c r="C13853" s="5" t="str">
        <f>IFERROR(__xludf.DUMMYFUNCTION("GOOGLETRANSLATE(B13853,""en"",""fr"")"),"Il va à une vitesse régulière derrière le bateau à vapeur.")</f>
        <v>Il va à une vitesse régulière derrière le bateau à vapeur.</v>
      </c>
    </row>
    <row r="13854">
      <c r="A13854" s="4" t="s">
        <v>17440</v>
      </c>
      <c r="B13854" s="6" t="s">
        <v>17441</v>
      </c>
      <c r="C13854" s="5" t="str">
        <f>IFERROR(__xludf.DUMMYFUNCTION("GOOGLETRANSLATE(B13854,""en"",""fr"")"),"Une femme est vue en train de monter sur un équipement d'exercice suivi de plusieurs plans d'elle ajustant l'équipement et le déplacer.")</f>
        <v>Une femme est vue en train de monter sur un équipement d'exercice suivi de plusieurs plans d'elle ajustant l'équipement et le déplacer.</v>
      </c>
    </row>
    <row r="13855">
      <c r="A13855" s="4" t="s">
        <v>17440</v>
      </c>
      <c r="B13855" s="4" t="s">
        <v>17442</v>
      </c>
      <c r="C13855" s="5" t="str">
        <f>IFERROR(__xludf.DUMMYFUNCTION("GOOGLETRANSLATE(B13855,""en"",""fr"")"),"Plus de tirs sont montrés de sa conduite de l'équipement et de la modification des paramètres à l'avant.")</f>
        <v>Plus de tirs sont montrés de sa conduite de l'équipement et de la modification des paramètres à l'avant.</v>
      </c>
    </row>
    <row r="13856">
      <c r="A13856" s="4" t="s">
        <v>17443</v>
      </c>
      <c r="B13856" s="6" t="s">
        <v>17444</v>
      </c>
      <c r="C13856" s="5" t="str">
        <f>IFERROR(__xludf.DUMMYFUNCTION("GOOGLETRANSLATE(B13856,""en"",""fr"")"),"Une femme plus âgée est montrée assise sur un pas en mettant des chaussettes avec un petit chien debout près d'elle.")</f>
        <v>Une femme plus âgée est montrée assise sur un pas en mettant des chaussettes avec un petit chien debout près d'elle.</v>
      </c>
    </row>
    <row r="13857">
      <c r="A13857" s="4" t="s">
        <v>17443</v>
      </c>
      <c r="B13857" s="4" t="s">
        <v>17445</v>
      </c>
      <c r="C13857" s="5" t="str">
        <f>IFERROR(__xludf.DUMMYFUNCTION("GOOGLETRANSLATE(B13857,""en"",""fr"")"),"Elle met ensuite sa chaussure sur le pied et le chien regarde au loin.")</f>
        <v>Elle met ensuite sa chaussure sur le pied et le chien regarde au loin.</v>
      </c>
    </row>
    <row r="13858">
      <c r="A13858" s="4" t="s">
        <v>17446</v>
      </c>
      <c r="B13858" s="4" t="s">
        <v>17447</v>
      </c>
      <c r="C13858" s="5" t="str">
        <f>IFERROR(__xludf.DUMMYFUNCTION("GOOGLETRANSLATE(B13858,""en"",""fr"")"),"Une cuisinière montre des ingrédients pour faire des pâtes à salade tout en parlant.")</f>
        <v>Une cuisinière montre des ingrédients pour faire des pâtes à salade tout en parlant.</v>
      </c>
    </row>
    <row r="13859">
      <c r="A13859" s="4" t="s">
        <v>17446</v>
      </c>
      <c r="B13859" s="4" t="s">
        <v>17448</v>
      </c>
      <c r="C13859" s="5" t="str">
        <f>IFERROR(__xludf.DUMMYFUNCTION("GOOGLETRANSLATE(B13859,""en"",""fr"")"),"La cuisinière met des pâtes sur un récipient carré et ajoute des légumes.")</f>
        <v>La cuisinière met des pâtes sur un récipient carré et ajoute des légumes.</v>
      </c>
    </row>
    <row r="13860">
      <c r="A13860" s="4" t="s">
        <v>17446</v>
      </c>
      <c r="B13860" s="4" t="s">
        <v>17449</v>
      </c>
      <c r="C13860" s="5" t="str">
        <f>IFERROR(__xludf.DUMMYFUNCTION("GOOGLETRANSLATE(B13860,""en"",""fr"")"),"Ensuite, la cuisinière ajoute du fromage, du bouillon, de la crème blanche, du sel, puis il le mélange.")</f>
        <v>Ensuite, la cuisinière ajoute du fromage, du bouillon, de la crème blanche, du sel, puis il le mélange.</v>
      </c>
    </row>
    <row r="13861">
      <c r="A13861" s="4" t="s">
        <v>17446</v>
      </c>
      <c r="B13861" s="4" t="s">
        <v>17450</v>
      </c>
      <c r="C13861" s="5" t="str">
        <f>IFERROR(__xludf.DUMMYFUNCTION("GOOGLETRANSLATE(B13861,""en"",""fr"")"),"L'homme sert les pâtes avec un morceau de tomate et il goûte la salade.")</f>
        <v>L'homme sert les pâtes avec un morceau de tomate et il goûte la salade.</v>
      </c>
    </row>
    <row r="13862">
      <c r="A13862" s="4" t="s">
        <v>17451</v>
      </c>
      <c r="B13862" s="4" t="s">
        <v>17452</v>
      </c>
      <c r="C13862" s="5" t="str">
        <f>IFERROR(__xludf.DUMMYFUNCTION("GOOGLETRANSLATE(B13862,""en"",""fr"")"),"Une femme athlétique est vue debout prête tenant un poteau dans ses mains et en regardant vers le bas.")</f>
        <v>Une femme athlétique est vue debout prête tenant un poteau dans ses mains et en regardant vers le bas.</v>
      </c>
    </row>
    <row r="13863">
      <c r="A13863" s="4" t="s">
        <v>17451</v>
      </c>
      <c r="B13863" s="4" t="s">
        <v>17453</v>
      </c>
      <c r="C13863" s="5" t="str">
        <f>IFERROR(__xludf.DUMMYFUNCTION("GOOGLETRANSLATE(B13863,""en"",""fr"")"),"Elle tient ensuite le bâton et le pole volts sur un tapis.")</f>
        <v>Elle tient ensuite le bâton et le pole volts sur un tapis.</v>
      </c>
    </row>
    <row r="13864">
      <c r="A13864" s="4" t="s">
        <v>17451</v>
      </c>
      <c r="B13864" s="4" t="s">
        <v>17454</v>
      </c>
      <c r="C13864" s="5" t="str">
        <f>IFERROR(__xludf.DUMMYFUNCTION("GOOGLETRANSLATE(B13864,""en"",""fr"")"),"Elle fait signe à la foule, puis s'éloigne avec d'autres qui se préparent autour d'elle.")</f>
        <v>Elle fait signe à la foule, puis s'éloigne avec d'autres qui se préparent autour d'elle.</v>
      </c>
    </row>
    <row r="13865">
      <c r="A13865" s="4" t="s">
        <v>17455</v>
      </c>
      <c r="B13865" s="4" t="s">
        <v>17456</v>
      </c>
      <c r="C13865" s="5" t="str">
        <f>IFERROR(__xludf.DUMMYFUNCTION("GOOGLETRANSLATE(B13865,""en"",""fr"")"),"Un homme est assis à la patte à regarder en regardant un spectacle.")</f>
        <v>Un homme est assis à la patte à regarder en regardant un spectacle.</v>
      </c>
    </row>
    <row r="13866">
      <c r="A13866" s="4" t="s">
        <v>17455</v>
      </c>
      <c r="B13866" s="4" t="s">
        <v>17457</v>
      </c>
      <c r="C13866" s="5" t="str">
        <f>IFERROR(__xludf.DUMMYFUNCTION("GOOGLETRANSLATE(B13866,""en"",""fr"")"),"Un homme s'agenouille devant la foule, parlant.")</f>
        <v>Un homme s'agenouille devant la foule, parlant.</v>
      </c>
    </row>
    <row r="13867">
      <c r="A13867" s="4" t="s">
        <v>17455</v>
      </c>
      <c r="B13867" s="4" t="s">
        <v>17458</v>
      </c>
      <c r="C13867" s="5" t="str">
        <f>IFERROR(__xludf.DUMMYFUNCTION("GOOGLETRANSLATE(B13867,""en"",""fr"")"),"Il continue de parler alors que la foule est ravie, écoutant chaque mot.")</f>
        <v>Il continue de parler alors que la foule est ravie, écoutant chaque mot.</v>
      </c>
    </row>
    <row r="13868">
      <c r="A13868" s="4" t="s">
        <v>17459</v>
      </c>
      <c r="B13868" s="6" t="s">
        <v>17460</v>
      </c>
      <c r="C13868" s="5" t="str">
        <f>IFERROR(__xludf.DUMMYFUNCTION("GOOGLETRANSLATE(B13868,""en"",""fr"")"),"Un clip de l'émission Top Gear est illustré avec un homme assis dans une voiture parlant à la caméra, et une autre parlant à la caméra dans une autre voiture.")</f>
        <v>Un clip de l'émission Top Gear est illustré avec un homme assis dans une voiture parlant à la caméra, et une autre parlant à la caméra dans une autre voiture.</v>
      </c>
    </row>
    <row r="13869">
      <c r="A13869" s="4" t="s">
        <v>17459</v>
      </c>
      <c r="B13869" s="4" t="s">
        <v>17461</v>
      </c>
      <c r="C13869" s="5" t="str">
        <f>IFERROR(__xludf.DUMMYFUNCTION("GOOGLETRANSLATE(B13869,""en"",""fr"")"),"Deux hommes parlent des talkies-walkies sur le côté et les hommes conduisent les voitures les unes dans les autres.")</f>
        <v>Deux hommes parlent des talkies-walkies sur le côté et les hommes conduisent les voitures les unes dans les autres.</v>
      </c>
    </row>
    <row r="13870">
      <c r="A13870" s="4" t="s">
        <v>17459</v>
      </c>
      <c r="B13870" s="4" t="s">
        <v>17462</v>
      </c>
      <c r="C13870" s="5" t="str">
        <f>IFERROR(__xludf.DUMMYFUNCTION("GOOGLETRANSLATE(B13870,""en"",""fr"")"),"On repousse la voiture et les hommes sortent tous et se parlent.")</f>
        <v>On repousse la voiture et les hommes sortent tous et se parlent.</v>
      </c>
    </row>
    <row r="13871">
      <c r="A13871" s="4" t="s">
        <v>17459</v>
      </c>
      <c r="B13871" s="6" t="s">
        <v>17463</v>
      </c>
      <c r="C13871" s="5" t="str">
        <f>IFERROR(__xludf.DUMMYFUNCTION("GOOGLETRANSLATE(B13871,""en"",""fr"")"),"Une autre voiture est testée avec les hommes qui parlent à la caméra et repousse la voiture tandis que d'autres regardent l'incrédulité.")</f>
        <v>Une autre voiture est testée avec les hommes qui parlent à la caméra et repousse la voiture tandis que d'autres regardent l'incrédulité.</v>
      </c>
    </row>
    <row r="13872">
      <c r="A13872" s="4" t="s">
        <v>17464</v>
      </c>
      <c r="B13872" s="6" t="s">
        <v>17465</v>
      </c>
      <c r="C13872" s="5" t="str">
        <f>IFERROR(__xludf.DUMMYFUNCTION("GOOGLETRANSLATE(B13872,""en"",""fr"")"),"Un journaliste BTRTV visite un studio et un magasin Soul Cycle, interviewe un instructeur de cycle d'âme et suivi un échantillon de classe de cycle d'âme.")</f>
        <v>Un journaliste BTRTV visite un studio et un magasin Soul Cycle, interviewe un instructeur de cycle d'âme et suivi un échantillon de classe de cycle d'âme.</v>
      </c>
    </row>
    <row r="13873">
      <c r="A13873" s="4" t="s">
        <v>17464</v>
      </c>
      <c r="B13873" s="6" t="s">
        <v>17466</v>
      </c>
      <c r="C13873" s="5" t="str">
        <f>IFERROR(__xludf.DUMMYFUNCTION("GOOGLETRANSLATE(B13873,""en"",""fr"")"),"Un journaliste tenant un microphone, se tient en dehors d'un magasin de cycle d'âme parlant à la caméra, puis entre dans le magasin et interviewe un instructeur de cycle d'âme.")</f>
        <v>Un journaliste tenant un microphone, se tient en dehors d'un magasin de cycle d'âme parlant à la caméra, puis entre dans le magasin et interviewe un instructeur de cycle d'âme.</v>
      </c>
    </row>
    <row r="13874">
      <c r="A13874" s="4" t="s">
        <v>17464</v>
      </c>
      <c r="B13874" s="6" t="s">
        <v>17467</v>
      </c>
      <c r="C13874" s="5" t="str">
        <f>IFERROR(__xludf.DUMMYFUNCTION("GOOGLETRANSLATE(B13874,""en"",""fr"")"),"Le journaliste change alors de vêtements et prend une classe de cycle d'âme entrecoupé de la vidéo des classes de cycle d'âme LED de l'instructeur.")</f>
        <v>Le journaliste change alors de vêtements et prend une classe de cycle d'âme entrecoupé de la vidéo des classes de cycle d'âme LED de l'instructeur.</v>
      </c>
    </row>
    <row r="13875">
      <c r="A13875" s="4" t="s">
        <v>17464</v>
      </c>
      <c r="B13875" s="6" t="s">
        <v>17468</v>
      </c>
      <c r="C13875" s="5" t="str">
        <f>IFERROR(__xludf.DUMMYFUNCTION("GOOGLETRANSLATE(B13875,""en"",""fr"")"),"Le journaliste revient à interviewer l'instructeur du cycle de l'âme avec une dernière photo de rangées de vêtements suspendus dans le magasin Soul Cycle.")</f>
        <v>Le journaliste revient à interviewer l'instructeur du cycle de l'âme avec une dernière photo de rangées de vêtements suspendus dans le magasin Soul Cycle.</v>
      </c>
    </row>
    <row r="13876">
      <c r="A13876" s="4" t="s">
        <v>17469</v>
      </c>
      <c r="B13876" s="4" t="s">
        <v>17470</v>
      </c>
      <c r="C13876" s="5" t="str">
        <f>IFERROR(__xludf.DUMMYFUNCTION("GOOGLETRANSLATE(B13876,""en"",""fr"")"),"Un match d'escrime olympique est montré.")</f>
        <v>Un match d'escrime olympique est montré.</v>
      </c>
    </row>
    <row r="13877">
      <c r="A13877" s="4" t="s">
        <v>17469</v>
      </c>
      <c r="B13877" s="4" t="s">
        <v>17471</v>
      </c>
      <c r="C13877" s="5" t="str">
        <f>IFERROR(__xludf.DUMMYFUNCTION("GOOGLETRANSLATE(B13877,""en"",""fr"")"),"Chaque côté marque des points, puis un nouveau match est affiché.")</f>
        <v>Chaque côté marque des points, puis un nouveau match est affiché.</v>
      </c>
    </row>
    <row r="13878">
      <c r="A13878" s="4" t="s">
        <v>17472</v>
      </c>
      <c r="B13878" s="4" t="s">
        <v>17473</v>
      </c>
      <c r="C13878" s="5" t="str">
        <f>IFERROR(__xludf.DUMMYFUNCTION("GOOGLETRANSLATE(B13878,""en"",""fr"")"),"Nous voyons un écran de titre sur noir.")</f>
        <v>Nous voyons un écran de titre sur noir.</v>
      </c>
    </row>
    <row r="13879">
      <c r="A13879" s="4" t="s">
        <v>17472</v>
      </c>
      <c r="B13879" s="4" t="s">
        <v>17474</v>
      </c>
      <c r="C13879" s="5" t="str">
        <f>IFERROR(__xludf.DUMMYFUNCTION("GOOGLETRANSLATE(B13879,""en"",""fr"")"),"Nous voyons ensuite une femme patiner dans une rue dans une ville.")</f>
        <v>Nous voyons ensuite une femme patiner dans une rue dans une ville.</v>
      </c>
    </row>
    <row r="13880">
      <c r="A13880" s="4" t="s">
        <v>17472</v>
      </c>
      <c r="B13880" s="4" t="s">
        <v>17475</v>
      </c>
      <c r="C13880" s="5" t="str">
        <f>IFERROR(__xludf.DUMMYFUNCTION("GOOGLETRANSLATE(B13880,""en"",""fr"")"),"Les voitures commencent à passer la dame.")</f>
        <v>Les voitures commencent à passer la dame.</v>
      </c>
    </row>
    <row r="13881">
      <c r="A13881" s="4" t="s">
        <v>17472</v>
      </c>
      <c r="B13881" s="4" t="s">
        <v>17476</v>
      </c>
      <c r="C13881" s="5" t="str">
        <f>IFERROR(__xludf.DUMMYFUNCTION("GOOGLETRANSLATE(B13881,""en"",""fr"")"),"La dame passe des voitures garées.")</f>
        <v>La dame passe des voitures garées.</v>
      </c>
    </row>
    <row r="13882">
      <c r="A13882" s="4" t="s">
        <v>17472</v>
      </c>
      <c r="B13882" s="4" t="s">
        <v>17477</v>
      </c>
      <c r="C13882" s="5" t="str">
        <f>IFERROR(__xludf.DUMMYFUNCTION("GOOGLETRANSLATE(B13882,""en"",""fr"")"),"La dame parle alors qu'elle se tient devant une porte de bâtiment.")</f>
        <v>La dame parle alors qu'elle se tient devant une porte de bâtiment.</v>
      </c>
    </row>
    <row r="13883">
      <c r="A13883" s="4" t="s">
        <v>17472</v>
      </c>
      <c r="B13883" s="4" t="s">
        <v>17478</v>
      </c>
      <c r="C13883" s="5" t="str">
        <f>IFERROR(__xludf.DUMMYFUNCTION("GOOGLETRANSLATE(B13883,""en"",""fr"")"),"Elle parle près d'une autoroute.")</f>
        <v>Elle parle près d'une autoroute.</v>
      </c>
    </row>
    <row r="13884">
      <c r="A13884" s="4" t="s">
        <v>17472</v>
      </c>
      <c r="B13884" s="4" t="s">
        <v>17479</v>
      </c>
      <c r="C13884" s="5" t="str">
        <f>IFERROR(__xludf.DUMMYFUNCTION("GOOGLETRANSLATE(B13884,""en"",""fr"")"),"Nous voyons l'écran de fin sur le noir.")</f>
        <v>Nous voyons l'écran de fin sur le noir.</v>
      </c>
    </row>
    <row r="13885">
      <c r="A13885" s="4" t="s">
        <v>17480</v>
      </c>
      <c r="B13885" s="4" t="s">
        <v>17481</v>
      </c>
      <c r="C13885" s="5" t="str">
        <f>IFERROR(__xludf.DUMMYFUNCTION("GOOGLETRANSLATE(B13885,""en"",""fr"")"),"Un groupe de danseurs du ventre pose sur scène.")</f>
        <v>Un groupe de danseurs du ventre pose sur scène.</v>
      </c>
    </row>
    <row r="13886">
      <c r="A13886" s="4" t="s">
        <v>17480</v>
      </c>
      <c r="B13886" s="4" t="s">
        <v>17482</v>
      </c>
      <c r="C13886" s="5" t="str">
        <f>IFERROR(__xludf.DUMMYFUNCTION("GOOGLETRANSLATE(B13886,""en"",""fr"")"),"Ils commencent à danser, tourbillonnant leurs foulards autour de leur corps alors qu'ils dansent.")</f>
        <v>Ils commencent à danser, tourbillonnant leurs foulards autour de leur corps alors qu'ils dansent.</v>
      </c>
    </row>
    <row r="13887">
      <c r="A13887" s="4" t="s">
        <v>17480</v>
      </c>
      <c r="B13887" s="6" t="s">
        <v>17483</v>
      </c>
      <c r="C13887" s="5" t="str">
        <f>IFERROR(__xludf.DUMMYFUNCTION("GOOGLETRANSLATE(B13887,""en"",""fr"")"),"Ils laissent tomber les foulards, se concentrant uniquement sur la danse avant de tomber au sol, puis de monter et de danser sur scène.")</f>
        <v>Ils laissent tomber les foulards, se concentrant uniquement sur la danse avant de tomber au sol, puis de monter et de danser sur scène.</v>
      </c>
    </row>
    <row r="13888">
      <c r="A13888" s="4" t="s">
        <v>17484</v>
      </c>
      <c r="B13888" s="4" t="s">
        <v>17485</v>
      </c>
      <c r="C13888" s="5" t="str">
        <f>IFERROR(__xludf.DUMMYFUNCTION("GOOGLETRANSLATE(B13888,""en"",""fr"")"),"Un homme ratisse les feuilles dans sa cour.")</f>
        <v>Un homme ratisse les feuilles dans sa cour.</v>
      </c>
    </row>
    <row r="13889">
      <c r="A13889" s="4" t="s">
        <v>17484</v>
      </c>
      <c r="B13889" s="4" t="s">
        <v>17486</v>
      </c>
      <c r="C13889" s="5" t="str">
        <f>IFERROR(__xludf.DUMMYFUNCTION("GOOGLETRANSLATE(B13889,""en"",""fr"")"),"Il a mis plusieurs feuilles en sac en les faisant sortir d'un bain d'oiseaux.")</f>
        <v>Il a mis plusieurs feuilles en sac en les faisant sortir d'un bain d'oiseaux.</v>
      </c>
    </row>
    <row r="13890">
      <c r="A13890" s="4" t="s">
        <v>17484</v>
      </c>
      <c r="B13890" s="4" t="s">
        <v>17487</v>
      </c>
      <c r="C13890" s="5" t="str">
        <f>IFERROR(__xludf.DUMMYFUNCTION("GOOGLETRANSLATE(B13890,""en"",""fr"")"),"Il continue de ratir, puis ouvre un sac pour verser des rochers autour du bain d'oiseaux.")</f>
        <v>Il continue de ratir, puis ouvre un sac pour verser des rochers autour du bain d'oiseaux.</v>
      </c>
    </row>
    <row r="13891">
      <c r="A13891" s="4" t="s">
        <v>17488</v>
      </c>
      <c r="B13891" s="4" t="s">
        <v>17489</v>
      </c>
      <c r="C13891" s="5" t="str">
        <f>IFERROR(__xludf.DUMMYFUNCTION("GOOGLETRANSLATE(B13891,""en"",""fr"")"),"Les gens concournent à vélo se croiser dans un champ.")</f>
        <v>Les gens concournent à vélo se croiser dans un champ.</v>
      </c>
    </row>
    <row r="13892">
      <c r="A13892" s="4" t="s">
        <v>17488</v>
      </c>
      <c r="B13892" s="4" t="s">
        <v>17490</v>
      </c>
      <c r="C13892" s="5" t="str">
        <f>IFERROR(__xludf.DUMMYFUNCTION("GOOGLETRANSLATE(B13892,""en"",""fr"")"),"Les gens font du vélo sur une piste cahoteuse où une foule se rassemble pour regarder la compétition de vélo.")</f>
        <v>Les gens font du vélo sur une piste cahoteuse où une foule se rassemble pour regarder la compétition de vélo.</v>
      </c>
    </row>
    <row r="13893">
      <c r="A13893" s="4" t="s">
        <v>17488</v>
      </c>
      <c r="B13893" s="4" t="s">
        <v>17491</v>
      </c>
      <c r="C13893" s="5" t="str">
        <f>IFERROR(__xludf.DUMMYFUNCTION("GOOGLETRANSLATE(B13893,""en"",""fr"")"),"Un motard tombe sur le sol.")</f>
        <v>Un motard tombe sur le sol.</v>
      </c>
    </row>
    <row r="13894">
      <c r="A13894" s="4" t="s">
        <v>17488</v>
      </c>
      <c r="B13894" s="4" t="s">
        <v>17492</v>
      </c>
      <c r="C13894" s="5" t="str">
        <f>IFERROR(__xludf.DUMMYFUNCTION("GOOGLETRANSLATE(B13894,""en"",""fr"")"),"Les motards arrivent à la ligne d'arrivée.")</f>
        <v>Les motards arrivent à la ligne d'arrivée.</v>
      </c>
    </row>
    <row r="13895">
      <c r="A13895" s="4" t="s">
        <v>17493</v>
      </c>
      <c r="B13895" s="4" t="s">
        <v>17494</v>
      </c>
      <c r="C13895" s="5" t="str">
        <f>IFERROR(__xludf.DUMMYFUNCTION("GOOGLETRANSLATE(B13895,""en"",""fr"")"),"Un homme est vu debout dans un gymnase tenant une raquette tandis que la caméra se déroule pour montrer deux hommes.")</f>
        <v>Un homme est vu debout dans un gymnase tenant une raquette tandis que la caméra se déroule pour montrer deux hommes.</v>
      </c>
    </row>
    <row r="13896">
      <c r="A13896" s="4" t="s">
        <v>17493</v>
      </c>
      <c r="B13896" s="4" t="s">
        <v>17495</v>
      </c>
      <c r="C13896" s="5" t="str">
        <f>IFERROR(__xludf.DUMMYFUNCTION("GOOGLETRANSLATE(B13896,""en"",""fr"")"),"Les hommes se déplacent les uns autour des autres dans le gymnase en frappant une balle sur le mur.")</f>
        <v>Les hommes se déplacent les uns autour des autres dans le gymnase en frappant une balle sur le mur.</v>
      </c>
    </row>
    <row r="13897">
      <c r="A13897" s="4" t="s">
        <v>17493</v>
      </c>
      <c r="B13897" s="4" t="s">
        <v>17496</v>
      </c>
      <c r="C13897" s="5" t="str">
        <f>IFERROR(__xludf.DUMMYFUNCTION("GOOGLETRANSLATE(B13897,""en"",""fr"")"),"Les deux continuent de frapper le ballon et de se promener pour le frapper.")</f>
        <v>Les deux continuent de frapper le ballon et de se promener pour le frapper.</v>
      </c>
    </row>
    <row r="13898">
      <c r="A13898" s="4" t="s">
        <v>17497</v>
      </c>
      <c r="B13898" s="4" t="s">
        <v>17498</v>
      </c>
      <c r="C13898" s="5" t="str">
        <f>IFERROR(__xludf.DUMMYFUNCTION("GOOGLETRANSLATE(B13898,""en"",""fr"")"),"Les hommes et les femmes sont en équipe jouant au baby-foot dans une table dans un terrain de panier.")</f>
        <v>Les hommes et les femmes sont en équipe jouant au baby-foot dans une table dans un terrain de panier.</v>
      </c>
    </row>
    <row r="13899">
      <c r="A13899" s="4" t="s">
        <v>17497</v>
      </c>
      <c r="B13899" s="4" t="s">
        <v>17499</v>
      </c>
      <c r="C13899" s="5" t="str">
        <f>IFERROR(__xludf.DUMMYFUNCTION("GOOGLETRANSLATE(B13899,""en"",""fr"")"),"L'arbitre se tient devant la table en regardant le match.")</f>
        <v>L'arbitre se tient devant la table en regardant le match.</v>
      </c>
    </row>
    <row r="13900">
      <c r="A13900" s="4" t="s">
        <v>17497</v>
      </c>
      <c r="B13900" s="4" t="s">
        <v>17500</v>
      </c>
      <c r="C13900" s="5" t="str">
        <f>IFERROR(__xludf.DUMMYFUNCTION("GOOGLETRANSLATE(B13900,""en"",""fr"")"),"Les gens sont assis en terrasses derrière le terrain en regardant le match.")</f>
        <v>Les gens sont assis en terrasses derrière le terrain en regardant le match.</v>
      </c>
    </row>
    <row r="13901">
      <c r="A13901" s="4" t="s">
        <v>17501</v>
      </c>
      <c r="B13901" s="4" t="s">
        <v>17502</v>
      </c>
      <c r="C13901" s="5" t="str">
        <f>IFERROR(__xludf.DUMMYFUNCTION("GOOGLETRANSLATE(B13901,""en"",""fr"")"),"Une fille s'assoit dans le siège des conducteurs d'une voiture et profite d'un cornet de crème glacée.")</f>
        <v>Une fille s'assoit dans le siège des conducteurs d'une voiture et profite d'un cornet de crème glacée.</v>
      </c>
    </row>
    <row r="13902">
      <c r="A13902" s="4" t="s">
        <v>17501</v>
      </c>
      <c r="B13902" s="4" t="s">
        <v>17503</v>
      </c>
      <c r="C13902" s="5" t="str">
        <f>IFERROR(__xludf.DUMMYFUNCTION("GOOGLETRANSLATE(B13902,""en"",""fr"")"),"La fille rit en essayant de manger la glace.")</f>
        <v>La fille rit en essayant de manger la glace.</v>
      </c>
    </row>
    <row r="13903">
      <c r="A13903" s="4" t="s">
        <v>17501</v>
      </c>
      <c r="B13903" s="4" t="s">
        <v>17504</v>
      </c>
      <c r="C13903" s="5" t="str">
        <f>IFERROR(__xludf.DUMMYFUNCTION("GOOGLETRANSLATE(B13903,""en"",""fr"")"),"La fille lèche le cornet de crème glacée avec le bout de sa langue.")</f>
        <v>La fille lèche le cornet de crème glacée avec le bout de sa langue.</v>
      </c>
    </row>
    <row r="13904">
      <c r="A13904" s="4" t="s">
        <v>17505</v>
      </c>
      <c r="B13904" s="6" t="s">
        <v>17506</v>
      </c>
      <c r="C13904" s="5" t="str">
        <f>IFERROR(__xludf.DUMMYFUNCTION("GOOGLETRANSLATE(B13904,""en"",""fr"")"),"Un homme est vu debout dans une pièce noire et continue de jouer une flûte pendant que la caméra le capture.")</f>
        <v>Un homme est vu debout dans une pièce noire et continue de jouer une flûte pendant que la caméra le capture.</v>
      </c>
    </row>
    <row r="13905">
      <c r="A13905" s="4" t="s">
        <v>17505</v>
      </c>
      <c r="B13905" s="6" t="s">
        <v>17507</v>
      </c>
      <c r="C13905" s="5" t="str">
        <f>IFERROR(__xludf.DUMMYFUNCTION("GOOGLETRANSLATE(B13905,""en"",""fr"")"),"L'homme continue de poser l'instrument tout en déplaçant ses mains de haut en bas et en déplaçant sa tête vers le rythme.")</f>
        <v>L'homme continue de poser l'instrument tout en déplaçant ses mains de haut en bas et en déplaçant sa tête vers le rythme.</v>
      </c>
    </row>
    <row r="13906">
      <c r="A13906" s="4" t="s">
        <v>17508</v>
      </c>
      <c r="B13906" s="4" t="s">
        <v>17509</v>
      </c>
      <c r="C13906" s="5" t="str">
        <f>IFERROR(__xludf.DUMMYFUNCTION("GOOGLETRANSLATE(B13906,""en"",""fr"")"),"Deux jeunes filles se tiennent devant une cheminée en tenant des violons.")</f>
        <v>Deux jeunes filles se tiennent devant une cheminée en tenant des violons.</v>
      </c>
    </row>
    <row r="13907">
      <c r="A13907" s="4" t="s">
        <v>17508</v>
      </c>
      <c r="B13907" s="4" t="s">
        <v>17510</v>
      </c>
      <c r="C13907" s="5" t="str">
        <f>IFERROR(__xludf.DUMMYFUNCTION("GOOGLETRANSLATE(B13907,""en"",""fr"")"),"Les filles commencent à jouer un morceau de musique sur les violons, puis s'inclinent à la fin.")</f>
        <v>Les filles commencent à jouer un morceau de musique sur les violons, puis s'inclinent à la fin.</v>
      </c>
    </row>
    <row r="13908">
      <c r="A13908" s="4" t="s">
        <v>17508</v>
      </c>
      <c r="B13908" s="4" t="s">
        <v>17511</v>
      </c>
      <c r="C13908" s="5" t="str">
        <f>IFERROR(__xludf.DUMMYFUNCTION("GOOGLETRANSLATE(B13908,""en"",""fr"")"),"Deux jeunes enfants apparaissent à l'extérieur avec une adresse de site Web superposée.")</f>
        <v>Deux jeunes enfants apparaissent à l'extérieur avec une adresse de site Web superposée.</v>
      </c>
    </row>
    <row r="13909">
      <c r="A13909" s="4" t="s">
        <v>17512</v>
      </c>
      <c r="B13909" s="4" t="s">
        <v>17513</v>
      </c>
      <c r="C13909" s="5" t="str">
        <f>IFERROR(__xludf.DUMMYFUNCTION("GOOGLETRANSLATE(B13909,""en"",""fr"")"),"Les fournitures pour envelopper un cadeau se trouvent sur une table en bois.")</f>
        <v>Les fournitures pour envelopper un cadeau se trouvent sur une table en bois.</v>
      </c>
    </row>
    <row r="13910">
      <c r="A13910" s="4" t="s">
        <v>17512</v>
      </c>
      <c r="B13910" s="4" t="s">
        <v>17514</v>
      </c>
      <c r="C13910" s="5" t="str">
        <f>IFERROR(__xludf.DUMMYFUNCTION("GOOGLETRANSLATE(B13910,""en"",""fr"")"),"Un cadeau enveloppé présent est enveloppé d'un plastique transparent et collé en place.")</f>
        <v>Un cadeau enveloppé présent est enveloppé d'un plastique transparent et collé en place.</v>
      </c>
    </row>
    <row r="13911">
      <c r="A13911" s="4" t="s">
        <v>17512</v>
      </c>
      <c r="B13911" s="4" t="s">
        <v>17515</v>
      </c>
      <c r="C13911" s="5" t="str">
        <f>IFERROR(__xludf.DUMMYFUNCTION("GOOGLETRANSLATE(B13911,""en"",""fr"")"),"Les rubans rouges sont attachés à chaque extrémité.")</f>
        <v>Les rubans rouges sont attachés à chaque extrémité.</v>
      </c>
    </row>
    <row r="13912">
      <c r="A13912" s="4" t="s">
        <v>17512</v>
      </c>
      <c r="B13912" s="4" t="s">
        <v>17516</v>
      </c>
      <c r="C13912" s="5" t="str">
        <f>IFERROR(__xludf.DUMMYFUNCTION("GOOGLETRANSLATE(B13912,""en"",""fr"")"),"Un ciseaux est utilisé pour couper l'excès de plastique transparent à chaque extrémité.")</f>
        <v>Un ciseaux est utilisé pour couper l'excès de plastique transparent à chaque extrémité.</v>
      </c>
    </row>
    <row r="13913">
      <c r="A13913" s="4" t="s">
        <v>17512</v>
      </c>
      <c r="B13913" s="4" t="s">
        <v>17517</v>
      </c>
      <c r="C13913" s="5" t="str">
        <f>IFERROR(__xludf.DUMMYFUNCTION("GOOGLETRANSLATE(B13913,""en"",""fr"")"),"Le produit final enveloppé est allongé sur la table.")</f>
        <v>Le produit final enveloppé est allongé sur la table.</v>
      </c>
    </row>
    <row r="13914">
      <c r="A13914" s="4" t="s">
        <v>17518</v>
      </c>
      <c r="B13914" s="4" t="s">
        <v>17519</v>
      </c>
      <c r="C13914" s="5" t="str">
        <f>IFERROR(__xludf.DUMMYFUNCTION("GOOGLETRANSLATE(B13914,""en"",""fr"")"),"Une femme aux cheveux longs est vue en train de regarder profondément dans la caméra et de caresser son visage.")</f>
        <v>Une femme aux cheveux longs est vue en train de regarder profondément dans la caméra et de caresser son visage.</v>
      </c>
    </row>
    <row r="13915">
      <c r="A13915" s="4" t="s">
        <v>17518</v>
      </c>
      <c r="B13915" s="4" t="s">
        <v>17520</v>
      </c>
      <c r="C13915" s="5" t="str">
        <f>IFERROR(__xludf.DUMMYFUNCTION("GOOGLETRANSLATE(B13915,""en"",""fr"")"),"Elle se brosse ensuite les cheveux et termine la vidéo en souriant.")</f>
        <v>Elle se brosse ensuite les cheveux et termine la vidéo en souriant.</v>
      </c>
    </row>
    <row r="13916">
      <c r="A13916" s="4" t="s">
        <v>17521</v>
      </c>
      <c r="B13916" s="4" t="s">
        <v>17522</v>
      </c>
      <c r="C13916" s="5" t="str">
        <f>IFERROR(__xludf.DUMMYFUNCTION("GOOGLETRANSLATE(B13916,""en"",""fr"")"),"Une fille joue dans une piscine en plastique intérieure avec une diapositive.")</f>
        <v>Une fille joue dans une piscine en plastique intérieure avec une diapositive.</v>
      </c>
    </row>
    <row r="13917">
      <c r="A13917" s="4" t="s">
        <v>17521</v>
      </c>
      <c r="B13917" s="4" t="s">
        <v>17523</v>
      </c>
      <c r="C13917" s="5" t="str">
        <f>IFERROR(__xludf.DUMMYFUNCTION("GOOGLETRANSLATE(B13917,""en"",""fr"")"),"La fille grimpe dans le boîtier de l'escalier puis glisse sur le toboggan.")</f>
        <v>La fille grimpe dans le boîtier de l'escalier puis glisse sur le toboggan.</v>
      </c>
    </row>
    <row r="13918">
      <c r="A13918" s="4" t="s">
        <v>17521</v>
      </c>
      <c r="B13918" s="4" t="s">
        <v>17524</v>
      </c>
      <c r="C13918" s="5" t="str">
        <f>IFERROR(__xludf.DUMMYFUNCTION("GOOGLETRANSLATE(B13918,""en"",""fr"")"),"La fille grimpe dans un escalier puis rampe dans un tunnel.")</f>
        <v>La fille grimpe dans un escalier puis rampe dans un tunnel.</v>
      </c>
    </row>
    <row r="13919">
      <c r="A13919" s="4" t="s">
        <v>17521</v>
      </c>
      <c r="B13919" s="4" t="s">
        <v>17525</v>
      </c>
      <c r="C13919" s="5" t="str">
        <f>IFERROR(__xludf.DUMMYFUNCTION("GOOGLETRANSLATE(B13919,""en"",""fr"")"),"La fille glisse dans une piscine de balle puis remonte le toboggan.")</f>
        <v>La fille glisse dans une piscine de balle puis remonte le toboggan.</v>
      </c>
    </row>
    <row r="13920">
      <c r="A13920" s="4" t="s">
        <v>17521</v>
      </c>
      <c r="B13920" s="4" t="s">
        <v>17526</v>
      </c>
      <c r="C13920" s="5" t="str">
        <f>IFERROR(__xludf.DUMMYFUNCTION("GOOGLETRANSLATE(B13920,""en"",""fr"")"),"La fille joue avec la planche à tick-toe avant de reculer.")</f>
        <v>La fille joue avec la planche à tick-toe avant de reculer.</v>
      </c>
    </row>
    <row r="13921">
      <c r="A13921" s="4" t="s">
        <v>17521</v>
      </c>
      <c r="B13921" s="4" t="s">
        <v>17527</v>
      </c>
      <c r="C13921" s="5" t="str">
        <f>IFERROR(__xludf.DUMMYFUNCTION("GOOGLETRANSLATE(B13921,""en"",""fr"")"),"L'enfant oscille sur un swing.")</f>
        <v>L'enfant oscille sur un swing.</v>
      </c>
    </row>
    <row r="13922">
      <c r="A13922" s="4" t="s">
        <v>17521</v>
      </c>
      <c r="B13922" s="4" t="s">
        <v>17528</v>
      </c>
      <c r="C13922" s="5" t="str">
        <f>IFERROR(__xludf.DUMMYFUNCTION("GOOGLETRANSLATE(B13922,""en"",""fr"")"),"L'enfant entre dans une salle de trampoline puis saute de haut en bas.")</f>
        <v>L'enfant entre dans une salle de trampoline puis saute de haut en bas.</v>
      </c>
    </row>
    <row r="13923">
      <c r="A13923" s="4" t="s">
        <v>17521</v>
      </c>
      <c r="B13923" s="4" t="s">
        <v>17529</v>
      </c>
      <c r="C13923" s="5" t="str">
        <f>IFERROR(__xludf.DUMMYFUNCTION("GOOGLETRANSLATE(B13923,""en"",""fr"")"),"L'enfant marche sur un pont de suspension puis sur un pont avec des filets.")</f>
        <v>L'enfant marche sur un pont de suspension puis sur un pont avec des filets.</v>
      </c>
    </row>
    <row r="13924">
      <c r="A13924" s="4" t="s">
        <v>17521</v>
      </c>
      <c r="B13924" s="4" t="s">
        <v>17530</v>
      </c>
      <c r="C13924" s="5" t="str">
        <f>IFERROR(__xludf.DUMMYFUNCTION("GOOGLETRANSLATE(B13924,""en"",""fr"")"),"La fille glisse dans la piscine de balle puis monte sur le mur et saute dedans.")</f>
        <v>La fille glisse dans la piscine de balle puis monte sur le mur et saute dedans.</v>
      </c>
    </row>
    <row r="13925">
      <c r="A13925" s="4" t="s">
        <v>17521</v>
      </c>
      <c r="B13925" s="4" t="s">
        <v>17531</v>
      </c>
      <c r="C13925" s="5" t="str">
        <f>IFERROR(__xludf.DUMMYFUNCTION("GOOGLETRANSLATE(B13925,""en"",""fr"")"),"La fille grimpe la balustrade de glissière.")</f>
        <v>La fille grimpe la balustrade de glissière.</v>
      </c>
    </row>
    <row r="13926">
      <c r="A13926" s="4" t="s">
        <v>17521</v>
      </c>
      <c r="B13926" s="4" t="s">
        <v>17532</v>
      </c>
      <c r="C13926" s="5" t="str">
        <f>IFERROR(__xludf.DUMMYFUNCTION("GOOGLETRANSLATE(B13926,""en"",""fr"")"),"La fille glisse sur une lame d'orange escarpée.")</f>
        <v>La fille glisse sur une lame d'orange escarpée.</v>
      </c>
    </row>
    <row r="13927">
      <c r="A13927" s="4" t="s">
        <v>17521</v>
      </c>
      <c r="B13927" s="4" t="s">
        <v>17533</v>
      </c>
      <c r="C13927" s="5" t="str">
        <f>IFERROR(__xludf.DUMMYFUNCTION("GOOGLETRANSLATE(B13927,""en"",""fr"")"),"Des balles sont lancées sur la fille et elle les rejette en riant.")</f>
        <v>Des balles sont lancées sur la fille et elle les rejette en riant.</v>
      </c>
    </row>
    <row r="13928">
      <c r="A13928" s="4" t="s">
        <v>17534</v>
      </c>
      <c r="B13928" s="6" t="s">
        <v>17535</v>
      </c>
      <c r="C13928" s="5" t="str">
        <f>IFERROR(__xludf.DUMMYFUNCTION("GOOGLETRANSLATE(B13928,""en"",""fr"")"),"Un homme est vu jouer de la batterie avec un autre homme à côté de lui avec plusieurs lumières qui éclairent autour de son visage.")</f>
        <v>Un homme est vu jouer de la batterie avec un autre homme à côté de lui avec plusieurs lumières qui éclairent autour de son visage.</v>
      </c>
    </row>
    <row r="13929">
      <c r="A13929" s="4" t="s">
        <v>17534</v>
      </c>
      <c r="B13929" s="4" t="s">
        <v>17536</v>
      </c>
      <c r="C13929" s="5" t="str">
        <f>IFERROR(__xludf.DUMMYFUNCTION("GOOGLETRANSLATE(B13929,""en"",""fr"")"),"Un autre homme est vu en tenant une guitare et plusieurs coups de scène sont montrés.")</f>
        <v>Un autre homme est vu en tenant une guitare et plusieurs coups de scène sont montrés.</v>
      </c>
    </row>
    <row r="13930">
      <c r="A13930" s="4" t="s">
        <v>17534</v>
      </c>
      <c r="B13930" s="4" t="s">
        <v>17537</v>
      </c>
      <c r="C13930" s="5" t="str">
        <f>IFERROR(__xludf.DUMMYFUNCTION("GOOGLETRANSLATE(B13930,""en"",""fr"")"),"Le musicien attrape un microphone et le guitariste saute sur scène avec une cigarette dans sa bouche.")</f>
        <v>Le musicien attrape un microphone et le guitariste saute sur scène avec une cigarette dans sa bouche.</v>
      </c>
    </row>
    <row r="13931">
      <c r="A13931" s="4" t="s">
        <v>17538</v>
      </c>
      <c r="B13931" s="4" t="s">
        <v>17539</v>
      </c>
      <c r="C13931" s="5" t="str">
        <f>IFERROR(__xludf.DUMMYFUNCTION("GOOGLETRANSLATE(B13931,""en"",""fr"")"),"Un homme qui tient un violon parle à la caméra avec un jeune garçon qui tient également un violon.")</f>
        <v>Un homme qui tient un violon parle à la caméra avec un jeune garçon qui tient également un violon.</v>
      </c>
    </row>
    <row r="13932">
      <c r="A13932" s="4" t="s">
        <v>17538</v>
      </c>
      <c r="B13932" s="6" t="s">
        <v>17540</v>
      </c>
      <c r="C13932" s="5" t="str">
        <f>IFERROR(__xludf.DUMMYFUNCTION("GOOGLETRANSLATE(B13932,""en"",""fr"")"),"Les garçons parlent et quatrième pendant un certain temps et l'homme montre au garçon comment jouer correctement le violon.")</f>
        <v>Les garçons parlent et quatrième pendant un certain temps et l'homme montre au garçon comment jouer correctement le violon.</v>
      </c>
    </row>
    <row r="13933">
      <c r="A13933" s="4" t="s">
        <v>17538</v>
      </c>
      <c r="B13933" s="6" t="s">
        <v>17541</v>
      </c>
      <c r="C13933" s="5" t="str">
        <f>IFERROR(__xludf.DUMMYFUNCTION("GOOGLETRANSLATE(B13933,""en"",""fr"")"),"Le garçon fait alors exactement ce que l'instructeur lui a enseigné pendant que l'instructeur corrige son jeu.")</f>
        <v>Le garçon fait alors exactement ce que l'instructeur lui a enseigné pendant que l'instructeur corrige son jeu.</v>
      </c>
    </row>
    <row r="13934">
      <c r="A13934" s="4" t="s">
        <v>17542</v>
      </c>
      <c r="B13934" s="4" t="s">
        <v>17543</v>
      </c>
      <c r="C13934" s="5" t="str">
        <f>IFERROR(__xludf.DUMMYFUNCTION("GOOGLETRANSLATE(B13934,""en"",""fr"")"),"Les mains d'une personne sont vues coucher de l'argile sur un gâteau et commencent à peindre des objets sur le côté.")</f>
        <v>Les mains d'une personne sont vues coucher de l'argile sur un gâteau et commencent à peindre des objets sur le côté.</v>
      </c>
    </row>
    <row r="13935">
      <c r="A13935" s="4" t="s">
        <v>17542</v>
      </c>
      <c r="B13935" s="6" t="s">
        <v>17544</v>
      </c>
      <c r="C13935" s="5" t="str">
        <f>IFERROR(__xludf.DUMMYFUNCTION("GOOGLETRANSLATE(B13935,""en"",""fr"")"),"La femme met les décorations autour du gâteau et continue de décorer plus d'objets sur le côté.")</f>
        <v>La femme met les décorations autour du gâteau et continue de décorer plus d'objets sur le côté.</v>
      </c>
    </row>
    <row r="13936">
      <c r="A13936" s="4" t="s">
        <v>17542</v>
      </c>
      <c r="B13936" s="4" t="s">
        <v>17545</v>
      </c>
      <c r="C13936" s="5" t="str">
        <f>IFERROR(__xludf.DUMMYFUNCTION("GOOGLETRANSLATE(B13936,""en"",""fr"")"),"Elle termine le gâteau en ajoutant les décorations finales et en la présentant à la caméra.")</f>
        <v>Elle termine le gâteau en ajoutant les décorations finales et en la présentant à la caméra.</v>
      </c>
    </row>
    <row r="13937">
      <c r="A13937" s="4" t="s">
        <v>17546</v>
      </c>
      <c r="B13937" s="4" t="s">
        <v>17547</v>
      </c>
      <c r="C13937" s="5" t="str">
        <f>IFERROR(__xludf.DUMMYFUNCTION("GOOGLETRANSLATE(B13937,""en"",""fr"")"),"Les gens sont dans des stands en regardant deux équipes dans une piscine jouer au football de piscine.")</f>
        <v>Les gens sont dans des stands en regardant deux équipes dans une piscine jouer au football de piscine.</v>
      </c>
    </row>
    <row r="13938">
      <c r="A13938" s="4" t="s">
        <v>17546</v>
      </c>
      <c r="B13938" s="6" t="s">
        <v>17548</v>
      </c>
      <c r="C13938" s="5" t="str">
        <f>IFERROR(__xludf.DUMMYFUNCTION("GOOGLETRANSLATE(B13938,""en"",""fr"")"),"Les joueurs hurlent, puis le ballon est touché vers le but et dévié pendant que la foule les encourage.")</f>
        <v>Les joueurs hurlent, puis le ballon est touché vers le but et dévié pendant que la foule les encourage.</v>
      </c>
    </row>
    <row r="13939">
      <c r="A13939" s="4" t="s">
        <v>17546</v>
      </c>
      <c r="B13939" s="4" t="s">
        <v>17549</v>
      </c>
      <c r="C13939" s="5" t="str">
        <f>IFERROR(__xludf.DUMMYFUNCTION("GOOGLETRANSLATE(B13939,""en"",""fr"")"),"Le ballon est ensuite renvoyé dans la piscine.")</f>
        <v>Le ballon est ensuite renvoyé dans la piscine.</v>
      </c>
    </row>
    <row r="13940">
      <c r="A13940" s="4" t="s">
        <v>17550</v>
      </c>
      <c r="B13940" s="4" t="s">
        <v>17551</v>
      </c>
      <c r="C13940" s="5" t="str">
        <f>IFERROR(__xludf.DUMMYFUNCTION("GOOGLETRANSLATE(B13940,""en"",""fr"")"),"Un homme s'agenouille dans une salle de sport.")</f>
        <v>Un homme s'agenouille dans une salle de sport.</v>
      </c>
    </row>
    <row r="13941">
      <c r="A13941" s="4" t="s">
        <v>17550</v>
      </c>
      <c r="B13941" s="4" t="s">
        <v>17552</v>
      </c>
      <c r="C13941" s="5" t="str">
        <f>IFERROR(__xludf.DUMMYFUNCTION("GOOGLETRANSLATE(B13941,""en"",""fr"")"),"Il a une haltère reposant sur ses épaules alors qu'il saute.")</f>
        <v>Il a une haltère reposant sur ses épaules alors qu'il saute.</v>
      </c>
    </row>
    <row r="13942">
      <c r="A13942" s="4" t="s">
        <v>17550</v>
      </c>
      <c r="B13942" s="4" t="s">
        <v>17553</v>
      </c>
      <c r="C13942" s="5" t="str">
        <f>IFERROR(__xludf.DUMMYFUNCTION("GOOGLETRANSLATE(B13942,""en"",""fr"")"),"Il se tient complètement, puis laisse tomber les poids.")</f>
        <v>Il se tient complètement, puis laisse tomber les poids.</v>
      </c>
    </row>
    <row r="13943">
      <c r="A13943" s="4" t="s">
        <v>17554</v>
      </c>
      <c r="B13943" s="4" t="s">
        <v>17555</v>
      </c>
      <c r="C13943" s="5" t="str">
        <f>IFERROR(__xludf.DUMMYFUNCTION("GOOGLETRANSLATE(B13943,""en"",""fr"")"),"Un homme portant une chemise blanche se tient dans une cuisine avec une vadrouille.")</f>
        <v>Un homme portant une chemise blanche se tient dans une cuisine avec une vadrouille.</v>
      </c>
    </row>
    <row r="13944">
      <c r="A13944" s="4" t="s">
        <v>17554</v>
      </c>
      <c r="B13944" s="4" t="s">
        <v>17556</v>
      </c>
      <c r="C13944" s="5" t="str">
        <f>IFERROR(__xludf.DUMMYFUNCTION("GOOGLETRANSLATE(B13944,""en"",""fr"")"),"L'homme commence à nettoyer le sol tout en se tenant devant les machines à laver.")</f>
        <v>L'homme commence à nettoyer le sol tout en se tenant devant les machines à laver.</v>
      </c>
    </row>
    <row r="13945">
      <c r="A13945" s="4" t="s">
        <v>17554</v>
      </c>
      <c r="B13945" s="6" t="s">
        <v>17557</v>
      </c>
      <c r="C13945" s="5" t="str">
        <f>IFERROR(__xludf.DUMMYFUNCTION("GOOGLETRANSLATE(B13945,""en"",""fr"")"),"L'homme nettoyait quelques pas et se glisse alors que sa jambe gauche glisse sur le sol et il tombe au sol.")</f>
        <v>L'homme nettoyait quelques pas et se glisse alors que sa jambe gauche glisse sur le sol et il tombe au sol.</v>
      </c>
    </row>
    <row r="13946">
      <c r="A13946" s="4" t="s">
        <v>17558</v>
      </c>
      <c r="B13946" s="4" t="s">
        <v>17559</v>
      </c>
      <c r="C13946" s="5" t="str">
        <f>IFERROR(__xludf.DUMMYFUNCTION("GOOGLETRANSLATE(B13946,""en"",""fr"")"),"Deux trains roulent le long d'un rail surélevé dans une ville.")</f>
        <v>Deux trains roulent le long d'un rail surélevé dans une ville.</v>
      </c>
    </row>
    <row r="13947">
      <c r="A13947" s="4" t="s">
        <v>17558</v>
      </c>
      <c r="B13947" s="4" t="s">
        <v>17560</v>
      </c>
      <c r="C13947" s="5" t="str">
        <f>IFERROR(__xludf.DUMMYFUNCTION("GOOGLETRANSLATE(B13947,""en"",""fr"")"),"La caméra est en train de montrer à un homme jouant un harmonica tout en étant assis sur une bûche à côté d'une rivière.")</f>
        <v>La caméra est en train de montrer à un homme jouant un harmonica tout en étant assis sur une bûche à côté d'une rivière.</v>
      </c>
    </row>
    <row r="13948">
      <c r="A13948" s="4" t="s">
        <v>17558</v>
      </c>
      <c r="B13948" s="4" t="s">
        <v>17561</v>
      </c>
      <c r="C13948" s="5" t="str">
        <f>IFERROR(__xludf.DUMMYFUNCTION("GOOGLETRANSLATE(B13948,""en"",""fr"")"),"Une femme marche près des voies ferrées pendant qu'un train passe.")</f>
        <v>Une femme marche près des voies ferrées pendant qu'un train passe.</v>
      </c>
    </row>
    <row r="13949">
      <c r="A13949" s="4" t="s">
        <v>17558</v>
      </c>
      <c r="B13949" s="4" t="s">
        <v>17562</v>
      </c>
      <c r="C13949" s="5" t="str">
        <f>IFERROR(__xludf.DUMMYFUNCTION("GOOGLETRANSLATE(B13949,""en"",""fr"")"),"La femme voit l'harmonica jouer l'homme au loin.")</f>
        <v>La femme voit l'harmonica jouer l'homme au loin.</v>
      </c>
    </row>
    <row r="13950">
      <c r="A13950" s="4" t="s">
        <v>17558</v>
      </c>
      <c r="B13950" s="4" t="s">
        <v>17563</v>
      </c>
      <c r="C13950" s="5" t="str">
        <f>IFERROR(__xludf.DUMMYFUNCTION("GOOGLETRANSLATE(B13950,""en"",""fr"")"),"Elle le regarde et l'écoute en jouant.")</f>
        <v>Elle le regarde et l'écoute en jouant.</v>
      </c>
    </row>
    <row r="13951">
      <c r="A13951" s="4" t="s">
        <v>17558</v>
      </c>
      <c r="B13951" s="4" t="s">
        <v>17564</v>
      </c>
      <c r="C13951" s="5" t="str">
        <f>IFERROR(__xludf.DUMMYFUNCTION("GOOGLETRANSLATE(B13951,""en"",""fr"")"),"Elle s'éloigne en quittant l'homme.")</f>
        <v>Elle s'éloigne en quittant l'homme.</v>
      </c>
    </row>
    <row r="13952">
      <c r="A13952" s="4" t="s">
        <v>17558</v>
      </c>
      <c r="B13952" s="4" t="s">
        <v>17565</v>
      </c>
      <c r="C13952" s="5" t="str">
        <f>IFERROR(__xludf.DUMMYFUNCTION("GOOGLETRANSLATE(B13952,""en"",""fr"")"),"L'homme finit de jouer et reste assis.")</f>
        <v>L'homme finit de jouer et reste assis.</v>
      </c>
    </row>
    <row r="13953">
      <c r="A13953" s="4" t="s">
        <v>17566</v>
      </c>
      <c r="B13953" s="6" t="s">
        <v>17567</v>
      </c>
      <c r="C13953" s="5" t="str">
        <f>IFERROR(__xludf.DUMMYFUNCTION("GOOGLETRANSLATE(B13953,""en"",""fr"")"),"Un homme portant un tablier lourd, des gants lourds et un grand masque en plastique sur son visage se dirigent vers un outil assis sur une table en bois.")</f>
        <v>Un homme portant un tablier lourd, des gants lourds et un grand masque en plastique sur son visage se dirigent vers un outil assis sur une table en bois.</v>
      </c>
    </row>
    <row r="13954">
      <c r="A13954" s="4" t="s">
        <v>17566</v>
      </c>
      <c r="B13954" s="4" t="s">
        <v>17568</v>
      </c>
      <c r="C13954" s="5" t="str">
        <f>IFERROR(__xludf.DUMMYFUNCTION("GOOGLETRANSLATE(B13954,""en"",""fr"")"),"L'homme ramasse l'outil et le touche à quelque chose sur la table, faisant voler des étincelles.")</f>
        <v>L'homme ramasse l'outil et le touche à quelque chose sur la table, faisant voler des étincelles.</v>
      </c>
    </row>
    <row r="13955">
      <c r="A13955" s="4" t="s">
        <v>17566</v>
      </c>
      <c r="B13955" s="4" t="s">
        <v>17569</v>
      </c>
      <c r="C13955" s="5" t="str">
        <f>IFERROR(__xludf.DUMMYFUNCTION("GOOGLETRANSLATE(B13955,""en"",""fr"")"),"Un spray continu d'étincelles tire de l'outil.")</f>
        <v>Un spray continu d'étincelles tire de l'outil.</v>
      </c>
    </row>
    <row r="13956">
      <c r="A13956" s="4" t="s">
        <v>17566</v>
      </c>
      <c r="B13956" s="6" t="s">
        <v>17570</v>
      </c>
      <c r="C13956" s="5" t="str">
        <f>IFERROR(__xludf.DUMMYFUNCTION("GOOGLETRANSLATE(B13956,""en"",""fr"")"),"L'homme s'arrête et prend un pas en arrière tout en tirant son masque de visage et en regardant l'article sur la table.")</f>
        <v>L'homme s'arrête et prend un pas en arrière tout en tirant son masque de visage et en regardant l'article sur la table.</v>
      </c>
    </row>
    <row r="13957">
      <c r="A13957" s="4" t="s">
        <v>17566</v>
      </c>
      <c r="B13957" s="6" t="s">
        <v>17571</v>
      </c>
      <c r="C13957" s="5" t="str">
        <f>IFERROR(__xludf.DUMMYFUNCTION("GOOGLETRANSLATE(B13957,""en"",""fr"")"),"L'homme retire son masque de visage et recommence à utiliser à nouveau l'outil en renvoyant des étincelles volant.")</f>
        <v>L'homme retire son masque de visage et recommence à utiliser à nouveau l'outil en renvoyant des étincelles volant.</v>
      </c>
    </row>
    <row r="13958">
      <c r="A13958" s="4" t="s">
        <v>17566</v>
      </c>
      <c r="B13958" s="4" t="s">
        <v>17572</v>
      </c>
      <c r="C13958" s="5" t="str">
        <f>IFERROR(__xludf.DUMMYFUNCTION("GOOGLETRANSLATE(B13958,""en"",""fr"")"),"L'homme s'arrête et recule en regardant l'article sur la table.")</f>
        <v>L'homme s'arrête et recule en regardant l'article sur la table.</v>
      </c>
    </row>
    <row r="13959">
      <c r="A13959" s="4" t="s">
        <v>17566</v>
      </c>
      <c r="B13959" s="4" t="s">
        <v>17573</v>
      </c>
      <c r="C13959" s="5" t="str">
        <f>IFERROR(__xludf.DUMMYFUNCTION("GOOGLETRANSLATE(B13959,""en"",""fr"")"),"Il touche l'outil à l'article une fois de plus.")</f>
        <v>Il touche l'outil à l'article une fois de plus.</v>
      </c>
    </row>
    <row r="13960">
      <c r="A13960" s="4" t="s">
        <v>17566</v>
      </c>
      <c r="B13960" s="4" t="s">
        <v>17574</v>
      </c>
      <c r="C13960" s="5" t="str">
        <f>IFERROR(__xludf.DUMMYFUNCTION("GOOGLETRANSLATE(B13960,""en"",""fr"")"),"L'homme regarde ensuite l'outil qu'il utilise et le secoue un peu avant de le s'asseoir sur la table.")</f>
        <v>L'homme regarde ensuite l'outil qu'il utilise et le secoue un peu avant de le s'asseoir sur la table.</v>
      </c>
    </row>
    <row r="13961">
      <c r="A13961" s="4" t="s">
        <v>17566</v>
      </c>
      <c r="B13961" s="4" t="s">
        <v>17575</v>
      </c>
      <c r="C13961" s="5" t="str">
        <f>IFERROR(__xludf.DUMMYFUNCTION("GOOGLETRANSLATE(B13961,""en"",""fr"")"),"L'homme enlève alors l'un de ses gants et s'éloigne.")</f>
        <v>L'homme enlève alors l'un de ses gants et s'éloigne.</v>
      </c>
    </row>
    <row r="13962">
      <c r="A13962" s="4" t="s">
        <v>17576</v>
      </c>
      <c r="B13962" s="6" t="s">
        <v>17577</v>
      </c>
      <c r="C13962" s="5" t="str">
        <f>IFERROR(__xludf.DUMMYFUNCTION("GOOGLETRANSLATE(B13962,""en"",""fr"")"),"Un gros plan de boules se déplaçant autour d'une table de billard est montré suivi d'une personne qui se promenait autour de la table.")</f>
        <v>Un gros plan de boules se déplaçant autour d'une table de billard est montré suivi d'une personne qui se promenait autour de la table.</v>
      </c>
    </row>
    <row r="13963">
      <c r="A13963" s="4" t="s">
        <v>17576</v>
      </c>
      <c r="B13963" s="6" t="s">
        <v>17578</v>
      </c>
      <c r="C13963" s="5" t="str">
        <f>IFERROR(__xludf.DUMMYFUNCTION("GOOGLETRANSLATE(B13963,""en"",""fr"")"),"Deux hommes ont ensuite frappé les balles autour de la table en arrière et quatrième tandis que beaucoup veillent et réagissent autour d'eux.")</f>
        <v>Deux hommes ont ensuite frappé les balles autour de la table en arrière et quatrième tandis que beaucoup veillent et réagissent autour d'eux.</v>
      </c>
    </row>
    <row r="13964">
      <c r="A13964" s="4" t="s">
        <v>17579</v>
      </c>
      <c r="B13964" s="4" t="s">
        <v>17580</v>
      </c>
      <c r="C13964" s="5" t="str">
        <f>IFERROR(__xludf.DUMMYFUNCTION("GOOGLETRANSLATE(B13964,""en"",""fr"")"),"Un petit groupe de personnes est vue assise dans des tamponneurs jouant un jeu les uns avec les autres.")</f>
        <v>Un petit groupe de personnes est vue assise dans des tamponneurs jouant un jeu les uns avec les autres.</v>
      </c>
    </row>
    <row r="13965">
      <c r="A13965" s="4" t="s">
        <v>17579</v>
      </c>
      <c r="B13965" s="4" t="s">
        <v>17581</v>
      </c>
      <c r="C13965" s="5" t="str">
        <f>IFERROR(__xludf.DUMMYFUNCTION("GOOGLETRANSLATE(B13965,""en"",""fr"")"),"Les gens conduisant dans les voitures tandis que d'autres regardent sur les côtés.")</f>
        <v>Les gens conduisant dans les voitures tandis que d'autres regardent sur les côtés.</v>
      </c>
    </row>
    <row r="13966">
      <c r="A13966" s="4" t="s">
        <v>17579</v>
      </c>
      <c r="B13966" s="4" t="s">
        <v>17582</v>
      </c>
      <c r="C13966" s="5" t="str">
        <f>IFERROR(__xludf.DUMMYFUNCTION("GOOGLETRANSLATE(B13966,""en"",""fr"")"),"Un autre coup est montré de personnes jouant des tampants et s'écrasant les uns aux autres.")</f>
        <v>Un autre coup est montré de personnes jouant des tampants et s'écrasant les uns aux autres.</v>
      </c>
    </row>
    <row r="13967">
      <c r="A13967" s="4" t="s">
        <v>17583</v>
      </c>
      <c r="B13967" s="4" t="s">
        <v>17584</v>
      </c>
      <c r="C13967" s="5" t="str">
        <f>IFERROR(__xludf.DUMMYFUNCTION("GOOGLETRANSLATE(B13967,""en"",""fr"")"),"Une fille se tient devant un miroir de salle de bain et se frotte vigoureusement son visage.")</f>
        <v>Une fille se tient devant un miroir de salle de bain et se frotte vigoureusement son visage.</v>
      </c>
    </row>
    <row r="13968">
      <c r="A13968" s="4" t="s">
        <v>17583</v>
      </c>
      <c r="B13968" s="4" t="s">
        <v>17585</v>
      </c>
      <c r="C13968" s="5" t="str">
        <f>IFERROR(__xludf.DUMMYFUNCTION("GOOGLETRANSLATE(B13968,""en"",""fr"")"),"La fille allume le robinet.")</f>
        <v>La fille allume le robinet.</v>
      </c>
    </row>
    <row r="13969">
      <c r="A13969" s="4" t="s">
        <v>17583</v>
      </c>
      <c r="B13969" s="4" t="s">
        <v>17586</v>
      </c>
      <c r="C13969" s="5" t="str">
        <f>IFERROR(__xludf.DUMMYFUNCTION("GOOGLETRANSLATE(B13969,""en"",""fr"")"),"La fille éclabousse ensuite de l'eau sur son visage plusieurs fois.")</f>
        <v>La fille éclabousse ensuite de l'eau sur son visage plusieurs fois.</v>
      </c>
    </row>
    <row r="13970">
      <c r="A13970" s="4" t="s">
        <v>17583</v>
      </c>
      <c r="B13970" s="4" t="s">
        <v>17587</v>
      </c>
      <c r="C13970" s="5" t="str">
        <f>IFERROR(__xludf.DUMMYFUNCTION("GOOGLETRANSLATE(B13970,""en"",""fr"")"),"La fille s'essuie le visage avec une serviette.")</f>
        <v>La fille s'essuie le visage avec une serviette.</v>
      </c>
    </row>
    <row r="13971">
      <c r="A13971" s="4" t="s">
        <v>17588</v>
      </c>
      <c r="B13971" s="4" t="s">
        <v>17589</v>
      </c>
      <c r="C13971" s="5" t="str">
        <f>IFERROR(__xludf.DUMMYFUNCTION("GOOGLETRANSLATE(B13971,""en"",""fr"")"),"Une introduction mène à un homme barbu pour parler à la caméra et présenter un objet à l'écran.")</f>
        <v>Une introduction mène à un homme barbu pour parler à la caméra et présenter un objet à l'écran.</v>
      </c>
    </row>
    <row r="13972">
      <c r="A13972" s="4" t="s">
        <v>17588</v>
      </c>
      <c r="B13972" s="4" t="s">
        <v>17590</v>
      </c>
      <c r="C13972" s="5" t="str">
        <f>IFERROR(__xludf.DUMMYFUNCTION("GOOGLETRANSLATE(B13972,""en"",""fr"")"),"Il utilise l'outil pour pousser une zone de tapis et continue de parler à la caméra.")</f>
        <v>Il utilise l'outil pour pousser une zone de tapis et continue de parler à la caméra.</v>
      </c>
    </row>
    <row r="13973">
      <c r="A13973" s="4" t="s">
        <v>17591</v>
      </c>
      <c r="B13973" s="6" t="s">
        <v>17592</v>
      </c>
      <c r="C13973" s="5" t="str">
        <f>IFERROR(__xludf.DUMMYFUNCTION("GOOGLETRANSLATE(B13973,""en"",""fr"")"),"Plusieurs cerfs-volants multicolores et en forme volent dans les airs au-dessus d'un cadre de plage entrecoupé d'images de personnes se préparant à piloter des cerfs-volants et des spectateurs.")</f>
        <v>Plusieurs cerfs-volants multicolores et en forme volent dans les airs au-dessus d'un cadre de plage entrecoupé d'images de personnes se préparant à piloter des cerfs-volants et des spectateurs.</v>
      </c>
    </row>
    <row r="13974">
      <c r="A13974" s="4" t="s">
        <v>17591</v>
      </c>
      <c r="B13974" s="4" t="s">
        <v>17593</v>
      </c>
      <c r="C13974" s="5" t="str">
        <f>IFERROR(__xludf.DUMMYFUNCTION("GOOGLETRANSLATE(B13974,""en"",""fr"")"),"Plusieurs cerfs-volants volent dans les airs, dans un ciel bleu vif, sur une zone de sable.")</f>
        <v>Plusieurs cerfs-volants volent dans les airs, dans un ciel bleu vif, sur une zone de sable.</v>
      </c>
    </row>
    <row r="13975">
      <c r="A13975" s="4" t="s">
        <v>17591</v>
      </c>
      <c r="B13975" s="4" t="s">
        <v>17594</v>
      </c>
      <c r="C13975" s="5" t="str">
        <f>IFERROR(__xludf.DUMMYFUNCTION("GOOGLETRANSLATE(B13975,""en"",""fr"")"),"Un homme est vu à genoux sur certains équipements dans le sable.")</f>
        <v>Un homme est vu à genoux sur certains équipements dans le sable.</v>
      </c>
    </row>
    <row r="13976">
      <c r="A13976" s="4" t="s">
        <v>17591</v>
      </c>
      <c r="B13976" s="4" t="s">
        <v>17595</v>
      </c>
      <c r="C13976" s="5" t="str">
        <f>IFERROR(__xludf.DUMMYFUNCTION("GOOGLETRANSLATE(B13976,""en"",""fr"")"),"Plus de cerfs-volants volent alors que les gens regardent les styles variés de cerf-volant, y compris un cerf-volant en forme de chien.")</f>
        <v>Plus de cerfs-volants volent alors que les gens regardent les styles variés de cerf-volant, y compris un cerf-volant en forme de chien.</v>
      </c>
    </row>
    <row r="13977">
      <c r="A13977" s="4" t="s">
        <v>17596</v>
      </c>
      <c r="B13977" s="4" t="s">
        <v>17597</v>
      </c>
      <c r="C13977" s="5" t="str">
        <f>IFERROR(__xludf.DUMMYFUNCTION("GOOGLETRANSLATE(B13977,""en"",""fr"")"),"Une dame est allongée sur un tapis de yoga dans une pièce tapissée et s'assoit en parlant.")</f>
        <v>Une dame est allongée sur un tapis de yoga dans une pièce tapissée et s'assoit en parlant.</v>
      </c>
    </row>
    <row r="13978">
      <c r="A13978" s="4" t="s">
        <v>17596</v>
      </c>
      <c r="B13978" s="4" t="s">
        <v>17598</v>
      </c>
      <c r="C13978" s="5" t="str">
        <f>IFERROR(__xludf.DUMMYFUNCTION("GOOGLETRANSLATE(B13978,""en"",""fr"")"),"Un doigt pénètre dans l'écran.")</f>
        <v>Un doigt pénètre dans l'écran.</v>
      </c>
    </row>
    <row r="13979">
      <c r="A13979" s="4" t="s">
        <v>17596</v>
      </c>
      <c r="B13979" s="4" t="s">
        <v>17599</v>
      </c>
      <c r="C13979" s="5" t="str">
        <f>IFERROR(__xludf.DUMMYFUNCTION("GOOGLETRANSLATE(B13979,""en"",""fr"")"),"La dame termine et s'arrête.")</f>
        <v>La dame termine et s'arrête.</v>
      </c>
    </row>
    <row r="13980">
      <c r="A13980" s="4" t="s">
        <v>17600</v>
      </c>
      <c r="B13980" s="6" t="s">
        <v>17601</v>
      </c>
      <c r="C13980" s="5" t="str">
        <f>IFERROR(__xludf.DUMMYFUNCTION("GOOGLETRANSLATE(B13980,""en"",""fr"")"),"Un barman est montré à la caméra tout en versant de la glace dans un verre et dans divers liquides dans un mélangeur.")</f>
        <v>Un barman est montré à la caméra tout en versant de la glace dans un verre et dans divers liquides dans un mélangeur.</v>
      </c>
    </row>
    <row r="13981">
      <c r="A13981" s="4" t="s">
        <v>17600</v>
      </c>
      <c r="B13981" s="4" t="s">
        <v>17602</v>
      </c>
      <c r="C13981" s="5" t="str">
        <f>IFERROR(__xludf.DUMMYFUNCTION("GOOGLETRANSLATE(B13981,""en"",""fr"")"),"Il verse plus de glace dans le mélangeur et mélange les liquides tous ensemble.")</f>
        <v>Il verse plus de glace dans le mélangeur et mélange les liquides tous ensemble.</v>
      </c>
    </row>
    <row r="13982">
      <c r="A13982" s="4" t="s">
        <v>17600</v>
      </c>
      <c r="B13982" s="4" t="s">
        <v>17603</v>
      </c>
      <c r="C13982" s="5" t="str">
        <f>IFERROR(__xludf.DUMMYFUNCTION("GOOGLETRANSLATE(B13982,""en"",""fr"")"),"Il verse le liquide et place une paille dans le verre pendant que la caméra se déroule.")</f>
        <v>Il verse le liquide et place une paille dans le verre pendant que la caméra se déroule.</v>
      </c>
    </row>
    <row r="13983">
      <c r="A13983" s="4" t="s">
        <v>17604</v>
      </c>
      <c r="B13983" s="4" t="s">
        <v>17605</v>
      </c>
      <c r="C13983" s="5" t="str">
        <f>IFERROR(__xludf.DUMMYFUNCTION("GOOGLETRANSLATE(B13983,""en"",""fr"")"),"Un homme dans un gymnase enfile une paire de gants de boxe.")</f>
        <v>Un homme dans un gymnase enfile une paire de gants de boxe.</v>
      </c>
    </row>
    <row r="13984">
      <c r="A13984" s="4" t="s">
        <v>17604</v>
      </c>
      <c r="B13984" s="4" t="s">
        <v>17606</v>
      </c>
      <c r="C13984" s="5" t="str">
        <f>IFERROR(__xludf.DUMMYFUNCTION("GOOGLETRANSLATE(B13984,""en"",""fr"")"),"Il commence à frapper le sac, en faisant des ronds comme il le fait.")</f>
        <v>Il commence à frapper le sac, en faisant des ronds comme il le fait.</v>
      </c>
    </row>
    <row r="13985">
      <c r="A13985" s="4" t="s">
        <v>17604</v>
      </c>
      <c r="B13985" s="4" t="s">
        <v>17607</v>
      </c>
      <c r="C13985" s="5" t="str">
        <f>IFERROR(__xludf.DUMMYFUNCTION("GOOGLETRANSLATE(B13985,""en"",""fr"")"),"Il continue de frapper, puis nous voyons une légère vue sur une corde qui saute.")</f>
        <v>Il continue de frapper, puis nous voyons une légère vue sur une corde qui saute.</v>
      </c>
    </row>
    <row r="13986">
      <c r="A13986" s="4" t="s">
        <v>17608</v>
      </c>
      <c r="B13986" s="4" t="s">
        <v>17609</v>
      </c>
      <c r="C13986" s="5" t="str">
        <f>IFERROR(__xludf.DUMMYFUNCTION("GOOGLETRANSLATE(B13986,""en"",""fr"")"),"Nous voyons un logo d'ouverture noire.")</f>
        <v>Nous voyons un logo d'ouverture noire.</v>
      </c>
    </row>
    <row r="13987">
      <c r="A13987" s="4" t="s">
        <v>17608</v>
      </c>
      <c r="B13987" s="4" t="s">
        <v>17610</v>
      </c>
      <c r="C13987" s="5" t="str">
        <f>IFERROR(__xludf.DUMMYFUNCTION("GOOGLETRANSLATE(B13987,""en"",""fr"")"),"Un homme grave une citrouille avec un outil de couteau.")</f>
        <v>Un homme grave une citrouille avec un outil de couteau.</v>
      </c>
    </row>
    <row r="13988">
      <c r="A13988" s="4" t="s">
        <v>17608</v>
      </c>
      <c r="B13988" s="4" t="s">
        <v>17611</v>
      </c>
      <c r="C13988" s="5" t="str">
        <f>IFERROR(__xludf.DUMMYFUNCTION("GOOGLETRANSLATE(B13988,""en"",""fr"")"),"L'homme sculpte ensuite un logo dans la citrouille.")</f>
        <v>L'homme sculpte ensuite un logo dans la citrouille.</v>
      </c>
    </row>
    <row r="13989">
      <c r="A13989" s="4" t="s">
        <v>17608</v>
      </c>
      <c r="B13989" s="4" t="s">
        <v>17612</v>
      </c>
      <c r="C13989" s="5" t="str">
        <f>IFERROR(__xludf.DUMMYFUNCTION("GOOGLETRANSLATE(B13989,""en"",""fr"")"),"Nous voyons la citrouille avec une lumière à l'intérieur.")</f>
        <v>Nous voyons la citrouille avec une lumière à l'intérieur.</v>
      </c>
    </row>
    <row r="13990">
      <c r="A13990" s="4" t="s">
        <v>17608</v>
      </c>
      <c r="B13990" s="4" t="s">
        <v>17613</v>
      </c>
      <c r="C13990" s="5" t="str">
        <f>IFERROR(__xludf.DUMMYFUNCTION("GOOGLETRANSLATE(B13990,""en"",""fr"")"),"Nous voyons ensuite le même logo que l'Open.")</f>
        <v>Nous voyons ensuite le même logo que l'Open.</v>
      </c>
    </row>
    <row r="13991">
      <c r="A13991" s="4" t="s">
        <v>17614</v>
      </c>
      <c r="B13991" s="4" t="s">
        <v>17615</v>
      </c>
      <c r="C13991" s="5" t="str">
        <f>IFERROR(__xludf.DUMMYFUNCTION("GOOGLETRANSLATE(B13991,""en"",""fr"")"),"Un homme et une femme portant des lames à roller s'agenouillent face à face sur un terrain de basket.")</f>
        <v>Un homme et une femme portant des lames à roller s'agenouillent face à face sur un terrain de basket.</v>
      </c>
    </row>
    <row r="13992">
      <c r="A13992" s="4" t="s">
        <v>17614</v>
      </c>
      <c r="B13992" s="4" t="s">
        <v>17616</v>
      </c>
      <c r="C13992" s="5" t="str">
        <f>IFERROR(__xludf.DUMMYFUNCTION("GOOGLETRANSLATE(B13992,""en"",""fr"")"),"Un chien coule par l'homme et la femme.")</f>
        <v>Un chien coule par l'homme et la femme.</v>
      </c>
    </row>
    <row r="13993">
      <c r="A13993" s="4" t="s">
        <v>17614</v>
      </c>
      <c r="B13993" s="4" t="s">
        <v>17617</v>
      </c>
      <c r="C13993" s="5" t="str">
        <f>IFERROR(__xludf.DUMMYFUNCTION("GOOGLETRANSLATE(B13993,""en"",""fr"")"),"L'homme et la femme se lèvent ensemble.")</f>
        <v>L'homme et la femme se lèvent ensemble.</v>
      </c>
    </row>
    <row r="13994">
      <c r="A13994" s="4" t="s">
        <v>17614</v>
      </c>
      <c r="B13994" s="4" t="s">
        <v>17618</v>
      </c>
      <c r="C13994" s="5" t="str">
        <f>IFERROR(__xludf.DUMMYFUNCTION("GOOGLETRANSLATE(B13994,""en"",""fr"")"),"L'homme et la femme effectuent une routine de lame à rouleaux appariés.")</f>
        <v>L'homme et la femme effectuent une routine de lame à rouleaux appariés.</v>
      </c>
    </row>
    <row r="13995">
      <c r="A13995" s="4" t="s">
        <v>17614</v>
      </c>
      <c r="B13995" s="4" t="s">
        <v>17619</v>
      </c>
      <c r="C13995" s="5" t="str">
        <f>IFERROR(__xludf.DUMMYFUNCTION("GOOGLETRANSLATE(B13995,""en"",""fr"")"),"L'homme et la femme terminent la routine et se dirigent vers la caméra.")</f>
        <v>L'homme et la femme terminent la routine et se dirigent vers la caméra.</v>
      </c>
    </row>
    <row r="13996">
      <c r="A13996" s="4" t="s">
        <v>17620</v>
      </c>
      <c r="B13996" s="4" t="s">
        <v>17621</v>
      </c>
      <c r="C13996" s="5" t="str">
        <f>IFERROR(__xludf.DUMMYFUNCTION("GOOGLETRANSLATE(B13996,""en"",""fr"")"),"Un homme est vu parler à la caméra et l'amène en jouant sur un ensemble de batterie.")</f>
        <v>Un homme est vu parler à la caméra et l'amène en jouant sur un ensemble de batterie.</v>
      </c>
    </row>
    <row r="13997">
      <c r="A13997" s="4" t="s">
        <v>17620</v>
      </c>
      <c r="B13997" s="6" t="s">
        <v>17622</v>
      </c>
      <c r="C13997" s="5" t="str">
        <f>IFERROR(__xludf.DUMMYFUNCTION("GOOGLETRANSLATE(B13997,""en"",""fr"")"),"L'homme continue de parler à la caméra avec ses mains et de déplacer les bâtons tout en regardant autour de lui.")</f>
        <v>L'homme continue de parler à la caméra avec ses mains et de déplacer les bâtons tout en regardant autour de lui.</v>
      </c>
    </row>
    <row r="13998">
      <c r="A13998" s="4" t="s">
        <v>17623</v>
      </c>
      <c r="B13998" s="4" t="s">
        <v>17624</v>
      </c>
      <c r="C13998" s="5" t="str">
        <f>IFERROR(__xludf.DUMMYFUNCTION("GOOGLETRANSLATE(B13998,""en"",""fr"")"),"L'hôte entre dans un magasin d'armes à feu et danse.")</f>
        <v>L'hôte entre dans un magasin d'armes à feu et danse.</v>
      </c>
    </row>
    <row r="13999">
      <c r="A13999" s="4" t="s">
        <v>17623</v>
      </c>
      <c r="B13999" s="4" t="s">
        <v>17625</v>
      </c>
      <c r="C13999" s="5" t="str">
        <f>IFERROR(__xludf.DUMMYFUNCTION("GOOGLETRANSLATE(B13999,""en"",""fr"")"),"Ensuite, les pièces pour le spectacle.")</f>
        <v>Ensuite, les pièces pour le spectacle.</v>
      </c>
    </row>
    <row r="14000">
      <c r="A14000" s="4" t="s">
        <v>17623</v>
      </c>
      <c r="B14000" s="4" t="s">
        <v>17626</v>
      </c>
      <c r="C14000" s="5" t="str">
        <f>IFERROR(__xludf.DUMMYFUNCTION("GOOGLETRANSLATE(B14000,""en"",""fr"")"),"Il continue ensuite à parler un moment dans le magasin et joue avec un pistolet sur quelques coupures.")</f>
        <v>Il continue ensuite à parler un moment dans le magasin et joue avec un pistolet sur quelques coupures.</v>
      </c>
    </row>
    <row r="14001">
      <c r="A14001" s="4" t="s">
        <v>17623</v>
      </c>
      <c r="B14001" s="4" t="s">
        <v>17627</v>
      </c>
      <c r="C14001" s="5" t="str">
        <f>IFERROR(__xludf.DUMMYFUNCTION("GOOGLETRANSLATE(B14001,""en"",""fr"")"),"Par la suite, un outro pour le segment joue avec des crédits.")</f>
        <v>Par la suite, un outro pour le segment joue avec des crédits.</v>
      </c>
    </row>
    <row r="14002">
      <c r="A14002" s="4" t="s">
        <v>17628</v>
      </c>
      <c r="B14002" s="4" t="s">
        <v>17629</v>
      </c>
      <c r="C14002" s="5" t="str">
        <f>IFERROR(__xludf.DUMMYFUNCTION("GOOGLETRANSLATE(B14002,""en"",""fr"")"),"Une caméra se déroule loin d'une plage suivie de centaines de personnes ramenant des canoës.")</f>
        <v>Une caméra se déroule loin d'une plage suivie de centaines de personnes ramenant des canoës.</v>
      </c>
    </row>
    <row r="14003">
      <c r="A14003" s="4" t="s">
        <v>17628</v>
      </c>
      <c r="B14003" s="6" t="s">
        <v>17630</v>
      </c>
      <c r="C14003" s="5" t="str">
        <f>IFERROR(__xludf.DUMMYFUNCTION("GOOGLETRANSLATE(B14003,""en"",""fr"")"),"Les gens sont vus courir le long de la plage ainsi que ramer les canots et un homme assis à une table.")</f>
        <v>Les gens sont vus courir le long de la plage ainsi que ramer les canots et un homme assis à une table.</v>
      </c>
    </row>
    <row r="14004">
      <c r="A14004" s="4" t="s">
        <v>17628</v>
      </c>
      <c r="B14004" s="6" t="s">
        <v>17631</v>
      </c>
      <c r="C14004" s="5" t="str">
        <f>IFERROR(__xludf.DUMMYFUNCTION("GOOGLETRANSLATE(B14004,""en"",""fr"")"),"L'homme vérifie son téléphone et regarde au loin et une autre photo de personnes en canoë est montrée.")</f>
        <v>L'homme vérifie son téléphone et regarde au loin et une autre photo de personnes en canoë est montrée.</v>
      </c>
    </row>
    <row r="14005">
      <c r="A14005" s="4" t="s">
        <v>17632</v>
      </c>
      <c r="B14005" s="4" t="s">
        <v>17633</v>
      </c>
      <c r="C14005" s="5" t="str">
        <f>IFERROR(__xludf.DUMMYFUNCTION("GOOGLETRANSLATE(B14005,""en"",""fr"")"),"Nous voyons le titre sur l'écran noir.")</f>
        <v>Nous voyons le titre sur l'écran noir.</v>
      </c>
    </row>
    <row r="14006">
      <c r="A14006" s="4" t="s">
        <v>17632</v>
      </c>
      <c r="B14006" s="4" t="s">
        <v>17634</v>
      </c>
      <c r="C14006" s="5" t="str">
        <f>IFERROR(__xludf.DUMMYFUNCTION("GOOGLETRANSLATE(B14006,""en"",""fr"")"),"Nous voyons des instruments et le mur avec le nom de l'école.")</f>
        <v>Nous voyons des instruments et le mur avec le nom de l'école.</v>
      </c>
    </row>
    <row r="14007">
      <c r="A14007" s="4" t="s">
        <v>17632</v>
      </c>
      <c r="B14007" s="4" t="s">
        <v>17635</v>
      </c>
      <c r="C14007" s="5" t="str">
        <f>IFERROR(__xludf.DUMMYFUNCTION("GOOGLETRANSLATE(B14007,""en"",""fr"")"),"Les gens se réchauffent.")</f>
        <v>Les gens se réchauffent.</v>
      </c>
    </row>
    <row r="14008">
      <c r="A14008" s="4" t="s">
        <v>17632</v>
      </c>
      <c r="B14008" s="4" t="s">
        <v>17636</v>
      </c>
      <c r="C14008" s="5" t="str">
        <f>IFERROR(__xludf.DUMMYFUNCTION("GOOGLETRANSLATE(B14008,""en"",""fr"")"),"On nous montre ensuite une technique de capoeira.")</f>
        <v>On nous montre ensuite une technique de capoeira.</v>
      </c>
    </row>
    <row r="14009">
      <c r="A14009" s="4" t="s">
        <v>17632</v>
      </c>
      <c r="B14009" s="4" t="s">
        <v>17637</v>
      </c>
      <c r="C14009" s="5" t="str">
        <f>IFERROR(__xludf.DUMMYFUNCTION("GOOGLETRANSLATE(B14009,""en"",""fr"")"),"Les gens pratiquent des mouvements de capoeira.")</f>
        <v>Les gens pratiquent des mouvements de capoeira.</v>
      </c>
    </row>
    <row r="14010">
      <c r="A14010" s="4" t="s">
        <v>17632</v>
      </c>
      <c r="B14010" s="4" t="s">
        <v>17638</v>
      </c>
      <c r="C14010" s="5" t="str">
        <f>IFERROR(__xludf.DUMMYFUNCTION("GOOGLETRANSLATE(B14010,""en"",""fr"")"),"Les dames expliquent pourquoi ils ont choisi Capoeira.")</f>
        <v>Les dames expliquent pourquoi ils ont choisi Capoeira.</v>
      </c>
    </row>
    <row r="14011">
      <c r="A14011" s="4" t="s">
        <v>17632</v>
      </c>
      <c r="B14011" s="4" t="s">
        <v>17639</v>
      </c>
      <c r="C14011" s="5" t="str">
        <f>IFERROR(__xludf.DUMMYFUNCTION("GOOGLETRANSLATE(B14011,""en"",""fr"")"),"On nous montre la carte de fin du site Web.")</f>
        <v>On nous montre la carte de fin du site Web.</v>
      </c>
    </row>
    <row r="14012">
      <c r="A14012" s="4" t="s">
        <v>17640</v>
      </c>
      <c r="B14012" s="4" t="s">
        <v>17641</v>
      </c>
      <c r="C14012" s="5" t="str">
        <f>IFERROR(__xludf.DUMMYFUNCTION("GOOGLETRANSLATE(B14012,""en"",""fr"")"),"Un homme écarte une feuille blanche sur un mur.")</f>
        <v>Un homme écarte une feuille blanche sur un mur.</v>
      </c>
    </row>
    <row r="14013">
      <c r="A14013" s="4" t="s">
        <v>17640</v>
      </c>
      <c r="B14013" s="4" t="s">
        <v>17642</v>
      </c>
      <c r="C14013" s="5" t="str">
        <f>IFERROR(__xludf.DUMMYFUNCTION("GOOGLETRANSLATE(B14013,""en"",""fr"")"),"Il appuie ensuite une feuille avec une photo imprimée dessus sur l'arrière-plan blanc.")</f>
        <v>Il appuie ensuite une feuille avec une photo imprimée dessus sur l'arrière-plan blanc.</v>
      </c>
    </row>
    <row r="14014">
      <c r="A14014" s="4" t="s">
        <v>17640</v>
      </c>
      <c r="B14014" s="6" t="s">
        <v>17643</v>
      </c>
      <c r="C14014" s="5" t="str">
        <f>IFERROR(__xludf.DUMMYFUNCTION("GOOGLETRANSLATE(B14014,""en"",""fr"")"),"Quand il a terminé, il y a une photo d'une moto jaune garée contre un mur de briques sur un mur de salon.")</f>
        <v>Quand il a terminé, il y a une photo d'une moto jaune garée contre un mur de briques sur un mur de salon.</v>
      </c>
    </row>
    <row r="14015">
      <c r="A14015" s="4" t="s">
        <v>17644</v>
      </c>
      <c r="B14015" s="4" t="s">
        <v>17645</v>
      </c>
      <c r="C14015" s="5" t="str">
        <f>IFERROR(__xludf.DUMMYFUNCTION("GOOGLETRANSLATE(B14015,""en"",""fr"")"),"Un homme se tient devant une armoire pendant qu'il parle.")</f>
        <v>Un homme se tient devant une armoire pendant qu'il parle.</v>
      </c>
    </row>
    <row r="14016">
      <c r="A14016" s="4" t="s">
        <v>17644</v>
      </c>
      <c r="B14016" s="4" t="s">
        <v>17646</v>
      </c>
      <c r="C14016" s="5" t="str">
        <f>IFERROR(__xludf.DUMMYFUNCTION("GOOGLETRANSLATE(B14016,""en"",""fr"")"),"Il y a un gros plan de l'armoire, s'étendant sur sa longueur.")</f>
        <v>Il y a un gros plan de l'armoire, s'étendant sur sa longueur.</v>
      </c>
    </row>
    <row r="14017">
      <c r="A14017" s="4" t="s">
        <v>17644</v>
      </c>
      <c r="B14017" s="4" t="s">
        <v>17647</v>
      </c>
      <c r="C14017" s="5" t="str">
        <f>IFERROR(__xludf.DUMMYFUNCTION("GOOGLETRANSLATE(B14017,""en"",""fr"")"),"L'homme touche plusieurs fissures et frites dans le bois, en parlant.")</f>
        <v>L'homme touche plusieurs fissures et frites dans le bois, en parlant.</v>
      </c>
    </row>
    <row r="14018">
      <c r="A14018" s="4" t="s">
        <v>17644</v>
      </c>
      <c r="B14018" s="4" t="s">
        <v>17648</v>
      </c>
      <c r="C14018" s="5" t="str">
        <f>IFERROR(__xludf.DUMMYFUNCTION("GOOGLETRANSLATE(B14018,""en"",""fr"")"),"Plusieurs articles ménagers sont affichés individuellement à l'écran.")</f>
        <v>Plusieurs articles ménagers sont affichés individuellement à l'écran.</v>
      </c>
    </row>
    <row r="14019">
      <c r="A14019" s="4" t="s">
        <v>17644</v>
      </c>
      <c r="B14019" s="4" t="s">
        <v>17649</v>
      </c>
      <c r="C14019" s="5" t="str">
        <f>IFERROR(__xludf.DUMMYFUNCTION("GOOGLETRANSLATE(B14019,""en"",""fr"")"),"L'homme utilise les articles pour gratter, nettoyer et couvrir les fissures et les rayures.")</f>
        <v>L'homme utilise les articles pour gratter, nettoyer et couvrir les fissures et les rayures.</v>
      </c>
    </row>
    <row r="14020">
      <c r="A14020" s="4" t="s">
        <v>17644</v>
      </c>
      <c r="B14020" s="6" t="s">
        <v>17650</v>
      </c>
      <c r="C14020" s="5" t="str">
        <f>IFERROR(__xludf.DUMMYFUNCTION("GOOGLETRANSLATE(B14020,""en"",""fr"")"),"Le produit fini, exempt de fissures et de rayures, est montré comme l'homme dit ses derniers mots à la caméra.")</f>
        <v>Le produit fini, exempt de fissures et de rayures, est montré comme l'homme dit ses derniers mots à la caméra.</v>
      </c>
    </row>
    <row r="14021">
      <c r="A14021" s="4" t="s">
        <v>17651</v>
      </c>
      <c r="B14021" s="4" t="s">
        <v>17652</v>
      </c>
      <c r="C14021" s="5" t="str">
        <f>IFERROR(__xludf.DUMMYFUNCTION("GOOGLETRANSLATE(B14021,""en"",""fr"")"),"Un homme est assis dans un piano.")</f>
        <v>Un homme est assis dans un piano.</v>
      </c>
    </row>
    <row r="14022">
      <c r="A14022" s="4" t="s">
        <v>17651</v>
      </c>
      <c r="B14022" s="4" t="s">
        <v>17653</v>
      </c>
      <c r="C14022" s="5" t="str">
        <f>IFERROR(__xludf.DUMMYFUNCTION("GOOGLETRANSLATE(B14022,""en"",""fr"")"),"Il commence à jouer un morceau, en regardant en arrière sur les clés pendant qu'il joue.")</f>
        <v>Il commence à jouer un morceau, en regardant en arrière sur les clés pendant qu'il joue.</v>
      </c>
    </row>
    <row r="14023">
      <c r="A14023" s="4" t="s">
        <v>17651</v>
      </c>
      <c r="B14023" s="4" t="s">
        <v>17654</v>
      </c>
      <c r="C14023" s="5" t="str">
        <f>IFERROR(__xludf.DUMMYFUNCTION("GOOGLETRANSLATE(B14023,""en"",""fr"")"),"Il s'arrête, tournant la tête et parlant.")</f>
        <v>Il s'arrête, tournant la tête et parlant.</v>
      </c>
    </row>
    <row r="14024">
      <c r="A14024" s="4" t="s">
        <v>17655</v>
      </c>
      <c r="B14024" s="4" t="s">
        <v>17656</v>
      </c>
      <c r="C14024" s="5" t="str">
        <f>IFERROR(__xludf.DUMMYFUNCTION("GOOGLETRANSLATE(B14024,""en"",""fr"")"),"Un homme portant une chemise bleu foncé et arborant une tresse commence à jouer aux bongos.")</f>
        <v>Un homme portant une chemise bleu foncé et arborant une tresse commence à jouer aux bongos.</v>
      </c>
    </row>
    <row r="14025">
      <c r="A14025" s="4" t="s">
        <v>17655</v>
      </c>
      <c r="B14025" s="4" t="s">
        <v>17657</v>
      </c>
      <c r="C14025" s="5" t="str">
        <f>IFERROR(__xludf.DUMMYFUNCTION("GOOGLETRANSLATE(B14025,""en"",""fr"")"),"Il commence à tambour sur les Bongos à un battement alors qu'il secoue la tête rythmiquement.")</f>
        <v>Il commence à tambour sur les Bongos à un battement alors qu'il secoue la tête rythmiquement.</v>
      </c>
    </row>
    <row r="14026">
      <c r="A14026" s="4" t="s">
        <v>17655</v>
      </c>
      <c r="B14026" s="4" t="s">
        <v>17658</v>
      </c>
      <c r="C14026" s="5" t="str">
        <f>IFERROR(__xludf.DUMMYFUNCTION("GOOGLETRANSLATE(B14026,""en"",""fr"")"),"Il continue de tambour sur les Bongos alternant entre les deux tambours.")</f>
        <v>Il continue de tambour sur les Bongos alternant entre les deux tambours.</v>
      </c>
    </row>
    <row r="14027">
      <c r="A14027" s="4" t="s">
        <v>17655</v>
      </c>
      <c r="B14027" s="4" t="s">
        <v>17659</v>
      </c>
      <c r="C14027" s="5" t="str">
        <f>IFERROR(__xludf.DUMMYFUNCTION("GOOGLETRANSLATE(B14027,""en"",""fr"")"),"Il joue pendant un certain temps puis arrête de tambour sur les Bongos.")</f>
        <v>Il joue pendant un certain temps puis arrête de tambour sur les Bongos.</v>
      </c>
    </row>
    <row r="14028">
      <c r="A14028" s="4" t="s">
        <v>17660</v>
      </c>
      <c r="B14028" s="4" t="s">
        <v>17661</v>
      </c>
      <c r="C14028" s="5" t="str">
        <f>IFERROR(__xludf.DUMMYFUNCTION("GOOGLETRANSLATE(B14028,""en"",""fr"")"),"Un grand groupe de personnes est vue assise à l'intérieur d'un radeau et se pagayant le long d'une rivière rugueuse.")</f>
        <v>Un grand groupe de personnes est vue assise à l'intérieur d'un radeau et se pagayant le long d'une rivière rugueuse.</v>
      </c>
    </row>
    <row r="14029">
      <c r="A14029" s="4" t="s">
        <v>17660</v>
      </c>
      <c r="B14029" s="6" t="s">
        <v>17662</v>
      </c>
      <c r="C14029" s="5" t="str">
        <f>IFERROR(__xludf.DUMMYFUNCTION("GOOGLETRANSLATE(B14029,""en"",""fr"")"),"La caméra se déroule tout autour des gens assis dans le radeau et continuant de se déplacer et de se déplacer sous un pont.")</f>
        <v>La caméra se déroule tout autour des gens assis dans le radeau et continuant de se déplacer et de se déplacer sous un pont.</v>
      </c>
    </row>
    <row r="14030">
      <c r="A14030" s="4" t="s">
        <v>17663</v>
      </c>
      <c r="B14030" s="4" t="s">
        <v>1487</v>
      </c>
      <c r="C14030" s="5" t="str">
        <f>IFERROR(__xludf.DUMMYFUNCTION("GOOGLETRANSLATE(B14030,""en"",""fr"")"),"Nous voyons un écran de titre d'ouverture.")</f>
        <v>Nous voyons un écran de titre d'ouverture.</v>
      </c>
    </row>
    <row r="14031">
      <c r="A14031" s="4" t="s">
        <v>17663</v>
      </c>
      <c r="B14031" s="4" t="s">
        <v>17664</v>
      </c>
      <c r="C14031" s="5" t="str">
        <f>IFERROR(__xludf.DUMMYFUNCTION("GOOGLETRANSLATE(B14031,""en"",""fr"")"),"Nous voyons un journal parler.")</f>
        <v>Nous voyons un journal parler.</v>
      </c>
    </row>
    <row r="14032">
      <c r="A14032" s="4" t="s">
        <v>17663</v>
      </c>
      <c r="B14032" s="6" t="s">
        <v>17665</v>
      </c>
      <c r="C14032" s="5" t="str">
        <f>IFERROR(__xludf.DUMMYFUNCTION("GOOGLETRANSLATE(B14032,""en"",""fr"")"),"Nous voyons un homme dans une pièce puis un combat et des hommes dans un bureau avant de se battre dans un film d'action.")</f>
        <v>Nous voyons un homme dans une pièce puis un combat et des hommes dans un bureau avant de se battre dans un film d'action.</v>
      </c>
    </row>
    <row r="14033">
      <c r="A14033" s="4" t="s">
        <v>17663</v>
      </c>
      <c r="B14033" s="4" t="s">
        <v>17666</v>
      </c>
      <c r="C14033" s="5" t="str">
        <f>IFERROR(__xludf.DUMMYFUNCTION("GOOGLETRANSLATE(B14033,""en"",""fr"")"),"Nous retournons dans le journal en discutant d'un film de super-héros.")</f>
        <v>Nous retournons dans le journal en discutant d'un film de super-héros.</v>
      </c>
    </row>
    <row r="14034">
      <c r="A14034" s="4" t="s">
        <v>17663</v>
      </c>
      <c r="B14034" s="4" t="s">
        <v>17667</v>
      </c>
      <c r="C14034" s="5" t="str">
        <f>IFERROR(__xludf.DUMMYFUNCTION("GOOGLETRANSLATE(B14034,""en"",""fr"")"),"Son écran change dans l'écran de titre.")</f>
        <v>Son écran change dans l'écran de titre.</v>
      </c>
    </row>
    <row r="14035">
      <c r="A14035" s="4" t="s">
        <v>17668</v>
      </c>
      <c r="B14035" s="4" t="s">
        <v>17669</v>
      </c>
      <c r="C14035" s="5" t="str">
        <f>IFERROR(__xludf.DUMMYFUNCTION("GOOGLETRANSLATE(B14035,""en"",""fr"")"),"Une jeune femme est vue entrer dans le cadre en frappant une balle dans une pièce.")</f>
        <v>Une jeune femme est vue entrer dans le cadre en frappant une balle dans une pièce.</v>
      </c>
    </row>
    <row r="14036">
      <c r="A14036" s="4" t="s">
        <v>17668</v>
      </c>
      <c r="B14036" s="4" t="s">
        <v>17670</v>
      </c>
      <c r="C14036" s="5" t="str">
        <f>IFERROR(__xludf.DUMMYFUNCTION("GOOGLETRANSLATE(B14036,""en"",""fr"")"),"La fille se promène dans la pièce et quatrième tout en tenant une raquette de tennis et en frappant une balle.")</f>
        <v>La fille se promène dans la pièce et quatrième tout en tenant une raquette de tennis et en frappant une balle.</v>
      </c>
    </row>
    <row r="14037">
      <c r="A14037" s="4" t="s">
        <v>17668</v>
      </c>
      <c r="B14037" s="4" t="s">
        <v>17671</v>
      </c>
      <c r="C14037" s="5" t="str">
        <f>IFERROR(__xludf.DUMMYFUNCTION("GOOGLETRANSLATE(B14037,""en"",""fr"")"),"La fille continue de frapper le ballon pendant que la caméra regarde.")</f>
        <v>La fille continue de frapper le ballon pendant que la caméra regarde.</v>
      </c>
    </row>
    <row r="14038">
      <c r="A14038" s="4" t="s">
        <v>17672</v>
      </c>
      <c r="B14038" s="4" t="s">
        <v>17673</v>
      </c>
      <c r="C14038" s="5" t="str">
        <f>IFERROR(__xludf.DUMMYFUNCTION("GOOGLETRANSLATE(B14038,""en"",""fr"")"),"Il y a deux chiens bruns de hot-dogs debout à une porte qui se trouve au bout d'un escalier.")</f>
        <v>Il y a deux chiens bruns de hot-dogs debout à une porte qui se trouve au bout d'un escalier.</v>
      </c>
    </row>
    <row r="14039">
      <c r="A14039" s="4" t="s">
        <v>17672</v>
      </c>
      <c r="B14039" s="6" t="s">
        <v>17674</v>
      </c>
      <c r="C14039" s="5" t="str">
        <f>IFERROR(__xludf.DUMMYFUNCTION("GOOGLETRANSLATE(B14039,""en"",""fr"")"),"L'un des chiens les plus proches de la porte s'ouvre la porte et les deux chiens montent en tête des escaliers à un rythme très rapide pendant que la personne de la caméra coule après eux.")</f>
        <v>L'un des chiens les plus proches de la porte s'ouvre la porte et les deux chiens montent en tête des escaliers à un rythme très rapide pendant que la personne de la caméra coule après eux.</v>
      </c>
    </row>
    <row r="14040">
      <c r="A14040" s="4" t="s">
        <v>17672</v>
      </c>
      <c r="B14040" s="6" t="s">
        <v>17675</v>
      </c>
      <c r="C14040" s="5" t="str">
        <f>IFERROR(__xludf.DUMMYFUNCTION("GOOGLETRANSLATE(B14040,""en"",""fr"")"),"Les chiens sont si rapides que la personne de la caméra ne peut pas les suivre et quand ils les trouvent, les chiens s'efforcent très fort de monter dans une baignoire qui contient de l'eau.")</f>
        <v>Les chiens sont si rapides que la personne de la caméra ne peut pas les suivre et quand ils les trouvent, les chiens s'efforcent très fort de monter dans une baignoire qui contient de l'eau.</v>
      </c>
    </row>
    <row r="14041">
      <c r="A14041" s="4" t="s">
        <v>17672</v>
      </c>
      <c r="B14041" s="6" t="s">
        <v>17676</v>
      </c>
      <c r="C14041" s="5" t="str">
        <f>IFERROR(__xludf.DUMMYFUNCTION("GOOGLETRANSLATE(B14041,""en"",""fr"")"),"Le premier chien réussit à sauter et commence à nager dans l'eau, et l'autre chien ne peut pas entrer et continue de sauter et de lutter jusqu'à l'eau.")</f>
        <v>Le premier chien réussit à sauter et commence à nager dans l'eau, et l'autre chien ne peut pas entrer et continue de sauter et de lutter jusqu'à l'eau.</v>
      </c>
    </row>
    <row r="14042">
      <c r="A14042" s="4" t="s">
        <v>17677</v>
      </c>
      <c r="B14042" s="4" t="s">
        <v>17678</v>
      </c>
      <c r="C14042" s="5" t="str">
        <f>IFERROR(__xludf.DUMMYFUNCTION("GOOGLETRANSLATE(B14042,""en"",""fr"")"),"Une présentatrice de nouvelles télévisées rapporte une histoire.")</f>
        <v>Une présentatrice de nouvelles télévisées rapporte une histoire.</v>
      </c>
    </row>
    <row r="14043">
      <c r="A14043" s="4" t="s">
        <v>17677</v>
      </c>
      <c r="B14043" s="4" t="s">
        <v>17679</v>
      </c>
      <c r="C14043" s="5" t="str">
        <f>IFERROR(__xludf.DUMMYFUNCTION("GOOGLETRANSLATE(B14043,""en"",""fr"")"),"Une variété de personnes sont montrées en regardant leurs mains, car le rapport parle de germes.")</f>
        <v>Une variété de personnes sont montrées en regardant leurs mains, car le rapport parle de germes.</v>
      </c>
    </row>
    <row r="14044">
      <c r="A14044" s="4" t="s">
        <v>17677</v>
      </c>
      <c r="B14044" s="4" t="s">
        <v>17680</v>
      </c>
      <c r="C14044" s="5" t="str">
        <f>IFERROR(__xludf.DUMMYFUNCTION("GOOGLETRANSLATE(B14044,""en"",""fr"")"),"Une présentatrice de nouvelles télévisées apparaît.")</f>
        <v>Une présentatrice de nouvelles télévisées apparaît.</v>
      </c>
    </row>
    <row r="14045">
      <c r="A14045" s="4" t="s">
        <v>17681</v>
      </c>
      <c r="B14045" s="4" t="s">
        <v>17682</v>
      </c>
      <c r="C14045" s="5" t="str">
        <f>IFERROR(__xludf.DUMMYFUNCTION("GOOGLETRANSLATE(B14045,""en"",""fr"")"),"Les gens traversent des chameaux à travers le désert.")</f>
        <v>Les gens traversent des chameaux à travers le désert.</v>
      </c>
    </row>
    <row r="14046">
      <c r="A14046" s="4" t="s">
        <v>17681</v>
      </c>
      <c r="B14046" s="4" t="s">
        <v>17683</v>
      </c>
      <c r="C14046" s="5" t="str">
        <f>IFERROR(__xludf.DUMMYFUNCTION("GOOGLETRANSLATE(B14046,""en"",""fr"")"),"Une personne portant une caméra ou des bagages se promenait avec l'un des groupes.")</f>
        <v>Une personne portant une caméra ou des bagages se promenait avec l'un des groupes.</v>
      </c>
    </row>
    <row r="14047">
      <c r="A14047" s="4" t="s">
        <v>17681</v>
      </c>
      <c r="B14047" s="4" t="s">
        <v>17684</v>
      </c>
      <c r="C14047" s="5" t="str">
        <f>IFERROR(__xludf.DUMMYFUNCTION("GOOGLETRANSLATE(B14047,""en"",""fr"")"),"Le premier groupe de chameaux commence à revenir à la caméra.")</f>
        <v>Le premier groupe de chameaux commence à revenir à la caméra.</v>
      </c>
    </row>
    <row r="14048">
      <c r="A14048" s="4" t="s">
        <v>17685</v>
      </c>
      <c r="B14048" s="4" t="s">
        <v>17686</v>
      </c>
      <c r="C14048" s="5" t="str">
        <f>IFERROR(__xludf.DUMMYFUNCTION("GOOGLETRANSLATE(B14048,""en"",""fr"")"),"Un groupe de petites filles et de garçons est vêtue de princesses et de princes.")</f>
        <v>Un groupe de petites filles et de garçons est vêtue de princesses et de princes.</v>
      </c>
    </row>
    <row r="14049">
      <c r="A14049" s="4" t="s">
        <v>17685</v>
      </c>
      <c r="B14049" s="4" t="s">
        <v>17687</v>
      </c>
      <c r="C14049" s="5" t="str">
        <f>IFERROR(__xludf.DUMMYFUNCTION("GOOGLETRANSLATE(B14049,""en"",""fr"")"),"L'une des filles commence à taper une pinata avec une batte de baseball.")</f>
        <v>L'une des filles commence à taper une pinata avec une batte de baseball.</v>
      </c>
    </row>
    <row r="14050">
      <c r="A14050" s="4" t="s">
        <v>17685</v>
      </c>
      <c r="B14050" s="4" t="s">
        <v>17688</v>
      </c>
      <c r="C14050" s="5" t="str">
        <f>IFERROR(__xludf.DUMMYFUNCTION("GOOGLETRANSLATE(B14050,""en"",""fr"")"),"Elle le tape encore et encore, mais ne casse pas la pinata.")</f>
        <v>Elle le tape encore et encore, mais ne casse pas la pinata.</v>
      </c>
    </row>
    <row r="14051">
      <c r="A14051" s="4" t="s">
        <v>17689</v>
      </c>
      <c r="B14051" s="4" t="s">
        <v>17690</v>
      </c>
      <c r="C14051" s="5" t="str">
        <f>IFERROR(__xludf.DUMMYFUNCTION("GOOGLETRANSLATE(B14051,""en"",""fr"")"),"Un groupe joue au volleyball sur une plage.")</f>
        <v>Un groupe joue au volleyball sur une plage.</v>
      </c>
    </row>
    <row r="14052">
      <c r="A14052" s="4" t="s">
        <v>17689</v>
      </c>
      <c r="B14052" s="4" t="s">
        <v>17691</v>
      </c>
      <c r="C14052" s="5" t="str">
        <f>IFERROR(__xludf.DUMMYFUNCTION("GOOGLETRANSLATE(B14052,""en"",""fr"")"),"Les hommes volley ball d'avant en arrière sur le filet.")</f>
        <v>Les hommes volley ball d'avant en arrière sur le filet.</v>
      </c>
    </row>
    <row r="14053">
      <c r="A14053" s="4" t="s">
        <v>17689</v>
      </c>
      <c r="B14053" s="4" t="s">
        <v>17692</v>
      </c>
      <c r="C14053" s="5" t="str">
        <f>IFERROR(__xludf.DUMMYFUNCTION("GOOGLETRANSLATE(B14053,""en"",""fr"")"),"L'un des joueurs tombe sur le sable.")</f>
        <v>L'un des joueurs tombe sur le sable.</v>
      </c>
    </row>
    <row r="14054">
      <c r="A14054" s="4" t="s">
        <v>17693</v>
      </c>
      <c r="B14054" s="4" t="s">
        <v>17694</v>
      </c>
      <c r="C14054" s="5" t="str">
        <f>IFERROR(__xludf.DUMMYFUNCTION("GOOGLETRANSLATE(B14054,""en"",""fr"")"),"Une femme parle à l'avant une marelle.")</f>
        <v>Une femme parle à l'avant une marelle.</v>
      </c>
    </row>
    <row r="14055">
      <c r="A14055" s="4" t="s">
        <v>17693</v>
      </c>
      <c r="B14055" s="4" t="s">
        <v>17695</v>
      </c>
      <c r="C14055" s="5" t="str">
        <f>IFERROR(__xludf.DUMMYFUNCTION("GOOGLETRANSLATE(B14055,""en"",""fr"")"),"Ensuite, la femme saute dans la marelle en parlant.")</f>
        <v>Ensuite, la femme saute dans la marelle en parlant.</v>
      </c>
    </row>
    <row r="14056">
      <c r="A14056" s="4" t="s">
        <v>17693</v>
      </c>
      <c r="B14056" s="4" t="s">
        <v>17696</v>
      </c>
      <c r="C14056" s="5" t="str">
        <f>IFERROR(__xludf.DUMMYFUNCTION("GOOGLETRANSLATE(B14056,""en"",""fr"")"),"La femme se retourne à l'arrivée au bout de la marelle et continue de sauter.")</f>
        <v>La femme se retourne à l'arrivée au bout de la marelle et continue de sauter.</v>
      </c>
    </row>
    <row r="14057">
      <c r="A14057" s="4" t="s">
        <v>17697</v>
      </c>
      <c r="B14057" s="4" t="s">
        <v>17698</v>
      </c>
      <c r="C14057" s="5" t="str">
        <f>IFERROR(__xludf.DUMMYFUNCTION("GOOGLETRANSLATE(B14057,""en"",""fr"")"),"Un lutteur prend un autre lutteur du sol.")</f>
        <v>Un lutteur prend un autre lutteur du sol.</v>
      </c>
    </row>
    <row r="14058">
      <c r="A14058" s="4" t="s">
        <v>17697</v>
      </c>
      <c r="B14058" s="4" t="s">
        <v>17699</v>
      </c>
      <c r="C14058" s="5" t="str">
        <f>IFERROR(__xludf.DUMMYFUNCTION("GOOGLETRANSLATE(B14058,""en"",""fr"")"),"Le lutteur le soulève dans les airs.")</f>
        <v>Le lutteur le soulève dans les airs.</v>
      </c>
    </row>
    <row r="14059">
      <c r="A14059" s="4" t="s">
        <v>17697</v>
      </c>
      <c r="B14059" s="4" t="s">
        <v>17700</v>
      </c>
      <c r="C14059" s="5" t="str">
        <f>IFERROR(__xludf.DUMMYFUNCTION("GOOGLETRANSLATE(B14059,""en"",""fr"")"),"Enfin, le lutteur le laisse tomber fort sur le sol.")</f>
        <v>Enfin, le lutteur le laisse tomber fort sur le sol.</v>
      </c>
    </row>
    <row r="14060">
      <c r="A14060" s="4" t="s">
        <v>17701</v>
      </c>
      <c r="B14060" s="4" t="s">
        <v>17702</v>
      </c>
      <c r="C14060" s="5" t="str">
        <f>IFERROR(__xludf.DUMMYFUNCTION("GOOGLETRANSLATE(B14060,""en"",""fr"")"),"Une grande roue tourne sans arrêt sur un support.")</f>
        <v>Une grande roue tourne sans arrêt sur un support.</v>
      </c>
    </row>
    <row r="14061">
      <c r="A14061" s="4" t="s">
        <v>17701</v>
      </c>
      <c r="B14061" s="4" t="s">
        <v>17703</v>
      </c>
      <c r="C14061" s="5" t="str">
        <f>IFERROR(__xludf.DUMMYFUNCTION("GOOGLETRANSLATE(B14061,""en"",""fr"")"),"Nous obtenons un gros plan du stand de traction et des rayons.")</f>
        <v>Nous obtenons un gros plan du stand de traction et des rayons.</v>
      </c>
    </row>
    <row r="14062">
      <c r="A14062" s="4" t="s">
        <v>17701</v>
      </c>
      <c r="B14062" s="4" t="s">
        <v>17704</v>
      </c>
      <c r="C14062" s="5" t="str">
        <f>IFERROR(__xludf.DUMMYFUNCTION("GOOGLETRANSLATE(B14062,""en"",""fr"")"),"La roue de vélo est ensuite ajustée et fixée.")</f>
        <v>La roue de vélo est ensuite ajustée et fixée.</v>
      </c>
    </row>
    <row r="14063">
      <c r="A14063" s="4" t="s">
        <v>17705</v>
      </c>
      <c r="B14063" s="4" t="s">
        <v>17706</v>
      </c>
      <c r="C14063" s="5" t="str">
        <f>IFERROR(__xludf.DUMMYFUNCTION("GOOGLETRANSLATE(B14063,""en"",""fr"")"),"Un gros plan du guidon à vélo est affiché ainsi qu'une personne ajustant le guidon.")</f>
        <v>Un gros plan du guidon à vélo est affiché ainsi qu'une personne ajustant le guidon.</v>
      </c>
    </row>
    <row r="14064">
      <c r="A14064" s="4" t="s">
        <v>17705</v>
      </c>
      <c r="B14064" s="4" t="s">
        <v>17707</v>
      </c>
      <c r="C14064" s="5" t="str">
        <f>IFERROR(__xludf.DUMMYFUNCTION("GOOGLETRANSLATE(B14064,""en"",""fr"")"),"La caméra zoome sur les barres et la personne verse du liquide sur le côté.")</f>
        <v>La caméra zoome sur les barres et la personne verse du liquide sur le côté.</v>
      </c>
    </row>
    <row r="14065">
      <c r="A14065" s="4" t="s">
        <v>17705</v>
      </c>
      <c r="B14065" s="4" t="s">
        <v>17708</v>
      </c>
      <c r="C14065" s="5" t="str">
        <f>IFERROR(__xludf.DUMMYFUNCTION("GOOGLETRANSLATE(B14065,""en"",""fr"")"),"L'homme continue de travailler et se termine en remettant le guidon et en montant.")</f>
        <v>L'homme continue de travailler et se termine en remettant le guidon et en montant.</v>
      </c>
    </row>
    <row r="14066">
      <c r="A14066" s="4" t="s">
        <v>17709</v>
      </c>
      <c r="B14066" s="4" t="s">
        <v>17710</v>
      </c>
      <c r="C14066" s="5" t="str">
        <f>IFERROR(__xludf.DUMMYFUNCTION("GOOGLETRANSLATE(B14066,""en"",""fr"")"),"Une femme à l'écran parle de limonade.")</f>
        <v>Une femme à l'écran parle de limonade.</v>
      </c>
    </row>
    <row r="14067">
      <c r="A14067" s="4" t="s">
        <v>17709</v>
      </c>
      <c r="B14067" s="4" t="s">
        <v>17711</v>
      </c>
      <c r="C14067" s="5" t="str">
        <f>IFERROR(__xludf.DUMMYFUNCTION("GOOGLETRANSLATE(B14067,""en"",""fr"")"),"Elle fait du jus de citrons sur une planche à découper, avec un couteau et un bol.")</f>
        <v>Elle fait du jus de citrons sur une planche à découper, avec un couteau et un bol.</v>
      </c>
    </row>
    <row r="14068">
      <c r="A14068" s="4" t="s">
        <v>17709</v>
      </c>
      <c r="B14068" s="4" t="s">
        <v>17712</v>
      </c>
      <c r="C14068" s="5" t="str">
        <f>IFERROR(__xludf.DUMMYFUNCTION("GOOGLETRANSLATE(B14068,""en"",""fr"")"),"Elle attache son jus dans une tasse plus grande.")</f>
        <v>Elle attache son jus dans une tasse plus grande.</v>
      </c>
    </row>
    <row r="14069">
      <c r="A14069" s="4" t="s">
        <v>17709</v>
      </c>
      <c r="B14069" s="4" t="s">
        <v>17713</v>
      </c>
      <c r="C14069" s="5" t="str">
        <f>IFERROR(__xludf.DUMMYFUNCTION("GOOGLETRANSLATE(B14069,""en"",""fr"")"),"Dans un four, elle prépare du sucre simple avec de l'eau et du sucre.")</f>
        <v>Dans un four, elle prépare du sucre simple avec de l'eau et du sucre.</v>
      </c>
    </row>
    <row r="14070">
      <c r="A14070" s="4" t="s">
        <v>17709</v>
      </c>
      <c r="B14070" s="4" t="s">
        <v>17714</v>
      </c>
      <c r="C14070" s="5" t="str">
        <f>IFERROR(__xludf.DUMMYFUNCTION("GOOGLETRANSLATE(B14070,""en"",""fr"")"),"Elle mélange tous ses ingrédients dans un pichet pour faire de la limonade.")</f>
        <v>Elle mélange tous ses ingrédients dans un pichet pour faire de la limonade.</v>
      </c>
    </row>
    <row r="14071">
      <c r="A14071" s="4" t="s">
        <v>17709</v>
      </c>
      <c r="B14071" s="4" t="s">
        <v>17715</v>
      </c>
      <c r="C14071" s="5" t="str">
        <f>IFERROR(__xludf.DUMMYFUNCTION("GOOGLETRANSLATE(B14071,""en"",""fr"")"),"Elle montre d'autres recettes de limonade.")</f>
        <v>Elle montre d'autres recettes de limonade.</v>
      </c>
    </row>
    <row r="14072">
      <c r="A14072" s="4" t="s">
        <v>17716</v>
      </c>
      <c r="B14072" s="4" t="s">
        <v>17717</v>
      </c>
      <c r="C14072" s="5" t="str">
        <f>IFERROR(__xludf.DUMMYFUNCTION("GOOGLETRANSLATE(B14072,""en"",""fr"")"),"Un homme en chemise bleue soulève un enfant sur un comptoir.")</f>
        <v>Un homme en chemise bleue soulève un enfant sur un comptoir.</v>
      </c>
    </row>
    <row r="14073">
      <c r="A14073" s="4" t="s">
        <v>17716</v>
      </c>
      <c r="B14073" s="4" t="s">
        <v>17718</v>
      </c>
      <c r="C14073" s="5" t="str">
        <f>IFERROR(__xludf.DUMMYFUNCTION("GOOGLETRANSLATE(B14073,""en"",""fr"")"),"L'enfant commence à lancer des fléchettes sur des ballons sur le mur.")</f>
        <v>L'enfant commence à lancer des fléchettes sur des ballons sur le mur.</v>
      </c>
    </row>
    <row r="14074">
      <c r="A14074" s="4" t="s">
        <v>17716</v>
      </c>
      <c r="B14074" s="4" t="s">
        <v>17719</v>
      </c>
      <c r="C14074" s="5" t="str">
        <f>IFERROR(__xludf.DUMMYFUNCTION("GOOGLETRANSLATE(B14074,""en"",""fr"")"),"La femme derrière le comptoir maintient le garçon un jouet.")</f>
        <v>La femme derrière le comptoir maintient le garçon un jouet.</v>
      </c>
    </row>
    <row r="14075">
      <c r="A14075" s="4" t="s">
        <v>17720</v>
      </c>
      <c r="B14075" s="6" t="s">
        <v>17721</v>
      </c>
      <c r="C14075" s="5" t="str">
        <f>IFERROR(__xludf.DUMMYFUNCTION("GOOGLETRANSLATE(B14075,""en"",""fr"")"),"Deux femmes sont vues les unes aux autres et mènent à un jeu de volleyball joué par un grand groupe de personnes.")</f>
        <v>Deux femmes sont vues les unes aux autres et mènent à un jeu de volleyball joué par un grand groupe de personnes.</v>
      </c>
    </row>
    <row r="14076">
      <c r="A14076" s="4" t="s">
        <v>17720</v>
      </c>
      <c r="B14076" s="6" t="s">
        <v>17722</v>
      </c>
      <c r="C14076" s="5" t="str">
        <f>IFERROR(__xludf.DUMMYFUNCTION("GOOGLETRANSLATE(B14076,""en"",""fr"")"),"Les gens continuent de jouer et quatrième pendant que le public applaudisse et s'arrête pour se parler.")</f>
        <v>Les gens continuent de jouer et quatrième pendant que le public applaudisse et s'arrête pour se parler.</v>
      </c>
    </row>
    <row r="14077">
      <c r="A14077" s="4" t="s">
        <v>17723</v>
      </c>
      <c r="B14077" s="4" t="s">
        <v>1487</v>
      </c>
      <c r="C14077" s="5" t="str">
        <f>IFERROR(__xludf.DUMMYFUNCTION("GOOGLETRANSLATE(B14077,""en"",""fr"")"),"Nous voyons un écran de titre d'ouverture.")</f>
        <v>Nous voyons un écran de titre d'ouverture.</v>
      </c>
    </row>
    <row r="14078">
      <c r="A14078" s="4" t="s">
        <v>17723</v>
      </c>
      <c r="B14078" s="4" t="s">
        <v>17724</v>
      </c>
      <c r="C14078" s="5" t="str">
        <f>IFERROR(__xludf.DUMMYFUNCTION("GOOGLETRANSLATE(B14078,""en"",""fr"")"),"Un homme plonge dans une grande piscine à plusieurs reprises.")</f>
        <v>Un homme plonge dans une grande piscine à plusieurs reprises.</v>
      </c>
    </row>
    <row r="14079">
      <c r="A14079" s="4" t="s">
        <v>17723</v>
      </c>
      <c r="B14079" s="4" t="s">
        <v>17725</v>
      </c>
      <c r="C14079" s="5" t="str">
        <f>IFERROR(__xludf.DUMMYFUNCTION("GOOGLETRANSLATE(B14079,""en"",""fr"")"),"Un homme assis sur le milieu du milieu prend des photos en position assise.")</f>
        <v>Un homme assis sur le milieu du milieu prend des photos en position assise.</v>
      </c>
    </row>
    <row r="14080">
      <c r="A14080" s="4" t="s">
        <v>17723</v>
      </c>
      <c r="B14080" s="4" t="s">
        <v>17726</v>
      </c>
      <c r="C14080" s="5" t="str">
        <f>IFERROR(__xludf.DUMMYFUNCTION("GOOGLETRANSLATE(B14080,""en"",""fr"")"),"L'homme assis se tient et prend des photos du plongeur.")</f>
        <v>L'homme assis se tient et prend des photos du plongeur.</v>
      </c>
    </row>
    <row r="14081">
      <c r="A14081" s="4" t="s">
        <v>17723</v>
      </c>
      <c r="B14081" s="4" t="s">
        <v>17727</v>
      </c>
      <c r="C14081" s="5" t="str">
        <f>IFERROR(__xludf.DUMMYFUNCTION("GOOGLETRANSLATE(B14081,""en"",""fr"")"),"Le plongeur nage jusqu'au bord de la piscine.")</f>
        <v>Le plongeur nage jusqu'au bord de la piscine.</v>
      </c>
    </row>
    <row r="14082">
      <c r="A14082" s="4" t="s">
        <v>17728</v>
      </c>
      <c r="B14082" s="4" t="s">
        <v>17729</v>
      </c>
      <c r="C14082" s="5" t="str">
        <f>IFERROR(__xludf.DUMMYFUNCTION("GOOGLETRANSLATE(B14082,""en"",""fr"")"),"Une personne sans bras est vue assise sur une chaise et jouant de la guitare avec ses pieds.")</f>
        <v>Une personne sans bras est vue assise sur une chaise et jouant de la guitare avec ses pieds.</v>
      </c>
    </row>
    <row r="14083">
      <c r="A14083" s="4" t="s">
        <v>17728</v>
      </c>
      <c r="B14083" s="4" t="s">
        <v>17730</v>
      </c>
      <c r="C14083" s="5" t="str">
        <f>IFERROR(__xludf.DUMMYFUNCTION("GOOGLETRANSLATE(B14083,""en"",""fr"")"),"Il continue de jouer tout en chantant et en déplaçant ses pieds de haut en bas de la guitare.")</f>
        <v>Il continue de jouer tout en chantant et en déplaçant ses pieds de haut en bas de la guitare.</v>
      </c>
    </row>
    <row r="14084">
      <c r="A14084" s="4" t="s">
        <v>17731</v>
      </c>
      <c r="B14084" s="6" t="s">
        <v>17732</v>
      </c>
      <c r="C14084" s="5" t="str">
        <f>IFERROR(__xludf.DUMMYFUNCTION("GOOGLETRANSLATE(B14084,""en"",""fr"")"),"Une femme en robe blanche entre dans sa maison toutes heureuses pour être très déçue quand elle voit les plats dans l'évier.")</f>
        <v>Une femme en robe blanche entre dans sa maison toutes heureuses pour être très déçue quand elle voit les plats dans l'évier.</v>
      </c>
    </row>
    <row r="14085">
      <c r="A14085" s="4" t="s">
        <v>17731</v>
      </c>
      <c r="B14085" s="6" t="s">
        <v>17733</v>
      </c>
      <c r="C14085" s="5" t="str">
        <f>IFERROR(__xludf.DUMMYFUNCTION("GOOGLETRANSLATE(B14085,""en"",""fr"")"),"Elle change de sa robe dans des vêtements confortables et se met dans la cuisine prête à faire la vaisselle.")</f>
        <v>Elle change de sa robe dans des vêtements confortables et se met dans la cuisine prête à faire la vaisselle.</v>
      </c>
    </row>
    <row r="14086">
      <c r="A14086" s="4" t="s">
        <v>17731</v>
      </c>
      <c r="B14086" s="4" t="s">
        <v>17734</v>
      </c>
      <c r="C14086" s="5" t="str">
        <f>IFERROR(__xludf.DUMMYFUNCTION("GOOGLETRANSLATE(B14086,""en"",""fr"")"),"Elle souffle très enfantine à des bulles avec le savon et dansant.")</f>
        <v>Elle souffle très enfantine à des bulles avec le savon et dansant.</v>
      </c>
    </row>
    <row r="14087">
      <c r="A14087" s="4" t="s">
        <v>17731</v>
      </c>
      <c r="B14087" s="6" t="s">
        <v>17735</v>
      </c>
      <c r="C14087" s="5" t="str">
        <f>IFERROR(__xludf.DUMMYFUNCTION("GOOGLETRANSLATE(B14087,""en"",""fr"")"),"Elle sèche une partie des plats avec un chiffon et a mis le reste au lave-vaisselle, une fois que les plats sont effectués dans le lave-vaisselle, elle les retire et les met tous.")</f>
        <v>Elle sèche une partie des plats avec un chiffon et a mis le reste au lave-vaisselle, une fois que les plats sont effectués dans le lave-vaisselle, elle les retire et les met tous.</v>
      </c>
    </row>
    <row r="14088">
      <c r="A14088" s="4" t="s">
        <v>17736</v>
      </c>
      <c r="B14088" s="4" t="s">
        <v>17737</v>
      </c>
      <c r="C14088" s="5" t="str">
        <f>IFERROR(__xludf.DUMMYFUNCTION("GOOGLETRANSLATE(B14088,""en"",""fr"")"),"Une femme met un peu de lotion sur sa main.")</f>
        <v>Une femme met un peu de lotion sur sa main.</v>
      </c>
    </row>
    <row r="14089">
      <c r="A14089" s="4" t="s">
        <v>17736</v>
      </c>
      <c r="B14089" s="4" t="s">
        <v>17738</v>
      </c>
      <c r="C14089" s="5" t="str">
        <f>IFERROR(__xludf.DUMMYFUNCTION("GOOGLETRANSLATE(B14089,""en"",""fr"")"),"Elle frotte la lotion sur son visage.")</f>
        <v>Elle frotte la lotion sur son visage.</v>
      </c>
    </row>
    <row r="14090">
      <c r="A14090" s="4" t="s">
        <v>17736</v>
      </c>
      <c r="B14090" s="4" t="s">
        <v>17739</v>
      </c>
      <c r="C14090" s="5" t="str">
        <f>IFERROR(__xludf.DUMMYFUNCTION("GOOGLETRANSLATE(B14090,""en"",""fr"")"),"Une démonstration de dessins animés est affichée à l'écran.")</f>
        <v>Une démonstration de dessins animés est affichée à l'écran.</v>
      </c>
    </row>
    <row r="14091">
      <c r="A14091" s="4" t="s">
        <v>17740</v>
      </c>
      <c r="B14091" s="4" t="s">
        <v>17741</v>
      </c>
      <c r="C14091" s="5" t="str">
        <f>IFERROR(__xludf.DUMMYFUNCTION("GOOGLETRANSLATE(B14091,""en"",""fr"")"),"Une fille est montrée en lavant et en se frottant le visage plusieurs fois tout en parlant dans la caméra.")</f>
        <v>Une fille est montrée en lavant et en se frottant le visage plusieurs fois tout en parlant dans la caméra.</v>
      </c>
    </row>
    <row r="14092">
      <c r="A14092" s="4" t="s">
        <v>17740</v>
      </c>
      <c r="B14092" s="4" t="s">
        <v>17742</v>
      </c>
      <c r="C14092" s="5" t="str">
        <f>IFERROR(__xludf.DUMMYFUNCTION("GOOGLETRANSLATE(B14092,""en"",""fr"")"),"Elle finit en allumant le robinet et en rinçant de l'eau sur son visage.")</f>
        <v>Elle finit en allumant le robinet et en rinçant de l'eau sur son visage.</v>
      </c>
    </row>
    <row r="14093">
      <c r="A14093" s="4" t="s">
        <v>17743</v>
      </c>
      <c r="B14093" s="4" t="s">
        <v>17744</v>
      </c>
      <c r="C14093" s="5" t="str">
        <f>IFERROR(__xludf.DUMMYFUNCTION("GOOGLETRANSLATE(B14093,""en"",""fr"")"),"Un jeune homme joue au bowling avec un autre homme tout en lançant des balles et des épingles.")</f>
        <v>Un jeune homme joue au bowling avec un autre homme tout en lançant des balles et des épingles.</v>
      </c>
    </row>
    <row r="14094">
      <c r="A14094" s="4" t="s">
        <v>17743</v>
      </c>
      <c r="B14094" s="4" t="s">
        <v>17745</v>
      </c>
      <c r="C14094" s="5" t="str">
        <f>IFERROR(__xludf.DUMMYFUNCTION("GOOGLETRANSLATE(B14094,""en"",""fr"")"),"Une sortie en balle forme un conteneur.")</f>
        <v>Une sortie en balle forme un conteneur.</v>
      </c>
    </row>
    <row r="14095">
      <c r="A14095" s="4" t="s">
        <v>17743</v>
      </c>
      <c r="B14095" s="4" t="s">
        <v>17746</v>
      </c>
      <c r="C14095" s="5" t="str">
        <f>IFERROR(__xludf.DUMMYFUNCTION("GOOGLETRANSLATE(B14095,""en"",""fr"")"),"Un homme tient une boule de bowling sur ses mains.")</f>
        <v>Un homme tient une boule de bowling sur ses mains.</v>
      </c>
    </row>
    <row r="14096">
      <c r="A14096" s="4" t="s">
        <v>17743</v>
      </c>
      <c r="B14096" s="4" t="s">
        <v>17747</v>
      </c>
      <c r="C14096" s="5" t="str">
        <f>IFERROR(__xludf.DUMMYFUNCTION("GOOGLETRANSLATE(B14096,""en"",""fr"")"),"Le jeune homme va dans une pièce du bowling, ils continuent à jouer.")</f>
        <v>Le jeune homme va dans une pièce du bowling, ils continuent à jouer.</v>
      </c>
    </row>
    <row r="14097">
      <c r="A14097" s="4" t="s">
        <v>17748</v>
      </c>
      <c r="B14097" s="4" t="s">
        <v>17749</v>
      </c>
      <c r="C14097" s="5" t="str">
        <f>IFERROR(__xludf.DUMMYFUNCTION("GOOGLETRANSLATE(B14097,""en"",""fr"")"),"Un enfant frappe une balle sur un filet dans une salle de sport.")</f>
        <v>Un enfant frappe une balle sur un filet dans une salle de sport.</v>
      </c>
    </row>
    <row r="14098">
      <c r="A14098" s="4" t="s">
        <v>17748</v>
      </c>
      <c r="B14098" s="4" t="s">
        <v>17750</v>
      </c>
      <c r="C14098" s="5" t="str">
        <f>IFERROR(__xludf.DUMMYFUNCTION("GOOGLETRANSLATE(B14098,""en"",""fr"")"),"Un homme se tient de l'autre côté, lui lançant le ballon.")</f>
        <v>Un homme se tient de l'autre côté, lui lançant le ballon.</v>
      </c>
    </row>
    <row r="14099">
      <c r="A14099" s="4" t="s">
        <v>17748</v>
      </c>
      <c r="B14099" s="4" t="s">
        <v>17751</v>
      </c>
      <c r="C14099" s="5" t="str">
        <f>IFERROR(__xludf.DUMMYFUNCTION("GOOGLETRANSLATE(B14099,""en"",""fr"")"),"Ils continuent de frapper le ballon d'avant en arrière.")</f>
        <v>Ils continuent de frapper le ballon d'avant en arrière.</v>
      </c>
    </row>
    <row r="14100">
      <c r="A14100" s="4" t="s">
        <v>17752</v>
      </c>
      <c r="B14100" s="4" t="s">
        <v>17753</v>
      </c>
      <c r="C14100" s="5" t="str">
        <f>IFERROR(__xludf.DUMMYFUNCTION("GOOGLETRANSLATE(B14100,""en"",""fr"")"),"Une personne est vue assise devant une caméra et mène à lui en regardant et en tenant une lentille de contact.")</f>
        <v>Une personne est vue assise devant une caméra et mène à lui en regardant et en tenant une lentille de contact.</v>
      </c>
    </row>
    <row r="14101">
      <c r="A14101" s="4" t="s">
        <v>17752</v>
      </c>
      <c r="B14101" s="6" t="s">
        <v>17754</v>
      </c>
      <c r="C14101" s="5" t="str">
        <f>IFERROR(__xludf.DUMMYFUNCTION("GOOGLETRANSLATE(B14101,""en"",""fr"")"),"La personne tient ensuite l'œil ouvert et met l'objectif suivi en regardant la caméra.")</f>
        <v>La personne tient ensuite l'œil ouvert et met l'objectif suivi en regardant la caméra.</v>
      </c>
    </row>
    <row r="14102">
      <c r="A14102" s="4" t="s">
        <v>17755</v>
      </c>
      <c r="B14102" s="4" t="s">
        <v>17756</v>
      </c>
      <c r="C14102" s="5" t="str">
        <f>IFERROR(__xludf.DUMMYFUNCTION("GOOGLETRANSLATE(B14102,""en"",""fr"")"),"Il y a plusieurs travailleurs emballant de nombreux radeaux dans un camion à transporter.")</f>
        <v>Il y a plusieurs travailleurs emballant de nombreux radeaux dans un camion à transporter.</v>
      </c>
    </row>
    <row r="14103">
      <c r="A14103" s="4" t="s">
        <v>17755</v>
      </c>
      <c r="B14103" s="4" t="s">
        <v>17757</v>
      </c>
      <c r="C14103" s="5" t="str">
        <f>IFERROR(__xludf.DUMMYFUNCTION("GOOGLETRANSLATE(B14103,""en"",""fr"")"),"Il y a une rivière turbulente qui coule rapidement coulant sous un pont.")</f>
        <v>Il y a une rivière turbulente qui coule rapidement coulant sous un pont.</v>
      </c>
    </row>
    <row r="14104">
      <c r="A14104" s="4" t="s">
        <v>17755</v>
      </c>
      <c r="B14104" s="4" t="s">
        <v>17758</v>
      </c>
      <c r="C14104" s="5" t="str">
        <f>IFERROR(__xludf.DUMMYFUNCTION("GOOGLETRANSLATE(B14104,""en"",""fr"")"),"La vue pittoresque montagne montre des nuages ​​qui soufflent dans le vent.")</f>
        <v>La vue pittoresque montagne montre des nuages ​​qui soufflent dans le vent.</v>
      </c>
    </row>
    <row r="14105">
      <c r="A14105" s="4" t="s">
        <v>17755</v>
      </c>
      <c r="B14105" s="4" t="s">
        <v>17759</v>
      </c>
      <c r="C14105" s="5" t="str">
        <f>IFERROR(__xludf.DUMMYFUNCTION("GOOGLETRANSLATE(B14105,""en"",""fr"")"),"Il y a beaucoup de chevrons à l'extérieur d'un emballage de cabane en rondins et se préparent pour leur voyage de rafting.")</f>
        <v>Il y a beaucoup de chevrons à l'extérieur d'un emballage de cabane en rondins et se préparent pour leur voyage de rafting.</v>
      </c>
    </row>
    <row r="14106">
      <c r="A14106" s="4" t="s">
        <v>17755</v>
      </c>
      <c r="B14106" s="4" t="s">
        <v>17760</v>
      </c>
      <c r="C14106" s="5" t="str">
        <f>IFERROR(__xludf.DUMMYFUNCTION("GOOGLETRANSLATE(B14106,""en"",""fr"")"),"Les chevrons commencent leur aventure dans l'eau de la rivière sauvage et turbulente alors qu'ils essaient de rester à flot.")</f>
        <v>Les chevrons commencent leur aventure dans l'eau de la rivière sauvage et turbulente alors qu'ils essaient de rester à flot.</v>
      </c>
    </row>
    <row r="14107">
      <c r="A14107" s="4" t="s">
        <v>17755</v>
      </c>
      <c r="B14107" s="6" t="s">
        <v>17761</v>
      </c>
      <c r="C14107" s="5" t="str">
        <f>IFERROR(__xludf.DUMMYFUNCTION("GOOGLETRANSLATE(B14107,""en"",""fr"")"),"Les vagues de la rivière sont si turbulentes qu'elle provoque le renversement du radeau et noie les chevrons dans les vagues fortes.")</f>
        <v>Les vagues de la rivière sont si turbulentes qu'elle provoque le renversement du radeau et noie les chevrons dans les vagues fortes.</v>
      </c>
    </row>
    <row r="14108">
      <c r="A14108" s="4" t="s">
        <v>17755</v>
      </c>
      <c r="B14108" s="4" t="s">
        <v>17762</v>
      </c>
      <c r="C14108" s="5" t="str">
        <f>IFERROR(__xludf.DUMMYFUNCTION("GOOGLETRANSLATE(B14108,""en"",""fr"")"),"Les chevrons s'efforcent de rester dans le radeau alors qu'ils combattent les vagues féroces de la rivière pour rester à flot.")</f>
        <v>Les chevrons s'efforcent de rester dans le radeau alors qu'ils combattent les vagues féroces de la rivière pour rester à flot.</v>
      </c>
    </row>
    <row r="14109">
      <c r="A14109" s="4" t="s">
        <v>17755</v>
      </c>
      <c r="B14109" s="4" t="s">
        <v>17763</v>
      </c>
      <c r="C14109" s="5" t="str">
        <f>IFERROR(__xludf.DUMMYFUNCTION("GOOGLETRANSLATE(B14109,""en"",""fr"")"),"Les vagues sont si fortes qu'elle devient difficile pour les chevrons dans le radeau.")</f>
        <v>Les vagues sont si fortes qu'elle devient difficile pour les chevrons dans le radeau.</v>
      </c>
    </row>
    <row r="14110">
      <c r="A14110" s="4" t="s">
        <v>17755</v>
      </c>
      <c r="B14110" s="4" t="s">
        <v>17764</v>
      </c>
      <c r="C14110" s="5" t="str">
        <f>IFERROR(__xludf.DUMMYFUNCTION("GOOGLETRANSLATE(B14110,""en"",""fr"")"),"Ils sont jetés avec force dans la rivière alors que le radeau se renverse sur eux.")</f>
        <v>Ils sont jetés avec force dans la rivière alors que le radeau se renverse sur eux.</v>
      </c>
    </row>
    <row r="14111">
      <c r="A14111" s="4" t="s">
        <v>17755</v>
      </c>
      <c r="B14111" s="4" t="s">
        <v>17765</v>
      </c>
      <c r="C14111" s="5" t="str">
        <f>IFERROR(__xludf.DUMMYFUNCTION("GOOGLETRANSLATE(B14111,""en"",""fr"")"),"L'un des chevrons sourit et parle de son expérience alors qu'il revient avec ses camarades de chevrons.")</f>
        <v>L'un des chevrons sourit et parle de son expérience alors qu'il revient avec ses camarades de chevrons.</v>
      </c>
    </row>
    <row r="14112">
      <c r="A14112" s="4" t="s">
        <v>17766</v>
      </c>
      <c r="B14112" s="6" t="s">
        <v>17767</v>
      </c>
      <c r="C14112" s="5" t="str">
        <f>IFERROR(__xludf.DUMMYFUNCTION("GOOGLETRANSLATE(B14112,""en"",""fr"")"),"Un grand groupe de personnes est vue assise autour d'un gymnase lorsqu'une fille court et effectue une routine dans les bars inégaux.")</f>
        <v>Un grand groupe de personnes est vue assise autour d'un gymnase lorsqu'une fille court et effectue une routine dans les bars inégaux.</v>
      </c>
    </row>
    <row r="14113">
      <c r="A14113" s="4" t="s">
        <v>17766</v>
      </c>
      <c r="B14113" s="6" t="s">
        <v>17768</v>
      </c>
      <c r="C14113" s="5" t="str">
        <f>IFERROR(__xludf.DUMMYFUNCTION("GOOGLETRANSLATE(B14113,""en"",""fr"")"),"La fille continue de se balancer et se termine avec elle sautant du côté et agitant vers le public.")</f>
        <v>La fille continue de se balancer et se termine avec elle sautant du côté et agitant vers le public.</v>
      </c>
    </row>
    <row r="14114">
      <c r="A14114" s="4" t="s">
        <v>17769</v>
      </c>
      <c r="B14114" s="4" t="s">
        <v>17770</v>
      </c>
      <c r="C14114" s="5" t="str">
        <f>IFERROR(__xludf.DUMMYFUNCTION("GOOGLETRANSLATE(B14114,""en"",""fr"")"),"Cette vidéo vous montre comment faire des spaghettis avec des saucisses avec une simple sauce tomate.")</f>
        <v>Cette vidéo vous montre comment faire des spaghettis avec des saucisses avec une simple sauce tomate.</v>
      </c>
    </row>
    <row r="14115">
      <c r="A14115" s="4" t="s">
        <v>17769</v>
      </c>
      <c r="B14115" s="6" t="s">
        <v>17771</v>
      </c>
      <c r="C14115" s="5" t="str">
        <f>IFERROR(__xludf.DUMMYFUNCTION("GOOGLETRANSLATE(B14115,""en"",""fr"")"),"Elle met d'abord la saucisse sur une plaque à pâtisserie qui a du papier d'aluminium dessus et elle la met au four.")</f>
        <v>Elle met d'abord la saucisse sur une plaque à pâtisserie qui a du papier d'aluminium dessus et elle la met au four.</v>
      </c>
    </row>
    <row r="14116">
      <c r="A14116" s="4" t="s">
        <v>17769</v>
      </c>
      <c r="B14116" s="4" t="s">
        <v>17772</v>
      </c>
      <c r="C14116" s="5" t="str">
        <f>IFERROR(__xludf.DUMMYFUNCTION("GOOGLETRANSLATE(B14116,""en"",""fr"")"),"Ensuite, elle verse des tomates dans un petit mélangeur et elle les mélange.")</f>
        <v>Ensuite, elle verse des tomates dans un petit mélangeur et elle les mélange.</v>
      </c>
    </row>
    <row r="14117">
      <c r="A14117" s="4" t="s">
        <v>17769</v>
      </c>
      <c r="B14117" s="6" t="s">
        <v>17773</v>
      </c>
      <c r="C14117" s="5" t="str">
        <f>IFERROR(__xludf.DUMMYFUNCTION("GOOGLETRANSLATE(B14117,""en"",""fr"")"),"Puis elle verse des poivrons rouges écrasés et de l'ail dans la poêle et elle y verse la sauce tomate.")</f>
        <v>Puis elle verse des poivrons rouges écrasés et de l'ail dans la poêle et elle y verse la sauce tomate.</v>
      </c>
    </row>
    <row r="14118">
      <c r="A14118" s="4" t="s">
        <v>17769</v>
      </c>
      <c r="B14118" s="6" t="s">
        <v>17774</v>
      </c>
      <c r="C14118" s="5" t="str">
        <f>IFERROR(__xludf.DUMMYFUNCTION("GOOGLETRANSLATE(B14118,""en"",""fr"")"),"Ensuite, elle le remue et sort la saucisse pour les couper en petits morceaux et elle leur laisse cuisiner un peu plus.")</f>
        <v>Ensuite, elle le remue et sort la saucisse pour les couper en petits morceaux et elle leur laisse cuisiner un peu plus.</v>
      </c>
    </row>
    <row r="14119">
      <c r="A14119" s="4" t="s">
        <v>17769</v>
      </c>
      <c r="B14119" s="6" t="s">
        <v>17775</v>
      </c>
      <c r="C14119" s="5" t="str">
        <f>IFERROR(__xludf.DUMMYFUNCTION("GOOGLETRANSLATE(B14119,""en"",""fr"")"),"Enfin, elle les met dans la poêle avec les pâtes et cuisine tout en créant un bon repas.")</f>
        <v>Enfin, elle les met dans la poêle avec les pâtes et cuisine tout en créant un bon repas.</v>
      </c>
    </row>
    <row r="14120">
      <c r="A14120" s="4" t="s">
        <v>17776</v>
      </c>
      <c r="B14120" s="4" t="s">
        <v>17777</v>
      </c>
      <c r="C14120" s="5" t="str">
        <f>IFERROR(__xludf.DUMMYFUNCTION("GOOGLETRANSLATE(B14120,""en"",""fr"")"),"Un homme est vu entrer dans le cadre et commence à se pencher devant un ensemble de poids.")</f>
        <v>Un homme est vu entrer dans le cadre et commence à se pencher devant un ensemble de poids.</v>
      </c>
    </row>
    <row r="14121">
      <c r="A14121" s="4" t="s">
        <v>17776</v>
      </c>
      <c r="B14121" s="6" t="s">
        <v>17778</v>
      </c>
      <c r="C14121" s="5" t="str">
        <f>IFERROR(__xludf.DUMMYFUNCTION("GOOGLETRANSLATE(B14121,""en"",""fr"")"),"L'homme soulève ensuite les poids de haut en bas sur ses épaules pendant que la caméra regarde se former derrière.")</f>
        <v>L'homme soulève ensuite les poids de haut en bas sur ses épaules pendant que la caméra regarde se former derrière.</v>
      </c>
    </row>
    <row r="14122">
      <c r="A14122" s="4" t="s">
        <v>17776</v>
      </c>
      <c r="B14122" s="6" t="s">
        <v>17779</v>
      </c>
      <c r="C14122" s="5" t="str">
        <f>IFERROR(__xludf.DUMMYFUNCTION("GOOGLETRANSLATE(B14122,""en"",""fr"")"),"L'homme entre dans et hors du cadre en revenant vers les poids et un autre homme entrant dans le cadre pour soulever.")</f>
        <v>L'homme entre dans et hors du cadre en revenant vers les poids et un autre homme entrant dans le cadre pour soulever.</v>
      </c>
    </row>
    <row r="14123">
      <c r="A14123" s="4" t="s">
        <v>17780</v>
      </c>
      <c r="B14123" s="4" t="s">
        <v>17781</v>
      </c>
      <c r="C14123" s="5" t="str">
        <f>IFERROR(__xludf.DUMMYFUNCTION("GOOGLETRANSLATE(B14123,""en"",""fr"")"),"Un homme remue des matériaux d'artisanat de la chaussure dans un bocal.")</f>
        <v>Un homme remue des matériaux d'artisanat de la chaussure dans un bocal.</v>
      </c>
    </row>
    <row r="14124">
      <c r="A14124" s="4" t="s">
        <v>17780</v>
      </c>
      <c r="B14124" s="4" t="s">
        <v>17782</v>
      </c>
      <c r="C14124" s="5" t="str">
        <f>IFERROR(__xludf.DUMMYFUNCTION("GOOGLETRANSLATE(B14124,""en"",""fr"")"),"Il prépare la chaussure pour briller.")</f>
        <v>Il prépare la chaussure pour briller.</v>
      </c>
    </row>
    <row r="14125">
      <c r="A14125" s="4" t="s">
        <v>17780</v>
      </c>
      <c r="B14125" s="4" t="s">
        <v>17783</v>
      </c>
      <c r="C14125" s="5" t="str">
        <f>IFERROR(__xludf.DUMMYFUNCTION("GOOGLETRANSLATE(B14125,""en"",""fr"")"),"Il explique sa méthode de chaussures brillantes.")</f>
        <v>Il explique sa méthode de chaussures brillantes.</v>
      </c>
    </row>
    <row r="14126">
      <c r="A14126" s="4" t="s">
        <v>17780</v>
      </c>
      <c r="B14126" s="4" t="s">
        <v>17784</v>
      </c>
      <c r="C14126" s="5" t="str">
        <f>IFERROR(__xludf.DUMMYFUNCTION("GOOGLETRANSLATE(B14126,""en"",""fr"")"),"L'homme brille le haut d'une chaussure et finit en fixant les lacets de la chaussure.")</f>
        <v>L'homme brille le haut d'une chaussure et finit en fixant les lacets de la chaussure.</v>
      </c>
    </row>
    <row r="14127">
      <c r="A14127" s="4" t="s">
        <v>17785</v>
      </c>
      <c r="B14127" s="4" t="s">
        <v>17786</v>
      </c>
      <c r="C14127" s="5" t="str">
        <f>IFERROR(__xludf.DUMMYFUNCTION("GOOGLETRANSLATE(B14127,""en"",""fr"")"),"Une femme est vue debout au milieu d'une fosse de sable et commence à balancer un objet autour.")</f>
        <v>Une femme est vue debout au milieu d'une fosse de sable et commence à balancer un objet autour.</v>
      </c>
    </row>
    <row r="14128">
      <c r="A14128" s="4" t="s">
        <v>17785</v>
      </c>
      <c r="B14128" s="4" t="s">
        <v>17787</v>
      </c>
      <c r="C14128" s="5" t="str">
        <f>IFERROR(__xludf.DUMMYFUNCTION("GOOGLETRANSLATE(B14128,""en"",""fr"")"),"Elle tourne à plusieurs reprises autour d'elle, puis commence à se balancer.")</f>
        <v>Elle tourne à plusieurs reprises autour d'elle, puis commence à se balancer.</v>
      </c>
    </row>
    <row r="14129">
      <c r="A14129" s="4" t="s">
        <v>17785</v>
      </c>
      <c r="B14129" s="4" t="s">
        <v>17788</v>
      </c>
      <c r="C14129" s="5" t="str">
        <f>IFERROR(__xludf.DUMMYFUNCTION("GOOGLETRANSLATE(B14129,""en"",""fr"")"),"Elle continue de se balancer et se termine en la jetant au loin.")</f>
        <v>Elle continue de se balancer et se termine en la jetant au loin.</v>
      </c>
    </row>
    <row r="14130">
      <c r="A14130" s="4" t="s">
        <v>17789</v>
      </c>
      <c r="B14130" s="6" t="s">
        <v>17790</v>
      </c>
      <c r="C14130" s="5" t="str">
        <f>IFERROR(__xludf.DUMMYFUNCTION("GOOGLETRANSLATE(B14130,""en"",""fr"")"),"Un homme jette un coup de marteau dans une performance sportive jugée, à l'extérieur, sur un terrain couvert d'herbe avec un groupe de spectateurs sur les lignes latérales.")</f>
        <v>Un homme jette un coup de marteau dans une performance sportive jugée, à l'extérieur, sur un terrain couvert d'herbe avec un groupe de spectateurs sur les lignes latérales.</v>
      </c>
    </row>
    <row r="14131">
      <c r="A14131" s="4" t="s">
        <v>17789</v>
      </c>
      <c r="B14131" s="4" t="s">
        <v>17791</v>
      </c>
      <c r="C14131" s="5" t="str">
        <f>IFERROR(__xludf.DUMMYFUNCTION("GOOGLETRANSLATE(B14131,""en"",""fr"")"),"Un homme s'approche d'une surface blanche carrée et pavée entourée de filet noir.")</f>
        <v>Un homme s'approche d'une surface blanche carrée et pavée entourée de filet noir.</v>
      </c>
    </row>
    <row r="14132">
      <c r="A14132" s="4" t="s">
        <v>17789</v>
      </c>
      <c r="B14132" s="4" t="s">
        <v>17792</v>
      </c>
      <c r="C14132" s="5" t="str">
        <f>IFERROR(__xludf.DUMMYFUNCTION("GOOGLETRANSLATE(B14132,""en"",""fr"")"),"L'homme tourne en place pour prendre de l'ampleur et libère / lance la boule de marteau.")</f>
        <v>L'homme tourne en place pour prendre de l'ampleur et libère / lance la boule de marteau.</v>
      </c>
    </row>
    <row r="14133">
      <c r="A14133" s="4" t="s">
        <v>17789</v>
      </c>
      <c r="B14133" s="6" t="s">
        <v>17793</v>
      </c>
      <c r="C14133" s="5" t="str">
        <f>IFERROR(__xludf.DUMMYFUNCTION("GOOGLETRANSLATE(B14133,""en"",""fr"")"),"Deux personnes émergent avec un long ruban à mesurer pour mesurer la distance que la boule de marteau a été lancée.")</f>
        <v>Deux personnes émergent avec un long ruban à mesurer pour mesurer la distance que la boule de marteau a été lancée.</v>
      </c>
    </row>
    <row r="14134">
      <c r="A14134" s="4" t="s">
        <v>17789</v>
      </c>
      <c r="B14134" s="4" t="s">
        <v>17794</v>
      </c>
      <c r="C14134" s="5" t="str">
        <f>IFERROR(__xludf.DUMMYFUNCTION("GOOGLETRANSLATE(B14134,""en"",""fr"")"),"L'athlète s'enfuit en sautant et souriant et la poitrine baisse un autre joueur.")</f>
        <v>L'athlète s'enfuit en sautant et souriant et la poitrine baisse un autre joueur.</v>
      </c>
    </row>
    <row r="14135">
      <c r="A14135" s="4" t="s">
        <v>17795</v>
      </c>
      <c r="B14135" s="4" t="s">
        <v>17796</v>
      </c>
      <c r="C14135" s="5" t="str">
        <f>IFERROR(__xludf.DUMMYFUNCTION("GOOGLETRANSLATE(B14135,""en"",""fr"")"),"Une femme se tient à parler sur un tapis de yoga dans une allée.")</f>
        <v>Une femme se tient à parler sur un tapis de yoga dans une allée.</v>
      </c>
    </row>
    <row r="14136">
      <c r="A14136" s="4" t="s">
        <v>17795</v>
      </c>
      <c r="B14136" s="4" t="s">
        <v>17797</v>
      </c>
      <c r="C14136" s="5" t="str">
        <f>IFERROR(__xludf.DUMMYFUNCTION("GOOGLETRANSLATE(B14136,""en"",""fr"")"),"La femme fait un entraînement aérobie qui va et vient et levage les armes sur le tapis.")</f>
        <v>La femme fait un entraînement aérobie qui va et vient et levage les armes sur le tapis.</v>
      </c>
    </row>
    <row r="14137">
      <c r="A14137" s="4" t="s">
        <v>17795</v>
      </c>
      <c r="B14137" s="4" t="s">
        <v>17798</v>
      </c>
      <c r="C14137" s="5" t="str">
        <f>IFERROR(__xludf.DUMMYFUNCTION("GOOGLETRANSLATE(B14137,""en"",""fr"")"),"La femme saute dans les deux sens dans un entraînement plus vigoureux.")</f>
        <v>La femme saute dans les deux sens dans un entraînement plus vigoureux.</v>
      </c>
    </row>
    <row r="14138">
      <c r="A14138" s="4" t="s">
        <v>17799</v>
      </c>
      <c r="B14138" s="4" t="s">
        <v>17800</v>
      </c>
      <c r="C14138" s="5" t="str">
        <f>IFERROR(__xludf.DUMMYFUNCTION("GOOGLETRANSLATE(B14138,""en"",""fr"")"),"Une petite fille est à l'intérieur d'un porche couvert.")</f>
        <v>Une petite fille est à l'intérieur d'un porche couvert.</v>
      </c>
    </row>
    <row r="14139">
      <c r="A14139" s="4" t="s">
        <v>17799</v>
      </c>
      <c r="B14139" s="4" t="s">
        <v>17801</v>
      </c>
      <c r="C14139" s="5" t="str">
        <f>IFERROR(__xludf.DUMMYFUNCTION("GOOGLETRANSLATE(B14139,""en"",""fr"")"),"Elle balance un bâton dans une petite pinata.")</f>
        <v>Elle balance un bâton dans une petite pinata.</v>
      </c>
    </row>
    <row r="14140">
      <c r="A14140" s="4" t="s">
        <v>17799</v>
      </c>
      <c r="B14140" s="4" t="s">
        <v>17802</v>
      </c>
      <c r="C14140" s="5" t="str">
        <f>IFERROR(__xludf.DUMMYFUNCTION("GOOGLETRANSLATE(B14140,""en"",""fr"")"),"Elle a les yeux bandés alors qu'elle continue de se balancer encore et encore.")</f>
        <v>Elle a les yeux bandés alors qu'elle continue de se balancer encore et encore.</v>
      </c>
    </row>
    <row r="14141">
      <c r="A14141" s="4" t="s">
        <v>17803</v>
      </c>
      <c r="B14141" s="4" t="s">
        <v>17804</v>
      </c>
      <c r="C14141" s="5" t="str">
        <f>IFERROR(__xludf.DUMMYFUNCTION("GOOGLETRANSLATE(B14141,""en"",""fr"")"),"Une femme montre ses ongles suivis de plusieurs clips de clous peints par une brosse.")</f>
        <v>Une femme montre ses ongles suivis de plusieurs clips de clous peints par une brosse.</v>
      </c>
    </row>
    <row r="14142">
      <c r="A14142" s="4" t="s">
        <v>17803</v>
      </c>
      <c r="B14142" s="4" t="s">
        <v>17805</v>
      </c>
      <c r="C14142" s="5" t="str">
        <f>IFERROR(__xludf.DUMMYFUNCTION("GOOGLETRANSLATE(B14142,""en"",""fr"")"),"Le pinceau fait plusieurs lignes sur les ongles et montre des célébrités avec des ongles à la mode.")</f>
        <v>Le pinceau fait plusieurs lignes sur les ongles et montre des célébrités avec des ongles à la mode.</v>
      </c>
    </row>
    <row r="14143">
      <c r="A14143" s="4" t="s">
        <v>17803</v>
      </c>
      <c r="B14143" s="4" t="s">
        <v>17806</v>
      </c>
      <c r="C14143" s="5" t="str">
        <f>IFERROR(__xludf.DUMMYFUNCTION("GOOGLETRANSLATE(B14143,""en"",""fr"")"),"La vidéo accélère et montre plusieurs conceptions différentes pour le vernis à ongles et les exemples.")</f>
        <v>La vidéo accélère et montre plusieurs conceptions différentes pour le vernis à ongles et les exemples.</v>
      </c>
    </row>
    <row r="14144">
      <c r="A14144" s="4" t="s">
        <v>17807</v>
      </c>
      <c r="B14144" s="4" t="s">
        <v>17808</v>
      </c>
      <c r="C14144" s="5" t="str">
        <f>IFERROR(__xludf.DUMMYFUNCTION("GOOGLETRANSLATE(B14144,""en"",""fr"")"),"Un gros plan des ongles d'une personne est montré suivi par une personne qui déposait les clous d'une autre.")</f>
        <v>Un gros plan des ongles d'une personne est montré suivi par une personne qui déposait les clous d'une autre.</v>
      </c>
    </row>
    <row r="14145">
      <c r="A14145" s="4" t="s">
        <v>17807</v>
      </c>
      <c r="B14145" s="4" t="s">
        <v>17809</v>
      </c>
      <c r="C14145" s="5" t="str">
        <f>IFERROR(__xludf.DUMMYFUNCTION("GOOGLETRANSLATE(B14145,""en"",""fr"")"),"Plusieurs produits sont représentés de près ainsi que les ongles d'une personne qui sont peints et mis sous la chaleur.")</f>
        <v>Plusieurs produits sont représentés de près ainsi que les ongles d'une personne qui sont peints et mis sous la chaleur.</v>
      </c>
    </row>
    <row r="14146">
      <c r="A14146" s="4" t="s">
        <v>17807</v>
      </c>
      <c r="B14146" s="4" t="s">
        <v>17810</v>
      </c>
      <c r="C14146" s="5" t="str">
        <f>IFERROR(__xludf.DUMMYFUNCTION("GOOGLETRANSLATE(B14146,""en"",""fr"")"),"La personne continue de peindre les ongles et met finalement un joyau.")</f>
        <v>La personne continue de peindre les ongles et met finalement un joyau.</v>
      </c>
    </row>
    <row r="14147">
      <c r="A14147" s="4" t="s">
        <v>17811</v>
      </c>
      <c r="B14147" s="4" t="s">
        <v>1487</v>
      </c>
      <c r="C14147" s="5" t="str">
        <f>IFERROR(__xludf.DUMMYFUNCTION("GOOGLETRANSLATE(B14147,""en"",""fr"")"),"Nous voyons un écran de titre d'ouverture.")</f>
        <v>Nous voyons un écran de titre d'ouverture.</v>
      </c>
    </row>
    <row r="14148">
      <c r="A14148" s="4" t="s">
        <v>17811</v>
      </c>
      <c r="B14148" s="4" t="s">
        <v>17812</v>
      </c>
      <c r="C14148" s="5" t="str">
        <f>IFERROR(__xludf.DUMMYFUNCTION("GOOGLETRANSLATE(B14148,""en"",""fr"")"),"Nous voyons des photos de personnes jouant au football dans une arène intérieure.")</f>
        <v>Nous voyons des photos de personnes jouant au football dans une arène intérieure.</v>
      </c>
    </row>
    <row r="14149">
      <c r="A14149" s="4" t="s">
        <v>17811</v>
      </c>
      <c r="B14149" s="4" t="s">
        <v>17813</v>
      </c>
      <c r="C14149" s="5" t="str">
        <f>IFERROR(__xludf.DUMMYFUNCTION("GOOGLETRANSLATE(B14149,""en"",""fr"")"),"Nous voyons un homme sauter et détourner une balle du filet au ralenti.")</f>
        <v>Nous voyons un homme sauter et détourner une balle du filet au ralenti.</v>
      </c>
    </row>
    <row r="14150">
      <c r="A14150" s="4" t="s">
        <v>17811</v>
      </c>
      <c r="B14150" s="4" t="s">
        <v>17814</v>
      </c>
      <c r="C14150" s="5" t="str">
        <f>IFERROR(__xludf.DUMMYFUNCTION("GOOGLETRANSLATE(B14150,""en"",""fr"")"),"Nous voyons deux hommes entrer en collision au ralenti.")</f>
        <v>Nous voyons deux hommes entrer en collision au ralenti.</v>
      </c>
    </row>
    <row r="14151">
      <c r="A14151" s="4" t="s">
        <v>17815</v>
      </c>
      <c r="B14151" s="4" t="s">
        <v>17816</v>
      </c>
      <c r="C14151" s="5" t="str">
        <f>IFERROR(__xludf.DUMMYFUNCTION("GOOGLETRANSLATE(B14151,""en"",""fr"")"),"Le petit garçon est à l'évier en brossant le pot.")</f>
        <v>Le petit garçon est à l'évier en brossant le pot.</v>
      </c>
    </row>
    <row r="14152">
      <c r="A14152" s="4" t="s">
        <v>17815</v>
      </c>
      <c r="B14152" s="4" t="s">
        <v>17817</v>
      </c>
      <c r="C14152" s="5" t="str">
        <f>IFERROR(__xludf.DUMMYFUNCTION("GOOGLETRANSLATE(B14152,""en"",""fr"")"),"Le garçon soulève la brosse du pot et brosse l'évier à la place, puis il l'a mis dans le pot.")</f>
        <v>Le garçon soulève la brosse du pot et brosse l'évier à la place, puis il l'a mis dans le pot.</v>
      </c>
    </row>
    <row r="14153">
      <c r="A14153" s="4" t="s">
        <v>17815</v>
      </c>
      <c r="B14153" s="6" t="s">
        <v>17818</v>
      </c>
      <c r="C14153" s="5" t="str">
        <f>IFERROR(__xludf.DUMMYFUNCTION("GOOGLETRANSLATE(B14153,""en"",""fr"")"),"Le garçon brosse le couvercle du pot, et un adulte a mis des assiettes dans le pot et le garçon l'a sorti et tremper la fourche.")</f>
        <v>Le garçon brosse le couvercle du pot, et un adulte a mis des assiettes dans le pot et le garçon l'a sorti et tremper la fourche.</v>
      </c>
    </row>
    <row r="14154">
      <c r="A14154" s="4" t="s">
        <v>17819</v>
      </c>
      <c r="B14154" s="4" t="s">
        <v>17820</v>
      </c>
      <c r="C14154" s="5" t="str">
        <f>IFERROR(__xludf.DUMMYFUNCTION("GOOGLETRANSLATE(B14154,""en"",""fr"")"),"Une personne portant un équipement de sécurité contient une tige métallique avec une pince.")</f>
        <v>Une personne portant un équipement de sécurité contient une tige métallique avec une pince.</v>
      </c>
    </row>
    <row r="14155">
      <c r="A14155" s="4" t="s">
        <v>17819</v>
      </c>
      <c r="B14155" s="4" t="s">
        <v>17821</v>
      </c>
      <c r="C14155" s="5" t="str">
        <f>IFERROR(__xludf.DUMMYFUNCTION("GOOGLETRANSLATE(B14155,""en"",""fr"")"),"Ensuite, la personne soulève sur une surface.")</f>
        <v>Ensuite, la personne soulève sur une surface.</v>
      </c>
    </row>
    <row r="14156">
      <c r="A14156" s="4" t="s">
        <v>17819</v>
      </c>
      <c r="B14156" s="4" t="s">
        <v>17822</v>
      </c>
      <c r="C14156" s="5" t="str">
        <f>IFERROR(__xludf.DUMMYFUNCTION("GOOGLETRANSLATE(B14156,""en"",""fr"")"),"La fumée vient de la pince.")</f>
        <v>La fumée vient de la pince.</v>
      </c>
    </row>
    <row r="14157">
      <c r="A14157" s="4" t="s">
        <v>17823</v>
      </c>
      <c r="B14157" s="4" t="s">
        <v>17824</v>
      </c>
      <c r="C14157" s="5" t="str">
        <f>IFERROR(__xludf.DUMMYFUNCTION("GOOGLETRANSLATE(B14157,""en"",""fr"")"),"Une peinture d'un ciel nuageux au-dessus des montagnes est affichée sur une toile.")</f>
        <v>Une peinture d'un ciel nuageux au-dessus des montagnes est affichée sur une toile.</v>
      </c>
    </row>
    <row r="14158">
      <c r="A14158" s="4" t="s">
        <v>17823</v>
      </c>
      <c r="B14158" s="4" t="s">
        <v>17825</v>
      </c>
      <c r="C14158" s="5" t="str">
        <f>IFERROR(__xludf.DUMMYFUNCTION("GOOGLETRANSLATE(B14158,""en"",""fr"")"),"Un pinceau commence à peindre du bleu sur la toile.")</f>
        <v>Un pinceau commence à peindre du bleu sur la toile.</v>
      </c>
    </row>
    <row r="14159">
      <c r="A14159" s="4" t="s">
        <v>17823</v>
      </c>
      <c r="B14159" s="6" t="s">
        <v>17826</v>
      </c>
      <c r="C14159" s="5" t="str">
        <f>IFERROR(__xludf.DUMMYFUNCTION("GOOGLETRANSLATE(B14159,""en"",""fr"")"),"Une image complète est montrée dans des couleurs brillantes d'une plage avant de revenir aux coups de pinceau en cours.")</f>
        <v>Une image complète est montrée dans des couleurs brillantes d'une plage avant de revenir aux coups de pinceau en cours.</v>
      </c>
    </row>
    <row r="14160">
      <c r="A14160" s="4" t="s">
        <v>17823</v>
      </c>
      <c r="B14160" s="4" t="s">
        <v>17827</v>
      </c>
      <c r="C14160" s="5" t="str">
        <f>IFERROR(__xludf.DUMMYFUNCTION("GOOGLETRANSLATE(B14160,""en"",""fr"")"),"L'océan est achevé dans la scène finale.")</f>
        <v>L'océan est achevé dans la scène finale.</v>
      </c>
    </row>
    <row r="14161">
      <c r="A14161" s="4" t="s">
        <v>17828</v>
      </c>
      <c r="B14161" s="4" t="s">
        <v>17829</v>
      </c>
      <c r="C14161" s="5" t="str">
        <f>IFERROR(__xludf.DUMMYFUNCTION("GOOGLETRANSLATE(B14161,""en"",""fr"")"),"Une vieille femme tricote sur un lit.")</f>
        <v>Une vieille femme tricote sur un lit.</v>
      </c>
    </row>
    <row r="14162">
      <c r="A14162" s="4" t="s">
        <v>17828</v>
      </c>
      <c r="B14162" s="4" t="s">
        <v>17830</v>
      </c>
      <c r="C14162" s="5" t="str">
        <f>IFERROR(__xludf.DUMMYFUNCTION("GOOGLETRANSLATE(B14162,""en"",""fr"")"),"Une petite fille est également assise sur le sol à tricoter.")</f>
        <v>Une petite fille est également assise sur le sol à tricoter.</v>
      </c>
    </row>
    <row r="14163">
      <c r="A14163" s="4" t="s">
        <v>17828</v>
      </c>
      <c r="B14163" s="4" t="s">
        <v>17831</v>
      </c>
      <c r="C14163" s="5" t="str">
        <f>IFERROR(__xludf.DUMMYFUNCTION("GOOGLETRANSLATE(B14163,""en"",""fr"")"),"Elle parle à la caméra alors qu'elle apprend à tricoter.")</f>
        <v>Elle parle à la caméra alors qu'elle apprend à tricoter.</v>
      </c>
    </row>
    <row r="14164">
      <c r="A14164" s="4" t="s">
        <v>17832</v>
      </c>
      <c r="B14164" s="6" t="s">
        <v>17833</v>
      </c>
      <c r="C14164" s="5" t="str">
        <f>IFERROR(__xludf.DUMMYFUNCTION("GOOGLETRANSLATE(B14164,""en"",""fr"")"),"Un jeune homme se tient dans une porte ouverte, les mains sur ses paumes de tête face vers lui sur une barre fixée en haut de la porte.")</f>
        <v>Un jeune homme se tient dans une porte ouverte, les mains sur ses paumes de tête face vers lui sur une barre fixée en haut de la porte.</v>
      </c>
    </row>
    <row r="14165">
      <c r="A14165" s="4" t="s">
        <v>17832</v>
      </c>
      <c r="B14165" s="6" t="s">
        <v>17834</v>
      </c>
      <c r="C14165" s="5" t="str">
        <f>IFERROR(__xludf.DUMMYFUNCTION("GOOGLETRANSLATE(B14165,""en"",""fr"")"),"Le jeune homme se soulève et place ses pieds dans l'écart entre la barre et le haut du cadre de la porte.")</f>
        <v>Le jeune homme se soulève et place ses pieds dans l'écart entre la barre et le haut du cadre de la porte.</v>
      </c>
    </row>
    <row r="14166">
      <c r="A14166" s="4" t="s">
        <v>17832</v>
      </c>
      <c r="B14166" s="6" t="s">
        <v>17835</v>
      </c>
      <c r="C14166" s="5" t="str">
        <f>IFERROR(__xludf.DUMMYFUNCTION("GOOGLETRANSLATE(B14166,""en"",""fr"")"),"Le jeune homme abaisse son corps, s'étendant sur toute la longueur de la porte, les mains derrière sa tête, les coudes.")</f>
        <v>Le jeune homme abaisse son corps, s'étendant sur toute la longueur de la porte, les mains derrière sa tête, les coudes.</v>
      </c>
    </row>
    <row r="14167">
      <c r="A14167" s="4" t="s">
        <v>17832</v>
      </c>
      <c r="B14167" s="4" t="s">
        <v>17836</v>
      </c>
      <c r="C14167" s="5" t="str">
        <f>IFERROR(__xludf.DUMMYFUNCTION("GOOGLETRANSLATE(B14167,""en"",""fr"")"),"Le jeune homme fait deux sites.")</f>
        <v>Le jeune homme fait deux sites.</v>
      </c>
    </row>
    <row r="14168">
      <c r="A14168" s="4" t="s">
        <v>17832</v>
      </c>
      <c r="B14168" s="6" t="s">
        <v>17837</v>
      </c>
      <c r="C14168" s="5" t="str">
        <f>IFERROR(__xludf.DUMMYFUNCTION("GOOGLETRANSLATE(B14168,""en"",""fr"")"),"La caméra montre le haut de la porte en se concentrant sur le bar et les pieds du jeune homme fixés en haut de la porte.")</f>
        <v>La caméra montre le haut de la porte en se concentrant sur le bar et les pieds du jeune homme fixés en haut de la porte.</v>
      </c>
    </row>
    <row r="14169">
      <c r="A14169" s="4" t="s">
        <v>17832</v>
      </c>
      <c r="B14169" s="4" t="s">
        <v>17838</v>
      </c>
      <c r="C14169" s="5" t="str">
        <f>IFERROR(__xludf.DUMMYFUNCTION("GOOGLETRANSLATE(B14169,""en"",""fr"")"),"La caméra revient à la vue complète du jeune homme faisant des reposs dans l'embrasure de la porte.")</f>
        <v>La caméra revient à la vue complète du jeune homme faisant des reposs dans l'embrasure de la porte.</v>
      </c>
    </row>
    <row r="14170">
      <c r="A14170" s="4" t="s">
        <v>17832</v>
      </c>
      <c r="B14170" s="4" t="s">
        <v>17839</v>
      </c>
      <c r="C14170" s="5" t="str">
        <f>IFERROR(__xludf.DUMMYFUNCTION("GOOGLETRANSLATE(B14170,""en"",""fr"")"),"Le jeune homme fait trois autres sitons.")</f>
        <v>Le jeune homme fait trois autres sitons.</v>
      </c>
    </row>
    <row r="14171">
      <c r="A14171" s="4" t="s">
        <v>17840</v>
      </c>
      <c r="B14171" s="4" t="s">
        <v>17841</v>
      </c>
      <c r="C14171" s="5" t="str">
        <f>IFERROR(__xludf.DUMMYFUNCTION("GOOGLETRANSLATE(B14171,""en"",""fr"")"),"Une femme se tient à côté d'un vide.")</f>
        <v>Une femme se tient à côté d'un vide.</v>
      </c>
    </row>
    <row r="14172">
      <c r="A14172" s="4" t="s">
        <v>17840</v>
      </c>
      <c r="B14172" s="4" t="s">
        <v>17842</v>
      </c>
      <c r="C14172" s="5" t="str">
        <f>IFERROR(__xludf.DUMMYFUNCTION("GOOGLETRANSLATE(B14172,""en"",""fr"")"),"Elle jette quelque chose sur le sol.")</f>
        <v>Elle jette quelque chose sur le sol.</v>
      </c>
    </row>
    <row r="14173">
      <c r="A14173" s="4" t="s">
        <v>17840</v>
      </c>
      <c r="B14173" s="4" t="s">
        <v>17843</v>
      </c>
      <c r="C14173" s="5" t="str">
        <f>IFERROR(__xludf.DUMMYFUNCTION("GOOGLETRANSLATE(B14173,""en"",""fr"")"),"Elle prend le vide et s'aspire au désordre.")</f>
        <v>Elle prend le vide et s'aspire au désordre.</v>
      </c>
    </row>
    <row r="14174">
      <c r="A14174" s="4" t="s">
        <v>17840</v>
      </c>
      <c r="B14174" s="4" t="s">
        <v>17844</v>
      </c>
      <c r="C14174" s="5" t="str">
        <f>IFERROR(__xludf.DUMMYFUNCTION("GOOGLETRANSLATE(B14174,""en"",""fr"")"),"Elle enlève le tuyau de l'aspirateur et commence à l'utiliser sur le sol.")</f>
        <v>Elle enlève le tuyau de l'aspirateur et commence à l'utiliser sur le sol.</v>
      </c>
    </row>
    <row r="14175">
      <c r="A14175" s="4" t="s">
        <v>17845</v>
      </c>
      <c r="B14175" s="4" t="s">
        <v>17846</v>
      </c>
      <c r="C14175" s="5" t="str">
        <f>IFERROR(__xludf.DUMMYFUNCTION("GOOGLETRANSLATE(B14175,""en"",""fr"")"),"Un homme conduit une tondeuse à gazon.")</f>
        <v>Un homme conduit une tondeuse à gazon.</v>
      </c>
    </row>
    <row r="14176">
      <c r="A14176" s="4" t="s">
        <v>17845</v>
      </c>
      <c r="B14176" s="4" t="s">
        <v>17847</v>
      </c>
      <c r="C14176" s="5" t="str">
        <f>IFERROR(__xludf.DUMMYFUNCTION("GOOGLETRANSLATE(B14176,""en"",""fr"")"),"Il commence à tondre la pelouse sur la tondeuse à gazon.")</f>
        <v>Il commence à tondre la pelouse sur la tondeuse à gazon.</v>
      </c>
    </row>
    <row r="14177">
      <c r="A14177" s="4" t="s">
        <v>17845</v>
      </c>
      <c r="B14177" s="4" t="s">
        <v>17848</v>
      </c>
      <c r="C14177" s="5" t="str">
        <f>IFERROR(__xludf.DUMMYFUNCTION("GOOGLETRANSLATE(B14177,""en"",""fr"")"),"Il lève la main et continue de tondre la pelouse.")</f>
        <v>Il lève la main et continue de tondre la pelouse.</v>
      </c>
    </row>
    <row r="14178">
      <c r="A14178" s="4" t="s">
        <v>17849</v>
      </c>
      <c r="B14178" s="4" t="s">
        <v>17850</v>
      </c>
      <c r="C14178" s="5" t="str">
        <f>IFERROR(__xludf.DUMMYFUNCTION("GOOGLETRANSLATE(B14178,""en"",""fr"")"),"Un mixologue parle de la façon de faire des boissons alcoolisées.")</f>
        <v>Un mixologue parle de la façon de faire des boissons alcoolisées.</v>
      </c>
    </row>
    <row r="14179">
      <c r="A14179" s="4" t="s">
        <v>17849</v>
      </c>
      <c r="B14179" s="4" t="s">
        <v>17851</v>
      </c>
      <c r="C14179" s="5" t="str">
        <f>IFERROR(__xludf.DUMMYFUNCTION("GOOGLETRANSLATE(B14179,""en"",""fr"")"),"Elle parle des boissons qu'elle fait beaucoup de favoris.")</f>
        <v>Elle parle des boissons qu'elle fait beaucoup de favoris.</v>
      </c>
    </row>
    <row r="14180">
      <c r="A14180" s="4" t="s">
        <v>17849</v>
      </c>
      <c r="B14180" s="4" t="s">
        <v>17852</v>
      </c>
      <c r="C14180" s="5" t="str">
        <f>IFERROR(__xludf.DUMMYFUNCTION("GOOGLETRANSLATE(B14180,""en"",""fr"")"),"Elle commence par un soda Voda et comment en faire un.")</f>
        <v>Elle commence par un soda Voda et comment en faire un.</v>
      </c>
    </row>
    <row r="14181">
      <c r="A14181" s="4" t="s">
        <v>17849</v>
      </c>
      <c r="B14181" s="4" t="s">
        <v>17853</v>
      </c>
      <c r="C14181" s="5" t="str">
        <f>IFERROR(__xludf.DUMMYFUNCTION("GOOGLETRANSLATE(B14181,""en"",""fr"")"),"La prochaine boisson qu'elle fait est Vodka Seven.")</f>
        <v>La prochaine boisson qu'elle fait est Vodka Seven.</v>
      </c>
    </row>
    <row r="14182">
      <c r="A14182" s="4" t="s">
        <v>17849</v>
      </c>
      <c r="B14182" s="4" t="s">
        <v>17854</v>
      </c>
      <c r="C14182" s="5" t="str">
        <f>IFERROR(__xludf.DUMMYFUNCTION("GOOGLETRANSLATE(B14182,""en"",""fr"")"),"Ensuite, elle fait un tournevis, un lévrier, puis mélangé avec du jus de canneberge.")</f>
        <v>Ensuite, elle fait un tournevis, un lévrier, puis mélangé avec du jus de canneberge.</v>
      </c>
    </row>
    <row r="14183">
      <c r="A14183" s="4" t="s">
        <v>17855</v>
      </c>
      <c r="B14183" s="6" t="s">
        <v>17856</v>
      </c>
      <c r="C14183" s="5" t="str">
        <f>IFERROR(__xludf.DUMMYFUNCTION("GOOGLETRANSLATE(B14183,""en"",""fr"")"),"Une caméra s'éloigne d'un ensemble d'équipements d'exercice et mène aux pieds d'une femme se déplaçant.")</f>
        <v>Une caméra s'éloigne d'un ensemble d'équipements d'exercice et mène aux pieds d'une femme se déplaçant.</v>
      </c>
    </row>
    <row r="14184">
      <c r="A14184" s="4" t="s">
        <v>17855</v>
      </c>
      <c r="B14184" s="6" t="s">
        <v>17857</v>
      </c>
      <c r="C14184" s="5" t="str">
        <f>IFERROR(__xludf.DUMMYFUNCTION("GOOGLETRANSLATE(B14184,""en"",""fr"")"),"La femme est ensuite vue en utilisant la machine ainsi que l'ajustement des paramètres et la poursuite de l'exécution.")</f>
        <v>La femme est ensuite vue en utilisant la machine ainsi que l'ajustement des paramètres et la poursuite de l'exécution.</v>
      </c>
    </row>
    <row r="14185">
      <c r="A14185" s="4" t="s">
        <v>17858</v>
      </c>
      <c r="B14185" s="4" t="s">
        <v>17859</v>
      </c>
      <c r="C14185" s="5" t="str">
        <f>IFERROR(__xludf.DUMMYFUNCTION("GOOGLETRANSLATE(B14185,""en"",""fr"")"),"Un homme habillé par temps froid est à l'extérieur dans la neige en train de tâtonner avec une chaîne dans ses mains.")</f>
        <v>Un homme habillé par temps froid est à l'extérieur dans la neige en train de tâtonner avec une chaîne dans ses mains.</v>
      </c>
    </row>
    <row r="14186">
      <c r="A14186" s="4" t="s">
        <v>17858</v>
      </c>
      <c r="B14186" s="4" t="s">
        <v>17860</v>
      </c>
      <c r="C14186" s="5" t="str">
        <f>IFERROR(__xludf.DUMMYFUNCTION("GOOGLETRANSLATE(B14186,""en"",""fr"")"),"La chaîne est ensuite placée autour d'un moignon d'arbre et l'homme ramasse une hache.")</f>
        <v>La chaîne est ensuite placée autour d'un moignon d'arbre et l'homme ramasse une hache.</v>
      </c>
    </row>
    <row r="14187">
      <c r="A14187" s="4" t="s">
        <v>17858</v>
      </c>
      <c r="B14187" s="6" t="s">
        <v>17861</v>
      </c>
      <c r="C14187" s="5" t="str">
        <f>IFERROR(__xludf.DUMMYFUNCTION("GOOGLETRANSLATE(B14187,""en"",""fr"")"),"L'homme frappe les souches en continu jusqu'à ce que le moignon soit divisé en morceaux, puis il le déchaîne à l'arrière de son camion.")</f>
        <v>L'homme frappe les souches en continu jusqu'à ce que le moignon soit divisé en morceaux, puis il le déchaîne à l'arrière de son camion.</v>
      </c>
    </row>
    <row r="14188">
      <c r="A14188" s="4" t="s">
        <v>17862</v>
      </c>
      <c r="B14188" s="4" t="s">
        <v>17863</v>
      </c>
      <c r="C14188" s="5" t="str">
        <f>IFERROR(__xludf.DUMMYFUNCTION("GOOGLETRANSLATE(B14188,""en"",""fr"")"),"Un homme est à l'intérieur d'une salle de sport tout en parlant à la caméra.")</f>
        <v>Un homme est à l'intérieur d'une salle de sport tout en parlant à la caméra.</v>
      </c>
    </row>
    <row r="14189">
      <c r="A14189" s="4" t="s">
        <v>17862</v>
      </c>
      <c r="B14189" s="4" t="s">
        <v>17864</v>
      </c>
      <c r="C14189" s="5" t="str">
        <f>IFERROR(__xludf.DUMMYFUNCTION("GOOGLETRANSLATE(B14189,""en"",""fr"")"),"D'autres hommes s'entraînent derrière lui.")</f>
        <v>D'autres hommes s'entraînent derrière lui.</v>
      </c>
    </row>
    <row r="14190">
      <c r="A14190" s="4" t="s">
        <v>17862</v>
      </c>
      <c r="B14190" s="4" t="s">
        <v>17865</v>
      </c>
      <c r="C14190" s="5" t="str">
        <f>IFERROR(__xludf.DUMMYFUNCTION("GOOGLETRANSLATE(B14190,""en"",""fr"")"),"Il démontre via le bénévolat comment utiliser une machine à aviron.")</f>
        <v>Il démontre via le bénévolat comment utiliser une machine à aviron.</v>
      </c>
    </row>
    <row r="14191">
      <c r="A14191" s="4" t="s">
        <v>17866</v>
      </c>
      <c r="B14191" s="4" t="s">
        <v>17867</v>
      </c>
      <c r="C14191" s="5" t="str">
        <f>IFERROR(__xludf.DUMMYFUNCTION("GOOGLETRANSLATE(B14191,""en"",""fr"")"),"Les hommes se tiennent sur un terrain à parler.")</f>
        <v>Les hommes se tiennent sur un terrain à parler.</v>
      </c>
    </row>
    <row r="14192">
      <c r="A14192" s="4" t="s">
        <v>17866</v>
      </c>
      <c r="B14192" s="4" t="s">
        <v>17868</v>
      </c>
      <c r="C14192" s="5" t="str">
        <f>IFERROR(__xludf.DUMMYFUNCTION("GOOGLETRANSLATE(B14192,""en"",""fr"")"),"Un homme donne un coup de pied à un autre homme.")</f>
        <v>Un homme donne un coup de pied à un autre homme.</v>
      </c>
    </row>
    <row r="14193">
      <c r="A14193" s="4" t="s">
        <v>17866</v>
      </c>
      <c r="B14193" s="4" t="s">
        <v>17869</v>
      </c>
      <c r="C14193" s="5" t="str">
        <f>IFERROR(__xludf.DUMMYFUNCTION("GOOGLETRANSLATE(B14193,""en"",""fr"")"),"Cet homme lui fait balancer une batte.")</f>
        <v>Cet homme lui fait balancer une batte.</v>
      </c>
    </row>
    <row r="14194">
      <c r="A14194" s="4" t="s">
        <v>17870</v>
      </c>
      <c r="B14194" s="4" t="s">
        <v>17871</v>
      </c>
      <c r="C14194" s="5" t="str">
        <f>IFERROR(__xludf.DUMMYFUNCTION("GOOGLETRANSLATE(B14194,""en"",""fr"")"),"Un homme monte sur une planche de surf dans l'océan.")</f>
        <v>Un homme monte sur une planche de surf dans l'océan.</v>
      </c>
    </row>
    <row r="14195">
      <c r="A14195" s="4" t="s">
        <v>17870</v>
      </c>
      <c r="B14195" s="4" t="s">
        <v>17872</v>
      </c>
      <c r="C14195" s="5" t="str">
        <f>IFERROR(__xludf.DUMMYFUNCTION("GOOGLETRANSLATE(B14195,""en"",""fr"")"),"Il se lève sur le tableau pendant une vague.")</f>
        <v>Il se lève sur le tableau pendant une vague.</v>
      </c>
    </row>
    <row r="14196">
      <c r="A14196" s="4" t="s">
        <v>17870</v>
      </c>
      <c r="B14196" s="4" t="s">
        <v>17873</v>
      </c>
      <c r="C14196" s="5" t="str">
        <f>IFERROR(__xludf.DUMMYFUNCTION("GOOGLETRANSLATE(B14196,""en"",""fr"")"),"Il surfait à travers la vague, tissant dans et hors.")</f>
        <v>Il surfait à travers la vague, tissant dans et hors.</v>
      </c>
    </row>
    <row r="14197">
      <c r="A14197" s="4" t="s">
        <v>17874</v>
      </c>
      <c r="B14197" s="4" t="s">
        <v>17875</v>
      </c>
      <c r="C14197" s="5" t="str">
        <f>IFERROR(__xludf.DUMMYFUNCTION("GOOGLETRANSLATE(B14197,""en"",""fr"")"),"Les gens sont assis dans des radeaux qui descendent une rivière.")</f>
        <v>Les gens sont assis dans des radeaux qui descendent une rivière.</v>
      </c>
    </row>
    <row r="14198">
      <c r="A14198" s="4" t="s">
        <v>17874</v>
      </c>
      <c r="B14198" s="4" t="s">
        <v>17876</v>
      </c>
      <c r="C14198" s="5" t="str">
        <f>IFERROR(__xludf.DUMMYFUNCTION("GOOGLETRANSLATE(B14198,""en"",""fr"")"),"Un homme se tient sur le côté d'une rivière prenant une photo.")</f>
        <v>Un homme se tient sur le côté d'une rivière prenant une photo.</v>
      </c>
    </row>
    <row r="14199">
      <c r="A14199" s="4" t="s">
        <v>17874</v>
      </c>
      <c r="B14199" s="4" t="s">
        <v>17877</v>
      </c>
      <c r="C14199" s="5" t="str">
        <f>IFERROR(__xludf.DUMMYFUNCTION("GOOGLETRANSLATE(B14199,""en"",""fr"")"),"Les gens sortent du radeau sur terre.")</f>
        <v>Les gens sortent du radeau sur terre.</v>
      </c>
    </row>
    <row r="14200">
      <c r="A14200" s="4" t="s">
        <v>17878</v>
      </c>
      <c r="B14200" s="4" t="s">
        <v>17879</v>
      </c>
      <c r="C14200" s="5" t="str">
        <f>IFERROR(__xludf.DUMMYFUNCTION("GOOGLETRANSLATE(B14200,""en"",""fr"")"),"Une personne soude un métal à l'extérieur.")</f>
        <v>Une personne soude un métal à l'extérieur.</v>
      </c>
    </row>
    <row r="14201">
      <c r="A14201" s="4" t="s">
        <v>17878</v>
      </c>
      <c r="B14201" s="4" t="s">
        <v>17880</v>
      </c>
      <c r="C14201" s="5" t="str">
        <f>IFERROR(__xludf.DUMMYFUNCTION("GOOGLETRANSLATE(B14201,""en"",""fr"")"),"La personne cesse de souder le métal sur le sol.")</f>
        <v>La personne cesse de souder le métal sur le sol.</v>
      </c>
    </row>
    <row r="14202">
      <c r="A14202" s="4" t="s">
        <v>17878</v>
      </c>
      <c r="B14202" s="4" t="s">
        <v>17881</v>
      </c>
      <c r="C14202" s="5" t="str">
        <f>IFERROR(__xludf.DUMMYFUNCTION("GOOGLETRANSLATE(B14202,""en"",""fr"")"),"La personne déplace l'outil de soudage derrière.")</f>
        <v>La personne déplace l'outil de soudage derrière.</v>
      </c>
    </row>
    <row r="14203">
      <c r="A14203" s="4" t="s">
        <v>17882</v>
      </c>
      <c r="B14203" s="4" t="s">
        <v>17883</v>
      </c>
      <c r="C14203" s="5" t="str">
        <f>IFERROR(__xludf.DUMMYFUNCTION("GOOGLETRANSLATE(B14203,""en"",""fr"")"),"Deux petits enfants sont assis dans une boîte en haut de la glissière dans une aire de jeux intérieure.")</f>
        <v>Deux petits enfants sont assis dans une boîte en haut de la glissière dans une aire de jeux intérieure.</v>
      </c>
    </row>
    <row r="14204">
      <c r="A14204" s="4" t="s">
        <v>17882</v>
      </c>
      <c r="B14204" s="4" t="s">
        <v>17884</v>
      </c>
      <c r="C14204" s="5" t="str">
        <f>IFERROR(__xludf.DUMMYFUNCTION("GOOGLETRANSLATE(B14204,""en"",""fr"")"),"Une petite fille se joint et joue sur la diapositive.")</f>
        <v>Une petite fille se joint et joue sur la diapositive.</v>
      </c>
    </row>
    <row r="14205">
      <c r="A14205" s="4" t="s">
        <v>17882</v>
      </c>
      <c r="B14205" s="4" t="s">
        <v>17885</v>
      </c>
      <c r="C14205" s="5" t="str">
        <f>IFERROR(__xludf.DUMMYFUNCTION("GOOGLETRANSLATE(B14205,""en"",""fr"")"),"Les filles quittent et les garçons se relaient à tour de rôle.")</f>
        <v>Les filles quittent et les garçons se relaient à tour de rôle.</v>
      </c>
    </row>
    <row r="14206">
      <c r="A14206" s="4" t="s">
        <v>17882</v>
      </c>
      <c r="B14206" s="4" t="s">
        <v>17886</v>
      </c>
      <c r="C14206" s="5" t="str">
        <f>IFERROR(__xludf.DUMMYFUNCTION("GOOGLETRANSLATE(B14206,""en"",""fr"")"),"Les garçons connectent une diapositive au premier et essaient la nouvelle diapositive.")</f>
        <v>Les garçons connectent une diapositive au premier et essaient la nouvelle diapositive.</v>
      </c>
    </row>
    <row r="14207">
      <c r="A14207" s="4" t="s">
        <v>17882</v>
      </c>
      <c r="B14207" s="4" t="s">
        <v>17887</v>
      </c>
      <c r="C14207" s="5" t="str">
        <f>IFERROR(__xludf.DUMMYFUNCTION("GOOGLETRANSLATE(B14207,""en"",""fr"")"),"Deux enfants courent encore et loin.")</f>
        <v>Deux enfants courent encore et loin.</v>
      </c>
    </row>
    <row r="14208">
      <c r="A14208" s="4" t="s">
        <v>17882</v>
      </c>
      <c r="B14208" s="4" t="s">
        <v>17888</v>
      </c>
      <c r="C14208" s="5" t="str">
        <f>IFERROR(__xludf.DUMMYFUNCTION("GOOGLETRANSLATE(B14208,""en"",""fr"")"),"Le dernier garçon s'enfuit et nous voyons l'échelle de diapositive.")</f>
        <v>Le dernier garçon s'enfuit et nous voyons l'échelle de diapositive.</v>
      </c>
    </row>
    <row r="14209">
      <c r="A14209" s="4" t="s">
        <v>17889</v>
      </c>
      <c r="B14209" s="4" t="s">
        <v>17890</v>
      </c>
      <c r="C14209" s="5" t="str">
        <f>IFERROR(__xludf.DUMMYFUNCTION("GOOGLETRANSLATE(B14209,""en"",""fr"")"),"Deux personnes sont en kayak sur une rivière Rough.")</f>
        <v>Deux personnes sont en kayak sur une rivière Rough.</v>
      </c>
    </row>
    <row r="14210">
      <c r="A14210" s="4" t="s">
        <v>17889</v>
      </c>
      <c r="B14210" s="4" t="s">
        <v>17891</v>
      </c>
      <c r="C14210" s="5" t="str">
        <f>IFERROR(__xludf.DUMMYFUNCTION("GOOGLETRANSLATE(B14210,""en"",""fr"")"),"Maintenant, une seule personne peut être vue par les rochers.")</f>
        <v>Maintenant, une seule personne peut être vue par les rochers.</v>
      </c>
    </row>
    <row r="14211">
      <c r="A14211" s="4" t="s">
        <v>17889</v>
      </c>
      <c r="B14211" s="4" t="s">
        <v>17892</v>
      </c>
      <c r="C14211" s="5" t="str">
        <f>IFERROR(__xludf.DUMMYFUNCTION("GOOGLETRANSLATE(B14211,""en"",""fr"")"),"Il y a un bord d'un porche avec une paire de chaussures et une paire de jambes sur le bord du porche.")</f>
        <v>Il y a un bord d'un porche avec une paire de chaussures et une paire de jambes sur le bord du porche.</v>
      </c>
    </row>
    <row r="14212">
      <c r="A14212" s="4" t="s">
        <v>17893</v>
      </c>
      <c r="B14212" s="4" t="s">
        <v>17894</v>
      </c>
      <c r="C14212" s="5" t="str">
        <f>IFERROR(__xludf.DUMMYFUNCTION("GOOGLETRANSLATE(B14212,""en"",""fr"")"),"Un jeune enfant est vu parler à la caméra et commence à grimper à travers un ensemble de barres de singe.")</f>
        <v>Un jeune enfant est vu parler à la caméra et commence à grimper à travers un ensemble de barres de singe.</v>
      </c>
    </row>
    <row r="14213">
      <c r="A14213" s="4" t="s">
        <v>17893</v>
      </c>
      <c r="B14213" s="4" t="s">
        <v>17895</v>
      </c>
      <c r="C14213" s="5" t="str">
        <f>IFERROR(__xludf.DUMMYFUNCTION("GOOGLETRANSLATE(B14213,""en"",""fr"")"),"Elle arrive de l'autre côté en souriant à la caméra, puis descend après.")</f>
        <v>Elle arrive de l'autre côté en souriant à la caméra, puis descend après.</v>
      </c>
    </row>
    <row r="14214">
      <c r="A14214" s="4" t="s">
        <v>17896</v>
      </c>
      <c r="B14214" s="4" t="s">
        <v>17897</v>
      </c>
      <c r="C14214" s="5" t="str">
        <f>IFERROR(__xludf.DUMMYFUNCTION("GOOGLETRANSLATE(B14214,""en"",""fr"")"),"Nous voyons un homme dans une pièce parler d'un vélo.")</f>
        <v>Nous voyons un homme dans une pièce parler d'un vélo.</v>
      </c>
    </row>
    <row r="14215">
      <c r="A14215" s="4" t="s">
        <v>17896</v>
      </c>
      <c r="B14215" s="4" t="s">
        <v>6208</v>
      </c>
      <c r="C14215" s="5" t="str">
        <f>IFERROR(__xludf.DUMMYFUNCTION("GOOGLETRANSLATE(B14215,""en"",""fr"")"),"Nous voyons un écran de titre.")</f>
        <v>Nous voyons un écran de titre.</v>
      </c>
    </row>
    <row r="14216">
      <c r="A14216" s="4" t="s">
        <v>17896</v>
      </c>
      <c r="B14216" s="4" t="s">
        <v>17898</v>
      </c>
      <c r="C14216" s="5" t="str">
        <f>IFERROR(__xludf.DUMMYFUNCTION("GOOGLETRANSLATE(B14216,""en"",""fr"")"),"Nous voyons ensuite l'homme ajuster la barre de poignée du vélo.")</f>
        <v>Nous voyons ensuite l'homme ajuster la barre de poignée du vélo.</v>
      </c>
    </row>
    <row r="14217">
      <c r="A14217" s="4" t="s">
        <v>17896</v>
      </c>
      <c r="B14217" s="4" t="s">
        <v>17899</v>
      </c>
      <c r="C14217" s="5" t="str">
        <f>IFERROR(__xludf.DUMMYFUNCTION("GOOGLETRANSLATE(B14217,""en"",""fr"")"),"L'homme montre comment les leviers sont assis et ajustent les leviers de frein.")</f>
        <v>L'homme montre comment les leviers sont assis et ajustent les leviers de frein.</v>
      </c>
    </row>
    <row r="14218">
      <c r="A14218" s="4" t="s">
        <v>17896</v>
      </c>
      <c r="B14218" s="4" t="s">
        <v>17900</v>
      </c>
      <c r="C14218" s="5" t="str">
        <f>IFERROR(__xludf.DUMMYFUNCTION("GOOGLETRANSLATE(B14218,""en"",""fr"")"),"L'homme démontre les positions assises et le freinage et les vist fort.")</f>
        <v>L'homme démontre les positions assises et le freinage et les vist fort.</v>
      </c>
    </row>
    <row r="14219">
      <c r="A14219" s="4" t="s">
        <v>17896</v>
      </c>
      <c r="B14219" s="4" t="s">
        <v>17901</v>
      </c>
      <c r="C14219" s="5" t="str">
        <f>IFERROR(__xludf.DUMMYFUNCTION("GOOGLETRANSLATE(B14219,""en"",""fr"")"),"L'homme alors, et ajuste le levier de levier de vitesses.")</f>
        <v>L'homme alors, et ajuste le levier de levier de vitesses.</v>
      </c>
    </row>
    <row r="14220">
      <c r="A14220" s="4" t="s">
        <v>17896</v>
      </c>
      <c r="B14220" s="4" t="s">
        <v>17902</v>
      </c>
      <c r="C14220" s="5" t="str">
        <f>IFERROR(__xludf.DUMMYFUNCTION("GOOGLETRANSLATE(B14220,""en"",""fr"")"),"Nous voyons un récapitulatif et la scène de clôture de la vidéo.")</f>
        <v>Nous voyons un récapitulatif et la scène de clôture de la vidéo.</v>
      </c>
    </row>
    <row r="14221">
      <c r="A14221" s="4" t="s">
        <v>17903</v>
      </c>
      <c r="B14221" s="4" t="s">
        <v>17904</v>
      </c>
      <c r="C14221" s="5" t="str">
        <f>IFERROR(__xludf.DUMMYFUNCTION("GOOGLETRANSLATE(B14221,""en"",""fr"")"),"Une introduction arrive sur l'écran pour une vidéo sur la façon de réparer un puits puant.")</f>
        <v>Une introduction arrive sur l'écran pour une vidéo sur la façon de réparer un puits puant.</v>
      </c>
    </row>
    <row r="14222">
      <c r="A14222" s="4" t="s">
        <v>17903</v>
      </c>
      <c r="B14222" s="6" t="s">
        <v>17905</v>
      </c>
      <c r="C14222" s="5" t="str">
        <f>IFERROR(__xludf.DUMMYFUNCTION("GOOGLETRANSLATE(B14222,""en"",""fr"")"),"Un homme vient sur l'écran et explique il y a plusieurs jours pour sortir l'odeur de votre évier.")</f>
        <v>Un homme vient sur l'écran et explique il y a plusieurs jours pour sortir l'odeur de votre évier.</v>
      </c>
    </row>
    <row r="14223">
      <c r="A14223" s="4" t="s">
        <v>17903</v>
      </c>
      <c r="B14223" s="6" t="s">
        <v>17906</v>
      </c>
      <c r="C14223" s="5" t="str">
        <f>IFERROR(__xludf.DUMMYFUNCTION("GOOGLETRANSLATE(B14223,""en"",""fr"")"),"Il explique d'abord comment vous pouvez utiliser différents produits chimiques et les mettre sur le drainage pour sortir l'odeur.")</f>
        <v>Il explique d'abord comment vous pouvez utiliser différents produits chimiques et les mettre sur le drainage pour sortir l'odeur.</v>
      </c>
    </row>
    <row r="14224">
      <c r="A14224" s="4" t="s">
        <v>17903</v>
      </c>
      <c r="B14224" s="6" t="s">
        <v>17907</v>
      </c>
      <c r="C14224" s="5" t="str">
        <f>IFERROR(__xludf.DUMMYFUNCTION("GOOGLETRANSLATE(B14224,""en"",""fr"")"),"Ensuite, il vous montre comment retirer le bas de l'évier pour le nettoyer, ce qui peut aider à l'odeur.")</f>
        <v>Ensuite, il vous montre comment retirer le bas de l'évier pour le nettoyer, ce qui peut aider à l'odeur.</v>
      </c>
    </row>
    <row r="14225">
      <c r="A14225" s="4" t="s">
        <v>17903</v>
      </c>
      <c r="B14225" s="4" t="s">
        <v>17908</v>
      </c>
      <c r="C14225" s="5" t="str">
        <f>IFERROR(__xludf.DUMMYFUNCTION("GOOGLETRANSLATE(B14225,""en"",""fr"")"),"La vidéo est avec les crédits de clôture affichés à l'écran.")</f>
        <v>La vidéo est avec les crédits de clôture affichés à l'écran.</v>
      </c>
    </row>
    <row r="14226">
      <c r="A14226" s="4" t="s">
        <v>17909</v>
      </c>
      <c r="B14226" s="6" t="s">
        <v>17910</v>
      </c>
      <c r="C14226" s="5" t="str">
        <f>IFERROR(__xludf.DUMMYFUNCTION("GOOGLETRANSLATE(B14226,""en"",""fr"")"),"Il y a une femme dans une chemise grise et des collants noirs et des cheveux très courts interprétant des tours avec un petit bâton dans son arrière-cour près du swing.")</f>
        <v>Il y a une femme dans une chemise grise et des collants noirs et des cheveux très courts interprétant des tours avec un petit bâton dans son arrière-cour près du swing.</v>
      </c>
    </row>
    <row r="14227">
      <c r="A14227" s="4" t="s">
        <v>17909</v>
      </c>
      <c r="B14227" s="6" t="s">
        <v>17911</v>
      </c>
      <c r="C14227" s="5" t="str">
        <f>IFERROR(__xludf.DUMMYFUNCTION("GOOGLETRANSLATE(B14227,""en"",""fr"")"),"Elle jongle avec deux bâtons dans sa main et essaie d'attraper un bâton tout en jetant l'autre en l'air.")</f>
        <v>Elle jongle avec deux bâtons dans sa main et essaie d'attraper un bâton tout en jetant l'autre en l'air.</v>
      </c>
    </row>
    <row r="14228">
      <c r="A14228" s="4" t="s">
        <v>17912</v>
      </c>
      <c r="B14228" s="4" t="s">
        <v>17913</v>
      </c>
      <c r="C14228" s="5" t="str">
        <f>IFERROR(__xludf.DUMMYFUNCTION("GOOGLETRANSLATE(B14228,""en"",""fr"")"),"Un homme court sur une piste à l'extérieur.")</f>
        <v>Un homme court sur une piste à l'extérieur.</v>
      </c>
    </row>
    <row r="14229">
      <c r="A14229" s="4" t="s">
        <v>17912</v>
      </c>
      <c r="B14229" s="4" t="s">
        <v>17914</v>
      </c>
      <c r="C14229" s="5" t="str">
        <f>IFERROR(__xludf.DUMMYFUNCTION("GOOGLETRANSLATE(B14229,""en"",""fr"")"),"Il tient un long javelot.")</f>
        <v>Il tient un long javelot.</v>
      </c>
    </row>
    <row r="14230">
      <c r="A14230" s="4" t="s">
        <v>17912</v>
      </c>
      <c r="B14230" s="4" t="s">
        <v>17915</v>
      </c>
      <c r="C14230" s="5" t="str">
        <f>IFERROR(__xludf.DUMMYFUNCTION("GOOGLETRANSLATE(B14230,""en"",""fr"")"),"Il fait sauter un bar au-dessus d'un bar.")</f>
        <v>Il fait sauter un bar au-dessus d'un bar.</v>
      </c>
    </row>
    <row r="14231">
      <c r="A14231" s="4" t="s">
        <v>17912</v>
      </c>
      <c r="B14231" s="4" t="s">
        <v>17916</v>
      </c>
      <c r="C14231" s="5" t="str">
        <f>IFERROR(__xludf.DUMMYFUNCTION("GOOGLETRANSLATE(B14231,""en"",""fr"")"),"Il refait à nouveau la même chose à l'intérieur.")</f>
        <v>Il refait à nouveau la même chose à l'intérieur.</v>
      </c>
    </row>
    <row r="14232">
      <c r="A14232" s="4" t="s">
        <v>17917</v>
      </c>
      <c r="B14232" s="6" t="s">
        <v>17918</v>
      </c>
      <c r="C14232" s="5" t="str">
        <f>IFERROR(__xludf.DUMMYFUNCTION("GOOGLETRANSLATE(B14232,""en"",""fr"")"),"On voit une personne battre des œufs et les mélanger dans un bol tout en séparant les coquilles des œufs.")</f>
        <v>On voit une personne battre des œufs et les mélanger dans un bol tout en séparant les coquilles des œufs.</v>
      </c>
    </row>
    <row r="14233">
      <c r="A14233" s="4" t="s">
        <v>17917</v>
      </c>
      <c r="B14233" s="6" t="s">
        <v>17919</v>
      </c>
      <c r="C14233" s="5" t="str">
        <f>IFERROR(__xludf.DUMMYFUNCTION("GOOGLETRANSLATE(B14233,""en"",""fr"")"),"Ils mélangent les œufs autour d'un bol et placent du beurre et du lait dans un autre bol et les mélangent tous.")</f>
        <v>Ils mélangent les œufs autour d'un bol et placent du beurre et du lait dans un autre bol et les mélangent tous.</v>
      </c>
    </row>
    <row r="14234">
      <c r="A14234" s="4" t="s">
        <v>17917</v>
      </c>
      <c r="B14234" s="6" t="s">
        <v>17920</v>
      </c>
      <c r="C14234" s="5" t="str">
        <f>IFERROR(__xludf.DUMMYFUNCTION("GOOGLETRANSLATE(B14234,""en"",""fr"")"),"Ils ajoutent plusieurs autres ingrédients au mélange et montrent le résultat final des biscuits assis sur une assiette.")</f>
        <v>Ils ajoutent plusieurs autres ingrédients au mélange et montrent le résultat final des biscuits assis sur une assiette.</v>
      </c>
    </row>
    <row r="14235">
      <c r="A14235" s="4" t="s">
        <v>17921</v>
      </c>
      <c r="B14235" s="4" t="s">
        <v>17922</v>
      </c>
      <c r="C14235" s="5" t="str">
        <f>IFERROR(__xludf.DUMMYFUNCTION("GOOGLETRANSLATE(B14235,""en"",""fr"")"),"Un homme est proche de la caméra introduisant la vidéo.")</f>
        <v>Un homme est proche de la caméra introduisant la vidéo.</v>
      </c>
    </row>
    <row r="14236">
      <c r="A14236" s="4" t="s">
        <v>17921</v>
      </c>
      <c r="B14236" s="4" t="s">
        <v>17923</v>
      </c>
      <c r="C14236" s="5" t="str">
        <f>IFERROR(__xludf.DUMMYFUNCTION("GOOGLETRANSLATE(B14236,""en"",""fr"")"),"Sa femme nettoie rapidement un morceau de lit blanc.")</f>
        <v>Sa femme nettoie rapidement un morceau de lit blanc.</v>
      </c>
    </row>
    <row r="14237">
      <c r="A14237" s="4" t="s">
        <v>17921</v>
      </c>
      <c r="B14237" s="4" t="s">
        <v>17924</v>
      </c>
      <c r="C14237" s="5" t="str">
        <f>IFERROR(__xludf.DUMMYFUNCTION("GOOGLETRANSLATE(B14237,""en"",""fr"")"),"L'homme montre à nouveau son visage et retourne à sa femme.")</f>
        <v>L'homme montre à nouveau son visage et retourne à sa femme.</v>
      </c>
    </row>
    <row r="14238">
      <c r="A14238" s="4" t="s">
        <v>17925</v>
      </c>
      <c r="B14238" s="6" t="s">
        <v>17926</v>
      </c>
      <c r="C14238" s="5" t="str">
        <f>IFERROR(__xludf.DUMMYFUNCTION("GOOGLETRANSLATE(B14238,""en"",""fr"")"),"Un écran d'intro noir apparaît et il comprend beaucoup de texte en blanc, bleu et vert qui incluent les chiffres et les lettres, puis un logo sur le côté droit qui est pour Quicksilver et les clips proviendront d'un concours de surf à Piha, Auckland New Z"&amp;"ealand .")</f>
        <v>Un écran d'intro noir apparaît et il comprend beaucoup de texte en blanc, bleu et vert qui incluent les chiffres et les lettres, puis un logo sur le côté droit qui est pour Quicksilver et les clips proviendront d'un concours de surf à Piha, Auckland New Zealand .</v>
      </c>
    </row>
    <row r="14239">
      <c r="A14239" s="4" t="s">
        <v>17925</v>
      </c>
      <c r="B14239" s="6" t="s">
        <v>17927</v>
      </c>
      <c r="C14239" s="5" t="str">
        <f>IFERROR(__xludf.DUMMYFUNCTION("GOOGLETRANSLATE(B14239,""en"",""fr"")"),"La plage est montrée et il y a plusieurs personnes et tentes et les gens regardent et encouragent différents surfeurs différents qui surfent de grandes et longues vagues.")</f>
        <v>La plage est montrée et il y a plusieurs personnes et tentes et les gens regardent et encouragent différents surfeurs différents qui surfent de grandes et longues vagues.</v>
      </c>
    </row>
    <row r="14240">
      <c r="A14240" s="4" t="s">
        <v>17925</v>
      </c>
      <c r="B14240" s="4" t="s">
        <v>17928</v>
      </c>
      <c r="C14240" s="5" t="str">
        <f>IFERROR(__xludf.DUMMYFUNCTION("GOOGLETRANSLATE(B14240,""en"",""fr"")"),"L'Undro apparaît et c'est le même écran noir avec le logo et le texte que pour l'intro.")</f>
        <v>L'Undro apparaît et c'est le même écran noir avec le logo et le texte que pour l'intro.</v>
      </c>
    </row>
    <row r="14241">
      <c r="A14241" s="4" t="s">
        <v>17929</v>
      </c>
      <c r="B14241" s="4" t="s">
        <v>17930</v>
      </c>
      <c r="C14241" s="5" t="str">
        <f>IFERROR(__xludf.DUMMYFUNCTION("GOOGLETRANSLATE(B14241,""en"",""fr"")"),"Une femme est vue portant des lames à rouleaux et regardant la caméra.")</f>
        <v>Une femme est vue portant des lames à rouleaux et regardant la caméra.</v>
      </c>
    </row>
    <row r="14242">
      <c r="A14242" s="4" t="s">
        <v>17929</v>
      </c>
      <c r="B14242" s="4" t="s">
        <v>17931</v>
      </c>
      <c r="C14242" s="5" t="str">
        <f>IFERROR(__xludf.DUMMYFUNCTION("GOOGLETRANSLATE(B14242,""en"",""fr"")"),"Elle tente de rouler pendant qu'une autre personne à côté d'elle essaie d'aider.")</f>
        <v>Elle tente de rouler pendant qu'une autre personne à côté d'elle essaie d'aider.</v>
      </c>
    </row>
    <row r="14243">
      <c r="A14243" s="4" t="s">
        <v>17929</v>
      </c>
      <c r="B14243" s="4" t="s">
        <v>17932</v>
      </c>
      <c r="C14243" s="5" t="str">
        <f>IFERROR(__xludf.DUMMYFUNCTION("GOOGLETRANSLATE(B14243,""en"",""fr"")"),"Une autre personne est vue en tenant des bâtons au loin et en marchant vers la caméra.")</f>
        <v>Une autre personne est vue en tenant des bâtons au loin et en marchant vers la caméra.</v>
      </c>
    </row>
    <row r="14244">
      <c r="A14244" s="4" t="s">
        <v>17933</v>
      </c>
      <c r="B14244" s="4" t="s">
        <v>17934</v>
      </c>
      <c r="C14244" s="5" t="str">
        <f>IFERROR(__xludf.DUMMYFUNCTION("GOOGLETRANSLATE(B14244,""en"",""fr"")"),"Un adolescent parle, puis il enlève une lentille de contact de l'œil droit.")</f>
        <v>Un adolescent parle, puis il enlève une lentille de contact de l'œil droit.</v>
      </c>
    </row>
    <row r="14245">
      <c r="A14245" s="4" t="s">
        <v>17933</v>
      </c>
      <c r="B14245" s="4" t="s">
        <v>17935</v>
      </c>
      <c r="C14245" s="5" t="str">
        <f>IFERROR(__xludf.DUMMYFUNCTION("GOOGLETRANSLATE(B14245,""en"",""fr"")"),"Ensuite, Teen met l'objectif de contact sur l'index, puis le remet à nouveau dans sa droite.")</f>
        <v>Ensuite, Teen met l'objectif de contact sur l'index, puis le remet à nouveau dans sa droite.</v>
      </c>
    </row>
    <row r="14246">
      <c r="A14246" s="4" t="s">
        <v>17933</v>
      </c>
      <c r="B14246" s="4" t="s">
        <v>17936</v>
      </c>
      <c r="C14246" s="5" t="str">
        <f>IFERROR(__xludf.DUMMYFUNCTION("GOOGLETRANSLATE(B14246,""en"",""fr"")"),"Après, l'adolescent continue de parler.")</f>
        <v>Après, l'adolescent continue de parler.</v>
      </c>
    </row>
    <row r="14247">
      <c r="A14247" s="4" t="s">
        <v>17937</v>
      </c>
      <c r="B14247" s="4" t="s">
        <v>17938</v>
      </c>
      <c r="C14247" s="5" t="str">
        <f>IFERROR(__xludf.DUMMYFUNCTION("GOOGLETRANSLATE(B14247,""en"",""fr"")"),"Une personne qui pose des poids est montrée suivie d'une femme soulevant des poids sur son dos.")</f>
        <v>Une personne qui pose des poids est montrée suivie d'une femme soulevant des poids sur son dos.</v>
      </c>
    </row>
    <row r="14248">
      <c r="A14248" s="4" t="s">
        <v>17937</v>
      </c>
      <c r="B14248" s="4" t="s">
        <v>17939</v>
      </c>
      <c r="C14248" s="5" t="str">
        <f>IFERROR(__xludf.DUMMYFUNCTION("GOOGLETRANSLATE(B14248,""en"",""fr"")"),"Elle pose les poids et une autre femme est montrée en soulevant un ensemble lourd de poids.")</f>
        <v>Elle pose les poids et une autre femme est montrée en soulevant un ensemble lourd de poids.</v>
      </c>
    </row>
    <row r="14249">
      <c r="A14249" s="4" t="s">
        <v>17937</v>
      </c>
      <c r="B14249" s="6" t="s">
        <v>17940</v>
      </c>
      <c r="C14249" s="5" t="str">
        <f>IFERROR(__xludf.DUMMYFUNCTION("GOOGLETRANSLATE(B14249,""en"",""fr"")"),"Plusieurs autres personnes sont montrées en effectuant leurs talents de levage et se terminent par un logo du gymnase montré.")</f>
        <v>Plusieurs autres personnes sont montrées en effectuant leurs talents de levage et se terminent par un logo du gymnase montré.</v>
      </c>
    </row>
    <row r="14250">
      <c r="A14250" s="4" t="s">
        <v>17941</v>
      </c>
      <c r="B14250" s="4" t="s">
        <v>17942</v>
      </c>
      <c r="C14250" s="5" t="str">
        <f>IFERROR(__xludf.DUMMYFUNCTION("GOOGLETRANSLATE(B14250,""en"",""fr"")"),"Une femme parle, puis elle met des tranches de pain sur un moule chaud sur le poêle.")</f>
        <v>Une femme parle, puis elle met des tranches de pain sur un moule chaud sur le poêle.</v>
      </c>
    </row>
    <row r="14251">
      <c r="A14251" s="4" t="s">
        <v>17941</v>
      </c>
      <c r="B14251" s="4" t="s">
        <v>17943</v>
      </c>
      <c r="C14251" s="5" t="str">
        <f>IFERROR(__xludf.DUMMYFUNCTION("GOOGLETRANSLATE(B14251,""en"",""fr"")"),"Ensuite, la femme met du fromage à la crème sur le pain et cuit de la viande.")</f>
        <v>Ensuite, la femme met du fromage à la crème sur le pain et cuit de la viande.</v>
      </c>
    </row>
    <row r="14252">
      <c r="A14252" s="4" t="s">
        <v>17941</v>
      </c>
      <c r="B14252" s="6" t="s">
        <v>17944</v>
      </c>
      <c r="C14252" s="5" t="str">
        <f>IFERROR(__xludf.DUMMYFUNCTION("GOOGLETRANSLATE(B14252,""en"",""fr"")"),"Lorsque la viande est terminée, la femme met de la choucroute et du fromage sur le dessus, puis la recouvre et fait des sandwichs.")</f>
        <v>Lorsque la viande est terminée, la femme met de la choucroute et du fromage sur le dessus, puis la recouvre et fait des sandwichs.</v>
      </c>
    </row>
    <row r="14253">
      <c r="A14253" s="4" t="s">
        <v>17945</v>
      </c>
      <c r="B14253" s="4" t="s">
        <v>17946</v>
      </c>
      <c r="C14253" s="5" t="str">
        <f>IFERROR(__xludf.DUMMYFUNCTION("GOOGLETRANSLATE(B14253,""en"",""fr"")"),"Un instructeur de volleyball donne des informations sur ses compétences en volleyball à Salt Lake City.")</f>
        <v>Un instructeur de volleyball donne des informations sur ses compétences en volleyball à Salt Lake City.</v>
      </c>
    </row>
    <row r="14254">
      <c r="A14254" s="4" t="s">
        <v>17945</v>
      </c>
      <c r="B14254" s="4" t="s">
        <v>17947</v>
      </c>
      <c r="C14254" s="5" t="str">
        <f>IFERROR(__xludf.DUMMYFUNCTION("GOOGLETRANSLATE(B14254,""en"",""fr"")"),"Il joue avec un autre instructeur sur le terrain.")</f>
        <v>Il joue avec un autre instructeur sur le terrain.</v>
      </c>
    </row>
    <row r="14255">
      <c r="A14255" s="4" t="s">
        <v>17945</v>
      </c>
      <c r="B14255" s="4" t="s">
        <v>17948</v>
      </c>
      <c r="C14255" s="5" t="str">
        <f>IFERROR(__xludf.DUMMYFUNCTION("GOOGLETRANSLATE(B14255,""en"",""fr"")"),"Il parle et parle pendant un certain temps à ce sujet.")</f>
        <v>Il parle et parle pendant un certain temps à ce sujet.</v>
      </c>
    </row>
    <row r="14256">
      <c r="A14256" s="4" t="s">
        <v>17945</v>
      </c>
      <c r="B14256" s="4" t="s">
        <v>17949</v>
      </c>
      <c r="C14256" s="5" t="str">
        <f>IFERROR(__xludf.DUMMYFUNCTION("GOOGLETRANSLATE(B14256,""en"",""fr"")"),"Vous voyez le filet de balle volley, puis l'entraîneur continue de parler.")</f>
        <v>Vous voyez le filet de balle volley, puis l'entraîneur continue de parler.</v>
      </c>
    </row>
    <row r="14257">
      <c r="A14257" s="4" t="s">
        <v>17950</v>
      </c>
      <c r="B14257" s="4" t="s">
        <v>17951</v>
      </c>
      <c r="C14257" s="5" t="str">
        <f>IFERROR(__xludf.DUMMYFUNCTION("GOOGLETRANSLATE(B14257,""en"",""fr"")"),"Une fanfare joue dans un stade tandis que les pom-pom girls se produisent sur le côté.")</f>
        <v>Une fanfare joue dans un stade tandis que les pom-pom girls se produisent sur le côté.</v>
      </c>
    </row>
    <row r="14258">
      <c r="A14258" s="4" t="s">
        <v>17950</v>
      </c>
      <c r="B14258" s="4" t="s">
        <v>17952</v>
      </c>
      <c r="C14258" s="5" t="str">
        <f>IFERROR(__xludf.DUMMYFUNCTION("GOOGLETRANSLATE(B14258,""en"",""fr"")"),"Une équipe de joueurs de football se rassemble derrière la fanfare.")</f>
        <v>Une équipe de joueurs de football se rassemble derrière la fanfare.</v>
      </c>
    </row>
    <row r="14259">
      <c r="A14259" s="4" t="s">
        <v>17950</v>
      </c>
      <c r="B14259" s="4" t="s">
        <v>17953</v>
      </c>
      <c r="C14259" s="5" t="str">
        <f>IFERROR(__xludf.DUMMYFUNCTION("GOOGLETRANSLATE(B14259,""en"",""fr"")"),"Une pom-pom girl passe derrière la fanfare.")</f>
        <v>Une pom-pom girl passe derrière la fanfare.</v>
      </c>
    </row>
    <row r="14260">
      <c r="A14260" s="4" t="s">
        <v>17950</v>
      </c>
      <c r="B14260" s="4" t="s">
        <v>17954</v>
      </c>
      <c r="C14260" s="5" t="str">
        <f>IFERROR(__xludf.DUMMYFUNCTION("GOOGLETRANSLATE(B14260,""en"",""fr"")"),"Les pom-pom girls des gradins se produisent avec des pompons.")</f>
        <v>Les pom-pom girls des gradins se produisent avec des pompons.</v>
      </c>
    </row>
    <row r="14261">
      <c r="A14261" s="4" t="s">
        <v>17950</v>
      </c>
      <c r="B14261" s="4" t="s">
        <v>17955</v>
      </c>
      <c r="C14261" s="5" t="str">
        <f>IFERROR(__xludf.DUMMYFUNCTION("GOOGLETRANSLATE(B14261,""en"",""fr"")"),"Ensuite, les pom-pom girls à côté du groupe se produisent en sautant et en se déplaçant.")</f>
        <v>Ensuite, les pom-pom girls à côté du groupe se produisent en sautant et en se déplaçant.</v>
      </c>
    </row>
    <row r="14262">
      <c r="A14262" s="4" t="s">
        <v>17956</v>
      </c>
      <c r="B14262" s="4" t="s">
        <v>1251</v>
      </c>
      <c r="C14262" s="5" t="str">
        <f>IFERROR(__xludf.DUMMYFUNCTION("GOOGLETRANSLATE(B14262,""en"",""fr"")"),"Les crédits du clip sont affichés.")</f>
        <v>Les crédits du clip sont affichés.</v>
      </c>
    </row>
    <row r="14263">
      <c r="A14263" s="4" t="s">
        <v>17956</v>
      </c>
      <c r="B14263" s="4" t="s">
        <v>17957</v>
      </c>
      <c r="C14263" s="5" t="str">
        <f>IFERROR(__xludf.DUMMYFUNCTION("GOOGLETRANSLATE(B14263,""en"",""fr"")"),"Les gens donnent un coup de pied à l'intérieur entre des cônes jaunes sur une fausse herbe.")</f>
        <v>Les gens donnent un coup de pied à l'intérieur entre des cônes jaunes sur une fausse herbe.</v>
      </c>
    </row>
    <row r="14264">
      <c r="A14264" s="4" t="s">
        <v>17956</v>
      </c>
      <c r="B14264" s="4" t="s">
        <v>17958</v>
      </c>
      <c r="C14264" s="5" t="str">
        <f>IFERROR(__xludf.DUMMYFUNCTION("GOOGLETRANSLATE(B14264,""en"",""fr"")"),"Un joueur donne un coup de pied sur la tête d'un gars.")</f>
        <v>Un joueur donne un coup de pied sur la tête d'un gars.</v>
      </c>
    </row>
    <row r="14265">
      <c r="A14265" s="4" t="s">
        <v>17956</v>
      </c>
      <c r="B14265" s="4" t="s">
        <v>17959</v>
      </c>
      <c r="C14265" s="5" t="str">
        <f>IFERROR(__xludf.DUMMYFUNCTION("GOOGLETRANSLATE(B14265,""en"",""fr"")"),"Les joueurs donnent un coup de pied à une balle qui renverse un cône jaune qu'ils ramassent.")</f>
        <v>Les joueurs donnent un coup de pied à une balle qui renverse un cône jaune qu'ils ramassent.</v>
      </c>
    </row>
    <row r="14266">
      <c r="A14266" s="4" t="s">
        <v>17960</v>
      </c>
      <c r="B14266" s="4" t="s">
        <v>17961</v>
      </c>
      <c r="C14266" s="5" t="str">
        <f>IFERROR(__xludf.DUMMYFUNCTION("GOOGLETRANSLATE(B14266,""en"",""fr"")"),"Une personne s'assoit en tenant un ordinateur portable tandis qu'une femme se recroqueville les cheveux.")</f>
        <v>Une personne s'assoit en tenant un ordinateur portable tandis qu'une femme se recroqueville les cheveux.</v>
      </c>
    </row>
    <row r="14267">
      <c r="A14267" s="4" t="s">
        <v>17960</v>
      </c>
      <c r="B14267" s="6" t="s">
        <v>17962</v>
      </c>
      <c r="C14267" s="5" t="str">
        <f>IFERROR(__xludf.DUMMYFUNCTION("GOOGLETRANSLATE(B14267,""en"",""fr"")"),"La femme prend une mèche de cheveux et met au-dessus de la tête, puis elle recroqueville les cheveux avec un fer à friser.")</f>
        <v>La femme prend une mèche de cheveux et met au-dessus de la tête, puis elle recroqueville les cheveux avec un fer à friser.</v>
      </c>
    </row>
    <row r="14268">
      <c r="A14268" s="4" t="s">
        <v>17963</v>
      </c>
      <c r="B14268" s="4" t="s">
        <v>17964</v>
      </c>
      <c r="C14268" s="5" t="str">
        <f>IFERROR(__xludf.DUMMYFUNCTION("GOOGLETRANSLATE(B14268,""en"",""fr"")"),"Un homme et une femme se sont installés pour danser devant un public.")</f>
        <v>Un homme et une femme se sont installés pour danser devant un public.</v>
      </c>
    </row>
    <row r="14269">
      <c r="A14269" s="4" t="s">
        <v>17963</v>
      </c>
      <c r="B14269" s="4" t="s">
        <v>17965</v>
      </c>
      <c r="C14269" s="5" t="str">
        <f>IFERROR(__xludf.DUMMYFUNCTION("GOOGLETRANSLATE(B14269,""en"",""fr"")"),"L'homme et la femme dansent devant le public.")</f>
        <v>L'homme et la femme dansent devant le public.</v>
      </c>
    </row>
    <row r="14270">
      <c r="A14270" s="4" t="s">
        <v>17963</v>
      </c>
      <c r="B14270" s="4" t="s">
        <v>17966</v>
      </c>
      <c r="C14270" s="5" t="str">
        <f>IFERROR(__xludf.DUMMYFUNCTION("GOOGLETRANSLATE(B14270,""en"",""fr"")"),"La caméra montre trois juges de l'événement debout et applaudissant ou pointant.")</f>
        <v>La caméra montre trois juges de l'événement debout et applaudissant ou pointant.</v>
      </c>
    </row>
    <row r="14271">
      <c r="A14271" s="4" t="s">
        <v>17967</v>
      </c>
      <c r="B14271" s="4" t="s">
        <v>17968</v>
      </c>
      <c r="C14271" s="5" t="str">
        <f>IFERROR(__xludf.DUMMYFUNCTION("GOOGLETRANSLATE(B14271,""en"",""fr"")"),"Deux femmes se luttent sur une table.")</f>
        <v>Deux femmes se luttent sur une table.</v>
      </c>
    </row>
    <row r="14272">
      <c r="A14272" s="4" t="s">
        <v>17967</v>
      </c>
      <c r="B14272" s="4" t="s">
        <v>17969</v>
      </c>
      <c r="C14272" s="5" t="str">
        <f>IFERROR(__xludf.DUMMYFUNCTION("GOOGLETRANSLATE(B14272,""en"",""fr"")"),"Une femme dans un uniforme arbitre se tient derrière eux.")</f>
        <v>Une femme dans un uniforme arbitre se tient derrière eux.</v>
      </c>
    </row>
    <row r="14273">
      <c r="A14273" s="4" t="s">
        <v>17967</v>
      </c>
      <c r="B14273" s="4" t="s">
        <v>17970</v>
      </c>
      <c r="C14273" s="5" t="str">
        <f>IFERROR(__xludf.DUMMYFUNCTION("GOOGLETRANSLATE(B14273,""en"",""fr"")"),"L'une des filles s'éloigne.")</f>
        <v>L'une des filles s'éloigne.</v>
      </c>
    </row>
    <row r="14274">
      <c r="A14274" s="4" t="s">
        <v>17971</v>
      </c>
      <c r="B14274" s="4" t="s">
        <v>17972</v>
      </c>
      <c r="C14274" s="5" t="str">
        <f>IFERROR(__xludf.DUMMYFUNCTION("GOOGLETRANSLATE(B14274,""en"",""fr"")"),"Un groupe de personnes âgées se rencontrent dans un parc.")</f>
        <v>Un groupe de personnes âgées se rencontrent dans un parc.</v>
      </c>
    </row>
    <row r="14275">
      <c r="A14275" s="4" t="s">
        <v>17971</v>
      </c>
      <c r="B14275" s="4" t="s">
        <v>17973</v>
      </c>
      <c r="C14275" s="5" t="str">
        <f>IFERROR(__xludf.DUMMYFUNCTION("GOOGLETRANSLATE(B14275,""en"",""fr"")"),"Ils parlent et font du yoga ensemble.")</f>
        <v>Ils parlent et font du yoga ensemble.</v>
      </c>
    </row>
    <row r="14276">
      <c r="A14276" s="4" t="s">
        <v>17971</v>
      </c>
      <c r="B14276" s="4" t="s">
        <v>17974</v>
      </c>
      <c r="C14276" s="5" t="str">
        <f>IFERROR(__xludf.DUMMYFUNCTION("GOOGLETRANSLATE(B14276,""en"",""fr"")"),"Ils effectuent plusieurs mouvements de yoga à l'aide d'un instructeur.")</f>
        <v>Ils effectuent plusieurs mouvements de yoga à l'aide d'un instructeur.</v>
      </c>
    </row>
    <row r="14277">
      <c r="A14277" s="4" t="s">
        <v>17971</v>
      </c>
      <c r="B14277" s="4" t="s">
        <v>17975</v>
      </c>
      <c r="C14277" s="5" t="str">
        <f>IFERROR(__xludf.DUMMYFUNCTION("GOOGLETRANSLATE(B14277,""en"",""fr"")"),"Ils disent ensuite au revoir et continuent leur chemin.")</f>
        <v>Ils disent ensuite au revoir et continuent leur chemin.</v>
      </c>
    </row>
    <row r="14278">
      <c r="A14278" s="4" t="s">
        <v>17976</v>
      </c>
      <c r="B14278" s="4" t="s">
        <v>17977</v>
      </c>
      <c r="C14278" s="5" t="str">
        <f>IFERROR(__xludf.DUMMYFUNCTION("GOOGLETRANSLATE(B14278,""en"",""fr"")"),"Une gymnaste tient une balle attachée avec une ficelle puis tourne en tenant le ballon.")</f>
        <v>Une gymnaste tient une balle attachée avec une ficelle puis tourne en tenant le ballon.</v>
      </c>
    </row>
    <row r="14279">
      <c r="A14279" s="4" t="s">
        <v>17976</v>
      </c>
      <c r="B14279" s="4" t="s">
        <v>17978</v>
      </c>
      <c r="C14279" s="5" t="str">
        <f>IFERROR(__xludf.DUMMYFUNCTION("GOOGLETRANSLATE(B14279,""en"",""fr"")"),"Ensuite, la gymnaste lance le ballon tout en tournant sur le terrain.")</f>
        <v>Ensuite, la gymnaste lance le ballon tout en tournant sur le terrain.</v>
      </c>
    </row>
    <row r="14280">
      <c r="A14280" s="4" t="s">
        <v>17979</v>
      </c>
      <c r="B14280" s="4" t="s">
        <v>17980</v>
      </c>
      <c r="C14280" s="5" t="str">
        <f>IFERROR(__xludf.DUMMYFUNCTION("GOOGLETRANSLATE(B14280,""en"",""fr"")"),"Un homme tondait la pelouse.")</f>
        <v>Un homme tondait la pelouse.</v>
      </c>
    </row>
    <row r="14281">
      <c r="A14281" s="4" t="s">
        <v>17979</v>
      </c>
      <c r="B14281" s="4" t="s">
        <v>17981</v>
      </c>
      <c r="C14281" s="5" t="str">
        <f>IFERROR(__xludf.DUMMYFUNCTION("GOOGLETRANSLATE(B14281,""en"",""fr"")"),"Il lève les yeux et parle à quelqu'un.")</f>
        <v>Il lève les yeux et parle à quelqu'un.</v>
      </c>
    </row>
    <row r="14282">
      <c r="A14282" s="4" t="s">
        <v>17979</v>
      </c>
      <c r="B14282" s="4" t="s">
        <v>17982</v>
      </c>
      <c r="C14282" s="5" t="str">
        <f>IFERROR(__xludf.DUMMYFUNCTION("GOOGLETRANSLATE(B14282,""en"",""fr"")"),"L'homme continue de tondre la pelouse.")</f>
        <v>L'homme continue de tondre la pelouse.</v>
      </c>
    </row>
    <row r="14283">
      <c r="A14283" s="4" t="s">
        <v>17983</v>
      </c>
      <c r="B14283" s="4" t="s">
        <v>17984</v>
      </c>
      <c r="C14283" s="5" t="str">
        <f>IFERROR(__xludf.DUMMYFUNCTION("GOOGLETRANSLATE(B14283,""en"",""fr"")"),"Un chef féminin en uniforme blanc montre une pile de casseroles dans une grande cuisine les présentant.")</f>
        <v>Un chef féminin en uniforme blanc montre une pile de casseroles dans une grande cuisine les présentant.</v>
      </c>
    </row>
    <row r="14284">
      <c r="A14284" s="4" t="s">
        <v>17983</v>
      </c>
      <c r="B14284" s="4" t="s">
        <v>17985</v>
      </c>
      <c r="C14284" s="5" t="str">
        <f>IFERROR(__xludf.DUMMYFUNCTION("GOOGLETRANSLATE(B14284,""en"",""fr"")"),"Les casseroles sont remplies de pâtisseries et chargées dans le four.")</f>
        <v>Les casseroles sont remplies de pâtisseries et chargées dans le four.</v>
      </c>
    </row>
    <row r="14285">
      <c r="A14285" s="4" t="s">
        <v>17983</v>
      </c>
      <c r="B14285" s="4" t="s">
        <v>17986</v>
      </c>
      <c r="C14285" s="5" t="str">
        <f>IFERROR(__xludf.DUMMYFUNCTION("GOOGLETRANSLATE(B14285,""en"",""fr"")"),"Un couteau est utilisé pour couper la pâte en forme de cylindre en rondes.")</f>
        <v>Un couteau est utilisé pour couper la pâte en forme de cylindre en rondes.</v>
      </c>
    </row>
    <row r="14286">
      <c r="A14286" s="4" t="s">
        <v>17983</v>
      </c>
      <c r="B14286" s="4" t="s">
        <v>17987</v>
      </c>
      <c r="C14286" s="5" t="str">
        <f>IFERROR(__xludf.DUMMYFUNCTION("GOOGLETRANSLATE(B14286,""en"",""fr"")"),"Un plateau de pommes de terre est chargé dans le four et retiré.")</f>
        <v>Un plateau de pommes de terre est chargé dans le four et retiré.</v>
      </c>
    </row>
    <row r="14287">
      <c r="A14287" s="4" t="s">
        <v>17983</v>
      </c>
      <c r="B14287" s="4" t="s">
        <v>17988</v>
      </c>
      <c r="C14287" s="5" t="str">
        <f>IFERROR(__xludf.DUMMYFUNCTION("GOOGLETRANSLATE(B14287,""en"",""fr"")"),"Un grand plateau de gâteau est retourné et placé sur le comptoir.")</f>
        <v>Un grand plateau de gâteau est retourné et placé sur le comptoir.</v>
      </c>
    </row>
    <row r="14288">
      <c r="A14288" s="4" t="s">
        <v>17983</v>
      </c>
      <c r="B14288" s="4" t="s">
        <v>17989</v>
      </c>
      <c r="C14288" s="5" t="str">
        <f>IFERROR(__xludf.DUMMYFUNCTION("GOOGLETRANSLATE(B14288,""en"",""fr"")"),"Un grand plateau de viande est préparé puis il est retiré du four par une aide lorsqu'il est terminé.")</f>
        <v>Un grand plateau de viande est préparé puis il est retiré du four par une aide lorsqu'il est terminé.</v>
      </c>
    </row>
    <row r="14289">
      <c r="A14289" s="4" t="s">
        <v>17983</v>
      </c>
      <c r="B14289" s="4" t="s">
        <v>17990</v>
      </c>
      <c r="C14289" s="5" t="str">
        <f>IFERROR(__xludf.DUMMYFUNCTION("GOOGLETRANSLATE(B14289,""en"",""fr"")"),"La femme chef se tient derrière la pile de boîtes et en prend une.")</f>
        <v>La femme chef se tient derrière la pile de boîtes et en prend une.</v>
      </c>
    </row>
    <row r="14290">
      <c r="A14290" s="4" t="s">
        <v>17991</v>
      </c>
      <c r="B14290" s="4" t="s">
        <v>17992</v>
      </c>
      <c r="C14290" s="5" t="str">
        <f>IFERROR(__xludf.DUMMYFUNCTION("GOOGLETRANSLATE(B14290,""en"",""fr"")"),"L'homme en chemise jaune fait rebondir la balle sur la pagaie.")</f>
        <v>L'homme en chemise jaune fait rebondir la balle sur la pagaie.</v>
      </c>
    </row>
    <row r="14291">
      <c r="A14291" s="4" t="s">
        <v>17991</v>
      </c>
      <c r="B14291" s="4" t="s">
        <v>17993</v>
      </c>
      <c r="C14291" s="5" t="str">
        <f>IFERROR(__xludf.DUMMYFUNCTION("GOOGLETRANSLATE(B14291,""en"",""fr"")"),"Le joueur a presque frappé le ballon avec la pagaie.")</f>
        <v>Le joueur a presque frappé le ballon avec la pagaie.</v>
      </c>
    </row>
    <row r="14292">
      <c r="A14292" s="4" t="s">
        <v>17991</v>
      </c>
      <c r="B14292" s="4" t="s">
        <v>17994</v>
      </c>
      <c r="C14292" s="5" t="str">
        <f>IFERROR(__xludf.DUMMYFUNCTION("GOOGLETRANSLATE(B14292,""en"",""fr"")"),"Deux joueurs se poussent.")</f>
        <v>Deux joueurs se poussent.</v>
      </c>
    </row>
    <row r="14293">
      <c r="A14293" s="4" t="s">
        <v>17995</v>
      </c>
      <c r="B14293" s="6" t="s">
        <v>17996</v>
      </c>
      <c r="C14293" s="5" t="str">
        <f>IFERROR(__xludf.DUMMYFUNCTION("GOOGLETRANSLATE(B14293,""en"",""fr"")"),"Une femme est vue parler au milieu d'un grand gymnase et mène à plusieurs gymnastes différents en jouant l'un après les autres sur des bars inégaux.")</f>
        <v>Une femme est vue parler au milieu d'un grand gymnase et mène à plusieurs gymnastes différents en jouant l'un après les autres sur des bars inégaux.</v>
      </c>
    </row>
    <row r="14294">
      <c r="A14294" s="4" t="s">
        <v>17995</v>
      </c>
      <c r="B14294" s="6" t="s">
        <v>17997</v>
      </c>
      <c r="C14294" s="5" t="str">
        <f>IFERROR(__xludf.DUMMYFUNCTION("GOOGLETRANSLATE(B14294,""en"",""fr"")"),"Les gymnastes continuent de se déplacer tout autour des barres et se termine avec une fille qui va encore et encore et tout le monde agitant à la fin.")</f>
        <v>Les gymnastes continuent de se déplacer tout autour des barres et se termine avec une fille qui va encore et encore et tout le monde agitant à la fin.</v>
      </c>
    </row>
    <row r="14295">
      <c r="A14295" s="4" t="s">
        <v>17998</v>
      </c>
      <c r="B14295" s="4" t="s">
        <v>17999</v>
      </c>
      <c r="C14295" s="5" t="str">
        <f>IFERROR(__xludf.DUMMYFUNCTION("GOOGLETRANSLATE(B14295,""en"",""fr"")"),"La femme est dans une planche à voile du lac avec une planche à voile rouge.")</f>
        <v>La femme est dans une planche à voile du lac avec une planche à voile rouge.</v>
      </c>
    </row>
    <row r="14296">
      <c r="A14296" s="4" t="s">
        <v>17998</v>
      </c>
      <c r="B14296" s="4" t="s">
        <v>18000</v>
      </c>
      <c r="C14296" s="5" t="str">
        <f>IFERROR(__xludf.DUMMYFUNCTION("GOOGLETRANSLATE(B14296,""en"",""fr"")"),"D'autres personnes sont dans la planche à voile dans le lac.")</f>
        <v>D'autres personnes sont dans la planche à voile dans le lac.</v>
      </c>
    </row>
    <row r="14297">
      <c r="A14297" s="4" t="s">
        <v>17998</v>
      </c>
      <c r="B14297" s="4" t="s">
        <v>18001</v>
      </c>
      <c r="C14297" s="5" t="str">
        <f>IFERROR(__xludf.DUMMYFUNCTION("GOOGLETRANSLATE(B14297,""en"",""fr"")"),"Le voilier est debout à l'arrière des gens de la planche à voile.")</f>
        <v>Le voilier est debout à l'arrière des gens de la planche à voile.</v>
      </c>
    </row>
    <row r="14298">
      <c r="A14298" s="4" t="s">
        <v>18002</v>
      </c>
      <c r="B14298" s="6" t="s">
        <v>18003</v>
      </c>
      <c r="C14298" s="5" t="str">
        <f>IFERROR(__xludf.DUMMYFUNCTION("GOOGLETRANSLATE(B14298,""en"",""fr"")"),"On voit deux femmes parler à la caméra et conduire à frotter les meubles et à montrer le vernis.")</f>
        <v>On voit deux femmes parler à la caméra et conduire à frotter les meubles et à montrer le vernis.</v>
      </c>
    </row>
    <row r="14299">
      <c r="A14299" s="4" t="s">
        <v>18002</v>
      </c>
      <c r="B14299" s="6" t="s">
        <v>18004</v>
      </c>
      <c r="C14299" s="5" t="str">
        <f>IFERROR(__xludf.DUMMYFUNCTION("GOOGLETRANSLATE(B14299,""en"",""fr"")"),"Les femmes continuent de parler alors qu'elles montrent comment le vernis fonctionne ainsi que le paysage de la région et une autre femme qui parle à la caméra.")</f>
        <v>Les femmes continuent de parler alors qu'elles montrent comment le vernis fonctionne ainsi que le paysage de la région et une autre femme qui parle à la caméra.</v>
      </c>
    </row>
    <row r="14300">
      <c r="A14300" s="4" t="s">
        <v>18005</v>
      </c>
      <c r="B14300" s="4" t="s">
        <v>18006</v>
      </c>
      <c r="C14300" s="5" t="str">
        <f>IFERROR(__xludf.DUMMYFUNCTION("GOOGLETRANSLATE(B14300,""en"",""fr"")"),"Une personne danse et retourne la capoeira pendant qu'un groupe joue de la musique.")</f>
        <v>Une personne danse et retourne la capoeira pendant qu'un groupe joue de la musique.</v>
      </c>
    </row>
    <row r="14301">
      <c r="A14301" s="4" t="s">
        <v>18005</v>
      </c>
      <c r="B14301" s="4" t="s">
        <v>18007</v>
      </c>
      <c r="C14301" s="5" t="str">
        <f>IFERROR(__xludf.DUMMYFUNCTION("GOOGLETRANSLATE(B14301,""en"",""fr"")"),"Ensuite, une femme parle avec l'homme, après que l'homme danse en groupe avec d'autres personnes.")</f>
        <v>Ensuite, une femme parle avec l'homme, après que l'homme danse en groupe avec d'autres personnes.</v>
      </c>
    </row>
    <row r="14302">
      <c r="A14302" s="4" t="s">
        <v>18005</v>
      </c>
      <c r="B14302" s="4" t="s">
        <v>18008</v>
      </c>
      <c r="C14302" s="5" t="str">
        <f>IFERROR(__xludf.DUMMYFUNCTION("GOOGLETRANSLATE(B14302,""en"",""fr"")"),"Après, l'homme danse en groupe et avec un partenaire, alors tous disent au revoir.")</f>
        <v>Après, l'homme danse en groupe et avec un partenaire, alors tous disent au revoir.</v>
      </c>
    </row>
    <row r="14303">
      <c r="A14303" s="4" t="s">
        <v>18009</v>
      </c>
      <c r="B14303" s="4" t="s">
        <v>18010</v>
      </c>
      <c r="C14303" s="5" t="str">
        <f>IFERROR(__xludf.DUMMYFUNCTION("GOOGLETRANSLATE(B14303,""en"",""fr"")"),"Un groupe est sur scène et une fille avec une trompette et un garçon battant les tambours jouent.")</f>
        <v>Un groupe est sur scène et une fille avec une trompette et un garçon battant les tambours jouent.</v>
      </c>
    </row>
    <row r="14304">
      <c r="A14304" s="4" t="s">
        <v>18009</v>
      </c>
      <c r="B14304" s="4" t="s">
        <v>18011</v>
      </c>
      <c r="C14304" s="5" t="str">
        <f>IFERROR(__xludf.DUMMYFUNCTION("GOOGLETRANSLATE(B14304,""en"",""fr"")"),"Ils ont un petit duo tandis que les saxophones dans la banque sont interrompus.")</f>
        <v>Ils ont un petit duo tandis que les saxophones dans la banque sont interrompus.</v>
      </c>
    </row>
    <row r="14305">
      <c r="A14305" s="4" t="s">
        <v>18009</v>
      </c>
      <c r="B14305" s="4" t="s">
        <v>18012</v>
      </c>
      <c r="C14305" s="5" t="str">
        <f>IFERROR(__xludf.DUMMYFUNCTION("GOOGLETRANSLATE(B14305,""en"",""fr"")"),"Le trompettiste s'approche et ramasse une cloche.")</f>
        <v>Le trompettiste s'approche et ramasse une cloche.</v>
      </c>
    </row>
    <row r="14306">
      <c r="A14306" s="4" t="s">
        <v>18009</v>
      </c>
      <c r="B14306" s="4" t="s">
        <v>18013</v>
      </c>
      <c r="C14306" s="5" t="str">
        <f>IFERROR(__xludf.DUMMYFUNCTION("GOOGLETRANSLATE(B14306,""en"",""fr"")"),"Ensuite, c'est juste le batteur qui frappe les tambours.")</f>
        <v>Ensuite, c'est juste le batteur qui frappe les tambours.</v>
      </c>
    </row>
    <row r="14307">
      <c r="A14307" s="4" t="s">
        <v>18014</v>
      </c>
      <c r="B14307" s="4" t="s">
        <v>18015</v>
      </c>
      <c r="C14307" s="5" t="str">
        <f>IFERROR(__xludf.DUMMYFUNCTION("GOOGLETRANSLATE(B14307,""en"",""fr"")"),"Un homme dans une chemise verte agite une serviette rouge.")</f>
        <v>Un homme dans une chemise verte agite une serviette rouge.</v>
      </c>
    </row>
    <row r="14308">
      <c r="A14308" s="4" t="s">
        <v>18014</v>
      </c>
      <c r="B14308" s="4" t="s">
        <v>18016</v>
      </c>
      <c r="C14308" s="5" t="str">
        <f>IFERROR(__xludf.DUMMYFUNCTION("GOOGLETRANSLATE(B14308,""en"",""fr"")"),"Un taureau brun frappe une personne au sol.")</f>
        <v>Un taureau brun frappe une personne au sol.</v>
      </c>
    </row>
    <row r="14309">
      <c r="A14309" s="4" t="s">
        <v>18014</v>
      </c>
      <c r="B14309" s="4" t="s">
        <v>18017</v>
      </c>
      <c r="C14309" s="5" t="str">
        <f>IFERROR(__xludf.DUMMYFUNCTION("GOOGLETRANSLATE(B14309,""en"",""fr"")"),"Les gens se tiennent sur les côtés en regardant.")</f>
        <v>Les gens se tiennent sur les côtés en regardant.</v>
      </c>
    </row>
    <row r="14310">
      <c r="A14310" s="4" t="s">
        <v>18018</v>
      </c>
      <c r="B14310" s="4" t="s">
        <v>18019</v>
      </c>
      <c r="C14310" s="5" t="str">
        <f>IFERROR(__xludf.DUMMYFUNCTION("GOOGLETRANSLATE(B14310,""en"",""fr"")"),"Un petit enfant est vu se promener dans un terrain de jeu pendant que la caméra suit de près.")</f>
        <v>Un petit enfant est vu se promener dans un terrain de jeu pendant que la caméra suit de près.</v>
      </c>
    </row>
    <row r="14311">
      <c r="A14311" s="4" t="s">
        <v>18018</v>
      </c>
      <c r="B14311" s="6" t="s">
        <v>18020</v>
      </c>
      <c r="C14311" s="5" t="str">
        <f>IFERROR(__xludf.DUMMYFUNCTION("GOOGLETRANSLATE(B14311,""en"",""fr"")"),"Le garçon joue avec plusieurs autres enfants sur le terrain de jeu et est vu grimper sur les côtés et descendre le toboggan.")</f>
        <v>Le garçon joue avec plusieurs autres enfants sur le terrain de jeu et est vu grimper sur les côtés et descendre le toboggan.</v>
      </c>
    </row>
    <row r="14312">
      <c r="A14312" s="4" t="s">
        <v>18018</v>
      </c>
      <c r="B14312" s="4" t="s">
        <v>18021</v>
      </c>
      <c r="C14312" s="5" t="str">
        <f>IFERROR(__xludf.DUMMYFUNCTION("GOOGLETRANSLATE(B14312,""en"",""fr"")"),"Plus de clips sont montrés des enfants qui jouent les uns avec les autres et rient de la caméra.")</f>
        <v>Plus de clips sont montrés des enfants qui jouent les uns avec les autres et rient de la caméra.</v>
      </c>
    </row>
    <row r="14313">
      <c r="A14313" s="4" t="s">
        <v>18022</v>
      </c>
      <c r="B14313" s="6" t="s">
        <v>18023</v>
      </c>
      <c r="C14313" s="5" t="str">
        <f>IFERROR(__xludf.DUMMYFUNCTION("GOOGLETRANSLATE(B14313,""en"",""fr"")"),"Un homme est vu s'éloigner de la caméra et commence une routine d'exercice tout en parlant à la caméra.")</f>
        <v>Un homme est vu s'éloigner de la caméra et commence une routine d'exercice tout en parlant à la caméra.</v>
      </c>
    </row>
    <row r="14314">
      <c r="A14314" s="4" t="s">
        <v>18022</v>
      </c>
      <c r="B14314" s="6" t="s">
        <v>18024</v>
      </c>
      <c r="C14314" s="5" t="str">
        <f>IFERROR(__xludf.DUMMYFUNCTION("GOOGLETRANSLATE(B14314,""en"",""fr"")"),"L'homme monte et descend dans un bar en balançant ses bras et se dirige vers la caméra à la fin.")</f>
        <v>L'homme monte et descend dans un bar en balançant ses bras et se dirige vers la caméra à la fin.</v>
      </c>
    </row>
    <row r="14315">
      <c r="A14315" s="4" t="s">
        <v>18025</v>
      </c>
      <c r="B14315" s="4" t="s">
        <v>18026</v>
      </c>
      <c r="C14315" s="5" t="str">
        <f>IFERROR(__xludf.DUMMYFUNCTION("GOOGLETRANSLATE(B14315,""en"",""fr"")"),"Une gymnaste portant un uniforme rouge et noir saute sur le bar à cheval.")</f>
        <v>Une gymnaste portant un uniforme rouge et noir saute sur le bar à cheval.</v>
      </c>
    </row>
    <row r="14316">
      <c r="A14316" s="4" t="s">
        <v>18025</v>
      </c>
      <c r="B14316" s="4" t="s">
        <v>18027</v>
      </c>
      <c r="C14316" s="5" t="str">
        <f>IFERROR(__xludf.DUMMYFUNCTION("GOOGLETRANSLATE(B14316,""en"",""fr"")"),"Elle revient en courant et saute sur le Horse Bar et fait un retournement avant.")</f>
        <v>Elle revient en courant et saute sur le Horse Bar et fait un retournement avant.</v>
      </c>
    </row>
    <row r="14317">
      <c r="A14317" s="4" t="s">
        <v>18025</v>
      </c>
      <c r="B14317" s="6" t="s">
        <v>18028</v>
      </c>
      <c r="C14317" s="5" t="str">
        <f>IFERROR(__xludf.DUMMYFUNCTION("GOOGLETRANSLATE(B14317,""en"",""fr"")"),"La troisième fois, elle saute à nouveau sur la barre de cheval et lève son pied gauche, fait un retournement avant et descend du bar.")</f>
        <v>La troisième fois, elle saute à nouveau sur la barre de cheval et lève son pied gauche, fait un retournement avant et descend du bar.</v>
      </c>
    </row>
    <row r="14318">
      <c r="A14318" s="4" t="s">
        <v>18025</v>
      </c>
      <c r="B14318" s="4" t="s">
        <v>18029</v>
      </c>
      <c r="C14318" s="5" t="str">
        <f>IFERROR(__xludf.DUMMYFUNCTION("GOOGLETRANSLATE(B14318,""en"",""fr"")"),"Elle répète à nouveau les mêmes étapes et saute de la barre de cheval.")</f>
        <v>Elle répète à nouveau les mêmes étapes et saute de la barre de cheval.</v>
      </c>
    </row>
    <row r="14319">
      <c r="A14319" s="4" t="s">
        <v>18030</v>
      </c>
      <c r="B14319" s="4" t="s">
        <v>18031</v>
      </c>
      <c r="C14319" s="5" t="str">
        <f>IFERROR(__xludf.DUMMYFUNCTION("GOOGLETRANSLATE(B14319,""en"",""fr"")"),"Deux personnes sont vues effectuer des mouvements de tango lentement tandis que le texte apparaît à l'écran.")</f>
        <v>Deux personnes sont vues effectuer des mouvements de tango lentement tandis que le texte apparaît à l'écran.</v>
      </c>
    </row>
    <row r="14320">
      <c r="A14320" s="4" t="s">
        <v>18030</v>
      </c>
      <c r="B14320" s="6" t="s">
        <v>18032</v>
      </c>
      <c r="C14320" s="5" t="str">
        <f>IFERROR(__xludf.DUMMYFUNCTION("GOOGLETRANSLATE(B14320,""en"",""fr"")"),"La femme fait alors les mêmes mouvements par elle-même tandis que la silhouette de l'homme et de la femme est montrée à côté d'eux.")</f>
        <v>La femme fait alors les mêmes mouvements par elle-même tandis que la silhouette de l'homme et de la femme est montrée à côté d'eux.</v>
      </c>
    </row>
    <row r="14321">
      <c r="A14321" s="4" t="s">
        <v>18030</v>
      </c>
      <c r="B14321" s="4" t="s">
        <v>18033</v>
      </c>
      <c r="C14321" s="5" t="str">
        <f>IFERROR(__xludf.DUMMYFUNCTION("GOOGLETRANSLATE(B14321,""en"",""fr"")"),"Ensuite, l'homme effectue ses mouvements seuls et mène dans le couple à jouer à nouveau.")</f>
        <v>Ensuite, l'homme effectue ses mouvements seuls et mène dans le couple à jouer à nouveau.</v>
      </c>
    </row>
    <row r="14322">
      <c r="A14322" s="4" t="s">
        <v>18034</v>
      </c>
      <c r="B14322" s="4" t="s">
        <v>18035</v>
      </c>
      <c r="C14322" s="5" t="str">
        <f>IFERROR(__xludf.DUMMYFUNCTION("GOOGLETRANSLATE(B14322,""en"",""fr"")"),"Une équipe est sur la glace, jouant à un jeu de hockey.")</f>
        <v>Une équipe est sur la glace, jouant à un jeu de hockey.</v>
      </c>
    </row>
    <row r="14323">
      <c r="A14323" s="4" t="s">
        <v>18034</v>
      </c>
      <c r="B14323" s="4" t="s">
        <v>18036</v>
      </c>
      <c r="C14323" s="5" t="str">
        <f>IFERROR(__xludf.DUMMYFUNCTION("GOOGLETRANSLATE(B14323,""en"",""fr"")"),"Ils glissent, frappant la rondelle et essayant de l'éloigner de leurs adversaires.")</f>
        <v>Ils glissent, frappant la rondelle et essayant de l'éloigner de leurs adversaires.</v>
      </c>
    </row>
    <row r="14324">
      <c r="A14324" s="4" t="s">
        <v>18034</v>
      </c>
      <c r="B14324" s="4" t="s">
        <v>18037</v>
      </c>
      <c r="C14324" s="5" t="str">
        <f>IFERROR(__xludf.DUMMYFUNCTION("GOOGLETRANSLATE(B14324,""en"",""fr"")"),"Le gardien de but s'atteint pour empêcher la rondelle d'entrer dans le but.")</f>
        <v>Le gardien de but s'atteint pour empêcher la rondelle d'entrer dans le but.</v>
      </c>
    </row>
    <row r="14325">
      <c r="A14325" s="4" t="s">
        <v>18038</v>
      </c>
      <c r="B14325" s="6" t="s">
        <v>18039</v>
      </c>
      <c r="C14325" s="5" t="str">
        <f>IFERROR(__xludf.DUMMYFUNCTION("GOOGLETRANSLATE(B14325,""en"",""fr"")"),"Une introduction mène à diverses images d'outils de chevaux et à une femme parlant à la caméra tenant un pinceau.")</f>
        <v>Une introduction mène à diverses images d'outils de chevaux et à une femme parlant à la caméra tenant un pinceau.</v>
      </c>
    </row>
    <row r="14326">
      <c r="A14326" s="4" t="s">
        <v>18038</v>
      </c>
      <c r="B14326" s="4" t="s">
        <v>18040</v>
      </c>
      <c r="C14326" s="5" t="str">
        <f>IFERROR(__xludf.DUMMYFUNCTION("GOOGLETRANSLATE(B14326,""en"",""fr"")"),"Elle frôle ensuite soigneusement la crinière du cheval tout en regardant la caméra et en parlant.")</f>
        <v>Elle frôle ensuite soigneusement la crinière du cheval tout en regardant la caméra et en parlant.</v>
      </c>
    </row>
    <row r="14327">
      <c r="A14327" s="4" t="s">
        <v>18041</v>
      </c>
      <c r="B14327" s="4" t="s">
        <v>18042</v>
      </c>
      <c r="C14327" s="5" t="str">
        <f>IFERROR(__xludf.DUMMYFUNCTION("GOOGLETRANSLATE(B14327,""en"",""fr"")"),"Un homme parle avec une vendeuse qui coupe une plante dans un pot, puis l'homme a rangé la plante.")</f>
        <v>Un homme parle avec une vendeuse qui coupe une plante dans un pot, puis l'homme a rangé la plante.</v>
      </c>
    </row>
    <row r="14328">
      <c r="A14328" s="4" t="s">
        <v>18041</v>
      </c>
      <c r="B14328" s="6" t="s">
        <v>18043</v>
      </c>
      <c r="C14328" s="5" t="str">
        <f>IFERROR(__xludf.DUMMYFUNCTION("GOOGLETRANSLATE(B14328,""en"",""fr"")"),"Après, l'homme met un buisson à l'avant la vendeuse qui la coupe tandis que l'homme pointe la plante et parle avec la femme.")</f>
        <v>Après, l'homme met un buisson à l'avant la vendeuse qui la coupe tandis que l'homme pointe la plante et parle avec la femme.</v>
      </c>
    </row>
    <row r="14329">
      <c r="A14329" s="4" t="s">
        <v>18044</v>
      </c>
      <c r="B14329" s="4" t="s">
        <v>18045</v>
      </c>
      <c r="C14329" s="5" t="str">
        <f>IFERROR(__xludf.DUMMYFUNCTION("GOOGLETRANSLATE(B14329,""en"",""fr"")"),"Une personne est vue en train de monter sur une planche le long de l'eau avec un cerf-volant sur le dessus.")</f>
        <v>Une personne est vue en train de monter sur une planche le long de l'eau avec un cerf-volant sur le dessus.</v>
      </c>
    </row>
    <row r="14330">
      <c r="A14330" s="4" t="s">
        <v>18044</v>
      </c>
      <c r="B14330" s="4" t="s">
        <v>18046</v>
      </c>
      <c r="C14330" s="5" t="str">
        <f>IFERROR(__xludf.DUMMYFUNCTION("GOOGLETRANSLATE(B14330,""en"",""fr"")"),"Plus de clips sont illustrés à la personne qui monte en arrière et quatrième sur la planche.")</f>
        <v>Plus de clips sont illustrés à la personne qui monte en arrière et quatrième sur la planche.</v>
      </c>
    </row>
    <row r="14331">
      <c r="A14331" s="4" t="s">
        <v>18044</v>
      </c>
      <c r="B14331" s="4" t="s">
        <v>18047</v>
      </c>
      <c r="C14331" s="5" t="str">
        <f>IFERROR(__xludf.DUMMYFUNCTION("GOOGLETRANSLATE(B14331,""en"",""fr"")"),"La personne continue de monter sur la planche le long de l'eau.")</f>
        <v>La personne continue de monter sur la planche le long de l'eau.</v>
      </c>
    </row>
    <row r="14332">
      <c r="A14332" s="4" t="s">
        <v>18048</v>
      </c>
      <c r="B14332" s="4" t="s">
        <v>18049</v>
      </c>
      <c r="C14332" s="5" t="str">
        <f>IFERROR(__xludf.DUMMYFUNCTION("GOOGLETRANSLATE(B14332,""en"",""fr"")"),"Un homme surfait sur une grande vague dans l'eau.")</f>
        <v>Un homme surfait sur une grande vague dans l'eau.</v>
      </c>
    </row>
    <row r="14333">
      <c r="A14333" s="4" t="s">
        <v>18048</v>
      </c>
      <c r="B14333" s="4" t="s">
        <v>18050</v>
      </c>
      <c r="C14333" s="5" t="str">
        <f>IFERROR(__xludf.DUMMYFUNCTION("GOOGLETRANSLATE(B14333,""en"",""fr"")"),"L'eau et le ciel sont rouges.")</f>
        <v>L'eau et le ciel sont rouges.</v>
      </c>
    </row>
    <row r="14334">
      <c r="A14334" s="4" t="s">
        <v>18048</v>
      </c>
      <c r="B14334" s="4" t="s">
        <v>18051</v>
      </c>
      <c r="C14334" s="5" t="str">
        <f>IFERROR(__xludf.DUMMYFUNCTION("GOOGLETRANSLATE(B14334,""en"",""fr"")"),"Plusieurs personnes surfent sur l'eau.")</f>
        <v>Plusieurs personnes surfent sur l'eau.</v>
      </c>
    </row>
    <row r="14335">
      <c r="A14335" s="4" t="s">
        <v>18052</v>
      </c>
      <c r="B14335" s="4" t="s">
        <v>18053</v>
      </c>
      <c r="C14335" s="5" t="str">
        <f>IFERROR(__xludf.DUMMYFUNCTION("GOOGLETRANSLATE(B14335,""en"",""fr"")"),"Une femme avec des lunettes est en train de tricoter.")</f>
        <v>Une femme avec des lunettes est en train de tricoter.</v>
      </c>
    </row>
    <row r="14336">
      <c r="A14336" s="4" t="s">
        <v>18052</v>
      </c>
      <c r="B14336" s="4" t="s">
        <v>18054</v>
      </c>
      <c r="C14336" s="5" t="str">
        <f>IFERROR(__xludf.DUMMYFUNCTION("GOOGLETRANSLATE(B14336,""en"",""fr"")"),"Une fille en chemise noire est assise à parler.")</f>
        <v>Une fille en chemise noire est assise à parler.</v>
      </c>
    </row>
    <row r="14337">
      <c r="A14337" s="4" t="s">
        <v>18052</v>
      </c>
      <c r="B14337" s="4" t="s">
        <v>18055</v>
      </c>
      <c r="C14337" s="5" t="str">
        <f>IFERROR(__xludf.DUMMYFUNCTION("GOOGLETRANSLATE(B14337,""en"",""fr"")"),"La femme tricoter les réponses à la fille.")</f>
        <v>La femme tricoter les réponses à la fille.</v>
      </c>
    </row>
    <row r="14338">
      <c r="A14338" s="4" t="s">
        <v>18056</v>
      </c>
      <c r="B14338" s="4" t="s">
        <v>18057</v>
      </c>
      <c r="C14338" s="5" t="str">
        <f>IFERROR(__xludf.DUMMYFUNCTION("GOOGLETRANSLATE(B14338,""en"",""fr"")"),"Un homme parle à la caméra tandis que les gens commencent à descendre un fleuve à eau blanche faite par l'homme sur des kayaks.")</f>
        <v>Un homme parle à la caméra tandis que les gens commencent à descendre un fleuve à eau blanche faite par l'homme sur des kayaks.</v>
      </c>
    </row>
    <row r="14339">
      <c r="A14339" s="4" t="s">
        <v>18056</v>
      </c>
      <c r="B14339" s="4" t="s">
        <v>18058</v>
      </c>
      <c r="C14339" s="5" t="str">
        <f>IFERROR(__xludf.DUMMYFUNCTION("GOOGLETRANSLATE(B14339,""en"",""fr"")"),"Les gens sont légèrement coincés, puis décollent en descendant de petites cascades.")</f>
        <v>Les gens sont légèrement coincés, puis décollent en descendant de petites cascades.</v>
      </c>
    </row>
    <row r="14340">
      <c r="A14340" s="4" t="s">
        <v>18056</v>
      </c>
      <c r="B14340" s="4" t="s">
        <v>18059</v>
      </c>
      <c r="C14340" s="5" t="str">
        <f>IFERROR(__xludf.DUMMYFUNCTION("GOOGLETRANSLATE(B14340,""en"",""fr"")"),"Une femme tombe et est retirée par une autre personne.")</f>
        <v>Une femme tombe et est retirée par une autre personne.</v>
      </c>
    </row>
    <row r="14341">
      <c r="A14341" s="4" t="s">
        <v>18056</v>
      </c>
      <c r="B14341" s="4" t="s">
        <v>18060</v>
      </c>
      <c r="C14341" s="5" t="str">
        <f>IFERROR(__xludf.DUMMYFUNCTION("GOOGLETRANSLATE(B14341,""en"",""fr"")"),"Nous voyons ensuite plusieurs images de personnes en kayaks sur les rapides.")</f>
        <v>Nous voyons ensuite plusieurs images de personnes en kayaks sur les rapides.</v>
      </c>
    </row>
    <row r="14342">
      <c r="A14342" s="4" t="s">
        <v>18061</v>
      </c>
      <c r="B14342" s="4" t="s">
        <v>18062</v>
      </c>
      <c r="C14342" s="5" t="str">
        <f>IFERROR(__xludf.DUMMYFUNCTION("GOOGLETRANSLATE(B14342,""en"",""fr"")"),"Une personne parle dans la rue, puis la personne de skateboard sur la route.")</f>
        <v>Une personne parle dans la rue, puis la personne de skateboard sur la route.</v>
      </c>
    </row>
    <row r="14343">
      <c r="A14343" s="4" t="s">
        <v>18061</v>
      </c>
      <c r="B14343" s="4" t="s">
        <v>18063</v>
      </c>
      <c r="C14343" s="5" t="str">
        <f>IFERROR(__xludf.DUMMYFUNCTION("GOOGLETRANSLATE(B14343,""en"",""fr"")"),"Ensuite, la personne rejette la planche à roulettes.")</f>
        <v>Ensuite, la personne rejette la planche à roulettes.</v>
      </c>
    </row>
    <row r="14344">
      <c r="A14344" s="4" t="s">
        <v>18061</v>
      </c>
      <c r="B14344" s="4" t="s">
        <v>18064</v>
      </c>
      <c r="C14344" s="5" t="str">
        <f>IFERROR(__xludf.DUMMYFUNCTION("GOOGLETRANSLATE(B14344,""en"",""fr"")"),"Après que la personne ait sauté de l'offre et que la planche à roulettes glisse sur la route.")</f>
        <v>Après que la personne ait sauté de l'offre et que la planche à roulettes glisse sur la route.</v>
      </c>
    </row>
    <row r="14345">
      <c r="A14345" s="4" t="s">
        <v>18061</v>
      </c>
      <c r="B14345" s="4" t="s">
        <v>18065</v>
      </c>
      <c r="C14345" s="5" t="str">
        <f>IFERROR(__xludf.DUMMYFUNCTION("GOOGLETRANSLATE(B14345,""en"",""fr"")"),"Ensuite, la personne pratique la planche à roulettes qui traîne un pied, après que la personne utilise l'herbe pour faire des tours.")</f>
        <v>Ensuite, la personne pratique la planche à roulettes qui traîne un pied, après que la personne utilise l'herbe pour faire des tours.</v>
      </c>
    </row>
    <row r="14346">
      <c r="A14346" s="4" t="s">
        <v>18066</v>
      </c>
      <c r="B14346" s="6" t="s">
        <v>18067</v>
      </c>
      <c r="C14346" s="5" t="str">
        <f>IFERROR(__xludf.DUMMYFUNCTION("GOOGLETRANSLATE(B14346,""en"",""fr"")"),"La femme se tient dans une grande pièce tenant une Étée et Aman entre et tient une autre Étée et commence à se battre avec la femme.")</f>
        <v>La femme se tient dans une grande pièce tenant une Étée et Aman entre et tient une autre Étée et commence à se battre avec la femme.</v>
      </c>
    </row>
    <row r="14347">
      <c r="A14347" s="4" t="s">
        <v>18066</v>
      </c>
      <c r="B14347" s="4" t="s">
        <v>18068</v>
      </c>
      <c r="C14347" s="5" t="str">
        <f>IFERROR(__xludf.DUMMYFUNCTION("GOOGLETRANSLATE(B14347,""en"",""fr"")"),"Les enfants entrent dans une pièce et courent vers l'homme et la femme.")</f>
        <v>Les enfants entrent dans une pièce et courent vers l'homme et la femme.</v>
      </c>
    </row>
    <row r="14348">
      <c r="A14348" s="4" t="s">
        <v>18066</v>
      </c>
      <c r="B14348" s="4" t="s">
        <v>18069</v>
      </c>
      <c r="C14348" s="5" t="str">
        <f>IFERROR(__xludf.DUMMYFUNCTION("GOOGLETRANSLATE(B14348,""en"",""fr"")"),"L'homme donne un masque noir à la femme et le porte.")</f>
        <v>L'homme donne un masque noir à la femme et le porte.</v>
      </c>
    </row>
    <row r="14349">
      <c r="A14349" s="4" t="s">
        <v>18070</v>
      </c>
      <c r="B14349" s="4" t="s">
        <v>18071</v>
      </c>
      <c r="C14349" s="5" t="str">
        <f>IFERROR(__xludf.DUMMYFUNCTION("GOOGLETRANSLATE(B14349,""en"",""fr"")"),"Un enfant dans une écurie brossant les poils à cheval.")</f>
        <v>Un enfant dans une écurie brossant les poils à cheval.</v>
      </c>
    </row>
    <row r="14350">
      <c r="A14350" s="4" t="s">
        <v>18070</v>
      </c>
      <c r="B14350" s="6" t="s">
        <v>18072</v>
      </c>
      <c r="C14350" s="5" t="str">
        <f>IFERROR(__xludf.DUMMYFUNCTION("GOOGLETRANSLATE(B14350,""en"",""fr"")"),"L'enfant s'éloigne du cheval en parlant pour obtenir une bouteille de liquide puis revient pour brosser les poils de cheval.")</f>
        <v>L'enfant s'éloigne du cheval en parlant pour obtenir une bouteille de liquide puis revient pour brosser les poils de cheval.</v>
      </c>
    </row>
    <row r="14351">
      <c r="A14351" s="4" t="s">
        <v>18073</v>
      </c>
      <c r="B14351" s="6" t="s">
        <v>18074</v>
      </c>
      <c r="C14351" s="5" t="str">
        <f>IFERROR(__xludf.DUMMYFUNCTION("GOOGLETRANSLATE(B14351,""en"",""fr"")"),"Une caméra zoome sur une personne effectuant une routine sur une grande scène en tournant un bâton dans l'air.")</f>
        <v>Une caméra zoome sur une personne effectuant une routine sur une grande scène en tournant un bâton dans l'air.</v>
      </c>
    </row>
    <row r="14352">
      <c r="A14352" s="4" t="s">
        <v>18073</v>
      </c>
      <c r="B14352" s="4" t="s">
        <v>18075</v>
      </c>
      <c r="C14352" s="5" t="str">
        <f>IFERROR(__xludf.DUMMYFUNCTION("GOOGLETRANSLATE(B14352,""en"",""fr"")"),"La personne continue la routine et se termine par une scission et le public applaudir.")</f>
        <v>La personne continue la routine et se termine par une scission et le public applaudir.</v>
      </c>
    </row>
    <row r="14353">
      <c r="A14353" s="4" t="s">
        <v>18076</v>
      </c>
      <c r="B14353" s="4" t="s">
        <v>18077</v>
      </c>
      <c r="C14353" s="5" t="str">
        <f>IFERROR(__xludf.DUMMYFUNCTION("GOOGLETRANSLATE(B14353,""en"",""fr"")"),"Un jeune garçon est vu debout au-dessus d'une diapositive et baissant le chemin.")</f>
        <v>Un jeune garçon est vu debout au-dessus d'une diapositive et baissant le chemin.</v>
      </c>
    </row>
    <row r="14354">
      <c r="A14354" s="4" t="s">
        <v>18076</v>
      </c>
      <c r="B14354" s="4" t="s">
        <v>18078</v>
      </c>
      <c r="C14354" s="5" t="str">
        <f>IFERROR(__xludf.DUMMYFUNCTION("GOOGLETRANSLATE(B14354,""en"",""fr"")"),"Le garçon monte en bas de la diapositive et la caméra le suit se promener par la suite.")</f>
        <v>Le garçon monte en bas de la diapositive et la caméra le suit se promener par la suite.</v>
      </c>
    </row>
    <row r="14355">
      <c r="A14355" s="4" t="s">
        <v>18079</v>
      </c>
      <c r="B14355" s="4" t="s">
        <v>18080</v>
      </c>
      <c r="C14355" s="5" t="str">
        <f>IFERROR(__xludf.DUMMYFUNCTION("GOOGLETRANSLATE(B14355,""en"",""fr"")"),"Un garçon se tient dans un évier dans une cuisine.")</f>
        <v>Un garçon se tient dans un évier dans une cuisine.</v>
      </c>
    </row>
    <row r="14356">
      <c r="A14356" s="4" t="s">
        <v>18079</v>
      </c>
      <c r="B14356" s="4" t="s">
        <v>18081</v>
      </c>
      <c r="C14356" s="5" t="str">
        <f>IFERROR(__xludf.DUMMYFUNCTION("GOOGLETRANSLATE(B14356,""en"",""fr"")"),"Il essuie sa chaussure.")</f>
        <v>Il essuie sa chaussure.</v>
      </c>
    </row>
    <row r="14357">
      <c r="A14357" s="4" t="s">
        <v>18079</v>
      </c>
      <c r="B14357" s="4" t="s">
        <v>18082</v>
      </c>
      <c r="C14357" s="5" t="str">
        <f>IFERROR(__xludf.DUMMYFUNCTION("GOOGLETRANSLATE(B14357,""en"",""fr"")"),"Il se retourne et sourit à la caméra.")</f>
        <v>Il se retourne et sourit à la caméra.</v>
      </c>
    </row>
    <row r="14358">
      <c r="A14358" s="4" t="s">
        <v>18083</v>
      </c>
      <c r="B14358" s="4" t="s">
        <v>18084</v>
      </c>
      <c r="C14358" s="5" t="str">
        <f>IFERROR(__xludf.DUMMYFUNCTION("GOOGLETRANSLATE(B14358,""en"",""fr"")"),"Une femme parle à sa classe de saut.")</f>
        <v>Une femme parle à sa classe de saut.</v>
      </c>
    </row>
    <row r="14359">
      <c r="A14359" s="4" t="s">
        <v>18083</v>
      </c>
      <c r="B14359" s="4" t="s">
        <v>18085</v>
      </c>
      <c r="C14359" s="5" t="str">
        <f>IFERROR(__xludf.DUMMYFUNCTION("GOOGLETRANSLATE(B14359,""en"",""fr"")"),"Elle met la corde sous ses pieds et commence à démontrer un peu.")</f>
        <v>Elle met la corde sous ses pieds et commence à démontrer un peu.</v>
      </c>
    </row>
    <row r="14360">
      <c r="A14360" s="4" t="s">
        <v>18083</v>
      </c>
      <c r="B14360" s="4" t="s">
        <v>18086</v>
      </c>
      <c r="C14360" s="5" t="str">
        <f>IFERROR(__xludf.DUMMYFUNCTION("GOOGLETRANSLATE(B14360,""en"",""fr"")"),"Elle commence à sauter la corde très rapidement.")</f>
        <v>Elle commence à sauter la corde très rapidement.</v>
      </c>
    </row>
    <row r="14361">
      <c r="A14361" s="4" t="s">
        <v>18083</v>
      </c>
      <c r="B14361" s="4" t="s">
        <v>18087</v>
      </c>
      <c r="C14361" s="5" t="str">
        <f>IFERROR(__xludf.DUMMYFUNCTION("GOOGLETRANSLATE(B14361,""en"",""fr"")"),"Elle s'arrête et continue de parler davantage avant de recommencer à sauter.")</f>
        <v>Elle s'arrête et continue de parler davantage avant de recommencer à sauter.</v>
      </c>
    </row>
    <row r="14362">
      <c r="A14362" s="4" t="s">
        <v>18088</v>
      </c>
      <c r="B14362" s="4" t="s">
        <v>18089</v>
      </c>
      <c r="C14362" s="5" t="str">
        <f>IFERROR(__xludf.DUMMYFUNCTION("GOOGLETRANSLATE(B14362,""en"",""fr"")"),"Une femme porte une serviette et se tient à côté d'une baignoire.")</f>
        <v>Une femme porte une serviette et se tient à côté d'une baignoire.</v>
      </c>
    </row>
    <row r="14363">
      <c r="A14363" s="4" t="s">
        <v>18088</v>
      </c>
      <c r="B14363" s="4" t="s">
        <v>18090</v>
      </c>
      <c r="C14363" s="5" t="str">
        <f>IFERROR(__xludf.DUMMYFUNCTION("GOOGLETRANSLATE(B14363,""en"",""fr"")"),"Elle met la crème à raser sur sa jambe et se rasage la jambe.")</f>
        <v>Elle met la crème à raser sur sa jambe et se rasage la jambe.</v>
      </c>
    </row>
    <row r="14364">
      <c r="A14364" s="4" t="s">
        <v>18091</v>
      </c>
      <c r="B14364" s="4" t="s">
        <v>18092</v>
      </c>
      <c r="C14364" s="5" t="str">
        <f>IFERROR(__xludf.DUMMYFUNCTION("GOOGLETRANSLATE(B14364,""en"",""fr"")"),"Un homme dans le smoking commence à expliquer Black Jack.")</f>
        <v>Un homme dans le smoking commence à expliquer Black Jack.</v>
      </c>
    </row>
    <row r="14365">
      <c r="A14365" s="4" t="s">
        <v>18091</v>
      </c>
      <c r="B14365" s="4" t="s">
        <v>18093</v>
      </c>
      <c r="C14365" s="5" t="str">
        <f>IFERROR(__xludf.DUMMYFUNCTION("GOOGLETRANSLATE(B14365,""en"",""fr"")"),"Un concessionnaire traite des cartes à quatre joueurs.")</f>
        <v>Un concessionnaire traite des cartes à quatre joueurs.</v>
      </c>
    </row>
    <row r="14366">
      <c r="A14366" s="4" t="s">
        <v>18091</v>
      </c>
      <c r="B14366" s="4" t="s">
        <v>18094</v>
      </c>
      <c r="C14366" s="5" t="str">
        <f>IFERROR(__xludf.DUMMYFUNCTION("GOOGLETRANSLATE(B14366,""en"",""fr"")"),"Plusieurs gros plans de cartes sont affichés.")</f>
        <v>Plusieurs gros plans de cartes sont affichés.</v>
      </c>
    </row>
    <row r="14367">
      <c r="A14367" s="4" t="s">
        <v>18091</v>
      </c>
      <c r="B14367" s="4" t="s">
        <v>18095</v>
      </c>
      <c r="C14367" s="5" t="str">
        <f>IFERROR(__xludf.DUMMYFUNCTION("GOOGLETRANSLATE(B14367,""en"",""fr"")"),"L'homme dans le smoking continue d'expliquer les règles du blackjack.")</f>
        <v>L'homme dans le smoking continue d'expliquer les règles du blackjack.</v>
      </c>
    </row>
    <row r="14368">
      <c r="A14368" s="4" t="s">
        <v>18096</v>
      </c>
      <c r="B14368" s="4" t="s">
        <v>18097</v>
      </c>
      <c r="C14368" s="5" t="str">
        <f>IFERROR(__xludf.DUMMYFUNCTION("GOOGLETRANSLATE(B14368,""en"",""fr"")"),"Deux femmes ne se tiennent pas un bras de table lutte au milieu de la scène.")</f>
        <v>Deux femmes ne se tiennent pas un bras de table lutte au milieu de la scène.</v>
      </c>
    </row>
    <row r="14369">
      <c r="A14369" s="4" t="s">
        <v>18096</v>
      </c>
      <c r="B14369" s="4" t="s">
        <v>18098</v>
      </c>
      <c r="C14369" s="5" t="str">
        <f>IFERROR(__xludf.DUMMYFUNCTION("GOOGLETRANSLATE(B14369,""en"",""fr"")"),"L'arbitre portant une chemise en noir et blanc se tient derrière les filles.")</f>
        <v>L'arbitre portant une chemise en noir et blanc se tient derrière les filles.</v>
      </c>
    </row>
    <row r="14370">
      <c r="A14370" s="4" t="s">
        <v>18096</v>
      </c>
      <c r="B14370" s="6" t="s">
        <v>18099</v>
      </c>
      <c r="C14370" s="5" t="str">
        <f>IFERROR(__xludf.DUMMYFUNCTION("GOOGLETRANSLATE(B14370,""en"",""fr"")"),"Deux femmes chaudes se luttent sur une table et les arbitres se tiennent devant ou assis à l'arrière.")</f>
        <v>Deux femmes chaudes se luttent sur une table et les arbitres se tiennent devant ou assis à l'arrière.</v>
      </c>
    </row>
    <row r="14371">
      <c r="A14371" s="4" t="s">
        <v>18096</v>
      </c>
      <c r="B14371" s="4" t="s">
        <v>18100</v>
      </c>
      <c r="C14371" s="5" t="str">
        <f>IFERROR(__xludf.DUMMYFUNCTION("GOOGLETRANSLATE(B14371,""en"",""fr"")"),"Les femmes sont dans une lutte contre le bras et beaucoup de gens sont autour d'eux les regardent.")</f>
        <v>Les femmes sont dans une lutte contre le bras et beaucoup de gens sont autour d'eux les regardent.</v>
      </c>
    </row>
    <row r="14372">
      <c r="A14372" s="4" t="s">
        <v>18101</v>
      </c>
      <c r="B14372" s="4" t="s">
        <v>18102</v>
      </c>
      <c r="C14372" s="5" t="str">
        <f>IFERROR(__xludf.DUMMYFUNCTION("GOOGLETRANSLATE(B14372,""en"",""fr"")"),"Une femme joue à un jeu de bière avec un homme court déguisé en lutin.")</f>
        <v>Une femme joue à un jeu de bière avec un homme court déguisé en lutin.</v>
      </c>
    </row>
    <row r="14373">
      <c r="A14373" s="4" t="s">
        <v>18101</v>
      </c>
      <c r="B14373" s="4" t="s">
        <v>18103</v>
      </c>
      <c r="C14373" s="5" t="str">
        <f>IFERROR(__xludf.DUMMYFUNCTION("GOOGLETRANSLATE(B14373,""en"",""fr"")"),"Un DJ joue tourne une paire de platines sur scène pour la foule.")</f>
        <v>Un DJ joue tourne une paire de platines sur scène pour la foule.</v>
      </c>
    </row>
    <row r="14374">
      <c r="A14374" s="4" t="s">
        <v>18101</v>
      </c>
      <c r="B14374" s="4" t="s">
        <v>18104</v>
      </c>
      <c r="C14374" s="5" t="str">
        <f>IFERROR(__xludf.DUMMYFUNCTION("GOOGLETRANSLATE(B14374,""en"",""fr"")"),"La femme marque un coup de feu et célèbre.")</f>
        <v>La femme marque un coup de feu et célèbre.</v>
      </c>
    </row>
    <row r="14375">
      <c r="A14375" s="4" t="s">
        <v>18101</v>
      </c>
      <c r="B14375" s="4" t="s">
        <v>18105</v>
      </c>
      <c r="C14375" s="5" t="str">
        <f>IFERROR(__xludf.DUMMYFUNCTION("GOOGLETRANSLATE(B14375,""en"",""fr"")"),"Les deux joueurs s'embrassent et élèvent le bras de la femme dans la victoire.")</f>
        <v>Les deux joueurs s'embrassent et élèvent le bras de la femme dans la victoire.</v>
      </c>
    </row>
    <row r="14376">
      <c r="A14376" s="4" t="s">
        <v>18106</v>
      </c>
      <c r="B14376" s="6" t="s">
        <v>18107</v>
      </c>
      <c r="C14376" s="5" t="str">
        <f>IFERROR(__xludf.DUMMYFUNCTION("GOOGLETRANSLATE(B14376,""en"",""fr"")"),"Une nouvelle coupure de papier animée est affichée et la vidéo se compose d'un tas de lettres en lettres noires donnant le titre.")</f>
        <v>Une nouvelle coupure de papier animée est affichée et la vidéo se compose d'un tas de lettres en lettres noires donnant le titre.</v>
      </c>
    </row>
    <row r="14377">
      <c r="A14377" s="4" t="s">
        <v>18106</v>
      </c>
      <c r="B14377" s="4" t="s">
        <v>18108</v>
      </c>
      <c r="C14377" s="5" t="str">
        <f>IFERROR(__xludf.DUMMYFUNCTION("GOOGLETRANSLATE(B14377,""en"",""fr"")"),"Peu de temps après, une jeune femme commence à parler et jette un objet de curling.")</f>
        <v>Peu de temps après, une jeune femme commence à parler et jette un objet de curling.</v>
      </c>
    </row>
    <row r="14378">
      <c r="A14378" s="4" t="s">
        <v>18106</v>
      </c>
      <c r="B14378" s="6" t="s">
        <v>18109</v>
      </c>
      <c r="C14378" s="5" t="str">
        <f>IFERROR(__xludf.DUMMYFUNCTION("GOOGLETRANSLATE(B14378,""en"",""fr"")"),"La jeune femme se dirige ensuite vers un homme vêtu de tout noir et commence à lui poser des questions sur le jeu.")</f>
        <v>La jeune femme se dirige ensuite vers un homme vêtu de tout noir et commence à lui poser des questions sur le jeu.</v>
      </c>
    </row>
    <row r="14379">
      <c r="A14379" s="4" t="s">
        <v>18106</v>
      </c>
      <c r="B14379" s="4" t="s">
        <v>18110</v>
      </c>
      <c r="C14379" s="5" t="str">
        <f>IFERROR(__xludf.DUMMYFUNCTION("GOOGLETRANSLATE(B14379,""en"",""fr"")"),"Pendant qu'ils parlent, un jeu est joué et les deux les regardent.")</f>
        <v>Pendant qu'ils parlent, un jeu est joué et les deux les regardent.</v>
      </c>
    </row>
    <row r="14380">
      <c r="A14380" s="4" t="s">
        <v>18106</v>
      </c>
      <c r="B14380" s="6" t="s">
        <v>18111</v>
      </c>
      <c r="C14380" s="5" t="str">
        <f>IFERROR(__xludf.DUMMYFUNCTION("GOOGLETRANSLATE(B14380,""en"",""fr"")"),"Après, l'homme commence à enseigner ses différentes techniques utilisées dans le jeu et ils commencent à glisser sur le sol.")</f>
        <v>Après, l'homme commence à enseigner ses différentes techniques utilisées dans le jeu et ils commencent à glisser sur le sol.</v>
      </c>
    </row>
    <row r="14381">
      <c r="A14381" s="4" t="s">
        <v>18106</v>
      </c>
      <c r="B14381" s="4" t="s">
        <v>18112</v>
      </c>
      <c r="C14381" s="5" t="str">
        <f>IFERROR(__xludf.DUMMYFUNCTION("GOOGLETRANSLATE(B14381,""en"",""fr"")"),"Une fois terminé, la femme revient à la caméra et commence à parler du sport.")</f>
        <v>Une fois terminé, la femme revient à la caméra et commence à parler du sport.</v>
      </c>
    </row>
    <row r="14382">
      <c r="A14382" s="4" t="s">
        <v>18113</v>
      </c>
      <c r="B14382" s="6" t="s">
        <v>18114</v>
      </c>
      <c r="C14382" s="5" t="str">
        <f>IFERROR(__xludf.DUMMYFUNCTION("GOOGLETRANSLATE(B14382,""en"",""fr"")"),"Un chien gris marche à l'extérieur, et le propriétaire est un jeune homme blanc qui marche avec le chien à l'extérieur et parle à la caméra.")</f>
        <v>Un chien gris marche à l'extérieur, et le propriétaire est un jeune homme blanc qui marche avec le chien à l'extérieur et parle à la caméra.</v>
      </c>
    </row>
    <row r="14383">
      <c r="A14383" s="4" t="s">
        <v>18113</v>
      </c>
      <c r="B14383" s="6" t="s">
        <v>18115</v>
      </c>
      <c r="C14383" s="5" t="str">
        <f>IFERROR(__xludf.DUMMYFUNCTION("GOOGLETRANSLATE(B14383,""en"",""fr"")"),"Un écran apparaît qui affiche deux logos dans le Middel et le texte au-dessus des logos lus ""dans les coulisses"" et sous les mots de logo lus ""présentés par: geico"".")</f>
        <v>Un écran apparaît qui affiche deux logos dans le Middel et le texte au-dessus des logos lus "dans les coulisses" et sous les mots de logo lus "présentés par: geico".</v>
      </c>
    </row>
    <row r="14384">
      <c r="A14384" s="4" t="s">
        <v>18113</v>
      </c>
      <c r="B14384" s="6" t="s">
        <v>18116</v>
      </c>
      <c r="C14384" s="5" t="str">
        <f>IFERROR(__xludf.DUMMYFUNCTION("GOOGLETRANSLATE(B14384,""en"",""fr"")"),"Un homme est maintenant vêtu d'équipement de protection et il est rejoint par de nombreuses autres personnes habillées de la même manière et des clips en jouant à des pistolets de paintball dans une zone ouverte et sur un parcours.")</f>
        <v>Un homme est maintenant vêtu d'équipement de protection et il est rejoint par de nombreuses autres personnes habillées de la même manière et des clips en jouant à des pistolets de paintball dans une zone ouverte et sur un parcours.</v>
      </c>
    </row>
    <row r="14385">
      <c r="A14385" s="4" t="s">
        <v>18113</v>
      </c>
      <c r="B14385" s="6" t="s">
        <v>18117</v>
      </c>
      <c r="C14385" s="5" t="str">
        <f>IFERROR(__xludf.DUMMYFUNCTION("GOOGLETRANSLATE(B14385,""en"",""fr"")"),"Un homme se tient maintenant sur une plate-forme très élevée en regardant un grand groupe de personnes, et les mots ""Comic-Con San Diego CA"" sont en bas à droite, et l'homme saute sur un très grand matelas aérien, il se lève Et commence à courir le long"&amp;" d'un très long parcours d'obstacles l'obligeant à faire différentes choses et la vue provient d'une caméra que elle porte autour de son cou.")</f>
        <v>Un homme se tient maintenant sur une plate-forme très élevée en regardant un grand groupe de personnes, et les mots "Comic-Con San Diego CA" sont en bas à droite, et l'homme saute sur un très grand matelas aérien, il se lève Et commence à courir le long d'un très long parcours d'obstacles l'obligeant à faire différentes choses et la vue provient d'une caméra que elle porte autour de son cou.</v>
      </c>
    </row>
    <row r="14386">
      <c r="A14386" s="4" t="s">
        <v>18113</v>
      </c>
      <c r="B14386" s="6" t="s">
        <v>18118</v>
      </c>
      <c r="C14386" s="5" t="str">
        <f>IFERROR(__xludf.DUMMYFUNCTION("GOOGLETRANSLATE(B14386,""en"",""fr"")"),"Il complète le parcours d'obstacles et un écran outro apparaît avec 3 petits écrans vidéo différents jouant sur l'écran principal et les mots supérieurs de l'écran disent ""présenté par Geico"".")</f>
        <v>Il complète le parcours d'obstacles et un écran outro apparaît avec 3 petits écrans vidéo différents jouant sur l'écran principal et les mots supérieurs de l'écran disent "présenté par Geico".</v>
      </c>
    </row>
    <row r="14387">
      <c r="A14387" s="4" t="s">
        <v>18119</v>
      </c>
      <c r="B14387" s="4" t="s">
        <v>18120</v>
      </c>
      <c r="C14387" s="5" t="str">
        <f>IFERROR(__xludf.DUMMYFUNCTION("GOOGLETRANSLATE(B14387,""en"",""fr"")"),"Une fille est montrée en parlant à la caméra et en montrant diverses peintures.")</f>
        <v>Une fille est montrée en parlant à la caméra et en montrant diverses peintures.</v>
      </c>
    </row>
    <row r="14388">
      <c r="A14388" s="4" t="s">
        <v>18119</v>
      </c>
      <c r="B14388" s="4" t="s">
        <v>18121</v>
      </c>
      <c r="C14388" s="5" t="str">
        <f>IFERROR(__xludf.DUMMYFUNCTION("GOOGLETRANSLATE(B14388,""en"",""fr"")"),"Elle zoome sur les produits qu'elle possède et met de la peinture sur une palette.")</f>
        <v>Elle zoome sur les produits qu'elle possède et met de la peinture sur une palette.</v>
      </c>
    </row>
    <row r="14389">
      <c r="A14389" s="4" t="s">
        <v>18119</v>
      </c>
      <c r="B14389" s="4" t="s">
        <v>18122</v>
      </c>
      <c r="C14389" s="5" t="str">
        <f>IFERROR(__xludf.DUMMYFUNCTION("GOOGLETRANSLATE(B14389,""en"",""fr"")"),"Elle tamponne un pinceau dans la peinture et commence à peindre ses ongles.")</f>
        <v>Elle tamponne un pinceau dans la peinture et commence à peindre ses ongles.</v>
      </c>
    </row>
    <row r="14390">
      <c r="A14390" s="4" t="s">
        <v>18119</v>
      </c>
      <c r="B14390" s="4" t="s">
        <v>18123</v>
      </c>
      <c r="C14390" s="5" t="str">
        <f>IFERROR(__xludf.DUMMYFUNCTION("GOOGLETRANSLATE(B14390,""en"",""fr"")"),"Elle effectue plusieurs styles différents sur les ongles et plusieurs photos d'ongles finis.")</f>
        <v>Elle effectue plusieurs styles différents sur les ongles et plusieurs photos d'ongles finis.</v>
      </c>
    </row>
    <row r="14391">
      <c r="A14391" s="4" t="s">
        <v>18124</v>
      </c>
      <c r="B14391" s="4" t="s">
        <v>18125</v>
      </c>
      <c r="C14391" s="5" t="str">
        <f>IFERROR(__xludf.DUMMYFUNCTION("GOOGLETRANSLATE(B14391,""en"",""fr"")"),"Un homme se tient sur un court de tennis se préparant à servir le ballon.")</f>
        <v>Un homme se tient sur un court de tennis se préparant à servir le ballon.</v>
      </c>
    </row>
    <row r="14392">
      <c r="A14392" s="4" t="s">
        <v>18124</v>
      </c>
      <c r="B14392" s="4" t="s">
        <v>18126</v>
      </c>
      <c r="C14392" s="5" t="str">
        <f>IFERROR(__xludf.DUMMYFUNCTION("GOOGLETRANSLATE(B14392,""en"",""fr"")"),"L'homme frappe le ballon de tennis sur le terrain.")</f>
        <v>L'homme frappe le ballon de tennis sur le terrain.</v>
      </c>
    </row>
    <row r="14393">
      <c r="A14393" s="4" t="s">
        <v>18124</v>
      </c>
      <c r="B14393" s="4" t="s">
        <v>18127</v>
      </c>
      <c r="C14393" s="5" t="str">
        <f>IFERROR(__xludf.DUMMYFUNCTION("GOOGLETRANSLATE(B14393,""en"",""fr"")"),"L'homme se retourne et revient dans son panier et attrape une balle de sa poche.")</f>
        <v>L'homme se retourne et revient dans son panier et attrape une balle de sa poche.</v>
      </c>
    </row>
    <row r="14394">
      <c r="A14394" s="4" t="s">
        <v>18124</v>
      </c>
      <c r="B14394" s="4" t="s">
        <v>18128</v>
      </c>
      <c r="C14394" s="5" t="str">
        <f>IFERROR(__xludf.DUMMYFUNCTION("GOOGLETRANSLATE(B14394,""en"",""fr"")"),"L'homme fait rebondir le ballon sur le sol.")</f>
        <v>L'homme fait rebondir le ballon sur le sol.</v>
      </c>
    </row>
    <row r="14395">
      <c r="A14395" s="4" t="s">
        <v>18129</v>
      </c>
      <c r="B14395" s="6" t="s">
        <v>18130</v>
      </c>
      <c r="C14395" s="5" t="str">
        <f>IFERROR(__xludf.DUMMYFUNCTION("GOOGLETRANSLATE(B14395,""en"",""fr"")"),"Une femme est vue se penchant pour prendre une gorgée d'eau et mène à elle qui tourne un cerceau autour d'elle.")</f>
        <v>Une femme est vue se penchant pour prendre une gorgée d'eau et mène à elle qui tourne un cerceau autour d'elle.</v>
      </c>
    </row>
    <row r="14396">
      <c r="A14396" s="4" t="s">
        <v>18129</v>
      </c>
      <c r="B14396" s="6" t="s">
        <v>18131</v>
      </c>
      <c r="C14396" s="5" t="str">
        <f>IFERROR(__xludf.DUMMYFUNCTION("GOOGLETRANSLATE(B14396,""en"",""fr"")"),"La femme continue de faire tourner le cerceau du hula tout en en prenant plusieurs autres et en effectuant des astuces dans le centre-ville.")</f>
        <v>La femme continue de faire tourner le cerceau du hula tout en en prenant plusieurs autres et en effectuant des astuces dans le centre-ville.</v>
      </c>
    </row>
    <row r="14397">
      <c r="A14397" s="4" t="s">
        <v>18132</v>
      </c>
      <c r="B14397" s="4" t="s">
        <v>18133</v>
      </c>
      <c r="C14397" s="5" t="str">
        <f>IFERROR(__xludf.DUMMYFUNCTION("GOOGLETRANSLATE(B14397,""en"",""fr"")"),"Un homme est vu suspendre une roue à vélo et parler à la caméra.")</f>
        <v>Un homme est vu suspendre une roue à vélo et parler à la caméra.</v>
      </c>
    </row>
    <row r="14398">
      <c r="A14398" s="4" t="s">
        <v>18132</v>
      </c>
      <c r="B14398" s="4" t="s">
        <v>18134</v>
      </c>
      <c r="C14398" s="5" t="str">
        <f>IFERROR(__xludf.DUMMYFUNCTION("GOOGLETRANSLATE(B14398,""en"",""fr"")"),"Il commence à ajuster le vélo et à dévisser les paramètres à l'arrière.")</f>
        <v>Il commence à ajuster le vélo et à dévisser les paramètres à l'arrière.</v>
      </c>
    </row>
    <row r="14399">
      <c r="A14399" s="4" t="s">
        <v>18132</v>
      </c>
      <c r="B14399" s="4" t="s">
        <v>18135</v>
      </c>
      <c r="C14399" s="5" t="str">
        <f>IFERROR(__xludf.DUMMYFUNCTION("GOOGLETRANSLATE(B14399,""en"",""fr"")"),"Il met ensuite une paire de roues d'entraînement et montrant comment elle bouge.")</f>
        <v>Il met ensuite une paire de roues d'entraînement et montrant comment elle bouge.</v>
      </c>
    </row>
    <row r="14400">
      <c r="A14400" s="4" t="s">
        <v>18136</v>
      </c>
      <c r="B14400" s="4" t="s">
        <v>18137</v>
      </c>
      <c r="C14400" s="5" t="str">
        <f>IFERROR(__xludf.DUMMYFUNCTION("GOOGLETRANSLATE(B14400,""en"",""fr"")"),"Un chien est vu courir autour d'un homme au milieu d'un champ ouvert.")</f>
        <v>Un chien est vu courir autour d'un homme au milieu d'un champ ouvert.</v>
      </c>
    </row>
    <row r="14401">
      <c r="A14401" s="4" t="s">
        <v>18136</v>
      </c>
      <c r="B14401" s="4" t="s">
        <v>18138</v>
      </c>
      <c r="C14401" s="5" t="str">
        <f>IFERROR(__xludf.DUMMYFUNCTION("GOOGLETRANSLATE(B14401,""en"",""fr"")"),"L'homme effectue des tours avec le chien pendant que le chien saute sur son dos.")</f>
        <v>L'homme effectue des tours avec le chien pendant que le chien saute sur son dos.</v>
      </c>
    </row>
    <row r="14402">
      <c r="A14402" s="4" t="s">
        <v>18136</v>
      </c>
      <c r="B14402" s="4" t="s">
        <v>18139</v>
      </c>
      <c r="C14402" s="5" t="str">
        <f>IFERROR(__xludf.DUMMYFUNCTION("GOOGLETRANSLATE(B14402,""en"",""fr"")"),"Il continue de se promener avec le chien effectuant des tours avec le chien et le frisbee.")</f>
        <v>Il continue de se promener avec le chien effectuant des tours avec le chien et le frisbee.</v>
      </c>
    </row>
    <row r="14403">
      <c r="A14403" s="4" t="s">
        <v>18140</v>
      </c>
      <c r="B14403" s="4" t="s">
        <v>18141</v>
      </c>
      <c r="C14403" s="5" t="str">
        <f>IFERROR(__xludf.DUMMYFUNCTION("GOOGLETRANSLATE(B14403,""en"",""fr"")"),"Graphique sur la façon de faire du papier peint numérique est montré.")</f>
        <v>Graphique sur la façon de faire du papier peint numérique est montré.</v>
      </c>
    </row>
    <row r="14404">
      <c r="A14404" s="4" t="s">
        <v>18140</v>
      </c>
      <c r="B14404" s="4" t="s">
        <v>18142</v>
      </c>
      <c r="C14404" s="5" t="str">
        <f>IFERROR(__xludf.DUMMYFUNCTION("GOOGLETRANSLATE(B14404,""en"",""fr"")"),"L'homme est dans une pièce avec une machine en papier numérique et la machine imprime un signe.")</f>
        <v>L'homme est dans une pièce avec une machine en papier numérique et la machine imprime un signe.</v>
      </c>
    </row>
    <row r="14405">
      <c r="A14405" s="4" t="s">
        <v>18140</v>
      </c>
      <c r="B14405" s="4" t="s">
        <v>18143</v>
      </c>
      <c r="C14405" s="5" t="str">
        <f>IFERROR(__xludf.DUMMYFUNCTION("GOOGLETRANSLATE(B14405,""en"",""fr"")"),"Les hommes cognent le papier peint à un mur blanc.")</f>
        <v>Les hommes cognent le papier peint à un mur blanc.</v>
      </c>
    </row>
    <row r="14406">
      <c r="A14406" s="4" t="s">
        <v>18144</v>
      </c>
      <c r="B14406" s="4" t="s">
        <v>18145</v>
      </c>
      <c r="C14406" s="5" t="str">
        <f>IFERROR(__xludf.DUMMYFUNCTION("GOOGLETRANSLATE(B14406,""en"",""fr"")"),"Un garçon saute en corde et fait des astuces en rond.")</f>
        <v>Un garçon saute en corde et fait des astuces en rond.</v>
      </c>
    </row>
    <row r="14407">
      <c r="A14407" s="4" t="s">
        <v>18144</v>
      </c>
      <c r="B14407" s="6" t="s">
        <v>18146</v>
      </c>
      <c r="C14407" s="5" t="str">
        <f>IFERROR(__xludf.DUMMYFUNCTION("GOOGLETRANSLATE(B14407,""en"",""fr"")"),"Ensuite, un autre garçon saute également la corde et le tourbillonne et il finit par jeter sa corde.")</f>
        <v>Ensuite, un autre garçon saute également la corde et le tourbillonne et il finit par jeter sa corde.</v>
      </c>
    </row>
    <row r="14408">
      <c r="A14408" s="4" t="s">
        <v>18144</v>
      </c>
      <c r="B14408" s="4" t="s">
        <v>18147</v>
      </c>
      <c r="C14408" s="5" t="str">
        <f>IFERROR(__xludf.DUMMYFUNCTION("GOOGLETRANSLATE(B14408,""en"",""fr"")"),"Il y a un groupe plus important de 5 qui sautent la corde en synchronisation et font beaucoup de trucs sympas.")</f>
        <v>Il y a un groupe plus important de 5 qui sautent la corde en synchronisation et font beaucoup de trucs sympas.</v>
      </c>
    </row>
    <row r="14409">
      <c r="A14409" s="4" t="s">
        <v>18144</v>
      </c>
      <c r="B14409" s="6" t="s">
        <v>18148</v>
      </c>
      <c r="C14409" s="5" t="str">
        <f>IFERROR(__xludf.DUMMYFUNCTION("GOOGLETRANSLATE(B14409,""en"",""fr"")"),"Suivi de beaucoup de vidéos de nombreuses personnes différentes qui sautent et en groupes ensemble le faisant dans les compétitions et pour le plaisir ou la pratique.")</f>
        <v>Suivi de beaucoup de vidéos de nombreuses personnes différentes qui sautent et en groupes ensemble le faisant dans les compétitions et pour le plaisir ou la pratique.</v>
      </c>
    </row>
    <row r="14410">
      <c r="A14410" s="4" t="s">
        <v>18149</v>
      </c>
      <c r="B14410" s="4" t="s">
        <v>18150</v>
      </c>
      <c r="C14410" s="5" t="str">
        <f>IFERROR(__xludf.DUMMYFUNCTION("GOOGLETRANSLATE(B14410,""en"",""fr"")"),"Une femme applaudissant en marge, encourageant quelqu'un.")</f>
        <v>Une femme applaudissant en marge, encourageant quelqu'un.</v>
      </c>
    </row>
    <row r="14411">
      <c r="A14411" s="4" t="s">
        <v>18149</v>
      </c>
      <c r="B14411" s="4" t="s">
        <v>18151</v>
      </c>
      <c r="C14411" s="5" t="str">
        <f>IFERROR(__xludf.DUMMYFUNCTION("GOOGLETRANSLATE(B14411,""en"",""fr"")"),"Entraîneurs debout de l'autre côté de la clôture en regardant pour évaluer.")</f>
        <v>Entraîneurs debout de l'autre côté de la clôture en regardant pour évaluer.</v>
      </c>
    </row>
    <row r="14412">
      <c r="A14412" s="4" t="s">
        <v>18149</v>
      </c>
      <c r="B14412" s="4" t="s">
        <v>18152</v>
      </c>
      <c r="C14412" s="5" t="str">
        <f>IFERROR(__xludf.DUMMYFUNCTION("GOOGLETRANSLATE(B14412,""en"",""fr"")"),"Le coureur coule sur le gazon super rapide.")</f>
        <v>Le coureur coule sur le gazon super rapide.</v>
      </c>
    </row>
    <row r="14413">
      <c r="A14413" s="4" t="s">
        <v>18149</v>
      </c>
      <c r="B14413" s="6" t="s">
        <v>18153</v>
      </c>
      <c r="C14413" s="5" t="str">
        <f>IFERROR(__xludf.DUMMYFUNCTION("GOOGLETRANSLATE(B14413,""en"",""fr"")"),"Il saute à la fin et atterrit en douceur dans le sable, tandis que l'un des entraîneurs tire une ficelle.")</f>
        <v>Il saute à la fin et atterrit en douceur dans le sable, tandis que l'un des entraîneurs tire une ficelle.</v>
      </c>
    </row>
    <row r="14414">
      <c r="A14414" s="4" t="s">
        <v>18154</v>
      </c>
      <c r="B14414" s="4" t="s">
        <v>18155</v>
      </c>
      <c r="C14414" s="5" t="str">
        <f>IFERROR(__xludf.DUMMYFUNCTION("GOOGLETRANSLATE(B14414,""en"",""fr"")"),"L'hôte accueille la vidéo et présente sa recette.")</f>
        <v>L'hôte accueille la vidéo et présente sa recette.</v>
      </c>
    </row>
    <row r="14415">
      <c r="A14415" s="4" t="s">
        <v>18154</v>
      </c>
      <c r="B14415" s="4" t="s">
        <v>18156</v>
      </c>
      <c r="C14415" s="5" t="str">
        <f>IFERROR(__xludf.DUMMYFUNCTION("GOOGLETRANSLATE(B14415,""en"",""fr"")"),"La liste des ingrédients apparaît et l'hôte en parle.")</f>
        <v>La liste des ingrédients apparaît et l'hôte en parle.</v>
      </c>
    </row>
    <row r="14416">
      <c r="A14416" s="4" t="s">
        <v>18154</v>
      </c>
      <c r="B14416" s="4" t="s">
        <v>18157</v>
      </c>
      <c r="C14416" s="5" t="str">
        <f>IFERROR(__xludf.DUMMYFUNCTION("GOOGLETRANSLATE(B14416,""en"",""fr"")"),"L'hôte commence à faire la boisson en commençant un sirop.")</f>
        <v>L'hôte commence à faire la boisson en commençant un sirop.</v>
      </c>
    </row>
    <row r="14417">
      <c r="A14417" s="4" t="s">
        <v>18154</v>
      </c>
      <c r="B14417" s="4" t="s">
        <v>18158</v>
      </c>
      <c r="C14417" s="5" t="str">
        <f>IFERROR(__xludf.DUMMYFUNCTION("GOOGLETRANSLATE(B14417,""en"",""fr"")"),"Les citrons suivants sont tranchés sur une planche à découper.")</f>
        <v>Les citrons suivants sont tranchés sur une planche à découper.</v>
      </c>
    </row>
    <row r="14418">
      <c r="A14418" s="4" t="s">
        <v>18154</v>
      </c>
      <c r="B14418" s="4" t="s">
        <v>18159</v>
      </c>
      <c r="C14418" s="5" t="str">
        <f>IFERROR(__xludf.DUMMYFUNCTION("GOOGLETRANSLATE(B14418,""en"",""fr"")"),"Les nombreux citrons sont dumes un par un.")</f>
        <v>Les nombreux citrons sont dumes un par un.</v>
      </c>
    </row>
    <row r="14419">
      <c r="A14419" s="4" t="s">
        <v>18154</v>
      </c>
      <c r="B14419" s="6" t="s">
        <v>18160</v>
      </c>
      <c r="C14419" s="5" t="str">
        <f>IFERROR(__xludf.DUMMYFUNCTION("GOOGLETRANSLATE(B14419,""en"",""fr"")"),"L'hôte remplit le récipient de glace et verse les ingrédients liquides, suivis des tranches de basilic et de citron.")</f>
        <v>L'hôte remplit le récipient de glace et verse les ingrédients liquides, suivis des tranches de basilic et de citron.</v>
      </c>
    </row>
    <row r="14420">
      <c r="A14420" s="4" t="s">
        <v>18154</v>
      </c>
      <c r="B14420" s="4" t="s">
        <v>18161</v>
      </c>
      <c r="C14420" s="5" t="str">
        <f>IFERROR(__xludf.DUMMYFUNCTION("GOOGLETRANSLATE(B14420,""en"",""fr"")"),"L'hôte décore des pailles et termine sa boisson.")</f>
        <v>L'hôte décore des pailles et termine sa boisson.</v>
      </c>
    </row>
    <row r="14421">
      <c r="A14421" s="4" t="s">
        <v>18162</v>
      </c>
      <c r="B14421" s="4" t="s">
        <v>18163</v>
      </c>
      <c r="C14421" s="5" t="str">
        <f>IFERROR(__xludf.DUMMYFUNCTION("GOOGLETRANSLATE(B14421,""en"",""fr"")"),"Une grande piscine est vue suivie d'une personne qui entre et tombant d'une planche.")</f>
        <v>Une grande piscine est vue suivie d'une personne qui entre et tombant d'une planche.</v>
      </c>
    </row>
    <row r="14422">
      <c r="A14422" s="4" t="s">
        <v>18162</v>
      </c>
      <c r="B14422" s="4" t="s">
        <v>18164</v>
      </c>
      <c r="C14422" s="5" t="str">
        <f>IFERROR(__xludf.DUMMYFUNCTION("GOOGLETRANSLATE(B14422,""en"",""fr"")"),"Une autre personne est vue en train de sortir d'un plongeon et de sauter dans l'eau.")</f>
        <v>Une autre personne est vue en train de sortir d'un plongeon et de sauter dans l'eau.</v>
      </c>
    </row>
    <row r="14423">
      <c r="A14423" s="4" t="s">
        <v>18162</v>
      </c>
      <c r="B14423" s="4" t="s">
        <v>18165</v>
      </c>
      <c r="C14423" s="5" t="str">
        <f>IFERROR(__xludf.DUMMYFUNCTION("GOOGLETRANSLATE(B14423,""en"",""fr"")"),"Plusieurs autres clips sont montrés des personnes qui tentent de plonger dans l'eau mais échouent.")</f>
        <v>Plusieurs autres clips sont montrés des personnes qui tentent de plonger dans l'eau mais échouent.</v>
      </c>
    </row>
    <row r="14424">
      <c r="A14424" s="4" t="s">
        <v>18166</v>
      </c>
      <c r="B14424" s="6" t="s">
        <v>18167</v>
      </c>
      <c r="C14424" s="5" t="str">
        <f>IFERROR(__xludf.DUMMYFUNCTION("GOOGLETRANSLATE(B14424,""en"",""fr"")"),"Un groupe portant des kilts écossais joue des cornemusettes et d'autres instruments de l'auditorium de l'université avant.")</f>
        <v>Un groupe portant des kilts écossais joue des cornemusettes et d'autres instruments de l'auditorium de l'université avant.</v>
      </c>
    </row>
    <row r="14425">
      <c r="A14425" s="4" t="s">
        <v>18166</v>
      </c>
      <c r="B14425" s="4" t="s">
        <v>18168</v>
      </c>
      <c r="C14425" s="5" t="str">
        <f>IFERROR(__xludf.DUMMYFUNCTION("GOOGLETRANSLATE(B14425,""en"",""fr"")"),"La foule regarde autour et prévoit l'événement.")</f>
        <v>La foule regarde autour et prévoit l'événement.</v>
      </c>
    </row>
    <row r="14426">
      <c r="A14426" s="4" t="s">
        <v>18166</v>
      </c>
      <c r="B14426" s="4" t="s">
        <v>18169</v>
      </c>
      <c r="C14426" s="5" t="str">
        <f>IFERROR(__xludf.DUMMYFUNCTION("GOOGLETRANSLATE(B14426,""en"",""fr"")"),"Le panneau scolaire est vu suspendu au-dessus du podium.")</f>
        <v>Le panneau scolaire est vu suspendu au-dessus du podium.</v>
      </c>
    </row>
    <row r="14427">
      <c r="A14427" s="4" t="s">
        <v>18170</v>
      </c>
      <c r="B14427" s="4" t="s">
        <v>18171</v>
      </c>
      <c r="C14427" s="5" t="str">
        <f>IFERROR(__xludf.DUMMYFUNCTION("GOOGLETRANSLATE(B14427,""en"",""fr"")"),"Un homme en costume brun parle.")</f>
        <v>Un homme en costume brun parle.</v>
      </c>
    </row>
    <row r="14428">
      <c r="A14428" s="4" t="s">
        <v>18170</v>
      </c>
      <c r="B14428" s="4" t="s">
        <v>18172</v>
      </c>
      <c r="C14428" s="5" t="str">
        <f>IFERROR(__xludf.DUMMYFUNCTION("GOOGLETRANSLATE(B14428,""en"",""fr"")"),"Les gens courent sur un terrain en jouant à la crosse.")</f>
        <v>Les gens courent sur un terrain en jouant à la crosse.</v>
      </c>
    </row>
    <row r="14429">
      <c r="A14429" s="4" t="s">
        <v>18173</v>
      </c>
      <c r="B14429" s="4" t="s">
        <v>18174</v>
      </c>
      <c r="C14429" s="5" t="str">
        <f>IFERROR(__xludf.DUMMYFUNCTION("GOOGLETRANSLATE(B14429,""en"",""fr"")"),"Une femme arrive sur l'écran à genoux en tenant un bâton.")</f>
        <v>Une femme arrive sur l'écran à genoux en tenant un bâton.</v>
      </c>
    </row>
    <row r="14430">
      <c r="A14430" s="4" t="s">
        <v>18173</v>
      </c>
      <c r="B14430" s="4" t="s">
        <v>18175</v>
      </c>
      <c r="C14430" s="5" t="str">
        <f>IFERROR(__xludf.DUMMYFUNCTION("GOOGLETRANSLATE(B14430,""en"",""fr"")"),"Elle commence à s'étendre plus profondément dans la position tout en tenant le bâton pour l'équilibre.")</f>
        <v>Elle commence à s'étendre plus profondément dans la position tout en tenant le bâton pour l'équilibre.</v>
      </c>
    </row>
    <row r="14431">
      <c r="A14431" s="4" t="s">
        <v>18173</v>
      </c>
      <c r="B14431" s="4" t="s">
        <v>18176</v>
      </c>
      <c r="C14431" s="5" t="str">
        <f>IFERROR(__xludf.DUMMYFUNCTION("GOOGLETRANSLATE(B14431,""en"",""fr"")"),"Elle s'arrête juste avant la fin de la vidéo.")</f>
        <v>Elle s'arrête juste avant la fin de la vidéo.</v>
      </c>
    </row>
    <row r="14432">
      <c r="A14432" s="4" t="s">
        <v>18177</v>
      </c>
      <c r="B14432" s="4" t="s">
        <v>18178</v>
      </c>
      <c r="C14432" s="5" t="str">
        <f>IFERROR(__xludf.DUMMYFUNCTION("GOOGLETRANSLATE(B14432,""en"",""fr"")"),"Les gens roulent dans des bateaux à voile sur l'eau.")</f>
        <v>Les gens roulent dans des bateaux à voile sur l'eau.</v>
      </c>
    </row>
    <row r="14433">
      <c r="A14433" s="4" t="s">
        <v>18177</v>
      </c>
      <c r="B14433" s="4" t="s">
        <v>18179</v>
      </c>
      <c r="C14433" s="5" t="str">
        <f>IFERROR(__xludf.DUMMYFUNCTION("GOOGLETRANSLATE(B14433,""en"",""fr"")"),"Les gens se tiennent sur un bar sur un bateau.")</f>
        <v>Les gens se tiennent sur un bar sur un bateau.</v>
      </c>
    </row>
    <row r="14434">
      <c r="A14434" s="4" t="s">
        <v>18177</v>
      </c>
      <c r="B14434" s="4" t="s">
        <v>18180</v>
      </c>
      <c r="C14434" s="5" t="str">
        <f>IFERROR(__xludf.DUMMYFUNCTION("GOOGLETRANSLATE(B14434,""en"",""fr"")"),"Les gens prennent la voile du bateau.")</f>
        <v>Les gens prennent la voile du bateau.</v>
      </c>
    </row>
    <row r="14435">
      <c r="A14435" s="4" t="s">
        <v>18181</v>
      </c>
      <c r="B14435" s="4" t="s">
        <v>18182</v>
      </c>
      <c r="C14435" s="5" t="str">
        <f>IFERROR(__xludf.DUMMYFUNCTION("GOOGLETRANSLATE(B14435,""en"",""fr"")"),"L'homme commence à déchirer la sous-couche de tapis.")</f>
        <v>L'homme commence à déchirer la sous-couche de tapis.</v>
      </c>
    </row>
    <row r="14436">
      <c r="A14436" s="4" t="s">
        <v>18181</v>
      </c>
      <c r="B14436" s="4" t="s">
        <v>18183</v>
      </c>
      <c r="C14436" s="5" t="str">
        <f>IFERROR(__xludf.DUMMYFUNCTION("GOOGLETRANSLATE(B14436,""en"",""fr"")"),"Il mesure la latte à mettre entre l'ouverture de la porte.")</f>
        <v>Il mesure la latte à mettre entre l'ouverture de la porte.</v>
      </c>
    </row>
    <row r="14437">
      <c r="A14437" s="4" t="s">
        <v>18181</v>
      </c>
      <c r="B14437" s="4" t="s">
        <v>18184</v>
      </c>
      <c r="C14437" s="5" t="str">
        <f>IFERROR(__xludf.DUMMYFUNCTION("GOOGLETRANSLATE(B14437,""en"",""fr"")"),"Puis il place des matériaux sous la sous-couche de tapis.")</f>
        <v>Puis il place des matériaux sous la sous-couche de tapis.</v>
      </c>
    </row>
    <row r="14438">
      <c r="A14438" s="4" t="s">
        <v>18181</v>
      </c>
      <c r="B14438" s="4" t="s">
        <v>18185</v>
      </c>
      <c r="C14438" s="5" t="str">
        <f>IFERROR(__xludf.DUMMYFUNCTION("GOOGLETRANSLATE(B14438,""en"",""fr"")"),"Il met une latte en bois dans l'entrée de la porte.")</f>
        <v>Il met une latte en bois dans l'entrée de la porte.</v>
      </c>
    </row>
    <row r="14439">
      <c r="A14439" s="4" t="s">
        <v>18181</v>
      </c>
      <c r="B14439" s="4" t="s">
        <v>18186</v>
      </c>
      <c r="C14439" s="5" t="str">
        <f>IFERROR(__xludf.DUMMYFUNCTION("GOOGLETRANSLATE(B14439,""en"",""fr"")"),"Il prend la latte.")</f>
        <v>Il prend la latte.</v>
      </c>
    </row>
    <row r="14440">
      <c r="A14440" s="4" t="s">
        <v>18181</v>
      </c>
      <c r="B14440" s="4" t="s">
        <v>18187</v>
      </c>
      <c r="C14440" s="5" t="str">
        <f>IFERROR(__xludf.DUMMYFUNCTION("GOOGLETRANSLATE(B14440,""en"",""fr"")"),"Il coupe la latte.")</f>
        <v>Il coupe la latte.</v>
      </c>
    </row>
    <row r="14441">
      <c r="A14441" s="4" t="s">
        <v>18181</v>
      </c>
      <c r="B14441" s="4" t="s">
        <v>18188</v>
      </c>
      <c r="C14441" s="5" t="str">
        <f>IFERROR(__xludf.DUMMYFUNCTION("GOOGLETRANSLATE(B14441,""en"",""fr"")"),"Il repose la latte à nouveau.")</f>
        <v>Il repose la latte à nouveau.</v>
      </c>
    </row>
    <row r="14442">
      <c r="A14442" s="4" t="s">
        <v>18181</v>
      </c>
      <c r="B14442" s="4" t="s">
        <v>18189</v>
      </c>
      <c r="C14442" s="5" t="str">
        <f>IFERROR(__xludf.DUMMYFUNCTION("GOOGLETRANSLATE(B14442,""en"",""fr"")"),"Il le perd en place.")</f>
        <v>Il le perd en place.</v>
      </c>
    </row>
    <row r="14443">
      <c r="A14443" s="4" t="s">
        <v>18181</v>
      </c>
      <c r="B14443" s="4" t="s">
        <v>18190</v>
      </c>
      <c r="C14443" s="5" t="str">
        <f>IFERROR(__xludf.DUMMYFUNCTION("GOOGLETRANSLATE(B14443,""en"",""fr"")"),"Il pose ensuite ses mains sur le dessus de la latte.")</f>
        <v>Il pose ensuite ses mains sur le dessus de la latte.</v>
      </c>
    </row>
    <row r="14444">
      <c r="A14444" s="4" t="s">
        <v>18191</v>
      </c>
      <c r="B14444" s="4" t="s">
        <v>18192</v>
      </c>
      <c r="C14444" s="5" t="str">
        <f>IFERROR(__xludf.DUMMYFUNCTION("GOOGLETRANSLATE(B14444,""en"",""fr"")"),"Une dame nourrit une glace pour bébé dans une voiture.")</f>
        <v>Une dame nourrit une glace pour bébé dans une voiture.</v>
      </c>
    </row>
    <row r="14445">
      <c r="A14445" s="4" t="s">
        <v>18191</v>
      </c>
      <c r="B14445" s="4" t="s">
        <v>18193</v>
      </c>
      <c r="C14445" s="5" t="str">
        <f>IFERROR(__xludf.DUMMYFUNCTION("GOOGLETRANSLATE(B14445,""en"",""fr"")"),"La dame tend la glace à la dame à côté d'elle et nourrit le bébé autre chose.")</f>
        <v>La dame tend la glace à la dame à côté d'elle et nourrit le bébé autre chose.</v>
      </c>
    </row>
    <row r="14446">
      <c r="A14446" s="4" t="s">
        <v>18191</v>
      </c>
      <c r="B14446" s="4" t="s">
        <v>18194</v>
      </c>
      <c r="C14446" s="5" t="str">
        <f>IFERROR(__xludf.DUMMYFUNCTION("GOOGLETRANSLATE(B14446,""en"",""fr"")"),"Le bébé atteint la nourriture.")</f>
        <v>Le bébé atteint la nourriture.</v>
      </c>
    </row>
    <row r="14447">
      <c r="A14447" s="4" t="s">
        <v>18191</v>
      </c>
      <c r="B14447" s="4" t="s">
        <v>18195</v>
      </c>
      <c r="C14447" s="5" t="str">
        <f>IFERROR(__xludf.DUMMYFUNCTION("GOOGLETRANSLATE(B14447,""en"",""fr"")"),"Le bébé atteint à nouveau la nourriture.")</f>
        <v>Le bébé atteint à nouveau la nourriture.</v>
      </c>
    </row>
    <row r="14448">
      <c r="A14448" s="4" t="s">
        <v>18191</v>
      </c>
      <c r="B14448" s="4" t="s">
        <v>18196</v>
      </c>
      <c r="C14448" s="5" t="str">
        <f>IFERROR(__xludf.DUMMYFUNCTION("GOOGLETRANSLATE(B14448,""en"",""fr"")"),"La dame essuie le visage des bébés et la relève.")</f>
        <v>La dame essuie le visage des bébés et la relève.</v>
      </c>
    </row>
    <row r="14449">
      <c r="A14449" s="4" t="s">
        <v>18191</v>
      </c>
      <c r="B14449" s="4" t="s">
        <v>18197</v>
      </c>
      <c r="C14449" s="5" t="str">
        <f>IFERROR(__xludf.DUMMYFUNCTION("GOOGLETRANSLATE(B14449,""en"",""fr"")"),"Nous voyons les dames parler.")</f>
        <v>Nous voyons les dames parler.</v>
      </c>
    </row>
    <row r="14450">
      <c r="A14450" s="4" t="s">
        <v>18198</v>
      </c>
      <c r="B14450" s="4" t="s">
        <v>18199</v>
      </c>
      <c r="C14450" s="5" t="str">
        <f>IFERROR(__xludf.DUMMYFUNCTION("GOOGLETRANSLATE(B14450,""en"",""fr"")"),"Il y a une dame qui fait un tutoriel sur la façon de faire un gâteau à ogura doux en coton.")</f>
        <v>Il y a une dame qui fait un tutoriel sur la façon de faire un gâteau à ogura doux en coton.</v>
      </c>
    </row>
    <row r="14451">
      <c r="A14451" s="4" t="s">
        <v>18198</v>
      </c>
      <c r="B14451" s="4" t="s">
        <v>18200</v>
      </c>
      <c r="C14451" s="5" t="str">
        <f>IFERROR(__xludf.DUMMYFUNCTION("GOOGLETRANSLATE(B14451,""en"",""fr"")"),"Elle commence par mélanger les ingrédients dans un grand bol placé sur son comptoir de cuisine.")</f>
        <v>Elle commence par mélanger les ingrédients dans un grand bol placé sur son comptoir de cuisine.</v>
      </c>
    </row>
    <row r="14452">
      <c r="A14452" s="4" t="s">
        <v>18198</v>
      </c>
      <c r="B14452" s="4" t="s">
        <v>18201</v>
      </c>
      <c r="C14452" s="5" t="str">
        <f>IFERROR(__xludf.DUMMYFUNCTION("GOOGLETRANSLATE(B14452,""en"",""fr"")"),"Elle ajoute quelques œufs à la farine avec l'essence de vanille.")</f>
        <v>Elle ajoute quelques œufs à la farine avec l'essence de vanille.</v>
      </c>
    </row>
    <row r="14453">
      <c r="A14453" s="4" t="s">
        <v>18198</v>
      </c>
      <c r="B14453" s="4" t="s">
        <v>18202</v>
      </c>
      <c r="C14453" s="5" t="str">
        <f>IFERROR(__xludf.DUMMYFUNCTION("GOOGLETRANSLATE(B14453,""en"",""fr"")"),"Ensuite, elle utilise un mélangeur à main pour mélanger les ingrédients.")</f>
        <v>Ensuite, elle utilise un mélangeur à main pour mélanger les ingrédients.</v>
      </c>
    </row>
    <row r="14454">
      <c r="A14454" s="4" t="s">
        <v>18198</v>
      </c>
      <c r="B14454" s="4" t="s">
        <v>18203</v>
      </c>
      <c r="C14454" s="5" t="str">
        <f>IFERROR(__xludf.DUMMYFUNCTION("GOOGLETRANSLATE(B14454,""en"",""fr"")"),"Elle prépare ensuite de la crème et du sucre pour faire du glaçage.")</f>
        <v>Elle prépare ensuite de la crème et du sucre pour faire du glaçage.</v>
      </c>
    </row>
    <row r="14455">
      <c r="A14455" s="4" t="s">
        <v>18198</v>
      </c>
      <c r="B14455" s="4" t="s">
        <v>18204</v>
      </c>
      <c r="C14455" s="5" t="str">
        <f>IFERROR(__xludf.DUMMYFUNCTION("GOOGLETRANSLATE(B14455,""en"",""fr"")"),"Elle ajoute le glaçage à la pâte à gâteau et le mélange bien.")</f>
        <v>Elle ajoute le glaçage à la pâte à gâteau et le mélange bien.</v>
      </c>
    </row>
    <row r="14456">
      <c r="A14456" s="4" t="s">
        <v>18198</v>
      </c>
      <c r="B14456" s="4" t="s">
        <v>18205</v>
      </c>
      <c r="C14456" s="5" t="str">
        <f>IFERROR(__xludf.DUMMYFUNCTION("GOOGLETRANSLATE(B14456,""en"",""fr"")"),"Ensuite, elle verse le mélange dans un bol à cuisson.")</f>
        <v>Ensuite, elle verse le mélange dans un bol à cuisson.</v>
      </c>
    </row>
    <row r="14457">
      <c r="A14457" s="4" t="s">
        <v>18198</v>
      </c>
      <c r="B14457" s="4" t="s">
        <v>18206</v>
      </c>
      <c r="C14457" s="5" t="str">
        <f>IFERROR(__xludf.DUMMYFUNCTION("GOOGLETRANSLATE(B14457,""en"",""fr"")"),"Elle place le bol dans une plaque à biscuits et le place sur le support de four.")</f>
        <v>Elle place le bol dans une plaque à biscuits et le place sur le support de four.</v>
      </c>
    </row>
    <row r="14458">
      <c r="A14458" s="4" t="s">
        <v>18198</v>
      </c>
      <c r="B14458" s="4" t="s">
        <v>18207</v>
      </c>
      <c r="C14458" s="5" t="str">
        <f>IFERROR(__xludf.DUMMYFUNCTION("GOOGLETRANSLATE(B14458,""en"",""fr"")"),"Elle cuit le gâteau et le retire quand c'est fait.")</f>
        <v>Elle cuit le gâteau et le retire quand c'est fait.</v>
      </c>
    </row>
    <row r="14459">
      <c r="A14459" s="4" t="s">
        <v>18198</v>
      </c>
      <c r="B14459" s="4" t="s">
        <v>18208</v>
      </c>
      <c r="C14459" s="5" t="str">
        <f>IFERROR(__xludf.DUMMYFUNCTION("GOOGLETRANSLATE(B14459,""en"",""fr"")"),"Elle montre également d'autres goodies cuits au four qu'elle a préparés.")</f>
        <v>Elle montre également d'autres goodies cuits au four qu'elle a préparés.</v>
      </c>
    </row>
    <row r="14460">
      <c r="A14460" s="4" t="s">
        <v>18209</v>
      </c>
      <c r="B14460" s="4" t="s">
        <v>18210</v>
      </c>
      <c r="C14460" s="5" t="str">
        <f>IFERROR(__xludf.DUMMYFUNCTION("GOOGLETRANSLATE(B14460,""en"",""fr"")"),"Une femme est vue en train d'héberger un segment d'actualités qui mène à un clip d'un saut de chien.")</f>
        <v>Une femme est vue en train d'héberger un segment d'actualités qui mène à un clip d'un saut de chien.</v>
      </c>
    </row>
    <row r="14461">
      <c r="A14461" s="4" t="s">
        <v>18209</v>
      </c>
      <c r="B14461" s="4" t="s">
        <v>18211</v>
      </c>
      <c r="C14461" s="5" t="str">
        <f>IFERROR(__xludf.DUMMYFUNCTION("GOOGLETRANSLATE(B14461,""en"",""fr"")"),"On montre aux gens de faire des astuces avec leurs chiens et courir dans tout un champ.")</f>
        <v>On montre aux gens de faire des astuces avec leurs chiens et courir dans tout un champ.</v>
      </c>
    </row>
    <row r="14462">
      <c r="A14462" s="4" t="s">
        <v>18209</v>
      </c>
      <c r="B14462" s="4" t="s">
        <v>18212</v>
      </c>
      <c r="C14462" s="5" t="str">
        <f>IFERROR(__xludf.DUMMYFUNCTION("GOOGLETRANSLATE(B14462,""en"",""fr"")"),"Plus de clips sont montrés des personnes jetant des frisbees et des chiens après.")</f>
        <v>Plus de clips sont montrés des personnes jetant des frisbees et des chiens après.</v>
      </c>
    </row>
    <row r="14463">
      <c r="A14463" s="4" t="s">
        <v>18213</v>
      </c>
      <c r="B14463" s="4" t="s">
        <v>18214</v>
      </c>
      <c r="C14463" s="5" t="str">
        <f>IFERROR(__xludf.DUMMYFUNCTION("GOOGLETRANSLATE(B14463,""en"",""fr"")"),"Plusieurs personnes sont à l'extérieur, lavant le linge dans les bassins ouverts.")</f>
        <v>Plusieurs personnes sont à l'extérieur, lavant le linge dans les bassins ouverts.</v>
      </c>
    </row>
    <row r="14464">
      <c r="A14464" s="4" t="s">
        <v>18213</v>
      </c>
      <c r="B14464" s="4" t="s">
        <v>18215</v>
      </c>
      <c r="C14464" s="5" t="str">
        <f>IFERROR(__xludf.DUMMYFUNCTION("GOOGLETRANSLATE(B14464,""en"",""fr"")"),"Les femmes utilisent une pompe pour apporter de l'eau dans les bassins.")</f>
        <v>Les femmes utilisent une pompe pour apporter de l'eau dans les bassins.</v>
      </c>
    </row>
    <row r="14465">
      <c r="A14465" s="4" t="s">
        <v>18216</v>
      </c>
      <c r="B14465" s="6" t="s">
        <v>18217</v>
      </c>
      <c r="C14465" s="5" t="str">
        <f>IFERROR(__xludf.DUMMYFUNCTION("GOOGLETRANSLATE(B14465,""en"",""fr"")"),"Une femme est vue en parlant à la caméra tout en tenant un cerceau de hula, puis continue de faire tourner l'objet autour d'elle.")</f>
        <v>Une femme est vue en parlant à la caméra tout en tenant un cerceau de hula, puis continue de faire tourner l'objet autour d'elle.</v>
      </c>
    </row>
    <row r="14466">
      <c r="A14466" s="4" t="s">
        <v>18216</v>
      </c>
      <c r="B14466" s="6" t="s">
        <v>18218</v>
      </c>
      <c r="C14466" s="5" t="str">
        <f>IFERROR(__xludf.DUMMYFUNCTION("GOOGLETRANSLATE(B14466,""en"",""fr"")"),"Elle continue Hula Hooping encore et encore et mène à des photos de gens Hula Hooping à la fin.")</f>
        <v>Elle continue Hula Hooping encore et encore et mène à des photos de gens Hula Hooping à la fin.</v>
      </c>
    </row>
    <row r="14467">
      <c r="A14467" s="4" t="s">
        <v>18219</v>
      </c>
      <c r="B14467" s="4" t="s">
        <v>18220</v>
      </c>
      <c r="C14467" s="5" t="str">
        <f>IFERROR(__xludf.DUMMYFUNCTION("GOOGLETRANSLATE(B14467,""en"",""fr"")"),"Un homme lève une balle dans les airs et le tient contre son cou et lance le ballon loin.")</f>
        <v>Un homme lève une balle dans les airs et le tient contre son cou et lance le ballon loin.</v>
      </c>
    </row>
    <row r="14468">
      <c r="A14468" s="4" t="s">
        <v>18219</v>
      </c>
      <c r="B14468" s="4" t="s">
        <v>18221</v>
      </c>
      <c r="C14468" s="5" t="str">
        <f>IFERROR(__xludf.DUMMYFUNCTION("GOOGLETRANSLATE(B14468,""en"",""fr"")"),"L'homme tient le ballon contre son cou et tord son dos et le jette.")</f>
        <v>L'homme tient le ballon contre son cou et tord son dos et le jette.</v>
      </c>
    </row>
    <row r="14469">
      <c r="A14469" s="4" t="s">
        <v>18219</v>
      </c>
      <c r="B14469" s="4" t="s">
        <v>18222</v>
      </c>
      <c r="C14469" s="5" t="str">
        <f>IFERROR(__xludf.DUMMYFUNCTION("GOOGLETRANSLATE(B14469,""en"",""fr"")"),"L'homme attrape le ballon et fait un grand pas derrière lui et lance le ballon.")</f>
        <v>L'homme attrape le ballon et fait un grand pas derrière lui et lance le ballon.</v>
      </c>
    </row>
    <row r="14470">
      <c r="A14470" s="4" t="s">
        <v>18219</v>
      </c>
      <c r="B14470" s="4" t="s">
        <v>18223</v>
      </c>
      <c r="C14470" s="5" t="str">
        <f>IFERROR(__xludf.DUMMYFUNCTION("GOOGLETRANSLATE(B14470,""en"",""fr"")"),"L'homme tord son corps plusieurs fois alors qu'il tient le ballon contre son cou.")</f>
        <v>L'homme tord son corps plusieurs fois alors qu'il tient le ballon contre son cou.</v>
      </c>
    </row>
    <row r="14471">
      <c r="A14471" s="4" t="s">
        <v>18219</v>
      </c>
      <c r="B14471" s="4" t="s">
        <v>18224</v>
      </c>
      <c r="C14471" s="5" t="str">
        <f>IFERROR(__xludf.DUMMYFUNCTION("GOOGLETRANSLATE(B14471,""en"",""fr"")"),"L'homme fait un mouvement à 90 degrés alors qu'il tient le ballon contre son cou.")</f>
        <v>L'homme fait un mouvement à 90 degrés alors qu'il tient le ballon contre son cou.</v>
      </c>
    </row>
    <row r="14472">
      <c r="A14472" s="4" t="s">
        <v>18219</v>
      </c>
      <c r="B14472" s="4" t="s">
        <v>18225</v>
      </c>
      <c r="C14472" s="5" t="str">
        <f>IFERROR(__xludf.DUMMYFUNCTION("GOOGLETRANSLATE(B14472,""en"",""fr"")"),"L'homme tient le ballon contre son cou alors qu'il fait une rotation complète de 180 degrés avec son corps.")</f>
        <v>L'homme tient le ballon contre son cou alors qu'il fait une rotation complète de 180 degrés avec son corps.</v>
      </c>
    </row>
    <row r="14473">
      <c r="A14473" s="4" t="s">
        <v>18219</v>
      </c>
      <c r="B14473" s="4" t="s">
        <v>18226</v>
      </c>
      <c r="C14473" s="5" t="str">
        <f>IFERROR(__xludf.DUMMYFUNCTION("GOOGLETRANSLATE(B14473,""en"",""fr"")"),"Il fait semblant de tenir le ballon en faisant pivoter son corps dans un mouvement de 270 degrés.")</f>
        <v>Il fait semblant de tenir le ballon en faisant pivoter son corps dans un mouvement de 270 degrés.</v>
      </c>
    </row>
    <row r="14474">
      <c r="A14474" s="4" t="s">
        <v>18227</v>
      </c>
      <c r="B14474" s="4" t="s">
        <v>18228</v>
      </c>
      <c r="C14474" s="5" t="str">
        <f>IFERROR(__xludf.DUMMYFUNCTION("GOOGLETRANSLATE(B14474,""en"",""fr"")"),"Un homme est vu parler à la caméra et le mène en tenant plusieurs objets sur une table.")</f>
        <v>Un homme est vu parler à la caméra et le mène en tenant plusieurs objets sur une table.</v>
      </c>
    </row>
    <row r="14475">
      <c r="A14475" s="4" t="s">
        <v>18227</v>
      </c>
      <c r="B14475" s="4" t="s">
        <v>18229</v>
      </c>
      <c r="C14475" s="5" t="str">
        <f>IFERROR(__xludf.DUMMYFUNCTION("GOOGLETRANSLATE(B14475,""en"",""fr"")"),"L'homme aiguise ensuite un objet sur une planche et se termine en brossant la planche.")</f>
        <v>L'homme aiguise ensuite un objet sur une planche et se termine en brossant la planche.</v>
      </c>
    </row>
    <row r="14476">
      <c r="A14476" s="4" t="s">
        <v>18230</v>
      </c>
      <c r="B14476" s="4" t="s">
        <v>18231</v>
      </c>
      <c r="C14476" s="5" t="str">
        <f>IFERROR(__xludf.DUMMYFUNCTION("GOOGLETRANSLATE(B14476,""en"",""fr"")"),"Un homme se lève en jouant un saxophone.")</f>
        <v>Un homme se lève en jouant un saxophone.</v>
      </c>
    </row>
    <row r="14477">
      <c r="A14477" s="4" t="s">
        <v>18230</v>
      </c>
      <c r="B14477" s="4" t="s">
        <v>18232</v>
      </c>
      <c r="C14477" s="5" t="str">
        <f>IFERROR(__xludf.DUMMYFUNCTION("GOOGLETRANSLATE(B14477,""en"",""fr"")"),"Un groupe joue derrière lui.")</f>
        <v>Un groupe joue derrière lui.</v>
      </c>
    </row>
    <row r="14478">
      <c r="A14478" s="4" t="s">
        <v>18230</v>
      </c>
      <c r="B14478" s="4" t="s">
        <v>18233</v>
      </c>
      <c r="C14478" s="5" t="str">
        <f>IFERROR(__xludf.DUMMYFUNCTION("GOOGLETRANSLATE(B14478,""en"",""fr"")"),"Les mots bleus et blancs viennent sur l'écran.")</f>
        <v>Les mots bleus et blancs viennent sur l'écran.</v>
      </c>
    </row>
    <row r="14479">
      <c r="A14479" s="4" t="s">
        <v>18234</v>
      </c>
      <c r="B14479" s="4" t="s">
        <v>18235</v>
      </c>
      <c r="C14479" s="5" t="str">
        <f>IFERROR(__xludf.DUMMYFUNCTION("GOOGLETRANSLATE(B14479,""en"",""fr"")"),"Nous voyons l'écran d'ouverture sur Gray.")</f>
        <v>Nous voyons l'écran d'ouverture sur Gray.</v>
      </c>
    </row>
    <row r="14480">
      <c r="A14480" s="4" t="s">
        <v>18234</v>
      </c>
      <c r="B14480" s="4" t="s">
        <v>18236</v>
      </c>
      <c r="C14480" s="5" t="str">
        <f>IFERROR(__xludf.DUMMYFUNCTION("GOOGLETRANSLATE(B14480,""en"",""fr"")"),"Nous voyons ensuite un homme sur les disques lisser un sol en béton.")</f>
        <v>Nous voyons ensuite un homme sur les disques lisser un sol en béton.</v>
      </c>
    </row>
    <row r="14481">
      <c r="A14481" s="4" t="s">
        <v>18234</v>
      </c>
      <c r="B14481" s="4" t="s">
        <v>18237</v>
      </c>
      <c r="C14481" s="5" t="str">
        <f>IFERROR(__xludf.DUMMYFUNCTION("GOOGLETRANSLATE(B14481,""en"",""fr"")"),"L'homme retire le béton de sa truelle.")</f>
        <v>L'homme retire le béton de sa truelle.</v>
      </c>
    </row>
    <row r="14482">
      <c r="A14482" s="4" t="s">
        <v>18234</v>
      </c>
      <c r="B14482" s="4" t="s">
        <v>18238</v>
      </c>
      <c r="C14482" s="5" t="str">
        <f>IFERROR(__xludf.DUMMYFUNCTION("GOOGLETRANSLATE(B14482,""en"",""fr"")"),"L'homme utilise sa main pour retirer le béton.")</f>
        <v>L'homme utilise sa main pour retirer le béton.</v>
      </c>
    </row>
    <row r="14483">
      <c r="A14483" s="4" t="s">
        <v>18234</v>
      </c>
      <c r="B14483" s="4" t="s">
        <v>1380</v>
      </c>
      <c r="C14483" s="5" t="str">
        <f>IFERROR(__xludf.DUMMYFUNCTION("GOOGLETRANSLATE(B14483,""en"",""fr"")"),"Nous voyons ensuite les crédits de fin.")</f>
        <v>Nous voyons ensuite les crédits de fin.</v>
      </c>
    </row>
    <row r="14484">
      <c r="A14484" s="4" t="s">
        <v>18239</v>
      </c>
      <c r="B14484" s="4" t="s">
        <v>18240</v>
      </c>
      <c r="C14484" s="5" t="str">
        <f>IFERROR(__xludf.DUMMYFUNCTION("GOOGLETRANSLATE(B14484,""en"",""fr"")"),"La femme est assise en studio en donnant la nouvelle.")</f>
        <v>La femme est assise en studio en donnant la nouvelle.</v>
      </c>
    </row>
    <row r="14485">
      <c r="A14485" s="4" t="s">
        <v>18239</v>
      </c>
      <c r="B14485" s="4" t="s">
        <v>18241</v>
      </c>
      <c r="C14485" s="5" t="str">
        <f>IFERROR(__xludf.DUMMYFUNCTION("GOOGLETRANSLATE(B14485,""en"",""fr"")"),"Une personne est dans une cour qui balaie les feuilles sèches.")</f>
        <v>Une personne est dans une cour qui balaie les feuilles sèches.</v>
      </c>
    </row>
    <row r="14486">
      <c r="A14486" s="4" t="s">
        <v>18239</v>
      </c>
      <c r="B14486" s="4" t="s">
        <v>18242</v>
      </c>
      <c r="C14486" s="5" t="str">
        <f>IFERROR(__xludf.DUMMYFUNCTION("GOOGLETRANSLATE(B14486,""en"",""fr"")"),"La vieille femme est interviewée et parle à la caméra dans un salon.")</f>
        <v>La vieille femme est interviewée et parle à la caméra dans un salon.</v>
      </c>
    </row>
    <row r="14487">
      <c r="A14487" s="4" t="s">
        <v>18239</v>
      </c>
      <c r="B14487" s="6" t="s">
        <v>18243</v>
      </c>
      <c r="C14487" s="5" t="str">
        <f>IFERROR(__xludf.DUMMYFUNCTION("GOOGLETRANSLATE(B14487,""en"",""fr"")"),"Une femme et un homme sont interviewés et parlent à la caméra pendant qu'ils balayent les feuilles.")</f>
        <v>Une femme et un homme sont interviewés et parlent à la caméra pendant qu'ils balayent les feuilles.</v>
      </c>
    </row>
    <row r="14488">
      <c r="A14488" s="4" t="s">
        <v>18239</v>
      </c>
      <c r="B14488" s="4" t="s">
        <v>18244</v>
      </c>
      <c r="C14488" s="5" t="str">
        <f>IFERROR(__xludf.DUMMYFUNCTION("GOOGLETRANSLATE(B14488,""en"",""fr"")"),"La vieille femme est Agani qui s'acte et de retour en studio pour parler à la caméra.")</f>
        <v>La vieille femme est Agani qui s'acte et de retour en studio pour parler à la caméra.</v>
      </c>
    </row>
    <row r="14489">
      <c r="A14489" s="4" t="s">
        <v>18245</v>
      </c>
      <c r="B14489" s="4" t="s">
        <v>18246</v>
      </c>
      <c r="C14489" s="5" t="str">
        <f>IFERROR(__xludf.DUMMYFUNCTION("GOOGLETRANSLATE(B14489,""en"",""fr"")"),"Un préposé à la nourriture prépare un cornet de crème glacée à partir d'un distributeur de yaourt glacé.")</f>
        <v>Un préposé à la nourriture prépare un cornet de crème glacée à partir d'un distributeur de yaourt glacé.</v>
      </c>
    </row>
    <row r="14490">
      <c r="A14490" s="4" t="s">
        <v>18245</v>
      </c>
      <c r="B14490" s="4" t="s">
        <v>18247</v>
      </c>
      <c r="C14490" s="5" t="str">
        <f>IFERROR(__xludf.DUMMYFUNCTION("GOOGLETRANSLATE(B14490,""en"",""fr"")"),"L'homme regarde joyeusement sa crème glacée se préparer.")</f>
        <v>L'homme regarde joyeusement sa crème glacée se préparer.</v>
      </c>
    </row>
    <row r="14491">
      <c r="A14491" s="4" t="s">
        <v>18245</v>
      </c>
      <c r="B14491" s="4" t="s">
        <v>18248</v>
      </c>
      <c r="C14491" s="5" t="str">
        <f>IFERROR(__xludf.DUMMYFUNCTION("GOOGLETRANSLATE(B14491,""en"",""fr"")"),"L'homme aime que la crème glacée la mange aussi vite que possible.")</f>
        <v>L'homme aime que la crème glacée la mange aussi vite que possible.</v>
      </c>
    </row>
    <row r="14492">
      <c r="A14492" s="4" t="s">
        <v>18245</v>
      </c>
      <c r="B14492" s="4" t="s">
        <v>18249</v>
      </c>
      <c r="C14492" s="5" t="str">
        <f>IFERROR(__xludf.DUMMYFUNCTION("GOOGLETRANSLATE(B14492,""en"",""fr"")"),"L'homme se frotte la tête et est soulagé.")</f>
        <v>L'homme se frotte la tête et est soulagé.</v>
      </c>
    </row>
    <row r="14493">
      <c r="A14493" s="4" t="s">
        <v>18250</v>
      </c>
      <c r="B14493" s="4" t="s">
        <v>18251</v>
      </c>
      <c r="C14493" s="5" t="str">
        <f>IFERROR(__xludf.DUMMYFUNCTION("GOOGLETRANSLATE(B14493,""en"",""fr"")"),"Un homme parle à l'intérieur d'une salle de sport.")</f>
        <v>Un homme parle à l'intérieur d'une salle de sport.</v>
      </c>
    </row>
    <row r="14494">
      <c r="A14494" s="4" t="s">
        <v>18250</v>
      </c>
      <c r="B14494" s="4" t="s">
        <v>18252</v>
      </c>
      <c r="C14494" s="5" t="str">
        <f>IFERROR(__xludf.DUMMYFUNCTION("GOOGLETRANSLATE(B14494,""en"",""fr"")"),"Il est allongé sur le terrain pour faire des repos, parlant de la mécanique de l'acte.")</f>
        <v>Il est allongé sur le terrain pour faire des repos, parlant de la mécanique de l'acte.</v>
      </c>
    </row>
    <row r="14495">
      <c r="A14495" s="4" t="s">
        <v>18250</v>
      </c>
      <c r="B14495" s="4" t="s">
        <v>18253</v>
      </c>
      <c r="C14495" s="5" t="str">
        <f>IFERROR(__xludf.DUMMYFUNCTION("GOOGLETRANSLATE(B14495,""en"",""fr"")"),"L'homme montre comment faire des asseures encore et encore.")</f>
        <v>L'homme montre comment faire des asseures encore et encore.</v>
      </c>
    </row>
    <row r="14496">
      <c r="A14496" s="4" t="s">
        <v>18254</v>
      </c>
      <c r="B14496" s="4" t="s">
        <v>18255</v>
      </c>
      <c r="C14496" s="5" t="str">
        <f>IFERROR(__xludf.DUMMYFUNCTION("GOOGLETRANSLATE(B14496,""en"",""fr"")"),"Une femme aux cheveux longs est vue assise derrière un piano et parle à la caméra.")</f>
        <v>Une femme aux cheveux longs est vue assise derrière un piano et parle à la caméra.</v>
      </c>
    </row>
    <row r="14497">
      <c r="A14497" s="4" t="s">
        <v>18254</v>
      </c>
      <c r="B14497" s="4" t="s">
        <v>18256</v>
      </c>
      <c r="C14497" s="5" t="str">
        <f>IFERROR(__xludf.DUMMYFUNCTION("GOOGLETRANSLATE(B14497,""en"",""fr"")"),"Elle place ses mains autour du piano et commence à jouer une chanson.")</f>
        <v>Elle place ses mains autour du piano et commence à jouer une chanson.</v>
      </c>
    </row>
    <row r="14498">
      <c r="A14498" s="4" t="s">
        <v>18254</v>
      </c>
      <c r="B14498" s="4" t="s">
        <v>18257</v>
      </c>
      <c r="C14498" s="5" t="str">
        <f>IFERROR(__xludf.DUMMYFUNCTION("GOOGLETRANSLATE(B14498,""en"",""fr"")"),"Elle continue de jouer de l'instrument et des pauses pour parler un peu de la caméra.")</f>
        <v>Elle continue de jouer de l'instrument et des pauses pour parler un peu de la caméra.</v>
      </c>
    </row>
    <row r="14499">
      <c r="A14499" s="4" t="s">
        <v>18254</v>
      </c>
      <c r="B14499" s="4" t="s">
        <v>18258</v>
      </c>
      <c r="C14499" s="5" t="str">
        <f>IFERROR(__xludf.DUMMYFUNCTION("GOOGLETRANSLATE(B14499,""en"",""fr"")"),"Elle joue un peu plus et se termine avec elle parlant toujours à la caméra.")</f>
        <v>Elle joue un peu plus et se termine avec elle parlant toujours à la caméra.</v>
      </c>
    </row>
    <row r="14500">
      <c r="A14500" s="4" t="s">
        <v>18259</v>
      </c>
      <c r="B14500" s="4" t="s">
        <v>18260</v>
      </c>
      <c r="C14500" s="5" t="str">
        <f>IFERROR(__xludf.DUMMYFUNCTION("GOOGLETRANSLATE(B14500,""en"",""fr"")"),"Un banc est représenté dans une cour devant les buissons.")</f>
        <v>Un banc est représenté dans une cour devant les buissons.</v>
      </c>
    </row>
    <row r="14501">
      <c r="A14501" s="4" t="s">
        <v>18259</v>
      </c>
      <c r="B14501" s="4" t="s">
        <v>18261</v>
      </c>
      <c r="C14501" s="5" t="str">
        <f>IFERROR(__xludf.DUMMYFUNCTION("GOOGLETRANSLATE(B14501,""en"",""fr"")"),"Un homme utilise une échelle pour couper les haies.")</f>
        <v>Un homme utilise une échelle pour couper les haies.</v>
      </c>
    </row>
    <row r="14502">
      <c r="A14502" s="4" t="s">
        <v>18259</v>
      </c>
      <c r="B14502" s="4" t="s">
        <v>18262</v>
      </c>
      <c r="C14502" s="5" t="str">
        <f>IFERROR(__xludf.DUMMYFUNCTION("GOOGLETRANSLATE(B14502,""en"",""fr"")"),"Il déplace le banc et se promène avec l'échelle, continuant à couper les haies.")</f>
        <v>Il déplace le banc et se promène avec l'échelle, continuant à couper les haies.</v>
      </c>
    </row>
    <row r="14503">
      <c r="A14503" s="4" t="s">
        <v>18263</v>
      </c>
      <c r="B14503" s="4" t="s">
        <v>18264</v>
      </c>
      <c r="C14503" s="5" t="str">
        <f>IFERROR(__xludf.DUMMYFUNCTION("GOOGLETRANSLATE(B14503,""en"",""fr"")"),"Un homme est vu sauter sur les barres ainsi que jeter un objet à différents endroits.")</f>
        <v>Un homme est vu sauter sur les barres ainsi que jeter un objet à différents endroits.</v>
      </c>
    </row>
    <row r="14504">
      <c r="A14504" s="4" t="s">
        <v>18263</v>
      </c>
      <c r="B14504" s="6" t="s">
        <v>18265</v>
      </c>
      <c r="C14504" s="5" t="str">
        <f>IFERROR(__xludf.DUMMYFUNCTION("GOOGLETRANSLATE(B14504,""en"",""fr"")"),"On voit alors les hommes soulever des poids et jeter l'objet autour de plus et s'éloigner de la caméra.")</f>
        <v>On voit alors les hommes soulever des poids et jeter l'objet autour de plus et s'éloigner de la caméra.</v>
      </c>
    </row>
    <row r="14505">
      <c r="A14505" s="4" t="s">
        <v>18263</v>
      </c>
      <c r="B14505" s="4" t="s">
        <v>18266</v>
      </c>
      <c r="C14505" s="5" t="str">
        <f>IFERROR(__xludf.DUMMYFUNCTION("GOOGLETRANSLATE(B14505,""en"",""fr"")"),"Il continue de s'entraîner en jetant l'objet et la caméra après ses mouvements.")</f>
        <v>Il continue de s'entraîner en jetant l'objet et la caméra après ses mouvements.</v>
      </c>
    </row>
    <row r="14506">
      <c r="A14506" s="4" t="s">
        <v>18267</v>
      </c>
      <c r="B14506" s="4" t="s">
        <v>18268</v>
      </c>
      <c r="C14506" s="5" t="str">
        <f>IFERROR(__xludf.DUMMYFUNCTION("GOOGLETRANSLATE(B14506,""en"",""fr"")"),"Une fille se dirige vers une diapositive, s'assoit, puis descend la diapositive.")</f>
        <v>Une fille se dirige vers une diapositive, s'assoit, puis descend la diapositive.</v>
      </c>
    </row>
    <row r="14507">
      <c r="A14507" s="4" t="s">
        <v>18267</v>
      </c>
      <c r="B14507" s="4" t="s">
        <v>18269</v>
      </c>
      <c r="C14507" s="5" t="str">
        <f>IFERROR(__xludf.DUMMYFUNCTION("GOOGLETRANSLATE(B14507,""en"",""fr"")"),"Elle revient pour recommencer.")</f>
        <v>Elle revient pour recommencer.</v>
      </c>
    </row>
    <row r="14508">
      <c r="A14508" s="4" t="s">
        <v>18270</v>
      </c>
      <c r="B14508" s="6" t="s">
        <v>18271</v>
      </c>
      <c r="C14508" s="5" t="str">
        <f>IFERROR(__xludf.DUMMYFUNCTION("GOOGLETRANSLATE(B14508,""en"",""fr"")"),"Un petit cheval est à l'extérieur dans un champ tenu par une corde attachée à une ceinture enroulée autour du cou du cheval.")</f>
        <v>Un petit cheval est à l'extérieur dans un champ tenu par une corde attachée à une ceinture enroulée autour du cou du cheval.</v>
      </c>
    </row>
    <row r="14509">
      <c r="A14509" s="4" t="s">
        <v>18270</v>
      </c>
      <c r="B14509" s="6" t="s">
        <v>18272</v>
      </c>
      <c r="C14509" s="5" t="str">
        <f>IFERROR(__xludf.DUMMYFUNCTION("GOOGLETRANSLATE(B14509,""en"",""fr"")"),"La personne avec la corde dans sa main a un élément de la torche dans sa main droite, mais il semble avoir seulement de l'air et commence à le déplacer d'avant en arrière à travers le visage et la bouche des chevaux.")</f>
        <v>La personne avec la corde dans sa main a un élément de la torche dans sa main droite, mais il semble avoir seulement de l'air et commence à le déplacer d'avant en arrière à travers le visage et la bouche des chevaux.</v>
      </c>
    </row>
    <row r="14510">
      <c r="A14510" s="4" t="s">
        <v>18270</v>
      </c>
      <c r="B14510" s="6" t="s">
        <v>18273</v>
      </c>
      <c r="C14510" s="5" t="str">
        <f>IFERROR(__xludf.DUMMYFUNCTION("GOOGLETRANSLATE(B14510,""en"",""fr"")"),"Cependant, le cheval ne semble pas plaire et commence à bouger sa lèvre en essayant d'éviter le traitement.")</f>
        <v>Cependant, le cheval ne semble pas plaire et commence à bouger sa lèvre en essayant d'éviter le traitement.</v>
      </c>
    </row>
    <row r="14511">
      <c r="A14511" s="4" t="s">
        <v>18274</v>
      </c>
      <c r="B14511" s="4" t="s">
        <v>18275</v>
      </c>
      <c r="C14511" s="5" t="str">
        <f>IFERROR(__xludf.DUMMYFUNCTION("GOOGLETRANSLATE(B14511,""en"",""fr"")"),"Un garçon montre comment monter une planche à roulettes dans la rue par exemple.")</f>
        <v>Un garçon montre comment monter une planche à roulettes dans la rue par exemple.</v>
      </c>
    </row>
    <row r="14512">
      <c r="A14512" s="4" t="s">
        <v>18274</v>
      </c>
      <c r="B14512" s="6" t="s">
        <v>18276</v>
      </c>
      <c r="C14512" s="5" t="str">
        <f>IFERROR(__xludf.DUMMYFUNCTION("GOOGLETRANSLATE(B14512,""en"",""fr"")"),"Un garçon se lève, à l'extérieur, tenant une planche à roulettes dans ses bras, puis pose la planche et commence à marcher dessus.")</f>
        <v>Un garçon se lève, à l'extérieur, tenant une planche à roulettes dans ses bras, puis pose la planche et commence à marcher dessus.</v>
      </c>
    </row>
    <row r="14513">
      <c r="A14513" s="4" t="s">
        <v>18274</v>
      </c>
      <c r="B14513" s="4" t="s">
        <v>18277</v>
      </c>
      <c r="C14513" s="5" t="str">
        <f>IFERROR(__xludf.DUMMYFUNCTION("GOOGLETRANSLATE(B14513,""en"",""fr"")"),"Le garçon se tient alors sur le tableau qui se balance d'avant en arrière.")</f>
        <v>Le garçon se tient alors sur le tableau qui se balance d'avant en arrière.</v>
      </c>
    </row>
    <row r="14514">
      <c r="A14514" s="4" t="s">
        <v>18274</v>
      </c>
      <c r="B14514" s="6" t="s">
        <v>18278</v>
      </c>
      <c r="C14514" s="5" t="str">
        <f>IFERROR(__xludf.DUMMYFUNCTION("GOOGLETRANSLATE(B14514,""en"",""fr"")"),"Le garçon présente ensuite des rebondissements du haut du corps en se tenant sur la planche à roulettes et finit par se lancer et se dirige vers la rue sur la planche à roulettes.")</f>
        <v>Le garçon présente ensuite des rebondissements du haut du corps en se tenant sur la planche à roulettes et finit par se lancer et se dirige vers la rue sur la planche à roulettes.</v>
      </c>
    </row>
    <row r="14515">
      <c r="A14515" s="4" t="s">
        <v>18274</v>
      </c>
      <c r="B14515" s="6" t="s">
        <v>18279</v>
      </c>
      <c r="C14515" s="5" t="str">
        <f>IFERROR(__xludf.DUMMYFUNCTION("GOOGLETRANSLATE(B14515,""en"",""fr"")"),"Le garçon revient ensuite sur le bord du trottoir et met un pied sur la planche et l'autre sur le sol alors qu'il se tient immobile.")</f>
        <v>Le garçon revient ensuite sur le bord du trottoir et met un pied sur la planche et l'autre sur le sol alors qu'il se tient immobile.</v>
      </c>
    </row>
    <row r="14516">
      <c r="A14516" s="4" t="s">
        <v>18280</v>
      </c>
      <c r="B14516" s="4" t="s">
        <v>18281</v>
      </c>
      <c r="C14516" s="5" t="str">
        <f>IFERROR(__xludf.DUMMYFUNCTION("GOOGLETRANSLATE(B14516,""en"",""fr"")"),"Nous voyons un gant en caoutchouc sur le sol.")</f>
        <v>Nous voyons un gant en caoutchouc sur le sol.</v>
      </c>
    </row>
    <row r="14517">
      <c r="A14517" s="4" t="s">
        <v>18280</v>
      </c>
      <c r="B14517" s="4" t="s">
        <v>18282</v>
      </c>
      <c r="C14517" s="5" t="str">
        <f>IFERROR(__xludf.DUMMYFUNCTION("GOOGLETRANSLATE(B14517,""en"",""fr"")"),"Une personne coupe le gant en deux et met un trou à la fin.")</f>
        <v>Une personne coupe le gant en deux et met un trou à la fin.</v>
      </c>
    </row>
    <row r="14518">
      <c r="A14518" s="4" t="s">
        <v>18280</v>
      </c>
      <c r="B14518" s="4" t="s">
        <v>18283</v>
      </c>
      <c r="C14518" s="5" t="str">
        <f>IFERROR(__xludf.DUMMYFUNCTION("GOOGLETRANSLATE(B14518,""en"",""fr"")"),"La personne met le gant sur un chien avec sa griffe qui colle dans le trou.")</f>
        <v>La personne met le gant sur un chien avec sa griffe qui colle dans le trou.</v>
      </c>
    </row>
    <row r="14519">
      <c r="A14519" s="4" t="s">
        <v>18280</v>
      </c>
      <c r="B14519" s="4" t="s">
        <v>18284</v>
      </c>
      <c r="C14519" s="5" t="str">
        <f>IFERROR(__xludf.DUMMYFUNCTION("GOOGLETRANSLATE(B14519,""en"",""fr"")"),"Une personne montre un outil de coupure.")</f>
        <v>Une personne montre un outil de coupure.</v>
      </c>
    </row>
    <row r="14520">
      <c r="A14520" s="4" t="s">
        <v>18280</v>
      </c>
      <c r="B14520" s="4" t="s">
        <v>18285</v>
      </c>
      <c r="C14520" s="5" t="str">
        <f>IFERROR(__xludf.DUMMYFUNCTION("GOOGLETRANSLATE(B14520,""en"",""fr"")"),"La personne ponce ensuite la griffe des chiens d'une ponceuse électrique.")</f>
        <v>La personne ponce ensuite la griffe des chiens d'une ponceuse électrique.</v>
      </c>
    </row>
    <row r="14521">
      <c r="A14521" s="4" t="s">
        <v>18286</v>
      </c>
      <c r="B14521" s="4" t="s">
        <v>18287</v>
      </c>
      <c r="C14521" s="5" t="str">
        <f>IFERROR(__xludf.DUMMYFUNCTION("GOOGLETRANSLATE(B14521,""en"",""fr"")"),"Deux jeunes garçons sont dans un évier.")</f>
        <v>Deux jeunes garçons sont dans un évier.</v>
      </c>
    </row>
    <row r="14522">
      <c r="A14522" s="4" t="s">
        <v>18286</v>
      </c>
      <c r="B14522" s="4" t="s">
        <v>18288</v>
      </c>
      <c r="C14522" s="5" t="str">
        <f>IFERROR(__xludf.DUMMYFUNCTION("GOOGLETRANSLATE(B14522,""en"",""fr"")"),"L'un des garçons n'a pas de mains.")</f>
        <v>L'un des garçons n'a pas de mains.</v>
      </c>
    </row>
    <row r="14523">
      <c r="A14523" s="4" t="s">
        <v>18286</v>
      </c>
      <c r="B14523" s="4" t="s">
        <v>18289</v>
      </c>
      <c r="C14523" s="5" t="str">
        <f>IFERROR(__xludf.DUMMYFUNCTION("GOOGLETRANSLATE(B14523,""en"",""fr"")"),"Il lave la vaisselle.")</f>
        <v>Il lave la vaisselle.</v>
      </c>
    </row>
    <row r="14524">
      <c r="A14524" s="4" t="s">
        <v>18286</v>
      </c>
      <c r="B14524" s="4" t="s">
        <v>18290</v>
      </c>
      <c r="C14524" s="5" t="str">
        <f>IFERROR(__xludf.DUMMYFUNCTION("GOOGLETRANSLATE(B14524,""en"",""fr"")"),"L'autre garçon l'aide à nettoyer.")</f>
        <v>L'autre garçon l'aide à nettoyer.</v>
      </c>
    </row>
    <row r="14525">
      <c r="A14525" s="4" t="s">
        <v>18291</v>
      </c>
      <c r="B14525" s="4" t="s">
        <v>18292</v>
      </c>
      <c r="C14525" s="5" t="str">
        <f>IFERROR(__xludf.DUMMYFUNCTION("GOOGLETRANSLATE(B14525,""en"",""fr"")"),"Les pom-pom girls se tiennent dans un gymnase dans le groupe.")</f>
        <v>Les pom-pom girls se tiennent dans un gymnase dans le groupe.</v>
      </c>
    </row>
    <row r="14526">
      <c r="A14526" s="4" t="s">
        <v>18291</v>
      </c>
      <c r="B14526" s="4" t="s">
        <v>18293</v>
      </c>
      <c r="C14526" s="5" t="str">
        <f>IFERROR(__xludf.DUMMYFUNCTION("GOOGLETRANSLATE(B14526,""en"",""fr"")"),"Les filles effectuent ensuite une routine.")</f>
        <v>Les filles effectuent ensuite une routine.</v>
      </c>
    </row>
    <row r="14527">
      <c r="A14527" s="4" t="s">
        <v>18291</v>
      </c>
      <c r="B14527" s="4" t="s">
        <v>18294</v>
      </c>
      <c r="C14527" s="5" t="str">
        <f>IFERROR(__xludf.DUMMYFUNCTION("GOOGLETRANSLATE(B14527,""en"",""fr"")"),"Les filles se divisent en trois groupes et les deux sur les côtés s'agenouillent pendant que les groupes du milieu s'accroupissent.")</f>
        <v>Les filles se divisent en trois groupes et les deux sur les côtés s'agenouillent pendant que les groupes du milieu s'accroupissent.</v>
      </c>
    </row>
    <row r="14528">
      <c r="A14528" s="4" t="s">
        <v>18291</v>
      </c>
      <c r="B14528" s="4" t="s">
        <v>18295</v>
      </c>
      <c r="C14528" s="5" t="str">
        <f>IFERROR(__xludf.DUMMYFUNCTION("GOOGLETRANSLATE(B14528,""en"",""fr"")"),"Ils s'agenouillent et jettent leurs mains en l'air à l'arrivée.")</f>
        <v>Ils s'agenouillent et jettent leurs mains en l'air à l'arrivée.</v>
      </c>
    </row>
    <row r="14529">
      <c r="A14529" s="4" t="s">
        <v>18296</v>
      </c>
      <c r="B14529" s="4" t="s">
        <v>18297</v>
      </c>
      <c r="C14529" s="5" t="str">
        <f>IFERROR(__xludf.DUMMYFUNCTION("GOOGLETRANSLATE(B14529,""en"",""fr"")"),"Une femme en chemise noire est assise sur un banc.")</f>
        <v>Une femme en chemise noire est assise sur un banc.</v>
      </c>
    </row>
    <row r="14530">
      <c r="A14530" s="4" t="s">
        <v>18296</v>
      </c>
      <c r="B14530" s="4" t="s">
        <v>18298</v>
      </c>
      <c r="C14530" s="5" t="str">
        <f>IFERROR(__xludf.DUMMYFUNCTION("GOOGLETRANSLATE(B14530,""en"",""fr"")"),"Un homme est assis derrière un bureau.")</f>
        <v>Un homme est assis derrière un bureau.</v>
      </c>
    </row>
    <row r="14531">
      <c r="A14531" s="4" t="s">
        <v>18296</v>
      </c>
      <c r="B14531" s="4" t="s">
        <v>18299</v>
      </c>
      <c r="C14531" s="5" t="str">
        <f>IFERROR(__xludf.DUMMYFUNCTION("GOOGLETRANSLATE(B14531,""en"",""fr"")"),"Deux personnes sont assises sur une chaise de sac de fèves.")</f>
        <v>Deux personnes sont assises sur une chaise de sac de fèves.</v>
      </c>
    </row>
    <row r="14532">
      <c r="A14532" s="4" t="s">
        <v>18296</v>
      </c>
      <c r="B14532" s="4" t="s">
        <v>18300</v>
      </c>
      <c r="C14532" s="5" t="str">
        <f>IFERROR(__xludf.DUMMYFUNCTION("GOOGLETRANSLATE(B14532,""en"",""fr"")"),"Un homme boit dans une tasse.")</f>
        <v>Un homme boit dans une tasse.</v>
      </c>
    </row>
    <row r="14533">
      <c r="A14533" s="4" t="s">
        <v>18301</v>
      </c>
      <c r="B14533" s="4" t="s">
        <v>18302</v>
      </c>
      <c r="C14533" s="5" t="str">
        <f>IFERROR(__xludf.DUMMYFUNCTION("GOOGLETRANSLATE(B14533,""en"",""fr"")"),"Une femme en chemise rose parle.")</f>
        <v>Une femme en chemise rose parle.</v>
      </c>
    </row>
    <row r="14534">
      <c r="A14534" s="4" t="s">
        <v>18301</v>
      </c>
      <c r="B14534" s="4" t="s">
        <v>18303</v>
      </c>
      <c r="C14534" s="5" t="str">
        <f>IFERROR(__xludf.DUMMYFUNCTION("GOOGLETRANSLATE(B14534,""en"",""fr"")"),"Elle prend une boîte claire et l'ouvre.")</f>
        <v>Elle prend une boîte claire et l'ouvre.</v>
      </c>
    </row>
    <row r="14535">
      <c r="A14535" s="4" t="s">
        <v>18301</v>
      </c>
      <c r="B14535" s="4" t="s">
        <v>18304</v>
      </c>
      <c r="C14535" s="5" t="str">
        <f>IFERROR(__xludf.DUMMYFUNCTION("GOOGLETRANSLATE(B14535,""en"",""fr"")"),"Elle ferme la boîte et la range.")</f>
        <v>Elle ferme la boîte et la range.</v>
      </c>
    </row>
    <row r="14536">
      <c r="A14536" s="4" t="s">
        <v>18301</v>
      </c>
      <c r="B14536" s="4" t="s">
        <v>18305</v>
      </c>
      <c r="C14536" s="5" t="str">
        <f>IFERROR(__xludf.DUMMYFUNCTION("GOOGLETRANSLATE(B14536,""en"",""fr"")"),"Elle ramasse un grand animal en peluche.")</f>
        <v>Elle ramasse un grand animal en peluche.</v>
      </c>
    </row>
    <row r="14537">
      <c r="A14537" s="4" t="s">
        <v>18301</v>
      </c>
      <c r="B14537" s="4" t="s">
        <v>18306</v>
      </c>
      <c r="C14537" s="5" t="str">
        <f>IFERROR(__xludf.DUMMYFUNCTION("GOOGLETRANSLATE(B14537,""en"",""fr"")"),"Elle ramasse ensuite un petit sac rouge.")</f>
        <v>Elle ramasse ensuite un petit sac rouge.</v>
      </c>
    </row>
    <row r="14538">
      <c r="A14538" s="4" t="s">
        <v>18301</v>
      </c>
      <c r="B14538" s="4" t="s">
        <v>18307</v>
      </c>
      <c r="C14538" s="5" t="str">
        <f>IFERROR(__xludf.DUMMYFUNCTION("GOOGLETRANSLATE(B14538,""en"",""fr"")"),"Elle ramasse différents tissus et rubans.")</f>
        <v>Elle ramasse différents tissus et rubans.</v>
      </c>
    </row>
    <row r="14539">
      <c r="A14539" s="4" t="s">
        <v>18308</v>
      </c>
      <c r="B14539" s="4" t="s">
        <v>18309</v>
      </c>
      <c r="C14539" s="5" t="str">
        <f>IFERROR(__xludf.DUMMYFUNCTION("GOOGLETRANSLATE(B14539,""en"",""fr"")"),"Les pièces d'aspiration sont affichées sur le sol.")</f>
        <v>Les pièces d'aspiration sont affichées sur le sol.</v>
      </c>
    </row>
    <row r="14540">
      <c r="A14540" s="4" t="s">
        <v>18308</v>
      </c>
      <c r="B14540" s="4" t="s">
        <v>18310</v>
      </c>
      <c r="C14540" s="5" t="str">
        <f>IFERROR(__xludf.DUMMYFUNCTION("GOOGLETRANSLATE(B14540,""en"",""fr"")"),"Une personne aspire le tapis.")</f>
        <v>Une personne aspire le tapis.</v>
      </c>
    </row>
    <row r="14541">
      <c r="A14541" s="4" t="s">
        <v>18308</v>
      </c>
      <c r="B14541" s="4" t="s">
        <v>18311</v>
      </c>
      <c r="C14541" s="5" t="str">
        <f>IFERROR(__xludf.DUMMYFUNCTION("GOOGLETRANSLATE(B14541,""en"",""fr"")"),"Une personne assouplit et aspire le tapis.")</f>
        <v>Une personne assouplit et aspire le tapis.</v>
      </c>
    </row>
    <row r="14542">
      <c r="A14542" s="4" t="s">
        <v>18308</v>
      </c>
      <c r="B14542" s="4" t="s">
        <v>18312</v>
      </c>
      <c r="C14542" s="5" t="str">
        <f>IFERROR(__xludf.DUMMYFUNCTION("GOOGLETRANSLATE(B14542,""en"",""fr"")"),"Une personne s'aspire ou s'imprègne du café du tapis.")</f>
        <v>Une personne s'aspire ou s'imprègne du café du tapis.</v>
      </c>
    </row>
    <row r="14543">
      <c r="A14543" s="4" t="s">
        <v>18308</v>
      </c>
      <c r="B14543" s="4" t="s">
        <v>18313</v>
      </c>
      <c r="C14543" s="5" t="str">
        <f>IFERROR(__xludf.DUMMYFUNCTION("GOOGLETRANSLATE(B14543,""en"",""fr"")"),"Une personne frotte et sèche un sol carrelé avec un vide.")</f>
        <v>Une personne frotte et sèche un sol carrelé avec un vide.</v>
      </c>
    </row>
    <row r="14544">
      <c r="A14544" s="4" t="s">
        <v>18308</v>
      </c>
      <c r="B14544" s="4" t="s">
        <v>18314</v>
      </c>
      <c r="C14544" s="5" t="str">
        <f>IFERROR(__xludf.DUMMYFUNCTION("GOOGLETRANSLATE(B14544,""en"",""fr"")"),"Une personne vide le contenu du vide dans un évier blanc.")</f>
        <v>Une personne vide le contenu du vide dans un évier blanc.</v>
      </c>
    </row>
    <row r="14545">
      <c r="A14545" s="4" t="s">
        <v>18308</v>
      </c>
      <c r="B14545" s="4" t="s">
        <v>18315</v>
      </c>
      <c r="C14545" s="5" t="str">
        <f>IFERROR(__xludf.DUMMYFUNCTION("GOOGLETRANSLATE(B14545,""en"",""fr"")"),"Les façons dont un vide peut être utilisé est montré dans les écrans divisés.")</f>
        <v>Les façons dont un vide peut être utilisé est montré dans les écrans divisés.</v>
      </c>
    </row>
    <row r="14546">
      <c r="A14546" s="4" t="s">
        <v>18316</v>
      </c>
      <c r="B14546" s="6" t="s">
        <v>18317</v>
      </c>
      <c r="C14546" s="5" t="str">
        <f>IFERROR(__xludf.DUMMYFUNCTION("GOOGLETRANSLATE(B14546,""en"",""fr"")"),"Une grande vague est vue se déplaçant sur l'eau suivie de plusieurs personnes transportant des planches de surf et surfant le long de l'eau.")</f>
        <v>Une grande vague est vue se déplaçant sur l'eau suivie de plusieurs personnes transportant des planches de surf et surfant le long de l'eau.</v>
      </c>
    </row>
    <row r="14547">
      <c r="A14547" s="4" t="s">
        <v>18316</v>
      </c>
      <c r="B14547" s="4" t="s">
        <v>18318</v>
      </c>
      <c r="C14547" s="5" t="str">
        <f>IFERROR(__xludf.DUMMYFUNCTION("GOOGLETRANSLATE(B14547,""en"",""fr"")"),"Les gens continuent de rouler le long de l'eau sur des planches de surf et de se promener sur la plage.")</f>
        <v>Les gens continuent de rouler le long de l'eau sur des planches de surf et de se promener sur la plage.</v>
      </c>
    </row>
    <row r="14548">
      <c r="A14548" s="4" t="s">
        <v>18319</v>
      </c>
      <c r="B14548" s="4" t="s">
        <v>18320</v>
      </c>
      <c r="C14548" s="5" t="str">
        <f>IFERROR(__xludf.DUMMYFUNCTION("GOOGLETRANSLATE(B14548,""en"",""fr"")"),"Un robot est assis derrière un piano dans une pièce.")</f>
        <v>Un robot est assis derrière un piano dans une pièce.</v>
      </c>
    </row>
    <row r="14549">
      <c r="A14549" s="4" t="s">
        <v>18319</v>
      </c>
      <c r="B14549" s="4" t="s">
        <v>18321</v>
      </c>
      <c r="C14549" s="5" t="str">
        <f>IFERROR(__xludf.DUMMYFUNCTION("GOOGLETRANSLATE(B14549,""en"",""fr"")"),"Ses mains éclairent les clés de piano.")</f>
        <v>Ses mains éclairent les clés de piano.</v>
      </c>
    </row>
    <row r="14550">
      <c r="A14550" s="4" t="s">
        <v>18322</v>
      </c>
      <c r="B14550" s="4" t="s">
        <v>18323</v>
      </c>
      <c r="C14550" s="5" t="str">
        <f>IFERROR(__xludf.DUMMYFUNCTION("GOOGLETRANSLATE(B14550,""en"",""fr"")"),"Une personne est vue descendre dans une longue rue sur une planche à roulettes pendant que la caméra suit de derrière.")</f>
        <v>Une personne est vue descendre dans une longue rue sur une planche à roulettes pendant que la caméra suit de derrière.</v>
      </c>
    </row>
    <row r="14551">
      <c r="A14551" s="4" t="s">
        <v>18322</v>
      </c>
      <c r="B14551" s="6" t="s">
        <v>18324</v>
      </c>
      <c r="C14551" s="5" t="str">
        <f>IFERROR(__xludf.DUMMYFUNCTION("GOOGLETRANSLATE(B14551,""en"",""fr"")"),"La personne continue de monter sur la colline avec la caméra capturant des paysages et des voitures ainsi que de placer sa main sur le pensionnaire devant lui.")</f>
        <v>La personne continue de monter sur la colline avec la caméra capturant des paysages et des voitures ainsi que de placer sa main sur le pensionnaire devant lui.</v>
      </c>
    </row>
    <row r="14552">
      <c r="A14552" s="4" t="s">
        <v>18322</v>
      </c>
      <c r="B14552" s="4" t="s">
        <v>18325</v>
      </c>
      <c r="C14552" s="5" t="str">
        <f>IFERROR(__xludf.DUMMYFUNCTION("GOOGLETRANSLATE(B14552,""en"",""fr"")"),"À la fin, il passe près du pensionnaire et fait un arrêt de la voiture.")</f>
        <v>À la fin, il passe près du pensionnaire et fait un arrêt de la voiture.</v>
      </c>
    </row>
    <row r="14553">
      <c r="A14553" s="4" t="s">
        <v>18326</v>
      </c>
      <c r="B14553" s="4" t="s">
        <v>18327</v>
      </c>
      <c r="C14553" s="5" t="str">
        <f>IFERROR(__xludf.DUMMYFUNCTION("GOOGLETRANSLATE(B14553,""en"",""fr"")"),"Un homme est allongé sur le dos sur un sol en carrelage.")</f>
        <v>Un homme est allongé sur le dos sur un sol en carrelage.</v>
      </c>
    </row>
    <row r="14554">
      <c r="A14554" s="4" t="s">
        <v>18326</v>
      </c>
      <c r="B14554" s="6" t="s">
        <v>18328</v>
      </c>
      <c r="C14554" s="5" t="str">
        <f>IFERROR(__xludf.DUMMYFUNCTION("GOOGLETRANSLATE(B14554,""en"",""fr"")"),"Il essaie de faire des repos, ralentissant et grimaçant à mesure que l'effort devient plus difficile avec chacun.")</f>
        <v>Il essaie de faire des repos, ralentissant et grimaçant à mesure que l'effort devient plus difficile avec chacun.</v>
      </c>
    </row>
    <row r="14555">
      <c r="A14555" s="4" t="s">
        <v>18326</v>
      </c>
      <c r="B14555" s="4" t="s">
        <v>18329</v>
      </c>
      <c r="C14555" s="5" t="str">
        <f>IFERROR(__xludf.DUMMYFUNCTION("GOOGLETRANSLATE(B14555,""en"",""fr"")"),"Il s'arrête, se couchant et riant.")</f>
        <v>Il s'arrête, se couchant et riant.</v>
      </c>
    </row>
    <row r="14556">
      <c r="A14556" s="4" t="s">
        <v>18330</v>
      </c>
      <c r="B14556" s="4" t="s">
        <v>18331</v>
      </c>
      <c r="C14556" s="5" t="str">
        <f>IFERROR(__xludf.DUMMYFUNCTION("GOOGLETRANSLATE(B14556,""en"",""fr"")"),"Une fille joue de la marelle sur un porche arrière.")</f>
        <v>Une fille joue de la marelle sur un porche arrière.</v>
      </c>
    </row>
    <row r="14557">
      <c r="A14557" s="4" t="s">
        <v>18330</v>
      </c>
      <c r="B14557" s="4" t="s">
        <v>18332</v>
      </c>
      <c r="C14557" s="5" t="str">
        <f>IFERROR(__xludf.DUMMYFUNCTION("GOOGLETRANSLATE(B14557,""en"",""fr"")"),"Une personne est assise sur une table de pique-nique en les regardant.")</f>
        <v>Une personne est assise sur une table de pique-nique en les regardant.</v>
      </c>
    </row>
    <row r="14558">
      <c r="A14558" s="4" t="s">
        <v>18330</v>
      </c>
      <c r="B14558" s="4" t="s">
        <v>18333</v>
      </c>
      <c r="C14558" s="5" t="str">
        <f>IFERROR(__xludf.DUMMYFUNCTION("GOOGLETRANSLATE(B14558,""en"",""fr"")"),"L'autre personne se lève et commence à jouer.")</f>
        <v>L'autre personne se lève et commence à jouer.</v>
      </c>
    </row>
    <row r="14559">
      <c r="A14559" s="4" t="s">
        <v>18334</v>
      </c>
      <c r="B14559" s="4" t="s">
        <v>18335</v>
      </c>
      <c r="C14559" s="5" t="str">
        <f>IFERROR(__xludf.DUMMYFUNCTION("GOOGLETRANSLATE(B14559,""en"",""fr"")"),"Une personne est vue en train de sortir des éléments d'une boîte et de les présenter à la caméra.")</f>
        <v>Une personne est vue en train de sortir des éléments d'une boîte et de les présenter à la caméra.</v>
      </c>
    </row>
    <row r="14560">
      <c r="A14560" s="4" t="s">
        <v>18334</v>
      </c>
      <c r="B14560" s="6" t="s">
        <v>18336</v>
      </c>
      <c r="C14560" s="5" t="str">
        <f>IFERROR(__xludf.DUMMYFUNCTION("GOOGLETRANSLATE(B14560,""en"",""fr"")"),"L'homme frotte ensuite une chaussure avec un chiffon et présente plus d'articles à la caméra pendant qu'il se déroule.")</f>
        <v>L'homme frotte ensuite une chaussure avec un chiffon et présente plus d'articles à la caméra pendant qu'il se déroule.</v>
      </c>
    </row>
    <row r="14561">
      <c r="A14561" s="4" t="s">
        <v>18337</v>
      </c>
      <c r="B14561" s="6" t="s">
        <v>18338</v>
      </c>
      <c r="C14561" s="5" t="str">
        <f>IFERROR(__xludf.DUMMYFUNCTION("GOOGLETRANSLATE(B14561,""en"",""fr"")"),"Une personne est vue en train de lier ses chaussures et mène à plusieurs plans de personnes sautant et se déplaçant sur la corde.")</f>
        <v>Une personne est vue en train de lier ses chaussures et mène à plusieurs plans de personnes sautant et se déplaçant sur la corde.</v>
      </c>
    </row>
    <row r="14562">
      <c r="A14562" s="4" t="s">
        <v>18337</v>
      </c>
      <c r="B14562" s="6" t="s">
        <v>18339</v>
      </c>
      <c r="C14562" s="5" t="str">
        <f>IFERROR(__xludf.DUMMYFUNCTION("GOOGLETRANSLATE(B14562,""en"",""fr"")"),"Plusieurs plans de paysages sont montrés ainsi que davantage de personnes qui tentent des sauts et des astuces sur une longue corde attachée aux arbres.")</f>
        <v>Plusieurs plans de paysages sont montrés ainsi que davantage de personnes qui tentent des sauts et des astuces sur une longue corde attachée aux arbres.</v>
      </c>
    </row>
    <row r="14563">
      <c r="A14563" s="4" t="s">
        <v>18340</v>
      </c>
      <c r="B14563" s="4" t="s">
        <v>18341</v>
      </c>
      <c r="C14563" s="5" t="str">
        <f>IFERROR(__xludf.DUMMYFUNCTION("GOOGLETRANSLATE(B14563,""en"",""fr"")"),"Une femme et un petit garçon se balancent sur une balançoire de pneus.")</f>
        <v>Une femme et un petit garçon se balancent sur une balançoire de pneus.</v>
      </c>
    </row>
    <row r="14564">
      <c r="A14564" s="4" t="s">
        <v>18340</v>
      </c>
      <c r="B14564" s="4" t="s">
        <v>18342</v>
      </c>
      <c r="C14564" s="5" t="str">
        <f>IFERROR(__xludf.DUMMYFUNCTION("GOOGLETRANSLATE(B14564,""en"",""fr"")"),"Une personne poussant une poussette est derrière elle.")</f>
        <v>Une personne poussant une poussette est derrière elle.</v>
      </c>
    </row>
    <row r="14565">
      <c r="A14565" s="4" t="s">
        <v>18340</v>
      </c>
      <c r="B14565" s="4" t="s">
        <v>18343</v>
      </c>
      <c r="C14565" s="5" t="str">
        <f>IFERROR(__xludf.DUMMYFUNCTION("GOOGLETRANSLATE(B14565,""en"",""fr"")"),"Le garçon se détourne de la caméra.")</f>
        <v>Le garçon se détourne de la caméra.</v>
      </c>
    </row>
    <row r="14566">
      <c r="A14566" s="4" t="s">
        <v>18344</v>
      </c>
      <c r="B14566" s="4" t="s">
        <v>18345</v>
      </c>
      <c r="C14566" s="5" t="str">
        <f>IFERROR(__xludf.DUMMYFUNCTION("GOOGLETRANSLATE(B14566,""en"",""fr"")"),"Une femme est sous l'eau et elle vient gracieuse de dessous.")</f>
        <v>Une femme est sous l'eau et elle vient gracieuse de dessous.</v>
      </c>
    </row>
    <row r="14567">
      <c r="A14567" s="4" t="s">
        <v>18344</v>
      </c>
      <c r="B14567" s="4" t="s">
        <v>18346</v>
      </c>
      <c r="C14567" s="5" t="str">
        <f>IFERROR(__xludf.DUMMYFUNCTION("GOOGLETRANSLATE(B14567,""en"",""fr"")"),"Plus tard, elle nage avec Tom et Jerry très jolie et étrangement.")</f>
        <v>Plus tard, elle nage avec Tom et Jerry très jolie et étrangement.</v>
      </c>
    </row>
    <row r="14568">
      <c r="A14568" s="4" t="s">
        <v>18344</v>
      </c>
      <c r="B14568" s="4" t="s">
        <v>18347</v>
      </c>
      <c r="C14568" s="5" t="str">
        <f>IFERROR(__xludf.DUMMYFUNCTION("GOOGLETRANSLATE(B14568,""en"",""fr"")"),"Puis elle est suspendue à un cerceau au-dessus et saute dans l'eau.")</f>
        <v>Puis elle est suspendue à un cerceau au-dessus et saute dans l'eau.</v>
      </c>
    </row>
    <row r="14569">
      <c r="A14569" s="4" t="s">
        <v>18344</v>
      </c>
      <c r="B14569" s="4" t="s">
        <v>18348</v>
      </c>
      <c r="C14569" s="5" t="str">
        <f>IFERROR(__xludf.DUMMYFUNCTION("GOOGLETRANSLATE(B14569,""en"",""fr"")"),"Elle fait beaucoup de spectacles différents impliquant sa danse et sa natation dans l'eau.")</f>
        <v>Elle fait beaucoup de spectacles différents impliquant sa danse et sa natation dans l'eau.</v>
      </c>
    </row>
    <row r="14570">
      <c r="A14570" s="4" t="s">
        <v>18349</v>
      </c>
      <c r="B14570" s="6" t="s">
        <v>18350</v>
      </c>
      <c r="C14570" s="5" t="str">
        <f>IFERROR(__xludf.DUMMYFUNCTION("GOOGLETRANSLATE(B14570,""en"",""fr"")"),"Un écran blanc apparaît avec un nom de marque noir qui dit ""The Shingle Poux"" et il a une image d'un porc dans le O du mot porc.")</f>
        <v>Un écran blanc apparaît avec un nom de marque noir qui dit "The Shingle Poux" et il a une image d'un porc dans le O du mot porc.</v>
      </c>
    </row>
    <row r="14571">
      <c r="A14571" s="4" t="s">
        <v>18349</v>
      </c>
      <c r="B14571" s="6" t="s">
        <v>18351</v>
      </c>
      <c r="C14571" s="5" t="str">
        <f>IFERROR(__xludf.DUMMYFUNCTION("GOOGLETRANSLATE(B14571,""en"",""fr"")"),"Une image rapide d'un outil rouge et noir est montrée, puis un homme parle et des clips de personnes retirant les bardeaux jouent entre les moments montrés lorsque l'homme parle.")</f>
        <v>Une image rapide d'un outil rouge et noir est montrée, puis un homme parle et des clips de personnes retirant les bardeaux jouent entre les moments montrés lorsque l'homme parle.</v>
      </c>
    </row>
    <row r="14572">
      <c r="A14572" s="4" t="s">
        <v>18349</v>
      </c>
      <c r="B14572" s="6" t="s">
        <v>18352</v>
      </c>
      <c r="C14572" s="5" t="str">
        <f>IFERROR(__xludf.DUMMYFUNCTION("GOOGLETRANSLATE(B14572,""en"",""fr"")"),"L'outil est maintenant affiché seul et la marque et le logo s'affichent sur l'écran en haut à droite.")</f>
        <v>L'outil est maintenant affiché seul et la marque et le logo s'affichent sur l'écran en haut à droite.</v>
      </c>
    </row>
    <row r="14573">
      <c r="A14573" s="4" t="s">
        <v>18349</v>
      </c>
      <c r="B14573" s="6" t="s">
        <v>18353</v>
      </c>
      <c r="C14573" s="5" t="str">
        <f>IFERROR(__xludf.DUMMYFUNCTION("GOOGLETRANSLATE(B14573,""en"",""fr"")"),"Maintenant, il y a des clips de personnes sur le toit en utilisant l'outil pour éliminer les bardeaux et encore une fois l'homme apparaît entre les clips.")</f>
        <v>Maintenant, il y a des clips de personnes sur le toit en utilisant l'outil pour éliminer les bardeaux et encore une fois l'homme apparaît entre les clips.</v>
      </c>
    </row>
    <row r="14574">
      <c r="A14574" s="4" t="s">
        <v>18349</v>
      </c>
      <c r="B14574" s="6" t="s">
        <v>18354</v>
      </c>
      <c r="C14574" s="5" t="str">
        <f>IFERROR(__xludf.DUMMYFUNCTION("GOOGLETRANSLATE(B14574,""en"",""fr"")"),"Un écran noir apparaît et il a une liste avec beaucoup de mots blancs dessus et le titre est ""des épargnements de porcs"".")</f>
        <v>Un écran noir apparaît et il a une liste avec beaucoup de mots blancs dessus et le titre est "des épargnements de porcs".</v>
      </c>
    </row>
    <row r="14575">
      <c r="A14575" s="4" t="s">
        <v>18349</v>
      </c>
      <c r="B14575" s="6" t="s">
        <v>18355</v>
      </c>
      <c r="C14575" s="5" t="str">
        <f>IFERROR(__xludf.DUMMYFUNCTION("GOOGLETRANSLATE(B14575,""en"",""fr"")"),"L'homme qui parle et les clips de l'homme utilisant la machine aux galets de galets jouent jusqu'à ce qu'un écran outro blanc apparaisse qui inclut le nom de marque, le logo, les informations sur le produit et le site Web.")</f>
        <v>L'homme qui parle et les clips de l'homme utilisant la machine aux galets de galets jouent jusqu'à ce qu'un écran outro blanc apparaisse qui inclut le nom de marque, le logo, les informations sur le produit et le site Web.</v>
      </c>
    </row>
    <row r="14576">
      <c r="A14576" s="4" t="s">
        <v>18356</v>
      </c>
      <c r="B14576" s="4" t="s">
        <v>18357</v>
      </c>
      <c r="C14576" s="5" t="str">
        <f>IFERROR(__xludf.DUMMYFUNCTION("GOOGLETRANSLATE(B14576,""en"",""fr"")"),"Quatre hommes en uniformes sportifs sont présentés avec des informations sur l'AIB.")</f>
        <v>Quatre hommes en uniformes sportifs sont présentés avec des informations sur l'AIB.</v>
      </c>
    </row>
    <row r="14577">
      <c r="A14577" s="4" t="s">
        <v>18356</v>
      </c>
      <c r="B14577" s="4" t="s">
        <v>18358</v>
      </c>
      <c r="C14577" s="5" t="str">
        <f>IFERROR(__xludf.DUMMYFUNCTION("GOOGLETRANSLATE(B14577,""en"",""fr"")"),"Le premier homme se présente.")</f>
        <v>Le premier homme se présente.</v>
      </c>
    </row>
    <row r="14578">
      <c r="A14578" s="4" t="s">
        <v>18356</v>
      </c>
      <c r="B14578" s="4" t="s">
        <v>18359</v>
      </c>
      <c r="C14578" s="5" t="str">
        <f>IFERROR(__xludf.DUMMYFUNCTION("GOOGLETRANSLATE(B14578,""en"",""fr"")"),"Le deuxième homme se présente.")</f>
        <v>Le deuxième homme se présente.</v>
      </c>
    </row>
    <row r="14579">
      <c r="A14579" s="4" t="s">
        <v>18356</v>
      </c>
      <c r="B14579" s="4" t="s">
        <v>18360</v>
      </c>
      <c r="C14579" s="5" t="str">
        <f>IFERROR(__xludf.DUMMYFUNCTION("GOOGLETRANSLATE(B14579,""en"",""fr"")"),"Le troisième homme se présente.")</f>
        <v>Le troisième homme se présente.</v>
      </c>
    </row>
    <row r="14580">
      <c r="A14580" s="4" t="s">
        <v>18356</v>
      </c>
      <c r="B14580" s="4" t="s">
        <v>18361</v>
      </c>
      <c r="C14580" s="5" t="str">
        <f>IFERROR(__xludf.DUMMYFUNCTION("GOOGLETRANSLATE(B14580,""en"",""fr"")"),"Enfin, le quatrième homme se présente.")</f>
        <v>Enfin, le quatrième homme se présente.</v>
      </c>
    </row>
    <row r="14581">
      <c r="A14581" s="4" t="s">
        <v>18356</v>
      </c>
      <c r="B14581" s="4" t="s">
        <v>18362</v>
      </c>
      <c r="C14581" s="5" t="str">
        <f>IFERROR(__xludf.DUMMYFUNCTION("GOOGLETRANSLATE(B14581,""en"",""fr"")"),"Le premier homme est ensuite montré en pratiquant en essayant de frapper des cibles sur le mur.")</f>
        <v>Le premier homme est ensuite montré en pratiquant en essayant de frapper des cibles sur le mur.</v>
      </c>
    </row>
    <row r="14582">
      <c r="A14582" s="4" t="s">
        <v>18356</v>
      </c>
      <c r="B14582" s="4" t="s">
        <v>18363</v>
      </c>
      <c r="C14582" s="5" t="str">
        <f>IFERROR(__xludf.DUMMYFUNCTION("GOOGLETRANSLATE(B14582,""en"",""fr"")"),"Le deuxième homme à se présenter prend un tour en essayant de frapper les cibles sur le mur.")</f>
        <v>Le deuxième homme à se présenter prend un tour en essayant de frapper les cibles sur le mur.</v>
      </c>
    </row>
    <row r="14583">
      <c r="A14583" s="4" t="s">
        <v>18356</v>
      </c>
      <c r="B14583" s="4" t="s">
        <v>18364</v>
      </c>
      <c r="C14583" s="5" t="str">
        <f>IFERROR(__xludf.DUMMYFUNCTION("GOOGLETRANSLATE(B14583,""en"",""fr"")"),"L'homme portant un short blanc essaie ensuite le mur d'entraînement.")</f>
        <v>L'homme portant un short blanc essaie ensuite le mur d'entraînement.</v>
      </c>
    </row>
    <row r="14584">
      <c r="A14584" s="4" t="s">
        <v>18356</v>
      </c>
      <c r="B14584" s="4" t="s">
        <v>18365</v>
      </c>
      <c r="C14584" s="5" t="str">
        <f>IFERROR(__xludf.DUMMYFUNCTION("GOOGLETRANSLATE(B14584,""en"",""fr"")"),"Et enfin, l'homme aux cheveux roux les essaie.")</f>
        <v>Et enfin, l'homme aux cheveux roux les essaie.</v>
      </c>
    </row>
    <row r="14585">
      <c r="A14585" s="4" t="s">
        <v>18356</v>
      </c>
      <c r="B14585" s="4" t="s">
        <v>18366</v>
      </c>
      <c r="C14585" s="5" t="str">
        <f>IFERROR(__xludf.DUMMYFUNCTION("GOOGLETRANSLATE(B14585,""en"",""fr"")"),"Le premier homme à pratiquer fait un commentaire sur sa performance.")</f>
        <v>Le premier homme à pratiquer fait un commentaire sur sa performance.</v>
      </c>
    </row>
    <row r="14586">
      <c r="A14586" s="4" t="s">
        <v>18356</v>
      </c>
      <c r="B14586" s="4" t="s">
        <v>18367</v>
      </c>
      <c r="C14586" s="5" t="str">
        <f>IFERROR(__xludf.DUMMYFUNCTION("GOOGLETRANSLATE(B14586,""en"",""fr"")"),"Le dernier homme à s'entraîner avec des discussions sur les cheveux roux.")</f>
        <v>Le dernier homme à s'entraîner avec des discussions sur les cheveux roux.</v>
      </c>
    </row>
    <row r="14587">
      <c r="A14587" s="4" t="s">
        <v>18356</v>
      </c>
      <c r="B14587" s="4" t="s">
        <v>18368</v>
      </c>
      <c r="C14587" s="5" t="str">
        <f>IFERROR(__xludf.DUMMYFUNCTION("GOOGLETRANSLATE(B14587,""en"",""fr"")"),"Les informations sur l'AIB et le jeu à venir sont affichées.")</f>
        <v>Les informations sur l'AIB et le jeu à venir sont affichées.</v>
      </c>
    </row>
    <row r="14588">
      <c r="A14588" s="4" t="s">
        <v>18369</v>
      </c>
      <c r="B14588" s="6" t="s">
        <v>18370</v>
      </c>
      <c r="C14588" s="5" t="str">
        <f>IFERROR(__xludf.DUMMYFUNCTION("GOOGLETRANSLATE(B14588,""en"",""fr"")"),"Un grand groupe de personnes est vue assise sur une plage avec plusieurs mettant un écran solaire sur tout le corps.")</f>
        <v>Un grand groupe de personnes est vue assise sur une plage avec plusieurs mettant un écran solaire sur tout le corps.</v>
      </c>
    </row>
    <row r="14589">
      <c r="A14589" s="4" t="s">
        <v>18369</v>
      </c>
      <c r="B14589" s="6" t="s">
        <v>18371</v>
      </c>
      <c r="C14589" s="5" t="str">
        <f>IFERROR(__xludf.DUMMYFUNCTION("GOOGLETRANSLATE(B14589,""en"",""fr"")"),"Des plans de scientifiques sont montrés en faisant l'écran solaire tout en interagissant les uns avec les autres et en parlant à la caméra.")</f>
        <v>Des plans de scientifiques sont montrés en faisant l'écran solaire tout en interagissant les uns avec les autres et en parlant à la caméra.</v>
      </c>
    </row>
    <row r="14590">
      <c r="A14590" s="4" t="s">
        <v>18369</v>
      </c>
      <c r="B14590" s="4" t="s">
        <v>18372</v>
      </c>
      <c r="C14590" s="5" t="str">
        <f>IFERROR(__xludf.DUMMYFUNCTION("GOOGLETRANSLATE(B14590,""en"",""fr"")"),"Enfin, un homme est vu emballer un poisson dans un magasin.")</f>
        <v>Enfin, un homme est vu emballer un poisson dans un magasin.</v>
      </c>
    </row>
    <row r="14591">
      <c r="A14591" s="4" t="s">
        <v>18373</v>
      </c>
      <c r="B14591" s="4" t="s">
        <v>18374</v>
      </c>
      <c r="C14591" s="5" t="str">
        <f>IFERROR(__xludf.DUMMYFUNCTION("GOOGLETRANSLATE(B14591,""en"",""fr"")"),"Kid tient un ventilateur et souffle des feuilles de la rue.")</f>
        <v>Kid tient un ventilateur et souffle des feuilles de la rue.</v>
      </c>
    </row>
    <row r="14592">
      <c r="A14592" s="4" t="s">
        <v>18373</v>
      </c>
      <c r="B14592" s="4" t="s">
        <v>18375</v>
      </c>
      <c r="C14592" s="5" t="str">
        <f>IFERROR(__xludf.DUMMYFUNCTION("GOOGLETRANSLATE(B14592,""en"",""fr"")"),"L'enfant marche dans un trottoir et nettoie les feuilles sèches avec le ventilateur et un homme l'aide.")</f>
        <v>L'enfant marche dans un trottoir et nettoie les feuilles sèches avec le ventilateur et un homme l'aide.</v>
      </c>
    </row>
    <row r="14593">
      <c r="A14593" s="4" t="s">
        <v>18373</v>
      </c>
      <c r="B14593" s="4" t="s">
        <v>18376</v>
      </c>
      <c r="C14593" s="5" t="str">
        <f>IFERROR(__xludf.DUMMYFUNCTION("GOOGLETRANSLATE(B14593,""en"",""fr"")"),"Le vieil homme tient un râteau rasant les feuilles sèches.")</f>
        <v>Le vieil homme tient un râteau rasant les feuilles sèches.</v>
      </c>
    </row>
    <row r="14594">
      <c r="A14594" s="4" t="s">
        <v>18377</v>
      </c>
      <c r="B14594" s="4" t="s">
        <v>18378</v>
      </c>
      <c r="C14594" s="5" t="str">
        <f>IFERROR(__xludf.DUMMYFUNCTION("GOOGLETRANSLATE(B14594,""en"",""fr"")"),"Un petit garçon est dans un salon en désordre.")</f>
        <v>Un petit garçon est dans un salon en désordre.</v>
      </c>
    </row>
    <row r="14595">
      <c r="A14595" s="4" t="s">
        <v>18377</v>
      </c>
      <c r="B14595" s="4" t="s">
        <v>18379</v>
      </c>
      <c r="C14595" s="5" t="str">
        <f>IFERROR(__xludf.DUMMYFUNCTION("GOOGLETRANSLATE(B14595,""en"",""fr"")"),"Il utilise une brosse à dents électrique.")</f>
        <v>Il utilise une brosse à dents électrique.</v>
      </c>
    </row>
    <row r="14596">
      <c r="A14596" s="4" t="s">
        <v>18377</v>
      </c>
      <c r="B14596" s="4" t="s">
        <v>18380</v>
      </c>
      <c r="C14596" s="5" t="str">
        <f>IFERROR(__xludf.DUMMYFUNCTION("GOOGLETRANSLATE(B14596,""en"",""fr"")"),"Il se frotte les dents avec la brosse à dents pendant qu'il sourit.")</f>
        <v>Il se frotte les dents avec la brosse à dents pendant qu'il sourit.</v>
      </c>
    </row>
    <row r="14597">
      <c r="A14597" s="4" t="s">
        <v>18381</v>
      </c>
      <c r="B14597" s="4" t="s">
        <v>18382</v>
      </c>
      <c r="C14597" s="5" t="str">
        <f>IFERROR(__xludf.DUMMYFUNCTION("GOOGLETRANSLATE(B14597,""en"",""fr"")"),"Un homme en chemise bleu clair brise les balles de piscine pour commencer le jeu.")</f>
        <v>Un homme en chemise bleu clair brise les balles de piscine pour commencer le jeu.</v>
      </c>
    </row>
    <row r="14598">
      <c r="A14598" s="4" t="s">
        <v>18381</v>
      </c>
      <c r="B14598" s="4" t="s">
        <v>18383</v>
      </c>
      <c r="C14598" s="5" t="str">
        <f>IFERROR(__xludf.DUMMYFUNCTION("GOOGLETRANSLATE(B14598,""en"",""fr"")"),"Il se promène autour de la table à la recherche d'un bon endroit pour frapper.")</f>
        <v>Il se promène autour de la table à la recherche d'un bon endroit pour frapper.</v>
      </c>
    </row>
    <row r="14599">
      <c r="A14599" s="4" t="s">
        <v>18381</v>
      </c>
      <c r="B14599" s="4" t="s">
        <v>18384</v>
      </c>
      <c r="C14599" s="5" t="str">
        <f>IFERROR(__xludf.DUMMYFUNCTION("GOOGLETRANSLATE(B14599,""en"",""fr"")"),"Puis il se déplace à nouveau autour de la table et recommence.")</f>
        <v>Puis il se déplace à nouveau autour de la table et recommence.</v>
      </c>
    </row>
    <row r="14600">
      <c r="A14600" s="4" t="s">
        <v>18381</v>
      </c>
      <c r="B14600" s="4" t="s">
        <v>18385</v>
      </c>
      <c r="C14600" s="5" t="str">
        <f>IFERROR(__xludf.DUMMYFUNCTION("GOOGLETRANSLATE(B14600,""en"",""fr"")"),"Il frappe enfin la balle noire et termine le jeu.")</f>
        <v>Il frappe enfin la balle noire et termine le jeu.</v>
      </c>
    </row>
    <row r="14601">
      <c r="A14601" s="4" t="s">
        <v>18386</v>
      </c>
      <c r="B14601" s="4" t="s">
        <v>18387</v>
      </c>
      <c r="C14601" s="5" t="str">
        <f>IFERROR(__xludf.DUMMYFUNCTION("GOOGLETRANSLATE(B14601,""en"",""fr"")"),"Une femme saute dans une piscine.")</f>
        <v>Une femme saute dans une piscine.</v>
      </c>
    </row>
    <row r="14602">
      <c r="A14602" s="4" t="s">
        <v>18386</v>
      </c>
      <c r="B14602" s="4" t="s">
        <v>18388</v>
      </c>
      <c r="C14602" s="5" t="str">
        <f>IFERROR(__xludf.DUMMYFUNCTION("GOOGLETRANSLATE(B14602,""en"",""fr"")"),"Une femme tient une grande caméra en riant.")</f>
        <v>Une femme tient une grande caméra en riant.</v>
      </c>
    </row>
    <row r="14603">
      <c r="A14603" s="4" t="s">
        <v>18386</v>
      </c>
      <c r="B14603" s="4" t="s">
        <v>18389</v>
      </c>
      <c r="C14603" s="5" t="str">
        <f>IFERROR(__xludf.DUMMYFUNCTION("GOOGLETRANSLATE(B14603,""en"",""fr"")"),"Plusieurs autres femmes plongent de plongées dans l'eau.")</f>
        <v>Plusieurs autres femmes plongent de plongées dans l'eau.</v>
      </c>
    </row>
    <row r="14604">
      <c r="A14604" s="4" t="s">
        <v>18390</v>
      </c>
      <c r="B14604" s="4" t="s">
        <v>18391</v>
      </c>
      <c r="C14604" s="5" t="str">
        <f>IFERROR(__xludf.DUMMYFUNCTION("GOOGLETRANSLATE(B14604,""en"",""fr"")"),"Un chef parle à la caméra.")</f>
        <v>Un chef parle à la caméra.</v>
      </c>
    </row>
    <row r="14605">
      <c r="A14605" s="4" t="s">
        <v>18390</v>
      </c>
      <c r="B14605" s="4" t="s">
        <v>18392</v>
      </c>
      <c r="C14605" s="5" t="str">
        <f>IFERROR(__xludf.DUMMYFUNCTION("GOOGLETRANSLATE(B14605,""en"",""fr"")"),"Elle passe à couper beaucoup de champignons.")</f>
        <v>Elle passe à couper beaucoup de champignons.</v>
      </c>
    </row>
    <row r="14606">
      <c r="A14606" s="4" t="s">
        <v>18390</v>
      </c>
      <c r="B14606" s="4" t="s">
        <v>18393</v>
      </c>
      <c r="C14606" s="5" t="str">
        <f>IFERROR(__xludf.DUMMYFUNCTION("GOOGLETRANSLATE(B14606,""en"",""fr"")"),"Elle se déplace autour des champignons qu'elle vient de couper.")</f>
        <v>Elle se déplace autour des champignons qu'elle vient de couper.</v>
      </c>
    </row>
    <row r="14607">
      <c r="A14607" s="4" t="s">
        <v>18394</v>
      </c>
      <c r="B14607" s="4" t="s">
        <v>18395</v>
      </c>
      <c r="C14607" s="5" t="str">
        <f>IFERROR(__xludf.DUMMYFUNCTION("GOOGLETRANSLATE(B14607,""en"",""fr"")"),"Nous voyons la carte de titre de départ.")</f>
        <v>Nous voyons la carte de titre de départ.</v>
      </c>
    </row>
    <row r="14608">
      <c r="A14608" s="4" t="s">
        <v>18394</v>
      </c>
      <c r="B14608" s="4" t="s">
        <v>18396</v>
      </c>
      <c r="C14608" s="5" t="str">
        <f>IFERROR(__xludf.DUMMYFUNCTION("GOOGLETRANSLATE(B14608,""en"",""fr"")"),"Une pom-pom girl saute et un garçon s'approche et parle.")</f>
        <v>Une pom-pom girl saute et un garçon s'approche et parle.</v>
      </c>
    </row>
    <row r="14609">
      <c r="A14609" s="4" t="s">
        <v>18394</v>
      </c>
      <c r="B14609" s="4" t="s">
        <v>18397</v>
      </c>
      <c r="C14609" s="5" t="str">
        <f>IFERROR(__xludf.DUMMYFUNCTION("GOOGLETRANSLATE(B14609,""en"",""fr"")"),"Nous voyons la fille effectuer des sauts de pom-pom girl et des manœuvres de bras.")</f>
        <v>Nous voyons la fille effectuer des sauts de pom-pom girl et des manœuvres de bras.</v>
      </c>
    </row>
    <row r="14610">
      <c r="A14610" s="4" t="s">
        <v>18394</v>
      </c>
      <c r="B14610" s="4" t="s">
        <v>18398</v>
      </c>
      <c r="C14610" s="5" t="str">
        <f>IFERROR(__xludf.DUMMYFUNCTION("GOOGLETRANSLATE(B14610,""en"",""fr"")"),"Nous voyons ses pieds de près.")</f>
        <v>Nous voyons ses pieds de près.</v>
      </c>
    </row>
    <row r="14611">
      <c r="A14611" s="4" t="s">
        <v>18394</v>
      </c>
      <c r="B14611" s="4" t="s">
        <v>18399</v>
      </c>
      <c r="C14611" s="5" t="str">
        <f>IFERROR(__xludf.DUMMYFUNCTION("GOOGLETRANSLATE(B14611,""en"",""fr"")"),"La fille s'étend en se penchant au sol et s'assoit sur le sol qui s'étire.")</f>
        <v>La fille s'étend en se penchant au sol et s'assoit sur le sol qui s'étire.</v>
      </c>
    </row>
    <row r="14612">
      <c r="A14612" s="4" t="s">
        <v>18394</v>
      </c>
      <c r="B14612" s="4" t="s">
        <v>777</v>
      </c>
      <c r="C14612" s="5" t="str">
        <f>IFERROR(__xludf.DUMMYFUNCTION("GOOGLETRANSLATE(B14612,""en"",""fr"")"),"Nous voyons l'écran du titre de fin.")</f>
        <v>Nous voyons l'écran du titre de fin.</v>
      </c>
    </row>
    <row r="14613">
      <c r="A14613" s="4" t="s">
        <v>18400</v>
      </c>
      <c r="B14613" s="4" t="s">
        <v>18401</v>
      </c>
      <c r="C14613" s="5" t="str">
        <f>IFERROR(__xludf.DUMMYFUNCTION("GOOGLETRANSLATE(B14613,""en"",""fr"")"),"La jeune femme aux cheveux blonds longs montre son poignet qui a quelques cicatrices d'une opération.")</f>
        <v>La jeune femme aux cheveux blonds longs montre son poignet qui a quelques cicatrices d'une opération.</v>
      </c>
    </row>
    <row r="14614">
      <c r="A14614" s="4" t="s">
        <v>18400</v>
      </c>
      <c r="B14614" s="4" t="s">
        <v>18402</v>
      </c>
      <c r="C14614" s="5" t="str">
        <f>IFERROR(__xludf.DUMMYFUNCTION("GOOGLETRANSLATE(B14614,""en"",""fr"")"),"Puis elle prend un cerceau de hula de couleur verte néon et le tourne autour de son corps.")</f>
        <v>Puis elle prend un cerceau de hula de couleur verte néon et le tourne autour de son corps.</v>
      </c>
    </row>
    <row r="14615">
      <c r="A14615" s="4" t="s">
        <v>18400</v>
      </c>
      <c r="B14615" s="6" t="s">
        <v>18403</v>
      </c>
      <c r="C14615" s="5" t="str">
        <f>IFERROR(__xludf.DUMMYFUNCTION("GOOGLETRANSLATE(B14615,""en"",""fr"")"),"Elle montre comment utiliser efficacement le cerceau du hula en tenant le cerceau vers sa poitrine.")</f>
        <v>Elle montre comment utiliser efficacement le cerceau du hula en tenant le cerceau vers sa poitrine.</v>
      </c>
    </row>
    <row r="14616">
      <c r="A14616" s="4" t="s">
        <v>18400</v>
      </c>
      <c r="B14616" s="4" t="s">
        <v>18404</v>
      </c>
      <c r="C14616" s="5" t="str">
        <f>IFERROR(__xludf.DUMMYFUNCTION("GOOGLETRANSLATE(B14616,""en"",""fr"")"),"Puis elle commence à tourner avec le cerceau sur sa poitrine.")</f>
        <v>Puis elle commence à tourner avec le cerceau sur sa poitrine.</v>
      </c>
    </row>
    <row r="14617">
      <c r="A14617" s="4" t="s">
        <v>18400</v>
      </c>
      <c r="B14617" s="4" t="s">
        <v>18405</v>
      </c>
      <c r="C14617" s="5" t="str">
        <f>IFERROR(__xludf.DUMMYFUNCTION("GOOGLETRANSLATE(B14617,""en"",""fr"")"),"Elle montre comment faire tourner le cerceau et faire pivoter le cerceau autour de son corps sans le laisser tomber.")</f>
        <v>Elle montre comment faire tourner le cerceau et faire pivoter le cerceau autour de son corps sans le laisser tomber.</v>
      </c>
    </row>
    <row r="14618">
      <c r="A14618" s="4" t="s">
        <v>18400</v>
      </c>
      <c r="B14618" s="6" t="s">
        <v>18406</v>
      </c>
      <c r="C14618" s="5" t="str">
        <f>IFERROR(__xludf.DUMMYFUNCTION("GOOGLETRANSLATE(B14618,""en"",""fr"")"),"Elle continue de montrer comment tourner correctement et faire tourner le cerceau avec ses mains baissées à côté de son corps.")</f>
        <v>Elle continue de montrer comment tourner correctement et faire tourner le cerceau avec ses mains baissées à côté de son corps.</v>
      </c>
    </row>
    <row r="14619">
      <c r="A14619" s="4" t="s">
        <v>18400</v>
      </c>
      <c r="B14619" s="4" t="s">
        <v>18407</v>
      </c>
      <c r="C14619" s="5" t="str">
        <f>IFERROR(__xludf.DUMMYFUNCTION("GOOGLETRANSLATE(B14619,""en"",""fr"")"),"Puis elle s'arrête et tourbillonne le cerceau dans sa main.")</f>
        <v>Puis elle s'arrête et tourbillonne le cerceau dans sa main.</v>
      </c>
    </row>
    <row r="14620">
      <c r="A14620" s="4" t="s">
        <v>18408</v>
      </c>
      <c r="B14620" s="4" t="s">
        <v>18409</v>
      </c>
      <c r="C14620" s="5" t="str">
        <f>IFERROR(__xludf.DUMMYFUNCTION("GOOGLETRANSLATE(B14620,""en"",""fr"")"),"Un homme soude une pièce en métal circulaire.")</f>
        <v>Un homme soude une pièce en métal circulaire.</v>
      </c>
    </row>
    <row r="14621">
      <c r="A14621" s="4" t="s">
        <v>18408</v>
      </c>
      <c r="B14621" s="4" t="s">
        <v>18410</v>
      </c>
      <c r="C14621" s="5" t="str">
        <f>IFERROR(__xludf.DUMMYFUNCTION("GOOGLETRANSLATE(B14621,""en"",""fr"")"),"Un feu vert apparaît de nulle part.")</f>
        <v>Un feu vert apparaît de nulle part.</v>
      </c>
    </row>
    <row r="14622">
      <c r="A14622" s="4" t="s">
        <v>18408</v>
      </c>
      <c r="B14622" s="4" t="s">
        <v>18411</v>
      </c>
      <c r="C14622" s="5" t="str">
        <f>IFERROR(__xludf.DUMMYFUNCTION("GOOGLETRANSLATE(B14622,""en"",""fr"")"),"L'homme continue de souder la pièce en métal circulaire.")</f>
        <v>L'homme continue de souder la pièce en métal circulaire.</v>
      </c>
    </row>
    <row r="14623">
      <c r="A14623" s="4" t="s">
        <v>18412</v>
      </c>
      <c r="B14623" s="6" t="s">
        <v>18413</v>
      </c>
      <c r="C14623" s="5" t="str">
        <f>IFERROR(__xludf.DUMMYFUNCTION("GOOGLETRANSLATE(B14623,""en"",""fr"")"),"Un chien noir et blanc est dans un parc pour chiens et le propriétaire se penche et se déplace devant le chien alors qu'il le regarde.")</f>
        <v>Un chien noir et blanc est dans un parc pour chiens et le propriétaire se penche et se déplace devant le chien alors qu'il le regarde.</v>
      </c>
    </row>
    <row r="14624">
      <c r="A14624" s="4" t="s">
        <v>18412</v>
      </c>
      <c r="B14624" s="6" t="s">
        <v>18414</v>
      </c>
      <c r="C14624" s="5" t="str">
        <f>IFERROR(__xludf.DUMMYFUNCTION("GOOGLETRANSLATE(B14624,""en"",""fr"")"),"Le propriétaire entre ensuite davantage dans l'herbe en tenant les Frisbees et n'est pas seulement rejoint par le chien noir et blanc, mais un autre chien brun et blanc.")</f>
        <v>Le propriétaire entre ensuite davantage dans l'herbe en tenant les Frisbees et n'est pas seulement rejoint par le chien noir et blanc, mais un autre chien brun et blanc.</v>
      </c>
    </row>
    <row r="14625">
      <c r="A14625" s="4" t="s">
        <v>18412</v>
      </c>
      <c r="B14625" s="6" t="s">
        <v>18415</v>
      </c>
      <c r="C14625" s="5" t="str">
        <f>IFERROR(__xludf.DUMMYFUNCTION("GOOGLETRANSLATE(B14625,""en"",""fr"")"),"L'homme commence à jeter les Frisbees dans les airs et les chiens à tour de rôle les attraper et faire des astuces pour les amener qui incluent même le saut sur le dos de l'homme.")</f>
        <v>L'homme commence à jeter les Frisbees dans les airs et les chiens à tour de rôle les attraper et faire des astuces pour les amener qui incluent même le saut sur le dos de l'homme.</v>
      </c>
    </row>
    <row r="14626">
      <c r="A14626" s="4" t="s">
        <v>18416</v>
      </c>
      <c r="B14626" s="4" t="s">
        <v>18417</v>
      </c>
      <c r="C14626" s="5" t="str">
        <f>IFERROR(__xludf.DUMMYFUNCTION("GOOGLETRANSLATE(B14626,""en"",""fr"")"),"Les gens montent des chevaux dans un champ.")</f>
        <v>Les gens montent des chevaux dans un champ.</v>
      </c>
    </row>
    <row r="14627">
      <c r="A14627" s="4" t="s">
        <v>18416</v>
      </c>
      <c r="B14627" s="4" t="s">
        <v>18418</v>
      </c>
      <c r="C14627" s="5" t="str">
        <f>IFERROR(__xludf.DUMMYFUNCTION("GOOGLETRANSLATE(B14627,""en"",""fr"")"),"Ils jouent au polo sur les chevaux.")</f>
        <v>Ils jouent au polo sur les chevaux.</v>
      </c>
    </row>
    <row r="14628">
      <c r="A14628" s="4" t="s">
        <v>18416</v>
      </c>
      <c r="B14628" s="4" t="s">
        <v>18419</v>
      </c>
      <c r="C14628" s="5" t="str">
        <f>IFERROR(__xludf.DUMMYFUNCTION("GOOGLETRANSLATE(B14628,""en"",""fr"")"),"Une personne debout sur la touche fait signe un drapeau blanc.")</f>
        <v>Une personne debout sur la touche fait signe un drapeau blanc.</v>
      </c>
    </row>
    <row r="14629">
      <c r="A14629" s="4" t="s">
        <v>18420</v>
      </c>
      <c r="B14629" s="4" t="s">
        <v>18421</v>
      </c>
      <c r="C14629" s="5" t="str">
        <f>IFERROR(__xludf.DUMMYFUNCTION("GOOGLETRANSLATE(B14629,""en"",""fr"")"),"Deux filles se dirigent vers une piscine, prête à plonger.")</f>
        <v>Deux filles se dirigent vers une piscine, prête à plonger.</v>
      </c>
    </row>
    <row r="14630">
      <c r="A14630" s="4" t="s">
        <v>18420</v>
      </c>
      <c r="B14630" s="4" t="s">
        <v>18422</v>
      </c>
      <c r="C14630" s="5" t="str">
        <f>IFERROR(__xludf.DUMMYFUNCTION("GOOGLETRANSLATE(B14630,""en"",""fr"")"),"L'un d'eux lève les bras dans l'air, puis plonge dans l'eau avant de faire surface.")</f>
        <v>L'un d'eux lève les bras dans l'air, puis plonge dans l'eau avant de faire surface.</v>
      </c>
    </row>
    <row r="14631">
      <c r="A14631" s="4" t="s">
        <v>18423</v>
      </c>
      <c r="B14631" s="4" t="s">
        <v>18424</v>
      </c>
      <c r="C14631" s="5" t="str">
        <f>IFERROR(__xludf.DUMMYFUNCTION("GOOGLETRANSLATE(B14631,""en"",""fr"")"),"Un outil de soudage est appliqué à une surface.")</f>
        <v>Un outil de soudage est appliqué à une surface.</v>
      </c>
    </row>
    <row r="14632">
      <c r="A14632" s="4" t="s">
        <v>18423</v>
      </c>
      <c r="B14632" s="4" t="s">
        <v>18425</v>
      </c>
      <c r="C14632" s="5" t="str">
        <f>IFERROR(__xludf.DUMMYFUNCTION("GOOGLETRANSLATE(B14632,""en"",""fr"")"),"Un gars qui tient un outil de soudage porte un casque.")</f>
        <v>Un gars qui tient un outil de soudage porte un casque.</v>
      </c>
    </row>
    <row r="14633">
      <c r="A14633" s="4" t="s">
        <v>18423</v>
      </c>
      <c r="B14633" s="4" t="s">
        <v>18426</v>
      </c>
      <c r="C14633" s="5" t="str">
        <f>IFERROR(__xludf.DUMMYFUNCTION("GOOGLETRANSLATE(B14633,""en"",""fr"")"),"Deux mains gantées utilisent un pistolet de soudage et collent sur un objet.")</f>
        <v>Deux mains gantées utilisent un pistolet de soudage et collent sur un objet.</v>
      </c>
    </row>
    <row r="14634">
      <c r="A14634" s="4" t="s">
        <v>18427</v>
      </c>
      <c r="B14634" s="4" t="s">
        <v>18428</v>
      </c>
      <c r="C14634" s="5" t="str">
        <f>IFERROR(__xludf.DUMMYFUNCTION("GOOGLETRANSLATE(B14634,""en"",""fr"")"),"Un homme est vêtu d'une armure médiévale sombre.")</f>
        <v>Un homme est vêtu d'une armure médiévale sombre.</v>
      </c>
    </row>
    <row r="14635">
      <c r="A14635" s="4" t="s">
        <v>18427</v>
      </c>
      <c r="B14635" s="6" t="s">
        <v>18429</v>
      </c>
      <c r="C14635" s="5" t="str">
        <f>IFERROR(__xludf.DUMMYFUNCTION("GOOGLETRANSLATE(B14635,""en"",""fr"")"),"Plusieurs cas d'hommes vêtus de différents types d'armures et de divers boucliers montrent des bouchons les uns contre les autres.")</f>
        <v>Plusieurs cas d'hommes vêtus de différents types d'armures et de divers boucliers montrent des bouchons les uns contre les autres.</v>
      </c>
    </row>
    <row r="14636">
      <c r="A14636" s="4" t="s">
        <v>18427</v>
      </c>
      <c r="B14636" s="6" t="s">
        <v>18430</v>
      </c>
      <c r="C14636" s="5" t="str">
        <f>IFERROR(__xludf.DUMMYFUNCTION("GOOGLETRANSLATE(B14636,""en"",""fr"")"),"En fin de compte, l'homme avec le bouclier rond est vaincu quand il tombe au sol et poignardé dans le dos.")</f>
        <v>En fin de compte, l'homme avec le bouclier rond est vaincu quand il tombe au sol et poignardé dans le dos.</v>
      </c>
    </row>
    <row r="14637">
      <c r="A14637" s="4" t="s">
        <v>18427</v>
      </c>
      <c r="B14637" s="4" t="s">
        <v>18431</v>
      </c>
      <c r="C14637" s="5" t="str">
        <f>IFERROR(__xludf.DUMMYFUNCTION("GOOGLETRANSLATE(B14637,""en"",""fr"")"),"Le vainqueur se contacte maintenant contre un homme portant un bouclier en forme de diamant bleu.")</f>
        <v>Le vainqueur se contacte maintenant contre un homme portant un bouclier en forme de diamant bleu.</v>
      </c>
    </row>
    <row r="14638">
      <c r="A14638" s="4" t="s">
        <v>18427</v>
      </c>
      <c r="B14638" s="6" t="s">
        <v>18432</v>
      </c>
      <c r="C14638" s="5" t="str">
        <f>IFERROR(__xludf.DUMMYFUNCTION("GOOGLETRANSLATE(B14638,""en"",""fr"")"),"Ils se jouttent plusieurs fois mais l'homme avec le bouclier bleu est vaincu quand il est touché dans la tête et la poitrine et tombe sur son dos sur les genoux de l'autre guerrier.")</f>
        <v>Ils se jouttent plusieurs fois mais l'homme avec le bouclier bleu est vaincu quand il est touché dans la tête et la poitrine et tombe sur son dos sur les genoux de l'autre guerrier.</v>
      </c>
    </row>
    <row r="14639">
      <c r="A14639" s="4" t="s">
        <v>18427</v>
      </c>
      <c r="B14639" s="4" t="s">
        <v>18433</v>
      </c>
      <c r="C14639" s="5" t="str">
        <f>IFERROR(__xludf.DUMMYFUNCTION("GOOGLETRANSLATE(B14639,""en"",""fr"")"),"Un gros plan du guerrier survivant est montré, clairement satisfait de ses victoires.")</f>
        <v>Un gros plan du guerrier survivant est montré, clairement satisfait de ses victoires.</v>
      </c>
    </row>
    <row r="14640">
      <c r="A14640" s="4" t="s">
        <v>18434</v>
      </c>
      <c r="B14640" s="4" t="s">
        <v>18435</v>
      </c>
      <c r="C14640" s="5" t="str">
        <f>IFERROR(__xludf.DUMMYFUNCTION("GOOGLETRANSLATE(B14640,""en"",""fr"")"),"La vidéo commence par une séquence de titre et un logo.")</f>
        <v>La vidéo commence par une séquence de titre et un logo.</v>
      </c>
    </row>
    <row r="14641">
      <c r="A14641" s="4" t="s">
        <v>18434</v>
      </c>
      <c r="B14641" s="4" t="s">
        <v>18436</v>
      </c>
      <c r="C14641" s="5" t="str">
        <f>IFERROR(__xludf.DUMMYFUNCTION("GOOGLETRANSLATE(B14641,""en"",""fr"")"),"Plusieurs clips commencent à jouer des terrains de volleyball avec des spectateurs.")</f>
        <v>Plusieurs clips commencent à jouer des terrains de volleyball avec des spectateurs.</v>
      </c>
    </row>
    <row r="14642">
      <c r="A14642" s="4" t="s">
        <v>18434</v>
      </c>
      <c r="B14642" s="4" t="s">
        <v>18437</v>
      </c>
      <c r="C14642" s="5" t="str">
        <f>IFERROR(__xludf.DUMMYFUNCTION("GOOGLETRANSLATE(B14642,""en"",""fr"")"),"Le premier clip montre les joueurs célébrant.")</f>
        <v>Le premier clip montre les joueurs célébrant.</v>
      </c>
    </row>
    <row r="14643">
      <c r="A14643" s="4" t="s">
        <v>18434</v>
      </c>
      <c r="B14643" s="4" t="s">
        <v>18438</v>
      </c>
      <c r="C14643" s="5" t="str">
        <f>IFERROR(__xludf.DUMMYFUNCTION("GOOGLETRANSLATE(B14643,""en"",""fr"")"),"La vidéo passe aux membres d'un groupe.")</f>
        <v>La vidéo passe aux membres d'un groupe.</v>
      </c>
    </row>
    <row r="14644">
      <c r="A14644" s="4" t="s">
        <v>18434</v>
      </c>
      <c r="B14644" s="4" t="s">
        <v>18439</v>
      </c>
      <c r="C14644" s="5" t="str">
        <f>IFERROR(__xludf.DUMMYFUNCTION("GOOGLETRANSLATE(B14644,""en"",""fr"")"),"Il continue ensuite de montrer des clips d'hommes jouant au volleyball.")</f>
        <v>Il continue ensuite de montrer des clips d'hommes jouant au volleyball.</v>
      </c>
    </row>
    <row r="14645">
      <c r="A14645" s="4" t="s">
        <v>18434</v>
      </c>
      <c r="B14645" s="4" t="s">
        <v>18440</v>
      </c>
      <c r="C14645" s="5" t="str">
        <f>IFERROR(__xludf.DUMMYFUNCTION("GOOGLETRANSLATE(B14645,""en"",""fr"")"),"La vidéo se termine par un gros plan du public et une séquence de titre.")</f>
        <v>La vidéo se termine par un gros plan du public et une séquence de titre.</v>
      </c>
    </row>
    <row r="14646">
      <c r="A14646" s="4" t="s">
        <v>18441</v>
      </c>
      <c r="B14646" s="4" t="s">
        <v>18442</v>
      </c>
      <c r="C14646" s="5" t="str">
        <f>IFERROR(__xludf.DUMMYFUNCTION("GOOGLETRANSLATE(B14646,""en"",""fr"")"),"Les gens commencent à plonger dans une piscine vide et vous les voyez sous l'eau.")</f>
        <v>Les gens commencent à plonger dans une piscine vide et vous les voyez sous l'eau.</v>
      </c>
    </row>
    <row r="14647">
      <c r="A14647" s="4" t="s">
        <v>18441</v>
      </c>
      <c r="B14647" s="4" t="s">
        <v>18443</v>
      </c>
      <c r="C14647" s="5" t="str">
        <f>IFERROR(__xludf.DUMMYFUNCTION("GOOGLETRANSLATE(B14647,""en"",""fr"")"),"Ensuite, au-dessus de la planche de plongée, deux nageurs sont debout et l'un d'eux plonge.")</f>
        <v>Ensuite, au-dessus de la planche de plongée, deux nageurs sont debout et l'un d'eux plonge.</v>
      </c>
    </row>
    <row r="14648">
      <c r="A14648" s="4" t="s">
        <v>18441</v>
      </c>
      <c r="B14648" s="6" t="s">
        <v>18444</v>
      </c>
      <c r="C14648" s="5" t="str">
        <f>IFERROR(__xludf.DUMMYFUNCTION("GOOGLETRANSLATE(B14648,""en"",""fr"")"),"Un groupe d'enfants tenant le film de la caméra eux-mêmes plongeant et faisant des trucs sympas et se retourne dans la piscine.")</f>
        <v>Un groupe d'enfants tenant le film de la caméra eux-mêmes plongeant et faisant des trucs sympas et se retourne dans la piscine.</v>
      </c>
    </row>
    <row r="14649">
      <c r="A14649" s="4" t="s">
        <v>18441</v>
      </c>
      <c r="B14649" s="6" t="s">
        <v>18445</v>
      </c>
      <c r="C14649" s="5" t="str">
        <f>IFERROR(__xludf.DUMMYFUNCTION("GOOGLETRANSLATE(B14649,""en"",""fr"")"),"De très haut au-dessus, ils enregistrent leur vue du haut vers l'eau et la baignade une fois qu'ils sont.")</f>
        <v>De très haut au-dessus, ils enregistrent leur vue du haut vers l'eau et la baignade une fois qu'ils sont.</v>
      </c>
    </row>
    <row r="14650">
      <c r="A14650" s="4" t="s">
        <v>18446</v>
      </c>
      <c r="B14650" s="4" t="s">
        <v>18447</v>
      </c>
      <c r="C14650" s="5" t="str">
        <f>IFERROR(__xludf.DUMMYFUNCTION("GOOGLETRANSLATE(B14650,""en"",""fr"")"),"Deux femmes de lutte se battent dans un anneau.")</f>
        <v>Deux femmes de lutte se battent dans un anneau.</v>
      </c>
    </row>
    <row r="14651">
      <c r="A14651" s="4" t="s">
        <v>18446</v>
      </c>
      <c r="B14651" s="4" t="s">
        <v>18448</v>
      </c>
      <c r="C14651" s="5" t="str">
        <f>IFERROR(__xludf.DUMMYFUNCTION("GOOGLETRANSLATE(B14651,""en"",""fr"")"),"Ils font un suplex et l'arbitre compte à trois alors que la femme aux cheveux noirs gagne.")</f>
        <v>Ils font un suplex et l'arbitre compte à trois alors que la femme aux cheveux noirs gagne.</v>
      </c>
    </row>
    <row r="14652">
      <c r="A14652" s="4" t="s">
        <v>18449</v>
      </c>
      <c r="B14652" s="4" t="s">
        <v>18450</v>
      </c>
      <c r="C14652" s="5" t="str">
        <f>IFERROR(__xludf.DUMMYFUNCTION("GOOGLETRANSLATE(B14652,""en"",""fr"")"),"Un groupe de garçons joue au ballon sur un terrain.")</f>
        <v>Un groupe de garçons joue au ballon sur un terrain.</v>
      </c>
    </row>
    <row r="14653">
      <c r="A14653" s="4" t="s">
        <v>18449</v>
      </c>
      <c r="B14653" s="4" t="s">
        <v>18451</v>
      </c>
      <c r="C14653" s="5" t="str">
        <f>IFERROR(__xludf.DUMMYFUNCTION("GOOGLETRANSLATE(B14653,""en"",""fr"")"),"Ils sont guidés par leur entraîneur.")</f>
        <v>Ils sont guidés par leur entraîneur.</v>
      </c>
    </row>
    <row r="14654">
      <c r="A14654" s="4" t="s">
        <v>18449</v>
      </c>
      <c r="B14654" s="4" t="s">
        <v>18452</v>
      </c>
      <c r="C14654" s="5" t="str">
        <f>IFERROR(__xludf.DUMMYFUNCTION("GOOGLETRANSLATE(B14654,""en"",""fr"")"),"Ils courent avec les balles, essayant de faire des paniers.")</f>
        <v>Ils courent avec les balles, essayant de faire des paniers.</v>
      </c>
    </row>
    <row r="14655">
      <c r="A14655" s="4" t="s">
        <v>18453</v>
      </c>
      <c r="B14655" s="4" t="s">
        <v>18454</v>
      </c>
      <c r="C14655" s="5" t="str">
        <f>IFERROR(__xludf.DUMMYFUNCTION("GOOGLETRANSLATE(B14655,""en"",""fr"")"),"Une main remplit une tasse d'eau.")</f>
        <v>Une main remplit une tasse d'eau.</v>
      </c>
    </row>
    <row r="14656">
      <c r="A14656" s="4" t="s">
        <v>18453</v>
      </c>
      <c r="B14656" s="4" t="s">
        <v>18455</v>
      </c>
      <c r="C14656" s="5" t="str">
        <f>IFERROR(__xludf.DUMMYFUNCTION("GOOGLETRANSLATE(B14656,""en"",""fr"")"),"Une femme met deux lunettes sur le comptoir.")</f>
        <v>Une femme met deux lunettes sur le comptoir.</v>
      </c>
    </row>
    <row r="14657">
      <c r="A14657" s="4" t="s">
        <v>18453</v>
      </c>
      <c r="B14657" s="4" t="s">
        <v>18456</v>
      </c>
      <c r="C14657" s="5" t="str">
        <f>IFERROR(__xludf.DUMMYFUNCTION("GOOGLETRANSLATE(B14657,""en"",""fr"")"),"La femme met de la bière et du jus d'orange dans un grand verre, puis elle verse de l'alcool dans le petit verre.")</f>
        <v>La femme met de la bière et du jus d'orange dans un grand verre, puis elle verse de l'alcool dans le petit verre.</v>
      </c>
    </row>
    <row r="14658">
      <c r="A14658" s="4" t="s">
        <v>18453</v>
      </c>
      <c r="B14658" s="4" t="s">
        <v>18457</v>
      </c>
      <c r="C14658" s="5" t="str">
        <f>IFERROR(__xludf.DUMMYFUNCTION("GOOGLETRANSLATE(B14658,""en"",""fr"")"),"Après, la femme met le petit verre à l'intérieur du grand verre.")</f>
        <v>Après, la femme met le petit verre à l'intérieur du grand verre.</v>
      </c>
    </row>
    <row r="14659">
      <c r="A14659" s="4" t="s">
        <v>18458</v>
      </c>
      <c r="B14659" s="4" t="s">
        <v>18459</v>
      </c>
      <c r="C14659" s="5" t="str">
        <f>IFERROR(__xludf.DUMMYFUNCTION("GOOGLETRANSLATE(B14659,""en"",""fr"")"),"Une grande vague est montrée suivie d'une personne debout sur une planche de surf.")</f>
        <v>Une grande vague est montrée suivie d'une personne debout sur une planche de surf.</v>
      </c>
    </row>
    <row r="14660">
      <c r="A14660" s="4" t="s">
        <v>18458</v>
      </c>
      <c r="B14660" s="4" t="s">
        <v>18460</v>
      </c>
      <c r="C14660" s="5" t="str">
        <f>IFERROR(__xludf.DUMMYFUNCTION("GOOGLETRANSLATE(B14660,""en"",""fr"")"),"La personne est montrée surfant tout le long de l'eau pendant que la caméra filme par derrière.")</f>
        <v>La personne est montrée surfant tout le long de l'eau pendant que la caméra filme par derrière.</v>
      </c>
    </row>
    <row r="14661">
      <c r="A14661" s="4" t="s">
        <v>18458</v>
      </c>
      <c r="B14661" s="4" t="s">
        <v>18461</v>
      </c>
      <c r="C14661" s="5" t="str">
        <f>IFERROR(__xludf.DUMMYFUNCTION("GOOGLETRANSLATE(B14661,""en"",""fr"")"),"L'homme continue de surfer et se pagine vers un bateau.")</f>
        <v>L'homme continue de surfer et se pagine vers un bateau.</v>
      </c>
    </row>
    <row r="14662">
      <c r="A14662" s="4" t="s">
        <v>18462</v>
      </c>
      <c r="B14662" s="4" t="s">
        <v>18463</v>
      </c>
      <c r="C14662" s="5" t="str">
        <f>IFERROR(__xludf.DUMMYFUNCTION("GOOGLETRANSLATE(B14662,""en"",""fr"")"),"Un homme en chemise rouge entraîne un tracteur orange autour de la pelouse.")</f>
        <v>Un homme en chemise rouge entraîne un tracteur orange autour de la pelouse.</v>
      </c>
    </row>
    <row r="14663">
      <c r="A14663" s="4" t="s">
        <v>18462</v>
      </c>
      <c r="B14663" s="4" t="s">
        <v>18464</v>
      </c>
      <c r="C14663" s="5" t="str">
        <f>IFERROR(__xludf.DUMMYFUNCTION("GOOGLETRANSLATE(B14663,""en"",""fr"")"),"Un chien coule dans la cour.")</f>
        <v>Un chien coule dans la cour.</v>
      </c>
    </row>
    <row r="14664">
      <c r="A14664" s="4" t="s">
        <v>18462</v>
      </c>
      <c r="B14664" s="4" t="s">
        <v>18465</v>
      </c>
      <c r="C14664" s="5" t="str">
        <f>IFERROR(__xludf.DUMMYFUNCTION("GOOGLETRANSLATE(B14664,""en"",""fr"")"),"Une femme conduit le tracteur orange.")</f>
        <v>Une femme conduit le tracteur orange.</v>
      </c>
    </row>
    <row r="14665">
      <c r="A14665" s="4" t="s">
        <v>18466</v>
      </c>
      <c r="B14665" s="4" t="s">
        <v>18467</v>
      </c>
      <c r="C14665" s="5" t="str">
        <f>IFERROR(__xludf.DUMMYFUNCTION("GOOGLETRANSLATE(B14665,""en"",""fr"")"),"On voit deux femmes marcher sur scène et les amener à effectuer une routine de danse du ventre.")</f>
        <v>On voit deux femmes marcher sur scène et les amener à effectuer une routine de danse du ventre.</v>
      </c>
    </row>
    <row r="14666">
      <c r="A14666" s="4" t="s">
        <v>18466</v>
      </c>
      <c r="B14666" s="4" t="s">
        <v>18468</v>
      </c>
      <c r="C14666" s="5" t="str">
        <f>IFERROR(__xludf.DUMMYFUNCTION("GOOGLETRANSLATE(B14666,""en"",""fr"")"),"Les femmes dansent tout autour de la scène tandis que les lumières clignotent autour d'eux.")</f>
        <v>Les femmes dansent tout autour de la scène tandis que les lumières clignotent autour d'eux.</v>
      </c>
    </row>
    <row r="14667">
      <c r="A14667" s="4" t="s">
        <v>18466</v>
      </c>
      <c r="B14667" s="4" t="s">
        <v>18469</v>
      </c>
      <c r="C14667" s="5" t="str">
        <f>IFERROR(__xludf.DUMMYFUNCTION("GOOGLETRANSLATE(B14667,""en"",""fr"")"),"Les femmes continuent de danser entre elles et de finir en riant les unes avec les autres.")</f>
        <v>Les femmes continuent de danser entre elles et de finir en riant les unes avec les autres.</v>
      </c>
    </row>
    <row r="14668">
      <c r="A14668" s="4" t="s">
        <v>18470</v>
      </c>
      <c r="B14668" s="4" t="s">
        <v>18471</v>
      </c>
      <c r="C14668" s="5" t="str">
        <f>IFERROR(__xludf.DUMMYFUNCTION("GOOGLETRANSLATE(B14668,""en"",""fr"")"),"Une femme de presse parle à une caméra.")</f>
        <v>Une femme de presse parle à une caméra.</v>
      </c>
    </row>
    <row r="14669">
      <c r="A14669" s="4" t="s">
        <v>18470</v>
      </c>
      <c r="B14669" s="4" t="s">
        <v>18472</v>
      </c>
      <c r="C14669" s="5" t="str">
        <f>IFERROR(__xludf.DUMMYFUNCTION("GOOGLETRANSLATE(B14669,""en"",""fr"")"),"Elle a une conversation avec un homme qui est également un journal de presse.")</f>
        <v>Elle a une conversation avec un homme qui est également un journal de presse.</v>
      </c>
    </row>
    <row r="14670">
      <c r="A14670" s="4" t="s">
        <v>18470</v>
      </c>
      <c r="B14670" s="4" t="s">
        <v>18473</v>
      </c>
      <c r="C14670" s="5" t="str">
        <f>IFERROR(__xludf.DUMMYFUNCTION("GOOGLETRANSLATE(B14670,""en"",""fr"")"),"Des images de moules à main sont affichées en arrière-plan.")</f>
        <v>Des images de moules à main sont affichées en arrière-plan.</v>
      </c>
    </row>
    <row r="14671">
      <c r="A14671" s="4" t="s">
        <v>18474</v>
      </c>
      <c r="B14671" s="6" t="s">
        <v>18475</v>
      </c>
      <c r="C14671" s="5" t="str">
        <f>IFERROR(__xludf.DUMMYFUNCTION("GOOGLETRANSLATE(B14671,""en"",""fr"")"),"Un écran noir apparaît et les mots blancs lisent ""Rob Lane est l'homme de la maintenance millionnaire"".")</f>
        <v>Un écran noir apparaît et les mots blancs lisent "Rob Lane est l'homme de la maintenance millionnaire".</v>
      </c>
    </row>
    <row r="14672">
      <c r="A14672" s="4" t="s">
        <v>18474</v>
      </c>
      <c r="B14672" s="6" t="s">
        <v>18476</v>
      </c>
      <c r="C14672" s="5" t="str">
        <f>IFERROR(__xludf.DUMMYFUNCTION("GOOGLETRANSLATE(B14672,""en"",""fr"")"),"Un homme portant des lunettes apparaît à l'extérieur devant une clôture et il tient une machine à brosse à air et parle.")</f>
        <v>Un homme portant des lunettes apparaît à l'extérieur devant une clôture et il tient une machine à brosse à air et parle.</v>
      </c>
    </row>
    <row r="14673">
      <c r="A14673" s="4" t="s">
        <v>18474</v>
      </c>
      <c r="B14673" s="4" t="s">
        <v>18477</v>
      </c>
      <c r="C14673" s="5" t="str">
        <f>IFERROR(__xludf.DUMMYFUNCTION("GOOGLETRANSLATE(B14673,""en"",""fr"")"),"L'homme se retourne ensuite et se dirige vers la clôture et commence l'aérographe.")</f>
        <v>L'homme se retourne ensuite et se dirige vers la clôture et commence l'aérographe.</v>
      </c>
    </row>
    <row r="14674">
      <c r="A14674" s="4" t="s">
        <v>18474</v>
      </c>
      <c r="B14674" s="6" t="s">
        <v>18478</v>
      </c>
      <c r="C14674" s="5" t="str">
        <f>IFERROR(__xludf.DUMMYFUNCTION("GOOGLETRANSLATE(B14674,""en"",""fr"")"),"L'homme arrête l'aérographe et recommence à parler tout en faisant signe à la main vers la clôture et vers cette machine à aérographe.")</f>
        <v>L'homme arrête l'aérographe et recommence à parler tout en faisant signe à la main vers la clôture et vers cette machine à aérographe.</v>
      </c>
    </row>
    <row r="14675">
      <c r="A14675" s="4" t="s">
        <v>18479</v>
      </c>
      <c r="B14675" s="4" t="s">
        <v>18480</v>
      </c>
      <c r="C14675" s="5" t="str">
        <f>IFERROR(__xludf.DUMMYFUNCTION("GOOGLETRANSLATE(B14675,""en"",""fr"")"),"Une femme est vue en parlant à la caméra tandis qu'une petite table de football se trouve devant elle.")</f>
        <v>Une femme est vue en parlant à la caméra tandis qu'une petite table de football se trouve devant elle.</v>
      </c>
    </row>
    <row r="14676">
      <c r="A14676" s="4" t="s">
        <v>18479</v>
      </c>
      <c r="B14676" s="6" t="s">
        <v>18481</v>
      </c>
      <c r="C14676" s="5" t="str">
        <f>IFERROR(__xludf.DUMMYFUNCTION("GOOGLETRANSLATE(B14676,""en"",""fr"")"),"La femme continue de parler alors qu'elle tourne dans le jeu de temps en temps et l'amène à jouer avec une autre fille.")</f>
        <v>La femme continue de parler alors qu'elle tourne dans le jeu de temps en temps et l'amène à jouer avec une autre fille.</v>
      </c>
    </row>
    <row r="14677">
      <c r="A14677" s="4" t="s">
        <v>18482</v>
      </c>
      <c r="B14677" s="4" t="s">
        <v>18483</v>
      </c>
      <c r="C14677" s="5" t="str">
        <f>IFERROR(__xludf.DUMMYFUNCTION("GOOGLETRANSLATE(B14677,""en"",""fr"")"),"Un haltère apparaît à l'écran avec les mots ""Catalyst Athletics"" superposé.")</f>
        <v>Un haltère apparaît à l'écran avec les mots "Catalyst Athletics" superposé.</v>
      </c>
    </row>
    <row r="14678">
      <c r="A14678" s="4" t="s">
        <v>18482</v>
      </c>
      <c r="B14678" s="4" t="s">
        <v>18484</v>
      </c>
      <c r="C14678" s="5" t="str">
        <f>IFERROR(__xludf.DUMMYFUNCTION("GOOGLETRANSLATE(B14678,""en"",""fr"")"),"Un homme soulève des poids au-dessus de sa tête dans un gymnase.")</f>
        <v>Un homme soulève des poids au-dessus de sa tête dans un gymnase.</v>
      </c>
    </row>
    <row r="14679">
      <c r="A14679" s="4" t="s">
        <v>18482</v>
      </c>
      <c r="B14679" s="4" t="s">
        <v>18485</v>
      </c>
      <c r="C14679" s="5" t="str">
        <f>IFERROR(__xludf.DUMMYFUNCTION("GOOGLETRANSLATE(B14679,""en"",""fr"")"),"Une femme soulève alors des poids au-dessus de sa tête.")</f>
        <v>Une femme soulève alors des poids au-dessus de sa tête.</v>
      </c>
    </row>
    <row r="14680">
      <c r="A14680" s="4" t="s">
        <v>18482</v>
      </c>
      <c r="B14680" s="4" t="s">
        <v>18486</v>
      </c>
      <c r="C14680" s="5" t="str">
        <f>IFERROR(__xludf.DUMMYFUNCTION("GOOGLETRANSLATE(B14680,""en"",""fr"")"),"Un logo ""Catalyst Athletics"" apparaît avec les liens sur les réseaux sociaux.")</f>
        <v>Un logo "Catalyst Athletics" apparaît avec les liens sur les réseaux sociaux.</v>
      </c>
    </row>
    <row r="14681">
      <c r="A14681" s="4" t="s">
        <v>18487</v>
      </c>
      <c r="B14681" s="4" t="s">
        <v>18488</v>
      </c>
      <c r="C14681" s="5" t="str">
        <f>IFERROR(__xludf.DUMMYFUNCTION("GOOGLETRANSLATE(B14681,""en"",""fr"")"),"Un garçon est équilibré à la fin d'un plongeon.")</f>
        <v>Un garçon est équilibré à la fin d'un plongeon.</v>
      </c>
    </row>
    <row r="14682">
      <c r="A14682" s="4" t="s">
        <v>18487</v>
      </c>
      <c r="B14682" s="4" t="s">
        <v>18489</v>
      </c>
      <c r="C14682" s="5" t="str">
        <f>IFERROR(__xludf.DUMMYFUNCTION("GOOGLETRANSLATE(B14682,""en"",""fr"")"),"Il plonge, se retournant en arrière en partant.")</f>
        <v>Il plonge, se retournant en arrière en partant.</v>
      </c>
    </row>
    <row r="14683">
      <c r="A14683" s="4" t="s">
        <v>18487</v>
      </c>
      <c r="B14683" s="4" t="s">
        <v>18490</v>
      </c>
      <c r="C14683" s="5" t="str">
        <f>IFERROR(__xludf.DUMMYFUNCTION("GOOGLETRANSLATE(B14683,""en"",""fr"")"),"Il atterrit gracieusement dans l'eau.")</f>
        <v>Il atterrit gracieusement dans l'eau.</v>
      </c>
    </row>
    <row r="14684">
      <c r="A14684" s="4" t="s">
        <v>18491</v>
      </c>
      <c r="B14684" s="6" t="s">
        <v>18492</v>
      </c>
      <c r="C14684" s="5" t="str">
        <f>IFERROR(__xludf.DUMMYFUNCTION("GOOGLETRANSLATE(B14684,""en"",""fr"")"),"Un homme utilise un pinceau de parcours et une serviette à main pour préparer le ski sur lequel être travaillé pendant qu'il se trouve sur un rack.")</f>
        <v>Un homme utilise un pinceau de parcours et une serviette à main pour préparer le ski sur lequel être travaillé pendant qu'il se trouve sur un rack.</v>
      </c>
    </row>
    <row r="14685">
      <c r="A14685" s="4" t="s">
        <v>18491</v>
      </c>
      <c r="B14685" s="4" t="s">
        <v>18493</v>
      </c>
      <c r="C14685" s="5" t="str">
        <f>IFERROR(__xludf.DUMMYFUNCTION("GOOGLETRANSLATE(B14685,""en"",""fr"")"),"L'homme fait fondre une barre de cire sur la surface de ski avec un fer puis l'utilise pour se mélanger dans la cire.")</f>
        <v>L'homme fait fondre une barre de cire sur la surface de ski avec un fer puis l'utilise pour se mélanger dans la cire.</v>
      </c>
    </row>
    <row r="14686">
      <c r="A14686" s="4" t="s">
        <v>18491</v>
      </c>
      <c r="B14686" s="4" t="s">
        <v>18494</v>
      </c>
      <c r="C14686" s="5" t="str">
        <f>IFERROR(__xludf.DUMMYFUNCTION("GOOGLETRANSLATE(B14686,""en"",""fr"")"),"Un homme aiguise un bord plat puis gratte la couche externe de cire de la surface des skis.")</f>
        <v>Un homme aiguise un bord plat puis gratte la couche externe de cire de la surface des skis.</v>
      </c>
    </row>
    <row r="14687">
      <c r="A14687" s="4" t="s">
        <v>18491</v>
      </c>
      <c r="B14687" s="4" t="s">
        <v>18495</v>
      </c>
      <c r="C14687" s="5" t="str">
        <f>IFERROR(__xludf.DUMMYFUNCTION("GOOGLETRANSLATE(B14687,""en"",""fr"")"),"L'homme utilise une brosse de parcours puis une serviette pour finir de préparer la surface des skis.")</f>
        <v>L'homme utilise une brosse de parcours puis une serviette pour finir de préparer la surface des skis.</v>
      </c>
    </row>
    <row r="14688">
      <c r="A14688" s="4" t="s">
        <v>18496</v>
      </c>
      <c r="B14688" s="4" t="s">
        <v>18497</v>
      </c>
      <c r="C14688" s="5" t="str">
        <f>IFERROR(__xludf.DUMMYFUNCTION("GOOGLETRANSLATE(B14688,""en"",""fr"")"),"Une assiette de cabonara crémeuse est représentée et les ingrédients apparaissent dans de petits plats clairs.")</f>
        <v>Une assiette de cabonara crémeuse est représentée et les ingrédients apparaissent dans de petits plats clairs.</v>
      </c>
    </row>
    <row r="14689">
      <c r="A14689" s="4" t="s">
        <v>18496</v>
      </c>
      <c r="B14689" s="4" t="s">
        <v>18498</v>
      </c>
      <c r="C14689" s="5" t="str">
        <f>IFERROR(__xludf.DUMMYFUNCTION("GOOGLETRANSLATE(B14689,""en"",""fr"")"),"Le sel est ensuite ajouté à une casserole et les spaghettis commencent à bouillir.")</f>
        <v>Le sel est ensuite ajouté à une casserole et les spaghettis commencent à bouillir.</v>
      </c>
    </row>
    <row r="14690">
      <c r="A14690" s="4" t="s">
        <v>18496</v>
      </c>
      <c r="B14690" s="4" t="s">
        <v>18499</v>
      </c>
      <c r="C14690" s="5" t="str">
        <f>IFERROR(__xludf.DUMMYFUNCTION("GOOGLETRANSLATE(B14690,""en"",""fr"")"),"Un peu d'huile est ensuite placée dans une poêle et le bacon canadien et les oignons sont frits.")</f>
        <v>Un peu d'huile est ensuite placée dans une poêle et le bacon canadien et les oignons sont frits.</v>
      </c>
    </row>
    <row r="14691">
      <c r="A14691" s="4" t="s">
        <v>18496</v>
      </c>
      <c r="B14691" s="4" t="s">
        <v>18500</v>
      </c>
      <c r="C14691" s="5" t="str">
        <f>IFERROR(__xludf.DUMMYFUNCTION("GOOGLETRANSLATE(B14691,""en"",""fr"")"),"Ensuite, plus d'ingrédients sont ajoutés avec des pâtes et des jaunes d'oeuf.")</f>
        <v>Ensuite, plus d'ingrédients sont ajoutés avec des pâtes et des jaunes d'oeuf.</v>
      </c>
    </row>
    <row r="14692">
      <c r="A14692" s="4" t="s">
        <v>18496</v>
      </c>
      <c r="B14692" s="6" t="s">
        <v>18501</v>
      </c>
      <c r="C14692" s="5" t="str">
        <f>IFERROR(__xludf.DUMMYFUNCTION("GOOGLETRANSLATE(B14692,""en"",""fr"")"),"Enfin, la sauce est terminée et tous les ingrédients sont compilés et le fromage est ajouté au plat car il est positionné sur l'assiette.")</f>
        <v>Enfin, la sauce est terminée et tous les ingrédients sont compilés et le fromage est ajouté au plat car il est positionné sur l'assiette.</v>
      </c>
    </row>
    <row r="14693">
      <c r="A14693" s="4" t="s">
        <v>18496</v>
      </c>
      <c r="B14693" s="4" t="s">
        <v>18502</v>
      </c>
      <c r="C14693" s="5" t="str">
        <f>IFERROR(__xludf.DUMMYFUNCTION("GOOGLETRANSLATE(B14693,""en"",""fr"")"),"Après que davantage d'entrées sont affichées et l'écran se termine sur l'URL du site Web d'Ullampinoy.")</f>
        <v>Après que davantage d'entrées sont affichées et l'écran se termine sur l'URL du site Web d'Ullampinoy.</v>
      </c>
    </row>
    <row r="14694">
      <c r="A14694" s="4" t="s">
        <v>18503</v>
      </c>
      <c r="B14694" s="6" t="s">
        <v>18504</v>
      </c>
      <c r="C14694" s="5" t="str">
        <f>IFERROR(__xludf.DUMMYFUNCTION("GOOGLETRANSLATE(B14694,""en"",""fr"")"),"Une femme montre comment utiliser un récipient de pigment en poudre pour fabriquer de nombreux produits de maquillage de cheveux, de clous et de visage différents.")</f>
        <v>Une femme montre comment utiliser un récipient de pigment en poudre pour fabriquer de nombreux produits de maquillage de cheveux, de clous et de visage différents.</v>
      </c>
    </row>
    <row r="14695">
      <c r="A14695" s="4" t="s">
        <v>18503</v>
      </c>
      <c r="B14695" s="4" t="s">
        <v>18505</v>
      </c>
      <c r="C14695" s="5" t="str">
        <f>IFERROR(__xludf.DUMMYFUNCTION("GOOGLETRANSLATE(B14695,""en"",""fr"")"),"Une femme parle à la caméra devant un comptoir rempli de maquillage.")</f>
        <v>Une femme parle à la caméra devant un comptoir rempli de maquillage.</v>
      </c>
    </row>
    <row r="14696">
      <c r="A14696" s="4" t="s">
        <v>18503</v>
      </c>
      <c r="B14696" s="6" t="s">
        <v>18506</v>
      </c>
      <c r="C14696" s="5" t="str">
        <f>IFERROR(__xludf.DUMMYFUNCTION("GOOGLETRANSLATE(B14696,""en"",""fr"")"),"La caméra montre différentes pièces de maquillage avec des cartes de descriptions qui accompagnent entre la réduction de la femme à parler.")</f>
        <v>La caméra montre différentes pièces de maquillage avec des cartes de descriptions qui accompagnent entre la réduction de la femme à parler.</v>
      </c>
    </row>
    <row r="14697">
      <c r="A14697" s="4" t="s">
        <v>18503</v>
      </c>
      <c r="B14697" s="6" t="s">
        <v>18507</v>
      </c>
      <c r="C14697" s="5" t="str">
        <f>IFERROR(__xludf.DUMMYFUNCTION("GOOGLETRANSLATE(B14697,""en"",""fr"")"),"La femme commence à appliquer une partie du maquillage sur son visage, y compris les lèvres et ses ongles via du vernis à ongles.")</f>
        <v>La femme commence à appliquer une partie du maquillage sur son visage, y compris les lèvres et ses ongles via du vernis à ongles.</v>
      </c>
    </row>
    <row r="14698">
      <c r="A14698" s="4" t="s">
        <v>18503</v>
      </c>
      <c r="B14698" s="4" t="s">
        <v>18508</v>
      </c>
      <c r="C14698" s="5" t="str">
        <f>IFERROR(__xludf.DUMMYFUNCTION("GOOGLETRANSLATE(B14698,""en"",""fr"")"),"La femme utilise une partie du maquillage pour faire des cheveux dans les cheveux des autres personnes.")</f>
        <v>La femme utilise une partie du maquillage pour faire des cheveux dans les cheveux des autres personnes.</v>
      </c>
    </row>
    <row r="14699">
      <c r="A14699" s="4" t="s">
        <v>18503</v>
      </c>
      <c r="B14699" s="6" t="s">
        <v>18509</v>
      </c>
      <c r="C14699" s="5" t="str">
        <f>IFERROR(__xludf.DUMMYFUNCTION("GOOGLETRANSLATE(B14699,""en"",""fr"")"),"La femme utilise ensuite les conteneurs de maquillage en poudre pour fabriquer des fondations et des fards à paupières avant de sourire et d'afficher toute la ligne de couleurs et d'afficher un graphique marketing.")</f>
        <v>La femme utilise ensuite les conteneurs de maquillage en poudre pour fabriquer des fondations et des fards à paupières avant de sourire et d'afficher toute la ligne de couleurs et d'afficher un graphique marketing.</v>
      </c>
    </row>
    <row r="14700">
      <c r="A14700" s="4" t="s">
        <v>18510</v>
      </c>
      <c r="B14700" s="4" t="s">
        <v>18511</v>
      </c>
      <c r="C14700" s="5" t="str">
        <f>IFERROR(__xludf.DUMMYFUNCTION("GOOGLETRANSLATE(B14700,""en"",""fr"")"),"Un petit groupe de garçons est vu debout sur le bord d'une piscine et se saisir les uns les autres par les côtés.")</f>
        <v>Un petit groupe de garçons est vu debout sur le bord d'une piscine et se saisir les uns les autres par les côtés.</v>
      </c>
    </row>
    <row r="14701">
      <c r="A14701" s="4" t="s">
        <v>18510</v>
      </c>
      <c r="B14701" s="4" t="s">
        <v>18512</v>
      </c>
      <c r="C14701" s="5" t="str">
        <f>IFERROR(__xludf.DUMMYFUNCTION("GOOGLETRANSLATE(B14701,""en"",""fr"")"),"Les garçons sautent alors tous dans la piscine ensemble à la fois avec certains regardant la caméra.")</f>
        <v>Les garçons sautent alors tous dans la piscine ensemble à la fois avec certains regardant la caméra.</v>
      </c>
    </row>
    <row r="14702">
      <c r="A14702" s="4" t="s">
        <v>18513</v>
      </c>
      <c r="B14702" s="6" t="s">
        <v>18514</v>
      </c>
      <c r="C14702" s="5" t="str">
        <f>IFERROR(__xludf.DUMMYFUNCTION("GOOGLETRANSLATE(B14702,""en"",""fr"")"),"Un homme est vu parler à l'appareil photo pendant que la caméra passe à une table de cartes et à l'homme qui traite des cartes.")</f>
        <v>Un homme est vu parler à l'appareil photo pendant que la caméra passe à une table de cartes et à l'homme qui traite des cartes.</v>
      </c>
    </row>
    <row r="14703">
      <c r="A14703" s="4" t="s">
        <v>18513</v>
      </c>
      <c r="B14703" s="6" t="s">
        <v>18515</v>
      </c>
      <c r="C14703" s="5" t="str">
        <f>IFERROR(__xludf.DUMMYFUNCTION("GOOGLETRANSLATE(B14703,""en"",""fr"")"),"L'homme présente plusieurs cartes tout en renversant plus et en pointant des objets disposés sur la table.")</f>
        <v>L'homme présente plusieurs cartes tout en renversant plus et en pointant des objets disposés sur la table.</v>
      </c>
    </row>
    <row r="14704">
      <c r="A14704" s="4" t="s">
        <v>18516</v>
      </c>
      <c r="B14704" s="6" t="s">
        <v>18517</v>
      </c>
      <c r="C14704" s="5" t="str">
        <f>IFERROR(__xludf.DUMMYFUNCTION("GOOGLETRANSLATE(B14704,""en"",""fr"")"),"Divers ingrédients sont disposés sur une table et mène à une personne versant les ingrédients dans un bol.")</f>
        <v>Divers ingrédients sont disposés sur une table et mène à une personne versant les ingrédients dans un bol.</v>
      </c>
    </row>
    <row r="14705">
      <c r="A14705" s="4" t="s">
        <v>18516</v>
      </c>
      <c r="B14705" s="4" t="s">
        <v>18518</v>
      </c>
      <c r="C14705" s="5" t="str">
        <f>IFERROR(__xludf.DUMMYFUNCTION("GOOGLETRANSLATE(B14705,""en"",""fr"")"),"La personne remue soigneusement puis essuie une table avec un chiffon.")</f>
        <v>La personne remue soigneusement puis essuie une table avec un chiffon.</v>
      </c>
    </row>
    <row r="14706">
      <c r="A14706" s="4" t="s">
        <v>18519</v>
      </c>
      <c r="B14706" s="6" t="s">
        <v>18520</v>
      </c>
      <c r="C14706" s="5" t="str">
        <f>IFERROR(__xludf.DUMMYFUNCTION("GOOGLETRANSLATE(B14706,""en"",""fr"")"),"Un présentateur de télévision et une actrice mettent des googles pour jouer au rock, en papier et à des ciseaux à tarte sur une tarte avec de la crème blanche.")</f>
        <v>Un présentateur de télévision et une actrice mettent des googles pour jouer au rock, en papier et à des ciseaux à tarte sur une tarte avec de la crème blanche.</v>
      </c>
    </row>
    <row r="14707">
      <c r="A14707" s="4" t="s">
        <v>18519</v>
      </c>
      <c r="B14707" s="6" t="s">
        <v>18521</v>
      </c>
      <c r="C14707" s="5" t="str">
        <f>IFERROR(__xludf.DUMMYFUNCTION("GOOGLETRANSLATE(B14707,""en"",""fr"")"),"Après avoir joué un certain temps, la femme tourne une poignée qui élève la tarte qui atterrit sur le visage de l'actrice.")</f>
        <v>Après avoir joué un certain temps, la femme tourne une poignée qui élève la tarte qui atterrit sur le visage de l'actrice.</v>
      </c>
    </row>
    <row r="14708">
      <c r="A14708" s="4" t="s">
        <v>18519</v>
      </c>
      <c r="B14708" s="6" t="s">
        <v>18522</v>
      </c>
      <c r="C14708" s="5" t="str">
        <f>IFERROR(__xludf.DUMMYFUNCTION("GOOGLETRANSLATE(B14708,""en"",""fr"")"),"Ensuite, le tarte atterrit pour la deuxième fois sur le visage de l'actrice, ainsi que sur le visage du présentateur de télévision.")</f>
        <v>Ensuite, le tarte atterrit pour la deuxième fois sur le visage de l'actrice, ainsi que sur le visage du présentateur de télévision.</v>
      </c>
    </row>
    <row r="14709">
      <c r="A14709" s="4" t="s">
        <v>18519</v>
      </c>
      <c r="B14709" s="6" t="s">
        <v>18523</v>
      </c>
      <c r="C14709" s="5" t="str">
        <f>IFERROR(__xludf.DUMMYFUNCTION("GOOGLETRANSLATE(B14709,""en"",""fr"")"),"Le présentateur de télévision se tient en tenant des canards sur les deux mains, puis il prétend manger le canard à droite.")</f>
        <v>Le présentateur de télévision se tient en tenant des canards sur les deux mains, puis il prétend manger le canard à droite.</v>
      </c>
    </row>
    <row r="14710">
      <c r="A14710" s="4" t="s">
        <v>18524</v>
      </c>
      <c r="B14710" s="4" t="s">
        <v>18525</v>
      </c>
      <c r="C14710" s="5" t="str">
        <f>IFERROR(__xludf.DUMMYFUNCTION("GOOGLETRANSLATE(B14710,""en"",""fr"")"),"Plusieurs plans d'une ville sont montrés ainsi que des gens qui se promènent et se parlent.")</f>
        <v>Plusieurs plans d'une ville sont montrés ainsi que des gens qui se promènent et se parlent.</v>
      </c>
    </row>
    <row r="14711">
      <c r="A14711" s="4" t="s">
        <v>18524</v>
      </c>
      <c r="B14711" s="6" t="s">
        <v>18526</v>
      </c>
      <c r="C14711" s="5" t="str">
        <f>IFERROR(__xludf.DUMMYFUNCTION("GOOGLETRANSLATE(B14711,""en"",""fr"")"),"On voit ensuite des pavages le long des murs et distribuer des brochures et se parler.")</f>
        <v>On voit ensuite des pavages le long des murs et distribuer des brochures et se parler.</v>
      </c>
    </row>
    <row r="14712">
      <c r="A14712" s="4" t="s">
        <v>18524</v>
      </c>
      <c r="B14712" s="4" t="s">
        <v>18527</v>
      </c>
      <c r="C14712" s="5" t="str">
        <f>IFERROR(__xludf.DUMMYFUNCTION("GOOGLETRANSLATE(B14712,""en"",""fr"")"),"Les gens touchent les matériaux sur les murs et se terminent en parlant à la caméra.")</f>
        <v>Les gens touchent les matériaux sur les murs et se terminent en parlant à la caméra.</v>
      </c>
    </row>
    <row r="14713">
      <c r="A14713" s="4" t="s">
        <v>18528</v>
      </c>
      <c r="B14713" s="4" t="s">
        <v>18529</v>
      </c>
      <c r="C14713" s="5" t="str">
        <f>IFERROR(__xludf.DUMMYFUNCTION("GOOGLETRANSLATE(B14713,""en"",""fr"")"),"Certaines fournitures nécessaires pour briller des chaussures sont présentées.")</f>
        <v>Certaines fournitures nécessaires pour briller des chaussures sont présentées.</v>
      </c>
    </row>
    <row r="14714">
      <c r="A14714" s="4" t="s">
        <v>18528</v>
      </c>
      <c r="B14714" s="6" t="s">
        <v>18530</v>
      </c>
      <c r="C14714" s="5" t="str">
        <f>IFERROR(__xludf.DUMMYFUNCTION("GOOGLETRANSLATE(B14714,""en"",""fr"")"),"Un homme plus âgé brille une chaussure et raconte comment il brille des chaussures et comment il a appris à briller des chaussures quand il était enfant.")</f>
        <v>Un homme plus âgé brille une chaussure et raconte comment il brille des chaussures et comment il a appris à briller des chaussures quand il était enfant.</v>
      </c>
    </row>
    <row r="14715">
      <c r="A14715" s="4" t="s">
        <v>18528</v>
      </c>
      <c r="B14715" s="4" t="s">
        <v>18531</v>
      </c>
      <c r="C14715" s="5" t="str">
        <f>IFERROR(__xludf.DUMMYFUNCTION("GOOGLETRANSLATE(B14715,""en"",""fr"")"),"Le même homme est montré briller d'une autre chaussure d'homme.")</f>
        <v>Le même homme est montré briller d'une autre chaussure d'homme.</v>
      </c>
    </row>
    <row r="14716">
      <c r="A14716" s="4" t="s">
        <v>18528</v>
      </c>
      <c r="B14716" s="4" t="s">
        <v>18532</v>
      </c>
      <c r="C14716" s="5" t="str">
        <f>IFERROR(__xludf.DUMMYFUNCTION("GOOGLETRANSLATE(B14716,""en"",""fr"")"),"Le même homme brille des chaussures dans un magasin pendant que d'autres personnes s'asseyent ou se promènent.")</f>
        <v>Le même homme brille des chaussures dans un magasin pendant que d'autres personnes s'asseyent ou se promènent.</v>
      </c>
    </row>
    <row r="14717">
      <c r="A14717" s="4" t="s">
        <v>18528</v>
      </c>
      <c r="B14717" s="4" t="s">
        <v>18533</v>
      </c>
      <c r="C14717" s="5" t="str">
        <f>IFERROR(__xludf.DUMMYFUNCTION("GOOGLETRANSLATE(B14717,""en"",""fr"")"),"Une vieille photo en noir et blanc est représentée d'un salon de coiffure.")</f>
        <v>Une vieille photo en noir et blanc est représentée d'un salon de coiffure.</v>
      </c>
    </row>
    <row r="14718">
      <c r="A14718" s="4" t="s">
        <v>18528</v>
      </c>
      <c r="B14718" s="4" t="s">
        <v>18534</v>
      </c>
      <c r="C14718" s="5" t="str">
        <f>IFERROR(__xludf.DUMMYFUNCTION("GOOGLETRANSLATE(B14718,""en"",""fr"")"),"L'homme plus âgé brille une autre chaussure et parle de chaussures brillantes.")</f>
        <v>L'homme plus âgé brille une autre chaussure et parle de chaussures brillantes.</v>
      </c>
    </row>
    <row r="14719">
      <c r="A14719" s="4" t="s">
        <v>18528</v>
      </c>
      <c r="B14719" s="4" t="s">
        <v>18535</v>
      </c>
      <c r="C14719" s="5" t="str">
        <f>IFERROR(__xludf.DUMMYFUNCTION("GOOGLETRANSLATE(B14719,""en"",""fr"")"),"Un homme différent est vu en arrière-plan s'éloignant.")</f>
        <v>Un homme différent est vu en arrière-plan s'éloignant.</v>
      </c>
    </row>
    <row r="14720">
      <c r="A14720" s="4" t="s">
        <v>18536</v>
      </c>
      <c r="B14720" s="4" t="s">
        <v>18537</v>
      </c>
      <c r="C14720" s="5" t="str">
        <f>IFERROR(__xludf.DUMMYFUNCTION("GOOGLETRANSLATE(B14720,""en"",""fr"")"),"L'homme se tient dans un trampoline et fait un saut périlleux vig dans la piscine.")</f>
        <v>L'homme se tient dans un trampoline et fait un saut périlleux vig dans la piscine.</v>
      </c>
    </row>
    <row r="14721">
      <c r="A14721" s="4" t="s">
        <v>18536</v>
      </c>
      <c r="B14721" s="4" t="s">
        <v>18538</v>
      </c>
      <c r="C14721" s="5" t="str">
        <f>IFERROR(__xludf.DUMMYFUNCTION("GOOGLETRANSLATE(B14721,""en"",""fr"")"),"Deux hommes sont assis au premier étage du trampoline en regardant le saut.")</f>
        <v>Deux hommes sont assis au premier étage du trampoline en regardant le saut.</v>
      </c>
    </row>
    <row r="14722">
      <c r="A14722" s="4" t="s">
        <v>18536</v>
      </c>
      <c r="B14722" s="4" t="s">
        <v>18539</v>
      </c>
      <c r="C14722" s="5" t="str">
        <f>IFERROR(__xludf.DUMMYFUNCTION("GOOGLETRANSLATE(B14722,""en"",""fr"")"),"L'homme sort la piscine, attrapez une serviette et séchez son visage.")</f>
        <v>L'homme sort la piscine, attrapez une serviette et séchez son visage.</v>
      </c>
    </row>
    <row r="14723">
      <c r="A14723" s="4" t="s">
        <v>18536</v>
      </c>
      <c r="B14723" s="4" t="s">
        <v>18540</v>
      </c>
      <c r="C14723" s="5" t="str">
        <f>IFERROR(__xludf.DUMMYFUNCTION("GOOGLETRANSLATE(B14723,""en"",""fr"")"),"Les gens se promènent dans la piscine de transport des sacs.")</f>
        <v>Les gens se promènent dans la piscine de transport des sacs.</v>
      </c>
    </row>
    <row r="14724">
      <c r="A14724" s="4" t="s">
        <v>18541</v>
      </c>
      <c r="B14724" s="4" t="s">
        <v>18542</v>
      </c>
      <c r="C14724" s="5" t="str">
        <f>IFERROR(__xludf.DUMMYFUNCTION("GOOGLETRANSLATE(B14724,""en"",""fr"")"),"Un homme est assis à l'intérieur d'une pièce.")</f>
        <v>Un homme est assis à l'intérieur d'une pièce.</v>
      </c>
    </row>
    <row r="14725">
      <c r="A14725" s="4" t="s">
        <v>18541</v>
      </c>
      <c r="B14725" s="4" t="s">
        <v>18543</v>
      </c>
      <c r="C14725" s="5" t="str">
        <f>IFERROR(__xludf.DUMMYFUNCTION("GOOGLETRANSLATE(B14725,""en"",""fr"")"),"Il parle à la caméra avec animation.")</f>
        <v>Il parle à la caméra avec animation.</v>
      </c>
    </row>
    <row r="14726">
      <c r="A14726" s="4" t="s">
        <v>18541</v>
      </c>
      <c r="B14726" s="4" t="s">
        <v>18544</v>
      </c>
      <c r="C14726" s="5" t="str">
        <f>IFERROR(__xludf.DUMMYFUNCTION("GOOGLETRANSLATE(B14726,""en"",""fr"")"),"Il parle et montre comment jouer un harmonica.")</f>
        <v>Il parle et montre comment jouer un harmonica.</v>
      </c>
    </row>
    <row r="14727">
      <c r="A14727" s="4" t="s">
        <v>18545</v>
      </c>
      <c r="B14727" s="6" t="s">
        <v>18546</v>
      </c>
      <c r="C14727" s="5" t="str">
        <f>IFERROR(__xludf.DUMMYFUNCTION("GOOGLETRANSLATE(B14727,""en"",""fr"")"),"Plusieurs individus de marche ou de raidoir marchent au premier plan pendant que la caméra se concentre sur un groupe de personnes en arrière-plan.")</f>
        <v>Plusieurs individus de marche ou de raidoir marchent au premier plan pendant que la caméra se concentre sur un groupe de personnes en arrière-plan.</v>
      </c>
    </row>
    <row r="14728">
      <c r="A14728" s="4" t="s">
        <v>18545</v>
      </c>
      <c r="B14728" s="4" t="s">
        <v>18547</v>
      </c>
      <c r="C14728" s="5" t="str">
        <f>IFERROR(__xludf.DUMMYFUNCTION("GOOGLETRANSLATE(B14728,""en"",""fr"")"),"Une porte s'ouvre et un homme de raidoir poursuit une vache.")</f>
        <v>Une porte s'ouvre et un homme de raidoir poursuit une vache.</v>
      </c>
    </row>
    <row r="14729">
      <c r="A14729" s="4" t="s">
        <v>18545</v>
      </c>
      <c r="B14729" s="4" t="s">
        <v>18548</v>
      </c>
      <c r="C14729" s="5" t="str">
        <f>IFERROR(__xludf.DUMMYFUNCTION("GOOGLETRANSLATE(B14729,""en"",""fr"")"),"L'homme lassos et sécurise la vache.")</f>
        <v>L'homme lassos et sécurise la vache.</v>
      </c>
    </row>
    <row r="14730">
      <c r="A14730" s="4" t="s">
        <v>18545</v>
      </c>
      <c r="B14730" s="4" t="s">
        <v>18549</v>
      </c>
      <c r="C14730" s="5" t="str">
        <f>IFERROR(__xludf.DUMMYFUNCTION("GOOGLETRANSLATE(B14730,""en"",""fr"")"),"D'autres courent pour aider avec la vache.")</f>
        <v>D'autres courent pour aider avec la vache.</v>
      </c>
    </row>
    <row r="14731">
      <c r="A14731" s="4" t="s">
        <v>18550</v>
      </c>
      <c r="B14731" s="6" t="s">
        <v>18551</v>
      </c>
      <c r="C14731" s="5" t="str">
        <f>IFERROR(__xludf.DUMMYFUNCTION("GOOGLETRANSLATE(B14731,""en"",""fr"")"),"Une femme en chemise blanche et grise parle, puis un verre et un pichet de limonade avec de la paille est montré.")</f>
        <v>Une femme en chemise blanche et grise parle, puis un verre et un pichet de limonade avec de la paille est montré.</v>
      </c>
    </row>
    <row r="14732">
      <c r="A14732" s="4" t="s">
        <v>18550</v>
      </c>
      <c r="B14732" s="6" t="s">
        <v>18552</v>
      </c>
      <c r="C14732" s="5" t="str">
        <f>IFERROR(__xludf.DUMMYFUNCTION("GOOGLETRANSLATE(B14732,""en"",""fr"")"),"Deux citrons sont dans un petit bol, puis la femme blonde parle dans la caméra, une main coupée le citron, presser le citron dans le bol, verser le citron dans le pichet à l'aide d'une passoire.")</f>
        <v>Deux citrons sont dans un petit bol, puis la femme blonde parle dans la caméra, une main coupée le citron, presser le citron dans le bol, verser le citron dans le pichet à l'aide d'une passoire.</v>
      </c>
    </row>
    <row r="14733">
      <c r="A14733" s="4" t="s">
        <v>18550</v>
      </c>
      <c r="B14733" s="6" t="s">
        <v>18553</v>
      </c>
      <c r="C14733" s="5" t="str">
        <f>IFERROR(__xludf.DUMMYFUNCTION("GOOGLETRANSLATE(B14733,""en"",""fr"")"),"La femme parle alors que le pot est placé dans le poêle, a ajouté de l'eau, puis a ajouté le sucre, a ajouté le zeste de citron et a mélangé le pot, la femme a ajouté du liquide jaune dans le pichet, a ajouté la glace et des citrons en tranches et verser "&amp;"le jus le verre.")</f>
        <v>La femme parle alors que le pot est placé dans le poêle, a ajouté de l'eau, puis a ajouté le sucre, a ajouté le zeste de citron et a mélangé le pot, la femme a ajouté du liquide jaune dans le pichet, a ajouté la glace et des citrons en tranches et verser le jus le verre.</v>
      </c>
    </row>
    <row r="14734">
      <c r="A14734" s="4" t="s">
        <v>18554</v>
      </c>
      <c r="B14734" s="4" t="s">
        <v>18555</v>
      </c>
      <c r="C14734" s="5" t="str">
        <f>IFERROR(__xludf.DUMMYFUNCTION("GOOGLETRANSLATE(B14734,""en"",""fr"")"),"Une personne est vue rouler le long de l'eau sur une planche de surf ainsi que d'autres qui se parlent.")</f>
        <v>Une personne est vue rouler le long de l'eau sur une planche de surf ainsi que d'autres qui se parlent.</v>
      </c>
    </row>
    <row r="14735">
      <c r="A14735" s="4" t="s">
        <v>18554</v>
      </c>
      <c r="B14735" s="4" t="s">
        <v>18556</v>
      </c>
      <c r="C14735" s="5" t="str">
        <f>IFERROR(__xludf.DUMMYFUNCTION("GOOGLETRANSLATE(B14735,""en"",""fr"")"),"Un homme est vu parler à la caméra ainsi qu'à plus de clips de personnes roulant sur l'eau.")</f>
        <v>Un homme est vu parler à la caméra ainsi qu'à plus de clips de personnes roulant sur l'eau.</v>
      </c>
    </row>
    <row r="14736">
      <c r="A14736" s="4" t="s">
        <v>18554</v>
      </c>
      <c r="B14736" s="6" t="s">
        <v>18557</v>
      </c>
      <c r="C14736" s="5" t="str">
        <f>IFERROR(__xludf.DUMMYFUNCTION("GOOGLETRANSLATE(B14736,""en"",""fr"")"),"Plus de gens se parlent ainsi que dans la caméra et se terminent en montant sur les planches.")</f>
        <v>Plus de gens se parlent ainsi que dans la caméra et se terminent en montant sur les planches.</v>
      </c>
    </row>
    <row r="14737">
      <c r="A14737" s="4" t="s">
        <v>18558</v>
      </c>
      <c r="B14737" s="4" t="s">
        <v>18559</v>
      </c>
      <c r="C14737" s="5" t="str">
        <f>IFERROR(__xludf.DUMMYFUNCTION("GOOGLETRANSLATE(B14737,""en"",""fr"")"),"Une femme portant un soutien-gorge se tient dans une pièce.")</f>
        <v>Une femme portant un soutien-gorge se tient dans une pièce.</v>
      </c>
    </row>
    <row r="14738">
      <c r="A14738" s="4" t="s">
        <v>18558</v>
      </c>
      <c r="B14738" s="4" t="s">
        <v>18560</v>
      </c>
      <c r="C14738" s="5" t="str">
        <f>IFERROR(__xludf.DUMMYFUNCTION("GOOGLETRANSLATE(B14738,""en"",""fr"")"),"Elle jette une fléchette à travers la pièce.")</f>
        <v>Elle jette une fléchette à travers la pièce.</v>
      </c>
    </row>
    <row r="14739">
      <c r="A14739" s="4" t="s">
        <v>18558</v>
      </c>
      <c r="B14739" s="4" t="s">
        <v>18561</v>
      </c>
      <c r="C14739" s="5" t="str">
        <f>IFERROR(__xludf.DUMMYFUNCTION("GOOGLETRANSLATE(B14739,""en"",""fr"")"),"Un homme avec un chapeau se dresse à côté d'elle.")</f>
        <v>Un homme avec un chapeau se dresse à côté d'elle.</v>
      </c>
    </row>
    <row r="14740">
      <c r="A14740" s="4" t="s">
        <v>18562</v>
      </c>
      <c r="B14740" s="4" t="s">
        <v>18563</v>
      </c>
      <c r="C14740" s="5" t="str">
        <f>IFERROR(__xludf.DUMMYFUNCTION("GOOGLETRANSLATE(B14740,""en"",""fr"")"),"Une jeune femme avec de larges épaules et des queues de cochon s'approche d'une scène dans la préparation de son esprit.")</f>
        <v>Une jeune femme avec de larges épaules et des queues de cochon s'approche d'une scène dans la préparation de son esprit.</v>
      </c>
    </row>
    <row r="14741">
      <c r="A14741" s="4" t="s">
        <v>18562</v>
      </c>
      <c r="B14741" s="4" t="s">
        <v>18564</v>
      </c>
      <c r="C14741" s="5" t="str">
        <f>IFERROR(__xludf.DUMMYFUNCTION("GOOGLETRANSLATE(B14741,""en"",""fr"")"),"La dame se craque puis se penche et essaie de soulever les poids.")</f>
        <v>La dame se craque puis se penche et essaie de soulever les poids.</v>
      </c>
    </row>
    <row r="14742">
      <c r="A14742" s="4" t="s">
        <v>18562</v>
      </c>
      <c r="B14742" s="6" t="s">
        <v>18565</v>
      </c>
      <c r="C14742" s="5" t="str">
        <f>IFERROR(__xludf.DUMMYFUNCTION("GOOGLETRANSLATE(B14742,""en"",""fr"")"),"Trop de poids est sur le bar et les filles finissent par se tordre son bras en cercle, laissent tomber la barre et crie à l'agonie.")</f>
        <v>Trop de poids est sur le bar et les filles finissent par se tordre son bras en cercle, laissent tomber la barre et crie à l'agonie.</v>
      </c>
    </row>
    <row r="14743">
      <c r="A14743" s="4" t="s">
        <v>18562</v>
      </c>
      <c r="B14743" s="4" t="s">
        <v>18566</v>
      </c>
      <c r="C14743" s="5" t="str">
        <f>IFERROR(__xludf.DUMMYFUNCTION("GOOGLETRANSLATE(B14743,""en"",""fr"")"),"Une autre fille monte ensuite et soulève la barre à mi-chemin, réalise qu'elle est incapable et la laisse tomber.")</f>
        <v>Une autre fille monte ensuite et soulève la barre à mi-chemin, réalise qu'elle est incapable et la laisse tomber.</v>
      </c>
    </row>
    <row r="14744">
      <c r="A14744" s="4" t="s">
        <v>18562</v>
      </c>
      <c r="B14744" s="6" t="s">
        <v>18567</v>
      </c>
      <c r="C14744" s="5" t="str">
        <f>IFERROR(__xludf.DUMMYFUNCTION("GOOGLETRANSLATE(B14744,""en"",""fr"")"),"Après avoir quitté, elle se reproche et tente à nouveau et la soulève sur sa tête, la laisse tomber et s'éloigne de se féliciter.")</f>
        <v>Après avoir quitté, elle se reproche et tente à nouveau et la soulève sur sa tête, la laisse tomber et s'éloigne de se féliciter.</v>
      </c>
    </row>
    <row r="14745">
      <c r="A14745" s="4" t="s">
        <v>18562</v>
      </c>
      <c r="B14745" s="4" t="s">
        <v>18568</v>
      </c>
      <c r="C14745" s="5" t="str">
        <f>IFERROR(__xludf.DUMMYFUNCTION("GOOGLETRANSLATE(B14745,""en"",""fr"")"),"Un écran de scores est ensuite montré et une fille différente tente le poids.")</f>
        <v>Un écran de scores est ensuite montré et une fille différente tente le poids.</v>
      </c>
    </row>
    <row r="14746">
      <c r="A14746" s="4" t="s">
        <v>18562</v>
      </c>
      <c r="B14746" s="6" t="s">
        <v>18569</v>
      </c>
      <c r="C14746" s="5" t="str">
        <f>IFERROR(__xludf.DUMMYFUNCTION("GOOGLETRANSLATE(B14746,""en"",""fr"")"),"La deuxième jeune femme revient et fait la même chose ainsi que la femme qui est venue après elle.")</f>
        <v>La deuxième jeune femme revient et fait la même chose ainsi que la femme qui est venue après elle.</v>
      </c>
    </row>
    <row r="14747">
      <c r="A14747" s="4" t="s">
        <v>18562</v>
      </c>
      <c r="B14747" s="4" t="s">
        <v>18570</v>
      </c>
      <c r="C14747" s="5" t="str">
        <f>IFERROR(__xludf.DUMMYFUNCTION("GOOGLETRANSLATE(B14747,""en"",""fr"")"),"La fille revient mais se rend compte que le poids est trop lourd et renonce à le soulever.")</f>
        <v>La fille revient mais se rend compte que le poids est trop lourd et renonce à le soulever.</v>
      </c>
    </row>
    <row r="14748">
      <c r="A14748" s="4" t="s">
        <v>18562</v>
      </c>
      <c r="B14748" s="6" t="s">
        <v>18571</v>
      </c>
      <c r="C14748" s="5" t="str">
        <f>IFERROR(__xludf.DUMMYFUNCTION("GOOGLETRANSLATE(B14748,""en"",""fr"")"),"Cependant, la fille d'origine revient et continue de soulever de plus en plus de poids avec facilité jusqu'à la dernière fois, elle s'incline ensuite et ils se dirigent vers une scène olympique et reçoivent leur métal.")</f>
        <v>Cependant, la fille d'origine revient et continue de soulever de plus en plus de poids avec facilité jusqu'à la dernière fois, elle s'incline ensuite et ils se dirigent vers une scène olympique et reçoivent leur métal.</v>
      </c>
    </row>
    <row r="14749">
      <c r="A14749" s="4" t="s">
        <v>18572</v>
      </c>
      <c r="B14749" s="4" t="s">
        <v>18573</v>
      </c>
      <c r="C14749" s="5" t="str">
        <f>IFERROR(__xludf.DUMMYFUNCTION("GOOGLETRANSLATE(B14749,""en"",""fr"")"),"Une photo est zoomée sur un homme goré par un taureau.")</f>
        <v>Une photo est zoomée sur un homme goré par un taureau.</v>
      </c>
    </row>
    <row r="14750">
      <c r="A14750" s="4" t="s">
        <v>18572</v>
      </c>
      <c r="B14750" s="4" t="s">
        <v>18574</v>
      </c>
      <c r="C14750" s="5" t="str">
        <f>IFERROR(__xludf.DUMMYFUNCTION("GOOGLETRANSLATE(B14750,""en"",""fr"")"),"Un taureau charge un homme et le renverse jusqu'à ce que les gens sortent et le distraient.")</f>
        <v>Un taureau charge un homme et le renverse jusqu'à ce que les gens sortent et le distraient.</v>
      </c>
    </row>
    <row r="14751">
      <c r="A14751" s="4" t="s">
        <v>18572</v>
      </c>
      <c r="B14751" s="4" t="s">
        <v>18575</v>
      </c>
      <c r="C14751" s="5" t="str">
        <f>IFERROR(__xludf.DUMMYFUNCTION("GOOGLETRANSLATE(B14751,""en"",""fr"")"),"Il réduit à nouveau l'homme chargé par le taureau.")</f>
        <v>Il réduit à nouveau l'homme chargé par le taureau.</v>
      </c>
    </row>
    <row r="14752">
      <c r="A14752" s="4" t="s">
        <v>18572</v>
      </c>
      <c r="B14752" s="4" t="s">
        <v>18576</v>
      </c>
      <c r="C14752" s="5" t="str">
        <f>IFERROR(__xludf.DUMMYFUNCTION("GOOGLETRANSLATE(B14752,""en"",""fr"")"),"Il est à nouveau renversé jusqu'à ce que les gens sortent pour distraire le taureau.")</f>
        <v>Il est à nouveau renversé jusqu'à ce que les gens sortent pour distraire le taureau.</v>
      </c>
    </row>
    <row r="14753">
      <c r="A14753" s="4" t="s">
        <v>18572</v>
      </c>
      <c r="B14753" s="4" t="s">
        <v>18577</v>
      </c>
      <c r="C14753" s="5" t="str">
        <f>IFERROR(__xludf.DUMMYFUNCTION("GOOGLETRANSLATE(B14753,""en"",""fr"")"),"Il est emporté hors du ring.")</f>
        <v>Il est emporté hors du ring.</v>
      </c>
    </row>
    <row r="14754">
      <c r="A14754" s="4" t="s">
        <v>18572</v>
      </c>
      <c r="B14754" s="4" t="s">
        <v>18578</v>
      </c>
      <c r="C14754" s="5" t="str">
        <f>IFERROR(__xludf.DUMMYFUNCTION("GOOGLETRANSLATE(B14754,""en"",""fr"")"),"Une fois de plus, le taureau charge l'homme et le renverse.")</f>
        <v>Une fois de plus, le taureau charge l'homme et le renverse.</v>
      </c>
    </row>
    <row r="14755">
      <c r="A14755" s="4" t="s">
        <v>18572</v>
      </c>
      <c r="B14755" s="4" t="s">
        <v>18579</v>
      </c>
      <c r="C14755" s="5" t="str">
        <f>IFERROR(__xludf.DUMMYFUNCTION("GOOGLETRANSLATE(B14755,""en"",""fr"")"),"Les gens sortent et distraient le taureau.")</f>
        <v>Les gens sortent et distraient le taureau.</v>
      </c>
    </row>
    <row r="14756">
      <c r="A14756" s="4" t="s">
        <v>18572</v>
      </c>
      <c r="B14756" s="4" t="s">
        <v>18580</v>
      </c>
      <c r="C14756" s="5" t="str">
        <f>IFERROR(__xludf.DUMMYFUNCTION("GOOGLETRANSLATE(B14756,""en"",""fr"")"),"Il est réalisé pour une dernière fois.")</f>
        <v>Il est réalisé pour une dernière fois.</v>
      </c>
    </row>
    <row r="14757">
      <c r="A14757" s="4" t="s">
        <v>18581</v>
      </c>
      <c r="B14757" s="4" t="s">
        <v>18582</v>
      </c>
      <c r="C14757" s="5" t="str">
        <f>IFERROR(__xludf.DUMMYFUNCTION("GOOGLETRANSLATE(B14757,""en"",""fr"")"),"Un homme plus âgé est vu assis sur une bûche dans un espace public devant un piano.")</f>
        <v>Un homme plus âgé est vu assis sur une bûche dans un espace public devant un piano.</v>
      </c>
    </row>
    <row r="14758">
      <c r="A14758" s="4" t="s">
        <v>18581</v>
      </c>
      <c r="B14758" s="4" t="s">
        <v>18583</v>
      </c>
      <c r="C14758" s="5" t="str">
        <f>IFERROR(__xludf.DUMMYFUNCTION("GOOGLETRANSLATE(B14758,""en"",""fr"")"),"L'homme joue ensuite le piano pendant que la caméra le capture en jouant.")</f>
        <v>L'homme joue ensuite le piano pendant que la caméra le capture en jouant.</v>
      </c>
    </row>
    <row r="14759">
      <c r="A14759" s="4" t="s">
        <v>18581</v>
      </c>
      <c r="B14759" s="6" t="s">
        <v>18584</v>
      </c>
      <c r="C14759" s="5" t="str">
        <f>IFERROR(__xludf.DUMMYFUNCTION("GOOGLETRANSLATE(B14759,""en"",""fr"")"),"L'homme chante à la caméra tout en continuant à jouer et la caméra se déplaçant autour de ses mouvements.")</f>
        <v>L'homme chante à la caméra tout en continuant à jouer et la caméra se déplaçant autour de ses mouvements.</v>
      </c>
    </row>
    <row r="14760">
      <c r="A14760" s="4" t="s">
        <v>18585</v>
      </c>
      <c r="B14760" s="4" t="s">
        <v>18586</v>
      </c>
      <c r="C14760" s="5" t="str">
        <f>IFERROR(__xludf.DUMMYFUNCTION("GOOGLETRANSLATE(B14760,""en"",""fr"")"),"Une foule énorme est rassemblée à l'extérieur.")</f>
        <v>Une foule énorme est rassemblée à l'extérieur.</v>
      </c>
    </row>
    <row r="14761">
      <c r="A14761" s="4" t="s">
        <v>18585</v>
      </c>
      <c r="B14761" s="4" t="s">
        <v>18587</v>
      </c>
      <c r="C14761" s="5" t="str">
        <f>IFERROR(__xludf.DUMMYFUNCTION("GOOGLETRANSLATE(B14761,""en"",""fr"")"),"Ils effectuent tous une danse d'exercice connue sous le nom de Zumba.")</f>
        <v>Ils effectuent tous une danse d'exercice connue sous le nom de Zumba.</v>
      </c>
    </row>
    <row r="14762">
      <c r="A14762" s="4" t="s">
        <v>18588</v>
      </c>
      <c r="B14762" s="4" t="s">
        <v>18589</v>
      </c>
      <c r="C14762" s="5" t="str">
        <f>IFERROR(__xludf.DUMMYFUNCTION("GOOGLETRANSLATE(B14762,""en"",""fr"")"),"Un homme athlétique est vu debout avec ses bras et commence à effectuer une routine de gymnastique.")</f>
        <v>Un homme athlétique est vu debout avec ses bras et commence à effectuer une routine de gymnastique.</v>
      </c>
    </row>
    <row r="14763">
      <c r="A14763" s="4" t="s">
        <v>18588</v>
      </c>
      <c r="B14763" s="6" t="s">
        <v>18590</v>
      </c>
      <c r="C14763" s="5" t="str">
        <f>IFERROR(__xludf.DUMMYFUNCTION("GOOGLETRANSLATE(B14763,""en"",""fr"")"),"Il se tourne autour de la barre en effectuant plusieurs flips et tours et se termine avec lui en collant ses bras dans les airs.")</f>
        <v>Il se tourne autour de la barre en effectuant plusieurs flips et tours et se termine avec lui en collant ses bras dans les airs.</v>
      </c>
    </row>
    <row r="14764">
      <c r="A14764" s="4" t="s">
        <v>18591</v>
      </c>
      <c r="B14764" s="4" t="s">
        <v>18592</v>
      </c>
      <c r="C14764" s="5" t="str">
        <f>IFERROR(__xludf.DUMMYFUNCTION("GOOGLETRANSLATE(B14764,""en"",""fr"")"),"Un jeune garçon parle à la caméra dans sa chambre.")</f>
        <v>Un jeune garçon parle à la caméra dans sa chambre.</v>
      </c>
    </row>
    <row r="14765">
      <c r="A14765" s="4" t="s">
        <v>18591</v>
      </c>
      <c r="B14765" s="4" t="s">
        <v>18593</v>
      </c>
      <c r="C14765" s="5" t="str">
        <f>IFERROR(__xludf.DUMMYFUNCTION("GOOGLETRANSLATE(B14765,""en"",""fr"")"),"Il retire les choses des tiroirs, comme le brillant à lèvres et le met à la caméra.")</f>
        <v>Il retire les choses des tiroirs, comme le brillant à lèvres et le met à la caméra.</v>
      </c>
    </row>
    <row r="14766">
      <c r="A14766" s="4" t="s">
        <v>18591</v>
      </c>
      <c r="B14766" s="4" t="s">
        <v>18594</v>
      </c>
      <c r="C14766" s="5" t="str">
        <f>IFERROR(__xludf.DUMMYFUNCTION("GOOGLETRANSLATE(B14766,""en"",""fr"")"),"Il applique un maquillage et des poses désordonné pour la caméra.")</f>
        <v>Il applique un maquillage et des poses désordonné pour la caméra.</v>
      </c>
    </row>
    <row r="14767">
      <c r="A14767" s="4" t="s">
        <v>18595</v>
      </c>
      <c r="B14767" s="4" t="s">
        <v>18596</v>
      </c>
      <c r="C14767" s="5" t="str">
        <f>IFERROR(__xludf.DUMMYFUNCTION("GOOGLETRANSLATE(B14767,""en"",""fr"")"),"Une caméra se déroule tout autour d'une plage montrant de l'eau s'écraser sur les vagues.")</f>
        <v>Une caméra se déroule tout autour d'une plage montrant de l'eau s'écraser sur les vagues.</v>
      </c>
    </row>
    <row r="14768">
      <c r="A14768" s="4" t="s">
        <v>18595</v>
      </c>
      <c r="B14768" s="4" t="s">
        <v>18597</v>
      </c>
      <c r="C14768" s="5" t="str">
        <f>IFERROR(__xludf.DUMMYFUNCTION("GOOGLETRANSLATE(B14768,""en"",""fr"")"),"Une personne est ensuite vue portant des gants et peignant une chaise de bras.")</f>
        <v>Une personne est ensuite vue portant des gants et peignant une chaise de bras.</v>
      </c>
    </row>
    <row r="14769">
      <c r="A14769" s="4" t="s">
        <v>18595</v>
      </c>
      <c r="B14769" s="4" t="s">
        <v>18598</v>
      </c>
      <c r="C14769" s="5" t="str">
        <f>IFERROR(__xludf.DUMMYFUNCTION("GOOGLETRANSLATE(B14769,""en"",""fr"")"),"La personne continue de peindre sur la chaise et la montrant à la fin.")</f>
        <v>La personne continue de peindre sur la chaise et la montrant à la fin.</v>
      </c>
    </row>
    <row r="14770">
      <c r="A14770" s="4" t="s">
        <v>18599</v>
      </c>
      <c r="B14770" s="4" t="s">
        <v>18600</v>
      </c>
      <c r="C14770" s="5" t="str">
        <f>IFERROR(__xludf.DUMMYFUNCTION("GOOGLETRANSLATE(B14770,""en"",""fr"")"),"Les enfants sont montrés du côté d'un gymnase jouant au football en salle.")</f>
        <v>Les enfants sont montrés du côté d'un gymnase jouant au football en salle.</v>
      </c>
    </row>
    <row r="14771">
      <c r="A14771" s="4" t="s">
        <v>18599</v>
      </c>
      <c r="B14771" s="4" t="s">
        <v>18601</v>
      </c>
      <c r="C14771" s="5" t="str">
        <f>IFERROR(__xludf.DUMMYFUNCTION("GOOGLETRANSLATE(B14771,""en"",""fr"")"),"L'un des enfants fait un grand pas pour contourner un défenseur et presque marquer.")</f>
        <v>L'un des enfants fait un grand pas pour contourner un défenseur et presque marquer.</v>
      </c>
    </row>
    <row r="14772">
      <c r="A14772" s="4" t="s">
        <v>18599</v>
      </c>
      <c r="B14772" s="4" t="s">
        <v>18602</v>
      </c>
      <c r="C14772" s="5" t="str">
        <f>IFERROR(__xludf.DUMMYFUNCTION("GOOGLETRANSLATE(B14772,""en"",""fr"")"),"Il est ensuite montré marquant à une occasion différente avant la fin de la vidéo.")</f>
        <v>Il est ensuite montré marquant à une occasion différente avant la fin de la vidéo.</v>
      </c>
    </row>
    <row r="14773">
      <c r="A14773" s="4" t="s">
        <v>18603</v>
      </c>
      <c r="B14773" s="4" t="s">
        <v>18604</v>
      </c>
      <c r="C14773" s="5" t="str">
        <f>IFERROR(__xludf.DUMMYFUNCTION("GOOGLETRANSLATE(B14773,""en"",""fr"")"),"Un jeune homme est vu parler à la caméra et l'emmente en jetant des fléchettes sur une planche.")</f>
        <v>Un jeune homme est vu parler à la caméra et l'emmente en jetant des fléchettes sur une planche.</v>
      </c>
    </row>
    <row r="14774">
      <c r="A14774" s="4" t="s">
        <v>18603</v>
      </c>
      <c r="B14774" s="4" t="s">
        <v>18605</v>
      </c>
      <c r="C14774" s="5" t="str">
        <f>IFERROR(__xludf.DUMMYFUNCTION("GOOGLETRANSLATE(B14774,""en"",""fr"")"),"Il leva les mains d'excitation alors que la caméra zoome sur les fléchettes.")</f>
        <v>Il leva les mains d'excitation alors que la caméra zoome sur les fléchettes.</v>
      </c>
    </row>
    <row r="14775">
      <c r="A14775" s="4" t="s">
        <v>18606</v>
      </c>
      <c r="B14775" s="4" t="s">
        <v>18607</v>
      </c>
      <c r="C14775" s="5" t="str">
        <f>IFERROR(__xludf.DUMMYFUNCTION("GOOGLETRANSLATE(B14775,""en"",""fr"")"),"La maman de MJ joue avec ses cheveux les lissant.")</f>
        <v>La maman de MJ joue avec ses cheveux les lissant.</v>
      </c>
    </row>
    <row r="14776">
      <c r="A14776" s="4" t="s">
        <v>18606</v>
      </c>
      <c r="B14776" s="4" t="s">
        <v>18608</v>
      </c>
      <c r="C14776" s="5" t="str">
        <f>IFERROR(__xludf.DUMMYFUNCTION("GOOGLETRANSLATE(B14776,""en"",""fr"")"),"Elle va à la salle de bain avec des clips dans ses cheveux et sort des traitements et des shampooings.")</f>
        <v>Elle va à la salle de bain avec des clips dans ses cheveux et sort des traitements et des shampooings.</v>
      </c>
    </row>
    <row r="14777">
      <c r="A14777" s="4" t="s">
        <v>18606</v>
      </c>
      <c r="B14777" s="6" t="s">
        <v>18609</v>
      </c>
      <c r="C14777" s="5" t="str">
        <f>IFERROR(__xludf.DUMMYFUNCTION("GOOGLETRANSLATE(B14777,""en"",""fr"")"),"Elle commence à appliquer les cheveux sur ses cheveux et à les peigner, elle commence à séparer ses cheveux et à mettre des bornes.")</f>
        <v>Elle commence à appliquer les cheveux sur ses cheveux et à les peigner, elle commence à séparer ses cheveux et à mettre des bornes.</v>
      </c>
    </row>
    <row r="14778">
      <c r="A14778" s="4" t="s">
        <v>18606</v>
      </c>
      <c r="B14778" s="6" t="s">
        <v>18610</v>
      </c>
      <c r="C14778" s="5" t="str">
        <f>IFERROR(__xludf.DUMMYFUNCTION("GOOGLETRANSLATE(B14778,""en"",""fr"")"),"Elle commence à parler de ce qu'elle fait avec ses cheveux pendant qu'elle attend de retirer les bornes, quand elle les sort, ses cheveux sont parfaitement enroulés.")</f>
        <v>Elle commence à parler de ce qu'elle fait avec ses cheveux pendant qu'elle attend de retirer les bornes, quand elle les sort, ses cheveux sont parfaitement enroulés.</v>
      </c>
    </row>
    <row r="14779">
      <c r="A14779" s="4" t="s">
        <v>18611</v>
      </c>
      <c r="B14779" s="6" t="s">
        <v>18612</v>
      </c>
      <c r="C14779" s="5" t="str">
        <f>IFERROR(__xludf.DUMMYFUNCTION("GOOGLETRANSLATE(B14779,""en"",""fr"")"),"Un homme est vu parler à la caméra tout en tenant une raquette de tennis et commence à démontrer comment frapper le ballon.")</f>
        <v>Un homme est vu parler à la caméra tout en tenant une raquette de tennis et commence à démontrer comment frapper le ballon.</v>
      </c>
    </row>
    <row r="14780">
      <c r="A14780" s="4" t="s">
        <v>18611</v>
      </c>
      <c r="B14780" s="6" t="s">
        <v>18613</v>
      </c>
      <c r="C14780" s="5" t="str">
        <f>IFERROR(__xludf.DUMMYFUNCTION("GOOGLETRANSLATE(B14780,""en"",""fr"")"),"L'homme continue de parler et de frapper le ballon tout en se déplaçant dans le gymnase et en faisant un geste vers la caméra.")</f>
        <v>L'homme continue de parler et de frapper le ballon tout en se déplaçant dans le gymnase et en faisant un geste vers la caméra.</v>
      </c>
    </row>
    <row r="14781">
      <c r="A14781" s="4" t="s">
        <v>18614</v>
      </c>
      <c r="B14781" s="4" t="s">
        <v>18615</v>
      </c>
      <c r="C14781" s="5" t="str">
        <f>IFERROR(__xludf.DUMMYFUNCTION("GOOGLETRANSLATE(B14781,""en"",""fr"")"),"Un gros plan d'un arbre de Noël est montré suivi de gros plans d'ornements.")</f>
        <v>Un gros plan d'un arbre de Noël est montré suivi de gros plans d'ornements.</v>
      </c>
    </row>
    <row r="14782">
      <c r="A14782" s="4" t="s">
        <v>18614</v>
      </c>
      <c r="B14782" s="4" t="s">
        <v>18616</v>
      </c>
      <c r="C14782" s="5" t="str">
        <f>IFERROR(__xludf.DUMMYFUNCTION("GOOGLETRANSLATE(B14782,""en"",""fr"")"),"On voit alors deux personnes se déplacer autour de la décoration des arbres et éteindre les lumières.")</f>
        <v>On voit alors deux personnes se déplacer autour de la décoration des arbres et éteindre les lumières.</v>
      </c>
    </row>
    <row r="14783">
      <c r="A14783" s="4" t="s">
        <v>18614</v>
      </c>
      <c r="B14783" s="4" t="s">
        <v>18617</v>
      </c>
      <c r="C14783" s="5" t="str">
        <f>IFERROR(__xludf.DUMMYFUNCTION("GOOGLETRANSLATE(B14783,""en"",""fr"")"),"Ils finissent de décorer l'arbre et de jouer les uns avec les autres et de rire.")</f>
        <v>Ils finissent de décorer l'arbre et de jouer les uns avec les autres et de rire.</v>
      </c>
    </row>
    <row r="14784">
      <c r="A14784" s="4" t="s">
        <v>18614</v>
      </c>
      <c r="B14784" s="4" t="s">
        <v>18618</v>
      </c>
      <c r="C14784" s="5" t="str">
        <f>IFERROR(__xludf.DUMMYFUNCTION("GOOGLETRANSLATE(B14784,""en"",""fr"")"),"À la fin, les placons des arbres sont représentés ainsi qu'un ours.")</f>
        <v>À la fin, les placons des arbres sont représentés ainsi qu'un ours.</v>
      </c>
    </row>
    <row r="14785">
      <c r="A14785" s="4" t="s">
        <v>18619</v>
      </c>
      <c r="B14785" s="4" t="s">
        <v>18620</v>
      </c>
      <c r="C14785" s="5" t="str">
        <f>IFERROR(__xludf.DUMMYFUNCTION("GOOGLETRANSLATE(B14785,""en"",""fr"")"),"Un homme est vu faire un baiser et enlever sa veste et interagir avec un autre homme.")</f>
        <v>Un homme est vu faire un baiser et enlever sa veste et interagir avec un autre homme.</v>
      </c>
    </row>
    <row r="14786">
      <c r="A14786" s="4" t="s">
        <v>18619</v>
      </c>
      <c r="B14786" s="4" t="s">
        <v>18621</v>
      </c>
      <c r="C14786" s="5" t="str">
        <f>IFERROR(__xludf.DUMMYFUNCTION("GOOGLETRANSLATE(B14786,""en"",""fr"")"),"L'homme prépare son bras tandis que l'autre attrape sa main et il fait semblant de lui donner un coup de pied.")</f>
        <v>L'homme prépare son bras tandis que l'autre attrape sa main et il fait semblant de lui donner un coup de pied.</v>
      </c>
    </row>
    <row r="14787">
      <c r="A14787" s="4" t="s">
        <v>18619</v>
      </c>
      <c r="B14787" s="6" t="s">
        <v>18622</v>
      </c>
      <c r="C14787" s="5" t="str">
        <f>IFERROR(__xludf.DUMMYFUNCTION("GOOGLETRANSLATE(B14787,""en"",""fr"")"),"Plus de gens interviennent pour lutter sur cet homme pendant que la nourriture est montrée et le perdant obtient de la nourriture partout sur lui.")</f>
        <v>Plus de gens interviennent pour lutter sur cet homme pendant que la nourriture est montrée et le perdant obtient de la nourriture partout sur lui.</v>
      </c>
    </row>
    <row r="14788">
      <c r="A14788" s="4" t="s">
        <v>18623</v>
      </c>
      <c r="B14788" s="4" t="s">
        <v>18624</v>
      </c>
      <c r="C14788" s="5" t="str">
        <f>IFERROR(__xludf.DUMMYFUNCTION("GOOGLETRANSLATE(B14788,""en"",""fr"")"),"Deux personnes sont vues agenouillées devant une plante assise sur le sol et se parlent.")</f>
        <v>Deux personnes sont vues agenouillées devant une plante assise sur le sol et se parlent.</v>
      </c>
    </row>
    <row r="14789">
      <c r="A14789" s="4" t="s">
        <v>18623</v>
      </c>
      <c r="B14789" s="6" t="s">
        <v>18625</v>
      </c>
      <c r="C14789" s="5" t="str">
        <f>IFERROR(__xludf.DUMMYFUNCTION("GOOGLETRANSLATE(B14789,""en"",""fr"")"),"Les hommes continuent de déplacer la saleté autour de la plante et de se terminer en se tenant à côté de l'arbre et en éloignant les racines et en déversant plus de terre autour.")</f>
        <v>Les hommes continuent de déplacer la saleté autour de la plante et de se terminer en se tenant à côté de l'arbre et en éloignant les racines et en déversant plus de terre autour.</v>
      </c>
    </row>
    <row r="14790">
      <c r="A14790" s="4" t="s">
        <v>18626</v>
      </c>
      <c r="B14790" s="4" t="s">
        <v>18627</v>
      </c>
      <c r="C14790" s="5" t="str">
        <f>IFERROR(__xludf.DUMMYFUNCTION("GOOGLETRANSLATE(B14790,""en"",""fr"")"),"Un gros plan est illustré à une salle de billard.")</f>
        <v>Un gros plan est illustré à une salle de billard.</v>
      </c>
    </row>
    <row r="14791">
      <c r="A14791" s="4" t="s">
        <v>18626</v>
      </c>
      <c r="B14791" s="4" t="s">
        <v>18628</v>
      </c>
      <c r="C14791" s="5" t="str">
        <f>IFERROR(__xludf.DUMMYFUNCTION("GOOGLETRANSLATE(B14791,""en"",""fr"")"),"Un homme et une femme entrent dans la pièce, saisissant des indices.")</f>
        <v>Un homme et une femme entrent dans la pièce, saisissant des indices.</v>
      </c>
    </row>
    <row r="14792">
      <c r="A14792" s="4" t="s">
        <v>18626</v>
      </c>
      <c r="B14792" s="4" t="s">
        <v>18629</v>
      </c>
      <c r="C14792" s="5" t="str">
        <f>IFERROR(__xludf.DUMMYFUNCTION("GOOGLETRANSLATE(B14792,""en"",""fr"")"),"Ils s'engagent dans un jeu de piscine ensemble, frappant les balles dans les poches.")</f>
        <v>Ils s'engagent dans un jeu de piscine ensemble, frappant les balles dans les poches.</v>
      </c>
    </row>
    <row r="14793">
      <c r="A14793" s="4" t="s">
        <v>18630</v>
      </c>
      <c r="B14793" s="6" t="s">
        <v>18631</v>
      </c>
      <c r="C14793" s="5" t="str">
        <f>IFERROR(__xludf.DUMMYFUNCTION("GOOGLETRANSLATE(B14793,""en"",""fr"")"),"Instructions étape par étape pour faire des pâtes crémeuses, mettant d'abord les pâtes dans de l'eau bouillante et le remuant.")</f>
        <v>Instructions étape par étape pour faire des pâtes crémeuses, mettant d'abord les pâtes dans de l'eau bouillante et le remuant.</v>
      </c>
    </row>
    <row r="14794">
      <c r="A14794" s="4" t="s">
        <v>18630</v>
      </c>
      <c r="B14794" s="4" t="s">
        <v>18632</v>
      </c>
      <c r="C14794" s="5" t="str">
        <f>IFERROR(__xludf.DUMMYFUNCTION("GOOGLETRANSLATE(B14794,""en"",""fr"")"),"Ensuite, dans une autre casserole, ajoutant des saucisses et des oignons et en remuant tout ensemble.")</f>
        <v>Ensuite, dans une autre casserole, ajoutant des saucisses et des oignons et en remuant tout ensemble.</v>
      </c>
    </row>
    <row r="14795">
      <c r="A14795" s="4" t="s">
        <v>18630</v>
      </c>
      <c r="B14795" s="4" t="s">
        <v>18633</v>
      </c>
      <c r="C14795" s="5" t="str">
        <f>IFERROR(__xludf.DUMMYFUNCTION("GOOGLETRANSLATE(B14795,""en"",""fr"")"),"Ajouter des tomates et de la crème épaisse pour la rendre pâteuse.")</f>
        <v>Ajouter des tomates et de la crème épaisse pour la rendre pâteuse.</v>
      </c>
    </row>
    <row r="14796">
      <c r="A14796" s="4" t="s">
        <v>18630</v>
      </c>
      <c r="B14796" s="4" t="s">
        <v>18634</v>
      </c>
      <c r="C14796" s="5" t="str">
        <f>IFERROR(__xludf.DUMMYFUNCTION("GOOGLETRANSLATE(B14796,""en"",""fr"")"),"Enfin, l'ajout des pâtes, ainsi que du fromage et des flocons de persil et mélangeant tout ensemble.")</f>
        <v>Enfin, l'ajout des pâtes, ainsi que du fromage et des flocons de persil et mélangeant tout ensemble.</v>
      </c>
    </row>
    <row r="14797">
      <c r="A14797" s="4" t="s">
        <v>18635</v>
      </c>
      <c r="B14797" s="4" t="s">
        <v>18636</v>
      </c>
      <c r="C14797" s="5" t="str">
        <f>IFERROR(__xludf.DUMMYFUNCTION("GOOGLETRANSLATE(B14797,""en"",""fr"")"),"Un homme se tient à côté d'une jeune fille vêtue d'une tenue de gymnastique dans une salle de sport et parle de la caméra.")</f>
        <v>Un homme se tient à côté d'une jeune fille vêtue d'une tenue de gymnastique dans une salle de sport et parle de la caméra.</v>
      </c>
    </row>
    <row r="14798">
      <c r="A14798" s="4" t="s">
        <v>18635</v>
      </c>
      <c r="B14798" s="6" t="s">
        <v>18637</v>
      </c>
      <c r="C14798" s="5" t="str">
        <f>IFERROR(__xludf.DUMMYFUNCTION("GOOGLETRANSLATE(B14798,""en"",""fr"")"),"L'homme entraîne ensuite la fille dans les bars de gym lors d'une séance d'entraînement de gymnastique alors que la fille se balance sur les bars dans un gymnase rempli d'autres enfants pratiquant la gymnastique.")</f>
        <v>L'homme entraîne ensuite la fille dans les bars de gym lors d'une séance d'entraînement de gymnastique alors que la fille se balance sur les bars dans un gymnase rempli d'autres enfants pratiquant la gymnastique.</v>
      </c>
    </row>
    <row r="14799">
      <c r="A14799" s="4" t="s">
        <v>18635</v>
      </c>
      <c r="B14799" s="4" t="s">
        <v>18638</v>
      </c>
      <c r="C14799" s="5" t="str">
        <f>IFERROR(__xludf.DUMMYFUNCTION("GOOGLETRANSLATE(B14799,""en"",""fr"")"),"L'homme se ferme ensuite à côté de la fille et parle à la caméra.")</f>
        <v>L'homme se ferme ensuite à côté de la fille et parle à la caméra.</v>
      </c>
    </row>
    <row r="14800">
      <c r="A14800" s="4" t="s">
        <v>18639</v>
      </c>
      <c r="B14800" s="4" t="s">
        <v>18640</v>
      </c>
      <c r="C14800" s="5" t="str">
        <f>IFERROR(__xludf.DUMMYFUNCTION("GOOGLETRANSLATE(B14800,""en"",""fr"")"),"Une planche de surf de personne dans l'eau agitée de l'océan.")</f>
        <v>Une planche de surf de personne dans l'eau agitée de l'océan.</v>
      </c>
    </row>
    <row r="14801">
      <c r="A14801" s="4" t="s">
        <v>18639</v>
      </c>
      <c r="B14801" s="6" t="s">
        <v>18641</v>
      </c>
      <c r="C14801" s="5" t="str">
        <f>IFERROR(__xludf.DUMMYFUNCTION("GOOGLETRANSLATE(B14801,""en"",""fr"")"),"Une femme se tient sur le devant une piscine en train de parler, puis un diaporama de photos et un homme qui parle dans un événement est montré.")</f>
        <v>Une femme se tient sur le devant une piscine en train de parler, puis un diaporama de photos et un homme qui parle dans un événement est montré.</v>
      </c>
    </row>
    <row r="14802">
      <c r="A14802" s="4" t="s">
        <v>18639</v>
      </c>
      <c r="B14802" s="4" t="s">
        <v>18642</v>
      </c>
      <c r="C14802" s="5" t="str">
        <f>IFERROR(__xludf.DUMMYFUNCTION("GOOGLETRANSLATE(B14802,""en"",""fr"")"),"Ensuite, le prince Harry d'Angleterre se trouve dans un événement pendant que les gens dansent et se produisent.")</f>
        <v>Ensuite, le prince Harry d'Angleterre se trouve dans un événement pendant que les gens dansent et se produisent.</v>
      </c>
    </row>
    <row r="14803">
      <c r="A14803" s="4" t="s">
        <v>18639</v>
      </c>
      <c r="B14803" s="6" t="s">
        <v>18643</v>
      </c>
      <c r="C14803" s="5" t="str">
        <f>IFERROR(__xludf.DUMMYFUNCTION("GOOGLETRANSLATE(B14803,""en"",""fr"")"),"Après, les gens jouent au polo dans un cheval sur le terrain en lançant une balle avec un poteau, aussi la femme et l'homme parle.")</f>
        <v>Après, les gens jouent au polo dans un cheval sur le terrain en lançant une balle avec un poteau, aussi la femme et l'homme parle.</v>
      </c>
    </row>
    <row r="14804">
      <c r="A14804" s="4" t="s">
        <v>18644</v>
      </c>
      <c r="B14804" s="4" t="s">
        <v>18645</v>
      </c>
      <c r="C14804" s="5" t="str">
        <f>IFERROR(__xludf.DUMMYFUNCTION("GOOGLETRANSLATE(B14804,""en"",""fr"")"),"Plusieurs plans sont montrés des personnes effectuant des flips de gymnastique impressionnantes dans un grand gymnase.")</f>
        <v>Plusieurs plans sont montrés des personnes effectuant des flips de gymnastique impressionnantes dans un grand gymnase.</v>
      </c>
    </row>
    <row r="14805">
      <c r="A14805" s="4" t="s">
        <v>18644</v>
      </c>
      <c r="B14805" s="6" t="s">
        <v>18646</v>
      </c>
      <c r="C14805" s="5" t="str">
        <f>IFERROR(__xludf.DUMMYFUNCTION("GOOGLETRANSLATE(B14805,""en"",""fr"")"),"Les gens effectuent continuellement des flips et des astuces sur les tapis avec certains étant montrés au ralenti et en images.")</f>
        <v>Les gens effectuent continuellement des flips et des astuces sur les tapis avec certains étant montrés au ralenti et en images.</v>
      </c>
    </row>
    <row r="14806">
      <c r="A14806" s="4" t="s">
        <v>18647</v>
      </c>
      <c r="B14806" s="4" t="s">
        <v>18648</v>
      </c>
      <c r="C14806" s="5" t="str">
        <f>IFERROR(__xludf.DUMMYFUNCTION("GOOGLETRANSLATE(B14806,""en"",""fr"")"),"Un homme tient un verre à vin et parle.")</f>
        <v>Un homme tient un verre à vin et parle.</v>
      </c>
    </row>
    <row r="14807">
      <c r="A14807" s="4" t="s">
        <v>18647</v>
      </c>
      <c r="B14807" s="4" t="s">
        <v>18649</v>
      </c>
      <c r="C14807" s="5" t="str">
        <f>IFERROR(__xludf.DUMMYFUNCTION("GOOGLETRANSLATE(B14807,""en"",""fr"")"),"Il prend un verre du vin et pose le verre.")</f>
        <v>Il prend un verre du vin et pose le verre.</v>
      </c>
    </row>
    <row r="14808">
      <c r="A14808" s="4" t="s">
        <v>18647</v>
      </c>
      <c r="B14808" s="4" t="s">
        <v>18650</v>
      </c>
      <c r="C14808" s="5" t="str">
        <f>IFERROR(__xludf.DUMMYFUNCTION("GOOGLETRANSLATE(B14808,""en"",""fr"")"),"Il montre des bouteilles assises sur un comptoir.")</f>
        <v>Il montre des bouteilles assises sur un comptoir.</v>
      </c>
    </row>
    <row r="14809">
      <c r="A14809" s="4" t="s">
        <v>18647</v>
      </c>
      <c r="B14809" s="4" t="s">
        <v>18651</v>
      </c>
      <c r="C14809" s="5" t="str">
        <f>IFERROR(__xludf.DUMMYFUNCTION("GOOGLETRANSLATE(B14809,""en"",""fr"")"),"Il verse de l'huile dans une casserole sur un poêle.")</f>
        <v>Il verse de l'huile dans une casserole sur un poêle.</v>
      </c>
    </row>
    <row r="14810">
      <c r="A14810" s="4" t="s">
        <v>18647</v>
      </c>
      <c r="B14810" s="4" t="s">
        <v>18652</v>
      </c>
      <c r="C14810" s="5" t="str">
        <f>IFERROR(__xludf.DUMMYFUNCTION("GOOGLETRANSLATE(B14810,""en"",""fr"")"),"Il ajoute des assaisonnements à la casserole.")</f>
        <v>Il ajoute des assaisonnements à la casserole.</v>
      </c>
    </row>
    <row r="14811">
      <c r="A14811" s="4" t="s">
        <v>18647</v>
      </c>
      <c r="B14811" s="4" t="s">
        <v>18653</v>
      </c>
      <c r="C14811" s="5" t="str">
        <f>IFERROR(__xludf.DUMMYFUNCTION("GOOGLETRANSLATE(B14811,""en"",""fr"")"),"Il remue un pot qui est sur le poêle.")</f>
        <v>Il remue un pot qui est sur le poêle.</v>
      </c>
    </row>
    <row r="14812">
      <c r="A14812" s="4" t="s">
        <v>18647</v>
      </c>
      <c r="B14812" s="4" t="s">
        <v>18654</v>
      </c>
      <c r="C14812" s="5" t="str">
        <f>IFERROR(__xludf.DUMMYFUNCTION("GOOGLETRANSLATE(B14812,""en"",""fr"")"),"Il prend une boule de ce qui est dans le pot et l'ajoute à la casserole.")</f>
        <v>Il prend une boule de ce qui est dans le pot et l'ajoute à la casserole.</v>
      </c>
    </row>
    <row r="14813">
      <c r="A14813" s="4" t="s">
        <v>18647</v>
      </c>
      <c r="B14813" s="4" t="s">
        <v>18655</v>
      </c>
      <c r="C14813" s="5" t="str">
        <f>IFERROR(__xludf.DUMMYFUNCTION("GOOGLETRANSLATE(B14813,""en"",""fr"")"),"Il commence à remuer les pâtes qui se trouvent dans la casserole.")</f>
        <v>Il commence à remuer les pâtes qui se trouvent dans la casserole.</v>
      </c>
    </row>
    <row r="14814">
      <c r="A14814" s="4" t="s">
        <v>18647</v>
      </c>
      <c r="B14814" s="4" t="s">
        <v>18656</v>
      </c>
      <c r="C14814" s="5" t="str">
        <f>IFERROR(__xludf.DUMMYFUNCTION("GOOGLETRANSLATE(B14814,""en"",""fr"")"),"Il ramasse les pâtes hors de la casserole sur une assiette.")</f>
        <v>Il ramasse les pâtes hors de la casserole sur une assiette.</v>
      </c>
    </row>
    <row r="14815">
      <c r="A14815" s="4" t="s">
        <v>18647</v>
      </c>
      <c r="B14815" s="4" t="s">
        <v>18657</v>
      </c>
      <c r="C14815" s="5" t="str">
        <f>IFERROR(__xludf.DUMMYFUNCTION("GOOGLETRANSLATE(B14815,""en"",""fr"")"),"Il ramasse à nouveau son verre à vin.")</f>
        <v>Il ramasse à nouveau son verre à vin.</v>
      </c>
    </row>
    <row r="14816">
      <c r="A14816" s="4" t="s">
        <v>18658</v>
      </c>
      <c r="B14816" s="4" t="s">
        <v>18659</v>
      </c>
      <c r="C14816" s="5" t="str">
        <f>IFERROR(__xludf.DUMMYFUNCTION("GOOGLETRANSLATE(B14816,""en"",""fr"")"),"Un groupe de motards qui attendent une rampe.")</f>
        <v>Un groupe de motards qui attendent une rampe.</v>
      </c>
    </row>
    <row r="14817">
      <c r="A14817" s="4" t="s">
        <v>18658</v>
      </c>
      <c r="B14817" s="4" t="s">
        <v>18660</v>
      </c>
      <c r="C14817" s="5" t="str">
        <f>IFERROR(__xludf.DUMMYFUNCTION("GOOGLETRANSLATE(B14817,""en"",""fr"")"),"Ils décollent quand il s'ouvre, se déplace en rond sur la piste, se course les uns les autres.")</f>
        <v>Ils décollent quand il s'ouvre, se déplace en rond sur la piste, se course les uns les autres.</v>
      </c>
    </row>
    <row r="14818">
      <c r="A14818" s="4" t="s">
        <v>18658</v>
      </c>
      <c r="B14818" s="4" t="s">
        <v>18661</v>
      </c>
      <c r="C14818" s="5" t="str">
        <f>IFERROR(__xludf.DUMMYFUNCTION("GOOGLETRANSLATE(B14818,""en"",""fr"")"),"Certains tombent de leurs vélos.")</f>
        <v>Certains tombent de leurs vélos.</v>
      </c>
    </row>
    <row r="14819">
      <c r="A14819" s="4" t="s">
        <v>18658</v>
      </c>
      <c r="B14819" s="4" t="s">
        <v>18662</v>
      </c>
      <c r="C14819" s="5" t="str">
        <f>IFERROR(__xludf.DUMMYFUNCTION("GOOGLETRANSLATE(B14819,""en"",""fr"")"),"Ils traversent la ligne d'arrivée, mettant fin à la course.")</f>
        <v>Ils traversent la ligne d'arrivée, mettant fin à la course.</v>
      </c>
    </row>
    <row r="14820">
      <c r="A14820" s="4" t="s">
        <v>18663</v>
      </c>
      <c r="B14820" s="4" t="s">
        <v>18664</v>
      </c>
      <c r="C14820" s="5" t="str">
        <f>IFERROR(__xludf.DUMMYFUNCTION("GOOGLETRANSLATE(B14820,""en"",""fr"")"),"Une femme fait quelques pas avec une paire d'appareils de saut.")</f>
        <v>Une femme fait quelques pas avec une paire d'appareils de saut.</v>
      </c>
    </row>
    <row r="14821">
      <c r="A14821" s="4" t="s">
        <v>18663</v>
      </c>
      <c r="B14821" s="4" t="s">
        <v>18665</v>
      </c>
      <c r="C14821" s="5" t="str">
        <f>IFERROR(__xludf.DUMMYFUNCTION("GOOGLETRANSLATE(B14821,""en"",""fr"")"),"La femme commence à sauter rapidement.")</f>
        <v>La femme commence à sauter rapidement.</v>
      </c>
    </row>
    <row r="14822">
      <c r="A14822" s="4" t="s">
        <v>18663</v>
      </c>
      <c r="B14822" s="4" t="s">
        <v>18666</v>
      </c>
      <c r="C14822" s="5" t="str">
        <f>IFERROR(__xludf.DUMMYFUNCTION("GOOGLETRANSLATE(B14822,""en"",""fr"")"),"La femme est rejointe par un homme qui saute également dans une paire d'appareils de saut.")</f>
        <v>La femme est rejointe par un homme qui saute également dans une paire d'appareils de saut.</v>
      </c>
    </row>
    <row r="14823">
      <c r="A14823" s="4" t="s">
        <v>18667</v>
      </c>
      <c r="B14823" s="4" t="s">
        <v>18668</v>
      </c>
      <c r="C14823" s="5" t="str">
        <f>IFERROR(__xludf.DUMMYFUNCTION("GOOGLETRANSLATE(B14823,""en"",""fr"")"),"Un homme est vu monter sur une longue rivière avec une autre personne qui roule derrière.")</f>
        <v>Un homme est vu monter sur une longue rivière avec une autre personne qui roule derrière.</v>
      </c>
    </row>
    <row r="14824">
      <c r="A14824" s="4" t="s">
        <v>18667</v>
      </c>
      <c r="B14824" s="4" t="s">
        <v>18669</v>
      </c>
      <c r="C14824" s="5" t="str">
        <f>IFERROR(__xludf.DUMMYFUNCTION("GOOGLETRANSLATE(B14824,""en"",""fr"")"),"La caméra passe à plusieurs personnes roulant dans des tubes et se poussant dans une rivière.")</f>
        <v>La caméra passe à plusieurs personnes roulant dans des tubes et se poussant dans une rivière.</v>
      </c>
    </row>
    <row r="14825">
      <c r="A14825" s="4" t="s">
        <v>18670</v>
      </c>
      <c r="B14825" s="4" t="s">
        <v>18671</v>
      </c>
      <c r="C14825" s="5" t="str">
        <f>IFERROR(__xludf.DUMMYFUNCTION("GOOGLETRANSLATE(B14825,""en"",""fr"")"),"Une fille est vue allongée sur une table tandis qu'un homme portant des gants tient des ciseaux sur son nombril.")</f>
        <v>Une fille est vue allongée sur une table tandis qu'un homme portant des gants tient des ciseaux sur son nombril.</v>
      </c>
    </row>
    <row r="14826">
      <c r="A14826" s="4" t="s">
        <v>18670</v>
      </c>
      <c r="B14826" s="4" t="s">
        <v>18672</v>
      </c>
      <c r="C14826" s="5" t="str">
        <f>IFERROR(__xludf.DUMMYFUNCTION("GOOGLETRANSLATE(B14826,""en"",""fr"")"),"Il perce ensuite l'estomac de la fille et elle s'assoit et s'éloigne à la fin en souriant.")</f>
        <v>Il perce ensuite l'estomac de la fille et elle s'assoit et s'éloigne à la fin en souriant.</v>
      </c>
    </row>
    <row r="14827">
      <c r="A14827" s="4" t="s">
        <v>18673</v>
      </c>
      <c r="B14827" s="6" t="s">
        <v>18674</v>
      </c>
      <c r="C14827" s="5" t="str">
        <f>IFERROR(__xludf.DUMMYFUNCTION("GOOGLETRANSLATE(B14827,""en"",""fr"")"),"Un homme est en train de combattre le taureau =, il a une feuille rose et s'enfuit en arrière du taureau qui vient vers lui.")</f>
        <v>Un homme est en train de combattre le taureau =, il a une feuille rose et s'enfuit en arrière du taureau qui vient vers lui.</v>
      </c>
    </row>
    <row r="14828">
      <c r="A14828" s="4" t="s">
        <v>18673</v>
      </c>
      <c r="B14828" s="4" t="s">
        <v>18675</v>
      </c>
      <c r="C14828" s="5" t="str">
        <f>IFERROR(__xludf.DUMMYFUNCTION("GOOGLETRANSLATE(B14828,""en"",""fr"")"),"Il y a maintenant trois hommes et l'un d'eux est complètement piétiné par le taureau.")</f>
        <v>Il y a maintenant trois hommes et l'un d'eux est complètement piétiné par le taureau.</v>
      </c>
    </row>
    <row r="14829">
      <c r="A14829" s="4" t="s">
        <v>18673</v>
      </c>
      <c r="B14829" s="4" t="s">
        <v>18676</v>
      </c>
      <c r="C14829" s="5" t="str">
        <f>IFERROR(__xludf.DUMMYFUNCTION("GOOGLETRANSLATE(B14829,""en"",""fr"")"),"Ensuite, environ six autres hommes se tiennent en ligne avec le taureau.")</f>
        <v>Ensuite, environ six autres hommes se tiennent en ligne avec le taureau.</v>
      </c>
    </row>
    <row r="14830">
      <c r="A14830" s="4" t="s">
        <v>18673</v>
      </c>
      <c r="B14830" s="4" t="s">
        <v>18677</v>
      </c>
      <c r="C14830" s="5" t="str">
        <f>IFERROR(__xludf.DUMMYFUNCTION("GOOGLETRANSLATE(B14830,""en"",""fr"")"),"C'est très dangereux avec un taureau et le taquiner, ces gens peuvent sérieusement se blesser.")</f>
        <v>C'est très dangereux avec un taureau et le taquiner, ces gens peuvent sérieusement se blesser.</v>
      </c>
    </row>
    <row r="14831">
      <c r="A14831" s="4" t="s">
        <v>18678</v>
      </c>
      <c r="B14831" s="4" t="s">
        <v>18679</v>
      </c>
      <c r="C14831" s="5" t="str">
        <f>IFERROR(__xludf.DUMMYFUNCTION("GOOGLETRANSLATE(B14831,""en"",""fr"")"),"L'écran de titre coloré est vu.")</f>
        <v>L'écran de titre coloré est vu.</v>
      </c>
    </row>
    <row r="14832">
      <c r="A14832" s="4" t="s">
        <v>18678</v>
      </c>
      <c r="B14832" s="4" t="s">
        <v>18680</v>
      </c>
      <c r="C14832" s="5" t="str">
        <f>IFERROR(__xludf.DUMMYFUNCTION("GOOGLETRANSLATE(B14832,""en"",""fr"")"),"Deux personnes dans une pièce dansent lentement dans le dos.")</f>
        <v>Deux personnes dans une pièce dansent lentement dans le dos.</v>
      </c>
    </row>
    <row r="14833">
      <c r="A14833" s="4" t="s">
        <v>18678</v>
      </c>
      <c r="B14833" s="4" t="s">
        <v>18681</v>
      </c>
      <c r="C14833" s="5" t="str">
        <f>IFERROR(__xludf.DUMMYFUNCTION("GOOGLETRANSLATE(B14833,""en"",""fr"")"),"Un écran de titre se charge et nous voyons l'homme danser seul.")</f>
        <v>Un écran de titre se charge et nous voyons l'homme danser seul.</v>
      </c>
    </row>
    <row r="14834">
      <c r="A14834" s="4" t="s">
        <v>18678</v>
      </c>
      <c r="B14834" s="4" t="s">
        <v>18682</v>
      </c>
      <c r="C14834" s="5" t="str">
        <f>IFERROR(__xludf.DUMMYFUNCTION("GOOGLETRANSLATE(B14834,""en"",""fr"")"),"Nous voyons un titre et la dame dans la salle verte dansant seule.")</f>
        <v>Nous voyons un titre et la dame dans la salle verte dansant seule.</v>
      </c>
    </row>
    <row r="14835">
      <c r="A14835" s="4" t="s">
        <v>18678</v>
      </c>
      <c r="B14835" s="4" t="s">
        <v>18683</v>
      </c>
      <c r="C14835" s="5" t="str">
        <f>IFERROR(__xludf.DUMMYFUNCTION("GOOGLETRANSLATE(B14835,""en"",""fr"")"),"Un titre se charge et nous voyons les pieds de l'homme alors qu'il danse.")</f>
        <v>Un titre se charge et nous voyons les pieds de l'homme alors qu'il danse.</v>
      </c>
    </row>
    <row r="14836">
      <c r="A14836" s="4" t="s">
        <v>18678</v>
      </c>
      <c r="B14836" s="4" t="s">
        <v>18684</v>
      </c>
      <c r="C14836" s="5" t="str">
        <f>IFERROR(__xludf.DUMMYFUNCTION("GOOGLETRANSLATE(B14836,""en"",""fr"")"),"Un titre se charge et nous voyons les pieds des dames alors qu'elle danse.")</f>
        <v>Un titre se charge et nous voyons les pieds des dames alors qu'elle danse.</v>
      </c>
    </row>
    <row r="14837">
      <c r="A14837" s="4" t="s">
        <v>18685</v>
      </c>
      <c r="B14837" s="4" t="s">
        <v>18686</v>
      </c>
      <c r="C14837" s="5" t="str">
        <f>IFERROR(__xludf.DUMMYFUNCTION("GOOGLETRANSLATE(B14837,""en"",""fr"")"),"Un homme est vu parler à la caméra tout en se brossant les cheveux et en regardant autour d'une salle de bain.")</f>
        <v>Un homme est vu parler à la caméra tout en se brossant les cheveux et en regardant autour d'une salle de bain.</v>
      </c>
    </row>
    <row r="14838">
      <c r="A14838" s="4" t="s">
        <v>18685</v>
      </c>
      <c r="B14838" s="4" t="s">
        <v>18687</v>
      </c>
      <c r="C14838" s="5" t="str">
        <f>IFERROR(__xludf.DUMMYFUNCTION("GOOGLETRANSLATE(B14838,""en"",""fr"")"),"L'homme continue de se brosser les cheveux et commence à jouer avec ses poils du visage.")</f>
        <v>L'homme continue de se brosser les cheveux et commence à jouer avec ses poils du visage.</v>
      </c>
    </row>
    <row r="14839">
      <c r="A14839" s="4" t="s">
        <v>18685</v>
      </c>
      <c r="B14839" s="4" t="s">
        <v>18688</v>
      </c>
      <c r="C14839" s="5" t="str">
        <f>IFERROR(__xludf.DUMMYFUNCTION("GOOGLETRANSLATE(B14839,""en"",""fr"")"),"L'homme pointe la caméra autour de sa tête montrant ses cheveux et souriant à la caméra.")</f>
        <v>L'homme pointe la caméra autour de sa tête montrant ses cheveux et souriant à la caméra.</v>
      </c>
    </row>
    <row r="14840">
      <c r="A14840" s="4" t="s">
        <v>18689</v>
      </c>
      <c r="B14840" s="4" t="s">
        <v>18690</v>
      </c>
      <c r="C14840" s="5" t="str">
        <f>IFERROR(__xludf.DUMMYFUNCTION("GOOGLETRANSLATE(B14840,""en"",""fr"")"),"Les hommes jouent au tennis intérieur à l'intérieur d'un bâtiment tandis que le football est à la télévision en arrière-plan.")</f>
        <v>Les hommes jouent au tennis intérieur à l'intérieur d'un bâtiment tandis que le football est à la télévision en arrière-plan.</v>
      </c>
    </row>
    <row r="14841">
      <c r="A14841" s="4" t="s">
        <v>18689</v>
      </c>
      <c r="B14841" s="4" t="s">
        <v>18691</v>
      </c>
      <c r="C14841" s="5" t="str">
        <f>IFERROR(__xludf.DUMMYFUNCTION("GOOGLETRANSLATE(B14841,""en"",""fr"")"),"Ils ont frappé le ballon d'avant en arrière pendant un certain temps.")</f>
        <v>Ils ont frappé le ballon d'avant en arrière pendant un certain temps.</v>
      </c>
    </row>
    <row r="14842">
      <c r="A14842" s="4" t="s">
        <v>18689</v>
      </c>
      <c r="B14842" s="4" t="s">
        <v>18692</v>
      </c>
      <c r="C14842" s="5" t="str">
        <f>IFERROR(__xludf.DUMMYFUNCTION("GOOGLETRANSLATE(B14842,""en"",""fr"")"),"D'autres hommes dans la pièce lentent de temps en temps.")</f>
        <v>D'autres hommes dans la pièce lentent de temps en temps.</v>
      </c>
    </row>
    <row r="14843">
      <c r="A14843" s="4" t="s">
        <v>18693</v>
      </c>
      <c r="B14843" s="4" t="s">
        <v>18694</v>
      </c>
      <c r="C14843" s="5" t="str">
        <f>IFERROR(__xludf.DUMMYFUNCTION("GOOGLETRANSLATE(B14843,""en"",""fr"")"),"Nous voyons un journal dans un studio parler.")</f>
        <v>Nous voyons un journal dans un studio parler.</v>
      </c>
    </row>
    <row r="14844">
      <c r="A14844" s="4" t="s">
        <v>18693</v>
      </c>
      <c r="B14844" s="4" t="s">
        <v>18695</v>
      </c>
      <c r="C14844" s="5" t="str">
        <f>IFERROR(__xludf.DUMMYFUNCTION("GOOGLETRANSLATE(B14844,""en"",""fr"")"),"Nous voyons ensuite un match de football à l'intérieur.")</f>
        <v>Nous voyons ensuite un match de football à l'intérieur.</v>
      </c>
    </row>
    <row r="14845">
      <c r="A14845" s="4" t="s">
        <v>18693</v>
      </c>
      <c r="B14845" s="4" t="s">
        <v>18696</v>
      </c>
      <c r="C14845" s="5" t="str">
        <f>IFERROR(__xludf.DUMMYFUNCTION("GOOGLETRANSLATE(B14845,""en"",""fr"")"),"Un homme parle devant la caméra et nous voyons la foule.")</f>
        <v>Un homme parle devant la caméra et nous voyons la foule.</v>
      </c>
    </row>
    <row r="14846">
      <c r="A14846" s="4" t="s">
        <v>18693</v>
      </c>
      <c r="B14846" s="4" t="s">
        <v>18697</v>
      </c>
      <c r="C14846" s="5" t="str">
        <f>IFERROR(__xludf.DUMMYFUNCTION("GOOGLETRANSLATE(B14846,""en"",""fr"")"),"Nous voyons le jeu en cours.")</f>
        <v>Nous voyons le jeu en cours.</v>
      </c>
    </row>
    <row r="14847">
      <c r="A14847" s="4" t="s">
        <v>18693</v>
      </c>
      <c r="B14847" s="4" t="s">
        <v>18698</v>
      </c>
      <c r="C14847" s="5" t="str">
        <f>IFERROR(__xludf.DUMMYFUNCTION("GOOGLETRANSLATE(B14847,""en"",""fr"")"),"L'homme parle à nouveau et nous revoyons le jeu.")</f>
        <v>L'homme parle à nouveau et nous revoyons le jeu.</v>
      </c>
    </row>
    <row r="14848">
      <c r="A14848" s="4" t="s">
        <v>18693</v>
      </c>
      <c r="B14848" s="4" t="s">
        <v>18699</v>
      </c>
      <c r="C14848" s="5" t="str">
        <f>IFERROR(__xludf.DUMMYFUNCTION("GOOGLETRANSLATE(B14848,""en"",""fr"")"),"L'homme parle une fois de plus et nous retournons au jeu.")</f>
        <v>L'homme parle une fois de plus et nous retournons au jeu.</v>
      </c>
    </row>
    <row r="14849">
      <c r="A14849" s="4" t="s">
        <v>18693</v>
      </c>
      <c r="B14849" s="4" t="s">
        <v>18700</v>
      </c>
      <c r="C14849" s="5" t="str">
        <f>IFERROR(__xludf.DUMMYFUNCTION("GOOGLETRANSLATE(B14849,""en"",""fr"")"),"Nous voyons à nouveau le journal dans le studio.")</f>
        <v>Nous voyons à nouveau le journal dans le studio.</v>
      </c>
    </row>
    <row r="14850">
      <c r="A14850" s="4" t="s">
        <v>18701</v>
      </c>
      <c r="B14850" s="4" t="s">
        <v>18702</v>
      </c>
      <c r="C14850" s="5" t="str">
        <f>IFERROR(__xludf.DUMMYFUNCTION("GOOGLETRANSLATE(B14850,""en"",""fr"")"),"Nous voyons un certain nombre d'hommes lancer des fléchettes et une femme qui gardait le score.")</f>
        <v>Nous voyons un certain nombre d'hommes lancer des fléchettes et une femme qui gardait le score.</v>
      </c>
    </row>
    <row r="14851">
      <c r="A14851" s="4" t="s">
        <v>18701</v>
      </c>
      <c r="B14851" s="4" t="s">
        <v>18703</v>
      </c>
      <c r="C14851" s="5" t="str">
        <f>IFERROR(__xludf.DUMMYFUNCTION("GOOGLETRANSLATE(B14851,""en"",""fr"")"),"L'homme attrape les fléchettes du tableau et s'éloigne.")</f>
        <v>L'homme attrape les fléchettes du tableau et s'éloigne.</v>
      </c>
    </row>
    <row r="14852">
      <c r="A14852" s="4" t="s">
        <v>18701</v>
      </c>
      <c r="B14852" s="4" t="s">
        <v>18704</v>
      </c>
      <c r="C14852" s="5" t="str">
        <f>IFERROR(__xludf.DUMMYFUNCTION("GOOGLETRANSLATE(B14852,""en"",""fr"")"),"Un autre homme tire, attrape ses fléchettes et part.")</f>
        <v>Un autre homme tire, attrape ses fléchettes et part.</v>
      </c>
    </row>
    <row r="14853">
      <c r="A14853" s="4" t="s">
        <v>18701</v>
      </c>
      <c r="B14853" s="4" t="s">
        <v>18705</v>
      </c>
      <c r="C14853" s="5" t="str">
        <f>IFERROR(__xludf.DUMMYFUNCTION("GOOGLETRANSLATE(B14853,""en"",""fr"")"),"Un troisième gars tire des fléchettes et part.")</f>
        <v>Un troisième gars tire des fléchettes et part.</v>
      </c>
    </row>
    <row r="14854">
      <c r="A14854" s="4" t="s">
        <v>18701</v>
      </c>
      <c r="B14854" s="4" t="s">
        <v>18706</v>
      </c>
      <c r="C14854" s="5" t="str">
        <f>IFERROR(__xludf.DUMMYFUNCTION("GOOGLETRANSLATE(B14854,""en"",""fr"")"),"Le quatrième gars tire et part.")</f>
        <v>Le quatrième gars tire et part.</v>
      </c>
    </row>
    <row r="14855">
      <c r="A14855" s="4" t="s">
        <v>18701</v>
      </c>
      <c r="B14855" s="4" t="s">
        <v>18707</v>
      </c>
      <c r="C14855" s="5" t="str">
        <f>IFERROR(__xludf.DUMMYFUNCTION("GOOGLETRANSLATE(B14855,""en"",""fr"")"),"Le premier gars revient pour une autre chance.")</f>
        <v>Le premier gars revient pour une autre chance.</v>
      </c>
    </row>
    <row r="14856">
      <c r="A14856" s="4" t="s">
        <v>18701</v>
      </c>
      <c r="B14856" s="4" t="s">
        <v>18708</v>
      </c>
      <c r="C14856" s="5" t="str">
        <f>IFERROR(__xludf.DUMMYFUNCTION("GOOGLETRANSLATE(B14856,""en"",""fr"")"),"Le deuxième gars revient.")</f>
        <v>Le deuxième gars revient.</v>
      </c>
    </row>
    <row r="14857">
      <c r="A14857" s="4" t="s">
        <v>18701</v>
      </c>
      <c r="B14857" s="4" t="s">
        <v>18709</v>
      </c>
      <c r="C14857" s="5" t="str">
        <f>IFERROR(__xludf.DUMMYFUNCTION("GOOGLETRANSLATE(B14857,""en"",""fr"")"),"Le troisième gars joue à nouveau.")</f>
        <v>Le troisième gars joue à nouveau.</v>
      </c>
    </row>
    <row r="14858">
      <c r="A14858" s="4" t="s">
        <v>18701</v>
      </c>
      <c r="B14858" s="4" t="s">
        <v>18710</v>
      </c>
      <c r="C14858" s="5" t="str">
        <f>IFERROR(__xludf.DUMMYFUNCTION("GOOGLETRANSLATE(B14858,""en"",""fr"")"),"Le quatrième gars prend son tour.")</f>
        <v>Le quatrième gars prend son tour.</v>
      </c>
    </row>
    <row r="14859">
      <c r="A14859" s="4" t="s">
        <v>18701</v>
      </c>
      <c r="B14859" s="4" t="s">
        <v>18711</v>
      </c>
      <c r="C14859" s="5" t="str">
        <f>IFERROR(__xludf.DUMMYFUNCTION("GOOGLETRANSLATE(B14859,""en"",""fr"")"),"Et nous les voyons répéter.")</f>
        <v>Et nous les voyons répéter.</v>
      </c>
    </row>
    <row r="14860">
      <c r="A14860" s="4" t="s">
        <v>18712</v>
      </c>
      <c r="B14860" s="4" t="s">
        <v>18713</v>
      </c>
      <c r="C14860" s="5" t="str">
        <f>IFERROR(__xludf.DUMMYFUNCTION("GOOGLETRANSLATE(B14860,""en"",""fr"")"),"Une gymnaste se prépare à monter une poutre.")</f>
        <v>Une gymnaste se prépare à monter une poutre.</v>
      </c>
    </row>
    <row r="14861">
      <c r="A14861" s="4" t="s">
        <v>18712</v>
      </c>
      <c r="B14861" s="4" t="s">
        <v>18714</v>
      </c>
      <c r="C14861" s="5" t="str">
        <f>IFERROR(__xludf.DUMMYFUNCTION("GOOGLETRANSLATE(B14861,""en"",""fr"")"),"Il monte, puis tourne et retourne plusieurs fois.")</f>
        <v>Il monte, puis tourne et retourne plusieurs fois.</v>
      </c>
    </row>
    <row r="14862">
      <c r="A14862" s="4" t="s">
        <v>18712</v>
      </c>
      <c r="B14862" s="4" t="s">
        <v>18715</v>
      </c>
      <c r="C14862" s="5" t="str">
        <f>IFERROR(__xludf.DUMMYFUNCTION("GOOGLETRANSLATE(B14862,""en"",""fr"")"),"Il démonte, levant les bras en l'air.")</f>
        <v>Il démonte, levant les bras en l'air.</v>
      </c>
    </row>
    <row r="14863">
      <c r="A14863" s="4" t="s">
        <v>18716</v>
      </c>
      <c r="B14863" s="4" t="s">
        <v>18717</v>
      </c>
      <c r="C14863" s="5" t="str">
        <f>IFERROR(__xludf.DUMMYFUNCTION("GOOGLETRANSLATE(B14863,""en"",""fr"")"),"Nous voyons quelques écrans d'ouverture.")</f>
        <v>Nous voyons quelques écrans d'ouverture.</v>
      </c>
    </row>
    <row r="14864">
      <c r="A14864" s="4" t="s">
        <v>18716</v>
      </c>
      <c r="B14864" s="4" t="s">
        <v>18718</v>
      </c>
      <c r="C14864" s="5" t="str">
        <f>IFERROR(__xludf.DUMMYFUNCTION("GOOGLETRANSLATE(B14864,""en"",""fr"")"),"Nous voyons un homme dans une chemise bleue parler dans un bowling.")</f>
        <v>Nous voyons un homme dans une chemise bleue parler dans un bowling.</v>
      </c>
    </row>
    <row r="14865">
      <c r="A14865" s="4" t="s">
        <v>18716</v>
      </c>
      <c r="B14865" s="4" t="s">
        <v>18719</v>
      </c>
      <c r="C14865" s="5" t="str">
        <f>IFERROR(__xludf.DUMMYFUNCTION("GOOGLETRANSLATE(B14865,""en"",""fr"")"),"L'homme choisit la balle violette du distributeur et parle à la caméra.")</f>
        <v>L'homme choisit la balle violette du distributeur et parle à la caméra.</v>
      </c>
    </row>
    <row r="14866">
      <c r="A14866" s="4" t="s">
        <v>18716</v>
      </c>
      <c r="B14866" s="4" t="s">
        <v>18720</v>
      </c>
      <c r="C14866" s="5" t="str">
        <f>IFERROR(__xludf.DUMMYFUNCTION("GOOGLETRANSLATE(B14866,""en"",""fr"")"),"L'homme tient le ballon, puis nous le voyons mettre ses doigts dans le ballon et parle à la caméra.")</f>
        <v>L'homme tient le ballon, puis nous le voyons mettre ses doigts dans le ballon et parle à la caméra.</v>
      </c>
    </row>
    <row r="14867">
      <c r="A14867" s="4" t="s">
        <v>18716</v>
      </c>
      <c r="B14867" s="4" t="s">
        <v>18721</v>
      </c>
      <c r="C14867" s="5" t="str">
        <f>IFERROR(__xludf.DUMMYFUNCTION("GOOGLETRANSLATE(B14867,""en"",""fr"")"),"L'homme pose le ballon et en attrape un autre, puis un autre et parle.")</f>
        <v>L'homme pose le ballon et en attrape un autre, puis un autre et parle.</v>
      </c>
    </row>
    <row r="14868">
      <c r="A14868" s="4" t="s">
        <v>18716</v>
      </c>
      <c r="B14868" s="4" t="s">
        <v>18722</v>
      </c>
      <c r="C14868" s="5" t="str">
        <f>IFERROR(__xludf.DUMMYFUNCTION("GOOGLETRANSLATE(B14868,""en"",""fr"")"),"Nous voyons ensuite l'homme rouler le ballon dans l'allée.")</f>
        <v>Nous voyons ensuite l'homme rouler le ballon dans l'allée.</v>
      </c>
    </row>
    <row r="14869">
      <c r="A14869" s="4" t="s">
        <v>18723</v>
      </c>
      <c r="B14869" s="4" t="s">
        <v>18724</v>
      </c>
      <c r="C14869" s="5" t="str">
        <f>IFERROR(__xludf.DUMMYFUNCTION("GOOGLETRANSLATE(B14869,""en"",""fr"")"),"Un homme sert une balle de tennis avec sa raquette.")</f>
        <v>Un homme sert une balle de tennis avec sa raquette.</v>
      </c>
    </row>
    <row r="14870">
      <c r="A14870" s="4" t="s">
        <v>18723</v>
      </c>
      <c r="B14870" s="4" t="s">
        <v>18725</v>
      </c>
      <c r="C14870" s="5" t="str">
        <f>IFERROR(__xludf.DUMMYFUNCTION("GOOGLETRANSLATE(B14870,""en"",""fr"")"),"Il fait tomber la raquette à ses côtés.")</f>
        <v>Il fait tomber la raquette à ses côtés.</v>
      </c>
    </row>
    <row r="14871">
      <c r="A14871" s="4" t="s">
        <v>18726</v>
      </c>
      <c r="B14871" s="4" t="s">
        <v>18727</v>
      </c>
      <c r="C14871" s="5" t="str">
        <f>IFERROR(__xludf.DUMMYFUNCTION("GOOGLETRANSLATE(B14871,""en"",""fr"")"),"Little Girl fait de la gymnastique au milieu de la cour tenant des matraques.")</f>
        <v>Little Girl fait de la gymnastique au milieu de la cour tenant des matraques.</v>
      </c>
    </row>
    <row r="14872">
      <c r="A14872" s="4" t="s">
        <v>18726</v>
      </c>
      <c r="B14872" s="4" t="s">
        <v>18728</v>
      </c>
      <c r="C14872" s="5" t="str">
        <f>IFERROR(__xludf.DUMMYFUNCTION("GOOGLETRANSLATE(B14872,""en"",""fr"")"),"Des photos de femmes sont montrées.")</f>
        <v>Des photos de femmes sont montrées.</v>
      </c>
    </row>
    <row r="14873">
      <c r="A14873" s="4" t="s">
        <v>18729</v>
      </c>
      <c r="B14873" s="4" t="s">
        <v>18730</v>
      </c>
      <c r="C14873" s="5" t="str">
        <f>IFERROR(__xludf.DUMMYFUNCTION("GOOGLETRANSLATE(B14873,""en"",""fr"")"),"Une femme portant des vêtements de sport monte des escaliers et parle à la caméra.")</f>
        <v>Une femme portant des vêtements de sport monte des escaliers et parle à la caméra.</v>
      </c>
    </row>
    <row r="14874">
      <c r="A14874" s="4" t="s">
        <v>18729</v>
      </c>
      <c r="B14874" s="6" t="s">
        <v>18731</v>
      </c>
      <c r="C14874" s="5" t="str">
        <f>IFERROR(__xludf.DUMMYFUNCTION("GOOGLETRANSLATE(B14874,""en"",""fr"")"),"La femme est dans le gymnase parlant de la caméra et avec un autre homme pendant qu'une femme fait de l'exercice dans une orbitre.")</f>
        <v>La femme est dans le gymnase parlant de la caméra et avec un autre homme pendant qu'une femme fait de l'exercice dans une orbitre.</v>
      </c>
    </row>
    <row r="14875">
      <c r="A14875" s="4" t="s">
        <v>18732</v>
      </c>
      <c r="B14875" s="4" t="s">
        <v>18733</v>
      </c>
      <c r="C14875" s="5" t="str">
        <f>IFERROR(__xludf.DUMMYFUNCTION("GOOGLETRANSLATE(B14875,""en"",""fr"")"),"Une personne souffle à la feuille d'une pelouse et d'une passerelle à l'aide d'un souffleur de feuilles.")</f>
        <v>Une personne souffle à la feuille d'une pelouse et d'une passerelle à l'aide d'un souffleur de feuilles.</v>
      </c>
    </row>
    <row r="14876">
      <c r="A14876" s="4" t="s">
        <v>18732</v>
      </c>
      <c r="B14876" s="4" t="s">
        <v>18734</v>
      </c>
      <c r="C14876" s="5" t="str">
        <f>IFERROR(__xludf.DUMMYFUNCTION("GOOGLETRANSLATE(B14876,""en"",""fr"")"),"La personne commence par pointer le souffleur de feuilles vers des feuilles autour d'un buisson et près de l'herbe.")</f>
        <v>La personne commence par pointer le souffleur de feuilles vers des feuilles autour d'un buisson et près de l'herbe.</v>
      </c>
    </row>
    <row r="14877">
      <c r="A14877" s="4" t="s">
        <v>18732</v>
      </c>
      <c r="B14877" s="4" t="s">
        <v>18735</v>
      </c>
      <c r="C14877" s="5" t="str">
        <f>IFERROR(__xludf.DUMMYFUNCTION("GOOGLETRANSLATE(B14877,""en"",""fr"")"),"La personne souffle des feuilles dans un coin serré, puis progresse vers une passerelle.")</f>
        <v>La personne souffle des feuilles dans un coin serré, puis progresse vers une passerelle.</v>
      </c>
    </row>
    <row r="14878">
      <c r="A14878" s="4" t="s">
        <v>18732</v>
      </c>
      <c r="B14878" s="4" t="s">
        <v>18736</v>
      </c>
      <c r="C14878" s="5" t="str">
        <f>IFERROR(__xludf.DUMMYFUNCTION("GOOGLETRANSLATE(B14878,""en"",""fr"")"),"La personne souffle des feuilles d'une passerelle et à travers une pelouse.")</f>
        <v>La personne souffle des feuilles d'une passerelle et à travers une pelouse.</v>
      </c>
    </row>
    <row r="14879">
      <c r="A14879" s="4" t="s">
        <v>18737</v>
      </c>
      <c r="B14879" s="4" t="s">
        <v>18738</v>
      </c>
      <c r="C14879" s="5" t="str">
        <f>IFERROR(__xludf.DUMMYFUNCTION("GOOGLETRANSLATE(B14879,""en"",""fr"")"),"Un chef dans la cuisine portant un chapeau de chef donne des instructions sur la façon d'aiguiser un couteau.")</f>
        <v>Un chef dans la cuisine portant un chapeau de chef donne des instructions sur la façon d'aiguiser un couteau.</v>
      </c>
    </row>
    <row r="14880">
      <c r="A14880" s="4" t="s">
        <v>18737</v>
      </c>
      <c r="B14880" s="4" t="s">
        <v>18739</v>
      </c>
      <c r="C14880" s="5" t="str">
        <f>IFERROR(__xludf.DUMMYFUNCTION("GOOGLETRANSLATE(B14880,""en"",""fr"")"),"Il amène le couteau à un aigu encore et commence lentement à démontrer.")</f>
        <v>Il amène le couteau à un aigu encore et commence lentement à démontrer.</v>
      </c>
    </row>
    <row r="14881">
      <c r="A14881" s="4" t="s">
        <v>18737</v>
      </c>
      <c r="B14881" s="4" t="s">
        <v>18740</v>
      </c>
      <c r="C14881" s="5" t="str">
        <f>IFERROR(__xludf.DUMMYFUNCTION("GOOGLETRANSLATE(B14881,""en"",""fr"")"),"Il ramasse l'outil de netteté et parle de ce qu'il fera ensuite et recommence à s'affronter.")</f>
        <v>Il ramasse l'outil de netteté et parle de ce qu'il fera ensuite et recommence à s'affronter.</v>
      </c>
    </row>
    <row r="14882">
      <c r="A14882" s="4" t="s">
        <v>18737</v>
      </c>
      <c r="B14882" s="4" t="s">
        <v>18741</v>
      </c>
      <c r="C14882" s="5" t="str">
        <f>IFERROR(__xludf.DUMMYFUNCTION("GOOGLETRANSLATE(B14882,""en"",""fr"")"),"Puis il montre toutes les pièces qui viennent avec le kit et en parle.")</f>
        <v>Puis il montre toutes les pièces qui viennent avec le kit et en parle.</v>
      </c>
    </row>
    <row r="14883">
      <c r="A14883" s="4" t="s">
        <v>18742</v>
      </c>
      <c r="B14883" s="6" t="s">
        <v>18743</v>
      </c>
      <c r="C14883" s="5" t="str">
        <f>IFERROR(__xludf.DUMMYFUNCTION("GOOGLETRANSLATE(B14883,""en"",""fr"")"),"Un petit groupe d'enfants coule autour d'un terrain de crosse jouant un jeu les uns avec les autres.")</f>
        <v>Un petit groupe d'enfants coule autour d'un terrain de crosse jouant un jeu les uns avec les autres.</v>
      </c>
    </row>
    <row r="14884">
      <c r="A14884" s="4" t="s">
        <v>18742</v>
      </c>
      <c r="B14884" s="6" t="s">
        <v>18744</v>
      </c>
      <c r="C14884" s="5" t="str">
        <f>IFERROR(__xludf.DUMMYFUNCTION("GOOGLETRANSLATE(B14884,""en"",""fr"")"),"La caméra continue de suivre les gens pendant qu'ils poursuivent le ballon et montent sur le terrain.")</f>
        <v>La caméra continue de suivre les gens pendant qu'ils poursuivent le ballon et montent sur le terrain.</v>
      </c>
    </row>
    <row r="14885">
      <c r="A14885" s="4" t="s">
        <v>18745</v>
      </c>
      <c r="B14885" s="4" t="s">
        <v>18746</v>
      </c>
      <c r="C14885" s="5" t="str">
        <f>IFERROR(__xludf.DUMMYFUNCTION("GOOGLETRANSLATE(B14885,""en"",""fr"")"),"Un couple est assis dehors à parler.")</f>
        <v>Un couple est assis dehors à parler.</v>
      </c>
    </row>
    <row r="14886">
      <c r="A14886" s="4" t="s">
        <v>18745</v>
      </c>
      <c r="B14886" s="4" t="s">
        <v>18747</v>
      </c>
      <c r="C14886" s="5" t="str">
        <f>IFERROR(__xludf.DUMMYFUNCTION("GOOGLETRANSLATE(B14886,""en"",""fr"")"),"Ils vont dans la maison et rassemblent des fournitures de rasage, qui sont répertoriées à l'écran.")</f>
        <v>Ils vont dans la maison et rassemblent des fournitures de rasage, qui sont répertoriées à l'écran.</v>
      </c>
    </row>
    <row r="14887">
      <c r="A14887" s="4" t="s">
        <v>18745</v>
      </c>
      <c r="B14887" s="6" t="s">
        <v>18748</v>
      </c>
      <c r="C14887" s="5" t="str">
        <f>IFERROR(__xludf.DUMMYFUNCTION("GOOGLETRANSLATE(B14887,""en"",""fr"")"),"La femme se lasse l'homme, puis se rase la barbe et la moustache à l'aide d'un brosse à goar et d'un rasoir.")</f>
        <v>La femme se lasse l'homme, puis se rase la barbe et la moustache à l'aide d'un brosse à goar et d'un rasoir.</v>
      </c>
    </row>
    <row r="14888">
      <c r="A14888" s="4" t="s">
        <v>18745</v>
      </c>
      <c r="B14888" s="4" t="s">
        <v>18749</v>
      </c>
      <c r="C14888" s="5" t="str">
        <f>IFERROR(__xludf.DUMMYFUNCTION("GOOGLETRANSLATE(B14888,""en"",""fr"")"),"Elle le rince ensuite propre et s'applique après-rasage.")</f>
        <v>Elle le rince ensuite propre et s'applique après-rasage.</v>
      </c>
    </row>
    <row r="14889">
      <c r="A14889" s="4" t="s">
        <v>18745</v>
      </c>
      <c r="B14889" s="4" t="s">
        <v>18750</v>
      </c>
      <c r="C14889" s="5" t="str">
        <f>IFERROR(__xludf.DUMMYFUNCTION("GOOGLETRANSLATE(B14889,""en"",""fr"")"),"On lui montre ensuite un frottement d'épaule.")</f>
        <v>On lui montre ensuite un frottement d'épaule.</v>
      </c>
    </row>
    <row r="14890">
      <c r="A14890" s="4" t="s">
        <v>18751</v>
      </c>
      <c r="B14890" s="4" t="s">
        <v>18752</v>
      </c>
      <c r="C14890" s="5" t="str">
        <f>IFERROR(__xludf.DUMMYFUNCTION("GOOGLETRANSLATE(B14890,""en"",""fr"")"),"Un grand mâle mince se tient dans une barre entourée d'alcool.")</f>
        <v>Un grand mâle mince se tient dans une barre entourée d'alcool.</v>
      </c>
    </row>
    <row r="14891">
      <c r="A14891" s="4" t="s">
        <v>18751</v>
      </c>
      <c r="B14891" s="6" t="s">
        <v>18753</v>
      </c>
      <c r="C14891" s="5" t="str">
        <f>IFERROR(__xludf.DUMMYFUNCTION("GOOGLETRANSLATE(B14891,""en"",""fr"")"),"Le mâle a une tasse de glace devant lui dans laquelle il verse dans un verre ordinaire dans lequel il ajoute alors de l'alcool.")</f>
        <v>Le mâle a une tasse de glace devant lui dans laquelle il verse dans un verre ordinaire dans lequel il ajoute alors de l'alcool.</v>
      </c>
    </row>
    <row r="14892">
      <c r="A14892" s="4" t="s">
        <v>18751</v>
      </c>
      <c r="B14892" s="4" t="s">
        <v>18754</v>
      </c>
      <c r="C14892" s="5" t="str">
        <f>IFERROR(__xludf.DUMMYFUNCTION("GOOGLETRANSLATE(B14892,""en"",""fr"")"),"Suivi de deux autres plans de différentes liqueurs claires.")</f>
        <v>Suivi de deux autres plans de différentes liqueurs claires.</v>
      </c>
    </row>
    <row r="14893">
      <c r="A14893" s="4" t="s">
        <v>18751</v>
      </c>
      <c r="B14893" s="4" t="s">
        <v>18755</v>
      </c>
      <c r="C14893" s="5" t="str">
        <f>IFERROR(__xludf.DUMMYFUNCTION("GOOGLETRANSLATE(B14893,""en"",""fr"")"),"Il prend ensuite deux sirop comme l'alcool et les verser dans la tasse.")</f>
        <v>Il prend ensuite deux sirop comme l'alcool et les verser dans la tasse.</v>
      </c>
    </row>
    <row r="14894">
      <c r="A14894" s="4" t="s">
        <v>18751</v>
      </c>
      <c r="B14894" s="4" t="s">
        <v>18756</v>
      </c>
      <c r="C14894" s="5" t="str">
        <f>IFERROR(__xludf.DUMMYFUNCTION("GOOGLETRANSLATE(B14894,""en"",""fr"")"),"Une fois que tout est dans le verre, il met le mélangeur dessus et le secoue.")</f>
        <v>Une fois que tout est dans le verre, il met le mélangeur dessus et le secoue.</v>
      </c>
    </row>
    <row r="14895">
      <c r="A14895" s="4" t="s">
        <v>18751</v>
      </c>
      <c r="B14895" s="6" t="s">
        <v>18757</v>
      </c>
      <c r="C14895" s="5" t="str">
        <f>IFERROR(__xludf.DUMMYFUNCTION("GOOGLETRANSLATE(B14895,""en"",""fr"")"),"Enfin, la boisson est complète et il la verse dans un autre verre et ajoute une paille pour qu'elle soit servie.")</f>
        <v>Enfin, la boisson est complète et il la verse dans un autre verre et ajoute une paille pour qu'elle soit servie.</v>
      </c>
    </row>
    <row r="14896">
      <c r="A14896" s="4" t="s">
        <v>18758</v>
      </c>
      <c r="B14896" s="4" t="s">
        <v>18759</v>
      </c>
      <c r="C14896" s="5" t="str">
        <f>IFERROR(__xludf.DUMMYFUNCTION("GOOGLETRANSLATE(B14896,""en"",""fr"")"),"Un jeune homme est vu debout devant la caméra jouant un ensemble de cornemuseries.")</f>
        <v>Un jeune homme est vu debout devant la caméra jouant un ensemble de cornemuseries.</v>
      </c>
    </row>
    <row r="14897">
      <c r="A14897" s="4" t="s">
        <v>18758</v>
      </c>
      <c r="B14897" s="6" t="s">
        <v>18760</v>
      </c>
      <c r="C14897" s="5" t="str">
        <f>IFERROR(__xludf.DUMMYFUNCTION("GOOGLETRANSLATE(B14897,""en"",""fr"")"),"Il continue de jouer de l'instrument et se termine en le tenant entre ses mains et une photo de lui jouant de la guitare.")</f>
        <v>Il continue de jouer de l'instrument et se termine en le tenant entre ses mains et une photo de lui jouant de la guitare.</v>
      </c>
    </row>
    <row r="14898">
      <c r="A14898" s="4" t="s">
        <v>18761</v>
      </c>
      <c r="B14898" s="6" t="s">
        <v>18762</v>
      </c>
      <c r="C14898" s="5" t="str">
        <f>IFERROR(__xludf.DUMMYFUNCTION("GOOGLETRANSLATE(B14898,""en"",""fr"")"),"On voit une personne sur une planche de surf à travers une vague et mène à plusieurs autres personnes sur des vagues et s'asseyant le long de l'eau.")</f>
        <v>On voit une personne sur une planche de surf à travers une vague et mène à plusieurs autres personnes sur des vagues et s'asseyant le long de l'eau.</v>
      </c>
    </row>
    <row r="14899">
      <c r="A14899" s="4" t="s">
        <v>18761</v>
      </c>
      <c r="B14899" s="6" t="s">
        <v>18763</v>
      </c>
      <c r="C14899" s="5" t="str">
        <f>IFERROR(__xludf.DUMMYFUNCTION("GOOGLETRANSLATE(B14899,""en"",""fr"")"),"Plus de plans de personnes surfant des vagues incroyables sont montrées avec un peu d'essuyage mais de rouler dans l'ensemble.")</f>
        <v>Plus de plans de personnes surfant des vagues incroyables sont montrées avec un peu d'essuyage mais de rouler dans l'ensemble.</v>
      </c>
    </row>
    <row r="14900">
      <c r="A14900" s="4" t="s">
        <v>18764</v>
      </c>
      <c r="B14900" s="4" t="s">
        <v>18765</v>
      </c>
      <c r="C14900" s="5" t="str">
        <f>IFERROR(__xludf.DUMMYFUNCTION("GOOGLETRANSLATE(B14900,""en"",""fr"")"),"Les bateaux sont vus naviguant dans l'eau de l'océan sombre.")</f>
        <v>Les bateaux sont vus naviguant dans l'eau de l'océan sombre.</v>
      </c>
    </row>
    <row r="14901">
      <c r="A14901" s="4" t="s">
        <v>18764</v>
      </c>
      <c r="B14901" s="4" t="s">
        <v>18766</v>
      </c>
      <c r="C14901" s="5" t="str">
        <f>IFERROR(__xludf.DUMMYFUNCTION("GOOGLETRANSLATE(B14901,""en"",""fr"")"),"Nous voyons une vue à la première personne sur la navigation sur un bateau.")</f>
        <v>Nous voyons une vue à la première personne sur la navigation sur un bateau.</v>
      </c>
    </row>
    <row r="14902">
      <c r="A14902" s="4" t="s">
        <v>18764</v>
      </c>
      <c r="B14902" s="4" t="s">
        <v>18767</v>
      </c>
      <c r="C14902" s="5" t="str">
        <f>IFERROR(__xludf.DUMMYFUNCTION("GOOGLETRANSLATE(B14902,""en"",""fr"")"),"On voit les bateaux flottant dans l'eau.")</f>
        <v>On voit les bateaux flottant dans l'eau.</v>
      </c>
    </row>
    <row r="14903">
      <c r="A14903" s="4" t="s">
        <v>18768</v>
      </c>
      <c r="B14903" s="4" t="s">
        <v>18769</v>
      </c>
      <c r="C14903" s="5" t="str">
        <f>IFERROR(__xludf.DUMMYFUNCTION("GOOGLETRANSLATE(B14903,""en"",""fr"")"),"Les gens sont assis sur un banc à un rodéo.")</f>
        <v>Les gens sont assis sur un banc à un rodéo.</v>
      </c>
    </row>
    <row r="14904">
      <c r="A14904" s="4" t="s">
        <v>18768</v>
      </c>
      <c r="B14904" s="4" t="s">
        <v>18770</v>
      </c>
      <c r="C14904" s="5" t="str">
        <f>IFERROR(__xludf.DUMMYFUNCTION("GOOGLETRANSLATE(B14904,""en"",""fr"")"),"Nous voyons des gens se tenir autour d'une clôture.")</f>
        <v>Nous voyons des gens se tenir autour d'une clôture.</v>
      </c>
    </row>
    <row r="14905">
      <c r="A14905" s="4" t="s">
        <v>18768</v>
      </c>
      <c r="B14905" s="4" t="s">
        <v>18771</v>
      </c>
      <c r="C14905" s="5" t="str">
        <f>IFERROR(__xludf.DUMMYFUNCTION("GOOGLETRANSLATE(B14905,""en"",""fr"")"),"La porte ouverte et le mollet et un homme sortons, nous voyons quatre hommes Hogtie Calf.")</f>
        <v>La porte ouverte et le mollet et un homme sortons, nous voyons quatre hommes Hogtie Calf.</v>
      </c>
    </row>
    <row r="14906">
      <c r="A14906" s="4" t="s">
        <v>18768</v>
      </c>
      <c r="B14906" s="4" t="s">
        <v>18772</v>
      </c>
      <c r="C14906" s="5" t="str">
        <f>IFERROR(__xludf.DUMMYFUNCTION("GOOGLETRANSLATE(B14906,""en"",""fr"")"),"Nous voyons un mollet courir sur le ring et un autre veau étant hogé.")</f>
        <v>Nous voyons un mollet courir sur le ring et un autre veau étant hogé.</v>
      </c>
    </row>
    <row r="14907">
      <c r="A14907" s="4" t="s">
        <v>18768</v>
      </c>
      <c r="B14907" s="4" t="s">
        <v>18773</v>
      </c>
      <c r="C14907" s="5" t="str">
        <f>IFERROR(__xludf.DUMMYFUNCTION("GOOGLETRANSLATE(B14907,""en"",""fr"")"),"Un homme et un petit garçon marchent et tiennent les rênes d'un cheval.")</f>
        <v>Un homme et un petit garçon marchent et tiennent les rênes d'un cheval.</v>
      </c>
    </row>
    <row r="14908">
      <c r="A14908" s="4" t="s">
        <v>18768</v>
      </c>
      <c r="B14908" s="4" t="s">
        <v>18774</v>
      </c>
      <c r="C14908" s="5" t="str">
        <f>IFERROR(__xludf.DUMMYFUNCTION("GOOGLETRANSLATE(B14908,""en"",""fr"")"),"Nous voyons un homme plus âgé tenant les rênes d'un cheval.")</f>
        <v>Nous voyons un homme plus âgé tenant les rênes d'un cheval.</v>
      </c>
    </row>
    <row r="14909">
      <c r="A14909" s="4" t="s">
        <v>18768</v>
      </c>
      <c r="B14909" s="4" t="s">
        <v>18775</v>
      </c>
      <c r="C14909" s="5" t="str">
        <f>IFERROR(__xludf.DUMMYFUNCTION("GOOGLETRANSLATE(B14909,""en"",""fr"")"),"La caméra pointe vers le sol et la vidéo se termine.")</f>
        <v>La caméra pointe vers le sol et la vidéo se termine.</v>
      </c>
    </row>
    <row r="14910">
      <c r="A14910" s="4" t="s">
        <v>18776</v>
      </c>
      <c r="B14910" s="4" t="s">
        <v>18777</v>
      </c>
      <c r="C14910" s="5" t="str">
        <f>IFERROR(__xludf.DUMMYFUNCTION("GOOGLETRANSLATE(B14910,""en"",""fr"")"),"Un homme est vu boire dans une tasse détenue par une femme qui boit également dans une bouteille.")</f>
        <v>Un homme est vu boire dans une tasse détenue par une femme qui boit également dans une bouteille.</v>
      </c>
    </row>
    <row r="14911">
      <c r="A14911" s="4" t="s">
        <v>18776</v>
      </c>
      <c r="B14911" s="4" t="s">
        <v>18778</v>
      </c>
      <c r="C14911" s="5" t="str">
        <f>IFERROR(__xludf.DUMMYFUNCTION("GOOGLETRANSLATE(B14911,""en"",""fr"")"),"Les deux continuent de boire lorsque d'autres les enregistrent puis s'arrêtent immédiatement.")</f>
        <v>Les deux continuent de boire lorsque d'autres les enregistrent puis s'arrêtent immédiatement.</v>
      </c>
    </row>
    <row r="14912">
      <c r="A14912" s="4" t="s">
        <v>18779</v>
      </c>
      <c r="B14912" s="6" t="s">
        <v>18780</v>
      </c>
      <c r="C14912" s="5" t="str">
        <f>IFERROR(__xludf.DUMMYFUNCTION("GOOGLETRANSLATE(B14912,""en"",""fr"")"),"Un groupe d'étudiants exerce et applaudit une compétition, puis les garçons portant des t-shirts rouges lancent des boules de bowling et jettent toutes les épingles et célèbre.")</f>
        <v>Un groupe d'étudiants exerce et applaudit une compétition, puis les garçons portant des t-shirts rouges lancent des boules de bowling et jettent toutes les épingles et célèbre.</v>
      </c>
    </row>
    <row r="14913">
      <c r="A14913" s="4" t="s">
        <v>18779</v>
      </c>
      <c r="B14913" s="4" t="s">
        <v>18781</v>
      </c>
      <c r="C14913" s="5" t="str">
        <f>IFERROR(__xludf.DUMMYFUNCTION("GOOGLETRANSLATE(B14913,""en"",""fr"")"),"Ensuite, les jeunes portant des t-shirts verts réussissent à jouer au bowling.")</f>
        <v>Ensuite, les jeunes portant des t-shirts verts réussissent à jouer au bowling.</v>
      </c>
    </row>
    <row r="14914">
      <c r="A14914" s="4" t="s">
        <v>18779</v>
      </c>
      <c r="B14914" s="4" t="s">
        <v>18782</v>
      </c>
      <c r="C14914" s="5" t="str">
        <f>IFERROR(__xludf.DUMMYFUNCTION("GOOGLETRANSLATE(B14914,""en"",""fr"")"),"Après, les filles jouent au bowling qui jette toutes les épingles avec le bol de bowling.")</f>
        <v>Après, les filles jouent au bowling qui jette toutes les épingles avec le bol de bowling.</v>
      </c>
    </row>
    <row r="14915">
      <c r="A14915" s="4" t="s">
        <v>18779</v>
      </c>
      <c r="B14915" s="4" t="s">
        <v>18783</v>
      </c>
      <c r="C14915" s="5" t="str">
        <f>IFERROR(__xludf.DUMMYFUNCTION("GOOGLETRANSLATE(B14915,""en"",""fr"")"),"Les gagnants de la compétition reçoivent des enveloppes et des trophées fermés.")</f>
        <v>Les gagnants de la compétition reçoivent des enveloppes et des trophées fermés.</v>
      </c>
    </row>
    <row r="14916">
      <c r="A14916" s="4" t="s">
        <v>18784</v>
      </c>
      <c r="B14916" s="4" t="s">
        <v>18785</v>
      </c>
      <c r="C14916" s="5" t="str">
        <f>IFERROR(__xludf.DUMMYFUNCTION("GOOGLETRANSLATE(B14916,""en"",""fr"")"),"Une femme s'agenouille sur la plage de sable.")</f>
        <v>Une femme s'agenouille sur la plage de sable.</v>
      </c>
    </row>
    <row r="14917">
      <c r="A14917" s="4" t="s">
        <v>18784</v>
      </c>
      <c r="B14917" s="4" t="s">
        <v>18786</v>
      </c>
      <c r="C14917" s="5" t="str">
        <f>IFERROR(__xludf.DUMMYFUNCTION("GOOGLETRANSLATE(B14917,""en"",""fr"")"),"Elle aide un bébé avec une lotion Sunntan.")</f>
        <v>Elle aide un bébé avec une lotion Sunntan.</v>
      </c>
    </row>
    <row r="14918">
      <c r="A14918" s="4" t="s">
        <v>18784</v>
      </c>
      <c r="B14918" s="4" t="s">
        <v>18787</v>
      </c>
      <c r="C14918" s="5" t="str">
        <f>IFERROR(__xludf.DUMMYFUNCTION("GOOGLETRANSLATE(B14918,""en"",""fr"")"),"Elle frotte la lotion sur la peau du bébé.")</f>
        <v>Elle frotte la lotion sur la peau du bébé.</v>
      </c>
    </row>
    <row r="14919">
      <c r="A14919" s="4" t="s">
        <v>18788</v>
      </c>
      <c r="B14919" s="4" t="s">
        <v>18789</v>
      </c>
      <c r="C14919" s="5" t="str">
        <f>IFERROR(__xludf.DUMMYFUNCTION("GOOGLETRANSLATE(B14919,""en"",""fr"")"),"Quatre hommes jouent une mauvaise mitten.")</f>
        <v>Quatre hommes jouent une mauvaise mitten.</v>
      </c>
    </row>
    <row r="14920">
      <c r="A14920" s="4" t="s">
        <v>18788</v>
      </c>
      <c r="B14920" s="4" t="s">
        <v>18790</v>
      </c>
      <c r="C14920" s="5" t="str">
        <f>IFERROR(__xludf.DUMMYFUNCTION("GOOGLETRANSLATE(B14920,""en"",""fr"")"),"Il y a des clips de grands tirs des équipes.")</f>
        <v>Il y a des clips de grands tirs des équipes.</v>
      </c>
    </row>
    <row r="14921">
      <c r="A14921" s="4" t="s">
        <v>18788</v>
      </c>
      <c r="B14921" s="4" t="s">
        <v>18791</v>
      </c>
      <c r="C14921" s="5" t="str">
        <f>IFERROR(__xludf.DUMMYFUNCTION("GOOGLETRANSLATE(B14921,""en"",""fr"")"),"L'équipe jaune fait plusieurs points de suite.")</f>
        <v>L'équipe jaune fait plusieurs points de suite.</v>
      </c>
    </row>
    <row r="14922">
      <c r="A14922" s="4" t="s">
        <v>18788</v>
      </c>
      <c r="B14922" s="4" t="s">
        <v>18792</v>
      </c>
      <c r="C14922" s="5" t="str">
        <f>IFERROR(__xludf.DUMMYFUNCTION("GOOGLETRANSLATE(B14922,""en"",""fr"")"),"L'équipe du Danemark a fait valoir plusieurs points.")</f>
        <v>L'équipe du Danemark a fait valoir plusieurs points.</v>
      </c>
    </row>
    <row r="14923">
      <c r="A14923" s="4" t="s">
        <v>18788</v>
      </c>
      <c r="B14923" s="4" t="s">
        <v>18793</v>
      </c>
      <c r="C14923" s="5" t="str">
        <f>IFERROR(__xludf.DUMMYFUNCTION("GOOGLETRANSLATE(B14923,""en"",""fr"")"),"Le clip se termine avec l'équipe jaune tenant des trophées.")</f>
        <v>Le clip se termine avec l'équipe jaune tenant des trophées.</v>
      </c>
    </row>
    <row r="14924">
      <c r="A14924" s="4" t="s">
        <v>18794</v>
      </c>
      <c r="B14924" s="4" t="s">
        <v>18795</v>
      </c>
      <c r="C14924" s="5" t="str">
        <f>IFERROR(__xludf.DUMMYFUNCTION("GOOGLETRANSLATE(B14924,""en"",""fr"")"),"Un homme joue un ukulélé pour une femme tandis qu'un homme regarde derrière un rideau.")</f>
        <v>Un homme joue un ukulélé pour une femme tandis qu'un homme regarde derrière un rideau.</v>
      </c>
    </row>
    <row r="14925">
      <c r="A14925" s="4" t="s">
        <v>18794</v>
      </c>
      <c r="B14925" s="4" t="s">
        <v>18796</v>
      </c>
      <c r="C14925" s="5" t="str">
        <f>IFERROR(__xludf.DUMMYFUNCTION("GOOGLETRANSLATE(B14925,""en"",""fr"")"),"Soudain, la vidéo coupe plusieurs personnes différentes faisant des astuces de lavage des fenêtres.")</f>
        <v>Soudain, la vidéo coupe plusieurs personnes différentes faisant des astuces de lavage des fenêtres.</v>
      </c>
    </row>
    <row r="14926">
      <c r="A14926" s="4" t="s">
        <v>18794</v>
      </c>
      <c r="B14926" s="4" t="s">
        <v>18797</v>
      </c>
      <c r="C14926" s="5" t="str">
        <f>IFERROR(__xludf.DUMMYFUNCTION("GOOGLETRANSLATE(B14926,""en"",""fr"")"),"La vidéo se termine avec un homme au téléphone faisant un sketch de comédie sur Windows.")</f>
        <v>La vidéo se termine avec un homme au téléphone faisant un sketch de comédie sur Windows.</v>
      </c>
    </row>
    <row r="14927">
      <c r="A14927" s="4" t="s">
        <v>18798</v>
      </c>
      <c r="B14927" s="4" t="s">
        <v>18799</v>
      </c>
      <c r="C14927" s="5" t="str">
        <f>IFERROR(__xludf.DUMMYFUNCTION("GOOGLETRANSLATE(B14927,""en"",""fr"")"),"Une personne est vue en utilisant un équipement d'exercice se déplaçant de haut en bas sur la machine.")</f>
        <v>Une personne est vue en utilisant un équipement d'exercice se déplaçant de haut en bas sur la machine.</v>
      </c>
    </row>
    <row r="14928">
      <c r="A14928" s="4" t="s">
        <v>18798</v>
      </c>
      <c r="B14928" s="6" t="s">
        <v>18800</v>
      </c>
      <c r="C14928" s="5" t="str">
        <f>IFERROR(__xludf.DUMMYFUNCTION("GOOGLETRANSLATE(B14928,""en"",""fr"")"),"La caméra se déroule tout autour de l'homme en utilisant la machine et zoome tout autour de l'homme se déplaçant.")</f>
        <v>La caméra se déroule tout autour de l'homme en utilisant la machine et zoome tout autour de l'homme se déplaçant.</v>
      </c>
    </row>
    <row r="14929">
      <c r="A14929" s="4" t="s">
        <v>18801</v>
      </c>
      <c r="B14929" s="4" t="s">
        <v>18802</v>
      </c>
      <c r="C14929" s="5" t="str">
        <f>IFERROR(__xludf.DUMMYFUNCTION("GOOGLETRANSLATE(B14929,""en"",""fr"")"),"Une caméra est vue zoom sur un bâtiment et mène à un homme grimpant sur un gros rocher.")</f>
        <v>Une caméra est vue zoom sur un bâtiment et mène à un homme grimpant sur un gros rocher.</v>
      </c>
    </row>
    <row r="14930">
      <c r="A14930" s="4" t="s">
        <v>18801</v>
      </c>
      <c r="B14930" s="6" t="s">
        <v>18803</v>
      </c>
      <c r="C14930" s="5" t="str">
        <f>IFERROR(__xludf.DUMMYFUNCTION("GOOGLETRANSLATE(B14930,""en"",""fr"")"),"L'homme grimpe continuellement dans le rocher tout en regardant autour de lui et arrive enfin au sommet pendant que la caméra se déroule.")</f>
        <v>L'homme grimpe continuellement dans le rocher tout en regardant autour de lui et arrive enfin au sommet pendant que la caméra se déroule.</v>
      </c>
    </row>
    <row r="14931">
      <c r="A14931" s="4" t="s">
        <v>18804</v>
      </c>
      <c r="B14931" s="4" t="s">
        <v>18805</v>
      </c>
      <c r="C14931" s="5" t="str">
        <f>IFERROR(__xludf.DUMMYFUNCTION("GOOGLETRANSLATE(B14931,""en"",""fr"")"),"Un gâteau à l'éponge à la vanille est illustré sur l'écran de titre.")</f>
        <v>Un gâteau à l'éponge à la vanille est illustré sur l'écran de titre.</v>
      </c>
    </row>
    <row r="14932">
      <c r="A14932" s="4" t="s">
        <v>18804</v>
      </c>
      <c r="B14932" s="4" t="s">
        <v>18806</v>
      </c>
      <c r="C14932" s="5" t="str">
        <f>IFERROR(__xludf.DUMMYFUNCTION("GOOGLETRANSLATE(B14932,""en"",""fr"")"),"Une plaque blanche est ensuite placée sur une table brune aux côtés de quatre œufs bruns.")</f>
        <v>Une plaque blanche est ensuite placée sur une table brune aux côtés de quatre œufs bruns.</v>
      </c>
    </row>
    <row r="14933">
      <c r="A14933" s="4" t="s">
        <v>18804</v>
      </c>
      <c r="B14933" s="6" t="s">
        <v>18807</v>
      </c>
      <c r="C14933" s="5" t="str">
        <f>IFERROR(__xludf.DUMMYFUNCTION("GOOGLETRANSLATE(B14933,""en"",""fr"")"),"Ils sont ensuite placés dans un bol en argent et ils sont emmenés à un rythme rapide car le sucre est progressivement ajouté et le fouet se poursuit.")</f>
        <v>Ils sont ensuite placés dans un bol en argent et ils sont emmenés à un rythme rapide car le sucre est progressivement ajouté et le fouet se poursuit.</v>
      </c>
    </row>
    <row r="14934">
      <c r="A14934" s="4" t="s">
        <v>18804</v>
      </c>
      <c r="B14934" s="4" t="s">
        <v>18808</v>
      </c>
      <c r="C14934" s="5" t="str">
        <f>IFERROR(__xludf.DUMMYFUNCTION("GOOGLETRANSLATE(B14934,""en"",""fr"")"),"Après, le lait, le beurre, la farine, le pudding à la banane, l'extrait de sel et de vanille sont représentés sur une table.")</f>
        <v>Après, le lait, le beurre, la farine, le pudding à la banane, l'extrait de sel et de vanille sont représentés sur une table.</v>
      </c>
    </row>
    <row r="14935">
      <c r="A14935" s="4" t="s">
        <v>18804</v>
      </c>
      <c r="B14935" s="4" t="s">
        <v>18809</v>
      </c>
      <c r="C14935" s="5" t="str">
        <f>IFERROR(__xludf.DUMMYFUNCTION("GOOGLETRANSLATE(B14935,""en"",""fr"")"),"Le lait et le beurre sont chauffés puis ajoutés dans un grand bol avec la pâte à gâteau à fouiller.")</f>
        <v>Le lait et le beurre sont chauffés puis ajoutés dans un grand bol avec la pâte à gâteau à fouiller.</v>
      </c>
    </row>
    <row r="14936">
      <c r="A14936" s="4" t="s">
        <v>18804</v>
      </c>
      <c r="B14936" s="4" t="s">
        <v>18810</v>
      </c>
      <c r="C14936" s="5" t="str">
        <f>IFERROR(__xludf.DUMMYFUNCTION("GOOGLETRANSLATE(B14936,""en"",""fr"")"),"La vanille est ensuite ajoutée et versée dans un autre bol avant que le produit final ne soit affiché.")</f>
        <v>La vanille est ensuite ajoutée et versée dans un autre bol avant que le produit final ne soit affiché.</v>
      </c>
    </row>
    <row r="14937">
      <c r="A14937" s="4" t="s">
        <v>18811</v>
      </c>
      <c r="B14937" s="4" t="s">
        <v>18812</v>
      </c>
      <c r="C14937" s="5" t="str">
        <f>IFERROR(__xludf.DUMMYFUNCTION("GOOGLETRANSLATE(B14937,""en"",""fr"")"),"Une femme est vue en train de donner un coup de pied à un homme portant des gants dans ses mains.")</f>
        <v>Une femme est vue en train de donner un coup de pied à un homme portant des gants dans ses mains.</v>
      </c>
    </row>
    <row r="14938">
      <c r="A14938" s="4" t="s">
        <v>18811</v>
      </c>
      <c r="B14938" s="4" t="s">
        <v>18813</v>
      </c>
      <c r="C14938" s="5" t="str">
        <f>IFERROR(__xludf.DUMMYFUNCTION("GOOGLETRANSLATE(B14938,""en"",""fr"")"),"L'homme se promène ensuite dans le cercle pendant que les gens frappaient à tour de rôle l'homme.")</f>
        <v>L'homme se promène ensuite dans le cercle pendant que les gens frappaient à tour de rôle l'homme.</v>
      </c>
    </row>
    <row r="14939">
      <c r="A14939" s="4" t="s">
        <v>18811</v>
      </c>
      <c r="B14939" s="4" t="s">
        <v>18814</v>
      </c>
      <c r="C14939" s="5" t="str">
        <f>IFERROR(__xludf.DUMMYFUNCTION("GOOGLETRANSLATE(B14939,""en"",""fr"")"),"L'homme continue de se promener pendant qu'ils le frappaient.")</f>
        <v>L'homme continue de se promener pendant qu'ils le frappaient.</v>
      </c>
    </row>
    <row r="14940">
      <c r="A14940" s="4" t="s">
        <v>18815</v>
      </c>
      <c r="B14940" s="4" t="s">
        <v>18816</v>
      </c>
      <c r="C14940" s="5" t="str">
        <f>IFERROR(__xludf.DUMMYFUNCTION("GOOGLETRANSLATE(B14940,""en"",""fr"")"),"Un entraîneur elliptique est montré, ainsi que ses composants.")</f>
        <v>Un entraîneur elliptique est montré, ainsi que ses composants.</v>
      </c>
    </row>
    <row r="14941">
      <c r="A14941" s="4" t="s">
        <v>18815</v>
      </c>
      <c r="B14941" s="4" t="s">
        <v>18817</v>
      </c>
      <c r="C14941" s="5" t="str">
        <f>IFERROR(__xludf.DUMMYFUNCTION("GOOGLETRANSLATE(B14941,""en"",""fr"")"),"Une femme est montrée en train de travailler sur l'elliptique.")</f>
        <v>Une femme est montrée en train de travailler sur l'elliptique.</v>
      </c>
    </row>
    <row r="14942">
      <c r="A14942" s="4" t="s">
        <v>18815</v>
      </c>
      <c r="B14942" s="4" t="s">
        <v>18818</v>
      </c>
      <c r="C14942" s="5" t="str">
        <f>IFERROR(__xludf.DUMMYFUNCTION("GOOGLETRANSLATE(B14942,""en"",""fr"")"),"Elle pédale et démontre la mécanique de l'écran de programmation.")</f>
        <v>Elle pédale et démontre la mécanique de l'écran de programmation.</v>
      </c>
    </row>
    <row r="14943">
      <c r="A14943" s="4" t="s">
        <v>18819</v>
      </c>
      <c r="B14943" s="4" t="s">
        <v>18820</v>
      </c>
      <c r="C14943" s="5" t="str">
        <f>IFERROR(__xludf.DUMMYFUNCTION("GOOGLETRANSLATE(B14943,""en"",""fr"")"),"Un chien est vêtu de vêtements et un humain est derrière lui ne montrant que ses mains.")</f>
        <v>Un chien est vêtu de vêtements et un humain est derrière lui ne montrant que ses mains.</v>
      </c>
    </row>
    <row r="14944">
      <c r="A14944" s="4" t="s">
        <v>18819</v>
      </c>
      <c r="B14944" s="4" t="s">
        <v>18821</v>
      </c>
      <c r="C14944" s="5" t="str">
        <f>IFERROR(__xludf.DUMMYFUNCTION("GOOGLETRANSLATE(B14944,""en"",""fr"")"),"Quant à ressembler au chien, est en partie humaine et faire des trucs humains.")</f>
        <v>Quant à ressembler au chien, est en partie humaine et faire des trucs humains.</v>
      </c>
    </row>
    <row r="14945">
      <c r="A14945" s="4" t="s">
        <v>18819</v>
      </c>
      <c r="B14945" s="4" t="s">
        <v>18822</v>
      </c>
      <c r="C14945" s="5" t="str">
        <f>IFERROR(__xludf.DUMMYFUNCTION("GOOGLETRANSLATE(B14945,""en"",""fr"")"),"Il se nourrit du petit déjeuner puis essuie son visage.")</f>
        <v>Il se nourrit du petit déjeuner puis essuie son visage.</v>
      </c>
    </row>
    <row r="14946">
      <c r="A14946" s="4" t="s">
        <v>18819</v>
      </c>
      <c r="B14946" s="4" t="s">
        <v>18823</v>
      </c>
      <c r="C14946" s="5" t="str">
        <f>IFERROR(__xludf.DUMMYFUNCTION("GOOGLETRANSLATE(B14946,""en"",""fr"")"),"Après cela, il attrape une tasse de café à boire.")</f>
        <v>Après cela, il attrape une tasse de café à boire.</v>
      </c>
    </row>
    <row r="14947">
      <c r="A14947" s="4" t="s">
        <v>18819</v>
      </c>
      <c r="B14947" s="4" t="s">
        <v>18824</v>
      </c>
      <c r="C14947" s="5" t="str">
        <f>IFERROR(__xludf.DUMMYFUNCTION("GOOGLETRANSLATE(B14947,""en"",""fr"")"),"Il a du mal à attraper une autre serviette pour essuyer son visage.")</f>
        <v>Il a du mal à attraper une autre serviette pour essuyer son visage.</v>
      </c>
    </row>
    <row r="14948">
      <c r="A14948" s="4" t="s">
        <v>18825</v>
      </c>
      <c r="B14948" s="4" t="s">
        <v>18826</v>
      </c>
      <c r="C14948" s="5" t="str">
        <f>IFERROR(__xludf.DUMMYFUNCTION("GOOGLETRANSLATE(B14948,""en"",""fr"")"),"Un homme est vu skier derrière un bateau.")</f>
        <v>Un homme est vu skier derrière un bateau.</v>
      </c>
    </row>
    <row r="14949">
      <c r="A14949" s="4" t="s">
        <v>18825</v>
      </c>
      <c r="B14949" s="4" t="s">
        <v>18827</v>
      </c>
      <c r="C14949" s="5" t="str">
        <f>IFERROR(__xludf.DUMMYFUNCTION("GOOGLETRANSLATE(B14949,""en"",""fr"")"),"Il se tient fort alors qu'il est tiré dans l'eau.")</f>
        <v>Il se tient fort alors qu'il est tiré dans l'eau.</v>
      </c>
    </row>
    <row r="14950">
      <c r="A14950" s="4" t="s">
        <v>18825</v>
      </c>
      <c r="B14950" s="4" t="s">
        <v>18828</v>
      </c>
      <c r="C14950" s="5" t="str">
        <f>IFERROR(__xludf.DUMMYFUNCTION("GOOGLETRANSLATE(B14950,""en"",""fr"")"),"L'homme est du ski nautique jusqu'à la fin du clip.")</f>
        <v>L'homme est du ski nautique jusqu'à la fin du clip.</v>
      </c>
    </row>
    <row r="14951">
      <c r="A14951" s="4" t="s">
        <v>18829</v>
      </c>
      <c r="B14951" s="6" t="s">
        <v>18830</v>
      </c>
      <c r="C14951" s="5" t="str">
        <f>IFERROR(__xludf.DUMMYFUNCTION("GOOGLETRANSLATE(B14951,""en"",""fr"")"),"Un homme athlétique est vu debout prêt en tenant un javelot, puis descend la piste et jette le poteau dans un champ.")</f>
        <v>Un homme athlétique est vu debout prêt en tenant un javelot, puis descend la piste et jette le poteau dans un champ.</v>
      </c>
    </row>
    <row r="14952">
      <c r="A14952" s="4" t="s">
        <v>18829</v>
      </c>
      <c r="B14952" s="4" t="s">
        <v>18831</v>
      </c>
      <c r="C14952" s="5" t="str">
        <f>IFERROR(__xludf.DUMMYFUNCTION("GOOGLETRANSLATE(B14952,""en"",""fr"")"),"Il s'éloigne avec ses mains sur ses hanches et son même lancer est à nouveau montré.")</f>
        <v>Il s'éloigne avec ses mains sur ses hanches et son même lancer est à nouveau montré.</v>
      </c>
    </row>
    <row r="14953">
      <c r="A14953" s="4" t="s">
        <v>18829</v>
      </c>
      <c r="B14953" s="6" t="s">
        <v>18832</v>
      </c>
      <c r="C14953" s="5" t="str">
        <f>IFERROR(__xludf.DUMMYFUNCTION("GOOGLETRANSLATE(B14953,""en"",""fr"")"),"Plusieurs autres athlètes interviennent pour jeter le javelot sur le terrain, suivi de leur même lancer montré et eux en riant de la caméra.")</f>
        <v>Plusieurs autres athlètes interviennent pour jeter le javelot sur le terrain, suivi de leur même lancer montré et eux en riant de la caméra.</v>
      </c>
    </row>
    <row r="14954">
      <c r="A14954" s="4" t="s">
        <v>18833</v>
      </c>
      <c r="B14954" s="6" t="s">
        <v>18834</v>
      </c>
      <c r="C14954" s="5" t="str">
        <f>IFERROR(__xludf.DUMMYFUNCTION("GOOGLETRANSLATE(B14954,""en"",""fr"")"),"Un homme dans un grand terrain vert s'entraîne plus de sept jet de marteau dans le champ avec un ruban à mesurer devant lui étiré le long du sol.")</f>
        <v>Un homme dans un grand terrain vert s'entraîne plus de sept jet de marteau dans le champ avec un ruban à mesurer devant lui étiré le long du sol.</v>
      </c>
    </row>
    <row r="14955">
      <c r="A14955" s="4" t="s">
        <v>18833</v>
      </c>
      <c r="B14955" s="6" t="s">
        <v>18835</v>
      </c>
      <c r="C14955" s="5" t="str">
        <f>IFERROR(__xludf.DUMMYFUNCTION("GOOGLETRANSLATE(B14955,""en"",""fr"")"),"Un homme à torse nu dans un pantalon de piste noir fait tourner un marteau dans et autour jusqu'à ce qu'il se lance dans un champ devant lui.")</f>
        <v>Un homme à torse nu dans un pantalon de piste noir fait tourner un marteau dans et autour jusqu'à ce qu'il se lance dans un champ devant lui.</v>
      </c>
    </row>
    <row r="14956">
      <c r="A14956" s="4" t="s">
        <v>18833</v>
      </c>
      <c r="B14956" s="6" t="s">
        <v>18836</v>
      </c>
      <c r="C14956" s="5" t="str">
        <f>IFERROR(__xludf.DUMMYFUNCTION("GOOGLETRANSLATE(B14956,""en"",""fr"")"),"L'homme continue ensuite à effectuer au moins six autres lancers de marteau de la même manière au même endroit.")</f>
        <v>L'homme continue ensuite à effectuer au moins six autres lancers de marteau de la même manière au même endroit.</v>
      </c>
    </row>
    <row r="14957">
      <c r="A14957" s="4" t="s">
        <v>18837</v>
      </c>
      <c r="B14957" s="4" t="s">
        <v>18838</v>
      </c>
      <c r="C14957" s="5" t="str">
        <f>IFERROR(__xludf.DUMMYFUNCTION("GOOGLETRANSLATE(B14957,""en"",""fr"")"),"L'homme se tient dans un champ de gren et commence à sauter la corde.")</f>
        <v>L'homme se tient dans un champ de gren et commence à sauter la corde.</v>
      </c>
    </row>
    <row r="14958">
      <c r="A14958" s="4" t="s">
        <v>18837</v>
      </c>
      <c r="B14958" s="4" t="s">
        <v>18839</v>
      </c>
      <c r="C14958" s="5" t="str">
        <f>IFERROR(__xludf.DUMMYFUNCTION("GOOGLETRANSLATE(B14958,""en"",""fr"")"),"L'homme laisse tomber la corde et explique comment sauter et maintient à nouveau la corde.")</f>
        <v>L'homme laisse tomber la corde et explique comment sauter et maintient à nouveau la corde.</v>
      </c>
    </row>
    <row r="14959">
      <c r="A14959" s="4" t="s">
        <v>18840</v>
      </c>
      <c r="B14959" s="4" t="s">
        <v>18841</v>
      </c>
      <c r="C14959" s="5" t="str">
        <f>IFERROR(__xludf.DUMMYFUNCTION("GOOGLETRANSLATE(B14959,""en"",""fr"")"),"Les gars jouent au piscine devant un public.")</f>
        <v>Les gars jouent au piscine devant un public.</v>
      </c>
    </row>
    <row r="14960">
      <c r="A14960" s="4" t="s">
        <v>18840</v>
      </c>
      <c r="B14960" s="4" t="s">
        <v>18842</v>
      </c>
      <c r="C14960" s="5" t="str">
        <f>IFERROR(__xludf.DUMMYFUNCTION("GOOGLETRANSLATE(B14960,""en"",""fr"")"),"Un gars change son bâton de piscine.")</f>
        <v>Un gars change son bâton de piscine.</v>
      </c>
    </row>
    <row r="14961">
      <c r="A14961" s="4" t="s">
        <v>18840</v>
      </c>
      <c r="B14961" s="4" t="s">
        <v>18843</v>
      </c>
      <c r="C14961" s="5" t="str">
        <f>IFERROR(__xludf.DUMMYFUNCTION("GOOGLETRANSLATE(B14961,""en"",""fr"")"),"Les deux hommes se tiennent près les uns des autres et donnent une interview.")</f>
        <v>Les deux hommes se tiennent près les uns des autres et donnent une interview.</v>
      </c>
    </row>
    <row r="14962">
      <c r="A14962" s="4" t="s">
        <v>18840</v>
      </c>
      <c r="B14962" s="4" t="s">
        <v>18844</v>
      </c>
      <c r="C14962" s="5" t="str">
        <f>IFERROR(__xludf.DUMMYFUNCTION("GOOGLETRANSLATE(B14962,""en"",""fr"")"),"Un homme met son bras autour des épaules de son partenaire et son partenaire danse.")</f>
        <v>Un homme met son bras autour des épaules de son partenaire et son partenaire danse.</v>
      </c>
    </row>
    <row r="14963">
      <c r="A14963" s="4" t="s">
        <v>18840</v>
      </c>
      <c r="B14963" s="4" t="s">
        <v>18845</v>
      </c>
      <c r="C14963" s="5" t="str">
        <f>IFERROR(__xludf.DUMMYFUNCTION("GOOGLETRANSLATE(B14963,""en"",""fr"")"),"Un homme est assis sur les genoux de son partenaire de piscine après avoir tiré son tir ,.")</f>
        <v>Un homme est assis sur les genoux de son partenaire de piscine après avoir tiré son tir ,.</v>
      </c>
    </row>
    <row r="14964">
      <c r="A14964" s="4" t="s">
        <v>18846</v>
      </c>
      <c r="B14964" s="6" t="s">
        <v>18847</v>
      </c>
      <c r="C14964" s="5" t="str">
        <f>IFERROR(__xludf.DUMMYFUNCTION("GOOGLETRANSLATE(B14964,""en"",""fr"")"),"Une personne applique le lubrifiant des jambes à sa jambe, puis procède à se raser la jambe, puis à s'essuyer la jambe avec un chiffon humide.")</f>
        <v>Une personne applique le lubrifiant des jambes à sa jambe, puis procède à se raser la jambe, puis à s'essuyer la jambe avec un chiffon humide.</v>
      </c>
    </row>
    <row r="14965">
      <c r="A14965" s="4" t="s">
        <v>18846</v>
      </c>
      <c r="B14965" s="4" t="s">
        <v>18848</v>
      </c>
      <c r="C14965" s="5" t="str">
        <f>IFERROR(__xludf.DUMMYFUNCTION("GOOGLETRANSLATE(B14965,""en"",""fr"")"),"Une personne dans une salle de bain, avec un pied sur un couvercle de toilette frotte le lubrifiant des jambes sur la jambe.")</f>
        <v>Une personne dans une salle de bain, avec un pied sur un couvercle de toilette frotte le lubrifiant des jambes sur la jambe.</v>
      </c>
    </row>
    <row r="14966">
      <c r="A14966" s="4" t="s">
        <v>18846</v>
      </c>
      <c r="B14966" s="4" t="s">
        <v>18849</v>
      </c>
      <c r="C14966" s="5" t="str">
        <f>IFERROR(__xludf.DUMMYFUNCTION("GOOGLETRANSLATE(B14966,""en"",""fr"")"),"La personne commence alors à se raser la longueur de sa jambe avec un rasoir bleu.")</f>
        <v>La personne commence alors à se raser la longueur de sa jambe avec un rasoir bleu.</v>
      </c>
    </row>
    <row r="14967">
      <c r="A14967" s="4" t="s">
        <v>18846</v>
      </c>
      <c r="B14967" s="6" t="s">
        <v>18850</v>
      </c>
      <c r="C14967" s="5" t="str">
        <f>IFERROR(__xludf.DUMMYFUNCTION("GOOGLETRANSLATE(B14967,""en"",""fr"")"),"La personne essuie la jambe avec un chiffon humide après avoir tenu le chiffon sous le robinet de l'évier de la salle de bain avant de tenir une bouteille de lubrifiant pour les jambes à la main dans une vue grossière.")</f>
        <v>La personne essuie la jambe avec un chiffon humide après avoir tenu le chiffon sous le robinet de l'évier de la salle de bain avant de tenir une bouteille de lubrifiant pour les jambes à la main dans une vue grossière.</v>
      </c>
    </row>
    <row r="14968">
      <c r="A14968" s="4" t="s">
        <v>18851</v>
      </c>
      <c r="B14968" s="4" t="s">
        <v>18852</v>
      </c>
      <c r="C14968" s="5" t="str">
        <f>IFERROR(__xludf.DUMMYFUNCTION("GOOGLETRANSLATE(B14968,""en"",""fr"")"),"Une femme et un homme dansent sur une scène.")</f>
        <v>Une femme et un homme dansent sur une scène.</v>
      </c>
    </row>
    <row r="14969">
      <c r="A14969" s="4" t="s">
        <v>18851</v>
      </c>
      <c r="B14969" s="4" t="s">
        <v>18853</v>
      </c>
      <c r="C14969" s="5" t="str">
        <f>IFERROR(__xludf.DUMMYFUNCTION("GOOGLETRANSLATE(B14969,""en"",""fr"")"),"Il y a un groupe qui joue derrière eux.")</f>
        <v>Il y a un groupe qui joue derrière eux.</v>
      </c>
    </row>
    <row r="14970">
      <c r="A14970" s="4" t="s">
        <v>18851</v>
      </c>
      <c r="B14970" s="4" t="s">
        <v>18854</v>
      </c>
      <c r="C14970" s="5" t="str">
        <f>IFERROR(__xludf.DUMMYFUNCTION("GOOGLETRANSLATE(B14970,""en"",""fr"")"),"Il y a un public assis sur des chaises applaudissant pour eux.")</f>
        <v>Il y a un public assis sur des chaises applaudissant pour eux.</v>
      </c>
    </row>
    <row r="14971">
      <c r="A14971" s="4" t="s">
        <v>18855</v>
      </c>
      <c r="B14971" s="4" t="s">
        <v>18856</v>
      </c>
      <c r="C14971" s="5" t="str">
        <f>IFERROR(__xludf.DUMMYFUNCTION("GOOGLETRANSLATE(B14971,""en"",""fr"")"),"Une jeune fille dans un justaucorps vert commence à tournoyer un bâton et à faire des tours.")</f>
        <v>Une jeune fille dans un justaucorps vert commence à tournoyer un bâton et à faire des tours.</v>
      </c>
    </row>
    <row r="14972">
      <c r="A14972" s="4" t="s">
        <v>18855</v>
      </c>
      <c r="B14972" s="6" t="s">
        <v>18857</v>
      </c>
      <c r="C14972" s="5" t="str">
        <f>IFERROR(__xludf.DUMMYFUNCTION("GOOGLETRANSLATE(B14972,""en"",""fr"")"),"La fille commence à incorporer ses bras et fait un flip et continue de retourner le bâton sur ses mains et ses bras.")</f>
        <v>La fille commence à incorporer ses bras et fait un flip et continue de retourner le bâton sur ses mains et ses bras.</v>
      </c>
    </row>
    <row r="14973">
      <c r="A14973" s="4" t="s">
        <v>18855</v>
      </c>
      <c r="B14973" s="6" t="s">
        <v>18858</v>
      </c>
      <c r="C14973" s="5" t="str">
        <f>IFERROR(__xludf.DUMMYFUNCTION("GOOGLETRANSLATE(B14973,""en"",""fr"")"),"Alors que la jeune femme continue sa performance, elle tourbillonne le bâton entre ses jambes et au-dessus de sa tête, l'attrape et fait un galop.")</f>
        <v>Alors que la jeune femme continue sa performance, elle tourbillonne le bâton entre ses jambes et au-dessus de sa tête, l'attrape et fait un galop.</v>
      </c>
    </row>
    <row r="14974">
      <c r="A14974" s="4" t="s">
        <v>18855</v>
      </c>
      <c r="B14974" s="6" t="s">
        <v>18859</v>
      </c>
      <c r="C14974" s="5" t="str">
        <f>IFERROR(__xludf.DUMMYFUNCTION("GOOGLETRANSLATE(B14974,""en"",""fr"")"),"Le reste de la performance de la jeune fille est un ensemble de tourbillon et de torsion, puis elle court sur le sol pour terminer sa performance.")</f>
        <v>Le reste de la performance de la jeune fille est un ensemble de tourbillon et de torsion, puis elle court sur le sol pour terminer sa performance.</v>
      </c>
    </row>
    <row r="14975">
      <c r="A14975" s="4" t="s">
        <v>18860</v>
      </c>
      <c r="B14975" s="6" t="s">
        <v>18861</v>
      </c>
      <c r="C14975" s="5" t="str">
        <f>IFERROR(__xludf.DUMMYFUNCTION("GOOGLETRANSLATE(B14975,""en"",""fr"")"),"Une personne soulève un poids de 90 kg jusqu'à l'épaule puis au-dessus de la tête, puis l'homme laisse tomber le poids au sol.")</f>
        <v>Une personne soulève un poids de 90 kg jusqu'à l'épaule puis au-dessus de la tête, puis l'homme laisse tomber le poids au sol.</v>
      </c>
    </row>
    <row r="14976">
      <c r="A14976" s="4" t="s">
        <v>18860</v>
      </c>
      <c r="B14976" s="4" t="s">
        <v>18862</v>
      </c>
      <c r="C14976" s="5" t="str">
        <f>IFERROR(__xludf.DUMMYFUNCTION("GOOGLETRANSLATE(B14976,""en"",""fr"")"),"Ensuite, l'homme soulève 95 kg de poids au-dessus de sa tête.")</f>
        <v>Ensuite, l'homme soulève 95 kg de poids au-dessus de sa tête.</v>
      </c>
    </row>
    <row r="14977">
      <c r="A14977" s="4" t="s">
        <v>18860</v>
      </c>
      <c r="B14977" s="4" t="s">
        <v>18863</v>
      </c>
      <c r="C14977" s="5" t="str">
        <f>IFERROR(__xludf.DUMMYFUNCTION("GOOGLETRANSLATE(B14977,""en"",""fr"")"),"Après, l'homme soulève un poids de 101 kg avec succès.")</f>
        <v>Après, l'homme soulève un poids de 101 kg avec succès.</v>
      </c>
    </row>
    <row r="14978">
      <c r="A14978" s="4" t="s">
        <v>18864</v>
      </c>
      <c r="B14978" s="4" t="s">
        <v>18865</v>
      </c>
      <c r="C14978" s="5" t="str">
        <f>IFERROR(__xludf.DUMMYFUNCTION("GOOGLETRANSLATE(B14978,""en"",""fr"")"),"Un gros plan d'une voiture est vu suivi par une personne tenant un grattoir.")</f>
        <v>Un gros plan d'une voiture est vu suivi par une personne tenant un grattoir.</v>
      </c>
    </row>
    <row r="14979">
      <c r="A14979" s="4" t="s">
        <v>18864</v>
      </c>
      <c r="B14979" s="4" t="s">
        <v>18866</v>
      </c>
      <c r="C14979" s="5" t="str">
        <f>IFERROR(__xludf.DUMMYFUNCTION("GOOGLETRANSLATE(B14979,""en"",""fr"")"),"La personne pousse la glace tout au long de la voiture tout en regardant la caméra.")</f>
        <v>La personne pousse la glace tout au long de la voiture tout en regardant la caméra.</v>
      </c>
    </row>
    <row r="14980">
      <c r="A14980" s="4" t="s">
        <v>18864</v>
      </c>
      <c r="B14980" s="4" t="s">
        <v>18867</v>
      </c>
      <c r="C14980" s="5" t="str">
        <f>IFERROR(__xludf.DUMMYFUNCTION("GOOGLETRANSLATE(B14980,""en"",""fr"")"),"La personne continue de nettoyer la glace avec le grattoir tandis que la caméra capture ses mouvements.")</f>
        <v>La personne continue de nettoyer la glace avec le grattoir tandis que la caméra capture ses mouvements.</v>
      </c>
    </row>
    <row r="14981">
      <c r="A14981" s="4" t="s">
        <v>18868</v>
      </c>
      <c r="B14981" s="4" t="s">
        <v>18869</v>
      </c>
      <c r="C14981" s="5" t="str">
        <f>IFERROR(__xludf.DUMMYFUNCTION("GOOGLETRANSLATE(B14981,""en"",""fr"")"),"Une lutteuse tient un autre lutteur à l'envers.")</f>
        <v>Une lutteuse tient un autre lutteur à l'envers.</v>
      </c>
    </row>
    <row r="14982">
      <c r="A14982" s="4" t="s">
        <v>18868</v>
      </c>
      <c r="B14982" s="4" t="s">
        <v>18870</v>
      </c>
      <c r="C14982" s="5" t="str">
        <f>IFERROR(__xludf.DUMMYFUNCTION("GOOGLETRANSLATE(B14982,""en"",""fr"")"),"Elle la claque sur le tapis, sur son dos.")</f>
        <v>Elle la claque sur le tapis, sur son dos.</v>
      </c>
    </row>
    <row r="14983">
      <c r="A14983" s="4" t="s">
        <v>18871</v>
      </c>
      <c r="B14983" s="6" t="s">
        <v>18872</v>
      </c>
      <c r="C14983" s="5" t="str">
        <f>IFERROR(__xludf.DUMMYFUNCTION("GOOGLETRANSLATE(B14983,""en"",""fr"")"),"Diverses plans de paysages sont représentés, y compris des têtes de cerf et des maisons d'arbres et conduit à un homme tirant sur un arc et une flèche.")</f>
        <v>Diverses plans de paysages sont représentés, y compris des têtes de cerf et des maisons d'arbres et conduit à un homme tirant sur un arc et une flèche.</v>
      </c>
    </row>
    <row r="14984">
      <c r="A14984" s="4" t="s">
        <v>18871</v>
      </c>
      <c r="B14984" s="6" t="s">
        <v>18873</v>
      </c>
      <c r="C14984" s="5" t="str">
        <f>IFERROR(__xludf.DUMMYFUNCTION("GOOGLETRANSLATE(B14984,""en"",""fr"")"),"Il frappe l'animal en peluche et mène à plus de photos de lui et d'un autre en utilisant l'arc et la flèche.")</f>
        <v>Il frappe l'animal en peluche et mène à plus de photos de lui et d'un autre en utilisant l'arc et la flèche.</v>
      </c>
    </row>
    <row r="14985">
      <c r="A14985" s="4" t="s">
        <v>18871</v>
      </c>
      <c r="B14985" s="4" t="s">
        <v>18874</v>
      </c>
      <c r="C14985" s="5" t="str">
        <f>IFERROR(__xludf.DUMMYFUNCTION("GOOGLETRANSLATE(B14985,""en"",""fr"")"),"La caméra se déroule dans les zones qu'ils frappent et montre un homme qui s'éloigne.")</f>
        <v>La caméra se déroule dans les zones qu'ils frappent et montre un homme qui s'éloigne.</v>
      </c>
    </row>
    <row r="14986">
      <c r="A14986" s="4" t="s">
        <v>18875</v>
      </c>
      <c r="B14986" s="4" t="s">
        <v>18876</v>
      </c>
      <c r="C14986" s="5" t="str">
        <f>IFERROR(__xludf.DUMMYFUNCTION("GOOGLETRANSLATE(B14986,""en"",""fr"")"),"Certaines personnes surfent dans des vagues d'océan rugueuses.")</f>
        <v>Certaines personnes surfent dans des vagues d'océan rugueuses.</v>
      </c>
    </row>
    <row r="14987">
      <c r="A14987" s="4" t="s">
        <v>18875</v>
      </c>
      <c r="B14987" s="4" t="s">
        <v>18877</v>
      </c>
      <c r="C14987" s="5" t="str">
        <f>IFERROR(__xludf.DUMMYFUNCTION("GOOGLETRANSLATE(B14987,""en"",""fr"")"),"Ils se couchaient sur leurs planches, disparaissant dans l'eau.")</f>
        <v>Ils se couchaient sur leurs planches, disparaissant dans l'eau.</v>
      </c>
    </row>
    <row r="14988">
      <c r="A14988" s="4" t="s">
        <v>18875</v>
      </c>
      <c r="B14988" s="4" t="s">
        <v>18878</v>
      </c>
      <c r="C14988" s="5" t="str">
        <f>IFERROR(__xludf.DUMMYFUNCTION("GOOGLETRANSLATE(B14988,""en"",""fr"")"),"La fille monte juste le surf avec son père aidant.")</f>
        <v>La fille monte juste le surf avec son père aidant.</v>
      </c>
    </row>
    <row r="14989">
      <c r="A14989" s="4" t="s">
        <v>18879</v>
      </c>
      <c r="B14989" s="4" t="s">
        <v>18880</v>
      </c>
      <c r="C14989" s="5" t="str">
        <f>IFERROR(__xludf.DUMMYFUNCTION("GOOGLETRANSLATE(B14989,""en"",""fr"")"),"Un homme se tient sur une échelle essuyant un mur.")</f>
        <v>Un homme se tient sur une échelle essuyant un mur.</v>
      </c>
    </row>
    <row r="14990">
      <c r="A14990" s="4" t="s">
        <v>18879</v>
      </c>
      <c r="B14990" s="4" t="s">
        <v>18881</v>
      </c>
      <c r="C14990" s="5" t="str">
        <f>IFERROR(__xludf.DUMMYFUNCTION("GOOGLETRANSLATE(B14990,""en"",""fr"")"),"Un seau noir est assis à côté de lui.")</f>
        <v>Un seau noir est assis à côté de lui.</v>
      </c>
    </row>
    <row r="14991">
      <c r="A14991" s="4" t="s">
        <v>18879</v>
      </c>
      <c r="B14991" s="4" t="s">
        <v>18882</v>
      </c>
      <c r="C14991" s="5" t="str">
        <f>IFERROR(__xludf.DUMMYFUNCTION("GOOGLETRANSLATE(B14991,""en"",""fr"")"),"Un homme se lève en jetant de la boue sur le mur.")</f>
        <v>Un homme se lève en jetant de la boue sur le mur.</v>
      </c>
    </row>
    <row r="14992">
      <c r="A14992" s="4" t="s">
        <v>18883</v>
      </c>
      <c r="B14992" s="6" t="s">
        <v>18884</v>
      </c>
      <c r="C14992" s="5" t="str">
        <f>IFERROR(__xludf.DUMMYFUNCTION("GOOGLETRANSLATE(B14992,""en"",""fr"")"),"Une femme est vue en parlant à la caméra tout en se tenant à côté d'un cheval et en caressant le cheval sur le côté.")</f>
        <v>Une femme est vue en parlant à la caméra tout en se tenant à côté d'un cheval et en caressant le cheval sur le côté.</v>
      </c>
    </row>
    <row r="14993">
      <c r="A14993" s="4" t="s">
        <v>18883</v>
      </c>
      <c r="B14993" s="4" t="s">
        <v>18885</v>
      </c>
      <c r="C14993" s="5" t="str">
        <f>IFERROR(__xludf.DUMMYFUNCTION("GOOGLETRANSLATE(B14993,""en"",""fr"")"),"Le cheval renifle tout autour de la femme pendant qu'elle le caresse et tourne la tête à la fin.")</f>
        <v>Le cheval renifle tout autour de la femme pendant qu'elle le caresse et tourne la tête à la fin.</v>
      </c>
    </row>
    <row r="14994">
      <c r="A14994" s="4" t="s">
        <v>18886</v>
      </c>
      <c r="B14994" s="4" t="s">
        <v>18887</v>
      </c>
      <c r="C14994" s="5" t="str">
        <f>IFERROR(__xludf.DUMMYFUNCTION("GOOGLETRANSLATE(B14994,""en"",""fr"")"),"Une caméra plie une table en bois avec un garçon avec des lunettes le montrant.")</f>
        <v>Une caméra plie une table en bois avec un garçon avec des lunettes le montrant.</v>
      </c>
    </row>
    <row r="14995">
      <c r="A14995" s="4" t="s">
        <v>18886</v>
      </c>
      <c r="B14995" s="4" t="s">
        <v>18888</v>
      </c>
      <c r="C14995" s="5" t="str">
        <f>IFERROR(__xludf.DUMMYFUNCTION("GOOGLETRANSLATE(B14995,""en"",""fr"")"),"Le garçon pousse diverses rondelles à travers la planche en bois pour voir où elle finit.")</f>
        <v>Le garçon pousse diverses rondelles à travers la planche en bois pour voir où elle finit.</v>
      </c>
    </row>
    <row r="14996">
      <c r="A14996" s="4" t="s">
        <v>18886</v>
      </c>
      <c r="B14996" s="6" t="s">
        <v>18889</v>
      </c>
      <c r="C14996" s="5" t="str">
        <f>IFERROR(__xludf.DUMMYFUNCTION("GOOGLETRANSLATE(B14996,""en"",""fr"")"),"Le garçon pousse plusieurs autres rondelles et le garçon tenant la caméra se promena à la fin pour montrer les résultats.")</f>
        <v>Le garçon pousse plusieurs autres rondelles et le garçon tenant la caméra se promena à la fin pour montrer les résultats.</v>
      </c>
    </row>
    <row r="14997">
      <c r="A14997" s="4" t="s">
        <v>18890</v>
      </c>
      <c r="B14997" s="4" t="s">
        <v>18891</v>
      </c>
      <c r="C14997" s="5" t="str">
        <f>IFERROR(__xludf.DUMMYFUNCTION("GOOGLETRANSLATE(B14997,""en"",""fr"")"),"Une fille est debout avec un groupe de personnes sur une longue plate-forme en bois.")</f>
        <v>Une fille est debout avec un groupe de personnes sur une longue plate-forme en bois.</v>
      </c>
    </row>
    <row r="14998">
      <c r="A14998" s="4" t="s">
        <v>18890</v>
      </c>
      <c r="B14998" s="6" t="s">
        <v>18892</v>
      </c>
      <c r="C14998" s="5" t="str">
        <f>IFERROR(__xludf.DUMMYFUNCTION("GOOGLETRANSLATE(B14998,""en"",""fr"")"),"Elle est attachée à une corde et avec plusieurs personnes derrière elle, elle est repoussée du stand participant à une chute libre.")</f>
        <v>Elle est attachée à une corde et avec plusieurs personnes derrière elle, elle est repoussée du stand participant à une chute libre.</v>
      </c>
    </row>
    <row r="14999">
      <c r="A14999" s="4" t="s">
        <v>18890</v>
      </c>
      <c r="B14999" s="4" t="s">
        <v>18893</v>
      </c>
      <c r="C14999" s="5" t="str">
        <f>IFERROR(__xludf.DUMMYFUNCTION("GOOGLETRANSLATE(B14999,""en"",""fr"")"),"La femelle tombe ensuite sur l'eau pendant une longue période.")</f>
        <v>La femelle tombe ensuite sur l'eau pendant une longue période.</v>
      </c>
    </row>
    <row r="15000">
      <c r="A15000" s="4" t="s">
        <v>18894</v>
      </c>
      <c r="B15000" s="6" t="s">
        <v>18895</v>
      </c>
      <c r="C15000" s="5" t="str">
        <f>IFERROR(__xludf.DUMMYFUNCTION("GOOGLETRANSLATE(B15000,""en"",""fr"")"),"Une femme est vue en train de regarder dans la caméra tout en se brossant les cheveux et mène à elle en mettant ses cheveux en queue de cheval.")</f>
        <v>Une femme est vue en train de regarder dans la caméra tout en se brossant les cheveux et mène à elle en mettant ses cheveux en queue de cheval.</v>
      </c>
    </row>
    <row r="15001">
      <c r="A15001" s="4" t="s">
        <v>18894</v>
      </c>
      <c r="B15001" s="4" t="s">
        <v>18896</v>
      </c>
      <c r="C15001" s="5" t="str">
        <f>IFERROR(__xludf.DUMMYFUNCTION("GOOGLETRANSLATE(B15001,""en"",""fr"")"),"La fille tresse alors plus de cheveux en elle et se termine en agitant la caméra.")</f>
        <v>La fille tresse alors plus de cheveux en elle et se termine en agitant la caméra.</v>
      </c>
    </row>
    <row r="15002">
      <c r="A15002" s="4" t="s">
        <v>18897</v>
      </c>
      <c r="B15002" s="4" t="s">
        <v>18898</v>
      </c>
      <c r="C15002" s="5" t="str">
        <f>IFERROR(__xludf.DUMMYFUNCTION("GOOGLETRANSLATE(B15002,""en"",""fr"")"),"Un camion est conduit sur la route au début de la vidéo.")</f>
        <v>Un camion est conduit sur la route au début de la vidéo.</v>
      </c>
    </row>
    <row r="15003">
      <c r="A15003" s="4" t="s">
        <v>18897</v>
      </c>
      <c r="B15003" s="4" t="s">
        <v>18899</v>
      </c>
      <c r="C15003" s="5" t="str">
        <f>IFERROR(__xludf.DUMMYFUNCTION("GOOGLETRANSLATE(B15003,""en"",""fr"")"),"Ensuite, un homme est montré assis au bord de la piscine, surfant dans l'eau avec d'autres personnes.")</f>
        <v>Ensuite, un homme est montré assis au bord de la piscine, surfant dans l'eau avec d'autres personnes.</v>
      </c>
    </row>
    <row r="15004">
      <c r="A15004" s="4" t="s">
        <v>18900</v>
      </c>
      <c r="B15004" s="6" t="s">
        <v>18901</v>
      </c>
      <c r="C15004" s="5" t="str">
        <f>IFERROR(__xludf.DUMMYFUNCTION("GOOGLETRANSLATE(B15004,""en"",""fr"")"),"On voit des gens se promener dans une zone enneigée portant des planches dans leurs mains et roulant le long du sentier.")</f>
        <v>On voit des gens se promener dans une zone enneigée portant des planches dans leurs mains et roulant le long du sentier.</v>
      </c>
    </row>
    <row r="15005">
      <c r="A15005" s="4" t="s">
        <v>18900</v>
      </c>
      <c r="B15005" s="4" t="s">
        <v>18902</v>
      </c>
      <c r="C15005" s="5" t="str">
        <f>IFERROR(__xludf.DUMMYFUNCTION("GOOGLETRANSLATE(B15005,""en"",""fr"")"),"Les gens descendent en continu enneigé en regardant en regardant la caméra.")</f>
        <v>Les gens descendent en continu enneigé en regardant en regardant la caméra.</v>
      </c>
    </row>
    <row r="15006">
      <c r="A15006" s="4" t="s">
        <v>18900</v>
      </c>
      <c r="B15006" s="4" t="s">
        <v>18903</v>
      </c>
      <c r="C15006" s="5" t="str">
        <f>IFERROR(__xludf.DUMMYFUNCTION("GOOGLETRANSLATE(B15006,""en"",""fr"")"),"Les gens continuent de rouler tout en zoomant sur leurs pieds.")</f>
        <v>Les gens continuent de rouler tout en zoomant sur leurs pieds.</v>
      </c>
    </row>
    <row r="15007">
      <c r="A15007" s="4" t="s">
        <v>18904</v>
      </c>
      <c r="B15007" s="6" t="s">
        <v>18905</v>
      </c>
      <c r="C15007" s="5" t="str">
        <f>IFERROR(__xludf.DUMMYFUNCTION("GOOGLETRANSLATE(B15007,""en"",""fr"")"),"Une femme est vue en parlant à la caméra tenant un cerceau de hula et mène à son tournant autour du cerceau du hula.")</f>
        <v>Une femme est vue en parlant à la caméra tenant un cerceau de hula et mène à son tournant autour du cerceau du hula.</v>
      </c>
    </row>
    <row r="15008">
      <c r="A15008" s="4" t="s">
        <v>18904</v>
      </c>
      <c r="B15008" s="6" t="s">
        <v>18906</v>
      </c>
      <c r="C15008" s="5" t="str">
        <f>IFERROR(__xludf.DUMMYFUNCTION("GOOGLETRANSLATE(B15008,""en"",""fr"")"),"La femme continue de pousser l'objet autour de sa taille tout en se tournant et dansant en place.")</f>
        <v>La femme continue de pousser l'objet autour de sa taille tout en se tournant et dansant en place.</v>
      </c>
    </row>
    <row r="15009">
      <c r="A15009" s="4" t="s">
        <v>18907</v>
      </c>
      <c r="B15009" s="4" t="s">
        <v>18908</v>
      </c>
      <c r="C15009" s="5" t="str">
        <f>IFERROR(__xludf.DUMMYFUNCTION("GOOGLETRANSLATE(B15009,""en"",""fr"")"),"Un homme mince et un gros homme interprètent des bras de bras pendant qu'un caméraman les filme.")</f>
        <v>Un homme mince et un gros homme interprètent des bras de bras pendant qu'un caméraman les filme.</v>
      </c>
    </row>
    <row r="15010">
      <c r="A15010" s="4" t="s">
        <v>18907</v>
      </c>
      <c r="B15010" s="4" t="s">
        <v>18909</v>
      </c>
      <c r="C15010" s="5" t="str">
        <f>IFERROR(__xludf.DUMMYFUNCTION("GOOGLETRANSLATE(B15010,""en"",""fr"")"),"L'homme mince remporte la compétition de lutte des bras.")</f>
        <v>L'homme mince remporte la compétition de lutte des bras.</v>
      </c>
    </row>
    <row r="15011">
      <c r="A15011" s="4" t="s">
        <v>18910</v>
      </c>
      <c r="B15011" s="4" t="s">
        <v>18911</v>
      </c>
      <c r="C15011" s="5" t="str">
        <f>IFERROR(__xludf.DUMMYFUNCTION("GOOGLETRANSLATE(B15011,""en"",""fr"")"),"Les gens des harnais marchent sur une plate-forme avec des arbres bien en dessous en arrière-plan.")</f>
        <v>Les gens des harnais marchent sur une plate-forme avec des arbres bien en dessous en arrière-plan.</v>
      </c>
    </row>
    <row r="15012">
      <c r="A15012" s="4" t="s">
        <v>18910</v>
      </c>
      <c r="B15012" s="4" t="s">
        <v>18912</v>
      </c>
      <c r="C15012" s="5" t="str">
        <f>IFERROR(__xludf.DUMMYFUNCTION("GOOGLETRANSLATE(B15012,""en"",""fr"")"),"L'homme est assis sur un banc et est accroché à une grande corde blanche.")</f>
        <v>L'homme est assis sur un banc et est accroché à une grande corde blanche.</v>
      </c>
    </row>
    <row r="15013">
      <c r="A15013" s="4" t="s">
        <v>18910</v>
      </c>
      <c r="B15013" s="4" t="s">
        <v>18913</v>
      </c>
      <c r="C15013" s="5" t="str">
        <f>IFERROR(__xludf.DUMMYFUNCTION("GOOGLETRANSLATE(B15013,""en"",""fr"")"),"L'homme secoue la main d'une dame.")</f>
        <v>L'homme secoue la main d'une dame.</v>
      </c>
    </row>
    <row r="15014">
      <c r="A15014" s="4" t="s">
        <v>18910</v>
      </c>
      <c r="B15014" s="4" t="s">
        <v>18914</v>
      </c>
      <c r="C15014" s="5" t="str">
        <f>IFERROR(__xludf.DUMMYFUNCTION("GOOGLETRANSLATE(B15014,""en"",""fr"")"),"L'homme se tient et se dirige vers le bord de la plate-forme assistée par deux personnes.")</f>
        <v>L'homme se tient et se dirige vers le bord de la plate-forme assistée par deux personnes.</v>
      </c>
    </row>
    <row r="15015">
      <c r="A15015" s="4" t="s">
        <v>18910</v>
      </c>
      <c r="B15015" s="6" t="s">
        <v>18915</v>
      </c>
      <c r="C15015" s="5" t="str">
        <f>IFERROR(__xludf.DUMMYFUNCTION("GOOGLETRANSLATE(B15015,""en"",""fr"")"),"La dame pousse ensuite l'homme du bord et la caméra se plisse pour regarder l'élastique de l'homme sauter.")</f>
        <v>La dame pousse ensuite l'homme du bord et la caméra se plisse pour regarder l'élastique de l'homme sauter.</v>
      </c>
    </row>
    <row r="15016">
      <c r="A15016" s="4" t="s">
        <v>18910</v>
      </c>
      <c r="B15016" s="4" t="s">
        <v>18916</v>
      </c>
      <c r="C15016" s="5" t="str">
        <f>IFERROR(__xludf.DUMMYFUNCTION("GOOGLETRANSLATE(B15016,""en"",""fr"")"),"Un homme avec bâton le tient et l'homme l'attrape et ils libèrent l'homme de la corde.")</f>
        <v>Un homme avec bâton le tient et l'homme l'attrape et ils libèrent l'homme de la corde.</v>
      </c>
    </row>
    <row r="15017">
      <c r="A15017" s="4" t="s">
        <v>18917</v>
      </c>
      <c r="B15017" s="4" t="s">
        <v>18918</v>
      </c>
      <c r="C15017" s="5" t="str">
        <f>IFERROR(__xludf.DUMMYFUNCTION("GOOGLETRANSLATE(B15017,""en"",""fr"")"),"Plusieurs personnes sont allongées dans des tubes dans la neige.")</f>
        <v>Plusieurs personnes sont allongées dans des tubes dans la neige.</v>
      </c>
    </row>
    <row r="15018">
      <c r="A15018" s="4" t="s">
        <v>18917</v>
      </c>
      <c r="B15018" s="4" t="s">
        <v>18919</v>
      </c>
      <c r="C15018" s="5" t="str">
        <f>IFERROR(__xludf.DUMMYFUNCTION("GOOGLETRANSLATE(B15018,""en"",""fr"")"),"Plus de gens se tiennent autour d'eux.")</f>
        <v>Plus de gens se tiennent autour d'eux.</v>
      </c>
    </row>
    <row r="15019">
      <c r="A15019" s="4" t="s">
        <v>18917</v>
      </c>
      <c r="B15019" s="4" t="s">
        <v>18920</v>
      </c>
      <c r="C15019" s="5" t="str">
        <f>IFERROR(__xludf.DUMMYFUNCTION("GOOGLETRANSLATE(B15019,""en"",""fr"")"),"Finalement, certains d'entre eux descendent la colline.")</f>
        <v>Finalement, certains d'entre eux descendent la colline.</v>
      </c>
    </row>
    <row r="15020">
      <c r="A15020" s="4" t="s">
        <v>18917</v>
      </c>
      <c r="B15020" s="4" t="s">
        <v>18921</v>
      </c>
      <c r="C15020" s="5" t="str">
        <f>IFERROR(__xludf.DUMMYFUNCTION("GOOGLETRANSLATE(B15020,""en"",""fr"")"),"Ils atteignent le bas de la colline.")</f>
        <v>Ils atteignent le bas de la colline.</v>
      </c>
    </row>
    <row r="15021">
      <c r="A15021" s="4" t="s">
        <v>18922</v>
      </c>
      <c r="B15021" s="4" t="s">
        <v>18923</v>
      </c>
      <c r="C15021" s="5" t="str">
        <f>IFERROR(__xludf.DUMMYFUNCTION("GOOGLETRANSLATE(B15021,""en"",""fr"")"),"Un homme met la crème à raser sur son visage.")</f>
        <v>Un homme met la crème à raser sur son visage.</v>
      </c>
    </row>
    <row r="15022">
      <c r="A15022" s="4" t="s">
        <v>18922</v>
      </c>
      <c r="B15022" s="4" t="s">
        <v>18924</v>
      </c>
      <c r="C15022" s="5" t="str">
        <f>IFERROR(__xludf.DUMMYFUNCTION("GOOGLETRANSLATE(B15022,""en"",""fr"")"),"Il commence à se raser le visage avec un rasoir.")</f>
        <v>Il commence à se raser le visage avec un rasoir.</v>
      </c>
    </row>
    <row r="15023">
      <c r="A15023" s="4" t="s">
        <v>18922</v>
      </c>
      <c r="B15023" s="4" t="s">
        <v>18925</v>
      </c>
      <c r="C15023" s="5" t="str">
        <f>IFERROR(__xludf.DUMMYFUNCTION("GOOGLETRANSLATE(B15023,""en"",""fr"")"),"Il sèche son visage avec une serviette.")</f>
        <v>Il sèche son visage avec une serviette.</v>
      </c>
    </row>
    <row r="15024">
      <c r="A15024" s="4" t="s">
        <v>18926</v>
      </c>
      <c r="B15024" s="6" t="s">
        <v>18927</v>
      </c>
      <c r="C15024" s="5" t="str">
        <f>IFERROR(__xludf.DUMMYFUNCTION("GOOGLETRANSLATE(B15024,""en"",""fr"")"),"Une photo d'un gymnase est montrée suivie de plusieurs clips d'une personne qui tentent de Pole Volt et d'autres socialisations.")</f>
        <v>Une photo d'un gymnase est montrée suivie de plusieurs clips d'une personne qui tentent de Pole Volt et d'autres socialisations.</v>
      </c>
    </row>
    <row r="15025">
      <c r="A15025" s="4" t="s">
        <v>18926</v>
      </c>
      <c r="B15025" s="4" t="s">
        <v>18928</v>
      </c>
      <c r="C15025" s="5" t="str">
        <f>IFERROR(__xludf.DUMMYFUNCTION("GOOGLETRANSLATE(B15025,""en"",""fr"")"),"Plusieurs personnes parlent à la caméra et y conduisent.")</f>
        <v>Plusieurs personnes parlent à la caméra et y conduisent.</v>
      </c>
    </row>
    <row r="15026">
      <c r="A15026" s="4" t="s">
        <v>18926</v>
      </c>
      <c r="B15026" s="6" t="s">
        <v>18929</v>
      </c>
      <c r="C15026" s="5" t="str">
        <f>IFERROR(__xludf.DUMMYFUNCTION("GOOGLETRANSLATE(B15026,""en"",""fr"")"),"Plus de gens sont vus se parler ainsi que l'appareil photo et utiliser un poteau pour surmonter une barre.")</f>
        <v>Plus de gens sont vus se parler ainsi que l'appareil photo et utiliser un poteau pour surmonter une barre.</v>
      </c>
    </row>
    <row r="15027">
      <c r="A15027" s="4" t="s">
        <v>18930</v>
      </c>
      <c r="B15027" s="4" t="s">
        <v>18931</v>
      </c>
      <c r="C15027" s="5" t="str">
        <f>IFERROR(__xludf.DUMMYFUNCTION("GOOGLETRANSLATE(B15027,""en"",""fr"")"),"Une petite balle blanche se précipita sur le terrain et frappe un joueur à la tête.")</f>
        <v>Une petite balle blanche se précipita sur le terrain et frappe un joueur à la tête.</v>
      </c>
    </row>
    <row r="15028">
      <c r="A15028" s="4" t="s">
        <v>18930</v>
      </c>
      <c r="B15028" s="6" t="s">
        <v>18932</v>
      </c>
      <c r="C15028" s="5" t="str">
        <f>IFERROR(__xludf.DUMMYFUNCTION("GOOGLETRANSLATE(B15028,""en"",""fr"")"),"Un autre joueur vole ensuite le ballon et commence à le donner un coup de pied jusqu'à ce qu'il soit plus dans son contrôle, et le donne tout droit dans le but.")</f>
        <v>Un autre joueur vole ensuite le ballon et commence à le donner un coup de pied jusqu'à ce qu'il soit plus dans son contrôle, et le donne tout droit dans le but.</v>
      </c>
    </row>
    <row r="15029">
      <c r="A15029" s="4" t="s">
        <v>18930</v>
      </c>
      <c r="B15029" s="4" t="s">
        <v>18933</v>
      </c>
      <c r="C15029" s="5" t="str">
        <f>IFERROR(__xludf.DUMMYFUNCTION("GOOGLETRANSLATE(B15029,""en"",""fr"")"),"Une petite rediffusion montre comment il a réussi à le lancer là-dedans.")</f>
        <v>Une petite rediffusion montre comment il a réussi à le lancer là-dedans.</v>
      </c>
    </row>
    <row r="15030">
      <c r="A15030" s="4" t="s">
        <v>18930</v>
      </c>
      <c r="B15030" s="4" t="s">
        <v>18934</v>
      </c>
      <c r="C15030" s="5" t="str">
        <f>IFERROR(__xludf.DUMMYFUNCTION("GOOGLETRANSLATE(B15030,""en"",""fr"")"),"Un court montage de mouvements similaires, le joueur donnant un coup de pied directement dans le but.")</f>
        <v>Un court montage de mouvements similaires, le joueur donnant un coup de pied directement dans le but.</v>
      </c>
    </row>
    <row r="15031">
      <c r="A15031" s="4" t="s">
        <v>18930</v>
      </c>
      <c r="B15031" s="4" t="s">
        <v>18935</v>
      </c>
      <c r="C15031" s="5" t="str">
        <f>IFERROR(__xludf.DUMMYFUNCTION("GOOGLETRANSLATE(B15031,""en"",""fr"")"),"Une courte quantité de séquences montre comment le joueur réagit à son propre tir.")</f>
        <v>Une courte quantité de séquences montre comment le joueur réagit à son propre tir.</v>
      </c>
    </row>
    <row r="15032">
      <c r="A15032" s="4" t="s">
        <v>18936</v>
      </c>
      <c r="B15032" s="4" t="s">
        <v>18937</v>
      </c>
      <c r="C15032" s="5" t="str">
        <f>IFERROR(__xludf.DUMMYFUNCTION("GOOGLETRANSLATE(B15032,""en"",""fr"")"),"Un homme surfait sur le bord de la planche.")</f>
        <v>Un homme surfait sur le bord de la planche.</v>
      </c>
    </row>
    <row r="15033">
      <c r="A15033" s="4" t="s">
        <v>18936</v>
      </c>
      <c r="B15033" s="4" t="s">
        <v>18938</v>
      </c>
      <c r="C15033" s="5" t="str">
        <f>IFERROR(__xludf.DUMMYFUNCTION("GOOGLETRANSLATE(B15033,""en"",""fr"")"),"La caméra zoomez et affiche la carte puis zoome.")</f>
        <v>La caméra zoomez et affiche la carte puis zoome.</v>
      </c>
    </row>
    <row r="15034">
      <c r="A15034" s="4" t="s">
        <v>18936</v>
      </c>
      <c r="B15034" s="4" t="s">
        <v>18939</v>
      </c>
      <c r="C15034" s="5" t="str">
        <f>IFERROR(__xludf.DUMMYFUNCTION("GOOGLETRANSLATE(B15034,""en"",""fr"")"),"Nous voyons la route au loin et voyons les voitures conduire.")</f>
        <v>Nous voyons la route au loin et voyons les voitures conduire.</v>
      </c>
    </row>
    <row r="15035">
      <c r="A15035" s="4" t="s">
        <v>18936</v>
      </c>
      <c r="B15035" s="4" t="s">
        <v>18940</v>
      </c>
      <c r="C15035" s="5" t="str">
        <f>IFERROR(__xludf.DUMMYFUNCTION("GOOGLETRANSLATE(B15035,""en"",""fr"")"),"Nous voyons une deuxième personne kitesurf.")</f>
        <v>Nous voyons une deuxième personne kitesurf.</v>
      </c>
    </row>
    <row r="15036">
      <c r="A15036" s="4" t="s">
        <v>18941</v>
      </c>
      <c r="B15036" s="6" t="s">
        <v>18942</v>
      </c>
      <c r="C15036" s="5" t="str">
        <f>IFERROR(__xludf.DUMMYFUNCTION("GOOGLETRANSLATE(B15036,""en"",""fr"")"),"Une gymnaste est vue sauter sur un ensemble de barres inégales et effectuer une routine de gymnastique devant les autres.")</f>
        <v>Une gymnaste est vue sauter sur un ensemble de barres inégales et effectuer une routine de gymnastique devant les autres.</v>
      </c>
    </row>
    <row r="15037">
      <c r="A15037" s="4" t="s">
        <v>18941</v>
      </c>
      <c r="B15037" s="6" t="s">
        <v>18943</v>
      </c>
      <c r="C15037" s="5" t="str">
        <f>IFERROR(__xludf.DUMMYFUNCTION("GOOGLETRANSLATE(B15037,""en"",""fr"")"),"L'homme continue de se retourner dans les barres et se termine avec lui sautant et s'inclinant devant la foule.")</f>
        <v>L'homme continue de se retourner dans les barres et se termine avec lui sautant et s'inclinant devant la foule.</v>
      </c>
    </row>
    <row r="15038">
      <c r="A15038" s="4" t="s">
        <v>18944</v>
      </c>
      <c r="B15038" s="4" t="s">
        <v>18945</v>
      </c>
      <c r="C15038" s="5" t="str">
        <f>IFERROR(__xludf.DUMMYFUNCTION("GOOGLETRANSLATE(B15038,""en"",""fr"")"),"Un petit enfant est vu grimper très lentement sur une glissière dans une aire de jeux.")</f>
        <v>Un petit enfant est vu grimper très lentement sur une glissière dans une aire de jeux.</v>
      </c>
    </row>
    <row r="15039">
      <c r="A15039" s="4" t="s">
        <v>18944</v>
      </c>
      <c r="B15039" s="4" t="s">
        <v>18946</v>
      </c>
      <c r="C15039" s="5" t="str">
        <f>IFERROR(__xludf.DUMMYFUNCTION("GOOGLETRANSLATE(B15039,""en"",""fr"")"),"Elle monte en haut, puis glisse sur la diapositive.")</f>
        <v>Elle monte en haut, puis glisse sur la diapositive.</v>
      </c>
    </row>
    <row r="15040">
      <c r="A15040" s="4" t="s">
        <v>18947</v>
      </c>
      <c r="B15040" s="4" t="s">
        <v>18948</v>
      </c>
      <c r="C15040" s="5" t="str">
        <f>IFERROR(__xludf.DUMMYFUNCTION("GOOGLETRANSLATE(B15040,""en"",""fr"")"),"Un gros plan de tasses en solo est montrée suivie par un homme lançant des balles.")</f>
        <v>Un gros plan de tasses en solo est montrée suivie par un homme lançant des balles.</v>
      </c>
    </row>
    <row r="15041">
      <c r="A15041" s="4" t="s">
        <v>18947</v>
      </c>
      <c r="B15041" s="6" t="s">
        <v>18949</v>
      </c>
      <c r="C15041" s="5" t="str">
        <f>IFERROR(__xludf.DUMMYFUNCTION("GOOGLETRANSLATE(B15041,""en"",""fr"")"),"Une personne déplace les tasses le long de la table pendant que la personne continue de lancer et que les hommes changent.")</f>
        <v>Une personne déplace les tasses le long de la table pendant que la personne continue de lancer et que les hommes changent.</v>
      </c>
    </row>
    <row r="15042">
      <c r="A15042" s="4" t="s">
        <v>18947</v>
      </c>
      <c r="B15042" s="4" t="s">
        <v>18950</v>
      </c>
      <c r="C15042" s="5" t="str">
        <f>IFERROR(__xludf.DUMMYFUNCTION("GOOGLETRANSLATE(B15042,""en"",""fr"")"),"Les deux continuent à tour de rôle pendant que la caméra capture leurs mouvements.")</f>
        <v>Les deux continuent à tour de rôle pendant que la caméra capture leurs mouvements.</v>
      </c>
    </row>
    <row r="15043">
      <c r="A15043" s="4" t="s">
        <v>18951</v>
      </c>
      <c r="B15043" s="6" t="s">
        <v>18952</v>
      </c>
      <c r="C15043" s="5" t="str">
        <f>IFERROR(__xludf.DUMMYFUNCTION("GOOGLETRANSLATE(B15043,""en"",""fr"")"),"Deux hommes en costumes gonflables de lutteur de sumo divertissent le public par la rue se produisant sur une place publique.")</f>
        <v>Deux hommes en costumes gonflables de lutteur de sumo divertissent le public par la rue se produisant sur une place publique.</v>
      </c>
    </row>
    <row r="15044">
      <c r="A15044" s="4" t="s">
        <v>18951</v>
      </c>
      <c r="B15044" s="6" t="s">
        <v>18953</v>
      </c>
      <c r="C15044" s="5" t="str">
        <f>IFERROR(__xludf.DUMMYFUNCTION("GOOGLETRANSLATE(B15044,""en"",""fr"")"),"Deux hommes dans des tenues de lutteur de sumo gonflables parlent à la caméra et commencent à divertir les gens qui passent alors qu'ils se tiennent sur une place publique pavée.")</f>
        <v>Deux hommes dans des tenues de lutteur de sumo gonflables parlent à la caméra et commencent à divertir les gens qui passent alors qu'ils se tiennent sur une place publique pavée.</v>
      </c>
    </row>
    <row r="15045">
      <c r="A15045" s="4" t="s">
        <v>18951</v>
      </c>
      <c r="B15045" s="6" t="s">
        <v>18954</v>
      </c>
      <c r="C15045" s="5" t="str">
        <f>IFERROR(__xludf.DUMMYFUNCTION("GOOGLETRANSLATE(B15045,""en"",""fr"")"),"Les deux hommes montrent un petit garçon comment utiliser un scooter automatisé, effectuer des matchs de lutte Sumo simulés et prendre des photos avec le public ainsi que dansant avec le public avant de terminer la performance et de parler à nouveau à la "&amp;"caméra.")</f>
        <v>Les deux hommes montrent un petit garçon comment utiliser un scooter automatisé, effectuer des matchs de lutte Sumo simulés et prendre des photos avec le public ainsi que dansant avec le public avant de terminer la performance et de parler à nouveau à la caméra.</v>
      </c>
    </row>
    <row r="15046">
      <c r="A15046" s="4" t="s">
        <v>18955</v>
      </c>
      <c r="B15046" s="4" t="s">
        <v>18956</v>
      </c>
      <c r="C15046" s="5" t="str">
        <f>IFERROR(__xludf.DUMMYFUNCTION("GOOGLETRANSLATE(B15046,""en"",""fr"")"),"Nous voyons une personne amener un chien dans un abri.")</f>
        <v>Nous voyons une personne amener un chien dans un abri.</v>
      </c>
    </row>
    <row r="15047">
      <c r="A15047" s="4" t="s">
        <v>18955</v>
      </c>
      <c r="B15047" s="4" t="s">
        <v>18957</v>
      </c>
      <c r="C15047" s="5" t="str">
        <f>IFERROR(__xludf.DUMMYFUNCTION("GOOGLETRANSLATE(B15047,""en"",""fr"")"),"Nous voyons un écran noir avec l'écriture.")</f>
        <v>Nous voyons un écran noir avec l'écriture.</v>
      </c>
    </row>
    <row r="15048">
      <c r="A15048" s="4" t="s">
        <v>18955</v>
      </c>
      <c r="B15048" s="4" t="s">
        <v>18958</v>
      </c>
      <c r="C15048" s="5" t="str">
        <f>IFERROR(__xludf.DUMMYFUNCTION("GOOGLETRANSLATE(B15048,""en"",""fr"")"),"Nous voyons ensuite une dame utiliser un rasoir électrique puis des ciseaux pour préparer un chien.")</f>
        <v>Nous voyons ensuite une dame utiliser un rasoir électrique puis des ciseaux pour préparer un chien.</v>
      </c>
    </row>
    <row r="15049">
      <c r="A15049" s="4" t="s">
        <v>18955</v>
      </c>
      <c r="B15049" s="4" t="s">
        <v>18959</v>
      </c>
      <c r="C15049" s="5" t="str">
        <f>IFERROR(__xludf.DUMMYFUNCTION("GOOGLETRANSLATE(B15049,""en"",""fr"")"),"Le toiletteur embrasse le chiot.")</f>
        <v>Le toiletteur embrasse le chiot.</v>
      </c>
    </row>
    <row r="15050">
      <c r="A15050" s="4" t="s">
        <v>18955</v>
      </c>
      <c r="B15050" s="4" t="s">
        <v>18960</v>
      </c>
      <c r="C15050" s="5" t="str">
        <f>IFERROR(__xludf.DUMMYFUNCTION("GOOGLETRANSLATE(B15050,""en"",""fr"")"),"Nous voyons une photo du chien après le toilettage.")</f>
        <v>Nous voyons une photo du chien après le toilettage.</v>
      </c>
    </row>
    <row r="15051">
      <c r="A15051" s="4" t="s">
        <v>18955</v>
      </c>
      <c r="B15051" s="4" t="s">
        <v>18961</v>
      </c>
      <c r="C15051" s="5" t="str">
        <f>IFERROR(__xludf.DUMMYFUNCTION("GOOGLETRANSLATE(B15051,""en"",""fr"")"),"Nous voyons ensuite un écran de titre noir.")</f>
        <v>Nous voyons ensuite un écran de titre noir.</v>
      </c>
    </row>
    <row r="15052">
      <c r="A15052" s="4" t="s">
        <v>18962</v>
      </c>
      <c r="B15052" s="4" t="s">
        <v>18963</v>
      </c>
      <c r="C15052" s="5" t="str">
        <f>IFERROR(__xludf.DUMMYFUNCTION("GOOGLETRANSLATE(B15052,""en"",""fr"")"),"La femme monte un cheval dans une grange et une autre femme mène le cheval avec une corde.")</f>
        <v>La femme monte un cheval dans une grange et une autre femme mène le cheval avec une corde.</v>
      </c>
    </row>
    <row r="15053">
      <c r="A15053" s="4" t="s">
        <v>18962</v>
      </c>
      <c r="B15053" s="4" t="s">
        <v>18964</v>
      </c>
      <c r="C15053" s="5" t="str">
        <f>IFERROR(__xludf.DUMMYFUNCTION("GOOGLETRANSLATE(B15053,""en"",""fr"")"),"Des photos de diverses personnes montées sur les chevaux sont présentées.")</f>
        <v>Des photos de diverses personnes montées sur les chevaux sont présentées.</v>
      </c>
    </row>
    <row r="15054">
      <c r="A15054" s="4" t="s">
        <v>18962</v>
      </c>
      <c r="B15054" s="4" t="s">
        <v>18965</v>
      </c>
      <c r="C15054" s="5" t="str">
        <f>IFERROR(__xludf.DUMMYFUNCTION("GOOGLETRANSLATE(B15054,""en"",""fr"")"),"Woma monte un cheval dans une grange et des photos de personnes chevauchant des chevaux.")</f>
        <v>Woma monte un cheval dans une grange et des photos de personnes chevauchant des chevaux.</v>
      </c>
    </row>
    <row r="15055">
      <c r="A15055" s="4" t="s">
        <v>18962</v>
      </c>
      <c r="B15055" s="4" t="s">
        <v>18966</v>
      </c>
      <c r="C15055" s="5" t="str">
        <f>IFERROR(__xludf.DUMMYFUNCTION("GOOGLETRANSLATE(B15055,""en"",""fr"")"),"Femme monte un cheval sur une piste d'équitation.")</f>
        <v>Femme monte un cheval sur une piste d'équitation.</v>
      </c>
    </row>
    <row r="15056">
      <c r="A15056" s="4" t="s">
        <v>18962</v>
      </c>
      <c r="B15056" s="4" t="s">
        <v>18967</v>
      </c>
      <c r="C15056" s="5" t="str">
        <f>IFERROR(__xludf.DUMMYFUNCTION("GOOGLETRANSLATE(B15056,""en"",""fr"")"),"Et une fille saute aussi sur les pistes.")</f>
        <v>Et une fille saute aussi sur les pistes.</v>
      </c>
    </row>
    <row r="15057">
      <c r="A15057" s="4" t="s">
        <v>18962</v>
      </c>
      <c r="B15057" s="4" t="s">
        <v>18968</v>
      </c>
      <c r="C15057" s="5" t="str">
        <f>IFERROR(__xludf.DUMMYFUNCTION("GOOGLETRANSLATE(B15057,""en"",""fr"")"),"Les enfants sont dans un salon qui jouent devant une télévision et les images de leur humeur sont montrées.")</f>
        <v>Les enfants sont dans un salon qui jouent devant une télévision et les images de leur humeur sont montrées.</v>
      </c>
    </row>
    <row r="15058">
      <c r="A15058" s="4" t="s">
        <v>18962</v>
      </c>
      <c r="B15058" s="4" t="s">
        <v>18969</v>
      </c>
      <c r="C15058" s="5" t="str">
        <f>IFERROR(__xludf.DUMMYFUNCTION("GOOGLETRANSLATE(B15058,""en"",""fr"")"),"Les enfants sont dans un pont dansant et sautent dans la piscine.")</f>
        <v>Les enfants sont dans un pont dansant et sautent dans la piscine.</v>
      </c>
    </row>
    <row r="15059">
      <c r="A15059" s="4" t="s">
        <v>18970</v>
      </c>
      <c r="B15059" s="6" t="s">
        <v>18971</v>
      </c>
      <c r="C15059" s="5" t="str">
        <f>IFERROR(__xludf.DUMMYFUNCTION("GOOGLETRANSLATE(B15059,""en"",""fr"")"),"La vidéo mène à plusieurs plans de surfeurs se déplaçant le long de l'eau et sur les vagues devant d'autres personnes.")</f>
        <v>La vidéo mène à plusieurs plans de surfeurs se déplaçant le long de l'eau et sur les vagues devant d'autres personnes.</v>
      </c>
    </row>
    <row r="15060">
      <c r="A15060" s="4" t="s">
        <v>18970</v>
      </c>
      <c r="B15060" s="6" t="s">
        <v>18972</v>
      </c>
      <c r="C15060" s="5" t="str">
        <f>IFERROR(__xludf.DUMMYFUNCTION("GOOGLETRANSLATE(B15060,""en"",""fr"")"),"Plusieurs plans sont indiqués sur la façon de surfer correctement et sont suivis de plus de plans indiqués au ralenti.")</f>
        <v>Plusieurs plans sont indiqués sur la façon de surfer correctement et sont suivis de plus de plans indiqués au ralenti.</v>
      </c>
    </row>
    <row r="15061">
      <c r="A15061" s="4" t="s">
        <v>18973</v>
      </c>
      <c r="B15061" s="6" t="s">
        <v>18974</v>
      </c>
      <c r="C15061" s="5" t="str">
        <f>IFERROR(__xludf.DUMMYFUNCTION("GOOGLETRANSLATE(B15061,""en"",""fr"")"),"L'arrière d'un bateau à vitesse est représenté suivi par des pieds sautant dans l'eau et regardant autour de l'eau.")</f>
        <v>L'arrière d'un bateau à vitesse est représenté suivi par des pieds sautant dans l'eau et regardant autour de l'eau.</v>
      </c>
    </row>
    <row r="15062">
      <c r="A15062" s="4" t="s">
        <v>18973</v>
      </c>
      <c r="B15062" s="4" t="s">
        <v>18975</v>
      </c>
      <c r="C15062" s="5" t="str">
        <f>IFERROR(__xludf.DUMMYFUNCTION("GOOGLETRANSLATE(B15062,""en"",""fr"")"),"Une personne tient un bâton et attrape un poisson et des pokes sur les requins.")</f>
        <v>Une personne tient un bâton et attrape un poisson et des pokes sur les requins.</v>
      </c>
    </row>
    <row r="15063">
      <c r="A15063" s="4" t="s">
        <v>18976</v>
      </c>
      <c r="B15063" s="4" t="s">
        <v>18977</v>
      </c>
      <c r="C15063" s="5" t="str">
        <f>IFERROR(__xludf.DUMMYFUNCTION("GOOGLETRANSLATE(B15063,""en"",""fr"")"),"Un homme joue un saxophone face à la caméra.")</f>
        <v>Un homme joue un saxophone face à la caméra.</v>
      </c>
    </row>
    <row r="15064">
      <c r="A15064" s="4" t="s">
        <v>18976</v>
      </c>
      <c r="B15064" s="4" t="s">
        <v>18978</v>
      </c>
      <c r="C15064" s="5" t="str">
        <f>IFERROR(__xludf.DUMMYFUNCTION("GOOGLETRANSLATE(B15064,""en"",""fr"")"),"L'homme finit de jouer et sourit à son instrument.")</f>
        <v>L'homme finit de jouer et sourit à son instrument.</v>
      </c>
    </row>
    <row r="15065">
      <c r="A15065" s="4" t="s">
        <v>18979</v>
      </c>
      <c r="B15065" s="4" t="s">
        <v>18980</v>
      </c>
      <c r="C15065" s="5" t="str">
        <f>IFERROR(__xludf.DUMMYFUNCTION("GOOGLETRANSLATE(B15065,""en"",""fr"")"),"Une personne monte plusieurs fois sur un tapis de bronzage.")</f>
        <v>Une personne monte plusieurs fois sur un tapis de bronzage.</v>
      </c>
    </row>
    <row r="15066">
      <c r="A15066" s="4" t="s">
        <v>18979</v>
      </c>
      <c r="B15066" s="4" t="s">
        <v>18981</v>
      </c>
      <c r="C15066" s="5" t="str">
        <f>IFERROR(__xludf.DUMMYFUNCTION("GOOGLETRANSLATE(B15066,""en"",""fr"")"),"Ils enlèvent leurs chaussures et mettent une autre paire de chaussures.")</f>
        <v>Ils enlèvent leurs chaussures et mettent une autre paire de chaussures.</v>
      </c>
    </row>
    <row r="15067">
      <c r="A15067" s="4" t="s">
        <v>18979</v>
      </c>
      <c r="B15067" s="4" t="s">
        <v>18982</v>
      </c>
      <c r="C15067" s="5" t="str">
        <f>IFERROR(__xludf.DUMMYFUNCTION("GOOGLETRANSLATE(B15067,""en"",""fr"")"),"Ils continuent de marcher sur le tapis dans les nouvelles chaussures.")</f>
        <v>Ils continuent de marcher sur le tapis dans les nouvelles chaussures.</v>
      </c>
    </row>
    <row r="15068">
      <c r="A15068" s="4" t="s">
        <v>18979</v>
      </c>
      <c r="B15068" s="4" t="s">
        <v>18983</v>
      </c>
      <c r="C15068" s="5" t="str">
        <f>IFERROR(__xludf.DUMMYFUNCTION("GOOGLETRANSLATE(B15068,""en"",""fr"")"),"Ils enlèvent ces chaussures et s'éloignent.")</f>
        <v>Ils enlèvent ces chaussures et s'éloignent.</v>
      </c>
    </row>
    <row r="15069">
      <c r="A15069" s="4" t="s">
        <v>18984</v>
      </c>
      <c r="B15069" s="4" t="s">
        <v>18985</v>
      </c>
      <c r="C15069" s="5" t="str">
        <f>IFERROR(__xludf.DUMMYFUNCTION("GOOGLETRANSLATE(B15069,""en"",""fr"")"),"Un homme est dans une forêt, et ses pieds sont représentés avec et sans chaussures.")</f>
        <v>Un homme est dans une forêt, et ses pieds sont représentés avec et sans chaussures.</v>
      </c>
    </row>
    <row r="15070">
      <c r="A15070" s="4" t="s">
        <v>18984</v>
      </c>
      <c r="B15070" s="4" t="s">
        <v>18986</v>
      </c>
      <c r="C15070" s="5" t="str">
        <f>IFERROR(__xludf.DUMMYFUNCTION("GOOGLETRANSLATE(B15070,""en"",""fr"")"),"Il monte une corde raide et équilibre.")</f>
        <v>Il monte une corde raide et équilibre.</v>
      </c>
    </row>
    <row r="15071">
      <c r="A15071" s="4" t="s">
        <v>18984</v>
      </c>
      <c r="B15071" s="4" t="s">
        <v>18987</v>
      </c>
      <c r="C15071" s="5" t="str">
        <f>IFERROR(__xludf.DUMMYFUNCTION("GOOGLETRANSLATE(B15071,""en"",""fr"")"),"Il utilise la corde raide pour marcher, montrant les positions appropriées pour maintenir l'équilibre.")</f>
        <v>Il utilise la corde raide pour marcher, montrant les positions appropriées pour maintenir l'équilibre.</v>
      </c>
    </row>
    <row r="15072">
      <c r="A15072" s="4" t="s">
        <v>18988</v>
      </c>
      <c r="B15072" s="4" t="s">
        <v>18989</v>
      </c>
      <c r="C15072" s="5" t="str">
        <f>IFERROR(__xludf.DUMMYFUNCTION("GOOGLETRANSLATE(B15072,""en"",""fr"")"),"Une femme photographie une bouteille remplie de balles rouges.")</f>
        <v>Une femme photographie une bouteille remplie de balles rouges.</v>
      </c>
    </row>
    <row r="15073">
      <c r="A15073" s="4" t="s">
        <v>18988</v>
      </c>
      <c r="B15073" s="4" t="s">
        <v>18990</v>
      </c>
      <c r="C15073" s="5" t="str">
        <f>IFERROR(__xludf.DUMMYFUNCTION("GOOGLETRANSLATE(B15073,""en"",""fr"")"),"Le coton est retiré, puis un pistolet est chargé.")</f>
        <v>Le coton est retiré, puis un pistolet est chargé.</v>
      </c>
    </row>
    <row r="15074">
      <c r="A15074" s="4" t="s">
        <v>18988</v>
      </c>
      <c r="B15074" s="4" t="s">
        <v>18991</v>
      </c>
      <c r="C15074" s="5" t="str">
        <f>IFERROR(__xludf.DUMMYFUNCTION("GOOGLETRANSLATE(B15074,""en"",""fr"")"),"Elle tire les balles de peinture sur une cible, la éclaboussant en rouge.")</f>
        <v>Elle tire les balles de peinture sur une cible, la éclaboussant en rouge.</v>
      </c>
    </row>
    <row r="15075">
      <c r="A15075" s="4" t="s">
        <v>18988</v>
      </c>
      <c r="B15075" s="4" t="s">
        <v>18992</v>
      </c>
      <c r="C15075" s="5" t="str">
        <f>IFERROR(__xludf.DUMMYFUNCTION("GOOGLETRANSLATE(B15075,""en"",""fr"")"),"Plusieurs cibles sont affichées qui sont éclaboussées.")</f>
        <v>Plusieurs cibles sont affichées qui sont éclaboussées.</v>
      </c>
    </row>
    <row r="15076">
      <c r="A15076" s="4" t="s">
        <v>18993</v>
      </c>
      <c r="B15076" s="4" t="s">
        <v>18994</v>
      </c>
      <c r="C15076" s="5" t="str">
        <f>IFERROR(__xludf.DUMMYFUNCTION("GOOGLETRANSLATE(B15076,""en"",""fr"")"),"Un homme démonte un vélo dans un métro.")</f>
        <v>Un homme démonte un vélo dans un métro.</v>
      </c>
    </row>
    <row r="15077">
      <c r="A15077" s="4" t="s">
        <v>18993</v>
      </c>
      <c r="B15077" s="4" t="s">
        <v>18995</v>
      </c>
      <c r="C15077" s="5" t="str">
        <f>IFERROR(__xludf.DUMMYFUNCTION("GOOGLETRANSLATE(B15077,""en"",""fr"")"),"Il remet un pneu sur le vélo.")</f>
        <v>Il remet un pneu sur le vélo.</v>
      </c>
    </row>
    <row r="15078">
      <c r="A15078" s="4" t="s">
        <v>18996</v>
      </c>
      <c r="B15078" s="4" t="s">
        <v>16432</v>
      </c>
      <c r="C15078" s="5" t="str">
        <f>IFERROR(__xludf.DUMMYFUNCTION("GOOGLETRANSLATE(B15078,""en"",""fr"")"),"Un homme dribble un basket.")</f>
        <v>Un homme dribble un basket.</v>
      </c>
    </row>
    <row r="15079">
      <c r="A15079" s="4" t="s">
        <v>18996</v>
      </c>
      <c r="B15079" s="4" t="s">
        <v>18997</v>
      </c>
      <c r="C15079" s="5" t="str">
        <f>IFERROR(__xludf.DUMMYFUNCTION("GOOGLETRANSLATE(B15079,""en"",""fr"")"),"Ils courent sur le terrain et continuent de dribbler le ballon.")</f>
        <v>Ils courent sur le terrain et continuent de dribbler le ballon.</v>
      </c>
    </row>
    <row r="15080">
      <c r="A15080" s="4" t="s">
        <v>18996</v>
      </c>
      <c r="B15080" s="4" t="s">
        <v>18998</v>
      </c>
      <c r="C15080" s="5" t="str">
        <f>IFERROR(__xludf.DUMMYFUNCTION("GOOGLETRANSLATE(B15080,""en"",""fr"")"),"Ils sautent et font un panier.")</f>
        <v>Ils sautent et font un panier.</v>
      </c>
    </row>
    <row r="15081">
      <c r="A15081" s="4" t="s">
        <v>18999</v>
      </c>
      <c r="B15081" s="4" t="s">
        <v>19000</v>
      </c>
      <c r="C15081" s="5" t="str">
        <f>IFERROR(__xludf.DUMMYFUNCTION("GOOGLETRANSLATE(B15081,""en"",""fr"")"),"Les attributs d'une vadrouille sont démontrés par des gros plans informatiques de différentes parties.")</f>
        <v>Les attributs d'une vadrouille sont démontrés par des gros plans informatiques de différentes parties.</v>
      </c>
    </row>
    <row r="15082">
      <c r="A15082" s="4" t="s">
        <v>18999</v>
      </c>
      <c r="B15082" s="4" t="s">
        <v>19001</v>
      </c>
      <c r="C15082" s="5" t="str">
        <f>IFERROR(__xludf.DUMMYFUNCTION("GOOGLETRANSLATE(B15082,""en"",""fr"")"),"La MOP est démontrée à une utilisation réelle.")</f>
        <v>La MOP est démontrée à une utilisation réelle.</v>
      </c>
    </row>
    <row r="15083">
      <c r="A15083" s="4" t="s">
        <v>18999</v>
      </c>
      <c r="B15083" s="4" t="s">
        <v>19002</v>
      </c>
      <c r="C15083" s="5" t="str">
        <f>IFERROR(__xludf.DUMMYFUNCTION("GOOGLETRANSLATE(B15083,""en"",""fr"")"),"La préparation de la tête de vadrouille est montrée.")</f>
        <v>La préparation de la tête de vadrouille est montrée.</v>
      </c>
    </row>
    <row r="15084">
      <c r="A15084" s="4" t="s">
        <v>18999</v>
      </c>
      <c r="B15084" s="4" t="s">
        <v>19003</v>
      </c>
      <c r="C15084" s="5" t="str">
        <f>IFERROR(__xludf.DUMMYFUNCTION("GOOGLETRANSLATE(B15084,""en"",""fr"")"),"Plus de gros plans de composants sont affichés.")</f>
        <v>Plus de gros plans de composants sont affichés.</v>
      </c>
    </row>
    <row r="15085">
      <c r="A15085" s="4" t="s">
        <v>18999</v>
      </c>
      <c r="B15085" s="4" t="s">
        <v>19004</v>
      </c>
      <c r="C15085" s="5" t="str">
        <f>IFERROR(__xludf.DUMMYFUNCTION("GOOGLETRANSLATE(B15085,""en"",""fr"")"),"La tête de vadrouille est à nouveau démontrée.")</f>
        <v>La tête de vadrouille est à nouveau démontrée.</v>
      </c>
    </row>
    <row r="15086">
      <c r="A15086" s="4" t="s">
        <v>19005</v>
      </c>
      <c r="B15086" s="4" t="s">
        <v>19006</v>
      </c>
      <c r="C15086" s="5" t="str">
        <f>IFERROR(__xludf.DUMMYFUNCTION("GOOGLETRANSLATE(B15086,""en"",""fr"")"),"Une personne est assise en train de se faire tatouer son bras.")</f>
        <v>Une personne est assise en train de se faire tatouer son bras.</v>
      </c>
    </row>
    <row r="15087">
      <c r="A15087" s="4" t="s">
        <v>19005</v>
      </c>
      <c r="B15087" s="4" t="s">
        <v>19007</v>
      </c>
      <c r="C15087" s="5" t="str">
        <f>IFERROR(__xludf.DUMMYFUNCTION("GOOGLETRANSLATE(B15087,""en"",""fr"")"),"Ils se lèvent et montrent le tatouage.")</f>
        <v>Ils se lèvent et montrent le tatouage.</v>
      </c>
    </row>
    <row r="15088">
      <c r="A15088" s="4" t="s">
        <v>19008</v>
      </c>
      <c r="B15088" s="4" t="s">
        <v>19009</v>
      </c>
      <c r="C15088" s="5" t="str">
        <f>IFERROR(__xludf.DUMMYFUNCTION("GOOGLETRANSLATE(B15088,""en"",""fr"")"),"Une gymnaste est vue debout prête avec ses bras vers le haut et se tourne pour faire face au faisceau.")</f>
        <v>Une gymnaste est vue debout prête avec ses bras vers le haut et se tourne pour faire face au faisceau.</v>
      </c>
    </row>
    <row r="15089">
      <c r="A15089" s="4" t="s">
        <v>19008</v>
      </c>
      <c r="B15089" s="4" t="s">
        <v>19010</v>
      </c>
      <c r="C15089" s="5" t="str">
        <f>IFERROR(__xludf.DUMMYFUNCTION("GOOGLETRANSLATE(B15089,""en"",""fr"")"),"Je saute juste sur la poutre et commence à effectuer une routine de gymnastique jusqu'à ce qu'elle tombe.")</f>
        <v>Je saute juste sur la poutre et commence à effectuer une routine de gymnastique jusqu'à ce qu'elle tombe.</v>
      </c>
    </row>
    <row r="15090">
      <c r="A15090" s="4" t="s">
        <v>19008</v>
      </c>
      <c r="B15090" s="4" t="s">
        <v>19011</v>
      </c>
      <c r="C15090" s="5" t="str">
        <f>IFERROR(__xludf.DUMMYFUNCTION("GOOGLETRANSLATE(B15090,""en"",""fr"")"),"Elle remonte sur le faisceau et se termine en retournant le faisceau.")</f>
        <v>Elle remonte sur le faisceau et se termine en retournant le faisceau.</v>
      </c>
    </row>
    <row r="15091">
      <c r="A15091" s="4" t="s">
        <v>19012</v>
      </c>
      <c r="B15091" s="6" t="s">
        <v>19013</v>
      </c>
      <c r="C15091" s="5" t="str">
        <f>IFERROR(__xludf.DUMMYFUNCTION("GOOGLETRANSLATE(B15091,""en"",""fr"")"),"Deux personnes sont vues debout sur une plage de sable avec une donnant un coup de pied au ballon et en la passant à une autre.")</f>
        <v>Deux personnes sont vues debout sur une plage de sable avec une donnant un coup de pied au ballon et en la passant à une autre.</v>
      </c>
    </row>
    <row r="15092">
      <c r="A15092" s="4" t="s">
        <v>19012</v>
      </c>
      <c r="B15092" s="6" t="s">
        <v>19014</v>
      </c>
      <c r="C15092" s="5" t="str">
        <f>IFERROR(__xludf.DUMMYFUNCTION("GOOGLETRANSLATE(B15092,""en"",""fr"")"),"Les garçons continuent de reprendre le ballon et la quatrième tandis que beaucoup de gens sont vus se promener et jouer dans l'eau.")</f>
        <v>Les garçons continuent de reprendre le ballon et la quatrième tandis que beaucoup de gens sont vus se promener et jouer dans l'eau.</v>
      </c>
    </row>
    <row r="15093">
      <c r="A15093" s="4" t="s">
        <v>19015</v>
      </c>
      <c r="B15093" s="4" t="s">
        <v>19016</v>
      </c>
      <c r="C15093" s="5" t="str">
        <f>IFERROR(__xludf.DUMMYFUNCTION("GOOGLETRANSLATE(B15093,""en"",""fr"")"),"Deux équipes de joueurs de hockey sont à l'intérieur de la patinoire en jouant à un jeu.")</f>
        <v>Deux équipes de joueurs de hockey sont à l'intérieur de la patinoire en jouant à un jeu.</v>
      </c>
    </row>
    <row r="15094">
      <c r="A15094" s="4" t="s">
        <v>19015</v>
      </c>
      <c r="B15094" s="4" t="s">
        <v>19017</v>
      </c>
      <c r="C15094" s="5" t="str">
        <f>IFERROR(__xludf.DUMMYFUNCTION("GOOGLETRANSLATE(B15094,""en"",""fr"")"),"La rondelle est frappée derrière le but et l'équipe le frappe et le jeu continue.")</f>
        <v>La rondelle est frappée derrière le but et l'équipe le frappe et le jeu continue.</v>
      </c>
    </row>
    <row r="15095">
      <c r="A15095" s="4" t="s">
        <v>19015</v>
      </c>
      <c r="B15095" s="4" t="s">
        <v>19018</v>
      </c>
      <c r="C15095" s="5" t="str">
        <f>IFERROR(__xludf.DUMMYFUNCTION("GOOGLETRANSLATE(B15095,""en"",""fr"")"),"Après avoir lutté pour cela, les joueurs ont frappé la rondelle à l'autre bout et il est bloqué par le gardien de but.")</f>
        <v>Après avoir lutté pour cela, les joueurs ont frappé la rondelle à l'autre bout et il est bloqué par le gardien de but.</v>
      </c>
    </row>
    <row r="15096">
      <c r="A15096" s="4" t="s">
        <v>19015</v>
      </c>
      <c r="B15096" s="6" t="s">
        <v>19019</v>
      </c>
      <c r="C15096" s="5" t="str">
        <f>IFERROR(__xludf.DUMMYFUNCTION("GOOGLETRANSLATE(B15096,""en"",""fr"")"),"Chaque équipe se rassemble d'avant en arrière avec la rondelle, mais aucun d'eux ne réussit et ils sont bloqués aux deux extrémités de la patinoire.")</f>
        <v>Chaque équipe se rassemble d'avant en arrière avec la rondelle, mais aucun d'eux ne réussit et ils sont bloqués aux deux extrémités de la patinoire.</v>
      </c>
    </row>
    <row r="15097">
      <c r="A15097" s="4" t="s">
        <v>19020</v>
      </c>
      <c r="B15097" s="4" t="s">
        <v>19021</v>
      </c>
      <c r="C15097" s="5" t="str">
        <f>IFERROR(__xludf.DUMMYFUNCTION("GOOGLETRANSLATE(B15097,""en"",""fr"")"),"Un homme pratique les arts martiaux dans un gymnase tournant et tournant.")</f>
        <v>Un homme pratique les arts martiaux dans un gymnase tournant et tournant.</v>
      </c>
    </row>
    <row r="15098">
      <c r="A15098" s="4" t="s">
        <v>19020</v>
      </c>
      <c r="B15098" s="4" t="s">
        <v>19022</v>
      </c>
      <c r="C15098" s="5" t="str">
        <f>IFERROR(__xludf.DUMMYFUNCTION("GOOGLETRANSLATE(B15098,""en"",""fr"")"),"Ensuite, l'homme s'appuie sur ses mains pour faire tourner son corps et faire des virages.")</f>
        <v>Ensuite, l'homme s'appuie sur ses mains pour faire tourner son corps et faire des virages.</v>
      </c>
    </row>
    <row r="15099">
      <c r="A15099" s="4" t="s">
        <v>19020</v>
      </c>
      <c r="B15099" s="4" t="s">
        <v>19023</v>
      </c>
      <c r="C15099" s="5" t="str">
        <f>IFERROR(__xludf.DUMMYFUNCTION("GOOGLETRANSLATE(B15099,""en"",""fr"")"),"Après, l'homme se tient sur ses mains et incline son corps sur les côtés et le devant.")</f>
        <v>Après, l'homme se tient sur ses mains et incline son corps sur les côtés et le devant.</v>
      </c>
    </row>
    <row r="15100">
      <c r="A15100" s="4" t="s">
        <v>19020</v>
      </c>
      <c r="B15100" s="4" t="s">
        <v>19024</v>
      </c>
      <c r="C15100" s="5" t="str">
        <f>IFERROR(__xludf.DUMMYFUNCTION("GOOGLETRANSLATE(B15100,""en"",""fr"")"),"Ensuite, les se tiennent sur ses mains et tournent son corps.")</f>
        <v>Ensuite, les se tiennent sur ses mains et tournent son corps.</v>
      </c>
    </row>
    <row r="15101">
      <c r="A15101" s="4" t="s">
        <v>19025</v>
      </c>
      <c r="B15101" s="4" t="s">
        <v>19026</v>
      </c>
      <c r="C15101" s="5" t="str">
        <f>IFERROR(__xludf.DUMMYFUNCTION("GOOGLETRANSLATE(B15101,""en"",""fr"")"),"Deux hommes descendent des planches avec un papier déroulant et mettent du ruban adhésif.")</f>
        <v>Deux hommes descendent des planches avec un papier déroulant et mettent du ruban adhésif.</v>
      </c>
    </row>
    <row r="15102">
      <c r="A15102" s="4" t="s">
        <v>19025</v>
      </c>
      <c r="B15102" s="4" t="s">
        <v>19027</v>
      </c>
      <c r="C15102" s="5" t="str">
        <f>IFERROR(__xludf.DUMMYFUNCTION("GOOGLETRANSLATE(B15102,""en"",""fr"")"),"D'autres hommes déposent une feuille verte de papier et continuent de décrocher le papier.")</f>
        <v>D'autres hommes déposent une feuille verte de papier et continuent de décrocher le papier.</v>
      </c>
    </row>
    <row r="15103">
      <c r="A15103" s="4" t="s">
        <v>19025</v>
      </c>
      <c r="B15103" s="4" t="s">
        <v>19028</v>
      </c>
      <c r="C15103" s="5" t="str">
        <f>IFERROR(__xludf.DUMMYFUNCTION("GOOGLETRANSLATE(B15103,""en"",""fr"")"),"Une dernière série de papier est posée avec du ruban adhésif et les hommes continuent de travailler.")</f>
        <v>Une dernière série de papier est posée avec du ruban adhésif et les hommes continuent de travailler.</v>
      </c>
    </row>
    <row r="15104">
      <c r="A15104" s="4" t="s">
        <v>19029</v>
      </c>
      <c r="B15104" s="4" t="s">
        <v>19030</v>
      </c>
      <c r="C15104" s="5" t="str">
        <f>IFERROR(__xludf.DUMMYFUNCTION("GOOGLETRANSLATE(B15104,""en"",""fr"")"),"Nous voyons un match de volleyball universitaire joué par des femmes.")</f>
        <v>Nous voyons un match de volleyball universitaire joué par des femmes.</v>
      </c>
    </row>
    <row r="15105">
      <c r="A15105" s="4" t="s">
        <v>19029</v>
      </c>
      <c r="B15105" s="4" t="s">
        <v>19031</v>
      </c>
      <c r="C15105" s="5" t="str">
        <f>IFERROR(__xludf.DUMMYFUNCTION("GOOGLETRANSLATE(B15105,""en"",""fr"")"),"Un groupe de femmes passe.")</f>
        <v>Un groupe de femmes passe.</v>
      </c>
    </row>
    <row r="15106">
      <c r="A15106" s="4" t="s">
        <v>19029</v>
      </c>
      <c r="B15106" s="4" t="s">
        <v>19032</v>
      </c>
      <c r="C15106" s="5" t="str">
        <f>IFERROR(__xludf.DUMMYFUNCTION("GOOGLETRANSLATE(B15106,""en"",""fr"")"),"Une dame tombe et glisse à travers le sol.")</f>
        <v>Une dame tombe et glisse à travers le sol.</v>
      </c>
    </row>
    <row r="15107">
      <c r="A15107" s="4" t="s">
        <v>19029</v>
      </c>
      <c r="B15107" s="4" t="s">
        <v>19033</v>
      </c>
      <c r="C15107" s="5" t="str">
        <f>IFERROR(__xludf.DUMMYFUNCTION("GOOGLETRANSLATE(B15107,""en"",""fr"")"),"Deux dames hautes cinq.")</f>
        <v>Deux dames hautes cinq.</v>
      </c>
    </row>
    <row r="15108">
      <c r="A15108" s="4" t="s">
        <v>19029</v>
      </c>
      <c r="B15108" s="4" t="s">
        <v>19034</v>
      </c>
      <c r="C15108" s="5" t="str">
        <f>IFERROR(__xludf.DUMMYFUNCTION("GOOGLETRANSLATE(B15108,""en"",""fr"")"),"Trois dames tombent dans la foule sur la gauche.")</f>
        <v>Trois dames tombent dans la foule sur la gauche.</v>
      </c>
    </row>
    <row r="15109">
      <c r="A15109" s="4" t="s">
        <v>19029</v>
      </c>
      <c r="B15109" s="4" t="s">
        <v>19035</v>
      </c>
      <c r="C15109" s="5" t="str">
        <f>IFERROR(__xludf.DUMMYFUNCTION("GOOGLETRANSLATE(B15109,""en"",""fr"")"),"Une dame manque et tombe.")</f>
        <v>Une dame manque et tombe.</v>
      </c>
    </row>
    <row r="15110">
      <c r="A15110" s="4" t="s">
        <v>19029</v>
      </c>
      <c r="B15110" s="4" t="s">
        <v>19036</v>
      </c>
      <c r="C15110" s="5" t="str">
        <f>IFERROR(__xludf.DUMMYFUNCTION("GOOGLETRANSLATE(B15110,""en"",""fr"")"),"Une personne pend un ensemble de clés.")</f>
        <v>Une personne pend un ensemble de clés.</v>
      </c>
    </row>
    <row r="15111">
      <c r="A15111" s="4" t="s">
        <v>19037</v>
      </c>
      <c r="B15111" s="4" t="s">
        <v>19038</v>
      </c>
      <c r="C15111" s="5" t="str">
        <f>IFERROR(__xludf.DUMMYFUNCTION("GOOGLETRANSLATE(B15111,""en"",""fr"")"),"Un gros plan de personnes est montrée assise sur une colline enneigée et regardant la caméra.")</f>
        <v>Un gros plan de personnes est montrée assise sur une colline enneigée et regardant la caméra.</v>
      </c>
    </row>
    <row r="15112">
      <c r="A15112" s="4" t="s">
        <v>19037</v>
      </c>
      <c r="B15112" s="4" t="s">
        <v>19039</v>
      </c>
      <c r="C15112" s="5" t="str">
        <f>IFERROR(__xludf.DUMMYFUNCTION("GOOGLETRANSLATE(B15112,""en"",""fr"")"),"Les gens roulent alors dans des tubes sur le sentier enneigé avec un se déplaçant en bas.")</f>
        <v>Les gens roulent alors dans des tubes sur le sentier enneigé avec un se déplaçant en bas.</v>
      </c>
    </row>
    <row r="15113">
      <c r="A15113" s="4" t="s">
        <v>19040</v>
      </c>
      <c r="B15113" s="4" t="s">
        <v>19041</v>
      </c>
      <c r="C15113" s="5" t="str">
        <f>IFERROR(__xludf.DUMMYFUNCTION("GOOGLETRANSLATE(B15113,""en"",""fr"")"),"Un adolescent a un tas de fléchettes dans ses mains.")</f>
        <v>Un adolescent a un tas de fléchettes dans ses mains.</v>
      </c>
    </row>
    <row r="15114">
      <c r="A15114" s="4" t="s">
        <v>19040</v>
      </c>
      <c r="B15114" s="4" t="s">
        <v>19042</v>
      </c>
      <c r="C15114" s="5" t="str">
        <f>IFERROR(__xludf.DUMMYFUNCTION("GOOGLETRANSLATE(B15114,""en"",""fr"")"),"Il lance chaque fléchette, essayant de frapper sa cible sur le mur.")</f>
        <v>Il lance chaque fléchette, essayant de frapper sa cible sur le mur.</v>
      </c>
    </row>
    <row r="15115">
      <c r="A15115" s="4" t="s">
        <v>19040</v>
      </c>
      <c r="B15115" s="6" t="s">
        <v>19043</v>
      </c>
      <c r="C15115" s="5" t="str">
        <f>IFERROR(__xludf.DUMMYFUNCTION("GOOGLETRANSLATE(B15115,""en"",""fr"")"),"Une caméra de téléphone portable au-dessus de la carte DART enregistre pendant qu'il lance, puis est frappée par une fléchette avant de tomber sur le tapis.")</f>
        <v>Une caméra de téléphone portable au-dessus de la carte DART enregistre pendant qu'il lance, puis est frappée par une fléchette avant de tomber sur le tapis.</v>
      </c>
    </row>
    <row r="15116">
      <c r="A15116" s="4" t="s">
        <v>19044</v>
      </c>
      <c r="B15116" s="4" t="s">
        <v>19045</v>
      </c>
      <c r="C15116" s="5" t="str">
        <f>IFERROR(__xludf.DUMMYFUNCTION("GOOGLETRANSLATE(B15116,""en"",""fr"")"),"Un grand groupe d'enfants est vu dansant dans une pièce suivi par des hommes se déplaçant et riant.")</f>
        <v>Un grand groupe d'enfants est vu dansant dans une pièce suivi par des hommes se déplaçant et riant.</v>
      </c>
    </row>
    <row r="15117">
      <c r="A15117" s="4" t="s">
        <v>19044</v>
      </c>
      <c r="B15117" s="4" t="s">
        <v>19046</v>
      </c>
      <c r="C15117" s="5" t="str">
        <f>IFERROR(__xludf.DUMMYFUNCTION("GOOGLETRANSLATE(B15117,""en"",""fr"")"),"Plus de clips sont montrés des gens qui sautent dans différentes pièces et rient les uns avec les autres.")</f>
        <v>Plus de clips sont montrés des gens qui sautent dans différentes pièces et rient les uns avec les autres.</v>
      </c>
    </row>
    <row r="15118">
      <c r="A15118" s="4" t="s">
        <v>19047</v>
      </c>
      <c r="B15118" s="4" t="s">
        <v>19048</v>
      </c>
      <c r="C15118" s="5" t="str">
        <f>IFERROR(__xludf.DUMMYFUNCTION("GOOGLETRANSLATE(B15118,""en"",""fr"")"),"Un écran noir apparaît avec une écriture jaune dessus.")</f>
        <v>Un écran noir apparaît avec une écriture jaune dessus.</v>
      </c>
    </row>
    <row r="15119">
      <c r="A15119" s="4" t="s">
        <v>19047</v>
      </c>
      <c r="B15119" s="6" t="s">
        <v>19049</v>
      </c>
      <c r="C15119" s="5" t="str">
        <f>IFERROR(__xludf.DUMMYFUNCTION("GOOGLETRANSLATE(B15119,""en"",""fr"")"),"Une fois parti, un champ est montré et une femelle buff lance un coup de pouce dans le champ et une rediffusion est affichée.")</f>
        <v>Une fois parti, un champ est montré et une femelle buff lance un coup de pouce dans le champ et une rediffusion est affichée.</v>
      </c>
    </row>
    <row r="15120">
      <c r="A15120" s="4" t="s">
        <v>19050</v>
      </c>
      <c r="B15120" s="4" t="s">
        <v>19051</v>
      </c>
      <c r="C15120" s="5" t="str">
        <f>IFERROR(__xludf.DUMMYFUNCTION("GOOGLETRANSLATE(B15120,""en"",""fr"")"),"Un corps homme claque un autre homme sur un anneau.")</f>
        <v>Un corps homme claque un autre homme sur un anneau.</v>
      </c>
    </row>
    <row r="15121">
      <c r="A15121" s="4" t="s">
        <v>19050</v>
      </c>
      <c r="B15121" s="4" t="s">
        <v>19052</v>
      </c>
      <c r="C15121" s="5" t="str">
        <f>IFERROR(__xludf.DUMMYFUNCTION("GOOGLETRANSLATE(B15121,""en"",""fr"")"),"Un arbitre tape sur le sol plusieurs fois.")</f>
        <v>Un arbitre tape sur le sol plusieurs fois.</v>
      </c>
    </row>
    <row r="15122">
      <c r="A15122" s="4" t="s">
        <v>19050</v>
      </c>
      <c r="B15122" s="4" t="s">
        <v>19053</v>
      </c>
      <c r="C15122" s="5" t="str">
        <f>IFERROR(__xludf.DUMMYFUNCTION("GOOGLETRANSLATE(B15122,""en"",""fr"")"),"La foule encourage les gens.")</f>
        <v>La foule encourage les gens.</v>
      </c>
    </row>
    <row r="15123">
      <c r="A15123" s="4" t="s">
        <v>19054</v>
      </c>
      <c r="B15123" s="4" t="s">
        <v>1487</v>
      </c>
      <c r="C15123" s="5" t="str">
        <f>IFERROR(__xludf.DUMMYFUNCTION("GOOGLETRANSLATE(B15123,""en"",""fr"")"),"Nous voyons un écran de titre d'ouverture.")</f>
        <v>Nous voyons un écran de titre d'ouverture.</v>
      </c>
    </row>
    <row r="15124">
      <c r="A15124" s="4" t="s">
        <v>19054</v>
      </c>
      <c r="B15124" s="4" t="s">
        <v>19055</v>
      </c>
      <c r="C15124" s="5" t="str">
        <f>IFERROR(__xludf.DUMMYFUNCTION("GOOGLETRANSLATE(B15124,""en"",""fr"")"),"Les hommes grondent et nous voyons la foule et les photos du volley-ball.")</f>
        <v>Les hommes grondent et nous voyons la foule et les photos du volley-ball.</v>
      </c>
    </row>
    <row r="15125">
      <c r="A15125" s="4" t="s">
        <v>19054</v>
      </c>
      <c r="B15125" s="4" t="s">
        <v>19056</v>
      </c>
      <c r="C15125" s="5" t="str">
        <f>IFERROR(__xludf.DUMMYFUNCTION("GOOGLETRANSLATE(B15125,""en"",""fr"")"),"Nous voyons des dames sur la touche.")</f>
        <v>Nous voyons des dames sur la touche.</v>
      </c>
    </row>
    <row r="15126">
      <c r="A15126" s="4" t="s">
        <v>19054</v>
      </c>
      <c r="B15126" s="4" t="s">
        <v>19057</v>
      </c>
      <c r="C15126" s="5" t="str">
        <f>IFERROR(__xludf.DUMMYFUNCTION("GOOGLETRANSLATE(B15126,""en"",""fr"")"),"Un grand homme est montré des jambes en saurant pendant qu'il saute.")</f>
        <v>Un grand homme est montré des jambes en saurant pendant qu'il saute.</v>
      </c>
    </row>
    <row r="15127">
      <c r="A15127" s="4" t="s">
        <v>19054</v>
      </c>
      <c r="B15127" s="4" t="s">
        <v>19058</v>
      </c>
      <c r="C15127" s="5" t="str">
        <f>IFERROR(__xludf.DUMMYFUNCTION("GOOGLETRANSLATE(B15127,""en"",""fr"")"),"Un homme manque un tir et regarde derrière lui et deux hommes regardent derrière eux.")</f>
        <v>Un homme manque un tir et regarde derrière lui et deux hommes regardent derrière eux.</v>
      </c>
    </row>
    <row r="15128">
      <c r="A15128" s="4" t="s">
        <v>19054</v>
      </c>
      <c r="B15128" s="4" t="s">
        <v>19059</v>
      </c>
      <c r="C15128" s="5" t="str">
        <f>IFERROR(__xludf.DUMMYFUNCTION("GOOGLETRANSLATE(B15128,""en"",""fr"")"),"Nous voyons des hommes applaudir et sauter.")</f>
        <v>Nous voyons des hommes applaudir et sauter.</v>
      </c>
    </row>
    <row r="15129">
      <c r="A15129" s="4" t="s">
        <v>19054</v>
      </c>
      <c r="B15129" s="4" t="s">
        <v>19060</v>
      </c>
      <c r="C15129" s="5" t="str">
        <f>IFERROR(__xludf.DUMMYFUNCTION("GOOGLETRANSLATE(B15129,""en"",""fr"")"),"Un coup est fait et des câlins d'équipe.")</f>
        <v>Un coup est fait et des câlins d'équipe.</v>
      </c>
    </row>
    <row r="15130">
      <c r="A15130" s="4" t="s">
        <v>19061</v>
      </c>
      <c r="B15130" s="4" t="s">
        <v>19062</v>
      </c>
      <c r="C15130" s="5" t="str">
        <f>IFERROR(__xludf.DUMMYFUNCTION("GOOGLETRANSLATE(B15130,""en"",""fr"")"),"Un homme nettoie le bord d'une roue avec une brosse, puis l'homme rince la voiture avec un tuyau.")</f>
        <v>Un homme nettoie le bord d'une roue avec une brosse, puis l'homme rince la voiture avec un tuyau.</v>
      </c>
    </row>
    <row r="15131">
      <c r="A15131" s="4" t="s">
        <v>19061</v>
      </c>
      <c r="B15131" s="4" t="s">
        <v>19063</v>
      </c>
      <c r="C15131" s="5" t="str">
        <f>IFERROR(__xludf.DUMMYFUNCTION("GOOGLETRANSLATE(B15131,""en"",""fr"")"),"Après, l'homme applique un détergent avec une brosse à lavage.")</f>
        <v>Après, l'homme applique un détergent avec une brosse à lavage.</v>
      </c>
    </row>
    <row r="15132">
      <c r="A15132" s="4" t="s">
        <v>19061</v>
      </c>
      <c r="B15132" s="4" t="s">
        <v>19064</v>
      </c>
      <c r="C15132" s="5" t="str">
        <f>IFERROR(__xludf.DUMMYFUNCTION("GOOGLETRANSLATE(B15132,""en"",""fr"")"),"Ensuite, la voiture entre dans une machine de lavage automatique automatique.")</f>
        <v>Ensuite, la voiture entre dans une machine de lavage automatique automatique.</v>
      </c>
    </row>
    <row r="15133">
      <c r="A15133" s="4" t="s">
        <v>19065</v>
      </c>
      <c r="B15133" s="4" t="s">
        <v>19066</v>
      </c>
      <c r="C15133" s="5" t="str">
        <f>IFERROR(__xludf.DUMMYFUNCTION("GOOGLETRANSLATE(B15133,""en"",""fr"")"),"Deux personnes se luttent et enlèvent des vêtements.")</f>
        <v>Deux personnes se luttent et enlèvent des vêtements.</v>
      </c>
    </row>
    <row r="15134">
      <c r="A15134" s="4" t="s">
        <v>19065</v>
      </c>
      <c r="B15134" s="4" t="s">
        <v>19067</v>
      </c>
      <c r="C15134" s="5" t="str">
        <f>IFERROR(__xludf.DUMMYFUNCTION("GOOGLETRANSLATE(B15134,""en"",""fr"")"),"Ils s'habillent et volent un kite extrême dans un ouragan.")</f>
        <v>Ils s'habillent et volent un kite extrême dans un ouragan.</v>
      </c>
    </row>
    <row r="15135">
      <c r="A15135" s="4" t="s">
        <v>19065</v>
      </c>
      <c r="B15135" s="4" t="s">
        <v>19068</v>
      </c>
      <c r="C15135" s="5" t="str">
        <f>IFERROR(__xludf.DUMMYFUNCTION("GOOGLETRANSLATE(B15135,""en"",""fr"")"),"Les cerfs-volants s'écrasent une fois dans les gens.")</f>
        <v>Les cerfs-volants s'écrasent une fois dans les gens.</v>
      </c>
    </row>
    <row r="15136">
      <c r="A15136" s="4" t="s">
        <v>19069</v>
      </c>
      <c r="B15136" s="4" t="s">
        <v>19070</v>
      </c>
      <c r="C15136" s="5" t="str">
        <f>IFERROR(__xludf.DUMMYFUNCTION("GOOGLETRANSLATE(B15136,""en"",""fr"")"),"Les gens montent sur des chevaux sur un champ.")</f>
        <v>Les gens montent sur des chevaux sur un champ.</v>
      </c>
    </row>
    <row r="15137">
      <c r="A15137" s="4" t="s">
        <v>19069</v>
      </c>
      <c r="B15137" s="4" t="s">
        <v>19071</v>
      </c>
      <c r="C15137" s="5" t="str">
        <f>IFERROR(__xludf.DUMMYFUNCTION("GOOGLETRANSLATE(B15137,""en"",""fr"")"),"Un chien et une personne se croisent devant la caméra.")</f>
        <v>Un chien et une personne se croisent devant la caméra.</v>
      </c>
    </row>
    <row r="15138">
      <c r="A15138" s="4" t="s">
        <v>19069</v>
      </c>
      <c r="B15138" s="4" t="s">
        <v>19072</v>
      </c>
      <c r="C15138" s="5" t="str">
        <f>IFERROR(__xludf.DUMMYFUNCTION("GOOGLETRANSLATE(B15138,""en"",""fr"")"),"Les chevaux courent sur le terrain.")</f>
        <v>Les chevaux courent sur le terrain.</v>
      </c>
    </row>
    <row r="15139">
      <c r="A15139" s="4" t="s">
        <v>19073</v>
      </c>
      <c r="B15139" s="6" t="s">
        <v>19074</v>
      </c>
      <c r="C15139" s="5" t="str">
        <f>IFERROR(__xludf.DUMMYFUNCTION("GOOGLETRANSLATE(B15139,""en"",""fr"")"),"L'extérieur d'une entreprise est montré et le panneau bleu et blanc sur le pseudo boronien et les fournitures pour animaux de compagnie ""de Boronia Say avec une photo d'un chien dans l'eau et recouverte de mousliennes et d'imprimés de patte sur les côtés"&amp;", et le mot"" chien Le toilettage ""est le long de la face avant du rebord qui dépasse.")</f>
        <v>L'extérieur d'une entreprise est montré et le panneau bleu et blanc sur le pseudo boronien et les fournitures pour animaux de compagnie "de Boronia Say avec une photo d'un chien dans l'eau et recouverte de mousliennes et d'imprimés de patte sur les côtés, et le mot" chien Le toilettage "est le long de la face avant du rebord qui dépasse.</v>
      </c>
    </row>
    <row r="15140">
      <c r="A15140" s="4" t="s">
        <v>19073</v>
      </c>
      <c r="B15140" s="6" t="s">
        <v>19075</v>
      </c>
      <c r="C15140" s="5" t="str">
        <f>IFERROR(__xludf.DUMMYFUNCTION("GOOGLETRANSLATE(B15140,""en"",""fr"")"),"Une femme parle et entre les deux, il y a des clips qui jouent des toiletteurs toiletant les chiens, les clients, les chiens marchant dans le magasin, les produits et les chiens marchant dans le magasin.")</f>
        <v>Une femme parle et entre les deux, il y a des clips qui jouent des toiletteurs toiletant les chiens, les clients, les chiens marchant dans le magasin, les produits et les chiens marchant dans le magasin.</v>
      </c>
    </row>
    <row r="15141">
      <c r="A15141" s="4" t="s">
        <v>19073</v>
      </c>
      <c r="B15141" s="6" t="s">
        <v>19076</v>
      </c>
      <c r="C15141" s="5" t="str">
        <f>IFERROR(__xludf.DUMMYFUNCTION("GOOGLETRANSLATE(B15141,""en"",""fr"")"),"Le même clip de l'extérieur du bâtiment qui a été montré au début est la même vue extérieure qui est montrée à la fin.")</f>
        <v>Le même clip de l'extérieur du bâtiment qui a été montré au début est la même vue extérieure qui est montrée à la fin.</v>
      </c>
    </row>
    <row r="15142">
      <c r="A15142" s="4" t="s">
        <v>19077</v>
      </c>
      <c r="B15142" s="6" t="s">
        <v>19078</v>
      </c>
      <c r="C15142" s="5" t="str">
        <f>IFERROR(__xludf.DUMMYFUNCTION("GOOGLETRANSLATE(B15142,""en"",""fr"")"),"La femme met du beurre dans un bol avec du sucre, de la farine et le mélangez dans une aide à la cuisine, en ajoutant des œufs, de la vanille et de la farine, lorsque le mélange est homogène ajouter des pépites de chocolat.")</f>
        <v>La femme met du beurre dans un bol avec du sucre, de la farine et le mélangez dans une aide à la cuisine, en ajoutant des œufs, de la vanille et de la farine, lorsque le mélange est homogène ajouter des pépites de chocolat.</v>
      </c>
    </row>
    <row r="15143">
      <c r="A15143" s="4" t="s">
        <v>19077</v>
      </c>
      <c r="B15143" s="4" t="s">
        <v>19079</v>
      </c>
      <c r="C15143" s="5" t="str">
        <f>IFERROR(__xludf.DUMMYFUNCTION("GOOGLETRANSLATE(B15143,""en"",""fr"")"),"La pâte est moulée en boules et dans un plateau au four.")</f>
        <v>La pâte est moulée en boules et dans un plateau au four.</v>
      </c>
    </row>
    <row r="15144">
      <c r="A15144" s="4" t="s">
        <v>19080</v>
      </c>
      <c r="B15144" s="4" t="s">
        <v>19081</v>
      </c>
      <c r="C15144" s="5" t="str">
        <f>IFERROR(__xludf.DUMMYFUNCTION("GOOGLETRANSLATE(B15144,""en"",""fr"")"),"Une caméra se déroule autour d'une cuisine sombre et conduit la personne à descendre un escalier.")</f>
        <v>Une caméra se déroule autour d'une cuisine sombre et conduit la personne à descendre un escalier.</v>
      </c>
    </row>
    <row r="15145">
      <c r="A15145" s="4" t="s">
        <v>19080</v>
      </c>
      <c r="B15145" s="6" t="s">
        <v>19082</v>
      </c>
      <c r="C15145" s="5" t="str">
        <f>IFERROR(__xludf.DUMMYFUNCTION("GOOGLETRANSLATE(B15145,""en"",""fr"")"),"Des vêtements sont vus sur le sol suivis d'une femme en bigoudis qui fument une cigarette et jouant sur l'ordinateur.")</f>
        <v>Des vêtements sont vus sur le sol suivis d'une femme en bigoudis qui fument une cigarette et jouant sur l'ordinateur.</v>
      </c>
    </row>
    <row r="15146">
      <c r="A15146" s="4" t="s">
        <v>19080</v>
      </c>
      <c r="B15146" s="4" t="s">
        <v>19083</v>
      </c>
      <c r="C15146" s="5" t="str">
        <f>IFERROR(__xludf.DUMMYFUNCTION("GOOGLETRANSLATE(B15146,""en"",""fr"")"),"Elle parle à la caméra et obtient une photo d'elle et de la caméra ensemble.")</f>
        <v>Elle parle à la caméra et obtient une photo d'elle et de la caméra ensemble.</v>
      </c>
    </row>
    <row r="15147">
      <c r="A15147" s="4" t="s">
        <v>19084</v>
      </c>
      <c r="B15147" s="4" t="s">
        <v>19085</v>
      </c>
      <c r="C15147" s="5" t="str">
        <f>IFERROR(__xludf.DUMMYFUNCTION("GOOGLETRANSLATE(B15147,""en"",""fr"")"),"Un homme est devant une planche à découper recouverte de pommes de terre.")</f>
        <v>Un homme est devant une planche à découper recouverte de pommes de terre.</v>
      </c>
    </row>
    <row r="15148">
      <c r="A15148" s="4" t="s">
        <v>19084</v>
      </c>
      <c r="B15148" s="4" t="s">
        <v>19086</v>
      </c>
      <c r="C15148" s="5" t="str">
        <f>IFERROR(__xludf.DUMMYFUNCTION("GOOGLETRANSLATE(B15148,""en"",""fr"")"),"Il utilise un éplucheur pour peler la peau d'une pomme de terre.")</f>
        <v>Il utilise un éplucheur pour peler la peau d'une pomme de terre.</v>
      </c>
    </row>
    <row r="15149">
      <c r="A15149" s="4" t="s">
        <v>19084</v>
      </c>
      <c r="B15149" s="4" t="s">
        <v>19087</v>
      </c>
      <c r="C15149" s="5" t="str">
        <f>IFERROR(__xludf.DUMMYFUNCTION("GOOGLETRANSLATE(B15149,""en"",""fr"")"),"Il se déplace rapidement, se décollant jusqu'à ce que toutes les pommes de terre soient nues.")</f>
        <v>Il se déplace rapidement, se décollant jusqu'à ce que toutes les pommes de terre soient nues.</v>
      </c>
    </row>
    <row r="15150">
      <c r="A15150" s="4" t="s">
        <v>19088</v>
      </c>
      <c r="B15150" s="4" t="s">
        <v>19089</v>
      </c>
      <c r="C15150" s="5" t="str">
        <f>IFERROR(__xludf.DUMMYFUNCTION("GOOGLETRANSLATE(B15150,""en"",""fr"")"),"Un garçon est assis à une table en bois dans un café.")</f>
        <v>Un garçon est assis à une table en bois dans un café.</v>
      </c>
    </row>
    <row r="15151">
      <c r="A15151" s="4" t="s">
        <v>19088</v>
      </c>
      <c r="B15151" s="4" t="s">
        <v>19090</v>
      </c>
      <c r="C15151" s="5" t="str">
        <f>IFERROR(__xludf.DUMMYFUNCTION("GOOGLETRANSLATE(B15151,""en"",""fr"")"),"Il allume un narguilé, puis tire une traînée sur la fumée.")</f>
        <v>Il allume un narguilé, puis tire une traînée sur la fumée.</v>
      </c>
    </row>
    <row r="15152">
      <c r="A15152" s="4" t="s">
        <v>19088</v>
      </c>
      <c r="B15152" s="4" t="s">
        <v>19091</v>
      </c>
      <c r="C15152" s="5" t="str">
        <f>IFERROR(__xludf.DUMMYFUNCTION("GOOGLETRANSLATE(B15152,""en"",""fr"")"),"Il s'assoit en arrière, soufflant de la fumée de sa bouche.")</f>
        <v>Il s'assoit en arrière, soufflant de la fumée de sa bouche.</v>
      </c>
    </row>
    <row r="15153">
      <c r="A15153" s="4" t="s">
        <v>19092</v>
      </c>
      <c r="B15153" s="4" t="s">
        <v>19093</v>
      </c>
      <c r="C15153" s="5" t="str">
        <f>IFERROR(__xludf.DUMMYFUNCTION("GOOGLETRANSLATE(B15153,""en"",""fr"")"),"Une fille s'assoit et supporte la douleur alors qu'elle obtient un tatouage polynésien traditionnel.")</f>
        <v>Une fille s'assoit et supporte la douleur alors qu'elle obtient un tatouage polynésien traditionnel.</v>
      </c>
    </row>
    <row r="15154">
      <c r="A15154" s="4" t="s">
        <v>19092</v>
      </c>
      <c r="B15154" s="4" t="s">
        <v>19094</v>
      </c>
      <c r="C15154" s="5" t="str">
        <f>IFERROR(__xludf.DUMMYFUNCTION("GOOGLETRANSLATE(B15154,""en"",""fr"")"),"Les artistes s'arrêtent un instant et nettoient la zone.")</f>
        <v>Les artistes s'arrêtent un instant et nettoient la zone.</v>
      </c>
    </row>
    <row r="15155">
      <c r="A15155" s="4" t="s">
        <v>19092</v>
      </c>
      <c r="B15155" s="4" t="s">
        <v>19095</v>
      </c>
      <c r="C15155" s="5" t="str">
        <f>IFERROR(__xludf.DUMMYFUNCTION("GOOGLETRANSLATE(B15155,""en"",""fr"")"),"Ils commencent à continuer à tatouer sa main alors qu'elle endure visiblement la douleur.")</f>
        <v>Ils commencent à continuer à tatouer sa main alors qu'elle endure visiblement la douleur.</v>
      </c>
    </row>
    <row r="15156">
      <c r="A15156" s="4" t="s">
        <v>19096</v>
      </c>
      <c r="B15156" s="4" t="s">
        <v>19097</v>
      </c>
      <c r="C15156" s="5" t="str">
        <f>IFERROR(__xludf.DUMMYFUNCTION("GOOGLETRANSLATE(B15156,""en"",""fr"")"),"La vidéo commence par plusieurs plans de coureurs de BMX roulant le long d'une piste avec un avec une chute dure.")</f>
        <v>La vidéo commence par plusieurs plans de coureurs de BMX roulant le long d'une piste avec un avec une chute dure.</v>
      </c>
    </row>
    <row r="15157">
      <c r="A15157" s="4" t="s">
        <v>19096</v>
      </c>
      <c r="B15157" s="6" t="s">
        <v>19098</v>
      </c>
      <c r="C15157" s="5" t="str">
        <f>IFERROR(__xludf.DUMMYFUNCTION("GOOGLETRANSLATE(B15157,""en"",""fr"")"),"Plusieurs autres photos de personnes roulant sur une piste sont présentées avec beaucoup de temps sur la touche à regarder.")</f>
        <v>Plusieurs autres photos de personnes roulant sur une piste sont présentées avec beaucoup de temps sur la touche à regarder.</v>
      </c>
    </row>
    <row r="15158">
      <c r="A15158" s="4" t="s">
        <v>19096</v>
      </c>
      <c r="B15158" s="4" t="s">
        <v>19099</v>
      </c>
      <c r="C15158" s="5" t="str">
        <f>IFERROR(__xludf.DUMMYFUNCTION("GOOGLETRANSLATE(B15158,""en"",""fr"")"),"Plus de chutes sont montrées avec un effet de mouvement au ralenti et plus de gens continuent de rouler.")</f>
        <v>Plus de chutes sont montrées avec un effet de mouvement au ralenti et plus de gens continuent de rouler.</v>
      </c>
    </row>
    <row r="15159">
      <c r="A15159" s="4" t="s">
        <v>19100</v>
      </c>
      <c r="B15159" s="6" t="s">
        <v>19101</v>
      </c>
      <c r="C15159" s="5" t="str">
        <f>IFERROR(__xludf.DUMMYFUNCTION("GOOGLETRANSLATE(B15159,""en"",""fr"")"),"Un écran noir apparaît avec des mots blancs, rouges, verts et bleus qui disent des ""films de membrillo"" sur un écran, ""Mateo BervelLo"" et ""Trillizos"".")</f>
        <v>Un écran noir apparaît avec des mots blancs, rouges, verts et bleus qui disent des "films de membrillo" sur un écran, "Mateo BervelLo" et "Trillizos".</v>
      </c>
    </row>
    <row r="15160">
      <c r="A15160" s="4" t="s">
        <v>19100</v>
      </c>
      <c r="B15160" s="6" t="s">
        <v>19102</v>
      </c>
      <c r="C15160" s="5" t="str">
        <f>IFERROR(__xludf.DUMMYFUNCTION("GOOGLETRANSLATE(B15160,""en"",""fr"")"),"Un homme est maintenant à l'extérieur, s'assoit sur une boîte en bois et commence à taper ses doigts sur la boîte et à faire rebondir ses pieds sur le sol.")</f>
        <v>Un homme est maintenant à l'extérieur, s'assoit sur une boîte en bois et commence à taper ses doigts sur la boîte et à faire rebondir ses pieds sur le sol.</v>
      </c>
    </row>
    <row r="15161">
      <c r="A15161" s="4" t="s">
        <v>19100</v>
      </c>
      <c r="B15161" s="6" t="s">
        <v>19103</v>
      </c>
      <c r="C15161" s="5" t="str">
        <f>IFERROR(__xludf.DUMMYFUNCTION("GOOGLETRANSLATE(B15161,""en"",""fr"")"),"Un autre homme qui ressemble au premier homme sort d'une porte et s'assoit sur la chaise en plein air près du premier homme et il commence à frapper un bongo.")</f>
        <v>Un autre homme qui ressemble au premier homme sort d'une porte et s'assoit sur la chaise en plein air près du premier homme et il commence à frapper un bongo.</v>
      </c>
    </row>
    <row r="15162">
      <c r="A15162" s="4" t="s">
        <v>19100</v>
      </c>
      <c r="B15162" s="6" t="s">
        <v>19104</v>
      </c>
      <c r="C15162" s="5" t="str">
        <f>IFERROR(__xludf.DUMMYFUNCTION("GOOGLETRANSLATE(B15162,""en"",""fr"")"),"Un troisième homme qui ressemble aux deux hommes précédents avant lui, sort d'une porte et s'asseyent sur la dernière chaise et il joue sur son bongo.")</f>
        <v>Un troisième homme qui ressemble aux deux hommes précédents avant lui, sort d'une porte et s'asseyent sur la dernière chaise et il joue sur son bongo.</v>
      </c>
    </row>
    <row r="15163">
      <c r="A15163" s="4" t="s">
        <v>19105</v>
      </c>
      <c r="B15163" s="4" t="s">
        <v>19106</v>
      </c>
      <c r="C15163" s="5" t="str">
        <f>IFERROR(__xludf.DUMMYFUNCTION("GOOGLETRANSLATE(B15163,""en"",""fr"")"),"La femme se tient devant la caméra dans une salle blanche jouant avec ses cheveux.")</f>
        <v>La femme se tient devant la caméra dans une salle blanche jouant avec ses cheveux.</v>
      </c>
    </row>
    <row r="15164">
      <c r="A15164" s="4" t="s">
        <v>19105</v>
      </c>
      <c r="B15164" s="6" t="s">
        <v>19107</v>
      </c>
      <c r="C15164" s="5" t="str">
        <f>IFERROR(__xludf.DUMMYFUNCTION("GOOGLETRANSLATE(B15164,""en"",""fr"")"),"La femme est assise dans un shair et une femme derrière elle commence à attraper une petite section de ses cheveux en faisant une tresse et en les ancrant avec une épingle à bobby et en les décorant avec des épingles à cheveux.")</f>
        <v>La femme est assise dans un shair et une femme derrière elle commence à attraper une petite section de ses cheveux en faisant une tresse et en les ancrant avec une épingle à bobby et en les décorant avec des épingles à cheveux.</v>
      </c>
    </row>
    <row r="15165">
      <c r="A15165" s="4" t="s">
        <v>19108</v>
      </c>
      <c r="B15165" s="4" t="s">
        <v>19109</v>
      </c>
      <c r="C15165" s="5" t="str">
        <f>IFERROR(__xludf.DUMMYFUNCTION("GOOGLETRANSLATE(B15165,""en"",""fr"")"),"Nous voyons l'écran de titre noir.")</f>
        <v>Nous voyons l'écran de titre noir.</v>
      </c>
    </row>
    <row r="15166">
      <c r="A15166" s="4" t="s">
        <v>19108</v>
      </c>
      <c r="B15166" s="4" t="s">
        <v>19110</v>
      </c>
      <c r="C15166" s="5" t="str">
        <f>IFERROR(__xludf.DUMMYFUNCTION("GOOGLETRANSLATE(B15166,""en"",""fr"")"),"Nous voyons une dame et un homme travaillant sur une machine.")</f>
        <v>Nous voyons une dame et un homme travaillant sur une machine.</v>
      </c>
    </row>
    <row r="15167">
      <c r="A15167" s="4" t="s">
        <v>19108</v>
      </c>
      <c r="B15167" s="4" t="s">
        <v>19111</v>
      </c>
      <c r="C15167" s="5" t="str">
        <f>IFERROR(__xludf.DUMMYFUNCTION("GOOGLETRANSLATE(B15167,""en"",""fr"")"),"Nous voyons les gens debout et parler du produit avec des photos de la machine.")</f>
        <v>Nous voyons les gens debout et parler du produit avec des photos de la machine.</v>
      </c>
    </row>
    <row r="15168">
      <c r="A15168" s="4" t="s">
        <v>19108</v>
      </c>
      <c r="B15168" s="4" t="s">
        <v>19112</v>
      </c>
      <c r="C15168" s="5" t="str">
        <f>IFERROR(__xludf.DUMMYFUNCTION("GOOGLETRANSLATE(B15168,""en"",""fr"")"),"Nous voyons l'affichage sur la machine.")</f>
        <v>Nous voyons l'affichage sur la machine.</v>
      </c>
    </row>
    <row r="15169">
      <c r="A15169" s="4" t="s">
        <v>19108</v>
      </c>
      <c r="B15169" s="4" t="s">
        <v>19113</v>
      </c>
      <c r="C15169" s="5" t="str">
        <f>IFERROR(__xludf.DUMMYFUNCTION("GOOGLETRANSLATE(B15169,""en"",""fr"")"),"La dame monte, définit le temps et court sur la machine.")</f>
        <v>La dame monte, définit le temps et court sur la machine.</v>
      </c>
    </row>
    <row r="15170">
      <c r="A15170" s="4" t="s">
        <v>19108</v>
      </c>
      <c r="B15170" s="4" t="s">
        <v>19114</v>
      </c>
      <c r="C15170" s="5" t="str">
        <f>IFERROR(__xludf.DUMMYFUNCTION("GOOGLETRANSLATE(B15170,""en"",""fr"")"),"Nous voyons juste l'homme parler puis utiliser la machine.")</f>
        <v>Nous voyons juste l'homme parler puis utiliser la machine.</v>
      </c>
    </row>
    <row r="15171">
      <c r="A15171" s="4" t="s">
        <v>19108</v>
      </c>
      <c r="B15171" s="4" t="s">
        <v>19115</v>
      </c>
      <c r="C15171" s="5" t="str">
        <f>IFERROR(__xludf.DUMMYFUNCTION("GOOGLETRANSLATE(B15171,""en"",""fr"")"),"Nous retournons aux gens qui parlent ensemble.")</f>
        <v>Nous retournons aux gens qui parlent ensemble.</v>
      </c>
    </row>
    <row r="15172">
      <c r="A15172" s="4" t="s">
        <v>19108</v>
      </c>
      <c r="B15172" s="4" t="s">
        <v>19116</v>
      </c>
      <c r="C15172" s="5" t="str">
        <f>IFERROR(__xludf.DUMMYFUNCTION("GOOGLETRANSLATE(B15172,""en"",""fr"")"),"Nous voyons les écrans de titre de clôture.")</f>
        <v>Nous voyons les écrans de titre de clôture.</v>
      </c>
    </row>
    <row r="15173">
      <c r="A15173" s="4" t="s">
        <v>19117</v>
      </c>
      <c r="B15173" s="6" t="s">
        <v>19118</v>
      </c>
      <c r="C15173" s="5" t="str">
        <f>IFERROR(__xludf.DUMMYFUNCTION("GOOGLETRANSLATE(B15173,""en"",""fr"")"),"La vidéo commence par une séquence de titre montrant une fille lançant des vêtements sur un homme et un écran de titre.")</f>
        <v>La vidéo commence par une séquence de titre montrant une fille lançant des vêtements sur un homme et un écran de titre.</v>
      </c>
    </row>
    <row r="15174">
      <c r="A15174" s="4" t="s">
        <v>19117</v>
      </c>
      <c r="B15174" s="4" t="s">
        <v>19119</v>
      </c>
      <c r="C15174" s="5" t="str">
        <f>IFERROR(__xludf.DUMMYFUNCTION("GOOGLETRANSLATE(B15174,""en"",""fr"")"),"L'homme et sa famille sont dans une cour en parlant à la caméra.")</f>
        <v>L'homme et sa famille sont dans une cour en parlant à la caméra.</v>
      </c>
    </row>
    <row r="15175">
      <c r="A15175" s="4" t="s">
        <v>19117</v>
      </c>
      <c r="B15175" s="4" t="s">
        <v>19120</v>
      </c>
      <c r="C15175" s="5" t="str">
        <f>IFERROR(__xludf.DUMMYFUNCTION("GOOGLETRANSLATE(B15175,""en"",""fr"")"),"Après avoir parlé, ils applaudissent.")</f>
        <v>Après avoir parlé, ils applaudissent.</v>
      </c>
    </row>
    <row r="15176">
      <c r="A15176" s="4" t="s">
        <v>19117</v>
      </c>
      <c r="B15176" s="4" t="s">
        <v>19121</v>
      </c>
      <c r="C15176" s="5" t="str">
        <f>IFERROR(__xludf.DUMMYFUNCTION("GOOGLETRANSLATE(B15176,""en"",""fr"")"),"L'homme et la femme ont mis un tutu et des yeux bandés.")</f>
        <v>L'homme et la femme ont mis un tutu et des yeux bandés.</v>
      </c>
    </row>
    <row r="15177">
      <c r="A15177" s="4" t="s">
        <v>19117</v>
      </c>
      <c r="B15177" s="4" t="s">
        <v>19122</v>
      </c>
      <c r="C15177" s="5" t="str">
        <f>IFERROR(__xludf.DUMMYFUNCTION("GOOGLETRANSLATE(B15177,""en"",""fr"")"),"Ils commencent alors à Hula Hoop jusqu'à ce que la femme perde.")</f>
        <v>Ils commencent alors à Hula Hoop jusqu'à ce que la femme perde.</v>
      </c>
    </row>
    <row r="15178">
      <c r="A15178" s="4" t="s">
        <v>19117</v>
      </c>
      <c r="B15178" s="4" t="s">
        <v>19123</v>
      </c>
      <c r="C15178" s="5" t="str">
        <f>IFERROR(__xludf.DUMMYFUNCTION("GOOGLETRANSLATE(B15178,""en"",""fr"")"),"Par la suite, ils parlent de la caméra et agitent au revoir.")</f>
        <v>Par la suite, ils parlent de la caméra et agitent au revoir.</v>
      </c>
    </row>
    <row r="15179">
      <c r="A15179" s="4" t="s">
        <v>19124</v>
      </c>
      <c r="B15179" s="6" t="s">
        <v>19125</v>
      </c>
      <c r="C15179" s="5" t="str">
        <f>IFERROR(__xludf.DUMMYFUNCTION("GOOGLETRANSLATE(B15179,""en"",""fr"")"),"Plusieurs plans de décor sont montrés suivis par une personne effectuant une astuce sur une planche à roulettes et d'autres roulant sur une colline.")</f>
        <v>Plusieurs plans de décor sont montrés suivis par une personne effectuant une astuce sur une planche à roulettes et d'autres roulant sur une colline.</v>
      </c>
    </row>
    <row r="15180">
      <c r="A15180" s="4" t="s">
        <v>19124</v>
      </c>
      <c r="B15180" s="6" t="s">
        <v>19126</v>
      </c>
      <c r="C15180" s="5" t="str">
        <f>IFERROR(__xludf.DUMMYFUNCTION("GOOGLETRANSLATE(B15180,""en"",""fr"")"),"Plusieurs plans sont représentés des personnes qui roulent dans la rue sur des planches à roulettes et font plusieurs astuces pendant que la caméra zoome.")</f>
        <v>Plusieurs plans sont représentés des personnes qui roulent dans la rue sur des planches à roulettes et font plusieurs astuces pendant que la caméra zoome.</v>
      </c>
    </row>
    <row r="15181">
      <c r="A15181" s="4" t="s">
        <v>19124</v>
      </c>
      <c r="B15181" s="4" t="s">
        <v>19127</v>
      </c>
      <c r="C15181" s="5" t="str">
        <f>IFERROR(__xludf.DUMMYFUNCTION("GOOGLETRANSLATE(B15181,""en"",""fr"")"),"Un homme tombe à la fin et sa planche s'écrase sur le côté.")</f>
        <v>Un homme tombe à la fin et sa planche s'écrase sur le côté.</v>
      </c>
    </row>
    <row r="15182">
      <c r="A15182" s="4" t="s">
        <v>19128</v>
      </c>
      <c r="B15182" s="4" t="s">
        <v>19129</v>
      </c>
      <c r="C15182" s="5" t="str">
        <f>IFERROR(__xludf.DUMMYFUNCTION("GOOGLETRANSLATE(B15182,""en"",""fr"")"),"Un homme est vu parler à la caméra tout en se démarquant dans une arrière-cour.")</f>
        <v>Un homme est vu parler à la caméra tout en se démarquant dans une arrière-cour.</v>
      </c>
    </row>
    <row r="15183">
      <c r="A15183" s="4" t="s">
        <v>19128</v>
      </c>
      <c r="B15183" s="4" t="s">
        <v>19130</v>
      </c>
      <c r="C15183" s="5" t="str">
        <f>IFERROR(__xludf.DUMMYFUNCTION("GOOGLETRANSLATE(B15183,""en"",""fr"")"),"Il se met à un homme pulvérisant une clôture avec un tuyau et un autre homme qui regarde sur le côté.")</f>
        <v>Il se met à un homme pulvérisant une clôture avec un tuyau et un autre homme qui regarde sur le côté.</v>
      </c>
    </row>
    <row r="15184">
      <c r="A15184" s="4" t="s">
        <v>19128</v>
      </c>
      <c r="B15184" s="6" t="s">
        <v>19131</v>
      </c>
      <c r="C15184" s="5" t="str">
        <f>IFERROR(__xludf.DUMMYFUNCTION("GOOGLETRANSLATE(B15184,""en"",""fr"")"),"L'homme continue de vaporiser le tuyau tandis qu'un autre regarde sur le côté et se reproduit à l'homme de la caméra.")</f>
        <v>L'homme continue de vaporiser le tuyau tandis qu'un autre regarde sur le côté et se reproduit à l'homme de la caméra.</v>
      </c>
    </row>
    <row r="15185">
      <c r="A15185" s="4" t="s">
        <v>19132</v>
      </c>
      <c r="B15185" s="6" t="s">
        <v>19133</v>
      </c>
      <c r="C15185" s="5" t="str">
        <f>IFERROR(__xludf.DUMMYFUNCTION("GOOGLETRANSLATE(B15185,""en"",""fr"")"),"Une jeune femme pâle dans une robe blanche se tient dans la forêt avec de longs cheveux bouclés brunâtres et commence à sauter.")</f>
        <v>Une jeune femme pâle dans une robe blanche se tient dans la forêt avec de longs cheveux bouclés brunâtres et commence à sauter.</v>
      </c>
    </row>
    <row r="15186">
      <c r="A15186" s="4" t="s">
        <v>19132</v>
      </c>
      <c r="B15186" s="4" t="s">
        <v>19134</v>
      </c>
      <c r="C15186" s="5" t="str">
        <f>IFERROR(__xludf.DUMMYFUNCTION("GOOGLETRANSLATE(B15186,""en"",""fr"")"),"Ensuite, elle est montrée avec une chemise noire et des cheveux longs et commence à parler dans un escalier sombre.")</f>
        <v>Ensuite, elle est montrée avec une chemise noire et des cheveux longs et commence à parler dans un escalier sombre.</v>
      </c>
    </row>
    <row r="15187">
      <c r="A15187" s="4" t="s">
        <v>19132</v>
      </c>
      <c r="B15187" s="6" t="s">
        <v>19135</v>
      </c>
      <c r="C15187" s="5" t="str">
        <f>IFERROR(__xludf.DUMMYFUNCTION("GOOGLETRANSLATE(B15187,""en"",""fr"")"),"Elle se lève, retourne sa queue de poney et la caméra repousse sa tenue et elle a une chemise noire et un short bleu et commence à monter les escaliers.")</f>
        <v>Elle se lève, retourne sa queue de poney et la caméra repousse sa tenue et elle a une chemise noire et un short bleu et commence à monter les escaliers.</v>
      </c>
    </row>
    <row r="15188">
      <c r="A15188" s="4" t="s">
        <v>19132</v>
      </c>
      <c r="B15188" s="4" t="s">
        <v>19136</v>
      </c>
      <c r="C15188" s="5" t="str">
        <f>IFERROR(__xludf.DUMMYFUNCTION("GOOGLETRANSLATE(B15188,""en"",""fr"")"),"Ensuite, elle entre dans une pièce et commence à parler à une femme avec une chemise noire et des cheveux blonds.")</f>
        <v>Ensuite, elle entre dans une pièce et commence à parler à une femme avec une chemise noire et des cheveux blonds.</v>
      </c>
    </row>
    <row r="15189">
      <c r="A15189" s="4" t="s">
        <v>19132</v>
      </c>
      <c r="B15189" s="4" t="s">
        <v>19137</v>
      </c>
      <c r="C15189" s="5" t="str">
        <f>IFERROR(__xludf.DUMMYFUNCTION("GOOGLETRANSLATE(B15189,""en"",""fr"")"),"La dame détient une fiche blanche avec des croquis de deux têtes.")</f>
        <v>La dame détient une fiche blanche avec des croquis de deux têtes.</v>
      </c>
    </row>
    <row r="15190">
      <c r="A15190" s="4" t="s">
        <v>19132</v>
      </c>
      <c r="B15190" s="4" t="s">
        <v>19138</v>
      </c>
      <c r="C15190" s="5" t="str">
        <f>IFERROR(__xludf.DUMMYFUNCTION("GOOGLETRANSLATE(B15190,""en"",""fr"")"),"La dame se lave les cheveux et commence à les couper avec une paire de cisaillements sur une très courte longueur.")</f>
        <v>La dame se lave les cheveux et commence à les couper avec une paire de cisaillements sur une très courte longueur.</v>
      </c>
    </row>
    <row r="15191">
      <c r="A15191" s="4" t="s">
        <v>19132</v>
      </c>
      <c r="B15191" s="6" t="s">
        <v>19139</v>
      </c>
      <c r="C15191" s="5" t="str">
        <f>IFERROR(__xludf.DUMMYFUNCTION("GOOGLETRANSLATE(B15191,""en"",""fr"")"),"La fille est assise sur la chaise et commence à secouer ses cheveux de la longueur de l'oreille et à le lever les cheveux coupés dans ses mains.")</f>
        <v>La fille est assise sur la chaise et commence à secouer ses cheveux de la longueur de l'oreille et à le lever les cheveux coupés dans ses mains.</v>
      </c>
    </row>
    <row r="15192">
      <c r="A15192" s="4" t="s">
        <v>19132</v>
      </c>
      <c r="B15192" s="4" t="s">
        <v>19140</v>
      </c>
      <c r="C15192" s="5" t="str">
        <f>IFERROR(__xludf.DUMMYFUNCTION("GOOGLETRANSLATE(B15192,""en"",""fr"")"),"Le coiffeur commence à sécher ses cheveux, à les couper et à les coiffer.")</f>
        <v>Le coiffeur commence à sécher ses cheveux, à les couper et à les coiffer.</v>
      </c>
    </row>
    <row r="15193">
      <c r="A15193" s="4" t="s">
        <v>19132</v>
      </c>
      <c r="B15193" s="4" t="s">
        <v>19141</v>
      </c>
      <c r="C15193" s="5" t="str">
        <f>IFERROR(__xludf.DUMMYFUNCTION("GOOGLETRANSLATE(B15193,""en"",""fr"")"),"Elle continue de baisser ses cheveux pendant que ses cheveux sont sur le comptoir et le sol.")</f>
        <v>Elle continue de baisser ses cheveux pendant que ses cheveux sont sur le comptoir et le sol.</v>
      </c>
    </row>
    <row r="15194">
      <c r="A15194" s="4" t="s">
        <v>19132</v>
      </c>
      <c r="B15194" s="4" t="s">
        <v>19142</v>
      </c>
      <c r="C15194" s="5" t="str">
        <f>IFERROR(__xludf.DUMMYFUNCTION("GOOGLETRANSLATE(B15194,""en"",""fr"")"),"Puis elle est assise sur un banc et sourit à l'idée de sa coupe de cheveux courts.")</f>
        <v>Puis elle est assise sur un banc et sourit à l'idée de sa coupe de cheveux courts.</v>
      </c>
    </row>
    <row r="15195">
      <c r="A15195" s="4" t="s">
        <v>19143</v>
      </c>
      <c r="B15195" s="4" t="s">
        <v>19144</v>
      </c>
      <c r="C15195" s="5" t="str">
        <f>IFERROR(__xludf.DUMMYFUNCTION("GOOGLETRANSLATE(B15195,""en"",""fr"")"),"Une personne est vue entrant dans le cadre devant un grand placard.")</f>
        <v>Une personne est vue entrant dans le cadre devant un grand placard.</v>
      </c>
    </row>
    <row r="15196">
      <c r="A15196" s="4" t="s">
        <v>19143</v>
      </c>
      <c r="B15196" s="4" t="s">
        <v>19145</v>
      </c>
      <c r="C15196" s="5" t="str">
        <f>IFERROR(__xludf.DUMMYFUNCTION("GOOGLETRANSLATE(B15196,""en"",""fr"")"),"La femme laisse ensuite ses cheveux le long de son dos.")</f>
        <v>La femme laisse ensuite ses cheveux le long de son dos.</v>
      </c>
    </row>
    <row r="15197">
      <c r="A15197" s="4" t="s">
        <v>19143</v>
      </c>
      <c r="B15197" s="4" t="s">
        <v>19146</v>
      </c>
      <c r="C15197" s="5" t="str">
        <f>IFERROR(__xludf.DUMMYFUNCTION("GOOGLETRANSLATE(B15197,""en"",""fr"")"),"Elle se brosse les cheveux en continu et se termine en sortant du cadre.")</f>
        <v>Elle se brosse les cheveux en continu et se termine en sortant du cadre.</v>
      </c>
    </row>
    <row r="15198">
      <c r="A15198" s="4" t="s">
        <v>19147</v>
      </c>
      <c r="B15198" s="4" t="s">
        <v>19148</v>
      </c>
      <c r="C15198" s="5" t="str">
        <f>IFERROR(__xludf.DUMMYFUNCTION("GOOGLETRANSLATE(B15198,""en"",""fr"")"),"Un petit groupe de personnes est vu debout devant une table de football saisissante sur les poteaux.")</f>
        <v>Un petit groupe de personnes est vu debout devant une table de football saisissante sur les poteaux.</v>
      </c>
    </row>
    <row r="15199">
      <c r="A15199" s="4" t="s">
        <v>19147</v>
      </c>
      <c r="B15199" s="4" t="s">
        <v>19149</v>
      </c>
      <c r="C15199" s="5" t="str">
        <f>IFERROR(__xludf.DUMMYFUNCTION("GOOGLETRANSLATE(B15199,""en"",""fr"")"),"Les hommes jouent les uns contre les autres tout en faisant des pauses pour prendre un verre et parler avec des coéquipiers.")</f>
        <v>Les hommes jouent les uns contre les autres tout en faisant des pauses pour prendre un verre et parler avec des coéquipiers.</v>
      </c>
    </row>
    <row r="15200">
      <c r="A15200" s="4" t="s">
        <v>19147</v>
      </c>
      <c r="B15200" s="4" t="s">
        <v>19150</v>
      </c>
      <c r="C15200" s="5" t="str">
        <f>IFERROR(__xludf.DUMMYFUNCTION("GOOGLETRANSLATE(B15200,""en"",""fr"")"),"Les gens se serrent la main et serrent les amis et la famille.")</f>
        <v>Les gens se serrent la main et serrent les amis et la famille.</v>
      </c>
    </row>
    <row r="15201">
      <c r="A15201" s="4" t="s">
        <v>19151</v>
      </c>
      <c r="B15201" s="6" t="s">
        <v>19152</v>
      </c>
      <c r="C15201" s="5" t="str">
        <f>IFERROR(__xludf.DUMMYFUNCTION("GOOGLETRANSLATE(B15201,""en"",""fr"")"),"Une femme se lève et parle dans un jardin à côté d'un lit d'herbes et de plantes et une brouette remplie de paillis.")</f>
        <v>Une femme se lève et parle dans un jardin à côté d'un lit d'herbes et de plantes et une brouette remplie de paillis.</v>
      </c>
    </row>
    <row r="15202">
      <c r="A15202" s="4" t="s">
        <v>19151</v>
      </c>
      <c r="B15202" s="6" t="s">
        <v>19153</v>
      </c>
      <c r="C15202" s="5" t="str">
        <f>IFERROR(__xludf.DUMMYFUNCTION("GOOGLETRANSLATE(B15202,""en"",""fr"")"),"Un jardin d'herbes apparaît avec une femme debout à côté dans un grand jardin à côté d'une brouette remplie de paillis.")</f>
        <v>Un jardin d'herbes apparaît avec une femme debout à côté dans un grand jardin à côté d'une brouette remplie de paillis.</v>
      </c>
    </row>
    <row r="15203">
      <c r="A15203" s="4" t="s">
        <v>19151</v>
      </c>
      <c r="B15203" s="6" t="s">
        <v>19154</v>
      </c>
      <c r="C15203" s="5" t="str">
        <f>IFERROR(__xludf.DUMMYFUNCTION("GOOGLETRANSLATE(B15203,""en"",""fr"")"),"La femme commence à parler à la caméra tout en faisant un geste vers le parterre de fleurs et le paillis, avant finalement de prendre une poignée de paillis.")</f>
        <v>La femme commence à parler à la caméra tout en faisant un geste vers le parterre de fleurs et le paillis, avant finalement de prendre une poignée de paillis.</v>
      </c>
    </row>
    <row r="15204">
      <c r="A15204" s="4" t="s">
        <v>19151</v>
      </c>
      <c r="B15204" s="6" t="s">
        <v>19155</v>
      </c>
      <c r="C15204" s="5" t="str">
        <f>IFERROR(__xludf.DUMMYFUNCTION("GOOGLETRANSLATE(B15204,""en"",""fr"")"),"La femme continue de parler avant que la scène ne se transforme en vidéo de petites pommes de terre rouges sur le sol tirées par la racine.")</f>
        <v>La femme continue de parler avant que la scène ne se transforme en vidéo de petites pommes de terre rouges sur le sol tirées par la racine.</v>
      </c>
    </row>
    <row r="15205">
      <c r="A15205" s="4" t="s">
        <v>19156</v>
      </c>
      <c r="B15205" s="4" t="s">
        <v>19157</v>
      </c>
      <c r="C15205" s="5" t="str">
        <f>IFERROR(__xludf.DUMMYFUNCTION("GOOGLETRANSLATE(B15205,""en"",""fr"")"),"Les gens se tiennent sur un toit en regardant les yeux.")</f>
        <v>Les gens se tiennent sur un toit en regardant les yeux.</v>
      </c>
    </row>
    <row r="15206">
      <c r="A15206" s="4" t="s">
        <v>19156</v>
      </c>
      <c r="B15206" s="4" t="s">
        <v>19158</v>
      </c>
      <c r="C15206" s="5" t="str">
        <f>IFERROR(__xludf.DUMMYFUNCTION("GOOGLETRANSLATE(B15206,""en"",""fr"")"),"Une femme en chemise verte mange des frites.")</f>
        <v>Une femme en chemise verte mange des frites.</v>
      </c>
    </row>
    <row r="15207">
      <c r="A15207" s="4" t="s">
        <v>19156</v>
      </c>
      <c r="B15207" s="4" t="s">
        <v>19159</v>
      </c>
      <c r="C15207" s="5" t="str">
        <f>IFERROR(__xludf.DUMMYFUNCTION("GOOGLETRANSLATE(B15207,""en"",""fr"")"),"Un homme en chemise bleue pointe vers le ciel et déplaçant sa main en rond.")</f>
        <v>Un homme en chemise bleue pointe vers le ciel et déplaçant sa main en rond.</v>
      </c>
    </row>
    <row r="15208">
      <c r="A15208" s="4" t="s">
        <v>19156</v>
      </c>
      <c r="B15208" s="4" t="s">
        <v>19160</v>
      </c>
      <c r="C15208" s="5" t="str">
        <f>IFERROR(__xludf.DUMMYFUNCTION("GOOGLETRANSLATE(B15208,""en"",""fr"")"),"Il y a beaucoup de cerfs-volants dans le ciel autour d'eux.")</f>
        <v>Il y a beaucoup de cerfs-volants dans le ciel autour d'eux.</v>
      </c>
    </row>
    <row r="15209">
      <c r="A15209" s="4" t="s">
        <v>19161</v>
      </c>
      <c r="B15209" s="4" t="s">
        <v>19162</v>
      </c>
      <c r="C15209" s="5" t="str">
        <f>IFERROR(__xludf.DUMMYFUNCTION("GOOGLETRANSLATE(B15209,""en"",""fr"")"),"Nous voyons un homme utiliser une ponceuse électrique pour aiguiser une variété de choses.")</f>
        <v>Nous voyons un homme utiliser une ponceuse électrique pour aiguiser une variété de choses.</v>
      </c>
    </row>
    <row r="15210">
      <c r="A15210" s="4" t="s">
        <v>19161</v>
      </c>
      <c r="B15210" s="4" t="s">
        <v>19163</v>
      </c>
      <c r="C15210" s="5" t="str">
        <f>IFERROR(__xludf.DUMMYFUNCTION("GOOGLETRANSLATE(B15210,""en"",""fr"")"),"Il utilise un étrier et une règle sur un article.")</f>
        <v>Il utilise un étrier et une règle sur un article.</v>
      </c>
    </row>
    <row r="15211">
      <c r="A15211" s="4" t="s">
        <v>19161</v>
      </c>
      <c r="B15211" s="4" t="s">
        <v>19164</v>
      </c>
      <c r="C15211" s="5" t="str">
        <f>IFERROR(__xludf.DUMMYFUNCTION("GOOGLETRANSLATE(B15211,""en"",""fr"")"),"Nous le voyons aiguiser plus de choses et alimenter un outil.")</f>
        <v>Nous le voyons aiguiser plus de choses et alimenter un outil.</v>
      </c>
    </row>
    <row r="15212">
      <c r="A15212" s="4" t="s">
        <v>19161</v>
      </c>
      <c r="B15212" s="4" t="s">
        <v>19165</v>
      </c>
      <c r="C15212" s="5" t="str">
        <f>IFERROR(__xludf.DUMMYFUNCTION("GOOGLETRANSLATE(B15212,""en"",""fr"")"),"L'homme ajuste quelques vis et déplace un bras.")</f>
        <v>L'homme ajuste quelques vis et déplace un bras.</v>
      </c>
    </row>
    <row r="15213">
      <c r="A15213" s="4" t="s">
        <v>19161</v>
      </c>
      <c r="B15213" s="4" t="s">
        <v>19166</v>
      </c>
      <c r="C15213" s="5" t="str">
        <f>IFERROR(__xludf.DUMMYFUNCTION("GOOGLETRANSLATE(B15213,""en"",""fr"")"),"Nous voyons que l'article est livré avec une garantie de 7 ans.")</f>
        <v>Nous voyons que l'article est livré avec une garantie de 7 ans.</v>
      </c>
    </row>
    <row r="15214">
      <c r="A15214" s="4" t="s">
        <v>19161</v>
      </c>
      <c r="B15214" s="4" t="s">
        <v>19167</v>
      </c>
      <c r="C15214" s="5" t="str">
        <f>IFERROR(__xludf.DUMMYFUNCTION("GOOGLETRANSLATE(B15214,""en"",""fr"")"),"L'homme ajoute une huile à l'article et nous voyons l'emballage.")</f>
        <v>L'homme ajoute une huile à l'article et nous voyons l'emballage.</v>
      </c>
    </row>
    <row r="15215">
      <c r="A15215" s="4" t="s">
        <v>19161</v>
      </c>
      <c r="B15215" s="4" t="s">
        <v>19168</v>
      </c>
      <c r="C15215" s="5" t="str">
        <f>IFERROR(__xludf.DUMMYFUNCTION("GOOGLETRANSLATE(B15215,""en"",""fr"")"),"Nous voyons les crédits de fin pour la vidéo.")</f>
        <v>Nous voyons les crédits de fin pour la vidéo.</v>
      </c>
    </row>
    <row r="15216">
      <c r="A15216" s="4" t="s">
        <v>19169</v>
      </c>
      <c r="B15216" s="6" t="s">
        <v>19170</v>
      </c>
      <c r="C15216" s="5" t="str">
        <f>IFERROR(__xludf.DUMMYFUNCTION("GOOGLETRANSLATE(B15216,""en"",""fr"")"),"Un petit groupe de femmes danser ensemble faisant de la chorégraphie avec l'un menant le groupe à l'avant.")</f>
        <v>Un petit groupe de femmes danser ensemble faisant de la chorégraphie avec l'un menant le groupe à l'avant.</v>
      </c>
    </row>
    <row r="15217">
      <c r="A15217" s="4" t="s">
        <v>19169</v>
      </c>
      <c r="B15217" s="6" t="s">
        <v>19171</v>
      </c>
      <c r="C15217" s="5" t="str">
        <f>IFERROR(__xludf.DUMMYFUNCTION("GOOGLETRANSLATE(B15217,""en"",""fr"")"),"La femme continue de danser les uns avec les autres et se termine par un logo Zumba montré en arrière-plan.")</f>
        <v>La femme continue de danser les uns avec les autres et se termine par un logo Zumba montré en arrière-plan.</v>
      </c>
    </row>
    <row r="15218">
      <c r="A15218" s="4" t="s">
        <v>19172</v>
      </c>
      <c r="B15218" s="6" t="s">
        <v>19173</v>
      </c>
      <c r="C15218" s="5" t="str">
        <f>IFERROR(__xludf.DUMMYFUNCTION("GOOGLETRANSLATE(B15218,""en"",""fr"")"),"Une femme est vue debout devant un miroir et commence à sauter la corde tout en souriant à la caméra.")</f>
        <v>Une femme est vue debout devant un miroir et commence à sauter la corde tout en souriant à la caméra.</v>
      </c>
    </row>
    <row r="15219">
      <c r="A15219" s="4" t="s">
        <v>19172</v>
      </c>
      <c r="B15219" s="6" t="s">
        <v>19174</v>
      </c>
      <c r="C15219" s="5" t="str">
        <f>IFERROR(__xludf.DUMMYFUNCTION("GOOGLETRANSLATE(B15219,""en"",""fr"")"),"Elle continue de sauter encore et encore en balançant ses bras et se termine en s'arrêtant pour sourire à la caméra.")</f>
        <v>Elle continue de sauter encore et encore en balançant ses bras et se termine en s'arrêtant pour sourire à la caméra.</v>
      </c>
    </row>
    <row r="15220">
      <c r="A15220" s="4" t="s">
        <v>19175</v>
      </c>
      <c r="B15220" s="4" t="s">
        <v>19176</v>
      </c>
      <c r="C15220" s="5" t="str">
        <f>IFERROR(__xludf.DUMMYFUNCTION("GOOGLETRANSLATE(B15220,""en"",""fr"")"),"La femme se tient dans une cuisine devant une caméra tenant une porte.")</f>
        <v>La femme se tient dans une cuisine devant une caméra tenant une porte.</v>
      </c>
    </row>
    <row r="15221">
      <c r="A15221" s="4" t="s">
        <v>19175</v>
      </c>
      <c r="B15221" s="4" t="s">
        <v>19177</v>
      </c>
      <c r="C15221" s="5" t="str">
        <f>IFERROR(__xludf.DUMMYFUNCTION("GOOGLETRANSLATE(B15221,""en"",""fr"")"),"La femme coupe la porte et étalé de la crème au chocolat sur le dessus et a mis une autre couche de gâteau.")</f>
        <v>La femme coupe la porte et étalé de la crème au chocolat sur le dessus et a mis une autre couche de gâteau.</v>
      </c>
    </row>
    <row r="15222">
      <c r="A15222" s="4" t="s">
        <v>19175</v>
      </c>
      <c r="B15222" s="6" t="s">
        <v>19178</v>
      </c>
      <c r="C15222" s="5" t="str">
        <f>IFERROR(__xludf.DUMMYFUNCTION("GOOGLETRANSLATE(B15222,""en"",""fr"")"),"La femme répand la crème au chocolat à nouveau dans le dessus et mettait une autre couche de gâteau et répand la crème sur le dessus et sur les côtés.")</f>
        <v>La femme répand la crème au chocolat à nouveau dans le dessus et mettait une autre couche de gâteau et répand la crème sur le dessus et sur les côtés.</v>
      </c>
    </row>
    <row r="15223">
      <c r="A15223" s="4" t="s">
        <v>19175</v>
      </c>
      <c r="B15223" s="4" t="s">
        <v>19179</v>
      </c>
      <c r="C15223" s="5" t="str">
        <f>IFERROR(__xludf.DUMMYFUNCTION("GOOGLETRANSLATE(B15223,""en"",""fr"")"),"Femme aplatit la crème et le vernis.")</f>
        <v>Femme aplatit la crème et le vernis.</v>
      </c>
    </row>
    <row r="15224">
      <c r="A15224" s="4" t="s">
        <v>19175</v>
      </c>
      <c r="B15224" s="6" t="s">
        <v>19180</v>
      </c>
      <c r="C15224" s="5" t="str">
        <f>IFERROR(__xludf.DUMMYFUNCTION("GOOGLETRANSLATE(B15224,""en"",""fr"")"),"La femme attrape le fondant blanc et le pétrit, puis couvre le gâteau avec ses mains et coupe le reste, ajoute des ornamènes sur le dessus.")</f>
        <v>La femme attrape le fondant blanc et le pétrit, puis couvre le gâteau avec ses mains et coupe le reste, ajoute des ornamènes sur le dessus.</v>
      </c>
    </row>
    <row r="15225">
      <c r="A15225" s="4" t="s">
        <v>19181</v>
      </c>
      <c r="B15225" s="4" t="s">
        <v>19182</v>
      </c>
      <c r="C15225" s="5" t="str">
        <f>IFERROR(__xludf.DUMMYFUNCTION("GOOGLETRANSLATE(B15225,""en"",""fr"")"),"Un homme fait du vélo.")</f>
        <v>Un homme fait du vélo.</v>
      </c>
    </row>
    <row r="15226">
      <c r="A15226" s="4" t="s">
        <v>19181</v>
      </c>
      <c r="B15226" s="4" t="s">
        <v>19183</v>
      </c>
      <c r="C15226" s="5" t="str">
        <f>IFERROR(__xludf.DUMMYFUNCTION("GOOGLETRANSLATE(B15226,""en"",""fr"")"),"Il parle sur un téléphone portable dans une cuisine.")</f>
        <v>Il parle sur un téléphone portable dans une cuisine.</v>
      </c>
    </row>
    <row r="15227">
      <c r="A15227" s="4" t="s">
        <v>19181</v>
      </c>
      <c r="B15227" s="4" t="s">
        <v>19184</v>
      </c>
      <c r="C15227" s="5" t="str">
        <f>IFERROR(__xludf.DUMMYFUNCTION("GOOGLETRANSLATE(B15227,""en"",""fr"")"),"Il parle ensuite sur un téléphone près d'un garage.")</f>
        <v>Il parle ensuite sur un téléphone près d'un garage.</v>
      </c>
    </row>
    <row r="15228">
      <c r="A15228" s="4" t="s">
        <v>19181</v>
      </c>
      <c r="B15228" s="4" t="s">
        <v>19185</v>
      </c>
      <c r="C15228" s="5" t="str">
        <f>IFERROR(__xludf.DUMMYFUNCTION("GOOGLETRANSLATE(B15228,""en"",""fr"")"),"Il commence à peindre une clôture en bois.")</f>
        <v>Il commence à peindre une clôture en bois.</v>
      </c>
    </row>
    <row r="15229">
      <c r="A15229" s="4" t="s">
        <v>19181</v>
      </c>
      <c r="B15229" s="4" t="s">
        <v>19186</v>
      </c>
      <c r="C15229" s="5" t="str">
        <f>IFERROR(__xludf.DUMMYFUNCTION("GOOGLETRANSLATE(B15229,""en"",""fr"")"),"Il s'assoit et mange de la nourriture.")</f>
        <v>Il s'assoit et mange de la nourriture.</v>
      </c>
    </row>
    <row r="15230">
      <c r="A15230" s="4" t="s">
        <v>19181</v>
      </c>
      <c r="B15230" s="4" t="s">
        <v>19187</v>
      </c>
      <c r="C15230" s="5" t="str">
        <f>IFERROR(__xludf.DUMMYFUNCTION("GOOGLETRANSLATE(B15230,""en"",""fr"")"),"Il a ensuite fini de peindre la clôture.")</f>
        <v>Il a ensuite fini de peindre la clôture.</v>
      </c>
    </row>
    <row r="15231">
      <c r="A15231" s="4" t="s">
        <v>19181</v>
      </c>
      <c r="B15231" s="4" t="s">
        <v>19188</v>
      </c>
      <c r="C15231" s="5" t="str">
        <f>IFERROR(__xludf.DUMMYFUNCTION("GOOGLETRANSLATE(B15231,""en"",""fr"")"),"Il saute en l'air pour célébrer.")</f>
        <v>Il saute en l'air pour célébrer.</v>
      </c>
    </row>
    <row r="15232">
      <c r="A15232" s="4" t="s">
        <v>19189</v>
      </c>
      <c r="B15232" s="4" t="s">
        <v>19190</v>
      </c>
      <c r="C15232" s="5" t="str">
        <f>IFERROR(__xludf.DUMMYFUNCTION("GOOGLETRANSLATE(B15232,""en"",""fr"")"),"Un bébé est assis à une petite table à l'extérieur.")</f>
        <v>Un bébé est assis à une petite table à l'extérieur.</v>
      </c>
    </row>
    <row r="15233">
      <c r="A15233" s="4" t="s">
        <v>19189</v>
      </c>
      <c r="B15233" s="4" t="s">
        <v>19191</v>
      </c>
      <c r="C15233" s="5" t="str">
        <f>IFERROR(__xludf.DUMMYFUNCTION("GOOGLETRANSLATE(B15233,""en"",""fr"")"),"Il fume une cigarette et agite les adultes.")</f>
        <v>Il fume une cigarette et agite les adultes.</v>
      </c>
    </row>
    <row r="15234">
      <c r="A15234" s="4" t="s">
        <v>19189</v>
      </c>
      <c r="B15234" s="4" t="s">
        <v>19192</v>
      </c>
      <c r="C15234" s="5" t="str">
        <f>IFERROR(__xludf.DUMMYFUNCTION("GOOGLETRANSLATE(B15234,""en"",""fr"")"),"Il five une femme, puis continue de fumer.")</f>
        <v>Il five une femme, puis continue de fumer.</v>
      </c>
    </row>
    <row r="15235">
      <c r="A15235" s="4" t="s">
        <v>19193</v>
      </c>
      <c r="B15235" s="6" t="s">
        <v>19194</v>
      </c>
      <c r="C15235" s="5" t="str">
        <f>IFERROR(__xludf.DUMMYFUNCTION("GOOGLETRANSLATE(B15235,""en"",""fr"")"),"Une femme est vue en tenant des ingrédients dans leurs mains tout en parlant à la caméra et en faisant bouillir de l'eau.")</f>
        <v>Une femme est vue en tenant des ingrédients dans leurs mains tout en parlant à la caméra et en faisant bouillir de l'eau.</v>
      </c>
    </row>
    <row r="15236">
      <c r="A15236" s="4" t="s">
        <v>19193</v>
      </c>
      <c r="B15236" s="6" t="s">
        <v>19195</v>
      </c>
      <c r="C15236" s="5" t="str">
        <f>IFERROR(__xludf.DUMMYFUNCTION("GOOGLETRANSLATE(B15236,""en"",""fr"")"),"Elle fait des noix sur une casserole et les verse sur une assiette tout en mélangeant plus d'ingrédients dans une casserole et en le versant sur les noix.")</f>
        <v>Elle fait des noix sur une casserole et les verse sur une assiette tout en mélangeant plus d'ingrédients dans une casserole et en le versant sur les noix.</v>
      </c>
    </row>
    <row r="15237">
      <c r="A15237" s="4" t="s">
        <v>19193</v>
      </c>
      <c r="B15237" s="4" t="s">
        <v>19196</v>
      </c>
      <c r="C15237" s="5" t="str">
        <f>IFERROR(__xludf.DUMMYFUNCTION("GOOGLETRANSLATE(B15237,""en"",""fr"")"),"Elle les mélange tous ensemble et montre plusieurs assiettes à la fin.")</f>
        <v>Elle les mélange tous ensemble et montre plusieurs assiettes à la fin.</v>
      </c>
    </row>
    <row r="15238">
      <c r="A15238" s="4" t="s">
        <v>19197</v>
      </c>
      <c r="B15238" s="4" t="s">
        <v>19198</v>
      </c>
      <c r="C15238" s="5" t="str">
        <f>IFERROR(__xludf.DUMMYFUNCTION("GOOGLETRANSLATE(B15238,""en"",""fr"")"),"Un gros plan d'une guitare est vu suivi par une personne grattant le dos.")</f>
        <v>Un gros plan d'une guitare est vu suivi par une personne grattant le dos.</v>
      </c>
    </row>
    <row r="15239">
      <c r="A15239" s="4" t="s">
        <v>19197</v>
      </c>
      <c r="B15239" s="4" t="s">
        <v>19199</v>
      </c>
      <c r="C15239" s="5" t="str">
        <f>IFERROR(__xludf.DUMMYFUNCTION("GOOGLETRANSLATE(B15239,""en"",""fr"")"),"La personne se déplace les mains de haut en bas du cou de la guitare tout en le déplaçant pour jouer.")</f>
        <v>La personne se déplace les mains de haut en bas du cou de la guitare tout en le déplaçant pour jouer.</v>
      </c>
    </row>
    <row r="15240">
      <c r="A15240" s="4" t="s">
        <v>19197</v>
      </c>
      <c r="B15240" s="4" t="s">
        <v>19200</v>
      </c>
      <c r="C15240" s="5" t="str">
        <f>IFERROR(__xludf.DUMMYFUNCTION("GOOGLETRANSLATE(B15240,""en"",""fr"")"),"L'homme continue de jouer l'instrument et s'arrête à la fin.")</f>
        <v>L'homme continue de jouer l'instrument et s'arrête à la fin.</v>
      </c>
    </row>
    <row r="15241">
      <c r="A15241" s="4" t="s">
        <v>19201</v>
      </c>
      <c r="B15241" s="4" t="s">
        <v>19202</v>
      </c>
      <c r="C15241" s="5" t="str">
        <f>IFERROR(__xludf.DUMMYFUNCTION("GOOGLETRANSLATE(B15241,""en"",""fr"")"),"Une femme est vue entrer dans le cadre tout en parlant à la caméra et en mettant son visage dans la crème.")</f>
        <v>Une femme est vue entrer dans le cadre tout en parlant à la caméra et en mettant son visage dans la crème.</v>
      </c>
    </row>
    <row r="15242">
      <c r="A15242" s="4" t="s">
        <v>19201</v>
      </c>
      <c r="B15242" s="4" t="s">
        <v>19203</v>
      </c>
      <c r="C15242" s="5" t="str">
        <f>IFERROR(__xludf.DUMMYFUNCTION("GOOGLETRANSLATE(B15242,""en"",""fr"")"),"La femme frotte ensuite la crème sur son visage tout en parlant à la caméra.")</f>
        <v>La femme frotte ensuite la crème sur son visage tout en parlant à la caméra.</v>
      </c>
    </row>
    <row r="15243">
      <c r="A15243" s="4" t="s">
        <v>19201</v>
      </c>
      <c r="B15243" s="4" t="s">
        <v>19204</v>
      </c>
      <c r="C15243" s="5" t="str">
        <f>IFERROR(__xludf.DUMMYFUNCTION("GOOGLETRANSLATE(B15243,""en"",""fr"")"),"La caméra se déroule autour de la cuisine pendant que la femme continue de se frotter les mains dans la lotion.")</f>
        <v>La caméra se déroule autour de la cuisine pendant que la femme continue de se frotter les mains dans la lotion.</v>
      </c>
    </row>
    <row r="15244">
      <c r="A15244" s="4" t="s">
        <v>19205</v>
      </c>
      <c r="B15244" s="4" t="s">
        <v>19206</v>
      </c>
      <c r="C15244" s="5" t="str">
        <f>IFERROR(__xludf.DUMMYFUNCTION("GOOGLETRANSLATE(B15244,""en"",""fr"")"),"Nous voyons une personne jet-ski derrière un bateau.")</f>
        <v>Nous voyons une personne jet-ski derrière un bateau.</v>
      </c>
    </row>
    <row r="15245">
      <c r="A15245" s="4" t="s">
        <v>19205</v>
      </c>
      <c r="B15245" s="4" t="s">
        <v>19207</v>
      </c>
      <c r="C15245" s="5" t="str">
        <f>IFERROR(__xludf.DUMMYFUNCTION("GOOGLETRANSLATE(B15245,""en"",""fr"")"),"Le bateau s'échappe à un pinceau.")</f>
        <v>Le bateau s'échappe à un pinceau.</v>
      </c>
    </row>
    <row r="15246">
      <c r="A15246" s="4" t="s">
        <v>19205</v>
      </c>
      <c r="B15246" s="4" t="s">
        <v>19208</v>
      </c>
      <c r="C15246" s="5" t="str">
        <f>IFERROR(__xludf.DUMMYFUNCTION("GOOGLETRANSLATE(B15246,""en"",""fr"")"),"Le skieur est allongé dans le lac.")</f>
        <v>Le skieur est allongé dans le lac.</v>
      </c>
    </row>
    <row r="15247">
      <c r="A15247" s="4" t="s">
        <v>19209</v>
      </c>
      <c r="B15247" s="4" t="s">
        <v>19210</v>
      </c>
      <c r="C15247" s="5" t="str">
        <f>IFERROR(__xludf.DUMMYFUNCTION("GOOGLETRANSLATE(B15247,""en"",""fr"")"),"Un homme joue un accordéon dans la rue.")</f>
        <v>Un homme joue un accordéon dans la rue.</v>
      </c>
    </row>
    <row r="15248">
      <c r="A15248" s="4" t="s">
        <v>19209</v>
      </c>
      <c r="B15248" s="4" t="s">
        <v>19211</v>
      </c>
      <c r="C15248" s="5" t="str">
        <f>IFERROR(__xludf.DUMMYFUNCTION("GOOGLETRANSLATE(B15248,""en"",""fr"")"),"Il porte un sweat à capuche.")</f>
        <v>Il porte un sweat à capuche.</v>
      </c>
    </row>
    <row r="15249">
      <c r="A15249" s="4" t="s">
        <v>19209</v>
      </c>
      <c r="B15249" s="4" t="s">
        <v>19212</v>
      </c>
      <c r="C15249" s="5" t="str">
        <f>IFERROR(__xludf.DUMMYFUNCTION("GOOGLETRANSLATE(B15249,""en"",""fr"")"),"Il est assis à côté de son vélo.")</f>
        <v>Il est assis à côté de son vélo.</v>
      </c>
    </row>
    <row r="15250">
      <c r="A15250" s="4" t="s">
        <v>19209</v>
      </c>
      <c r="B15250" s="4" t="s">
        <v>19213</v>
      </c>
      <c r="C15250" s="5" t="str">
        <f>IFERROR(__xludf.DUMMYFUNCTION("GOOGLETRANSLATE(B15250,""en"",""fr"")"),"Un homme marche en arrière-plan.")</f>
        <v>Un homme marche en arrière-plan.</v>
      </c>
    </row>
    <row r="15251">
      <c r="A15251" s="4" t="s">
        <v>19214</v>
      </c>
      <c r="B15251" s="4" t="s">
        <v>19215</v>
      </c>
      <c r="C15251" s="5" t="str">
        <f>IFERROR(__xludf.DUMMYFUNCTION("GOOGLETRANSLATE(B15251,""en"",""fr"")"),"Les mots ""le lancer du poids"" apparaissent à l'écran sur un athlète.")</f>
        <v>Les mots "le lancer du poids" apparaissent à l'écran sur un athlète.</v>
      </c>
    </row>
    <row r="15252">
      <c r="A15252" s="4" t="s">
        <v>19214</v>
      </c>
      <c r="B15252" s="4" t="s">
        <v>19216</v>
      </c>
      <c r="C15252" s="5" t="str">
        <f>IFERROR(__xludf.DUMMYFUNCTION("GOOGLETRANSLATE(B15252,""en"",""fr"")"),"""The Suit Put Introduction"" apparaît à l'écran suivi de plusieurs athlètes effectuant le sport.")</f>
        <v>"The Suit Put Introduction" apparaît à l'écran suivi de plusieurs athlètes effectuant le sport.</v>
      </c>
    </row>
    <row r="15253">
      <c r="A15253" s="4" t="s">
        <v>19214</v>
      </c>
      <c r="B15253" s="4" t="s">
        <v>19217</v>
      </c>
      <c r="C15253" s="5" t="str">
        <f>IFERROR(__xludf.DUMMYFUNCTION("GOOGLETRANSLATE(B15253,""en"",""fr"")"),"Les mots ""merci d'avoir regardé"" apparaissent à l'écran.")</f>
        <v>Les mots "merci d'avoir regardé" apparaissent à l'écran.</v>
      </c>
    </row>
    <row r="15254">
      <c r="A15254" s="4" t="s">
        <v>19218</v>
      </c>
      <c r="B15254" s="4" t="s">
        <v>19219</v>
      </c>
      <c r="C15254" s="5" t="str">
        <f>IFERROR(__xludf.DUMMYFUNCTION("GOOGLETRANSLATE(B15254,""en"",""fr"")"),"Un homme soulève un grand pichet de bière et commence à le boire.")</f>
        <v>Un homme soulève un grand pichet de bière et commence à le boire.</v>
      </c>
    </row>
    <row r="15255">
      <c r="A15255" s="4" t="s">
        <v>19218</v>
      </c>
      <c r="B15255" s="4" t="s">
        <v>19220</v>
      </c>
      <c r="C15255" s="5" t="str">
        <f>IFERROR(__xludf.DUMMYFUNCTION("GOOGLETRANSLATE(B15255,""en"",""fr"")"),"Les gens assis autour d'une table l'encouragent.")</f>
        <v>Les gens assis autour d'une table l'encouragent.</v>
      </c>
    </row>
    <row r="15256">
      <c r="A15256" s="4" t="s">
        <v>19218</v>
      </c>
      <c r="B15256" s="4" t="s">
        <v>19221</v>
      </c>
      <c r="C15256" s="5" t="str">
        <f>IFERROR(__xludf.DUMMYFUNCTION("GOOGLETRANSLATE(B15256,""en"",""fr"")"),"L'homme met ses mains en l'air et rit.")</f>
        <v>L'homme met ses mains en l'air et rit.</v>
      </c>
    </row>
    <row r="15257">
      <c r="A15257" s="4" t="s">
        <v>19218</v>
      </c>
      <c r="B15257" s="4" t="s">
        <v>19222</v>
      </c>
      <c r="C15257" s="5" t="str">
        <f>IFERROR(__xludf.DUMMYFUNCTION("GOOGLETRANSLATE(B15257,""en"",""fr"")"),"Les gens autour de la table commencent à pomper leurs mains dans l'air.")</f>
        <v>Les gens autour de la table commencent à pomper leurs mains dans l'air.</v>
      </c>
    </row>
    <row r="15258">
      <c r="A15258" s="4" t="s">
        <v>19218</v>
      </c>
      <c r="B15258" s="4" t="s">
        <v>19223</v>
      </c>
      <c r="C15258" s="5" t="str">
        <f>IFERROR(__xludf.DUMMYFUNCTION("GOOGLETRANSLATE(B15258,""en"",""fr"")"),"L'homme applaudit ses mains.")</f>
        <v>L'homme applaudit ses mains.</v>
      </c>
    </row>
    <row r="15259">
      <c r="A15259" s="4" t="s">
        <v>19224</v>
      </c>
      <c r="B15259" s="4" t="s">
        <v>19225</v>
      </c>
      <c r="C15259" s="5" t="str">
        <f>IFERROR(__xludf.DUMMYFUNCTION("GOOGLETRANSLATE(B15259,""en"",""fr"")"),"Un homme se tient au-dessus d'un four en train de cuisiner quelque chose dans une casserole.")</f>
        <v>Un homme se tient au-dessus d'un four en train de cuisiner quelque chose dans une casserole.</v>
      </c>
    </row>
    <row r="15260">
      <c r="A15260" s="4" t="s">
        <v>19224</v>
      </c>
      <c r="B15260" s="4" t="s">
        <v>19226</v>
      </c>
      <c r="C15260" s="5" t="str">
        <f>IFERROR(__xludf.DUMMYFUNCTION("GOOGLETRANSLATE(B15260,""en"",""fr"")"),"Il se penche pour vérifier la flamme.")</f>
        <v>Il se penche pour vérifier la flamme.</v>
      </c>
    </row>
    <row r="15261">
      <c r="A15261" s="4" t="s">
        <v>19224</v>
      </c>
      <c r="B15261" s="4" t="s">
        <v>19227</v>
      </c>
      <c r="C15261" s="5" t="str">
        <f>IFERROR(__xludf.DUMMYFUNCTION("GOOGLETRANSLATE(B15261,""en"",""fr"")"),"Il jette la casserole plusieurs fois.")</f>
        <v>Il jette la casserole plusieurs fois.</v>
      </c>
    </row>
    <row r="15262">
      <c r="A15262" s="4" t="s">
        <v>19224</v>
      </c>
      <c r="B15262" s="4" t="s">
        <v>19228</v>
      </c>
      <c r="C15262" s="5" t="str">
        <f>IFERROR(__xludf.DUMMYFUNCTION("GOOGLETRANSLATE(B15262,""en"",""fr"")"),"Il ajoute des assaisonnements à la casserole.")</f>
        <v>Il ajoute des assaisonnements à la casserole.</v>
      </c>
    </row>
    <row r="15263">
      <c r="A15263" s="4" t="s">
        <v>19224</v>
      </c>
      <c r="B15263" s="4" t="s">
        <v>19229</v>
      </c>
      <c r="C15263" s="5" t="str">
        <f>IFERROR(__xludf.DUMMYFUNCTION("GOOGLETRANSLATE(B15263,""en"",""fr"")"),"Il verse un liquide dans la poêle.")</f>
        <v>Il verse un liquide dans la poêle.</v>
      </c>
    </row>
    <row r="15264">
      <c r="A15264" s="4" t="s">
        <v>19224</v>
      </c>
      <c r="B15264" s="4" t="s">
        <v>19230</v>
      </c>
      <c r="C15264" s="5" t="str">
        <f>IFERROR(__xludf.DUMMYFUNCTION("GOOGLETRANSLATE(B15264,""en"",""fr"")"),"Il secoue à nouveau la casserole.")</f>
        <v>Il secoue à nouveau la casserole.</v>
      </c>
    </row>
    <row r="15265">
      <c r="A15265" s="4" t="s">
        <v>19231</v>
      </c>
      <c r="B15265" s="4" t="s">
        <v>19232</v>
      </c>
      <c r="C15265" s="5" t="str">
        <f>IFERROR(__xludf.DUMMYFUNCTION("GOOGLETRANSLATE(B15265,""en"",""fr"")"),"Une personne aide une autre personne à marcher sur des échasses sur le trottoir.")</f>
        <v>Une personne aide une autre personne à marcher sur des échasses sur le trottoir.</v>
      </c>
    </row>
    <row r="15266">
      <c r="A15266" s="4" t="s">
        <v>19231</v>
      </c>
      <c r="B15266" s="4" t="s">
        <v>19233</v>
      </c>
      <c r="C15266" s="5" t="str">
        <f>IFERROR(__xludf.DUMMYFUNCTION("GOOGLETRANSLATE(B15266,""en"",""fr"")"),"La personne marche d'elles-mêmes.")</f>
        <v>La personne marche d'elles-mêmes.</v>
      </c>
    </row>
    <row r="15267">
      <c r="A15267" s="4" t="s">
        <v>19231</v>
      </c>
      <c r="B15267" s="4" t="s">
        <v>19234</v>
      </c>
      <c r="C15267" s="5" t="str">
        <f>IFERROR(__xludf.DUMMYFUNCTION("GOOGLETRANSLATE(B15267,""en"",""fr"")"),"L'homme s'assoit sur une chaise.")</f>
        <v>L'homme s'assoit sur une chaise.</v>
      </c>
    </row>
    <row r="15268">
      <c r="A15268" s="4" t="s">
        <v>19235</v>
      </c>
      <c r="B15268" s="4" t="s">
        <v>19236</v>
      </c>
      <c r="C15268" s="5" t="str">
        <f>IFERROR(__xludf.DUMMYFUNCTION("GOOGLETRANSLATE(B15268,""en"",""fr"")"),"Plusieurs écrans sont illustrés à un lettrage orange vif sur fond noir.")</f>
        <v>Plusieurs écrans sont illustrés à un lettrage orange vif sur fond noir.</v>
      </c>
    </row>
    <row r="15269">
      <c r="A15269" s="4" t="s">
        <v>19235</v>
      </c>
      <c r="B15269" s="6" t="s">
        <v>19237</v>
      </c>
      <c r="C15269" s="5" t="str">
        <f>IFERROR(__xludf.DUMMYFUNCTION("GOOGLETRANSLATE(B15269,""en"",""fr"")"),"Un homme et une femme se tiennent debout dans une piscine, et l'homme montre les techniques de natation des femmes.")</f>
        <v>Un homme et une femme se tiennent debout dans une piscine, et l'homme montre les techniques de natation des femmes.</v>
      </c>
    </row>
    <row r="15270">
      <c r="A15270" s="4" t="s">
        <v>19235</v>
      </c>
      <c r="B15270" s="6" t="s">
        <v>19238</v>
      </c>
      <c r="C15270" s="5" t="str">
        <f>IFERROR(__xludf.DUMMYFUNCTION("GOOGLETRANSLATE(B15270,""en"",""fr"")"),"La femme commence à imiter les actions de l'homme, en déplaçant ses bras et en plongeant la tête sous l'eau.")</f>
        <v>La femme commence à imiter les actions de l'homme, en déplaçant ses bras et en plongeant la tête sous l'eau.</v>
      </c>
    </row>
    <row r="15271">
      <c r="A15271" s="4" t="s">
        <v>19235</v>
      </c>
      <c r="B15271" s="4" t="s">
        <v>19239</v>
      </c>
      <c r="C15271" s="5" t="str">
        <f>IFERROR(__xludf.DUMMYFUNCTION("GOOGLETRANSLATE(B15271,""en"",""fr"")"),"L'homme lui montre comment nager vers l'extérieur en le faisant lui-même.")</f>
        <v>L'homme lui montre comment nager vers l'extérieur en le faisant lui-même.</v>
      </c>
    </row>
    <row r="15272">
      <c r="A15272" s="4" t="s">
        <v>19235</v>
      </c>
      <c r="B15272" s="4" t="s">
        <v>19240</v>
      </c>
      <c r="C15272" s="5" t="str">
        <f>IFERROR(__xludf.DUMMYFUNCTION("GOOGLETRANSLATE(B15272,""en"",""fr"")"),"La femme regarde qu'il nage.")</f>
        <v>La femme regarde qu'il nage.</v>
      </c>
    </row>
    <row r="15273">
      <c r="A15273" s="4" t="s">
        <v>19241</v>
      </c>
      <c r="B15273" s="4" t="s">
        <v>19242</v>
      </c>
      <c r="C15273" s="5" t="str">
        <f>IFERROR(__xludf.DUMMYFUNCTION("GOOGLETRANSLATE(B15273,""en"",""fr"")"),"Une fille verse des ingrédients dans un bol et les mélange.")</f>
        <v>Une fille verse des ingrédients dans un bol et les mélange.</v>
      </c>
    </row>
    <row r="15274">
      <c r="A15274" s="4" t="s">
        <v>19241</v>
      </c>
      <c r="B15274" s="4" t="s">
        <v>19243</v>
      </c>
      <c r="C15274" s="5" t="str">
        <f>IFERROR(__xludf.DUMMYFUNCTION("GOOGLETRANSLATE(B15274,""en"",""fr"")"),"Elle utilise un emporte-pièce pour couper les formes de la pâte.")</f>
        <v>Elle utilise un emporte-pièce pour couper les formes de la pâte.</v>
      </c>
    </row>
    <row r="15275">
      <c r="A15275" s="4" t="s">
        <v>19241</v>
      </c>
      <c r="B15275" s="4" t="s">
        <v>19244</v>
      </c>
      <c r="C15275" s="5" t="str">
        <f>IFERROR(__xludf.DUMMYFUNCTION("GOOGLETRANSLATE(B15275,""en"",""fr"")"),"Elle plonge la pâte dans un glaçage blanc.")</f>
        <v>Elle plonge la pâte dans un glaçage blanc.</v>
      </c>
    </row>
    <row r="15276">
      <c r="A15276" s="4" t="s">
        <v>19245</v>
      </c>
      <c r="B15276" s="4" t="s">
        <v>19246</v>
      </c>
      <c r="C15276" s="5" t="str">
        <f>IFERROR(__xludf.DUMMYFUNCTION("GOOGLETRANSLATE(B15276,""en"",""fr"")"),"Une personne souffle des feuilles à l'arrière de sa cour.")</f>
        <v>Une personne souffle des feuilles à l'arrière de sa cour.</v>
      </c>
    </row>
    <row r="15277">
      <c r="A15277" s="4" t="s">
        <v>19245</v>
      </c>
      <c r="B15277" s="4" t="s">
        <v>19247</v>
      </c>
      <c r="C15277" s="5" t="str">
        <f>IFERROR(__xludf.DUMMYFUNCTION("GOOGLETRANSLATE(B15277,""en"",""fr"")"),"L'enfant a des problèmes mais fait généralement un bon travail.")</f>
        <v>L'enfant a des problèmes mais fait généralement un bon travail.</v>
      </c>
    </row>
    <row r="15278">
      <c r="A15278" s="4" t="s">
        <v>19248</v>
      </c>
      <c r="B15278" s="4" t="s">
        <v>19249</v>
      </c>
      <c r="C15278" s="5" t="str">
        <f>IFERROR(__xludf.DUMMYFUNCTION("GOOGLETRANSLATE(B15278,""en"",""fr"")"),"Une présentatrice de nouvelles présente une histoire derrière un bureau dans une grande salle de rédaction.")</f>
        <v>Une présentatrice de nouvelles présente une histoire derrière un bureau dans une grande salle de rédaction.</v>
      </c>
    </row>
    <row r="15279">
      <c r="A15279" s="4" t="s">
        <v>19248</v>
      </c>
      <c r="B15279" s="4" t="s">
        <v>19250</v>
      </c>
      <c r="C15279" s="5" t="str">
        <f>IFERROR(__xludf.DUMMYFUNCTION("GOOGLETRANSLATE(B15279,""en"",""fr"")"),"On voit des cigarettes régulières et des cigarettes électriques.")</f>
        <v>On voit des cigarettes régulières et des cigarettes électriques.</v>
      </c>
    </row>
    <row r="15280">
      <c r="A15280" s="4" t="s">
        <v>19248</v>
      </c>
      <c r="B15280" s="4" t="s">
        <v>19251</v>
      </c>
      <c r="C15280" s="5" t="str">
        <f>IFERROR(__xludf.DUMMYFUNCTION("GOOGLETRANSLATE(B15280,""en"",""fr"")"),"L'ancre de nouvelles parle avec un invité dans la salle de rédaction.")</f>
        <v>L'ancre de nouvelles parle avec un invité dans la salle de rédaction.</v>
      </c>
    </row>
    <row r="15281">
      <c r="A15281" s="4" t="s">
        <v>19248</v>
      </c>
      <c r="B15281" s="4" t="s">
        <v>19252</v>
      </c>
      <c r="C15281" s="5" t="str">
        <f>IFERROR(__xludf.DUMMYFUNCTION("GOOGLETRANSLATE(B15281,""en"",""fr"")"),"Les professionnels sont vus dans les bureaux discutant du sujet.")</f>
        <v>Les professionnels sont vus dans les bureaux discutant du sujet.</v>
      </c>
    </row>
    <row r="15282">
      <c r="A15282" s="4" t="s">
        <v>19248</v>
      </c>
      <c r="B15282" s="4" t="s">
        <v>19253</v>
      </c>
      <c r="C15282" s="5" t="str">
        <f>IFERROR(__xludf.DUMMYFUNCTION("GOOGLETRANSLATE(B15282,""en"",""fr"")"),"Le texte est vu sur un fond rouge avec un site Web et des informations.")</f>
        <v>Le texte est vu sur un fond rouge avec un site Web et des informations.</v>
      </c>
    </row>
    <row r="15283">
      <c r="A15283" s="4" t="s">
        <v>19254</v>
      </c>
      <c r="B15283" s="4" t="s">
        <v>19255</v>
      </c>
      <c r="C15283" s="5" t="str">
        <f>IFERROR(__xludf.DUMMYFUNCTION("GOOGLETRANSLATE(B15283,""en"",""fr"")"),"Un homme est montré en souriant et en parlant dans la caméra et en tenant un jeune garçon sur un évier.")</f>
        <v>Un homme est montré en souriant et en parlant dans la caméra et en tenant un jeune garçon sur un évier.</v>
      </c>
    </row>
    <row r="15284">
      <c r="A15284" s="4" t="s">
        <v>19254</v>
      </c>
      <c r="B15284" s="4" t="s">
        <v>19256</v>
      </c>
      <c r="C15284" s="5" t="str">
        <f>IFERROR(__xludf.DUMMYFUNCTION("GOOGLETRANSLATE(B15284,""en"",""fr"")"),"L'homme tient les yeux des garçons pendant qu'il rit et se brosse les dents.")</f>
        <v>L'homme tient les yeux des garçons pendant qu'il rit et se brosse les dents.</v>
      </c>
    </row>
    <row r="15285">
      <c r="A15285" s="4" t="s">
        <v>19257</v>
      </c>
      <c r="B15285" s="4" t="s">
        <v>19258</v>
      </c>
      <c r="C15285" s="5" t="str">
        <f>IFERROR(__xludf.DUMMYFUNCTION("GOOGLETRANSLATE(B15285,""en"",""fr"")"),"Une ballerine commence à danser sur une scène.")</f>
        <v>Une ballerine commence à danser sur une scène.</v>
      </c>
    </row>
    <row r="15286">
      <c r="A15286" s="4" t="s">
        <v>19257</v>
      </c>
      <c r="B15286" s="4" t="s">
        <v>19259</v>
      </c>
      <c r="C15286" s="5" t="str">
        <f>IFERROR(__xludf.DUMMYFUNCTION("GOOGLETRANSLATE(B15286,""en"",""fr"")"),"Elle fait plusieurs tours sur scène.")</f>
        <v>Elle fait plusieurs tours sur scène.</v>
      </c>
    </row>
    <row r="15287">
      <c r="A15287" s="4" t="s">
        <v>19257</v>
      </c>
      <c r="B15287" s="4" t="s">
        <v>19260</v>
      </c>
      <c r="C15287" s="5" t="str">
        <f>IFERROR(__xludf.DUMMYFUNCTION("GOOGLETRANSLATE(B15287,""en"",""fr"")"),"Elle fait un saut sur la scène.")</f>
        <v>Elle fait un saut sur la scène.</v>
      </c>
    </row>
    <row r="15288">
      <c r="A15288" s="4" t="s">
        <v>19257</v>
      </c>
      <c r="B15288" s="4" t="s">
        <v>19261</v>
      </c>
      <c r="C15288" s="5" t="str">
        <f>IFERROR(__xludf.DUMMYFUNCTION("GOOGLETRANSLATE(B15288,""en"",""fr"")"),"Elle se couche sur la scène.")</f>
        <v>Elle se couche sur la scène.</v>
      </c>
    </row>
    <row r="15289">
      <c r="A15289" s="4" t="s">
        <v>19262</v>
      </c>
      <c r="B15289" s="4" t="s">
        <v>19263</v>
      </c>
      <c r="C15289" s="5" t="str">
        <f>IFERROR(__xludf.DUMMYFUNCTION("GOOGLETRANSLATE(B15289,""en"",""fr"")"),"Un homme est vu parler à la caméra qui mène à une personne jouant au crochet.")</f>
        <v>Un homme est vu parler à la caméra qui mène à une personne jouant au crochet.</v>
      </c>
    </row>
    <row r="15290">
      <c r="A15290" s="4" t="s">
        <v>19262</v>
      </c>
      <c r="B15290" s="4" t="s">
        <v>19264</v>
      </c>
      <c r="C15290" s="5" t="str">
        <f>IFERROR(__xludf.DUMMYFUNCTION("GOOGLETRANSLATE(B15290,""en"",""fr"")"),"Plusieurs plans sont montrés des enfants qui frappent les balles ainsi que de parler à la caméra.")</f>
        <v>Plusieurs plans sont montrés des enfants qui frappent les balles ainsi que de parler à la caméra.</v>
      </c>
    </row>
    <row r="15291">
      <c r="A15291" s="4" t="s">
        <v>19262</v>
      </c>
      <c r="B15291" s="4" t="s">
        <v>19265</v>
      </c>
      <c r="C15291" s="5" t="str">
        <f>IFERROR(__xludf.DUMMYFUNCTION("GOOGLETRANSLATE(B15291,""en"",""fr"")"),"Plus d'enfants et d'adultes parlent à la caméra tout en montrant comment ils ont frappé le ballon.")</f>
        <v>Plus d'enfants et d'adultes parlent à la caméra tout en montrant comment ils ont frappé le ballon.</v>
      </c>
    </row>
    <row r="15292">
      <c r="A15292" s="4" t="s">
        <v>19266</v>
      </c>
      <c r="B15292" s="4" t="s">
        <v>19267</v>
      </c>
      <c r="C15292" s="5" t="str">
        <f>IFERROR(__xludf.DUMMYFUNCTION("GOOGLETRANSLATE(B15292,""en"",""fr"")"),"Une personne est vue courir sur une longue piste avec un poteau et tenter de se pousser vers l'avant.")</f>
        <v>Une personne est vue courir sur une longue piste avec un poteau et tenter de se pousser vers l'avant.</v>
      </c>
    </row>
    <row r="15293">
      <c r="A15293" s="4" t="s">
        <v>19266</v>
      </c>
      <c r="B15293" s="4" t="s">
        <v>19268</v>
      </c>
      <c r="C15293" s="5" t="str">
        <f>IFERROR(__xludf.DUMMYFUNCTION("GOOGLETRANSLATE(B15293,""en"",""fr"")"),"Sa course est à nouveau montrée au ralenti alors qu'une autre personne tente de pousser le poteau et échoue.")</f>
        <v>Sa course est à nouveau montrée au ralenti alors qu'une autre personne tente de pousser le poteau et échoue.</v>
      </c>
    </row>
    <row r="15294">
      <c r="A15294" s="4" t="s">
        <v>19266</v>
      </c>
      <c r="B15294" s="4" t="s">
        <v>19269</v>
      </c>
      <c r="C15294" s="5" t="str">
        <f>IFERROR(__xludf.DUMMYFUNCTION("GOOGLETRANSLATE(B15294,""en"",""fr"")"),"Plus de clips sont montrés par des personnes qui tentent de sauter par-dessus le mur et de ne pas la rendre suffisamment haut.")</f>
        <v>Plus de clips sont montrés par des personnes qui tentent de sauter par-dessus le mur et de ne pas la rendre suffisamment haut.</v>
      </c>
    </row>
    <row r="15295">
      <c r="A15295" s="4" t="s">
        <v>19270</v>
      </c>
      <c r="B15295" s="4" t="s">
        <v>19271</v>
      </c>
      <c r="C15295" s="5" t="str">
        <f>IFERROR(__xludf.DUMMYFUNCTION("GOOGLETRANSLATE(B15295,""en"",""fr"")"),"Deux enfants jouent à l'arrière d'un camion.")</f>
        <v>Deux enfants jouent à l'arrière d'un camion.</v>
      </c>
    </row>
    <row r="15296">
      <c r="A15296" s="4" t="s">
        <v>19270</v>
      </c>
      <c r="B15296" s="4" t="s">
        <v>19272</v>
      </c>
      <c r="C15296" s="5" t="str">
        <f>IFERROR(__xludf.DUMMYFUNCTION("GOOGLETRANSLATE(B15296,""en"",""fr"")"),"Les gens se tiennent autour d'un camion de crème glacée jaune.")</f>
        <v>Les gens se tiennent autour d'un camion de crème glacée jaune.</v>
      </c>
    </row>
    <row r="15297">
      <c r="A15297" s="4" t="s">
        <v>19270</v>
      </c>
      <c r="B15297" s="4" t="s">
        <v>19273</v>
      </c>
      <c r="C15297" s="5" t="str">
        <f>IFERROR(__xludf.DUMMYFUNCTION("GOOGLETRANSLATE(B15297,""en"",""fr"")"),"Deux enfants sont assis sur un trottoir en train de manger des glaces.")</f>
        <v>Deux enfants sont assis sur un trottoir en train de manger des glaces.</v>
      </c>
    </row>
    <row r="15298">
      <c r="A15298" s="4" t="s">
        <v>19274</v>
      </c>
      <c r="B15298" s="4" t="s">
        <v>1487</v>
      </c>
      <c r="C15298" s="5" t="str">
        <f>IFERROR(__xludf.DUMMYFUNCTION("GOOGLETRANSLATE(B15298,""en"",""fr"")"),"Nous voyons un écran de titre d'ouverture.")</f>
        <v>Nous voyons un écran de titre d'ouverture.</v>
      </c>
    </row>
    <row r="15299">
      <c r="A15299" s="4" t="s">
        <v>19274</v>
      </c>
      <c r="B15299" s="4" t="s">
        <v>19275</v>
      </c>
      <c r="C15299" s="5" t="str">
        <f>IFERROR(__xludf.DUMMYFUNCTION("GOOGLETRANSLATE(B15299,""en"",""fr"")"),"Nous voyons ensuite une fille courir et tomber sur un glissement et un glissement.")</f>
        <v>Nous voyons ensuite une fille courir et tomber sur un glissement et un glissement.</v>
      </c>
    </row>
    <row r="15300">
      <c r="A15300" s="4" t="s">
        <v>19274</v>
      </c>
      <c r="B15300" s="4" t="s">
        <v>19276</v>
      </c>
      <c r="C15300" s="5" t="str">
        <f>IFERROR(__xludf.DUMMYFUNCTION("GOOGLETRANSLATE(B15300,""en"",""fr"")"),"Nous voyons un autre écran de titre et regardons les enfants glisser vers le bas et sur leur glissement et leur glissière.")</f>
        <v>Nous voyons un autre écran de titre et regardons les enfants glisser vers le bas et sur leur glissement et leur glissière.</v>
      </c>
    </row>
    <row r="15301">
      <c r="A15301" s="4" t="s">
        <v>19274</v>
      </c>
      <c r="B15301" s="4" t="s">
        <v>19277</v>
      </c>
      <c r="C15301" s="5" t="str">
        <f>IFERROR(__xludf.DUMMYFUNCTION("GOOGLETRANSLATE(B15301,""en"",""fr"")"),"Un enfant glisse sur la glissière sur un radeau.")</f>
        <v>Un enfant glisse sur la glissière sur un radeau.</v>
      </c>
    </row>
    <row r="15302">
      <c r="A15302" s="4" t="s">
        <v>19278</v>
      </c>
      <c r="B15302" s="4" t="s">
        <v>19279</v>
      </c>
      <c r="C15302" s="5" t="str">
        <f>IFERROR(__xludf.DUMMYFUNCTION("GOOGLETRANSLATE(B15302,""en"",""fr"")"),"Un homme montre comment allumer une petite fosse de feu.")</f>
        <v>Un homme montre comment allumer une petite fosse de feu.</v>
      </c>
    </row>
    <row r="15303">
      <c r="A15303" s="4" t="s">
        <v>19278</v>
      </c>
      <c r="B15303" s="4" t="s">
        <v>19280</v>
      </c>
      <c r="C15303" s="5" t="str">
        <f>IFERROR(__xludf.DUMMYFUNCTION("GOOGLETRANSLATE(B15303,""en"",""fr"")"),"Tout d'abord, l'homme montre le silex qu'il a pour le feu.")</f>
        <v>Tout d'abord, l'homme montre le silex qu'il a pour le feu.</v>
      </c>
    </row>
    <row r="15304">
      <c r="A15304" s="4" t="s">
        <v>19278</v>
      </c>
      <c r="B15304" s="4" t="s">
        <v>19281</v>
      </c>
      <c r="C15304" s="5" t="str">
        <f>IFERROR(__xludf.DUMMYFUNCTION("GOOGLETRANSLATE(B15304,""en"",""fr"")"),"Il met ensuite le silex dans un tas de bois.")</f>
        <v>Il met ensuite le silex dans un tas de bois.</v>
      </c>
    </row>
    <row r="15305">
      <c r="A15305" s="4" t="s">
        <v>19278</v>
      </c>
      <c r="B15305" s="4" t="s">
        <v>19282</v>
      </c>
      <c r="C15305" s="5" t="str">
        <f>IFERROR(__xludf.DUMMYFUNCTION("GOOGLETRANSLATE(B15305,""en"",""fr"")"),"L'homme allume ensuite le feu, qui se propage lentement dans le bois.")</f>
        <v>L'homme allume ensuite le feu, qui se propage lentement dans le bois.</v>
      </c>
    </row>
    <row r="15306">
      <c r="A15306" s="4" t="s">
        <v>19278</v>
      </c>
      <c r="B15306" s="4" t="s">
        <v>19283</v>
      </c>
      <c r="C15306" s="5" t="str">
        <f>IFERROR(__xludf.DUMMYFUNCTION("GOOGLETRANSLATE(B15306,""en"",""fr"")"),"L'homme pousse ensuite le feu avec des morceaux de bois plat pour étaler le feu.")</f>
        <v>L'homme pousse ensuite le feu avec des morceaux de bois plat pour étaler le feu.</v>
      </c>
    </row>
    <row r="15307">
      <c r="A15307" s="4" t="s">
        <v>19278</v>
      </c>
      <c r="B15307" s="4" t="s">
        <v>19284</v>
      </c>
      <c r="C15307" s="5" t="str">
        <f>IFERROR(__xludf.DUMMYFUNCTION("GOOGLETRANSLATE(B15307,""en"",""fr"")"),"L'homme secoue ensuite les brindilles sur le bois pour étaler davantage le feu.")</f>
        <v>L'homme secoue ensuite les brindilles sur le bois pour étaler davantage le feu.</v>
      </c>
    </row>
    <row r="15308">
      <c r="A15308" s="4" t="s">
        <v>19285</v>
      </c>
      <c r="B15308" s="4" t="s">
        <v>19286</v>
      </c>
      <c r="C15308" s="5" t="str">
        <f>IFERROR(__xludf.DUMMYFUNCTION("GOOGLETRANSLATE(B15308,""en"",""fr"")"),"Il y a deux hommes qui jouent au ping-pong dans un sous-sol.")</f>
        <v>Il y a deux hommes qui jouent au ping-pong dans un sous-sol.</v>
      </c>
    </row>
    <row r="15309">
      <c r="A15309" s="4" t="s">
        <v>19285</v>
      </c>
      <c r="B15309" s="4" t="s">
        <v>19287</v>
      </c>
      <c r="C15309" s="5" t="str">
        <f>IFERROR(__xludf.DUMMYFUNCTION("GOOGLETRANSLATE(B15309,""en"",""fr"")"),"L'un des joueurs porte une chemise noire et l'autre est une chemise bleue.")</f>
        <v>L'un des joueurs porte une chemise noire et l'autre est une chemise bleue.</v>
      </c>
    </row>
    <row r="15310">
      <c r="A15310" s="4" t="s">
        <v>19285</v>
      </c>
      <c r="B15310" s="4" t="s">
        <v>19288</v>
      </c>
      <c r="C15310" s="5" t="str">
        <f>IFERROR(__xludf.DUMMYFUNCTION("GOOGLETRANSLATE(B15310,""en"",""fr"")"),"Il y a un matelas penché contre le mur du sous-sol.")</f>
        <v>Il y a un matelas penché contre le mur du sous-sol.</v>
      </c>
    </row>
    <row r="15311">
      <c r="A15311" s="4" t="s">
        <v>19285</v>
      </c>
      <c r="B15311" s="4" t="s">
        <v>19289</v>
      </c>
      <c r="C15311" s="5" t="str">
        <f>IFERROR(__xludf.DUMMYFUNCTION("GOOGLETRANSLATE(B15311,""en"",""fr"")"),"Les joueurs continuent de jouer un rallye fluide.")</f>
        <v>Les joueurs continuent de jouer un rallye fluide.</v>
      </c>
    </row>
    <row r="15312">
      <c r="A15312" s="4" t="s">
        <v>19285</v>
      </c>
      <c r="B15312" s="4" t="s">
        <v>19290</v>
      </c>
      <c r="C15312" s="5" t="str">
        <f>IFERROR(__xludf.DUMMYFUNCTION("GOOGLETRANSLATE(B15312,""en"",""fr"")"),"Ensuite, la personne en noir manque le coup.")</f>
        <v>Ensuite, la personne en noir manque le coup.</v>
      </c>
    </row>
    <row r="15313">
      <c r="A15313" s="4" t="s">
        <v>19285</v>
      </c>
      <c r="B15313" s="4" t="s">
        <v>19291</v>
      </c>
      <c r="C15313" s="5" t="str">
        <f>IFERROR(__xludf.DUMMYFUNCTION("GOOGLETRANSLATE(B15313,""en"",""fr"")"),"Ils continuent de jouer au ping-pong pendant quelques tours de plus.")</f>
        <v>Ils continuent de jouer au ping-pong pendant quelques tours de plus.</v>
      </c>
    </row>
    <row r="15314">
      <c r="A15314" s="4" t="s">
        <v>19285</v>
      </c>
      <c r="B15314" s="4" t="s">
        <v>19292</v>
      </c>
      <c r="C15314" s="5" t="str">
        <f>IFERROR(__xludf.DUMMYFUNCTION("GOOGLETRANSLATE(B15314,""en"",""fr"")"),"La personne en bleu frappe le ballon dans le filet.")</f>
        <v>La personne en bleu frappe le ballon dans le filet.</v>
      </c>
    </row>
    <row r="15315">
      <c r="A15315" s="4" t="s">
        <v>19285</v>
      </c>
      <c r="B15315" s="4" t="s">
        <v>19293</v>
      </c>
      <c r="C15315" s="5" t="str">
        <f>IFERROR(__xludf.DUMMYFUNCTION("GOOGLETRANSLATE(B15315,""en"",""fr"")"),"Ils continuent de jouer plus jusqu'à ce que la personne en bleu laisse tomber le ballon au sol.")</f>
        <v>Ils continuent de jouer plus jusqu'à ce que la personne en bleu laisse tomber le ballon au sol.</v>
      </c>
    </row>
    <row r="15316">
      <c r="A15316" s="4" t="s">
        <v>19294</v>
      </c>
      <c r="B15316" s="4" t="s">
        <v>19295</v>
      </c>
      <c r="C15316" s="5" t="str">
        <f>IFERROR(__xludf.DUMMYFUNCTION("GOOGLETRANSLATE(B15316,""en"",""fr"")"),"Une personne coupe le haut d'une haie rose à l'aide d'une coupe-haie.")</f>
        <v>Une personne coupe le haut d'une haie rose à l'aide d'une coupe-haie.</v>
      </c>
    </row>
    <row r="15317">
      <c r="A15317" s="4" t="s">
        <v>19294</v>
      </c>
      <c r="B15317" s="4" t="s">
        <v>19296</v>
      </c>
      <c r="C15317" s="5" t="str">
        <f>IFERROR(__xludf.DUMMYFUNCTION("GOOGLETRANSLATE(B15317,""en"",""fr"")"),"Ensuite, l'homme a coupé les côtés de la haie rose sur une maison.")</f>
        <v>Ensuite, l'homme a coupé les côtés de la haie rose sur une maison.</v>
      </c>
    </row>
    <row r="15318">
      <c r="A15318" s="4" t="s">
        <v>19297</v>
      </c>
      <c r="B15318" s="4" t="s">
        <v>19298</v>
      </c>
      <c r="C15318" s="5" t="str">
        <f>IFERROR(__xludf.DUMMYFUNCTION("GOOGLETRANSLATE(B15318,""en"",""fr"")"),"Diverses photos de la fille et un cheval et mène à une personne qui monte sur un cheval sur des sauts.")</f>
        <v>Diverses photos de la fille et un cheval et mène à une personne qui monte sur un cheval sur des sauts.</v>
      </c>
    </row>
    <row r="15319">
      <c r="A15319" s="4" t="s">
        <v>19297</v>
      </c>
      <c r="B15319" s="6" t="s">
        <v>19299</v>
      </c>
      <c r="C15319" s="5" t="str">
        <f>IFERROR(__xludf.DUMMYFUNCTION("GOOGLETRANSLATE(B15319,""en"",""fr"")"),"Plus d'images sont présentées du cheval et de la personne, suivis de plus de clips de la fille chevauchant le cheval.")</f>
        <v>Plus d'images sont présentées du cheval et de la personne, suivis de plus de clips de la fille chevauchant le cheval.</v>
      </c>
    </row>
    <row r="15320">
      <c r="A15320" s="4" t="s">
        <v>19297</v>
      </c>
      <c r="B15320" s="4" t="s">
        <v>19300</v>
      </c>
      <c r="C15320" s="5" t="str">
        <f>IFERROR(__xludf.DUMMYFUNCTION("GOOGLETRANSLATE(B15320,""en"",""fr"")"),"À la fin, le cheval est vu attaché aux écuries et la fille erre autour de lui.")</f>
        <v>À la fin, le cheval est vu attaché aux écuries et la fille erre autour de lui.</v>
      </c>
    </row>
    <row r="15321">
      <c r="A15321" s="4" t="s">
        <v>19301</v>
      </c>
      <c r="B15321" s="4" t="s">
        <v>19302</v>
      </c>
      <c r="C15321" s="5" t="str">
        <f>IFERROR(__xludf.DUMMYFUNCTION("GOOGLETRANSLATE(B15321,""en"",""fr"")"),"Une jeune femme est assise sur une chaise longue rouge alors qu'un tatoueur commence à faire son travail.")</f>
        <v>Une jeune femme est assise sur une chaise longue rouge alors qu'un tatoueur commence à faire son travail.</v>
      </c>
    </row>
    <row r="15322">
      <c r="A15322" s="4" t="s">
        <v>19301</v>
      </c>
      <c r="B15322" s="4" t="s">
        <v>19303</v>
      </c>
      <c r="C15322" s="5" t="str">
        <f>IFERROR(__xludf.DUMMYFUNCTION("GOOGLETRANSLATE(B15322,""en"",""fr"")"),"Alors qu'il applique l'aiguille, la fille se frange dans son visage mais reste aussi immobile que possible.")</f>
        <v>Alors qu'il applique l'aiguille, la fille se frange dans son visage mais reste aussi immobile que possible.</v>
      </c>
    </row>
    <row r="15323">
      <c r="A15323" s="4" t="s">
        <v>19301</v>
      </c>
      <c r="B15323" s="4" t="s">
        <v>19304</v>
      </c>
      <c r="C15323" s="5" t="str">
        <f>IFERROR(__xludf.DUMMYFUNCTION("GOOGLETRANSLATE(B15323,""en"",""fr"")"),"Le tatouage est enfin terminé et l'homme tamponne le reste du tatouage sur son pied.")</f>
        <v>Le tatouage est enfin terminé et l'homme tamponne le reste du tatouage sur son pied.</v>
      </c>
    </row>
    <row r="15324">
      <c r="A15324" s="4" t="s">
        <v>19305</v>
      </c>
      <c r="B15324" s="4" t="s">
        <v>19306</v>
      </c>
      <c r="C15324" s="5" t="str">
        <f>IFERROR(__xludf.DUMMYFUNCTION("GOOGLETRANSLATE(B15324,""en"",""fr"")"),"Un homme entre en cercle sur un champ.")</f>
        <v>Un homme entre en cercle sur un champ.</v>
      </c>
    </row>
    <row r="15325">
      <c r="A15325" s="4" t="s">
        <v>19305</v>
      </c>
      <c r="B15325" s="4" t="s">
        <v>19307</v>
      </c>
      <c r="C15325" s="5" t="str">
        <f>IFERROR(__xludf.DUMMYFUNCTION("GOOGLETRANSLATE(B15325,""en"",""fr"")"),"Il tourne tout en tenant un disque.")</f>
        <v>Il tourne tout en tenant un disque.</v>
      </c>
    </row>
    <row r="15326">
      <c r="A15326" s="4" t="s">
        <v>19305</v>
      </c>
      <c r="B15326" s="4" t="s">
        <v>19308</v>
      </c>
      <c r="C15326" s="5" t="str">
        <f>IFERROR(__xludf.DUMMYFUNCTION("GOOGLETRANSLATE(B15326,""en"",""fr"")"),"Il lâche le disque, le laissant voler dans les airs.")</f>
        <v>Il lâche le disque, le laissant voler dans les airs.</v>
      </c>
    </row>
    <row r="15327">
      <c r="A15327" s="4" t="s">
        <v>19309</v>
      </c>
      <c r="B15327" s="4" t="s">
        <v>19310</v>
      </c>
      <c r="C15327" s="5" t="str">
        <f>IFERROR(__xludf.DUMMYFUNCTION("GOOGLETRANSLATE(B15327,""en"",""fr"")"),"Un homme est assis sur une chaise.")</f>
        <v>Un homme est assis sur une chaise.</v>
      </c>
    </row>
    <row r="15328">
      <c r="A15328" s="4" t="s">
        <v>19309</v>
      </c>
      <c r="B15328" s="4" t="s">
        <v>19311</v>
      </c>
      <c r="C15328" s="5" t="str">
        <f>IFERROR(__xludf.DUMMYFUNCTION("GOOGLETRANSLATE(B15328,""en"",""fr"")"),"Il porte un masque sur son visage.")</f>
        <v>Il porte un masque sur son visage.</v>
      </c>
    </row>
    <row r="15329">
      <c r="A15329" s="4" t="s">
        <v>19309</v>
      </c>
      <c r="B15329" s="4" t="s">
        <v>19312</v>
      </c>
      <c r="C15329" s="5" t="str">
        <f>IFERROR(__xludf.DUMMYFUNCTION("GOOGLETRANSLATE(B15329,""en"",""fr"")"),"Il soudure quelque chose devant lui.")</f>
        <v>Il soudure quelque chose devant lui.</v>
      </c>
    </row>
    <row r="15330">
      <c r="A15330" s="4" t="s">
        <v>19313</v>
      </c>
      <c r="B15330" s="4" t="s">
        <v>19314</v>
      </c>
      <c r="C15330" s="5" t="str">
        <f>IFERROR(__xludf.DUMMYFUNCTION("GOOGLETRANSLATE(B15330,""en"",""fr"")"),"Un jeune garçon est vu assis sur une chaise en détournant les yeux avec d'autres marchant.")</f>
        <v>Un jeune garçon est vu assis sur une chaise en détournant les yeux avec d'autres marchant.</v>
      </c>
    </row>
    <row r="15331">
      <c r="A15331" s="4" t="s">
        <v>19313</v>
      </c>
      <c r="B15331" s="4" t="s">
        <v>19315</v>
      </c>
      <c r="C15331" s="5" t="str">
        <f>IFERROR(__xludf.DUMMYFUNCTION("GOOGLETRANSLATE(B15331,""en"",""fr"")"),"L'homme prend alors une gorgée de boisson et fait un drôle de visage.")</f>
        <v>L'homme prend alors une gorgée de boisson et fait un drôle de visage.</v>
      </c>
    </row>
    <row r="15332">
      <c r="A15332" s="4" t="s">
        <v>19316</v>
      </c>
      <c r="B15332" s="6" t="s">
        <v>19317</v>
      </c>
      <c r="C15332" s="5" t="str">
        <f>IFERROR(__xludf.DUMMYFUNCTION("GOOGLETRANSLATE(B15332,""en"",""fr"")"),"Un grand groupe de personnes se voit marcher dans la neige avec plusieurs interviewés sur la caméra.")</f>
        <v>Un grand groupe de personnes se voit marcher dans la neige avec plusieurs interviewés sur la caméra.</v>
      </c>
    </row>
    <row r="15333">
      <c r="A15333" s="4" t="s">
        <v>19316</v>
      </c>
      <c r="B15333" s="4" t="s">
        <v>19318</v>
      </c>
      <c r="C15333" s="5" t="str">
        <f>IFERROR(__xludf.DUMMYFUNCTION("GOOGLETRANSLATE(B15333,""en"",""fr"")"),"Ils sont vus à l'intérieur d'un magasin aiguisant les skiis et riant les uns avec les autres.")</f>
        <v>Ils sont vus à l'intérieur d'un magasin aiguisant les skiis et riant les uns avec les autres.</v>
      </c>
    </row>
    <row r="15334">
      <c r="A15334" s="4" t="s">
        <v>19319</v>
      </c>
      <c r="B15334" s="6" t="s">
        <v>19320</v>
      </c>
      <c r="C15334" s="5" t="str">
        <f>IFERROR(__xludf.DUMMYFUNCTION("GOOGLETRANSLATE(B15334,""en"",""fr"")"),"Un petit groupe de personnes est vu debout avec une femme tenant des pancartes et mène aux personnes jouant du remorqueur de guerre.")</f>
        <v>Un petit groupe de personnes est vu debout avec une femme tenant des pancartes et mène aux personnes jouant du remorqueur de guerre.</v>
      </c>
    </row>
    <row r="15335">
      <c r="A15335" s="4" t="s">
        <v>19319</v>
      </c>
      <c r="B15335" s="4" t="s">
        <v>19321</v>
      </c>
      <c r="C15335" s="5" t="str">
        <f>IFERROR(__xludf.DUMMYFUNCTION("GOOGLETRANSLATE(B15335,""en"",""fr"")"),"Plusieurs plans des jeux sont affichés ainsi qu'une fille dansant et les enfants se réchauffent.")</f>
        <v>Plusieurs plans des jeux sont affichés ainsi qu'une fille dansant et les enfants se réchauffent.</v>
      </c>
    </row>
    <row r="15336">
      <c r="A15336" s="4" t="s">
        <v>19319</v>
      </c>
      <c r="B15336" s="4" t="s">
        <v>19322</v>
      </c>
      <c r="C15336" s="5" t="str">
        <f>IFERROR(__xludf.DUMMYFUNCTION("GOOGLETRANSLATE(B15336,""en"",""fr"")"),"Les enfants jouent plus de remorqueur d'une guerre et un gros plan du visage d'une personne est vu au ralenti.")</f>
        <v>Les enfants jouent plus de remorqueur d'une guerre et un gros plan du visage d'une personne est vu au ralenti.</v>
      </c>
    </row>
    <row r="15337">
      <c r="A15337" s="4" t="s">
        <v>19323</v>
      </c>
      <c r="B15337" s="4" t="s">
        <v>19324</v>
      </c>
      <c r="C15337" s="5" t="str">
        <f>IFERROR(__xludf.DUMMYFUNCTION("GOOGLETRANSLATE(B15337,""en"",""fr"")"),"Une femme est assise à l'extérieur sur une chaise blanche jouant à l'accordéon.")</f>
        <v>Une femme est assise à l'extérieur sur une chaise blanche jouant à l'accordéon.</v>
      </c>
    </row>
    <row r="15338">
      <c r="A15338" s="4" t="s">
        <v>19323</v>
      </c>
      <c r="B15338" s="4" t="s">
        <v>19325</v>
      </c>
      <c r="C15338" s="5" t="str">
        <f>IFERROR(__xludf.DUMMYFUNCTION("GOOGLETRANSLATE(B15338,""en"",""fr"")"),"Il y a un stand de musique assis devant elle.")</f>
        <v>Il y a un stand de musique assis devant elle.</v>
      </c>
    </row>
    <row r="15339">
      <c r="A15339" s="4" t="s">
        <v>19326</v>
      </c>
      <c r="B15339" s="4" t="s">
        <v>19327</v>
      </c>
      <c r="C15339" s="5" t="str">
        <f>IFERROR(__xludf.DUMMYFUNCTION("GOOGLETRANSLATE(B15339,""en"",""fr"")"),"Nous voyons un homme mettre du matériel puis un joueur de hockey se diriger vers la patinoire.")</f>
        <v>Nous voyons un homme mettre du matériel puis un joueur de hockey se diriger vers la patinoire.</v>
      </c>
    </row>
    <row r="15340">
      <c r="A15340" s="4" t="s">
        <v>19326</v>
      </c>
      <c r="B15340" s="4" t="s">
        <v>19328</v>
      </c>
      <c r="C15340" s="5" t="str">
        <f>IFERROR(__xludf.DUMMYFUNCTION("GOOGLETRANSLATE(B15340,""en"",""fr"")"),"Nous voyons la foule applaudir.")</f>
        <v>Nous voyons la foule applaudir.</v>
      </c>
    </row>
    <row r="15341">
      <c r="A15341" s="4" t="s">
        <v>19326</v>
      </c>
      <c r="B15341" s="4" t="s">
        <v>19329</v>
      </c>
      <c r="C15341" s="5" t="str">
        <f>IFERROR(__xludf.DUMMYFUNCTION("GOOGLETRANSLATE(B15341,""en"",""fr"")"),"Nous voyons un jeu de hockey jouer.")</f>
        <v>Nous voyons un jeu de hockey jouer.</v>
      </c>
    </row>
    <row r="15342">
      <c r="A15342" s="4" t="s">
        <v>19326</v>
      </c>
      <c r="B15342" s="4" t="s">
        <v>19330</v>
      </c>
      <c r="C15342" s="5" t="str">
        <f>IFERROR(__xludf.DUMMYFUNCTION("GOOGLETRANSLATE(B15342,""en"",""fr"")"),"Nous voyons des gens applaudir dans la foule.")</f>
        <v>Nous voyons des gens applaudir dans la foule.</v>
      </c>
    </row>
    <row r="15343">
      <c r="A15343" s="4" t="s">
        <v>19326</v>
      </c>
      <c r="B15343" s="4" t="s">
        <v>19331</v>
      </c>
      <c r="C15343" s="5" t="str">
        <f>IFERROR(__xludf.DUMMYFUNCTION("GOOGLETRANSLATE(B15343,""en"",""fr"")"),"Une main d'un homme est serrée et voir toute l'équipe sur la glace.")</f>
        <v>Une main d'un homme est serrée et voir toute l'équipe sur la glace.</v>
      </c>
    </row>
    <row r="15344">
      <c r="A15344" s="4" t="s">
        <v>19332</v>
      </c>
      <c r="B15344" s="4" t="s">
        <v>19333</v>
      </c>
      <c r="C15344" s="5" t="str">
        <f>IFERROR(__xludf.DUMMYFUNCTION("GOOGLETRANSLATE(B15344,""en"",""fr"")"),"Un homme est vu résoudre un cube Rubix était un autre s'assied à côté de lui et regarde.")</f>
        <v>Un homme est vu résoudre un cube Rubix était un autre s'assied à côté de lui et regarde.</v>
      </c>
    </row>
    <row r="15345">
      <c r="A15345" s="4" t="s">
        <v>19332</v>
      </c>
      <c r="B15345" s="4" t="s">
        <v>19334</v>
      </c>
      <c r="C15345" s="5" t="str">
        <f>IFERROR(__xludf.DUMMYFUNCTION("GOOGLETRANSLATE(B15345,""en"",""fr"")"),"Il résout le puzzle et le pose sur la table puis sourit à la caméra.")</f>
        <v>Il résout le puzzle et le pose sur la table puis sourit à la caméra.</v>
      </c>
    </row>
    <row r="15346">
      <c r="A15346" s="4" t="s">
        <v>19335</v>
      </c>
      <c r="B15346" s="6" t="s">
        <v>19336</v>
      </c>
      <c r="C15346" s="5" t="str">
        <f>IFERROR(__xludf.DUMMYFUNCTION("GOOGLETRANSLATE(B15346,""en"",""fr"")"),"Une vidéo de montage de compétition de tir à l'arc montre des batailles lancées qui se déroulent dans des champs, des salles de convention d'hôtels, des arènes intérieures et des entrepôts.")</f>
        <v>Une vidéo de montage de compétition de tir à l'arc montre des batailles lancées qui se déroulent dans des champs, des salles de convention d'hôtels, des arènes intérieures et des entrepôts.</v>
      </c>
    </row>
    <row r="15347">
      <c r="A15347" s="4" t="s">
        <v>19335</v>
      </c>
      <c r="B15347" s="4" t="s">
        <v>19337</v>
      </c>
      <c r="C15347" s="5" t="str">
        <f>IFERROR(__xludf.DUMMYFUNCTION("GOOGLETRANSLATE(B15347,""en"",""fr"")"),"Un logo pour la balise de tir à l'arc apparaît et une annonce joue pour une autre vidéo et abonnement.")</f>
        <v>Un logo pour la balise de tir à l'arc apparaît et une annonce joue pour une autre vidéo et abonnement.</v>
      </c>
    </row>
    <row r="15348">
      <c r="A15348" s="4" t="s">
        <v>19338</v>
      </c>
      <c r="B15348" s="4" t="s">
        <v>19339</v>
      </c>
      <c r="C15348" s="5" t="str">
        <f>IFERROR(__xludf.DUMMYFUNCTION("GOOGLETRANSLATE(B15348,""en"",""fr"")"),"Un gros plan d'un évier est montré suivi par une personne qui tourne un robinet et saisit la caméra.")</f>
        <v>Un gros plan d'un évier est montré suivi par une personne qui tourne un robinet et saisit la caméra.</v>
      </c>
    </row>
    <row r="15349">
      <c r="A15349" s="4" t="s">
        <v>19338</v>
      </c>
      <c r="B15349" s="4" t="s">
        <v>19340</v>
      </c>
      <c r="C15349" s="5" t="str">
        <f>IFERROR(__xludf.DUMMYFUNCTION("GOOGLETRANSLATE(B15349,""en"",""fr"")"),"Elle fait face à une table et pulvérise un chiffon suivi en poussant le chiffon le long du sol.")</f>
        <v>Elle fait face à une table et pulvérise un chiffon suivi en poussant le chiffon le long du sol.</v>
      </c>
    </row>
    <row r="15350">
      <c r="A15350" s="4" t="s">
        <v>19338</v>
      </c>
      <c r="B15350" s="4" t="s">
        <v>19341</v>
      </c>
      <c r="C15350" s="5" t="str">
        <f>IFERROR(__xludf.DUMMYFUNCTION("GOOGLETRANSLATE(B15350,""en"",""fr"")"),"La femme continue de nettoyer le sol et revient à la caméra.")</f>
        <v>La femme continue de nettoyer le sol et revient à la caméra.</v>
      </c>
    </row>
    <row r="15351">
      <c r="A15351" s="4" t="s">
        <v>19342</v>
      </c>
      <c r="B15351" s="4" t="s">
        <v>19343</v>
      </c>
      <c r="C15351" s="5" t="str">
        <f>IFERROR(__xludf.DUMMYFUNCTION("GOOGLETRANSLATE(B15351,""en"",""fr"")"),"Il y a deux petites filles debout dans une cour intérieure apprenant à jouer à la courge.")</f>
        <v>Il y a deux petites filles debout dans une cour intérieure apprenant à jouer à la courge.</v>
      </c>
    </row>
    <row r="15352">
      <c r="A15352" s="4" t="s">
        <v>19342</v>
      </c>
      <c r="B15352" s="4" t="s">
        <v>19344</v>
      </c>
      <c r="C15352" s="5" t="str">
        <f>IFERROR(__xludf.DUMMYFUNCTION("GOOGLETRANSLATE(B15352,""en"",""fr"")"),"Ils se tiennent avec leurs raquettes et essaient de frapper le ballon contre le mur.")</f>
        <v>Ils se tiennent avec leurs raquettes et essaient de frapper le ballon contre le mur.</v>
      </c>
    </row>
    <row r="15353">
      <c r="A15353" s="4" t="s">
        <v>19342</v>
      </c>
      <c r="B15353" s="4" t="s">
        <v>19345</v>
      </c>
      <c r="C15353" s="5" t="str">
        <f>IFERROR(__xludf.DUMMYFUNCTION("GOOGLETRANSLATE(B15353,""en"",""fr"")"),"Ils tentent de frapper le ballon mais finissent par le brosser sur le sol.")</f>
        <v>Ils tentent de frapper le ballon mais finissent par le brosser sur le sol.</v>
      </c>
    </row>
    <row r="15354">
      <c r="A15354" s="4" t="s">
        <v>19342</v>
      </c>
      <c r="B15354" s="4" t="s">
        <v>19346</v>
      </c>
      <c r="C15354" s="5" t="str">
        <f>IFERROR(__xludf.DUMMYFUNCTION("GOOGLETRANSLATE(B15354,""en"",""fr"")"),"Ils courent autour du terrain en essayant d'attraper le ballon avec leurs raquettes.")</f>
        <v>Ils courent autour du terrain en essayant d'attraper le ballon avec leurs raquettes.</v>
      </c>
    </row>
    <row r="15355">
      <c r="A15355" s="4" t="s">
        <v>19342</v>
      </c>
      <c r="B15355" s="4" t="s">
        <v>19347</v>
      </c>
      <c r="C15355" s="5" t="str">
        <f>IFERROR(__xludf.DUMMYFUNCTION("GOOGLETRANSLATE(B15355,""en"",""fr"")"),"Ils courent en souriant avec leurs raquettes surdimensionnées et courent pour suivre le ballon autour du terrain.")</f>
        <v>Ils courent en souriant avec leurs raquettes surdimensionnées et courent pour suivre le ballon autour du terrain.</v>
      </c>
    </row>
    <row r="15356">
      <c r="A15356" s="4" t="s">
        <v>19348</v>
      </c>
      <c r="B15356" s="4" t="s">
        <v>19349</v>
      </c>
      <c r="C15356" s="5" t="str">
        <f>IFERROR(__xludf.DUMMYFUNCTION("GOOGLETRANSLATE(B15356,""en"",""fr"")"),"Quatre jeunes femmes et un homme sont sur scène, tandis qu'une fille joue de la guitare.")</f>
        <v>Quatre jeunes femmes et un homme sont sur scène, tandis qu'une fille joue de la guitare.</v>
      </c>
    </row>
    <row r="15357">
      <c r="A15357" s="4" t="s">
        <v>19348</v>
      </c>
      <c r="B15357" s="4" t="s">
        <v>19350</v>
      </c>
      <c r="C15357" s="5" t="str">
        <f>IFERROR(__xludf.DUMMYFUNCTION("GOOGLETRANSLATE(B15357,""en"",""fr"")"),"La dame en jaune a commencé à chanter, puis la dame en chemise rose.")</f>
        <v>La dame en jaune a commencé à chanter, puis la dame en chemise rose.</v>
      </c>
    </row>
    <row r="15358">
      <c r="A15358" s="4" t="s">
        <v>19348</v>
      </c>
      <c r="B15358" s="4" t="s">
        <v>19351</v>
      </c>
      <c r="C15358" s="5" t="str">
        <f>IFERROR(__xludf.DUMMYFUNCTION("GOOGLETRANSLATE(B15358,""en"",""fr"")"),"Lorsque les filles ont fini de chanter, la foule a applaudi.")</f>
        <v>Lorsque les filles ont fini de chanter, la foule a applaudi.</v>
      </c>
    </row>
    <row r="15359">
      <c r="A15359" s="4" t="s">
        <v>19352</v>
      </c>
      <c r="B15359" s="4" t="s">
        <v>19353</v>
      </c>
      <c r="C15359" s="5" t="str">
        <f>IFERROR(__xludf.DUMMYFUNCTION("GOOGLETRANSLATE(B15359,""en"",""fr"")"),"Nous voyons un homme tomber dans l'eau à l'envers.")</f>
        <v>Nous voyons un homme tomber dans l'eau à l'envers.</v>
      </c>
    </row>
    <row r="15360">
      <c r="A15360" s="4" t="s">
        <v>19352</v>
      </c>
      <c r="B15360" s="4" t="s">
        <v>19354</v>
      </c>
      <c r="C15360" s="5" t="str">
        <f>IFERROR(__xludf.DUMMYFUNCTION("GOOGLETRANSLATE(B15360,""en"",""fr"")"),"Nous regardons les gens marcher sur une slackline sur un plan d'eau.")</f>
        <v>Nous regardons les gens marcher sur une slackline sur un plan d'eau.</v>
      </c>
    </row>
    <row r="15361">
      <c r="A15361" s="4" t="s">
        <v>19352</v>
      </c>
      <c r="B15361" s="4" t="s">
        <v>19355</v>
      </c>
      <c r="C15361" s="5" t="str">
        <f>IFERROR(__xludf.DUMMYFUNCTION("GOOGLETRANSLATE(B15361,""en"",""fr"")"),"Nous voyons une série de chutes.")</f>
        <v>Nous voyons une série de chutes.</v>
      </c>
    </row>
    <row r="15362">
      <c r="A15362" s="4" t="s">
        <v>19352</v>
      </c>
      <c r="B15362" s="4" t="s">
        <v>19356</v>
      </c>
      <c r="C15362" s="5" t="str">
        <f>IFERROR(__xludf.DUMMYFUNCTION("GOOGLETRANSLATE(B15362,""en"",""fr"")"),"Un homme traverse.")</f>
        <v>Un homme traverse.</v>
      </c>
    </row>
    <row r="15363">
      <c r="A15363" s="4" t="s">
        <v>19352</v>
      </c>
      <c r="B15363" s="4" t="s">
        <v>19357</v>
      </c>
      <c r="C15363" s="5" t="str">
        <f>IFERROR(__xludf.DUMMYFUNCTION("GOOGLETRANSLATE(B15363,""en"",""fr"")"),"Nous voyons un homme grimper un arbre et obtenir une noix de coco.")</f>
        <v>Nous voyons un homme grimper un arbre et obtenir une noix de coco.</v>
      </c>
    </row>
    <row r="15364">
      <c r="A15364" s="4" t="s">
        <v>19352</v>
      </c>
      <c r="B15364" s="4" t="s">
        <v>19358</v>
      </c>
      <c r="C15364" s="5" t="str">
        <f>IFERROR(__xludf.DUMMYFUNCTION("GOOGLETRANSLATE(B15364,""en"",""fr"")"),"La casserole met un robinet dans la noix de coco et la verse dans sa bouche alors qu'il allait sur le sol.")</f>
        <v>La casserole met un robinet dans la noix de coco et la verse dans sa bouche alors qu'il allait sur le sol.</v>
      </c>
    </row>
    <row r="15365">
      <c r="A15365" s="4" t="s">
        <v>19352</v>
      </c>
      <c r="B15365" s="4" t="s">
        <v>19359</v>
      </c>
      <c r="C15365" s="5" t="str">
        <f>IFERROR(__xludf.DUMMYFUNCTION("GOOGLETRANSLATE(B15365,""en"",""fr"")"),"L'homme s'assoit et sourit.")</f>
        <v>L'homme s'assoit et sourit.</v>
      </c>
    </row>
    <row r="15366">
      <c r="A15366" s="4" t="s">
        <v>19360</v>
      </c>
      <c r="B15366" s="4" t="s">
        <v>19361</v>
      </c>
      <c r="C15366" s="5" t="str">
        <f>IFERROR(__xludf.DUMMYFUNCTION("GOOGLETRANSLATE(B15366,""en"",""fr"")"),"Un gros plan de bottes est vu ainsi que la personne qui creuse un trou.")</f>
        <v>Un gros plan de bottes est vu ainsi que la personne qui creuse un trou.</v>
      </c>
    </row>
    <row r="15367">
      <c r="A15367" s="4" t="s">
        <v>19360</v>
      </c>
      <c r="B15367" s="4" t="s">
        <v>19362</v>
      </c>
      <c r="C15367" s="5" t="str">
        <f>IFERROR(__xludf.DUMMYFUNCTION("GOOGLETRANSLATE(B15367,""en"",""fr"")"),"La personne présente de la saleté et y coupe un trou tout en mettant une plante à l'intérieur.")</f>
        <v>La personne présente de la saleté et y coupe un trou tout en mettant une plante à l'intérieur.</v>
      </c>
    </row>
    <row r="15368">
      <c r="A15368" s="4" t="s">
        <v>19360</v>
      </c>
      <c r="B15368" s="4" t="s">
        <v>19363</v>
      </c>
      <c r="C15368" s="5" t="str">
        <f>IFERROR(__xludf.DUMMYFUNCTION("GOOGLETRANSLATE(B15368,""en"",""fr"")"),"La personne met la plante et se termine en dispensant plus de saleté.")</f>
        <v>La personne met la plante et se termine en dispensant plus de saleté.</v>
      </c>
    </row>
    <row r="15369">
      <c r="A15369" s="4" t="s">
        <v>19364</v>
      </c>
      <c r="B15369" s="4" t="s">
        <v>19365</v>
      </c>
      <c r="C15369" s="5" t="str">
        <f>IFERROR(__xludf.DUMMYFUNCTION("GOOGLETRANSLATE(B15369,""en"",""fr"")"),"Un garçon se tient au comptoir face à l'envers depuis la planche de fléchette.")</f>
        <v>Un garçon se tient au comptoir face à l'envers depuis la planche de fléchette.</v>
      </c>
    </row>
    <row r="15370">
      <c r="A15370" s="4" t="s">
        <v>19364</v>
      </c>
      <c r="B15370" s="4" t="s">
        <v>19366</v>
      </c>
      <c r="C15370" s="5" t="str">
        <f>IFERROR(__xludf.DUMMYFUNCTION("GOOGLETRANSLATE(B15370,""en"",""fr"")"),"Sa maman se tient à côté de lui et il s'apprête à lancer sa fléchette.")</f>
        <v>Sa maman se tient à côté de lui et il s'apprête à lancer sa fléchette.</v>
      </c>
    </row>
    <row r="15371">
      <c r="A15371" s="4" t="s">
        <v>19364</v>
      </c>
      <c r="B15371" s="4" t="s">
        <v>19367</v>
      </c>
      <c r="C15371" s="5" t="str">
        <f>IFERROR(__xludf.DUMMYFUNCTION("GOOGLETRANSLATE(B15371,""en"",""fr"")"),"Il le jette et manque complètement le plancher de Dart tous ensemble.")</f>
        <v>Il le jette et manque complètement le plancher de Dart tous ensemble.</v>
      </c>
    </row>
    <row r="15372">
      <c r="A15372" s="4" t="s">
        <v>19364</v>
      </c>
      <c r="B15372" s="4" t="s">
        <v>19368</v>
      </c>
      <c r="C15372" s="5" t="str">
        <f>IFERROR(__xludf.DUMMYFUNCTION("GOOGLETRANSLATE(B15372,""en"",""fr"")"),"Il frappe le haut du mur et il va l'atteindre et le retirer.")</f>
        <v>Il frappe le haut du mur et il va l'atteindre et le retirer.</v>
      </c>
    </row>
    <row r="15373">
      <c r="A15373" s="4" t="s">
        <v>19369</v>
      </c>
      <c r="B15373" s="4" t="s">
        <v>19370</v>
      </c>
      <c r="C15373" s="5" t="str">
        <f>IFERROR(__xludf.DUMMYFUNCTION("GOOGLETRANSLATE(B15373,""en"",""fr"")"),"Un homme divise les bûches en utilisant une hache dans une cour herbeuse pendant que sa femme récupère les pièces.")</f>
        <v>Un homme divise les bûches en utilisant une hache dans une cour herbeuse pendant que sa femme récupère les pièces.</v>
      </c>
    </row>
    <row r="15374">
      <c r="A15374" s="4" t="s">
        <v>19369</v>
      </c>
      <c r="B15374" s="4" t="s">
        <v>19371</v>
      </c>
      <c r="C15374" s="5" t="str">
        <f>IFERROR(__xludf.DUMMYFUNCTION("GOOGLETRANSLATE(B15374,""en"",""fr"")"),"Un homme divise les bûches dans la cour par lui-même.")</f>
        <v>Un homme divise les bûches dans la cour par lui-même.</v>
      </c>
    </row>
    <row r="15375">
      <c r="A15375" s="4" t="s">
        <v>19369</v>
      </c>
      <c r="B15375" s="4" t="s">
        <v>19372</v>
      </c>
      <c r="C15375" s="5" t="str">
        <f>IFERROR(__xludf.DUMMYFUNCTION("GOOGLETRANSLATE(B15375,""en"",""fr"")"),"L'homme met sa lame de hache dans la bûche et prend un frein.")</f>
        <v>L'homme met sa lame de hache dans la bûche et prend un frein.</v>
      </c>
    </row>
    <row r="15376">
      <c r="A15376" s="4" t="s">
        <v>19373</v>
      </c>
      <c r="B15376" s="4" t="s">
        <v>19374</v>
      </c>
      <c r="C15376" s="5" t="str">
        <f>IFERROR(__xludf.DUMMYFUNCTION("GOOGLETRANSLATE(B15376,""en"",""fr"")"),"Un homme en chemise bleue est assis en tenant une barre sur une machine d'exercice.")</f>
        <v>Un homme en chemise bleue est assis en tenant une barre sur une machine d'exercice.</v>
      </c>
    </row>
    <row r="15377">
      <c r="A15377" s="4" t="s">
        <v>19373</v>
      </c>
      <c r="B15377" s="4" t="s">
        <v>19375</v>
      </c>
      <c r="C15377" s="5" t="str">
        <f>IFERROR(__xludf.DUMMYFUNCTION("GOOGLETRANSLATE(B15377,""en"",""fr"")"),"Il repousse et utilise la machine d'exercice.")</f>
        <v>Il repousse et utilise la machine d'exercice.</v>
      </c>
    </row>
    <row r="15378">
      <c r="A15378" s="4" t="s">
        <v>19376</v>
      </c>
      <c r="B15378" s="4" t="s">
        <v>19377</v>
      </c>
      <c r="C15378" s="5" t="str">
        <f>IFERROR(__xludf.DUMMYFUNCTION("GOOGLETRANSLATE(B15378,""en"",""fr"")"),"Nous voyons un homme émousser un sol sous les pieds des femmes.")</f>
        <v>Nous voyons un homme émousser un sol sous les pieds des femmes.</v>
      </c>
    </row>
    <row r="15379">
      <c r="A15379" s="4" t="s">
        <v>19376</v>
      </c>
      <c r="B15379" s="4" t="s">
        <v>19378</v>
      </c>
      <c r="C15379" s="5" t="str">
        <f>IFERROR(__xludf.DUMMYFUNCTION("GOOGLETRANSLATE(B15379,""en"",""fr"")"),"La dame du milieu utilise son pied pour déplacer la vadrouille.")</f>
        <v>La dame du milieu utilise son pied pour déplacer la vadrouille.</v>
      </c>
    </row>
    <row r="15380">
      <c r="A15380" s="4" t="s">
        <v>19376</v>
      </c>
      <c r="B15380" s="4" t="s">
        <v>19379</v>
      </c>
      <c r="C15380" s="5" t="str">
        <f>IFERROR(__xludf.DUMMYFUNCTION("GOOGLETRANSLATE(B15380,""en"",""fr"")"),"La dame gauche déplace ensuite la vadrouille avec son pied.")</f>
        <v>La dame gauche déplace ensuite la vadrouille avec son pied.</v>
      </c>
    </row>
    <row r="15381">
      <c r="A15381" s="4" t="s">
        <v>19376</v>
      </c>
      <c r="B15381" s="4" t="s">
        <v>19380</v>
      </c>
      <c r="C15381" s="5" t="str">
        <f>IFERROR(__xludf.DUMMYFUNCTION("GOOGLETRANSLATE(B15381,""en"",""fr"")"),"La dame du milieu le refait à nouveau, puis l'homme finit de nettoyer le sol.")</f>
        <v>La dame du milieu le refait à nouveau, puis l'homme finit de nettoyer le sol.</v>
      </c>
    </row>
    <row r="15382">
      <c r="A15382" s="4" t="s">
        <v>19381</v>
      </c>
      <c r="B15382" s="4" t="s">
        <v>19382</v>
      </c>
      <c r="C15382" s="5" t="str">
        <f>IFERROR(__xludf.DUMMYFUNCTION("GOOGLETRANSLATE(B15382,""en"",""fr"")"),"Un gars rampe sur le sol.")</f>
        <v>Un gars rampe sur le sol.</v>
      </c>
    </row>
    <row r="15383">
      <c r="A15383" s="4" t="s">
        <v>19381</v>
      </c>
      <c r="B15383" s="4" t="s">
        <v>19383</v>
      </c>
      <c r="C15383" s="5" t="str">
        <f>IFERROR(__xludf.DUMMYFUNCTION("GOOGLETRANSLATE(B15383,""en"",""fr"")"),"Le gars utilise un couteau à boîte pour couper le tapis.")</f>
        <v>Le gars utilise un couteau à boîte pour couper le tapis.</v>
      </c>
    </row>
    <row r="15384">
      <c r="A15384" s="4" t="s">
        <v>19381</v>
      </c>
      <c r="B15384" s="4" t="s">
        <v>19384</v>
      </c>
      <c r="C15384" s="5" t="str">
        <f>IFERROR(__xludf.DUMMYFUNCTION("GOOGLETRANSLATE(B15384,""en"",""fr"")"),"Le gars regarde derrière lui.")</f>
        <v>Le gars regarde derrière lui.</v>
      </c>
    </row>
    <row r="15385">
      <c r="A15385" s="4" t="s">
        <v>19381</v>
      </c>
      <c r="B15385" s="4" t="s">
        <v>19385</v>
      </c>
      <c r="C15385" s="5" t="str">
        <f>IFERROR(__xludf.DUMMYFUNCTION("GOOGLETRANSLATE(B15385,""en"",""fr"")"),"Il y a beaucoup de papiers sur le mur.")</f>
        <v>Il y a beaucoup de papiers sur le mur.</v>
      </c>
    </row>
    <row r="15386">
      <c r="A15386" s="4" t="s">
        <v>19386</v>
      </c>
      <c r="B15386" s="4" t="s">
        <v>19387</v>
      </c>
      <c r="C15386" s="5" t="str">
        <f>IFERROR(__xludf.DUMMYFUNCTION("GOOGLETRANSLATE(B15386,""en"",""fr"")"),"Un groupe d'hommes est vu mener un chameau pendant qu'une personne monte au-dessus du chameau.")</f>
        <v>Un groupe d'hommes est vu mener un chameau pendant qu'une personne monte au-dessus du chameau.</v>
      </c>
    </row>
    <row r="15387">
      <c r="A15387" s="4" t="s">
        <v>19386</v>
      </c>
      <c r="B15387" s="6" t="s">
        <v>19388</v>
      </c>
      <c r="C15387" s="5" t="str">
        <f>IFERROR(__xludf.DUMMYFUNCTION("GOOGLETRANSLATE(B15387,""en"",""fr"")"),"Un homme mène la caméra avec la personne sur le dessus et les gens les enregistrant de côté.")</f>
        <v>Un homme mène la caméra avec la personne sur le dessus et les gens les enregistrant de côté.</v>
      </c>
    </row>
    <row r="15388">
      <c r="A15388" s="4" t="s">
        <v>19386</v>
      </c>
      <c r="B15388" s="6" t="s">
        <v>19389</v>
      </c>
      <c r="C15388" s="5" t="str">
        <f>IFERROR(__xludf.DUMMYFUNCTION("GOOGLETRANSLATE(B15388,""en"",""fr"")"),"L'homme dépose le chameau pour que la personne s'éloigne et le cavalier sourit et agite à la caméra.")</f>
        <v>L'homme dépose le chameau pour que la personne s'éloigne et le cavalier sourit et agite à la caméra.</v>
      </c>
    </row>
    <row r="15389">
      <c r="A15389" s="4" t="s">
        <v>19390</v>
      </c>
      <c r="B15389" s="4" t="s">
        <v>19391</v>
      </c>
      <c r="C15389" s="5" t="str">
        <f>IFERROR(__xludf.DUMMYFUNCTION("GOOGLETRANSLATE(B15389,""en"",""fr"")"),"Un homme coule sur une voie sur le terrain au ralenti se préparant à jeter un javelot.")</f>
        <v>Un homme coule sur une voie sur le terrain au ralenti se préparant à jeter un javelot.</v>
      </c>
    </row>
    <row r="15390">
      <c r="A15390" s="4" t="s">
        <v>19390</v>
      </c>
      <c r="B15390" s="4" t="s">
        <v>19392</v>
      </c>
      <c r="C15390" s="5" t="str">
        <f>IFERROR(__xludf.DUMMYFUNCTION("GOOGLETRANSLATE(B15390,""en"",""fr"")"),"Alors qu'il se rapproche, il commence à se tourner et à courir latéralement et jette le javelot.")</f>
        <v>Alors qu'il se rapproche, il commence à se tourner et à courir latéralement et jette le javelot.</v>
      </c>
    </row>
    <row r="15391">
      <c r="A15391" s="4" t="s">
        <v>19390</v>
      </c>
      <c r="B15391" s="6" t="s">
        <v>19393</v>
      </c>
      <c r="C15391" s="5" t="str">
        <f>IFERROR(__xludf.DUMMYFUNCTION("GOOGLETRANSLATE(B15391,""en"",""fr"")"),"Une fois qu'il est libéré, il trébuche et a du mal à essayer de saisir son équilibre alors que le reste des gens qui l'entourent cherchent à voir sa distance.")</f>
        <v>Une fois qu'il est libéré, il trébuche et a du mal à essayer de saisir son équilibre alors que le reste des gens qui l'entourent cherchent à voir sa distance.</v>
      </c>
    </row>
    <row r="15392">
      <c r="A15392" s="4" t="s">
        <v>19394</v>
      </c>
      <c r="B15392" s="4" t="s">
        <v>19395</v>
      </c>
      <c r="C15392" s="5" t="str">
        <f>IFERROR(__xludf.DUMMYFUNCTION("GOOGLETRANSLATE(B15392,""en"",""fr"")"),"Une gymnaste se produit sur un cheval pommel sur le devant une foule dans les gradins.")</f>
        <v>Une gymnaste se produit sur un cheval pommel sur le devant une foule dans les gradins.</v>
      </c>
    </row>
    <row r="15393">
      <c r="A15393" s="4" t="s">
        <v>19394</v>
      </c>
      <c r="B15393" s="4" t="s">
        <v>19396</v>
      </c>
      <c r="C15393" s="5" t="str">
        <f>IFERROR(__xludf.DUMMYFUNCTION("GOOGLETRANSLATE(B15393,""en"",""fr"")"),"Ensuite, elle se retourne en arrière et les terres se tiennent sur le tapis en mousse.")</f>
        <v>Ensuite, elle se retourne en arrière et les terres se tiennent sur le tapis en mousse.</v>
      </c>
    </row>
    <row r="15394">
      <c r="A15394" s="4" t="s">
        <v>19397</v>
      </c>
      <c r="B15394" s="4" t="s">
        <v>19398</v>
      </c>
      <c r="C15394" s="5" t="str">
        <f>IFERROR(__xludf.DUMMYFUNCTION("GOOGLETRANSLATE(B15394,""en"",""fr"")"),"Un homme est vu tirer sur un arc et une flèche suivis d'un autre homme prenant un arc et visant.")</f>
        <v>Un homme est vu tirer sur un arc et une flèche suivis d'un autre homme prenant un arc et visant.</v>
      </c>
    </row>
    <row r="15395">
      <c r="A15395" s="4" t="s">
        <v>19397</v>
      </c>
      <c r="B15395" s="4" t="s">
        <v>19399</v>
      </c>
      <c r="C15395" s="5" t="str">
        <f>IFERROR(__xludf.DUMMYFUNCTION("GOOGLETRANSLATE(B15395,""en"",""fr"")"),"Un autre homme est vu s'agenouiller devant les arcs et parler à la caméra.")</f>
        <v>Un autre homme est vu s'agenouiller devant les arcs et parler à la caméra.</v>
      </c>
    </row>
    <row r="15396">
      <c r="A15396" s="4" t="s">
        <v>19397</v>
      </c>
      <c r="B15396" s="4" t="s">
        <v>19400</v>
      </c>
      <c r="C15396" s="5" t="str">
        <f>IFERROR(__xludf.DUMMYFUNCTION("GOOGLETRANSLATE(B15396,""en"",""fr"")"),"Il pointe vers diverses boîtes et continue de regarder dans l'appareil photo et de parler.")</f>
        <v>Il pointe vers diverses boîtes et continue de regarder dans l'appareil photo et de parler.</v>
      </c>
    </row>
    <row r="15397">
      <c r="A15397" s="4" t="s">
        <v>19401</v>
      </c>
      <c r="B15397" s="4" t="s">
        <v>19402</v>
      </c>
      <c r="C15397" s="5" t="str">
        <f>IFERROR(__xludf.DUMMYFUNCTION("GOOGLETRANSLATE(B15397,""en"",""fr"")"),"La vidéo est un tutoriel sur l'installation de tuiles de pont.")</f>
        <v>La vidéo est un tutoriel sur l'installation de tuiles de pont.</v>
      </c>
    </row>
    <row r="15398">
      <c r="A15398" s="4" t="s">
        <v>19401</v>
      </c>
      <c r="B15398" s="4" t="s">
        <v>19403</v>
      </c>
      <c r="C15398" s="5" t="str">
        <f>IFERROR(__xludf.DUMMYFUNCTION("GOOGLETRANSLATE(B15398,""en"",""fr"")"),"Il y a un entrepreneur travaillant sur un deck.")</f>
        <v>Il y a un entrepreneur travaillant sur un deck.</v>
      </c>
    </row>
    <row r="15399">
      <c r="A15399" s="4" t="s">
        <v>19401</v>
      </c>
      <c r="B15399" s="4" t="s">
        <v>19404</v>
      </c>
      <c r="C15399" s="5" t="str">
        <f>IFERROR(__xludf.DUMMYFUNCTION("GOOGLETRANSLATE(B15399,""en"",""fr"")"),"Il commence à installer les tuiles en bois imbriquées sur une surface de pont en béton.")</f>
        <v>Il commence à installer les tuiles en bois imbriquées sur une surface de pont en béton.</v>
      </c>
    </row>
    <row r="15400">
      <c r="A15400" s="4" t="s">
        <v>19401</v>
      </c>
      <c r="B15400" s="4" t="s">
        <v>19405</v>
      </c>
      <c r="C15400" s="5" t="str">
        <f>IFERROR(__xludf.DUMMYFUNCTION("GOOGLETRANSLATE(B15400,""en"",""fr"")"),"Il couvre toute la terrasse avec les carreaux en bois pour couvrir uniformément la surface.")</f>
        <v>Il couvre toute la terrasse avec les carreaux en bois pour couvrir uniformément la surface.</v>
      </c>
    </row>
    <row r="15401">
      <c r="A15401" s="4" t="s">
        <v>19406</v>
      </c>
      <c r="B15401" s="4" t="s">
        <v>19407</v>
      </c>
      <c r="C15401" s="5" t="str">
        <f>IFERROR(__xludf.DUMMYFUNCTION("GOOGLETRANSLATE(B15401,""en"",""fr"")"),"Un homme plus âgé est dans une piscine et il tient une balle jaune devant son visage.")</f>
        <v>Un homme plus âgé est dans une piscine et il tient une balle jaune devant son visage.</v>
      </c>
    </row>
    <row r="15402">
      <c r="A15402" s="4" t="s">
        <v>19406</v>
      </c>
      <c r="B15402" s="6" t="s">
        <v>19408</v>
      </c>
      <c r="C15402" s="5" t="str">
        <f>IFERROR(__xludf.DUMMYFUNCTION("GOOGLETRANSLATE(B15402,""en"",""fr"")"),"L'homme le jette à un chien qui équilibre sur un appareil flottant bleu et le chien le frappe à l'homme en utilisant son nez.")</f>
        <v>L'homme le jette à un chien qui équilibre sur un appareil flottant bleu et le chien le frappe à l'homme en utilisant son nez.</v>
      </c>
    </row>
    <row r="15403">
      <c r="A15403" s="4" t="s">
        <v>19406</v>
      </c>
      <c r="B15403" s="6" t="s">
        <v>19409</v>
      </c>
      <c r="C15403" s="5" t="str">
        <f>IFERROR(__xludf.DUMMYFUNCTION("GOOGLETRANSLATE(B15403,""en"",""fr"")"),"L'homme le repousse au chien et le chien le frappe, puis il se glisse du dispositif flottant et éclabousse dans l'eau.")</f>
        <v>L'homme le repousse au chien et le chien le frappe, puis il se glisse du dispositif flottant et éclabousse dans l'eau.</v>
      </c>
    </row>
    <row r="15404">
      <c r="A15404" s="4" t="s">
        <v>19410</v>
      </c>
      <c r="B15404" s="4" t="s">
        <v>19411</v>
      </c>
      <c r="C15404" s="5" t="str">
        <f>IFERROR(__xludf.DUMMYFUNCTION("GOOGLETRANSLATE(B15404,""en"",""fr"")"),"Les femmes sont une baignoire en train de se baigner des jambes avec du cambor et de l'eau.")</f>
        <v>Les femmes sont une baignoire en train de se baigner des jambes avec du cambor et de l'eau.</v>
      </c>
    </row>
    <row r="15405">
      <c r="A15405" s="4" t="s">
        <v>19410</v>
      </c>
      <c r="B15405" s="4" t="s">
        <v>19412</v>
      </c>
      <c r="C15405" s="5" t="str">
        <f>IFERROR(__xludf.DUMMYFUNCTION("GOOGLETRANSLATE(B15405,""en"",""fr"")"),"Les femmes rient devant un miroir.")</f>
        <v>Les femmes rient devant un miroir.</v>
      </c>
    </row>
    <row r="15406">
      <c r="A15406" s="4" t="s">
        <v>19413</v>
      </c>
      <c r="B15406" s="4" t="s">
        <v>19414</v>
      </c>
      <c r="C15406" s="5" t="str">
        <f>IFERROR(__xludf.DUMMYFUNCTION("GOOGLETRANSLATE(B15406,""en"",""fr"")"),"Nous voyons une chute de loup dans l'écran de titre.")</f>
        <v>Nous voyons une chute de loup dans l'écran de titre.</v>
      </c>
    </row>
    <row r="15407">
      <c r="A15407" s="4" t="s">
        <v>19413</v>
      </c>
      <c r="B15407" s="4" t="s">
        <v>19415</v>
      </c>
      <c r="C15407" s="5" t="str">
        <f>IFERROR(__xludf.DUMMYFUNCTION("GOOGLETRANSLATE(B15407,""en"",""fr"")"),"Nous voyons le paysage d'une petite ville.")</f>
        <v>Nous voyons le paysage d'une petite ville.</v>
      </c>
    </row>
    <row r="15408">
      <c r="A15408" s="4" t="s">
        <v>19413</v>
      </c>
      <c r="B15408" s="4" t="s">
        <v>19416</v>
      </c>
      <c r="C15408" s="5" t="str">
        <f>IFERROR(__xludf.DUMMYFUNCTION("GOOGLETRANSLATE(B15408,""en"",""fr"")"),"Un garçon monte dans une rue sur une planche à roulettes.")</f>
        <v>Un garçon monte dans une rue sur une planche à roulettes.</v>
      </c>
    </row>
    <row r="15409">
      <c r="A15409" s="4" t="s">
        <v>19413</v>
      </c>
      <c r="B15409" s="4" t="s">
        <v>19417</v>
      </c>
      <c r="C15409" s="5" t="str">
        <f>IFERROR(__xludf.DUMMYFUNCTION("GOOGLETRANSLATE(B15409,""en"",""fr"")"),"Quatre garçons sur les planches à roulettes passent.")</f>
        <v>Quatre garçons sur les planches à roulettes passent.</v>
      </c>
    </row>
    <row r="15410">
      <c r="A15410" s="4" t="s">
        <v>19413</v>
      </c>
      <c r="B15410" s="4" t="s">
        <v>19418</v>
      </c>
      <c r="C15410" s="5" t="str">
        <f>IFERROR(__xludf.DUMMYFUNCTION("GOOGLETRANSLATE(B15410,""en"",""fr"")"),"Nous voyons un garçon tomber presque deux fois.")</f>
        <v>Nous voyons un garçon tomber presque deux fois.</v>
      </c>
    </row>
    <row r="15411">
      <c r="A15411" s="4" t="s">
        <v>19413</v>
      </c>
      <c r="B15411" s="4" t="s">
        <v>19419</v>
      </c>
      <c r="C15411" s="5" t="str">
        <f>IFERROR(__xludf.DUMMYFUNCTION("GOOGLETRANSLATE(B15411,""en"",""fr"")"),"Nous voyons la planche sur le trottoir.")</f>
        <v>Nous voyons la planche sur le trottoir.</v>
      </c>
    </row>
    <row r="15412">
      <c r="A15412" s="4" t="s">
        <v>19413</v>
      </c>
      <c r="B15412" s="4" t="s">
        <v>19420</v>
      </c>
      <c r="C15412" s="5" t="str">
        <f>IFERROR(__xludf.DUMMYFUNCTION("GOOGLETRANSLATE(B15412,""en"",""fr"")"),"Un groupe de garçons marchant sur une colline.")</f>
        <v>Un groupe de garçons marchant sur une colline.</v>
      </c>
    </row>
    <row r="15413">
      <c r="A15413" s="4" t="s">
        <v>19413</v>
      </c>
      <c r="B15413" s="4" t="s">
        <v>19421</v>
      </c>
      <c r="C15413" s="5" t="str">
        <f>IFERROR(__xludf.DUMMYFUNCTION("GOOGLETRANSLATE(B15413,""en"",""fr"")"),"Les crédits de fin jouent et nous voyons un garçon dans un bus.")</f>
        <v>Les crédits de fin jouent et nous voyons un garçon dans un bus.</v>
      </c>
    </row>
    <row r="15414">
      <c r="A15414" s="4" t="s">
        <v>19422</v>
      </c>
      <c r="B15414" s="6" t="s">
        <v>19423</v>
      </c>
      <c r="C15414" s="5" t="str">
        <f>IFERROR(__xludf.DUMMYFUNCTION("GOOGLETRANSLATE(B15414,""en"",""fr"")"),"Un homme vêtu d'un sweat-shirt noir et d'un short noir, ainsi qu'une autre personne vêtue de vêtements de sport blancs se tiennent dans un court de tennis près du filet.")</f>
        <v>Un homme vêtu d'un sweat-shirt noir et d'un short noir, ainsi qu'une autre personne vêtue de vêtements de sport blancs se tiennent dans un court de tennis près du filet.</v>
      </c>
    </row>
    <row r="15415">
      <c r="A15415" s="4" t="s">
        <v>19422</v>
      </c>
      <c r="B15415" s="4" t="s">
        <v>19424</v>
      </c>
      <c r="C15415" s="5" t="str">
        <f>IFERROR(__xludf.DUMMYFUNCTION("GOOGLETRANSLATE(B15415,""en"",""fr"")"),"Ils tiennent tous les deux des raquettes de tennis.")</f>
        <v>Ils tiennent tous les deux des raquettes de tennis.</v>
      </c>
    </row>
    <row r="15416">
      <c r="A15416" s="4" t="s">
        <v>19422</v>
      </c>
      <c r="B15416" s="4" t="s">
        <v>19425</v>
      </c>
      <c r="C15416" s="5" t="str">
        <f>IFERROR(__xludf.DUMMYFUNCTION("GOOGLETRANSLATE(B15416,""en"",""fr"")"),"La personne en noir donne un tutoriel sur la façon de retourner un service au tennis.")</f>
        <v>La personne en noir donne un tutoriel sur la façon de retourner un service au tennis.</v>
      </c>
    </row>
    <row r="15417">
      <c r="A15417" s="4" t="s">
        <v>19422</v>
      </c>
      <c r="B15417" s="4" t="s">
        <v>19426</v>
      </c>
      <c r="C15417" s="5" t="str">
        <f>IFERROR(__xludf.DUMMYFUNCTION("GOOGLETRANSLATE(B15417,""en"",""fr"")"),"Il y a un joueur démontrant le service comme l'entraîneur explique.")</f>
        <v>Il y a un joueur démontrant le service comme l'entraîneur explique.</v>
      </c>
    </row>
    <row r="15418">
      <c r="A15418" s="4" t="s">
        <v>19422</v>
      </c>
      <c r="B15418" s="6" t="s">
        <v>19427</v>
      </c>
      <c r="C15418" s="5" t="str">
        <f>IFERROR(__xludf.DUMMYFUNCTION("GOOGLETRANSLATE(B15418,""en"",""fr"")"),"Ensuite, la personne en blanc commence à prendre plus sur le service de tennis et comment jouer efficacement.")</f>
        <v>Ensuite, la personne en blanc commence à prendre plus sur le service de tennis et comment jouer efficacement.</v>
      </c>
    </row>
    <row r="15419">
      <c r="A15419" s="4" t="s">
        <v>19422</v>
      </c>
      <c r="B15419" s="4" t="s">
        <v>19428</v>
      </c>
      <c r="C15419" s="5" t="str">
        <f>IFERROR(__xludf.DUMMYFUNCTION("GOOGLETRANSLATE(B15419,""en"",""fr"")"),"Le joueur continue de démontrer les services.")</f>
        <v>Le joueur continue de démontrer les services.</v>
      </c>
    </row>
    <row r="15420">
      <c r="A15420" s="4" t="s">
        <v>19429</v>
      </c>
      <c r="B15420" s="4" t="s">
        <v>19430</v>
      </c>
      <c r="C15420" s="5" t="str">
        <f>IFERROR(__xludf.DUMMYFUNCTION("GOOGLETRANSLATE(B15420,""en"",""fr"")"),"Les gens font des astuces sur les lames à rouleaux.")</f>
        <v>Les gens font des astuces sur les lames à rouleaux.</v>
      </c>
    </row>
    <row r="15421">
      <c r="A15421" s="4" t="s">
        <v>19429</v>
      </c>
      <c r="B15421" s="4" t="s">
        <v>19431</v>
      </c>
      <c r="C15421" s="5" t="str">
        <f>IFERROR(__xludf.DUMMYFUNCTION("GOOGLETRANSLATE(B15421,""en"",""fr"")"),"Un homme saute un volée d'escaliers sur des lames à rouleaux.")</f>
        <v>Un homme saute un volée d'escaliers sur des lames à rouleaux.</v>
      </c>
    </row>
    <row r="15422">
      <c r="A15422" s="4" t="s">
        <v>19429</v>
      </c>
      <c r="B15422" s="4" t="s">
        <v>19432</v>
      </c>
      <c r="C15422" s="5" t="str">
        <f>IFERROR(__xludf.DUMMYFUNCTION("GOOGLETRANSLATE(B15422,""en"",""fr"")"),"Un homme en chemise blanche saute dans un escalier.")</f>
        <v>Un homme en chemise blanche saute dans un escalier.</v>
      </c>
    </row>
    <row r="15423">
      <c r="A15423" s="4" t="s">
        <v>19433</v>
      </c>
      <c r="B15423" s="4" t="s">
        <v>19434</v>
      </c>
      <c r="C15423" s="5" t="str">
        <f>IFERROR(__xludf.DUMMYFUNCTION("GOOGLETRANSLATE(B15423,""en"",""fr"")"),"Trois hommes sont mis en place pour jouer des fléchettes.")</f>
        <v>Trois hommes sont mis en place pour jouer des fléchettes.</v>
      </c>
    </row>
    <row r="15424">
      <c r="A15424" s="4" t="s">
        <v>19433</v>
      </c>
      <c r="B15424" s="4" t="s">
        <v>19435</v>
      </c>
      <c r="C15424" s="5" t="str">
        <f>IFERROR(__xludf.DUMMYFUNCTION("GOOGLETRANSLATE(B15424,""en"",""fr"")"),"L'homme dans les chemises de pêche lance une fléchette au conseil de fléchette.")</f>
        <v>L'homme dans les chemises de pêche lance une fléchette au conseil de fléchette.</v>
      </c>
    </row>
    <row r="15425">
      <c r="A15425" s="4" t="s">
        <v>19433</v>
      </c>
      <c r="B15425" s="4" t="s">
        <v>19436</v>
      </c>
      <c r="C15425" s="5" t="str">
        <f>IFERROR(__xludf.DUMMYFUNCTION("GOOGLETRANSLATE(B15425,""en"",""fr"")"),"Un homme en bleu frappe une balle de repère.")</f>
        <v>Un homme en bleu frappe une balle de repère.</v>
      </c>
    </row>
    <row r="15426">
      <c r="A15426" s="4" t="s">
        <v>19433</v>
      </c>
      <c r="B15426" s="4" t="s">
        <v>19437</v>
      </c>
      <c r="C15426" s="5" t="str">
        <f>IFERROR(__xludf.DUMMYFUNCTION("GOOGLETRANSLATE(B15426,""en"",""fr"")"),"L'homme en pêche recula et tire trois fléchettes au plateau de fléchettes et les supprime.")</f>
        <v>L'homme en pêche recula et tire trois fléchettes au plateau de fléchettes et les supprime.</v>
      </c>
    </row>
    <row r="15427">
      <c r="A15427" s="4" t="s">
        <v>19433</v>
      </c>
      <c r="B15427" s="4" t="s">
        <v>19438</v>
      </c>
      <c r="C15427" s="5" t="str">
        <f>IFERROR(__xludf.DUMMYFUNCTION("GOOGLETRANSLATE(B15427,""en"",""fr"")"),"Il se remonte devant la planche et lance une fléchette de plus.")</f>
        <v>Il se remonte devant la planche et lance une fléchette de plus.</v>
      </c>
    </row>
    <row r="15428">
      <c r="A15428" s="4" t="s">
        <v>19433</v>
      </c>
      <c r="B15428" s="6" t="s">
        <v>19439</v>
      </c>
      <c r="C15428" s="5" t="str">
        <f>IFERROR(__xludf.DUMMYFUNCTION("GOOGLETRANSLATE(B15428,""en"",""fr"")"),"Plus de gens se rassemblent alors que deux hommes retirent les fléchettes des fléchettes et reviennent à distance.")</f>
        <v>Plus de gens se rassemblent alors que deux hommes retirent les fléchettes des fléchettes et reviennent à distance.</v>
      </c>
    </row>
    <row r="15429">
      <c r="A15429" s="4" t="s">
        <v>19433</v>
      </c>
      <c r="B15429" s="4" t="s">
        <v>19440</v>
      </c>
      <c r="C15429" s="5" t="str">
        <f>IFERROR(__xludf.DUMMYFUNCTION("GOOGLETRANSLATE(B15429,""en"",""fr"")"),"Les deux hommes jettent une fléchette sur le fléchettes.")</f>
        <v>Les deux hommes jettent une fléchette sur le fléchettes.</v>
      </c>
    </row>
    <row r="15430">
      <c r="A15430" s="4" t="s">
        <v>19433</v>
      </c>
      <c r="B15430" s="4" t="s">
        <v>19441</v>
      </c>
      <c r="C15430" s="5" t="str">
        <f>IFERROR(__xludf.DUMMYFUNCTION("GOOGLETRANSLATE(B15430,""en"",""fr"")"),"L'homme en pêche marche pour retirer les fléchettes.")</f>
        <v>L'homme en pêche marche pour retirer les fléchettes.</v>
      </c>
    </row>
    <row r="15431">
      <c r="A15431" s="4" t="s">
        <v>19433</v>
      </c>
      <c r="B15431" s="4" t="s">
        <v>19442</v>
      </c>
      <c r="C15431" s="5" t="str">
        <f>IFERROR(__xludf.DUMMYFUNCTION("GOOGLETRANSLATE(B15431,""en"",""fr"")"),"Une femme se tient près de la planche de fléchettes et sourit.")</f>
        <v>Une femme se tient près de la planche de fléchettes et sourit.</v>
      </c>
    </row>
    <row r="15432">
      <c r="A15432" s="4" t="s">
        <v>19433</v>
      </c>
      <c r="B15432" s="4" t="s">
        <v>19443</v>
      </c>
      <c r="C15432" s="5" t="str">
        <f>IFERROR(__xludf.DUMMYFUNCTION("GOOGLETRANSLATE(B15432,""en"",""fr"")"),"L'homme en pêche jette à nouveau trois fléchettes au tableau et sourit alors qu'il les retire.")</f>
        <v>L'homme en pêche jette à nouveau trois fléchettes au tableau et sourit alors qu'il les retire.</v>
      </c>
    </row>
    <row r="15433">
      <c r="A15433" s="4" t="s">
        <v>19444</v>
      </c>
      <c r="B15433" s="4" t="s">
        <v>19445</v>
      </c>
      <c r="C15433" s="5" t="str">
        <f>IFERROR(__xludf.DUMMYFUNCTION("GOOGLETRANSLATE(B15433,""en"",""fr"")"),"Nous voyons un petit garçon debout sur une plate-forme sur un gymnase de la jungle.")</f>
        <v>Nous voyons un petit garçon debout sur une plate-forme sur un gymnase de la jungle.</v>
      </c>
    </row>
    <row r="15434">
      <c r="A15434" s="4" t="s">
        <v>19444</v>
      </c>
      <c r="B15434" s="4" t="s">
        <v>19446</v>
      </c>
      <c r="C15434" s="5" t="str">
        <f>IFERROR(__xludf.DUMMYFUNCTION("GOOGLETRANSLATE(B15434,""en"",""fr"")"),"Le garçon grimpe sur les bars de singe.")</f>
        <v>Le garçon grimpe sur les bars de singe.</v>
      </c>
    </row>
    <row r="15435">
      <c r="A15435" s="4" t="s">
        <v>19444</v>
      </c>
      <c r="B15435" s="4" t="s">
        <v>19447</v>
      </c>
      <c r="C15435" s="5" t="str">
        <f>IFERROR(__xludf.DUMMYFUNCTION("GOOGLETRANSLATE(B15435,""en"",""fr"")"),"Le garçon atteint l'autre plate-forme et tourne et sourit pour la caméra.")</f>
        <v>Le garçon atteint l'autre plate-forme et tourne et sourit pour la caméra.</v>
      </c>
    </row>
    <row r="15436">
      <c r="A15436" s="4" t="s">
        <v>19448</v>
      </c>
      <c r="B15436" s="4" t="s">
        <v>19449</v>
      </c>
      <c r="C15436" s="5" t="str">
        <f>IFERROR(__xludf.DUMMYFUNCTION("GOOGLETRANSLATE(B15436,""en"",""fr"")"),"Deux hommes sont assis dans une pièce en train de fumer des cigarettes, l'une jouant de la guitare l'autre sur le clavier.")</f>
        <v>Deux hommes sont assis dans une pièce en train de fumer des cigarettes, l'une jouant de la guitare l'autre sur le clavier.</v>
      </c>
    </row>
    <row r="15437">
      <c r="A15437" s="4" t="s">
        <v>19448</v>
      </c>
      <c r="B15437" s="4" t="s">
        <v>19450</v>
      </c>
      <c r="C15437" s="5" t="str">
        <f>IFERROR(__xludf.DUMMYFUNCTION("GOOGLETRANSLATE(B15437,""en"",""fr"")"),"L'homme à la guitare à droite sort sa cigarette de sa bouche et la pose.")</f>
        <v>L'homme à la guitare à droite sort sa cigarette de sa bouche et la pose.</v>
      </c>
    </row>
    <row r="15438">
      <c r="A15438" s="4" t="s">
        <v>19448</v>
      </c>
      <c r="B15438" s="4" t="s">
        <v>19451</v>
      </c>
      <c r="C15438" s="5" t="str">
        <f>IFERROR(__xludf.DUMMYFUNCTION("GOOGLETRANSLATE(B15438,""en"",""fr"")"),"L'homme de gauche sort sa cigarette et essuie la bouche sur son bras.")</f>
        <v>L'homme de gauche sort sa cigarette et essuie la bouche sur son bras.</v>
      </c>
    </row>
    <row r="15439">
      <c r="A15439" s="4" t="s">
        <v>19448</v>
      </c>
      <c r="B15439" s="6" t="s">
        <v>19452</v>
      </c>
      <c r="C15439" s="5" t="str">
        <f>IFERROR(__xludf.DUMMYFUNCTION("GOOGLETRANSLATE(B15439,""en"",""fr"")"),"Ils finissent et l'homme à gauche essuie sa bouche et la droite sort sa cigarette et souffle de la fumée.")</f>
        <v>Ils finissent et l'homme à gauche essuie sa bouche et la droite sort sa cigarette et souffle de la fumée.</v>
      </c>
    </row>
    <row r="15440">
      <c r="A15440" s="4" t="s">
        <v>19453</v>
      </c>
      <c r="B15440" s="4" t="s">
        <v>19454</v>
      </c>
      <c r="C15440" s="5" t="str">
        <f>IFERROR(__xludf.DUMMYFUNCTION("GOOGLETRANSLATE(B15440,""en"",""fr"")"),"On voit une femme plus âgée et un jeune enfant laver la vaisselle dans un évier et se parler.")</f>
        <v>On voit une femme plus âgée et un jeune enfant laver la vaisselle dans un évier et se parler.</v>
      </c>
    </row>
    <row r="15441">
      <c r="A15441" s="4" t="s">
        <v>19453</v>
      </c>
      <c r="B15441" s="4" t="s">
        <v>19455</v>
      </c>
      <c r="C15441" s="5" t="str">
        <f>IFERROR(__xludf.DUMMYFUNCTION("GOOGLETRANSLATE(B15441,""en"",""fr"")"),"Les gens jouent dans l'eau et la fille souffle des bulles pendant que la femme lave la vaisselle.")</f>
        <v>Les gens jouent dans l'eau et la fille souffle des bulles pendant que la femme lave la vaisselle.</v>
      </c>
    </row>
    <row r="15442">
      <c r="A15442" s="4" t="s">
        <v>19456</v>
      </c>
      <c r="B15442" s="4" t="s">
        <v>19457</v>
      </c>
      <c r="C15442" s="5" t="str">
        <f>IFERROR(__xludf.DUMMYFUNCTION("GOOGLETRANSLATE(B15442,""en"",""fr"")"),"Un cerf-volant de forme hexagonale colorée vole haut dans les airs.")</f>
        <v>Un cerf-volant de forme hexagonale colorée vole haut dans les airs.</v>
      </c>
    </row>
    <row r="15443">
      <c r="A15443" s="4" t="s">
        <v>19456</v>
      </c>
      <c r="B15443" s="4" t="s">
        <v>19458</v>
      </c>
      <c r="C15443" s="5" t="str">
        <f>IFERROR(__xludf.DUMMYFUNCTION("GOOGLETRANSLATE(B15443,""en"",""fr"")"),"Le ciel bleu clair et le brillant soleil brillant le cerf-volant très coloré et radieux.")</f>
        <v>Le ciel bleu clair et le brillant soleil brillant le cerf-volant très coloré et radieux.</v>
      </c>
    </row>
    <row r="15444">
      <c r="A15444" s="4" t="s">
        <v>19459</v>
      </c>
      <c r="B15444" s="4" t="s">
        <v>19460</v>
      </c>
      <c r="C15444" s="5" t="str">
        <f>IFERROR(__xludf.DUMMYFUNCTION("GOOGLETRANSLATE(B15444,""en"",""fr"")"),"Une vidéo d'animation de dessin animé est montrée avec des gens qui se promènent et des fusées tournées.")</f>
        <v>Une vidéo d'animation de dessin animé est montrée avec des gens qui se promènent et des fusées tournées.</v>
      </c>
    </row>
    <row r="15445">
      <c r="A15445" s="4" t="s">
        <v>19459</v>
      </c>
      <c r="B15445" s="4" t="s">
        <v>19461</v>
      </c>
      <c r="C15445" s="5" t="str">
        <f>IFERROR(__xludf.DUMMYFUNCTION("GOOGLETRANSLATE(B15445,""en"",""fr"")"),"Deux hommes combattent des robots du mal et se terminent par A pour être poursuivi.")</f>
        <v>Deux hommes combattent des robots du mal et se terminent par A pour être poursuivi.</v>
      </c>
    </row>
    <row r="15446">
      <c r="A15446" s="4" t="s">
        <v>19462</v>
      </c>
      <c r="B15446" s="6" t="s">
        <v>19463</v>
      </c>
      <c r="C15446" s="5" t="str">
        <f>IFERROR(__xludf.DUMMYFUNCTION("GOOGLETRANSLATE(B15446,""en"",""fr"")"),"Une femme est vue en parlant à la caméra et mène à son disposition de divers aliments et en mélangeant des ingrédients dans un mélangeur.")</f>
        <v>Une femme est vue en parlant à la caméra et mène à son disposition de divers aliments et en mélangeant des ingrédients dans un mélangeur.</v>
      </c>
    </row>
    <row r="15447">
      <c r="A15447" s="4" t="s">
        <v>19462</v>
      </c>
      <c r="B15447" s="4" t="s">
        <v>19464</v>
      </c>
      <c r="C15447" s="5" t="str">
        <f>IFERROR(__xludf.DUMMYFUNCTION("GOOGLETRANSLATE(B15447,""en"",""fr"")"),"Elle verse plus de farines dans le mélangeur et montre plusieurs coups de cookies.")</f>
        <v>Elle verse plus de farines dans le mélangeur et montre plusieurs coups de cookies.</v>
      </c>
    </row>
    <row r="15448">
      <c r="A15448" s="4" t="s">
        <v>19462</v>
      </c>
      <c r="B15448" s="6" t="s">
        <v>19465</v>
      </c>
      <c r="C15448" s="5" t="str">
        <f>IFERROR(__xludf.DUMMYFUNCTION("GOOGLETRANSLATE(B15448,""en"",""fr"")"),"Elle expose plus d'ingrédients, des versets de cuillerées de pâte sur une casserole, puis brise un biscuit cuit.")</f>
        <v>Elle expose plus d'ingrédients, des versets de cuillerées de pâte sur une casserole, puis brise un biscuit cuit.</v>
      </c>
    </row>
    <row r="15449">
      <c r="A15449" s="4" t="s">
        <v>19466</v>
      </c>
      <c r="B15449" s="4" t="s">
        <v>19467</v>
      </c>
      <c r="C15449" s="5" t="str">
        <f>IFERROR(__xludf.DUMMYFUNCTION("GOOGLETRANSLATE(B15449,""en"",""fr"")"),"Un homme âgé marche et un grand oiseau blanc mord son pied droit.")</f>
        <v>Un homme âgé marche et un grand oiseau blanc mord son pied droit.</v>
      </c>
    </row>
    <row r="15450">
      <c r="A15450" s="4" t="s">
        <v>19466</v>
      </c>
      <c r="B15450" s="4" t="s">
        <v>19468</v>
      </c>
      <c r="C15450" s="5" t="str">
        <f>IFERROR(__xludf.DUMMYFUNCTION("GOOGLETRANSLATE(B15450,""en"",""fr"")"),"L'homme se retourne et pointe et gronde l'oiseau et continue de marcher.")</f>
        <v>L'homme se retourne et pointe et gronde l'oiseau et continue de marcher.</v>
      </c>
    </row>
    <row r="15451">
      <c r="A15451" s="4" t="s">
        <v>19466</v>
      </c>
      <c r="B15451" s="6" t="s">
        <v>19469</v>
      </c>
      <c r="C15451" s="5" t="str">
        <f>IFERROR(__xludf.DUMMYFUNCTION("GOOGLETRANSLATE(B15451,""en"",""fr"")"),"L'homme se penche ensuite près de certains escaliers, essuie l'extérieur du bâtiment et l'oiseau continue d'attaquer l'homme.")</f>
        <v>L'homme se penche ensuite près de certains escaliers, essuie l'extérieur du bâtiment et l'oiseau continue d'attaquer l'homme.</v>
      </c>
    </row>
    <row r="15452">
      <c r="A15452" s="4" t="s">
        <v>19466</v>
      </c>
      <c r="B15452" s="6" t="s">
        <v>19470</v>
      </c>
      <c r="C15452" s="5" t="str">
        <f>IFERROR(__xludf.DUMMYFUNCTION("GOOGLETRANSLATE(B15452,""en"",""fr"")"),"L'homme gronde à nouveau l'oiseau et se dirige vers le petit chien qui est également là que le chien et l'oiseau doivent interagir, mais l'oiseau continue de jouer avec l'homme et le chien reste à l'écart.")</f>
        <v>L'homme gronde à nouveau l'oiseau et se dirige vers le petit chien qui est également là que le chien et l'oiseau doivent interagir, mais l'oiseau continue de jouer avec l'homme et le chien reste à l'écart.</v>
      </c>
    </row>
    <row r="15453">
      <c r="A15453" s="4" t="s">
        <v>19471</v>
      </c>
      <c r="B15453" s="4" t="s">
        <v>19472</v>
      </c>
      <c r="C15453" s="5" t="str">
        <f>IFERROR(__xludf.DUMMYFUNCTION("GOOGLETRANSLATE(B15453,""en"",""fr"")"),"Diverses femmes sont vues en regardant la caméra suivie d'un homme parlant à la caméra.")</f>
        <v>Diverses femmes sont vues en regardant la caméra suivie d'un homme parlant à la caméra.</v>
      </c>
    </row>
    <row r="15454">
      <c r="A15454" s="4" t="s">
        <v>19471</v>
      </c>
      <c r="B15454" s="4" t="s">
        <v>19473</v>
      </c>
      <c r="C15454" s="5" t="str">
        <f>IFERROR(__xludf.DUMMYFUNCTION("GOOGLETRANSLATE(B15454,""en"",""fr"")"),"Plusieurs outils sont montrés que Lea dans une femme brossant ses cheveux.")</f>
        <v>Plusieurs outils sont montrés que Lea dans une femme brossant ses cheveux.</v>
      </c>
    </row>
    <row r="15455">
      <c r="A15455" s="4" t="s">
        <v>19471</v>
      </c>
      <c r="B15455" s="6" t="s">
        <v>19474</v>
      </c>
      <c r="C15455" s="5" t="str">
        <f>IFERROR(__xludf.DUMMYFUNCTION("GOOGLETRANSLATE(B15455,""en"",""fr"")"),"Une autre femme se brosse les cheveux et mène à plus de clips de femmes souriant et regardant la caméra.")</f>
        <v>Une autre femme se brosse les cheveux et mène à plus de clips de femmes souriant et regardant la caméra.</v>
      </c>
    </row>
    <row r="15456">
      <c r="A15456" s="4" t="s">
        <v>19475</v>
      </c>
      <c r="B15456" s="4" t="s">
        <v>19476</v>
      </c>
      <c r="C15456" s="5" t="str">
        <f>IFERROR(__xludf.DUMMYFUNCTION("GOOGLETRANSLATE(B15456,""en"",""fr"")"),"Deux personnes jouent à Wall Ball dans une pièce.")</f>
        <v>Deux personnes jouent à Wall Ball dans une pièce.</v>
      </c>
    </row>
    <row r="15457">
      <c r="A15457" s="4" t="s">
        <v>19475</v>
      </c>
      <c r="B15457" s="4" t="s">
        <v>19477</v>
      </c>
      <c r="C15457" s="5" t="str">
        <f>IFERROR(__xludf.DUMMYFUNCTION("GOOGLETRANSLATE(B15457,""en"",""fr"")"),"Un garçon tombe en plongeant pour le ballon.")</f>
        <v>Un garçon tombe en plongeant pour le ballon.</v>
      </c>
    </row>
    <row r="15458">
      <c r="A15458" s="4" t="s">
        <v>19475</v>
      </c>
      <c r="B15458" s="4" t="s">
        <v>19478</v>
      </c>
      <c r="C15458" s="5" t="str">
        <f>IFERROR(__xludf.DUMMYFUNCTION("GOOGLETRANSLATE(B15458,""en"",""fr"")"),"Une personne marche devant la pièce.")</f>
        <v>Une personne marche devant la pièce.</v>
      </c>
    </row>
    <row r="15459">
      <c r="A15459" s="4" t="s">
        <v>19479</v>
      </c>
      <c r="B15459" s="4" t="s">
        <v>19480</v>
      </c>
      <c r="C15459" s="5" t="str">
        <f>IFERROR(__xludf.DUMMYFUNCTION("GOOGLETRANSLATE(B15459,""en"",""fr"")"),"Un homme est à l'intérieur, alors qu'il prend un frisbee du sol.")</f>
        <v>Un homme est à l'intérieur, alors qu'il prend un frisbee du sol.</v>
      </c>
    </row>
    <row r="15460">
      <c r="A15460" s="4" t="s">
        <v>19479</v>
      </c>
      <c r="B15460" s="4" t="s">
        <v>19481</v>
      </c>
      <c r="C15460" s="5" t="str">
        <f>IFERROR(__xludf.DUMMYFUNCTION("GOOGLETRANSLATE(B15460,""en"",""fr"")"),"Il utilise ensuite plusieurs Frisbees pour s'entraîner et afficher les cascades d'un chien Collie de taille moyenne.")</f>
        <v>Il utilise ensuite plusieurs Frisbees pour s'entraîner et afficher les cascades d'un chien Collie de taille moyenne.</v>
      </c>
    </row>
    <row r="15461">
      <c r="A15461" s="4" t="s">
        <v>19479</v>
      </c>
      <c r="B15461" s="4" t="s">
        <v>19482</v>
      </c>
      <c r="C15461" s="5" t="str">
        <f>IFERROR(__xludf.DUMMYFUNCTION("GOOGLETRANSLATE(B15461,""en"",""fr"")"),"Le chien s'enfuit et ramène les Frisbees.")</f>
        <v>Le chien s'enfuit et ramène les Frisbees.</v>
      </c>
    </row>
    <row r="15462">
      <c r="A15462" s="4" t="s">
        <v>19479</v>
      </c>
      <c r="B15462" s="4" t="s">
        <v>19483</v>
      </c>
      <c r="C15462" s="5" t="str">
        <f>IFERROR(__xludf.DUMMYFUNCTION("GOOGLETRANSLATE(B15462,""en"",""fr"")"),"La scène se termine avec le chien essayant désespérément de retirer un frisbee de la main de l'homme assis.")</f>
        <v>La scène se termine avec le chien essayant désespérément de retirer un frisbee de la main de l'homme assis.</v>
      </c>
    </row>
    <row r="15463">
      <c r="A15463" s="4" t="s">
        <v>19484</v>
      </c>
      <c r="B15463" s="4" t="s">
        <v>19485</v>
      </c>
      <c r="C15463" s="5" t="str">
        <f>IFERROR(__xludf.DUMMYFUNCTION("GOOGLETRANSLATE(B15463,""en"",""fr"")"),"Un homme plus âgé est vu se diriger vers la caméra et pointe vers diverses plantes autour de lui.")</f>
        <v>Un homme plus âgé est vu se diriger vers la caméra et pointe vers diverses plantes autour de lui.</v>
      </c>
    </row>
    <row r="15464">
      <c r="A15464" s="4" t="s">
        <v>19484</v>
      </c>
      <c r="B15464" s="4" t="s">
        <v>19486</v>
      </c>
      <c r="C15464" s="5" t="str">
        <f>IFERROR(__xludf.DUMMYFUNCTION("GOOGLETRANSLATE(B15464,""en"",""fr"")"),"La caméra se déroule autour de la zone avec toutes les plantes qui poussent et montre l'homme tenant un outil.")</f>
        <v>La caméra se déroule autour de la zone avec toutes les plantes qui poussent et montre l'homme tenant un outil.</v>
      </c>
    </row>
    <row r="15465">
      <c r="A15465" s="4" t="s">
        <v>19484</v>
      </c>
      <c r="B15465" s="6" t="s">
        <v>19487</v>
      </c>
      <c r="C15465" s="5" t="str">
        <f>IFERROR(__xludf.DUMMYFUNCTION("GOOGLETRANSLATE(B15465,""en"",""fr"")"),"L'homme utilise ensuite l'outil le long d'une haie de buissons tout en regardant en arrière et en souriant à la caméra.")</f>
        <v>L'homme utilise ensuite l'outil le long d'une haie de buissons tout en regardant en arrière et en souriant à la caméra.</v>
      </c>
    </row>
    <row r="15466">
      <c r="A15466" s="4" t="s">
        <v>19488</v>
      </c>
      <c r="B15466" s="4" t="s">
        <v>19489</v>
      </c>
      <c r="C15466" s="5" t="str">
        <f>IFERROR(__xludf.DUMMYFUNCTION("GOOGLETRANSLATE(B15466,""en"",""fr"")"),"Une jeune fille est vue en parlant à la caméra debout avant qu'un jeu de scotch hop tire.")</f>
        <v>Une jeune fille est vue en parlant à la caméra debout avant qu'un jeu de scotch hop tire.</v>
      </c>
    </row>
    <row r="15467">
      <c r="A15467" s="4" t="s">
        <v>19488</v>
      </c>
      <c r="B15467" s="4" t="s">
        <v>19490</v>
      </c>
      <c r="C15467" s="5" t="str">
        <f>IFERROR(__xludf.DUMMYFUNCTION("GOOGLETRANSLATE(B15467,""en"",""fr"")"),"La fille jette alors un rocher et saute pour se terminer tout en l'attrapant et en remontant.")</f>
        <v>La fille jette alors un rocher et saute pour se terminer tout en l'attrapant et en remontant.</v>
      </c>
    </row>
    <row r="15468">
      <c r="A15468" s="4" t="s">
        <v>19491</v>
      </c>
      <c r="B15468" s="4" t="s">
        <v>19492</v>
      </c>
      <c r="C15468" s="5" t="str">
        <f>IFERROR(__xludf.DUMMYFUNCTION("GOOGLETRANSLATE(B15468,""en"",""fr"")"),"Une femme se tient derrière un vide.")</f>
        <v>Une femme se tient derrière un vide.</v>
      </c>
    </row>
    <row r="15469">
      <c r="A15469" s="4" t="s">
        <v>19491</v>
      </c>
      <c r="B15469" s="4" t="s">
        <v>19493</v>
      </c>
      <c r="C15469" s="5" t="str">
        <f>IFERROR(__xludf.DUMMYFUNCTION("GOOGLETRANSLATE(B15469,""en"",""fr"")"),"Elle commence à passer l'aspirateur sur le tapis.")</f>
        <v>Elle commence à passer l'aspirateur sur le tapis.</v>
      </c>
    </row>
    <row r="15470">
      <c r="A15470" s="4" t="s">
        <v>19491</v>
      </c>
      <c r="B15470" s="4" t="s">
        <v>19494</v>
      </c>
      <c r="C15470" s="5" t="str">
        <f>IFERROR(__xludf.DUMMYFUNCTION("GOOGLETRANSLATE(B15470,""en"",""fr"")"),"Elle enlève l'attachement du tuyau et nettoie une lampe et les escaliers.")</f>
        <v>Elle enlève l'attachement du tuyau et nettoie une lampe et les escaliers.</v>
      </c>
    </row>
    <row r="15471">
      <c r="A15471" s="4" t="s">
        <v>19491</v>
      </c>
      <c r="B15471" s="4" t="s">
        <v>19495</v>
      </c>
      <c r="C15471" s="5" t="str">
        <f>IFERROR(__xludf.DUMMYFUNCTION("GOOGLETRANSLATE(B15471,""en"",""fr"")"),"Elle vide le filtre du vide dans la boîte de poubelle.")</f>
        <v>Elle vide le filtre du vide dans la boîte de poubelle.</v>
      </c>
    </row>
    <row r="15472">
      <c r="A15472" s="4" t="s">
        <v>19496</v>
      </c>
      <c r="B15472" s="4" t="s">
        <v>19497</v>
      </c>
      <c r="C15472" s="5" t="str">
        <f>IFERROR(__xludf.DUMMYFUNCTION("GOOGLETRANSLATE(B15472,""en"",""fr"")"),"La recette de fabrication de limeade est montrée.")</f>
        <v>La recette de fabrication de limeade est montrée.</v>
      </c>
    </row>
    <row r="15473">
      <c r="A15473" s="4" t="s">
        <v>19496</v>
      </c>
      <c r="B15473" s="4" t="s">
        <v>19498</v>
      </c>
      <c r="C15473" s="5" t="str">
        <f>IFERROR(__xludf.DUMMYFUNCTION("GOOGLETRANSLATE(B15473,""en"",""fr"")"),"Les limes sont jus, puis combinées avec de l'eau et du sucre.")</f>
        <v>Les limes sont jus, puis combinées avec de l'eau et du sucre.</v>
      </c>
    </row>
    <row r="15474">
      <c r="A15474" s="4" t="s">
        <v>19496</v>
      </c>
      <c r="B15474" s="4" t="s">
        <v>19499</v>
      </c>
      <c r="C15474" s="5" t="str">
        <f>IFERROR(__xludf.DUMMYFUNCTION("GOOGLETRANSLATE(B15474,""en"",""fr"")"),"Le tout est remué.")</f>
        <v>Le tout est remué.</v>
      </c>
    </row>
    <row r="15475">
      <c r="A15475" s="4" t="s">
        <v>19500</v>
      </c>
      <c r="B15475" s="4" t="s">
        <v>19501</v>
      </c>
      <c r="C15475" s="5" t="str">
        <f>IFERROR(__xludf.DUMMYFUNCTION("GOOGLETRANSLATE(B15475,""en"",""fr"")"),"Il y a deux constructeurs de corps vêtus de chemises noires démontrant l'haltérophilie dans une salle de sport.")</f>
        <v>Il y a deux constructeurs de corps vêtus de chemises noires démontrant l'haltérophilie dans une salle de sport.</v>
      </c>
    </row>
    <row r="15476">
      <c r="A15476" s="4" t="s">
        <v>19500</v>
      </c>
      <c r="B15476" s="6" t="s">
        <v>19502</v>
      </c>
      <c r="C15476" s="5" t="str">
        <f>IFERROR(__xludf.DUMMYFUNCTION("GOOGLETRANSLATE(B15476,""en"",""fr"")"),"L'un des bodybuilders soulève les poids tandis que l'autre explique la bonne méthode pour le faire.")</f>
        <v>L'un des bodybuilders soulève les poids tandis que l'autre explique la bonne méthode pour le faire.</v>
      </c>
    </row>
    <row r="15477">
      <c r="A15477" s="4" t="s">
        <v>19500</v>
      </c>
      <c r="B15477" s="6" t="s">
        <v>19503</v>
      </c>
      <c r="C15477" s="5" t="str">
        <f>IFERROR(__xludf.DUMMYFUNCTION("GOOGLETRANSLATE(B15477,""en"",""fr"")"),"Le bodybuilder soulève progressivement le poids et se reproduit rapidement pour augmenter les poids.")</f>
        <v>Le bodybuilder soulève progressivement le poids et se reproduit rapidement pour augmenter les poids.</v>
      </c>
    </row>
    <row r="15478">
      <c r="A15478" s="4" t="s">
        <v>19500</v>
      </c>
      <c r="B15478" s="4" t="s">
        <v>19504</v>
      </c>
      <c r="C15478" s="5" t="str">
        <f>IFERROR(__xludf.DUMMYFUNCTION("GOOGLETRANSLATE(B15478,""en"",""fr"")"),"L'autre bodybuilder continue d'expliquer les stratégies d'haltérophilie utilisées professionnellement.")</f>
        <v>L'autre bodybuilder continue d'expliquer les stratégies d'haltérophilie utilisées professionnellement.</v>
      </c>
    </row>
    <row r="15479">
      <c r="A15479" s="4" t="s">
        <v>19505</v>
      </c>
      <c r="B15479" s="4" t="s">
        <v>19506</v>
      </c>
      <c r="C15479" s="5" t="str">
        <f>IFERROR(__xludf.DUMMYFUNCTION("GOOGLETRANSLATE(B15479,""en"",""fr"")"),"Nous voyons un écran de titre glisser sur l'écran.")</f>
        <v>Nous voyons un écran de titre glisser sur l'écran.</v>
      </c>
    </row>
    <row r="15480">
      <c r="A15480" s="4" t="s">
        <v>19505</v>
      </c>
      <c r="B15480" s="4" t="s">
        <v>19507</v>
      </c>
      <c r="C15480" s="5" t="str">
        <f>IFERROR(__xludf.DUMMYFUNCTION("GOOGLETRANSLATE(B15480,""en"",""fr"")"),"Nous regardons ensuite un garçon plus âgé et un garçon bol dans un bowling.")</f>
        <v>Nous regardons ensuite un garçon plus âgé et un garçon bol dans un bowling.</v>
      </c>
    </row>
    <row r="15481">
      <c r="A15481" s="4" t="s">
        <v>19505</v>
      </c>
      <c r="B15481" s="4" t="s">
        <v>19508</v>
      </c>
      <c r="C15481" s="5" t="str">
        <f>IFERROR(__xludf.DUMMYFUNCTION("GOOGLETRANSLATE(B15481,""en"",""fr"")"),"Un petit garçon dans une chemise orange roule la balle dans l'allée.")</f>
        <v>Un petit garçon dans une chemise orange roule la balle dans l'allée.</v>
      </c>
    </row>
    <row r="15482">
      <c r="A15482" s="4" t="s">
        <v>19505</v>
      </c>
      <c r="B15482" s="4" t="s">
        <v>19509</v>
      </c>
      <c r="C15482" s="5" t="str">
        <f>IFERROR(__xludf.DUMMYFUNCTION("GOOGLETRANSLATE(B15482,""en"",""fr"")"),"Nous regardons un garçon plus âgé dans une chemise verte rouler le ballon 5 fois et obtenir 4 frappes.")</f>
        <v>Nous regardons un garçon plus âgé dans une chemise verte rouler le ballon 5 fois et obtenir 4 frappes.</v>
      </c>
    </row>
    <row r="15483">
      <c r="A15483" s="4" t="s">
        <v>19505</v>
      </c>
      <c r="B15483" s="4" t="s">
        <v>19510</v>
      </c>
      <c r="C15483" s="5" t="str">
        <f>IFERROR(__xludf.DUMMYFUNCTION("GOOGLETRANSLATE(B15483,""en"",""fr"")"),"Nous voyons un écran de titre et un mouvement au ralenti de l'un des plans du garçon plus âgé.")</f>
        <v>Nous voyons un écran de titre et un mouvement au ralenti de l'un des plans du garçon plus âgé.</v>
      </c>
    </row>
    <row r="15484">
      <c r="A15484" s="4" t="s">
        <v>19511</v>
      </c>
      <c r="B15484" s="6" t="s">
        <v>19512</v>
      </c>
      <c r="C15484" s="5" t="str">
        <f>IFERROR(__xludf.DUMMYFUNCTION("GOOGLETRANSLATE(B15484,""en"",""fr"")"),"Un homme est illustré à l'extérieur dans un parc pour enfants avec un short gris sur une paire de baskets en noir et blanc.")</f>
        <v>Un homme est illustré à l'extérieur dans un parc pour enfants avec un short gris sur une paire de baskets en noir et blanc.</v>
      </c>
    </row>
    <row r="15485">
      <c r="A15485" s="4" t="s">
        <v>19511</v>
      </c>
      <c r="B15485" s="6" t="s">
        <v>19513</v>
      </c>
      <c r="C15485" s="5" t="str">
        <f>IFERROR(__xludf.DUMMYFUNCTION("GOOGLETRANSLATE(B15485,""en"",""fr"")"),"Il se tire ensuite sur les barres de singe et se tient sur eux et entre dans un support à main.")</f>
        <v>Il se tire ensuite sur les barres de singe et se tient sur eux et entre dans un support à main.</v>
      </c>
    </row>
    <row r="15486">
      <c r="A15486" s="4" t="s">
        <v>19511</v>
      </c>
      <c r="B15486" s="4" t="s">
        <v>19514</v>
      </c>
      <c r="C15486" s="5" t="str">
        <f>IFERROR(__xludf.DUMMYFUNCTION("GOOGLETRANSLATE(B15486,""en"",""fr"")"),"Une fois qu'il a eu son équilibre, il traverse l'est et saute de celui qu'il a atteint la fin.")</f>
        <v>Une fois qu'il a eu son équilibre, il traverse l'est et saute de celui qu'il a atteint la fin.</v>
      </c>
    </row>
    <row r="15487">
      <c r="A15487" s="4" t="s">
        <v>19515</v>
      </c>
      <c r="B15487" s="4" t="s">
        <v>19516</v>
      </c>
      <c r="C15487" s="5" t="str">
        <f>IFERROR(__xludf.DUMMYFUNCTION("GOOGLETRANSLATE(B15487,""en"",""fr"")"),"Trois individus sont assis sur scène et ont une conversation.")</f>
        <v>Trois individus sont assis sur scène et ont une conversation.</v>
      </c>
    </row>
    <row r="15488">
      <c r="A15488" s="4" t="s">
        <v>19515</v>
      </c>
      <c r="B15488" s="4" t="s">
        <v>19517</v>
      </c>
      <c r="C15488" s="5" t="str">
        <f>IFERROR(__xludf.DUMMYFUNCTION("GOOGLETRANSLATE(B15488,""en"",""fr"")"),"Deux garçons dansent de la même manière.")</f>
        <v>Deux garçons dansent de la même manière.</v>
      </c>
    </row>
    <row r="15489">
      <c r="A15489" s="4" t="s">
        <v>19515</v>
      </c>
      <c r="B15489" s="4" t="s">
        <v>19518</v>
      </c>
      <c r="C15489" s="5" t="str">
        <f>IFERROR(__xludf.DUMMYFUNCTION("GOOGLETRANSLATE(B15489,""en"",""fr"")"),"Une image d'un homme est incorporée à l'écran avec les danseurs.")</f>
        <v>Une image d'un homme est incorporée à l'écran avec les danseurs.</v>
      </c>
    </row>
    <row r="15490">
      <c r="A15490" s="4" t="s">
        <v>19515</v>
      </c>
      <c r="B15490" s="4" t="s">
        <v>19519</v>
      </c>
      <c r="C15490" s="5" t="str">
        <f>IFERROR(__xludf.DUMMYFUNCTION("GOOGLETRANSLATE(B15490,""en"",""fr"")"),"L'homme couvre son visage avec sa main.")</f>
        <v>L'homme couvre son visage avec sa main.</v>
      </c>
    </row>
    <row r="15491">
      <c r="A15491" s="4" t="s">
        <v>19515</v>
      </c>
      <c r="B15491" s="4" t="s">
        <v>19520</v>
      </c>
      <c r="C15491" s="5" t="str">
        <f>IFERROR(__xludf.DUMMYFUNCTION("GOOGLETRANSLATE(B15491,""en"",""fr"")"),"L'homme et la femme font signe des mouvements de la main des danseurs.")</f>
        <v>L'homme et la femme font signe des mouvements de la main des danseurs.</v>
      </c>
    </row>
    <row r="15492">
      <c r="A15492" s="4" t="s">
        <v>19515</v>
      </c>
      <c r="B15492" s="4" t="s">
        <v>19521</v>
      </c>
      <c r="C15492" s="5" t="str">
        <f>IFERROR(__xludf.DUMMYFUNCTION("GOOGLETRANSLATE(B15492,""en"",""fr"")"),"Cet homme descend de son siège et des genoux.")</f>
        <v>Cet homme descend de son siège et des genoux.</v>
      </c>
    </row>
    <row r="15493">
      <c r="A15493" s="4" t="s">
        <v>19515</v>
      </c>
      <c r="B15493" s="4" t="s">
        <v>19522</v>
      </c>
      <c r="C15493" s="5" t="str">
        <f>IFERROR(__xludf.DUMMYFUNCTION("GOOGLETRANSLATE(B15493,""en"",""fr"")"),"L'homme se fait genoux et s'assoit.")</f>
        <v>L'homme se fait genoux et s'assoit.</v>
      </c>
    </row>
    <row r="15494">
      <c r="A15494" s="4" t="s">
        <v>19515</v>
      </c>
      <c r="B15494" s="4" t="s">
        <v>19523</v>
      </c>
      <c r="C15494" s="5" t="str">
        <f>IFERROR(__xludf.DUMMYFUNCTION("GOOGLETRANSLATE(B15494,""en"",""fr"")"),"L'homme et la femelle touchent les mains en assise.")</f>
        <v>L'homme et la femelle touchent les mains en assise.</v>
      </c>
    </row>
    <row r="15495">
      <c r="A15495" s="4" t="s">
        <v>19515</v>
      </c>
      <c r="B15495" s="4" t="s">
        <v>19524</v>
      </c>
      <c r="C15495" s="5" t="str">
        <f>IFERROR(__xludf.DUMMYFUNCTION("GOOGLETRANSLATE(B15495,""en"",""fr"")"),"L'homme applaudit ses mains.")</f>
        <v>L'homme applaudit ses mains.</v>
      </c>
    </row>
    <row r="15496">
      <c r="A15496" s="4" t="s">
        <v>19515</v>
      </c>
      <c r="B15496" s="4" t="s">
        <v>19525</v>
      </c>
      <c r="C15496" s="5" t="str">
        <f>IFERROR(__xludf.DUMMYFUNCTION("GOOGLETRANSLATE(B15496,""en"",""fr"")"),"L'homme fait signe à un homme dans les coulisses pour les rejoindre.")</f>
        <v>L'homme fait signe à un homme dans les coulisses pour les rejoindre.</v>
      </c>
    </row>
    <row r="15497">
      <c r="A15497" s="4" t="s">
        <v>19515</v>
      </c>
      <c r="B15497" s="4" t="s">
        <v>19526</v>
      </c>
      <c r="C15497" s="5" t="str">
        <f>IFERROR(__xludf.DUMMYFUNCTION("GOOGLETRANSLATE(B15497,""en"",""fr"")"),"Un homme debout qui est dans les coulisses.")</f>
        <v>Un homme debout qui est dans les coulisses.</v>
      </c>
    </row>
    <row r="15498">
      <c r="A15498" s="4" t="s">
        <v>19515</v>
      </c>
      <c r="B15498" s="4" t="s">
        <v>19527</v>
      </c>
      <c r="C15498" s="5" t="str">
        <f>IFERROR(__xludf.DUMMYFUNCTION("GOOGLETRANSLATE(B15498,""en"",""fr"")"),"Les deux danseurs de garçons sont montrés en tendant une main.")</f>
        <v>Les deux danseurs de garçons sont montrés en tendant une main.</v>
      </c>
    </row>
    <row r="15499">
      <c r="A15499" s="4" t="s">
        <v>19515</v>
      </c>
      <c r="B15499" s="4" t="s">
        <v>19528</v>
      </c>
      <c r="C15499" s="5" t="str">
        <f>IFERROR(__xludf.DUMMYFUNCTION("GOOGLETRANSLATE(B15499,""en"",""fr"")"),"Un homme marche des dans les coulisses.")</f>
        <v>Un homme marche des dans les coulisses.</v>
      </c>
    </row>
    <row r="15500">
      <c r="A15500" s="4" t="s">
        <v>19515</v>
      </c>
      <c r="B15500" s="4" t="s">
        <v>19529</v>
      </c>
      <c r="C15500" s="5" t="str">
        <f>IFERROR(__xludf.DUMMYFUNCTION("GOOGLETRANSLATE(B15500,""en"",""fr"")"),"L'homme se serre la main et embrasse l'un des hommes sur scène.")</f>
        <v>L'homme se serre la main et embrasse l'un des hommes sur scène.</v>
      </c>
    </row>
    <row r="15501">
      <c r="A15501" s="4" t="s">
        <v>19515</v>
      </c>
      <c r="B15501" s="4" t="s">
        <v>19530</v>
      </c>
      <c r="C15501" s="5" t="str">
        <f>IFERROR(__xludf.DUMMYFUNCTION("GOOGLETRANSLATE(B15501,""en"",""fr"")"),"La femelle se lève et embrasse également l'homme.")</f>
        <v>La femelle se lève et embrasse également l'homme.</v>
      </c>
    </row>
    <row r="15502">
      <c r="A15502" s="4" t="s">
        <v>19515</v>
      </c>
      <c r="B15502" s="4" t="s">
        <v>19531</v>
      </c>
      <c r="C15502" s="5" t="str">
        <f>IFERROR(__xludf.DUMMYFUNCTION("GOOGLETRANSLATE(B15502,""en"",""fr"")"),"Un homme se lève puis s'assoit.")</f>
        <v>Un homme se lève puis s'assoit.</v>
      </c>
    </row>
    <row r="15503">
      <c r="A15503" s="4" t="s">
        <v>19515</v>
      </c>
      <c r="B15503" s="4" t="s">
        <v>19532</v>
      </c>
      <c r="C15503" s="5" t="str">
        <f>IFERROR(__xludf.DUMMYFUNCTION("GOOGLETRANSLATE(B15503,""en"",""fr"")"),"L'homme en costume noir danse puis s'assoit.")</f>
        <v>L'homme en costume noir danse puis s'assoit.</v>
      </c>
    </row>
    <row r="15504">
      <c r="A15504" s="4" t="s">
        <v>19515</v>
      </c>
      <c r="B15504" s="4" t="s">
        <v>19533</v>
      </c>
      <c r="C15504" s="5" t="str">
        <f>IFERROR(__xludf.DUMMYFUNCTION("GOOGLETRANSLATE(B15504,""en"",""fr"")"),"L'homme en costume brun revient dans les coulisses.")</f>
        <v>L'homme en costume brun revient dans les coulisses.</v>
      </c>
    </row>
    <row r="15505">
      <c r="A15505" s="4" t="s">
        <v>19515</v>
      </c>
      <c r="B15505" s="4" t="s">
        <v>19534</v>
      </c>
      <c r="C15505" s="5" t="str">
        <f>IFERROR(__xludf.DUMMYFUNCTION("GOOGLETRANSLATE(B15505,""en"",""fr"")"),"L'homme est montré dans les coulisses.")</f>
        <v>L'homme est montré dans les coulisses.</v>
      </c>
    </row>
    <row r="15506">
      <c r="A15506" s="4" t="s">
        <v>19515</v>
      </c>
      <c r="B15506" s="4" t="s">
        <v>19535</v>
      </c>
      <c r="C15506" s="5" t="str">
        <f>IFERROR(__xludf.DUMMYFUNCTION("GOOGLETRANSLATE(B15506,""en"",""fr"")"),"Le nom de l'émission est affiché.")</f>
        <v>Le nom de l'émission est affiché.</v>
      </c>
    </row>
    <row r="15507">
      <c r="A15507" s="4" t="s">
        <v>19536</v>
      </c>
      <c r="B15507" s="6" t="s">
        <v>19537</v>
      </c>
      <c r="C15507" s="5" t="str">
        <f>IFERROR(__xludf.DUMMYFUNCTION("GOOGLETRANSLATE(B15507,""en"",""fr"")"),"Plusieurs plans sont montrés de personnes poussant les bateaux à voile dans l'eau et les conduisant les uns aux autres.")</f>
        <v>Plusieurs plans sont montrés de personnes poussant les bateaux à voile dans l'eau et les conduisant les uns aux autres.</v>
      </c>
    </row>
    <row r="15508">
      <c r="A15508" s="4" t="s">
        <v>19536</v>
      </c>
      <c r="B15508" s="6" t="s">
        <v>19538</v>
      </c>
      <c r="C15508" s="5" t="str">
        <f>IFERROR(__xludf.DUMMYFUNCTION("GOOGLETRANSLATE(B15508,""en"",""fr"")"),"Les gens sont vus rouler sur des jet-skis après le bateau ainsi que des gros plans des bateaux indiqués ainsi que sous l'eau.")</f>
        <v>Les gens sont vus rouler sur des jet-skis après le bateau ainsi que des gros plans des bateaux indiqués ainsi que sous l'eau.</v>
      </c>
    </row>
    <row r="15509">
      <c r="A15509" s="4" t="s">
        <v>19536</v>
      </c>
      <c r="B15509" s="4" t="s">
        <v>19539</v>
      </c>
      <c r="C15509" s="5" t="str">
        <f>IFERROR(__xludf.DUMMYFUNCTION("GOOGLETRANSLATE(B15509,""en"",""fr"")"),"Plus de gens sont vus monter sur de petits bateaux et se terminer en faisant ramener un bateau à terre.")</f>
        <v>Plus de gens sont vus monter sur de petits bateaux et se terminer en faisant ramener un bateau à terre.</v>
      </c>
    </row>
    <row r="15510">
      <c r="A15510" s="4" t="s">
        <v>19540</v>
      </c>
      <c r="B15510" s="4" t="s">
        <v>19541</v>
      </c>
      <c r="C15510" s="5" t="str">
        <f>IFERROR(__xludf.DUMMYFUNCTION("GOOGLETRANSLATE(B15510,""en"",""fr"")"),"Les enfants font du vélo autour d'un piste de terre.")</f>
        <v>Les enfants font du vélo autour d'un piste de terre.</v>
      </c>
    </row>
    <row r="15511">
      <c r="A15511" s="4" t="s">
        <v>19540</v>
      </c>
      <c r="B15511" s="4" t="s">
        <v>19542</v>
      </c>
      <c r="C15511" s="5" t="str">
        <f>IFERROR(__xludf.DUMMYFUNCTION("GOOGLETRANSLATE(B15511,""en"",""fr"")"),"L'un d'eux fait bascule et tombe.")</f>
        <v>L'un d'eux fait bascule et tombe.</v>
      </c>
    </row>
    <row r="15512">
      <c r="A15512" s="4" t="s">
        <v>19540</v>
      </c>
      <c r="B15512" s="4" t="s">
        <v>19543</v>
      </c>
      <c r="C15512" s="5" t="str">
        <f>IFERROR(__xludf.DUMMYFUNCTION("GOOGLETRANSLATE(B15512,""en"",""fr"")"),"Ils continuent de faire le tour de la piste.")</f>
        <v>Ils continuent de faire le tour de la piste.</v>
      </c>
    </row>
    <row r="15513">
      <c r="A15513" s="4" t="s">
        <v>19540</v>
      </c>
      <c r="B15513" s="4" t="s">
        <v>19544</v>
      </c>
      <c r="C15513" s="5" t="str">
        <f>IFERROR(__xludf.DUMMYFUNCTION("GOOGLETRANSLATE(B15513,""en"",""fr"")"),"Une autre personne s'écrase et tombe.")</f>
        <v>Une autre personne s'écrase et tombe.</v>
      </c>
    </row>
    <row r="15514">
      <c r="A15514" s="4" t="s">
        <v>19545</v>
      </c>
      <c r="B15514" s="4" t="s">
        <v>19546</v>
      </c>
      <c r="C15514" s="5" t="str">
        <f>IFERROR(__xludf.DUMMYFUNCTION("GOOGLETRANSLATE(B15514,""en"",""fr"")"),"Un groupe de danseurs en tenues rouges danse sur scène.")</f>
        <v>Un groupe de danseurs en tenues rouges danse sur scène.</v>
      </c>
    </row>
    <row r="15515">
      <c r="A15515" s="4" t="s">
        <v>19545</v>
      </c>
      <c r="B15515" s="4" t="s">
        <v>19547</v>
      </c>
      <c r="C15515" s="5" t="str">
        <f>IFERROR(__xludf.DUMMYFUNCTION("GOOGLETRANSLATE(B15515,""en"",""fr"")"),"Un groupe de pom-pom girls en rose se tiendra sur un terrain tandis qu'un groupe en blanc se dirige vers Great the Coach.")</f>
        <v>Un groupe de pom-pom girls en rose se tiendra sur un terrain tandis qu'un groupe en blanc se dirige vers Great the Coach.</v>
      </c>
    </row>
    <row r="15516">
      <c r="A15516" s="4" t="s">
        <v>19545</v>
      </c>
      <c r="B15516" s="4" t="s">
        <v>19548</v>
      </c>
      <c r="C15516" s="5" t="str">
        <f>IFERROR(__xludf.DUMMYFUNCTION("GOOGLETRANSLATE(B15516,""en"",""fr"")"),"Une femme solo en chemisier rouge discute des événements dans une pièce avec des lettres illuminées en arrière-plan.")</f>
        <v>Une femme solo en chemisier rouge discute des événements dans une pièce avec des lettres illuminées en arrière-plan.</v>
      </c>
    </row>
    <row r="15517">
      <c r="A15517" s="4" t="s">
        <v>19545</v>
      </c>
      <c r="B15517" s="4" t="s">
        <v>19549</v>
      </c>
      <c r="C15517" s="5" t="str">
        <f>IFERROR(__xludf.DUMMYFUNCTION("GOOGLETRANSLATE(B15517,""en"",""fr"")"),"Les deux équipes de femmes s'alignent ensemble sur le terrain.")</f>
        <v>Les deux équipes de femmes s'alignent ensemble sur le terrain.</v>
      </c>
    </row>
    <row r="15518">
      <c r="A15518" s="4" t="s">
        <v>19545</v>
      </c>
      <c r="B15518" s="4" t="s">
        <v>19550</v>
      </c>
      <c r="C15518" s="5" t="str">
        <f>IFERROR(__xludf.DUMMYFUNCTION("GOOGLETRANSLATE(B15518,""en"",""fr"")"),"Les deux groupes de femmes dansent ensemble à l'unisson avec l'entraîneur menant devant.")</f>
        <v>Les deux groupes de femmes dansent ensemble à l'unisson avec l'entraîneur menant devant.</v>
      </c>
    </row>
    <row r="15519">
      <c r="A15519" s="4" t="s">
        <v>19545</v>
      </c>
      <c r="B15519" s="4" t="s">
        <v>19551</v>
      </c>
      <c r="C15519" s="5" t="str">
        <f>IFERROR(__xludf.DUMMYFUNCTION("GOOGLETRANSLATE(B15519,""en"",""fr"")"),"Les femmes en uniformes roses dansent sur le terrain.")</f>
        <v>Les femmes en uniformes roses dansent sur le terrain.</v>
      </c>
    </row>
    <row r="15520">
      <c r="A15520" s="4" t="s">
        <v>19545</v>
      </c>
      <c r="B15520" s="4" t="s">
        <v>19552</v>
      </c>
      <c r="C15520" s="5" t="str">
        <f>IFERROR(__xludf.DUMMYFUNCTION("GOOGLETRANSLATE(B15520,""en"",""fr"")"),"Les femmes en uniformes blanches dansent sur le terrain.")</f>
        <v>Les femmes en uniformes blanches dansent sur le terrain.</v>
      </c>
    </row>
    <row r="15521">
      <c r="A15521" s="4" t="s">
        <v>19553</v>
      </c>
      <c r="B15521" s="4" t="s">
        <v>1487</v>
      </c>
      <c r="C15521" s="5" t="str">
        <f>IFERROR(__xludf.DUMMYFUNCTION("GOOGLETRANSLATE(B15521,""en"",""fr"")"),"Nous voyons un écran de titre d'ouverture.")</f>
        <v>Nous voyons un écran de titre d'ouverture.</v>
      </c>
    </row>
    <row r="15522">
      <c r="A15522" s="4" t="s">
        <v>19553</v>
      </c>
      <c r="B15522" s="4" t="s">
        <v>19554</v>
      </c>
      <c r="C15522" s="5" t="str">
        <f>IFERROR(__xludf.DUMMYFUNCTION("GOOGLETRANSLATE(B15522,""en"",""fr"")"),"Nous voyons un homme qui se précipite autour d'une pipe.")</f>
        <v>Nous voyons un homme qui se précipite autour d'une pipe.</v>
      </c>
    </row>
    <row r="15523">
      <c r="A15523" s="4" t="s">
        <v>19553</v>
      </c>
      <c r="B15523" s="4" t="s">
        <v>19555</v>
      </c>
      <c r="C15523" s="5" t="str">
        <f>IFERROR(__xludf.DUMMYFUNCTION("GOOGLETRANSLATE(B15523,""en"",""fr"")"),"L'homme pousse ensuite le tuyau et le cloue.")</f>
        <v>L'homme pousse ensuite le tuyau et le cloue.</v>
      </c>
    </row>
    <row r="15524">
      <c r="A15524" s="4" t="s">
        <v>19553</v>
      </c>
      <c r="B15524" s="4" t="s">
        <v>19556</v>
      </c>
      <c r="C15524" s="5" t="str">
        <f>IFERROR(__xludf.DUMMYFUNCTION("GOOGLETRANSLATE(B15524,""en"",""fr"")"),"L'homme ajoute du goudron à la base de tuyaux et cloue les bardeaux autour de lui.")</f>
        <v>L'homme ajoute du goudron à la base de tuyaux et cloue les bardeaux autour de lui.</v>
      </c>
    </row>
    <row r="15525">
      <c r="A15525" s="4" t="s">
        <v>19553</v>
      </c>
      <c r="B15525" s="4" t="s">
        <v>19557</v>
      </c>
      <c r="C15525" s="5" t="str">
        <f>IFERROR(__xludf.DUMMYFUNCTION("GOOGLETRANSLATE(B15525,""en"",""fr"")"),"L'homme met ensuite le goudron sous le galets supérieurs.")</f>
        <v>L'homme met ensuite le goudron sous le galets supérieurs.</v>
      </c>
    </row>
    <row r="15526">
      <c r="A15526" s="4" t="s">
        <v>19553</v>
      </c>
      <c r="B15526" s="4" t="s">
        <v>19558</v>
      </c>
      <c r="C15526" s="5" t="str">
        <f>IFERROR(__xludf.DUMMYFUNCTION("GOOGLETRANSLATE(B15526,""en"",""fr"")"),"Nous voyons la maison et un camion garé dans l'allée.")</f>
        <v>Nous voyons la maison et un camion garé dans l'allée.</v>
      </c>
    </row>
    <row r="15527">
      <c r="A15527" s="4" t="s">
        <v>19559</v>
      </c>
      <c r="B15527" s="6" t="s">
        <v>19560</v>
      </c>
      <c r="C15527" s="5" t="str">
        <f>IFERROR(__xludf.DUMMYFUNCTION("GOOGLETRANSLATE(B15527,""en"",""fr"")"),"Une femme s'agenouille à l'extérieur sur un sol en béton et rince les vêtements et les lave à l'aide d'un seau en métal pour le rinçage et le sol comme planche à laver pour les vêtements.")</f>
        <v>Une femme s'agenouille à l'extérieur sur un sol en béton et rince les vêtements et les lave à l'aide d'un seau en métal pour le rinçage et le sol comme planche à laver pour les vêtements.</v>
      </c>
    </row>
    <row r="15528">
      <c r="A15528" s="4" t="s">
        <v>19559</v>
      </c>
      <c r="B15528" s="6" t="s">
        <v>19561</v>
      </c>
      <c r="C15528" s="5" t="str">
        <f>IFERROR(__xludf.DUMMYFUNCTION("GOOGLETRANSLATE(B15528,""en"",""fr"")"),"Une petite fille s'approche de la femme et verse plus d'eau dans le seau en métal de la femme, puis s'éloigne pour se tenir à côté d'un puits où une autre femme s'agenouille et lave des vêtements de la même manière.")</f>
        <v>Une petite fille s'approche de la femme et verse plus d'eau dans le seau en métal de la femme, puis s'éloigne pour se tenir à côté d'un puits où une autre femme s'agenouille et lave des vêtements de la même manière.</v>
      </c>
    </row>
    <row r="15529">
      <c r="A15529" s="4" t="s">
        <v>19559</v>
      </c>
      <c r="B15529" s="6" t="s">
        <v>19562</v>
      </c>
      <c r="C15529" s="5" t="str">
        <f>IFERROR(__xludf.DUMMYFUNCTION("GOOGLETRANSLATE(B15529,""en"",""fr"")"),"La première femme est à nouveau représentée cette fois en lavant une grande feuille blanche contre le sol en utilisant à nouveau le seau en métal pour l'approvisionnement en eau.")</f>
        <v>La première femme est à nouveau représentée cette fois en lavant une grande feuille blanche contre le sol en utilisant à nouveau le seau en métal pour l'approvisionnement en eau.</v>
      </c>
    </row>
    <row r="15530">
      <c r="A15530" s="4" t="s">
        <v>19563</v>
      </c>
      <c r="B15530" s="4" t="s">
        <v>19564</v>
      </c>
      <c r="C15530" s="5" t="str">
        <f>IFERROR(__xludf.DUMMYFUNCTION("GOOGLETRANSLATE(B15530,""en"",""fr"")"),"Un homme fort soulève ses jambes de haut en bas à travers des barres parallèles.")</f>
        <v>Un homme fort soulève ses jambes de haut en bas à travers des barres parallèles.</v>
      </c>
    </row>
    <row r="15531">
      <c r="A15531" s="4" t="s">
        <v>19563</v>
      </c>
      <c r="B15531" s="4" t="s">
        <v>19565</v>
      </c>
      <c r="C15531" s="5" t="str">
        <f>IFERROR(__xludf.DUMMYFUNCTION("GOOGLETRANSLATE(B15531,""en"",""fr"")"),"Il commence à hausser les épaules sur les barreaux.")</f>
        <v>Il commence à hausser les épaules sur les barreaux.</v>
      </c>
    </row>
    <row r="15532">
      <c r="A15532" s="4" t="s">
        <v>19563</v>
      </c>
      <c r="B15532" s="4" t="s">
        <v>19566</v>
      </c>
      <c r="C15532" s="5" t="str">
        <f>IFERROR(__xludf.DUMMYFUNCTION("GOOGLETRANSLATE(B15532,""en"",""fr"")"),"Il commence à traverser son corps avec ses mains.")</f>
        <v>Il commence à traverser son corps avec ses mains.</v>
      </c>
    </row>
    <row r="15533">
      <c r="A15533" s="4" t="s">
        <v>19563</v>
      </c>
      <c r="B15533" s="4" t="s">
        <v>19567</v>
      </c>
      <c r="C15533" s="5" t="str">
        <f>IFERROR(__xludf.DUMMYFUNCTION("GOOGLETRANSLATE(B15533,""en"",""fr"")"),"Il tourne sur le bord des barreaux avec ses bras.")</f>
        <v>Il tourne sur le bord des barreaux avec ses bras.</v>
      </c>
    </row>
    <row r="15534">
      <c r="A15534" s="4" t="s">
        <v>19563</v>
      </c>
      <c r="B15534" s="4" t="s">
        <v>19568</v>
      </c>
      <c r="C15534" s="5" t="str">
        <f>IFERROR(__xludf.DUMMYFUNCTION("GOOGLETRANSLATE(B15534,""en"",""fr"")"),"Il balance ses jambes et saute les bras sur les barres parallèles.")</f>
        <v>Il balance ses jambes et saute les bras sur les barres parallèles.</v>
      </c>
    </row>
    <row r="15535">
      <c r="A15535" s="4" t="s">
        <v>19563</v>
      </c>
      <c r="B15535" s="4" t="s">
        <v>19569</v>
      </c>
      <c r="C15535" s="5" t="str">
        <f>IFERROR(__xludf.DUMMYFUNCTION("GOOGLETRANSLATE(B15535,""en"",""fr"")"),"Un homme plonge sur les barres parallèles.")</f>
        <v>Un homme plonge sur les barres parallèles.</v>
      </c>
    </row>
    <row r="15536">
      <c r="A15536" s="4" t="s">
        <v>19563</v>
      </c>
      <c r="B15536" s="4" t="s">
        <v>19570</v>
      </c>
      <c r="C15536" s="5" t="str">
        <f>IFERROR(__xludf.DUMMYFUNCTION("GOOGLETRANSLATE(B15536,""en"",""fr"")"),"Un autre homme descend sur ses coudes sur les barres parallèles.")</f>
        <v>Un autre homme descend sur ses coudes sur les barres parallèles.</v>
      </c>
    </row>
    <row r="15537">
      <c r="A15537" s="4" t="s">
        <v>19563</v>
      </c>
      <c r="B15537" s="6" t="s">
        <v>19571</v>
      </c>
      <c r="C15537" s="5" t="str">
        <f>IFERROR(__xludf.DUMMYFUNCTION("GOOGLETRANSLATE(B15537,""en"",""fr"")"),"Il commence ensuite à faire des trempettes à ses aisselles sur les barres parallèles appelées plongeurs russes, tout en gardant ses jambes en l'air.")</f>
        <v>Il commence ensuite à faire des trempettes à ses aisselles sur les barres parallèles appelées plongeurs russes, tout en gardant ses jambes en l'air.</v>
      </c>
    </row>
    <row r="15538">
      <c r="A15538" s="4" t="s">
        <v>19563</v>
      </c>
      <c r="B15538" s="4" t="s">
        <v>19572</v>
      </c>
      <c r="C15538" s="5" t="str">
        <f>IFERROR(__xludf.DUMMYFUNCTION("GOOGLETRANSLATE(B15538,""en"",""fr"")"),"Un homme plonge avec son corps devant la barre et les jambes plongent sous la barre.")</f>
        <v>Un homme plonge avec son corps devant la barre et les jambes plongent sous la barre.</v>
      </c>
    </row>
    <row r="15539">
      <c r="A15539" s="4" t="s">
        <v>19563</v>
      </c>
      <c r="B15539" s="4" t="s">
        <v>19573</v>
      </c>
      <c r="C15539" s="5" t="str">
        <f>IFERROR(__xludf.DUMMYFUNCTION("GOOGLETRANSLATE(B15539,""en"",""fr"")"),"Il fait ensuite des pompes sur les barres parallèles, en descendant, en poussant vers l'avant, puis vers le haut.")</f>
        <v>Il fait ensuite des pompes sur les barres parallèles, en descendant, en poussant vers l'avant, puis vers le haut.</v>
      </c>
    </row>
    <row r="15540">
      <c r="A15540" s="4" t="s">
        <v>19563</v>
      </c>
      <c r="B15540" s="4" t="s">
        <v>19574</v>
      </c>
      <c r="C15540" s="5" t="str">
        <f>IFERROR(__xludf.DUMMYFUNCTION("GOOGLETRANSLATE(B15540,""en"",""fr"")"),"Il commence à faire des pompes, les genoux cachés, avec les barres parallèles.")</f>
        <v>Il commence à faire des pompes, les genoux cachés, avec les barres parallèles.</v>
      </c>
    </row>
    <row r="15541">
      <c r="A15541" s="4" t="s">
        <v>19563</v>
      </c>
      <c r="B15541" s="6" t="s">
        <v>19575</v>
      </c>
      <c r="C15541" s="5" t="str">
        <f>IFERROR(__xludf.DUMMYFUNCTION("GOOGLETRANSLATE(B15541,""en"",""fr"")"),"Un homme différent fait des creux de jambes, balance ses jambes vers le haut et autour de chaque barre parallèle et pousse vers l'avant sur les barres parallèles.")</f>
        <v>Un homme différent fait des creux de jambes, balance ses jambes vers le haut et autour de chaque barre parallèle et pousse vers l'avant sur les barres parallèles.</v>
      </c>
    </row>
    <row r="15542">
      <c r="A15542" s="4" t="s">
        <v>19563</v>
      </c>
      <c r="B15542" s="6" t="s">
        <v>19576</v>
      </c>
      <c r="C15542" s="5" t="str">
        <f>IFERROR(__xludf.DUMMYFUNCTION("GOOGLETRANSLATE(B15542,""en"",""fr"")"),"Quand il atteint la fin, il se pose à genoux et soulève son corps et perpendiculaire aux barreaux.")</f>
        <v>Quand il atteint la fin, il se pose à genoux et soulève son corps et perpendiculaire aux barreaux.</v>
      </c>
    </row>
    <row r="15543">
      <c r="A15543" s="4" t="s">
        <v>19563</v>
      </c>
      <c r="B15543" s="4" t="s">
        <v>19577</v>
      </c>
      <c r="C15543" s="5" t="str">
        <f>IFERROR(__xludf.DUMMYFUNCTION("GOOGLETRANSLATE(B15543,""en"",""fr"")"),"Il fait ensuite des genoux et des jambes.")</f>
        <v>Il fait ensuite des genoux et des jambes.</v>
      </c>
    </row>
    <row r="15544">
      <c r="A15544" s="4" t="s">
        <v>19563</v>
      </c>
      <c r="B15544" s="4" t="s">
        <v>19578</v>
      </c>
      <c r="C15544" s="5" t="str">
        <f>IFERROR(__xludf.DUMMYFUNCTION("GOOGLETRANSLATE(B15544,""en"",""fr"")"),"Un homme différent garde ses jambes directement et les déplace sur chaque barre.")</f>
        <v>Un homme différent garde ses jambes directement et les déplace sur chaque barre.</v>
      </c>
    </row>
    <row r="15545">
      <c r="A15545" s="4" t="s">
        <v>19563</v>
      </c>
      <c r="B15545" s="4" t="s">
        <v>19579</v>
      </c>
      <c r="C15545" s="5" t="str">
        <f>IFERROR(__xludf.DUMMYFUNCTION("GOOGLETRANSLATE(B15545,""en"",""fr"")"),"Un homme différent amène ses jambes directement dans une forme V sur les barres.")</f>
        <v>Un homme différent amène ses jambes directement dans une forme V sur les barres.</v>
      </c>
    </row>
    <row r="15546">
      <c r="A15546" s="4" t="s">
        <v>19563</v>
      </c>
      <c r="B15546" s="6" t="s">
        <v>19580</v>
      </c>
      <c r="C15546" s="5" t="str">
        <f>IFERROR(__xludf.DUMMYFUNCTION("GOOGLETRANSLATE(B15546,""en"",""fr"")"),"Il repose ensuite ses coudes sur les barreaux et balance son corps perpendiculaire aux barreaux puis parallèles aux barreaux.")</f>
        <v>Il repose ensuite ses coudes sur les barreaux et balance son corps perpendiculaire aux barreaux puis parallèles aux barreaux.</v>
      </c>
    </row>
    <row r="15547">
      <c r="A15547" s="4" t="s">
        <v>19563</v>
      </c>
      <c r="B15547" s="4" t="s">
        <v>19581</v>
      </c>
      <c r="C15547" s="5" t="str">
        <f>IFERROR(__xludf.DUMMYFUNCTION("GOOGLETRANSLATE(B15547,""en"",""fr"")"),"Il commence à faire des supports d'épaule sur les barreaux.")</f>
        <v>Il commence à faire des supports d'épaule sur les barreaux.</v>
      </c>
    </row>
    <row r="15548">
      <c r="A15548" s="4" t="s">
        <v>19563</v>
      </c>
      <c r="B15548" s="4" t="s">
        <v>19582</v>
      </c>
      <c r="C15548" s="5" t="str">
        <f>IFERROR(__xludf.DUMMYFUNCTION("GOOGLETRANSLATE(B15548,""en"",""fr"")"),"Il passe à faire un stand de tête et tient.")</f>
        <v>Il passe à faire un stand de tête et tient.</v>
      </c>
    </row>
    <row r="15549">
      <c r="A15549" s="4" t="s">
        <v>19563</v>
      </c>
      <c r="B15549" s="6" t="s">
        <v>19583</v>
      </c>
      <c r="C15549" s="5" t="str">
        <f>IFERROR(__xludf.DUMMYFUNCTION("GOOGLETRANSLATE(B15549,""en"",""fr"")"),"Un homme différent commence à balancer son corps sous les barreaux et se presse de haut en bas et sur les barreaux.")</f>
        <v>Un homme différent commence à balancer son corps sous les barreaux et se presse de haut en bas et sur les barreaux.</v>
      </c>
    </row>
    <row r="15550">
      <c r="A15550" s="4" t="s">
        <v>19584</v>
      </c>
      <c r="B15550" s="4" t="s">
        <v>19585</v>
      </c>
      <c r="C15550" s="5" t="str">
        <f>IFERROR(__xludf.DUMMYFUNCTION("GOOGLETRANSLATE(B15550,""en"",""fr"")"),"Un groupe de personnes est rassemblé à l'extérieur sur un marché.")</f>
        <v>Un groupe de personnes est rassemblé à l'extérieur sur un marché.</v>
      </c>
    </row>
    <row r="15551">
      <c r="A15551" s="4" t="s">
        <v>19584</v>
      </c>
      <c r="B15551" s="4" t="s">
        <v>19586</v>
      </c>
      <c r="C15551" s="5" t="str">
        <f>IFERROR(__xludf.DUMMYFUNCTION("GOOGLETRANSLATE(B15551,""en"",""fr"")"),"Les gens marchent en regardant toutes les marchandises.")</f>
        <v>Les gens marchent en regardant toutes les marchandises.</v>
      </c>
    </row>
    <row r="15552">
      <c r="A15552" s="4" t="s">
        <v>19584</v>
      </c>
      <c r="B15552" s="4" t="s">
        <v>19587</v>
      </c>
      <c r="C15552" s="5" t="str">
        <f>IFERROR(__xludf.DUMMYFUNCTION("GOOGLETRANSLATE(B15552,""en"",""fr"")"),"Un chien apparaît, alors que les gens continuent de s'allumer.")</f>
        <v>Un chien apparaît, alors que les gens continuent de s'allumer.</v>
      </c>
    </row>
    <row r="15553">
      <c r="A15553" s="4" t="s">
        <v>19588</v>
      </c>
      <c r="B15553" s="4" t="s">
        <v>19589</v>
      </c>
      <c r="C15553" s="5" t="str">
        <f>IFERROR(__xludf.DUMMYFUNCTION("GOOGLETRANSLATE(B15553,""en"",""fr"")"),"Un gymnaste monte un faisceau de piste devant une foule.")</f>
        <v>Un gymnaste monte un faisceau de piste devant une foule.</v>
      </c>
    </row>
    <row r="15554">
      <c r="A15554" s="4" t="s">
        <v>19588</v>
      </c>
      <c r="B15554" s="4" t="s">
        <v>19590</v>
      </c>
      <c r="C15554" s="5" t="str">
        <f>IFERROR(__xludf.DUMMYFUNCTION("GOOGLETRANSLATE(B15554,""en"",""fr"")"),"Elle fait des plies, des prises de mains et des flips vers l'avant et le dos sur le faisceau.")</f>
        <v>Elle fait des plies, des prises de mains et des flips vers l'avant et le dos sur le faisceau.</v>
      </c>
    </row>
    <row r="15555">
      <c r="A15555" s="4" t="s">
        <v>19588</v>
      </c>
      <c r="B15555" s="4" t="s">
        <v>19591</v>
      </c>
      <c r="C15555" s="5" t="str">
        <f>IFERROR(__xludf.DUMMYFUNCTION("GOOGLETRANSLATE(B15555,""en"",""fr"")"),"Elle démonte fièrement, soulevant ses bras en l'air.")</f>
        <v>Elle démonte fièrement, soulevant ses bras en l'air.</v>
      </c>
    </row>
    <row r="15556">
      <c r="A15556" s="4" t="s">
        <v>19592</v>
      </c>
      <c r="B15556" s="4" t="s">
        <v>19593</v>
      </c>
      <c r="C15556" s="5" t="str">
        <f>IFERROR(__xludf.DUMMYFUNCTION("GOOGLETRANSLATE(B15556,""en"",""fr"")"),"Un homme est vu assis sur un cheval avec une corde dans ses mains.")</f>
        <v>Un homme est vu assis sur un cheval avec une corde dans ses mains.</v>
      </c>
    </row>
    <row r="15557">
      <c r="A15557" s="4" t="s">
        <v>19592</v>
      </c>
      <c r="B15557" s="4" t="s">
        <v>19594</v>
      </c>
      <c r="C15557" s="5" t="str">
        <f>IFERROR(__xludf.DUMMYFUNCTION("GOOGLETRANSLATE(B15557,""en"",""fr"")"),"Il monte ensuite sur un cheval et corde un veau avec la corde.")</f>
        <v>Il monte ensuite sur un cheval et corde un veau avec la corde.</v>
      </c>
    </row>
    <row r="15558">
      <c r="A15558" s="4" t="s">
        <v>19592</v>
      </c>
      <c r="B15558" s="4" t="s">
        <v>19595</v>
      </c>
      <c r="C15558" s="5" t="str">
        <f>IFERROR(__xludf.DUMMYFUNCTION("GOOGLETRANSLATE(B15558,""en"",""fr"")"),"Plusieurs personnes sont présentées à monter et à cordonner le bétail tandis que d'autres regardent sur le côté.")</f>
        <v>Plusieurs personnes sont présentées à monter et à cordonner le bétail tandis que d'autres regardent sur le côté.</v>
      </c>
    </row>
    <row r="15559">
      <c r="A15559" s="4" t="s">
        <v>19596</v>
      </c>
      <c r="B15559" s="4" t="s">
        <v>19597</v>
      </c>
      <c r="C15559" s="5" t="str">
        <f>IFERROR(__xludf.DUMMYFUNCTION("GOOGLETRANSLATE(B15559,""en"",""fr"")"),"Un homme se penche sur une table de billard, frappant le ballon avec son signal.")</f>
        <v>Un homme se penche sur une table de billard, frappant le ballon avec son signal.</v>
      </c>
    </row>
    <row r="15560">
      <c r="A15560" s="4" t="s">
        <v>19596</v>
      </c>
      <c r="B15560" s="4" t="s">
        <v>19598</v>
      </c>
      <c r="C15560" s="5" t="str">
        <f>IFERROR(__xludf.DUMMYFUNCTION("GOOGLETRANSLATE(B15560,""en"",""fr"")"),"Une femme en bikini rose tourne son signal alors qu'elle attend à son tour.")</f>
        <v>Une femme en bikini rose tourne son signal alors qu'elle attend à son tour.</v>
      </c>
    </row>
    <row r="15561">
      <c r="A15561" s="4" t="s">
        <v>19596</v>
      </c>
      <c r="B15561" s="4" t="s">
        <v>19599</v>
      </c>
      <c r="C15561" s="5" t="str">
        <f>IFERROR(__xludf.DUMMYFUNCTION("GOOGLETRANSLATE(B15561,""en"",""fr"")"),"Puis elle prend un coup de feu sur le ballon, les frappant dans les trous.")</f>
        <v>Puis elle prend un coup de feu sur le ballon, les frappant dans les trous.</v>
      </c>
    </row>
    <row r="15562">
      <c r="A15562" s="4" t="s">
        <v>19600</v>
      </c>
      <c r="B15562" s="4" t="s">
        <v>19601</v>
      </c>
      <c r="C15562" s="5" t="str">
        <f>IFERROR(__xludf.DUMMYFUNCTION("GOOGLETRANSLATE(B15562,""en"",""fr"")"),"Deux hommes sont au milieu du tribunal se battant.")</f>
        <v>Deux hommes sont au milieu du tribunal se battant.</v>
      </c>
    </row>
    <row r="15563">
      <c r="A15563" s="4" t="s">
        <v>19600</v>
      </c>
      <c r="B15563" s="4" t="s">
        <v>19602</v>
      </c>
      <c r="C15563" s="5" t="str">
        <f>IFERROR(__xludf.DUMMYFUNCTION("GOOGLETRANSLATE(B15563,""en"",""fr"")"),"Ils pratiquent leurs mouvements tandis que d'autres restent en marche et regardent.")</f>
        <v>Ils pratiquent leurs mouvements tandis que d'autres restent en marche et regardent.</v>
      </c>
    </row>
    <row r="15564">
      <c r="A15564" s="4" t="s">
        <v>19600</v>
      </c>
      <c r="B15564" s="4" t="s">
        <v>19603</v>
      </c>
      <c r="C15564" s="5" t="str">
        <f>IFERROR(__xludf.DUMMYFUNCTION("GOOGLETRANSLATE(B15564,""en"",""fr"")"),"C'est comme une culture pratiquée par beaucoup de ceux qui l'apprécient et pensent que c'est un sport amusant.")</f>
        <v>C'est comme une culture pratiquée par beaucoup de ceux qui l'apprécient et pensent que c'est un sport amusant.</v>
      </c>
    </row>
    <row r="15565">
      <c r="A15565" s="4" t="s">
        <v>19600</v>
      </c>
      <c r="B15565" s="4" t="s">
        <v>19604</v>
      </c>
      <c r="C15565" s="5" t="str">
        <f>IFERROR(__xludf.DUMMYFUNCTION("GOOGLETRANSLATE(B15565,""en"",""fr"")"),"Ils le prennent très au sérieux, certains se battent et certains aiment regarder.")</f>
        <v>Ils le prennent très au sérieux, certains se battent et certains aiment regarder.</v>
      </c>
    </row>
    <row r="15566">
      <c r="A15566" s="4" t="s">
        <v>19605</v>
      </c>
      <c r="B15566" s="6" t="s">
        <v>19606</v>
      </c>
      <c r="C15566" s="5" t="str">
        <f>IFERROR(__xludf.DUMMYFUNCTION("GOOGLETRANSLATE(B15566,""en"",""fr"")"),"Un jeune homme sur le toit d'un grand bâtiment, avec la toile de fond d'une ligne d'horizon de la ville, effectue une série de mouvements de danse, des mouvements de gymnastique, des mouvements de tumbling et des coups de pied élevés.")</f>
        <v>Un jeune homme sur le toit d'un grand bâtiment, avec la toile de fond d'une ligne d'horizon de la ville, effectue une série de mouvements de danse, des mouvements de gymnastique, des mouvements de tumbling et des coups de pied élevés.</v>
      </c>
    </row>
    <row r="15567">
      <c r="A15567" s="4" t="s">
        <v>19605</v>
      </c>
      <c r="B15567" s="4" t="s">
        <v>19607</v>
      </c>
      <c r="C15567" s="5" t="str">
        <f>IFERROR(__xludf.DUMMYFUNCTION("GOOGLETRANSLATE(B15567,""en"",""fr"")"),"L'homme commence avec son dos à la caméra et se tient face à la ligne d'horizon de la ville depuis le toit.")</f>
        <v>L'homme commence avec son dos à la caméra et se tient face à la ligne d'horizon de la ville depuis le toit.</v>
      </c>
    </row>
    <row r="15568">
      <c r="A15568" s="4" t="s">
        <v>19605</v>
      </c>
      <c r="B15568" s="4" t="s">
        <v>19608</v>
      </c>
      <c r="C15568" s="5" t="str">
        <f>IFERROR(__xludf.DUMMYFUNCTION("GOOGLETRANSLATE(B15568,""en"",""fr"")"),"L'homme commence alors une série de coups de pied hauts, de flips de dos et de mouvements de breakdance sans mains.")</f>
        <v>L'homme commence alors une série de coups de pied hauts, de flips de dos et de mouvements de breakdance sans mains.</v>
      </c>
    </row>
    <row r="15569">
      <c r="A15569" s="4" t="s">
        <v>19605</v>
      </c>
      <c r="B15569" s="6" t="s">
        <v>19609</v>
      </c>
      <c r="C15569" s="5" t="str">
        <f>IFERROR(__xludf.DUMMYFUNCTION("GOOGLETRANSLATE(B15569,""en"",""fr"")"),"Les mouvements de danse se terminent avec des coups de pied plus élevés, des stands de tête et des mouvements d'art semi-martial, alors que la caméra fait le tour de l'homme, alors que l'homme termine, et marche, avec le dos à la caméra, au bord du toit.")</f>
        <v>Les mouvements de danse se terminent avec des coups de pied plus élevés, des stands de tête et des mouvements d'art semi-martial, alors que la caméra fait le tour de l'homme, alors que l'homme termine, et marche, avec le dos à la caméra, au bord du toit.</v>
      </c>
    </row>
    <row r="15570">
      <c r="A15570" s="4" t="s">
        <v>19610</v>
      </c>
      <c r="B15570" s="4" t="s">
        <v>19611</v>
      </c>
      <c r="C15570" s="5" t="str">
        <f>IFERROR(__xludf.DUMMYFUNCTION("GOOGLETRANSLATE(B15570,""en"",""fr"")"),"Une personne portant un costume est vue assise au milieu de la rue jouant un accordéon.")</f>
        <v>Une personne portant un costume est vue assise au milieu de la rue jouant un accordéon.</v>
      </c>
    </row>
    <row r="15571">
      <c r="A15571" s="4" t="s">
        <v>19610</v>
      </c>
      <c r="B15571" s="6" t="s">
        <v>19612</v>
      </c>
      <c r="C15571" s="5" t="str">
        <f>IFERROR(__xludf.DUMMYFUNCTION("GOOGLETRANSLATE(B15571,""en"",""fr"")"),"La personne continue de jouer pendant que la caméra zoome et plusieurs voitures et les gens se déplacent derrière lui.")</f>
        <v>La personne continue de jouer pendant que la caméra zoome et plusieurs voitures et les gens se déplacent derrière lui.</v>
      </c>
    </row>
    <row r="15572">
      <c r="A15572" s="4" t="s">
        <v>19613</v>
      </c>
      <c r="B15572" s="4" t="s">
        <v>19614</v>
      </c>
      <c r="C15572" s="5" t="str">
        <f>IFERROR(__xludf.DUMMYFUNCTION("GOOGLETRANSLATE(B15572,""en"",""fr"")"),"Nous voyons un homme parler à une caméra.")</f>
        <v>Nous voyons un homme parler à une caméra.</v>
      </c>
    </row>
    <row r="15573">
      <c r="A15573" s="4" t="s">
        <v>19613</v>
      </c>
      <c r="B15573" s="4" t="s">
        <v>19615</v>
      </c>
      <c r="C15573" s="5" t="str">
        <f>IFERROR(__xludf.DUMMYFUNCTION("GOOGLETRANSLATE(B15573,""en"",""fr"")"),"Nous voyons des plans d'hommes et une foule de gens.")</f>
        <v>Nous voyons des plans d'hommes et une foule de gens.</v>
      </c>
    </row>
    <row r="15574">
      <c r="A15574" s="4" t="s">
        <v>19613</v>
      </c>
      <c r="B15574" s="4" t="s">
        <v>19616</v>
      </c>
      <c r="C15574" s="5" t="str">
        <f>IFERROR(__xludf.DUMMYFUNCTION("GOOGLETRANSLATE(B15574,""en"",""fr"")"),"Les hommes jouent à des ciseaux en papier rocheux.")</f>
        <v>Les hommes jouent à des ciseaux en papier rocheux.</v>
      </c>
    </row>
    <row r="15575">
      <c r="A15575" s="4" t="s">
        <v>19613</v>
      </c>
      <c r="B15575" s="4" t="s">
        <v>19617</v>
      </c>
      <c r="C15575" s="5" t="str">
        <f>IFERROR(__xludf.DUMMYFUNCTION("GOOGLETRANSLATE(B15575,""en"",""fr"")"),"Une dame dans la foule saute de haut en bas.")</f>
        <v>Une dame dans la foule saute de haut en bas.</v>
      </c>
    </row>
    <row r="15576">
      <c r="A15576" s="4" t="s">
        <v>19613</v>
      </c>
      <c r="B15576" s="4" t="s">
        <v>19618</v>
      </c>
      <c r="C15576" s="5" t="str">
        <f>IFERROR(__xludf.DUMMYFUNCTION("GOOGLETRANSLATE(B15576,""en"",""fr"")"),"Nous voyons l'homme élevé les uns les autres.")</f>
        <v>Nous voyons l'homme élevé les uns les autres.</v>
      </c>
    </row>
    <row r="15577">
      <c r="A15577" s="4" t="s">
        <v>19613</v>
      </c>
      <c r="B15577" s="4" t="s">
        <v>19619</v>
      </c>
      <c r="C15577" s="5" t="str">
        <f>IFERROR(__xludf.DUMMYFUNCTION("GOOGLETRANSLATE(B15577,""en"",""fr"")"),"Nous voyons une dame devant une personne en costume.")</f>
        <v>Nous voyons une dame devant une personne en costume.</v>
      </c>
    </row>
    <row r="15578">
      <c r="A15578" s="4" t="s">
        <v>19613</v>
      </c>
      <c r="B15578" s="4" t="s">
        <v>19620</v>
      </c>
      <c r="C15578" s="5" t="str">
        <f>IFERROR(__xludf.DUMMYFUNCTION("GOOGLETRANSLATE(B15578,""en"",""fr"")"),"L'homme en rouge lève les mains en triomphe.")</f>
        <v>L'homme en rouge lève les mains en triomphe.</v>
      </c>
    </row>
    <row r="15579">
      <c r="A15579" s="4" t="s">
        <v>19613</v>
      </c>
      <c r="B15579" s="4" t="s">
        <v>19621</v>
      </c>
      <c r="C15579" s="5" t="str">
        <f>IFERROR(__xludf.DUMMYFUNCTION("GOOGLETRANSLATE(B15579,""en"",""fr"")"),"Les dames apportent un grand contrôle à l'homme en rouge.")</f>
        <v>Les dames apportent un grand contrôle à l'homme en rouge.</v>
      </c>
    </row>
    <row r="15580">
      <c r="A15580" s="4" t="s">
        <v>19622</v>
      </c>
      <c r="B15580" s="4" t="s">
        <v>19623</v>
      </c>
      <c r="C15580" s="5" t="str">
        <f>IFERROR(__xludf.DUMMYFUNCTION("GOOGLETRANSLATE(B15580,""en"",""fr"")"),"Les gens glissent sur des traîneaux gonflables en bas de la colline.")</f>
        <v>Les gens glissent sur des traîneaux gonflables en bas de la colline.</v>
      </c>
    </row>
    <row r="15581">
      <c r="A15581" s="4" t="s">
        <v>19622</v>
      </c>
      <c r="B15581" s="4" t="s">
        <v>19624</v>
      </c>
      <c r="C15581" s="5" t="str">
        <f>IFERROR(__xludf.DUMMYFUNCTION("GOOGLETRANSLATE(B15581,""en"",""fr"")"),"Les gens se relâchent à tour de rôle sur les collines.")</f>
        <v>Les gens se relâchent à tour de rôle sur les collines.</v>
      </c>
    </row>
    <row r="15582">
      <c r="A15582" s="4" t="s">
        <v>19622</v>
      </c>
      <c r="B15582" s="4" t="s">
        <v>19625</v>
      </c>
      <c r="C15582" s="5" t="str">
        <f>IFERROR(__xludf.DUMMYFUNCTION("GOOGLETRANSLATE(B15582,""en"",""fr"")"),"Ensuite, les gens se réunissent au traîneau sur le groupe.")</f>
        <v>Ensuite, les gens se réunissent au traîneau sur le groupe.</v>
      </c>
    </row>
    <row r="15583">
      <c r="A15583" s="4" t="s">
        <v>19622</v>
      </c>
      <c r="B15583" s="4" t="s">
        <v>19626</v>
      </c>
      <c r="C15583" s="5" t="str">
        <f>IFERROR(__xludf.DUMMYFUNCTION("GOOGLETRANSLATE(B15583,""en"",""fr"")"),"De plus, les gens ont traîné sur une ligne en bas de la colline.")</f>
        <v>De plus, les gens ont traîné sur une ligne en bas de la colline.</v>
      </c>
    </row>
    <row r="15584">
      <c r="A15584" s="4" t="s">
        <v>19627</v>
      </c>
      <c r="B15584" s="4" t="s">
        <v>19628</v>
      </c>
      <c r="C15584" s="5" t="str">
        <f>IFERROR(__xludf.DUMMYFUNCTION("GOOGLETRANSLATE(B15584,""en"",""fr"")"),"Une femme est vue dansant dans la rue en plaçant un instrument tandis que d'autres regardent sur le côté.")</f>
        <v>Une femme est vue dansant dans la rue en plaçant un instrument tandis que d'autres regardent sur le côté.</v>
      </c>
    </row>
    <row r="15585">
      <c r="A15585" s="4" t="s">
        <v>19627</v>
      </c>
      <c r="B15585" s="6" t="s">
        <v>19629</v>
      </c>
      <c r="C15585" s="5" t="str">
        <f>IFERROR(__xludf.DUMMYFUNCTION("GOOGLETRANSLATE(B15585,""en"",""fr"")"),"La femme continue de jouer l'instrument tout en déplaçant sa jambe de haut en bas et les gens applaudissent pour elle sur le côté.")</f>
        <v>La femme continue de jouer l'instrument tout en déplaçant sa jambe de haut en bas et les gens applaudissent pour elle sur le côté.</v>
      </c>
    </row>
    <row r="15586">
      <c r="A15586" s="4" t="s">
        <v>19630</v>
      </c>
      <c r="B15586" s="4" t="s">
        <v>19631</v>
      </c>
      <c r="C15586" s="5" t="str">
        <f>IFERROR(__xludf.DUMMYFUNCTION("GOOGLETRANSLATE(B15586,""en"",""fr"")"),"Tout d'abord, l'homme met le rouge à lèvres rose sur ses lèvres et il dit qu'il est un Joker.")</f>
        <v>Tout d'abord, l'homme met le rouge à lèvres rose sur ses lèvres et il dit qu'il est un Joker.</v>
      </c>
    </row>
    <row r="15587">
      <c r="A15587" s="4" t="s">
        <v>19630</v>
      </c>
      <c r="B15587" s="4" t="s">
        <v>19632</v>
      </c>
      <c r="C15587" s="5" t="str">
        <f>IFERROR(__xludf.DUMMYFUNCTION("GOOGLETRANSLATE(B15587,""en"",""fr"")"),"Puis il le met sur le côté de ses lèvres et les gens rient.")</f>
        <v>Puis il le met sur le côté de ses lèvres et les gens rient.</v>
      </c>
    </row>
    <row r="15588">
      <c r="A15588" s="4" t="s">
        <v>19630</v>
      </c>
      <c r="B15588" s="6" t="s">
        <v>19633</v>
      </c>
      <c r="C15588" s="5" t="str">
        <f>IFERROR(__xludf.DUMMYFUNCTION("GOOGLETRANSLATE(B15588,""en"",""fr"")"),"Ensuite, il en met 2 lignes d'épaisseur sous ses yeux et il dit quelque chose, il tente également de le mettre sur son menton, mais la vidéo se termine.")</f>
        <v>Ensuite, il en met 2 lignes d'épaisseur sous ses yeux et il dit quelque chose, il tente également de le mettre sur son menton, mais la vidéo se termine.</v>
      </c>
    </row>
    <row r="15589">
      <c r="A15589" s="4" t="s">
        <v>19634</v>
      </c>
      <c r="B15589" s="4" t="s">
        <v>19635</v>
      </c>
      <c r="C15589" s="5" t="str">
        <f>IFERROR(__xludf.DUMMYFUNCTION("GOOGLETRANSLATE(B15589,""en"",""fr"")"),"Une intro du texte mène à un garçon assis sur un tabouret tenant un accordéon.")</f>
        <v>Une intro du texte mène à un garçon assis sur un tabouret tenant un accordéon.</v>
      </c>
    </row>
    <row r="15590">
      <c r="A15590" s="4" t="s">
        <v>19634</v>
      </c>
      <c r="B15590" s="4" t="s">
        <v>19636</v>
      </c>
      <c r="C15590" s="5" t="str">
        <f>IFERROR(__xludf.DUMMYFUNCTION("GOOGLETRANSLATE(B15590,""en"",""fr"")"),"Le garçon commence alors à jouer de l'instrument tout en regardant loin de la caméra.")</f>
        <v>Le garçon commence alors à jouer de l'instrument tout en regardant loin de la caméra.</v>
      </c>
    </row>
    <row r="15591">
      <c r="A15591" s="4" t="s">
        <v>19634</v>
      </c>
      <c r="B15591" s="4" t="s">
        <v>19637</v>
      </c>
      <c r="C15591" s="5" t="str">
        <f>IFERROR(__xludf.DUMMYFUNCTION("GOOGLETRANSLATE(B15591,""en"",""fr"")"),"Le garçon continue de jouer tout en regardant dans la pièce et en tirant l'accordéon.")</f>
        <v>Le garçon continue de jouer tout en regardant dans la pièce et en tirant l'accordéon.</v>
      </c>
    </row>
    <row r="15592">
      <c r="A15592" s="4" t="s">
        <v>19638</v>
      </c>
      <c r="B15592" s="4" t="s">
        <v>19639</v>
      </c>
      <c r="C15592" s="5" t="str">
        <f>IFERROR(__xludf.DUMMYFUNCTION("GOOGLETRANSLATE(B15592,""en"",""fr"")"),"Une fille lance son bras et se prépare à monter la poutre d'équilibre dans une arène.")</f>
        <v>Une fille lance son bras et se prépare à monter la poutre d'équilibre dans une arène.</v>
      </c>
    </row>
    <row r="15593">
      <c r="A15593" s="4" t="s">
        <v>19638</v>
      </c>
      <c r="B15593" s="4" t="s">
        <v>19640</v>
      </c>
      <c r="C15593" s="5" t="str">
        <f>IFERROR(__xludf.DUMMYFUNCTION("GOOGLETRANSLATE(B15593,""en"",""fr"")"),"La fille monte et effectue une routine sur le faisceau d'équilibre.")</f>
        <v>La fille monte et effectue une routine sur le faisceau d'équilibre.</v>
      </c>
    </row>
    <row r="15594">
      <c r="A15594" s="4" t="s">
        <v>19638</v>
      </c>
      <c r="B15594" s="4" t="s">
        <v>19641</v>
      </c>
      <c r="C15594" s="5" t="str">
        <f>IFERROR(__xludf.DUMMYFUNCTION("GOOGLETRANSLATE(B15594,""en"",""fr"")"),"La fille est allongée sur le faisceau et fait un retournement à la position debout.")</f>
        <v>La fille est allongée sur le faisceau et fait un retournement à la position debout.</v>
      </c>
    </row>
    <row r="15595">
      <c r="A15595" s="4" t="s">
        <v>19638</v>
      </c>
      <c r="B15595" s="4" t="s">
        <v>19642</v>
      </c>
      <c r="C15595" s="5" t="str">
        <f>IFERROR(__xludf.DUMMYFUNCTION("GOOGLETRANSLATE(B15595,""en"",""fr"")"),"La fille traverse le faisceau.")</f>
        <v>La fille traverse le faisceau.</v>
      </c>
    </row>
    <row r="15596">
      <c r="A15596" s="4" t="s">
        <v>19638</v>
      </c>
      <c r="B15596" s="4" t="s">
        <v>19643</v>
      </c>
      <c r="C15596" s="5" t="str">
        <f>IFERROR(__xludf.DUMMYFUNCTION("GOOGLETRANSLATE(B15596,""en"",""fr"")"),"La fille lance des flips et démonte le faisceau.")</f>
        <v>La fille lance des flips et démonte le faisceau.</v>
      </c>
    </row>
    <row r="15597">
      <c r="A15597" s="4" t="s">
        <v>19638</v>
      </c>
      <c r="B15597" s="4" t="s">
        <v>19644</v>
      </c>
      <c r="C15597" s="5" t="str">
        <f>IFERROR(__xludf.DUMMYFUNCTION("GOOGLETRANSLATE(B15597,""en"",""fr"")"),"La foule applaudit et applaudit pour la fille alors qu'elle lève les mains.")</f>
        <v>La foule applaudit et applaudit pour la fille alors qu'elle lève les mains.</v>
      </c>
    </row>
    <row r="15598">
      <c r="A15598" s="4" t="s">
        <v>19645</v>
      </c>
      <c r="B15598" s="4" t="s">
        <v>19646</v>
      </c>
      <c r="C15598" s="5" t="str">
        <f>IFERROR(__xludf.DUMMYFUNCTION("GOOGLETRANSLATE(B15598,""en"",""fr"")"),"Une femme est vue en parlant à la caméra tenant un outil de netteté dans ses mains.")</f>
        <v>Une femme est vue en parlant à la caméra tenant un outil de netteté dans ses mains.</v>
      </c>
    </row>
    <row r="15599">
      <c r="A15599" s="4" t="s">
        <v>19645</v>
      </c>
      <c r="B15599" s="6" t="s">
        <v>19647</v>
      </c>
      <c r="C15599" s="5" t="str">
        <f>IFERROR(__xludf.DUMMYFUNCTION("GOOGLETRANSLATE(B15599,""en"",""fr"")"),"Elle montre ensuite comment couper correctement le couteau et placer l'objet en parlant.")</f>
        <v>Elle montre ensuite comment couper correctement le couteau et placer l'objet en parlant.</v>
      </c>
    </row>
    <row r="15600">
      <c r="A15600" s="4" t="s">
        <v>19648</v>
      </c>
      <c r="B15600" s="4" t="s">
        <v>19649</v>
      </c>
      <c r="C15600" s="5" t="str">
        <f>IFERROR(__xludf.DUMMYFUNCTION("GOOGLETRANSLATE(B15600,""en"",""fr"")"),"Un tourbillon de bâton se tient sur le sol du gymnase.")</f>
        <v>Un tourbillon de bâton se tient sur le sol du gymnase.</v>
      </c>
    </row>
    <row r="15601">
      <c r="A15601" s="4" t="s">
        <v>19648</v>
      </c>
      <c r="B15601" s="4" t="s">
        <v>19650</v>
      </c>
      <c r="C15601" s="5" t="str">
        <f>IFERROR(__xludf.DUMMYFUNCTION("GOOGLETRANSLATE(B15601,""en"",""fr"")"),"Elle commence sa routine.")</f>
        <v>Elle commence sa routine.</v>
      </c>
    </row>
    <row r="15602">
      <c r="A15602" s="4" t="s">
        <v>19648</v>
      </c>
      <c r="B15602" s="4" t="s">
        <v>19651</v>
      </c>
      <c r="C15602" s="5" t="str">
        <f>IFERROR(__xludf.DUMMYFUNCTION("GOOGLETRANSLATE(B15602,""en"",""fr"")"),"Elle jette le bâton dans les airs.")</f>
        <v>Elle jette le bâton dans les airs.</v>
      </c>
    </row>
    <row r="15603">
      <c r="A15603" s="4" t="s">
        <v>19648</v>
      </c>
      <c r="B15603" s="4" t="s">
        <v>19652</v>
      </c>
      <c r="C15603" s="5" t="str">
        <f>IFERROR(__xludf.DUMMYFUNCTION("GOOGLETRANSLATE(B15603,""en"",""fr"")"),"Elle fait des flips et des rebondissements.")</f>
        <v>Elle fait des flips et des rebondissements.</v>
      </c>
    </row>
    <row r="15604">
      <c r="A15604" s="4" t="s">
        <v>19648</v>
      </c>
      <c r="B15604" s="4" t="s">
        <v>19653</v>
      </c>
      <c r="C15604" s="5" t="str">
        <f>IFERROR(__xludf.DUMMYFUNCTION("GOOGLETRANSLATE(B15604,""en"",""fr"")"),"Elle continue de faire tournoyer le bâton et la danse.")</f>
        <v>Elle continue de faire tournoyer le bâton et la danse.</v>
      </c>
    </row>
    <row r="15605">
      <c r="A15605" s="4" t="s">
        <v>19648</v>
      </c>
      <c r="B15605" s="4" t="s">
        <v>19654</v>
      </c>
      <c r="C15605" s="5" t="str">
        <f>IFERROR(__xludf.DUMMYFUNCTION("GOOGLETRANSLATE(B15605,""en"",""fr"")"),"Elle laisse tomber son bâton et s'en va.")</f>
        <v>Elle laisse tomber son bâton et s'en va.</v>
      </c>
    </row>
    <row r="15606">
      <c r="A15606" s="4" t="s">
        <v>19648</v>
      </c>
      <c r="B15606" s="4" t="s">
        <v>19655</v>
      </c>
      <c r="C15606" s="5" t="str">
        <f>IFERROR(__xludf.DUMMYFUNCTION("GOOGLETRANSLATE(B15606,""en"",""fr"")"),"Elle tournoie, danse et se retourne à nouveau.")</f>
        <v>Elle tournoie, danse et se retourne à nouveau.</v>
      </c>
    </row>
    <row r="15607">
      <c r="A15607" s="4" t="s">
        <v>19648</v>
      </c>
      <c r="B15607" s="4" t="s">
        <v>19656</v>
      </c>
      <c r="C15607" s="5" t="str">
        <f>IFERROR(__xludf.DUMMYFUNCTION("GOOGLETRANSLATE(B15607,""en"",""fr"")"),"Elle laisse tomber le bâton.")</f>
        <v>Elle laisse tomber le bâton.</v>
      </c>
    </row>
    <row r="15608">
      <c r="A15608" s="4" t="s">
        <v>19648</v>
      </c>
      <c r="B15608" s="4" t="s">
        <v>19657</v>
      </c>
      <c r="C15608" s="5" t="str">
        <f>IFERROR(__xludf.DUMMYFUNCTION("GOOGLETRANSLATE(B15608,""en"",""fr"")"),"Elle a maintenant deux matraques et fait tournoyer et danse et les jette en l'air.")</f>
        <v>Elle a maintenant deux matraques et fait tournoyer et danse et les jette en l'air.</v>
      </c>
    </row>
    <row r="15609">
      <c r="A15609" s="4" t="s">
        <v>19648</v>
      </c>
      <c r="B15609" s="4" t="s">
        <v>19658</v>
      </c>
      <c r="C15609" s="5" t="str">
        <f>IFERROR(__xludf.DUMMYFUNCTION("GOOGLETRANSLATE(B15609,""en"",""fr"")"),"Elle l'a laissé tomber une troisième fois.")</f>
        <v>Elle l'a laissé tomber une troisième fois.</v>
      </c>
    </row>
    <row r="15610">
      <c r="A15610" s="4" t="s">
        <v>19648</v>
      </c>
      <c r="B15610" s="4" t="s">
        <v>19659</v>
      </c>
      <c r="C15610" s="5" t="str">
        <f>IFERROR(__xludf.DUMMYFUNCTION("GOOGLETRANSLATE(B15610,""en"",""fr"")"),"Elle l'a ramassé et a ajouté un troisième bâton et a terminé sa routine.")</f>
        <v>Elle l'a ramassé et a ajouté un troisième bâton et a terminé sa routine.</v>
      </c>
    </row>
    <row r="15611">
      <c r="A15611" s="4" t="s">
        <v>19660</v>
      </c>
      <c r="B15611" s="4" t="s">
        <v>19661</v>
      </c>
      <c r="C15611" s="5" t="str">
        <f>IFERROR(__xludf.DUMMYFUNCTION("GOOGLETRANSLATE(B15611,""en"",""fr"")"),"Le vieil homme tient un poteau vert frappant une piñata au milieu d'une pièce.")</f>
        <v>Le vieil homme tient un poteau vert frappant une piñata au milieu d'une pièce.</v>
      </c>
    </row>
    <row r="15612">
      <c r="A15612" s="4" t="s">
        <v>19660</v>
      </c>
      <c r="B15612" s="4" t="s">
        <v>19662</v>
      </c>
      <c r="C15612" s="5" t="str">
        <f>IFERROR(__xludf.DUMMYFUNCTION("GOOGLETRANSLATE(B15612,""en"",""fr"")"),"Les petits enfants sont danse et sautent derrière l'homme.")</f>
        <v>Les petits enfants sont danse et sautent derrière l'homme.</v>
      </c>
    </row>
    <row r="15613">
      <c r="A15613" s="4" t="s">
        <v>19660</v>
      </c>
      <c r="B15613" s="4" t="s">
        <v>19663</v>
      </c>
      <c r="C15613" s="5" t="str">
        <f>IFERROR(__xludf.DUMMYFUNCTION("GOOGLETRANSLATE(B15613,""en"",""fr"")"),"L'homme donne le poteau à un enfant et d'autres enfants se tiennent derrière lui.")</f>
        <v>L'homme donne le poteau à un enfant et d'autres enfants se tiennent derrière lui.</v>
      </c>
    </row>
    <row r="15614">
      <c r="A15614" s="4" t="s">
        <v>19664</v>
      </c>
      <c r="B15614" s="4" t="s">
        <v>19665</v>
      </c>
      <c r="C15614" s="5" t="str">
        <f>IFERROR(__xludf.DUMMYFUNCTION("GOOGLETRANSLATE(B15614,""en"",""fr"")"),"Il y a des gens en train de tricoter avec du fil et des aiguilles à tricoter dans un centre culturel.")</f>
        <v>Il y a des gens en train de tricoter avec du fil et des aiguilles à tricoter dans un centre culturel.</v>
      </c>
    </row>
    <row r="15615">
      <c r="A15615" s="4" t="s">
        <v>19664</v>
      </c>
      <c r="B15615" s="4" t="s">
        <v>19666</v>
      </c>
      <c r="C15615" s="5" t="str">
        <f>IFERROR(__xludf.DUMMYFUNCTION("GOOGLETRANSLATE(B15615,""en"",""fr"")"),"Une grille de chapeaux et de pulls en tricot est empilé contre le mur.")</f>
        <v>Une grille de chapeaux et de pulls en tricot est empilé contre le mur.</v>
      </c>
    </row>
    <row r="15616">
      <c r="A15616" s="4" t="s">
        <v>19664</v>
      </c>
      <c r="B15616" s="4" t="s">
        <v>19667</v>
      </c>
      <c r="C15616" s="5" t="str">
        <f>IFERROR(__xludf.DUMMYFUNCTION("GOOGLETRANSLATE(B15616,""en"",""fr"")"),"Un pull gris fini avec broderie noire est montré.")</f>
        <v>Un pull gris fini avec broderie noire est montré.</v>
      </c>
    </row>
    <row r="15617">
      <c r="A15617" s="4" t="s">
        <v>19664</v>
      </c>
      <c r="B15617" s="4" t="s">
        <v>19668</v>
      </c>
      <c r="C15617" s="5" t="str">
        <f>IFERROR(__xludf.DUMMYFUNCTION("GOOGLETRANSLATE(B15617,""en"",""fr"")"),"Une femme représentant le Daily News Channel parle du pull, puis elle le porte.")</f>
        <v>Une femme représentant le Daily News Channel parle du pull, puis elle le porte.</v>
      </c>
    </row>
    <row r="15618">
      <c r="A15618" s="4" t="s">
        <v>19664</v>
      </c>
      <c r="B15618" s="4" t="s">
        <v>19669</v>
      </c>
      <c r="C15618" s="5" t="str">
        <f>IFERROR(__xludf.DUMMYFUNCTION("GOOGLETRANSLATE(B15618,""en"",""fr"")"),"Il y a des gens assis et tricoter avec du fil et des aiguilles.")</f>
        <v>Il y a des gens assis et tricoter avec du fil et des aiguilles.</v>
      </c>
    </row>
    <row r="15619">
      <c r="A15619" s="4" t="s">
        <v>19664</v>
      </c>
      <c r="B15619" s="4" t="s">
        <v>19670</v>
      </c>
      <c r="C15619" s="5" t="str">
        <f>IFERROR(__xludf.DUMMYFUNCTION("GOOGLETRANSLATE(B15619,""en"",""fr"")"),"Il y a un homme du nom de John George qui parle de son expérience de tricot dans la classe.")</f>
        <v>Il y a un homme du nom de John George qui parle de son expérience de tricot dans la classe.</v>
      </c>
    </row>
    <row r="15620">
      <c r="A15620" s="4" t="s">
        <v>19664</v>
      </c>
      <c r="B15620" s="4" t="s">
        <v>19671</v>
      </c>
      <c r="C15620" s="5" t="str">
        <f>IFERROR(__xludf.DUMMYFUNCTION("GOOGLETRANSLATE(B15620,""en"",""fr"")"),"Avec ses autres camarades, il montre comment ils tricotent.")</f>
        <v>Avec ses autres camarades, il montre comment ils tricotent.</v>
      </c>
    </row>
    <row r="15621">
      <c r="A15621" s="4" t="s">
        <v>19664</v>
      </c>
      <c r="B15621" s="6" t="s">
        <v>19672</v>
      </c>
      <c r="C15621" s="5" t="str">
        <f>IFERROR(__xludf.DUMMYFUNCTION("GOOGLETRANSLATE(B15621,""en"",""fr"")"),"Une autre personne du nom de Charles Henry parle de son expérience de tricot au centre culturel.")</f>
        <v>Une autre personne du nom de Charles Henry parle de son expérience de tricot au centre culturel.</v>
      </c>
    </row>
    <row r="15622">
      <c r="A15622" s="4" t="s">
        <v>19664</v>
      </c>
      <c r="B15622" s="6" t="s">
        <v>19673</v>
      </c>
      <c r="C15622" s="5" t="str">
        <f>IFERROR(__xludf.DUMMYFUNCTION("GOOGLETRANSLATE(B15622,""en"",""fr"")"),"Plusieurs personnes sont vues au centre culturel assis ensemble et tricoter alors que l'un des organisateurs parle.")</f>
        <v>Plusieurs personnes sont vues au centre culturel assis ensemble et tricoter alors que l'un des organisateurs parle.</v>
      </c>
    </row>
    <row r="15623">
      <c r="A15623" s="4" t="s">
        <v>19664</v>
      </c>
      <c r="B15623" s="4" t="s">
        <v>19674</v>
      </c>
      <c r="C15623" s="5" t="str">
        <f>IFERROR(__xludf.DUMMYFUNCTION("GOOGLETRANSLATE(B15623,""en"",""fr"")"),"Le journaliste de la nouvelle porte le pull gris et a l'air très heureux.")</f>
        <v>Le journaliste de la nouvelle porte le pull gris et a l'air très heureux.</v>
      </c>
    </row>
    <row r="15624">
      <c r="A15624" s="4" t="s">
        <v>19675</v>
      </c>
      <c r="B15624" s="6" t="s">
        <v>19676</v>
      </c>
      <c r="C15624" s="5" t="str">
        <f>IFERROR(__xludf.DUMMYFUNCTION("GOOGLETRANSLATE(B15624,""en"",""fr"")"),"Deux personnes sont des clôtures dans une pièce clos à pois, alors qu'elle est vêtue d'équipement de clôture et de masques de clôture, y compris une arme de clôture.")</f>
        <v>Deux personnes sont des clôtures dans une pièce clos à pois, alors qu'elle est vêtue d'équipement de clôture et de masques de clôture, y compris une arme de clôture.</v>
      </c>
    </row>
    <row r="15625">
      <c r="A15625" s="4" t="s">
        <v>19675</v>
      </c>
      <c r="B15625" s="6" t="s">
        <v>19677</v>
      </c>
      <c r="C15625" s="5" t="str">
        <f>IFERROR(__xludf.DUMMYFUNCTION("GOOGLETRANSLATE(B15625,""en"",""fr"")"),"Un graphique animé apparaît affichant le physique des deux tireurs dans un motif de grille avec les deux figures animées présentant un mouvement de clôture / arme.")</f>
        <v>Un graphique animé apparaît affichant le physique des deux tireurs dans un motif de grille avec les deux figures animées présentant un mouvement de clôture / arme.</v>
      </c>
    </row>
    <row r="15626">
      <c r="A15626" s="4" t="s">
        <v>19675</v>
      </c>
      <c r="B15626" s="6" t="s">
        <v>19678</v>
      </c>
      <c r="C15626" s="5" t="str">
        <f>IFERROR(__xludf.DUMMYFUNCTION("GOOGLETRANSLATE(B15626,""en"",""fr"")"),"Une coupure apparaît de plusieurs personnes interviewant et parlant à la caméra devant un signe de clôture extrême ainsi que des images fixes de personnes se préparant à la clôture.")</f>
        <v>Une coupure apparaît de plusieurs personnes interviewant et parlant à la caméra devant un signe de clôture extrême ainsi que des images fixes de personnes se préparant à la clôture.</v>
      </c>
    </row>
    <row r="15627">
      <c r="A15627" s="4" t="s">
        <v>19675</v>
      </c>
      <c r="B15627" s="4" t="s">
        <v>19679</v>
      </c>
      <c r="C15627" s="5" t="str">
        <f>IFERROR(__xludf.DUMMYFUNCTION("GOOGLETRANSLATE(B15627,""en"",""fr"")"),"Les deux personnes vêtues de tenues de clôture commencent à clôturer dans une démonstration.")</f>
        <v>Les deux personnes vêtues de tenues de clôture commencent à clôturer dans une démonstration.</v>
      </c>
    </row>
    <row r="15628">
      <c r="A15628" s="4" t="s">
        <v>19680</v>
      </c>
      <c r="B15628" s="4" t="s">
        <v>19681</v>
      </c>
      <c r="C15628" s="5" t="str">
        <f>IFERROR(__xludf.DUMMYFUNCTION("GOOGLETRANSLATE(B15628,""en"",""fr"")"),"Une présentatrice de CBS News rapporte sur une histoire.")</f>
        <v>Une présentatrice de CBS News rapporte sur une histoire.</v>
      </c>
    </row>
    <row r="15629">
      <c r="A15629" s="4" t="s">
        <v>19680</v>
      </c>
      <c r="B15629" s="4" t="s">
        <v>19682</v>
      </c>
      <c r="C15629" s="5" t="str">
        <f>IFERROR(__xludf.DUMMYFUNCTION("GOOGLETRANSLATE(B15629,""en"",""fr"")"),"Une fanfare apparaît sur un grand terrain.")</f>
        <v>Une fanfare apparaît sur un grand terrain.</v>
      </c>
    </row>
    <row r="15630">
      <c r="A15630" s="4" t="s">
        <v>19680</v>
      </c>
      <c r="B15630" s="4" t="s">
        <v>19683</v>
      </c>
      <c r="C15630" s="5" t="str">
        <f>IFERROR(__xludf.DUMMYFUNCTION("GOOGLETRANSLATE(B15630,""en"",""fr"")"),"Un étudiant de la fanfare donne une interview avec l'instructeur de la fanfare.")</f>
        <v>Un étudiant de la fanfare donne une interview avec l'instructeur de la fanfare.</v>
      </c>
    </row>
    <row r="15631">
      <c r="A15631" s="4" t="s">
        <v>19680</v>
      </c>
      <c r="B15631" s="4" t="s">
        <v>19684</v>
      </c>
      <c r="C15631" s="5" t="str">
        <f>IFERROR(__xludf.DUMMYFUNCTION("GOOGLETRANSLATE(B15631,""en"",""fr"")"),"La fanfare pratique leur performance.")</f>
        <v>La fanfare pratique leur performance.</v>
      </c>
    </row>
    <row r="15632">
      <c r="A15632" s="4" t="s">
        <v>19685</v>
      </c>
      <c r="B15632" s="4" t="s">
        <v>19686</v>
      </c>
      <c r="C15632" s="5" t="str">
        <f>IFERROR(__xludf.DUMMYFUNCTION("GOOGLETRANSLATE(B15632,""en"",""fr"")"),"Cette jeune femme est en studio pour jouer du piano.")</f>
        <v>Cette jeune femme est en studio pour jouer du piano.</v>
      </c>
    </row>
    <row r="15633">
      <c r="A15633" s="4" t="s">
        <v>19685</v>
      </c>
      <c r="B15633" s="4" t="s">
        <v>19687</v>
      </c>
      <c r="C15633" s="5" t="str">
        <f>IFERROR(__xludf.DUMMYFUNCTION("GOOGLETRANSLATE(B15633,""en"",""fr"")"),"Personne d'autre n'est là avec elle et elle a l'air très sérieuse sur ce qu'elle fait.")</f>
        <v>Personne d'autre n'est là avec elle et elle a l'air très sérieuse sur ce qu'elle fait.</v>
      </c>
    </row>
    <row r="15634">
      <c r="A15634" s="4" t="s">
        <v>19685</v>
      </c>
      <c r="B15634" s="4" t="s">
        <v>19688</v>
      </c>
      <c r="C15634" s="5" t="str">
        <f>IFERROR(__xludf.DUMMYFUNCTION("GOOGLETRANSLATE(B15634,""en"",""fr"")"),"Elle porte un t-shirt rose et des leggings de couleur fleur, puis à un moment donné, elle s'arrête.")</f>
        <v>Elle porte un t-shirt rose et des leggings de couleur fleur, puis à un moment donné, elle s'arrête.</v>
      </c>
    </row>
    <row r="15635">
      <c r="A15635" s="4" t="s">
        <v>19689</v>
      </c>
      <c r="B15635" s="4" t="s">
        <v>19690</v>
      </c>
      <c r="C15635" s="5" t="str">
        <f>IFERROR(__xludf.DUMMYFUNCTION("GOOGLETRANSLATE(B15635,""en"",""fr"")"),"Un groupe de personnes se tient sur un pont extérieur.")</f>
        <v>Un groupe de personnes se tient sur un pont extérieur.</v>
      </c>
    </row>
    <row r="15636">
      <c r="A15636" s="4" t="s">
        <v>19689</v>
      </c>
      <c r="B15636" s="4" t="s">
        <v>19691</v>
      </c>
      <c r="C15636" s="5" t="str">
        <f>IFERROR(__xludf.DUMMYFUNCTION("GOOGLETRANSLATE(B15636,""en"",""fr"")"),"Ils mettent du matériel autour de l'autre le corps pour les protéger.")</f>
        <v>Ils mettent du matériel autour de l'autre le corps pour les protéger.</v>
      </c>
    </row>
    <row r="15637">
      <c r="A15637" s="4" t="s">
        <v>19689</v>
      </c>
      <c r="B15637" s="4" t="s">
        <v>19692</v>
      </c>
      <c r="C15637" s="5" t="str">
        <f>IFERROR(__xludf.DUMMYFUNCTION("GOOGLETRANSLATE(B15637,""en"",""fr"")"),"La personne saute du côté du pont sur un cordon élastique, se balançant sur l'eau en dessous.")</f>
        <v>La personne saute du côté du pont sur un cordon élastique, se balançant sur l'eau en dessous.</v>
      </c>
    </row>
    <row r="15638">
      <c r="A15638" s="4" t="s">
        <v>19693</v>
      </c>
      <c r="B15638" s="4" t="s">
        <v>19694</v>
      </c>
      <c r="C15638" s="5" t="str">
        <f>IFERROR(__xludf.DUMMYFUNCTION("GOOGLETRANSLATE(B15638,""en"",""fr"")"),"Beaucoup de gens sont rassemblés sur un carré.")</f>
        <v>Beaucoup de gens sont rassemblés sur un carré.</v>
      </c>
    </row>
    <row r="15639">
      <c r="A15639" s="4" t="s">
        <v>19693</v>
      </c>
      <c r="B15639" s="4" t="s">
        <v>19695</v>
      </c>
      <c r="C15639" s="5" t="str">
        <f>IFERROR(__xludf.DUMMYFUNCTION("GOOGLETRANSLATE(B15639,""en"",""fr"")"),"Les gens commencent à courir dans la rue et près de la baie.")</f>
        <v>Les gens commencent à courir dans la rue et près de la baie.</v>
      </c>
    </row>
    <row r="15640">
      <c r="A15640" s="4" t="s">
        <v>19696</v>
      </c>
      <c r="B15640" s="4" t="s">
        <v>19697</v>
      </c>
      <c r="C15640" s="5" t="str">
        <f>IFERROR(__xludf.DUMMYFUNCTION("GOOGLETRANSLATE(B15640,""en"",""fr"")"),"Un groupe de jeunes hommes est assis à une table avec des cubes Rubik devant eux.")</f>
        <v>Un groupe de jeunes hommes est assis à une table avec des cubes Rubik devant eux.</v>
      </c>
    </row>
    <row r="15641">
      <c r="A15641" s="4" t="s">
        <v>19696</v>
      </c>
      <c r="B15641" s="4" t="s">
        <v>19698</v>
      </c>
      <c r="C15641" s="5" t="str">
        <f>IFERROR(__xludf.DUMMYFUNCTION("GOOGLETRANSLATE(B15641,""en"",""fr"")"),"Les deux garçons à droite ont déjà commencé et les deux garçons de gauche sont de retard.")</f>
        <v>Les deux garçons à droite ont déjà commencé et les deux garçons de gauche sont de retard.</v>
      </c>
    </row>
    <row r="15642">
      <c r="A15642" s="4" t="s">
        <v>19696</v>
      </c>
      <c r="B15642" s="6" t="s">
        <v>19699</v>
      </c>
      <c r="C15642" s="5" t="str">
        <f>IFERROR(__xludf.DUMMYFUNCTION("GOOGLETRANSLATE(B15642,""en"",""fr"")"),"En huit secondes, le garçon résout son cube et les garçons derrière eux sautent et commencent à le féliciter alors que les autres continuent de résoudre leur.")</f>
        <v>En huit secondes, le garçon résout son cube et les garçons derrière eux sautent et commencent à le féliciter alors que les autres continuent de résoudre leur.</v>
      </c>
    </row>
    <row r="15643">
      <c r="A15643" s="4" t="s">
        <v>19700</v>
      </c>
      <c r="B15643" s="4" t="s">
        <v>19701</v>
      </c>
      <c r="C15643" s="5" t="str">
        <f>IFERROR(__xludf.DUMMYFUNCTION("GOOGLETRANSLATE(B15643,""en"",""fr"")"),"Une personne est vue assise dans l'eau avec une paire de skis attachés à ses pieds.")</f>
        <v>Une personne est vue assise dans l'eau avec une paire de skis attachés à ses pieds.</v>
      </c>
    </row>
    <row r="15644">
      <c r="A15644" s="4" t="s">
        <v>19700</v>
      </c>
      <c r="B15644" s="4" t="s">
        <v>19702</v>
      </c>
      <c r="C15644" s="5" t="str">
        <f>IFERROR(__xludf.DUMMYFUNCTION("GOOGLETRANSLATE(B15644,""en"",""fr"")"),"L'homme se lève ensuite sur les skis et monte le long de l'eau derrière un bateau.")</f>
        <v>L'homme se lève ensuite sur les skis et monte le long de l'eau derrière un bateau.</v>
      </c>
    </row>
    <row r="15645">
      <c r="A15645" s="4" t="s">
        <v>19703</v>
      </c>
      <c r="B15645" s="4" t="s">
        <v>19704</v>
      </c>
      <c r="C15645" s="5" t="str">
        <f>IFERROR(__xludf.DUMMYFUNCTION("GOOGLETRANSLATE(B15645,""en"",""fr"")"),"Une vue d'une large couche d'arbres dans une forêt est montrée.")</f>
        <v>Une vue d'une large couche d'arbres dans une forêt est montrée.</v>
      </c>
    </row>
    <row r="15646">
      <c r="A15646" s="4" t="s">
        <v>19703</v>
      </c>
      <c r="B15646" s="4" t="s">
        <v>19705</v>
      </c>
      <c r="C15646" s="5" t="str">
        <f>IFERROR(__xludf.DUMMYFUNCTION("GOOGLETRANSLATE(B15646,""en"",""fr"")"),"Une femme sort en tenant un cerceau.")</f>
        <v>Une femme sort en tenant un cerceau.</v>
      </c>
    </row>
    <row r="15647">
      <c r="A15647" s="4" t="s">
        <v>19703</v>
      </c>
      <c r="B15647" s="4" t="s">
        <v>19706</v>
      </c>
      <c r="C15647" s="5" t="str">
        <f>IFERROR(__xludf.DUMMYFUNCTION("GOOGLETRANSLATE(B15647,""en"",""fr"")"),"Elle commence à utiliser le cerceau de manière séduisante en dansant.")</f>
        <v>Elle commence à utiliser le cerceau de manière séduisante en dansant.</v>
      </c>
    </row>
    <row r="15648">
      <c r="A15648" s="4" t="s">
        <v>19703</v>
      </c>
      <c r="B15648" s="4" t="s">
        <v>19707</v>
      </c>
      <c r="C15648" s="5" t="str">
        <f>IFERROR(__xludf.DUMMYFUNCTION("GOOGLETRANSLATE(B15648,""en"",""fr"")"),"Elle tourne, retourne et fait des roues de charrette tout en utilisant le cerceau.")</f>
        <v>Elle tourne, retourne et fait des roues de charrette tout en utilisant le cerceau.</v>
      </c>
    </row>
    <row r="15649">
      <c r="A15649" s="4" t="s">
        <v>19703</v>
      </c>
      <c r="B15649" s="4" t="s">
        <v>19708</v>
      </c>
      <c r="C15649" s="5" t="str">
        <f>IFERROR(__xludf.DUMMYFUNCTION("GOOGLETRANSLATE(B15649,""en"",""fr"")"),"Elle termine sa performance avec une pose de regards surgelé et ascendante.")</f>
        <v>Elle termine sa performance avec une pose de regards surgelé et ascendante.</v>
      </c>
    </row>
    <row r="15650">
      <c r="A15650" s="4" t="s">
        <v>19709</v>
      </c>
      <c r="B15650" s="4" t="s">
        <v>19710</v>
      </c>
      <c r="C15650" s="5" t="str">
        <f>IFERROR(__xludf.DUMMYFUNCTION("GOOGLETRANSLATE(B15650,""en"",""fr"")"),"L'homme qui tire une chemise verte se tient à côté d'une petite fille.")</f>
        <v>L'homme qui tire une chemise verte se tient à côté d'une petite fille.</v>
      </c>
    </row>
    <row r="15651">
      <c r="A15651" s="4" t="s">
        <v>19709</v>
      </c>
      <c r="B15651" s="4" t="s">
        <v>19711</v>
      </c>
      <c r="C15651" s="5" t="str">
        <f>IFERROR(__xludf.DUMMYFUNCTION("GOOGLETRANSLATE(B15651,""en"",""fr"")"),"Une fille portant des lunettes parle à la caméra.")</f>
        <v>Une fille portant des lunettes parle à la caméra.</v>
      </c>
    </row>
    <row r="15652">
      <c r="A15652" s="4" t="s">
        <v>19709</v>
      </c>
      <c r="B15652" s="4" t="s">
        <v>19712</v>
      </c>
      <c r="C15652" s="5" t="str">
        <f>IFERROR(__xludf.DUMMYFUNCTION("GOOGLETRANSLATE(B15652,""en"",""fr"")"),"L'homme et la fille boivent dans une tasse blanche.")</f>
        <v>L'homme et la fille boivent dans une tasse blanche.</v>
      </c>
    </row>
    <row r="15653">
      <c r="A15653" s="4" t="s">
        <v>19709</v>
      </c>
      <c r="B15653" s="4" t="s">
        <v>19713</v>
      </c>
      <c r="C15653" s="5" t="str">
        <f>IFERROR(__xludf.DUMMYFUNCTION("GOOGLETRANSLATE(B15653,""en"",""fr"")"),"La fille tient la boisson dans sa bouche et la crache sur l'herbe et l'homme fait de même.")</f>
        <v>La fille tient la boisson dans sa bouche et la crache sur l'herbe et l'homme fait de même.</v>
      </c>
    </row>
    <row r="15654">
      <c r="A15654" s="4" t="s">
        <v>19714</v>
      </c>
      <c r="B15654" s="4" t="s">
        <v>19715</v>
      </c>
      <c r="C15654" s="5" t="str">
        <f>IFERROR(__xludf.DUMMYFUNCTION("GOOGLETRANSLATE(B15654,""en"",""fr"")"),"Une fille se dirige vers la fin d'un plongeon et lève les mains.")</f>
        <v>Une fille se dirige vers la fin d'un plongeon et lève les mains.</v>
      </c>
    </row>
    <row r="15655">
      <c r="A15655" s="4" t="s">
        <v>19714</v>
      </c>
      <c r="B15655" s="4" t="s">
        <v>19716</v>
      </c>
      <c r="C15655" s="5" t="str">
        <f>IFERROR(__xludf.DUMMYFUNCTION("GOOGLETRANSLATE(B15655,""en"",""fr"")"),"La fille saute sur la plongée pour se préparer.")</f>
        <v>La fille saute sur la plongée pour se préparer.</v>
      </c>
    </row>
    <row r="15656">
      <c r="A15656" s="4" t="s">
        <v>19714</v>
      </c>
      <c r="B15656" s="4" t="s">
        <v>19717</v>
      </c>
      <c r="C15656" s="5" t="str">
        <f>IFERROR(__xludf.DUMMYFUNCTION("GOOGLETRANSLATE(B15656,""en"",""fr"")"),"La fille fait ensuite une plongée en retour dans la piscine.")</f>
        <v>La fille fait ensuite une plongée en retour dans la piscine.</v>
      </c>
    </row>
    <row r="15657">
      <c r="A15657" s="4" t="s">
        <v>19718</v>
      </c>
      <c r="B15657" s="4" t="s">
        <v>19719</v>
      </c>
      <c r="C15657" s="5" t="str">
        <f>IFERROR(__xludf.DUMMYFUNCTION("GOOGLETRANSLATE(B15657,""en"",""fr"")"),"Les gens regardent les concurrents se préparer près d'une scène rouge.")</f>
        <v>Les gens regardent les concurrents se préparer près d'une scène rouge.</v>
      </c>
    </row>
    <row r="15658">
      <c r="A15658" s="4" t="s">
        <v>19718</v>
      </c>
      <c r="B15658" s="4" t="s">
        <v>19720</v>
      </c>
      <c r="C15658" s="5" t="str">
        <f>IFERROR(__xludf.DUMMYFUNCTION("GOOGLETRANSLATE(B15658,""en"",""fr"")"),"Les concurrents ont posé leurs robots dans le cercle comme le juge leur instruit.")</f>
        <v>Les concurrents ont posé leurs robots dans le cercle comme le juge leur instruit.</v>
      </c>
    </row>
    <row r="15659">
      <c r="A15659" s="4" t="s">
        <v>19718</v>
      </c>
      <c r="B15659" s="4" t="s">
        <v>19721</v>
      </c>
      <c r="C15659" s="5" t="str">
        <f>IFERROR(__xludf.DUMMYFUNCTION("GOOGLETRANSLATE(B15659,""en"",""fr"")"),"Le juge signale le début de la compétition.")</f>
        <v>Le juge signale le début de la compétition.</v>
      </c>
    </row>
    <row r="15660">
      <c r="A15660" s="4" t="s">
        <v>19718</v>
      </c>
      <c r="B15660" s="4" t="s">
        <v>19722</v>
      </c>
      <c r="C15660" s="5" t="str">
        <f>IFERROR(__xludf.DUMMYFUNCTION("GOOGLETRANSLATE(B15660,""en"",""fr"")"),"Les robots commencent à bouger et l'un des robots est poussé hors du cercle.")</f>
        <v>Les robots commencent à bouger et l'un des robots est poussé hors du cercle.</v>
      </c>
    </row>
    <row r="15661">
      <c r="A15661" s="4" t="s">
        <v>19718</v>
      </c>
      <c r="B15661" s="4" t="s">
        <v>19723</v>
      </c>
      <c r="C15661" s="5" t="str">
        <f>IFERROR(__xludf.DUMMYFUNCTION("GOOGLETRANSLATE(B15661,""en"",""fr"")"),"Les concurrents remontent sur scène et remplacent leurs robots.")</f>
        <v>Les concurrents remontent sur scène et remplacent leurs robots.</v>
      </c>
    </row>
    <row r="15662">
      <c r="A15662" s="4" t="s">
        <v>19718</v>
      </c>
      <c r="B15662" s="6" t="s">
        <v>19724</v>
      </c>
      <c r="C15662" s="5" t="str">
        <f>IFERROR(__xludf.DUMMYFUNCTION("GOOGLETRANSLATE(B15662,""en"",""fr"")"),"Le juge signale que la compétition recommence et tout le monde applaudit lorsque l'un d'eux gagne.")</f>
        <v>Le juge signale que la compétition recommence et tout le monde applaudit lorsque l'un d'eux gagne.</v>
      </c>
    </row>
    <row r="15663">
      <c r="A15663" s="4" t="s">
        <v>19725</v>
      </c>
      <c r="B15663" s="4" t="s">
        <v>19726</v>
      </c>
      <c r="C15663" s="5" t="str">
        <f>IFERROR(__xludf.DUMMYFUNCTION("GOOGLETRANSLATE(B15663,""en"",""fr"")"),"Un homme se tient dans une pièce avec du bleu.")</f>
        <v>Un homme se tient dans une pièce avec du bleu.</v>
      </c>
    </row>
    <row r="15664">
      <c r="A15664" s="4" t="s">
        <v>19725</v>
      </c>
      <c r="B15664" s="4" t="s">
        <v>19727</v>
      </c>
      <c r="C15664" s="5" t="str">
        <f>IFERROR(__xludf.DUMMYFUNCTION("GOOGLETRANSLATE(B15664,""en"",""fr"")"),"Il applique une image sur le mur.")</f>
        <v>Il applique une image sur le mur.</v>
      </c>
    </row>
    <row r="15665">
      <c r="A15665" s="4" t="s">
        <v>19725</v>
      </c>
      <c r="B15665" s="4" t="s">
        <v>19728</v>
      </c>
      <c r="C15665" s="5" t="str">
        <f>IFERROR(__xludf.DUMMYFUNCTION("GOOGLETRANSLATE(B15665,""en"",""fr"")"),"Il utilise un outil pour le lisser.")</f>
        <v>Il utilise un outil pour le lisser.</v>
      </c>
    </row>
    <row r="15666">
      <c r="A15666" s="4" t="s">
        <v>19725</v>
      </c>
      <c r="B15666" s="4" t="s">
        <v>19729</v>
      </c>
      <c r="C15666" s="5" t="str">
        <f>IFERROR(__xludf.DUMMYFUNCTION("GOOGLETRANSLATE(B15666,""en"",""fr"")"),"Il coupe le papier en bas.")</f>
        <v>Il coupe le papier en bas.</v>
      </c>
    </row>
    <row r="15667">
      <c r="A15667" s="4" t="s">
        <v>19730</v>
      </c>
      <c r="B15667" s="4" t="s">
        <v>19731</v>
      </c>
      <c r="C15667" s="5" t="str">
        <f>IFERROR(__xludf.DUMMYFUNCTION("GOOGLETRANSLATE(B15667,""en"",""fr"")"),"Un homme debout à l'extérieur d'un nettoyage de vitres du bâtiment avec une grande raclette.")</f>
        <v>Un homme debout à l'extérieur d'un nettoyage de vitres du bâtiment avec une grande raclette.</v>
      </c>
    </row>
    <row r="15668">
      <c r="A15668" s="4" t="s">
        <v>19730</v>
      </c>
      <c r="B15668" s="4" t="s">
        <v>19732</v>
      </c>
      <c r="C15668" s="5" t="str">
        <f>IFERROR(__xludf.DUMMYFUNCTION("GOOGLETRANSLATE(B15668,""en"",""fr"")"),"Il passe par-dessus la fenêtre de la porte et utilise ensuite un autre gadget après pour essuyer le savon.")</f>
        <v>Il passe par-dessus la fenêtre de la porte et utilise ensuite un autre gadget après pour essuyer le savon.</v>
      </c>
    </row>
    <row r="15669">
      <c r="A15669" s="4" t="s">
        <v>19730</v>
      </c>
      <c r="B15669" s="4" t="s">
        <v>19733</v>
      </c>
      <c r="C15669" s="5" t="str">
        <f>IFERROR(__xludf.DUMMYFUNCTION("GOOGLETRANSLATE(B15669,""en"",""fr"")"),"Il commence jusqu'au sommet en s'assurant de se mettre dans les coins de la fenêtre.")</f>
        <v>Il commence jusqu'au sommet en s'assurant de se mettre dans les coins de la fenêtre.</v>
      </c>
    </row>
    <row r="15670">
      <c r="A15670" s="4" t="s">
        <v>19730</v>
      </c>
      <c r="B15670" s="4" t="s">
        <v>19734</v>
      </c>
      <c r="C15670" s="5" t="str">
        <f>IFERROR(__xludf.DUMMYFUNCTION("GOOGLETRANSLATE(B15670,""en"",""fr"")"),"La fenêtre a l'air très propre et agréable une fois qu'il est en panne en faisant tout cela.")</f>
        <v>La fenêtre a l'air très propre et agréable une fois qu'il est en panne en faisant tout cela.</v>
      </c>
    </row>
    <row r="15671">
      <c r="A15671" s="4" t="s">
        <v>19735</v>
      </c>
      <c r="B15671" s="4" t="s">
        <v>19736</v>
      </c>
      <c r="C15671" s="5" t="str">
        <f>IFERROR(__xludf.DUMMYFUNCTION("GOOGLETRANSLATE(B15671,""en"",""fr"")"),"Un groupe de pom-pom girls se produit sur scène pendant que les gens regardent.")</f>
        <v>Un groupe de pom-pom girls se produit sur scène pendant que les gens regardent.</v>
      </c>
    </row>
    <row r="15672">
      <c r="A15672" s="4" t="s">
        <v>19735</v>
      </c>
      <c r="B15672" s="4" t="s">
        <v>19737</v>
      </c>
      <c r="C15672" s="5" t="str">
        <f>IFERROR(__xludf.DUMMYFUNCTION("GOOGLETRANSLATE(B15672,""en"",""fr"")"),"Ensuite, les pom-pom girls font une tour puis sautent, puis ils font des roues.")</f>
        <v>Ensuite, les pom-pom girls font une tour puis sautent, puis ils font des roues.</v>
      </c>
    </row>
    <row r="15673">
      <c r="A15673" s="4" t="s">
        <v>19735</v>
      </c>
      <c r="B15673" s="4" t="s">
        <v>19738</v>
      </c>
      <c r="C15673" s="5" t="str">
        <f>IFERROR(__xludf.DUMMYFUNCTION("GOOGLETRANSLATE(B15673,""en"",""fr"")"),"Deux pom-pom girls se lèvent dans une tour puis se retournent et tombent sur les bras des gens.")</f>
        <v>Deux pom-pom girls se lèvent dans une tour puis se retournent et tombent sur les bras des gens.</v>
      </c>
    </row>
    <row r="15674">
      <c r="A15674" s="4" t="s">
        <v>19735</v>
      </c>
      <c r="B15674" s="4" t="s">
        <v>19739</v>
      </c>
      <c r="C15674" s="5" t="str">
        <f>IFERROR(__xludf.DUMMYFUNCTION("GOOGLETRANSLATE(B15674,""en"",""fr"")"),"Les filles font à nouveau une tour puis tournent et sautent.")</f>
        <v>Les filles font à nouveau une tour puis tournent et sautent.</v>
      </c>
    </row>
    <row r="15675">
      <c r="A15675" s="4" t="s">
        <v>19735</v>
      </c>
      <c r="B15675" s="4" t="s">
        <v>19740</v>
      </c>
      <c r="C15675" s="5" t="str">
        <f>IFERROR(__xludf.DUMMYFUNCTION("GOOGLETRANSLATE(B15675,""en"",""fr"")"),"Les pom-pom girls élèvent les filles puis se retournent, puis ils continuent de jouer.")</f>
        <v>Les pom-pom girls élèvent les filles puis se retournent, puis ils continuent de jouer.</v>
      </c>
    </row>
    <row r="15676">
      <c r="A15676" s="4" t="s">
        <v>19741</v>
      </c>
      <c r="B15676" s="4" t="s">
        <v>19742</v>
      </c>
      <c r="C15676" s="5" t="str">
        <f>IFERROR(__xludf.DUMMYFUNCTION("GOOGLETRANSLATE(B15676,""en"",""fr"")"),"Deux hommes sont longs à bord d'une colline.")</f>
        <v>Deux hommes sont longs à bord d'une colline.</v>
      </c>
    </row>
    <row r="15677">
      <c r="A15677" s="4" t="s">
        <v>19741</v>
      </c>
      <c r="B15677" s="4" t="s">
        <v>19743</v>
      </c>
      <c r="C15677" s="5" t="str">
        <f>IFERROR(__xludf.DUMMYFUNCTION("GOOGLETRANSLATE(B15677,""en"",""fr"")"),"Il s'arrête et pose son pied sur le sol.")</f>
        <v>Il s'arrête et pose son pied sur le sol.</v>
      </c>
    </row>
    <row r="15678">
      <c r="A15678" s="4" t="s">
        <v>19741</v>
      </c>
      <c r="B15678" s="4" t="s">
        <v>19744</v>
      </c>
      <c r="C15678" s="5" t="str">
        <f>IFERROR(__xludf.DUMMYFUNCTION("GOOGLETRANSLATE(B15678,""en"",""fr"")"),"Il se tient sur sa planche à l'envers.")</f>
        <v>Il se tient sur sa planche à l'envers.</v>
      </c>
    </row>
    <row r="15679">
      <c r="A15679" s="4" t="s">
        <v>19741</v>
      </c>
      <c r="B15679" s="4" t="s">
        <v>19745</v>
      </c>
      <c r="C15679" s="5" t="str">
        <f>IFERROR(__xludf.DUMMYFUNCTION("GOOGLETRANSLATE(B15679,""en"",""fr"")"),"Un homme en chemise verte est assis par terre avec sa longue planche devant lui.")</f>
        <v>Un homme en chemise verte est assis par terre avec sa longue planche devant lui.</v>
      </c>
    </row>
    <row r="15680">
      <c r="A15680" s="4" t="s">
        <v>19746</v>
      </c>
      <c r="B15680" s="4" t="s">
        <v>19747</v>
      </c>
      <c r="C15680" s="5" t="str">
        <f>IFERROR(__xludf.DUMMYFUNCTION("GOOGLETRANSLATE(B15680,""en"",""fr"")"),"La personne est montrée en mélangeant les ingrédients.")</f>
        <v>La personne est montrée en mélangeant les ingrédients.</v>
      </c>
    </row>
    <row r="15681">
      <c r="A15681" s="4" t="s">
        <v>19746</v>
      </c>
      <c r="B15681" s="6" t="s">
        <v>19748</v>
      </c>
      <c r="C15681" s="5" t="str">
        <f>IFERROR(__xludf.DUMMYFUNCTION("GOOGLETRANSLATE(B15681,""en"",""fr"")"),"La personne roule la pâte et la coupe en petits morceaux et aplatit les minuscules boules à l'aide de leurs mains.")</f>
        <v>La personne roule la pâte et la coupe en petits morceaux et aplatit les minuscules boules à l'aide de leurs mains.</v>
      </c>
    </row>
    <row r="15682">
      <c r="A15682" s="4" t="s">
        <v>19746</v>
      </c>
      <c r="B15682" s="4" t="s">
        <v>19749</v>
      </c>
      <c r="C15682" s="5" t="str">
        <f>IFERROR(__xludf.DUMMYFUNCTION("GOOGLETRANSLATE(B15682,""en"",""fr"")"),"La personne utilise une fourchette pour mettre des lignes dans la pâte.")</f>
        <v>La personne utilise une fourchette pour mettre des lignes dans la pâte.</v>
      </c>
    </row>
    <row r="15683">
      <c r="A15683" s="4" t="s">
        <v>19746</v>
      </c>
      <c r="B15683" s="4" t="s">
        <v>19750</v>
      </c>
      <c r="C15683" s="5" t="str">
        <f>IFERROR(__xludf.DUMMYFUNCTION("GOOGLETRANSLATE(B15683,""en"",""fr"")"),"Ensuite, la personne met les biscuits sur une plaque à pâtisserie dans une casserole et les cuit pendant 15 minutes.")</f>
        <v>Ensuite, la personne met les biscuits sur une plaque à pâtisserie dans une casserole et les cuit pendant 15 minutes.</v>
      </c>
    </row>
    <row r="15684">
      <c r="A15684" s="4" t="s">
        <v>19746</v>
      </c>
      <c r="B15684" s="4" t="s">
        <v>19751</v>
      </c>
      <c r="C15684" s="5" t="str">
        <f>IFERROR(__xludf.DUMMYFUNCTION("GOOGLETRANSLATE(B15684,""en"",""fr"")"),"Ensuite, retire les cookies lorsqu'ils sont terminés.")</f>
        <v>Ensuite, retire les cookies lorsqu'ils sont terminés.</v>
      </c>
    </row>
    <row r="15685">
      <c r="A15685" s="4" t="s">
        <v>19752</v>
      </c>
      <c r="B15685" s="6" t="s">
        <v>19753</v>
      </c>
      <c r="C15685" s="5" t="str">
        <f>IFERROR(__xludf.DUMMYFUNCTION("GOOGLETRANSLATE(B15685,""en"",""fr"")"),"Une personne se retourne et jette dans l'air un anneau de hula, puis la femme passe l'anneau du hula dans son corps.")</f>
        <v>Une personne se retourne et jette dans l'air un anneau de hula, puis la femme passe l'anneau du hula dans son corps.</v>
      </c>
    </row>
    <row r="15686">
      <c r="A15686" s="4" t="s">
        <v>19752</v>
      </c>
      <c r="B15686" s="4" t="s">
        <v>19754</v>
      </c>
      <c r="C15686" s="5" t="str">
        <f>IFERROR(__xludf.DUMMYFUNCTION("GOOGLETRANSLATE(B15686,""en"",""fr"")"),"Après, la femme passe la bague du hula autour de sa taille rapidement.")</f>
        <v>Après, la femme passe la bague du hula autour de sa taille rapidement.</v>
      </c>
    </row>
    <row r="15687">
      <c r="A15687" s="4" t="s">
        <v>19752</v>
      </c>
      <c r="B15687" s="4" t="s">
        <v>19755</v>
      </c>
      <c r="C15687" s="5" t="str">
        <f>IFERROR(__xludf.DUMMYFUNCTION("GOOGLETRANSLATE(B15687,""en"",""fr"")"),"Ensuite, la femme fait un exercice avec ses pieds et son corps.")</f>
        <v>Ensuite, la femme fait un exercice avec ses pieds et son corps.</v>
      </c>
    </row>
    <row r="15688">
      <c r="A15688" s="4" t="s">
        <v>19756</v>
      </c>
      <c r="B15688" s="6" t="s">
        <v>19757</v>
      </c>
      <c r="C15688" s="5" t="str">
        <f>IFERROR(__xludf.DUMMYFUNCTION("GOOGLETRANSLATE(B15688,""en"",""fr"")"),"Grand-mère parle avec un petit enfant blonde assis dans un entraîneur tandis que se tait dans un fil rouge dans une salle de liing.")</f>
        <v>Grand-mère parle avec un petit enfant blonde assis dans un entraîneur tandis que se tait dans un fil rouge dans une salle de liing.</v>
      </c>
    </row>
    <row r="15689">
      <c r="A15689" s="4" t="s">
        <v>19756</v>
      </c>
      <c r="B15689" s="6" t="s">
        <v>19758</v>
      </c>
      <c r="C15689" s="5" t="str">
        <f>IFERROR(__xludf.DUMMYFUNCTION("GOOGLETRANSLATE(B15689,""en"",""fr"")"),"L'enfant tient le fil et court dans la pièce en le tirant et la femme lui parle, l'enfant attrape le fil du sol et court dans le salon.")</f>
        <v>L'enfant tient le fil et court dans la pièce en le tirant et la femme lui parle, l'enfant attrape le fil du sol et court dans le salon.</v>
      </c>
    </row>
    <row r="15690">
      <c r="A15690" s="4" t="s">
        <v>19759</v>
      </c>
      <c r="B15690" s="4" t="s">
        <v>19760</v>
      </c>
      <c r="C15690" s="5" t="str">
        <f>IFERROR(__xludf.DUMMYFUNCTION("GOOGLETRANSLATE(B15690,""en"",""fr"")"),"Plusieurs logos de presse sont montrés, puis un journaliste masculin se présente derrière son bureau.")</f>
        <v>Plusieurs logos de presse sont montrés, puis un journaliste masculin se présente derrière son bureau.</v>
      </c>
    </row>
    <row r="15691">
      <c r="A15691" s="4" t="s">
        <v>19759</v>
      </c>
      <c r="B15691" s="6" t="s">
        <v>19761</v>
      </c>
      <c r="C15691" s="5" t="str">
        <f>IFERROR(__xludf.DUMMYFUNCTION("GOOGLETRANSLATE(B15691,""en"",""fr"")"),"La caméra se retourne ensuite vers une femme et elle commence à faire des interviews avec des hommes qui jouaient à un jeu de football.")</f>
        <v>La caméra se retourne ensuite vers une femme et elle commence à faire des interviews avec des hommes qui jouaient à un jeu de football.</v>
      </c>
    </row>
    <row r="15692">
      <c r="A15692" s="4" t="s">
        <v>19759</v>
      </c>
      <c r="B15692" s="6" t="s">
        <v>19762</v>
      </c>
      <c r="C15692" s="5" t="str">
        <f>IFERROR(__xludf.DUMMYFUNCTION("GOOGLETRANSLATE(B15692,""en"",""fr"")"),"De nombreux quartiers sont joués et après les buts, les joueurs commencent à sauter sur le dos de l'autre et à sauter de joie et à montrer leur bonheur.")</f>
        <v>De nombreux quartiers sont joués et après les buts, les joueurs commencent à sauter sur le dos de l'autre et à sauter de joie et à montrer leur bonheur.</v>
      </c>
    </row>
    <row r="15693">
      <c r="A15693" s="4" t="s">
        <v>19763</v>
      </c>
      <c r="B15693" s="4" t="s">
        <v>19764</v>
      </c>
      <c r="C15693" s="5" t="str">
        <f>IFERROR(__xludf.DUMMYFUNCTION("GOOGLETRANSLATE(B15693,""en"",""fr"")"),"Deux hommes jouent un coup de pied dans une pièce tandis qu'un homme supervise les mouvements.")</f>
        <v>Deux hommes jouent un coup de pied dans une pièce tandis qu'un homme supervise les mouvements.</v>
      </c>
    </row>
    <row r="15694">
      <c r="A15694" s="4" t="s">
        <v>19763</v>
      </c>
      <c r="B15694" s="4" t="s">
        <v>19765</v>
      </c>
      <c r="C15694" s="5" t="str">
        <f>IFERROR(__xludf.DUMMYFUNCTION("GOOGLETRANSLATE(B15694,""en"",""fr"")"),"Une personne s'appuie sur le mur derrière les hommes.")</f>
        <v>Une personne s'appuie sur le mur derrière les hommes.</v>
      </c>
    </row>
    <row r="15695">
      <c r="A15695" s="4" t="s">
        <v>19763</v>
      </c>
      <c r="B15695" s="4" t="s">
        <v>19766</v>
      </c>
      <c r="C15695" s="5" t="str">
        <f>IFERROR(__xludf.DUMMYFUNCTION("GOOGLETRANSLATE(B15695,""en"",""fr"")"),"Un petit enfant passe devant les hommes.")</f>
        <v>Un petit enfant passe devant les hommes.</v>
      </c>
    </row>
    <row r="15696">
      <c r="A15696" s="4" t="s">
        <v>19763</v>
      </c>
      <c r="B15696" s="4" t="s">
        <v>19767</v>
      </c>
      <c r="C15696" s="5" t="str">
        <f>IFERROR(__xludf.DUMMYFUNCTION("GOOGLETRANSLATE(B15696,""en"",""fr"")"),"Une femme marche et se tient sur les hommes.")</f>
        <v>Une femme marche et se tient sur les hommes.</v>
      </c>
    </row>
    <row r="15697">
      <c r="A15697" s="4" t="s">
        <v>19768</v>
      </c>
      <c r="B15697" s="4" t="s">
        <v>19769</v>
      </c>
      <c r="C15697" s="5" t="str">
        <f>IFERROR(__xludf.DUMMYFUNCTION("GOOGLETRANSLATE(B15697,""en"",""fr"")"),"Un grand homme se tient sur un dôme circulaire dans un champ.")</f>
        <v>Un grand homme se tient sur un dôme circulaire dans un champ.</v>
      </c>
    </row>
    <row r="15698">
      <c r="A15698" s="4" t="s">
        <v>19768</v>
      </c>
      <c r="B15698" s="4" t="s">
        <v>19770</v>
      </c>
      <c r="C15698" s="5" t="str">
        <f>IFERROR(__xludf.DUMMYFUNCTION("GOOGLETRANSLATE(B15698,""en"",""fr"")"),"Il tient une balle en acier sur une corde pendant qu'il parle.")</f>
        <v>Il tient une balle en acier sur une corde pendant qu'il parle.</v>
      </c>
    </row>
    <row r="15699">
      <c r="A15699" s="4" t="s">
        <v>19768</v>
      </c>
      <c r="B15699" s="4" t="s">
        <v>19771</v>
      </c>
      <c r="C15699" s="5" t="str">
        <f>IFERROR(__xludf.DUMMYFUNCTION("GOOGLETRANSLATE(B15699,""en"",""fr"")"),"Il montre ensuite comment se tenir debout avant de balancer le ballon autour de sa tête en rond.")</f>
        <v>Il montre ensuite comment se tenir debout avant de balancer le ballon autour de sa tête en rond.</v>
      </c>
    </row>
    <row r="15700">
      <c r="A15700" s="4" t="s">
        <v>19768</v>
      </c>
      <c r="B15700" s="4" t="s">
        <v>19772</v>
      </c>
      <c r="C15700" s="5" t="str">
        <f>IFERROR(__xludf.DUMMYFUNCTION("GOOGLETRANSLATE(B15700,""en"",""fr"")"),"Il lâche prise, et le ballon vole loin sur le terrain alors qu'il s'éloigne.")</f>
        <v>Il lâche prise, et le ballon vole loin sur le terrain alors qu'il s'éloigne.</v>
      </c>
    </row>
    <row r="15701">
      <c r="A15701" s="4" t="s">
        <v>19773</v>
      </c>
      <c r="B15701" s="4" t="s">
        <v>19774</v>
      </c>
      <c r="C15701" s="5" t="str">
        <f>IFERROR(__xludf.DUMMYFUNCTION("GOOGLETRANSLATE(B15701,""en"",""fr"")"),"Une maman est assise au sommet d'une diapositive avec son petit bébé.")</f>
        <v>Une maman est assise au sommet d'une diapositive avec son petit bébé.</v>
      </c>
    </row>
    <row r="15702">
      <c r="A15702" s="4" t="s">
        <v>19773</v>
      </c>
      <c r="B15702" s="4" t="s">
        <v>19775</v>
      </c>
      <c r="C15702" s="5" t="str">
        <f>IFERROR(__xludf.DUMMYFUNCTION("GOOGLETRANSLATE(B15702,""en"",""fr"")"),"Elle envisage de descendre pendant un certain temps.")</f>
        <v>Elle envisage de descendre pendant un certain temps.</v>
      </c>
    </row>
    <row r="15703">
      <c r="A15703" s="4" t="s">
        <v>19773</v>
      </c>
      <c r="B15703" s="4" t="s">
        <v>19776</v>
      </c>
      <c r="C15703" s="5" t="str">
        <f>IFERROR(__xludf.DUMMYFUNCTION("GOOGLETRANSLATE(B15703,""en"",""fr"")"),"Elle le glisse enfin avec bébé.")</f>
        <v>Elle le glisse enfin avec bébé.</v>
      </c>
    </row>
    <row r="15704">
      <c r="A15704" s="4" t="s">
        <v>19773</v>
      </c>
      <c r="B15704" s="4" t="s">
        <v>19777</v>
      </c>
      <c r="C15704" s="5" t="str">
        <f>IFERROR(__xludf.DUMMYFUNCTION("GOOGLETRANSLATE(B15704,""en"",""fr"")"),"Quand ils atteignent le fond, elle le laisse partir et il commence à se promener.")</f>
        <v>Quand ils atteignent le fond, elle le laisse partir et il commence à se promener.</v>
      </c>
    </row>
    <row r="15705">
      <c r="A15705" s="4" t="s">
        <v>19778</v>
      </c>
      <c r="B15705" s="4" t="s">
        <v>19779</v>
      </c>
      <c r="C15705" s="5" t="str">
        <f>IFERROR(__xludf.DUMMYFUNCTION("GOOGLETRANSLATE(B15705,""en"",""fr"")"),"Un garçon est debout au milieu d'un parking.")</f>
        <v>Un garçon est debout au milieu d'un parking.</v>
      </c>
    </row>
    <row r="15706">
      <c r="A15706" s="4" t="s">
        <v>19778</v>
      </c>
      <c r="B15706" s="4" t="s">
        <v>19780</v>
      </c>
      <c r="C15706" s="5" t="str">
        <f>IFERROR(__xludf.DUMMYFUNCTION("GOOGLETRANSLATE(B15706,""en"",""fr"")"),"Il porte un chapeau avec une plume et des lunettes de soleil.")</f>
        <v>Il porte un chapeau avec une plume et des lunettes de soleil.</v>
      </c>
    </row>
    <row r="15707">
      <c r="A15707" s="4" t="s">
        <v>19778</v>
      </c>
      <c r="B15707" s="4" t="s">
        <v>19781</v>
      </c>
      <c r="C15707" s="5" t="str">
        <f>IFERROR(__xludf.DUMMYFUNCTION("GOOGLETRANSLATE(B15707,""en"",""fr"")"),"Il joue une cornemuse.")</f>
        <v>Il joue une cornemuse.</v>
      </c>
    </row>
    <row r="15708">
      <c r="A15708" s="4" t="s">
        <v>19782</v>
      </c>
      <c r="B15708" s="4" t="s">
        <v>19783</v>
      </c>
      <c r="C15708" s="5" t="str">
        <f>IFERROR(__xludf.DUMMYFUNCTION("GOOGLETRANSLATE(B15708,""en"",""fr"")"),"Un homme est vu donner un coup de pied à un ballon de football sur ses pieds et le passer progressivement à un mur.")</f>
        <v>Un homme est vu donner un coup de pied à un ballon de football sur ses pieds et le passer progressivement à un mur.</v>
      </c>
    </row>
    <row r="15709">
      <c r="A15709" s="4" t="s">
        <v>19782</v>
      </c>
      <c r="B15709" s="6" t="s">
        <v>19784</v>
      </c>
      <c r="C15709" s="5" t="str">
        <f>IFERROR(__xludf.DUMMYFUNCTION("GOOGLETRANSLATE(B15709,""en"",""fr"")"),"L'homme continue de lancer le ballon de son pied et contre le mur pendant que la caméra le capture.")</f>
        <v>L'homme continue de lancer le ballon de son pied et contre le mur pendant que la caméra le capture.</v>
      </c>
    </row>
    <row r="15710">
      <c r="A15710" s="4" t="s">
        <v>19785</v>
      </c>
      <c r="B15710" s="4" t="s">
        <v>19786</v>
      </c>
      <c r="C15710" s="5" t="str">
        <f>IFERROR(__xludf.DUMMYFUNCTION("GOOGLETRANSLATE(B15710,""en"",""fr"")"),"Les hommes se tiennent sur la pêche sur glace dans une grande région de glace.")</f>
        <v>Les hommes se tiennent sur la pêche sur glace dans une grande région de glace.</v>
      </c>
    </row>
    <row r="15711">
      <c r="A15711" s="4" t="s">
        <v>19785</v>
      </c>
      <c r="B15711" s="4" t="s">
        <v>19787</v>
      </c>
      <c r="C15711" s="5" t="str">
        <f>IFERROR(__xludf.DUMMYFUNCTION("GOOGLETRANSLATE(B15711,""en"",""fr"")"),"L'homme a attrapé un poisson de la glace et s'est allongé sur le sol.")</f>
        <v>L'homme a attrapé un poisson de la glace et s'est allongé sur le sol.</v>
      </c>
    </row>
    <row r="15712">
      <c r="A15712" s="4" t="s">
        <v>19788</v>
      </c>
      <c r="B15712" s="4" t="s">
        <v>19789</v>
      </c>
      <c r="C15712" s="5" t="str">
        <f>IFERROR(__xludf.DUMMYFUNCTION("GOOGLETRANSLATE(B15712,""en"",""fr"")"),"Un homme est sur un snowboard sur une colline enneigée.")</f>
        <v>Un homme est sur un snowboard sur une colline enneigée.</v>
      </c>
    </row>
    <row r="15713">
      <c r="A15713" s="4" t="s">
        <v>19788</v>
      </c>
      <c r="B15713" s="4" t="s">
        <v>19790</v>
      </c>
      <c r="C15713" s="5" t="str">
        <f>IFERROR(__xludf.DUMMYFUNCTION("GOOGLETRANSLATE(B15713,""en"",""fr"")"),"Il glisse sur la neige épaisse.")</f>
        <v>Il glisse sur la neige épaisse.</v>
      </c>
    </row>
    <row r="15714">
      <c r="A15714" s="4" t="s">
        <v>19788</v>
      </c>
      <c r="B15714" s="4" t="s">
        <v>19791</v>
      </c>
      <c r="C15714" s="5" t="str">
        <f>IFERROR(__xludf.DUMMYFUNCTION("GOOGLETRANSLATE(B15714,""en"",""fr"")"),"Il passe par un marqueur et saute par-dessus les obstacles.")</f>
        <v>Il passe par un marqueur et saute par-dessus les obstacles.</v>
      </c>
    </row>
    <row r="15715">
      <c r="A15715" s="4" t="s">
        <v>19792</v>
      </c>
      <c r="B15715" s="4" t="s">
        <v>19793</v>
      </c>
      <c r="C15715" s="5" t="str">
        <f>IFERROR(__xludf.DUMMYFUNCTION("GOOGLETRANSLATE(B15715,""en"",""fr"")"),"Une paire de jambes debout apparaît et les mots «routine de jambe d'été» sont affichés à l'écran.")</f>
        <v>Une paire de jambes debout apparaît et les mots «routine de jambe d'été» sont affichés à l'écran.</v>
      </c>
    </row>
    <row r="15716">
      <c r="A15716" s="4" t="s">
        <v>19792</v>
      </c>
      <c r="B15716" s="6" t="s">
        <v>19794</v>
      </c>
      <c r="C15716" s="5" t="str">
        <f>IFERROR(__xludf.DUMMYFUNCTION("GOOGLETRANSLATE(B15716,""en"",""fr"")"),"Les jambes sont maintenant pliées avec le genou du sol et la fille frotte le gommage de la mangue sur ses jambes, puis essuie l'excès avec une serviette.")</f>
        <v>Les jambes sont maintenant pliées avec le genou du sol et la fille frotte le gommage de la mangue sur ses jambes, puis essuie l'excès avec une serviette.</v>
      </c>
    </row>
    <row r="15717">
      <c r="A15717" s="4" t="s">
        <v>19792</v>
      </c>
      <c r="B15717" s="6" t="s">
        <v>19795</v>
      </c>
      <c r="C15717" s="5" t="str">
        <f>IFERROR(__xludf.DUMMYFUNCTION("GOOGLETRANSLATE(B15717,""en"",""fr"")"),"En haut à droite de l'écran, une petite vidéo joue et montre un produit de veet tandis que la fille prend deux bandes de cire de veet et les met sur sa jambe, puis les supprime dans l'ordre où ils ont été mis.")</f>
        <v>En haut à droite de l'écran, une petite vidéo joue et montre un produit de veet tandis que la fille prend deux bandes de cire de veet et les met sur sa jambe, puis les supprime dans l'ordre où ils ont été mis.</v>
      </c>
    </row>
    <row r="15718">
      <c r="A15718" s="4" t="s">
        <v>19792</v>
      </c>
      <c r="B15718" s="6" t="s">
        <v>19796</v>
      </c>
      <c r="C15718" s="5" t="str">
        <f>IFERROR(__xludf.DUMMYFUNCTION("GOOGLETRANSLATE(B15718,""en"",""fr"")"),"La fille prend ensuite un autre produit de veet qui s'avère être essuyé des bandes et s'essuie les jambes, puis prend une serviette sur ses jambes.")</f>
        <v>La fille prend ensuite un autre produit de veet qui s'avère être essuyé des bandes et s'essuie les jambes, puis prend une serviette sur ses jambes.</v>
      </c>
    </row>
    <row r="15719">
      <c r="A15719" s="4" t="s">
        <v>19792</v>
      </c>
      <c r="B15719" s="6" t="s">
        <v>19797</v>
      </c>
      <c r="C15719" s="5" t="str">
        <f>IFERROR(__xludf.DUMMYFUNCTION("GOOGLETRANSLATE(B15719,""en"",""fr"")"),"Après avoir fini de s'essuyer les jambes, elle prend la lotion Nivea et les frotte sur ses jambes, se lève puis montre ses jambes à la caméra sous différents angles.")</f>
        <v>Après avoir fini de s'essuyer les jambes, elle prend la lotion Nivea et les frotte sur ses jambes, se lève puis montre ses jambes à la caméra sous différents angles.</v>
      </c>
    </row>
    <row r="15720">
      <c r="A15720" s="4" t="s">
        <v>19798</v>
      </c>
      <c r="B15720" s="4" t="s">
        <v>19799</v>
      </c>
      <c r="C15720" s="5" t="str">
        <f>IFERROR(__xludf.DUMMYFUNCTION("GOOGLETRANSLATE(B15720,""en"",""fr"")"),"Une gymnaste fait des flips et desprings sur une barre haute.")</f>
        <v>Une gymnaste fait des flips et desprings sur une barre haute.</v>
      </c>
    </row>
    <row r="15721">
      <c r="A15721" s="4" t="s">
        <v>19798</v>
      </c>
      <c r="B15721" s="4" t="s">
        <v>19800</v>
      </c>
      <c r="C15721" s="5" t="str">
        <f>IFERROR(__xludf.DUMMYFUNCTION("GOOGLETRANSLATE(B15721,""en"",""fr"")"),"Elle avance et en arrière plusieurs fois.")</f>
        <v>Elle avance et en arrière plusieurs fois.</v>
      </c>
    </row>
    <row r="15722">
      <c r="A15722" s="4" t="s">
        <v>19798</v>
      </c>
      <c r="B15722" s="4" t="s">
        <v>19801</v>
      </c>
      <c r="C15722" s="5" t="str">
        <f>IFERROR(__xludf.DUMMYFUNCTION("GOOGLETRANSLATE(B15722,""en"",""fr"")"),"L'écran s'arrête alors qu'elle se dirige vers le haut du faisceau.")</f>
        <v>L'écran s'arrête alors qu'elle se dirige vers le haut du faisceau.</v>
      </c>
    </row>
    <row r="15723">
      <c r="A15723" s="4" t="s">
        <v>19802</v>
      </c>
      <c r="B15723" s="6" t="s">
        <v>19803</v>
      </c>
      <c r="C15723" s="5" t="str">
        <f>IFERROR(__xludf.DUMMYFUNCTION("GOOGLETRANSLATE(B15723,""en"",""fr"")"),"Une caméra se déroule autour d'une grande colline enneigée ainsi que des gens assis sur un lifting de ski et roulant autour d'une montagne.")</f>
        <v>Une caméra se déroule autour d'une grande colline enneigée ainsi que des gens assis sur un lifting de ski et roulant autour d'une montagne.</v>
      </c>
    </row>
    <row r="15724">
      <c r="A15724" s="4" t="s">
        <v>19802</v>
      </c>
      <c r="B15724" s="6" t="s">
        <v>19804</v>
      </c>
      <c r="C15724" s="5" t="str">
        <f>IFERROR(__xludf.DUMMYFUNCTION("GOOGLETRANSLATE(B15724,""en"",""fr"")"),"Les gens font des flips et des astuces et se suivent sur une colline et se rattrapent les uns les autres ski sous plusieurs angles.")</f>
        <v>Les gens font des flips et des astuces et se suivent sur une colline et se rattrapent les uns les autres ski sous plusieurs angles.</v>
      </c>
    </row>
    <row r="15725">
      <c r="A15725" s="4" t="s">
        <v>19805</v>
      </c>
      <c r="B15725" s="4" t="s">
        <v>19806</v>
      </c>
      <c r="C15725" s="5" t="str">
        <f>IFERROR(__xludf.DUMMYFUNCTION("GOOGLETRANSLATE(B15725,""en"",""fr"")"),"Un homme en manteau tire une planche sur une colline de neige.")</f>
        <v>Un homme en manteau tire une planche sur une colline de neige.</v>
      </c>
    </row>
    <row r="15726">
      <c r="A15726" s="4" t="s">
        <v>19805</v>
      </c>
      <c r="B15726" s="4" t="s">
        <v>19807</v>
      </c>
      <c r="C15726" s="5" t="str">
        <f>IFERROR(__xludf.DUMMYFUNCTION("GOOGLETRANSLATE(B15726,""en"",""fr"")"),"Il commence le snowboard en bas de la colline.")</f>
        <v>Il commence le snowboard en bas de la colline.</v>
      </c>
    </row>
    <row r="15727">
      <c r="A15727" s="4" t="s">
        <v>19805</v>
      </c>
      <c r="B15727" s="4" t="s">
        <v>19808</v>
      </c>
      <c r="C15727" s="5" t="str">
        <f>IFERROR(__xludf.DUMMYFUNCTION("GOOGLETRANSLATE(B15727,""en"",""fr"")"),"L'homme soulève les lunettes de son visage et sourit.")</f>
        <v>L'homme soulève les lunettes de son visage et sourit.</v>
      </c>
    </row>
    <row r="15728">
      <c r="A15728" s="4" t="s">
        <v>19805</v>
      </c>
      <c r="B15728" s="4" t="s">
        <v>19809</v>
      </c>
      <c r="C15728" s="5" t="str">
        <f>IFERROR(__xludf.DUMMYFUNCTION("GOOGLETRANSLATE(B15728,""en"",""fr"")"),"Les gens sont du snowboard sur une colline ensemble.")</f>
        <v>Les gens sont du snowboard sur une colline ensemble.</v>
      </c>
    </row>
    <row r="15729">
      <c r="A15729" s="4" t="s">
        <v>19810</v>
      </c>
      <c r="B15729" s="4" t="s">
        <v>19811</v>
      </c>
      <c r="C15729" s="5" t="str">
        <f>IFERROR(__xludf.DUMMYFUNCTION("GOOGLETRANSLATE(B15729,""en"",""fr"")"),"Un homme met des friandises pour chiens dans la main d'un autre homme.")</f>
        <v>Un homme met des friandises pour chiens dans la main d'un autre homme.</v>
      </c>
    </row>
    <row r="15730">
      <c r="A15730" s="4" t="s">
        <v>19810</v>
      </c>
      <c r="B15730" s="4" t="s">
        <v>19812</v>
      </c>
      <c r="C15730" s="5" t="str">
        <f>IFERROR(__xludf.DUMMYFUNCTION("GOOGLETRANSLATE(B15730,""en"",""fr"")"),"L'homme marche un chien sur le trottoir.")</f>
        <v>L'homme marche un chien sur le trottoir.</v>
      </c>
    </row>
    <row r="15731">
      <c r="A15731" s="4" t="s">
        <v>19810</v>
      </c>
      <c r="B15731" s="4" t="s">
        <v>19813</v>
      </c>
      <c r="C15731" s="5" t="str">
        <f>IFERROR(__xludf.DUMMYFUNCTION("GOOGLETRANSLATE(B15731,""en"",""fr"")"),"Quelqu'un d'autre marche derrière eux.")</f>
        <v>Quelqu'un d'autre marche derrière eux.</v>
      </c>
    </row>
    <row r="15732">
      <c r="A15732" s="4" t="s">
        <v>19814</v>
      </c>
      <c r="B15732" s="4" t="s">
        <v>19815</v>
      </c>
      <c r="C15732" s="5" t="str">
        <f>IFERROR(__xludf.DUMMYFUNCTION("GOOGLETRANSLATE(B15732,""en"",""fr"")"),"Un homme est vu à genoux avec un rasoir et levant les yeux vers la caméra.")</f>
        <v>Un homme est vu à genoux avec un rasoir et levant les yeux vers la caméra.</v>
      </c>
    </row>
    <row r="15733">
      <c r="A15733" s="4" t="s">
        <v>19814</v>
      </c>
      <c r="B15733" s="4" t="s">
        <v>19816</v>
      </c>
      <c r="C15733" s="5" t="str">
        <f>IFERROR(__xludf.DUMMYFUNCTION("GOOGLETRANSLATE(B15733,""en"",""fr"")"),"L'homme se rase une partie de sa jambe et maintient un objet en s'éloignant.")</f>
        <v>L'homme se rase une partie de sa jambe et maintient un objet en s'éloignant.</v>
      </c>
    </row>
    <row r="15734">
      <c r="A15734" s="4" t="s">
        <v>19817</v>
      </c>
      <c r="B15734" s="6" t="s">
        <v>19818</v>
      </c>
      <c r="C15734" s="5" t="str">
        <f>IFERROR(__xludf.DUMMYFUNCTION("GOOGLETRANSLATE(B15734,""en"",""fr"")"),"Un écran noir avec une bannière blanche en bas contient diverses informations qui incluent un site Web, un état, un numéro de téléphone et un logo.")</f>
        <v>Un écran noir avec une bannière blanche en bas contient diverses informations qui incluent un site Web, un état, un numéro de téléphone et un logo.</v>
      </c>
    </row>
    <row r="15735">
      <c r="A15735" s="4" t="s">
        <v>19817</v>
      </c>
      <c r="B15735" s="6" t="s">
        <v>19819</v>
      </c>
      <c r="C15735" s="5" t="str">
        <f>IFERROR(__xludf.DUMMYFUNCTION("GOOGLETRANSLATE(B15735,""en"",""fr"")"),"Un écran blanc suit et comprend un logo, le nom des produits et indique qu'il s'agit d'une ""vidéo pédagogique"".")</f>
        <v>Un écran blanc suit et comprend un logo, le nom des produits et indique qu'il s'agit d'une "vidéo pédagogique".</v>
      </c>
    </row>
    <row r="15736">
      <c r="A15736" s="4" t="s">
        <v>19817</v>
      </c>
      <c r="B15736" s="4" t="s">
        <v>19820</v>
      </c>
      <c r="C15736" s="5" t="str">
        <f>IFERROR(__xludf.DUMMYFUNCTION("GOOGLETRANSLATE(B15736,""en"",""fr"")"),"Un autre écran blanc apparaît et une liste de contenu apparaît et il y a 1-5.")</f>
        <v>Un autre écran blanc apparaît et une liste de contenu apparaît et il y a 1-5.</v>
      </c>
    </row>
    <row r="15737">
      <c r="A15737" s="4" t="s">
        <v>19817</v>
      </c>
      <c r="B15737" s="6" t="s">
        <v>19821</v>
      </c>
      <c r="C15737" s="5" t="str">
        <f>IFERROR(__xludf.DUMMYFUNCTION("GOOGLETRANSLATE(B15737,""en"",""fr"")"),"Sur l'écran blanc suivant, une boîte en carton est affichée, puis elle commence à afficher les nombreux contenus différents qui viennent dans la boîte, ainsi que les noms à côté.")</f>
        <v>Sur l'écran blanc suivant, une boîte en carton est affichée, puis elle commence à afficher les nombreux contenus différents qui viennent dans la boîte, ainsi que les noms à côté.</v>
      </c>
    </row>
    <row r="15738">
      <c r="A15738" s="4" t="s">
        <v>19817</v>
      </c>
      <c r="B15738" s="6" t="s">
        <v>19822</v>
      </c>
      <c r="C15738" s="5" t="str">
        <f>IFERROR(__xludf.DUMMYFUNCTION("GOOGLETRANSLATE(B15738,""en"",""fr"")"),"Une femme se tient maintenant dans un couloir alors qu'elle rassemble son outil de nettoyage en baissant la partie supérieure sur son poteau et en appliquant un chiffon à la fin, puis elle attaque son flacon pulvérisateur sur sa hanche.")</f>
        <v>Une femme se tient maintenant dans un couloir alors qu'elle rassemble son outil de nettoyage en baissant la partie supérieure sur son poteau et en appliquant un chiffon à la fin, puis elle attaque son flacon pulvérisateur sur sa hanche.</v>
      </c>
    </row>
    <row r="15739">
      <c r="A15739" s="4" t="s">
        <v>19817</v>
      </c>
      <c r="B15739" s="6" t="s">
        <v>19823</v>
      </c>
      <c r="C15739" s="5" t="str">
        <f>IFERROR(__xludf.DUMMYFUNCTION("GOOGLETRANSLATE(B15739,""en"",""fr"")"),"La femme commence ensuite à pulvériser le tissu sur l'outil de nettoyage et commence à nettoyer différentes zones du bureau, y compris les fenêtres, les portes d'ascenseur, les téléviseurs et la modification des vêtements entre les deux pour s'adapter à l"&amp;"a surface sur laquelle elle travaille.")</f>
        <v>La femme commence ensuite à pulvériser le tissu sur l'outil de nettoyage et commence à nettoyer différentes zones du bureau, y compris les fenêtres, les portes d'ascenseur, les téléviseurs et la modification des vêtements entre les deux pour s'adapter à la surface sur laquelle elle travaille.</v>
      </c>
    </row>
    <row r="15740">
      <c r="A15740" s="4" t="s">
        <v>19817</v>
      </c>
      <c r="B15740" s="6" t="s">
        <v>19824</v>
      </c>
      <c r="C15740" s="5" t="str">
        <f>IFERROR(__xludf.DUMMYFUNCTION("GOOGLETRANSLATE(B15740,""en"",""fr"")"),"La femme est maintenant vue à une porte double en verre car elle tient maintenant un tissu à la main pour nettoyer les portes et autres surfaces.")</f>
        <v>La femme est maintenant vue à une porte double en verre car elle tient maintenant un tissu à la main pour nettoyer les portes et autres surfaces.</v>
      </c>
    </row>
    <row r="15741">
      <c r="A15741" s="4" t="s">
        <v>19817</v>
      </c>
      <c r="B15741" s="6" t="s">
        <v>19825</v>
      </c>
      <c r="C15741" s="5" t="str">
        <f>IFERROR(__xludf.DUMMYFUNCTION("GOOGLETRANSLATE(B15741,""en"",""fr"")"),"La femme est ensuite montrée en mettant les différents vêtements dans la laveuse, puis en accrochant son outil de nettoyage sur le mur.")</f>
        <v>La femme est ensuite montrée en mettant les différents vêtements dans la laveuse, puis en accrochant son outil de nettoyage sur le mur.</v>
      </c>
    </row>
    <row r="15742">
      <c r="A15742" s="4" t="s">
        <v>19817</v>
      </c>
      <c r="B15742" s="4" t="s">
        <v>19826</v>
      </c>
      <c r="C15742" s="5" t="str">
        <f>IFERROR(__xludf.DUMMYFUNCTION("GOOGLETRANSLATE(B15742,""en"",""fr"")"),"Un écran noir apparaît et il comprend la même bannière blanche qu'au tout début.")</f>
        <v>Un écran noir apparaît et il comprend la même bannière blanche qu'au tout début.</v>
      </c>
    </row>
    <row r="15743">
      <c r="A15743" s="4" t="s">
        <v>19827</v>
      </c>
      <c r="B15743" s="4" t="s">
        <v>19828</v>
      </c>
      <c r="C15743" s="5" t="str">
        <f>IFERROR(__xludf.DUMMYFUNCTION("GOOGLETRANSLATE(B15743,""en"",""fr"")"),"Un homme se frotte les mains de manière frénétique alors qu'il se tient à côté d'une femme.")</f>
        <v>Un homme se frotte les mains de manière frénétique alors qu'il se tient à côté d'une femme.</v>
      </c>
    </row>
    <row r="15744">
      <c r="A15744" s="4" t="s">
        <v>19827</v>
      </c>
      <c r="B15744" s="4" t="s">
        <v>19829</v>
      </c>
      <c r="C15744" s="5" t="str">
        <f>IFERROR(__xludf.DUMMYFUNCTION("GOOGLETRANSLATE(B15744,""en"",""fr"")"),"La caméra se déplace et vous pouvez voir qu'il est dans un casino jouant à un jeu de Jack Black.")</f>
        <v>La caméra se déplace et vous pouvez voir qu'il est dans un casino jouant à un jeu de Jack Black.</v>
      </c>
    </row>
    <row r="15745">
      <c r="A15745" s="4" t="s">
        <v>19827</v>
      </c>
      <c r="B15745" s="4" t="s">
        <v>19830</v>
      </c>
      <c r="C15745" s="5" t="str">
        <f>IFERROR(__xludf.DUMMYFUNCTION("GOOGLETRANSLATE(B15745,""en"",""fr"")"),"Une fois que le concessionnaire a retourné toutes les cartes, les deux sont à nouveau affichés parlant et souriant.")</f>
        <v>Une fois que le concessionnaire a retourné toutes les cartes, les deux sont à nouveau affichés parlant et souriant.</v>
      </c>
    </row>
    <row r="15746">
      <c r="A15746" s="4" t="s">
        <v>19831</v>
      </c>
      <c r="B15746" s="4" t="s">
        <v>19832</v>
      </c>
      <c r="C15746" s="5" t="str">
        <f>IFERROR(__xludf.DUMMYFUNCTION("GOOGLETRANSLATE(B15746,""en"",""fr"")"),"Une grande cascade agitée est montrée.")</f>
        <v>Une grande cascade agitée est montrée.</v>
      </c>
    </row>
    <row r="15747">
      <c r="A15747" s="4" t="s">
        <v>19831</v>
      </c>
      <c r="B15747" s="4" t="s">
        <v>19833</v>
      </c>
      <c r="C15747" s="5" t="str">
        <f>IFERROR(__xludf.DUMMYFUNCTION("GOOGLETRANSLATE(B15747,""en"",""fr"")"),"Un homme est allongé sur une ligne lâche sur l'eau.")</f>
        <v>Un homme est allongé sur une ligne lâche sur l'eau.</v>
      </c>
    </row>
    <row r="15748">
      <c r="A15748" s="4" t="s">
        <v>19831</v>
      </c>
      <c r="B15748" s="4" t="s">
        <v>19834</v>
      </c>
      <c r="C15748" s="5" t="str">
        <f>IFERROR(__xludf.DUMMYFUNCTION("GOOGLETRANSLATE(B15748,""en"",""fr"")"),"Une personne joue de la guitare assise sur un rock.")</f>
        <v>Une personne joue de la guitare assise sur un rock.</v>
      </c>
    </row>
    <row r="15749">
      <c r="A15749" s="4" t="s">
        <v>19835</v>
      </c>
      <c r="B15749" s="4" t="s">
        <v>19836</v>
      </c>
      <c r="C15749" s="5" t="str">
        <f>IFERROR(__xludf.DUMMYFUNCTION("GOOGLETRANSLATE(B15749,""en"",""fr"")"),"Des enfants d'âges différents jouent sur un terrain de jeu.")</f>
        <v>Des enfants d'âges différents jouent sur un terrain de jeu.</v>
      </c>
    </row>
    <row r="15750">
      <c r="A15750" s="4" t="s">
        <v>19835</v>
      </c>
      <c r="B15750" s="4" t="s">
        <v>19837</v>
      </c>
      <c r="C15750" s="5" t="str">
        <f>IFERROR(__xludf.DUMMYFUNCTION("GOOGLETRANSLATE(B15750,""en"",""fr"")"),"Quelques femmes se trouvent dans la zone de jeux qui parle.")</f>
        <v>Quelques femmes se trouvent dans la zone de jeux qui parle.</v>
      </c>
    </row>
    <row r="15751">
      <c r="A15751" s="4" t="s">
        <v>19835</v>
      </c>
      <c r="B15751" s="4" t="s">
        <v>19838</v>
      </c>
      <c r="C15751" s="5" t="str">
        <f>IFERROR(__xludf.DUMMYFUNCTION("GOOGLETRANSLATE(B15751,""en"",""fr"")"),"Une jeune femme tenant un bébé se promène vers un swing et met le bébé dans le swing.")</f>
        <v>Une jeune femme tenant un bébé se promène vers un swing et met le bébé dans le swing.</v>
      </c>
    </row>
    <row r="15752">
      <c r="A15752" s="4" t="s">
        <v>19835</v>
      </c>
      <c r="B15752" s="4" t="s">
        <v>19839</v>
      </c>
      <c r="C15752" s="5" t="str">
        <f>IFERROR(__xludf.DUMMYFUNCTION("GOOGLETRANSLATE(B15752,""en"",""fr"")"),"Elle marche ensuite devant le bébé et s'assoit dans le siège adulte attaché au swing de bébé.")</f>
        <v>Elle marche ensuite devant le bébé et s'assoit dans le siège adulte attaché au swing de bébé.</v>
      </c>
    </row>
    <row r="15753">
      <c r="A15753" s="4" t="s">
        <v>19835</v>
      </c>
      <c r="B15753" s="4" t="s">
        <v>19840</v>
      </c>
      <c r="C15753" s="5" t="str">
        <f>IFERROR(__xludf.DUMMYFUNCTION("GOOGLETRANSLATE(B15753,""en"",""fr"")"),"Une autre femme passe avec quelques enfants.")</f>
        <v>Une autre femme passe avec quelques enfants.</v>
      </c>
    </row>
    <row r="15754">
      <c r="A15754" s="4" t="s">
        <v>19835</v>
      </c>
      <c r="B15754" s="4" t="s">
        <v>19841</v>
      </c>
      <c r="C15754" s="5" t="str">
        <f>IFERROR(__xludf.DUMMYFUNCTION("GOOGLETRANSLATE(B15754,""en"",""fr"")"),"La femme sur le swing balance le bébé tout en lui parlant et en lui faisant des grimaces.")</f>
        <v>La femme sur le swing balance le bébé tout en lui parlant et en lui faisant des grimaces.</v>
      </c>
    </row>
    <row r="15755">
      <c r="A15755" s="4" t="s">
        <v>19842</v>
      </c>
      <c r="B15755" s="4" t="s">
        <v>19843</v>
      </c>
      <c r="C15755" s="5" t="str">
        <f>IFERROR(__xludf.DUMMYFUNCTION("GOOGLETRANSLATE(B15755,""en"",""fr"")"),"Un homme montre comment changer un tube dans un pneu.")</f>
        <v>Un homme montre comment changer un tube dans un pneu.</v>
      </c>
    </row>
    <row r="15756">
      <c r="A15756" s="4" t="s">
        <v>19842</v>
      </c>
      <c r="B15756" s="4" t="s">
        <v>19844</v>
      </c>
      <c r="C15756" s="5" t="str">
        <f>IFERROR(__xludf.DUMMYFUNCTION("GOOGLETRANSLATE(B15756,""en"",""fr"")"),"Il sort l'ancien tube, met le nouveau, puis le pompe.")</f>
        <v>Il sort l'ancien tube, met le nouveau, puis le pompe.</v>
      </c>
    </row>
    <row r="15757">
      <c r="A15757" s="4" t="s">
        <v>19845</v>
      </c>
      <c r="B15757" s="4" t="s">
        <v>19846</v>
      </c>
      <c r="C15757" s="5" t="str">
        <f>IFERROR(__xludf.DUMMYFUNCTION("GOOGLETRANSLATE(B15757,""en"",""fr"")"),"Plusieurs plans de texte sont représentés par une personne entrant dans le cadre.")</f>
        <v>Plusieurs plans de texte sont représentés par une personne entrant dans le cadre.</v>
      </c>
    </row>
    <row r="15758">
      <c r="A15758" s="4" t="s">
        <v>19845</v>
      </c>
      <c r="B15758" s="4" t="s">
        <v>19847</v>
      </c>
      <c r="C15758" s="5" t="str">
        <f>IFERROR(__xludf.DUMMYFUNCTION("GOOGLETRANSLATE(B15758,""en"",""fr"")"),"La personne entre ensuite et hors du cadre en effectuant divers mouvements de danse sur le terrain.")</f>
        <v>La personne entre ensuite et hors du cadre en effectuant divers mouvements de danse sur le terrain.</v>
      </c>
    </row>
    <row r="15759">
      <c r="A15759" s="4" t="s">
        <v>19845</v>
      </c>
      <c r="B15759" s="4" t="s">
        <v>19848</v>
      </c>
      <c r="C15759" s="5" t="str">
        <f>IFERROR(__xludf.DUMMYFUNCTION("GOOGLETRANSLATE(B15759,""en"",""fr"")"),"La personne continue de se déplacer sur le sol et de montrer comment effectuer des mouvements.")</f>
        <v>La personne continue de se déplacer sur le sol et de montrer comment effectuer des mouvements.</v>
      </c>
    </row>
    <row r="15760">
      <c r="A15760" s="4" t="s">
        <v>19849</v>
      </c>
      <c r="B15760" s="6" t="s">
        <v>19850</v>
      </c>
      <c r="C15760" s="5" t="str">
        <f>IFERROR(__xludf.DUMMYFUNCTION("GOOGLETRANSLATE(B15760,""en"",""fr"")"),"Les gens sont vus assis à une table pendant qu'un homme se tient à côté d'eux et prenant une bouffée d'un narguilé.")</f>
        <v>Les gens sont vus assis à une table pendant qu'un homme se tient à côté d'eux et prenant une bouffée d'un narguilé.</v>
      </c>
    </row>
    <row r="15761">
      <c r="A15761" s="4" t="s">
        <v>19849</v>
      </c>
      <c r="B15761" s="6" t="s">
        <v>19851</v>
      </c>
      <c r="C15761" s="5" t="str">
        <f>IFERROR(__xludf.DUMMYFUNCTION("GOOGLETRANSLATE(B15761,""en"",""fr"")"),"Il tend le tuyau à une fille assise qui prend quelques déchirures et l'homme est montré à la caméra.")</f>
        <v>Il tend le tuyau à une fille assise qui prend quelques déchirures et l'homme est montré à la caméra.</v>
      </c>
    </row>
    <row r="15762">
      <c r="A15762" s="4" t="s">
        <v>19849</v>
      </c>
      <c r="B15762" s="6" t="s">
        <v>19852</v>
      </c>
      <c r="C15762" s="5" t="str">
        <f>IFERROR(__xludf.DUMMYFUNCTION("GOOGLETRANSLATE(B15762,""en"",""fr"")"),"Les filles tend le tuyau de l'autre assise pendant qu'elle prend quelques coups sûrs et le transmet à l'autre personne.")</f>
        <v>Les filles tend le tuyau de l'autre assise pendant qu'elle prend quelques coups sûrs et le transmet à l'autre personne.</v>
      </c>
    </row>
    <row r="15763">
      <c r="A15763" s="4" t="s">
        <v>19853</v>
      </c>
      <c r="B15763" s="4" t="s">
        <v>19854</v>
      </c>
      <c r="C15763" s="5" t="str">
        <f>IFERROR(__xludf.DUMMYFUNCTION("GOOGLETRANSLATE(B15763,""en"",""fr"")"),"Deux garçons skateboard dans les rues à différents moments portant des casques.")</f>
        <v>Deux garçons skateboard dans les rues à différents moments portant des casques.</v>
      </c>
    </row>
    <row r="15764">
      <c r="A15764" s="4" t="s">
        <v>19853</v>
      </c>
      <c r="B15764" s="6" t="s">
        <v>19855</v>
      </c>
      <c r="C15764" s="5" t="str">
        <f>IFERROR(__xludf.DUMMYFUNCTION("GOOGLETRANSLATE(B15764,""en"",""fr"")"),"Un skateur en t-shirt bleu et des planches à roulettes de casque noir dans les rues bordant les campagnes et les quartiers résidentiels.")</f>
        <v>Un skateur en t-shirt bleu et des planches à roulettes de casque noir dans les rues bordant les campagnes et les quartiers résidentiels.</v>
      </c>
    </row>
    <row r="15765">
      <c r="A15765" s="4" t="s">
        <v>19853</v>
      </c>
      <c r="B15765" s="6" t="s">
        <v>19856</v>
      </c>
      <c r="C15765" s="5" t="str">
        <f>IFERROR(__xludf.DUMMYFUNCTION("GOOGLETRANSLATE(B15765,""en"",""fr"")"),"Un skateur portant toutes les chutes noires de la planche à roulettes sur la rue pavée, se lève et s'éloigne.")</f>
        <v>Un skateur portant toutes les chutes noires de la planche à roulettes sur la rue pavée, se lève et s'éloigne.</v>
      </c>
    </row>
    <row r="15766">
      <c r="A15766" s="4" t="s">
        <v>19857</v>
      </c>
      <c r="B15766" s="4" t="s">
        <v>19858</v>
      </c>
      <c r="C15766" s="5" t="str">
        <f>IFERROR(__xludf.DUMMYFUNCTION("GOOGLETRANSLATE(B15766,""en"",""fr"")"),"Un homme est vu avec une corde dans sa bouche et monte sur un cheval qui cord immédiatement un mollet.")</f>
        <v>Un homme est vu avec une corde dans sa bouche et monte sur un cheval qui cord immédiatement un mollet.</v>
      </c>
    </row>
    <row r="15767">
      <c r="A15767" s="4" t="s">
        <v>19857</v>
      </c>
      <c r="B15767" s="6" t="s">
        <v>19859</v>
      </c>
      <c r="C15767" s="5" t="str">
        <f>IFERROR(__xludf.DUMMYFUNCTION("GOOGLETRANSLATE(B15767,""en"",""fr"")"),"Il jette le mollet et le relie, suivi par plusieurs autres hommes effectuant le même tour à différentes vitesses.")</f>
        <v>Il jette le mollet et le relie, suivi par plusieurs autres hommes effectuant le même tour à différentes vitesses.</v>
      </c>
    </row>
    <row r="15768">
      <c r="A15768" s="4" t="s">
        <v>19860</v>
      </c>
      <c r="B15768" s="4" t="s">
        <v>19861</v>
      </c>
      <c r="C15768" s="5" t="str">
        <f>IFERROR(__xludf.DUMMYFUNCTION("GOOGLETRANSLATE(B15768,""en"",""fr"")"),"Une femme nettoie un sol de cafétéria avec une vadrouille tout en parlant occasionnellement à la caméra.")</f>
        <v>Une femme nettoie un sol de cafétéria avec une vadrouille tout en parlant occasionnellement à la caméra.</v>
      </c>
    </row>
    <row r="15769">
      <c r="A15769" s="4" t="s">
        <v>19860</v>
      </c>
      <c r="B15769" s="4" t="s">
        <v>19862</v>
      </c>
      <c r="C15769" s="5" t="str">
        <f>IFERROR(__xludf.DUMMYFUNCTION("GOOGLETRANSLATE(B15769,""en"",""fr"")"),"La femme marche et nettoie une partie différente du sol de la cafétéria.")</f>
        <v>La femme marche et nettoie une partie différente du sol de la cafétéria.</v>
      </c>
    </row>
    <row r="15770">
      <c r="A15770" s="4" t="s">
        <v>19860</v>
      </c>
      <c r="B15770" s="4" t="s">
        <v>19863</v>
      </c>
      <c r="C15770" s="5" t="str">
        <f>IFERROR(__xludf.DUMMYFUNCTION("GOOGLETRANSLATE(B15770,""en"",""fr"")"),"La femme plonge la tête de vadrouille dans un seau.")</f>
        <v>La femme plonge la tête de vadrouille dans un seau.</v>
      </c>
    </row>
    <row r="15771">
      <c r="A15771" s="4" t="s">
        <v>19860</v>
      </c>
      <c r="B15771" s="4" t="s">
        <v>19864</v>
      </c>
      <c r="C15771" s="5" t="str">
        <f>IFERROR(__xludf.DUMMYFUNCTION("GOOGLETRANSLATE(B15771,""en"",""fr"")"),"Un certain nombre de personnes passent en arrière-plan.")</f>
        <v>Un certain nombre de personnes passent en arrière-plan.</v>
      </c>
    </row>
    <row r="15772">
      <c r="A15772" s="4" t="s">
        <v>19860</v>
      </c>
      <c r="B15772" s="4" t="s">
        <v>7146</v>
      </c>
      <c r="C15772" s="5" t="str">
        <f>IFERROR(__xludf.DUMMYFUNCTION("GOOGLETRANSLATE(B15772,""en"",""fr"")"),"La femme parle à la caméra.")</f>
        <v>La femme parle à la caméra.</v>
      </c>
    </row>
    <row r="15773">
      <c r="A15773" s="4" t="s">
        <v>19865</v>
      </c>
      <c r="B15773" s="4" t="s">
        <v>19866</v>
      </c>
      <c r="C15773" s="5" t="str">
        <f>IFERROR(__xludf.DUMMYFUNCTION("GOOGLETRANSLATE(B15773,""en"",""fr"")"),"Un homme se tient ensuite un cheval brun.")</f>
        <v>Un homme se tient ensuite un cheval brun.</v>
      </c>
    </row>
    <row r="15774">
      <c r="A15774" s="4" t="s">
        <v>19865</v>
      </c>
      <c r="B15774" s="4" t="s">
        <v>5248</v>
      </c>
      <c r="C15774" s="5" t="str">
        <f>IFERROR(__xludf.DUMMYFUNCTION("GOOGLETRANSLATE(B15774,""en"",""fr"")"),"Les gens montent des chevaux le long d'un sentier de terre.")</f>
        <v>Les gens montent des chevaux le long d'un sentier de terre.</v>
      </c>
    </row>
    <row r="15775">
      <c r="A15775" s="4" t="s">
        <v>19865</v>
      </c>
      <c r="B15775" s="4" t="s">
        <v>19867</v>
      </c>
      <c r="C15775" s="5" t="str">
        <f>IFERROR(__xludf.DUMMYFUNCTION("GOOGLETRANSLATE(B15775,""en"",""fr"")"),"Les chevaux prennent un verre d'eau.")</f>
        <v>Les chevaux prennent un verre d'eau.</v>
      </c>
    </row>
    <row r="15776">
      <c r="A15776" s="4" t="s">
        <v>19865</v>
      </c>
      <c r="B15776" s="4" t="s">
        <v>19868</v>
      </c>
      <c r="C15776" s="5" t="str">
        <f>IFERROR(__xludf.DUMMYFUNCTION("GOOGLETRANSLATE(B15776,""en"",""fr"")"),"Ils continuent de marcher le long du sentier sur les chevaux.")</f>
        <v>Ils continuent de marcher le long du sentier sur les chevaux.</v>
      </c>
    </row>
    <row r="15777">
      <c r="A15777" s="4" t="s">
        <v>19865</v>
      </c>
      <c r="B15777" s="4" t="s">
        <v>19869</v>
      </c>
      <c r="C15777" s="5" t="str">
        <f>IFERROR(__xludf.DUMMYFUNCTION("GOOGLETRANSLATE(B15777,""en"",""fr"")"),"Une photo d'une maison brune est montrée.")</f>
        <v>Une photo d'une maison brune est montrée.</v>
      </c>
    </row>
    <row r="15778">
      <c r="A15778" s="4" t="s">
        <v>19870</v>
      </c>
      <c r="B15778" s="4" t="s">
        <v>19871</v>
      </c>
      <c r="C15778" s="5" t="str">
        <f>IFERROR(__xludf.DUMMYFUNCTION("GOOGLETRANSLATE(B15778,""en"",""fr"")"),"Une intro commence pour DX Sports et montre deux hommes qui patinent sur une route.")</f>
        <v>Une intro commence pour DX Sports et montre deux hommes qui patinent sur une route.</v>
      </c>
    </row>
    <row r="15779">
      <c r="A15779" s="4" t="s">
        <v>19870</v>
      </c>
      <c r="B15779" s="6" t="s">
        <v>19872</v>
      </c>
      <c r="C15779" s="5" t="str">
        <f>IFERROR(__xludf.DUMMYFUNCTION("GOOGLETRANSLATE(B15779,""en"",""fr"")"),"La poursuite de la route sur la route pendant que la caméra les suit près de la route sinueuse.")</f>
        <v>La poursuite de la route sur la route pendant que la caméra les suit près de la route sinueuse.</v>
      </c>
    </row>
    <row r="15780">
      <c r="A15780" s="4" t="s">
        <v>19870</v>
      </c>
      <c r="B15780" s="4" t="s">
        <v>19873</v>
      </c>
      <c r="C15780" s="5" t="str">
        <f>IFERROR(__xludf.DUMMYFUNCTION("GOOGLETRANSLATE(B15780,""en"",""fr"")"),"Les hommes finissent par se rendre à une voiture et leur trajet sur la longue route.")</f>
        <v>Les hommes finissent par se rendre à une voiture et leur trajet sur la longue route.</v>
      </c>
    </row>
    <row r="15781">
      <c r="A15781" s="4" t="s">
        <v>19874</v>
      </c>
      <c r="B15781" s="4" t="s">
        <v>19875</v>
      </c>
      <c r="C15781" s="5" t="str">
        <f>IFERROR(__xludf.DUMMYFUNCTION("GOOGLETRANSLATE(B15781,""en"",""fr"")"),"Un homme montre une botte et des outils brillants.")</f>
        <v>Un homme montre une botte et des outils brillants.</v>
      </c>
    </row>
    <row r="15782">
      <c r="A15782" s="4" t="s">
        <v>19874</v>
      </c>
      <c r="B15782" s="4" t="s">
        <v>19876</v>
      </c>
      <c r="C15782" s="5" t="str">
        <f>IFERROR(__xludf.DUMMYFUNCTION("GOOGLETRANSLATE(B15782,""en"",""fr"")"),"Ensuite, l'homme nettoie la chaussure avec un chiffon.")</f>
        <v>Ensuite, l'homme nettoie la chaussure avec un chiffon.</v>
      </c>
    </row>
    <row r="15783">
      <c r="A15783" s="4" t="s">
        <v>19874</v>
      </c>
      <c r="B15783" s="4" t="s">
        <v>19877</v>
      </c>
      <c r="C15783" s="5" t="str">
        <f>IFERROR(__xludf.DUMMYFUNCTION("GOOGLETRANSLATE(B15783,""en"",""fr"")"),"Après, l'homme pointe la pointe de la chaussure et applique de la peinture noire et montre des semelles.")</f>
        <v>Après, l'homme pointe la pointe de la chaussure et applique de la peinture noire et montre des semelles.</v>
      </c>
    </row>
    <row r="15784">
      <c r="A15784" s="4" t="s">
        <v>19874</v>
      </c>
      <c r="B15784" s="4" t="s">
        <v>19878</v>
      </c>
      <c r="C15784" s="5" t="str">
        <f>IFERROR(__xludf.DUMMYFUNCTION("GOOGLETRANSLATE(B15784,""en"",""fr"")"),"Ensuite, l'homme polir les chaussures à l'aide d'une crème, après avoir vaporisé les chaussures.")</f>
        <v>Ensuite, l'homme polir les chaussures à l'aide d'une crème, après avoir vaporisé les chaussures.</v>
      </c>
    </row>
    <row r="15785">
      <c r="A15785" s="4" t="s">
        <v>19879</v>
      </c>
      <c r="B15785" s="4" t="s">
        <v>19880</v>
      </c>
      <c r="C15785" s="5" t="str">
        <f>IFERROR(__xludf.DUMMYFUNCTION("GOOGLETRANSLATE(B15785,""en"",""fr"")"),"Un enfant est assis derrière un ensemble de batterie.")</f>
        <v>Un enfant est assis derrière un ensemble de batterie.</v>
      </c>
    </row>
    <row r="15786">
      <c r="A15786" s="4" t="s">
        <v>19879</v>
      </c>
      <c r="B15786" s="4" t="s">
        <v>19881</v>
      </c>
      <c r="C15786" s="5" t="str">
        <f>IFERROR(__xludf.DUMMYFUNCTION("GOOGLETRANSLATE(B15786,""en"",""fr"")"),"Il commence à jouer de la batterie devant lui.")</f>
        <v>Il commence à jouer de la batterie devant lui.</v>
      </c>
    </row>
    <row r="15787">
      <c r="A15787" s="4" t="s">
        <v>19879</v>
      </c>
      <c r="B15787" s="4" t="s">
        <v>19882</v>
      </c>
      <c r="C15787" s="5" t="str">
        <f>IFERROR(__xludf.DUMMYFUNCTION("GOOGLETRANSLATE(B15787,""en"",""fr"")"),"Il se lève et agite la foule.")</f>
        <v>Il se lève et agite la foule.</v>
      </c>
    </row>
    <row r="15788">
      <c r="A15788" s="4" t="s">
        <v>19883</v>
      </c>
      <c r="B15788" s="4" t="s">
        <v>19884</v>
      </c>
      <c r="C15788" s="5" t="str">
        <f>IFERROR(__xludf.DUMMYFUNCTION("GOOGLETRANSLATE(B15788,""en"",""fr"")"),"L'homme joue avec une balle qui fait un équilibre avec un poteau de crosse.")</f>
        <v>L'homme joue avec une balle qui fait un équilibre avec un poteau de crosse.</v>
      </c>
    </row>
    <row r="15789">
      <c r="A15789" s="4" t="s">
        <v>19883</v>
      </c>
      <c r="B15789" s="4" t="s">
        <v>19885</v>
      </c>
      <c r="C15789" s="5" t="str">
        <f>IFERROR(__xludf.DUMMYFUNCTION("GOOGLETRANSLATE(B15789,""en"",""fr"")"),"Le petit enfant attrape le ballon du sol avec le poteau.")</f>
        <v>Le petit enfant attrape le ballon du sol avec le poteau.</v>
      </c>
    </row>
    <row r="15790">
      <c r="A15790" s="4" t="s">
        <v>19883</v>
      </c>
      <c r="B15790" s="4" t="s">
        <v>19886</v>
      </c>
      <c r="C15790" s="5" t="str">
        <f>IFERROR(__xludf.DUMMYFUNCTION("GOOGLETRANSLATE(B15790,""en"",""fr"")"),"Kid joue avec une balle dans un champ herbeux vert.")</f>
        <v>Kid joue avec une balle dans un champ herbeux vert.</v>
      </c>
    </row>
    <row r="15791">
      <c r="A15791" s="4" t="s">
        <v>19887</v>
      </c>
      <c r="B15791" s="4" t="s">
        <v>19888</v>
      </c>
      <c r="C15791" s="5" t="str">
        <f>IFERROR(__xludf.DUMMYFUNCTION("GOOGLETRANSLATE(B15791,""en"",""fr"")"),"Une zone boisée est vue et les jeunes hommes montent dans la rue.")</f>
        <v>Une zone boisée est vue et les jeunes hommes montent dans la rue.</v>
      </c>
    </row>
    <row r="15792">
      <c r="A15792" s="4" t="s">
        <v>19887</v>
      </c>
      <c r="B15792" s="6" t="s">
        <v>19889</v>
      </c>
      <c r="C15792" s="5" t="str">
        <f>IFERROR(__xludf.DUMMYFUNCTION("GOOGLETRANSLATE(B15792,""en"",""fr"")"),"Des groupes de skateurs se précipitent sur une route boisée et sont tirés par des voitures de chariot vers le sommet.")</f>
        <v>Des groupes de skateurs se précipitent sur une route boisée et sont tirés par des voitures de chariot vers le sommet.</v>
      </c>
    </row>
    <row r="15793">
      <c r="A15793" s="4" t="s">
        <v>19887</v>
      </c>
      <c r="B15793" s="6" t="s">
        <v>19890</v>
      </c>
      <c r="C15793" s="5" t="str">
        <f>IFERROR(__xludf.DUMMYFUNCTION("GOOGLETRANSLATE(B15793,""en"",""fr"")"),"Les planchistes roulent dans une rue boisée l'une après l'autre faisant des dérapés et des virages durs alors que des amis regardent le long du côté.")</f>
        <v>Les planchistes roulent dans une rue boisée l'une après l'autre faisant des dérapés et des virages durs alors que des amis regardent le long du côté.</v>
      </c>
    </row>
    <row r="15794">
      <c r="A15794" s="4" t="s">
        <v>19891</v>
      </c>
      <c r="B15794" s="4" t="s">
        <v>19892</v>
      </c>
      <c r="C15794" s="5" t="str">
        <f>IFERROR(__xludf.DUMMYFUNCTION("GOOGLETRANSLATE(B15794,""en"",""fr"")"),"Un grand groupe de personnes est vue assise autour d'une scène et mène à un homme et à une femme.")</f>
        <v>Un grand groupe de personnes est vue assise autour d'une scène et mène à un homme et à une femme.</v>
      </c>
    </row>
    <row r="15795">
      <c r="A15795" s="4" t="s">
        <v>19891</v>
      </c>
      <c r="B15795" s="6" t="s">
        <v>19893</v>
      </c>
      <c r="C15795" s="5" t="str">
        <f>IFERROR(__xludf.DUMMYFUNCTION("GOOGLETRANSLATE(B15795,""en"",""fr"")"),"Les hôtes mènent un grand groupe de personnes sur la scène en train de jouer une routine de danse les uns avec les autres.")</f>
        <v>Les hôtes mènent un grand groupe de personnes sur la scène en train de jouer une routine de danse les uns avec les autres.</v>
      </c>
    </row>
    <row r="15796">
      <c r="A15796" s="4" t="s">
        <v>19891</v>
      </c>
      <c r="B15796" s="6" t="s">
        <v>19894</v>
      </c>
      <c r="C15796" s="5" t="str">
        <f>IFERROR(__xludf.DUMMYFUNCTION("GOOGLETRANSLATE(B15796,""en"",""fr"")"),"Les gens continuent de danser les uns avec les autres et se terminent avec les juges qui applaudissent et l'hôte les conduisant.")</f>
        <v>Les gens continuent de danser les uns avec les autres et se terminent avec les juges qui applaudissent et l'hôte les conduisant.</v>
      </c>
    </row>
    <row r="15797">
      <c r="A15797" s="4" t="s">
        <v>19895</v>
      </c>
      <c r="B15797" s="4" t="s">
        <v>19896</v>
      </c>
      <c r="C15797" s="5" t="str">
        <f>IFERROR(__xludf.DUMMYFUNCTION("GOOGLETRANSLATE(B15797,""en"",""fr"")"),"Little Kid joue du saxophone devant un mur.")</f>
        <v>Little Kid joue du saxophone devant un mur.</v>
      </c>
    </row>
    <row r="15798">
      <c r="A15798" s="4" t="s">
        <v>19895</v>
      </c>
      <c r="B15798" s="4" t="s">
        <v>19897</v>
      </c>
      <c r="C15798" s="5" t="str">
        <f>IFERROR(__xludf.DUMMYFUNCTION("GOOGLETRANSLATE(B15798,""en"",""fr"")"),"Les gens passent devant l'enfant.")</f>
        <v>Les gens passent devant l'enfant.</v>
      </c>
    </row>
    <row r="15799">
      <c r="A15799" s="4" t="s">
        <v>19895</v>
      </c>
      <c r="B15799" s="4" t="s">
        <v>19898</v>
      </c>
      <c r="C15799" s="5" t="str">
        <f>IFERROR(__xludf.DUMMYFUNCTION("GOOGLETRANSLATE(B15799,""en"",""fr"")"),"Le vieil homme s'agenouille et a mis des pièces dans le chapeau de l'enfant.")</f>
        <v>Le vieil homme s'agenouille et a mis des pièces dans le chapeau de l'enfant.</v>
      </c>
    </row>
    <row r="15800">
      <c r="A15800" s="4" t="s">
        <v>19899</v>
      </c>
      <c r="B15800" s="4" t="s">
        <v>19900</v>
      </c>
      <c r="C15800" s="5" t="str">
        <f>IFERROR(__xludf.DUMMYFUNCTION("GOOGLETRANSLATE(B15800,""en"",""fr"")"),"Un homme athlétique est vu debout en cercle avec ses bras sur le côté.")</f>
        <v>Un homme athlétique est vu debout en cercle avec ses bras sur le côté.</v>
      </c>
    </row>
    <row r="15801">
      <c r="A15801" s="4" t="s">
        <v>19899</v>
      </c>
      <c r="B15801" s="4" t="s">
        <v>19901</v>
      </c>
      <c r="C15801" s="5" t="str">
        <f>IFERROR(__xludf.DUMMYFUNCTION("GOOGLETRANSLATE(B15801,""en"",""fr"")"),"L'homme commence alors à se balancer autour d'un objet autour et autour.")</f>
        <v>L'homme commence alors à se balancer autour d'un objet autour et autour.</v>
      </c>
    </row>
    <row r="15802">
      <c r="A15802" s="4" t="s">
        <v>19899</v>
      </c>
      <c r="B15802" s="4" t="s">
        <v>19902</v>
      </c>
      <c r="C15802" s="5" t="str">
        <f>IFERROR(__xludf.DUMMYFUNCTION("GOOGLETRANSLATE(B15802,""en"",""fr"")"),"L'homme continue de tourner et se termine en le jetant au loin.")</f>
        <v>L'homme continue de tourner et se termine en le jetant au loin.</v>
      </c>
    </row>
    <row r="15803">
      <c r="A15803" s="4" t="s">
        <v>19903</v>
      </c>
      <c r="B15803" s="6" t="s">
        <v>19904</v>
      </c>
      <c r="C15803" s="5" t="str">
        <f>IFERROR(__xludf.DUMMYFUNCTION("GOOGLETRANSLATE(B15803,""en"",""fr"")"),"Il y a trois personnes qui jouent au racquetball sur la cour fermée et la vue vient de la personne portant la caméra.")</f>
        <v>Il y a trois personnes qui jouent au racquetball sur la cour fermée et la vue vient de la personne portant la caméra.</v>
      </c>
    </row>
    <row r="15804">
      <c r="A15804" s="4" t="s">
        <v>19903</v>
      </c>
      <c r="B15804" s="6" t="s">
        <v>19905</v>
      </c>
      <c r="C15804" s="5" t="str">
        <f>IFERROR(__xludf.DUMMYFUNCTION("GOOGLETRANSLATE(B15804,""en"",""fr"")"),"La personne de l'appareil photo ramasse le ballon avec la raquette qui le équilibre sur la raquette, le déroule puis frappe au mur.")</f>
        <v>La personne de l'appareil photo ramasse le ballon avec la raquette qui le équilibre sur la raquette, le déroule puis frappe au mur.</v>
      </c>
    </row>
    <row r="15805">
      <c r="A15805" s="4" t="s">
        <v>19903</v>
      </c>
      <c r="B15805" s="4" t="s">
        <v>19906</v>
      </c>
      <c r="C15805" s="5" t="str">
        <f>IFERROR(__xludf.DUMMYFUNCTION("GOOGLETRANSLATE(B15805,""en"",""fr"")"),"La vue passe à la porte et il y a deux hommes debout à la porte en attendant de frapper le ballon.")</f>
        <v>La vue passe à la porte et il y a deux hommes debout à la porte en attendant de frapper le ballon.</v>
      </c>
    </row>
    <row r="15806">
      <c r="A15806" s="4" t="s">
        <v>19907</v>
      </c>
      <c r="B15806" s="4" t="s">
        <v>19908</v>
      </c>
      <c r="C15806" s="5" t="str">
        <f>IFERROR(__xludf.DUMMYFUNCTION("GOOGLETRANSLATE(B15806,""en"",""fr"")"),"Nous voyons des images clignotantes de la moto.")</f>
        <v>Nous voyons des images clignotantes de la moto.</v>
      </c>
    </row>
    <row r="15807">
      <c r="A15807" s="4" t="s">
        <v>19907</v>
      </c>
      <c r="B15807" s="4" t="s">
        <v>19909</v>
      </c>
      <c r="C15807" s="5" t="str">
        <f>IFERROR(__xludf.DUMMYFUNCTION("GOOGLETRANSLATE(B15807,""en"",""fr"")"),"Nous voyons un homme parler debout au-dessus d'une ville.")</f>
        <v>Nous voyons un homme parler debout au-dessus d'une ville.</v>
      </c>
    </row>
    <row r="15808">
      <c r="A15808" s="4" t="s">
        <v>19907</v>
      </c>
      <c r="B15808" s="4" t="s">
        <v>19910</v>
      </c>
      <c r="C15808" s="5" t="str">
        <f>IFERROR(__xludf.DUMMYFUNCTION("GOOGLETRANSLATE(B15808,""en"",""fr"")"),"Nous voyons ensuite des cascades de moto.")</f>
        <v>Nous voyons ensuite des cascades de moto.</v>
      </c>
    </row>
    <row r="15809">
      <c r="A15809" s="4" t="s">
        <v>19907</v>
      </c>
      <c r="B15809" s="4" t="s">
        <v>19911</v>
      </c>
      <c r="C15809" s="5" t="str">
        <f>IFERROR(__xludf.DUMMYFUNCTION("GOOGLETRANSLATE(B15809,""en"",""fr"")"),"Un vélo saute un groupe de personnes sur une place.")</f>
        <v>Un vélo saute un groupe de personnes sur une place.</v>
      </c>
    </row>
    <row r="15810">
      <c r="A15810" s="4" t="s">
        <v>19907</v>
      </c>
      <c r="B15810" s="4" t="s">
        <v>19912</v>
      </c>
      <c r="C15810" s="5" t="str">
        <f>IFERROR(__xludf.DUMMYFUNCTION("GOOGLETRANSLATE(B15810,""en"",""fr"")"),"Nous voyons quatre vélos sauter une rampe les uns après les autres.")</f>
        <v>Nous voyons quatre vélos sauter une rampe les uns après les autres.</v>
      </c>
    </row>
    <row r="15811">
      <c r="A15811" s="4" t="s">
        <v>19907</v>
      </c>
      <c r="B15811" s="4" t="s">
        <v>19913</v>
      </c>
      <c r="C15811" s="5" t="str">
        <f>IFERROR(__xludf.DUMMYFUNCTION("GOOGLETRANSLATE(B15811,""en"",""fr"")"),"Nous voyons un homme en rouge parler.")</f>
        <v>Nous voyons un homme en rouge parler.</v>
      </c>
    </row>
    <row r="15812">
      <c r="A15812" s="4" t="s">
        <v>19907</v>
      </c>
      <c r="B15812" s="4" t="s">
        <v>19914</v>
      </c>
      <c r="C15812" s="5" t="str">
        <f>IFERROR(__xludf.DUMMYFUNCTION("GOOGLETRANSLATE(B15812,""en"",""fr"")"),"Un homme saute de son vélo.")</f>
        <v>Un homme saute de son vélo.</v>
      </c>
    </row>
    <row r="15813">
      <c r="A15813" s="4" t="s">
        <v>19907</v>
      </c>
      <c r="B15813" s="4" t="s">
        <v>19915</v>
      </c>
      <c r="C15813" s="5" t="str">
        <f>IFERROR(__xludf.DUMMYFUNCTION("GOOGLETRANSLATE(B15813,""en"",""fr"")"),"Un homme embrasse une femme sur son vélo.")</f>
        <v>Un homme embrasse une femme sur son vélo.</v>
      </c>
    </row>
    <row r="15814">
      <c r="A15814" s="4" t="s">
        <v>19907</v>
      </c>
      <c r="B15814" s="4" t="s">
        <v>19916</v>
      </c>
      <c r="C15814" s="5" t="str">
        <f>IFERROR(__xludf.DUMMYFUNCTION("GOOGLETRANSLATE(B15814,""en"",""fr"")"),"On voit que garçon parle.")</f>
        <v>On voit que garçon parle.</v>
      </c>
    </row>
    <row r="15815">
      <c r="A15815" s="4" t="s">
        <v>19907</v>
      </c>
      <c r="B15815" s="4" t="s">
        <v>19917</v>
      </c>
      <c r="C15815" s="5" t="str">
        <f>IFERROR(__xludf.DUMMYFUNCTION("GOOGLETRANSLATE(B15815,""en"",""fr"")"),"Un vélo donne un coup de pied de la fumée.")</f>
        <v>Un vélo donne un coup de pied de la fumée.</v>
      </c>
    </row>
    <row r="15816">
      <c r="A15816" s="4" t="s">
        <v>19907</v>
      </c>
      <c r="B15816" s="4" t="s">
        <v>19918</v>
      </c>
      <c r="C15816" s="5" t="str">
        <f>IFERROR(__xludf.DUMMYFUNCTION("GOOGLETRANSLATE(B15816,""en"",""fr"")"),"Un homme met son bras en l'air.")</f>
        <v>Un homme met son bras en l'air.</v>
      </c>
    </row>
    <row r="15817">
      <c r="A15817" s="4" t="s">
        <v>19907</v>
      </c>
      <c r="B15817" s="4" t="s">
        <v>19919</v>
      </c>
      <c r="C15817" s="5" t="str">
        <f>IFERROR(__xludf.DUMMYFUNCTION("GOOGLETRANSLATE(B15817,""en"",""fr"")"),"Nous voyons un vélo écraser un arrêt de bouteille.")</f>
        <v>Nous voyons un vélo écraser un arrêt de bouteille.</v>
      </c>
    </row>
    <row r="15818">
      <c r="A15818" s="4" t="s">
        <v>19920</v>
      </c>
      <c r="B15818" s="4" t="s">
        <v>19921</v>
      </c>
      <c r="C15818" s="5" t="str">
        <f>IFERROR(__xludf.DUMMYFUNCTION("GOOGLETRANSLATE(B15818,""en"",""fr"")"),"Une vidéo en noir et blanc est présentée d'une jeune fanfare marchant dans la rue dans un défilé.")</f>
        <v>Une vidéo en noir et blanc est présentée d'une jeune fanfare marchant dans la rue dans un défilé.</v>
      </c>
    </row>
    <row r="15819">
      <c r="A15819" s="4" t="s">
        <v>19920</v>
      </c>
      <c r="B15819" s="6" t="s">
        <v>19922</v>
      </c>
      <c r="C15819" s="5" t="str">
        <f>IFERROR(__xludf.DUMMYFUNCTION("GOOGLETRANSLATE(B15819,""en"",""fr"")"),"Plusieurs personnes dans le groupe marchent alors, un gros plan d'un garçon jouant de la trompette est montré et il est mis en évidence.")</f>
        <v>Plusieurs personnes dans le groupe marchent alors, un gros plan d'un garçon jouant de la trompette est montré et il est mis en évidence.</v>
      </c>
    </row>
    <row r="15820">
      <c r="A15820" s="4" t="s">
        <v>19920</v>
      </c>
      <c r="B15820" s="4" t="s">
        <v>19923</v>
      </c>
      <c r="C15820" s="5" t="str">
        <f>IFERROR(__xludf.DUMMYFUNCTION("GOOGLETRANSLATE(B15820,""en"",""fr"")"),"La vidéo continue et les filles majoritaires commencent à danser.")</f>
        <v>La vidéo continue et les filles majoritaires commencent à danser.</v>
      </c>
    </row>
    <row r="15821">
      <c r="A15821" s="4" t="s">
        <v>19920</v>
      </c>
      <c r="B15821" s="4" t="s">
        <v>19924</v>
      </c>
      <c r="C15821" s="5" t="str">
        <f>IFERROR(__xludf.DUMMYFUNCTION("GOOGLETRANSLATE(B15821,""en"",""fr"")"),"Maintenant, ils sont immobiles et jouent sans marcher alors que les petits enfants commencent à les regarder.")</f>
        <v>Maintenant, ils sont immobiles et jouent sans marcher alors que les petits enfants commencent à les regarder.</v>
      </c>
    </row>
    <row r="15822">
      <c r="A15822" s="4" t="s">
        <v>19925</v>
      </c>
      <c r="B15822" s="4" t="s">
        <v>19926</v>
      </c>
      <c r="C15822" s="5" t="str">
        <f>IFERROR(__xludf.DUMMYFUNCTION("GOOGLETRANSLATE(B15822,""en"",""fr"")"),"Deux garçons ratissent les feuilles dans une cour en utilisant de grands râteaux verts et rouges.")</f>
        <v>Deux garçons ratissent les feuilles dans une cour en utilisant de grands râteaux verts et rouges.</v>
      </c>
    </row>
    <row r="15823">
      <c r="A15823" s="4" t="s">
        <v>19925</v>
      </c>
      <c r="B15823" s="4" t="s">
        <v>19927</v>
      </c>
      <c r="C15823" s="5" t="str">
        <f>IFERROR(__xludf.DUMMYFUNCTION("GOOGLETRANSLATE(B15823,""en"",""fr"")"),"Un chien traverse continuellement les feuilles, les gâcher.")</f>
        <v>Un chien traverse continuellement les feuilles, les gâcher.</v>
      </c>
    </row>
    <row r="15824">
      <c r="A15824" s="4" t="s">
        <v>19925</v>
      </c>
      <c r="B15824" s="4" t="s">
        <v>19928</v>
      </c>
      <c r="C15824" s="5" t="str">
        <f>IFERROR(__xludf.DUMMYFUNCTION("GOOGLETRANSLATE(B15824,""en"",""fr"")"),"Les garçons rient et continuent d'essayer de ratisser les feuilles.")</f>
        <v>Les garçons rient et continuent d'essayer de ratisser les feuilles.</v>
      </c>
    </row>
    <row r="15825">
      <c r="A15825" s="4" t="s">
        <v>19929</v>
      </c>
      <c r="B15825" s="6" t="s">
        <v>19930</v>
      </c>
      <c r="C15825" s="5" t="str">
        <f>IFERROR(__xludf.DUMMYFUNCTION("GOOGLETRANSLATE(B15825,""en"",""fr"")"),"Une grande scène est observée qui passe à divers angles de personnes effectuant des tours de saut sur une scène au ralenti.")</f>
        <v>Une grande scène est observée qui passe à divers angles de personnes effectuant des tours de saut sur une scène au ralenti.</v>
      </c>
    </row>
    <row r="15826">
      <c r="A15826" s="4" t="s">
        <v>19929</v>
      </c>
      <c r="B15826" s="6" t="s">
        <v>19931</v>
      </c>
      <c r="C15826" s="5" t="str">
        <f>IFERROR(__xludf.DUMMYFUNCTION("GOOGLETRANSLATE(B15826,""en"",""fr"")"),"Plus de photos sont montrées de diverses personnes effectuant des compétences de saut incroyables et se termine par un groupe qui tient les bras.")</f>
        <v>Plus de photos sont montrées de diverses personnes effectuant des compétences de saut incroyables et se termine par un groupe qui tient les bras.</v>
      </c>
    </row>
    <row r="15827">
      <c r="A15827" s="4" t="s">
        <v>19932</v>
      </c>
      <c r="B15827" s="4" t="s">
        <v>19933</v>
      </c>
      <c r="C15827" s="5" t="str">
        <f>IFERROR(__xludf.DUMMYFUNCTION("GOOGLETRANSLATE(B15827,""en"",""fr"")"),"Une caméra se pavane tout autour d'une cour et montre deux chiens en laisse.")</f>
        <v>Une caméra se pavane tout autour d'une cour et montre deux chiens en laisse.</v>
      </c>
    </row>
    <row r="15828">
      <c r="A15828" s="4" t="s">
        <v>19932</v>
      </c>
      <c r="B15828" s="4" t="s">
        <v>19934</v>
      </c>
      <c r="C15828" s="5" t="str">
        <f>IFERROR(__xludf.DUMMYFUNCTION("GOOGLETRANSLATE(B15828,""en"",""fr"")"),"Les chiens se déplacent avec la personne alors que les voitures se déplacent dans et hors du cadre.")</f>
        <v>Les chiens se déplacent avec la personne alors que les voitures se déplacent dans et hors du cadre.</v>
      </c>
    </row>
    <row r="15829">
      <c r="A15829" s="4" t="s">
        <v>19932</v>
      </c>
      <c r="B15829" s="4" t="s">
        <v>19935</v>
      </c>
      <c r="C15829" s="5" t="str">
        <f>IFERROR(__xludf.DUMMYFUNCTION("GOOGLETRANSLATE(B15829,""en"",""fr"")"),"La caméra se déroule dans le ciel à la fin.")</f>
        <v>La caméra se déroule dans le ciel à la fin.</v>
      </c>
    </row>
    <row r="15830">
      <c r="A15830" s="4" t="s">
        <v>19936</v>
      </c>
      <c r="B15830" s="4" t="s">
        <v>19937</v>
      </c>
      <c r="C15830" s="5" t="str">
        <f>IFERROR(__xludf.DUMMYFUNCTION("GOOGLETRANSLATE(B15830,""en"",""fr"")"),"1 L'ouverture de la vidéo.")</f>
        <v>1 L'ouverture de la vidéo.</v>
      </c>
    </row>
    <row r="15831">
      <c r="A15831" s="4" t="s">
        <v>19936</v>
      </c>
      <c r="B15831" s="4" t="s">
        <v>19938</v>
      </c>
      <c r="C15831" s="5" t="str">
        <f>IFERROR(__xludf.DUMMYFUNCTION("GOOGLETRANSLATE(B15831,""en"",""fr"")"),"2 Une fille fait beaucoup de flips sur les barreaux.")</f>
        <v>2 Une fille fait beaucoup de flips sur les barreaux.</v>
      </c>
    </row>
    <row r="15832">
      <c r="A15832" s="4" t="s">
        <v>19939</v>
      </c>
      <c r="B15832" s="4" t="s">
        <v>19940</v>
      </c>
      <c r="C15832" s="5" t="str">
        <f>IFERROR(__xludf.DUMMYFUNCTION("GOOGLETRANSLATE(B15832,""en"",""fr"")"),"Une petite fille est dans une cuisine qui parle.")</f>
        <v>Une petite fille est dans une cuisine qui parle.</v>
      </c>
    </row>
    <row r="15833">
      <c r="A15833" s="4" t="s">
        <v>19939</v>
      </c>
      <c r="B15833" s="4" t="s">
        <v>19941</v>
      </c>
      <c r="C15833" s="5" t="str">
        <f>IFERROR(__xludf.DUMMYFUNCTION("GOOGLETRANSLATE(B15833,""en"",""fr"")"),"La fille mélange plusieurs choses de petits bols dans un plus grand bol.")</f>
        <v>La fille mélange plusieurs choses de petits bols dans un plus grand bol.</v>
      </c>
    </row>
    <row r="15834">
      <c r="A15834" s="4" t="s">
        <v>19939</v>
      </c>
      <c r="B15834" s="4" t="s">
        <v>19942</v>
      </c>
      <c r="C15834" s="5" t="str">
        <f>IFERROR(__xludf.DUMMYFUNCTION("GOOGLETRANSLATE(B15834,""en"",""fr"")"),"Un adulte aide la fille à pulvériser ses casseroles.")</f>
        <v>Un adulte aide la fille à pulvériser ses casseroles.</v>
      </c>
    </row>
    <row r="15835">
      <c r="A15835" s="4" t="s">
        <v>19939</v>
      </c>
      <c r="B15835" s="4" t="s">
        <v>19943</v>
      </c>
      <c r="C15835" s="5" t="str">
        <f>IFERROR(__xludf.DUMMYFUNCTION("GOOGLETRANSLATE(B15835,""en"",""fr"")"),"La fille met son mélange dans les casseroles et les met dans un four à cuisson facile.")</f>
        <v>La fille met son mélange dans les casseroles et les met dans un four à cuisson facile.</v>
      </c>
    </row>
    <row r="15836">
      <c r="A15836" s="4" t="s">
        <v>19939</v>
      </c>
      <c r="B15836" s="4" t="s">
        <v>19944</v>
      </c>
      <c r="C15836" s="5" t="str">
        <f>IFERROR(__xludf.DUMMYFUNCTION("GOOGLETRANSLATE(B15836,""en"",""fr"")"),"La fille enlève alors ce qu'elle a fait du four.")</f>
        <v>La fille enlève alors ce qu'elle a fait du four.</v>
      </c>
    </row>
    <row r="15837">
      <c r="A15837" s="4" t="s">
        <v>19939</v>
      </c>
      <c r="B15837" s="4" t="s">
        <v>19945</v>
      </c>
      <c r="C15837" s="5" t="str">
        <f>IFERROR(__xludf.DUMMYFUNCTION("GOOGLETRANSLATE(B15837,""en"",""fr"")"),"Un jeune garçon regarde en mangeant un cupcake.")</f>
        <v>Un jeune garçon regarde en mangeant un cupcake.</v>
      </c>
    </row>
    <row r="15838">
      <c r="A15838" s="4" t="s">
        <v>19939</v>
      </c>
      <c r="B15838" s="4" t="s">
        <v>19946</v>
      </c>
      <c r="C15838" s="5" t="str">
        <f>IFERROR(__xludf.DUMMYFUNCTION("GOOGLETRANSLATE(B15838,""en"",""fr"")"),"Les jeunes filles coupent le désert qu'elle a fait et le mange.")</f>
        <v>Les jeunes filles coupent le désert qu'elle a fait et le mange.</v>
      </c>
    </row>
    <row r="15839">
      <c r="A15839" s="4" t="s">
        <v>19947</v>
      </c>
      <c r="B15839" s="6" t="s">
        <v>19948</v>
      </c>
      <c r="C15839" s="5" t="str">
        <f>IFERROR(__xludf.DUMMYFUNCTION("GOOGLETRANSLATE(B15839,""en"",""fr"")"),"Un homme est vu parler à la caméra pendant qu'une femme travaille sur une machine devant lui et ajuste les paramètres.")</f>
        <v>Un homme est vu parler à la caméra pendant qu'une femme travaille sur une machine devant lui et ajuste les paramètres.</v>
      </c>
    </row>
    <row r="15840">
      <c r="A15840" s="4" t="s">
        <v>19947</v>
      </c>
      <c r="B15840" s="6" t="s">
        <v>19949</v>
      </c>
      <c r="C15840" s="5" t="str">
        <f>IFERROR(__xludf.DUMMYFUNCTION("GOOGLETRANSLATE(B15840,""en"",""fr"")"),"L'homme continue de se déplacer sur la machine en montrant ses différents paramètres tandis que l'homme continue de parler à la caméra.")</f>
        <v>L'homme continue de se déplacer sur la machine en montrant ses différents paramètres tandis que l'homme continue de parler à la caméra.</v>
      </c>
    </row>
    <row r="15841">
      <c r="A15841" s="4" t="s">
        <v>19950</v>
      </c>
      <c r="B15841" s="4" t="s">
        <v>19951</v>
      </c>
      <c r="C15841" s="5" t="str">
        <f>IFERROR(__xludf.DUMMYFUNCTION("GOOGLETRANSLATE(B15841,""en"",""fr"")"),"Une personne martèle les ongles dans un toit.")</f>
        <v>Une personne martèle les ongles dans un toit.</v>
      </c>
    </row>
    <row r="15842">
      <c r="A15842" s="4" t="s">
        <v>19950</v>
      </c>
      <c r="B15842" s="4" t="s">
        <v>19952</v>
      </c>
      <c r="C15842" s="5" t="str">
        <f>IFERROR(__xludf.DUMMYFUNCTION("GOOGLETRANSLATE(B15842,""en"",""fr"")"),"Elle glisse des carreaux sur le toit et les cloue en place.")</f>
        <v>Elle glisse des carreaux sur le toit et les cloue en place.</v>
      </c>
    </row>
    <row r="15843">
      <c r="A15843" s="4" t="s">
        <v>19953</v>
      </c>
      <c r="B15843" s="4" t="s">
        <v>19954</v>
      </c>
      <c r="C15843" s="5" t="str">
        <f>IFERROR(__xludf.DUMMYFUNCTION("GOOGLETRANSLATE(B15843,""en"",""fr"")"),"Un groupe de personnes est assis sur des chameaux dans le sable à côté d'une colline.")</f>
        <v>Un groupe de personnes est assis sur des chameaux dans le sable à côté d'une colline.</v>
      </c>
    </row>
    <row r="15844">
      <c r="A15844" s="4" t="s">
        <v>19953</v>
      </c>
      <c r="B15844" s="4" t="s">
        <v>19955</v>
      </c>
      <c r="C15844" s="5" t="str">
        <f>IFERROR(__xludf.DUMMYFUNCTION("GOOGLETRANSLATE(B15844,""en"",""fr"")"),"Un homme atteint la chaîne sur la bouche des chameaux tandis que le chameau est assis.")</f>
        <v>Un homme atteint la chaîne sur la bouche des chameaux tandis que le chameau est assis.</v>
      </c>
    </row>
    <row r="15845">
      <c r="A15845" s="4" t="s">
        <v>19953</v>
      </c>
      <c r="B15845" s="4" t="s">
        <v>19956</v>
      </c>
      <c r="C15845" s="5" t="str">
        <f>IFERROR(__xludf.DUMMYFUNCTION("GOOGLETRANSLATE(B15845,""en"",""fr"")"),"L'homme en bleu clair assiste l'homme en bleu foncé à détacher.")</f>
        <v>L'homme en bleu clair assiste l'homme en bleu foncé à détacher.</v>
      </c>
    </row>
    <row r="15846">
      <c r="A15846" s="4" t="s">
        <v>19953</v>
      </c>
      <c r="B15846" s="4" t="s">
        <v>19957</v>
      </c>
      <c r="C15846" s="5" t="str">
        <f>IFERROR(__xludf.DUMMYFUNCTION("GOOGLETRANSLATE(B15846,""en"",""fr"")"),"Le deuxième chameau tenant le couple suivant commence à s'asseoir sur le sol.")</f>
        <v>Le deuxième chameau tenant le couple suivant commence à s'asseoir sur le sol.</v>
      </c>
    </row>
    <row r="15847">
      <c r="A15847" s="4" t="s">
        <v>19958</v>
      </c>
      <c r="B15847" s="4" t="s">
        <v>19959</v>
      </c>
      <c r="C15847" s="5" t="str">
        <f>IFERROR(__xludf.DUMMYFUNCTION("GOOGLETRANSLATE(B15847,""en"",""fr"")"),"Une femme traite lentement ses cheveux.")</f>
        <v>Une femme traite lentement ses cheveux.</v>
      </c>
    </row>
    <row r="15848">
      <c r="A15848" s="4" t="s">
        <v>19958</v>
      </c>
      <c r="B15848" s="4" t="s">
        <v>19960</v>
      </c>
      <c r="C15848" s="5" t="str">
        <f>IFERROR(__xludf.DUMMYFUNCTION("GOOGLETRANSLATE(B15848,""en"",""fr"")"),"Elle attache ensuite les tresses ensemble et attache la fin ensemble.")</f>
        <v>Elle attache ensuite les tresses ensemble et attache la fin ensemble.</v>
      </c>
    </row>
    <row r="15849">
      <c r="A15849" s="4" t="s">
        <v>19961</v>
      </c>
      <c r="B15849" s="4" t="s">
        <v>19962</v>
      </c>
      <c r="C15849" s="5" t="str">
        <f>IFERROR(__xludf.DUMMYFUNCTION("GOOGLETRANSLATE(B15849,""en"",""fr"")"),"Une femme et un garçon épluchent des pommes de terre à l'avant une poubelle.")</f>
        <v>Une femme et un garçon épluchent des pommes de terre à l'avant une poubelle.</v>
      </c>
    </row>
    <row r="15850">
      <c r="A15850" s="4" t="s">
        <v>19961</v>
      </c>
      <c r="B15850" s="4" t="s">
        <v>19963</v>
      </c>
      <c r="C15850" s="5" t="str">
        <f>IFERROR(__xludf.DUMMYFUNCTION("GOOGLETRANSLATE(B15850,""en"",""fr"")"),"Ensuite, le garçon met la pomme de terre et l'épluche au comptoir, mais encore une fois, il le prend.")</f>
        <v>Ensuite, le garçon met la pomme de terre et l'épluche au comptoir, mais encore une fois, il le prend.</v>
      </c>
    </row>
    <row r="15851">
      <c r="A15851" s="4" t="s">
        <v>19961</v>
      </c>
      <c r="B15851" s="4" t="s">
        <v>19964</v>
      </c>
      <c r="C15851" s="5" t="str">
        <f>IFERROR(__xludf.DUMMYFUNCTION("GOOGLETRANSLATE(B15851,""en"",""fr"")"),"La femme finit pour couper la pomme de terre.")</f>
        <v>La femme finit pour couper la pomme de terre.</v>
      </c>
    </row>
    <row r="15852">
      <c r="A15852" s="4" t="s">
        <v>19965</v>
      </c>
      <c r="B15852" s="4" t="s">
        <v>19966</v>
      </c>
      <c r="C15852" s="5" t="str">
        <f>IFERROR(__xludf.DUMMYFUNCTION("GOOGLETRANSLATE(B15852,""en"",""fr"")"),"Un petit garçon jouant dans une salle de gym de la jungle.")</f>
        <v>Un petit garçon jouant dans une salle de gym de la jungle.</v>
      </c>
    </row>
    <row r="15853">
      <c r="A15853" s="4" t="s">
        <v>19965</v>
      </c>
      <c r="B15853" s="4" t="s">
        <v>19967</v>
      </c>
      <c r="C15853" s="5" t="str">
        <f>IFERROR(__xludf.DUMMYFUNCTION("GOOGLETRANSLATE(B15853,""en"",""fr"")"),"Il monte un escalier.")</f>
        <v>Il monte un escalier.</v>
      </c>
    </row>
    <row r="15854">
      <c r="A15854" s="4" t="s">
        <v>19965</v>
      </c>
      <c r="B15854" s="4" t="s">
        <v>19968</v>
      </c>
      <c r="C15854" s="5" t="str">
        <f>IFERROR(__xludf.DUMMYFUNCTION("GOOGLETRANSLATE(B15854,""en"",""fr"")"),"Glisse maintenant rapidement sur une diapositive.")</f>
        <v>Glisse maintenant rapidement sur une diapositive.</v>
      </c>
    </row>
    <row r="15855">
      <c r="A15855" s="4" t="s">
        <v>19965</v>
      </c>
      <c r="B15855" s="4" t="s">
        <v>19969</v>
      </c>
      <c r="C15855" s="5" t="str">
        <f>IFERROR(__xludf.DUMMYFUNCTION("GOOGLETRANSLATE(B15855,""en"",""fr"")"),"Un autre garçon est montré jouant dans l'herbe.")</f>
        <v>Un autre garçon est montré jouant dans l'herbe.</v>
      </c>
    </row>
    <row r="15856">
      <c r="A15856" s="4" t="s">
        <v>19965</v>
      </c>
      <c r="B15856" s="4" t="s">
        <v>19970</v>
      </c>
      <c r="C15856" s="5" t="str">
        <f>IFERROR(__xludf.DUMMYFUNCTION("GOOGLETRANSLATE(B15856,""en"",""fr"")"),"Maintenant, le premier garçon est ramassé par une femme.")</f>
        <v>Maintenant, le premier garçon est ramassé par une femme.</v>
      </c>
    </row>
    <row r="15857">
      <c r="A15857" s="4" t="s">
        <v>19965</v>
      </c>
      <c r="B15857" s="4" t="s">
        <v>19971</v>
      </c>
      <c r="C15857" s="5" t="str">
        <f>IFERROR(__xludf.DUMMYFUNCTION("GOOGLETRANSLATE(B15857,""en"",""fr"")"),"Maintenant, il va de nouveau descendre la diapositive.")</f>
        <v>Maintenant, il va de nouveau descendre la diapositive.</v>
      </c>
    </row>
    <row r="15858">
      <c r="A15858" s="4" t="s">
        <v>19965</v>
      </c>
      <c r="B15858" s="4" t="s">
        <v>19972</v>
      </c>
      <c r="C15858" s="5" t="str">
        <f>IFERROR(__xludf.DUMMYFUNCTION("GOOGLETRANSLATE(B15858,""en"",""fr"")"),"Le garçon aime jouer avec une grande roue sur le terrain de jeu.")</f>
        <v>Le garçon aime jouer avec une grande roue sur le terrain de jeu.</v>
      </c>
    </row>
    <row r="15859">
      <c r="A15859" s="4" t="s">
        <v>19965</v>
      </c>
      <c r="B15859" s="4" t="s">
        <v>19973</v>
      </c>
      <c r="C15859" s="5" t="str">
        <f>IFERROR(__xludf.DUMMYFUNCTION("GOOGLETRANSLATE(B15859,""en"",""fr"")"),"Une fois de plus, il descend la diapositive, mais avec papa juste derrière lui.")</f>
        <v>Une fois de plus, il descend la diapositive, mais avec papa juste derrière lui.</v>
      </c>
    </row>
    <row r="15860">
      <c r="A15860" s="4" t="s">
        <v>19965</v>
      </c>
      <c r="B15860" s="4" t="s">
        <v>19974</v>
      </c>
      <c r="C15860" s="5" t="str">
        <f>IFERROR(__xludf.DUMMYFUNCTION("GOOGLETRANSLATE(B15860,""en"",""fr"")"),"Il descend la diapositive une 4ème fois mais avec un autre petit garçon.")</f>
        <v>Il descend la diapositive une 4ème fois mais avec un autre petit garçon.</v>
      </c>
    </row>
    <row r="15861">
      <c r="A15861" s="4" t="s">
        <v>19965</v>
      </c>
      <c r="B15861" s="4" t="s">
        <v>19975</v>
      </c>
      <c r="C15861" s="5" t="str">
        <f>IFERROR(__xludf.DUMMYFUNCTION("GOOGLETRANSLATE(B15861,""en"",""fr"")"),"Il descend plusieurs fois la diapositive.")</f>
        <v>Il descend plusieurs fois la diapositive.</v>
      </c>
    </row>
    <row r="15862">
      <c r="A15862" s="4" t="s">
        <v>19976</v>
      </c>
      <c r="B15862" s="4" t="s">
        <v>19977</v>
      </c>
      <c r="C15862" s="5" t="str">
        <f>IFERROR(__xludf.DUMMYFUNCTION("GOOGLETRANSLATE(B15862,""en"",""fr"")"),"Un groupe d'équipes est présenté à divers événements sportifs impliquant de la neige.")</f>
        <v>Un groupe d'équipes est présenté à divers événements sportifs impliquant de la neige.</v>
      </c>
    </row>
    <row r="15863">
      <c r="A15863" s="4" t="s">
        <v>19976</v>
      </c>
      <c r="B15863" s="6" t="s">
        <v>19978</v>
      </c>
      <c r="C15863" s="5" t="str">
        <f>IFERROR(__xludf.DUMMYFUNCTION("GOOGLETRANSLATE(B15863,""en"",""fr"")"),"La caméra montre ensuite que les personnes handicapées jouent à un jeu où ils sont assis dans un fauteuil roulant poussant des objets comme des objets avec des poignées.")</f>
        <v>La caméra montre ensuite que les personnes handicapées jouent à un jeu où ils sont assis dans un fauteuil roulant poussant des objets comme des objets avec des poignées.</v>
      </c>
    </row>
    <row r="15864">
      <c r="A15864" s="4" t="s">
        <v>19976</v>
      </c>
      <c r="B15864" s="4" t="s">
        <v>19979</v>
      </c>
      <c r="C15864" s="5" t="str">
        <f>IFERROR(__xludf.DUMMYFUNCTION("GOOGLETRANSLATE(B15864,""en"",""fr"")"),"Un homme est ensuite montré et commence à parler décrivant le jeu qui a lieu.")</f>
        <v>Un homme est ensuite montré et commence à parler décrivant le jeu qui a lieu.</v>
      </c>
    </row>
    <row r="15865">
      <c r="A15865" s="4" t="s">
        <v>19980</v>
      </c>
      <c r="B15865" s="4" t="s">
        <v>19981</v>
      </c>
      <c r="C15865" s="5" t="str">
        <f>IFERROR(__xludf.DUMMYFUNCTION("GOOGLETRANSLATE(B15865,""en"",""fr"")"),"Une introduction mène à plusieurs outils disposés sur une table et à une femme marchant dans un enlèvement d'une plante.")</f>
        <v>Une introduction mène à plusieurs outils disposés sur une table et à une femme marchant dans un enlèvement d'une plante.</v>
      </c>
    </row>
    <row r="15866">
      <c r="A15866" s="4" t="s">
        <v>19980</v>
      </c>
      <c r="B15866" s="4" t="s">
        <v>19982</v>
      </c>
      <c r="C15866" s="5" t="str">
        <f>IFERROR(__xludf.DUMMYFUNCTION("GOOGLETRANSLATE(B15866,""en"",""fr"")"),"La femme sort alors un chiffon et essuie la table.")</f>
        <v>La femme sort alors un chiffon et essuie la table.</v>
      </c>
    </row>
    <row r="15867">
      <c r="A15867" s="4" t="s">
        <v>19980</v>
      </c>
      <c r="B15867" s="6" t="s">
        <v>19983</v>
      </c>
      <c r="C15867" s="5" t="str">
        <f>IFERROR(__xludf.DUMMYFUNCTION("GOOGLETRANSLATE(B15867,""en"",""fr"")"),"Elle tend à nouveau le chiffon, pulvérise la table et essuie la table dans un mouvement approprié.")</f>
        <v>Elle tend à nouveau le chiffon, pulvérise la table et essuie la table dans un mouvement approprié.</v>
      </c>
    </row>
    <row r="15868">
      <c r="A15868" s="4" t="s">
        <v>19980</v>
      </c>
      <c r="B15868" s="6" t="s">
        <v>19984</v>
      </c>
      <c r="C15868" s="5" t="str">
        <f>IFERROR(__xludf.DUMMYFUNCTION("GOOGLETRANSLATE(B15868,""en"",""fr"")"),"Elle est ensuite montrée à nouveau épousseter sur diverses zones et place la plante sur la table et poussant les chaises.")</f>
        <v>Elle est ensuite montrée à nouveau épousseter sur diverses zones et place la plante sur la table et poussant les chaises.</v>
      </c>
    </row>
    <row r="15869">
      <c r="A15869" s="4" t="s">
        <v>19985</v>
      </c>
      <c r="B15869" s="4" t="s">
        <v>19986</v>
      </c>
      <c r="C15869" s="5" t="str">
        <f>IFERROR(__xludf.DUMMYFUNCTION("GOOGLETRANSLATE(B15869,""en"",""fr"")"),"Une femme est assise près de la plage en appliquant un écran solaire au sommet de son dos.")</f>
        <v>Une femme est assise près de la plage en appliquant un écran solaire au sommet de son dos.</v>
      </c>
    </row>
    <row r="15870">
      <c r="A15870" s="4" t="s">
        <v>19985</v>
      </c>
      <c r="B15870" s="4" t="s">
        <v>19987</v>
      </c>
      <c r="C15870" s="5" t="str">
        <f>IFERROR(__xludf.DUMMYFUNCTION("GOOGLETRANSLATE(B15870,""en"",""fr"")"),"Une montgolfière vole dans les airs.")</f>
        <v>Une montgolfière vole dans les airs.</v>
      </c>
    </row>
    <row r="15871">
      <c r="A15871" s="4" t="s">
        <v>19985</v>
      </c>
      <c r="B15871" s="4" t="s">
        <v>19988</v>
      </c>
      <c r="C15871" s="5" t="str">
        <f>IFERROR(__xludf.DUMMYFUNCTION("GOOGLETRANSLATE(B15871,""en"",""fr"")"),"Un DJ est vu en train de faire tourner un disque.")</f>
        <v>Un DJ est vu en train de faire tourner un disque.</v>
      </c>
    </row>
    <row r="15872">
      <c r="A15872" s="4" t="s">
        <v>19985</v>
      </c>
      <c r="B15872" s="4" t="s">
        <v>19989</v>
      </c>
      <c r="C15872" s="5" t="str">
        <f>IFERROR(__xludf.DUMMYFUNCTION("GOOGLETRANSLATE(B15872,""en"",""fr"")"),"Une femme marche sa valise.")</f>
        <v>Une femme marche sa valise.</v>
      </c>
    </row>
    <row r="15873">
      <c r="A15873" s="4" t="s">
        <v>19985</v>
      </c>
      <c r="B15873" s="4" t="s">
        <v>19990</v>
      </c>
      <c r="C15873" s="5" t="str">
        <f>IFERROR(__xludf.DUMMYFUNCTION("GOOGLETRANSLATE(B15873,""en"",""fr"")"),"Certaines voitures graphiques s'écrasent.")</f>
        <v>Certaines voitures graphiques s'écrasent.</v>
      </c>
    </row>
    <row r="15874">
      <c r="A15874" s="4" t="s">
        <v>19985</v>
      </c>
      <c r="B15874" s="4" t="s">
        <v>19991</v>
      </c>
      <c r="C15874" s="5" t="str">
        <f>IFERROR(__xludf.DUMMYFUNCTION("GOOGLETRANSLATE(B15874,""en"",""fr"")"),"Des flammes orange élevées sont visibles.")</f>
        <v>Des flammes orange élevées sont visibles.</v>
      </c>
    </row>
    <row r="15875">
      <c r="A15875" s="4" t="s">
        <v>19992</v>
      </c>
      <c r="B15875" s="4" t="s">
        <v>19993</v>
      </c>
      <c r="C15875" s="5" t="str">
        <f>IFERROR(__xludf.DUMMYFUNCTION("GOOGLETRANSLATE(B15875,""en"",""fr"")"),"Trois femmes différentes sont représentées successivement.")</f>
        <v>Trois femmes différentes sont représentées successivement.</v>
      </c>
    </row>
    <row r="15876">
      <c r="A15876" s="4" t="s">
        <v>19992</v>
      </c>
      <c r="B15876" s="4" t="s">
        <v>19994</v>
      </c>
      <c r="C15876" s="5" t="str">
        <f>IFERROR(__xludf.DUMMYFUNCTION("GOOGLETRANSLATE(B15876,""en"",""fr"")"),"Chaque femme est assise, jouant de la batterie et des cymbales.")</f>
        <v>Chaque femme est assise, jouant de la batterie et des cymbales.</v>
      </c>
    </row>
    <row r="15877">
      <c r="A15877" s="4" t="s">
        <v>19992</v>
      </c>
      <c r="B15877" s="4" t="s">
        <v>19995</v>
      </c>
      <c r="C15877" s="5" t="str">
        <f>IFERROR(__xludf.DUMMYFUNCTION("GOOGLETRANSLATE(B15877,""en"",""fr"")"),"Ils sont présentés comme les trois principales batteurs féminines au monde car ils jouent en continu.")</f>
        <v>Ils sont présentés comme les trois principales batteurs féminines au monde car ils jouent en continu.</v>
      </c>
    </row>
    <row r="15878">
      <c r="A15878" s="4" t="s">
        <v>19996</v>
      </c>
      <c r="B15878" s="4" t="s">
        <v>19997</v>
      </c>
      <c r="C15878" s="5" t="str">
        <f>IFERROR(__xludf.DUMMYFUNCTION("GOOGLETRANSLATE(B15878,""en"",""fr"")"),"Cette vidéo montre comment faire un gâteau au micro-ondes en utilisant le glaçage à la ganache.")</f>
        <v>Cette vidéo montre comment faire un gâteau au micro-ondes en utilisant le glaçage à la ganache.</v>
      </c>
    </row>
    <row r="15879">
      <c r="A15879" s="4" t="s">
        <v>19996</v>
      </c>
      <c r="B15879" s="4" t="s">
        <v>19998</v>
      </c>
      <c r="C15879" s="5" t="str">
        <f>IFERROR(__xludf.DUMMYFUNCTION("GOOGLETRANSLATE(B15879,""en"",""fr"")"),"La femme ajoute d'abord 1 tasse de sucre à 1/4 tasse d'huile végétale et elle la met dans un bol à mélanger.")</f>
        <v>La femme ajoute d'abord 1 tasse de sucre à 1/4 tasse d'huile végétale et elle la met dans un bol à mélanger.</v>
      </c>
    </row>
    <row r="15880">
      <c r="A15880" s="4" t="s">
        <v>19996</v>
      </c>
      <c r="B15880" s="6" t="s">
        <v>19999</v>
      </c>
      <c r="C15880" s="5" t="str">
        <f>IFERROR(__xludf.DUMMYFUNCTION("GOOGLETRANSLATE(B15880,""en"",""fr"")"),"Ensuite, elle mélange le sucre jusqu'à ce qu'il se dissout et il ajoute 1 tasse de lait entier avec deux cuillères à café de jus de citron.")</f>
        <v>Ensuite, elle mélange le sucre jusqu'à ce qu'il se dissout et il ajoute 1 tasse de lait entier avec deux cuillères à café de jus de citron.</v>
      </c>
    </row>
    <row r="15881">
      <c r="A15881" s="4" t="s">
        <v>19996</v>
      </c>
      <c r="B15881" s="6" t="s">
        <v>20000</v>
      </c>
      <c r="C15881" s="5" t="str">
        <f>IFERROR(__xludf.DUMMYFUNCTION("GOOGLETRANSLATE(B15881,""en"",""fr"")"),"Ensuite, elle ajoute 1 cuillère à café d'extrait de vanille et elle mélange tout, puis elle ajoute 1 1/4 tasse de farine de tout usage avec 1/4 tasse de poudre de cacao non sucrée et de sel.")</f>
        <v>Ensuite, elle ajoute 1 cuillère à café d'extrait de vanille et elle mélange tout, puis elle ajoute 1 1/4 tasse de farine de tout usage avec 1/4 tasse de poudre de cacao non sucrée et de sel.</v>
      </c>
    </row>
    <row r="15882">
      <c r="A15882" s="4" t="s">
        <v>19996</v>
      </c>
      <c r="B15882" s="4" t="s">
        <v>20001</v>
      </c>
      <c r="C15882" s="5" t="str">
        <f>IFERROR(__xludf.DUMMYFUNCTION("GOOGLETRANSLATE(B15882,""en"",""fr"")"),"Ensuite, elle ajoute de la levure chimique et du bicarbonate de soude et elle le fouette jusqu'à consistance lisse.")</f>
        <v>Ensuite, elle ajoute de la levure chimique et du bicarbonate de soude et elle le fouette jusqu'à consistance lisse.</v>
      </c>
    </row>
    <row r="15883">
      <c r="A15883" s="4" t="s">
        <v>19996</v>
      </c>
      <c r="B15883" s="4" t="s">
        <v>20002</v>
      </c>
      <c r="C15883" s="5" t="str">
        <f>IFERROR(__xludf.DUMMYFUNCTION("GOOGLETRANSLATE(B15883,""en"",""fr"")"),"Enfin, elle verse le mélange dans un plat de sécurité au micro-ondes et c'est fait.")</f>
        <v>Enfin, elle verse le mélange dans un plat de sécurité au micro-ondes et c'est fait.</v>
      </c>
    </row>
    <row r="15884">
      <c r="A15884" s="4" t="s">
        <v>19996</v>
      </c>
      <c r="B15884" s="4" t="s">
        <v>20003</v>
      </c>
      <c r="C15884" s="5" t="str">
        <f>IFERROR(__xludf.DUMMYFUNCTION("GOOGLETRANSLATE(B15884,""en"",""fr"")"),"Elle laisse ensuite le gâteau pendant 15 minutes.")</f>
        <v>Elle laisse ensuite le gâteau pendant 15 minutes.</v>
      </c>
    </row>
    <row r="15885">
      <c r="A15885" s="4" t="s">
        <v>20004</v>
      </c>
      <c r="B15885" s="4" t="s">
        <v>20005</v>
      </c>
      <c r="C15885" s="5" t="str">
        <f>IFERROR(__xludf.DUMMYFUNCTION("GOOGLETRANSLATE(B15885,""en"",""fr"")"),"Un homme portant des lunettes de soleil parle à la caméra.")</f>
        <v>Un homme portant des lunettes de soleil parle à la caméra.</v>
      </c>
    </row>
    <row r="15886">
      <c r="A15886" s="4" t="s">
        <v>20004</v>
      </c>
      <c r="B15886" s="4" t="s">
        <v>20006</v>
      </c>
      <c r="C15886" s="5" t="str">
        <f>IFERROR(__xludf.DUMMYFUNCTION("GOOGLETRANSLATE(B15886,""en"",""fr"")"),"Il affiche comment couper les cordes à l'avant d'un vélo et retirer la partie du pneu.")</f>
        <v>Il affiche comment couper les cordes à l'avant d'un vélo et retirer la partie du pneu.</v>
      </c>
    </row>
    <row r="15887">
      <c r="A15887" s="4" t="s">
        <v>20004</v>
      </c>
      <c r="B15887" s="4" t="s">
        <v>20007</v>
      </c>
      <c r="C15887" s="5" t="str">
        <f>IFERROR(__xludf.DUMMYFUNCTION("GOOGLETRANSLATE(B15887,""en"",""fr"")"),"Il remplace la pièce, expliquant comment le processus est effectué au fur et à mesure.")</f>
        <v>Il remplace la pièce, expliquant comment le processus est effectué au fur et à mesure.</v>
      </c>
    </row>
    <row r="15888">
      <c r="A15888" s="4" t="s">
        <v>20004</v>
      </c>
      <c r="B15888" s="4" t="s">
        <v>20008</v>
      </c>
      <c r="C15888" s="5" t="str">
        <f>IFERROR(__xludf.DUMMYFUNCTION("GOOGLETRANSLATE(B15888,""en"",""fr"")"),"Il parle ensuite davantage à la caméra.")</f>
        <v>Il parle ensuite davantage à la caméra.</v>
      </c>
    </row>
    <row r="15889">
      <c r="A15889" s="4" t="s">
        <v>20009</v>
      </c>
      <c r="B15889" s="4" t="s">
        <v>20010</v>
      </c>
      <c r="C15889" s="5" t="str">
        <f>IFERROR(__xludf.DUMMYFUNCTION("GOOGLETRANSLATE(B15889,""en"",""fr"")"),"Un homme assis sur un équipement d'exercice.")</f>
        <v>Un homme assis sur un équipement d'exercice.</v>
      </c>
    </row>
    <row r="15890">
      <c r="A15890" s="4" t="s">
        <v>20009</v>
      </c>
      <c r="B15890" s="4" t="s">
        <v>20011</v>
      </c>
      <c r="C15890" s="5" t="str">
        <f>IFERROR(__xludf.DUMMYFUNCTION("GOOGLETRANSLATE(B15890,""en"",""fr"")"),"Il a mis ses pieds sur un support et a mis la sangle.")</f>
        <v>Il a mis ses pieds sur un support et a mis la sangle.</v>
      </c>
    </row>
    <row r="15891">
      <c r="A15891" s="4" t="s">
        <v>20009</v>
      </c>
      <c r="B15891" s="4" t="s">
        <v>20012</v>
      </c>
      <c r="C15891" s="5" t="str">
        <f>IFERROR(__xludf.DUMMYFUNCTION("GOOGLETRANSLATE(B15891,""en"",""fr"")"),"Il tire le bar, en même temps, lui poussa les jambes.")</f>
        <v>Il tire le bar, en même temps, lui poussa les jambes.</v>
      </c>
    </row>
    <row r="15892">
      <c r="A15892" s="4" t="s">
        <v>20009</v>
      </c>
      <c r="B15892" s="4" t="s">
        <v>20013</v>
      </c>
      <c r="C15892" s="5" t="str">
        <f>IFERROR(__xludf.DUMMYFUNCTION("GOOGLETRANSLATE(B15892,""en"",""fr"")"),"Il répète le processus plusieurs fois.")</f>
        <v>Il répète le processus plusieurs fois.</v>
      </c>
    </row>
    <row r="15893">
      <c r="A15893" s="4" t="s">
        <v>20014</v>
      </c>
      <c r="B15893" s="4" t="s">
        <v>20015</v>
      </c>
      <c r="C15893" s="5" t="str">
        <f>IFERROR(__xludf.DUMMYFUNCTION("GOOGLETRANSLATE(B15893,""en"",""fr"")"),"Une personne aspirez la saleté d'un canapé avec un aspirateur à la main avec une buse de pinceau.")</f>
        <v>Une personne aspirez la saleté d'un canapé avec un aspirateur à la main avec une buse de pinceau.</v>
      </c>
    </row>
    <row r="15894">
      <c r="A15894" s="4" t="s">
        <v>20014</v>
      </c>
      <c r="B15894" s="6" t="s">
        <v>20016</v>
      </c>
      <c r="C15894" s="5" t="str">
        <f>IFERROR(__xludf.DUMMYFUNCTION("GOOGLETRANSLATE(B15894,""en"",""fr"")"),"Ensuite, la personne aspire les crevasses du canapé à l'aide d'une nouille de crevasse puis, la personne utilise un vide maintenue pour nettoyer le haut du canapé et le sol.")</f>
        <v>Ensuite, la personne aspire les crevasses du canapé à l'aide d'une nouille de crevasse puis, la personne utilise un vide maintenue pour nettoyer le haut du canapé et le sol.</v>
      </c>
    </row>
    <row r="15895">
      <c r="A15895" s="4" t="s">
        <v>20014</v>
      </c>
      <c r="B15895" s="4" t="s">
        <v>20017</v>
      </c>
      <c r="C15895" s="5" t="str">
        <f>IFERROR(__xludf.DUMMYFUNCTION("GOOGLETRANSLATE(B15895,""en"",""fr"")"),"Après, la femme montre la batterie de l'aspirateur, puis elle le garde.")</f>
        <v>Après, la femme montre la batterie de l'aspirateur, puis elle le garde.</v>
      </c>
    </row>
    <row r="15896">
      <c r="A15896" s="4" t="s">
        <v>20018</v>
      </c>
      <c r="B15896" s="4" t="s">
        <v>20019</v>
      </c>
      <c r="C15896" s="5" t="str">
        <f>IFERROR(__xludf.DUMMYFUNCTION("GOOGLETRANSLATE(B15896,""en"",""fr"")"),"Il y a une piscine extérieure avec une plongée très élevée.")</f>
        <v>Il y a une piscine extérieure avec une plongée très élevée.</v>
      </c>
    </row>
    <row r="15897">
      <c r="A15897" s="4" t="s">
        <v>20018</v>
      </c>
      <c r="B15897" s="4" t="s">
        <v>20020</v>
      </c>
      <c r="C15897" s="5" t="str">
        <f>IFERROR(__xludf.DUMMYFUNCTION("GOOGLETRANSLATE(B15897,""en"",""fr"")"),"Il y a une femme dans un maillot de bain vert qui plonge dans la piscine.")</f>
        <v>Il y a une femme dans un maillot de bain vert qui plonge dans la piscine.</v>
      </c>
    </row>
    <row r="15898">
      <c r="A15898" s="4" t="s">
        <v>20018</v>
      </c>
      <c r="B15898" s="4" t="s">
        <v>20021</v>
      </c>
      <c r="C15898" s="5" t="str">
        <f>IFERROR(__xludf.DUMMYFUNCTION("GOOGLETRANSLATE(B15898,""en"",""fr"")"),"Elle fait divers mouvements de plongée tels que l'arrière, l'avant et le brochet.")</f>
        <v>Elle fait divers mouvements de plongée tels que l'arrière, l'avant et le brochet.</v>
      </c>
    </row>
    <row r="15899">
      <c r="A15899" s="4" t="s">
        <v>20018</v>
      </c>
      <c r="B15899" s="4" t="s">
        <v>20022</v>
      </c>
      <c r="C15899" s="5" t="str">
        <f>IFERROR(__xludf.DUMMYFUNCTION("GOOGLETRANSLATE(B15899,""en"",""fr"")"),"Elle fait également la main avant de plonger rapidement dans la piscine.")</f>
        <v>Elle fait également la main avant de plonger rapidement dans la piscine.</v>
      </c>
    </row>
    <row r="15900">
      <c r="A15900" s="4" t="s">
        <v>20018</v>
      </c>
      <c r="B15900" s="4" t="s">
        <v>20023</v>
      </c>
      <c r="C15900" s="5" t="str">
        <f>IFERROR(__xludf.DUMMYFUNCTION("GOOGLETRANSLATE(B15900,""en"",""fr"")"),"Elle répète ses pas et plonge plusieurs fois dans la piscine.")</f>
        <v>Elle répète ses pas et plonge plusieurs fois dans la piscine.</v>
      </c>
    </row>
    <row r="15901">
      <c r="A15901" s="4" t="s">
        <v>20024</v>
      </c>
      <c r="B15901" s="4" t="s">
        <v>20025</v>
      </c>
      <c r="C15901" s="5" t="str">
        <f>IFERROR(__xludf.DUMMYFUNCTION("GOOGLETRANSLATE(B15901,""en"",""fr"")"),"Un petit groupe de personnes est vue debout dans un parc avec leurs bras et leurs jambes à leurs côtés.")</f>
        <v>Un petit groupe de personnes est vue debout dans un parc avec leurs bras et leurs jambes à leurs côtés.</v>
      </c>
    </row>
    <row r="15902">
      <c r="A15902" s="4" t="s">
        <v>20024</v>
      </c>
      <c r="B15902" s="4" t="s">
        <v>20026</v>
      </c>
      <c r="C15902" s="5" t="str">
        <f>IFERROR(__xludf.DUMMYFUNCTION("GOOGLETRANSLATE(B15902,""en"",""fr"")"),"Le groupe commence alors à se déplacer avec des fans entre leurs mains en bougeant les bras et leurs jambes.")</f>
        <v>Le groupe commence alors à se déplacer avec des fans entre leurs mains en bougeant les bras et leurs jambes.</v>
      </c>
    </row>
    <row r="15903">
      <c r="A15903" s="4" t="s">
        <v>20024</v>
      </c>
      <c r="B15903" s="6" t="s">
        <v>20027</v>
      </c>
      <c r="C15903" s="5" t="str">
        <f>IFERROR(__xludf.DUMMYFUNCTION("GOOGLETRANSLATE(B15903,""en"",""fr"")"),"Le groupe continue de se déplacer ensemble et se termine avec eux debout ensemble et regardant au loin.")</f>
        <v>Le groupe continue de se déplacer ensemble et se termine avec eux debout ensemble et regardant au loin.</v>
      </c>
    </row>
    <row r="15904">
      <c r="A15904" s="4" t="s">
        <v>20028</v>
      </c>
      <c r="B15904" s="4" t="s">
        <v>20029</v>
      </c>
      <c r="C15904" s="5" t="str">
        <f>IFERROR(__xludf.DUMMYFUNCTION("GOOGLETRANSLATE(B15904,""en"",""fr"")"),"Un plongeur s'étend sur une plate-forme de plongée haute se penchant à la taille.")</f>
        <v>Un plongeur s'étend sur une plate-forme de plongée haute se penchant à la taille.</v>
      </c>
    </row>
    <row r="15905">
      <c r="A15905" s="4" t="s">
        <v>20028</v>
      </c>
      <c r="B15905" s="6" t="s">
        <v>20030</v>
      </c>
      <c r="C15905" s="5" t="str">
        <f>IFERROR(__xludf.DUMMYFUNCTION("GOOGLETRANSLATE(B15905,""en"",""fr"")"),"Les serviettes de plongeur éteignent ensuite le long de sa serviette et s'approche de la fin de la plongée pour une première tentative.")</f>
        <v>Les serviettes de plongeur éteignent ensuite le long de sa serviette et s'approche de la fin de la plongée pour une première tentative.</v>
      </c>
    </row>
    <row r="15906">
      <c r="A15906" s="4" t="s">
        <v>20028</v>
      </c>
      <c r="B15906" s="4" t="s">
        <v>20031</v>
      </c>
      <c r="C15906" s="5" t="str">
        <f>IFERROR(__xludf.DUMMYFUNCTION("GOOGLETRANSLATE(B15906,""en"",""fr"")"),"Le plongeur fait plusieurs plongées en faisant des flips dans l'air avant d'atterrir dans l'eau.")</f>
        <v>Le plongeur fait plusieurs plongées en faisant des flips dans l'air avant d'atterrir dans l'eau.</v>
      </c>
    </row>
    <row r="15907">
      <c r="A15907" s="4" t="s">
        <v>20032</v>
      </c>
      <c r="B15907" s="4" t="s">
        <v>20033</v>
      </c>
      <c r="C15907" s="5" t="str">
        <f>IFERROR(__xludf.DUMMYFUNCTION("GOOGLETRANSLATE(B15907,""en"",""fr"")"),"Le verre brisé se trouve sur le sol.")</f>
        <v>Le verre brisé se trouve sur le sol.</v>
      </c>
    </row>
    <row r="15908">
      <c r="A15908" s="4" t="s">
        <v>20032</v>
      </c>
      <c r="B15908" s="4" t="s">
        <v>20034</v>
      </c>
      <c r="C15908" s="5" t="str">
        <f>IFERROR(__xludf.DUMMYFUNCTION("GOOGLETRANSLATE(B15908,""en"",""fr"")"),"Un jeune homme s'étend devant lui.")</f>
        <v>Un jeune homme s'étend devant lui.</v>
      </c>
    </row>
    <row r="15909">
      <c r="A15909" s="4" t="s">
        <v>20032</v>
      </c>
      <c r="B15909" s="4" t="s">
        <v>20035</v>
      </c>
      <c r="C15909" s="5" t="str">
        <f>IFERROR(__xludf.DUMMYFUNCTION("GOOGLETRANSLATE(B15909,""en"",""fr"")"),"Il casse ensuite les mouvements de danse.")</f>
        <v>Il casse ensuite les mouvements de danse.</v>
      </c>
    </row>
    <row r="15910">
      <c r="A15910" s="4" t="s">
        <v>20032</v>
      </c>
      <c r="B15910" s="4" t="s">
        <v>20036</v>
      </c>
      <c r="C15910" s="5" t="str">
        <f>IFERROR(__xludf.DUMMYFUNCTION("GOOGLETRANSLATE(B15910,""en"",""fr"")"),"Il met ses jambes derrière sa tête.")</f>
        <v>Il met ses jambes derrière sa tête.</v>
      </c>
    </row>
    <row r="15911">
      <c r="A15911" s="4" t="s">
        <v>20037</v>
      </c>
      <c r="B15911" s="4" t="s">
        <v>20038</v>
      </c>
      <c r="C15911" s="5" t="str">
        <f>IFERROR(__xludf.DUMMYFUNCTION("GOOGLETRANSLATE(B15911,""en"",""fr"")"),"Un garçon est assis à une table dans une pièce bondée.")</f>
        <v>Un garçon est assis à une table dans une pièce bondée.</v>
      </c>
    </row>
    <row r="15912">
      <c r="A15912" s="4" t="s">
        <v>20037</v>
      </c>
      <c r="B15912" s="4" t="s">
        <v>20039</v>
      </c>
      <c r="C15912" s="5" t="str">
        <f>IFERROR(__xludf.DUMMYFUNCTION("GOOGLETRANSLATE(B15912,""en"",""fr"")"),"Il a un Rubik's Cube et essaie de résoudre le puzzle.")</f>
        <v>Il a un Rubik's Cube et essaie de résoudre le puzzle.</v>
      </c>
    </row>
    <row r="15913">
      <c r="A15913" s="4" t="s">
        <v>20037</v>
      </c>
      <c r="B15913" s="4" t="s">
        <v>20040</v>
      </c>
      <c r="C15913" s="5" t="str">
        <f>IFERROR(__xludf.DUMMYFUNCTION("GOOGLETRANSLATE(B15913,""en"",""fr"")"),"Il se lance alors qu'il termine le cube, le jetant sur la table.")</f>
        <v>Il se lance alors qu'il termine le cube, le jetant sur la table.</v>
      </c>
    </row>
    <row r="15914">
      <c r="A15914" s="4" t="s">
        <v>20041</v>
      </c>
      <c r="B15914" s="6" t="s">
        <v>20042</v>
      </c>
      <c r="C15914" s="5" t="str">
        <f>IFERROR(__xludf.DUMMYFUNCTION("GOOGLETRANSLATE(B15914,""en"",""fr"")"),"La vidéo commence par divers mots et instructions sur la façon d'insérer et de supprimer les lentilles de contact d'Halloween.")</f>
        <v>La vidéo commence par divers mots et instructions sur la façon d'insérer et de supprimer les lentilles de contact d'Halloween.</v>
      </c>
    </row>
    <row r="15915">
      <c r="A15915" s="4" t="s">
        <v>20041</v>
      </c>
      <c r="B15915" s="6" t="s">
        <v>20043</v>
      </c>
      <c r="C15915" s="5" t="str">
        <f>IFERROR(__xludf.DUMMYFUNCTION("GOOGLETRANSLATE(B15915,""en"",""fr"")"),"Un conteneur de lentilles de contact est ensuite rempli d'une solution de contact et des contacts dans les deux côtés du conteneur.")</f>
        <v>Un conteneur de lentilles de contact est ensuite rempli d'une solution de contact et des contacts dans les deux côtés du conteneur.</v>
      </c>
    </row>
    <row r="15916">
      <c r="A15916" s="4" t="s">
        <v>20041</v>
      </c>
      <c r="B15916" s="6" t="s">
        <v>20044</v>
      </c>
      <c r="C15916" s="5" t="str">
        <f>IFERROR(__xludf.DUMMYFUNCTION("GOOGLETRANSLATE(B15916,""en"",""fr"")"),"La femme met ensuite son pouce et son doigt dans le côté gauche et sort une lentille de contact blanche et l'inserte dans son œil droit et clignote plusieurs fois comme les mots ""avec des lentilles de contact blanches"" en bas de l'écran.")</f>
        <v>La femme met ensuite son pouce et son doigt dans le côté gauche et sort une lentille de contact blanche et l'inserte dans son œil droit et clignote plusieurs fois comme les mots "avec des lentilles de contact blanches" en bas de l'écran.</v>
      </c>
    </row>
    <row r="15917">
      <c r="A15917" s="4" t="s">
        <v>20041</v>
      </c>
      <c r="B15917" s="6" t="s">
        <v>20045</v>
      </c>
      <c r="C15917" s="5" t="str">
        <f>IFERROR(__xludf.DUMMYFUNCTION("GOOGLETRANSLATE(B15917,""en"",""fr"")"),"La femme atteint le côté droit du récipient de lentille de contact et retire l'autre lentille de contact et l'inserte dans son œil gauche, puis clignote plusieurs fois.")</f>
        <v>La femme atteint le côté droit du récipient de lentille de contact et retire l'autre lentille de contact et l'inserte dans son œil gauche, puis clignote plusieurs fois.</v>
      </c>
    </row>
    <row r="15918">
      <c r="A15918" s="4" t="s">
        <v>20041</v>
      </c>
      <c r="B15918" s="6" t="s">
        <v>20046</v>
      </c>
      <c r="C15918" s="5" t="str">
        <f>IFERROR(__xludf.DUMMYFUNCTION("GOOGLETRANSLATE(B15918,""en"",""fr"")"),"La femme se retire ensuite dans son œil gauche en premier, puis dans sa droite pour retirer les lentilles de contact et une photo d'eux assise dans le conteneur de l'objectif de contact apparaît.")</f>
        <v>La femme se retire ensuite dans son œil gauche en premier, puis dans sa droite pour retirer les lentilles de contact et une photo d'eux assise dans le conteneur de l'objectif de contact apparaît.</v>
      </c>
    </row>
    <row r="15919">
      <c r="A15919" s="4" t="s">
        <v>20041</v>
      </c>
      <c r="B15919" s="6" t="s">
        <v>20047</v>
      </c>
      <c r="C15919" s="5" t="str">
        <f>IFERROR(__xludf.DUMMYFUNCTION("GOOGLETRANSLATE(B15919,""en"",""fr"")"),"La vidéo se termine par un écran vous indiquant de vous abonner à leur chaîne YouTube pour des vidéos plus utiles.")</f>
        <v>La vidéo se termine par un écran vous indiquant de vous abonner à leur chaîne YouTube pour des vidéos plus utiles.</v>
      </c>
    </row>
    <row r="15920">
      <c r="A15920" s="4" t="s">
        <v>20048</v>
      </c>
      <c r="B15920" s="4" t="s">
        <v>20049</v>
      </c>
      <c r="C15920" s="5" t="str">
        <f>IFERROR(__xludf.DUMMYFUNCTION("GOOGLETRANSLATE(B15920,""en"",""fr"")"),"Une femme et un homme ratissent les feuilles à l'extérieur de leur maison.")</f>
        <v>Une femme et un homme ratissent les feuilles à l'extérieur de leur maison.</v>
      </c>
    </row>
    <row r="15921">
      <c r="A15921" s="4" t="s">
        <v>20048</v>
      </c>
      <c r="B15921" s="4" t="s">
        <v>20050</v>
      </c>
      <c r="C15921" s="5" t="str">
        <f>IFERROR(__xludf.DUMMYFUNCTION("GOOGLETRANSLATE(B15921,""en"",""fr"")"),"Ils déplacent les feuilles dans un foyer, les brûlant.")</f>
        <v>Ils déplacent les feuilles dans un foyer, les brûlant.</v>
      </c>
    </row>
    <row r="15922">
      <c r="A15922" s="4" t="s">
        <v>20051</v>
      </c>
      <c r="B15922" s="4" t="s">
        <v>20052</v>
      </c>
      <c r="C15922" s="5" t="str">
        <f>IFERROR(__xludf.DUMMYFUNCTION("GOOGLETRANSLATE(B15922,""en"",""fr"")"),"Les garçons se débattent dans un match pour une grande foule.")</f>
        <v>Les garçons se débattent dans un match pour une grande foule.</v>
      </c>
    </row>
    <row r="15923">
      <c r="A15923" s="4" t="s">
        <v>20051</v>
      </c>
      <c r="B15923" s="4" t="s">
        <v>20053</v>
      </c>
      <c r="C15923" s="5" t="str">
        <f>IFERROR(__xludf.DUMMYFUNCTION("GOOGLETRANSLATE(B15923,""en"",""fr"")"),"La foule félicite le vainqueur.")</f>
        <v>La foule félicite le vainqueur.</v>
      </c>
    </row>
    <row r="15924">
      <c r="A15924" s="4" t="s">
        <v>20051</v>
      </c>
      <c r="B15924" s="4" t="s">
        <v>20054</v>
      </c>
      <c r="C15924" s="5" t="str">
        <f>IFERROR(__xludf.DUMMYFUNCTION("GOOGLETRANSLATE(B15924,""en"",""fr"")"),"Les deux garçons serrent la main après le match.")</f>
        <v>Les deux garçons serrent la main après le match.</v>
      </c>
    </row>
    <row r="15925">
      <c r="A15925" s="4" t="s">
        <v>20055</v>
      </c>
      <c r="B15925" s="4" t="s">
        <v>20056</v>
      </c>
      <c r="C15925" s="5" t="str">
        <f>IFERROR(__xludf.DUMMYFUNCTION("GOOGLETRANSLATE(B15925,""en"",""fr"")"),"Un jeune garçon est vu portant un casque, parlant à la caméra et en tenant des coussinets.")</f>
        <v>Un jeune garçon est vu portant un casque, parlant à la caméra et en tenant des coussinets.</v>
      </c>
    </row>
    <row r="15926">
      <c r="A15926" s="4" t="s">
        <v>20055</v>
      </c>
      <c r="B15926" s="6" t="s">
        <v>20057</v>
      </c>
      <c r="C15926" s="5" t="str">
        <f>IFERROR(__xludf.DUMMYFUNCTION("GOOGLETRANSLATE(B15926,""en"",""fr"")"),"Le garçon est ensuite montré dans divers clips roulant sur la planche tout en parlant à la caméra.")</f>
        <v>Le garçon est ensuite montré dans divers clips roulant sur la planche tout en parlant à la caméra.</v>
      </c>
    </row>
    <row r="15927">
      <c r="A15927" s="4" t="s">
        <v>20055</v>
      </c>
      <c r="B15927" s="6" t="s">
        <v>20058</v>
      </c>
      <c r="C15927" s="5" t="str">
        <f>IFERROR(__xludf.DUMMYFUNCTION("GOOGLETRANSLATE(B15927,""en"",""fr"")"),"Le garçon montre comment effectuer des mouvements de patinage appropriés tout en se penchant et en saisissant sa planche.")</f>
        <v>Le garçon montre comment effectuer des mouvements de patinage appropriés tout en se penchant et en saisissant sa planche.</v>
      </c>
    </row>
    <row r="15928">
      <c r="A15928" s="4" t="s">
        <v>20059</v>
      </c>
      <c r="B15928" s="4" t="s">
        <v>20060</v>
      </c>
      <c r="C15928" s="5" t="str">
        <f>IFERROR(__xludf.DUMMYFUNCTION("GOOGLETRANSLATE(B15928,""en"",""fr"")"),"Un homme parle au téléphone.")</f>
        <v>Un homme parle au téléphone.</v>
      </c>
    </row>
    <row r="15929">
      <c r="A15929" s="4" t="s">
        <v>20059</v>
      </c>
      <c r="B15929" s="4" t="s">
        <v>20061</v>
      </c>
      <c r="C15929" s="5" t="str">
        <f>IFERROR(__xludf.DUMMYFUNCTION("GOOGLETRANSLATE(B15929,""en"",""fr"")"),"L'homme met une cigarette dans sa bouche.")</f>
        <v>L'homme met une cigarette dans sa bouche.</v>
      </c>
    </row>
    <row r="15930">
      <c r="A15930" s="4" t="s">
        <v>20059</v>
      </c>
      <c r="B15930" s="4" t="s">
        <v>20062</v>
      </c>
      <c r="C15930" s="5" t="str">
        <f>IFERROR(__xludf.DUMMYFUNCTION("GOOGLETRANSLATE(B15930,""en"",""fr"")"),"L'homme allume la cigarette.")</f>
        <v>L'homme allume la cigarette.</v>
      </c>
    </row>
    <row r="15931">
      <c r="A15931" s="4" t="s">
        <v>20059</v>
      </c>
      <c r="B15931" s="4" t="s">
        <v>20063</v>
      </c>
      <c r="C15931" s="5" t="str">
        <f>IFERROR(__xludf.DUMMYFUNCTION("GOOGLETRANSLATE(B15931,""en"",""fr"")"),"L'homme retire la cigarette de sa bouche et la tient dans sa main.")</f>
        <v>L'homme retire la cigarette de sa bouche et la tient dans sa main.</v>
      </c>
    </row>
    <row r="15932">
      <c r="A15932" s="4" t="s">
        <v>20064</v>
      </c>
      <c r="B15932" s="4" t="s">
        <v>20065</v>
      </c>
      <c r="C15932" s="5" t="str">
        <f>IFERROR(__xludf.DUMMYFUNCTION("GOOGLETRANSLATE(B15932,""en"",""fr"")"),"Un groupe d'adultes joue un jeu de beach-volley.")</f>
        <v>Un groupe d'adultes joue un jeu de beach-volley.</v>
      </c>
    </row>
    <row r="15933">
      <c r="A15933" s="4" t="s">
        <v>20064</v>
      </c>
      <c r="B15933" s="4" t="s">
        <v>20066</v>
      </c>
      <c r="C15933" s="5" t="str">
        <f>IFERROR(__xludf.DUMMYFUNCTION("GOOGLETRANSLATE(B15933,""en"",""fr"")"),"Des groupes d'enfants d'enfants jouent un jeu de plage de beach-volley.")</f>
        <v>Des groupes d'enfants d'enfants jouent un jeu de plage de beach-volley.</v>
      </c>
    </row>
    <row r="15934">
      <c r="A15934" s="4" t="s">
        <v>20064</v>
      </c>
      <c r="B15934" s="4" t="s">
        <v>20067</v>
      </c>
      <c r="C15934" s="5" t="str">
        <f>IFERROR(__xludf.DUMMYFUNCTION("GOOGLETRANSLATE(B15934,""en"",""fr"")"),"Les règles sont affichées pour le jeu.")</f>
        <v>Les règles sont affichées pour le jeu.</v>
      </c>
    </row>
    <row r="15935">
      <c r="A15935" s="4" t="s">
        <v>20064</v>
      </c>
      <c r="B15935" s="4" t="s">
        <v>20068</v>
      </c>
      <c r="C15935" s="5" t="str">
        <f>IFERROR(__xludf.DUMMYFUNCTION("GOOGLETRANSLATE(B15935,""en"",""fr"")"),"Un groupe de filles joue un jeu de volley.")</f>
        <v>Un groupe de filles joue un jeu de volley.</v>
      </c>
    </row>
    <row r="15936">
      <c r="A15936" s="4" t="s">
        <v>20064</v>
      </c>
      <c r="B15936" s="4" t="s">
        <v>20069</v>
      </c>
      <c r="C15936" s="5" t="str">
        <f>IFERROR(__xludf.DUMMYFUNCTION("GOOGLETRANSLATE(B15936,""en"",""fr"")"),"Un groupe d'adultes joue un match de volley-ball par une journée couverte.")</f>
        <v>Un groupe d'adultes joue un match de volley-ball par une journée couverte.</v>
      </c>
    </row>
    <row r="15937">
      <c r="A15937" s="4" t="s">
        <v>20070</v>
      </c>
      <c r="B15937" s="4" t="s">
        <v>20071</v>
      </c>
      <c r="C15937" s="5" t="str">
        <f>IFERROR(__xludf.DUMMYFUNCTION("GOOGLETRANSLATE(B15937,""en"",""fr"")"),"Un stade est vu d'en haut avec un large public.")</f>
        <v>Un stade est vu d'en haut avec un large public.</v>
      </c>
    </row>
    <row r="15938">
      <c r="A15938" s="4" t="s">
        <v>20070</v>
      </c>
      <c r="B15938" s="4" t="s">
        <v>20072</v>
      </c>
      <c r="C15938" s="5" t="str">
        <f>IFERROR(__xludf.DUMMYFUNCTION("GOOGLETRANSLATE(B15938,""en"",""fr"")"),"Les gymnastes rivalisent dans un événement et font une routine de plate-forme stationnaire avec des poignées à main.")</f>
        <v>Les gymnastes rivalisent dans un événement et font une routine de plate-forme stationnaire avec des poignées à main.</v>
      </c>
    </row>
    <row r="15939">
      <c r="A15939" s="4" t="s">
        <v>20070</v>
      </c>
      <c r="B15939" s="4" t="s">
        <v>20073</v>
      </c>
      <c r="C15939" s="5" t="str">
        <f>IFERROR(__xludf.DUMMYFUNCTION("GOOGLETRANSLATE(B15939,""en"",""fr"")"),"Les médaillés de la compétition reçoivent leurs récompenses et se tiennent ensemble.")</f>
        <v>Les médaillés de la compétition reçoivent leurs récompenses et se tiennent ensemble.</v>
      </c>
    </row>
    <row r="15940">
      <c r="A15940" s="4" t="s">
        <v>20070</v>
      </c>
      <c r="B15940" s="4" t="s">
        <v>20074</v>
      </c>
      <c r="C15940" s="5" t="str">
        <f>IFERROR(__xludf.DUMMYFUNCTION("GOOGLETRANSLATE(B15940,""en"",""fr"")"),"Les athlètes donnent des interviews après la compétition.")</f>
        <v>Les athlètes donnent des interviews après la compétition.</v>
      </c>
    </row>
    <row r="15941">
      <c r="A15941" s="4" t="s">
        <v>20075</v>
      </c>
      <c r="B15941" s="6" t="s">
        <v>20076</v>
      </c>
      <c r="C15941" s="5" t="str">
        <f>IFERROR(__xludf.DUMMYFUNCTION("GOOGLETRANSLATE(B15941,""en"",""fr"")"),"La femme est devant un miroir, faites un bâillement et boit du rince-bouche et crachez-le dans le lavage des mains et des smils à la caméra.")</f>
        <v>La femme est devant un miroir, faites un bâillement et boit du rince-bouche et crachez-le dans le lavage des mains et des smils à la caméra.</v>
      </c>
    </row>
    <row r="15942">
      <c r="A15942" s="4" t="s">
        <v>20075</v>
      </c>
      <c r="B15942" s="6" t="s">
        <v>20077</v>
      </c>
      <c r="C15942" s="5" t="str">
        <f>IFERROR(__xludf.DUMMYFUNCTION("GOOGLETRANSLATE(B15942,""en"",""fr"")"),"L'homme se tient devant le miroir, essayez d'ouvrir la bouteille de rince-bouche et les boit et en est dégoûté.")</f>
        <v>L'homme se tient devant le miroir, essayez d'ouvrir la bouteille de rince-bouche et les boit et en est dégoûté.</v>
      </c>
    </row>
    <row r="15943">
      <c r="A15943" s="4" t="s">
        <v>20078</v>
      </c>
      <c r="B15943" s="4" t="s">
        <v>20079</v>
      </c>
      <c r="C15943" s="5" t="str">
        <f>IFERROR(__xludf.DUMMYFUNCTION("GOOGLETRANSLATE(B15943,""en"",""fr"")"),"Diverses intro du texte mènent à un homme qui tient un lancer de poids et se tourne autour.")</f>
        <v>Diverses intro du texte mènent à un homme qui tient un lancer de poids et se tourne autour.</v>
      </c>
    </row>
    <row r="15944">
      <c r="A15944" s="4" t="s">
        <v>20078</v>
      </c>
      <c r="B15944" s="4" t="s">
        <v>20080</v>
      </c>
      <c r="C15944" s="5" t="str">
        <f>IFERROR(__xludf.DUMMYFUNCTION("GOOGLETRANSLATE(B15944,""en"",""fr"")"),"L'homme jette l'objet au loin lorsque la caméra suit son lancer.")</f>
        <v>L'homme jette l'objet au loin lorsque la caméra suit son lancer.</v>
      </c>
    </row>
    <row r="15945">
      <c r="A15945" s="4" t="s">
        <v>20081</v>
      </c>
      <c r="B15945" s="4" t="s">
        <v>20082</v>
      </c>
      <c r="C15945" s="5" t="str">
        <f>IFERROR(__xludf.DUMMYFUNCTION("GOOGLETRANSLATE(B15945,""en"",""fr"")"),"Plusieurs femmes se déplacent autour d'un gymnase effectuant divers exercices sur une poutre.")</f>
        <v>Plusieurs femmes se déplacent autour d'un gymnase effectuant divers exercices sur une poutre.</v>
      </c>
    </row>
    <row r="15946">
      <c r="A15946" s="4" t="s">
        <v>20081</v>
      </c>
      <c r="B15946" s="6" t="s">
        <v>20083</v>
      </c>
      <c r="C15946" s="5" t="str">
        <f>IFERROR(__xludf.DUMMYFUNCTION("GOOGLETRANSLATE(B15946,""en"",""fr"")"),"La femme continue de sauter de haut en bas et mène à un pneu en déplaçant un pneu et en sautant de haut en bas d'un sac.")</f>
        <v>La femme continue de sauter de haut en bas et mène à un pneu en déplaçant un pneu et en sautant de haut en bas d'un sac.</v>
      </c>
    </row>
    <row r="15947">
      <c r="A15947" s="4" t="s">
        <v>20081</v>
      </c>
      <c r="B15947" s="4" t="s">
        <v>20084</v>
      </c>
      <c r="C15947" s="5" t="str">
        <f>IFERROR(__xludf.DUMMYFUNCTION("GOOGLETRANSLATE(B15947,""en"",""fr"")"),"L'entraîneur parle ensuite à la caméra.")</f>
        <v>L'entraîneur parle ensuite à la caméra.</v>
      </c>
    </row>
    <row r="15948">
      <c r="A15948" s="4" t="s">
        <v>20085</v>
      </c>
      <c r="B15948" s="6" t="s">
        <v>20086</v>
      </c>
      <c r="C15948" s="5" t="str">
        <f>IFERROR(__xludf.DUMMYFUNCTION("GOOGLETRANSLATE(B15948,""en"",""fr"")"),"Un homme chauve et une femme portant un mouchoir dans son stand de cheveux et agitent à côté d'un bus personnalisé.")</f>
        <v>Un homme chauve et une femme portant un mouchoir dans son stand de cheveux et agitent à côté d'un bus personnalisé.</v>
      </c>
    </row>
    <row r="15949">
      <c r="A15949" s="4" t="s">
        <v>20085</v>
      </c>
      <c r="B15949" s="4" t="s">
        <v>20087</v>
      </c>
      <c r="C15949" s="5" t="str">
        <f>IFERROR(__xludf.DUMMYFUNCTION("GOOGLETRANSLATE(B15949,""en"",""fr"")"),"La dame annonce une boule de crème glacée à un cône de sucre.")</f>
        <v>La dame annonce une boule de crème glacée à un cône de sucre.</v>
      </c>
    </row>
    <row r="15950">
      <c r="A15950" s="4" t="s">
        <v>20085</v>
      </c>
      <c r="B15950" s="4" t="s">
        <v>20088</v>
      </c>
      <c r="C15950" s="5" t="str">
        <f>IFERROR(__xludf.DUMMYFUNCTION("GOOGLETRANSLATE(B15950,""en"",""fr"")"),"L'homme à tête chauve place un menu sur le côté du bus.")</f>
        <v>L'homme à tête chauve place un menu sur le côté du bus.</v>
      </c>
    </row>
    <row r="15951">
      <c r="A15951" s="4" t="s">
        <v>20085</v>
      </c>
      <c r="B15951" s="4" t="s">
        <v>20089</v>
      </c>
      <c r="C15951" s="5" t="str">
        <f>IFERROR(__xludf.DUMMYFUNCTION("GOOGLETRANSLATE(B15951,""en"",""fr"")"),"La dame du bus glacier remet un cornet de crème glacée à un client.")</f>
        <v>La dame du bus glacier remet un cornet de crème glacée à un client.</v>
      </c>
    </row>
    <row r="15952">
      <c r="A15952" s="4" t="s">
        <v>20085</v>
      </c>
      <c r="B15952" s="4" t="s">
        <v>20090</v>
      </c>
      <c r="C15952" s="5" t="str">
        <f>IFERROR(__xludf.DUMMYFUNCTION("GOOGLETRANSLATE(B15952,""en"",""fr"")"),"Plusieurs images et clips de nombreuses personnes différentes mangeant et montrant leur glace.")</f>
        <v>Plusieurs images et clips de nombreuses personnes différentes mangeant et montrant leur glace.</v>
      </c>
    </row>
    <row r="15953">
      <c r="A15953" s="4" t="s">
        <v>20085</v>
      </c>
      <c r="B15953" s="6" t="s">
        <v>20091</v>
      </c>
      <c r="C15953" s="5" t="str">
        <f>IFERROR(__xludf.DUMMYFUNCTION("GOOGLETRANSLATE(B15953,""en"",""fr"")"),"L'homme chauve et la dame à l'intérieur du bus de crème glacée sont représentés en travaillant et en ramassant des fournitures car plus d'images de clients mangent et montrent leurs friandises de crème glacée.")</f>
        <v>L'homme chauve et la dame à l'intérieur du bus de crème glacée sont représentés en travaillant et en ramassant des fournitures car plus d'images de clients mangent et montrent leurs friandises de crème glacée.</v>
      </c>
    </row>
    <row r="15954">
      <c r="A15954" s="4" t="s">
        <v>20092</v>
      </c>
      <c r="B15954" s="4" t="s">
        <v>20093</v>
      </c>
      <c r="C15954" s="5" t="str">
        <f>IFERROR(__xludf.DUMMYFUNCTION("GOOGLETRANSLATE(B15954,""en"",""fr"")"),"Un groupe de motards descendait une rue animée remplie de voitures.")</f>
        <v>Un groupe de motards descendait une rue animée remplie de voitures.</v>
      </c>
    </row>
    <row r="15955">
      <c r="A15955" s="4" t="s">
        <v>20092</v>
      </c>
      <c r="B15955" s="4" t="s">
        <v>20094</v>
      </c>
      <c r="C15955" s="5" t="str">
        <f>IFERROR(__xludf.DUMMYFUNCTION("GOOGLETRANSLATE(B15955,""en"",""fr"")"),"Ils sont vus avec des caméras montées sur des planches à roulettes avant de commencer à embarquer dans la circulation.")</f>
        <v>Ils sont vus avec des caméras montées sur des planches à roulettes avant de commencer à embarquer dans la circulation.</v>
      </c>
    </row>
    <row r="15956">
      <c r="A15956" s="4" t="s">
        <v>20092</v>
      </c>
      <c r="B15956" s="4" t="s">
        <v>20095</v>
      </c>
      <c r="C15956" s="5" t="str">
        <f>IFERROR(__xludf.DUMMYFUNCTION("GOOGLETRANSLATE(B15956,""en"",""fr"")"),"L'homme démonte sa planche et enlève son casque avant de courir.")</f>
        <v>L'homme démonte sa planche et enlève son casque avant de courir.</v>
      </c>
    </row>
    <row r="15957">
      <c r="A15957" s="4" t="s">
        <v>20096</v>
      </c>
      <c r="B15957" s="4" t="s">
        <v>20097</v>
      </c>
      <c r="C15957" s="5" t="str">
        <f>IFERROR(__xludf.DUMMYFUNCTION("GOOGLETRANSLATE(B15957,""en"",""fr"")"),"Une femme est vue debout au bout d'un plongeon avec ses bras vers le bas et face à l'avant.")</f>
        <v>Une femme est vue debout au bout d'un plongeon avec ses bras vers le bas et face à l'avant.</v>
      </c>
    </row>
    <row r="15958">
      <c r="A15958" s="4" t="s">
        <v>20096</v>
      </c>
      <c r="B15958" s="4" t="s">
        <v>20098</v>
      </c>
      <c r="C15958" s="5" t="str">
        <f>IFERROR(__xludf.DUMMYFUNCTION("GOOGLETRANSLATE(B15958,""en"",""fr"")"),"La femme commence alors à sauter de haut en bas sur la planche et à repousser dans l'eau.")</f>
        <v>La femme commence alors à sauter de haut en bas sur la planche et à repousser dans l'eau.</v>
      </c>
    </row>
    <row r="15959">
      <c r="A15959" s="4" t="s">
        <v>20099</v>
      </c>
      <c r="B15959" s="6" t="s">
        <v>20100</v>
      </c>
      <c r="C15959" s="5" t="str">
        <f>IFERROR(__xludf.DUMMYFUNCTION("GOOGLETRANSLATE(B15959,""en"",""fr"")"),"Un gros plan à l'intérieur d'un navire spatial est montré suivi par une femme aux cheveux fous qui parlent dans le microphone.")</f>
        <v>Un gros plan à l'intérieur d'un navire spatial est montré suivi par une femme aux cheveux fous qui parlent dans le microphone.</v>
      </c>
    </row>
    <row r="15960">
      <c r="A15960" s="4" t="s">
        <v>20099</v>
      </c>
      <c r="B15960" s="4" t="s">
        <v>20101</v>
      </c>
      <c r="C15960" s="5" t="str">
        <f>IFERROR(__xludf.DUMMYFUNCTION("GOOGLETRANSLATE(B15960,""en"",""fr"")"),"Elle joue ensuite une chanson sur une flûte avec des photos d'un autre homme dans un endroit différent jouant une flûte.")</f>
        <v>Elle joue ensuite une chanson sur une flûte avec des photos d'un autre homme dans un endroit différent jouant une flûte.</v>
      </c>
    </row>
    <row r="15961">
      <c r="A15961" s="4" t="s">
        <v>20099</v>
      </c>
      <c r="B15961" s="6" t="s">
        <v>20102</v>
      </c>
      <c r="C15961" s="5" t="str">
        <f>IFERROR(__xludf.DUMMYFUNCTION("GOOGLETRANSLATE(B15961,""en"",""fr"")"),"La caméra repousse et quatrième entre les deux et se termine par l'homme parlant à la caméra, la femme en train de reculer et l'homme solutant.")</f>
        <v>La caméra repousse et quatrième entre les deux et se termine par l'homme parlant à la caméra, la femme en train de reculer et l'homme solutant.</v>
      </c>
    </row>
    <row r="15962">
      <c r="A15962" s="4" t="s">
        <v>20103</v>
      </c>
      <c r="B15962" s="4" t="s">
        <v>20104</v>
      </c>
      <c r="C15962" s="5" t="str">
        <f>IFERROR(__xludf.DUMMYFUNCTION("GOOGLETRANSLATE(B15962,""en"",""fr"")"),"Un homme est vu essuyer une porte, puis met une grande affiche sur la porte.")</f>
        <v>Un homme est vu essuyer une porte, puis met une grande affiche sur la porte.</v>
      </c>
    </row>
    <row r="15963">
      <c r="A15963" s="4" t="s">
        <v>20103</v>
      </c>
      <c r="B15963" s="6" t="s">
        <v>20105</v>
      </c>
      <c r="C15963" s="5" t="str">
        <f>IFERROR(__xludf.DUMMYFUNCTION("GOOGLETRANSLATE(B15963,""en"",""fr"")"),"Il pose le papier et coupe les bords, se terminant par plusieurs photos d'affiches montrées et comment acheter.")</f>
        <v>Il pose le papier et coupe les bords, se terminant par plusieurs photos d'affiches montrées et comment acheter.</v>
      </c>
    </row>
    <row r="15964">
      <c r="A15964" s="4" t="s">
        <v>20106</v>
      </c>
      <c r="B15964" s="4" t="s">
        <v>20107</v>
      </c>
      <c r="C15964" s="5" t="str">
        <f>IFERROR(__xludf.DUMMYFUNCTION("GOOGLETRANSLATE(B15964,""en"",""fr"")"),"Des sacs de glaçage sont assis sur un comptoir.")</f>
        <v>Des sacs de glaçage sont assis sur un comptoir.</v>
      </c>
    </row>
    <row r="15965">
      <c r="A15965" s="4" t="s">
        <v>20106</v>
      </c>
      <c r="B15965" s="4" t="s">
        <v>20108</v>
      </c>
      <c r="C15965" s="5" t="str">
        <f>IFERROR(__xludf.DUMMYFUNCTION("GOOGLETRANSLATE(B15965,""en"",""fr"")"),"Quelqu'un met le glaçage dans le gâteau et les moules à muffins.")</f>
        <v>Quelqu'un met le glaçage dans le gâteau et les moules à muffins.</v>
      </c>
    </row>
    <row r="15966">
      <c r="A15966" s="4" t="s">
        <v>20106</v>
      </c>
      <c r="B15966" s="4" t="s">
        <v>20109</v>
      </c>
      <c r="C15966" s="5" t="str">
        <f>IFERROR(__xludf.DUMMYFUNCTION("GOOGLETRANSLATE(B15966,""en"",""fr"")"),"Ils les font cuire au four.")</f>
        <v>Ils les font cuire au four.</v>
      </c>
    </row>
    <row r="15967">
      <c r="A15967" s="4" t="s">
        <v>20106</v>
      </c>
      <c r="B15967" s="4" t="s">
        <v>20110</v>
      </c>
      <c r="C15967" s="5" t="str">
        <f>IFERROR(__xludf.DUMMYFUNCTION("GOOGLETRANSLATE(B15967,""en"",""fr"")"),"Ils les ont mis sur une assiette et commencent à les glacer.")</f>
        <v>Ils les ont mis sur une assiette et commencent à les glacer.</v>
      </c>
    </row>
    <row r="15968">
      <c r="A15968" s="4" t="s">
        <v>20111</v>
      </c>
      <c r="B15968" s="4" t="s">
        <v>20112</v>
      </c>
      <c r="C15968" s="5" t="str">
        <f>IFERROR(__xludf.DUMMYFUNCTION("GOOGLETRANSLATE(B15968,""en"",""fr"")"),"Une femme est montrée en dehors des cinq enfants de deux enfants qui jouent près d'elle.")</f>
        <v>Une femme est montrée en dehors des cinq enfants de deux enfants qui jouent près d'elle.</v>
      </c>
    </row>
    <row r="15969">
      <c r="A15969" s="4" t="s">
        <v>20111</v>
      </c>
      <c r="B15969" s="4" t="s">
        <v>20113</v>
      </c>
      <c r="C15969" s="5" t="str">
        <f>IFERROR(__xludf.DUMMYFUNCTION("GOOGLETRANSLATE(B15969,""en"",""fr"")"),"La femme aide la fille à descendre et saute le long du sol jusqu'à ce qu'elle tombe.")</f>
        <v>La femme aide la fille à descendre et saute le long du sol jusqu'à ce qu'elle tombe.</v>
      </c>
    </row>
    <row r="15970">
      <c r="A15970" s="4" t="s">
        <v>20114</v>
      </c>
      <c r="B15970" s="4" t="s">
        <v>20115</v>
      </c>
      <c r="C15970" s="5" t="str">
        <f>IFERROR(__xludf.DUMMYFUNCTION("GOOGLETRANSLATE(B15970,""en"",""fr"")"),"Une femme regarde fixement la caméra.")</f>
        <v>Une femme regarde fixement la caméra.</v>
      </c>
    </row>
    <row r="15971">
      <c r="A15971" s="4" t="s">
        <v>20114</v>
      </c>
      <c r="B15971" s="4" t="s">
        <v>20116</v>
      </c>
      <c r="C15971" s="5" t="str">
        <f>IFERROR(__xludf.DUMMYFUNCTION("GOOGLETRANSLATE(B15971,""en"",""fr"")"),"Elle prend un verre de thé.")</f>
        <v>Elle prend un verre de thé.</v>
      </c>
    </row>
    <row r="15972">
      <c r="A15972" s="4" t="s">
        <v>20114</v>
      </c>
      <c r="B15972" s="4" t="s">
        <v>20117</v>
      </c>
      <c r="C15972" s="5" t="str">
        <f>IFERROR(__xludf.DUMMYFUNCTION("GOOGLETRANSLATE(B15972,""en"",""fr"")"),"Elle répète exactement la même action.")</f>
        <v>Elle répète exactement la même action.</v>
      </c>
    </row>
    <row r="15973">
      <c r="A15973" s="4" t="s">
        <v>20114</v>
      </c>
      <c r="B15973" s="4" t="s">
        <v>20118</v>
      </c>
      <c r="C15973" s="5" t="str">
        <f>IFERROR(__xludf.DUMMYFUNCTION("GOOGLETRANSLATE(B15973,""en"",""fr"")"),"Elle prend ensuite un autre verre et fait un visage menaçant.")</f>
        <v>Elle prend ensuite un autre verre et fait un visage menaçant.</v>
      </c>
    </row>
    <row r="15974">
      <c r="A15974" s="4" t="s">
        <v>20119</v>
      </c>
      <c r="B15974" s="4" t="s">
        <v>20120</v>
      </c>
      <c r="C15974" s="5" t="str">
        <f>IFERROR(__xludf.DUMMYFUNCTION("GOOGLETRANSLATE(B15974,""en"",""fr"")"),"Un garçon et son chien sont vus nager sous l'eau dans un grand bol.")</f>
        <v>Un garçon et son chien sont vus nager sous l'eau dans un grand bol.</v>
      </c>
    </row>
    <row r="15975">
      <c r="A15975" s="4" t="s">
        <v>20119</v>
      </c>
      <c r="B15975" s="4" t="s">
        <v>20121</v>
      </c>
      <c r="C15975" s="5" t="str">
        <f>IFERROR(__xludf.DUMMYFUNCTION("GOOGLETRANSLATE(B15975,""en"",""fr"")"),"Les deux viennent au-dessus de la surface et le chien court pendant que le garçon se frotte les yeux.")</f>
        <v>Les deux viennent au-dessus de la surface et le chien court pendant que le garçon se frotte les yeux.</v>
      </c>
    </row>
    <row r="15976">
      <c r="A15976" s="4" t="s">
        <v>20122</v>
      </c>
      <c r="B15976" s="4" t="s">
        <v>20123</v>
      </c>
      <c r="C15976" s="5" t="str">
        <f>IFERROR(__xludf.DUMMYFUNCTION("GOOGLETRANSLATE(B15976,""en"",""fr"")"),"Un homme se tient dans une chambre à pratiquer son violon.")</f>
        <v>Un homme se tient dans une chambre à pratiquer son violon.</v>
      </c>
    </row>
    <row r="15977">
      <c r="A15977" s="4" t="s">
        <v>20122</v>
      </c>
      <c r="B15977" s="6" t="s">
        <v>20124</v>
      </c>
      <c r="C15977" s="5" t="str">
        <f>IFERROR(__xludf.DUMMYFUNCTION("GOOGLETRANSLATE(B15977,""en"",""fr"")"),"Un autre jour passe et il fait maintenant la lumière du soleil à l'extérieur alors que le garçon s'entraîne à jouer à nouveau son instrument.")</f>
        <v>Un autre jour passe et il fait maintenant la lumière du soleil à l'extérieur alors que le garçon s'entraîne à jouer à nouveau son instrument.</v>
      </c>
    </row>
    <row r="15978">
      <c r="A15978" s="4" t="s">
        <v>20122</v>
      </c>
      <c r="B15978" s="4" t="s">
        <v>20125</v>
      </c>
      <c r="C15978" s="5" t="str">
        <f>IFERROR(__xludf.DUMMYFUNCTION("GOOGLETRANSLATE(B15978,""en"",""fr"")"),"La pratique continue pendant plusieurs jours dans la même pièce et se termine jusqu'au jour 7.")</f>
        <v>La pratique continue pendant plusieurs jours dans la même pièce et se termine jusqu'au jour 7.</v>
      </c>
    </row>
    <row r="15979">
      <c r="A15979" s="4" t="s">
        <v>20122</v>
      </c>
      <c r="B15979" s="6" t="s">
        <v>20126</v>
      </c>
      <c r="C15979" s="5" t="str">
        <f>IFERROR(__xludf.DUMMYFUNCTION("GOOGLETRANSLATE(B15979,""en"",""fr"")"),"Enfin, l'homme prend un ensemble dans la pièce et commence à parler et à démontrer des moyens efficaces de tenir le violon et de le jouer efficacement.")</f>
        <v>Enfin, l'homme prend un ensemble dans la pièce et commence à parler et à démontrer des moyens efficaces de tenir le violon et de le jouer efficacement.</v>
      </c>
    </row>
    <row r="15980">
      <c r="A15980" s="4" t="s">
        <v>20127</v>
      </c>
      <c r="B15980" s="4" t="s">
        <v>20128</v>
      </c>
      <c r="C15980" s="5" t="str">
        <f>IFERROR(__xludf.DUMMYFUNCTION("GOOGLETRANSLATE(B15980,""en"",""fr"")"),"Nous voyons un écran d'ouverture sur le noir.")</f>
        <v>Nous voyons un écran d'ouverture sur le noir.</v>
      </c>
    </row>
    <row r="15981">
      <c r="A15981" s="4" t="s">
        <v>20127</v>
      </c>
      <c r="B15981" s="4" t="s">
        <v>20129</v>
      </c>
      <c r="C15981" s="5" t="str">
        <f>IFERROR(__xludf.DUMMYFUNCTION("GOOGLETRANSLATE(B15981,""en"",""fr"")"),"Nous voyons un homme et une femme laver la vaisselle et parler.")</f>
        <v>Nous voyons un homme et une femme laver la vaisselle et parler.</v>
      </c>
    </row>
    <row r="15982">
      <c r="A15982" s="4" t="s">
        <v>20127</v>
      </c>
      <c r="B15982" s="4" t="s">
        <v>20130</v>
      </c>
      <c r="C15982" s="5" t="str">
        <f>IFERROR(__xludf.DUMMYFUNCTION("GOOGLETRANSLATE(B15982,""en"",""fr"")"),"Une image d'une dame apparaît à l'écran.")</f>
        <v>Une image d'une dame apparaît à l'écran.</v>
      </c>
    </row>
    <row r="15983">
      <c r="A15983" s="4" t="s">
        <v>20127</v>
      </c>
      <c r="B15983" s="4" t="s">
        <v>20131</v>
      </c>
      <c r="C15983" s="5" t="str">
        <f>IFERROR(__xludf.DUMMYFUNCTION("GOOGLETRANSLATE(B15983,""en"",""fr"")"),"Nous voyons à nouveau les dames.")</f>
        <v>Nous voyons à nouveau les dames.</v>
      </c>
    </row>
    <row r="15984">
      <c r="A15984" s="4" t="s">
        <v>20127</v>
      </c>
      <c r="B15984" s="4" t="s">
        <v>20132</v>
      </c>
      <c r="C15984" s="5" t="str">
        <f>IFERROR(__xludf.DUMMYFUNCTION("GOOGLETRANSLATE(B15984,""en"",""fr"")"),"La dame apparaît dans les sous-titres.")</f>
        <v>La dame apparaît dans les sous-titres.</v>
      </c>
    </row>
    <row r="15985">
      <c r="A15985" s="4" t="s">
        <v>20127</v>
      </c>
      <c r="B15985" s="4" t="s">
        <v>20133</v>
      </c>
      <c r="C15985" s="5" t="str">
        <f>IFERROR(__xludf.DUMMYFUNCTION("GOOGLETRANSLATE(B15985,""en"",""fr"")"),"Nous les voyons à partir d'une caméra plus sombre et supérieure.")</f>
        <v>Nous les voyons à partir d'une caméra plus sombre et supérieure.</v>
      </c>
    </row>
    <row r="15986">
      <c r="A15986" s="4" t="s">
        <v>20127</v>
      </c>
      <c r="B15986" s="4" t="s">
        <v>20134</v>
      </c>
      <c r="C15986" s="5" t="str">
        <f>IFERROR(__xludf.DUMMYFUNCTION("GOOGLETRANSLATE(B15986,""en"",""fr"")"),"Nous les voyons à nouveau de la caméra supérieure.")</f>
        <v>Nous les voyons à nouveau de la caméra supérieure.</v>
      </c>
    </row>
    <row r="15987">
      <c r="A15987" s="4" t="s">
        <v>20135</v>
      </c>
      <c r="B15987" s="4" t="s">
        <v>20136</v>
      </c>
      <c r="C15987" s="5" t="str">
        <f>IFERROR(__xludf.DUMMYFUNCTION("GOOGLETRANSLATE(B15987,""en"",""fr"")"),"La femme pose à la caméra dans un jeu blanc dans une présentation.")</f>
        <v>La femme pose à la caméra dans un jeu blanc dans une présentation.</v>
      </c>
    </row>
    <row r="15988">
      <c r="A15988" s="4" t="s">
        <v>20135</v>
      </c>
      <c r="B15988" s="6" t="s">
        <v>20137</v>
      </c>
      <c r="C15988" s="5" t="str">
        <f>IFERROR(__xludf.DUMMYFUNCTION("GOOGLETRANSLATE(B15988,""en"",""fr"")"),"La femme se tient dans une cuisine en parlant à la caméra et en montrant une assiette de pâtes et des ingédients.")</f>
        <v>La femme se tient dans une cuisine en parlant à la caméra et en montrant une assiette de pâtes et des ingédients.</v>
      </c>
    </row>
    <row r="15989">
      <c r="A15989" s="4" t="s">
        <v>20135</v>
      </c>
      <c r="B15989" s="4" t="s">
        <v>20138</v>
      </c>
      <c r="C15989" s="5" t="str">
        <f>IFERROR(__xludf.DUMMYFUNCTION("GOOGLETRANSLATE(B15989,""en"",""fr"")"),"La femme hache des légumes et fait sauter des légumes dans une poêle.")</f>
        <v>La femme hache des légumes et fait sauter des légumes dans une poêle.</v>
      </c>
    </row>
    <row r="15990">
      <c r="A15990" s="4" t="s">
        <v>20135</v>
      </c>
      <c r="B15990" s="4" t="s">
        <v>20139</v>
      </c>
      <c r="C15990" s="5" t="str">
        <f>IFERROR(__xludf.DUMMYFUNCTION("GOOGLETRANSLATE(B15990,""en"",""fr"")"),"poule mélangez les légumes avec des pâtes.")</f>
        <v>poule mélangez les légumes avec des pâtes.</v>
      </c>
    </row>
    <row r="15991">
      <c r="A15991" s="4" t="s">
        <v>20140</v>
      </c>
      <c r="B15991" s="4" t="s">
        <v>20141</v>
      </c>
      <c r="C15991" s="5" t="str">
        <f>IFERROR(__xludf.DUMMYFUNCTION("GOOGLETRANSLATE(B15991,""en"",""fr"")"),"Nous voyons une cour de curling shuffle.")</f>
        <v>Nous voyons une cour de curling shuffle.</v>
      </c>
    </row>
    <row r="15992">
      <c r="A15992" s="4" t="s">
        <v>20140</v>
      </c>
      <c r="B15992" s="4" t="s">
        <v>20142</v>
      </c>
      <c r="C15992" s="5" t="str">
        <f>IFERROR(__xludf.DUMMYFUNCTION("GOOGLETRANSLATE(B15992,""en"",""fr"")"),"Les flèches pointent vers des pierres sur le terrain.")</f>
        <v>Les flèches pointent vers des pierres sur le terrain.</v>
      </c>
    </row>
    <row r="15993">
      <c r="A15993" s="4" t="s">
        <v>20140</v>
      </c>
      <c r="B15993" s="4" t="s">
        <v>20143</v>
      </c>
      <c r="C15993" s="5" t="str">
        <f>IFERROR(__xludf.DUMMYFUNCTION("GOOGLETRANSLATE(B15993,""en"",""fr"")"),"Une dame quitte et revient.")</f>
        <v>Une dame quitte et revient.</v>
      </c>
    </row>
    <row r="15994">
      <c r="A15994" s="4" t="s">
        <v>20140</v>
      </c>
      <c r="B15994" s="4" t="s">
        <v>20144</v>
      </c>
      <c r="C15994" s="5" t="str">
        <f>IFERROR(__xludf.DUMMYFUNCTION("GOOGLETRANSLATE(B15994,""en"",""fr"")"),"Les flèches semblent pointer vers les pierres.")</f>
        <v>Les flèches semblent pointer vers les pierres.</v>
      </c>
    </row>
    <row r="15995">
      <c r="A15995" s="4" t="s">
        <v>20140</v>
      </c>
      <c r="B15995" s="4" t="s">
        <v>20145</v>
      </c>
      <c r="C15995" s="5" t="str">
        <f>IFERROR(__xludf.DUMMYFUNCTION("GOOGLETRANSLATE(B15995,""en"",""fr"")"),"Nous voyons deux dames, une femme différente, puis d'autres.")</f>
        <v>Nous voyons deux dames, une femme différente, puis d'autres.</v>
      </c>
    </row>
    <row r="15996">
      <c r="A15996" s="4" t="s">
        <v>20140</v>
      </c>
      <c r="B15996" s="4" t="s">
        <v>20146</v>
      </c>
      <c r="C15996" s="5" t="str">
        <f>IFERROR(__xludf.DUMMYFUNCTION("GOOGLETRANSLATE(B15996,""en"",""fr"")"),"Nous voyons une équipe de joueurs jeter les pierres.")</f>
        <v>Nous voyons une équipe de joueurs jeter les pierres.</v>
      </c>
    </row>
    <row r="15997">
      <c r="A15997" s="4" t="s">
        <v>20140</v>
      </c>
      <c r="B15997" s="4" t="s">
        <v>20147</v>
      </c>
      <c r="C15997" s="5" t="str">
        <f>IFERROR(__xludf.DUMMYFUNCTION("GOOGLETRANSLATE(B15997,""en"",""fr"")"),"Nous voyons la foule applaudir.")</f>
        <v>Nous voyons la foule applaudir.</v>
      </c>
    </row>
    <row r="15998">
      <c r="A15998" s="4" t="s">
        <v>20140</v>
      </c>
      <c r="B15998" s="4" t="s">
        <v>20148</v>
      </c>
      <c r="C15998" s="5" t="str">
        <f>IFERROR(__xludf.DUMMYFUNCTION("GOOGLETRANSLATE(B15998,""en"",""fr"")"),"Nous voyons le score apparaître à l'écran.")</f>
        <v>Nous voyons le score apparaître à l'écran.</v>
      </c>
    </row>
    <row r="15999">
      <c r="A15999" s="4" t="s">
        <v>20149</v>
      </c>
      <c r="B15999" s="4" t="s">
        <v>20150</v>
      </c>
      <c r="C15999" s="5" t="str">
        <f>IFERROR(__xludf.DUMMYFUNCTION("GOOGLETRANSLATE(B15999,""en"",""fr"")"),"Un jeune enfant joue une cornemuse à côté d'un cornemuse adulte.")</f>
        <v>Un jeune enfant joue une cornemuse à côté d'un cornemuse adulte.</v>
      </c>
    </row>
    <row r="16000">
      <c r="A16000" s="4" t="s">
        <v>20149</v>
      </c>
      <c r="B16000" s="6" t="s">
        <v>20151</v>
      </c>
      <c r="C16000" s="5" t="str">
        <f>IFERROR(__xludf.DUMMYFUNCTION("GOOGLETRANSLATE(B16000,""en"",""fr"")"),"Le jeune joueur de cornemuse marche en place tout en jouant sa cornemuse tandis que les spectateurs regardent par derrière.")</f>
        <v>Le jeune joueur de cornemuse marche en place tout en jouant sa cornemuse tandis que les spectateurs regardent par derrière.</v>
      </c>
    </row>
    <row r="16001">
      <c r="A16001" s="4" t="s">
        <v>20149</v>
      </c>
      <c r="B16001" s="4" t="s">
        <v>20152</v>
      </c>
      <c r="C16001" s="5" t="str">
        <f>IFERROR(__xludf.DUMMYFUNCTION("GOOGLETRANSLATE(B16001,""en"",""fr"")"),"Le joueur de cornemuse adulte et l'enfant se tiennent côte à côte pendant les autres.")</f>
        <v>Le joueur de cornemuse adulte et l'enfant se tiennent côte à côte pendant les autres.</v>
      </c>
    </row>
    <row r="16002">
      <c r="A16002" s="4" t="s">
        <v>20149</v>
      </c>
      <c r="B16002" s="4" t="s">
        <v>20153</v>
      </c>
      <c r="C16002" s="5" t="str">
        <f>IFERROR(__xludf.DUMMYFUNCTION("GOOGLETRANSLATE(B16002,""en"",""fr"")"),"L'enfant finit de jouer et se dirige vers la caméra.")</f>
        <v>L'enfant finit de jouer et se dirige vers la caméra.</v>
      </c>
    </row>
    <row r="16003">
      <c r="A16003" s="4" t="s">
        <v>20154</v>
      </c>
      <c r="B16003" s="4" t="s">
        <v>20155</v>
      </c>
      <c r="C16003" s="5" t="str">
        <f>IFERROR(__xludf.DUMMYFUNCTION("GOOGLETRANSLATE(B16003,""en"",""fr"")"),"Un petit garçon est montré se balançant sur une balançoire sur le terrain de jeu public.")</f>
        <v>Un petit garçon est montré se balançant sur une balançoire sur le terrain de jeu public.</v>
      </c>
    </row>
    <row r="16004">
      <c r="A16004" s="4" t="s">
        <v>20154</v>
      </c>
      <c r="B16004" s="4" t="s">
        <v>20156</v>
      </c>
      <c r="C16004" s="5" t="str">
        <f>IFERROR(__xludf.DUMMYFUNCTION("GOOGLETRANSLATE(B16004,""en"",""fr"")"),"Il se balance en l'air alors que quelqu'un le pousse.")</f>
        <v>Il se balance en l'air alors que quelqu'un le pousse.</v>
      </c>
    </row>
    <row r="16005">
      <c r="A16005" s="4" t="s">
        <v>20154</v>
      </c>
      <c r="B16005" s="4" t="s">
        <v>20157</v>
      </c>
      <c r="C16005" s="5" t="str">
        <f>IFERROR(__xludf.DUMMYFUNCTION("GOOGLETRANSLATE(B16005,""en"",""fr"")"),"Le garçon sourit et parle à la personne avec la caméra.")</f>
        <v>Le garçon sourit et parle à la personne avec la caméra.</v>
      </c>
    </row>
    <row r="16006">
      <c r="A16006" s="4" t="s">
        <v>20158</v>
      </c>
      <c r="B16006" s="4" t="s">
        <v>20159</v>
      </c>
      <c r="C16006" s="5" t="str">
        <f>IFERROR(__xludf.DUMMYFUNCTION("GOOGLETRANSLATE(B16006,""en"",""fr"")"),"Les hommes font un sport dans le sable.")</f>
        <v>Les hommes font un sport dans le sable.</v>
      </c>
    </row>
    <row r="16007">
      <c r="A16007" s="4" t="s">
        <v>20158</v>
      </c>
      <c r="B16007" s="4" t="s">
        <v>20160</v>
      </c>
      <c r="C16007" s="5" t="str">
        <f>IFERROR(__xludf.DUMMYFUNCTION("GOOGLETRANSLATE(B16007,""en"",""fr"")"),"Un homme est assis sur le sable blessé.")</f>
        <v>Un homme est assis sur le sable blessé.</v>
      </c>
    </row>
    <row r="16008">
      <c r="A16008" s="4" t="s">
        <v>20161</v>
      </c>
      <c r="B16008" s="4" t="s">
        <v>20162</v>
      </c>
      <c r="C16008" s="5" t="str">
        <f>IFERROR(__xludf.DUMMYFUNCTION("GOOGLETRANSLATE(B16008,""en"",""fr"")"),"Une fanfare joue dans la rue.")</f>
        <v>Une fanfare joue dans la rue.</v>
      </c>
    </row>
    <row r="16009">
      <c r="A16009" s="4" t="s">
        <v>20161</v>
      </c>
      <c r="B16009" s="4" t="s">
        <v>20163</v>
      </c>
      <c r="C16009" s="5" t="str">
        <f>IFERROR(__xludf.DUMMYFUNCTION("GOOGLETRANSLATE(B16009,""en"",""fr"")"),"Les gens marchent derrière la fanfare.")</f>
        <v>Les gens marchent derrière la fanfare.</v>
      </c>
    </row>
    <row r="16010">
      <c r="A16010" s="4" t="s">
        <v>20161</v>
      </c>
      <c r="B16010" s="4" t="s">
        <v>20164</v>
      </c>
      <c r="C16010" s="5" t="str">
        <f>IFERROR(__xludf.DUMMYFUNCTION("GOOGLETRANSLATE(B16010,""en"",""fr"")"),"Les gens passent à l'avant une grande fenêtre d'un magasin.")</f>
        <v>Les gens passent à l'avant une grande fenêtre d'un magasin.</v>
      </c>
    </row>
    <row r="16011">
      <c r="A16011" s="4" t="s">
        <v>20165</v>
      </c>
      <c r="B16011" s="4" t="s">
        <v>20166</v>
      </c>
      <c r="C16011" s="5" t="str">
        <f>IFERROR(__xludf.DUMMYFUNCTION("GOOGLETRANSLATE(B16011,""en"",""fr"")"),"Un homme peint le quelque chose sur le sol vert.")</f>
        <v>Un homme peint le quelque chose sur le sol vert.</v>
      </c>
    </row>
    <row r="16012">
      <c r="A16012" s="4" t="s">
        <v>20165</v>
      </c>
      <c r="B16012" s="4" t="s">
        <v>20167</v>
      </c>
      <c r="C16012" s="5" t="str">
        <f>IFERROR(__xludf.DUMMYFUNCTION("GOOGLETRANSLATE(B16012,""en"",""fr"")"),"Elle caresse de haut en bas en essayant à plusieurs reprises de s'assurer qu'il ne manque aucun point dans la région.")</f>
        <v>Elle caresse de haut en bas en essayant à plusieurs reprises de s'assurer qu'il ne manque aucun point dans la région.</v>
      </c>
    </row>
    <row r="16013">
      <c r="A16013" s="4" t="s">
        <v>20165</v>
      </c>
      <c r="B16013" s="6" t="s">
        <v>20168</v>
      </c>
      <c r="C16013" s="5" t="str">
        <f>IFERROR(__xludf.DUMMYFUNCTION("GOOGLETRANSLATE(B16013,""en"",""fr"")"),"Il se lève un peu et regarde la pièce un peu avant de tremper son pinceau dans la peinture et de recommencer.")</f>
        <v>Il se lève un peu et regarde la pièce un peu avant de tremper son pinceau dans la peinture et de recommencer.</v>
      </c>
    </row>
    <row r="16014">
      <c r="A16014" s="4" t="s">
        <v>20165</v>
      </c>
      <c r="B16014" s="4" t="s">
        <v>20169</v>
      </c>
      <c r="C16014" s="5" t="str">
        <f>IFERROR(__xludf.DUMMYFUNCTION("GOOGLETRANSLATE(B16014,""en"",""fr"")"),"Il se déplace vers des parties qu'il n'est pas encore passée à peindre.")</f>
        <v>Il se déplace vers des parties qu'il n'est pas encore passée à peindre.</v>
      </c>
    </row>
    <row r="16015">
      <c r="A16015" s="4" t="s">
        <v>20170</v>
      </c>
      <c r="B16015" s="4" t="s">
        <v>20171</v>
      </c>
      <c r="C16015" s="5" t="str">
        <f>IFERROR(__xludf.DUMMYFUNCTION("GOOGLETRANSLATE(B16015,""en"",""fr"")"),"Il y a un jeu de tir compétitif en cours dans un champ ouvert.")</f>
        <v>Il y a un jeu de tir compétitif en cours dans un champ ouvert.</v>
      </c>
    </row>
    <row r="16016">
      <c r="A16016" s="4" t="s">
        <v>20170</v>
      </c>
      <c r="B16016" s="4" t="s">
        <v>20172</v>
      </c>
      <c r="C16016" s="5" t="str">
        <f>IFERROR(__xludf.DUMMYFUNCTION("GOOGLETRANSLATE(B16016,""en"",""fr"")"),"Où une équipe portant du bleu est en compétition contre une autre équipe.")</f>
        <v>Où une équipe portant du bleu est en compétition contre une autre équipe.</v>
      </c>
    </row>
    <row r="16017">
      <c r="A16017" s="4" t="s">
        <v>20170</v>
      </c>
      <c r="B16017" s="4" t="s">
        <v>20173</v>
      </c>
      <c r="C16017" s="5" t="str">
        <f>IFERROR(__xludf.DUMMYFUNCTION("GOOGLETRANSLATE(B16017,""en"",""fr"")"),"L'entraîneur donne des instructions à l'équipe sur la façon de tirer la corde.")</f>
        <v>L'entraîneur donne des instructions à l'équipe sur la façon de tirer la corde.</v>
      </c>
    </row>
    <row r="16018">
      <c r="A16018" s="4" t="s">
        <v>20170</v>
      </c>
      <c r="B16018" s="4" t="s">
        <v>20174</v>
      </c>
      <c r="C16018" s="5" t="str">
        <f>IFERROR(__xludf.DUMMYFUNCTION("GOOGLETRANSLATE(B16018,""en"",""fr"")"),"Il les encourage à ne pas donner et à poursuivre leurs efforts.")</f>
        <v>Il les encourage à ne pas donner et à poursuivre leurs efforts.</v>
      </c>
    </row>
    <row r="16019">
      <c r="A16019" s="4" t="s">
        <v>20170</v>
      </c>
      <c r="B16019" s="4" t="s">
        <v>20175</v>
      </c>
      <c r="C16019" s="5" t="str">
        <f>IFERROR(__xludf.DUMMYFUNCTION("GOOGLETRANSLATE(B16019,""en"",""fr"")"),"Il y a des spectateurs qui regardent l'événement et encouragent les participants.")</f>
        <v>Il y a des spectateurs qui regardent l'événement et encouragent les participants.</v>
      </c>
    </row>
    <row r="16020">
      <c r="A16020" s="4" t="s">
        <v>20170</v>
      </c>
      <c r="B16020" s="4" t="s">
        <v>20176</v>
      </c>
      <c r="C16020" s="5" t="str">
        <f>IFERROR(__xludf.DUMMYFUNCTION("GOOGLETRANSLATE(B16020,""en"",""fr"")"),"Il y a peu de coups de remorque de guerre joués, les spectateurs regardent et encouragent les joueurs.")</f>
        <v>Il y a peu de coups de remorque de guerre joués, les spectateurs regardent et encouragent les joueurs.</v>
      </c>
    </row>
    <row r="16021">
      <c r="A16021" s="4" t="s">
        <v>20170</v>
      </c>
      <c r="B16021" s="4" t="s">
        <v>20177</v>
      </c>
      <c r="C16021" s="5" t="str">
        <f>IFERROR(__xludf.DUMMYFUNCTION("GOOGLETRANSLATE(B16021,""en"",""fr"")"),"L'entraîneur continue d'encourager les joueurs.")</f>
        <v>L'entraîneur continue d'encourager les joueurs.</v>
      </c>
    </row>
    <row r="16022">
      <c r="A16022" s="4" t="s">
        <v>20170</v>
      </c>
      <c r="B16022" s="4" t="s">
        <v>20178</v>
      </c>
      <c r="C16022" s="5" t="str">
        <f>IFERROR(__xludf.DUMMYFUNCTION("GOOGLETRANSLATE(B16022,""en"",""fr"")"),"Après avoir remporté le remorqueur de guerre, tous les spectateurs s'épuisent et serrent dans les joueurs.")</f>
        <v>Après avoir remporté le remorqueur de guerre, tous les spectateurs s'épuisent et serrent dans les joueurs.</v>
      </c>
    </row>
    <row r="16023">
      <c r="A16023" s="4" t="s">
        <v>20170</v>
      </c>
      <c r="B16023" s="4" t="s">
        <v>20179</v>
      </c>
      <c r="C16023" s="5" t="str">
        <f>IFERROR(__xludf.DUMMYFUNCTION("GOOGLETRANSLATE(B16023,""en"",""fr"")"),"Un caméraman prend ses photos.")</f>
        <v>Un caméraman prend ses photos.</v>
      </c>
    </row>
    <row r="16024">
      <c r="A16024" s="4" t="s">
        <v>20170</v>
      </c>
      <c r="B16024" s="4" t="s">
        <v>20180</v>
      </c>
      <c r="C16024" s="5" t="str">
        <f>IFERROR(__xludf.DUMMYFUNCTION("GOOGLETRANSLATE(B16024,""en"",""fr"")"),"Toute l'équipe pose pour une photo d'équipe après sa victoire.")</f>
        <v>Toute l'équipe pose pour une photo d'équipe après sa victoire.</v>
      </c>
    </row>
    <row r="16025">
      <c r="A16025" s="4" t="s">
        <v>20181</v>
      </c>
      <c r="B16025" s="4" t="s">
        <v>20182</v>
      </c>
      <c r="C16025" s="5" t="str">
        <f>IFERROR(__xludf.DUMMYFUNCTION("GOOGLETRANSLATE(B16025,""en"",""fr"")"),"Une femme commence à brosser un cheval.")</f>
        <v>Une femme commence à brosser un cheval.</v>
      </c>
    </row>
    <row r="16026">
      <c r="A16026" s="4" t="s">
        <v>20181</v>
      </c>
      <c r="B16026" s="4" t="s">
        <v>20183</v>
      </c>
      <c r="C16026" s="5" t="str">
        <f>IFERROR(__xludf.DUMMYFUNCTION("GOOGLETRANSLATE(B16026,""en"",""fr"")"),"Elle obtient une brosse rose et recommence à brosser le cheval.")</f>
        <v>Elle obtient une brosse rose et recommence à brosser le cheval.</v>
      </c>
    </row>
    <row r="16027">
      <c r="A16027" s="4" t="s">
        <v>20181</v>
      </c>
      <c r="B16027" s="4" t="s">
        <v>20184</v>
      </c>
      <c r="C16027" s="5" t="str">
        <f>IFERROR(__xludf.DUMMYFUNCTION("GOOGLETRANSLATE(B16027,""en"",""fr"")"),"Elle obtient une brosse noire et continue de brosser le cheval.")</f>
        <v>Elle obtient une brosse noire et continue de brosser le cheval.</v>
      </c>
    </row>
    <row r="16028">
      <c r="A16028" s="4" t="s">
        <v>20181</v>
      </c>
      <c r="B16028" s="4" t="s">
        <v>20185</v>
      </c>
      <c r="C16028" s="5" t="str">
        <f>IFERROR(__xludf.DUMMYFUNCTION("GOOGLETRANSLATE(B16028,""en"",""fr"")"),"Elle commence à brosser les jambes sur le cheval.")</f>
        <v>Elle commence à brosser les jambes sur le cheval.</v>
      </c>
    </row>
    <row r="16029">
      <c r="A16029" s="4" t="s">
        <v>20181</v>
      </c>
      <c r="B16029" s="4" t="s">
        <v>20186</v>
      </c>
      <c r="C16029" s="5" t="str">
        <f>IFERROR(__xludf.DUMMYFUNCTION("GOOGLETRANSLATE(B16029,""en"",""fr"")"),"Elle soulève le pied des chevaux et nettoie le bas du pied.")</f>
        <v>Elle soulève le pied des chevaux et nettoie le bas du pied.</v>
      </c>
    </row>
    <row r="16030">
      <c r="A16030" s="4" t="s">
        <v>20187</v>
      </c>
      <c r="B16030" s="4" t="s">
        <v>20188</v>
      </c>
      <c r="C16030" s="5" t="str">
        <f>IFERROR(__xludf.DUMMYFUNCTION("GOOGLETRANSLATE(B16030,""en"",""fr"")"),"Un homme est vu parler à la caméra et l'emmène en tenant une casserole de cuisson dans un poêle chaud.")</f>
        <v>Un homme est vu parler à la caméra et l'emmène en tenant une casserole de cuisson dans un poêle chaud.</v>
      </c>
    </row>
    <row r="16031">
      <c r="A16031" s="4" t="s">
        <v>20187</v>
      </c>
      <c r="B16031" s="6" t="s">
        <v>20189</v>
      </c>
      <c r="C16031" s="5" t="str">
        <f>IFERROR(__xludf.DUMMYFUNCTION("GOOGLETRANSLATE(B16031,""en"",""fr"")"),"L'homme mélange les ingrédients dans un bol et le verse dans une casserole tout en remuant en continu.")</f>
        <v>L'homme mélange les ingrédients dans un bol et le verse dans une casserole tout en remuant en continu.</v>
      </c>
    </row>
    <row r="16032">
      <c r="A16032" s="4" t="s">
        <v>20187</v>
      </c>
      <c r="B16032" s="4" t="s">
        <v>20190</v>
      </c>
      <c r="C16032" s="5" t="str">
        <f>IFERROR(__xludf.DUMMYFUNCTION("GOOGLETRANSLATE(B16032,""en"",""fr"")"),"Il verse la nourriture sur une assiette et tient toujours la casserole dans sa main.")</f>
        <v>Il verse la nourriture sur une assiette et tient toujours la casserole dans sa main.</v>
      </c>
    </row>
    <row r="16033">
      <c r="A16033" s="4" t="s">
        <v>20191</v>
      </c>
      <c r="B16033" s="4" t="s">
        <v>20192</v>
      </c>
      <c r="C16033" s="5" t="str">
        <f>IFERROR(__xludf.DUMMYFUNCTION("GOOGLETRANSLATE(B16033,""en"",""fr"")"),"Un montage d'un prêtre donne la communion aux gens.")</f>
        <v>Un montage d'un prêtre donne la communion aux gens.</v>
      </c>
    </row>
    <row r="16034">
      <c r="A16034" s="4" t="s">
        <v>20191</v>
      </c>
      <c r="B16034" s="4" t="s">
        <v>20193</v>
      </c>
      <c r="C16034" s="5" t="str">
        <f>IFERROR(__xludf.DUMMYFUNCTION("GOOGLETRANSLATE(B16034,""en"",""fr"")"),"Jésus et Mère Teresa sont montrés alors qu'un montage continue.")</f>
        <v>Jésus et Mère Teresa sont montrés alors qu'un montage continue.</v>
      </c>
    </row>
    <row r="16035">
      <c r="A16035" s="4" t="s">
        <v>20194</v>
      </c>
      <c r="B16035" s="6" t="s">
        <v>20195</v>
      </c>
      <c r="C16035" s="5" t="str">
        <f>IFERROR(__xludf.DUMMYFUNCTION("GOOGLETRANSLATE(B16035,""en"",""fr"")"),"Une jeune femme aux cheveux Burnette se tient derrière un comptoir noir dans un bar avec plusieurs alcools dessus.")</f>
        <v>Une jeune femme aux cheveux Burnette se tient derrière un comptoir noir dans un bar avec plusieurs alcools dessus.</v>
      </c>
    </row>
    <row r="16036">
      <c r="A16036" s="4" t="s">
        <v>20194</v>
      </c>
      <c r="B16036" s="4" t="s">
        <v>20196</v>
      </c>
      <c r="C16036" s="5" t="str">
        <f>IFERROR(__xludf.DUMMYFUNCTION("GOOGLETRANSLATE(B16036,""en"",""fr"")"),"Elle attrape ensuite un verre transparent et y met de la glace.")</f>
        <v>Elle attrape ensuite un verre transparent et y met de la glace.</v>
      </c>
    </row>
    <row r="16037">
      <c r="A16037" s="4" t="s">
        <v>20194</v>
      </c>
      <c r="B16037" s="4" t="s">
        <v>20197</v>
      </c>
      <c r="C16037" s="5" t="str">
        <f>IFERROR(__xludf.DUMMYFUNCTION("GOOGLETRANSLATE(B16037,""en"",""fr"")"),"Vient ensuite la liqueur et elle verse, le jus d'orange et le sirop dedans et la boisson est complète.")</f>
        <v>Vient ensuite la liqueur et elle verse, le jus d'orange et le sirop dedans et la boisson est complète.</v>
      </c>
    </row>
    <row r="16038">
      <c r="A16038" s="4" t="s">
        <v>20198</v>
      </c>
      <c r="B16038" s="4" t="s">
        <v>20199</v>
      </c>
      <c r="C16038" s="5" t="str">
        <f>IFERROR(__xludf.DUMMYFUNCTION("GOOGLETRANSLATE(B16038,""en"",""fr"")"),"Quatre hommes se tiennent sur le terrain de racquetball.")</f>
        <v>Quatre hommes se tiennent sur le terrain de racquetball.</v>
      </c>
    </row>
    <row r="16039">
      <c r="A16039" s="4" t="s">
        <v>20198</v>
      </c>
      <c r="B16039" s="4" t="s">
        <v>20200</v>
      </c>
      <c r="C16039" s="5" t="str">
        <f>IFERROR(__xludf.DUMMYFUNCTION("GOOGLETRANSLATE(B16039,""en"",""fr"")"),"Un homme sert le ballon.")</f>
        <v>Un homme sert le ballon.</v>
      </c>
    </row>
    <row r="16040">
      <c r="A16040" s="4" t="s">
        <v>20198</v>
      </c>
      <c r="B16040" s="4" t="s">
        <v>20201</v>
      </c>
      <c r="C16040" s="5" t="str">
        <f>IFERROR(__xludf.DUMMYFUNCTION("GOOGLETRANSLATE(B16040,""en"",""fr"")"),"Les hommes commencent alors à voler.")</f>
        <v>Les hommes commencent alors à voler.</v>
      </c>
    </row>
    <row r="16041">
      <c r="A16041" s="4" t="s">
        <v>20198</v>
      </c>
      <c r="B16041" s="4" t="s">
        <v>20202</v>
      </c>
      <c r="C16041" s="5" t="str">
        <f>IFERROR(__xludf.DUMMYFUNCTION("GOOGLETRANSLATE(B16041,""en"",""fr"")"),"Une équipe marque un point.")</f>
        <v>Une équipe marque un point.</v>
      </c>
    </row>
    <row r="16042">
      <c r="A16042" s="4" t="s">
        <v>20198</v>
      </c>
      <c r="B16042" s="4" t="s">
        <v>20203</v>
      </c>
      <c r="C16042" s="5" t="str">
        <f>IFERROR(__xludf.DUMMYFUNCTION("GOOGLETRANSLATE(B16042,""en"",""fr"")"),"Ils répètent tous le processus.")</f>
        <v>Ils répètent tous le processus.</v>
      </c>
    </row>
    <row r="16043">
      <c r="A16043" s="4" t="s">
        <v>20204</v>
      </c>
      <c r="B16043" s="6" t="s">
        <v>20205</v>
      </c>
      <c r="C16043" s="5" t="str">
        <f>IFERROR(__xludf.DUMMYFUNCTION("GOOGLETRANSLATE(B16043,""en"",""fr"")"),"Une personne dans un costume de protection orange et un masque noir en métal des soldats quelque chose dans un cadre industriel.")</f>
        <v>Une personne dans un costume de protection orange et un masque noir en métal des soldats quelque chose dans un cadre industriel.</v>
      </c>
    </row>
    <row r="16044">
      <c r="A16044" s="4" t="s">
        <v>20204</v>
      </c>
      <c r="B16044" s="6" t="s">
        <v>20206</v>
      </c>
      <c r="C16044" s="5" t="str">
        <f>IFERROR(__xludf.DUMMYFUNCTION("GOOGLETRANSLATE(B16044,""en"",""fr"")"),"Une personne se tient à côté d'une boîte noire dans un casque métallique alors que les étincelles de feu éclatent d'une boîte câblée à droite.")</f>
        <v>Une personne se tient à côté d'une boîte noire dans un casque métallique alors que les étincelles de feu éclatent d'une boîte câblée à droite.</v>
      </c>
    </row>
    <row r="16045">
      <c r="A16045" s="4" t="s">
        <v>20204</v>
      </c>
      <c r="B16045" s="6" t="s">
        <v>20207</v>
      </c>
      <c r="C16045" s="5" t="str">
        <f>IFERROR(__xludf.DUMMYFUNCTION("GOOGLETRANSLATE(B16045,""en"",""fr"")"),"Une grande roue grise tourne derrière le travailleur au milieu des étincelles de feu et un autre travailleur marchant dans un costume de protection bleu.")</f>
        <v>Une grande roue grise tourne derrière le travailleur au milieu des étincelles de feu et un autre travailleur marchant dans un costume de protection bleu.</v>
      </c>
    </row>
    <row r="16046">
      <c r="A16046" s="4" t="s">
        <v>20208</v>
      </c>
      <c r="B16046" s="4" t="s">
        <v>20209</v>
      </c>
      <c r="C16046" s="5" t="str">
        <f>IFERROR(__xludf.DUMMYFUNCTION("GOOGLETRANSLATE(B16046,""en"",""fr"")"),"Deux femmes se tiennent sur les épaules des autres.")</f>
        <v>Deux femmes se tiennent sur les épaules des autres.</v>
      </c>
    </row>
    <row r="16047">
      <c r="A16047" s="4" t="s">
        <v>20208</v>
      </c>
      <c r="B16047" s="6" t="s">
        <v>20210</v>
      </c>
      <c r="C16047" s="5" t="str">
        <f>IFERROR(__xludf.DUMMYFUNCTION("GOOGLETRANSLATE(B16047,""en"",""fr"")"),"Ils soulèvent une autre femme en l'air, l'équilibrant entre eux avant de la laisser tomber pour être attrapée.")</f>
        <v>Ils soulèvent une autre femme en l'air, l'équilibrant entre eux avant de la laisser tomber pour être attrapée.</v>
      </c>
    </row>
    <row r="16048">
      <c r="A16048" s="4" t="s">
        <v>20208</v>
      </c>
      <c r="B16048" s="4" t="s">
        <v>20211</v>
      </c>
      <c r="C16048" s="5" t="str">
        <f>IFERROR(__xludf.DUMMYFUNCTION("GOOGLETRANSLATE(B16048,""en"",""fr"")"),"Cependant, les filles ci-dessous sont renversées au sol.")</f>
        <v>Cependant, les filles ci-dessous sont renversées au sol.</v>
      </c>
    </row>
    <row r="16049">
      <c r="A16049" s="4" t="s">
        <v>20212</v>
      </c>
      <c r="B16049" s="4" t="s">
        <v>20213</v>
      </c>
      <c r="C16049" s="5" t="str">
        <f>IFERROR(__xludf.DUMMYFUNCTION("GOOGLETRANSLATE(B16049,""en"",""fr"")"),"Un homme coupe un morceau de bois avec une hache.")</f>
        <v>Un homme coupe un morceau de bois avec une hache.</v>
      </c>
    </row>
    <row r="16050">
      <c r="A16050" s="4" t="s">
        <v>20212</v>
      </c>
      <c r="B16050" s="4" t="s">
        <v>20214</v>
      </c>
      <c r="C16050" s="5" t="str">
        <f>IFERROR(__xludf.DUMMYFUNCTION("GOOGLETRANSLATE(B16050,""en"",""fr"")"),"Ensuite, son action est rejouée au ralenti.")</f>
        <v>Ensuite, son action est rejouée au ralenti.</v>
      </c>
    </row>
    <row r="16051">
      <c r="A16051" s="4" t="s">
        <v>20212</v>
      </c>
      <c r="B16051" s="4" t="s">
        <v>20215</v>
      </c>
      <c r="C16051" s="5" t="str">
        <f>IFERROR(__xludf.DUMMYFUNCTION("GOOGLETRANSLATE(B16051,""en"",""fr"")"),"Ensuite, il prend un morceau de bois, il le lance en un tas.")</f>
        <v>Ensuite, il prend un morceau de bois, il le lance en un tas.</v>
      </c>
    </row>
    <row r="16052">
      <c r="A16052" s="4" t="s">
        <v>20216</v>
      </c>
      <c r="B16052" s="4" t="s">
        <v>20217</v>
      </c>
      <c r="C16052" s="5" t="str">
        <f>IFERROR(__xludf.DUMMYFUNCTION("GOOGLETRANSLATE(B16052,""en"",""fr"")"),"Une introduction arrive sur l'écran pour une vidéo sur la réparation des meubles.")</f>
        <v>Une introduction arrive sur l'écran pour une vidéo sur la réparation des meubles.</v>
      </c>
    </row>
    <row r="16053">
      <c r="A16053" s="4" t="s">
        <v>20216</v>
      </c>
      <c r="B16053" s="6" t="s">
        <v>20218</v>
      </c>
      <c r="C16053" s="5" t="str">
        <f>IFERROR(__xludf.DUMMYFUNCTION("GOOGLETRANSLATE(B16053,""en"",""fr"")"),"Une femme est montrée sur l'écran avec des gants et un tissu dans sa main frottant de la crème sur un pouf en cuir pour réparer l'usure.")</f>
        <v>Une femme est montrée sur l'écran avec des gants et un tissu dans sa main frottant de la crème sur un pouf en cuir pour réparer l'usure.</v>
      </c>
    </row>
    <row r="16054">
      <c r="A16054" s="4" t="s">
        <v>20216</v>
      </c>
      <c r="B16054" s="4" t="s">
        <v>20219</v>
      </c>
      <c r="C16054" s="5" t="str">
        <f>IFERROR(__xludf.DUMMYFUNCTION("GOOGLETRANSLATE(B16054,""en"",""fr"")"),"La vidéo se termine par les graphiques pour les crédits de clôture à la fin.")</f>
        <v>La vidéo se termine par les graphiques pour les crédits de clôture à la fin.</v>
      </c>
    </row>
    <row r="16055">
      <c r="A16055" s="4" t="s">
        <v>20220</v>
      </c>
      <c r="B16055" s="4" t="s">
        <v>20221</v>
      </c>
      <c r="C16055" s="5" t="str">
        <f>IFERROR(__xludf.DUMMYFUNCTION("GOOGLETRANSLATE(B16055,""en"",""fr"")"),"L'homme se tient sur le terrain avec un filet derrière lui.")</f>
        <v>L'homme se tient sur le terrain avec un filet derrière lui.</v>
      </c>
    </row>
    <row r="16056">
      <c r="A16056" s="4" t="s">
        <v>20220</v>
      </c>
      <c r="B16056" s="4" t="s">
        <v>20222</v>
      </c>
      <c r="C16056" s="5" t="str">
        <f>IFERROR(__xludf.DUMMYFUNCTION("GOOGLETRANSLATE(B16056,""en"",""fr"")"),"Les hommes jouent à Volyball dans un gymnase de cour oofed.")</f>
        <v>Les hommes jouent à Volyball dans un gymnase de cour oofed.</v>
      </c>
    </row>
    <row r="16057">
      <c r="A16057" s="4" t="s">
        <v>20223</v>
      </c>
      <c r="B16057" s="4" t="s">
        <v>20224</v>
      </c>
      <c r="C16057" s="5" t="str">
        <f>IFERROR(__xludf.DUMMYFUNCTION("GOOGLETRANSLATE(B16057,""en"",""fr"")"),"Un jeune athlète masculin se tient dans un champ et se retourne en arrière dans un petit cercle.")</f>
        <v>Un jeune athlète masculin se tient dans un champ et se retourne en arrière dans un petit cercle.</v>
      </c>
    </row>
    <row r="16058">
      <c r="A16058" s="4" t="s">
        <v>20223</v>
      </c>
      <c r="B16058" s="4" t="s">
        <v>20225</v>
      </c>
      <c r="C16058" s="5" t="str">
        <f>IFERROR(__xludf.DUMMYFUNCTION("GOOGLETRANSLATE(B16058,""en"",""fr"")"),"Il étend ensuite ses bras et commence à les déplacer d'avant en arrière.")</f>
        <v>Il étend ensuite ses bras et commence à les déplacer d'avant en arrière.</v>
      </c>
    </row>
    <row r="16059">
      <c r="A16059" s="4" t="s">
        <v>20223</v>
      </c>
      <c r="B16059" s="6" t="s">
        <v>20226</v>
      </c>
      <c r="C16059" s="5" t="str">
        <f>IFERROR(__xludf.DUMMYFUNCTION("GOOGLETRANSLATE(B16059,""en"",""fr"")"),"Une fois prêt, il tourne et jette le disque sur le terrain, s'éloigne et regarde la distance.")</f>
        <v>Une fois prêt, il tourne et jette le disque sur le terrain, s'éloigne et regarde la distance.</v>
      </c>
    </row>
    <row r="16060">
      <c r="A16060" s="4" t="s">
        <v>20227</v>
      </c>
      <c r="B16060" s="4" t="s">
        <v>20228</v>
      </c>
      <c r="C16060" s="5" t="str">
        <f>IFERROR(__xludf.DUMMYFUNCTION("GOOGLETRANSLATE(B16060,""en"",""fr"")"),"Deux personnes ratissent les feuilles dans un parc.")</f>
        <v>Deux personnes ratissent les feuilles dans un parc.</v>
      </c>
    </row>
    <row r="16061">
      <c r="A16061" s="4" t="s">
        <v>20227</v>
      </c>
      <c r="B16061" s="4" t="s">
        <v>20229</v>
      </c>
      <c r="C16061" s="5" t="str">
        <f>IFERROR(__xludf.DUMMYFUNCTION("GOOGLETRANSLATE(B16061,""en"",""fr"")"),"L'homme à l'arrière tourne le dos à la caméra.")</f>
        <v>L'homme à l'arrière tourne le dos à la caméra.</v>
      </c>
    </row>
    <row r="16062">
      <c r="A16062" s="4" t="s">
        <v>20227</v>
      </c>
      <c r="B16062" s="4" t="s">
        <v>20230</v>
      </c>
      <c r="C16062" s="5" t="str">
        <f>IFERROR(__xludf.DUMMYFUNCTION("GOOGLETRANSLATE(B16062,""en"",""fr"")"),"La dame à gauche se tourne vers la droite.")</f>
        <v>La dame à gauche se tourne vers la droite.</v>
      </c>
    </row>
    <row r="16063">
      <c r="A16063" s="4" t="s">
        <v>20231</v>
      </c>
      <c r="B16063" s="4" t="s">
        <v>20232</v>
      </c>
      <c r="C16063" s="5" t="str">
        <f>IFERROR(__xludf.DUMMYFUNCTION("GOOGLETRANSLATE(B16063,""en"",""fr"")"),"L'homme utilise son match pour mettre le feu aux bûches en bois.")</f>
        <v>L'homme utilise son match pour mettre le feu aux bûches en bois.</v>
      </c>
    </row>
    <row r="16064">
      <c r="A16064" s="4" t="s">
        <v>20231</v>
      </c>
      <c r="B16064" s="4" t="s">
        <v>20233</v>
      </c>
      <c r="C16064" s="5" t="str">
        <f>IFERROR(__xludf.DUMMYFUNCTION("GOOGLETRANSLATE(B16064,""en"",""fr"")"),"Le feu est vraiment petit au début, mais il grandit et grossir.")</f>
        <v>Le feu est vraiment petit au début, mais il grandit et grossir.</v>
      </c>
    </row>
    <row r="16065">
      <c r="A16065" s="4" t="s">
        <v>20231</v>
      </c>
      <c r="B16065" s="4" t="s">
        <v>20234</v>
      </c>
      <c r="C16065" s="5" t="str">
        <f>IFERROR(__xludf.DUMMYFUNCTION("GOOGLETRANSLATE(B16065,""en"",""fr"")"),"Après un certain temps, la vidéo se termine toujours le feu créé par des matchs et des branches d'arbres.")</f>
        <v>Après un certain temps, la vidéo se termine toujours le feu créé par des matchs et des branches d'arbres.</v>
      </c>
    </row>
    <row r="16066">
      <c r="A16066" s="4" t="s">
        <v>20235</v>
      </c>
      <c r="B16066" s="4" t="s">
        <v>20236</v>
      </c>
      <c r="C16066" s="5" t="str">
        <f>IFERROR(__xludf.DUMMYFUNCTION("GOOGLETRANSLATE(B16066,""en"",""fr"")"),"Le site Web Livestrong affiche une vidéo sur la boxe.")</f>
        <v>Le site Web Livestrong affiche une vidéo sur la boxe.</v>
      </c>
    </row>
    <row r="16067">
      <c r="A16067" s="4" t="s">
        <v>20235</v>
      </c>
      <c r="B16067" s="6" t="s">
        <v>20237</v>
      </c>
      <c r="C16067" s="5" t="str">
        <f>IFERROR(__xludf.DUMMYFUNCTION("GOOGLETRANSLATE(B16067,""en"",""fr"")"),"Boxer femme, Jolie Glassman montre comment frapper et mettre correctement le sac de poinçonnage.")</f>
        <v>Boxer femme, Jolie Glassman montre comment frapper et mettre correctement le sac de poinçonnage.</v>
      </c>
    </row>
    <row r="16068">
      <c r="A16068" s="4" t="s">
        <v>20235</v>
      </c>
      <c r="B16068" s="4" t="s">
        <v>20238</v>
      </c>
      <c r="C16068" s="5" t="str">
        <f>IFERROR(__xludf.DUMMYFUNCTION("GOOGLETRANSLATE(B16068,""en"",""fr"")"),"Elle est dans un gymnase présentant des techniques de coups de pied et de coup de poing.")</f>
        <v>Elle est dans un gymnase présentant des techniques de coups de pied et de coup de poing.</v>
      </c>
    </row>
    <row r="16069">
      <c r="A16069" s="4" t="s">
        <v>20239</v>
      </c>
      <c r="B16069" s="6" t="s">
        <v>20240</v>
      </c>
      <c r="C16069" s="5" t="str">
        <f>IFERROR(__xludf.DUMMYFUNCTION("GOOGLETRANSLATE(B16069,""en"",""fr"")"),"Une personne est vue descendre sur une colline enneigée, ainsi qu'une autre personne et un enfant qui roulent sur la montagne.")</f>
        <v>Une personne est vue descendre sur une colline enneigée, ainsi qu'une autre personne et un enfant qui roulent sur la montagne.</v>
      </c>
    </row>
    <row r="16070">
      <c r="A16070" s="4" t="s">
        <v>20239</v>
      </c>
      <c r="B16070" s="6" t="s">
        <v>20241</v>
      </c>
      <c r="C16070" s="5" t="str">
        <f>IFERROR(__xludf.DUMMYFUNCTION("GOOGLETRANSLATE(B16070,""en"",""fr"")"),"Plusieurs autres clips sont représentés de personnes qui roulent sur la montagne sous différents angles avec des gens qui hurlent et applaudissent.")</f>
        <v>Plusieurs autres clips sont représentés de personnes qui roulent sur la montagne sous différents angles avec des gens qui hurlent et applaudissent.</v>
      </c>
    </row>
    <row r="16071">
      <c r="A16071" s="4" t="s">
        <v>20242</v>
      </c>
      <c r="B16071" s="4" t="s">
        <v>20243</v>
      </c>
      <c r="C16071" s="5" t="str">
        <f>IFERROR(__xludf.DUMMYFUNCTION("GOOGLETRANSLATE(B16071,""en"",""fr"")"),"Nous voyons un enfant jouer de la marelle dans une cour.")</f>
        <v>Nous voyons un enfant jouer de la marelle dans une cour.</v>
      </c>
    </row>
    <row r="16072">
      <c r="A16072" s="4" t="s">
        <v>20242</v>
      </c>
      <c r="B16072" s="4" t="s">
        <v>20244</v>
      </c>
      <c r="C16072" s="5" t="str">
        <f>IFERROR(__xludf.DUMMYFUNCTION("GOOGLETRANSLATE(B16072,""en"",""fr"")"),"Une fille plus âgée les sauts.")</f>
        <v>Une fille plus âgée les sauts.</v>
      </c>
    </row>
    <row r="16073">
      <c r="A16073" s="4" t="s">
        <v>20242</v>
      </c>
      <c r="B16073" s="4" t="s">
        <v>20245</v>
      </c>
      <c r="C16073" s="5" t="str">
        <f>IFERROR(__xludf.DUMMYFUNCTION("GOOGLETRANSLATE(B16073,""en"",""fr"")"),"La première fille revient au lieu de départ.")</f>
        <v>La première fille revient au lieu de départ.</v>
      </c>
    </row>
    <row r="16074">
      <c r="A16074" s="4" t="s">
        <v>20242</v>
      </c>
      <c r="B16074" s="4" t="s">
        <v>20246</v>
      </c>
      <c r="C16074" s="5" t="str">
        <f>IFERROR(__xludf.DUMMYFUNCTION("GOOGLETRANSLATE(B16074,""en"",""fr"")"),"La fille plus âgée recommence.")</f>
        <v>La fille plus âgée recommence.</v>
      </c>
    </row>
    <row r="16075">
      <c r="A16075" s="4" t="s">
        <v>20247</v>
      </c>
      <c r="B16075" s="4" t="s">
        <v>20248</v>
      </c>
      <c r="C16075" s="5" t="str">
        <f>IFERROR(__xludf.DUMMYFUNCTION("GOOGLETRANSLATE(B16075,""en"",""fr"")"),"Un homme démontre, par exemple comment jouer à l'enregistreur.")</f>
        <v>Un homme démontre, par exemple comment jouer à l'enregistreur.</v>
      </c>
    </row>
    <row r="16076">
      <c r="A16076" s="4" t="s">
        <v>20247</v>
      </c>
      <c r="B16076" s="6" t="s">
        <v>20249</v>
      </c>
      <c r="C16076" s="5" t="str">
        <f>IFERROR(__xludf.DUMMYFUNCTION("GOOGLETRANSLATE(B16076,""en"",""fr"")"),"Un homme se tient devant deux fenêtres couvertes de stores beiges fermés, tenant un instrument d'enregistreur en bois avec les deux mains devant lui, tout en parlant à la caméra.")</f>
        <v>Un homme se tient devant deux fenêtres couvertes de stores beiges fermés, tenant un instrument d'enregistreur en bois avec les deux mains devant lui, tout en parlant à la caméra.</v>
      </c>
    </row>
    <row r="16077">
      <c r="A16077" s="4" t="s">
        <v>20247</v>
      </c>
      <c r="B16077" s="6" t="s">
        <v>20250</v>
      </c>
      <c r="C16077" s="5" t="str">
        <f>IFERROR(__xludf.DUMMYFUNCTION("GOOGLETRANSLATE(B16077,""en"",""fr"")"),"La caméra se ferme sur le corps de l'enregistreur en bois alors que l'homme commence à jouer à soulever ses doigts des différents trou pour faire du bruit.")</f>
        <v>La caméra se ferme sur le corps de l'enregistreur en bois alors que l'homme commence à jouer à soulever ses doigts des différents trou pour faire du bruit.</v>
      </c>
    </row>
    <row r="16078">
      <c r="A16078" s="4" t="s">
        <v>20247</v>
      </c>
      <c r="B16078" s="6" t="s">
        <v>20251</v>
      </c>
      <c r="C16078" s="5" t="str">
        <f>IFERROR(__xludf.DUMMYFUNCTION("GOOGLETRANSLATE(B16078,""en"",""fr"")"),"La caméra reste dans un plan rapproché des mains de l'homme et du bas de l'enregistreur pour le reste du clip.")</f>
        <v>La caméra reste dans un plan rapproché des mains de l'homme et du bas de l'enregistreur pour le reste du clip.</v>
      </c>
    </row>
    <row r="16079">
      <c r="A16079" s="4" t="s">
        <v>20252</v>
      </c>
      <c r="B16079" s="4" t="s">
        <v>20253</v>
      </c>
      <c r="C16079" s="5" t="str">
        <f>IFERROR(__xludf.DUMMYFUNCTION("GOOGLETRANSLATE(B16079,""en"",""fr"")"),"Un groupe de rochers est montré envers les rives d'une grande rivière bleue.")</f>
        <v>Un groupe de rochers est montré envers les rives d'une grande rivière bleue.</v>
      </c>
    </row>
    <row r="16080">
      <c r="A16080" s="4" t="s">
        <v>20252</v>
      </c>
      <c r="B16080" s="4" t="s">
        <v>20254</v>
      </c>
      <c r="C16080" s="5" t="str">
        <f>IFERROR(__xludf.DUMMYFUNCTION("GOOGLETRANSLATE(B16080,""en"",""fr"")"),"La caméra continue de s'étendre sur la rivière et une chaîne de montagnes est montrée.")</f>
        <v>La caméra continue de s'étendre sur la rivière et une chaîne de montagnes est montrée.</v>
      </c>
    </row>
    <row r="16081">
      <c r="A16081" s="4" t="s">
        <v>20252</v>
      </c>
      <c r="B16081" s="4" t="s">
        <v>20255</v>
      </c>
      <c r="C16081" s="5" t="str">
        <f>IFERROR(__xludf.DUMMYFUNCTION("GOOGLETRANSLATE(B16081,""en"",""fr"")"),"Un autre angle est montré et un petit cercle apparaît sur l'écran.")</f>
        <v>Un autre angle est montré et un petit cercle apparaît sur l'écran.</v>
      </c>
    </row>
    <row r="16082">
      <c r="A16082" s="4" t="s">
        <v>20252</v>
      </c>
      <c r="B16082" s="4" t="s">
        <v>20256</v>
      </c>
      <c r="C16082" s="5" t="str">
        <f>IFERROR(__xludf.DUMMYFUNCTION("GOOGLETRANSLATE(B16082,""en"",""fr"")"),"Deux randonneurs portant des sacs à dos sont visibles et montrent une corde.")</f>
        <v>Deux randonneurs portant des sacs à dos sont visibles et montrent une corde.</v>
      </c>
    </row>
    <row r="16083">
      <c r="A16083" s="4" t="s">
        <v>20252</v>
      </c>
      <c r="B16083" s="6" t="s">
        <v>20257</v>
      </c>
      <c r="C16083" s="5" t="str">
        <f>IFERROR(__xludf.DUMMYFUNCTION("GOOGLETRANSLATE(B16083,""en"",""fr"")"),"Un homme monte ensuite dans l'eau et resserre les cordes autour d'un arbre d'un côté de l'eau à l'autre et s'assoit sur la corde.")</f>
        <v>Un homme monte ensuite dans l'eau et resserre les cordes autour d'un arbre d'un côté de l'eau à l'autre et s'assoit sur la corde.</v>
      </c>
    </row>
    <row r="16084">
      <c r="A16084" s="4" t="s">
        <v>20252</v>
      </c>
      <c r="B16084" s="4" t="s">
        <v>20258</v>
      </c>
      <c r="C16084" s="5" t="str">
        <f>IFERROR(__xludf.DUMMYFUNCTION("GOOGLETRANSLATE(B16084,""en"",""fr"")"),"L'homme se lève ensuite et tente de serrer la corde à travers l'eau mais tombe dans l'eau.")</f>
        <v>L'homme se lève ensuite et tente de serrer la corde à travers l'eau mais tombe dans l'eau.</v>
      </c>
    </row>
    <row r="16085">
      <c r="A16085" s="4" t="s">
        <v>20259</v>
      </c>
      <c r="B16085" s="6" t="s">
        <v>20260</v>
      </c>
      <c r="C16085" s="5" t="str">
        <f>IFERROR(__xludf.DUMMYFUNCTION("GOOGLETRANSLATE(B16085,""en"",""fr"")"),"Un homme est vu debout devant un faisceau d'exercice et commence à se déplacer sur les barreaux tandis que les autres s'entraînent autour de lui.")</f>
        <v>Un homme est vu debout devant un faisceau d'exercice et commence à se déplacer sur les barreaux tandis que les autres s'entraînent autour de lui.</v>
      </c>
    </row>
    <row r="16086">
      <c r="A16086" s="4" t="s">
        <v>20259</v>
      </c>
      <c r="B16086" s="6" t="s">
        <v>20261</v>
      </c>
      <c r="C16086" s="5" t="str">
        <f>IFERROR(__xludf.DUMMYFUNCTION("GOOGLETRANSLATE(B16086,""en"",""fr"")"),"L'homme continue de s'entraîner sur le faisceau et fait une pause pour parler à la caméra tout en utilisant ses mains.")</f>
        <v>L'homme continue de s'entraîner sur le faisceau et fait une pause pour parler à la caméra tout en utilisant ses mains.</v>
      </c>
    </row>
    <row r="16087">
      <c r="A16087" s="4" t="s">
        <v>20262</v>
      </c>
      <c r="B16087" s="4" t="s">
        <v>20263</v>
      </c>
      <c r="C16087" s="5" t="str">
        <f>IFERROR(__xludf.DUMMYFUNCTION("GOOGLETRANSLATE(B16087,""en"",""fr"")"),"Une personne est vue en essuyant un chiffon suivi de plusieurs ingrédients attachés à sa hanche.")</f>
        <v>Une personne est vue en essuyant un chiffon suivi de plusieurs ingrédients attachés à sa hanche.</v>
      </c>
    </row>
    <row r="16088">
      <c r="A16088" s="4" t="s">
        <v>20262</v>
      </c>
      <c r="B16088" s="4" t="s">
        <v>20264</v>
      </c>
      <c r="C16088" s="5" t="str">
        <f>IFERROR(__xludf.DUMMYFUNCTION("GOOGLETRANSLATE(B16088,""en"",""fr"")"),"Elle pulvérise le chiffon et est ensuite vue à nouveau laver diverses fenêtres autour d'un bureau.")</f>
        <v>Elle pulvérise le chiffon et est ensuite vue à nouveau laver diverses fenêtres autour d'un bureau.</v>
      </c>
    </row>
    <row r="16089">
      <c r="A16089" s="4" t="s">
        <v>20262</v>
      </c>
      <c r="B16089" s="6" t="s">
        <v>20265</v>
      </c>
      <c r="C16089" s="5" t="str">
        <f>IFERROR(__xludf.DUMMYFUNCTION("GOOGLETRANSLATE(B16089,""en"",""fr"")"),"Elle essuie également les poignées de la porte, puis met les chiffons dans une machine à laver, raccrochant le poteau à la fin.")</f>
        <v>Elle essuie également les poignées de la porte, puis met les chiffons dans une machine à laver, raccrochant le poteau à la fin.</v>
      </c>
    </row>
    <row r="16090">
      <c r="A16090" s="4" t="s">
        <v>20266</v>
      </c>
      <c r="B16090" s="4" t="s">
        <v>20267</v>
      </c>
      <c r="C16090" s="5" t="str">
        <f>IFERROR(__xludf.DUMMYFUNCTION("GOOGLETRANSLATE(B16090,""en"",""fr"")"),"Un groupe de patineurs circule rapidement sur une piste extérieure.")</f>
        <v>Un groupe de patineurs circule rapidement sur une piste extérieure.</v>
      </c>
    </row>
    <row r="16091">
      <c r="A16091" s="4" t="s">
        <v>20266</v>
      </c>
      <c r="B16091" s="4" t="s">
        <v>20268</v>
      </c>
      <c r="C16091" s="5" t="str">
        <f>IFERROR(__xludf.DUMMYFUNCTION("GOOGLETRANSLATE(B16091,""en"",""fr"")"),"Un homme qui se recroqueville en fauteuil roulant parle à la caméra.")</f>
        <v>Un homme qui se recroqueville en fauteuil roulant parle à la caméra.</v>
      </c>
    </row>
    <row r="16092">
      <c r="A16092" s="4" t="s">
        <v>20266</v>
      </c>
      <c r="B16092" s="4" t="s">
        <v>20269</v>
      </c>
      <c r="C16092" s="5" t="str">
        <f>IFERROR(__xludf.DUMMYFUNCTION("GOOGLETRANSLATE(B16092,""en"",""fr"")"),"Un homme est montré avec une rondelle, jouant.")</f>
        <v>Un homme est montré avec une rondelle, jouant.</v>
      </c>
    </row>
    <row r="16093">
      <c r="A16093" s="4" t="s">
        <v>20266</v>
      </c>
      <c r="B16093" s="4" t="s">
        <v>20270</v>
      </c>
      <c r="C16093" s="5" t="str">
        <f>IFERROR(__xludf.DUMMYFUNCTION("GOOGLETRANSLATE(B16093,""en"",""fr"")"),"Plusieurs personnes alternent jouer avec la parole à la caméra.")</f>
        <v>Plusieurs personnes alternent jouer avec la parole à la caméra.</v>
      </c>
    </row>
    <row r="16094">
      <c r="A16094" s="4" t="s">
        <v>20271</v>
      </c>
      <c r="B16094" s="4" t="s">
        <v>20272</v>
      </c>
      <c r="C16094" s="5" t="str">
        <f>IFERROR(__xludf.DUMMYFUNCTION("GOOGLETRANSLATE(B16094,""en"",""fr"")"),"Une personne est le vent naviguant dans un plan d'eau.")</f>
        <v>Une personne est le vent naviguant dans un plan d'eau.</v>
      </c>
    </row>
    <row r="16095">
      <c r="A16095" s="4" t="s">
        <v>20271</v>
      </c>
      <c r="B16095" s="4" t="s">
        <v>20273</v>
      </c>
      <c r="C16095" s="5" t="str">
        <f>IFERROR(__xludf.DUMMYFUNCTION("GOOGLETRANSLATE(B16095,""en"",""fr"")"),"La personne dépasse quelqu'un qui nage.")</f>
        <v>La personne dépasse quelqu'un qui nage.</v>
      </c>
    </row>
    <row r="16096">
      <c r="A16096" s="4" t="s">
        <v>20271</v>
      </c>
      <c r="B16096" s="4" t="s">
        <v>20274</v>
      </c>
      <c r="C16096" s="5" t="str">
        <f>IFERROR(__xludf.DUMMYFUNCTION("GOOGLETRANSLATE(B16096,""en"",""fr"")"),"La personne allume son conseil d'administration.")</f>
        <v>La personne allume son conseil d'administration.</v>
      </c>
    </row>
    <row r="16097">
      <c r="A16097" s="4" t="s">
        <v>20275</v>
      </c>
      <c r="B16097" s="6" t="s">
        <v>20276</v>
      </c>
      <c r="C16097" s="5" t="str">
        <f>IFERROR(__xludf.DUMMYFUNCTION("GOOGLETRANSLATE(B16097,""en"",""fr"")"),"Un groupe de pom-pom girls porte des uniformes rouges, blancs et noirs debout se préparant à faire leur routine, et les mots ci-dessous sur l'écran disent ""Mill Creek HS Class AAAAA"".")</f>
        <v>Un groupe de pom-pom girls porte des uniformes rouges, blancs et noirs debout se préparant à faire leur routine, et les mots ci-dessous sur l'écran disent "Mill Creek HS Class AAAAA".</v>
      </c>
    </row>
    <row r="16098">
      <c r="A16098" s="4" t="s">
        <v>20275</v>
      </c>
      <c r="B16098" s="6" t="s">
        <v>20277</v>
      </c>
      <c r="C16098" s="5" t="str">
        <f>IFERROR(__xludf.DUMMYFUNCTION("GOOGLETRANSLATE(B16098,""en"",""fr"")"),"Les pom-pom girls commencent leur routine et il comprend beaucoup de sauts, d'encouragement, de retournement, de synchronisation ou de séparation, lançant et attrapant d'autres pom-pom girls, et de nombreux autres mouvements.")</f>
        <v>Les pom-pom girls commencent leur routine et il comprend beaucoup de sauts, d'encouragement, de retournement, de synchronisation ou de séparation, lançant et attrapant d'autres pom-pom girls, et de nombreux autres mouvements.</v>
      </c>
    </row>
    <row r="16099">
      <c r="A16099" s="4" t="s">
        <v>20275</v>
      </c>
      <c r="B16099" s="6" t="s">
        <v>20278</v>
      </c>
      <c r="C16099" s="5" t="str">
        <f>IFERROR(__xludf.DUMMYFUNCTION("GOOGLETRANSLATE(B16099,""en"",""fr"")"),"Ils mettent fin à leur routine, s'encouragent et 2 femmes du public se présentent et embrassent certaines des pom-pom girls.")</f>
        <v>Ils mettent fin à leur routine, s'encouragent et 2 femmes du public se présentent et embrassent certaines des pom-pom girls.</v>
      </c>
    </row>
    <row r="16100">
      <c r="A16100" s="4" t="s">
        <v>20279</v>
      </c>
      <c r="B16100" s="4" t="s">
        <v>20280</v>
      </c>
      <c r="C16100" s="5" t="str">
        <f>IFERROR(__xludf.DUMMYFUNCTION("GOOGLETRANSLATE(B16100,""en"",""fr"")"),"Un adolescent secoue la main sur le devant un verre d'eau tandis qu'un jeune le regarde.")</f>
        <v>Un adolescent secoue la main sur le devant un verre d'eau tandis qu'un jeune le regarde.</v>
      </c>
    </row>
    <row r="16101">
      <c r="A16101" s="4" t="s">
        <v>20279</v>
      </c>
      <c r="B16101" s="4" t="s">
        <v>20281</v>
      </c>
      <c r="C16101" s="5" t="str">
        <f>IFERROR(__xludf.DUMMYFUNCTION("GOOGLETRANSLATE(B16101,""en"",""fr"")"),"Ensuite, l'adolescent prend le verre qui serre la main et boit l'eau pendant le rire.")</f>
        <v>Ensuite, l'adolescent prend le verre qui serre la main et boit l'eau pendant le rire.</v>
      </c>
    </row>
    <row r="16102">
      <c r="A16102" s="4" t="s">
        <v>20279</v>
      </c>
      <c r="B16102" s="4" t="s">
        <v>20282</v>
      </c>
      <c r="C16102" s="5" t="str">
        <f>IFERROR(__xludf.DUMMYFUNCTION("GOOGLETRANSLATE(B16102,""en"",""fr"")"),"Après, le jeune prend le verre, puis tient une tasse pendant que l'adolescent plit sa main droite.")</f>
        <v>Après, le jeune prend le verre, puis tient une tasse pendant que l'adolescent plit sa main droite.</v>
      </c>
    </row>
    <row r="16103">
      <c r="A16103" s="4" t="s">
        <v>20279</v>
      </c>
      <c r="B16103" s="4" t="s">
        <v>20283</v>
      </c>
      <c r="C16103" s="5" t="str">
        <f>IFERROR(__xludf.DUMMYFUNCTION("GOOGLETRANSLATE(B16103,""en"",""fr"")"),"Ensuite, l'adolescent prend une tasse et fait semblant de boire tout en faisant des gestes de douleur.")</f>
        <v>Ensuite, l'adolescent prend une tasse et fait semblant de boire tout en faisant des gestes de douleur.</v>
      </c>
    </row>
    <row r="16104">
      <c r="A16104" s="4" t="s">
        <v>20284</v>
      </c>
      <c r="B16104" s="4" t="s">
        <v>20285</v>
      </c>
      <c r="C16104" s="5" t="str">
        <f>IFERROR(__xludf.DUMMYFUNCTION("GOOGLETRANSLATE(B16104,""en"",""fr"")"),"Nous voyons des gens faire du jogging dans une rue de la ville.")</f>
        <v>Nous voyons des gens faire du jogging dans une rue de la ville.</v>
      </c>
    </row>
    <row r="16105">
      <c r="A16105" s="4" t="s">
        <v>20284</v>
      </c>
      <c r="B16105" s="4" t="s">
        <v>20286</v>
      </c>
      <c r="C16105" s="5" t="str">
        <f>IFERROR(__xludf.DUMMYFUNCTION("GOOGLETRANSLATE(B16105,""en"",""fr"")"),"Nous faisons un zoom sur un homme torse nu jonglé.")</f>
        <v>Nous faisons un zoom sur un homme torse nu jonglé.</v>
      </c>
    </row>
    <row r="16106">
      <c r="A16106" s="4" t="s">
        <v>20284</v>
      </c>
      <c r="B16106" s="4" t="s">
        <v>20287</v>
      </c>
      <c r="C16106" s="5" t="str">
        <f>IFERROR(__xludf.DUMMYFUNCTION("GOOGLETRANSLATE(B16106,""en"",""fr"")"),"Nous passons en arrière vers les autres coureurs.")</f>
        <v>Nous passons en arrière vers les autres coureurs.</v>
      </c>
    </row>
    <row r="16107">
      <c r="A16107" s="4" t="s">
        <v>20288</v>
      </c>
      <c r="B16107" s="4" t="s">
        <v>20289</v>
      </c>
      <c r="C16107" s="5" t="str">
        <f>IFERROR(__xludf.DUMMYFUNCTION("GOOGLETRANSLATE(B16107,""en"",""fr"")"),"Une femme parle dans un bar, puis elle met de la glace dans un verre en acier inoxydable.")</f>
        <v>Une femme parle dans un bar, puis elle met de la glace dans un verre en acier inoxydable.</v>
      </c>
    </row>
    <row r="16108">
      <c r="A16108" s="4" t="s">
        <v>20288</v>
      </c>
      <c r="B16108" s="4" t="s">
        <v>20290</v>
      </c>
      <c r="C16108" s="5" t="str">
        <f>IFERROR(__xludf.DUMMYFUNCTION("GOOGLETRANSLATE(B16108,""en"",""fr"")"),"Ensuite, la femme ajoute à la tasse deux mesures de l'alcool, du jus et du sucre.")</f>
        <v>Ensuite, la femme ajoute à la tasse deux mesures de l'alcool, du jus et du sucre.</v>
      </c>
    </row>
    <row r="16109">
      <c r="A16109" s="4" t="s">
        <v>20288</v>
      </c>
      <c r="B16109" s="4" t="s">
        <v>20291</v>
      </c>
      <c r="C16109" s="5" t="str">
        <f>IFERROR(__xludf.DUMMYFUNCTION("GOOGLETRANSLATE(B16109,""en"",""fr"")"),"Après, la femme met une tasse sur le dessus et la secoue, et sert dans une tasse avec une tranche de citron.")</f>
        <v>Après, la femme met une tasse sur le dessus et la secoue, et sert dans une tasse avec une tranche de citron.</v>
      </c>
    </row>
    <row r="16110">
      <c r="A16110" s="4" t="s">
        <v>20292</v>
      </c>
      <c r="B16110" s="4" t="s">
        <v>20293</v>
      </c>
      <c r="C16110" s="5" t="str">
        <f>IFERROR(__xludf.DUMMYFUNCTION("GOOGLETRANSLATE(B16110,""en"",""fr"")"),"Une femme en chemise jaune tient une bouteille à la main.")</f>
        <v>Une femme en chemise jaune tient une bouteille à la main.</v>
      </c>
    </row>
    <row r="16111">
      <c r="A16111" s="4" t="s">
        <v>20292</v>
      </c>
      <c r="B16111" s="4" t="s">
        <v>20294</v>
      </c>
      <c r="C16111" s="5" t="str">
        <f>IFERROR(__xludf.DUMMYFUNCTION("GOOGLETRANSLATE(B16111,""en"",""fr"")"),"Elle ouvre la bouteille et la verse dans un seau sur le sol.")</f>
        <v>Elle ouvre la bouteille et la verse dans un seau sur le sol.</v>
      </c>
    </row>
    <row r="16112">
      <c r="A16112" s="4" t="s">
        <v>20292</v>
      </c>
      <c r="B16112" s="4" t="s">
        <v>20295</v>
      </c>
      <c r="C16112" s="5" t="str">
        <f>IFERROR(__xludf.DUMMYFUNCTION("GOOGLETRANSLATE(B16112,""en"",""fr"")"),"Elle met un chiffon de vadrouille dans le seau et le met sur sa vadrouille.")</f>
        <v>Elle met un chiffon de vadrouille dans le seau et le met sur sa vadrouille.</v>
      </c>
    </row>
    <row r="16113">
      <c r="A16113" s="4" t="s">
        <v>20292</v>
      </c>
      <c r="B16113" s="4" t="s">
        <v>20296</v>
      </c>
      <c r="C16113" s="5" t="str">
        <f>IFERROR(__xludf.DUMMYFUNCTION("GOOGLETRANSLATE(B16113,""en"",""fr"")"),"Elle lève ensuite le seau hors de la pièce.")</f>
        <v>Elle lève ensuite le seau hors de la pièce.</v>
      </c>
    </row>
    <row r="16114">
      <c r="A16114" s="4" t="s">
        <v>20292</v>
      </c>
      <c r="B16114" s="4" t="s">
        <v>20297</v>
      </c>
      <c r="C16114" s="5" t="str">
        <f>IFERROR(__xludf.DUMMYFUNCTION("GOOGLETRANSLATE(B16114,""en"",""fr"")"),"Elle commence à nettoyer la tuile sur le sol.")</f>
        <v>Elle commence à nettoyer la tuile sur le sol.</v>
      </c>
    </row>
    <row r="16115">
      <c r="A16115" s="4" t="s">
        <v>20298</v>
      </c>
      <c r="B16115" s="4" t="s">
        <v>20299</v>
      </c>
      <c r="C16115" s="5" t="str">
        <f>IFERROR(__xludf.DUMMYFUNCTION("GOOGLETRANSLATE(B16115,""en"",""fr"")"),"L'écran de carreaux joue avec une image d'un long champ.")</f>
        <v>L'écran de carreaux joue avec une image d'un long champ.</v>
      </c>
    </row>
    <row r="16116">
      <c r="A16116" s="4" t="s">
        <v>20298</v>
      </c>
      <c r="B16116" s="4" t="s">
        <v>20300</v>
      </c>
      <c r="C16116" s="5" t="str">
        <f>IFERROR(__xludf.DUMMYFUNCTION("GOOGLETRANSLATE(B16116,""en"",""fr"")"),"Un homme s'approche d'un disque et un chien s'y tient alors qu'il passe quelques personnes.")</f>
        <v>Un homme s'approche d'un disque et un chien s'y tient alors qu'il passe quelques personnes.</v>
      </c>
    </row>
    <row r="16117">
      <c r="A16117" s="4" t="s">
        <v>20298</v>
      </c>
      <c r="B16117" s="4" t="s">
        <v>20301</v>
      </c>
      <c r="C16117" s="5" t="str">
        <f>IFERROR(__xludf.DUMMYFUNCTION("GOOGLETRANSLATE(B16117,""en"",""fr"")"),"L'homme commence à jouer avec le chien en lançant la pensée et en le faisant le ramener.")</f>
        <v>L'homme commence à jouer avec le chien en lançant la pensée et en le faisant le ramener.</v>
      </c>
    </row>
    <row r="16118">
      <c r="A16118" s="4" t="s">
        <v>20298</v>
      </c>
      <c r="B16118" s="4" t="s">
        <v>20302</v>
      </c>
      <c r="C16118" s="5" t="str">
        <f>IFERROR(__xludf.DUMMYFUNCTION("GOOGLETRANSLATE(B16118,""en"",""fr"")"),"Il applaudit ensuite le chien.")</f>
        <v>Il applaudit ensuite le chien.</v>
      </c>
    </row>
    <row r="16119">
      <c r="A16119" s="4" t="s">
        <v>20298</v>
      </c>
      <c r="B16119" s="4" t="s">
        <v>20303</v>
      </c>
      <c r="C16119" s="5" t="str">
        <f>IFERROR(__xludf.DUMMYFUNCTION("GOOGLETRANSLATE(B16119,""en"",""fr"")"),"Les crédits roulent à la fin.")</f>
        <v>Les crédits roulent à la fin.</v>
      </c>
    </row>
    <row r="16120">
      <c r="A16120" s="4" t="s">
        <v>20304</v>
      </c>
      <c r="B16120" s="4" t="s">
        <v>20305</v>
      </c>
      <c r="C16120" s="5" t="str">
        <f>IFERROR(__xludf.DUMMYFUNCTION("GOOGLETRANSLATE(B16120,""en"",""fr"")"),"Une boule rouge se trouve entre deux pôles.")</f>
        <v>Une boule rouge se trouve entre deux pôles.</v>
      </c>
    </row>
    <row r="16121">
      <c r="A16121" s="4" t="s">
        <v>20304</v>
      </c>
      <c r="B16121" s="4" t="s">
        <v>20306</v>
      </c>
      <c r="C16121" s="5" t="str">
        <f>IFERROR(__xludf.DUMMYFUNCTION("GOOGLETRANSLATE(B16121,""en"",""fr"")"),"Une chauve-souris de cricket commence à se balancer.")</f>
        <v>Une chauve-souris de cricket commence à se balancer.</v>
      </c>
    </row>
    <row r="16122">
      <c r="A16122" s="4" t="s">
        <v>20304</v>
      </c>
      <c r="B16122" s="4" t="s">
        <v>20307</v>
      </c>
      <c r="C16122" s="5" t="str">
        <f>IFERROR(__xludf.DUMMYFUNCTION("GOOGLETRANSLATE(B16122,""en"",""fr"")"),"Deux chaussures sont assises de chaque côté.")</f>
        <v>Deux chaussures sont assises de chaque côté.</v>
      </c>
    </row>
    <row r="16123">
      <c r="A16123" s="4" t="s">
        <v>20304</v>
      </c>
      <c r="B16123" s="4" t="s">
        <v>20308</v>
      </c>
      <c r="C16123" s="5" t="str">
        <f>IFERROR(__xludf.DUMMYFUNCTION("GOOGLETRANSLATE(B16123,""en"",""fr"")"),"La chauve-souris frappe le ballon.")</f>
        <v>La chauve-souris frappe le ballon.</v>
      </c>
    </row>
    <row r="16124">
      <c r="A16124" s="4" t="s">
        <v>20309</v>
      </c>
      <c r="B16124" s="6" t="s">
        <v>20310</v>
      </c>
      <c r="C16124" s="5" t="str">
        <f>IFERROR(__xludf.DUMMYFUNCTION("GOOGLETRANSLATE(B16124,""en"",""fr"")"),"Un grand groupe de filles vêtues de tenues de cheerleading se tiendra en formation et au même moment exact, les filles se synchronisent et ils commencent leur routine très détaillée qui comprend des sauts, des flips, des applaudissements et etc.")</f>
        <v>Un grand groupe de filles vêtues de tenues de cheerleading se tiendra en formation et au même moment exact, les filles se synchronisent et ils commencent leur routine très détaillée qui comprend des sauts, des flips, des applaudissements et etc.</v>
      </c>
    </row>
    <row r="16125">
      <c r="A16125" s="4" t="s">
        <v>20309</v>
      </c>
      <c r="B16125" s="6" t="s">
        <v>20311</v>
      </c>
      <c r="C16125" s="5" t="str">
        <f>IFERROR(__xludf.DUMMYFUNCTION("GOOGLETRANSLATE(B16125,""en"",""fr"")"),"Ils se séparent en 5 groupes différents où toutes les filles se blottissent dans chaque groupe et jettent une fille en l'air et la retiennent, mais soudain, le groupe de devant est instable et la fille qu'ils tiennent des gouttes, et les filles en dessous"&amp;" de l'attraper toutes Et ils attendent juste que les filles soient terminées pour reprendre leur routine en synchronisation.")</f>
        <v>Ils se séparent en 5 groupes différents où toutes les filles se blottissent dans chaque groupe et jettent une fille en l'air et la retiennent, mais soudain, le groupe de devant est instable et la fille qu'ils tiennent des gouttes, et les filles en dessous de l'attraper toutes Et ils attendent juste que les filles soient terminées pour reprendre leur routine en synchronisation.</v>
      </c>
    </row>
    <row r="16126">
      <c r="A16126" s="4" t="s">
        <v>20309</v>
      </c>
      <c r="B16126" s="6" t="s">
        <v>20312</v>
      </c>
      <c r="C16126" s="5" t="str">
        <f>IFERROR(__xludf.DUMMYFUNCTION("GOOGLETRANSLATE(B16126,""en"",""fr"")"),"Ils sont tous immobiles en formation alors que soudain l'une des filles retire sa chaussure gauche et la jette sur le côté et elles restent toutes immobiles pendant quelques secondes.")</f>
        <v>Ils sont tous immobiles en formation alors que soudain l'une des filles retire sa chaussure gauche et la jette sur le côté et elles restent toutes immobiles pendant quelques secondes.</v>
      </c>
    </row>
    <row r="16127">
      <c r="A16127" s="4" t="s">
        <v>20309</v>
      </c>
      <c r="B16127" s="6" t="s">
        <v>20313</v>
      </c>
      <c r="C16127" s="5" t="str">
        <f>IFERROR(__xludf.DUMMYFUNCTION("GOOGLETRANSLATE(B16127,""en"",""fr"")"),"Les filles reprennent leur joie et se brisent en 5 sections une fois de plus pour tenir une fille en l'air, mais encore une fois, le groupe central perd l'équilibre de la fille au sommet et elle échoue et elle tombe dans leur prise et reprend leur Routine"&amp;" qui inclut maintenant plusieurs flips de chaque fille jusqu'à l'arrivée.")</f>
        <v>Les filles reprennent leur joie et se brisent en 5 sections une fois de plus pour tenir une fille en l'air, mais encore une fois, le groupe central perd l'équilibre de la fille au sommet et elle échoue et elle tombe dans leur prise et reprend leur Routine qui inclut maintenant plusieurs flips de chaque fille jusqu'à l'arrivée.</v>
      </c>
    </row>
    <row r="16128">
      <c r="A16128" s="4" t="s">
        <v>20314</v>
      </c>
      <c r="B16128" s="4" t="s">
        <v>20315</v>
      </c>
      <c r="C16128" s="5" t="str">
        <f>IFERROR(__xludf.DUMMYFUNCTION("GOOGLETRANSLATE(B16128,""en"",""fr"")"),"Un homme se penche en avant en tant que bébé dans un swing essaie de saisir et de mâcher ses cheveux.")</f>
        <v>Un homme se penche en avant en tant que bébé dans un swing essaie de saisir et de mâcher ses cheveux.</v>
      </c>
    </row>
    <row r="16129">
      <c r="A16129" s="4" t="s">
        <v>20314</v>
      </c>
      <c r="B16129" s="4" t="s">
        <v>20316</v>
      </c>
      <c r="C16129" s="5" t="str">
        <f>IFERROR(__xludf.DUMMYFUNCTION("GOOGLETRANSLATE(B16129,""en"",""fr"")"),"Le bébé rit, se balançant d'avant en arrière, puis essaie de saisir la caméra.")</f>
        <v>Le bébé rit, se balançant d'avant en arrière, puis essaie de saisir la caméra.</v>
      </c>
    </row>
    <row r="16130">
      <c r="A16130" s="4" t="s">
        <v>20317</v>
      </c>
      <c r="B16130" s="4" t="s">
        <v>20318</v>
      </c>
      <c r="C16130" s="5" t="str">
        <f>IFERROR(__xludf.DUMMYFUNCTION("GOOGLETRANSLATE(B16130,""en"",""fr"")"),"Quelques personnes surfent sur des vagues.")</f>
        <v>Quelques personnes surfent sur des vagues.</v>
      </c>
    </row>
    <row r="16131">
      <c r="A16131" s="4" t="s">
        <v>20317</v>
      </c>
      <c r="B16131" s="4" t="s">
        <v>20319</v>
      </c>
      <c r="C16131" s="5" t="str">
        <f>IFERROR(__xludf.DUMMYFUNCTION("GOOGLETRANSLATE(B16131,""en"",""fr"")"),"Ils tombent parfois mais vont bien.")</f>
        <v>Ils tombent parfois mais vont bien.</v>
      </c>
    </row>
    <row r="16132">
      <c r="A16132" s="4" t="s">
        <v>20320</v>
      </c>
      <c r="B16132" s="4" t="s">
        <v>20321</v>
      </c>
      <c r="C16132" s="5" t="str">
        <f>IFERROR(__xludf.DUMMYFUNCTION("GOOGLETRANSLATE(B16132,""en"",""fr"")"),"Les membres du groupe en tenue complète se tiennent dans une cour.")</f>
        <v>Les membres du groupe en tenue complète se tiennent dans une cour.</v>
      </c>
    </row>
    <row r="16133">
      <c r="A16133" s="4" t="s">
        <v>20320</v>
      </c>
      <c r="B16133" s="4" t="s">
        <v>20322</v>
      </c>
      <c r="C16133" s="5" t="str">
        <f>IFERROR(__xludf.DUMMYFUNCTION("GOOGLETRANSLATE(B16133,""en"",""fr"")"),"Ils utilisent un râteau pour ratifier les feuilles.")</f>
        <v>Ils utilisent un râteau pour ratifier les feuilles.</v>
      </c>
    </row>
    <row r="16134">
      <c r="A16134" s="4" t="s">
        <v>20320</v>
      </c>
      <c r="B16134" s="4" t="s">
        <v>20323</v>
      </c>
      <c r="C16134" s="5" t="str">
        <f>IFERROR(__xludf.DUMMYFUNCTION("GOOGLETRANSLATE(B16134,""en"",""fr"")"),"Un homme passe pendant qu'ils se ratissent.")</f>
        <v>Un homme passe pendant qu'ils se ratissent.</v>
      </c>
    </row>
    <row r="16135">
      <c r="A16135" s="4" t="s">
        <v>20324</v>
      </c>
      <c r="B16135" s="6" t="s">
        <v>20325</v>
      </c>
      <c r="C16135" s="5" t="str">
        <f>IFERROR(__xludf.DUMMYFUNCTION("GOOGLETRANSLATE(B16135,""en"",""fr"")"),"Une femme est vue debout derrière un comptoir parlant à la caméra, puis commence à peler une pomme de terre.")</f>
        <v>Une femme est vue debout derrière un comptoir parlant à la caméra, puis commence à peler une pomme de terre.</v>
      </c>
    </row>
    <row r="16136">
      <c r="A16136" s="4" t="s">
        <v>20324</v>
      </c>
      <c r="B16136" s="4" t="s">
        <v>20326</v>
      </c>
      <c r="C16136" s="5" t="str">
        <f>IFERROR(__xludf.DUMMYFUNCTION("GOOGLETRANSLATE(B16136,""en"",""fr"")"),"Elle continue de peler des pommes de terre tout en s'arrêtant pour parler à la caméra et sourire.")</f>
        <v>Elle continue de peler des pommes de terre tout en s'arrêtant pour parler à la caméra et sourire.</v>
      </c>
    </row>
    <row r="16137">
      <c r="A16137" s="4" t="s">
        <v>20327</v>
      </c>
      <c r="B16137" s="4" t="s">
        <v>20328</v>
      </c>
      <c r="C16137" s="5" t="str">
        <f>IFERROR(__xludf.DUMMYFUNCTION("GOOGLETRANSLATE(B16137,""en"",""fr"")"),"Les jeunes hommes ont une conversation en voiture et jouent avant d'arriver sur la piste de ski.")</f>
        <v>Les jeunes hommes ont une conversation en voiture et jouent avant d'arriver sur la piste de ski.</v>
      </c>
    </row>
    <row r="16138">
      <c r="A16138" s="4" t="s">
        <v>20327</v>
      </c>
      <c r="B16138" s="4" t="s">
        <v>20329</v>
      </c>
      <c r="C16138" s="5" t="str">
        <f>IFERROR(__xludf.DUMMYFUNCTION("GOOGLETRANSLATE(B16138,""en"",""fr"")"),"Nous voyons des hommes de snowboard sur des obstacles et des rampes sur la piste de ski.")</f>
        <v>Nous voyons des hommes de snowboard sur des obstacles et des rampes sur la piste de ski.</v>
      </c>
    </row>
    <row r="16139">
      <c r="A16139" s="4" t="s">
        <v>20327</v>
      </c>
      <c r="B16139" s="4" t="s">
        <v>20330</v>
      </c>
      <c r="C16139" s="5" t="str">
        <f>IFERROR(__xludf.DUMMYFUNCTION("GOOGLETRANSLATE(B16139,""en"",""fr"")"),"Un homme saute une rampe et tombe au sol.")</f>
        <v>Un homme saute une rampe et tombe au sol.</v>
      </c>
    </row>
    <row r="16140">
      <c r="A16140" s="4" t="s">
        <v>20327</v>
      </c>
      <c r="B16140" s="4" t="s">
        <v>20331</v>
      </c>
      <c r="C16140" s="5" t="str">
        <f>IFERROR(__xludf.DUMMYFUNCTION("GOOGLETRANSLATE(B16140,""en"",""fr"")"),"Nous voyons les garçons debout dans le parking et on nous montre leur nom.")</f>
        <v>Nous voyons les garçons debout dans le parking et on nous montre leur nom.</v>
      </c>
    </row>
    <row r="16141">
      <c r="A16141" s="4" t="s">
        <v>20327</v>
      </c>
      <c r="B16141" s="4" t="s">
        <v>20332</v>
      </c>
      <c r="C16141" s="5" t="str">
        <f>IFERROR(__xludf.DUMMYFUNCTION("GOOGLETRANSLATE(B16141,""en"",""fr"")"),"Le dernier garçon retire son casque, secoue ses cheveux et sourit à la caméra.")</f>
        <v>Le dernier garçon retire son casque, secoue ses cheveux et sourit à la caméra.</v>
      </c>
    </row>
    <row r="16142">
      <c r="A16142" s="4" t="s">
        <v>20327</v>
      </c>
      <c r="B16142" s="4" t="s">
        <v>1380</v>
      </c>
      <c r="C16142" s="5" t="str">
        <f>IFERROR(__xludf.DUMMYFUNCTION("GOOGLETRANSLATE(B16142,""en"",""fr"")"),"Nous voyons ensuite les crédits de fin.")</f>
        <v>Nous voyons ensuite les crédits de fin.</v>
      </c>
    </row>
    <row r="16143">
      <c r="A16143" s="4" t="s">
        <v>20333</v>
      </c>
      <c r="B16143" s="4" t="s">
        <v>20334</v>
      </c>
      <c r="C16143" s="5" t="str">
        <f>IFERROR(__xludf.DUMMYFUNCTION("GOOGLETRANSLATE(B16143,""en"",""fr"")"),"Un homme se tient derrière une femme assise sur une chaise.")</f>
        <v>Un homme se tient derrière une femme assise sur une chaise.</v>
      </c>
    </row>
    <row r="16144">
      <c r="A16144" s="4" t="s">
        <v>20333</v>
      </c>
      <c r="B16144" s="4" t="s">
        <v>20335</v>
      </c>
      <c r="C16144" s="5" t="str">
        <f>IFERROR(__xludf.DUMMYFUNCTION("GOOGLETRANSLATE(B16144,""en"",""fr"")"),"Il met un produit dans ses cheveux.")</f>
        <v>Il met un produit dans ses cheveux.</v>
      </c>
    </row>
    <row r="16145">
      <c r="A16145" s="4" t="s">
        <v>20333</v>
      </c>
      <c r="B16145" s="4" t="s">
        <v>20336</v>
      </c>
      <c r="C16145" s="5" t="str">
        <f>IFERROR(__xludf.DUMMYFUNCTION("GOOGLETRANSLATE(B16145,""en"",""fr"")"),"Il commence à sécher ses cheveux.")</f>
        <v>Il commence à sécher ses cheveux.</v>
      </c>
    </row>
    <row r="16146">
      <c r="A16146" s="4" t="s">
        <v>20333</v>
      </c>
      <c r="B16146" s="4" t="s">
        <v>20337</v>
      </c>
      <c r="C16146" s="5" t="str">
        <f>IFERROR(__xludf.DUMMYFUNCTION("GOOGLETRANSLATE(B16146,""en"",""fr"")"),"Elle commence à sécher ses cheveux elle-même.")</f>
        <v>Elle commence à sécher ses cheveux elle-même.</v>
      </c>
    </row>
    <row r="16147">
      <c r="A16147" s="4" t="s">
        <v>20338</v>
      </c>
      <c r="B16147" s="4" t="s">
        <v>20339</v>
      </c>
      <c r="C16147" s="5" t="str">
        <f>IFERROR(__xludf.DUMMYFUNCTION("GOOGLETRANSLATE(B16147,""en"",""fr"")"),"Une femme détient une flûte et pratique les clés en couchage.")</f>
        <v>Une femme détient une flûte et pratique les clés en couchage.</v>
      </c>
    </row>
    <row r="16148">
      <c r="A16148" s="4" t="s">
        <v>20338</v>
      </c>
      <c r="B16148" s="4" t="s">
        <v>20340</v>
      </c>
      <c r="C16148" s="5" t="str">
        <f>IFERROR(__xludf.DUMMYFUNCTION("GOOGLETRANSLATE(B16148,""en"",""fr"")"),"Une femme dans une robe formelle tient une flûte et des gestes en parlant.")</f>
        <v>Une femme dans une robe formelle tient une flûte et des gestes en parlant.</v>
      </c>
    </row>
    <row r="16149">
      <c r="A16149" s="4" t="s">
        <v>20338</v>
      </c>
      <c r="B16149" s="4" t="s">
        <v>20341</v>
      </c>
      <c r="C16149" s="5" t="str">
        <f>IFERROR(__xludf.DUMMYFUNCTION("GOOGLETRANSLATE(B16149,""en"",""fr"")"),"Une femme joue de la flûte avec un soufflage exagéré.")</f>
        <v>Une femme joue de la flûte avec un soufflage exagéré.</v>
      </c>
    </row>
    <row r="16150">
      <c r="A16150" s="4" t="s">
        <v>20338</v>
      </c>
      <c r="B16150" s="4" t="s">
        <v>20342</v>
      </c>
      <c r="C16150" s="5" t="str">
        <f>IFERROR(__xludf.DUMMYFUNCTION("GOOGLETRANSLATE(B16150,""en"",""fr"")"),"Une femme joue une flûte dans une pièce avec d'autres instruments suspendus en arrière-plan.")</f>
        <v>Une femme joue une flûte dans une pièce avec d'autres instruments suspendus en arrière-plan.</v>
      </c>
    </row>
    <row r="16151">
      <c r="A16151" s="4" t="s">
        <v>20338</v>
      </c>
      <c r="B16151" s="4" t="s">
        <v>20343</v>
      </c>
      <c r="C16151" s="5" t="str">
        <f>IFERROR(__xludf.DUMMYFUNCTION("GOOGLETRANSLATE(B16151,""en"",""fr"")"),"Les deux femmes jouent des flûtes ensemble.")</f>
        <v>Les deux femmes jouent des flûtes ensemble.</v>
      </c>
    </row>
    <row r="16152">
      <c r="A16152" s="4" t="s">
        <v>20338</v>
      </c>
      <c r="B16152" s="4" t="s">
        <v>20344</v>
      </c>
      <c r="C16152" s="5" t="str">
        <f>IFERROR(__xludf.DUMMYFUNCTION("GOOGLETRANSLATE(B16152,""en"",""fr"")"),"La femme lui serre la main d'une crampe.")</f>
        <v>La femme lui serre la main d'une crampe.</v>
      </c>
    </row>
    <row r="16153">
      <c r="A16153" s="4" t="s">
        <v>20345</v>
      </c>
      <c r="B16153" s="6" t="s">
        <v>20346</v>
      </c>
      <c r="C16153" s="5" t="str">
        <f>IFERROR(__xludf.DUMMYFUNCTION("GOOGLETRANSLATE(B16153,""en"",""fr"")"),"Une scène de la théorie du Big Bang est montrée et l'homme est allongé dans une table dans une salle de tatouage et un tatoueur se tient près de lui.")</f>
        <v>Une scène de la théorie du Big Bang est montrée et l'homme est allongé dans une table dans une salle de tatouage et un tatoueur se tient près de lui.</v>
      </c>
    </row>
    <row r="16154">
      <c r="A16154" s="4" t="s">
        <v>20345</v>
      </c>
      <c r="B16154" s="4" t="s">
        <v>20347</v>
      </c>
      <c r="C16154" s="5" t="str">
        <f>IFERROR(__xludf.DUMMYFUNCTION("GOOGLETRANSLATE(B16154,""en"",""fr"")"),"L'homme dans le lit se tient et parle à une femme et retire les fausses manches de tatouage.")</f>
        <v>L'homme dans le lit se tient et parle à une femme et retire les fausses manches de tatouage.</v>
      </c>
    </row>
    <row r="16155">
      <c r="A16155" s="4" t="s">
        <v>20348</v>
      </c>
      <c r="B16155" s="6" t="s">
        <v>20349</v>
      </c>
      <c r="C16155" s="5" t="str">
        <f>IFERROR(__xludf.DUMMYFUNCTION("GOOGLETRANSLATE(B16155,""en"",""fr"")"),"Un gros plan des pieds d'une personne est montré suivi de deux hommes vus dans une salle ouverte tenant des raquettes de tennis et frappant une balle.")</f>
        <v>Un gros plan des pieds d'une personne est montré suivi de deux hommes vus dans une salle ouverte tenant des raquettes de tennis et frappant une balle.</v>
      </c>
    </row>
    <row r="16156">
      <c r="A16156" s="4" t="s">
        <v>20348</v>
      </c>
      <c r="B16156" s="4" t="s">
        <v>20350</v>
      </c>
      <c r="C16156" s="5" t="str">
        <f>IFERROR(__xludf.DUMMYFUNCTION("GOOGLETRANSLATE(B16156,""en"",""fr"")"),"Ensuite, les hommes ont frappé le ballon tout autour de la pièce tout en courant de chaque côté pour frapper le ballon.")</f>
        <v>Ensuite, les hommes ont frappé le ballon tout autour de la pièce tout en courant de chaque côté pour frapper le ballon.</v>
      </c>
    </row>
    <row r="16157">
      <c r="A16157" s="4" t="s">
        <v>20351</v>
      </c>
      <c r="B16157" s="4" t="s">
        <v>20352</v>
      </c>
      <c r="C16157" s="5" t="str">
        <f>IFERROR(__xludf.DUMMYFUNCTION("GOOGLETRANSLATE(B16157,""en"",""fr"")"),"Une plage vacante est visible et les gens ont commencé à tirer leurs voitures contre la côte.")</f>
        <v>Une plage vacante est visible et les gens ont commencé à tirer leurs voitures contre la côte.</v>
      </c>
    </row>
    <row r="16158">
      <c r="A16158" s="4" t="s">
        <v>20351</v>
      </c>
      <c r="B16158" s="4" t="s">
        <v>20353</v>
      </c>
      <c r="C16158" s="5" t="str">
        <f>IFERROR(__xludf.DUMMYFUNCTION("GOOGLETRANSLATE(B16158,""en"",""fr"")"),"Le trottoir apparaît ensuite et un garçon commence à faire du skateboard sur la route près de la plage.")</f>
        <v>Le trottoir apparaît ensuite et un garçon commence à faire du skateboard sur la route près de la plage.</v>
      </c>
    </row>
    <row r="16159">
      <c r="A16159" s="4" t="s">
        <v>20351</v>
      </c>
      <c r="B16159" s="4" t="s">
        <v>20354</v>
      </c>
      <c r="C16159" s="5" t="str">
        <f>IFERROR(__xludf.DUMMYFUNCTION("GOOGLETRANSLATE(B16159,""en"",""fr"")"),"Il continue de faire des astuces et du skateboard à travers la ville qui passe des gens et des voitures.")</f>
        <v>Il continue de faire des astuces et du skateboard à travers la ville qui passe des gens et des voitures.</v>
      </c>
    </row>
    <row r="16160">
      <c r="A16160" s="4" t="s">
        <v>20351</v>
      </c>
      <c r="B16160" s="6" t="s">
        <v>20355</v>
      </c>
      <c r="C16160" s="5" t="str">
        <f>IFERROR(__xludf.DUMMYFUNCTION("GOOGLETRANSLATE(B16160,""en"",""fr"")"),"Après un certain temps, il s'assoit, il fait une pause et commence à parler à un autre gars avant de finalement se relever pour continuer le skateboard.")</f>
        <v>Après un certain temps, il s'assoit, il fait une pause et commence à parler à un autre gars avant de finalement se relever pour continuer le skateboard.</v>
      </c>
    </row>
    <row r="16161">
      <c r="A16161" s="4" t="s">
        <v>20356</v>
      </c>
      <c r="B16161" s="4" t="s">
        <v>20357</v>
      </c>
      <c r="C16161" s="5" t="str">
        <f>IFERROR(__xludf.DUMMYFUNCTION("GOOGLETRANSLATE(B16161,""en"",""fr"")"),"Un mec skie avec une caméra sur son casque pour nous montrer ce qu'il voit comme il skie.")</f>
        <v>Un mec skie avec une caméra sur son casque pour nous montrer ce qu'il voit comme il skie.</v>
      </c>
    </row>
    <row r="16162">
      <c r="A16162" s="4" t="s">
        <v>20356</v>
      </c>
      <c r="B16162" s="4" t="s">
        <v>20358</v>
      </c>
      <c r="C16162" s="5" t="str">
        <f>IFERROR(__xludf.DUMMYFUNCTION("GOOGLETRANSLATE(B16162,""en"",""fr"")"),"Le gars skie en bas de la colline et passe un gars qui était devant lui.")</f>
        <v>Le gars skie en bas de la colline et passe un gars qui était devant lui.</v>
      </c>
    </row>
    <row r="16163">
      <c r="A16163" s="4" t="s">
        <v>20356</v>
      </c>
      <c r="B16163" s="6" t="s">
        <v>20359</v>
      </c>
      <c r="C16163" s="5" t="str">
        <f>IFERROR(__xludf.DUMMYFUNCTION("GOOGLETRANSLATE(B16163,""en"",""fr"")"),"Alors que le gars skis, il commence à traverser d'autres skieurs skiant également, le skieur arrive enfin jusqu'à la fin de Down Hill Slogn et s'arrête.")</f>
        <v>Alors que le gars skis, il commence à traverser d'autres skieurs skiant également, le skieur arrive enfin jusqu'à la fin de Down Hill Slogn et s'arrête.</v>
      </c>
    </row>
    <row r="16164">
      <c r="A16164" s="4" t="s">
        <v>20360</v>
      </c>
      <c r="B16164" s="4" t="s">
        <v>20361</v>
      </c>
      <c r="C16164" s="5" t="str">
        <f>IFERROR(__xludf.DUMMYFUNCTION("GOOGLETRANSLATE(B16164,""en"",""fr"")"),"Un homme et une femme jouent des ciseaux en papier rocheux.")</f>
        <v>Un homme et une femme jouent des ciseaux en papier rocheux.</v>
      </c>
    </row>
    <row r="16165">
      <c r="A16165" s="4" t="s">
        <v>20360</v>
      </c>
      <c r="B16165" s="4" t="s">
        <v>20362</v>
      </c>
      <c r="C16165" s="5" t="str">
        <f>IFERROR(__xludf.DUMMYFUNCTION("GOOGLETRANSLATE(B16165,""en"",""fr"")"),"L'homme se met à genoux et sort une bague.")</f>
        <v>L'homme se met à genoux et sort une bague.</v>
      </c>
    </row>
    <row r="16166">
      <c r="A16166" s="4" t="s">
        <v>20360</v>
      </c>
      <c r="B16166" s="4" t="s">
        <v>20363</v>
      </c>
      <c r="C16166" s="5" t="str">
        <f>IFERROR(__xludf.DUMMYFUNCTION("GOOGLETRANSLATE(B16166,""en"",""fr"")"),"Ils s'embrassent à côté de la piscine.")</f>
        <v>Ils s'embrassent à côté de la piscine.</v>
      </c>
    </row>
    <row r="16167">
      <c r="A16167" s="4" t="s">
        <v>20360</v>
      </c>
      <c r="B16167" s="4" t="s">
        <v>20364</v>
      </c>
      <c r="C16167" s="5" t="str">
        <f>IFERROR(__xludf.DUMMYFUNCTION("GOOGLETRANSLATE(B16167,""en"",""fr"")"),"Ils s'embrassent.")</f>
        <v>Ils s'embrassent.</v>
      </c>
    </row>
    <row r="16168">
      <c r="A16168" s="4" t="s">
        <v>20365</v>
      </c>
      <c r="B16168" s="4" t="s">
        <v>20366</v>
      </c>
      <c r="C16168" s="5" t="str">
        <f>IFERROR(__xludf.DUMMYFUNCTION("GOOGLETRANSLATE(B16168,""en"",""fr"")"),"Un homme coule sur une piste, il saute dans un tas de sable.")</f>
        <v>Un homme coule sur une piste, il saute dans un tas de sable.</v>
      </c>
    </row>
    <row r="16169">
      <c r="A16169" s="4" t="s">
        <v>20365</v>
      </c>
      <c r="B16169" s="4" t="s">
        <v>20367</v>
      </c>
      <c r="C16169" s="5" t="str">
        <f>IFERROR(__xludf.DUMMYFUNCTION("GOOGLETRANSLATE(B16169,""en"",""fr"")"),"Il descend à nouveau sur la piste et saute plusieurs fois dans le sable.")</f>
        <v>Il descend à nouveau sur la piste et saute plusieurs fois dans le sable.</v>
      </c>
    </row>
    <row r="16170">
      <c r="A16170" s="4" t="s">
        <v>20365</v>
      </c>
      <c r="B16170" s="4" t="s">
        <v>20368</v>
      </c>
      <c r="C16170" s="5" t="str">
        <f>IFERROR(__xludf.DUMMYFUNCTION("GOOGLETRANSLATE(B16170,""en"",""fr"")"),"Les scores sont affichés à l'écran.")</f>
        <v>Les scores sont affichés à l'écran.</v>
      </c>
    </row>
    <row r="16171">
      <c r="A16171" s="4" t="s">
        <v>20369</v>
      </c>
      <c r="B16171" s="4" t="s">
        <v>20370</v>
      </c>
      <c r="C16171" s="5" t="str">
        <f>IFERROR(__xludf.DUMMYFUNCTION("GOOGLETRANSLATE(B16171,""en"",""fr"")"),"Un homme portant une tenue verte mène un chameau.")</f>
        <v>Un homme portant une tenue verte mène un chameau.</v>
      </c>
    </row>
    <row r="16172">
      <c r="A16172" s="4" t="s">
        <v>20369</v>
      </c>
      <c r="B16172" s="4" t="s">
        <v>20371</v>
      </c>
      <c r="C16172" s="5" t="str">
        <f>IFERROR(__xludf.DUMMYFUNCTION("GOOGLETRANSLATE(B16172,""en"",""fr"")"),"Deux personnes sont assises au-dessus du chameau.")</f>
        <v>Deux personnes sont assises au-dessus du chameau.</v>
      </c>
    </row>
    <row r="16173">
      <c r="A16173" s="4" t="s">
        <v>20369</v>
      </c>
      <c r="B16173" s="4" t="s">
        <v>20372</v>
      </c>
      <c r="C16173" s="5" t="str">
        <f>IFERROR(__xludf.DUMMYFUNCTION("GOOGLETRANSLATE(B16173,""en"",""fr"")"),"Un homme marche à côté du chameau.")</f>
        <v>Un homme marche à côté du chameau.</v>
      </c>
    </row>
    <row r="16174">
      <c r="A16174" s="4" t="s">
        <v>20373</v>
      </c>
      <c r="B16174" s="4" t="s">
        <v>20374</v>
      </c>
      <c r="C16174" s="5" t="str">
        <f>IFERROR(__xludf.DUMMYFUNCTION("GOOGLETRANSLATE(B16174,""en"",""fr"")"),"Les gens jouent à un jeu sur un terrain à l'aide de chevaux.")</f>
        <v>Les gens jouent à un jeu sur un terrain à l'aide de chevaux.</v>
      </c>
    </row>
    <row r="16175">
      <c r="A16175" s="4" t="s">
        <v>20373</v>
      </c>
      <c r="B16175" s="4" t="s">
        <v>20375</v>
      </c>
      <c r="C16175" s="5" t="str">
        <f>IFERROR(__xludf.DUMMYFUNCTION("GOOGLETRANSLATE(B16175,""en"",""fr"")"),"La personne de la caméra monte près du parking à droite.")</f>
        <v>La personne de la caméra monte près du parking à droite.</v>
      </c>
    </row>
    <row r="16176">
      <c r="A16176" s="4" t="s">
        <v>20373</v>
      </c>
      <c r="B16176" s="4" t="s">
        <v>20376</v>
      </c>
      <c r="C16176" s="5" t="str">
        <f>IFERROR(__xludf.DUMMYFUNCTION("GOOGLETRANSLATE(B16176,""en"",""fr"")"),"La personne de la caméra monte à nouveau près du parking.")</f>
        <v>La personne de la caméra monte à nouveau près du parking.</v>
      </c>
    </row>
    <row r="16177">
      <c r="A16177" s="4" t="s">
        <v>20373</v>
      </c>
      <c r="B16177" s="4" t="s">
        <v>20377</v>
      </c>
      <c r="C16177" s="5" t="str">
        <f>IFERROR(__xludf.DUMMYFUNCTION("GOOGLETRANSLATE(B16177,""en"",""fr"")"),"La personne ralentit près du but.")</f>
        <v>La personne ralentit près du but.</v>
      </c>
    </row>
    <row r="16178">
      <c r="A16178" s="4" t="s">
        <v>20378</v>
      </c>
      <c r="B16178" s="4" t="s">
        <v>20379</v>
      </c>
      <c r="C16178" s="5" t="str">
        <f>IFERROR(__xludf.DUMMYFUNCTION("GOOGLETRANSLATE(B16178,""en"",""fr"")"),"Un graphique montre puis des photos suivent une fille qui grandit avec l'équitation.")</f>
        <v>Un graphique montre puis des photos suivent une fille qui grandit avec l'équitation.</v>
      </c>
    </row>
    <row r="16179">
      <c r="A16179" s="4" t="s">
        <v>20378</v>
      </c>
      <c r="B16179" s="4" t="s">
        <v>20380</v>
      </c>
      <c r="C16179" s="5" t="str">
        <f>IFERROR(__xludf.DUMMYFUNCTION("GOOGLETRANSLATE(B16179,""en"",""fr"")"),"Trois ans après ces photos, la fille bouge et elle est montrée en train de monter à cheval.")</f>
        <v>Trois ans après ces photos, la fille bouge et elle est montrée en train de monter à cheval.</v>
      </c>
    </row>
    <row r="16180">
      <c r="A16180" s="4" t="s">
        <v>20378</v>
      </c>
      <c r="B16180" s="4" t="s">
        <v>20381</v>
      </c>
      <c r="C16180" s="5" t="str">
        <f>IFERROR(__xludf.DUMMYFUNCTION("GOOGLETRANSLATE(B16180,""en"",""fr"")"),"La fille est montrée avec d'autres filles posant avec des prix pour l'équitation.")</f>
        <v>La fille est montrée avec d'autres filles posant avec des prix pour l'équitation.</v>
      </c>
    </row>
    <row r="16181">
      <c r="A16181" s="4" t="s">
        <v>20378</v>
      </c>
      <c r="B16181" s="4" t="s">
        <v>20382</v>
      </c>
      <c r="C16181" s="5" t="str">
        <f>IFERROR(__xludf.DUMMYFUNCTION("GOOGLETRANSLATE(B16181,""en"",""fr"")"),"Une autre vidéo est montrée de la fille chevauchant le cheval à l'intérieur.")</f>
        <v>Une autre vidéo est montrée de la fille chevauchant le cheval à l'intérieur.</v>
      </c>
    </row>
    <row r="16182">
      <c r="A16182" s="4" t="s">
        <v>20378</v>
      </c>
      <c r="B16182" s="4" t="s">
        <v>20383</v>
      </c>
      <c r="C16182" s="5" t="str">
        <f>IFERROR(__xludf.DUMMYFUNCTION("GOOGLETRANSLATE(B16182,""en"",""fr"")"),"Des photos de la fille prenant soin de ses chevaux ferment la vidéo.")</f>
        <v>Des photos de la fille prenant soin de ses chevaux ferment la vidéo.</v>
      </c>
    </row>
    <row r="16183">
      <c r="A16183" s="4" t="s">
        <v>20384</v>
      </c>
      <c r="B16183" s="4" t="s">
        <v>20385</v>
      </c>
      <c r="C16183" s="5" t="str">
        <f>IFERROR(__xludf.DUMMYFUNCTION("GOOGLETRANSLATE(B16183,""en"",""fr"")"),"Une femme est vue en se brossant les dents et mène au dentifrice réparti sur une brosse à dents.")</f>
        <v>Une femme est vue en se brossant les dents et mène au dentifrice réparti sur une brosse à dents.</v>
      </c>
    </row>
    <row r="16184">
      <c r="A16184" s="4" t="s">
        <v>20384</v>
      </c>
      <c r="B16184" s="4" t="s">
        <v>20386</v>
      </c>
      <c r="C16184" s="5" t="str">
        <f>IFERROR(__xludf.DUMMYFUNCTION("GOOGLETRANSLATE(B16184,""en"",""fr"")"),"Une autre fille se brosse les dents et montre plusieurs images fixes sur la façon de brosser correctement les dents.")</f>
        <v>Une autre fille se brosse les dents et montre plusieurs images fixes sur la façon de brosser correctement les dents.</v>
      </c>
    </row>
    <row r="16185">
      <c r="A16185" s="4" t="s">
        <v>20384</v>
      </c>
      <c r="B16185" s="4" t="s">
        <v>20387</v>
      </c>
      <c r="C16185" s="5" t="str">
        <f>IFERROR(__xludf.DUMMYFUNCTION("GOOGLETRANSLATE(B16185,""en"",""fr"")"),"Plus de clips sont montrés des personnes qui se brossent les dents.")</f>
        <v>Plus de clips sont montrés des personnes qui se brossent les dents.</v>
      </c>
    </row>
    <row r="16186">
      <c r="A16186" s="4" t="s">
        <v>20388</v>
      </c>
      <c r="B16186" s="4" t="s">
        <v>20389</v>
      </c>
      <c r="C16186" s="5" t="str">
        <f>IFERROR(__xludf.DUMMYFUNCTION("GOOGLETRANSLATE(B16186,""en"",""fr"")"),"Plusieurs personnes sont dans des scooters de pare-chocs se déplaçant dans un petit piégeage.")</f>
        <v>Plusieurs personnes sont dans des scooters de pare-chocs se déplaçant dans un petit piégeage.</v>
      </c>
    </row>
    <row r="16187">
      <c r="A16187" s="4" t="s">
        <v>20388</v>
      </c>
      <c r="B16187" s="4" t="s">
        <v>20390</v>
      </c>
      <c r="C16187" s="5" t="str">
        <f>IFERROR(__xludf.DUMMYFUNCTION("GOOGLETRANSLATE(B16187,""en"",""fr"")"),"Enfin, ils sortent de la grosse touffe et commencent à se déplacer plus facilement dans le gymnase.")</f>
        <v>Enfin, ils sortent de la grosse touffe et commencent à se déplacer plus facilement dans le gymnase.</v>
      </c>
    </row>
    <row r="16188">
      <c r="A16188" s="4" t="s">
        <v>20388</v>
      </c>
      <c r="B16188" s="6" t="s">
        <v>20391</v>
      </c>
      <c r="C16188" s="5" t="str">
        <f>IFERROR(__xludf.DUMMYFUNCTION("GOOGLETRANSLATE(B16188,""en"",""fr"")"),"Le trajet se termine enfin, et tous les gens sortent et une fille et un garçon se dirigent vers la caméra en donnant un coup de pouce.")</f>
        <v>Le trajet se termine enfin, et tous les gens sortent et une fille et un garçon se dirigent vers la caméra en donnant un coup de pouce.</v>
      </c>
    </row>
    <row r="16189">
      <c r="A16189" s="4" t="s">
        <v>20392</v>
      </c>
      <c r="B16189" s="6" t="s">
        <v>20393</v>
      </c>
      <c r="C16189" s="5" t="str">
        <f>IFERROR(__xludf.DUMMYFUNCTION("GOOGLETRANSLATE(B16189,""en"",""fr"")"),"Un grand groupe de personnes se voit errer dans une zone échouée, suivie de gens dansant et profitant de la plage.")</f>
        <v>Un grand groupe de personnes se voit errer dans une zone échouée, suivie de gens dansant et profitant de la plage.</v>
      </c>
    </row>
    <row r="16190">
      <c r="A16190" s="4" t="s">
        <v>20392</v>
      </c>
      <c r="B16190" s="4" t="s">
        <v>20394</v>
      </c>
      <c r="C16190" s="5" t="str">
        <f>IFERROR(__xludf.DUMMYFUNCTION("GOOGLETRANSLATE(B16190,""en"",""fr"")"),"Plusieurs clips sont illustrés à un match de football en cours ainsi que des fans célébrant la caméra.")</f>
        <v>Plusieurs clips sont illustrés à un match de football en cours ainsi que des fans célébrant la caméra.</v>
      </c>
    </row>
    <row r="16191">
      <c r="A16191" s="4" t="s">
        <v>20392</v>
      </c>
      <c r="B16191" s="4" t="s">
        <v>20395</v>
      </c>
      <c r="C16191" s="5" t="str">
        <f>IFERROR(__xludf.DUMMYFUNCTION("GOOGLETRANSLATE(B16191,""en"",""fr"")"),"En fin de compte, l'équipe célèbre toutes ensemble tandis que Confetti tombe du ciel.")</f>
        <v>En fin de compte, l'équipe célèbre toutes ensemble tandis que Confetti tombe du ciel.</v>
      </c>
    </row>
    <row r="16192">
      <c r="A16192" s="4" t="s">
        <v>20396</v>
      </c>
      <c r="B16192" s="4" t="s">
        <v>20397</v>
      </c>
      <c r="C16192" s="5" t="str">
        <f>IFERROR(__xludf.DUMMYFUNCTION("GOOGLETRANSLATE(B16192,""en"",""fr"")"),"Une femme joue de la musique sur une stéréo dans une ville animée.")</f>
        <v>Une femme joue de la musique sur une stéréo dans une ville animée.</v>
      </c>
    </row>
    <row r="16193">
      <c r="A16193" s="4" t="s">
        <v>20396</v>
      </c>
      <c r="B16193" s="4" t="s">
        <v>20398</v>
      </c>
      <c r="C16193" s="5" t="str">
        <f>IFERROR(__xludf.DUMMYFUNCTION("GOOGLETRANSLATE(B16193,""en"",""fr"")"),"Une autre femme se tient sur le trottoir avec des écouteurs.")</f>
        <v>Une autre femme se tient sur le trottoir avec des écouteurs.</v>
      </c>
    </row>
    <row r="16194">
      <c r="A16194" s="4" t="s">
        <v>20396</v>
      </c>
      <c r="B16194" s="4" t="s">
        <v>20399</v>
      </c>
      <c r="C16194" s="5" t="str">
        <f>IFERROR(__xludf.DUMMYFUNCTION("GOOGLETRANSLATE(B16194,""en"",""fr"")"),"Ils se sourit tous les deux alors qu'ils grognent vers la musique.")</f>
        <v>Ils se sourit tous les deux alors qu'ils grognent vers la musique.</v>
      </c>
    </row>
    <row r="16195">
      <c r="A16195" s="4" t="s">
        <v>20396</v>
      </c>
      <c r="B16195" s="4" t="s">
        <v>20400</v>
      </c>
      <c r="C16195" s="5" t="str">
        <f>IFERROR(__xludf.DUMMYFUNCTION("GOOGLETRANSLATE(B16195,""en"",""fr"")"),"La femme ramasse la stéréo et commence à marcher.")</f>
        <v>La femme ramasse la stéréo et commence à marcher.</v>
      </c>
    </row>
    <row r="16196">
      <c r="A16196" s="4" t="s">
        <v>20396</v>
      </c>
      <c r="B16196" s="4" t="s">
        <v>20401</v>
      </c>
      <c r="C16196" s="5" t="str">
        <f>IFERROR(__xludf.DUMMYFUNCTION("GOOGLETRANSLATE(B16196,""en"",""fr"")"),"L'autre femme la suit sur le même trottoir.")</f>
        <v>L'autre femme la suit sur le même trottoir.</v>
      </c>
    </row>
    <row r="16197">
      <c r="A16197" s="4" t="s">
        <v>20396</v>
      </c>
      <c r="B16197" s="4" t="s">
        <v>20402</v>
      </c>
      <c r="C16197" s="5" t="str">
        <f>IFERROR(__xludf.DUMMYFUNCTION("GOOGLETRANSLATE(B16197,""en"",""fr"")"),"Ils marchent ensemble en tenant la stéréo.")</f>
        <v>Ils marchent ensemble en tenant la stéréo.</v>
      </c>
    </row>
    <row r="16198">
      <c r="A16198" s="4" t="s">
        <v>20396</v>
      </c>
      <c r="B16198" s="4" t="s">
        <v>20403</v>
      </c>
      <c r="C16198" s="5" t="str">
        <f>IFERROR(__xludf.DUMMYFUNCTION("GOOGLETRANSLATE(B16198,""en"",""fr"")"),"Un homme en chemise rouge commence à danser à côté d'une voiture avec une autre femme.")</f>
        <v>Un homme en chemise rouge commence à danser à côté d'une voiture avec une autre femme.</v>
      </c>
    </row>
    <row r="16199">
      <c r="A16199" s="4" t="s">
        <v>20396</v>
      </c>
      <c r="B16199" s="4" t="s">
        <v>20404</v>
      </c>
      <c r="C16199" s="5" t="str">
        <f>IFERROR(__xludf.DUMMYFUNCTION("GOOGLETRANSLATE(B16199,""en"",""fr"")"),"Ils rejoignent la femme marchant avec la stéréo à la main.")</f>
        <v>Ils rejoignent la femme marchant avec la stéréo à la main.</v>
      </c>
    </row>
    <row r="16200">
      <c r="A16200" s="4" t="s">
        <v>20396</v>
      </c>
      <c r="B16200" s="4" t="s">
        <v>20405</v>
      </c>
      <c r="C16200" s="5" t="str">
        <f>IFERROR(__xludf.DUMMYFUNCTION("GOOGLETRANSLATE(B16200,""en"",""fr"")"),"Plusieurs autres personnes les rejoignent alors qu'ils marchent et dansent sur la musique.")</f>
        <v>Plusieurs autres personnes les rejoignent alors qu'ils marchent et dansent sur la musique.</v>
      </c>
    </row>
    <row r="16201">
      <c r="A16201" s="4" t="s">
        <v>20396</v>
      </c>
      <c r="B16201" s="4" t="s">
        <v>20406</v>
      </c>
      <c r="C16201" s="5" t="str">
        <f>IFERROR(__xludf.DUMMYFUNCTION("GOOGLETRANSLATE(B16201,""en"",""fr"")"),"Tous les gens pénètrent dans une danse synchronisée directement dans la rue.")</f>
        <v>Tous les gens pénètrent dans une danse synchronisée directement dans la rue.</v>
      </c>
    </row>
    <row r="16202">
      <c r="A16202" s="4" t="s">
        <v>20407</v>
      </c>
      <c r="B16202" s="4" t="s">
        <v>20408</v>
      </c>
      <c r="C16202" s="5" t="str">
        <f>IFERROR(__xludf.DUMMYFUNCTION("GOOGLETRANSLATE(B16202,""en"",""fr"")"),"Un vieil homme parle ensuite d'un voilier sur le rivage, puis l'homme transporte le voilier vers l'océan.")</f>
        <v>Un vieil homme parle ensuite d'un voilier sur le rivage, puis l'homme transporte le voilier vers l'océan.</v>
      </c>
    </row>
    <row r="16203">
      <c r="A16203" s="4" t="s">
        <v>20407</v>
      </c>
      <c r="B16203" s="4" t="s">
        <v>20409</v>
      </c>
      <c r="C16203" s="5" t="str">
        <f>IFERROR(__xludf.DUMMYFUNCTION("GOOGLETRANSLATE(B16203,""en"",""fr"")"),"Le vieil homme navigue sur le bateau assis sur la frontière du bateau et tire une poignée.")</f>
        <v>Le vieil homme navigue sur le bateau assis sur la frontière du bateau et tire une poignée.</v>
      </c>
    </row>
    <row r="16204">
      <c r="A16204" s="4" t="s">
        <v>20407</v>
      </c>
      <c r="B16204" s="4" t="s">
        <v>20410</v>
      </c>
      <c r="C16204" s="5" t="str">
        <f>IFERROR(__xludf.DUMMYFUNCTION("GOOGLETRANSLATE(B16204,""en"",""fr"")"),"Ensuite, le vieil homme est assis pendant un certain temps, puis continue de naviguer et s'arrête quand il parle.")</f>
        <v>Ensuite, le vieil homme est assis pendant un certain temps, puis continue de naviguer et s'arrête quand il parle.</v>
      </c>
    </row>
    <row r="16205">
      <c r="A16205" s="4" t="s">
        <v>20407</v>
      </c>
      <c r="B16205" s="4" t="s">
        <v>20411</v>
      </c>
      <c r="C16205" s="5" t="str">
        <f>IFERROR(__xludf.DUMMYFUNCTION("GOOGLETRANSLATE(B16205,""en"",""fr"")"),"Après, le vieil homme s'arrête et le bateau se retourne, puis il tire le bateau sur le rivage.")</f>
        <v>Après, le vieil homme s'arrête et le bateau se retourne, puis il tire le bateau sur le rivage.</v>
      </c>
    </row>
    <row r="16206">
      <c r="A16206" s="4" t="s">
        <v>20407</v>
      </c>
      <c r="B16206" s="4" t="s">
        <v>20412</v>
      </c>
      <c r="C16206" s="5" t="str">
        <f>IFERROR(__xludf.DUMMYFUNCTION("GOOGLETRANSLATE(B16206,""en"",""fr"")"),"Après, le vieil homme continue de naviguer dans l'océan.")</f>
        <v>Après, le vieil homme continue de naviguer dans l'océan.</v>
      </c>
    </row>
    <row r="16207">
      <c r="A16207" s="4" t="s">
        <v>20413</v>
      </c>
      <c r="B16207" s="4" t="s">
        <v>20414</v>
      </c>
      <c r="C16207" s="5" t="str">
        <f>IFERROR(__xludf.DUMMYFUNCTION("GOOGLETRANSLATE(B16207,""en"",""fr"")"),"On voit les mains d'une personne jouer un ensemble de tambours de bongo et une pause pour parler à la caméra.")</f>
        <v>On voit les mains d'une personne jouer un ensemble de tambours de bongo et une pause pour parler à la caméra.</v>
      </c>
    </row>
    <row r="16208">
      <c r="A16208" s="4" t="s">
        <v>20413</v>
      </c>
      <c r="B16208" s="6" t="s">
        <v>20415</v>
      </c>
      <c r="C16208" s="5" t="str">
        <f>IFERROR(__xludf.DUMMYFUNCTION("GOOGLETRANSLATE(B16208,""en"",""fr"")"),"Il appuie sur un bouton de son téléphone et redonne à nouveau la batterie et se terminant par une dernière claque sur le tambour.")</f>
        <v>Il appuie sur un bouton de son téléphone et redonne à nouveau la batterie et se terminant par une dernière claque sur le tambour.</v>
      </c>
    </row>
    <row r="16209">
      <c r="A16209" s="4" t="s">
        <v>20416</v>
      </c>
      <c r="B16209" s="4" t="s">
        <v>20417</v>
      </c>
      <c r="C16209" s="5" t="str">
        <f>IFERROR(__xludf.DUMMYFUNCTION("GOOGLETRANSLATE(B16209,""en"",""fr"")"),"Les gens se tiennent en ligne en tenant des épées.")</f>
        <v>Les gens se tiennent en ligne en tenant des épées.</v>
      </c>
    </row>
    <row r="16210">
      <c r="A16210" s="4" t="s">
        <v>20416</v>
      </c>
      <c r="B16210" s="4" t="s">
        <v>20418</v>
      </c>
      <c r="C16210" s="5" t="str">
        <f>IFERROR(__xludf.DUMMYFUNCTION("GOOGLETRANSLATE(B16210,""en"",""fr"")"),"Un homme dans une veste blanche parle dans un microphone.")</f>
        <v>Un homme dans une veste blanche parle dans un microphone.</v>
      </c>
    </row>
    <row r="16211">
      <c r="A16211" s="4" t="s">
        <v>20416</v>
      </c>
      <c r="B16211" s="4" t="s">
        <v>20419</v>
      </c>
      <c r="C16211" s="5" t="str">
        <f>IFERROR(__xludf.DUMMYFUNCTION("GOOGLETRANSLATE(B16211,""en"",""fr"")"),"Un autre messieurs plus âgés parle dans un microphone.")</f>
        <v>Un autre messieurs plus âgés parle dans un microphone.</v>
      </c>
    </row>
    <row r="16212">
      <c r="A16212" s="4" t="s">
        <v>20420</v>
      </c>
      <c r="B16212" s="4" t="s">
        <v>20421</v>
      </c>
      <c r="C16212" s="5" t="str">
        <f>IFERROR(__xludf.DUMMYFUNCTION("GOOGLETRANSLATE(B16212,""en"",""fr"")"),"Un homme couvre un mur avec du ciment à l'aide d'un tuyau.")</f>
        <v>Un homme couvre un mur avec du ciment à l'aide d'un tuyau.</v>
      </c>
    </row>
    <row r="16213">
      <c r="A16213" s="4" t="s">
        <v>20420</v>
      </c>
      <c r="B16213" s="4" t="s">
        <v>20422</v>
      </c>
      <c r="C16213" s="5" t="str">
        <f>IFERROR(__xludf.DUMMYFUNCTION("GOOGLETRANSLATE(B16213,""en"",""fr"")"),"Une personne travaille derrière le mur.")</f>
        <v>Une personne travaille derrière le mur.</v>
      </c>
    </row>
    <row r="16214">
      <c r="A16214" s="4" t="s">
        <v>20420</v>
      </c>
      <c r="B16214" s="4" t="s">
        <v>20423</v>
      </c>
      <c r="C16214" s="5" t="str">
        <f>IFERROR(__xludf.DUMMYFUNCTION("GOOGLETRANSLATE(B16214,""en"",""fr"")"),"La personne couvre la dernière section du mur.")</f>
        <v>La personne couvre la dernière section du mur.</v>
      </c>
    </row>
    <row r="16215">
      <c r="A16215" s="4" t="s">
        <v>20424</v>
      </c>
      <c r="B16215" s="4" t="s">
        <v>20425</v>
      </c>
      <c r="C16215" s="5" t="str">
        <f>IFERROR(__xludf.DUMMYFUNCTION("GOOGLETRANSLATE(B16215,""en"",""fr"")"),"Une personne est vue entrant dans le cadre tenant un instrument devant un piano.")</f>
        <v>Une personne est vue entrant dans le cadre tenant un instrument devant un piano.</v>
      </c>
    </row>
    <row r="16216">
      <c r="A16216" s="4" t="s">
        <v>20424</v>
      </c>
      <c r="B16216" s="4" t="s">
        <v>20426</v>
      </c>
      <c r="C16216" s="5" t="str">
        <f>IFERROR(__xludf.DUMMYFUNCTION("GOOGLETRANSLATE(B16216,""en"",""fr"")"),"Il joue l'instrument devant le piano et revient à la caméra.")</f>
        <v>Il joue l'instrument devant le piano et revient à la caméra.</v>
      </c>
    </row>
    <row r="16217">
      <c r="A16217" s="4" t="s">
        <v>20427</v>
      </c>
      <c r="B16217" s="4" t="s">
        <v>20428</v>
      </c>
      <c r="C16217" s="5" t="str">
        <f>IFERROR(__xludf.DUMMYFUNCTION("GOOGLETRANSLATE(B16217,""en"",""fr"")"),"Le logo ""fab"" apparaît avec deux épées croisées.")</f>
        <v>Le logo "fab" apparaît avec deux épées croisées.</v>
      </c>
    </row>
    <row r="16218">
      <c r="A16218" s="4" t="s">
        <v>20427</v>
      </c>
      <c r="B16218" s="4" t="s">
        <v>20429</v>
      </c>
      <c r="C16218" s="5" t="str">
        <f>IFERROR(__xludf.DUMMYFUNCTION("GOOGLETRANSLATE(B16218,""en"",""fr"")"),"Les mots ""Meyerco Machete Cut Test"" suivent à l'écran.")</f>
        <v>Les mots "Meyerco Machete Cut Test" suivent à l'écran.</v>
      </c>
    </row>
    <row r="16219">
      <c r="A16219" s="4" t="s">
        <v>20427</v>
      </c>
      <c r="B16219" s="4" t="s">
        <v>20430</v>
      </c>
      <c r="C16219" s="5" t="str">
        <f>IFERROR(__xludf.DUMMYFUNCTION("GOOGLETRANSLATE(B16219,""en"",""fr"")"),"Un homme coupe un buisson endommagé à l'aide d'une machette.")</f>
        <v>Un homme coupe un buisson endommagé à l'aide d'une machette.</v>
      </c>
    </row>
    <row r="16220">
      <c r="A16220" s="4" t="s">
        <v>20427</v>
      </c>
      <c r="B16220" s="4" t="s">
        <v>20431</v>
      </c>
      <c r="C16220" s="5" t="str">
        <f>IFERROR(__xludf.DUMMYFUNCTION("GOOGLETRANSLATE(B16220,""en"",""fr"")"),"L'homme continue de couper la branche coupée sur un pont.")</f>
        <v>L'homme continue de couper la branche coupée sur un pont.</v>
      </c>
    </row>
    <row r="16221">
      <c r="A16221" s="4" t="s">
        <v>20432</v>
      </c>
      <c r="B16221" s="4" t="s">
        <v>20433</v>
      </c>
      <c r="C16221" s="5" t="str">
        <f>IFERROR(__xludf.DUMMYFUNCTION("GOOGLETRANSLATE(B16221,""en"",""fr"")"),"Un groupe de ballet de danseurs rivalise avec un groupe de danseurs hip hop.")</f>
        <v>Un groupe de ballet de danseurs rivalise avec un groupe de danseurs hip hop.</v>
      </c>
    </row>
    <row r="16222">
      <c r="A16222" s="4" t="s">
        <v>20432</v>
      </c>
      <c r="B16222" s="4" t="s">
        <v>20434</v>
      </c>
      <c r="C16222" s="5" t="str">
        <f>IFERROR(__xludf.DUMMYFUNCTION("GOOGLETRANSLATE(B16222,""en"",""fr"")"),"Un garçon danse du hip hop, tourne et fait un flip.")</f>
        <v>Un garçon danse du hip hop, tourne et fait un flip.</v>
      </c>
    </row>
    <row r="16223">
      <c r="A16223" s="4" t="s">
        <v>20432</v>
      </c>
      <c r="B16223" s="6" t="s">
        <v>20435</v>
      </c>
      <c r="C16223" s="5" t="str">
        <f>IFERROR(__xludf.DUMMYFUNCTION("GOOGLETRANSLATE(B16223,""en"",""fr"")"),"Après, le garçon grimpe sur une chronique pour faire un retour en arrière et se tenir sur ses mains, puis une danseuse de ballet est élevée par ses amis.")</f>
        <v>Après, le garçon grimpe sur une chronique pour faire un retour en arrière et se tenir sur ses mains, puis une danseuse de ballet est élevée par ses amis.</v>
      </c>
    </row>
    <row r="16224">
      <c r="A16224" s="4" t="s">
        <v>20432</v>
      </c>
      <c r="B16224" s="4" t="s">
        <v>20436</v>
      </c>
      <c r="C16224" s="5" t="str">
        <f>IFERROR(__xludf.DUMMYFUNCTION("GOOGLETRANSLATE(B16224,""en"",""fr"")"),"Ensuite, un garçon court et casse une porte pour entrer de l'autre côté où une fille est surpris.")</f>
        <v>Ensuite, un garçon court et casse une porte pour entrer de l'autre côté où une fille est surpris.</v>
      </c>
    </row>
    <row r="16225">
      <c r="A16225" s="4" t="s">
        <v>20437</v>
      </c>
      <c r="B16225" s="4" t="s">
        <v>20438</v>
      </c>
      <c r="C16225" s="5" t="str">
        <f>IFERROR(__xludf.DUMMYFUNCTION("GOOGLETRANSLATE(B16225,""en"",""fr"")"),"Une fille sourit à une caméra tenant un violon et tire ses cheveux derrière sa tête.")</f>
        <v>Une fille sourit à une caméra tenant un violon et tire ses cheveux derrière sa tête.</v>
      </c>
    </row>
    <row r="16226">
      <c r="A16226" s="4" t="s">
        <v>20437</v>
      </c>
      <c r="B16226" s="4" t="s">
        <v>20439</v>
      </c>
      <c r="C16226" s="5" t="str">
        <f>IFERROR(__xludf.DUMMYFUNCTION("GOOGLETRANSLATE(B16226,""en"",""fr"")"),"Elle continue de parler à la caméra suivie par elle jouant du violon.")</f>
        <v>Elle continue de parler à la caméra suivie par elle jouant du violon.</v>
      </c>
    </row>
    <row r="16227">
      <c r="A16227" s="4" t="s">
        <v>20437</v>
      </c>
      <c r="B16227" s="6" t="s">
        <v>20440</v>
      </c>
      <c r="C16227" s="5" t="str">
        <f>IFERROR(__xludf.DUMMYFUNCTION("GOOGLETRANSLATE(B16227,""en"",""fr"")"),"Elle prend ses cheveux et continue de parler à la caméra et de montrer divers mouvements de violon tout en chantant.")</f>
        <v>Elle prend ses cheveux et continue de parler à la caméra et de montrer divers mouvements de violon tout en chantant.</v>
      </c>
    </row>
    <row r="16228">
      <c r="A16228" s="4" t="s">
        <v>20437</v>
      </c>
      <c r="B16228" s="4" t="s">
        <v>20441</v>
      </c>
      <c r="C16228" s="5" t="str">
        <f>IFERROR(__xludf.DUMMYFUNCTION("GOOGLETRANSLATE(B16228,""en"",""fr"")"),"Elle met à nouveau ses cheveux et continue avec elle.")</f>
        <v>Elle met à nouveau ses cheveux et continue avec elle.</v>
      </c>
    </row>
    <row r="16229">
      <c r="A16229" s="4" t="s">
        <v>20442</v>
      </c>
      <c r="B16229" s="4" t="s">
        <v>20443</v>
      </c>
      <c r="C16229" s="5" t="str">
        <f>IFERROR(__xludf.DUMMYFUNCTION("GOOGLETRANSLATE(B16229,""en"",""fr"")"),"Une personne allume les lumières d'urgence d'une voiture et élimine le pneu d'urgence.")</f>
        <v>Une personne allume les lumières d'urgence d'une voiture et élimine le pneu d'urgence.</v>
      </c>
    </row>
    <row r="16230">
      <c r="A16230" s="4" t="s">
        <v>20442</v>
      </c>
      <c r="B16230" s="4" t="s">
        <v>20444</v>
      </c>
      <c r="C16230" s="5" t="str">
        <f>IFERROR(__xludf.DUMMYFUNCTION("GOOGLETRANSLATE(B16230,""en"",""fr"")"),"Ensuite, l'homme perd les noix de roue du pneu, puis lit le manuel.")</f>
        <v>Ensuite, l'homme perd les noix de roue du pneu, puis lit le manuel.</v>
      </c>
    </row>
    <row r="16231">
      <c r="A16231" s="4" t="s">
        <v>20442</v>
      </c>
      <c r="B16231" s="4" t="s">
        <v>20445</v>
      </c>
      <c r="C16231" s="5" t="str">
        <f>IFERROR(__xludf.DUMMYFUNCTION("GOOGLETRANSLATE(B16231,""en"",""fr"")"),"Après, l'homme met un cric sous la voiture pour l'élever.")</f>
        <v>Après, l'homme met un cric sous la voiture pour l'élever.</v>
      </c>
    </row>
    <row r="16232">
      <c r="A16232" s="4" t="s">
        <v>20442</v>
      </c>
      <c r="B16232" s="4" t="s">
        <v>20446</v>
      </c>
      <c r="C16232" s="5" t="str">
        <f>IFERROR(__xludf.DUMMYFUNCTION("GOOGLETRANSLATE(B16232,""en"",""fr"")"),"Ensuite, l'homme met le pneu d'urgence et serre les noix de roue.")</f>
        <v>Ensuite, l'homme met le pneu d'urgence et serre les noix de roue.</v>
      </c>
    </row>
    <row r="16233">
      <c r="A16233" s="4" t="s">
        <v>20442</v>
      </c>
      <c r="B16233" s="4" t="s">
        <v>20447</v>
      </c>
      <c r="C16233" s="5" t="str">
        <f>IFERROR(__xludf.DUMMYFUNCTION("GOOGLETRANSLATE(B16233,""en"",""fr"")"),"À la fin, l'homme garde le cric et le pneu plat.")</f>
        <v>À la fin, l'homme garde le cric et le pneu plat.</v>
      </c>
    </row>
    <row r="16234">
      <c r="A16234" s="4" t="s">
        <v>20448</v>
      </c>
      <c r="B16234" s="4" t="s">
        <v>20449</v>
      </c>
      <c r="C16234" s="5" t="str">
        <f>IFERROR(__xludf.DUMMYFUNCTION("GOOGLETRANSLATE(B16234,""en"",""fr"")"),"Une femme est vue parler à la caméra tout en tenant un violon.")</f>
        <v>Une femme est vue parler à la caméra tout en tenant un violon.</v>
      </c>
    </row>
    <row r="16235">
      <c r="A16235" s="4" t="s">
        <v>20448</v>
      </c>
      <c r="B16235" s="4" t="s">
        <v>20450</v>
      </c>
      <c r="C16235" s="5" t="str">
        <f>IFERROR(__xludf.DUMMYFUNCTION("GOOGLETRANSLATE(B16235,""en"",""fr"")"),"La femme continue de parler et elles commencent à démontrer comment jouer une chanson.")</f>
        <v>La femme continue de parler et elles commencent à démontrer comment jouer une chanson.</v>
      </c>
    </row>
    <row r="16236">
      <c r="A16236" s="4" t="s">
        <v>20448</v>
      </c>
      <c r="B16236" s="4" t="s">
        <v>20451</v>
      </c>
      <c r="C16236" s="5" t="str">
        <f>IFERROR(__xludf.DUMMYFUNCTION("GOOGLETRANSLATE(B16236,""en"",""fr"")"),"Elle finit de jouer la chanson et sourit à la caméra.")</f>
        <v>Elle finit de jouer la chanson et sourit à la caméra.</v>
      </c>
    </row>
    <row r="16237">
      <c r="A16237" s="4" t="s">
        <v>20452</v>
      </c>
      <c r="B16237" s="4" t="s">
        <v>20453</v>
      </c>
      <c r="C16237" s="5" t="str">
        <f>IFERROR(__xludf.DUMMYFUNCTION("GOOGLETRANSLATE(B16237,""en"",""fr"")"),"Une personne est vue se pencher sur ses jambes avec une personne mettant de la crème à raser sur sa jambe.")</f>
        <v>Une personne est vue se pencher sur ses jambes avec une personne mettant de la crème à raser sur sa jambe.</v>
      </c>
    </row>
    <row r="16238">
      <c r="A16238" s="4" t="s">
        <v>20452</v>
      </c>
      <c r="B16238" s="4" t="s">
        <v>20454</v>
      </c>
      <c r="C16238" s="5" t="str">
        <f>IFERROR(__xludf.DUMMYFUNCTION("GOOGLETRANSLATE(B16238,""en"",""fr"")"),"La personne attrape alors un rasoir et commence à raser la jambe de l'homme tout en le plongeant dans un évier.")</f>
        <v>La personne attrape alors un rasoir et commence à raser la jambe de l'homme tout en le plongeant dans un évier.</v>
      </c>
    </row>
    <row r="16239">
      <c r="A16239" s="4" t="s">
        <v>20452</v>
      </c>
      <c r="B16239" s="4" t="s">
        <v>20455</v>
      </c>
      <c r="C16239" s="5" t="str">
        <f>IFERROR(__xludf.DUMMYFUNCTION("GOOGLETRANSLATE(B16239,""en"",""fr"")"),"La femme continue de se raser la jambe tout en étant en train de revenir dans l'évier et de prendre un verre.")</f>
        <v>La femme continue de se raser la jambe tout en étant en train de revenir dans l'évier et de prendre un verre.</v>
      </c>
    </row>
    <row r="16240">
      <c r="A16240" s="4" t="s">
        <v>20456</v>
      </c>
      <c r="B16240" s="6" t="s">
        <v>20457</v>
      </c>
      <c r="C16240" s="5" t="str">
        <f>IFERROR(__xludf.DUMMYFUNCTION("GOOGLETRANSLATE(B16240,""en"",""fr"")"),"Une balle d'homme roule sur un terrain de baseball et un petit garçon dans une chemise verte donne un coup de pied au ballon et court autour des bases.")</f>
        <v>Une balle d'homme roule sur un terrain de baseball et un petit garçon dans une chemise verte donne un coup de pied au ballon et court autour des bases.</v>
      </c>
    </row>
    <row r="16241">
      <c r="A16241" s="4" t="s">
        <v>20456</v>
      </c>
      <c r="B16241" s="4" t="s">
        <v>20458</v>
      </c>
      <c r="C16241" s="5" t="str">
        <f>IFERROR(__xludf.DUMMYFUNCTION("GOOGLETRANSLATE(B16241,""en"",""fr"")"),"Le garçon s'arrête et regarde la caméra puis recommence à courir.")</f>
        <v>Le garçon s'arrête et regarde la caméra puis recommence à courir.</v>
      </c>
    </row>
    <row r="16242">
      <c r="A16242" s="4" t="s">
        <v>20456</v>
      </c>
      <c r="B16242" s="4" t="s">
        <v>20459</v>
      </c>
      <c r="C16242" s="5" t="str">
        <f>IFERROR(__xludf.DUMMYFUNCTION("GOOGLETRANSLATE(B16242,""en"",""fr"")"),"Une personne court devant la caméra.")</f>
        <v>Une personne court devant la caméra.</v>
      </c>
    </row>
    <row r="16243">
      <c r="A16243" s="4" t="s">
        <v>20456</v>
      </c>
      <c r="B16243" s="4" t="s">
        <v>20460</v>
      </c>
      <c r="C16243" s="5" t="str">
        <f>IFERROR(__xludf.DUMMYFUNCTION("GOOGLETRANSLATE(B16243,""en"",""fr"")"),"Le garçon arrive à la maison alors qu'une dame poursuit une balle à la clôture.")</f>
        <v>Le garçon arrive à la maison alors qu'une dame poursuit une balle à la clôture.</v>
      </c>
    </row>
    <row r="16244">
      <c r="A16244" s="4" t="s">
        <v>20461</v>
      </c>
      <c r="B16244" s="6" t="s">
        <v>20462</v>
      </c>
      <c r="C16244" s="5" t="str">
        <f>IFERROR(__xludf.DUMMYFUNCTION("GOOGLETRANSLATE(B16244,""en"",""fr"")"),"Le garçon dans le chapeau rouge et le manteau bleu sont tirés dans un tube rouge par une corde sur des routes glacées.")</f>
        <v>Le garçon dans le chapeau rouge et le manteau bleu sont tirés dans un tube rouge par une corde sur des routes glacées.</v>
      </c>
    </row>
    <row r="16245">
      <c r="A16245" s="4" t="s">
        <v>20461</v>
      </c>
      <c r="B16245" s="4" t="s">
        <v>20463</v>
      </c>
      <c r="C16245" s="5" t="str">
        <f>IFERROR(__xludf.DUMMYFUNCTION("GOOGLETRANSLATE(B16245,""en"",""fr"")"),"Un homme dans un chapeau noir a son tour avec le tube.")</f>
        <v>Un homme dans un chapeau noir a son tour avec le tube.</v>
      </c>
    </row>
    <row r="16246">
      <c r="A16246" s="4" t="s">
        <v>20461</v>
      </c>
      <c r="B16246" s="4" t="s">
        <v>20464</v>
      </c>
      <c r="C16246" s="5" t="str">
        <f>IFERROR(__xludf.DUMMYFUNCTION("GOOGLETRANSLATE(B16246,""en"",""fr"")"),"Un homme en chapeau gris frappe un talus de neige avec le tube.")</f>
        <v>Un homme en chapeau gris frappe un talus de neige avec le tube.</v>
      </c>
    </row>
    <row r="16247">
      <c r="A16247" s="4" t="s">
        <v>20461</v>
      </c>
      <c r="B16247" s="4" t="s">
        <v>20465</v>
      </c>
      <c r="C16247" s="5" t="str">
        <f>IFERROR(__xludf.DUMMYFUNCTION("GOOGLETRANSLATE(B16247,""en"",""fr"")"),"Un homme monte une colline de neige dans le tube.")</f>
        <v>Un homme monte une colline de neige dans le tube.</v>
      </c>
    </row>
    <row r="16248">
      <c r="A16248" s="4" t="s">
        <v>20461</v>
      </c>
      <c r="B16248" s="4" t="s">
        <v>20466</v>
      </c>
      <c r="C16248" s="5" t="str">
        <f>IFERROR(__xludf.DUMMYFUNCTION("GOOGLETRANSLATE(B16248,""en"",""fr"")"),"Plus de gens commencent à glisser, mais cette fois, c'est avec un petit traîneau, pas un tube.")</f>
        <v>Plus de gens commencent à glisser, mais cette fois, c'est avec un petit traîneau, pas un tube.</v>
      </c>
    </row>
    <row r="16249">
      <c r="A16249" s="4" t="s">
        <v>20461</v>
      </c>
      <c r="B16249" s="4" t="s">
        <v>20467</v>
      </c>
      <c r="C16249" s="5" t="str">
        <f>IFERROR(__xludf.DUMMYFUNCTION("GOOGLETRANSLATE(B16249,""en"",""fr"")"),"Un homme lâche la corde et frappe un talus de neige.")</f>
        <v>Un homme lâche la corde et frappe un talus de neige.</v>
      </c>
    </row>
    <row r="16250">
      <c r="A16250" s="4" t="s">
        <v>20461</v>
      </c>
      <c r="B16250" s="4" t="s">
        <v>20468</v>
      </c>
      <c r="C16250" s="5" t="str">
        <f>IFERROR(__xludf.DUMMYFUNCTION("GOOGLETRANSLATE(B16250,""en"",""fr"")"),"Un groupe d'amis est assis sur un canapé ensemble.")</f>
        <v>Un groupe d'amis est assis sur un canapé ensemble.</v>
      </c>
    </row>
    <row r="16251">
      <c r="A16251" s="4" t="s">
        <v>20469</v>
      </c>
      <c r="B16251" s="6" t="s">
        <v>20470</v>
      </c>
      <c r="C16251" s="5" t="str">
        <f>IFERROR(__xludf.DUMMYFUNCTION("GOOGLETRANSLATE(B16251,""en"",""fr"")"),"Un homme ne portant que des shorts noirs, des sandales et une ceinture d'engrenages, grimpe un rocher à l'aide d'une corde dans un environnement naturel rempli d'arbres et de feuillage.")</f>
        <v>Un homme ne portant que des shorts noirs, des sandales et une ceinture d'engrenages, grimpe un rocher à l'aide d'une corde dans un environnement naturel rempli d'arbres et de feuillage.</v>
      </c>
    </row>
    <row r="16252">
      <c r="A16252" s="4" t="s">
        <v>20469</v>
      </c>
      <c r="B16252" s="4" t="s">
        <v>20471</v>
      </c>
      <c r="C16252" s="5" t="str">
        <f>IFERROR(__xludf.DUMMYFUNCTION("GOOGLETRANSLATE(B16252,""en"",""fr"")"),"L'homme en short noir se tient au fond du rocher et commence à gravir le rocher.")</f>
        <v>L'homme en short noir se tient au fond du rocher et commence à gravir le rocher.</v>
      </c>
    </row>
    <row r="16253">
      <c r="A16253" s="4" t="s">
        <v>20469</v>
      </c>
      <c r="B16253" s="6" t="s">
        <v>20472</v>
      </c>
      <c r="C16253" s="5" t="str">
        <f>IFERROR(__xludf.DUMMYFUNCTION("GOOGLETRANSLATE(B16253,""en"",""fr"")"),"L'homme grimpe du fond en utilisant les genoux pour gagner l'équilibre et une corde à stabiliser lorsque vous perdez l'adhérence avec les rochers.")</f>
        <v>L'homme grimpe du fond en utilisant les genoux pour gagner l'équilibre et une corde à stabiliser lorsque vous perdez l'adhérence avec les rochers.</v>
      </c>
    </row>
    <row r="16254">
      <c r="A16254" s="4" t="s">
        <v>20469</v>
      </c>
      <c r="B16254" s="4" t="s">
        <v>20473</v>
      </c>
      <c r="C16254" s="5" t="str">
        <f>IFERROR(__xludf.DUMMYFUNCTION("GOOGLETRANSLATE(B16254,""en"",""fr"")"),"L'homme atteint le sommet du rocher alors que la corde bronzée, derrière, pend.")</f>
        <v>L'homme atteint le sommet du rocher alors que la corde bronzée, derrière, pend.</v>
      </c>
    </row>
    <row r="16255">
      <c r="A16255" s="4" t="s">
        <v>20474</v>
      </c>
      <c r="B16255" s="4" t="s">
        <v>20475</v>
      </c>
      <c r="C16255" s="5" t="str">
        <f>IFERROR(__xludf.DUMMYFUNCTION("GOOGLETRANSLATE(B16255,""en"",""fr"")"),"Un homme tombe en essayant de bol sur une voie.")</f>
        <v>Un homme tombe en essayant de bol sur une voie.</v>
      </c>
    </row>
    <row r="16256">
      <c r="A16256" s="4" t="s">
        <v>20474</v>
      </c>
      <c r="B16256" s="4" t="s">
        <v>20476</v>
      </c>
      <c r="C16256" s="5" t="str">
        <f>IFERROR(__xludf.DUMMYFUNCTION("GOOGLETRANSLATE(B16256,""en"",""fr"")"),"Une femme tombe en essayant de jouer.")</f>
        <v>Une femme tombe en essayant de jouer.</v>
      </c>
    </row>
    <row r="16257">
      <c r="A16257" s="4" t="s">
        <v>20474</v>
      </c>
      <c r="B16257" s="4" t="s">
        <v>20477</v>
      </c>
      <c r="C16257" s="5" t="str">
        <f>IFERROR(__xludf.DUMMYFUNCTION("GOOGLETRANSLATE(B16257,""en"",""fr"")"),"Un homme lance une boule de bowling et il frappe le plafond.")</f>
        <v>Un homme lance une boule de bowling et il frappe le plafond.</v>
      </c>
    </row>
    <row r="16258">
      <c r="A16258" s="4" t="s">
        <v>20474</v>
      </c>
      <c r="B16258" s="4" t="s">
        <v>20478</v>
      </c>
      <c r="C16258" s="5" t="str">
        <f>IFERROR(__xludf.DUMMYFUNCTION("GOOGLETRANSLATE(B16258,""en"",""fr"")"),"Un homme glisse et tombe alors qu'il essaie de jouer.")</f>
        <v>Un homme glisse et tombe alors qu'il essaie de jouer.</v>
      </c>
    </row>
    <row r="16259">
      <c r="A16259" s="4" t="s">
        <v>20479</v>
      </c>
      <c r="B16259" s="4" t="s">
        <v>20480</v>
      </c>
      <c r="C16259" s="5" t="str">
        <f>IFERROR(__xludf.DUMMYFUNCTION("GOOGLETRANSLATE(B16259,""en"",""fr"")"),"Une personne retourne un ski à l'envers.")</f>
        <v>Une personne retourne un ski à l'envers.</v>
      </c>
    </row>
    <row r="16260">
      <c r="A16260" s="4" t="s">
        <v>20479</v>
      </c>
      <c r="B16260" s="4" t="s">
        <v>20481</v>
      </c>
      <c r="C16260" s="5" t="str">
        <f>IFERROR(__xludf.DUMMYFUNCTION("GOOGLETRANSLATE(B16260,""en"",""fr"")"),"Ils fondent sur le bas du ski.")</f>
        <v>Ils fondent sur le bas du ski.</v>
      </c>
    </row>
    <row r="16261">
      <c r="A16261" s="4" t="s">
        <v>20479</v>
      </c>
      <c r="B16261" s="4" t="s">
        <v>20482</v>
      </c>
      <c r="C16261" s="5" t="str">
        <f>IFERROR(__xludf.DUMMYFUNCTION("GOOGLETRANSLATE(B16261,""en"",""fr"")"),"Ils coulent le fer sur le dessus du ski.")</f>
        <v>Ils coulent le fer sur le dessus du ski.</v>
      </c>
    </row>
    <row r="16262">
      <c r="A16262" s="4" t="s">
        <v>20483</v>
      </c>
      <c r="B16262" s="4" t="s">
        <v>20484</v>
      </c>
      <c r="C16262" s="5" t="str">
        <f>IFERROR(__xludf.DUMMYFUNCTION("GOOGLETRANSLATE(B16262,""en"",""fr"")"),"Une gymnaste se lève et agite ses bras avant une performance.")</f>
        <v>Une gymnaste se lève et agite ses bras avant une performance.</v>
      </c>
    </row>
    <row r="16263">
      <c r="A16263" s="4" t="s">
        <v>20483</v>
      </c>
      <c r="B16263" s="4" t="s">
        <v>20485</v>
      </c>
      <c r="C16263" s="5" t="str">
        <f>IFERROR(__xludf.DUMMYFUNCTION("GOOGLETRANSLATE(B16263,""en"",""fr"")"),"Le gymnaste saute et monte la poutre d'équilibre.")</f>
        <v>Le gymnaste saute et monte la poutre d'équilibre.</v>
      </c>
    </row>
    <row r="16264">
      <c r="A16264" s="4" t="s">
        <v>20483</v>
      </c>
      <c r="B16264" s="4" t="s">
        <v>20486</v>
      </c>
      <c r="C16264" s="5" t="str">
        <f>IFERROR(__xludf.DUMMYFUNCTION("GOOGLETRANSLATE(B16264,""en"",""fr"")"),"La gymnaste fait une routine sur le faisceau d'équilibre faisant des flips et des ressorts à main.")</f>
        <v>La gymnaste fait une routine sur le faisceau d'équilibre faisant des flips et des ressorts à main.</v>
      </c>
    </row>
    <row r="16265">
      <c r="A16265" s="4" t="s">
        <v>20483</v>
      </c>
      <c r="B16265" s="4" t="s">
        <v>20487</v>
      </c>
      <c r="C16265" s="5" t="str">
        <f>IFERROR(__xludf.DUMMYFUNCTION("GOOGLETRANSLATE(B16265,""en"",""fr"")"),"Le gymnaste saute et fait les divisions dans les airs.")</f>
        <v>Le gymnaste saute et fait les divisions dans les airs.</v>
      </c>
    </row>
    <row r="16266">
      <c r="A16266" s="4" t="s">
        <v>20483</v>
      </c>
      <c r="B16266" s="4" t="s">
        <v>20488</v>
      </c>
      <c r="C16266" s="5" t="str">
        <f>IFERROR(__xludf.DUMMYFUNCTION("GOOGLETRANSLATE(B16266,""en"",""fr"")"),"La gymnaste démonte le faisceau d'équilibre sur le tapis.")</f>
        <v>La gymnaste démonte le faisceau d'équilibre sur le tapis.</v>
      </c>
    </row>
    <row r="16267">
      <c r="A16267" s="4" t="s">
        <v>20489</v>
      </c>
      <c r="B16267" s="4" t="s">
        <v>20490</v>
      </c>
      <c r="C16267" s="5" t="str">
        <f>IFERROR(__xludf.DUMMYFUNCTION("GOOGLETRANSLATE(B16267,""en"",""fr"")"),"Nous voyons une scène d'ouverture blanche.")</f>
        <v>Nous voyons une scène d'ouverture blanche.</v>
      </c>
    </row>
    <row r="16268">
      <c r="A16268" s="4" t="s">
        <v>20489</v>
      </c>
      <c r="B16268" s="4" t="s">
        <v>20491</v>
      </c>
      <c r="C16268" s="5" t="str">
        <f>IFERROR(__xludf.DUMMYFUNCTION("GOOGLETRANSLATE(B16268,""en"",""fr"")"),"Nous voyons une dame dans une cuisine parler et cuisiner.")</f>
        <v>Nous voyons une dame dans une cuisine parler et cuisiner.</v>
      </c>
    </row>
    <row r="16269">
      <c r="A16269" s="4" t="s">
        <v>20489</v>
      </c>
      <c r="B16269" s="4" t="s">
        <v>20492</v>
      </c>
      <c r="C16269" s="5" t="str">
        <f>IFERROR(__xludf.DUMMYFUNCTION("GOOGLETRANSLATE(B16269,""en"",""fr"")"),"La dame coupe une pomme de terre et la met dans l'eau.")</f>
        <v>La dame coupe une pomme de terre et la met dans l'eau.</v>
      </c>
    </row>
    <row r="16270">
      <c r="A16270" s="4" t="s">
        <v>20489</v>
      </c>
      <c r="B16270" s="4" t="s">
        <v>20493</v>
      </c>
      <c r="C16270" s="5" t="str">
        <f>IFERROR(__xludf.DUMMYFUNCTION("GOOGLETRANSLATE(B16270,""en"",""fr"")"),"La dame met la pomme de terre à l'eau froide.")</f>
        <v>La dame met la pomme de terre à l'eau froide.</v>
      </c>
    </row>
    <row r="16271">
      <c r="A16271" s="4" t="s">
        <v>20489</v>
      </c>
      <c r="B16271" s="4" t="s">
        <v>20494</v>
      </c>
      <c r="C16271" s="5" t="str">
        <f>IFERROR(__xludf.DUMMYFUNCTION("GOOGLETRANSLATE(B16271,""en"",""fr"")"),"La dame décolle facilement la peau de la pomme de terre.")</f>
        <v>La dame décolle facilement la peau de la pomme de terre.</v>
      </c>
    </row>
    <row r="16272">
      <c r="A16272" s="4" t="s">
        <v>20489</v>
      </c>
      <c r="B16272" s="4" t="s">
        <v>2486</v>
      </c>
      <c r="C16272" s="5" t="str">
        <f>IFERROR(__xludf.DUMMYFUNCTION("GOOGLETRANSLATE(B16272,""en"",""fr"")"),"Nous voyons l'écran de clôture.")</f>
        <v>Nous voyons l'écran de clôture.</v>
      </c>
    </row>
    <row r="16273">
      <c r="A16273" s="4" t="s">
        <v>20495</v>
      </c>
      <c r="B16273" s="4" t="s">
        <v>20496</v>
      </c>
      <c r="C16273" s="5" t="str">
        <f>IFERROR(__xludf.DUMMYFUNCTION("GOOGLETRANSLATE(B16273,""en"",""fr"")"),"Un chef mélange l'eau et le vinaigre dans un bol en verre et y ajoute des piments séchés.")</f>
        <v>Un chef mélange l'eau et le vinaigre dans un bol en verre et y ajoute des piments séchés.</v>
      </c>
    </row>
    <row r="16274">
      <c r="A16274" s="4" t="s">
        <v>20495</v>
      </c>
      <c r="B16274" s="6" t="s">
        <v>20497</v>
      </c>
      <c r="C16274" s="5" t="str">
        <f>IFERROR(__xludf.DUMMYFUNCTION("GOOGLETRANSLATE(B16274,""en"",""fr"")"),"Ensuite, dans un mélangeur, le chef mélange les câpres, l'ail, les anchois et les olives noires ainsi que de l'huile d'olive.")</f>
        <v>Ensuite, dans un mélangeur, le chef mélange les câpres, l'ail, les anchois et les olives noires ainsi que de l'huile d'olive.</v>
      </c>
    </row>
    <row r="16275">
      <c r="A16275" s="4" t="s">
        <v>20495</v>
      </c>
      <c r="B16275" s="4" t="s">
        <v>20498</v>
      </c>
      <c r="C16275" s="5" t="str">
        <f>IFERROR(__xludf.DUMMYFUNCTION("GOOGLETRANSLATE(B16275,""en"",""fr"")"),"Le chef écrase les ingrédients en une pâte.")</f>
        <v>Le chef écrase les ingrédients en une pâte.</v>
      </c>
    </row>
    <row r="16276">
      <c r="A16276" s="4" t="s">
        <v>20495</v>
      </c>
      <c r="B16276" s="4" t="s">
        <v>20499</v>
      </c>
      <c r="C16276" s="5" t="str">
        <f>IFERROR(__xludf.DUMMYFUNCTION("GOOGLETRANSLATE(B16276,""en"",""fr"")"),"Le chef ajoute de l'ail à l'huile dans une sauteuse et les fait sauter avec des tomates séchées au soleil.")</f>
        <v>Le chef ajoute de l'ail à l'huile dans une sauteuse et les fait sauter avec des tomates séchées au soleil.</v>
      </c>
    </row>
    <row r="16277">
      <c r="A16277" s="4" t="s">
        <v>20495</v>
      </c>
      <c r="B16277" s="4" t="s">
        <v>20500</v>
      </c>
      <c r="C16277" s="5" t="str">
        <f>IFERROR(__xludf.DUMMYFUNCTION("GOOGLETRANSLATE(B16277,""en"",""fr"")"),"Ajoute ensuite la tapenade d'olive à la casserole.")</f>
        <v>Ajoute ensuite la tapenade d'olive à la casserole.</v>
      </c>
    </row>
    <row r="16278">
      <c r="A16278" s="4" t="s">
        <v>20495</v>
      </c>
      <c r="B16278" s="4" t="s">
        <v>20501</v>
      </c>
      <c r="C16278" s="5" t="str">
        <f>IFERROR(__xludf.DUMMYFUNCTION("GOOGLETRANSLATE(B16278,""en"",""fr"")"),"Le chef coupe ensuite du persil et de l'ail ensemble.")</f>
        <v>Le chef coupe ensuite du persil et de l'ail ensemble.</v>
      </c>
    </row>
    <row r="16279">
      <c r="A16279" s="4" t="s">
        <v>20495</v>
      </c>
      <c r="B16279" s="4" t="s">
        <v>20502</v>
      </c>
      <c r="C16279" s="5" t="str">
        <f>IFERROR(__xludf.DUMMYFUNCTION("GOOGLETRANSLATE(B16279,""en"",""fr"")"),"Ensuite, il ajoute des spaghettis à l'eau salée bouillante et la fait cuire.")</f>
        <v>Ensuite, il ajoute des spaghettis à l'eau salée bouillante et la fait cuire.</v>
      </c>
    </row>
    <row r="16280">
      <c r="A16280" s="4" t="s">
        <v>20495</v>
      </c>
      <c r="B16280" s="4" t="s">
        <v>20503</v>
      </c>
      <c r="C16280" s="5" t="str">
        <f>IFERROR(__xludf.DUMMYFUNCTION("GOOGLETRANSLATE(B16280,""en"",""fr"")"),"Il ajoute le persil haché aux spaghettis et le mélange bien avec la tapenade d'olive.")</f>
        <v>Il ajoute le persil haché aux spaghettis et le mélange bien avec la tapenade d'olive.</v>
      </c>
    </row>
    <row r="16281">
      <c r="A16281" s="4" t="s">
        <v>20504</v>
      </c>
      <c r="B16281" s="4" t="s">
        <v>20505</v>
      </c>
      <c r="C16281" s="5" t="str">
        <f>IFERROR(__xludf.DUMMYFUNCTION("GOOGLETRANSLATE(B16281,""en"",""fr"")"),"Une personne met le glaçage noir sur un gâteau.")</f>
        <v>Une personne met le glaçage noir sur un gâteau.</v>
      </c>
    </row>
    <row r="16282">
      <c r="A16282" s="4" t="s">
        <v>20504</v>
      </c>
      <c r="B16282" s="4" t="s">
        <v>20506</v>
      </c>
      <c r="C16282" s="5" t="str">
        <f>IFERROR(__xludf.DUMMYFUNCTION("GOOGLETRANSLATE(B16282,""en"",""fr"")"),"Ils versent du glaçage sur le dessus d'un pot.")</f>
        <v>Ils versent du glaçage sur le dessus d'un pot.</v>
      </c>
    </row>
    <row r="16283">
      <c r="A16283" s="4" t="s">
        <v>20504</v>
      </c>
      <c r="B16283" s="4" t="s">
        <v>20507</v>
      </c>
      <c r="C16283" s="5" t="str">
        <f>IFERROR(__xludf.DUMMYFUNCTION("GOOGLETRANSLATE(B16283,""en"",""fr"")"),"Ils mettent des fraises, des bleuets, des framboises et des baies noires sur le gâteau.")</f>
        <v>Ils mettent des fraises, des bleuets, des framboises et des baies noires sur le gâteau.</v>
      </c>
    </row>
    <row r="16284">
      <c r="A16284" s="4" t="s">
        <v>20508</v>
      </c>
      <c r="B16284" s="6" t="s">
        <v>20509</v>
      </c>
      <c r="C16284" s="5" t="str">
        <f>IFERROR(__xludf.DUMMYFUNCTION("GOOGLETRANSLATE(B16284,""en"",""fr"")"),"Un grand groupe de personnes se voit rebondir sur des trampolines se jetant des balles de Dodge.")</f>
        <v>Un grand groupe de personnes se voit rebondir sur des trampolines se jetant des balles de Dodge.</v>
      </c>
    </row>
    <row r="16285">
      <c r="A16285" s="4" t="s">
        <v>20508</v>
      </c>
      <c r="B16285" s="4" t="s">
        <v>20510</v>
      </c>
      <c r="C16285" s="5" t="str">
        <f>IFERROR(__xludf.DUMMYFUNCTION("GOOGLETRANSLATE(B16285,""en"",""fr"")"),"La caméra se déroule vers les gens à l'extérieur et retourne sur les enfants en jouant.")</f>
        <v>La caméra se déroule vers les gens à l'extérieur et retourne sur les enfants en jouant.</v>
      </c>
    </row>
    <row r="16286">
      <c r="A16286" s="4" t="s">
        <v>20511</v>
      </c>
      <c r="B16286" s="6" t="s">
        <v>20512</v>
      </c>
      <c r="C16286" s="5" t="str">
        <f>IFERROR(__xludf.DUMMYFUNCTION("GOOGLETRANSLATE(B16286,""en"",""fr"")"),"Un écran rose apparaît qui a des numéros noirs et des mots qui lisent ""Handbagbuyer 82"", puis les coeurs semblent s'estomper l'écran d'intro et une femme blonde souriante portant du vert apparaît directement à la caméra.")</f>
        <v>Un écran rose apparaît qui a des numéros noirs et des mots qui lisent "Handbagbuyer 82", puis les coeurs semblent s'estomper l'écran d'intro et une femme blonde souriante portant du vert apparaît directement à la caméra.</v>
      </c>
    </row>
    <row r="16287">
      <c r="A16287" s="4" t="s">
        <v>20511</v>
      </c>
      <c r="B16287" s="6" t="s">
        <v>20513</v>
      </c>
      <c r="C16287" s="5" t="str">
        <f>IFERROR(__xludf.DUMMYFUNCTION("GOOGLETRANSLATE(B16287,""en"",""fr"")"),"La femme prend ensuite un plateau avec une couverture qui comprend des bigoudis colorés de différentes tailles et elle continue de parler tout en les pointant.")</f>
        <v>La femme prend ensuite un plateau avec une couverture qui comprend des bigoudis colorés de différentes tailles et elle continue de parler tout en les pointant.</v>
      </c>
    </row>
    <row r="16288">
      <c r="A16288" s="4" t="s">
        <v>20511</v>
      </c>
      <c r="B16288" s="6" t="s">
        <v>20514</v>
      </c>
      <c r="C16288" s="5" t="str">
        <f>IFERROR(__xludf.DUMMYFUNCTION("GOOGLETRANSLATE(B16288,""en"",""fr"")"),"La femme prend ensuite un sac noir et en attrape un clip d'argent, le remet dans le sac et met le sac sur le côté et continue de parler.")</f>
        <v>La femme prend ensuite un sac noir et en attrape un clip d'argent, le remet dans le sac et met le sac sur le côté et continue de parler.</v>
      </c>
    </row>
    <row r="16289">
      <c r="A16289" s="4" t="s">
        <v>20511</v>
      </c>
      <c r="B16289" s="6" t="s">
        <v>20515</v>
      </c>
      <c r="C16289" s="5" t="str">
        <f>IFERROR(__xludf.DUMMYFUNCTION("GOOGLETRANSLATE(B16289,""en"",""fr"")"),"La femme est maintenant debout dans une salle de bain portant un pull rouge avec Hello Kitty à l'avant et elle se brossant les cheveux, les roulant dans des bornes et les coupe individuellement avec le clip argenté et les bornes qu'elle a montrés plus tôt"&amp;".")</f>
        <v>La femme est maintenant debout dans une salle de bain portant un pull rouge avec Hello Kitty à l'avant et elle se brossant les cheveux, les roulant dans des bornes et les coupe individuellement avec le clip argenté et les bornes qu'elle a montrés plus tôt.</v>
      </c>
    </row>
    <row r="16290">
      <c r="A16290" s="4" t="s">
        <v>20511</v>
      </c>
      <c r="B16290" s="6" t="s">
        <v>20516</v>
      </c>
      <c r="C16290" s="5" t="str">
        <f>IFERROR(__xludf.DUMMYFUNCTION("GOOGLETRANSLATE(B16290,""en"",""fr"")"),"Quand elle termine tous les bigoudis qui peuvent s'adapter à toute sa tête, elle sourit à la caméra et tourne la tête d'un côté à l'autre.")</f>
        <v>Quand elle termine tous les bigoudis qui peuvent s'adapter à toute sa tête, elle sourit à la caméra et tourne la tête d'un côté à l'autre.</v>
      </c>
    </row>
    <row r="16291">
      <c r="A16291" s="4" t="s">
        <v>20511</v>
      </c>
      <c r="B16291" s="6" t="s">
        <v>20517</v>
      </c>
      <c r="C16291" s="5" t="str">
        <f>IFERROR(__xludf.DUMMYFUNCTION("GOOGLETRANSLATE(B16291,""en"",""fr"")"),"La femme est maintenant debout dans la salle de bain avec du vert et elle a ses cheveux et elle parle et utilise ses mains pour bouger ses cheveux pour montrer les boucles.")</f>
        <v>La femme est maintenant debout dans la salle de bain avec du vert et elle a ses cheveux et elle parle et utilise ses mains pour bouger ses cheveux pour montrer les boucles.</v>
      </c>
    </row>
    <row r="16292">
      <c r="A16292" s="4" t="s">
        <v>20511</v>
      </c>
      <c r="B16292" s="6" t="s">
        <v>20518</v>
      </c>
      <c r="C16292" s="5" t="str">
        <f>IFERROR(__xludf.DUMMYFUNCTION("GOOGLETRANSLATE(B16292,""en"",""fr"")"),"L'Undro Screan est rose et se termine par des mots noirs puis un écran noir qui a une paire de lèvres rouge clip.")</f>
        <v>L'Undro Screan est rose et se termine par des mots noirs puis un écran noir qui a une paire de lèvres rouge clip.</v>
      </c>
    </row>
    <row r="16293">
      <c r="A16293" s="4" t="s">
        <v>20519</v>
      </c>
      <c r="B16293" s="4" t="s">
        <v>20520</v>
      </c>
      <c r="C16293" s="5" t="str">
        <f>IFERROR(__xludf.DUMMYFUNCTION("GOOGLETRANSLATE(B16293,""en"",""fr"")"),"La femme se tient dans un champ vert pratiquant l'équilibre d'une balle dans un club de golf.")</f>
        <v>La femme se tient dans un champ vert pratiquant l'équilibre d'une balle dans un club de golf.</v>
      </c>
    </row>
    <row r="16294">
      <c r="A16294" s="4" t="s">
        <v>20519</v>
      </c>
      <c r="B16294" s="6" t="s">
        <v>20521</v>
      </c>
      <c r="C16294" s="5" t="str">
        <f>IFERROR(__xludf.DUMMYFUNCTION("GOOGLETRANSLATE(B16294,""en"",""fr"")"),"Une autre femme est sur le terrain et elle s'entraîne avec la fille passant le ballon d'un club de golf à un autre.")</f>
        <v>Une autre femme est sur le terrain et elle s'entraîne avec la fille passant le ballon d'un club de golf à un autre.</v>
      </c>
    </row>
    <row r="16295">
      <c r="A16295" s="4" t="s">
        <v>20519</v>
      </c>
      <c r="B16295" s="4" t="s">
        <v>20522</v>
      </c>
      <c r="C16295" s="5" t="str">
        <f>IFERROR(__xludf.DUMMYFUNCTION("GOOGLETRANSLATE(B16295,""en"",""fr"")"),"En arrière-plan, les voitures sont garées dans un parking.")</f>
        <v>En arrière-plan, les voitures sont garées dans un parking.</v>
      </c>
    </row>
    <row r="16296">
      <c r="A16296" s="4" t="s">
        <v>20523</v>
      </c>
      <c r="B16296" s="6" t="s">
        <v>20524</v>
      </c>
      <c r="C16296" s="5" t="str">
        <f>IFERROR(__xludf.DUMMYFUNCTION("GOOGLETRANSLATE(B16296,""en"",""fr"")"),"Un homme est vu parler à la caméra tout en pointant vers divers outils et objets en bois devant lui.")</f>
        <v>Un homme est vu parler à la caméra tout en pointant vers divers outils et objets en bois devant lui.</v>
      </c>
    </row>
    <row r="16297">
      <c r="A16297" s="4" t="s">
        <v>20523</v>
      </c>
      <c r="B16297" s="4" t="s">
        <v>20525</v>
      </c>
      <c r="C16297" s="5" t="str">
        <f>IFERROR(__xludf.DUMMYFUNCTION("GOOGLETRANSLATE(B16297,""en"",""fr"")"),"L'homme décroche le côté suivi par le ponçage sur le côté.")</f>
        <v>L'homme décroche le côté suivi par le ponçage sur le côté.</v>
      </c>
    </row>
    <row r="16298">
      <c r="A16298" s="4" t="s">
        <v>20523</v>
      </c>
      <c r="B16298" s="6" t="s">
        <v>20526</v>
      </c>
      <c r="C16298" s="5" t="str">
        <f>IFERROR(__xludf.DUMMYFUNCTION("GOOGLETRANSLATE(B16298,""en"",""fr"")"),"L'homme prend ensuite un tournevis et forets dans des trous tout en s'arrêtant pour le poncer et le montrer à la caméra.")</f>
        <v>L'homme prend ensuite un tournevis et forets dans des trous tout en s'arrêtant pour le poncer et le montrer à la caméra.</v>
      </c>
    </row>
    <row r="16299">
      <c r="A16299" s="4" t="s">
        <v>20527</v>
      </c>
      <c r="B16299" s="6" t="s">
        <v>20528</v>
      </c>
      <c r="C16299" s="5" t="str">
        <f>IFERROR(__xludf.DUMMYFUNCTION("GOOGLETRANSLATE(B16299,""en"",""fr"")"),"Une caméra se déroule tout autour d'un lac gelé avec des arbres et mène à un groupe de personnes pêchant autour d'un trou.")</f>
        <v>Une caméra se déroule tout autour d'un lac gelé avec des arbres et mène à un groupe de personnes pêchant autour d'un trou.</v>
      </c>
    </row>
    <row r="16300">
      <c r="A16300" s="4" t="s">
        <v>20527</v>
      </c>
      <c r="B16300" s="6" t="s">
        <v>20529</v>
      </c>
      <c r="C16300" s="5" t="str">
        <f>IFERROR(__xludf.DUMMYFUNCTION("GOOGLETRANSLATE(B16300,""en"",""fr"")"),"Les hommes continuent de s'asseoir autour des trous avec un poteau se parlant et se promenant autour de la glace.")</f>
        <v>Les hommes continuent de s'asseoir autour des trous avec un poteau se parlant et se promenant autour de la glace.</v>
      </c>
    </row>
    <row r="16301">
      <c r="A16301" s="4" t="s">
        <v>20530</v>
      </c>
      <c r="B16301" s="4" t="s">
        <v>20531</v>
      </c>
      <c r="C16301" s="5" t="str">
        <f>IFERROR(__xludf.DUMMYFUNCTION("GOOGLETRANSLATE(B16301,""en"",""fr"")"),"Un gros plan d'une citrouille est vu suivi par un enfant en train de se précipiter au milieu.")</f>
        <v>Un gros plan d'une citrouille est vu suivi par un enfant en train de se précipiter au milieu.</v>
      </c>
    </row>
    <row r="16302">
      <c r="A16302" s="4" t="s">
        <v>20530</v>
      </c>
      <c r="B16302" s="4" t="s">
        <v>20532</v>
      </c>
      <c r="C16302" s="5" t="str">
        <f>IFERROR(__xludf.DUMMYFUNCTION("GOOGLETRANSLATE(B16302,""en"",""fr"")"),"Un autre enfant à côté d'elle est vu couper la citrouille lorsqu'un adulte entre dans le cadre.")</f>
        <v>Un autre enfant à côté d'elle est vu couper la citrouille lorsqu'un adulte entre dans le cadre.</v>
      </c>
    </row>
    <row r="16303">
      <c r="A16303" s="4" t="s">
        <v>20530</v>
      </c>
      <c r="B16303" s="6" t="s">
        <v>20533</v>
      </c>
      <c r="C16303" s="5" t="str">
        <f>IFERROR(__xludf.DUMMYFUNCTION("GOOGLETRANSLATE(B16303,""en"",""fr"")"),"Les adultes aident les enfants à souriant à la caméra et en tenant des graines pendant que la caméra se déroule dans la pièce.")</f>
        <v>Les adultes aident les enfants à souriant à la caméra et en tenant des graines pendant que la caméra se déroule dans la pièce.</v>
      </c>
    </row>
    <row r="16304">
      <c r="A16304" s="4" t="s">
        <v>20534</v>
      </c>
      <c r="B16304" s="4" t="s">
        <v>20535</v>
      </c>
      <c r="C16304" s="5" t="str">
        <f>IFERROR(__xludf.DUMMYFUNCTION("GOOGLETRANSLATE(B16304,""en"",""fr"")"),"Un homme est montré tenant un couteau tout en prenant la caméra et en souriant.")</f>
        <v>Un homme est montré tenant un couteau tout en prenant la caméra et en souriant.</v>
      </c>
    </row>
    <row r="16305">
      <c r="A16305" s="4" t="s">
        <v>20534</v>
      </c>
      <c r="B16305" s="4" t="s">
        <v>20536</v>
      </c>
      <c r="C16305" s="5" t="str">
        <f>IFERROR(__xludf.DUMMYFUNCTION("GOOGLETRANSLATE(B16305,""en"",""fr"")"),"Il commence à couper la tomate disposée sur la table en différentes sections.")</f>
        <v>Il commence à couper la tomate disposée sur la table en différentes sections.</v>
      </c>
    </row>
    <row r="16306">
      <c r="A16306" s="4" t="s">
        <v>20534</v>
      </c>
      <c r="B16306" s="6" t="s">
        <v>20537</v>
      </c>
      <c r="C16306" s="5" t="str">
        <f>IFERROR(__xludf.DUMMYFUNCTION("GOOGLETRANSLATE(B16306,""en"",""fr"")"),"Il aiguise ensuite le couteau sur la machine à côté du légume et montre à quel point il fonctionne mieux.")</f>
        <v>Il aiguise ensuite le couteau sur la machine à côté du légume et montre à quel point il fonctionne mieux.</v>
      </c>
    </row>
    <row r="16307">
      <c r="A16307" s="4" t="s">
        <v>20538</v>
      </c>
      <c r="B16307" s="4" t="s">
        <v>20539</v>
      </c>
      <c r="C16307" s="5" t="str">
        <f>IFERROR(__xludf.DUMMYFUNCTION("GOOGLETRANSLATE(B16307,""en"",""fr"")"),"Un groupe de personnes est dans des tubes flottant sur l'eau trouble avec d'énormes rochers.")</f>
        <v>Un groupe de personnes est dans des tubes flottant sur l'eau trouble avec d'énormes rochers.</v>
      </c>
    </row>
    <row r="16308">
      <c r="A16308" s="4" t="s">
        <v>20538</v>
      </c>
      <c r="B16308" s="4" t="s">
        <v>20540</v>
      </c>
      <c r="C16308" s="5" t="str">
        <f>IFERROR(__xludf.DUMMYFUNCTION("GOOGLETRANSLATE(B16308,""en"",""fr"")"),"La caméra scanne la foule et les gens pagayent continuellement sur l'eau.")</f>
        <v>La caméra scanne la foule et les gens pagayent continuellement sur l'eau.</v>
      </c>
    </row>
    <row r="16309">
      <c r="A16309" s="4" t="s">
        <v>20541</v>
      </c>
      <c r="B16309" s="4" t="s">
        <v>20542</v>
      </c>
      <c r="C16309" s="5" t="str">
        <f>IFERROR(__xludf.DUMMYFUNCTION("GOOGLETRANSLATE(B16309,""en"",""fr"")"),"Les gars se luttent à l'intérieur en présence de deux arbitres.")</f>
        <v>Les gars se luttent à l'intérieur en présence de deux arbitres.</v>
      </c>
    </row>
    <row r="16310">
      <c r="A16310" s="4" t="s">
        <v>20541</v>
      </c>
      <c r="B16310" s="4" t="s">
        <v>20543</v>
      </c>
      <c r="C16310" s="5" t="str">
        <f>IFERROR(__xludf.DUMMYFUNCTION("GOOGLETRANSLATE(B16310,""en"",""fr"")"),"Les arbitres pointent dans la direction du vainqueur.")</f>
        <v>Les arbitres pointent dans la direction du vainqueur.</v>
      </c>
    </row>
    <row r="16311">
      <c r="A16311" s="4" t="s">
        <v>20541</v>
      </c>
      <c r="B16311" s="4" t="s">
        <v>20544</v>
      </c>
      <c r="C16311" s="5" t="str">
        <f>IFERROR(__xludf.DUMMYFUNCTION("GOOGLETRANSLATE(B16311,""en"",""fr"")"),"Les joueurs donnent une poignée de main DAB.")</f>
        <v>Les joueurs donnent une poignée de main DAB.</v>
      </c>
    </row>
    <row r="16312">
      <c r="A16312" s="4" t="s">
        <v>20545</v>
      </c>
      <c r="B16312" s="4" t="s">
        <v>20546</v>
      </c>
      <c r="C16312" s="5" t="str">
        <f>IFERROR(__xludf.DUMMYFUNCTION("GOOGLETRANSLATE(B16312,""en"",""fr"")"),"Les écrans de titre sont affichés sur la vidéo.")</f>
        <v>Les écrans de titre sont affichés sur la vidéo.</v>
      </c>
    </row>
    <row r="16313">
      <c r="A16313" s="4" t="s">
        <v>20545</v>
      </c>
      <c r="B16313" s="4" t="s">
        <v>20547</v>
      </c>
      <c r="C16313" s="5" t="str">
        <f>IFERROR(__xludf.DUMMYFUNCTION("GOOGLETRANSLATE(B16313,""en"",""fr"")"),"La femme démontre l'utilisation d'un cerceau dans une grande pièce tandis qu'une autre personne parle.")</f>
        <v>La femme démontre l'utilisation d'un cerceau dans une grande pièce tandis qu'une autre personne parle.</v>
      </c>
    </row>
    <row r="16314">
      <c r="A16314" s="4" t="s">
        <v>20545</v>
      </c>
      <c r="B16314" s="4" t="s">
        <v>20548</v>
      </c>
      <c r="C16314" s="5" t="str">
        <f>IFERROR(__xludf.DUMMYFUNCTION("GOOGLETRANSLATE(B16314,""en"",""fr"")"),"Une autre personne regarde par la fenêtre de la porte.")</f>
        <v>Une autre personne regarde par la fenêtre de la porte.</v>
      </c>
    </row>
    <row r="16315">
      <c r="A16315" s="4" t="s">
        <v>20545</v>
      </c>
      <c r="B16315" s="4" t="s">
        <v>20549</v>
      </c>
      <c r="C16315" s="5" t="str">
        <f>IFERROR(__xludf.DUMMYFUNCTION("GOOGLETRANSLATE(B16315,""en"",""fr"")"),"La femme arrête le cerceau et prend un nœud.")</f>
        <v>La femme arrête le cerceau et prend un nœud.</v>
      </c>
    </row>
    <row r="16316">
      <c r="A16316" s="4" t="s">
        <v>20545</v>
      </c>
      <c r="B16316" s="4" t="s">
        <v>20550</v>
      </c>
      <c r="C16316" s="5" t="str">
        <f>IFERROR(__xludf.DUMMYFUNCTION("GOOGLETRANSLATE(B16316,""en"",""fr"")"),"Les crédits de fin roulent.")</f>
        <v>Les crédits de fin roulent.</v>
      </c>
    </row>
    <row r="16317">
      <c r="A16317" s="4" t="s">
        <v>20551</v>
      </c>
      <c r="B16317" s="4" t="s">
        <v>20552</v>
      </c>
      <c r="C16317" s="5" t="str">
        <f>IFERROR(__xludf.DUMMYFUNCTION("GOOGLETRANSLATE(B16317,""en"",""fr"")"),"Deux personnes jouent au tennis sur un tribunal.")</f>
        <v>Deux personnes jouent au tennis sur un tribunal.</v>
      </c>
    </row>
    <row r="16318">
      <c r="A16318" s="4" t="s">
        <v>20551</v>
      </c>
      <c r="B16318" s="4" t="s">
        <v>20553</v>
      </c>
      <c r="C16318" s="5" t="str">
        <f>IFERROR(__xludf.DUMMYFUNCTION("GOOGLETRANSLATE(B16318,""en"",""fr"")"),"Une personne retombe sur le dos.")</f>
        <v>Une personne retombe sur le dos.</v>
      </c>
    </row>
    <row r="16319">
      <c r="A16319" s="4" t="s">
        <v>20554</v>
      </c>
      <c r="B16319" s="6" t="s">
        <v>20555</v>
      </c>
      <c r="C16319" s="5" t="str">
        <f>IFERROR(__xludf.DUMMYFUNCTION("GOOGLETRANSLATE(B16319,""en"",""fr"")"),"Un homme a son saxophone autour de son cou et il explique les roseaux et les morceaux de bouche et comment vous devriez mettre votre bouche dessus ni quoi ni.")</f>
        <v>Un homme a son saxophone autour de son cou et il explique les roseaux et les morceaux de bouche et comment vous devriez mettre votre bouche dessus ni quoi ni.</v>
      </c>
    </row>
    <row r="16320">
      <c r="A16320" s="4" t="s">
        <v>20554</v>
      </c>
      <c r="B16320" s="4" t="s">
        <v>20556</v>
      </c>
      <c r="C16320" s="5" t="str">
        <f>IFERROR(__xludf.DUMMYFUNCTION("GOOGLETRANSLATE(B16320,""en"",""fr"")"),"Il en parle un moment, montre comment vous bougeriez votre langue pour faire du son.")</f>
        <v>Il en parle un moment, montre comment vous bougeriez votre langue pour faire du son.</v>
      </c>
    </row>
    <row r="16321">
      <c r="A16321" s="4" t="s">
        <v>20554</v>
      </c>
      <c r="B16321" s="4" t="s">
        <v>20557</v>
      </c>
      <c r="C16321" s="5" t="str">
        <f>IFERROR(__xludf.DUMMYFUNCTION("GOOGLETRANSLATE(B16321,""en"",""fr"")"),"Il souffle dans le sax pour en démontrer un peu plus.")</f>
        <v>Il souffle dans le sax pour en démontrer un peu plus.</v>
      </c>
    </row>
    <row r="16322">
      <c r="A16322" s="4" t="s">
        <v>20554</v>
      </c>
      <c r="B16322" s="4" t="s">
        <v>20558</v>
      </c>
      <c r="C16322" s="5" t="str">
        <f>IFERROR(__xludf.DUMMYFUNCTION("GOOGLETRANSLATE(B16322,""en"",""fr"")"),"Il met même brièvement son doigt dans la bouche pour essayer d'expliquer un peu mieux aussi.")</f>
        <v>Il met même brièvement son doigt dans la bouche pour essayer d'expliquer un peu mieux aussi.</v>
      </c>
    </row>
    <row r="16323">
      <c r="A16323" s="4" t="s">
        <v>20559</v>
      </c>
      <c r="B16323" s="4" t="s">
        <v>20560</v>
      </c>
      <c r="C16323" s="5" t="str">
        <f>IFERROR(__xludf.DUMMYFUNCTION("GOOGLETRANSLATE(B16323,""en"",""fr"")"),"Un homme pousse une tondeuse à gazon autour d'une zone de pelouse de gazon avec des tentes coupant l'herbe.")</f>
        <v>Un homme pousse une tondeuse à gazon autour d'une zone de pelouse de gazon avec des tentes coupant l'herbe.</v>
      </c>
    </row>
    <row r="16324">
      <c r="A16324" s="4" t="s">
        <v>20559</v>
      </c>
      <c r="B16324" s="4" t="s">
        <v>20561</v>
      </c>
      <c r="C16324" s="5" t="str">
        <f>IFERROR(__xludf.DUMMYFUNCTION("GOOGLETRANSLATE(B16324,""en"",""fr"")"),"L'homme coupe la grande herbe autour d'un arbre.")</f>
        <v>L'homme coupe la grande herbe autour d'un arbre.</v>
      </c>
    </row>
    <row r="16325">
      <c r="A16325" s="4" t="s">
        <v>20559</v>
      </c>
      <c r="B16325" s="4" t="s">
        <v>20562</v>
      </c>
      <c r="C16325" s="5" t="str">
        <f>IFERROR(__xludf.DUMMYFUNCTION("GOOGLETRANSLATE(B16325,""en"",""fr"")"),"L'homme ferme la tondeuse à gazon et fait une pause.")</f>
        <v>L'homme ferme la tondeuse à gazon et fait une pause.</v>
      </c>
    </row>
    <row r="16326">
      <c r="A16326" s="4" t="s">
        <v>20563</v>
      </c>
      <c r="B16326" s="4" t="s">
        <v>20564</v>
      </c>
      <c r="C16326" s="5" t="str">
        <f>IFERROR(__xludf.DUMMYFUNCTION("GOOGLETRANSLATE(B16326,""en"",""fr"")"),"Un gros plan d'un paysage est montré suivi d'une femme grimpant un rocher sur le côté.")</f>
        <v>Un gros plan d'un paysage est montré suivi d'une femme grimpant un rocher sur le côté.</v>
      </c>
    </row>
    <row r="16327">
      <c r="A16327" s="4" t="s">
        <v>20563</v>
      </c>
      <c r="B16327" s="4" t="s">
        <v>20565</v>
      </c>
      <c r="C16327" s="5" t="str">
        <f>IFERROR(__xludf.DUMMYFUNCTION("GOOGLETRANSLATE(B16327,""en"",""fr"")"),"La femme continue de grimper et se termine avec elle atteignant le sommet et jetant ses bras.")</f>
        <v>La femme continue de grimper et se termine avec elle atteignant le sommet et jetant ses bras.</v>
      </c>
    </row>
    <row r="16328">
      <c r="A16328" s="4" t="s">
        <v>20566</v>
      </c>
      <c r="B16328" s="4" t="s">
        <v>20567</v>
      </c>
      <c r="C16328" s="5" t="str">
        <f>IFERROR(__xludf.DUMMYFUNCTION("GOOGLETRANSLATE(B16328,""en"",""fr"")"),"Un groupe de personnes joue à Dodge Ball dans un terrain.")</f>
        <v>Un groupe de personnes joue à Dodge Ball dans un terrain.</v>
      </c>
    </row>
    <row r="16329">
      <c r="A16329" s="4" t="s">
        <v>20566</v>
      </c>
      <c r="B16329" s="4" t="s">
        <v>20568</v>
      </c>
      <c r="C16329" s="5" t="str">
        <f>IFERROR(__xludf.DUMMYFUNCTION("GOOGLETRANSLATE(B16329,""en"",""fr"")"),"Les gens plaisantent à la caméra.")</f>
        <v>Les gens plaisantent à la caméra.</v>
      </c>
    </row>
    <row r="16330">
      <c r="A16330" s="4" t="s">
        <v>20569</v>
      </c>
      <c r="B16330" s="6" t="s">
        <v>20570</v>
      </c>
      <c r="C16330" s="5" t="str">
        <f>IFERROR(__xludf.DUMMYFUNCTION("GOOGLETRANSLATE(B16330,""en"",""fr"")"),"Un mur blanc est montré avec des chevilles qui poussent et des bandes de ruban adhésif suspendus et une fille commence une falaise grimpant le mur alors qu'un homme en chemise bleue commence à parler.")</f>
        <v>Un mur blanc est montré avec des chevilles qui poussent et des bandes de ruban adhésif suspendus et une fille commence une falaise grimpant le mur alors qu'un homme en chemise bleue commence à parler.</v>
      </c>
    </row>
    <row r="16331">
      <c r="A16331" s="4" t="s">
        <v>20569</v>
      </c>
      <c r="B16331" s="4" t="s">
        <v>20571</v>
      </c>
      <c r="C16331" s="5" t="str">
        <f>IFERROR(__xludf.DUMMYFUNCTION("GOOGLETRANSLATE(B16331,""en"",""fr"")"),"La jeune femme continue de progresser dans le mur alors que l'homme continue de parler dans un écran partagé.")</f>
        <v>La jeune femme continue de progresser dans le mur alors que l'homme continue de parler dans un écran partagé.</v>
      </c>
    </row>
    <row r="16332">
      <c r="A16332" s="4" t="s">
        <v>20569</v>
      </c>
      <c r="B16332" s="6" t="s">
        <v>20572</v>
      </c>
      <c r="C16332" s="5" t="str">
        <f>IFERROR(__xludf.DUMMYFUNCTION("GOOGLETRANSLATE(B16332,""en"",""fr"")"),"L'homme lève le pied pour parler d'une certaine position et la fille le démontre alors qu'elle commence à sortir de l'assiette.")</f>
        <v>L'homme lève le pied pour parler d'une certaine position et la fille le démontre alors qu'elle commence à sortir de l'assiette.</v>
      </c>
    </row>
    <row r="16333">
      <c r="A16333" s="4" t="s">
        <v>20573</v>
      </c>
      <c r="B16333" s="4" t="s">
        <v>20574</v>
      </c>
      <c r="C16333" s="5" t="str">
        <f>IFERROR(__xludf.DUMMYFUNCTION("GOOGLETRANSLATE(B16333,""en"",""fr"")"),"Une petite voiture est recouverte d'une épaisse couche de neige.")</f>
        <v>Une petite voiture est recouverte d'une épaisse couche de neige.</v>
      </c>
    </row>
    <row r="16334">
      <c r="A16334" s="4" t="s">
        <v>20573</v>
      </c>
      <c r="B16334" s="4" t="s">
        <v>20575</v>
      </c>
      <c r="C16334" s="5" t="str">
        <f>IFERROR(__xludf.DUMMYFUNCTION("GOOGLETRANSLATE(B16334,""en"",""fr"")"),"Un homme apparaît avec une balayeuse.")</f>
        <v>Un homme apparaît avec une balayeuse.</v>
      </c>
    </row>
    <row r="16335">
      <c r="A16335" s="4" t="s">
        <v>20573</v>
      </c>
      <c r="B16335" s="4" t="s">
        <v>20576</v>
      </c>
      <c r="C16335" s="5" t="str">
        <f>IFERROR(__xludf.DUMMYFUNCTION("GOOGLETRANSLATE(B16335,""en"",""fr"")"),"Il l'utilise pour ratisser toute la neige du véhicule.")</f>
        <v>Il l'utilise pour ratisser toute la neige du véhicule.</v>
      </c>
    </row>
    <row r="16336">
      <c r="A16336" s="4" t="s">
        <v>20577</v>
      </c>
      <c r="B16336" s="4" t="s">
        <v>20578</v>
      </c>
      <c r="C16336" s="5" t="str">
        <f>IFERROR(__xludf.DUMMYFUNCTION("GOOGLETRANSLATE(B16336,""en"",""fr"")"),"L'homme est à genoux sur le sol en parlant à la caméra et en montrant les carreaux au-dessus du sol en bois.")</f>
        <v>L'homme est à genoux sur le sol en parlant à la caméra et en montrant les carreaux au-dessus du sol en bois.</v>
      </c>
    </row>
    <row r="16337">
      <c r="A16337" s="4" t="s">
        <v>20577</v>
      </c>
      <c r="B16337" s="6" t="s">
        <v>20579</v>
      </c>
      <c r="C16337" s="5" t="str">
        <f>IFERROR(__xludf.DUMMYFUNCTION("GOOGLETRANSLATE(B16337,""en"",""fr"")"),"L'homme montre un endroit sans plancher en bois et il met le poteau en bois dans le sol en mesurant l'espace.")</f>
        <v>L'homme montre un endroit sans plancher en bois et il met le poteau en bois dans le sol en mesurant l'espace.</v>
      </c>
    </row>
    <row r="16338">
      <c r="A16338" s="4" t="s">
        <v>20577</v>
      </c>
      <c r="B16338" s="4" t="s">
        <v>20580</v>
      </c>
      <c r="C16338" s="5" t="str">
        <f>IFERROR(__xludf.DUMMYFUNCTION("GOOGLETRANSLATE(B16338,""en"",""fr"")"),"L'homme met un drap en bois dans l'espace et met des carreaux de sol.")</f>
        <v>L'homme met un drap en bois dans l'espace et met des carreaux de sol.</v>
      </c>
    </row>
    <row r="16339">
      <c r="A16339" s="4" t="s">
        <v>20581</v>
      </c>
      <c r="B16339" s="4" t="s">
        <v>20582</v>
      </c>
      <c r="C16339" s="5" t="str">
        <f>IFERROR(__xludf.DUMMYFUNCTION("GOOGLETRANSLATE(B16339,""en"",""fr"")"),"Il y a un garçon assis sur le lit montrant son coup de soleil et mettant de la crème dessus.")</f>
        <v>Il y a un garçon assis sur le lit montrant son coup de soleil et mettant de la crème dessus.</v>
      </c>
    </row>
    <row r="16340">
      <c r="A16340" s="4" t="s">
        <v>20581</v>
      </c>
      <c r="B16340" s="4" t="s">
        <v>20583</v>
      </c>
      <c r="C16340" s="5" t="str">
        <f>IFERROR(__xludf.DUMMYFUNCTION("GOOGLETRANSLATE(B16340,""en"",""fr"")"),"Un ami secoue la tête à cause du coup de soleil de l'autre gars.")</f>
        <v>Un ami secoue la tête à cause du coup de soleil de l'autre gars.</v>
      </c>
    </row>
    <row r="16341">
      <c r="A16341" s="4" t="s">
        <v>20581</v>
      </c>
      <c r="B16341" s="4" t="s">
        <v>20584</v>
      </c>
      <c r="C16341" s="5" t="str">
        <f>IFERROR(__xludf.DUMMYFUNCTION("GOOGLETRANSLATE(B16341,""en"",""fr"")"),"L'ami soulève sa chemise pour montrer son coup de soleil également.")</f>
        <v>L'ami soulève sa chemise pour montrer son coup de soleil également.</v>
      </c>
    </row>
    <row r="16342">
      <c r="A16342" s="4" t="s">
        <v>20581</v>
      </c>
      <c r="B16342" s="4" t="s">
        <v>20585</v>
      </c>
      <c r="C16342" s="5" t="str">
        <f>IFERROR(__xludf.DUMMYFUNCTION("GOOGLETRANSLATE(B16342,""en"",""fr"")"),"La caméra se déroule dans la pièce et retourne au premier gars.")</f>
        <v>La caméra se déroule dans la pièce et retourne au premier gars.</v>
      </c>
    </row>
    <row r="16343">
      <c r="A16343" s="4" t="s">
        <v>20581</v>
      </c>
      <c r="B16343" s="4" t="s">
        <v>20586</v>
      </c>
      <c r="C16343" s="5" t="str">
        <f>IFERROR(__xludf.DUMMYFUNCTION("GOOGLETRANSLATE(B16343,""en"",""fr"")"),"Une fille marche en portant une assiette, la met sur la table et fait une danse.")</f>
        <v>Une fille marche en portant une assiette, la met sur la table et fait une danse.</v>
      </c>
    </row>
    <row r="16344">
      <c r="A16344" s="4" t="s">
        <v>20581</v>
      </c>
      <c r="B16344" s="4" t="s">
        <v>20587</v>
      </c>
      <c r="C16344" s="5" t="str">
        <f>IFERROR(__xludf.DUMMYFUNCTION("GOOGLETRANSLATE(B16344,""en"",""fr"")"),"La caméra se pavanée sur un miroir avec deux hommes debout avec un téléphone et agitant.")</f>
        <v>La caméra se pavanée sur un miroir avec deux hommes debout avec un téléphone et agitant.</v>
      </c>
    </row>
    <row r="16345">
      <c r="A16345" s="4" t="s">
        <v>20581</v>
      </c>
      <c r="B16345" s="4" t="s">
        <v>20588</v>
      </c>
      <c r="C16345" s="5" t="str">
        <f>IFERROR(__xludf.DUMMYFUNCTION("GOOGLETRANSLATE(B16345,""en"",""fr"")"),"La caméra regarde le balcon de la pièce.")</f>
        <v>La caméra regarde le balcon de la pièce.</v>
      </c>
    </row>
    <row r="16346">
      <c r="A16346" s="4" t="s">
        <v>20581</v>
      </c>
      <c r="B16346" s="4" t="s">
        <v>20589</v>
      </c>
      <c r="C16346" s="5" t="str">
        <f>IFERROR(__xludf.DUMMYFUNCTION("GOOGLETRANSLATE(B16346,""en"",""fr"")"),"Une femme met une assiette de nourriture sur une table et un homme revient à l'intérieur.")</f>
        <v>Une femme met une assiette de nourriture sur une table et un homme revient à l'intérieur.</v>
      </c>
    </row>
    <row r="16347">
      <c r="A16347" s="4" t="s">
        <v>20581</v>
      </c>
      <c r="B16347" s="4" t="s">
        <v>20590</v>
      </c>
      <c r="C16347" s="5" t="str">
        <f>IFERROR(__xludf.DUMMYFUNCTION("GOOGLETRANSLATE(B16347,""en"",""fr"")"),"L'homme brûlé par le soleil enlève sa chemise et la pose sur le lit.")</f>
        <v>L'homme brûlé par le soleil enlève sa chemise et la pose sur le lit.</v>
      </c>
    </row>
    <row r="16348">
      <c r="A16348" s="4" t="s">
        <v>20581</v>
      </c>
      <c r="B16348" s="4" t="s">
        <v>20591</v>
      </c>
      <c r="C16348" s="5" t="str">
        <f>IFERROR(__xludf.DUMMYFUNCTION("GOOGLETRANSLATE(B16348,""en"",""fr"")"),"Ses amis l'aident avec de la crème sur son coup de soleil.")</f>
        <v>Ses amis l'aident avec de la crème sur son coup de soleil.</v>
      </c>
    </row>
    <row r="16349">
      <c r="A16349" s="4" t="s">
        <v>20581</v>
      </c>
      <c r="B16349" s="4" t="s">
        <v>20592</v>
      </c>
      <c r="C16349" s="5" t="str">
        <f>IFERROR(__xludf.DUMMYFUNCTION("GOOGLETRANSLATE(B16349,""en"",""fr"")"),"La femme est assise à la table à manger.")</f>
        <v>La femme est assise à la table à manger.</v>
      </c>
    </row>
    <row r="16350">
      <c r="A16350" s="4" t="s">
        <v>20593</v>
      </c>
      <c r="B16350" s="6" t="s">
        <v>20594</v>
      </c>
      <c r="C16350" s="5" t="str">
        <f>IFERROR(__xludf.DUMMYFUNCTION("GOOGLETRANSLATE(B16350,""en"",""fr"")"),"Un homme est montré en résolvant un Rubix Rube à une vitesse record pendant qu'une minuterie va et un homme l'enregistre.")</f>
        <v>Un homme est montré en résolvant un Rubix Rube à une vitesse record pendant qu'une minuterie va et un homme l'enregistre.</v>
      </c>
    </row>
    <row r="16351">
      <c r="A16351" s="4" t="s">
        <v>20593</v>
      </c>
      <c r="B16351" s="6" t="s">
        <v>20595</v>
      </c>
      <c r="C16351" s="5" t="str">
        <f>IFERROR(__xludf.DUMMYFUNCTION("GOOGLETRANSLATE(B16351,""en"",""fr"")"),"Un autre joueur à un âge plus jeune est montré en résolvant le cube Rubix ainsi qu'un troisième patron peu de temps après.")</f>
        <v>Un autre joueur à un âge plus jeune est montré en résolvant le cube Rubix ainsi qu'un troisième patron peu de temps après.</v>
      </c>
    </row>
    <row r="16352">
      <c r="A16352" s="4" t="s">
        <v>20596</v>
      </c>
      <c r="B16352" s="4" t="s">
        <v>20597</v>
      </c>
      <c r="C16352" s="5" t="str">
        <f>IFERROR(__xludf.DUMMYFUNCTION("GOOGLETRANSLATE(B16352,""en"",""fr"")"),"Les fruits confits sont dans le bol, puis la femme y verse la liqueur et les mélangeait.")</f>
        <v>Les fruits confits sont dans le bol, puis la femme y verse la liqueur et les mélangeait.</v>
      </c>
    </row>
    <row r="16353">
      <c r="A16353" s="4" t="s">
        <v>20596</v>
      </c>
      <c r="B16353" s="6" t="s">
        <v>20598</v>
      </c>
      <c r="C16353" s="5" t="str">
        <f>IFERROR(__xludf.DUMMYFUNCTION("GOOGLETRANSLATE(B16353,""en"",""fr"")"),"La femme a ajouté de la cassonade sur le beurre, puis a ajouté des œufs un par un et mélangés, puis de la crème, puis de la farine, du bicarbonate de soude, de la poudre de cannelle et de les bien mélangés.")</f>
        <v>La femme a ajouté de la cassonade sur le beurre, puis a ajouté des œufs un par un et mélangés, puis de la crème, puis de la farine, du bicarbonate de soude, de la poudre de cannelle et de les bien mélangés.</v>
      </c>
    </row>
    <row r="16354">
      <c r="A16354" s="4" t="s">
        <v>20596</v>
      </c>
      <c r="B16354" s="6" t="s">
        <v>20599</v>
      </c>
      <c r="C16354" s="5" t="str">
        <f>IFERROR(__xludf.DUMMYFUNCTION("GOOGLETRANSLATE(B16354,""en"",""fr"")"),"Le mélange de fruits secs est ajouté dans la pâte, puis les noix déchiquetées et elles ont été bien mélangées.")</f>
        <v>Le mélange de fruits secs est ajouté dans la pâte, puis les noix déchiquetées et elles ont été bien mélangées.</v>
      </c>
    </row>
    <row r="16355">
      <c r="A16355" s="4" t="s">
        <v>20596</v>
      </c>
      <c r="B16355" s="4" t="s">
        <v>20600</v>
      </c>
      <c r="C16355" s="5" t="str">
        <f>IFERROR(__xludf.DUMMYFUNCTION("GOOGLETRANSLATE(B16355,""en"",""fr"")"),"La pâte est coulée dans la casserole, lisse la pâte et s'assurant qu'elle est répartie uniformément.")</f>
        <v>La pâte est coulée dans la casserole, lisse la pâte et s'assurant qu'elle est répartie uniformément.</v>
      </c>
    </row>
    <row r="16356">
      <c r="A16356" s="4" t="s">
        <v>20601</v>
      </c>
      <c r="B16356" s="6" t="s">
        <v>20602</v>
      </c>
      <c r="C16356" s="5" t="str">
        <f>IFERROR(__xludf.DUMMYFUNCTION("GOOGLETRANSLATE(B16356,""en"",""fr"")"),"Un homme est vu debout et regardant autour de lui, puis nettoie une boule de bowling et se tient devant une voie.")</f>
        <v>Un homme est vu debout et regardant autour de lui, puis nettoie une boule de bowling et se tient devant une voie.</v>
      </c>
    </row>
    <row r="16357">
      <c r="A16357" s="4" t="s">
        <v>20601</v>
      </c>
      <c r="B16357" s="4" t="s">
        <v>20603</v>
      </c>
      <c r="C16357" s="5" t="str">
        <f>IFERROR(__xludf.DUMMYFUNCTION("GOOGLETRANSLATE(B16357,""en"",""fr"")"),"L'homme jette le ballon et frappe plusieurs épingles.")</f>
        <v>L'homme jette le ballon et frappe plusieurs épingles.</v>
      </c>
    </row>
    <row r="16358">
      <c r="A16358" s="4" t="s">
        <v>20604</v>
      </c>
      <c r="B16358" s="4" t="s">
        <v>20605</v>
      </c>
      <c r="C16358" s="5" t="str">
        <f>IFERROR(__xludf.DUMMYFUNCTION("GOOGLETRANSLATE(B16358,""en"",""fr"")"),"Une fille est vue parler à la caméra et entre dans un salon de coiffure et serre la main avec un styliste.")</f>
        <v>Une fille est vue parler à la caméra et entre dans un salon de coiffure et serre la main avec un styliste.</v>
      </c>
    </row>
    <row r="16359">
      <c r="A16359" s="4" t="s">
        <v>20604</v>
      </c>
      <c r="B16359" s="4" t="s">
        <v>20606</v>
      </c>
      <c r="C16359" s="5" t="str">
        <f>IFERROR(__xludf.DUMMYFUNCTION("GOOGLETRANSLATE(B16359,""en"",""fr"")"),"Plusieurs plans d'un artiste sont montrés et l'homme commence alors à couper les cheveux de la fille.")</f>
        <v>Plusieurs plans d'un artiste sont montrés et l'homme commence alors à couper les cheveux de la fille.</v>
      </c>
    </row>
    <row r="16360">
      <c r="A16360" s="4" t="s">
        <v>20604</v>
      </c>
      <c r="B16360" s="4" t="s">
        <v>20607</v>
      </c>
      <c r="C16360" s="5" t="str">
        <f>IFERROR(__xludf.DUMMYFUNCTION("GOOGLETRANSLATE(B16360,""en"",""fr"")"),"Il lui tend les cheveux et se lave les cheveux suivis de plus de coupes et regardant dans un miroir.")</f>
        <v>Il lui tend les cheveux et se lave les cheveux suivis de plus de coupes et regardant dans un miroir.</v>
      </c>
    </row>
    <row r="16361">
      <c r="A16361" s="4" t="s">
        <v>20604</v>
      </c>
      <c r="B16361" s="6" t="s">
        <v>20608</v>
      </c>
      <c r="C16361" s="5" t="str">
        <f>IFERROR(__xludf.DUMMYFUNCTION("GOOGLETRANSLATE(B16361,""en"",""fr"")"),"En fin de compte, ses cheveux ressemblent à l'artiste et elle est vue en souriant et embrasse une personne, se terminant par une photo côte à côte de l'artiste et d'elle.")</f>
        <v>En fin de compte, ses cheveux ressemblent à l'artiste et elle est vue en souriant et embrasse une personne, se terminant par une photo côte à côte de l'artiste et d'elle.</v>
      </c>
    </row>
    <row r="16362">
      <c r="A16362" s="4" t="s">
        <v>20609</v>
      </c>
      <c r="B16362" s="4" t="s">
        <v>20610</v>
      </c>
      <c r="C16362" s="5" t="str">
        <f>IFERROR(__xludf.DUMMYFUNCTION("GOOGLETRANSLATE(B16362,""en"",""fr"")"),"Une personne est vue se plier près d'une foule et commence à jouer à un jeu de shuffleboard.")</f>
        <v>Une personne est vue se plier près d'une foule et commence à jouer à un jeu de shuffleboard.</v>
      </c>
    </row>
    <row r="16363">
      <c r="A16363" s="4" t="s">
        <v>20609</v>
      </c>
      <c r="B16363" s="6" t="s">
        <v>20611</v>
      </c>
      <c r="C16363" s="5" t="str">
        <f>IFERROR(__xludf.DUMMYFUNCTION("GOOGLETRANSLATE(B16363,""en"",""fr"")"),"Les gens continuent de jouer en arrière et quatrième sur le tapis tandis que d'autres personnes jouent autour d'eux et entrent dans le cadre.")</f>
        <v>Les gens continuent de jouer en arrière et quatrième sur le tapis tandis que d'autres personnes jouent autour d'eux et entrent dans le cadre.</v>
      </c>
    </row>
    <row r="16364">
      <c r="A16364" s="4" t="s">
        <v>20609</v>
      </c>
      <c r="B16364" s="4" t="s">
        <v>20612</v>
      </c>
      <c r="C16364" s="5" t="str">
        <f>IFERROR(__xludf.DUMMYFUNCTION("GOOGLETRANSLATE(B16364,""en"",""fr"")"),"Un homme et une femme sont vus se parler et se trouve à nouveau en poussant les rondelles.")</f>
        <v>Un homme et une femme sont vus se parler et se trouve à nouveau en poussant les rondelles.</v>
      </c>
    </row>
    <row r="16365">
      <c r="A16365" s="4" t="s">
        <v>20613</v>
      </c>
      <c r="B16365" s="4" t="s">
        <v>20614</v>
      </c>
      <c r="C16365" s="5" t="str">
        <f>IFERROR(__xludf.DUMMYFUNCTION("GOOGLETRANSLATE(B16365,""en"",""fr"")"),"Une intro est montrée pour un jeu de cricket.")</f>
        <v>Une intro est montrée pour un jeu de cricket.</v>
      </c>
    </row>
    <row r="16366">
      <c r="A16366" s="4" t="s">
        <v>20613</v>
      </c>
      <c r="B16366" s="4" t="s">
        <v>20615</v>
      </c>
      <c r="C16366" s="5" t="str">
        <f>IFERROR(__xludf.DUMMYFUNCTION("GOOGLETRANSLATE(B16366,""en"",""fr"")"),"Plusieurs joueurs commencent à jouer à un jeu de cricket sur un terrain.")</f>
        <v>Plusieurs joueurs commencent à jouer à un jeu de cricket sur un terrain.</v>
      </c>
    </row>
    <row r="16367">
      <c r="A16367" s="4" t="s">
        <v>20613</v>
      </c>
      <c r="B16367" s="4" t="s">
        <v>20616</v>
      </c>
      <c r="C16367" s="5" t="str">
        <f>IFERROR(__xludf.DUMMYFUNCTION("GOOGLETRANSLATE(B16367,""en"",""fr"")"),"Un homme trébuche sur l'un des messages de cricket.")</f>
        <v>Un homme trébuche sur l'un des messages de cricket.</v>
      </c>
    </row>
    <row r="16368">
      <c r="A16368" s="4" t="s">
        <v>20613</v>
      </c>
      <c r="B16368" s="4" t="s">
        <v>20617</v>
      </c>
      <c r="C16368" s="5" t="str">
        <f>IFERROR(__xludf.DUMMYFUNCTION("GOOGLETRANSLATE(B16368,""en"",""fr"")"),"Les joueurs se serrent la main à la fin du jeu.")</f>
        <v>Les joueurs se serrent la main à la fin du jeu.</v>
      </c>
    </row>
    <row r="16369">
      <c r="A16369" s="4" t="s">
        <v>20613</v>
      </c>
      <c r="B16369" s="4" t="s">
        <v>20618</v>
      </c>
      <c r="C16369" s="5" t="str">
        <f>IFERROR(__xludf.DUMMYFUNCTION("GOOGLETRANSLATE(B16369,""en"",""fr"")"),"Les résultats du jeu A sont ensuite affichés à l'écran.")</f>
        <v>Les résultats du jeu A sont ensuite affichés à l'écran.</v>
      </c>
    </row>
    <row r="16370">
      <c r="A16370" s="4" t="s">
        <v>20619</v>
      </c>
      <c r="B16370" s="4" t="s">
        <v>20620</v>
      </c>
      <c r="C16370" s="5" t="str">
        <f>IFERROR(__xludf.DUMMYFUNCTION("GOOGLETRANSLATE(B16370,""en"",""fr"")"),"Dans un magasin par le nom de Skinny Ski's, il y a une table installée avec les choses nécessaires pour voir des skis.")</f>
        <v>Dans un magasin par le nom de Skinny Ski's, il y a une table installée avec les choses nécessaires pour voir des skis.</v>
      </c>
    </row>
    <row r="16371">
      <c r="A16371" s="4" t="s">
        <v>20619</v>
      </c>
      <c r="B16371" s="4" t="s">
        <v>20621</v>
      </c>
      <c r="C16371" s="5" t="str">
        <f>IFERROR(__xludf.DUMMYFUNCTION("GOOGLETRANSLATE(B16371,""en"",""fr"")"),"Un homme utilise du matériel pour faire fondre de la cire sur un ski, en le dépassant plusieurs fois.")</f>
        <v>Un homme utilise du matériel pour faire fondre de la cire sur un ski, en le dépassant plusieurs fois.</v>
      </c>
    </row>
    <row r="16372">
      <c r="A16372" s="4" t="s">
        <v>20619</v>
      </c>
      <c r="B16372" s="6" t="s">
        <v>20622</v>
      </c>
      <c r="C16372" s="5" t="str">
        <f>IFERROR(__xludf.DUMMYFUNCTION("GOOGLETRANSLATE(B16372,""en"",""fr"")"),"Il utilise ensuite directement le fer directement sur le ski trop lissé la cire qu'il vient de fondre dessus, en le dépassant plusieurs fois.")</f>
        <v>Il utilise ensuite directement le fer directement sur le ski trop lissé la cire qu'il vient de fondre dessus, en le dépassant plusieurs fois.</v>
      </c>
    </row>
    <row r="16373">
      <c r="A16373" s="4" t="s">
        <v>20619</v>
      </c>
      <c r="B16373" s="6" t="s">
        <v>20623</v>
      </c>
      <c r="C16373" s="5" t="str">
        <f>IFERROR(__xludf.DUMMYFUNCTION("GOOGLETRANSLATE(B16373,""en"",""fr"")"),"Il montre ensuite un paquet de cire chaude à faible fluor dibloc et d'informations sur la façon de contacter pour les services.")</f>
        <v>Il montre ensuite un paquet de cire chaude à faible fluor dibloc et d'informations sur la façon de contacter pour les services.</v>
      </c>
    </row>
    <row r="16374">
      <c r="A16374" s="4" t="s">
        <v>20624</v>
      </c>
      <c r="B16374" s="4" t="s">
        <v>13124</v>
      </c>
      <c r="C16374" s="5" t="str">
        <f>IFERROR(__xludf.DUMMYFUNCTION("GOOGLETRANSLATE(B16374,""en"",""fr"")"),"Nous voyons la carte de titre sur Black.")</f>
        <v>Nous voyons la carte de titre sur Black.</v>
      </c>
    </row>
    <row r="16375">
      <c r="A16375" s="4" t="s">
        <v>20624</v>
      </c>
      <c r="B16375" s="4" t="s">
        <v>20625</v>
      </c>
      <c r="C16375" s="5" t="str">
        <f>IFERROR(__xludf.DUMMYFUNCTION("GOOGLETRANSLATE(B16375,""en"",""fr"")"),"Un homme joue avec la batterie avec des mains.")</f>
        <v>Un homme joue avec la batterie avec des mains.</v>
      </c>
    </row>
    <row r="16376">
      <c r="A16376" s="4" t="s">
        <v>20624</v>
      </c>
      <c r="B16376" s="4" t="s">
        <v>20626</v>
      </c>
      <c r="C16376" s="5" t="str">
        <f>IFERROR(__xludf.DUMMYFUNCTION("GOOGLETRANSLATE(B16376,""en"",""fr"")"),"L'homme s'arrête puis joue à nouveau.")</f>
        <v>L'homme s'arrête puis joue à nouveau.</v>
      </c>
    </row>
    <row r="16377">
      <c r="A16377" s="4" t="s">
        <v>20624</v>
      </c>
      <c r="B16377" s="4" t="s">
        <v>20627</v>
      </c>
      <c r="C16377" s="5" t="str">
        <f>IFERROR(__xludf.DUMMYFUNCTION("GOOGLETRANSLATE(B16377,""en"",""fr"")"),"L'homme s'arrête puis joue plus lentement.")</f>
        <v>L'homme s'arrête puis joue plus lentement.</v>
      </c>
    </row>
    <row r="16378">
      <c r="A16378" s="4" t="s">
        <v>20628</v>
      </c>
      <c r="B16378" s="4" t="s">
        <v>20629</v>
      </c>
      <c r="C16378" s="5" t="str">
        <f>IFERROR(__xludf.DUMMYFUNCTION("GOOGLETRANSLATE(B16378,""en"",""fr"")"),"Un homme afro-américain se tient à l'extérieur à côté d'une grande paroi rocheuse.")</f>
        <v>Un homme afro-américain se tient à l'extérieur à côté d'une grande paroi rocheuse.</v>
      </c>
    </row>
    <row r="16379">
      <c r="A16379" s="4" t="s">
        <v>20628</v>
      </c>
      <c r="B16379" s="4" t="s">
        <v>20630</v>
      </c>
      <c r="C16379" s="5" t="str">
        <f>IFERROR(__xludf.DUMMYFUNCTION("GOOGLETRANSLATE(B16379,""en"",""fr"")"),"L'homme continue de toucher le rocher et commence à s'étirer.")</f>
        <v>L'homme continue de toucher le rocher et commence à s'étirer.</v>
      </c>
    </row>
    <row r="16380">
      <c r="A16380" s="4" t="s">
        <v>20628</v>
      </c>
      <c r="B16380" s="6" t="s">
        <v>20631</v>
      </c>
      <c r="C16380" s="5" t="str">
        <f>IFERROR(__xludf.DUMMYFUNCTION("GOOGLETRANSLATE(B16380,""en"",""fr"")"),"Après, il commence à grimper activement et férocement le mur et à descendre de l'autre côté, mais il le fait sans aucune corde attachée à lui.")</f>
        <v>Après, il commence à grimper activement et férocement le mur et à descendre de l'autre côté, mais il le fait sans aucune corde attachée à lui.</v>
      </c>
    </row>
    <row r="16381">
      <c r="A16381" s="4" t="s">
        <v>20632</v>
      </c>
      <c r="B16381" s="4" t="s">
        <v>20633</v>
      </c>
      <c r="C16381" s="5" t="str">
        <f>IFERROR(__xludf.DUMMYFUNCTION("GOOGLETRANSLATE(B16381,""en"",""fr"")"),"Un garçon dans une chemise bleue joue dans le sable sur la plage.")</f>
        <v>Un garçon dans une chemise bleue joue dans le sable sur la plage.</v>
      </c>
    </row>
    <row r="16382">
      <c r="A16382" s="4" t="s">
        <v>20632</v>
      </c>
      <c r="B16382" s="4" t="s">
        <v>20634</v>
      </c>
      <c r="C16382" s="5" t="str">
        <f>IFERROR(__xludf.DUMMYFUNCTION("GOOGLETRANSLATE(B16382,""en"",""fr"")"),"Un homme en chemise blanche se tient derrière lui à l'aider.")</f>
        <v>Un homme en chemise blanche se tient derrière lui à l'aider.</v>
      </c>
    </row>
    <row r="16383">
      <c r="A16383" s="4" t="s">
        <v>20632</v>
      </c>
      <c r="B16383" s="4" t="s">
        <v>20635</v>
      </c>
      <c r="C16383" s="5" t="str">
        <f>IFERROR(__xludf.DUMMYFUNCTION("GOOGLETRANSLATE(B16383,""en"",""fr"")"),"Un homme en short bleu aide également le garçon à faire le château de sable.")</f>
        <v>Un homme en short bleu aide également le garçon à faire le château de sable.</v>
      </c>
    </row>
    <row r="16384">
      <c r="A16384" s="4" t="s">
        <v>20636</v>
      </c>
      <c r="B16384" s="4" t="s">
        <v>20637</v>
      </c>
      <c r="C16384" s="5" t="str">
        <f>IFERROR(__xludf.DUMMYFUNCTION("GOOGLETRANSLATE(B16384,""en"",""fr"")"),"Un homme est montré avec une femme dansant devant une grande foule dans une émission de télévision.")</f>
        <v>Un homme est montré avec une femme dansant devant une grande foule dans une émission de télévision.</v>
      </c>
    </row>
    <row r="16385">
      <c r="A16385" s="4" t="s">
        <v>20636</v>
      </c>
      <c r="B16385" s="4" t="s">
        <v>20638</v>
      </c>
      <c r="C16385" s="5" t="str">
        <f>IFERROR(__xludf.DUMMYFUNCTION("GOOGLETRANSLATE(B16385,""en"",""fr"")"),"La femme tourne alors que l'homme la conduit à travers la routine.")</f>
        <v>La femme tourne alors que l'homme la conduit à travers la routine.</v>
      </c>
    </row>
    <row r="16386">
      <c r="A16386" s="4" t="s">
        <v>20636</v>
      </c>
      <c r="B16386" s="4" t="s">
        <v>20639</v>
      </c>
      <c r="C16386" s="5" t="str">
        <f>IFERROR(__xludf.DUMMYFUNCTION("GOOGLETRANSLATE(B16386,""en"",""fr"")"),"Elle est ensuite élevée et se retourna à nouveau.")</f>
        <v>Elle est ensuite élevée et se retourna à nouveau.</v>
      </c>
    </row>
    <row r="16387">
      <c r="A16387" s="4" t="s">
        <v>20636</v>
      </c>
      <c r="B16387" s="6" t="s">
        <v>20640</v>
      </c>
      <c r="C16387" s="5" t="str">
        <f>IFERROR(__xludf.DUMMYFUNCTION("GOOGLETRANSLATE(B16387,""en"",""fr"")"),"Ils dansent très romantiquement et elle est tournée à plusieurs reprises avant d'être inversée par l'homme alors qu'ils continuent de danser.")</f>
        <v>Ils dansent très romantiquement et elle est tournée à plusieurs reprises avant d'être inversée par l'homme alors qu'ils continuent de danser.</v>
      </c>
    </row>
    <row r="16388">
      <c r="A16388" s="4" t="s">
        <v>20636</v>
      </c>
      <c r="B16388" s="4" t="s">
        <v>20641</v>
      </c>
      <c r="C16388" s="5" t="str">
        <f>IFERROR(__xludf.DUMMYFUNCTION("GOOGLETRANSLATE(B16388,""en"",""fr"")"),"Les deux danseurs se penchent et la routine se termine.")</f>
        <v>Les deux danseurs se penchent et la routine se termine.</v>
      </c>
    </row>
    <row r="16389">
      <c r="A16389" s="4" t="s">
        <v>20642</v>
      </c>
      <c r="B16389" s="4" t="s">
        <v>20643</v>
      </c>
      <c r="C16389" s="5" t="str">
        <f>IFERROR(__xludf.DUMMYFUNCTION("GOOGLETRANSLATE(B16389,""en"",""fr"")"),"Un lutteur est hissé sur les épaules d'un homme.")</f>
        <v>Un lutteur est hissé sur les épaules d'un homme.</v>
      </c>
    </row>
    <row r="16390">
      <c r="A16390" s="4" t="s">
        <v>20642</v>
      </c>
      <c r="B16390" s="4" t="s">
        <v>20644</v>
      </c>
      <c r="C16390" s="5" t="str">
        <f>IFERROR(__xludf.DUMMYFUNCTION("GOOGLETRANSLATE(B16390,""en"",""fr"")"),"L'homme jette le lutteur sur une table.")</f>
        <v>L'homme jette le lutteur sur une table.</v>
      </c>
    </row>
    <row r="16391">
      <c r="A16391" s="4" t="s">
        <v>20642</v>
      </c>
      <c r="B16391" s="4" t="s">
        <v>20645</v>
      </c>
      <c r="C16391" s="5" t="str">
        <f>IFERROR(__xludf.DUMMYFUNCTION("GOOGLETRANSLATE(B16391,""en"",""fr"")"),"L'autre homme hurle à haute voix.")</f>
        <v>L'autre homme hurle à haute voix.</v>
      </c>
    </row>
    <row r="16392">
      <c r="A16392" s="4" t="s">
        <v>20642</v>
      </c>
      <c r="B16392" s="4" t="s">
        <v>20646</v>
      </c>
      <c r="C16392" s="5" t="str">
        <f>IFERROR(__xludf.DUMMYFUNCTION("GOOGLETRANSLATE(B16392,""en"",""fr"")"),"L'un des autres hommes se dresse sur l'homme blessé.")</f>
        <v>L'un des autres hommes se dresse sur l'homme blessé.</v>
      </c>
    </row>
    <row r="16393">
      <c r="A16393" s="4" t="s">
        <v>20647</v>
      </c>
      <c r="B16393" s="4" t="s">
        <v>20648</v>
      </c>
      <c r="C16393" s="5" t="str">
        <f>IFERROR(__xludf.DUMMYFUNCTION("GOOGLETRANSLATE(B16393,""en"",""fr"")"),"Un groupe de garçons joue à un jeu de baby-foot avec des filles.")</f>
        <v>Un groupe de garçons joue à un jeu de baby-foot avec des filles.</v>
      </c>
    </row>
    <row r="16394">
      <c r="A16394" s="4" t="s">
        <v>20647</v>
      </c>
      <c r="B16394" s="4" t="s">
        <v>20649</v>
      </c>
      <c r="C16394" s="5" t="str">
        <f>IFERROR(__xludf.DUMMYFUNCTION("GOOGLETRANSLATE(B16394,""en"",""fr"")"),"Les deux groupes se tiennent de chaque côté de la machine.")</f>
        <v>Les deux groupes se tiennent de chaque côté de la machine.</v>
      </c>
    </row>
    <row r="16395">
      <c r="A16395" s="4" t="s">
        <v>20647</v>
      </c>
      <c r="B16395" s="4" t="s">
        <v>20650</v>
      </c>
      <c r="C16395" s="5" t="str">
        <f>IFERROR(__xludf.DUMMYFUNCTION("GOOGLETRANSLATE(B16395,""en"",""fr"")"),"Ils utilisent les petits hommes pour frapper le ballon d'avant en arrière.")</f>
        <v>Ils utilisent les petits hommes pour frapper le ballon d'avant en arrière.</v>
      </c>
    </row>
    <row r="16396">
      <c r="A16396" s="4" t="s">
        <v>20651</v>
      </c>
      <c r="B16396" s="4" t="s">
        <v>20652</v>
      </c>
      <c r="C16396" s="5" t="str">
        <f>IFERROR(__xludf.DUMMYFUNCTION("GOOGLETRANSLATE(B16396,""en"",""fr"")"),"Les adolescents concourent la planche à roulettes sur la route très rapidement.")</f>
        <v>Les adolescents concourent la planche à roulettes sur la route très rapidement.</v>
      </c>
    </row>
    <row r="16397">
      <c r="A16397" s="4" t="s">
        <v>20651</v>
      </c>
      <c r="B16397" s="4" t="s">
        <v>20653</v>
      </c>
      <c r="C16397" s="5" t="str">
        <f>IFERROR(__xludf.DUMMYFUNCTION("GOOGLETRANSLATE(B16397,""en"",""fr"")"),"Un adolescent tombe face vers le bas de son skateboard sur le sol.")</f>
        <v>Un adolescent tombe face vers le bas de son skateboard sur le sol.</v>
      </c>
    </row>
    <row r="16398">
      <c r="A16398" s="4" t="s">
        <v>20651</v>
      </c>
      <c r="B16398" s="4" t="s">
        <v>20654</v>
      </c>
      <c r="C16398" s="5" t="str">
        <f>IFERROR(__xludf.DUMMYFUNCTION("GOOGLETRANSLATE(B16398,""en"",""fr"")"),"Un autre adolescent tombe sur la route.")</f>
        <v>Un autre adolescent tombe sur la route.</v>
      </c>
    </row>
    <row r="16399">
      <c r="A16399" s="4" t="s">
        <v>20651</v>
      </c>
      <c r="B16399" s="4" t="s">
        <v>20655</v>
      </c>
      <c r="C16399" s="5" t="str">
        <f>IFERROR(__xludf.DUMMYFUNCTION("GOOGLETRANSLATE(B16399,""en"",""fr"")"),"D'autres adolescents continuent de patiner et certains sur eux tombent en patinant.")</f>
        <v>D'autres adolescents continuent de patiner et certains sur eux tombent en patinant.</v>
      </c>
    </row>
    <row r="16400">
      <c r="A16400" s="4" t="s">
        <v>20656</v>
      </c>
      <c r="B16400" s="4" t="s">
        <v>20657</v>
      </c>
      <c r="C16400" s="5" t="str">
        <f>IFERROR(__xludf.DUMMYFUNCTION("GOOGLETRANSLATE(B16400,""en"",""fr"")"),"Les gens font du vélo sur un circuit de piste cahoteux.")</f>
        <v>Les gens font du vélo sur un circuit de piste cahoteux.</v>
      </c>
    </row>
    <row r="16401">
      <c r="A16401" s="4" t="s">
        <v>20656</v>
      </c>
      <c r="B16401" s="4" t="s">
        <v>20658</v>
      </c>
      <c r="C16401" s="5" t="str">
        <f>IFERROR(__xludf.DUMMYFUNCTION("GOOGLETRANSLATE(B16401,""en"",""fr"")"),"Ensuite, ils arrivent à la ligne d'arrivée où les gens lavent la compétition.")</f>
        <v>Ensuite, ils arrivent à la ligne d'arrivée où les gens lavent la compétition.</v>
      </c>
    </row>
    <row r="16402">
      <c r="A16402" s="4" t="s">
        <v>20659</v>
      </c>
      <c r="B16402" s="6" t="s">
        <v>20660</v>
      </c>
      <c r="C16402" s="5" t="str">
        <f>IFERROR(__xludf.DUMMYFUNCTION("GOOGLETRANSLATE(B16402,""en"",""fr"")"),"Un grand groupe d'hommes coule dans un champ intérieur lorsque l'on marque un objectif et que le public applaudit.")</f>
        <v>Un grand groupe d'hommes coule dans un champ intérieur lorsque l'on marque un objectif et que le public applaudit.</v>
      </c>
    </row>
    <row r="16403">
      <c r="A16403" s="4" t="s">
        <v>20659</v>
      </c>
      <c r="B16403" s="4" t="s">
        <v>20661</v>
      </c>
      <c r="C16403" s="5" t="str">
        <f>IFERROR(__xludf.DUMMYFUNCTION("GOOGLETRANSLATE(B16403,""en"",""fr"")"),"Plusieurs autres coups de buts sont indiqués suivis par des tirs ralentis de chaque objectif.")</f>
        <v>Plusieurs autres coups de buts sont indiqués suivis par des tirs ralentis de chaque objectif.</v>
      </c>
    </row>
    <row r="16404">
      <c r="A16404" s="4" t="s">
        <v>20659</v>
      </c>
      <c r="B16404" s="6" t="s">
        <v>20662</v>
      </c>
      <c r="C16404" s="5" t="str">
        <f>IFERROR(__xludf.DUMMYFUNCTION("GOOGLETRANSLATE(B16404,""en"",""fr"")"),"Le gros plan des joueurs est montré et se termine par un groupe de joueurs tous étreignant et applaudissant les uns avec les autres.")</f>
        <v>Le gros plan des joueurs est montré et se termine par un groupe de joueurs tous étreignant et applaudissant les uns avec les autres.</v>
      </c>
    </row>
    <row r="16405">
      <c r="A16405" s="4" t="s">
        <v>20663</v>
      </c>
      <c r="B16405" s="4" t="s">
        <v>20664</v>
      </c>
      <c r="C16405" s="5" t="str">
        <f>IFERROR(__xludf.DUMMYFUNCTION("GOOGLETRANSLATE(B16405,""en"",""fr"")"),"Un garçon profite d'un cornet de crème glacée.")</f>
        <v>Un garçon profite d'un cornet de crème glacée.</v>
      </c>
    </row>
    <row r="16406">
      <c r="A16406" s="4" t="s">
        <v>20663</v>
      </c>
      <c r="B16406" s="4" t="s">
        <v>20665</v>
      </c>
      <c r="C16406" s="5" t="str">
        <f>IFERROR(__xludf.DUMMYFUNCTION("GOOGLETRANSLATE(B16406,""en"",""fr"")"),"Une fille mange des coups de langue et mange un cornet de crème glacée.")</f>
        <v>Une fille mange des coups de langue et mange un cornet de crème glacée.</v>
      </c>
    </row>
    <row r="16407">
      <c r="A16407" s="4" t="s">
        <v>20663</v>
      </c>
      <c r="B16407" s="4" t="s">
        <v>20666</v>
      </c>
      <c r="C16407" s="5" t="str">
        <f>IFERROR(__xludf.DUMMYFUNCTION("GOOGLETRANSLATE(B16407,""en"",""fr"")"),"Le garçon termine le cornet de crème glacée.")</f>
        <v>Le garçon termine le cornet de crème glacée.</v>
      </c>
    </row>
    <row r="16408">
      <c r="A16408" s="4" t="s">
        <v>20663</v>
      </c>
      <c r="B16408" s="4" t="s">
        <v>20667</v>
      </c>
      <c r="C16408" s="5" t="str">
        <f>IFERROR(__xludf.DUMMYFUNCTION("GOOGLETRANSLATE(B16408,""en"",""fr"")"),"La fille lèche légèrement le cornet de crème glacée.")</f>
        <v>La fille lèche légèrement le cornet de crème glacée.</v>
      </c>
    </row>
    <row r="16409">
      <c r="A16409" s="4" t="s">
        <v>20668</v>
      </c>
      <c r="B16409" s="6" t="s">
        <v>20669</v>
      </c>
      <c r="C16409" s="5" t="str">
        <f>IFERROR(__xludf.DUMMYFUNCTION("GOOGLETRANSLATE(B16409,""en"",""fr"")"),"Un tournoi de tir à l'arc commence et le montage montre les joueurs se cachant derrière Shields et tirant d'avant en arrière.")</f>
        <v>Un tournoi de tir à l'arc commence et le montage montre les joueurs se cachant derrière Shields et tirant d'avant en arrière.</v>
      </c>
    </row>
    <row r="16410">
      <c r="A16410" s="4" t="s">
        <v>20668</v>
      </c>
      <c r="B16410" s="4" t="s">
        <v>20670</v>
      </c>
      <c r="C16410" s="5" t="str">
        <f>IFERROR(__xludf.DUMMYFUNCTION("GOOGLETRANSLATE(B16410,""en"",""fr"")"),"Les parents des enfants sont montrés en regardant la bataille.")</f>
        <v>Les parents des enfants sont montrés en regardant la bataille.</v>
      </c>
    </row>
    <row r="16411">
      <c r="A16411" s="4" t="s">
        <v>20671</v>
      </c>
      <c r="B16411" s="4" t="s">
        <v>20672</v>
      </c>
      <c r="C16411" s="5" t="str">
        <f>IFERROR(__xludf.DUMMYFUNCTION("GOOGLETRANSLATE(B16411,""en"",""fr"")"),"Une fille saute sur un faisceau d'équilibre.")</f>
        <v>Une fille saute sur un faisceau d'équilibre.</v>
      </c>
    </row>
    <row r="16412">
      <c r="A16412" s="4" t="s">
        <v>20671</v>
      </c>
      <c r="B16412" s="4" t="s">
        <v>20673</v>
      </c>
      <c r="C16412" s="5" t="str">
        <f>IFERROR(__xludf.DUMMYFUNCTION("GOOGLETRANSLATE(B16412,""en"",""fr"")"),"Elle commence à faire une routine sur le faisceau d'équilibre.")</f>
        <v>Elle commence à faire une routine sur le faisceau d'équilibre.</v>
      </c>
    </row>
    <row r="16413">
      <c r="A16413" s="4" t="s">
        <v>20671</v>
      </c>
      <c r="B16413" s="4" t="s">
        <v>20674</v>
      </c>
      <c r="C16413" s="5" t="str">
        <f>IFERROR(__xludf.DUMMYFUNCTION("GOOGLETRANSLATE(B16413,""en"",""fr"")"),"Elle démonte et atterrit sur le tapis avec ses mains en l'air.")</f>
        <v>Elle démonte et atterrit sur le tapis avec ses mains en l'air.</v>
      </c>
    </row>
    <row r="16414">
      <c r="A16414" s="4" t="s">
        <v>20675</v>
      </c>
      <c r="B16414" s="4" t="s">
        <v>20676</v>
      </c>
      <c r="C16414" s="5" t="str">
        <f>IFERROR(__xludf.DUMMYFUNCTION("GOOGLETRANSLATE(B16414,""en"",""fr"")"),"Il y a une femme dansant sur scène devant un homme au début.")</f>
        <v>Il y a une femme dansant sur scène devant un homme au début.</v>
      </c>
    </row>
    <row r="16415">
      <c r="A16415" s="4" t="s">
        <v>20675</v>
      </c>
      <c r="B16415" s="4" t="s">
        <v>20677</v>
      </c>
      <c r="C16415" s="5" t="str">
        <f>IFERROR(__xludf.DUMMYFUNCTION("GOOGLETRANSLATE(B16415,""en"",""fr"")"),"Il y a beaucoup de femmes différentes qui font des mouvements de hip hop.")</f>
        <v>Il y a beaucoup de femmes différentes qui font des mouvements de hip hop.</v>
      </c>
    </row>
    <row r="16416">
      <c r="A16416" s="4" t="s">
        <v>20678</v>
      </c>
      <c r="B16416" s="4" t="s">
        <v>20679</v>
      </c>
      <c r="C16416" s="5" t="str">
        <f>IFERROR(__xludf.DUMMYFUNCTION("GOOGLETRANSLATE(B16416,""en"",""fr"")"),"Deux sumos se débattent férocement pendant qu'un juge les regarde.")</f>
        <v>Deux sumos se débattent férocement pendant qu'un juge les regarde.</v>
      </c>
    </row>
    <row r="16417">
      <c r="A16417" s="4" t="s">
        <v>20678</v>
      </c>
      <c r="B16417" s="4" t="s">
        <v>20680</v>
      </c>
      <c r="C16417" s="5" t="str">
        <f>IFERROR(__xludf.DUMMYFUNCTION("GOOGLETRANSLATE(B16417,""en"",""fr"")"),"Ensuite, le sumo portant un glissement noir poussé hors du ring l'autre sumo.")</f>
        <v>Ensuite, le sumo portant un glissement noir poussé hors du ring l'autre sumo.</v>
      </c>
    </row>
    <row r="16418">
      <c r="A16418" s="4" t="s">
        <v>20678</v>
      </c>
      <c r="B16418" s="4" t="s">
        <v>20681</v>
      </c>
      <c r="C16418" s="5" t="str">
        <f>IFERROR(__xludf.DUMMYFUNCTION("GOOGLETRANSLATE(B16418,""en"",""fr"")"),"Ensuite, deux sumo luttent et trébuchent avec le juge, l'un d'eux tombe.")</f>
        <v>Ensuite, deux sumo luttent et trébuchent avec le juge, l'un d'eux tombe.</v>
      </c>
    </row>
    <row r="16419">
      <c r="A16419" s="4" t="s">
        <v>20678</v>
      </c>
      <c r="B16419" s="4" t="s">
        <v>20682</v>
      </c>
      <c r="C16419" s="5" t="str">
        <f>IFERROR(__xludf.DUMMYFUNCTION("GOOGLETRANSLATE(B16419,""en"",""fr"")"),"Après, le sumosn continue de lutter et le sumo avec un slip noir tombe sur l'anneau.")</f>
        <v>Après, le sumosn continue de lutter et le sumo avec un slip noir tombe sur l'anneau.</v>
      </c>
    </row>
    <row r="16420">
      <c r="A16420" s="4" t="s">
        <v>20683</v>
      </c>
      <c r="B16420" s="4" t="s">
        <v>20684</v>
      </c>
      <c r="C16420" s="5" t="str">
        <f>IFERROR(__xludf.DUMMYFUNCTION("GOOGLETRANSLATE(B16420,""en"",""fr"")"),"Un homme est vu parler à la caméra tout en tenant un morceau de papier.")</f>
        <v>Un homme est vu parler à la caméra tout en tenant un morceau de papier.</v>
      </c>
    </row>
    <row r="16421">
      <c r="A16421" s="4" t="s">
        <v>20683</v>
      </c>
      <c r="B16421" s="4" t="s">
        <v>20685</v>
      </c>
      <c r="C16421" s="5" t="str">
        <f>IFERROR(__xludf.DUMMYFUNCTION("GOOGLETRANSLATE(B16421,""en"",""fr"")"),"L'homme tient également un rasoir et commence à écrire sur le journal.")</f>
        <v>L'homme tient également un rasoir et commence à écrire sur le journal.</v>
      </c>
    </row>
    <row r="16422">
      <c r="A16422" s="4" t="s">
        <v>20683</v>
      </c>
      <c r="B16422" s="4" t="s">
        <v>20686</v>
      </c>
      <c r="C16422" s="5" t="str">
        <f>IFERROR(__xludf.DUMMYFUNCTION("GOOGLETRANSLATE(B16422,""en"",""fr"")"),"L'homme est alors vu se raser le visage et se terminant par des crédits.")</f>
        <v>L'homme est alors vu se raser le visage et se terminant par des crédits.</v>
      </c>
    </row>
    <row r="16423">
      <c r="A16423" s="4" t="s">
        <v>20687</v>
      </c>
      <c r="B16423" s="4" t="s">
        <v>20688</v>
      </c>
      <c r="C16423" s="5" t="str">
        <f>IFERROR(__xludf.DUMMYFUNCTION("GOOGLETRANSLATE(B16423,""en"",""fr"")"),"Nous voyons une dame parler dans la salle de bain.")</f>
        <v>Nous voyons une dame parler dans la salle de bain.</v>
      </c>
    </row>
    <row r="16424">
      <c r="A16424" s="4" t="s">
        <v>20687</v>
      </c>
      <c r="B16424" s="4" t="s">
        <v>20689</v>
      </c>
      <c r="C16424" s="5" t="str">
        <f>IFERROR(__xludf.DUMMYFUNCTION("GOOGLETRANSLATE(B16424,""en"",""fr"")"),"Elle nous montre sa boîte à séchoir.")</f>
        <v>Elle nous montre sa boîte à séchoir.</v>
      </c>
    </row>
    <row r="16425">
      <c r="A16425" s="4" t="s">
        <v>20687</v>
      </c>
      <c r="B16425" s="4" t="s">
        <v>20690</v>
      </c>
      <c r="C16425" s="5" t="str">
        <f>IFERROR(__xludf.DUMMYFUNCTION("GOOGLETRANSLATE(B16425,""en"",""fr"")"),"Elle ramène la boîte de sèche-linge en vue.")</f>
        <v>Elle ramène la boîte de sèche-linge en vue.</v>
      </c>
    </row>
    <row r="16426">
      <c r="A16426" s="4" t="s">
        <v>20687</v>
      </c>
      <c r="B16426" s="4" t="s">
        <v>20691</v>
      </c>
      <c r="C16426" s="5" t="str">
        <f>IFERROR(__xludf.DUMMYFUNCTION("GOOGLETRANSLATE(B16426,""en"",""fr"")"),"La dame attrape et soulève ses cheveux.")</f>
        <v>La dame attrape et soulève ses cheveux.</v>
      </c>
    </row>
    <row r="16427">
      <c r="A16427" s="4" t="s">
        <v>20687</v>
      </c>
      <c r="B16427" s="4" t="s">
        <v>20692</v>
      </c>
      <c r="C16427" s="5" t="str">
        <f>IFERROR(__xludf.DUMMYFUNCTION("GOOGLETRANSLATE(B16427,""en"",""fr"")"),"La dame nous montre des accessoires de sécheuse et le sèche-linge.")</f>
        <v>La dame nous montre des accessoires de sécheuse et le sèche-linge.</v>
      </c>
    </row>
    <row r="16428">
      <c r="A16428" s="4" t="s">
        <v>20687</v>
      </c>
      <c r="B16428" s="4" t="s">
        <v>20693</v>
      </c>
      <c r="C16428" s="5" t="str">
        <f>IFERROR(__xludf.DUMMYFUNCTION("GOOGLETRANSLATE(B16428,""en"",""fr"")"),"Les brosses de dame entendent les cheveux et ajoutent des draps de souffle.")</f>
        <v>Les brosses de dame entendent les cheveux et ajoutent des draps de souffle.</v>
      </c>
    </row>
    <row r="16429">
      <c r="A16429" s="4" t="s">
        <v>20694</v>
      </c>
      <c r="B16429" s="6" t="s">
        <v>20695</v>
      </c>
      <c r="C16429" s="5" t="str">
        <f>IFERROR(__xludf.DUMMYFUNCTION("GOOGLETRANSLATE(B16429,""en"",""fr"")"),"Un gros plan d'un ordinateur est montré suivi d'un homme entrant dans le cadre et chantant dans le microphone.")</f>
        <v>Un gros plan d'un ordinateur est montré suivi d'un homme entrant dans le cadre et chantant dans le microphone.</v>
      </c>
    </row>
    <row r="16430">
      <c r="A16430" s="4" t="s">
        <v>20694</v>
      </c>
      <c r="B16430" s="4" t="s">
        <v>20696</v>
      </c>
      <c r="C16430" s="5" t="str">
        <f>IFERROR(__xludf.DUMMYFUNCTION("GOOGLETRANSLATE(B16430,""en"",""fr"")"),"L'homme continue de chanter tandis que la caméra le capture et s'estompe en noir à la fin.")</f>
        <v>L'homme continue de chanter tandis que la caméra le capture et s'estompe en noir à la fin.</v>
      </c>
    </row>
    <row r="16431">
      <c r="A16431" s="4" t="s">
        <v>20697</v>
      </c>
      <c r="B16431" s="4" t="s">
        <v>20698</v>
      </c>
      <c r="C16431" s="5" t="str">
        <f>IFERROR(__xludf.DUMMYFUNCTION("GOOGLETRANSLATE(B16431,""en"",""fr"")"),"Une vieille femme parle avant de courir dans un marathon où il y a beaucoup de gens.")</f>
        <v>Une vieille femme parle avant de courir dans un marathon où il y a beaucoup de gens.</v>
      </c>
    </row>
    <row r="16432">
      <c r="A16432" s="4" t="s">
        <v>20697</v>
      </c>
      <c r="B16432" s="4" t="s">
        <v>20699</v>
      </c>
      <c r="C16432" s="5" t="str">
        <f>IFERROR(__xludf.DUMMYFUNCTION("GOOGLETRANSLATE(B16432,""en"",""fr"")"),"Ensuite, la femme franchit la ligne d'arrivée et les gens l'aident.")</f>
        <v>Ensuite, la femme franchit la ligne d'arrivée et les gens l'aident.</v>
      </c>
    </row>
    <row r="16433">
      <c r="A16433" s="4" t="s">
        <v>20697</v>
      </c>
      <c r="B16433" s="4" t="s">
        <v>20700</v>
      </c>
      <c r="C16433" s="5" t="str">
        <f>IFERROR(__xludf.DUMMYFUNCTION("GOOGLETRANSLATE(B16433,""en"",""fr"")"),"Un caméraman filme sur la ligne d'arrivée en avant tandis que les gens arrivent.")</f>
        <v>Un caméraman filme sur la ligne d'arrivée en avant tandis que les gens arrivent.</v>
      </c>
    </row>
    <row r="16434">
      <c r="A16434" s="4" t="s">
        <v>20697</v>
      </c>
      <c r="B16434" s="4" t="s">
        <v>20701</v>
      </c>
      <c r="C16434" s="5" t="str">
        <f>IFERROR(__xludf.DUMMYFUNCTION("GOOGLETRANSLATE(B16434,""en"",""fr"")"),"Une femme lève les bras en traversant la ligne d'arrivée.")</f>
        <v>Une femme lève les bras en traversant la ligne d'arrivée.</v>
      </c>
    </row>
    <row r="16435">
      <c r="A16435" s="4" t="s">
        <v>20702</v>
      </c>
      <c r="B16435" s="4" t="s">
        <v>20703</v>
      </c>
      <c r="C16435" s="5" t="str">
        <f>IFERROR(__xludf.DUMMYFUNCTION("GOOGLETRANSLATE(B16435,""en"",""fr"")"),"Un très grand homme portant un speedo noir se tient dans une patinoire de lutte soufflant et soufflant.")</f>
        <v>Un très grand homme portant un speedo noir se tient dans une patinoire de lutte soufflant et soufflant.</v>
      </c>
    </row>
    <row r="16436">
      <c r="A16436" s="4" t="s">
        <v>20702</v>
      </c>
      <c r="B16436" s="6" t="s">
        <v>20704</v>
      </c>
      <c r="C16436" s="5" t="str">
        <f>IFERROR(__xludf.DUMMYFUNCTION("GOOGLETRANSLATE(B16436,""en"",""fr"")"),"Un arbitre passe devant l'homme, un homme du sol se lève et le très grand homme le frappe, le ramasse, puis le claque sur la patinoire.")</f>
        <v>Un arbitre passe devant l'homme, un homme du sol se lève et le très grand homme le frappe, le ramasse, puis le claque sur la patinoire.</v>
      </c>
    </row>
    <row r="16437">
      <c r="A16437" s="4" t="s">
        <v>20702</v>
      </c>
      <c r="B16437" s="4" t="s">
        <v>20705</v>
      </c>
      <c r="C16437" s="5" t="str">
        <f>IFERROR(__xludf.DUMMYFUNCTION("GOOGLETRANSLATE(B16437,""en"",""fr"")"),"L'homme est juste en train de se tordre de douleur.")</f>
        <v>L'homme est juste en train de se tordre de douleur.</v>
      </c>
    </row>
    <row r="16438">
      <c r="A16438" s="4" t="s">
        <v>20706</v>
      </c>
      <c r="B16438" s="6" t="s">
        <v>20707</v>
      </c>
      <c r="C16438" s="5" t="str">
        <f>IFERROR(__xludf.DUMMYFUNCTION("GOOGLETRANSLATE(B16438,""en"",""fr"")"),"Deux femmes sont vues les unes aux autres et les mènent en train de jouer des arts martiaux les uns contre les autres.")</f>
        <v>Deux femmes sont vues les unes aux autres et les mènent en train de jouer des arts martiaux les uns contre les autres.</v>
      </c>
    </row>
    <row r="16439">
      <c r="A16439" s="4" t="s">
        <v>20706</v>
      </c>
      <c r="B16439" s="6" t="s">
        <v>20708</v>
      </c>
      <c r="C16439" s="5" t="str">
        <f>IFERROR(__xludf.DUMMYFUNCTION("GOOGLETRANSLATE(B16439,""en"",""fr"")"),"Les filles continuent de se battre et mène à l'une assise tandis que l'autre continue de faire des mouvements.")</f>
        <v>Les filles continuent de se battre et mène à l'une assise tandis que l'autre continue de faire des mouvements.</v>
      </c>
    </row>
    <row r="16440">
      <c r="A16440" s="4" t="s">
        <v>20709</v>
      </c>
      <c r="B16440" s="4" t="s">
        <v>20710</v>
      </c>
      <c r="C16440" s="5" t="str">
        <f>IFERROR(__xludf.DUMMYFUNCTION("GOOGLETRANSLATE(B16440,""en"",""fr"")"),"Une fille en rouge sert le ballon à son amie lors d'un match de tennis en plein air.")</f>
        <v>Une fille en rouge sert le ballon à son amie lors d'un match de tennis en plein air.</v>
      </c>
    </row>
    <row r="16441">
      <c r="A16441" s="4" t="s">
        <v>20709</v>
      </c>
      <c r="B16441" s="4" t="s">
        <v>20711</v>
      </c>
      <c r="C16441" s="5" t="str">
        <f>IFERROR(__xludf.DUMMYFUNCTION("GOOGLETRANSLATE(B16441,""en"",""fr"")"),"L'ami renvoie le ballon et les deux jouent une ronde de tennis.")</f>
        <v>L'ami renvoie le ballon et les deux jouent une ronde de tennis.</v>
      </c>
    </row>
    <row r="16442">
      <c r="A16442" s="4" t="s">
        <v>20709</v>
      </c>
      <c r="B16442" s="4" t="s">
        <v>20712</v>
      </c>
      <c r="C16442" s="5" t="str">
        <f>IFERROR(__xludf.DUMMYFUNCTION("GOOGLETRANSLATE(B16442,""en"",""fr"")"),"Le ballon est dévié par le filet et le partenaire perd le tour.")</f>
        <v>Le ballon est dévié par le filet et le partenaire perd le tour.</v>
      </c>
    </row>
    <row r="16443">
      <c r="A16443" s="4" t="s">
        <v>20713</v>
      </c>
      <c r="B16443" s="4" t="s">
        <v>20714</v>
      </c>
      <c r="C16443" s="5" t="str">
        <f>IFERROR(__xludf.DUMMYFUNCTION("GOOGLETRANSLATE(B16443,""en"",""fr"")"),"Plusieurs hommes se tiennent sur une jetée.")</f>
        <v>Plusieurs hommes se tiennent sur une jetée.</v>
      </c>
    </row>
    <row r="16444">
      <c r="A16444" s="4" t="s">
        <v>20713</v>
      </c>
      <c r="B16444" s="4" t="s">
        <v>20715</v>
      </c>
      <c r="C16444" s="5" t="str">
        <f>IFERROR(__xludf.DUMMYFUNCTION("GOOGLETRANSLATE(B16444,""en"",""fr"")"),"L'un des hommes est torse nu.")</f>
        <v>L'un des hommes est torse nu.</v>
      </c>
    </row>
    <row r="16445">
      <c r="A16445" s="4" t="s">
        <v>20713</v>
      </c>
      <c r="B16445" s="4" t="s">
        <v>20716</v>
      </c>
      <c r="C16445" s="5" t="str">
        <f>IFERROR(__xludf.DUMMYFUNCTION("GOOGLETRANSLATE(B16445,""en"",""fr"")"),"Ils font ressortir de la viande crue.")</f>
        <v>Ils font ressortir de la viande crue.</v>
      </c>
    </row>
    <row r="16446">
      <c r="A16446" s="4" t="s">
        <v>20713</v>
      </c>
      <c r="B16446" s="4" t="s">
        <v>20717</v>
      </c>
      <c r="C16446" s="5" t="str">
        <f>IFERROR(__xludf.DUMMYFUNCTION("GOOGLETRANSLATE(B16446,""en"",""fr"")"),"L'un des hommes monte sur une planche et fait des tours.")</f>
        <v>L'un des hommes monte sur une planche et fait des tours.</v>
      </c>
    </row>
    <row r="16447">
      <c r="A16447" s="4" t="s">
        <v>20718</v>
      </c>
      <c r="B16447" s="4" t="s">
        <v>20719</v>
      </c>
      <c r="C16447" s="5" t="str">
        <f>IFERROR(__xludf.DUMMYFUNCTION("GOOGLETRANSLATE(B16447,""en"",""fr"")"),"Un groupe est assis sur des chevaux comme stand et se repost.")</f>
        <v>Un groupe est assis sur des chevaux comme stand et se repost.</v>
      </c>
    </row>
    <row r="16448">
      <c r="A16448" s="4" t="s">
        <v>20718</v>
      </c>
      <c r="B16448" s="4" t="s">
        <v>20720</v>
      </c>
      <c r="C16448" s="5" t="str">
        <f>IFERROR(__xludf.DUMMYFUNCTION("GOOGLETRANSLATE(B16448,""en"",""fr"")"),"Le groupe monte sur les chevaux le long d'un sentier.")</f>
        <v>Le groupe monte sur les chevaux le long d'un sentier.</v>
      </c>
    </row>
    <row r="16449">
      <c r="A16449" s="4" t="s">
        <v>20721</v>
      </c>
      <c r="B16449" s="4" t="s">
        <v>20722</v>
      </c>
      <c r="C16449" s="5" t="str">
        <f>IFERROR(__xludf.DUMMYFUNCTION("GOOGLETRANSLATE(B16449,""en"",""fr"")"),"Une femme est vue parler à la caméra ainsi qu'à d'autres personnes dans une voiture avec elle.")</f>
        <v>Une femme est vue parler à la caméra ainsi qu'à d'autres personnes dans une voiture avec elle.</v>
      </c>
    </row>
    <row r="16450">
      <c r="A16450" s="4" t="s">
        <v>20721</v>
      </c>
      <c r="B16450" s="4" t="s">
        <v>20723</v>
      </c>
      <c r="C16450" s="5" t="str">
        <f>IFERROR(__xludf.DUMMYFUNCTION("GOOGLETRANSLATE(B16450,""en"",""fr"")"),"Des photos d'elle et de son amie sont présentées à travers un cadre et les mènent en regardant des tatouages.")</f>
        <v>Des photos d'elle et de son amie sont présentées à travers un cadre et les mènent en regardant des tatouages.</v>
      </c>
    </row>
    <row r="16451">
      <c r="A16451" s="4" t="s">
        <v>20721</v>
      </c>
      <c r="B16451" s="6" t="s">
        <v>20724</v>
      </c>
      <c r="C16451" s="5" t="str">
        <f>IFERROR(__xludf.DUMMYFUNCTION("GOOGLETRANSLATE(B16451,""en"",""fr"")"),"On leur montre un chant dans la voiture et en attendant de se faire tatouer tout en parlant à la caméra.")</f>
        <v>On leur montre un chant dans la voiture et en attendant de se faire tatouer tout en parlant à la caméra.</v>
      </c>
    </row>
    <row r="16452">
      <c r="A16452" s="4" t="s">
        <v>20721</v>
      </c>
      <c r="B16452" s="6" t="s">
        <v>20725</v>
      </c>
      <c r="C16452" s="5" t="str">
        <f>IFERROR(__xludf.DUMMYFUNCTION("GOOGLETRANSLATE(B16452,""en"",""fr"")"),"Les filles sont ensuite montrées que les tatouages ​​se font et se terminent avec des photos de leurs tatouages ​​présentés.")</f>
        <v>Les filles sont ensuite montrées que les tatouages ​​se font et se terminent avec des photos de leurs tatouages ​​présentés.</v>
      </c>
    </row>
    <row r="16453">
      <c r="A16453" s="4" t="s">
        <v>20726</v>
      </c>
      <c r="B16453" s="4" t="s">
        <v>20727</v>
      </c>
      <c r="C16453" s="5" t="str">
        <f>IFERROR(__xludf.DUMMYFUNCTION("GOOGLETRANSLATE(B16453,""en"",""fr"")"),"Une femme portant une chemise rose et blanche et des collants noirs se tient dans sa cour avant.")</f>
        <v>Une femme portant une chemise rose et blanche et des collants noirs se tient dans sa cour avant.</v>
      </c>
    </row>
    <row r="16454">
      <c r="A16454" s="4" t="s">
        <v>20726</v>
      </c>
      <c r="B16454" s="4" t="s">
        <v>20728</v>
      </c>
      <c r="C16454" s="5" t="str">
        <f>IFERROR(__xludf.DUMMYFUNCTION("GOOGLETRANSLATE(B16454,""en"",""fr"")"),"Elle tient deux matraques en elle et les fait tournoyer.")</f>
        <v>Elle tient deux matraques en elle et les fait tournoyer.</v>
      </c>
    </row>
    <row r="16455">
      <c r="A16455" s="4" t="s">
        <v>20726</v>
      </c>
      <c r="B16455" s="4" t="s">
        <v>20729</v>
      </c>
      <c r="C16455" s="5" t="str">
        <f>IFERROR(__xludf.DUMMYFUNCTION("GOOGLETRANSLATE(B16455,""en"",""fr"")"),"Elle tourbillonne son corps et se retourne plusieurs fois alors qu'elle tourbillonne les matraques dans ses deux mains.")</f>
        <v>Elle tourbillonne son corps et se retourne plusieurs fois alors qu'elle tourbillonne les matraques dans ses deux mains.</v>
      </c>
    </row>
    <row r="16456">
      <c r="A16456" s="4" t="s">
        <v>20726</v>
      </c>
      <c r="B16456" s="4" t="s">
        <v>20730</v>
      </c>
      <c r="C16456" s="5" t="str">
        <f>IFERROR(__xludf.DUMMYFUNCTION("GOOGLETRANSLATE(B16456,""en"",""fr"")"),"Elle bouge également son pied d'avant en arrière et marche et soulève son pied alors qu'elle tourbillonne.")</f>
        <v>Elle bouge également son pied d'avant en arrière et marche et soulève son pied alors qu'elle tourbillonne.</v>
      </c>
    </row>
    <row r="16457">
      <c r="A16457" s="4" t="s">
        <v>20726</v>
      </c>
      <c r="B16457" s="4" t="s">
        <v>20731</v>
      </c>
      <c r="C16457" s="5" t="str">
        <f>IFERROR(__xludf.DUMMYFUNCTION("GOOGLETRANSLATE(B16457,""en"",""fr"")"),"Elle jette ensuite le bâton sous sa jambe et l'attrape avec son autre main.")</f>
        <v>Elle jette ensuite le bâton sous sa jambe et l'attrape avec son autre main.</v>
      </c>
    </row>
    <row r="16458">
      <c r="A16458" s="4" t="s">
        <v>20726</v>
      </c>
      <c r="B16458" s="4" t="s">
        <v>20732</v>
      </c>
      <c r="C16458" s="5" t="str">
        <f>IFERROR(__xludf.DUMMYFUNCTION("GOOGLETRANSLATE(B16458,""en"",""fr"")"),"Elle continue de faire tournoyer le bâton près d'un arbre ombragé.")</f>
        <v>Elle continue de faire tournoyer le bâton près d'un arbre ombragé.</v>
      </c>
    </row>
    <row r="16459">
      <c r="A16459" s="4" t="s">
        <v>20726</v>
      </c>
      <c r="B16459" s="4" t="s">
        <v>20733</v>
      </c>
      <c r="C16459" s="5" t="str">
        <f>IFERROR(__xludf.DUMMYFUNCTION("GOOGLETRANSLATE(B16459,""en"",""fr"")"),"Elle tourne tout son corps alors qu'elle tournoie les matraques.")</f>
        <v>Elle tourne tout son corps alors qu'elle tournoie les matraques.</v>
      </c>
    </row>
    <row r="16460">
      <c r="A16460" s="4" t="s">
        <v>20726</v>
      </c>
      <c r="B16460" s="4" t="s">
        <v>20734</v>
      </c>
      <c r="C16460" s="5" t="str">
        <f>IFERROR(__xludf.DUMMYFUNCTION("GOOGLETRANSLATE(B16460,""en"",""fr"")"),"Elle s'incline finalement et tient le bâton droit dans sa main.")</f>
        <v>Elle s'incline finalement et tient le bâton droit dans sa main.</v>
      </c>
    </row>
    <row r="16461">
      <c r="A16461" s="4" t="s">
        <v>20735</v>
      </c>
      <c r="B16461" s="4" t="s">
        <v>20736</v>
      </c>
      <c r="C16461" s="5" t="str">
        <f>IFERROR(__xludf.DUMMYFUNCTION("GOOGLETRANSLATE(B16461,""en"",""fr"")"),"Nous voyons de l'eau couler sur une rivière.")</f>
        <v>Nous voyons de l'eau couler sur une rivière.</v>
      </c>
    </row>
    <row r="16462">
      <c r="A16462" s="4" t="s">
        <v>20735</v>
      </c>
      <c r="B16462" s="4" t="s">
        <v>20737</v>
      </c>
      <c r="C16462" s="5" t="str">
        <f>IFERROR(__xludf.DUMMYFUNCTION("GOOGLETRANSLATE(B16462,""en"",""fr"")"),"Un titre apparaît à l'écran.")</f>
        <v>Un titre apparaît à l'écran.</v>
      </c>
    </row>
    <row r="16463">
      <c r="A16463" s="4" t="s">
        <v>20735</v>
      </c>
      <c r="B16463" s="4" t="s">
        <v>20738</v>
      </c>
      <c r="C16463" s="5" t="str">
        <f>IFERROR(__xludf.DUMMYFUNCTION("GOOGLETRANSLATE(B16463,""en"",""fr"")"),"Une personne en canoë passe sur la cascade.")</f>
        <v>Une personne en canoë passe sur la cascade.</v>
      </c>
    </row>
    <row r="16464">
      <c r="A16464" s="4" t="s">
        <v>20735</v>
      </c>
      <c r="B16464" s="4" t="s">
        <v>20739</v>
      </c>
      <c r="C16464" s="5" t="str">
        <f>IFERROR(__xludf.DUMMYFUNCTION("GOOGLETRANSLATE(B16464,""en"",""fr"")"),"La personne chevauche les rapides de la rivière.")</f>
        <v>La personne chevauche les rapides de la rivière.</v>
      </c>
    </row>
    <row r="16465">
      <c r="A16465" s="4" t="s">
        <v>20735</v>
      </c>
      <c r="B16465" s="4" t="s">
        <v>20740</v>
      </c>
      <c r="C16465" s="5" t="str">
        <f>IFERROR(__xludf.DUMMYFUNCTION("GOOGLETRANSLATE(B16465,""en"",""fr"")"),"Nous voyons des gens sur un rocher sur la rivière en regardant le canoer.")</f>
        <v>Nous voyons des gens sur un rocher sur la rivière en regardant le canoer.</v>
      </c>
    </row>
    <row r="16466">
      <c r="A16466" s="4" t="s">
        <v>20735</v>
      </c>
      <c r="B16466" s="4" t="s">
        <v>20741</v>
      </c>
      <c r="C16466" s="5" t="str">
        <f>IFERROR(__xludf.DUMMYFUNCTION("GOOGLETRANSLATE(B16466,""en"",""fr"")"),"La personne en canoë sourit et parle à la caméra.")</f>
        <v>La personne en canoë sourit et parle à la caméra.</v>
      </c>
    </row>
    <row r="16467">
      <c r="A16467" s="4" t="s">
        <v>20742</v>
      </c>
      <c r="B16467" s="6" t="s">
        <v>20743</v>
      </c>
      <c r="C16467" s="5" t="str">
        <f>IFERROR(__xludf.DUMMYFUNCTION("GOOGLETRANSLATE(B16467,""en"",""fr"")"),"Un gros plan de pneus est montré suivi par un homme travaillant sur un pneu ainsi qu'à l'interview à la caméra.")</f>
        <v>Un gros plan de pneus est montré suivi par un homme travaillant sur un pneu ainsi qu'à l'interview à la caméra.</v>
      </c>
    </row>
    <row r="16468">
      <c r="A16468" s="4" t="s">
        <v>20742</v>
      </c>
      <c r="B16468" s="6" t="s">
        <v>20744</v>
      </c>
      <c r="C16468" s="5" t="str">
        <f>IFERROR(__xludf.DUMMYFUNCTION("GOOGLETRANSLATE(B16468,""en"",""fr"")"),"La caméra capture l'outil sur les pneus sous plusieurs angles et soulevait la voiture pour travailler en dessous.")</f>
        <v>La caméra capture l'outil sur les pneus sous plusieurs angles et soulevait la voiture pour travailler en dessous.</v>
      </c>
    </row>
    <row r="16469">
      <c r="A16469" s="4" t="s">
        <v>20742</v>
      </c>
      <c r="B16469" s="6" t="s">
        <v>20745</v>
      </c>
      <c r="C16469" s="5" t="str">
        <f>IFERROR(__xludf.DUMMYFUNCTION("GOOGLETRANSLATE(B16469,""en"",""fr"")"),"Plus de photos des hommes travaillant comme indiqué que l'on parle de la caméra et se termine en s'estompant vers le blanc.")</f>
        <v>Plus de photos des hommes travaillant comme indiqué que l'on parle de la caméra et se termine en s'estompant vers le blanc.</v>
      </c>
    </row>
    <row r="16470">
      <c r="A16470" s="4" t="s">
        <v>20746</v>
      </c>
      <c r="B16470" s="6" t="s">
        <v>20747</v>
      </c>
      <c r="C16470" s="5" t="str">
        <f>IFERROR(__xludf.DUMMYFUNCTION("GOOGLETRANSLATE(B16470,""en"",""fr"")"),"Un homme et une femme portant des vestes rouges, l'homme applaudissait, tandis que la femme prend une vidéo en utilisant son iPad, elle a un regard très sérieux sur son visage, la femme a remis l'iPad à l'homme.")</f>
        <v>Un homme et une femme portant des vestes rouges, l'homme applaudissait, tandis que la femme prend une vidéo en utilisant son iPad, elle a un regard très sérieux sur son visage, la femme a remis l'iPad à l'homme.</v>
      </c>
    </row>
    <row r="16471">
      <c r="A16471" s="4" t="s">
        <v>20746</v>
      </c>
      <c r="B16471" s="6" t="s">
        <v>20748</v>
      </c>
      <c r="C16471" s="5" t="str">
        <f>IFERROR(__xludf.DUMMYFUNCTION("GOOGLETRANSLATE(B16471,""en"",""fr"")"),"Une femme ramasse un poteau, le mettant à l'intérieur du plus gros poteau, un homme en veste bleue leva les yeux du sol.")</f>
        <v>Une femme ramasse un poteau, le mettant à l'intérieur du plus gros poteau, un homme en veste bleue leva les yeux du sol.</v>
      </c>
    </row>
    <row r="16472">
      <c r="A16472" s="4" t="s">
        <v>20746</v>
      </c>
      <c r="B16472" s="6" t="s">
        <v>20749</v>
      </c>
      <c r="C16472" s="5" t="str">
        <f>IFERROR(__xludf.DUMMYFUNCTION("GOOGLETRANSLATE(B16472,""en"",""fr"")"),"Un athlète masculin portant un haut rouge et bleu, des shorts bleus se sont courus, ont sauté et ont sauté, il est tombé sur le sable n ° 18, puis s'est levé autour de l'herbe et du terrain vers le groupe de personnes.")</f>
        <v>Un athlète masculin portant un haut rouge et bleu, des shorts bleus se sont courus, ont sauté et ont sauté, il est tombé sur le sable n ° 18, puis s'est levé autour de l'herbe et du terrain vers le groupe de personnes.</v>
      </c>
    </row>
    <row r="16473">
      <c r="A16473" s="4" t="s">
        <v>20746</v>
      </c>
      <c r="B16473" s="6" t="s">
        <v>20750</v>
      </c>
      <c r="C16473" s="5" t="str">
        <f>IFERROR(__xludf.DUMMYFUNCTION("GOOGLETRANSLATE(B16473,""en"",""fr"")"),"Un athlète masculin portant un haut bleu a couru vers la voie, a commencé à sauter après avoir passé la ligne blanche et a sauté sur le sable, a frappé le sol de sable puis s'est levé, puis s'est dirigé vers le terrain de la piste.")</f>
        <v>Un athlète masculin portant un haut bleu a couru vers la voie, a commencé à sauter après avoir passé la ligne blanche et a sauté sur le sable, a frappé le sol de sable puis s'est levé, puis s'est dirigé vers le terrain de la piste.</v>
      </c>
    </row>
    <row r="16474">
      <c r="A16474" s="4" t="s">
        <v>20746</v>
      </c>
      <c r="B16474" s="6" t="s">
        <v>20751</v>
      </c>
      <c r="C16474" s="5" t="str">
        <f>IFERROR(__xludf.DUMMYFUNCTION("GOOGLETRANSLATE(B16474,""en"",""fr"")"),"Un athlète masculin en uniforme rouge et bleu a commencé à courir sur le terrain, a sauté en passant la ligne blanche puis a sauté vers le lit de Sandy Ground, il a frappé le sol, est tombé sur le côté et s'est levé et s'est dirigé vers le champ.")</f>
        <v>Un athlète masculin en uniforme rouge et bleu a commencé à courir sur le terrain, a sauté en passant la ligne blanche puis a sauté vers le lit de Sandy Ground, il a frappé le sol, est tombé sur le côté et s'est levé et s'est dirigé vers le champ.</v>
      </c>
    </row>
    <row r="16475">
      <c r="A16475" s="4" t="s">
        <v>20746</v>
      </c>
      <c r="B16475" s="4" t="s">
        <v>20752</v>
      </c>
      <c r="C16475" s="5" t="str">
        <f>IFERROR(__xludf.DUMMYFUNCTION("GOOGLETRANSLATE(B16475,""en"",""fr"")"),"Une femme en haut rouge est montrée.")</f>
        <v>Une femme en haut rouge est montrée.</v>
      </c>
    </row>
    <row r="16476">
      <c r="A16476" s="4" t="s">
        <v>20753</v>
      </c>
      <c r="B16476" s="6" t="s">
        <v>20754</v>
      </c>
      <c r="C16476" s="5" t="str">
        <f>IFERROR(__xludf.DUMMYFUNCTION("GOOGLETRANSLATE(B16476,""en"",""fr"")"),"Une femme est assise sur un lit d'hôpital avec une poignée de rasoir dans sa bouche et les gens autour d'elle déplacent ses cheveux de son visage.")</f>
        <v>Une femme est assise sur un lit d'hôpital avec une poignée de rasoir dans sa bouche et les gens autour d'elle déplacent ses cheveux de son visage.</v>
      </c>
    </row>
    <row r="16477">
      <c r="A16477" s="4" t="s">
        <v>20753</v>
      </c>
      <c r="B16477" s="6" t="s">
        <v>20755</v>
      </c>
      <c r="C16477" s="5" t="str">
        <f>IFERROR(__xludf.DUMMYFUNCTION("GOOGLETRANSLATE(B16477,""en"",""fr"")"),"La femme commence alors à tirer le rasoir de haut en bas de la partie de sa jambe gauche qu'elle peut atteindre avec son virage.")</f>
        <v>La femme commence alors à tirer le rasoir de haut en bas de la partie de sa jambe gauche qu'elle peut atteindre avec son virage.</v>
      </c>
    </row>
    <row r="16478">
      <c r="A16478" s="4" t="s">
        <v>20753</v>
      </c>
      <c r="B16478" s="6" t="s">
        <v>20756</v>
      </c>
      <c r="C16478" s="5" t="str">
        <f>IFERROR(__xludf.DUMMYFUNCTION("GOOGLETRANSLATE(B16478,""en"",""fr"")"),"La femme attrape ensuite le rasoir de sa bouche avec sa main droite et commence à se raser la jambe gauche.")</f>
        <v>La femme attrape ensuite le rasoir de sa bouche avec sa main droite et commence à se raser la jambe gauche.</v>
      </c>
    </row>
    <row r="16479">
      <c r="A16479" s="4" t="s">
        <v>20753</v>
      </c>
      <c r="B16479" s="6" t="s">
        <v>20757</v>
      </c>
      <c r="C16479" s="5" t="str">
        <f>IFERROR(__xludf.DUMMYFUNCTION("GOOGLETRANSLATE(B16479,""en"",""fr"")"),"La femme met la poignée de rasoir dans sa bouche et essaie de se raser à nouveau mais elle tombe de sa bouche et elle laisse tomber la tête de frustration puis se penche sur le lit, rit, puis croise les bras.")</f>
        <v>La femme met la poignée de rasoir dans sa bouche et essaie de se raser à nouveau mais elle tombe de sa bouche et elle laisse tomber la tête de frustration puis se penche sur le lit, rit, puis croise les bras.</v>
      </c>
    </row>
    <row r="16480">
      <c r="A16480" s="4" t="s">
        <v>20758</v>
      </c>
      <c r="B16480" s="4" t="s">
        <v>20759</v>
      </c>
      <c r="C16480" s="5" t="str">
        <f>IFERROR(__xludf.DUMMYFUNCTION("GOOGLETRANSLATE(B16480,""en"",""fr"")"),"Un homme en chapeau noir se tient dans la rue.")</f>
        <v>Un homme en chapeau noir se tient dans la rue.</v>
      </c>
    </row>
    <row r="16481">
      <c r="A16481" s="4" t="s">
        <v>20758</v>
      </c>
      <c r="B16481" s="4" t="s">
        <v>20760</v>
      </c>
      <c r="C16481" s="5" t="str">
        <f>IFERROR(__xludf.DUMMYFUNCTION("GOOGLETRANSLATE(B16481,""en"",""fr"")"),"Une personne commence à danser dans la rue.")</f>
        <v>Une personne commence à danser dans la rue.</v>
      </c>
    </row>
    <row r="16482">
      <c r="A16482" s="4" t="s">
        <v>20758</v>
      </c>
      <c r="B16482" s="4" t="s">
        <v>20761</v>
      </c>
      <c r="C16482" s="5" t="str">
        <f>IFERROR(__xludf.DUMMYFUNCTION("GOOGLETRANSLATE(B16482,""en"",""fr"")"),"Un homme commence à faire une pause dansant devant une voiture.")</f>
        <v>Un homme commence à faire une pause dansant devant une voiture.</v>
      </c>
    </row>
    <row r="16483">
      <c r="A16483" s="4" t="s">
        <v>20762</v>
      </c>
      <c r="B16483" s="4" t="s">
        <v>20763</v>
      </c>
      <c r="C16483" s="5" t="str">
        <f>IFERROR(__xludf.DUMMYFUNCTION("GOOGLETRANSLATE(B16483,""en"",""fr"")"),"Un homme portant des lunettes tient un livre et parle.")</f>
        <v>Un homme portant des lunettes tient un livre et parle.</v>
      </c>
    </row>
    <row r="16484">
      <c r="A16484" s="4" t="s">
        <v>20762</v>
      </c>
      <c r="B16484" s="4" t="s">
        <v>20764</v>
      </c>
      <c r="C16484" s="5" t="str">
        <f>IFERROR(__xludf.DUMMYFUNCTION("GOOGLETRANSLATE(B16484,""en"",""fr"")"),"Il est montré entrant dans un bowling.")</f>
        <v>Il est montré entrant dans un bowling.</v>
      </c>
    </row>
    <row r="16485">
      <c r="A16485" s="4" t="s">
        <v>20762</v>
      </c>
      <c r="B16485" s="4" t="s">
        <v>20765</v>
      </c>
      <c r="C16485" s="5" t="str">
        <f>IFERROR(__xludf.DUMMYFUNCTION("GOOGLETRANSLATE(B16485,""en"",""fr"")"),"L'homme interviewe les joueurs et les rejoint dans un jeu de bowling.")</f>
        <v>L'homme interviewe les joueurs et les rejoint dans un jeu de bowling.</v>
      </c>
    </row>
    <row r="16486">
      <c r="A16486" s="4" t="s">
        <v>20762</v>
      </c>
      <c r="B16486" s="4" t="s">
        <v>20766</v>
      </c>
      <c r="C16486" s="5" t="str">
        <f>IFERROR(__xludf.DUMMYFUNCTION("GOOGLETRANSLATE(B16486,""en"",""fr"")"),"Un joueur explique les techniques qu'il utilise.")</f>
        <v>Un joueur explique les techniques qu'il utilise.</v>
      </c>
    </row>
    <row r="16487">
      <c r="A16487" s="4" t="s">
        <v>20767</v>
      </c>
      <c r="B16487" s="4" t="s">
        <v>20768</v>
      </c>
      <c r="C16487" s="5" t="str">
        <f>IFERROR(__xludf.DUMMYFUNCTION("GOOGLETRANSLATE(B16487,""en"",""fr"")"),"Une personne pagaye sur une rivière dans un canoë.")</f>
        <v>Une personne pagaye sur une rivière dans un canoë.</v>
      </c>
    </row>
    <row r="16488">
      <c r="A16488" s="4" t="s">
        <v>20767</v>
      </c>
      <c r="B16488" s="4" t="s">
        <v>20769</v>
      </c>
      <c r="C16488" s="5" t="str">
        <f>IFERROR(__xludf.DUMMYFUNCTION("GOOGLETRANSLATE(B16488,""en"",""fr"")"),"La personne se retourne et regarde en arrière.")</f>
        <v>La personne se retourne et regarde en arrière.</v>
      </c>
    </row>
    <row r="16489">
      <c r="A16489" s="4" t="s">
        <v>20770</v>
      </c>
      <c r="B16489" s="4" t="s">
        <v>20771</v>
      </c>
      <c r="C16489" s="5" t="str">
        <f>IFERROR(__xludf.DUMMYFUNCTION("GOOGLETRANSLATE(B16489,""en"",""fr"")"),"Un homme est vu parler à la caméra tout en tenant un instrument.")</f>
        <v>Un homme est vu parler à la caméra tout en tenant un instrument.</v>
      </c>
    </row>
    <row r="16490">
      <c r="A16490" s="4" t="s">
        <v>20770</v>
      </c>
      <c r="B16490" s="4" t="s">
        <v>20772</v>
      </c>
      <c r="C16490" s="5" t="str">
        <f>IFERROR(__xludf.DUMMYFUNCTION("GOOGLETRANSLATE(B16490,""en"",""fr"")"),"L'homme commence alors à jouer de l'instrument devant la caméra.")</f>
        <v>L'homme commence alors à jouer de l'instrument devant la caméra.</v>
      </c>
    </row>
    <row r="16491">
      <c r="A16491" s="4" t="s">
        <v>20770</v>
      </c>
      <c r="B16491" s="4" t="s">
        <v>20773</v>
      </c>
      <c r="C16491" s="5" t="str">
        <f>IFERROR(__xludf.DUMMYFUNCTION("GOOGLETRANSLATE(B16491,""en"",""fr"")"),"L'homme continue de jouer l'instrument et s'arrête pour regarder la caméra.")</f>
        <v>L'homme continue de jouer l'instrument et s'arrête pour regarder la caméra.</v>
      </c>
    </row>
    <row r="16492">
      <c r="A16492" s="4" t="s">
        <v>20774</v>
      </c>
      <c r="B16492" s="4" t="s">
        <v>20775</v>
      </c>
      <c r="C16492" s="5" t="str">
        <f>IFERROR(__xludf.DUMMYFUNCTION("GOOGLETRANSLATE(B16492,""en"",""fr"")"),"Un chien est proche de la caméra, jouez à se battre avec un autre chien.")</f>
        <v>Un chien est proche de la caméra, jouez à se battre avec un autre chien.</v>
      </c>
    </row>
    <row r="16493">
      <c r="A16493" s="4" t="s">
        <v>20774</v>
      </c>
      <c r="B16493" s="4" t="s">
        <v>20776</v>
      </c>
      <c r="C16493" s="5" t="str">
        <f>IFERROR(__xludf.DUMMYFUNCTION("GOOGLETRANSLATE(B16493,""en"",""fr"")"),"Ils sautent des genoux d'un homme, puis reviennent alors qu'ils continuent de jouer.")</f>
        <v>Ils sautent des genoux d'un homme, puis reviennent alors qu'ils continuent de jouer.</v>
      </c>
    </row>
    <row r="16494">
      <c r="A16494" s="4" t="s">
        <v>20774</v>
      </c>
      <c r="B16494" s="4" t="s">
        <v>20777</v>
      </c>
      <c r="C16494" s="5" t="str">
        <f>IFERROR(__xludf.DUMMYFUNCTION("GOOGLETRANSLATE(B16494,""en"",""fr"")"),"L'homme remet ses lunettes pendant que les chiens se calment et se couchaient sur ses genoux.")</f>
        <v>L'homme remet ses lunettes pendant que les chiens se calment et se couchaient sur ses genoux.</v>
      </c>
    </row>
    <row r="16495">
      <c r="A16495" s="4" t="s">
        <v>20778</v>
      </c>
      <c r="B16495" s="4" t="s">
        <v>20779</v>
      </c>
      <c r="C16495" s="5" t="str">
        <f>IFERROR(__xludf.DUMMYFUNCTION("GOOGLETRANSLATE(B16495,""en"",""fr"")"),"À l'intérieur d'un homme et d'une femme jouent à un jeu de ballon RAaquet.")</f>
        <v>À l'intérieur d'un homme et d'une femme jouent à un jeu de ballon RAaquet.</v>
      </c>
    </row>
    <row r="16496">
      <c r="A16496" s="4" t="s">
        <v>20778</v>
      </c>
      <c r="B16496" s="4" t="s">
        <v>20780</v>
      </c>
      <c r="C16496" s="5" t="str">
        <f>IFERROR(__xludf.DUMMYFUNCTION("GOOGLETRANSLATE(B16496,""en"",""fr"")"),"Elle commence à en parler un peu très causale.")</f>
        <v>Elle commence à en parler un peu très causale.</v>
      </c>
    </row>
    <row r="16497">
      <c r="A16497" s="4" t="s">
        <v>20778</v>
      </c>
      <c r="B16497" s="4" t="s">
        <v>20781</v>
      </c>
      <c r="C16497" s="5" t="str">
        <f>IFERROR(__xludf.DUMMYFUNCTION("GOOGLETRANSLATE(B16497,""en"",""fr"")"),"Ensuite, elle va s'entraîner à la frapper seule un peu.")</f>
        <v>Ensuite, elle va s'entraîner à la frapper seule un peu.</v>
      </c>
    </row>
    <row r="16498">
      <c r="A16498" s="4" t="s">
        <v>20778</v>
      </c>
      <c r="B16498" s="4" t="s">
        <v>20782</v>
      </c>
      <c r="C16498" s="5" t="str">
        <f>IFERROR(__xludf.DUMMYFUNCTION("GOOGLETRANSLATE(B16498,""en"",""fr"")"),"C'est un jeu qu'elle aime vraiment jouer, c'est un passe-temps.")</f>
        <v>C'est un jeu qu'elle aime vraiment jouer, c'est un passe-temps.</v>
      </c>
    </row>
    <row r="16499">
      <c r="A16499" s="4" t="s">
        <v>20783</v>
      </c>
      <c r="B16499" s="4" t="s">
        <v>20784</v>
      </c>
      <c r="C16499" s="5" t="str">
        <f>IFERROR(__xludf.DUMMYFUNCTION("GOOGLETRANSLATE(B16499,""en"",""fr"")"),"Une vidéo montre comment faire du toast au curry.")</f>
        <v>Une vidéo montre comment faire du toast au curry.</v>
      </c>
    </row>
    <row r="16500">
      <c r="A16500" s="4" t="s">
        <v>20783</v>
      </c>
      <c r="B16500" s="4" t="s">
        <v>20785</v>
      </c>
      <c r="C16500" s="5" t="str">
        <f>IFERROR(__xludf.DUMMYFUNCTION("GOOGLETRANSLATE(B16500,""en"",""fr"")"),"Le curry est dans une casserole et le pain et le beurre sont sur un plateau.")</f>
        <v>Le curry est dans une casserole et le pain et le beurre sont sur un plateau.</v>
      </c>
    </row>
    <row r="16501">
      <c r="A16501" s="4" t="s">
        <v>20783</v>
      </c>
      <c r="B16501" s="4" t="s">
        <v>20786</v>
      </c>
      <c r="C16501" s="5" t="str">
        <f>IFERROR(__xludf.DUMMYFUNCTION("GOOGLETRANSLATE(B16501,""en"",""fr"")"),"L'homme applique le beurre, puis le curry au pain avant de le griller.")</f>
        <v>L'homme applique le beurre, puis le curry au pain avant de le griller.</v>
      </c>
    </row>
    <row r="16502">
      <c r="A16502" s="4" t="s">
        <v>20783</v>
      </c>
      <c r="B16502" s="4" t="s">
        <v>20787</v>
      </c>
      <c r="C16502" s="5" t="str">
        <f>IFERROR(__xludf.DUMMYFUNCTION("GOOGLETRANSLATE(B16502,""en"",""fr"")"),"Une charicature de dessin animé d'une personne bâton danse à la fin.")</f>
        <v>Une charicature de dessin animé d'une personne bâton danse à la fin.</v>
      </c>
    </row>
    <row r="16503">
      <c r="A16503" s="4" t="s">
        <v>20788</v>
      </c>
      <c r="B16503" s="4" t="s">
        <v>20789</v>
      </c>
      <c r="C16503" s="5" t="str">
        <f>IFERROR(__xludf.DUMMYFUNCTION("GOOGLETRANSLATE(B16503,""en"",""fr"")"),"Aux Jeux olympiques de 2008, un homme se prépare à soulever une haltère chargée.")</f>
        <v>Aux Jeux olympiques de 2008, un homme se prépare à soulever une haltère chargée.</v>
      </c>
    </row>
    <row r="16504">
      <c r="A16504" s="4" t="s">
        <v>20788</v>
      </c>
      <c r="B16504" s="4" t="s">
        <v>20790</v>
      </c>
      <c r="C16504" s="5" t="str">
        <f>IFERROR(__xludf.DUMMYFUNCTION("GOOGLETRANSLATE(B16504,""en"",""fr"")"),"Il se penche et se fraye un chemin avec de grands efforts, levant finalement l'haltère au-dessus de sa tête.")</f>
        <v>Il se penche et se fraye un chemin avec de grands efforts, levant finalement l'haltère au-dessus de sa tête.</v>
      </c>
    </row>
    <row r="16505">
      <c r="A16505" s="4" t="s">
        <v>20788</v>
      </c>
      <c r="B16505" s="4" t="s">
        <v>20791</v>
      </c>
      <c r="C16505" s="5" t="str">
        <f>IFERROR(__xludf.DUMMYFUNCTION("GOOGLETRANSLATE(B16505,""en"",""fr"")"),"Il laisse tomber les poids et ils s'écrasent au sol.")</f>
        <v>Il laisse tomber les poids et ils s'écrasent au sol.</v>
      </c>
    </row>
    <row r="16506">
      <c r="A16506" s="4" t="s">
        <v>20788</v>
      </c>
      <c r="B16506" s="4" t="s">
        <v>20792</v>
      </c>
      <c r="C16506" s="5" t="str">
        <f>IFERROR(__xludf.DUMMYFUNCTION("GOOGLETRANSLATE(B16506,""en"",""fr"")"),"Il célèbre et nous voyons que l'Olympien a établi un record.")</f>
        <v>Il célèbre et nous voyons que l'Olympien a établi un record.</v>
      </c>
    </row>
    <row r="16507">
      <c r="A16507" s="4" t="s">
        <v>20793</v>
      </c>
      <c r="B16507" s="4" t="s">
        <v>20794</v>
      </c>
      <c r="C16507" s="5" t="str">
        <f>IFERROR(__xludf.DUMMYFUNCTION("GOOGLETRANSLATE(B16507,""en"",""fr"")"),"Un homme est vu enroulant un vélo et commence à vérifier les pneus avec un autre homme.")</f>
        <v>Un homme est vu enroulant un vélo et commence à vérifier les pneus avec un autre homme.</v>
      </c>
    </row>
    <row r="16508">
      <c r="A16508" s="4" t="s">
        <v>20793</v>
      </c>
      <c r="B16508" s="4" t="s">
        <v>20795</v>
      </c>
      <c r="C16508" s="5" t="str">
        <f>IFERROR(__xludf.DUMMYFUNCTION("GOOGLETRANSLATE(B16508,""en"",""fr"")"),"Un homme coupe un fil et vérifie plus de pneus et un autre homme tourne à nouveau les pneus.")</f>
        <v>Un homme coupe un fil et vérifie plus de pneus et un autre homme tourne à nouveau les pneus.</v>
      </c>
    </row>
    <row r="16509">
      <c r="A16509" s="4" t="s">
        <v>20796</v>
      </c>
      <c r="B16509" s="6" t="s">
        <v>20797</v>
      </c>
      <c r="C16509" s="5" t="str">
        <f>IFERROR(__xludf.DUMMYFUNCTION("GOOGLETRANSLATE(B16509,""en"",""fr"")"),"Un homme chauve est vu parler à la caméra avec une tête assise derrière lui avec une tête pleine de cheveux.")</f>
        <v>Un homme chauve est vu parler à la caméra avec une tête assise derrière lui avec une tête pleine de cheveux.</v>
      </c>
    </row>
    <row r="16510">
      <c r="A16510" s="4" t="s">
        <v>20796</v>
      </c>
      <c r="B16510" s="6" t="s">
        <v>20798</v>
      </c>
      <c r="C16510" s="5" t="str">
        <f>IFERROR(__xludf.DUMMYFUNCTION("GOOGLETRANSLATE(B16510,""en"",""fr"")"),"Il coupe ensuite les cheveux sur le mannequin d'une certaine manière et la caméra zoome sur le résultat fini à la fin.")</f>
        <v>Il coupe ensuite les cheveux sur le mannequin d'une certaine manière et la caméra zoome sur le résultat fini à la fin.</v>
      </c>
    </row>
    <row r="16511">
      <c r="A16511" s="4" t="s">
        <v>20799</v>
      </c>
      <c r="B16511" s="4" t="s">
        <v>20800</v>
      </c>
      <c r="C16511" s="5" t="str">
        <f>IFERROR(__xludf.DUMMYFUNCTION("GOOGLETRANSLATE(B16511,""en"",""fr"")"),"Deux équipes se tiennent sur la ligne de mêlée en attendant de jouer au jeu.")</f>
        <v>Deux équipes se tiennent sur la ligne de mêlée en attendant de jouer au jeu.</v>
      </c>
    </row>
    <row r="16512">
      <c r="A16512" s="4" t="s">
        <v>20799</v>
      </c>
      <c r="B16512" s="4" t="s">
        <v>20801</v>
      </c>
      <c r="C16512" s="5" t="str">
        <f>IFERROR(__xludf.DUMMYFUNCTION("GOOGLETRANSLATE(B16512,""en"",""fr"")"),"Le jeu commence et les deux équipes se battent chacune férocement dans un match de crosse.")</f>
        <v>Le jeu commence et les deux équipes se battent chacune férocement dans un match de crosse.</v>
      </c>
    </row>
    <row r="16513">
      <c r="A16513" s="4" t="s">
        <v>20799</v>
      </c>
      <c r="B16513" s="6" t="s">
        <v>20802</v>
      </c>
      <c r="C16513" s="5" t="str">
        <f>IFERROR(__xludf.DUMMYFUNCTION("GOOGLETRANSLATE(B16513,""en"",""fr"")"),"Une personne est si mauvaise, il est sorti et reste à s'allonger sur le terrain alors que le reste des joueurs décolle sur le terrain.")</f>
        <v>Une personne est si mauvaise, il est sorti et reste à s'allonger sur le terrain alors que le reste des joueurs décolle sur le terrain.</v>
      </c>
    </row>
    <row r="16514">
      <c r="A16514" s="4" t="s">
        <v>20803</v>
      </c>
      <c r="B16514" s="4" t="s">
        <v>20804</v>
      </c>
      <c r="C16514" s="5" t="str">
        <f>IFERROR(__xludf.DUMMYFUNCTION("GOOGLETRANSLATE(B16514,""en"",""fr"")"),"Un bébé est montré flottant à l'envers dans une piscine.")</f>
        <v>Un bébé est montré flottant à l'envers dans une piscine.</v>
      </c>
    </row>
    <row r="16515">
      <c r="A16515" s="4" t="s">
        <v>20803</v>
      </c>
      <c r="B16515" s="4" t="s">
        <v>20805</v>
      </c>
      <c r="C16515" s="5" t="str">
        <f>IFERROR(__xludf.DUMMYFUNCTION("GOOGLETRANSLATE(B16515,""en"",""fr"")"),"Les formateurs enseignent à l'enfant comment rester à flot.")</f>
        <v>Les formateurs enseignent à l'enfant comment rester à flot.</v>
      </c>
    </row>
    <row r="16516">
      <c r="A16516" s="4" t="s">
        <v>20803</v>
      </c>
      <c r="B16516" s="4" t="s">
        <v>20806</v>
      </c>
      <c r="C16516" s="5" t="str">
        <f>IFERROR(__xludf.DUMMYFUNCTION("GOOGLETRANSLATE(B16516,""en"",""fr"")"),"Il apprend à nager, se gardant au-dessus de l'eau.")</f>
        <v>Il apprend à nager, se gardant au-dessus de l'eau.</v>
      </c>
    </row>
    <row r="16517">
      <c r="A16517" s="4" t="s">
        <v>20807</v>
      </c>
      <c r="B16517" s="4" t="s">
        <v>20808</v>
      </c>
      <c r="C16517" s="5" t="str">
        <f>IFERROR(__xludf.DUMMYFUNCTION("GOOGLETRANSLATE(B16517,""en"",""fr"")"),"Un cerf-volant du vent est montré dans l'air.")</f>
        <v>Un cerf-volant du vent est montré dans l'air.</v>
      </c>
    </row>
    <row r="16518">
      <c r="A16518" s="4" t="s">
        <v>20807</v>
      </c>
      <c r="B16518" s="4" t="s">
        <v>20809</v>
      </c>
      <c r="C16518" s="5" t="str">
        <f>IFERROR(__xludf.DUMMYFUNCTION("GOOGLETRANSLATE(B16518,""en"",""fr"")"),"Un homme en chemise noire contrôle le cerf-volant du vent et tombe sur le sol.")</f>
        <v>Un homme en chemise noire contrôle le cerf-volant du vent et tombe sur le sol.</v>
      </c>
    </row>
    <row r="16519">
      <c r="A16519" s="4" t="s">
        <v>20807</v>
      </c>
      <c r="B16519" s="4" t="s">
        <v>20810</v>
      </c>
      <c r="C16519" s="5" t="str">
        <f>IFERROR(__xludf.DUMMYFUNCTION("GOOGLETRANSLATE(B16519,""en"",""fr"")"),"Les chiens courent sur l'herbe.")</f>
        <v>Les chiens courent sur l'herbe.</v>
      </c>
    </row>
    <row r="16520">
      <c r="A16520" s="4" t="s">
        <v>20811</v>
      </c>
      <c r="B16520" s="4" t="s">
        <v>20812</v>
      </c>
      <c r="C16520" s="5" t="str">
        <f>IFERROR(__xludf.DUMMYFUNCTION("GOOGLETRANSLATE(B16520,""en"",""fr"")"),"Un graphique d'introduction arrive sur l'écran en présentant un championnat de volleyball.")</f>
        <v>Un graphique d'introduction arrive sur l'écran en présentant un championnat de volleyball.</v>
      </c>
    </row>
    <row r="16521">
      <c r="A16521" s="4" t="s">
        <v>20811</v>
      </c>
      <c r="B16521" s="4" t="s">
        <v>20813</v>
      </c>
      <c r="C16521" s="5" t="str">
        <f>IFERROR(__xludf.DUMMYFUNCTION("GOOGLETRANSLATE(B16521,""en"",""fr"")"),"Un homme arrive sur l'écran en annonçant le concours avant qu'il ne commence.")</f>
        <v>Un homme arrive sur l'écran en annonçant le concours avant qu'il ne commence.</v>
      </c>
    </row>
    <row r="16522">
      <c r="A16522" s="4" t="s">
        <v>20811</v>
      </c>
      <c r="B16522" s="6" t="s">
        <v>20814</v>
      </c>
      <c r="C16522" s="5" t="str">
        <f>IFERROR(__xludf.DUMMYFUNCTION("GOOGLETRANSLATE(B16522,""en"",""fr"")"),"Différentes filles sont montrées en jouant au beach-volée alors que le narrateur raconte l'histoire de leur route vers le championnat.")</f>
        <v>Différentes filles sont montrées en jouant au beach-volée alors que le narrateur raconte l'histoire de leur route vers le championnat.</v>
      </c>
    </row>
    <row r="16523">
      <c r="A16523" s="4" t="s">
        <v>20811</v>
      </c>
      <c r="B16523" s="4" t="s">
        <v>20815</v>
      </c>
      <c r="C16523" s="5" t="str">
        <f>IFERROR(__xludf.DUMMYFUNCTION("GOOGLETRANSLATE(B16523,""en"",""fr"")"),"De nombreux membres de l'équipe sont montrés en parlant sur le terrain et en stratégies pour la victoire.")</f>
        <v>De nombreux membres de l'équipe sont montrés en parlant sur le terrain et en stratégies pour la victoire.</v>
      </c>
    </row>
    <row r="16524">
      <c r="A16524" s="4" t="s">
        <v>20811</v>
      </c>
      <c r="B16524" s="4" t="s">
        <v>20816</v>
      </c>
      <c r="C16524" s="5" t="str">
        <f>IFERROR(__xludf.DUMMYFUNCTION("GOOGLETRANSLATE(B16524,""en"",""fr"")"),"La vidéo passe dans une salle de conférence où il y a une discussion sur les joueurs de volleyball.")</f>
        <v>La vidéo passe dans une salle de conférence où il y a une discussion sur les joueurs de volleyball.</v>
      </c>
    </row>
    <row r="16525">
      <c r="A16525" s="4" t="s">
        <v>20811</v>
      </c>
      <c r="B16525" s="4" t="s">
        <v>20817</v>
      </c>
      <c r="C16525" s="5" t="str">
        <f>IFERROR(__xludf.DUMMYFUNCTION("GOOGLETRANSLATE(B16525,""en"",""fr"")"),"La vidéo se termine par les graphiques des crédits de perdant C.")</f>
        <v>La vidéo se termine par les graphiques des crédits de perdant C.</v>
      </c>
    </row>
    <row r="16526">
      <c r="A16526" s="4" t="s">
        <v>20818</v>
      </c>
      <c r="B16526" s="4" t="s">
        <v>20819</v>
      </c>
      <c r="C16526" s="5" t="str">
        <f>IFERROR(__xludf.DUMMYFUNCTION("GOOGLETRANSLATE(B16526,""en"",""fr"")"),"Les hommes se trouvent dans une pièce sombre en parlant à la caméra.")</f>
        <v>Les hommes se trouvent dans une pièce sombre en parlant à la caméra.</v>
      </c>
    </row>
    <row r="16527">
      <c r="A16527" s="4" t="s">
        <v>20818</v>
      </c>
      <c r="B16527" s="6" t="s">
        <v>20820</v>
      </c>
      <c r="C16527" s="5" t="str">
        <f>IFERROR(__xludf.DUMMYFUNCTION("GOOGLETRANSLATE(B16527,""en"",""fr"")"),"Les lutteurs de Sumo se tiennent sur scène prêts à se battre et les gens sont rassemblés autour d'eux et assis dans les terrasses.")</f>
        <v>Les lutteurs de Sumo se tiennent sur scène prêts à se battre et les gens sont rassemblés autour d'eux et assis dans les terrasses.</v>
      </c>
    </row>
    <row r="16528">
      <c r="A16528" s="4" t="s">
        <v>20818</v>
      </c>
      <c r="B16528" s="4" t="s">
        <v>20821</v>
      </c>
      <c r="C16528" s="5" t="str">
        <f>IFERROR(__xludf.DUMMYFUNCTION("GOOGLETRANSLATE(B16528,""en"",""fr"")"),"Les hommes parlent dans la pièce sombre et expliquent leur point de vue.")</f>
        <v>Les hommes parlent dans la pièce sombre et expliquent leur point de vue.</v>
      </c>
    </row>
    <row r="16529">
      <c r="A16529" s="4" t="s">
        <v>20822</v>
      </c>
      <c r="B16529" s="6" t="s">
        <v>20823</v>
      </c>
      <c r="C16529" s="5" t="str">
        <f>IFERROR(__xludf.DUMMYFUNCTION("GOOGLETRANSLATE(B16529,""en"",""fr"")"),"Un homme commence à courir avec un bâton, il le place et saute par-dessus un obstacle très élevé, il atterrit et se réjouit.")</f>
        <v>Un homme commence à courir avec un bâton, il le place et saute par-dessus un obstacle très élevé, il atterrit et se réjouit.</v>
      </c>
    </row>
    <row r="16530">
      <c r="A16530" s="4" t="s">
        <v>20822</v>
      </c>
      <c r="B16530" s="6" t="s">
        <v>20824</v>
      </c>
      <c r="C16530" s="5" t="str">
        <f>IFERROR(__xludf.DUMMYFUNCTION("GOOGLETRANSLATE(B16530,""en"",""fr"")"),"L'homme suivant prend son tour et il fait de même en utilisant le bâton pour surmonter l'obstacle et sauter avec excitation après l'atterrissage.")</f>
        <v>L'homme suivant prend son tour et il fait de même en utilisant le bâton pour surmonter l'obstacle et sauter avec excitation après l'atterrissage.</v>
      </c>
    </row>
    <row r="16531">
      <c r="A16531" s="4" t="s">
        <v>20822</v>
      </c>
      <c r="B16531" s="6" t="s">
        <v>20825</v>
      </c>
      <c r="C16531" s="5" t="str">
        <f>IFERROR(__xludf.DUMMYFUNCTION("GOOGLETRANSLATE(B16531,""en"",""fr"")"),"Puis un autre homme prend son tour et quand il atterrit, il jette son casque et hurle et saute de joie comme les hommes précédents.")</f>
        <v>Puis un autre homme prend son tour et quand il atterrit, il jette son casque et hurle et saute de joie comme les hommes précédents.</v>
      </c>
    </row>
    <row r="16532">
      <c r="A16532" s="4" t="s">
        <v>20822</v>
      </c>
      <c r="B16532" s="4" t="s">
        <v>20826</v>
      </c>
      <c r="C16532" s="5" t="str">
        <f>IFERROR(__xludf.DUMMYFUNCTION("GOOGLETRANSLATE(B16532,""en"",""fr"")"),"Le public est également très ravi, ils prennent tous plus de virages en essayant d'obtenir le meilleur score.")</f>
        <v>Le public est également très ravi, ils prennent tous plus de virages en essayant d'obtenir le meilleur score.</v>
      </c>
    </row>
    <row r="16533">
      <c r="A16533" s="4" t="s">
        <v>20827</v>
      </c>
      <c r="B16533" s="4" t="s">
        <v>1487</v>
      </c>
      <c r="C16533" s="5" t="str">
        <f>IFERROR(__xludf.DUMMYFUNCTION("GOOGLETRANSLATE(B16533,""en"",""fr"")"),"Nous voyons un écran de titre d'ouverture.")</f>
        <v>Nous voyons un écran de titre d'ouverture.</v>
      </c>
    </row>
    <row r="16534">
      <c r="A16534" s="4" t="s">
        <v>20827</v>
      </c>
      <c r="B16534" s="4" t="s">
        <v>20828</v>
      </c>
      <c r="C16534" s="5" t="str">
        <f>IFERROR(__xludf.DUMMYFUNCTION("GOOGLETRANSLATE(B16534,""en"",""fr"")"),"Nous voyons des enfants à Purple Pose pour une photo.")</f>
        <v>Nous voyons des enfants à Purple Pose pour une photo.</v>
      </c>
    </row>
    <row r="16535">
      <c r="A16535" s="4" t="s">
        <v>20827</v>
      </c>
      <c r="B16535" s="4" t="s">
        <v>20829</v>
      </c>
      <c r="C16535" s="5" t="str">
        <f>IFERROR(__xludf.DUMMYFUNCTION("GOOGLETRANSLATE(B16535,""en"",""fr"")"),"Les enfants jouent ensuite au remorqueur alors que deux filles se tiennent à proximité en applaudissant.")</f>
        <v>Les enfants jouent ensuite au remorqueur alors que deux filles se tiennent à proximité en applaudissant.</v>
      </c>
    </row>
    <row r="16536">
      <c r="A16536" s="4" t="s">
        <v>20827</v>
      </c>
      <c r="B16536" s="4" t="s">
        <v>20830</v>
      </c>
      <c r="C16536" s="5" t="str">
        <f>IFERROR(__xludf.DUMMYFUNCTION("GOOGLETRANSLATE(B16536,""en"",""fr"")"),"Nous passons à une fille et à un garçon applaudissant.")</f>
        <v>Nous passons à une fille et à un garçon applaudissant.</v>
      </c>
    </row>
    <row r="16537">
      <c r="A16537" s="4" t="s">
        <v>20827</v>
      </c>
      <c r="B16537" s="4" t="s">
        <v>20831</v>
      </c>
      <c r="C16537" s="5" t="str">
        <f>IFERROR(__xludf.DUMMYFUNCTION("GOOGLETRANSLATE(B16537,""en"",""fr"")"),"Nous voyons deux enfants différents applaudir.")</f>
        <v>Nous voyons deux enfants différents applaudir.</v>
      </c>
    </row>
    <row r="16538">
      <c r="A16538" s="4" t="s">
        <v>20827</v>
      </c>
      <c r="B16538" s="4" t="s">
        <v>20832</v>
      </c>
      <c r="C16538" s="5" t="str">
        <f>IFERROR(__xludf.DUMMYFUNCTION("GOOGLETRANSLATE(B16538,""en"",""fr"")"),"Nous changeons à nouveau les enfants enthousiastes.")</f>
        <v>Nous changeons à nouveau les enfants enthousiastes.</v>
      </c>
    </row>
    <row r="16539">
      <c r="A16539" s="4" t="s">
        <v>20827</v>
      </c>
      <c r="B16539" s="4" t="s">
        <v>20833</v>
      </c>
      <c r="C16539" s="5" t="str">
        <f>IFERROR(__xludf.DUMMYFUNCTION("GOOGLETRANSLATE(B16539,""en"",""fr"")"),"Les enfants gagnent et saut et applaudissent alors qu'une fille parle à un enseignant.")</f>
        <v>Les enfants gagnent et saut et applaudissent alors qu'une fille parle à un enseignant.</v>
      </c>
    </row>
    <row r="16540">
      <c r="A16540" s="4" t="s">
        <v>20827</v>
      </c>
      <c r="B16540" s="4" t="s">
        <v>4513</v>
      </c>
      <c r="C16540" s="5" t="str">
        <f>IFERROR(__xludf.DUMMYFUNCTION("GOOGLETRANSLATE(B16540,""en"",""fr"")"),"Nous voyons les crédits de fin.")</f>
        <v>Nous voyons les crédits de fin.</v>
      </c>
    </row>
    <row r="16541">
      <c r="A16541" s="4" t="s">
        <v>20834</v>
      </c>
      <c r="B16541" s="4" t="s">
        <v>20835</v>
      </c>
      <c r="C16541" s="5" t="str">
        <f>IFERROR(__xludf.DUMMYFUNCTION("GOOGLETRANSLATE(B16541,""en"",""fr"")"),"Plusieurs hommes torse nu sont rassemblés dans une pièce, on fume une cigarette tandis que les autres l'encouragent.")</f>
        <v>Plusieurs hommes torse nu sont rassemblés dans une pièce, on fume une cigarette tandis que les autres l'encouragent.</v>
      </c>
    </row>
    <row r="16542">
      <c r="A16542" s="4" t="s">
        <v>20834</v>
      </c>
      <c r="B16542" s="4" t="s">
        <v>20836</v>
      </c>
      <c r="C16542" s="5" t="str">
        <f>IFERROR(__xludf.DUMMYFUNCTION("GOOGLETRANSLATE(B16542,""en"",""fr"")"),"Il aspire la cigarette jusqu'au bourgeon.")</f>
        <v>Il aspire la cigarette jusqu'au bourgeon.</v>
      </c>
    </row>
    <row r="16543">
      <c r="A16543" s="4" t="s">
        <v>20834</v>
      </c>
      <c r="B16543" s="4" t="s">
        <v>20837</v>
      </c>
      <c r="C16543" s="5" t="str">
        <f>IFERROR(__xludf.DUMMYFUNCTION("GOOGLETRANSLATE(B16543,""en"",""fr"")"),"Il tousse un peu puis l'inhale dans son nez, pointant la caméra par la suite.")</f>
        <v>Il tousse un peu puis l'inhale dans son nez, pointant la caméra par la suite.</v>
      </c>
    </row>
    <row r="16544">
      <c r="A16544" s="4" t="s">
        <v>20838</v>
      </c>
      <c r="B16544" s="6" t="s">
        <v>20839</v>
      </c>
      <c r="C16544" s="5" t="str">
        <f>IFERROR(__xludf.DUMMYFUNCTION("GOOGLETRANSLATE(B16544,""en"",""fr"")"),"Des rondelles sont vues assises le long de la glace ainsi qu'un homme parlant à la caméra et aux gens qui se promènent.")</f>
        <v>Des rondelles sont vues assises le long de la glace ainsi qu'un homme parlant à la caméra et aux gens qui se promènent.</v>
      </c>
    </row>
    <row r="16545">
      <c r="A16545" s="4" t="s">
        <v>20838</v>
      </c>
      <c r="B16545" s="4" t="s">
        <v>20840</v>
      </c>
      <c r="C16545" s="5" t="str">
        <f>IFERROR(__xludf.DUMMYFUNCTION("GOOGLETRANSLATE(B16545,""en"",""fr"")"),"Plus de clips sont illustrés par les personnes qui se recroquevillent sur la glace tout en parlant à la caméra.")</f>
        <v>Plus de clips sont illustrés par les personnes qui se recroquevillent sur la glace tout en parlant à la caméra.</v>
      </c>
    </row>
    <row r="16546">
      <c r="A16546" s="4" t="s">
        <v>20838</v>
      </c>
      <c r="B16546" s="6" t="s">
        <v>20841</v>
      </c>
      <c r="C16546" s="5" t="str">
        <f>IFERROR(__xludf.DUMMYFUNCTION("GOOGLETRANSLATE(B16546,""en"",""fr"")"),"Les gens continuent de pousser la rondelle le long de la glace tout en regardant la caméra et en parlant à la caméra.")</f>
        <v>Les gens continuent de pousser la rondelle le long de la glace tout en regardant la caméra et en parlant à la caméra.</v>
      </c>
    </row>
    <row r="16547">
      <c r="A16547" s="4" t="s">
        <v>20842</v>
      </c>
      <c r="B16547" s="4" t="s">
        <v>20843</v>
      </c>
      <c r="C16547" s="5" t="str">
        <f>IFERROR(__xludf.DUMMYFUNCTION("GOOGLETRANSLATE(B16547,""en"",""fr"")"),"Nous voyons un pneu bien sur une table dans une pince.")</f>
        <v>Nous voyons un pneu bien sur une table dans une pince.</v>
      </c>
    </row>
    <row r="16548">
      <c r="A16548" s="4" t="s">
        <v>20842</v>
      </c>
      <c r="B16548" s="4" t="s">
        <v>20844</v>
      </c>
      <c r="C16548" s="5" t="str">
        <f>IFERROR(__xludf.DUMMYFUNCTION("GOOGLETRANSLATE(B16548,""en"",""fr"")"),"Un homme met un vice-prise sur le puits.")</f>
        <v>Un homme met un vice-prise sur le puits.</v>
      </c>
    </row>
    <row r="16549">
      <c r="A16549" s="4" t="s">
        <v>20842</v>
      </c>
      <c r="B16549" s="4" t="s">
        <v>20845</v>
      </c>
      <c r="C16549" s="5" t="str">
        <f>IFERROR(__xludf.DUMMYFUNCTION("GOOGLETRANSLATE(B16549,""en"",""fr"")"),"L'homme pousse et tourne un pneu sur le puits de la roue.")</f>
        <v>L'homme pousse et tourne un pneu sur le puits de la roue.</v>
      </c>
    </row>
    <row r="16550">
      <c r="A16550" s="4" t="s">
        <v>20846</v>
      </c>
      <c r="B16550" s="4" t="s">
        <v>20847</v>
      </c>
      <c r="C16550" s="5" t="str">
        <f>IFERROR(__xludf.DUMMYFUNCTION("GOOGLETRANSLATE(B16550,""en"",""fr"")"),"Nous voyons Waterski et le côté d'un bateau.")</f>
        <v>Nous voyons Waterski et le côté d'un bateau.</v>
      </c>
    </row>
    <row r="16551">
      <c r="A16551" s="4" t="s">
        <v>20846</v>
      </c>
      <c r="B16551" s="4" t="s">
        <v>20848</v>
      </c>
      <c r="C16551" s="5" t="str">
        <f>IFERROR(__xludf.DUMMYFUNCTION("GOOGLETRANSLATE(B16551,""en"",""fr"")"),"Nous voyons un garçon debout sur un quai, les gens gazent leur bateau puis à bord.")</f>
        <v>Nous voyons un garçon debout sur un quai, les gens gazent leur bateau puis à bord.</v>
      </c>
    </row>
    <row r="16552">
      <c r="A16552" s="4" t="s">
        <v>20846</v>
      </c>
      <c r="B16552" s="4" t="s">
        <v>20849</v>
      </c>
      <c r="C16552" s="5" t="str">
        <f>IFERROR(__xludf.DUMMYFUNCTION("GOOGLETRANSLATE(B16552,""en"",""fr"")"),"Nous voyons deux garçons jouer.")</f>
        <v>Nous voyons deux garçons jouer.</v>
      </c>
    </row>
    <row r="16553">
      <c r="A16553" s="4" t="s">
        <v>20846</v>
      </c>
      <c r="B16553" s="4" t="s">
        <v>20850</v>
      </c>
      <c r="C16553" s="5" t="str">
        <f>IFERROR(__xludf.DUMMYFUNCTION("GOOGLETRANSLATE(B16553,""en"",""fr"")"),"Nous voyons une personne ski au bord d'un ski sur un lac.")</f>
        <v>Nous voyons une personne ski au bord d'un ski sur un lac.</v>
      </c>
    </row>
    <row r="16554">
      <c r="A16554" s="4" t="s">
        <v>20846</v>
      </c>
      <c r="B16554" s="4" t="s">
        <v>20851</v>
      </c>
      <c r="C16554" s="5" t="str">
        <f>IFERROR(__xludf.DUMMYFUNCTION("GOOGLETRANSLATE(B16554,""en"",""fr"")"),"Nous voyons les voitures dans le parking près du lac et un chien renifle la caméra.")</f>
        <v>Nous voyons les voitures dans le parking près du lac et un chien renifle la caméra.</v>
      </c>
    </row>
    <row r="16555">
      <c r="A16555" s="4" t="s">
        <v>20846</v>
      </c>
      <c r="B16555" s="4" t="s">
        <v>20852</v>
      </c>
      <c r="C16555" s="5" t="str">
        <f>IFERROR(__xludf.DUMMYFUNCTION("GOOGLETRANSLATE(B16555,""en"",""fr"")"),"Nous voyons un magasin puis une personne pagayer sur un kayak.")</f>
        <v>Nous voyons un magasin puis une personne pagayer sur un kayak.</v>
      </c>
    </row>
    <row r="16556">
      <c r="A16556" s="4" t="s">
        <v>20846</v>
      </c>
      <c r="B16556" s="4" t="s">
        <v>20853</v>
      </c>
      <c r="C16556" s="5" t="str">
        <f>IFERROR(__xludf.DUMMYFUNCTION("GOOGLETRANSLATE(B16556,""en"",""fr"")"),"Une personne saute dans l'eau et nous voyons à nouveau le skieur nautique.")</f>
        <v>Une personne saute dans l'eau et nous voyons à nouveau le skieur nautique.</v>
      </c>
    </row>
    <row r="16557">
      <c r="A16557" s="4" t="s">
        <v>20846</v>
      </c>
      <c r="B16557" s="4" t="s">
        <v>20854</v>
      </c>
      <c r="C16557" s="5" t="str">
        <f>IFERROR(__xludf.DUMMYFUNCTION("GOOGLETRANSLATE(B16557,""en"",""fr"")"),"Un garçon sur un trampoline dans un magasin, des gens sur un radeau et un garçon sautent dans l'eau.")</f>
        <v>Un garçon sur un trampoline dans un magasin, des gens sur un radeau et un garçon sautent dans l'eau.</v>
      </c>
    </row>
    <row r="16558">
      <c r="A16558" s="4" t="s">
        <v>20846</v>
      </c>
      <c r="B16558" s="4" t="s">
        <v>20855</v>
      </c>
      <c r="C16558" s="5" t="str">
        <f>IFERROR(__xludf.DUMMYFUNCTION("GOOGLETRANSLATE(B16558,""en"",""fr"")"),"Nous voyons un garçon sur un vélo jouet, le skieur nautique tombe.")</f>
        <v>Nous voyons un garçon sur un vélo jouet, le skieur nautique tombe.</v>
      </c>
    </row>
    <row r="16559">
      <c r="A16559" s="4" t="s">
        <v>20846</v>
      </c>
      <c r="B16559" s="4" t="s">
        <v>20856</v>
      </c>
      <c r="C16559" s="5" t="str">
        <f>IFERROR(__xludf.DUMMYFUNCTION("GOOGLETRANSLATE(B16559,""en"",""fr"")"),"Une personne sur skis saute une rampe.")</f>
        <v>Une personne sur skis saute une rampe.</v>
      </c>
    </row>
    <row r="16560">
      <c r="A16560" s="4" t="s">
        <v>20857</v>
      </c>
      <c r="B16560" s="4" t="s">
        <v>20858</v>
      </c>
      <c r="C16560" s="5" t="str">
        <f>IFERROR(__xludf.DUMMYFUNCTION("GOOGLETRANSLATE(B16560,""en"",""fr"")"),"Un groupe d'artistes se tient sur une scène.")</f>
        <v>Un groupe d'artistes se tient sur une scène.</v>
      </c>
    </row>
    <row r="16561">
      <c r="A16561" s="4" t="s">
        <v>20857</v>
      </c>
      <c r="B16561" s="4" t="s">
        <v>20859</v>
      </c>
      <c r="C16561" s="5" t="str">
        <f>IFERROR(__xludf.DUMMYFUNCTION("GOOGLETRANSLATE(B16561,""en"",""fr"")"),"Ils tournent et commencent à jouer de la batterie.")</f>
        <v>Ils tournent et commencent à jouer de la batterie.</v>
      </c>
    </row>
    <row r="16562">
      <c r="A16562" s="4" t="s">
        <v>20857</v>
      </c>
      <c r="B16562" s="4" t="s">
        <v>20860</v>
      </c>
      <c r="C16562" s="5" t="str">
        <f>IFERROR(__xludf.DUMMYFUNCTION("GOOGLETRANSLATE(B16562,""en"",""fr"")"),"Ils ont mis des lunettes de soleil pendant qu'ils jouent pour le public.")</f>
        <v>Ils ont mis des lunettes de soleil pendant qu'ils jouent pour le public.</v>
      </c>
    </row>
    <row r="16563">
      <c r="A16563" s="4" t="s">
        <v>20861</v>
      </c>
      <c r="B16563" s="4" t="s">
        <v>20862</v>
      </c>
      <c r="C16563" s="5" t="str">
        <f>IFERROR(__xludf.DUMMYFUNCTION("GOOGLETRANSLATE(B16563,""en"",""fr"")"),"Un journal se tient devant un écran qui parle alors qu'il affiche un match de volley-ball sur la plage.")</f>
        <v>Un journal se tient devant un écran qui parle alors qu'il affiche un match de volley-ball sur la plage.</v>
      </c>
    </row>
    <row r="16564">
      <c r="A16564" s="4" t="s">
        <v>20861</v>
      </c>
      <c r="B16564" s="6" t="s">
        <v>20863</v>
      </c>
      <c r="C16564" s="5" t="str">
        <f>IFERROR(__xludf.DUMMYFUNCTION("GOOGLETRANSLATE(B16564,""en"",""fr"")"),"Ensuite, nous voyons les joueurs, se battre et donner un coup de pied au ballon, en alternant en parlant individuellement à la caméra avant de revenir aux scènes du jeu.")</f>
        <v>Ensuite, nous voyons les joueurs, se battre et donner un coup de pied au ballon, en alternant en parlant individuellement à la caméra avant de revenir aux scènes du jeu.</v>
      </c>
    </row>
    <row r="16565">
      <c r="A16565" s="4" t="s">
        <v>20864</v>
      </c>
      <c r="B16565" s="6" t="s">
        <v>20865</v>
      </c>
      <c r="C16565" s="5" t="str">
        <f>IFERROR(__xludf.DUMMYFUNCTION("GOOGLETRANSLATE(B16565,""en"",""fr"")"),"Un jeune garçon a un long bâton dans HAD et pousse une rondelle sur un triangle blanc avec des chiffres.")</f>
        <v>Un jeune garçon a un long bâton dans HAD et pousse une rondelle sur un triangle blanc avec des chiffres.</v>
      </c>
    </row>
    <row r="16566">
      <c r="A16566" s="4" t="s">
        <v>20864</v>
      </c>
      <c r="B16566" s="4" t="s">
        <v>20866</v>
      </c>
      <c r="C16566" s="5" t="str">
        <f>IFERROR(__xludf.DUMMYFUNCTION("GOOGLETRANSLATE(B16566,""en"",""fr"")"),"La rondelle va à loin sur la planche et le tout-petit les poursuit.")</f>
        <v>La rondelle va à loin sur la planche et le tout-petit les poursuit.</v>
      </c>
    </row>
    <row r="16567">
      <c r="A16567" s="4" t="s">
        <v>20864</v>
      </c>
      <c r="B16567" s="4" t="s">
        <v>20867</v>
      </c>
      <c r="C16567" s="5" t="str">
        <f>IFERROR(__xludf.DUMMYFUNCTION("GOOGLETRANSLATE(B16567,""en"",""fr"")"),"Une fois que la rondelle est de retour sur la planche, il décolle en courant du tableau.")</f>
        <v>Une fois que la rondelle est de retour sur la planche, il décolle en courant du tableau.</v>
      </c>
    </row>
    <row r="16568">
      <c r="A16568" s="4" t="s">
        <v>20868</v>
      </c>
      <c r="B16568" s="4" t="s">
        <v>20869</v>
      </c>
      <c r="C16568" s="5" t="str">
        <f>IFERROR(__xludf.DUMMYFUNCTION("GOOGLETRANSLATE(B16568,""en"",""fr"")"),"Un mâle est représenté profondément sous l'eau dans une piscine faisant un accident vasculaire cérébral.")</f>
        <v>Un mâle est représenté profondément sous l'eau dans une piscine faisant un accident vasculaire cérébral.</v>
      </c>
    </row>
    <row r="16569">
      <c r="A16569" s="4" t="s">
        <v>20868</v>
      </c>
      <c r="B16569" s="4" t="s">
        <v>20870</v>
      </c>
      <c r="C16569" s="5" t="str">
        <f>IFERROR(__xludf.DUMMYFUNCTION("GOOGLETRANSLATE(B16569,""en"",""fr"")"),"Alors qu'il nage, un homme dans un polo orange se tient à l'extérieur décrivant sa technique.")</f>
        <v>Alors qu'il nage, un homme dans un polo orange se tient à l'extérieur décrivant sa technique.</v>
      </c>
    </row>
    <row r="16570">
      <c r="A16570" s="4" t="s">
        <v>20871</v>
      </c>
      <c r="B16570" s="6" t="s">
        <v>20872</v>
      </c>
      <c r="C16570" s="5" t="str">
        <f>IFERROR(__xludf.DUMMYFUNCTION("GOOGLETRANSLATE(B16570,""en"",""fr"")"),"Une série d'écran clignote et montre des statistiques sur la conduite ivre et quand faire des pauses en conduisant.")</f>
        <v>Une série d'écran clignote et montre des statistiques sur la conduite ivre et quand faire des pauses en conduisant.</v>
      </c>
    </row>
    <row r="16571">
      <c r="A16571" s="4" t="s">
        <v>20871</v>
      </c>
      <c r="B16571" s="4" t="s">
        <v>20873</v>
      </c>
      <c r="C16571" s="5" t="str">
        <f>IFERROR(__xludf.DUMMYFUNCTION("GOOGLETRANSLATE(B16571,""en"",""fr"")"),"Après, un groupe d'une quarantaine d'individus se trouvent dans une grande piscine jouant du water-polo.")</f>
        <v>Après, un groupe d'une quarantaine d'individus se trouvent dans une grande piscine jouant du water-polo.</v>
      </c>
    </row>
    <row r="16572">
      <c r="A16572" s="4" t="s">
        <v>20871</v>
      </c>
      <c r="B16572" s="4" t="s">
        <v>20874</v>
      </c>
      <c r="C16572" s="5" t="str">
        <f>IFERROR(__xludf.DUMMYFUNCTION("GOOGLETRANSLATE(B16572,""en"",""fr"")"),"Les gens se relaient à tour de rôle en lançant le ballon et une personne fait enfin un objectif.")</f>
        <v>Les gens se relaient à tour de rôle en lançant le ballon et une personne fait enfin un objectif.</v>
      </c>
    </row>
    <row r="16573">
      <c r="A16573" s="4" t="s">
        <v>20875</v>
      </c>
      <c r="B16573" s="4" t="s">
        <v>20876</v>
      </c>
      <c r="C16573" s="5" t="str">
        <f>IFERROR(__xludf.DUMMYFUNCTION("GOOGLETRANSLATE(B16573,""en"",""fr"")"),"Un homme joue un instrument en bois à un autre homme, assis à l'intérieur d'une petite pièce.")</f>
        <v>Un homme joue un instrument en bois à un autre homme, assis à l'intérieur d'une petite pièce.</v>
      </c>
    </row>
    <row r="16574">
      <c r="A16574" s="4" t="s">
        <v>20875</v>
      </c>
      <c r="B16574" s="4" t="s">
        <v>20877</v>
      </c>
      <c r="C16574" s="5" t="str">
        <f>IFERROR(__xludf.DUMMYFUNCTION("GOOGLETRANSLATE(B16574,""en"",""fr"")"),"Quand il a fini, il abaisse son instrument et sourit largement.")</f>
        <v>Quand il a fini, il abaisse son instrument et sourit largement.</v>
      </c>
    </row>
    <row r="16575">
      <c r="A16575" s="4" t="s">
        <v>20875</v>
      </c>
      <c r="B16575" s="4" t="s">
        <v>20878</v>
      </c>
      <c r="C16575" s="5" t="str">
        <f>IFERROR(__xludf.DUMMYFUNCTION("GOOGLETRANSLATE(B16575,""en"",""fr"")"),"Ils semblent rouler à l'intérieur d'un train.")</f>
        <v>Ils semblent rouler à l'intérieur d'un train.</v>
      </c>
    </row>
    <row r="16576">
      <c r="A16576" s="4" t="s">
        <v>20879</v>
      </c>
      <c r="B16576" s="4" t="s">
        <v>20880</v>
      </c>
      <c r="C16576" s="5" t="str">
        <f>IFERROR(__xludf.DUMMYFUNCTION("GOOGLETRANSLATE(B16576,""en"",""fr"")"),"L'intérieur et les fournitures d'un salon de coiffure à l'ancienne sont présentés.")</f>
        <v>L'intérieur et les fournitures d'un salon de coiffure à l'ancienne sont présentés.</v>
      </c>
    </row>
    <row r="16577">
      <c r="A16577" s="4" t="s">
        <v>20879</v>
      </c>
      <c r="B16577" s="4" t="s">
        <v>20881</v>
      </c>
      <c r="C16577" s="5" t="str">
        <f>IFERROR(__xludf.DUMMYFUNCTION("GOOGLETRANSLATE(B16577,""en"",""fr"")"),"Un homme aiguise une sangle de rasoir.")</f>
        <v>Un homme aiguise une sangle de rasoir.</v>
      </c>
    </row>
    <row r="16578">
      <c r="A16578" s="4" t="s">
        <v>20879</v>
      </c>
      <c r="B16578" s="4" t="s">
        <v>20882</v>
      </c>
      <c r="C16578" s="5" t="str">
        <f>IFERROR(__xludf.DUMMYFUNCTION("GOOGLETRANSLATE(B16578,""en"",""fr"")"),"Il montre la crème en le met sur son client.")</f>
        <v>Il montre la crème en le met sur son client.</v>
      </c>
    </row>
    <row r="16579">
      <c r="A16579" s="4" t="s">
        <v>20879</v>
      </c>
      <c r="B16579" s="4" t="s">
        <v>20883</v>
      </c>
      <c r="C16579" s="5" t="str">
        <f>IFERROR(__xludf.DUMMYFUNCTION("GOOGLETRANSLATE(B16579,""en"",""fr"")"),"Il donne alors doucement et professionnellement un rasage de la barbe à l'homme.")</f>
        <v>Il donne alors doucement et professionnellement un rasage de la barbe à l'homme.</v>
      </c>
    </row>
    <row r="16580">
      <c r="A16580" s="4" t="s">
        <v>20879</v>
      </c>
      <c r="B16580" s="4" t="s">
        <v>20884</v>
      </c>
      <c r="C16580" s="5" t="str">
        <f>IFERROR(__xludf.DUMMYFUNCTION("GOOGLETRANSLATE(B16580,""en"",""fr"")"),"L'homme est immobile alors qu'il applique un tissu, puis après-rasage.")</f>
        <v>L'homme est immobile alors qu'il applique un tissu, puis après-rasage.</v>
      </c>
    </row>
    <row r="16581">
      <c r="A16581" s="4" t="s">
        <v>20879</v>
      </c>
      <c r="B16581" s="4" t="s">
        <v>20885</v>
      </c>
      <c r="C16581" s="5" t="str">
        <f>IFERROR(__xludf.DUMMYFUNCTION("GOOGLETRANSLATE(B16581,""en"",""fr"")"),"Un gros plan est illustré à la face rasée propre.")</f>
        <v>Un gros plan est illustré à la face rasée propre.</v>
      </c>
    </row>
    <row r="16582">
      <c r="A16582" s="4" t="s">
        <v>20886</v>
      </c>
      <c r="B16582" s="4" t="s">
        <v>20887</v>
      </c>
      <c r="C16582" s="5" t="str">
        <f>IFERROR(__xludf.DUMMYFUNCTION("GOOGLETRANSLATE(B16582,""en"",""fr"")"),"Nous voyons une scène d'ouverture sur un fond noir.")</f>
        <v>Nous voyons une scène d'ouverture sur un fond noir.</v>
      </c>
    </row>
    <row r="16583">
      <c r="A16583" s="4" t="s">
        <v>20886</v>
      </c>
      <c r="B16583" s="4" t="s">
        <v>20888</v>
      </c>
      <c r="C16583" s="5" t="str">
        <f>IFERROR(__xludf.DUMMYFUNCTION("GOOGLETRANSLATE(B16583,""en"",""fr"")"),"Nous voyons un homme marteler un clou.")</f>
        <v>Nous voyons un homme marteler un clou.</v>
      </c>
    </row>
    <row r="16584">
      <c r="A16584" s="4" t="s">
        <v>20886</v>
      </c>
      <c r="B16584" s="4" t="s">
        <v>20889</v>
      </c>
      <c r="C16584" s="5" t="str">
        <f>IFERROR(__xludf.DUMMYFUNCTION("GOOGLETRANSLATE(B16584,""en"",""fr"")"),"L'homme nous montre quelques boulons.")</f>
        <v>L'homme nous montre quelques boulons.</v>
      </c>
    </row>
    <row r="16585">
      <c r="A16585" s="4" t="s">
        <v>20886</v>
      </c>
      <c r="B16585" s="4" t="s">
        <v>20890</v>
      </c>
      <c r="C16585" s="5" t="str">
        <f>IFERROR(__xludf.DUMMYFUNCTION("GOOGLETRANSLATE(B16585,""en"",""fr"")"),"Nous voyons l'homme visser une vis.")</f>
        <v>Nous voyons l'homme visser une vis.</v>
      </c>
    </row>
    <row r="16586">
      <c r="A16586" s="4" t="s">
        <v>20891</v>
      </c>
      <c r="B16586" s="4" t="s">
        <v>20892</v>
      </c>
      <c r="C16586" s="5" t="str">
        <f>IFERROR(__xludf.DUMMYFUNCTION("GOOGLETRANSLATE(B16586,""en"",""fr"")"),"Plusieurs plans sont représentés du paintball sont représentés, suivis de nombreuses photos d'armes à feu.")</f>
        <v>Plusieurs plans sont représentés du paintball sont représentés, suivis de nombreuses photos d'armes à feu.</v>
      </c>
    </row>
    <row r="16587">
      <c r="A16587" s="4" t="s">
        <v>20891</v>
      </c>
      <c r="B16587" s="4" t="s">
        <v>20893</v>
      </c>
      <c r="C16587" s="5" t="str">
        <f>IFERROR(__xludf.DUMMYFUNCTION("GOOGLETRANSLATE(B16587,""en"",""fr"")"),"Plus de photos de pistolets sont affichées et se termine par du texte à travers l'écran.")</f>
        <v>Plus de photos de pistolets sont affichées et se termine par du texte à travers l'écran.</v>
      </c>
    </row>
    <row r="16588">
      <c r="A16588" s="4" t="s">
        <v>20894</v>
      </c>
      <c r="B16588" s="6" t="s">
        <v>20895</v>
      </c>
      <c r="C16588" s="5" t="str">
        <f>IFERROR(__xludf.DUMMYFUNCTION("GOOGLETRANSLATE(B16588,""en"",""fr"")"),"Nous voyons un écran de titre d'ouverture et un homme et une dame ont l'air heureux et la dame jette ses mains en l'air.")</f>
        <v>Nous voyons un écran de titre d'ouverture et un homme et une dame ont l'air heureux et la dame jette ses mains en l'air.</v>
      </c>
    </row>
    <row r="16589">
      <c r="A16589" s="4" t="s">
        <v>20894</v>
      </c>
      <c r="B16589" s="4" t="s">
        <v>20896</v>
      </c>
      <c r="C16589" s="5" t="str">
        <f>IFERROR(__xludf.DUMMYFUNCTION("GOOGLETRANSLATE(B16589,""en"",""fr"")"),"Nous voyons un homme gênant le blackjack devant un écran.")</f>
        <v>Nous voyons un homme gênant le blackjack devant un écran.</v>
      </c>
    </row>
    <row r="16590">
      <c r="A16590" s="4" t="s">
        <v>20894</v>
      </c>
      <c r="B16590" s="4" t="s">
        <v>20897</v>
      </c>
      <c r="C16590" s="5" t="str">
        <f>IFERROR(__xludf.DUMMYFUNCTION("GOOGLETRANSLATE(B16590,""en"",""fr"")"),"Nous voyons un écran d'emblème C.")</f>
        <v>Nous voyons un écran d'emblème C.</v>
      </c>
    </row>
    <row r="16591">
      <c r="A16591" s="4" t="s">
        <v>20894</v>
      </c>
      <c r="B16591" s="4" t="s">
        <v>20898</v>
      </c>
      <c r="C16591" s="5" t="str">
        <f>IFERROR(__xludf.DUMMYFUNCTION("GOOGLETRANSLATE(B16591,""en"",""fr"")"),"Nous voyons l'homme continuer à traiter des cartes.")</f>
        <v>Nous voyons l'homme continuer à traiter des cartes.</v>
      </c>
    </row>
    <row r="16592">
      <c r="A16592" s="4" t="s">
        <v>20894</v>
      </c>
      <c r="B16592" s="4" t="s">
        <v>3608</v>
      </c>
      <c r="C16592" s="5" t="str">
        <f>IFERROR(__xludf.DUMMYFUNCTION("GOOGLETRANSLATE(B16592,""en"",""fr"")"),"Nous voyons l'écran de fin.")</f>
        <v>Nous voyons l'écran de fin.</v>
      </c>
    </row>
    <row r="16593">
      <c r="A16593" s="4" t="s">
        <v>20899</v>
      </c>
      <c r="B16593" s="4" t="s">
        <v>20900</v>
      </c>
      <c r="C16593" s="5" t="str">
        <f>IFERROR(__xludf.DUMMYFUNCTION("GOOGLETRANSLATE(B16593,""en"",""fr"")"),"Une jeune femme est dans une pièce qui roule sur un morceau de papier peint gris et blanc sur un mur.")</f>
        <v>Une jeune femme est dans une pièce qui roule sur un morceau de papier peint gris et blanc sur un mur.</v>
      </c>
    </row>
    <row r="16594">
      <c r="A16594" s="4" t="s">
        <v>20899</v>
      </c>
      <c r="B16594" s="4" t="s">
        <v>20901</v>
      </c>
      <c r="C16594" s="5" t="str">
        <f>IFERROR(__xludf.DUMMYFUNCTION("GOOGLETRANSLATE(B16594,""en"",""fr"")"),"Elle est maintenant sur un autre mur et utilise un ustensile pour lisser le papier.")</f>
        <v>Elle est maintenant sur un autre mur et utilise un ustensile pour lisser le papier.</v>
      </c>
    </row>
    <row r="16595">
      <c r="A16595" s="4" t="s">
        <v>20899</v>
      </c>
      <c r="B16595" s="4" t="s">
        <v>20902</v>
      </c>
      <c r="C16595" s="5" t="str">
        <f>IFERROR(__xludf.DUMMYFUNCTION("GOOGLETRANSLATE(B16595,""en"",""fr"")"),"Ensuite, on lui montre la coupe du papier peint gris et le brossant.")</f>
        <v>Ensuite, on lui montre la coupe du papier peint gris et le brossant.</v>
      </c>
    </row>
    <row r="16596">
      <c r="A16596" s="4" t="s">
        <v>20899</v>
      </c>
      <c r="B16596" s="6" t="s">
        <v>20903</v>
      </c>
      <c r="C16596" s="5" t="str">
        <f>IFERROR(__xludf.DUMMYFUNCTION("GOOGLETRANSLATE(B16596,""en"",""fr"")"),"Enfin, elle se déplace vers un autre morceau de fleur et commence à couper l'excès de papier en s'assurant correctement.")</f>
        <v>Enfin, elle se déplace vers un autre morceau de fleur et commence à couper l'excès de papier en s'assurant correctement.</v>
      </c>
    </row>
    <row r="16597">
      <c r="A16597" s="4" t="s">
        <v>20904</v>
      </c>
      <c r="B16597" s="4" t="s">
        <v>20905</v>
      </c>
      <c r="C16597" s="5" t="str">
        <f>IFERROR(__xludf.DUMMYFUNCTION("GOOGLETRANSLATE(B16597,""en"",""fr"")"),"Une personne est vue en collant les mains sous un dink et en frottant du savon sur les mains.")</f>
        <v>Une personne est vue en collant les mains sous un dink et en frottant du savon sur les mains.</v>
      </c>
    </row>
    <row r="16598">
      <c r="A16598" s="4" t="s">
        <v>20904</v>
      </c>
      <c r="B16598" s="4" t="s">
        <v>20906</v>
      </c>
      <c r="C16598" s="5" t="str">
        <f>IFERROR(__xludf.DUMMYFUNCTION("GOOGLETRANSLATE(B16598,""en"",""fr"")"),"La personne se frotte soigneusement les mains puis les dirige sous un robinet.")</f>
        <v>La personne se frotte soigneusement les mains puis les dirige sous un robinet.</v>
      </c>
    </row>
    <row r="16599">
      <c r="A16599" s="4" t="s">
        <v>20904</v>
      </c>
      <c r="B16599" s="4" t="s">
        <v>20907</v>
      </c>
      <c r="C16599" s="5" t="str">
        <f>IFERROR(__xludf.DUMMYFUNCTION("GOOGLETRANSLATE(B16599,""en"",""fr"")"),"Elle attrape ensuite une serviette en papier pour sécher ses mains et les montrer.")</f>
        <v>Elle attrape ensuite une serviette en papier pour sécher ses mains et les montrer.</v>
      </c>
    </row>
    <row r="16600">
      <c r="A16600" s="4" t="s">
        <v>20908</v>
      </c>
      <c r="B16600" s="4" t="s">
        <v>20909</v>
      </c>
      <c r="C16600" s="5" t="str">
        <f>IFERROR(__xludf.DUMMYFUNCTION("GOOGLETRANSLATE(B16600,""en"",""fr"")"),"Un homme est vu s'étendre sur le sol suivi par des personnes se clôturant les uns avec les autres.")</f>
        <v>Un homme est vu s'étendre sur le sol suivi par des personnes se clôturant les uns avec les autres.</v>
      </c>
    </row>
    <row r="16601">
      <c r="A16601" s="4" t="s">
        <v>20908</v>
      </c>
      <c r="B16601" s="6" t="s">
        <v>20910</v>
      </c>
      <c r="C16601" s="5" t="str">
        <f>IFERROR(__xludf.DUMMYFUNCTION("GOOGLETRANSLATE(B16601,""en"",""fr"")"),"Les gens reculent et quatrième autour d'une clôture d'arène les uns avec les autres et la caméra capturant leurs mouvements.")</f>
        <v>Les gens reculent et quatrième autour d'une clôture d'arène les uns avec les autres et la caméra capturant leurs mouvements.</v>
      </c>
    </row>
    <row r="16602">
      <c r="A16602" s="4" t="s">
        <v>20908</v>
      </c>
      <c r="B16602" s="4" t="s">
        <v>20911</v>
      </c>
      <c r="C16602" s="5" t="str">
        <f>IFERROR(__xludf.DUMMYFUNCTION("GOOGLETRANSLATE(B16602,""en"",""fr"")"),"Ils continuent de riposter et quatrième et se terminent en s'éloignant.")</f>
        <v>Ils continuent de riposter et quatrième et se terminent en s'éloignant.</v>
      </c>
    </row>
    <row r="16603">
      <c r="A16603" s="4" t="s">
        <v>20912</v>
      </c>
      <c r="B16603" s="6" t="s">
        <v>20913</v>
      </c>
      <c r="C16603" s="5" t="str">
        <f>IFERROR(__xludf.DUMMYFUNCTION("GOOGLETRANSLATE(B16603,""en"",""fr"")"),"Il y a un restaurant très fréquenté au bord du lac où presque toutes les tables sont occupées par des invités qui y dînent.")</f>
        <v>Il y a un restaurant très fréquenté au bord du lac où presque toutes les tables sont occupées par des invités qui y dînent.</v>
      </c>
    </row>
    <row r="16604">
      <c r="A16604" s="4" t="s">
        <v>20912</v>
      </c>
      <c r="B16604" s="4" t="s">
        <v>20914</v>
      </c>
      <c r="C16604" s="5" t="str">
        <f>IFERROR(__xludf.DUMMYFUNCTION("GOOGLETRANSLATE(B16604,""en"",""fr"")"),"Le serveur remplit la glace dans les verres et Barista fait du café.")</f>
        <v>Le serveur remplit la glace dans les verres et Barista fait du café.</v>
      </c>
    </row>
    <row r="16605">
      <c r="A16605" s="4" t="s">
        <v>20912</v>
      </c>
      <c r="B16605" s="4" t="s">
        <v>20915</v>
      </c>
      <c r="C16605" s="5" t="str">
        <f>IFERROR(__xludf.DUMMYFUNCTION("GOOGLETRANSLATE(B16605,""en"",""fr"")"),"Les clients sont occupés à manger leur nourriture servie.")</f>
        <v>Les clients sont occupés à manger leur nourriture servie.</v>
      </c>
    </row>
    <row r="16606">
      <c r="A16606" s="4" t="s">
        <v>20912</v>
      </c>
      <c r="B16606" s="4" t="s">
        <v>20916</v>
      </c>
      <c r="C16606" s="5" t="str">
        <f>IFERROR(__xludf.DUMMYFUNCTION("GOOGLETRANSLATE(B16606,""en"",""fr"")"),"Le barman mélange des boissons pour faire divers cocktails.")</f>
        <v>Le barman mélange des boissons pour faire divers cocktails.</v>
      </c>
    </row>
    <row r="16607">
      <c r="A16607" s="4" t="s">
        <v>20912</v>
      </c>
      <c r="B16607" s="4" t="s">
        <v>20917</v>
      </c>
      <c r="C16607" s="5" t="str">
        <f>IFERROR(__xludf.DUMMYFUNCTION("GOOGLETRANSLATE(B16607,""en"",""fr"")"),"Le barista fait du latte et du cappuccino.")</f>
        <v>Le barista fait du latte et du cappuccino.</v>
      </c>
    </row>
    <row r="16608">
      <c r="A16608" s="4" t="s">
        <v>20912</v>
      </c>
      <c r="B16608" s="4" t="s">
        <v>20918</v>
      </c>
      <c r="C16608" s="5" t="str">
        <f>IFERROR(__xludf.DUMMYFUNCTION("GOOGLETRANSLATE(B16608,""en"",""fr"")"),"Une clientèle est vue en profiter de ses boissons.")</f>
        <v>Une clientèle est vue en profiter de ses boissons.</v>
      </c>
    </row>
    <row r="16609">
      <c r="A16609" s="4" t="s">
        <v>20919</v>
      </c>
      <c r="B16609" s="4" t="s">
        <v>20920</v>
      </c>
      <c r="C16609" s="5" t="str">
        <f>IFERROR(__xludf.DUMMYFUNCTION("GOOGLETRANSLATE(B16609,""en"",""fr"")"),"Un groupe de femmes se tiendra face à la caméra.")</f>
        <v>Un groupe de femmes se tiendra face à la caméra.</v>
      </c>
    </row>
    <row r="16610">
      <c r="A16610" s="4" t="s">
        <v>20919</v>
      </c>
      <c r="B16610" s="4" t="s">
        <v>20921</v>
      </c>
      <c r="C16610" s="5" t="str">
        <f>IFERROR(__xludf.DUMMYFUNCTION("GOOGLETRANSLATE(B16610,""en"",""fr"")"),"Une femme plus âgée se dirige vers la tête du groupe.")</f>
        <v>Une femme plus âgée se dirige vers la tête du groupe.</v>
      </c>
    </row>
    <row r="16611">
      <c r="A16611" s="4" t="s">
        <v>20919</v>
      </c>
      <c r="B16611" s="4" t="s">
        <v>20922</v>
      </c>
      <c r="C16611" s="5" t="str">
        <f>IFERROR(__xludf.DUMMYFUNCTION("GOOGLETRANSLATE(B16611,""en"",""fr"")"),"Le groupe danse ensemble face à la caméra.")</f>
        <v>Le groupe danse ensemble face à la caméra.</v>
      </c>
    </row>
    <row r="16612">
      <c r="A16612" s="4" t="s">
        <v>20923</v>
      </c>
      <c r="B16612" s="6" t="s">
        <v>20924</v>
      </c>
      <c r="C16612" s="5" t="str">
        <f>IFERROR(__xludf.DUMMYFUNCTION("GOOGLETRANSLATE(B16612,""en"",""fr"")"),"Un homme dans un parking couvert de neige bordé de grands réverbères gratte la neige durcie et la glace de sa voiture de sport marron la nuit.")</f>
        <v>Un homme dans un parking couvert de neige bordé de grands réverbères gratte la neige durcie et la glace de sa voiture de sport marron la nuit.</v>
      </c>
    </row>
    <row r="16613">
      <c r="A16613" s="4" t="s">
        <v>20923</v>
      </c>
      <c r="B16613" s="6" t="s">
        <v>20925</v>
      </c>
      <c r="C16613" s="5" t="str">
        <f>IFERROR(__xludf.DUMMYFUNCTION("GOOGLETRANSLATE(B16613,""en"",""fr"")"),"L'homme commence par gratter la glace et neige du fond de son pare-brise et le capot de sa voiture et de sa grill avant.")</f>
        <v>L'homme commence par gratter la glace et neige du fond de son pare-brise et le capot de sa voiture et de sa grill avant.</v>
      </c>
    </row>
    <row r="16614">
      <c r="A16614" s="4" t="s">
        <v>20923</v>
      </c>
      <c r="B16614" s="6" t="s">
        <v>20926</v>
      </c>
      <c r="C16614" s="5" t="str">
        <f>IFERROR(__xludf.DUMMYFUNCTION("GOOGLETRANSLATE(B16614,""en"",""fr"")"),"L'homme se gratte et donne ensuite des coups de pied sur des morceaux de glace entourant la zone autour du pneu du passager avant.")</f>
        <v>L'homme se gratte et donne ensuite des coups de pied sur des morceaux de glace entourant la zone autour du pneu du passager avant.</v>
      </c>
    </row>
    <row r="16615">
      <c r="A16615" s="4" t="s">
        <v>20923</v>
      </c>
      <c r="B16615" s="6" t="s">
        <v>20927</v>
      </c>
      <c r="C16615" s="5" t="str">
        <f>IFERROR(__xludf.DUMMYFUNCTION("GOOGLETRANSLATE(B16615,""en"",""fr"")"),"Enfin, l'homme gratte la glace du coffre de la voiture et de la zone des pneus arrière avant de renoncer et de marcher vers la caméra.")</f>
        <v>Enfin, l'homme gratte la glace du coffre de la voiture et de la zone des pneus arrière avant de renoncer et de marcher vers la caméra.</v>
      </c>
    </row>
    <row r="16616">
      <c r="A16616" s="4" t="s">
        <v>20928</v>
      </c>
      <c r="B16616" s="6" t="s">
        <v>20929</v>
      </c>
      <c r="C16616" s="5" t="str">
        <f>IFERROR(__xludf.DUMMYFUNCTION("GOOGLETRANSLATE(B16616,""en"",""fr"")"),"Un modèle noir avec imprimé défilant avec lettrage blanc traverse l'écran dans un mouvement vers le haut.")</f>
        <v>Un modèle noir avec imprimé défilant avec lettrage blanc traverse l'écran dans un mouvement vers le haut.</v>
      </c>
    </row>
    <row r="16617">
      <c r="A16617" s="4" t="s">
        <v>20928</v>
      </c>
      <c r="B16617" s="6" t="s">
        <v>20930</v>
      </c>
      <c r="C16617" s="5" t="str">
        <f>IFERROR(__xludf.DUMMYFUNCTION("GOOGLETRANSLATE(B16617,""en"",""fr"")"),"Un bateau à moteur avec deux canoës comme des coques de chaque côté de la voile, navigue sur un océan, en plein jour, avec deux personnes accrochées à côté.")</f>
        <v>Un bateau à moteur avec deux canoës comme des coques de chaque côté de la voile, navigue sur un océan, en plein jour, avec deux personnes accrochées à côté.</v>
      </c>
    </row>
    <row r="16618">
      <c r="A16618" s="4" t="s">
        <v>20928</v>
      </c>
      <c r="B16618" s="6" t="s">
        <v>20931</v>
      </c>
      <c r="C16618" s="5" t="str">
        <f>IFERROR(__xludf.DUMMYFUNCTION("GOOGLETRANSLATE(B16618,""en"",""fr"")"),"L'image du bateau sur l'eau passe à la vision nocturne avec seulement des couleurs vertes et blanches se reflétant avant le roulement des crédits.")</f>
        <v>L'image du bateau sur l'eau passe à la vision nocturne avec seulement des couleurs vertes et blanches se reflétant avant le roulement des crédits.</v>
      </c>
    </row>
    <row r="16619">
      <c r="A16619" s="4" t="s">
        <v>20932</v>
      </c>
      <c r="B16619" s="4" t="s">
        <v>20933</v>
      </c>
      <c r="C16619" s="5" t="str">
        <f>IFERROR(__xludf.DUMMYFUNCTION("GOOGLETRANSLATE(B16619,""en"",""fr"")"),"Quatre personnes participent au BMX Dirt Biking Competition.")</f>
        <v>Quatre personnes participent au BMX Dirt Biking Competition.</v>
      </c>
    </row>
    <row r="16620">
      <c r="A16620" s="4" t="s">
        <v>20932</v>
      </c>
      <c r="B16620" s="4" t="s">
        <v>20934</v>
      </c>
      <c r="C16620" s="5" t="str">
        <f>IFERROR(__xludf.DUMMYFUNCTION("GOOGLETRANSLATE(B16620,""en"",""fr"")"),"Ils font des cascades incroyables sur leurs vélos en sautant haut sur des fossés et un terrain raide.")</f>
        <v>Ils font des cascades incroyables sur leurs vélos en sautant haut sur des fossés et un terrain raide.</v>
      </c>
    </row>
    <row r="16621">
      <c r="A16621" s="4" t="s">
        <v>20932</v>
      </c>
      <c r="B16621" s="4" t="s">
        <v>20935</v>
      </c>
      <c r="C16621" s="5" t="str">
        <f>IFERROR(__xludf.DUMMYFUNCTION("GOOGLETRANSLATE(B16621,""en"",""fr"")"),"L'un des motards prend une chute après avoir sauté sur une route vallonnée.")</f>
        <v>L'un des motards prend une chute après avoir sauté sur une route vallonnée.</v>
      </c>
    </row>
    <row r="16622">
      <c r="A16622" s="4" t="s">
        <v>20932</v>
      </c>
      <c r="B16622" s="4" t="s">
        <v>20936</v>
      </c>
      <c r="C16622" s="5" t="str">
        <f>IFERROR(__xludf.DUMMYFUNCTION("GOOGLETRANSLATE(B16622,""en"",""fr"")"),"Plusieurs autres motards vont à toute vitesse sur un terrain vallonné et des collines escarpées.")</f>
        <v>Plusieurs autres motards vont à toute vitesse sur un terrain vallonné et des collines escarpées.</v>
      </c>
    </row>
    <row r="16623">
      <c r="A16623" s="4" t="s">
        <v>20932</v>
      </c>
      <c r="B16623" s="4" t="s">
        <v>20937</v>
      </c>
      <c r="C16623" s="5" t="str">
        <f>IFERROR(__xludf.DUMMYFUNCTION("GOOGLETRANSLATE(B16623,""en"",""fr"")"),"Les gens sont rassemblés pour regarder et participer à l'événement BMX.")</f>
        <v>Les gens sont rassemblés pour regarder et participer à l'événement BMX.</v>
      </c>
    </row>
    <row r="16624">
      <c r="A16624" s="4" t="s">
        <v>20932</v>
      </c>
      <c r="B16624" s="4" t="s">
        <v>20938</v>
      </c>
      <c r="C16624" s="5" t="str">
        <f>IFERROR(__xludf.DUMMYFUNCTION("GOOGLETRANSLATE(B16624,""en"",""fr"")"),"Les motards continuent de faire leurs cascades alors qu'ils passent sur un terrain vallonné et des hilltes.")</f>
        <v>Les motards continuent de faire leurs cascades alors qu'ils passent sur un terrain vallonné et des hilltes.</v>
      </c>
    </row>
    <row r="16625">
      <c r="A16625" s="4" t="s">
        <v>20932</v>
      </c>
      <c r="B16625" s="4" t="s">
        <v>20939</v>
      </c>
      <c r="C16625" s="5" t="str">
        <f>IFERROR(__xludf.DUMMYFUNCTION("GOOGLETRANSLATE(B16625,""en"",""fr"")"),"Les gagnants de la course reçoivent des trophées et des certificats.")</f>
        <v>Les gagnants de la course reçoivent des trophées et des certificats.</v>
      </c>
    </row>
    <row r="16626">
      <c r="A16626" s="4" t="s">
        <v>20932</v>
      </c>
      <c r="B16626" s="4" t="s">
        <v>20940</v>
      </c>
      <c r="C16626" s="5" t="str">
        <f>IFERROR(__xludf.DUMMYFUNCTION("GOOGLETRANSLATE(B16626,""en"",""fr"")"),"Ils élèvent fièrement leurs trophées en haut pour montrer leur accomplissement.")</f>
        <v>Ils élèvent fièrement leurs trophées en haut pour montrer leur accomplissement.</v>
      </c>
    </row>
    <row r="16627">
      <c r="A16627" s="4" t="s">
        <v>20941</v>
      </c>
      <c r="B16627" s="4" t="s">
        <v>20942</v>
      </c>
      <c r="C16627" s="5" t="str">
        <f>IFERROR(__xludf.DUMMYFUNCTION("GOOGLETRANSLATE(B16627,""en"",""fr"")"),"L'homme monte une paroi rocheuse atachée pour exploiter.")</f>
        <v>L'homme monte une paroi rocheuse atachée pour exploiter.</v>
      </c>
    </row>
    <row r="16628">
      <c r="A16628" s="4" t="s">
        <v>20941</v>
      </c>
      <c r="B16628" s="4" t="s">
        <v>20943</v>
      </c>
      <c r="C16628" s="5" t="str">
        <f>IFERROR(__xludf.DUMMYFUNCTION("GOOGLETRANSLATE(B16628,""en"",""fr"")"),"Un groupe d'amis se tient sur le terrain et au-dessus d'eux, l'homme monte la paroi rocheuse.")</f>
        <v>Un groupe d'amis se tient sur le terrain et au-dessus d'eux, l'homme monte la paroi rocheuse.</v>
      </c>
    </row>
    <row r="16629">
      <c r="A16629" s="4" t="s">
        <v>20941</v>
      </c>
      <c r="B16629" s="6" t="s">
        <v>20944</v>
      </c>
      <c r="C16629" s="5" t="str">
        <f>IFERROR(__xludf.DUMMYFUNCTION("GOOGLETRANSLATE(B16629,""en"",""fr"")"),"L'homme monte la paroi rocheuse qui le tient et les autres personnes sur le sol sont attachées à un harnais prêt à gravir le mur.")</f>
        <v>L'homme monte la paroi rocheuse qui le tient et les autres personnes sur le sol sont attachées à un harnais prêt à gravir le mur.</v>
      </c>
    </row>
    <row r="16630">
      <c r="A16630" s="4" t="s">
        <v>20945</v>
      </c>
      <c r="B16630" s="6" t="s">
        <v>20946</v>
      </c>
      <c r="C16630" s="5" t="str">
        <f>IFERROR(__xludf.DUMMYFUNCTION("GOOGLETRANSLATE(B16630,""en"",""fr"")"),"Un homme portant des gants est vu parler à la caméra tout en tenant divers objets à la caméra.")</f>
        <v>Un homme portant des gants est vu parler à la caméra tout en tenant divers objets à la caméra.</v>
      </c>
    </row>
    <row r="16631">
      <c r="A16631" s="4" t="s">
        <v>20945</v>
      </c>
      <c r="B16631" s="6" t="s">
        <v>20947</v>
      </c>
      <c r="C16631" s="5" t="str">
        <f>IFERROR(__xludf.DUMMYFUNCTION("GOOGLETRANSLATE(B16631,""en"",""fr"")"),"Il rassemble ensuite les objets pour créer une grosse flamme et martèle un outil à la fin et montre les résultats.")</f>
        <v>Il rassemble ensuite les objets pour créer une grosse flamme et martèle un outil à la fin et montre les résultats.</v>
      </c>
    </row>
    <row r="16632">
      <c r="A16632" s="4" t="s">
        <v>20948</v>
      </c>
      <c r="B16632" s="4" t="s">
        <v>20949</v>
      </c>
      <c r="C16632" s="5" t="str">
        <f>IFERROR(__xludf.DUMMYFUNCTION("GOOGLETRANSLATE(B16632,""en"",""fr"")"),"Un homme en chemise grise applique du plâtre avec une spatule portative à la paroi intérieure d'un bâtiment.")</f>
        <v>Un homme en chemise grise applique du plâtre avec une spatule portative à la paroi intérieure d'un bâtiment.</v>
      </c>
    </row>
    <row r="16633">
      <c r="A16633" s="4" t="s">
        <v>20948</v>
      </c>
      <c r="B16633" s="4" t="s">
        <v>20950</v>
      </c>
      <c r="C16633" s="5" t="str">
        <f>IFERROR(__xludf.DUMMYFUNCTION("GOOGLETRANSLATE(B16633,""en"",""fr"")"),"Les principaux indiquent les coins de la pièce pour montrer la ligne qu'il travaille.")</f>
        <v>Les principaux indiquent les coins de la pièce pour montrer la ligne qu'il travaille.</v>
      </c>
    </row>
    <row r="16634">
      <c r="A16634" s="4" t="s">
        <v>20948</v>
      </c>
      <c r="B16634" s="4" t="s">
        <v>20951</v>
      </c>
      <c r="C16634" s="5" t="str">
        <f>IFERROR(__xludf.DUMMYFUNCTION("GOOGLETRANSLATE(B16634,""en"",""fr"")"),"L'homme s'applique plus en plâtre le mur et couvre plus de surface.")</f>
        <v>L'homme s'applique plus en plâtre le mur et couvre plus de surface.</v>
      </c>
    </row>
    <row r="16635">
      <c r="A16635" s="4" t="s">
        <v>20948</v>
      </c>
      <c r="B16635" s="4" t="s">
        <v>20952</v>
      </c>
      <c r="C16635" s="5" t="str">
        <f>IFERROR(__xludf.DUMMYFUNCTION("GOOGLETRANSLATE(B16635,""en"",""fr"")"),"L'homme en gris s'arrête pour discuter avec son partenaire.")</f>
        <v>L'homme en gris s'arrête pour discuter avec son partenaire.</v>
      </c>
    </row>
    <row r="16636">
      <c r="A16636" s="4" t="s">
        <v>20948</v>
      </c>
      <c r="B16636" s="4" t="s">
        <v>20953</v>
      </c>
      <c r="C16636" s="5" t="str">
        <f>IFERROR(__xludf.DUMMYFUNCTION("GOOGLETRANSLATE(B16636,""en"",""fr"")"),"L'homme en gris et son partenaire commencent à appliquer un revêtement sur le mur ensemble.")</f>
        <v>L'homme en gris et son partenaire commencent à appliquer un revêtement sur le mur ensemble.</v>
      </c>
    </row>
    <row r="16637">
      <c r="A16637" s="4" t="s">
        <v>20948</v>
      </c>
      <c r="B16637" s="4" t="s">
        <v>20954</v>
      </c>
      <c r="C16637" s="5" t="str">
        <f>IFERROR(__xludf.DUMMYFUNCTION("GOOGLETRANSLATE(B16637,""en"",""fr"")"),"L'homme en gris regarde et donne des conseils à son ami.")</f>
        <v>L'homme en gris regarde et donne des conseils à son ami.</v>
      </c>
    </row>
    <row r="16638">
      <c r="A16638" s="4" t="s">
        <v>20948</v>
      </c>
      <c r="B16638" s="4" t="s">
        <v>20955</v>
      </c>
      <c r="C16638" s="5" t="str">
        <f>IFERROR(__xludf.DUMMYFUNCTION("GOOGLETRANSLATE(B16638,""en"",""fr"")"),"L'homme en gris et l'ami appliquent tous les deux du plâtre plus haut sur le mur et le plafond.")</f>
        <v>L'homme en gris et l'ami appliquent tous les deux du plâtre plus haut sur le mur et le plafond.</v>
      </c>
    </row>
    <row r="16639">
      <c r="A16639" s="4" t="s">
        <v>20956</v>
      </c>
      <c r="B16639" s="6" t="s">
        <v>20957</v>
      </c>
      <c r="C16639" s="5" t="str">
        <f>IFERROR(__xludf.DUMMYFUNCTION("GOOGLETRANSLATE(B16639,""en"",""fr"")"),"Un chanteur est montré debout sur un piano sur une grande scène et parlant dans le micro tandis qu'un batteur joue en arrière-plan.")</f>
        <v>Un chanteur est montré debout sur un piano sur une grande scène et parlant dans le micro tandis qu'un batteur joue en arrière-plan.</v>
      </c>
    </row>
    <row r="16640">
      <c r="A16640" s="4" t="s">
        <v>20956</v>
      </c>
      <c r="B16640" s="6" t="s">
        <v>20958</v>
      </c>
      <c r="C16640" s="5" t="str">
        <f>IFERROR(__xludf.DUMMYFUNCTION("GOOGLETRANSLATE(B16640,""en"",""fr"")"),"Il continue de chanter vers le public suivi en sautant du piano et en dansant autour de la scène.")</f>
        <v>Il continue de chanter vers le public suivi en sautant du piano et en dansant autour de la scène.</v>
      </c>
    </row>
    <row r="16641">
      <c r="A16641" s="4" t="s">
        <v>20956</v>
      </c>
      <c r="B16641" s="6" t="s">
        <v>20959</v>
      </c>
      <c r="C16641" s="5" t="str">
        <f>IFERROR(__xludf.DUMMYFUNCTION("GOOGLETRANSLATE(B16641,""en"",""fr"")"),"Les tambours continuent de jouer et les lumières scintillent derrière lui pendant que les gens mélangent d'autres tambours autour de l'ensemble.")</f>
        <v>Les tambours continuent de jouer et les lumières scintillent derrière lui pendant que les gens mélangent d'autres tambours autour de l'ensemble.</v>
      </c>
    </row>
    <row r="16642">
      <c r="A16642" s="4" t="s">
        <v>20956</v>
      </c>
      <c r="B16642" s="6" t="s">
        <v>20960</v>
      </c>
      <c r="C16642" s="5" t="str">
        <f>IFERROR(__xludf.DUMMYFUNCTION("GOOGLETRANSLATE(B16642,""en"",""fr"")"),"Les deux hommes commencent alors à jouer les tambours dos à dos les uns avec les autres tout en basculant entre les kits de batterie et les mouvements.")</f>
        <v>Les deux hommes commencent alors à jouer les tambours dos à dos les uns avec les autres tout en basculant entre les kits de batterie et les mouvements.</v>
      </c>
    </row>
    <row r="16643">
      <c r="A16643" s="4" t="s">
        <v>20961</v>
      </c>
      <c r="B16643" s="4" t="s">
        <v>20962</v>
      </c>
      <c r="C16643" s="5" t="str">
        <f>IFERROR(__xludf.DUMMYFUNCTION("GOOGLETRANSLATE(B16643,""en"",""fr"")"),"Une caméra se déroule sur un téléviseur qui mène à un homme tenant un bâton devant une grande foule.")</f>
        <v>Une caméra se déroule sur un téléviseur qui mène à un homme tenant un bâton devant une grande foule.</v>
      </c>
    </row>
    <row r="16644">
      <c r="A16644" s="4" t="s">
        <v>20961</v>
      </c>
      <c r="B16644" s="4" t="s">
        <v>20963</v>
      </c>
      <c r="C16644" s="5" t="str">
        <f>IFERROR(__xludf.DUMMYFUNCTION("GOOGLETRANSLATE(B16644,""en"",""fr"")"),"Il parle à une femme et une photo de personnes qui jouent à un shuffle se montre au ralenti.")</f>
        <v>Il parle à une femme et une photo de personnes qui jouent à un shuffle se montre au ralenti.</v>
      </c>
    </row>
    <row r="16645">
      <c r="A16645" s="4" t="s">
        <v>20964</v>
      </c>
      <c r="B16645" s="4" t="s">
        <v>20965</v>
      </c>
      <c r="C16645" s="5" t="str">
        <f>IFERROR(__xludf.DUMMYFUNCTION("GOOGLETRANSLATE(B16645,""en"",""fr"")"),"Une personne aiguise un couteau derrière une table.")</f>
        <v>Une personne aiguise un couteau derrière une table.</v>
      </c>
    </row>
    <row r="16646">
      <c r="A16646" s="4" t="s">
        <v>20964</v>
      </c>
      <c r="B16646" s="4" t="s">
        <v>20966</v>
      </c>
      <c r="C16646" s="5" t="str">
        <f>IFERROR(__xludf.DUMMYFUNCTION("GOOGLETRANSLATE(B16646,""en"",""fr"")"),"Les gens se tiennent devant la table en regardant.")</f>
        <v>Les gens se tiennent devant la table en regardant.</v>
      </c>
    </row>
    <row r="16647">
      <c r="A16647" s="4" t="s">
        <v>20964</v>
      </c>
      <c r="B16647" s="4" t="s">
        <v>20967</v>
      </c>
      <c r="C16647" s="5" t="str">
        <f>IFERROR(__xludf.DUMMYFUNCTION("GOOGLETRANSLATE(B16647,""en"",""fr"")"),"Il ramasse le pointeur du couteau et l'utilise pour aiguiser le couteau.")</f>
        <v>Il ramasse le pointeur du couteau et l'utilise pour aiguiser le couteau.</v>
      </c>
    </row>
    <row r="16648">
      <c r="A16648" s="4" t="s">
        <v>20968</v>
      </c>
      <c r="B16648" s="6" t="s">
        <v>20969</v>
      </c>
      <c r="C16648" s="5" t="str">
        <f>IFERROR(__xludf.DUMMYFUNCTION("GOOGLETRANSLATE(B16648,""en"",""fr"")"),"On voit une femme laver la vaisselle dans un évier tandis qu'un homme parle à la caméra et zoome sur la vaisselle.")</f>
        <v>On voit une femme laver la vaisselle dans un évier tandis qu'un homme parle à la caméra et zoome sur la vaisselle.</v>
      </c>
    </row>
    <row r="16649">
      <c r="A16649" s="4" t="s">
        <v>20968</v>
      </c>
      <c r="B16649" s="4" t="s">
        <v>20970</v>
      </c>
      <c r="C16649" s="5" t="str">
        <f>IFERROR(__xludf.DUMMYFUNCTION("GOOGLETRANSLATE(B16649,""en"",""fr"")"),"L'homme continue de parler à la caméra et de montrer comment laver correctement la vaisselle.")</f>
        <v>L'homme continue de parler à la caméra et de montrer comment laver correctement la vaisselle.</v>
      </c>
    </row>
    <row r="16650">
      <c r="A16650" s="4" t="s">
        <v>20971</v>
      </c>
      <c r="B16650" s="6" t="s">
        <v>20972</v>
      </c>
      <c r="C16650" s="5" t="str">
        <f>IFERROR(__xludf.DUMMYFUNCTION("GOOGLETRANSLATE(B16650,""en"",""fr"")"),"Une personne est vue debout devant une table de pique-nique parlant à la caméra tout en tenant une roue à vélo.")</f>
        <v>Une personne est vue debout devant une table de pique-nique parlant à la caméra tout en tenant une roue à vélo.</v>
      </c>
    </row>
    <row r="16651">
      <c r="A16651" s="4" t="s">
        <v>20971</v>
      </c>
      <c r="B16651" s="6" t="s">
        <v>20973</v>
      </c>
      <c r="C16651" s="5" t="str">
        <f>IFERROR(__xludf.DUMMYFUNCTION("GOOGLETRANSLATE(B16651,""en"",""fr"")"),"Il met ensuite le pneu sur le sol, se déplaçant ses mains autour de l'assureur que le pneu est correctement gonflé.")</f>
        <v>Il met ensuite le pneu sur le sol, se déplaçant ses mains autour de l'assureur que le pneu est correctement gonflé.</v>
      </c>
    </row>
    <row r="16652">
      <c r="A16652" s="4" t="s">
        <v>20971</v>
      </c>
      <c r="B16652" s="4" t="s">
        <v>20974</v>
      </c>
      <c r="C16652" s="5" t="str">
        <f>IFERROR(__xludf.DUMMYFUNCTION("GOOGLETRANSLATE(B16652,""en"",""fr"")"),"Il fait tourner le pneu sur la table puis sort une corde pour l'attacher.")</f>
        <v>Il fait tourner le pneu sur la table puis sort une corde pour l'attacher.</v>
      </c>
    </row>
    <row r="16653">
      <c r="A16653" s="4" t="s">
        <v>20975</v>
      </c>
      <c r="B16653" s="4" t="s">
        <v>20976</v>
      </c>
      <c r="C16653" s="5" t="str">
        <f>IFERROR(__xludf.DUMMYFUNCTION("GOOGLETRANSLATE(B16653,""en"",""fr"")"),"Deux personnes sont vues reculer et quatrième sur un grand tapis tout en espérant les uns avec les autres.")</f>
        <v>Deux personnes sont vues reculer et quatrième sur un grand tapis tout en espérant les uns avec les autres.</v>
      </c>
    </row>
    <row r="16654">
      <c r="A16654" s="4" t="s">
        <v>20975</v>
      </c>
      <c r="B16654" s="4" t="s">
        <v>20977</v>
      </c>
      <c r="C16654" s="5" t="str">
        <f>IFERROR(__xludf.DUMMYFUNCTION("GOOGLETRANSLATE(B16654,""en"",""fr"")"),"Le public applaudit en terminant et se termine en montrant à nouveau le match au ralenti.")</f>
        <v>Le public applaudit en terminant et se termine en montrant à nouveau le match au ralenti.</v>
      </c>
    </row>
    <row r="16655">
      <c r="A16655" s="4" t="s">
        <v>20978</v>
      </c>
      <c r="B16655" s="6" t="s">
        <v>20979</v>
      </c>
      <c r="C16655" s="5" t="str">
        <f>IFERROR(__xludf.DUMMYFUNCTION("GOOGLETRANSLATE(B16655,""en"",""fr"")"),"Une personne est vue assise dans un tube buvant une bière tandis que d'autres personnes sont vues au loin.")</f>
        <v>Une personne est vue assise dans un tube buvant une bière tandis que d'autres personnes sont vues au loin.</v>
      </c>
    </row>
    <row r="16656">
      <c r="A16656" s="4" t="s">
        <v>20978</v>
      </c>
      <c r="B16656" s="6" t="s">
        <v>20980</v>
      </c>
      <c r="C16656" s="5" t="str">
        <f>IFERROR(__xludf.DUMMYFUNCTION("GOOGLETRANSLATE(B16656,""en"",""fr"")"),"Plus de coups sont montrés des personnes qui roulent dans des tubes tout en buvant des bières et en s'exprimant.")</f>
        <v>Plus de coups sont montrés des personnes qui roulent dans des tubes tout en buvant des bières et en s'exprimant.</v>
      </c>
    </row>
    <row r="16657">
      <c r="A16657" s="4" t="s">
        <v>20981</v>
      </c>
      <c r="B16657" s="4" t="s">
        <v>20982</v>
      </c>
      <c r="C16657" s="5" t="str">
        <f>IFERROR(__xludf.DUMMYFUNCTION("GOOGLETRANSLATE(B16657,""en"",""fr"")"),"Une fille est vue en parlant à la caméra et mène à ses bouteilles qui tiennent des bouteilles et se lavant le visage.")</f>
        <v>Une fille est vue en parlant à la caméra et mène à ses bouteilles qui tiennent des bouteilles et se lavant le visage.</v>
      </c>
    </row>
    <row r="16658">
      <c r="A16658" s="4" t="s">
        <v>20981</v>
      </c>
      <c r="B16658" s="4" t="s">
        <v>20983</v>
      </c>
      <c r="C16658" s="5" t="str">
        <f>IFERROR(__xludf.DUMMYFUNCTION("GOOGLETRANSLATE(B16658,""en"",""fr"")"),"Elle s'essuie face contre terre avec une serviette puis met une lotion sur son visage.")</f>
        <v>Elle s'essuie face contre terre avec une serviette puis met une lotion sur son visage.</v>
      </c>
    </row>
    <row r="16659">
      <c r="A16659" s="4" t="s">
        <v>20984</v>
      </c>
      <c r="B16659" s="6" t="s">
        <v>20985</v>
      </c>
      <c r="C16659" s="5" t="str">
        <f>IFERROR(__xludf.DUMMYFUNCTION("GOOGLETRANSLATE(B16659,""en"",""fr"")"),"Un homme habillé en auberge, une chemise noire et un short à imprimé camouflage montre comment réparer les pneus en caoutchouc sur un bord de roue de voiture.")</f>
        <v>Un homme habillé en auberge, une chemise noire et un short à imprimé camouflage montre comment réparer les pneus en caoutchouc sur un bord de roue de voiture.</v>
      </c>
    </row>
    <row r="16660">
      <c r="A16660" s="4" t="s">
        <v>20984</v>
      </c>
      <c r="B16660" s="4" t="s">
        <v>20986</v>
      </c>
      <c r="C16660" s="5" t="str">
        <f>IFERROR(__xludf.DUMMYFUNCTION("GOOGLETRANSLATE(B16660,""en"",""fr"")"),"Il montre tous les outils nécessaires pour faire le processus.")</f>
        <v>Il montre tous les outils nécessaires pour faire le processus.</v>
      </c>
    </row>
    <row r="16661">
      <c r="A16661" s="4" t="s">
        <v>20984</v>
      </c>
      <c r="B16661" s="4" t="s">
        <v>20987</v>
      </c>
      <c r="C16661" s="5" t="str">
        <f>IFERROR(__xludf.DUMMYFUNCTION("GOOGLETRANSLATE(B16661,""en"",""fr"")"),"Il prend le pneu en caoutchouc et le pulvérise avec un liquide.")</f>
        <v>Il prend le pneu en caoutchouc et le pulvérise avec un liquide.</v>
      </c>
    </row>
    <row r="16662">
      <c r="A16662" s="4" t="s">
        <v>20984</v>
      </c>
      <c r="B16662" s="4" t="s">
        <v>20988</v>
      </c>
      <c r="C16662" s="5" t="str">
        <f>IFERROR(__xludf.DUMMYFUNCTION("GOOGLETRANSLATE(B16662,""en"",""fr"")"),"Puis il s'adapte au bord intérieur de la roue dans le pneu.")</f>
        <v>Puis il s'adapte au bord intérieur de la roue dans le pneu.</v>
      </c>
    </row>
    <row r="16663">
      <c r="A16663" s="4" t="s">
        <v>20984</v>
      </c>
      <c r="B16663" s="4" t="s">
        <v>20989</v>
      </c>
      <c r="C16663" s="5" t="str">
        <f>IFERROR(__xludf.DUMMYFUNCTION("GOOGLETRANSLATE(B16663,""en"",""fr"")"),"Il utilise un maillet pour le sécuriser fermement.")</f>
        <v>Il utilise un maillet pour le sécuriser fermement.</v>
      </c>
    </row>
    <row r="16664">
      <c r="A16664" s="4" t="s">
        <v>20984</v>
      </c>
      <c r="B16664" s="6" t="s">
        <v>20990</v>
      </c>
      <c r="C16664" s="5" t="str">
        <f>IFERROR(__xludf.DUMMYFUNCTION("GOOGLETRANSLATE(B16664,""en"",""fr"")"),"Il utilise ensuite un outil pour resserrer les différentes vis qui traversent tout le diamètre du cercle intérieur du pneu.")</f>
        <v>Il utilise ensuite un outil pour resserrer les différentes vis qui traversent tout le diamètre du cercle intérieur du pneu.</v>
      </c>
    </row>
    <row r="16665">
      <c r="A16665" s="4" t="s">
        <v>20984</v>
      </c>
      <c r="B16665" s="4" t="s">
        <v>20991</v>
      </c>
      <c r="C16665" s="5" t="str">
        <f>IFERROR(__xludf.DUMMYFUNCTION("GOOGLETRANSLATE(B16665,""en"",""fr"")"),"Ensuite, il utilise une clé à couple pour resserrer les vis.")</f>
        <v>Ensuite, il utilise une clé à couple pour resserrer les vis.</v>
      </c>
    </row>
    <row r="16666">
      <c r="A16666" s="4" t="s">
        <v>20984</v>
      </c>
      <c r="B16666" s="4" t="s">
        <v>20992</v>
      </c>
      <c r="C16666" s="5" t="str">
        <f>IFERROR(__xludf.DUMMYFUNCTION("GOOGLETRANSLATE(B16666,""en"",""fr"")"),"Il remplit l'air et vérifie la pression des pneus.")</f>
        <v>Il remplit l'air et vérifie la pression des pneus.</v>
      </c>
    </row>
    <row r="16667">
      <c r="A16667" s="4" t="s">
        <v>20993</v>
      </c>
      <c r="B16667" s="4" t="s">
        <v>20994</v>
      </c>
      <c r="C16667" s="5" t="str">
        <f>IFERROR(__xludf.DUMMYFUNCTION("GOOGLETRANSLATE(B16667,""en"",""fr"")"),"Un groupe de filles pose pour une photo.")</f>
        <v>Un groupe de filles pose pour une photo.</v>
      </c>
    </row>
    <row r="16668">
      <c r="A16668" s="4" t="s">
        <v>20993</v>
      </c>
      <c r="B16668" s="4" t="s">
        <v>20995</v>
      </c>
      <c r="C16668" s="5" t="str">
        <f>IFERROR(__xludf.DUMMYFUNCTION("GOOGLETRANSLATE(B16668,""en"",""fr"")"),"Ils sont ensuite montrés en jouant au volleyall sur un champ devant plusieurs tentes.")</f>
        <v>Ils sont ensuite montrés en jouant au volleyall sur un champ devant plusieurs tentes.</v>
      </c>
    </row>
    <row r="16669">
      <c r="A16669" s="4" t="s">
        <v>20993</v>
      </c>
      <c r="B16669" s="4" t="s">
        <v>20996</v>
      </c>
      <c r="C16669" s="5" t="str">
        <f>IFERROR(__xludf.DUMMYFUNCTION("GOOGLETRANSLATE(B16669,""en"",""fr"")"),"Ils lobent le ballon d'avant en arrière.")</f>
        <v>Ils lobent le ballon d'avant en arrière.</v>
      </c>
    </row>
    <row r="16670">
      <c r="A16670" s="4" t="s">
        <v>20993</v>
      </c>
      <c r="B16670" s="4" t="s">
        <v>20997</v>
      </c>
      <c r="C16670" s="5" t="str">
        <f>IFERROR(__xludf.DUMMYFUNCTION("GOOGLETRANSLATE(B16670,""en"",""fr"")"),"Un garçon fait un geste de main devant la caméra alors qu'il sourit.")</f>
        <v>Un garçon fait un geste de main devant la caméra alors qu'il sourit.</v>
      </c>
    </row>
    <row r="16671">
      <c r="A16671" s="4" t="s">
        <v>20993</v>
      </c>
      <c r="B16671" s="4" t="s">
        <v>20998</v>
      </c>
      <c r="C16671" s="5" t="str">
        <f>IFERROR(__xludf.DUMMYFUNCTION("GOOGLETRANSLATE(B16671,""en"",""fr"")"),"Encore une fois, on nous montre le groupe de filles posant sur la photo.")</f>
        <v>Encore une fois, on nous montre le groupe de filles posant sur la photo.</v>
      </c>
    </row>
    <row r="16672">
      <c r="A16672" s="4" t="s">
        <v>20999</v>
      </c>
      <c r="B16672" s="4" t="s">
        <v>21000</v>
      </c>
      <c r="C16672" s="5" t="str">
        <f>IFERROR(__xludf.DUMMYFUNCTION("GOOGLETRANSLATE(B16672,""en"",""fr"")"),"Une femme est vue parler à la caméra tout en se tenant devant une planche.")</f>
        <v>Une femme est vue parler à la caméra tout en se tenant devant une planche.</v>
      </c>
    </row>
    <row r="16673">
      <c r="A16673" s="4" t="s">
        <v>20999</v>
      </c>
      <c r="B16673" s="4" t="s">
        <v>21001</v>
      </c>
      <c r="C16673" s="5" t="str">
        <f>IFERROR(__xludf.DUMMYFUNCTION("GOOGLETRANSLATE(B16673,""en"",""fr"")"),"Elle commence à se déplacer de haut en bas de la planche tout en se tournant et en bougeant son corps.")</f>
        <v>Elle commence à se déplacer de haut en bas de la planche tout en se tournant et en bougeant son corps.</v>
      </c>
    </row>
    <row r="16674">
      <c r="A16674" s="4" t="s">
        <v>20999</v>
      </c>
      <c r="B16674" s="4" t="s">
        <v>21002</v>
      </c>
      <c r="C16674" s="5" t="str">
        <f>IFERROR(__xludf.DUMMYFUNCTION("GOOGLETRANSLATE(B16674,""en"",""fr"")"),"Elle continue de se déplacer et s'arrête pour faire face à la caméra à la fin.")</f>
        <v>Elle continue de se déplacer et s'arrête pour faire face à la caméra à la fin.</v>
      </c>
    </row>
    <row r="16675">
      <c r="A16675" s="4" t="s">
        <v>21003</v>
      </c>
      <c r="B16675" s="4" t="s">
        <v>21004</v>
      </c>
      <c r="C16675" s="5" t="str">
        <f>IFERROR(__xludf.DUMMYFUNCTION("GOOGLETRANSLATE(B16675,""en"",""fr"")"),"Nous voyons des gens jouer du water-polo dans une piscine.")</f>
        <v>Nous voyons des gens jouer du water-polo dans une piscine.</v>
      </c>
    </row>
    <row r="16676">
      <c r="A16676" s="4" t="s">
        <v>21003</v>
      </c>
      <c r="B16676" s="4" t="s">
        <v>21005</v>
      </c>
      <c r="C16676" s="5" t="str">
        <f>IFERROR(__xludf.DUMMYFUNCTION("GOOGLETRANSLATE(B16676,""en"",""fr"")"),"Un homme à l'arrière à droite met le ballon à un joueur plus près du but.")</f>
        <v>Un homme à l'arrière à droite met le ballon à un joueur plus près du but.</v>
      </c>
    </row>
    <row r="16677">
      <c r="A16677" s="4" t="s">
        <v>21003</v>
      </c>
      <c r="B16677" s="4" t="s">
        <v>21006</v>
      </c>
      <c r="C16677" s="5" t="str">
        <f>IFERROR(__xludf.DUMMYFUNCTION("GOOGLETRANSLATE(B16677,""en"",""fr"")"),"Ce joueur jette ensuite le ballon vers un homme à gauche.")</f>
        <v>Ce joueur jette ensuite le ballon vers un homme à gauche.</v>
      </c>
    </row>
    <row r="16678">
      <c r="A16678" s="4" t="s">
        <v>21003</v>
      </c>
      <c r="B16678" s="4" t="s">
        <v>21007</v>
      </c>
      <c r="C16678" s="5" t="str">
        <f>IFERROR(__xludf.DUMMYFUNCTION("GOOGLETRANSLATE(B16678,""en"",""fr"")"),"Un homme attrape le ballon et le jette dans le but.")</f>
        <v>Un homme attrape le ballon et le jette dans le but.</v>
      </c>
    </row>
    <row r="16679">
      <c r="A16679" s="4" t="s">
        <v>21008</v>
      </c>
      <c r="B16679" s="6" t="s">
        <v>21009</v>
      </c>
      <c r="C16679" s="5" t="str">
        <f>IFERROR(__xludf.DUMMYFUNCTION("GOOGLETRANSLATE(B16679,""en"",""fr"")"),"Un jeune garçon est vu rouler le long d'une planche à roulettes, suivi de plusieurs autres photos de personnes roulant sur des planches.")</f>
        <v>Un jeune garçon est vu rouler le long d'une planche à roulettes, suivi de plusieurs autres photos de personnes roulant sur des planches.</v>
      </c>
    </row>
    <row r="16680">
      <c r="A16680" s="4" t="s">
        <v>21008</v>
      </c>
      <c r="B16680" s="6" t="s">
        <v>21010</v>
      </c>
      <c r="C16680" s="5" t="str">
        <f>IFERROR(__xludf.DUMMYFUNCTION("GOOGLETRANSLATE(B16680,""en"",""fr"")"),"Les garçons effectuent plusieurs astuces tandis que la caméra se déroule dans le ciel et monte de haut en bas sur la piste.")</f>
        <v>Les garçons effectuent plusieurs astuces tandis que la caméra se déroule dans le ciel et monte de haut en bas sur la piste.</v>
      </c>
    </row>
    <row r="16681">
      <c r="A16681" s="4" t="s">
        <v>21011</v>
      </c>
      <c r="B16681" s="4" t="s">
        <v>21012</v>
      </c>
      <c r="C16681" s="5" t="str">
        <f>IFERROR(__xludf.DUMMYFUNCTION("GOOGLETRANSLATE(B16681,""en"",""fr"")"),"Une femme joue un ensemble de cornemas dans une pièce.")</f>
        <v>Une femme joue un ensemble de cornemas dans une pièce.</v>
      </c>
    </row>
    <row r="16682">
      <c r="A16682" s="4" t="s">
        <v>21011</v>
      </c>
      <c r="B16682" s="4" t="s">
        <v>21013</v>
      </c>
      <c r="C16682" s="5" t="str">
        <f>IFERROR(__xludf.DUMMYFUNCTION("GOOGLETRANSLATE(B16682,""en"",""fr"")"),"Elle rit comme un homme l'aide à ajuster les tuyaux et continue de jouer.")</f>
        <v>Elle rit comme un homme l'aide à ajuster les tuyaux et continue de jouer.</v>
      </c>
    </row>
    <row r="16683">
      <c r="A16683" s="4" t="s">
        <v>21014</v>
      </c>
      <c r="B16683" s="4" t="s">
        <v>21015</v>
      </c>
      <c r="C16683" s="5" t="str">
        <f>IFERROR(__xludf.DUMMYFUNCTION("GOOGLETRANSLATE(B16683,""en"",""fr"")"),"Un grand chien noir marche dans la rue.")</f>
        <v>Un grand chien noir marche dans la rue.</v>
      </c>
    </row>
    <row r="16684">
      <c r="A16684" s="4" t="s">
        <v>21014</v>
      </c>
      <c r="B16684" s="4" t="s">
        <v>21016</v>
      </c>
      <c r="C16684" s="5" t="str">
        <f>IFERROR(__xludf.DUMMYFUNCTION("GOOGLETRANSLATE(B16684,""en"",""fr"")"),"Il tient la laisse d'un autre chien dans sa bouche.")</f>
        <v>Il tient la laisse d'un autre chien dans sa bouche.</v>
      </c>
    </row>
    <row r="16685">
      <c r="A16685" s="4" t="s">
        <v>21014</v>
      </c>
      <c r="B16685" s="4" t="s">
        <v>21017</v>
      </c>
      <c r="C16685" s="5" t="str">
        <f>IFERROR(__xludf.DUMMYFUNCTION("GOOGLETRANSLATE(B16685,""en"",""fr"")"),"Le deuxième chien permet au premier de le conduire partout où il va.")</f>
        <v>Le deuxième chien permet au premier de le conduire partout où il va.</v>
      </c>
    </row>
    <row r="16686">
      <c r="A16686" s="4" t="s">
        <v>21018</v>
      </c>
      <c r="B16686" s="4" t="s">
        <v>21019</v>
      </c>
      <c r="C16686" s="5" t="str">
        <f>IFERROR(__xludf.DUMMYFUNCTION("GOOGLETRANSLATE(B16686,""en"",""fr"")"),"Une femme est allongée sur le sol dans une pièce.")</f>
        <v>Une femme est allongée sur le sol dans une pièce.</v>
      </c>
    </row>
    <row r="16687">
      <c r="A16687" s="4" t="s">
        <v>21018</v>
      </c>
      <c r="B16687" s="4" t="s">
        <v>21020</v>
      </c>
      <c r="C16687" s="5" t="str">
        <f>IFERROR(__xludf.DUMMYFUNCTION("GOOGLETRANSLATE(B16687,""en"",""fr"")"),"La musique commence à jouer et elle se lève et commence la danse du ventre.")</f>
        <v>La musique commence à jouer et elle se lève et commence la danse du ventre.</v>
      </c>
    </row>
    <row r="16688">
      <c r="A16688" s="4" t="s">
        <v>21018</v>
      </c>
      <c r="B16688" s="4" t="s">
        <v>21021</v>
      </c>
      <c r="C16688" s="5" t="str">
        <f>IFERROR(__xludf.DUMMYFUNCTION("GOOGLETRANSLATE(B16688,""en"",""fr"")"),"Alors qu'elle danse, d'autres regardent.")</f>
        <v>Alors qu'elle danse, d'autres regardent.</v>
      </c>
    </row>
    <row r="16689">
      <c r="A16689" s="4" t="s">
        <v>21018</v>
      </c>
      <c r="B16689" s="4" t="s">
        <v>21022</v>
      </c>
      <c r="C16689" s="5" t="str">
        <f>IFERROR(__xludf.DUMMYFUNCTION("GOOGLETRANSLATE(B16689,""en"",""fr"")"),"En arrière-plan, un enfant fait un câlin à une femme en regardant.")</f>
        <v>En arrière-plan, un enfant fait un câlin à une femme en regardant.</v>
      </c>
    </row>
    <row r="16690">
      <c r="A16690" s="4" t="s">
        <v>21018</v>
      </c>
      <c r="B16690" s="4" t="s">
        <v>21023</v>
      </c>
      <c r="C16690" s="5" t="str">
        <f>IFERROR(__xludf.DUMMYFUNCTION("GOOGLETRANSLATE(B16690,""en"",""fr"")"),"La musique s'arrête et la danseuse quitte la scène.")</f>
        <v>La musique s'arrête et la danseuse quitte la scène.</v>
      </c>
    </row>
    <row r="16691">
      <c r="A16691" s="4" t="s">
        <v>21024</v>
      </c>
      <c r="B16691" s="4" t="s">
        <v>21025</v>
      </c>
      <c r="C16691" s="5" t="str">
        <f>IFERROR(__xludf.DUMMYFUNCTION("GOOGLETRANSLATE(B16691,""en"",""fr"")"),"Une jeune femme est assise une chaise extrêmement immobile alors qu'une paire de ciseaux se lance le nez.")</f>
        <v>Une jeune femme est assise une chaise extrêmement immobile alors qu'une paire de ciseaux se lance le nez.</v>
      </c>
    </row>
    <row r="16692">
      <c r="A16692" s="4" t="s">
        <v>21024</v>
      </c>
      <c r="B16692" s="6" t="s">
        <v>21026</v>
      </c>
      <c r="C16692" s="5" t="str">
        <f>IFERROR(__xludf.DUMMYFUNCTION("GOOGLETRANSLATE(B16692,""en"",""fr"")"),"La personne qui perçait son septum continue de le tenir et attrape l'aiguille avec l'autre main.")</f>
        <v>La personne qui perçait son septum continue de le tenir et attrape l'aiguille avec l'autre main.</v>
      </c>
    </row>
    <row r="16693">
      <c r="A16693" s="4" t="s">
        <v>21024</v>
      </c>
      <c r="B16693" s="6" t="s">
        <v>21027</v>
      </c>
      <c r="C16693" s="5" t="str">
        <f>IFERROR(__xludf.DUMMYFUNCTION("GOOGLETRANSLATE(B16693,""en"",""fr"")"),"Une fois qu'il le perce, une goutte de morve vole de son nez et la fille commence à parler jusqu'à ce que les balles soient à l'extrémité du ring.")</f>
        <v>Une fois qu'il le perce, une goutte de morve vole de son nez et la fille commence à parler jusqu'à ce que les balles soient à l'extrémité du ring.</v>
      </c>
    </row>
    <row r="16694">
      <c r="A16694" s="4" t="s">
        <v>21028</v>
      </c>
      <c r="B16694" s="4" t="s">
        <v>21029</v>
      </c>
      <c r="C16694" s="5" t="str">
        <f>IFERROR(__xludf.DUMMYFUNCTION("GOOGLETRANSLATE(B16694,""en"",""fr"")"),"Un homme marche sur un plongeon et saute.")</f>
        <v>Un homme marche sur un plongeon et saute.</v>
      </c>
    </row>
    <row r="16695">
      <c r="A16695" s="4" t="s">
        <v>21028</v>
      </c>
      <c r="B16695" s="4" t="s">
        <v>21030</v>
      </c>
      <c r="C16695" s="5" t="str">
        <f>IFERROR(__xludf.DUMMYFUNCTION("GOOGLETRANSLATE(B16695,""en"",""fr"")"),"Ensuite, l'homme se retourne trois fois et plongea dans la piscine.")</f>
        <v>Ensuite, l'homme se retourne trois fois et plongea dans la piscine.</v>
      </c>
    </row>
    <row r="16696">
      <c r="A16696" s="4" t="s">
        <v>21031</v>
      </c>
      <c r="B16696" s="4" t="s">
        <v>21032</v>
      </c>
      <c r="C16696" s="5" t="str">
        <f>IFERROR(__xludf.DUMMYFUNCTION("GOOGLETRANSLATE(B16696,""en"",""fr"")"),"Une pinata est suspendue au plafond.")</f>
        <v>Une pinata est suspendue au plafond.</v>
      </c>
    </row>
    <row r="16697">
      <c r="A16697" s="4" t="s">
        <v>21031</v>
      </c>
      <c r="B16697" s="4" t="s">
        <v>21033</v>
      </c>
      <c r="C16697" s="5" t="str">
        <f>IFERROR(__xludf.DUMMYFUNCTION("GOOGLETRANSLATE(B16697,""en"",""fr"")"),"Un garçon frappe la pinata avec un bâton.")</f>
        <v>Un garçon frappe la pinata avec un bâton.</v>
      </c>
    </row>
    <row r="16698">
      <c r="A16698" s="4" t="s">
        <v>21031</v>
      </c>
      <c r="B16698" s="4" t="s">
        <v>21034</v>
      </c>
      <c r="C16698" s="5" t="str">
        <f>IFERROR(__xludf.DUMMYFUNCTION("GOOGLETRANSLATE(B16698,""en"",""fr"")"),"Les gens se tiennent derrière lui à regarder.")</f>
        <v>Les gens se tiennent derrière lui à regarder.</v>
      </c>
    </row>
    <row r="16699">
      <c r="A16699" s="4" t="s">
        <v>21035</v>
      </c>
      <c r="B16699" s="4" t="s">
        <v>21036</v>
      </c>
      <c r="C16699" s="5" t="str">
        <f>IFERROR(__xludf.DUMMYFUNCTION("GOOGLETRANSLATE(B16699,""en"",""fr"")"),"Un travailleur retire la mousse du haut d'un toit.")</f>
        <v>Un travailleur retire la mousse du haut d'un toit.</v>
      </c>
    </row>
    <row r="16700">
      <c r="A16700" s="4" t="s">
        <v>21035</v>
      </c>
      <c r="B16700" s="4" t="s">
        <v>21037</v>
      </c>
      <c r="C16700" s="5" t="str">
        <f>IFERROR(__xludf.DUMMYFUNCTION("GOOGLETRANSLATE(B16700,""en"",""fr"")"),"Un autre travailleur pulvérise de l'eau sur tout le toit.")</f>
        <v>Un autre travailleur pulvérise de l'eau sur tout le toit.</v>
      </c>
    </row>
    <row r="16701">
      <c r="A16701" s="4" t="s">
        <v>21035</v>
      </c>
      <c r="B16701" s="4" t="s">
        <v>21038</v>
      </c>
      <c r="C16701" s="5" t="str">
        <f>IFERROR(__xludf.DUMMYFUNCTION("GOOGLETRANSLATE(B16701,""en"",""fr"")"),"Le toit est alors vraiment propre.")</f>
        <v>Le toit est alors vraiment propre.</v>
      </c>
    </row>
    <row r="16702">
      <c r="A16702" s="4" t="s">
        <v>21039</v>
      </c>
      <c r="B16702" s="4" t="s">
        <v>21040</v>
      </c>
      <c r="C16702" s="5" t="str">
        <f>IFERROR(__xludf.DUMMYFUNCTION("GOOGLETRANSLATE(B16702,""en"",""fr"")"),"Deux hommes sont vus à genoux les uns aux autres et commencent à se battre.")</f>
        <v>Deux hommes sont vus à genoux les uns aux autres et commencent à se battre.</v>
      </c>
    </row>
    <row r="16703">
      <c r="A16703" s="4" t="s">
        <v>21039</v>
      </c>
      <c r="B16703" s="4" t="s">
        <v>21041</v>
      </c>
      <c r="C16703" s="5" t="str">
        <f>IFERROR(__xludf.DUMMYFUNCTION("GOOGLETRANSLATE(B16703,""en"",""fr"")"),"Un grand groupe de personnes se voit regarder sur le côté pendant que les hommes se battent.")</f>
        <v>Un grand groupe de personnes se voit regarder sur le côté pendant que les hommes se battent.</v>
      </c>
    </row>
    <row r="16704">
      <c r="A16704" s="4" t="s">
        <v>21039</v>
      </c>
      <c r="B16704" s="4" t="s">
        <v>21042</v>
      </c>
      <c r="C16704" s="5" t="str">
        <f>IFERROR(__xludf.DUMMYFUNCTION("GOOGLETRANSLATE(B16704,""en"",""fr"")"),"Les hommes continuent de se battre avec l'un poussant l'autre dans le ring.")</f>
        <v>Les hommes continuent de se battre avec l'un poussant l'autre dans le ring.</v>
      </c>
    </row>
    <row r="16705">
      <c r="A16705" s="4" t="s">
        <v>21043</v>
      </c>
      <c r="B16705" s="4" t="s">
        <v>21044</v>
      </c>
      <c r="C16705" s="5" t="str">
        <f>IFERROR(__xludf.DUMMYFUNCTION("GOOGLETRANSLATE(B16705,""en"",""fr"")"),"Deux hommes sont vêtus d'équipement d'escrime.")</f>
        <v>Deux hommes sont vêtus d'équipement d'escrime.</v>
      </c>
    </row>
    <row r="16706">
      <c r="A16706" s="4" t="s">
        <v>21043</v>
      </c>
      <c r="B16706" s="4" t="s">
        <v>21045</v>
      </c>
      <c r="C16706" s="5" t="str">
        <f>IFERROR(__xludf.DUMMYFUNCTION("GOOGLETRANSLATE(B16706,""en"",""fr"")"),"Ils se battent sur un terrain avec leurs épées.")</f>
        <v>Ils se battent sur un terrain avec leurs épées.</v>
      </c>
    </row>
    <row r="16707">
      <c r="A16707" s="4" t="s">
        <v>21043</v>
      </c>
      <c r="B16707" s="4" t="s">
        <v>21046</v>
      </c>
      <c r="C16707" s="5" t="str">
        <f>IFERROR(__xludf.DUMMYFUNCTION("GOOGLETRANSLATE(B16707,""en"",""fr"")"),"Les lignes vertes indiquent occasionnellement les mouvements qu'ils font.")</f>
        <v>Les lignes vertes indiquent occasionnellement les mouvements qu'ils font.</v>
      </c>
    </row>
    <row r="16708">
      <c r="A16708" s="4" t="s">
        <v>21043</v>
      </c>
      <c r="B16708" s="4" t="s">
        <v>21047</v>
      </c>
      <c r="C16708" s="5" t="str">
        <f>IFERROR(__xludf.DUMMYFUNCTION("GOOGLETRANSLATE(B16708,""en"",""fr"")"),"Ils se poignardent avec les épées et sautent sur la scène.")</f>
        <v>Ils se poignardent avec les épées et sautent sur la scène.</v>
      </c>
    </row>
    <row r="16709">
      <c r="A16709" s="4" t="s">
        <v>21048</v>
      </c>
      <c r="B16709" s="4" t="s">
        <v>21049</v>
      </c>
      <c r="C16709" s="5" t="str">
        <f>IFERROR(__xludf.DUMMYFUNCTION("GOOGLETRANSLATE(B16709,""en"",""fr"")"),"Une personne a mis des objets dans une citrouille sur un bureau tout en regardant à l'intérieur.")</f>
        <v>Une personne a mis des objets dans une citrouille sur un bureau tout en regardant à l'intérieur.</v>
      </c>
    </row>
    <row r="16710">
      <c r="A16710" s="4" t="s">
        <v>21048</v>
      </c>
      <c r="B16710" s="6" t="s">
        <v>21050</v>
      </c>
      <c r="C16710" s="5" t="str">
        <f>IFERROR(__xludf.DUMMYFUNCTION("GOOGLETRANSLATE(B16710,""en"",""fr"")"),"Lorsque l'homme s'éloigne, la citrouille explose et allume une lumière pour voir la bouche A et deux yeux.")</f>
        <v>Lorsque l'homme s'éloigne, la citrouille explose et allume une lumière pour voir la bouche A et deux yeux.</v>
      </c>
    </row>
    <row r="16711">
      <c r="A16711" s="4" t="s">
        <v>21051</v>
      </c>
      <c r="B16711" s="4" t="s">
        <v>21052</v>
      </c>
      <c r="C16711" s="5" t="str">
        <f>IFERROR(__xludf.DUMMYFUNCTION("GOOGLETRANSLATE(B16711,""en"",""fr"")"),"Un groupe de personnes skie sur le côté d'une montagne.")</f>
        <v>Un groupe de personnes skie sur le côté d'une montagne.</v>
      </c>
    </row>
    <row r="16712">
      <c r="A16712" s="4" t="s">
        <v>21051</v>
      </c>
      <c r="B16712" s="4" t="s">
        <v>21053</v>
      </c>
      <c r="C16712" s="5" t="str">
        <f>IFERROR(__xludf.DUMMYFUNCTION("GOOGLETRANSLATE(B16712,""en"",""fr"")"),"Un groupe d'orignaux s'écarte entre des scènes d'ascenseurs et des hélicoptères au-dessus.")</f>
        <v>Un groupe d'orignaux s'écarte entre des scènes d'ascenseurs et des hélicoptères au-dessus.</v>
      </c>
    </row>
    <row r="16713">
      <c r="A16713" s="4" t="s">
        <v>21051</v>
      </c>
      <c r="B16713" s="4" t="s">
        <v>21054</v>
      </c>
      <c r="C16713" s="5" t="str">
        <f>IFERROR(__xludf.DUMMYFUNCTION("GOOGLETRANSLATE(B16713,""en"",""fr"")"),"Les gens se donnent des high fives pendant qu'ils skient.")</f>
        <v>Les gens se donnent des high fives pendant qu'ils skient.</v>
      </c>
    </row>
    <row r="16714">
      <c r="A16714" s="4" t="s">
        <v>21055</v>
      </c>
      <c r="B16714" s="4" t="s">
        <v>21056</v>
      </c>
      <c r="C16714" s="5" t="str">
        <f>IFERROR(__xludf.DUMMYFUNCTION("GOOGLETRANSLATE(B16714,""en"",""fr"")"),"L'homme met d'abord la vadrouille dans le seau de vadrouille bleue, puis il commence à nettoyer.")</f>
        <v>L'homme met d'abord la vadrouille dans le seau de vadrouille bleue, puis il commence à nettoyer.</v>
      </c>
    </row>
    <row r="16715">
      <c r="A16715" s="4" t="s">
        <v>21055</v>
      </c>
      <c r="B16715" s="4" t="s">
        <v>21057</v>
      </c>
      <c r="C16715" s="5" t="str">
        <f>IFERROR(__xludf.DUMMYFUNCTION("GOOGLETRANSLATE(B16715,""en"",""fr"")"),"Il se moque d'abord près du poêle et du comptoir.")</f>
        <v>Il se moque d'abord près du poêle et du comptoir.</v>
      </c>
    </row>
    <row r="16716">
      <c r="A16716" s="4" t="s">
        <v>21055</v>
      </c>
      <c r="B16716" s="4" t="s">
        <v>21058</v>
      </c>
      <c r="C16716" s="5" t="str">
        <f>IFERROR(__xludf.DUMMYFUNCTION("GOOGLETRANSLATE(B16716,""en"",""fr"")"),"Puis il se déplaçait sur le sol qui entre le réfrigérateur et un autre comptoir.")</f>
        <v>Puis il se déplaçait sur le sol qui entre le réfrigérateur et un autre comptoir.</v>
      </c>
    </row>
    <row r="16717">
      <c r="A16717" s="4" t="s">
        <v>21055</v>
      </c>
      <c r="B16717" s="4" t="s">
        <v>21059</v>
      </c>
      <c r="C16717" s="5" t="str">
        <f>IFERROR(__xludf.DUMMYFUNCTION("GOOGLETRANSLATE(B16717,""en"",""fr"")"),"Puis il mousse le centre du sol de la cuisine.")</f>
        <v>Puis il mousse le centre du sol de la cuisine.</v>
      </c>
    </row>
    <row r="16718">
      <c r="A16718" s="4" t="s">
        <v>21060</v>
      </c>
      <c r="B16718" s="4" t="s">
        <v>21061</v>
      </c>
      <c r="C16718" s="5" t="str">
        <f>IFERROR(__xludf.DUMMYFUNCTION("GOOGLETRANSLATE(B16718,""en"",""fr"")"),"Nous voyons une photo d'une arène d'athlétisme.")</f>
        <v>Nous voyons une photo d'une arène d'athlétisme.</v>
      </c>
    </row>
    <row r="16719">
      <c r="A16719" s="4" t="s">
        <v>21060</v>
      </c>
      <c r="B16719" s="4" t="s">
        <v>21062</v>
      </c>
      <c r="C16719" s="5" t="str">
        <f>IFERROR(__xludf.DUMMYFUNCTION("GOOGLETRANSLATE(B16719,""en"",""fr"")"),"Une dame dans une chemise bleue de l'Ouzbékistan court et effectue un saut en hauteur et nous voyons son score.")</f>
        <v>Une dame dans une chemise bleue de l'Ouzbékistan court et effectue un saut en hauteur et nous voyons son score.</v>
      </c>
    </row>
    <row r="16720">
      <c r="A16720" s="4" t="s">
        <v>21060</v>
      </c>
      <c r="B16720" s="6" t="s">
        <v>21063</v>
      </c>
      <c r="C16720" s="5" t="str">
        <f>IFERROR(__xludf.DUMMYFUNCTION("GOOGLETRANSLATE(B16720,""en"",""fr"")"),"Nous voyons une dame de Chine courir et effectuer un saut en hauteur et voir son score et nous voyons son manager et un ralenti.")</f>
        <v>Nous voyons une dame de Chine courir et effectuer un saut en hauteur et voir son score et nous voyons son manager et un ralenti.</v>
      </c>
    </row>
    <row r="16721">
      <c r="A16721" s="4" t="s">
        <v>21060</v>
      </c>
      <c r="B16721" s="4" t="s">
        <v>21064</v>
      </c>
      <c r="C16721" s="5" t="str">
        <f>IFERROR(__xludf.DUMMYFUNCTION("GOOGLETRANSLATE(B16721,""en"",""fr"")"),"Une femme différente de l'Ouzbékistan effectue un saut en hauteur et nous voyons son score.")</f>
        <v>Une femme différente de l'Ouzbékistan effectue un saut en hauteur et nous voyons son score.</v>
      </c>
    </row>
    <row r="16722">
      <c r="A16722" s="4" t="s">
        <v>21060</v>
      </c>
      <c r="B16722" s="4" t="s">
        <v>21065</v>
      </c>
      <c r="C16722" s="5" t="str">
        <f>IFERROR(__xludf.DUMMYFUNCTION("GOOGLETRANSLATE(B16722,""en"",""fr"")"),"La première dame se réalise à nouveau et renverse la barre et a l'air déçue.")</f>
        <v>La première dame se réalise à nouveau et renverse la barre et a l'air déçue.</v>
      </c>
    </row>
    <row r="16723">
      <c r="A16723" s="4" t="s">
        <v>21060</v>
      </c>
      <c r="B16723" s="4" t="s">
        <v>21066</v>
      </c>
      <c r="C16723" s="5" t="str">
        <f>IFERROR(__xludf.DUMMYFUNCTION("GOOGLETRANSLATE(B16723,""en"",""fr"")"),"La dame de Chine a un deuxième tour et fait également tomber le bar et a l'air fou.")</f>
        <v>La dame de Chine a un deuxième tour et fait également tomber le bar et a l'air fou.</v>
      </c>
    </row>
    <row r="16724">
      <c r="A16724" s="4" t="s">
        <v>21060</v>
      </c>
      <c r="B16724" s="4" t="s">
        <v>21067</v>
      </c>
      <c r="C16724" s="5" t="str">
        <f>IFERROR(__xludf.DUMMYFUNCTION("GOOGLETRANSLATE(B16724,""en"",""fr"")"),"La deuxième dame d'Ouzbékistan joue et efface la barre et pleure presque.")</f>
        <v>La deuxième dame d'Ouzbékistan joue et efface la barre et pleure presque.</v>
      </c>
    </row>
    <row r="16725">
      <c r="A16725" s="4" t="s">
        <v>21060</v>
      </c>
      <c r="B16725" s="4" t="s">
        <v>21068</v>
      </c>
      <c r="C16725" s="5" t="str">
        <f>IFERROR(__xludf.DUMMYFUNCTION("GOOGLETRANSLATE(B16725,""en"",""fr"")"),"Nous voyons l'arène et le tableau de bord à l'écran.")</f>
        <v>Nous voyons l'arène et le tableau de bord à l'écran.</v>
      </c>
    </row>
    <row r="16726">
      <c r="A16726" s="4" t="s">
        <v>21069</v>
      </c>
      <c r="B16726" s="6" t="s">
        <v>21070</v>
      </c>
      <c r="C16726" s="5" t="str">
        <f>IFERROR(__xludf.DUMMYFUNCTION("GOOGLETRANSLATE(B16726,""en"",""fr"")"),"Plusieurs clips sont représentés des personnes qui roulent sur des planches à roulettes dans un parc tout en regardant en arrière et en souriant à la caméra.")</f>
        <v>Plusieurs clips sont représentés des personnes qui roulent sur des planches à roulettes dans un parc tout en regardant en arrière et en souriant à la caméra.</v>
      </c>
    </row>
    <row r="16727">
      <c r="A16727" s="4" t="s">
        <v>21069</v>
      </c>
      <c r="B16727" s="6" t="s">
        <v>21071</v>
      </c>
      <c r="C16727" s="5" t="str">
        <f>IFERROR(__xludf.DUMMYFUNCTION("GOOGLETRANSLATE(B16727,""en"",""fr"")"),"La vidéo se poursuit avec beaucoup plus de photos de personnes effectuant des grints et des astuces sur leurs planches à roulettes et en parlant à la caméra.")</f>
        <v>La vidéo se poursuit avec beaucoup plus de photos de personnes effectuant des grints et des astuces sur leurs planches à roulettes et en parlant à la caméra.</v>
      </c>
    </row>
    <row r="16728">
      <c r="A16728" s="4" t="s">
        <v>21069</v>
      </c>
      <c r="B16728" s="4" t="s">
        <v>21072</v>
      </c>
      <c r="C16728" s="5" t="str">
        <f>IFERROR(__xludf.DUMMYFUNCTION("GOOGLETRANSLATE(B16728,""en"",""fr"")"),"En fin de compte, ils sont vus conduire ensemble dans une voiture et rire les uns avec les autres.")</f>
        <v>En fin de compte, ils sont vus conduire ensemble dans une voiture et rire les uns avec les autres.</v>
      </c>
    </row>
    <row r="16729">
      <c r="A16729" s="4" t="s">
        <v>21073</v>
      </c>
      <c r="B16729" s="4" t="s">
        <v>21074</v>
      </c>
      <c r="C16729" s="5" t="str">
        <f>IFERROR(__xludf.DUMMYFUNCTION("GOOGLETRANSLATE(B16729,""en"",""fr"")"),"Un groupe d'hommes et de femmes fait de la corde de saut pour l'exercice aérobie.")</f>
        <v>Un groupe d'hommes et de femmes fait de la corde de saut pour l'exercice aérobie.</v>
      </c>
    </row>
    <row r="16730">
      <c r="A16730" s="4" t="s">
        <v>21073</v>
      </c>
      <c r="B16730" s="4" t="s">
        <v>21075</v>
      </c>
      <c r="C16730" s="5" t="str">
        <f>IFERROR(__xludf.DUMMYFUNCTION("GOOGLETRANSLATE(B16730,""en"",""fr"")"),"Ils courent en cercle, sautant pendant qu'ils courent.")</f>
        <v>Ils courent en cercle, sautant pendant qu'ils courent.</v>
      </c>
    </row>
    <row r="16731">
      <c r="A16731" s="4" t="s">
        <v>21073</v>
      </c>
      <c r="B16731" s="4" t="s">
        <v>21076</v>
      </c>
      <c r="C16731" s="5" t="str">
        <f>IFERROR(__xludf.DUMMYFUNCTION("GOOGLETRANSLATE(B16731,""en"",""fr"")"),"Ils disposent ensuite des tapis et font plusieurs mouvements de refroidissement du yoga.")</f>
        <v>Ils disposent ensuite des tapis et font plusieurs mouvements de refroidissement du yoga.</v>
      </c>
    </row>
    <row r="16732">
      <c r="A16732" s="4" t="s">
        <v>21077</v>
      </c>
      <c r="B16732" s="4" t="s">
        <v>21078</v>
      </c>
      <c r="C16732" s="5" t="str">
        <f>IFERROR(__xludf.DUMMYFUNCTION("GOOGLETRANSLATE(B16732,""en"",""fr"")"),"Nous voyons un homme et une femme entrer dans une salle bar en costumes.")</f>
        <v>Nous voyons un homme et une femme entrer dans une salle bar en costumes.</v>
      </c>
    </row>
    <row r="16733">
      <c r="A16733" s="4" t="s">
        <v>21077</v>
      </c>
      <c r="B16733" s="4" t="s">
        <v>21079</v>
      </c>
      <c r="C16733" s="5" t="str">
        <f>IFERROR(__xludf.DUMMYFUNCTION("GOOGLETRANSLATE(B16733,""en"",""fr"")"),"L'homme et la femme exécutent une danse.")</f>
        <v>L'homme et la femme exécutent une danse.</v>
      </c>
    </row>
    <row r="16734">
      <c r="A16734" s="4" t="s">
        <v>21077</v>
      </c>
      <c r="B16734" s="4" t="s">
        <v>21080</v>
      </c>
      <c r="C16734" s="5" t="str">
        <f>IFERROR(__xludf.DUMMYFUNCTION("GOOGLETRANSLATE(B16734,""en"",""fr"")"),"L'homme retourne la femme et la balance.")</f>
        <v>L'homme retourne la femme et la balance.</v>
      </c>
    </row>
    <row r="16735">
      <c r="A16735" s="4" t="s">
        <v>21077</v>
      </c>
      <c r="B16735" s="4" t="s">
        <v>21081</v>
      </c>
      <c r="C16735" s="5" t="str">
        <f>IFERROR(__xludf.DUMMYFUNCTION("GOOGLETRANSLATE(B16735,""en"",""fr"")"),"L'homme prend la femme et la met sur ses épaules.")</f>
        <v>L'homme prend la femme et la met sur ses épaules.</v>
      </c>
    </row>
    <row r="16736">
      <c r="A16736" s="4" t="s">
        <v>21077</v>
      </c>
      <c r="B16736" s="4" t="s">
        <v>21082</v>
      </c>
      <c r="C16736" s="5" t="str">
        <f>IFERROR(__xludf.DUMMYFUNCTION("GOOGLETRANSLATE(B16736,""en"",""fr"")"),"Il la retourne ensuite sur le sol.")</f>
        <v>Il la retourne ensuite sur le sol.</v>
      </c>
    </row>
    <row r="16737">
      <c r="A16737" s="4" t="s">
        <v>21077</v>
      </c>
      <c r="B16737" s="4" t="s">
        <v>21083</v>
      </c>
      <c r="C16737" s="5" t="str">
        <f>IFERROR(__xludf.DUMMYFUNCTION("GOOGLETRANSLATE(B16737,""en"",""fr"")"),"L'homme met la dame sur son épaule et la retourne deux fois.")</f>
        <v>L'homme met la dame sur son épaule et la retourne deux fois.</v>
      </c>
    </row>
    <row r="16738">
      <c r="A16738" s="4" t="s">
        <v>21077</v>
      </c>
      <c r="B16738" s="4" t="s">
        <v>21084</v>
      </c>
      <c r="C16738" s="5" t="str">
        <f>IFERROR(__xludf.DUMMYFUNCTION("GOOGLETRANSLATE(B16738,""en"",""fr"")"),"L'homme tourne la dame autour et autour et plonge la dame.")</f>
        <v>L'homme tourne la dame autour et autour et plonge la dame.</v>
      </c>
    </row>
    <row r="16739">
      <c r="A16739" s="4" t="s">
        <v>21077</v>
      </c>
      <c r="B16739" s="4" t="s">
        <v>21085</v>
      </c>
      <c r="C16739" s="5" t="str">
        <f>IFERROR(__xludf.DUMMYFUNCTION("GOOGLETRANSLATE(B16739,""en"",""fr"")"),"La foule applaudit pour les gens.")</f>
        <v>La foule applaudit pour les gens.</v>
      </c>
    </row>
    <row r="16740">
      <c r="A16740" s="4" t="s">
        <v>21077</v>
      </c>
      <c r="B16740" s="4" t="s">
        <v>21086</v>
      </c>
      <c r="C16740" s="5" t="str">
        <f>IFERROR(__xludf.DUMMYFUNCTION("GOOGLETRANSLATE(B16740,""en"",""fr"")"),"L'homme tourne la dame.")</f>
        <v>L'homme tourne la dame.</v>
      </c>
    </row>
    <row r="16741">
      <c r="A16741" s="4" t="s">
        <v>21077</v>
      </c>
      <c r="B16741" s="4" t="s">
        <v>21087</v>
      </c>
      <c r="C16741" s="5" t="str">
        <f>IFERROR(__xludf.DUMMYFUNCTION("GOOGLETRANSLATE(B16741,""en"",""fr"")"),"Les danses finissent et prennent leurs arcs et se serrent la main.")</f>
        <v>Les danses finissent et prennent leurs arcs et se serrent la main.</v>
      </c>
    </row>
    <row r="16742">
      <c r="A16742" s="4" t="s">
        <v>21088</v>
      </c>
      <c r="B16742" s="4" t="s">
        <v>21089</v>
      </c>
      <c r="C16742" s="5" t="str">
        <f>IFERROR(__xludf.DUMMYFUNCTION("GOOGLETRANSLATE(B16742,""en"",""fr"")"),"Plusieurs hommes jouent au football de table pendant qu'un public regarde.")</f>
        <v>Plusieurs hommes jouent au football de table pendant qu'un public regarde.</v>
      </c>
    </row>
    <row r="16743">
      <c r="A16743" s="4" t="s">
        <v>21088</v>
      </c>
      <c r="B16743" s="4" t="s">
        <v>21090</v>
      </c>
      <c r="C16743" s="5" t="str">
        <f>IFERROR(__xludf.DUMMYFUNCTION("GOOGLETRANSLATE(B16743,""en"",""fr"")"),"Un individu chauve récupère le ballon et le réinserte en jeu.")</f>
        <v>Un individu chauve récupère le ballon et le réinserte en jeu.</v>
      </c>
    </row>
    <row r="16744">
      <c r="A16744" s="4" t="s">
        <v>21088</v>
      </c>
      <c r="B16744" s="4" t="s">
        <v>21091</v>
      </c>
      <c r="C16744" s="5" t="str">
        <f>IFERROR(__xludf.DUMMYFUNCTION("GOOGLETRANSLATE(B16744,""en"",""fr"")"),"L'individu chauve atteint la table pour une raison quelconque.")</f>
        <v>L'individu chauve atteint la table pour une raison quelconque.</v>
      </c>
    </row>
    <row r="16745">
      <c r="A16745" s="4" t="s">
        <v>21088</v>
      </c>
      <c r="B16745" s="4" t="s">
        <v>21092</v>
      </c>
      <c r="C16745" s="5" t="str">
        <f>IFERROR(__xludf.DUMMYFUNCTION("GOOGLETRANSLATE(B16745,""en"",""fr"")"),"L'individu chauve récupère le ballon et le réinserte à nouveau en jeu.")</f>
        <v>L'individu chauve récupère le ballon et le réinserte à nouveau en jeu.</v>
      </c>
    </row>
    <row r="16746">
      <c r="A16746" s="4" t="s">
        <v>21088</v>
      </c>
      <c r="B16746" s="4" t="s">
        <v>21093</v>
      </c>
      <c r="C16746" s="5" t="str">
        <f>IFERROR(__xludf.DUMMYFUNCTION("GOOGLETRANSLATE(B16746,""en"",""fr"")"),"Les joueurs se serrent la main à la fin du match.")</f>
        <v>Les joueurs se serrent la main à la fin du match.</v>
      </c>
    </row>
    <row r="16747">
      <c r="A16747" s="4" t="s">
        <v>21094</v>
      </c>
      <c r="B16747" s="4" t="s">
        <v>21095</v>
      </c>
      <c r="C16747" s="5" t="str">
        <f>IFERROR(__xludf.DUMMYFUNCTION("GOOGLETRANSLATE(B16747,""en"",""fr"")"),"Un homme est vu parler à la caméra et mène à des clips de lui en train de bouger la saleté.")</f>
        <v>Un homme est vu parler à la caméra et mène à des clips de lui en train de bouger la saleté.</v>
      </c>
    </row>
    <row r="16748">
      <c r="A16748" s="4" t="s">
        <v>21094</v>
      </c>
      <c r="B16748" s="6" t="s">
        <v>21096</v>
      </c>
      <c r="C16748" s="5" t="str">
        <f>IFERROR(__xludf.DUMMYFUNCTION("GOOGLETRANSLATE(B16748,""en"",""fr"")"),"D'autres hommes aident à planter les zones tout en se déplaçant autour des brouettes et des plantes de plantation tout en parlant à la caméra.")</f>
        <v>D'autres hommes aident à planter les zones tout en se déplaçant autour des brouettes et des plantes de plantation tout en parlant à la caméra.</v>
      </c>
    </row>
    <row r="16749">
      <c r="A16749" s="4" t="s">
        <v>21097</v>
      </c>
      <c r="B16749" s="4" t="s">
        <v>21098</v>
      </c>
      <c r="C16749" s="5" t="str">
        <f>IFERROR(__xludf.DUMMYFUNCTION("GOOGLETRANSLATE(B16749,""en"",""fr"")"),"Un homme lance des boules de bowling et jette toutes les épingles à chaque fois.")</f>
        <v>Un homme lance des boules de bowling et jette toutes les épingles à chaque fois.</v>
      </c>
    </row>
    <row r="16750">
      <c r="A16750" s="4" t="s">
        <v>21097</v>
      </c>
      <c r="B16750" s="4" t="s">
        <v>21099</v>
      </c>
      <c r="C16750" s="5" t="str">
        <f>IFERROR(__xludf.DUMMYFUNCTION("GOOGLETRANSLATE(B16750,""en"",""fr"")"),"Ensuite, l'homme continue de jouer au bowling avec succès.")</f>
        <v>Ensuite, l'homme continue de jouer au bowling avec succès.</v>
      </c>
    </row>
    <row r="16751">
      <c r="A16751" s="4" t="s">
        <v>21097</v>
      </c>
      <c r="B16751" s="4" t="s">
        <v>21100</v>
      </c>
      <c r="C16751" s="5" t="str">
        <f>IFERROR(__xludf.DUMMYFUNCTION("GOOGLETRANSLATE(B16751,""en"",""fr"")"),"L'homme manque une épingle lors de la dernière pièce.")</f>
        <v>L'homme manque une épingle lors de la dernière pièce.</v>
      </c>
    </row>
    <row r="16752">
      <c r="A16752" s="4" t="s">
        <v>21101</v>
      </c>
      <c r="B16752" s="4" t="s">
        <v>21102</v>
      </c>
      <c r="C16752" s="5" t="str">
        <f>IFERROR(__xludf.DUMMYFUNCTION("GOOGLETRANSLATE(B16752,""en"",""fr"")"),"A repose sous une voiture en place mais ne le soulevant pas du sol.")</f>
        <v>A repose sous une voiture en place mais ne le soulevant pas du sol.</v>
      </c>
    </row>
    <row r="16753">
      <c r="A16753" s="4" t="s">
        <v>21101</v>
      </c>
      <c r="B16753" s="4" t="s">
        <v>21103</v>
      </c>
      <c r="C16753" s="5" t="str">
        <f>IFERROR(__xludf.DUMMYFUNCTION("GOOGLETRANSLATE(B16753,""en"",""fr"")"),"Un homme utilise une perceuse électrique pour relancer la prise de sol et soulever le pneu de la voiture du sol.")</f>
        <v>Un homme utilise une perceuse électrique pour relancer la prise de sol et soulever le pneu de la voiture du sol.</v>
      </c>
    </row>
    <row r="16754">
      <c r="A16754" s="4" t="s">
        <v>21101</v>
      </c>
      <c r="B16754" s="4" t="s">
        <v>21104</v>
      </c>
      <c r="C16754" s="5" t="str">
        <f>IFERROR(__xludf.DUMMYFUNCTION("GOOGLETRANSLATE(B16754,""en"",""fr"")"),"L'homme utilise à nouveau l'exercice électrique pour s'occuper de la prise de sol et abaisser la voiture.")</f>
        <v>L'homme utilise à nouveau l'exercice électrique pour s'occuper de la prise de sol et abaisser la voiture.</v>
      </c>
    </row>
    <row r="16755">
      <c r="A16755" s="4" t="s">
        <v>21105</v>
      </c>
      <c r="B16755" s="4" t="s">
        <v>21106</v>
      </c>
      <c r="C16755" s="5" t="str">
        <f>IFERROR(__xludf.DUMMYFUNCTION("GOOGLETRANSLATE(B16755,""en"",""fr"")"),"Un gymnaste masculin se dirige vers une poutre, poudrer ses mains.")</f>
        <v>Un gymnaste masculin se dirige vers une poutre, poudrer ses mains.</v>
      </c>
    </row>
    <row r="16756">
      <c r="A16756" s="4" t="s">
        <v>21105</v>
      </c>
      <c r="B16756" s="4" t="s">
        <v>21107</v>
      </c>
      <c r="C16756" s="5" t="str">
        <f>IFERROR(__xludf.DUMMYFUNCTION("GOOGLETRANSLATE(B16756,""en"",""fr"")"),"Il monte la poutre, puis tourne plusieurs fois autour de lui, changeant entre les barres.")</f>
        <v>Il monte la poutre, puis tourne plusieurs fois autour de lui, changeant entre les barres.</v>
      </c>
    </row>
    <row r="16757">
      <c r="A16757" s="4" t="s">
        <v>21105</v>
      </c>
      <c r="B16757" s="4" t="s">
        <v>21108</v>
      </c>
      <c r="C16757" s="5" t="str">
        <f>IFERROR(__xludf.DUMMYFUNCTION("GOOGLETRANSLATE(B16757,""en"",""fr"")"),"Il démonte, puis lève les bras en l'air.")</f>
        <v>Il démonte, puis lève les bras en l'air.</v>
      </c>
    </row>
    <row r="16758">
      <c r="A16758" s="4" t="s">
        <v>21109</v>
      </c>
      <c r="B16758" s="6" t="s">
        <v>21110</v>
      </c>
      <c r="C16758" s="5" t="str">
        <f>IFERROR(__xludf.DUMMYFUNCTION("GOOGLETRANSLATE(B16758,""en"",""fr"")"),"Une jeune femme tient une tablette pour enregistrer une vidéo de personnes qui courent dans une course et elle se tient dans les tribunes sur une piste remplie de gens.")</f>
        <v>Une jeune femme tient une tablette pour enregistrer une vidéo de personnes qui courent dans une course et elle se tient dans les tribunes sur une piste remplie de gens.</v>
      </c>
    </row>
    <row r="16759">
      <c r="A16759" s="4" t="s">
        <v>21109</v>
      </c>
      <c r="B16759" s="6" t="s">
        <v>21111</v>
      </c>
      <c r="C16759" s="5" t="str">
        <f>IFERROR(__xludf.DUMMYFUNCTION("GOOGLETRANSLATE(B16759,""en"",""fr"")"),"Un homme traverse le champ de l'herbe avec une chemise orange et un drapeau sur l'herbe au milieu de la piste.")</f>
        <v>Un homme traverse le champ de l'herbe avec une chemise orange et un drapeau sur l'herbe au milieu de la piste.</v>
      </c>
    </row>
    <row r="16760">
      <c r="A16760" s="4" t="s">
        <v>21109</v>
      </c>
      <c r="B16760" s="4" t="s">
        <v>21112</v>
      </c>
      <c r="C16760" s="5" t="str">
        <f>IFERROR(__xludf.DUMMYFUNCTION("GOOGLETRANSLATE(B16760,""en"",""fr"")"),"Un autre homme en chemise noire coule vers l'homme dans la chemise orange.")</f>
        <v>Un autre homme en chemise noire coule vers l'homme dans la chemise orange.</v>
      </c>
    </row>
    <row r="16761">
      <c r="A16761" s="4" t="s">
        <v>21109</v>
      </c>
      <c r="B16761" s="4" t="s">
        <v>21113</v>
      </c>
      <c r="C16761" s="5" t="str">
        <f>IFERROR(__xludf.DUMMYFUNCTION("GOOGLETRANSLATE(B16761,""en"",""fr"")"),"La jeune femme continue de vidéo sur la piste avec sa tablette.")</f>
        <v>La jeune femme continue de vidéo sur la piste avec sa tablette.</v>
      </c>
    </row>
    <row r="16762">
      <c r="A16762" s="4" t="s">
        <v>21109</v>
      </c>
      <c r="B16762" s="4" t="s">
        <v>21114</v>
      </c>
      <c r="C16762" s="5" t="str">
        <f>IFERROR(__xludf.DUMMYFUNCTION("GOOGLETRANSLATE(B16762,""en"",""fr"")"),"L'homme dans la chemise orange traverse à nouveau l'herbe.")</f>
        <v>L'homme dans la chemise orange traverse à nouveau l'herbe.</v>
      </c>
    </row>
    <row r="16763">
      <c r="A16763" s="4" t="s">
        <v>21109</v>
      </c>
      <c r="B16763" s="6" t="s">
        <v>21115</v>
      </c>
      <c r="C16763" s="5" t="str">
        <f>IFERROR(__xludf.DUMMYFUNCTION("GOOGLETRANSLATE(B16763,""en"",""fr"")"),"La jeune femme pose sa tablette après avoir essayé de filmer le jeu et regarde au loin les gens sur la piste.")</f>
        <v>La jeune femme pose sa tablette après avoir essayé de filmer le jeu et regarde au loin les gens sur la piste.</v>
      </c>
    </row>
    <row r="16764">
      <c r="A16764" s="4" t="s">
        <v>21109</v>
      </c>
      <c r="B16764" s="4" t="s">
        <v>21116</v>
      </c>
      <c r="C16764" s="5" t="str">
        <f>IFERROR(__xludf.DUMMYFUNCTION("GOOGLETRANSLATE(B16764,""en"",""fr"")"),"Tout le monde commence à applaudir ensemble dans les tribunes.")</f>
        <v>Tout le monde commence à applaudir ensemble dans les tribunes.</v>
      </c>
    </row>
    <row r="16765">
      <c r="A16765" s="4" t="s">
        <v>21109</v>
      </c>
      <c r="B16765" s="4" t="s">
        <v>21117</v>
      </c>
      <c r="C16765" s="5" t="str">
        <f>IFERROR(__xludf.DUMMYFUNCTION("GOOGLETRANSLATE(B16765,""en"",""fr"")"),"Il y a une photo avec un gars portant un uniforme de piste.")</f>
        <v>Il y a une photo avec un gars portant un uniforme de piste.</v>
      </c>
    </row>
    <row r="16766">
      <c r="A16766" s="4" t="s">
        <v>21118</v>
      </c>
      <c r="B16766" s="4" t="s">
        <v>21119</v>
      </c>
      <c r="C16766" s="5" t="str">
        <f>IFERROR(__xludf.DUMMYFUNCTION("GOOGLETRANSLATE(B16766,""en"",""fr"")"),"La porte s'ouvre et deux personnes portant des pantoufles entrent dans la pièce.")</f>
        <v>La porte s'ouvre et deux personnes portant des pantoufles entrent dans la pièce.</v>
      </c>
    </row>
    <row r="16767">
      <c r="A16767" s="4" t="s">
        <v>21118</v>
      </c>
      <c r="B16767" s="4" t="s">
        <v>21120</v>
      </c>
      <c r="C16767" s="5" t="str">
        <f>IFERROR(__xludf.DUMMYFUNCTION("GOOGLETRANSLATE(B16767,""en"",""fr"")"),"Un logo apparaît brièvement à l'écran.")</f>
        <v>Un logo apparaît brièvement à l'écran.</v>
      </c>
    </row>
    <row r="16768">
      <c r="A16768" s="4" t="s">
        <v>21118</v>
      </c>
      <c r="B16768" s="6" t="s">
        <v>21121</v>
      </c>
      <c r="C16768" s="5" t="str">
        <f>IFERROR(__xludf.DUMMYFUNCTION("GOOGLETRANSLATE(B16768,""en"",""fr"")"),"Deux hommes debout devant une paire d'éviers de salle de bain et de miroirs enlèvent les robes qu'ils portent pour révéler des vêtements en spandex, puis tournez pour faire face à la caméra pour parler.")</f>
        <v>Deux hommes debout devant une paire d'éviers de salle de bain et de miroirs enlèvent les robes qu'ils portent pour révéler des vêtements en spandex, puis tournez pour faire face à la caméra pour parler.</v>
      </c>
    </row>
    <row r="16769">
      <c r="A16769" s="4" t="s">
        <v>21118</v>
      </c>
      <c r="B16769" s="4" t="s">
        <v>21122</v>
      </c>
      <c r="C16769" s="5" t="str">
        <f>IFERROR(__xludf.DUMMYFUNCTION("GOOGLETRANSLATE(B16769,""en"",""fr"")"),"Un grand groupe de personnes monte des vélos sur la route.")</f>
        <v>Un grand groupe de personnes monte des vélos sur la route.</v>
      </c>
    </row>
    <row r="16770">
      <c r="A16770" s="4" t="s">
        <v>21118</v>
      </c>
      <c r="B16770" s="4" t="s">
        <v>21123</v>
      </c>
      <c r="C16770" s="5" t="str">
        <f>IFERROR(__xludf.DUMMYFUNCTION("GOOGLETRANSLATE(B16770,""en"",""fr"")"),"Un homme aux pieds nus se tient dans une salle de bain.")</f>
        <v>Un homme aux pieds nus se tient dans une salle de bain.</v>
      </c>
    </row>
    <row r="16771">
      <c r="A16771" s="4" t="s">
        <v>21118</v>
      </c>
      <c r="B16771" s="4" t="s">
        <v>21124</v>
      </c>
      <c r="C16771" s="5" t="str">
        <f>IFERROR(__xludf.DUMMYFUNCTION("GOOGLETRANSLATE(B16771,""en"",""fr"")"),"Le titre ""Comment se raser les jambes"" apparaît sur un homme effectuant cette action.")</f>
        <v>Le titre "Comment se raser les jambes" apparaît sur un homme effectuant cette action.</v>
      </c>
    </row>
    <row r="16772">
      <c r="A16772" s="4" t="s">
        <v>21118</v>
      </c>
      <c r="B16772" s="4" t="s">
        <v>21125</v>
      </c>
      <c r="C16772" s="5" t="str">
        <f>IFERROR(__xludf.DUMMYFUNCTION("GOOGLETRANSLATE(B16772,""en"",""fr"")"),"Les hommes discutent et démontrent l'utilisation d'un rasoir électrique pour vous raser les jambes.")</f>
        <v>Les hommes discutent et démontrent l'utilisation d'un rasoir électrique pour vous raser les jambes.</v>
      </c>
    </row>
    <row r="16773">
      <c r="A16773" s="4" t="s">
        <v>21118</v>
      </c>
      <c r="B16773" s="4" t="s">
        <v>21126</v>
      </c>
      <c r="C16773" s="5" t="str">
        <f>IFERROR(__xludf.DUMMYFUNCTION("GOOGLETRANSLATE(B16773,""en"",""fr"")"),"On explique ensuite à quel point vos jambes doivent être rasées.")</f>
        <v>On explique ensuite à quel point vos jambes doivent être rasées.</v>
      </c>
    </row>
    <row r="16774">
      <c r="A16774" s="4" t="s">
        <v>21118</v>
      </c>
      <c r="B16774" s="4" t="s">
        <v>21127</v>
      </c>
      <c r="C16774" s="5" t="str">
        <f>IFERROR(__xludf.DUMMYFUNCTION("GOOGLETRANSLATE(B16774,""en"",""fr"")"),"L'homme montre comment faire mousser vos jambes.")</f>
        <v>L'homme montre comment faire mousser vos jambes.</v>
      </c>
    </row>
    <row r="16775">
      <c r="A16775" s="4" t="s">
        <v>21118</v>
      </c>
      <c r="B16775" s="4" t="s">
        <v>21128</v>
      </c>
      <c r="C16775" s="5" t="str">
        <f>IFERROR(__xludf.DUMMYFUNCTION("GOOGLETRANSLATE(B16775,""en"",""fr"")"),"Les deux hommes montrent comment utiliser un rasoir pour vous raser les jambes.")</f>
        <v>Les deux hommes montrent comment utiliser un rasoir pour vous raser les jambes.</v>
      </c>
    </row>
    <row r="16776">
      <c r="A16776" s="4" t="s">
        <v>21118</v>
      </c>
      <c r="B16776" s="4" t="s">
        <v>21129</v>
      </c>
      <c r="C16776" s="5" t="str">
        <f>IFERROR(__xludf.DUMMYFUNCTION("GOOGLETRANSLATE(B16776,""en"",""fr"")"),"Ils montrent ensuite comment rincer vos jambes.")</f>
        <v>Ils montrent ensuite comment rincer vos jambes.</v>
      </c>
    </row>
    <row r="16777">
      <c r="A16777" s="4" t="s">
        <v>21118</v>
      </c>
      <c r="B16777" s="4" t="s">
        <v>21130</v>
      </c>
      <c r="C16777" s="5" t="str">
        <f>IFERROR(__xludf.DUMMYFUNCTION("GOOGLETRANSLATE(B16777,""en"",""fr"")"),"Un homme fait du vélo sur la route.")</f>
        <v>Un homme fait du vélo sur la route.</v>
      </c>
    </row>
    <row r="16778">
      <c r="A16778" s="4" t="s">
        <v>21118</v>
      </c>
      <c r="B16778" s="4" t="s">
        <v>21131</v>
      </c>
      <c r="C16778" s="5" t="str">
        <f>IFERROR(__xludf.DUMMYFUNCTION("GOOGLETRANSLATE(B16778,""en"",""fr"")"),"Les deux hommes rasent leur autre jambe.")</f>
        <v>Les deux hommes rasent leur autre jambe.</v>
      </c>
    </row>
    <row r="16779">
      <c r="A16779" s="4" t="s">
        <v>21132</v>
      </c>
      <c r="B16779" s="6" t="s">
        <v>21133</v>
      </c>
      <c r="C16779" s="5" t="str">
        <f>IFERROR(__xludf.DUMMYFUNCTION("GOOGLETRANSLATE(B16779,""en"",""fr"")"),"Deux enfants se tiennent devant un arbre de Noël montrant des bottes violettes qui sont sur la suspension de l'arbre de Noël.")</f>
        <v>Deux enfants se tiennent devant un arbre de Noël montrant des bottes violettes qui sont sur la suspension de l'arbre de Noël.</v>
      </c>
    </row>
    <row r="16780">
      <c r="A16780" s="4" t="s">
        <v>21132</v>
      </c>
      <c r="B16780" s="4" t="s">
        <v>21134</v>
      </c>
      <c r="C16780" s="5" t="str">
        <f>IFERROR(__xludf.DUMMYFUNCTION("GOOGLETRANSLATE(B16780,""en"",""fr"")"),"Les enfants pointent les balles et les ornamènes.")</f>
        <v>Les enfants pointent les balles et les ornamènes.</v>
      </c>
    </row>
    <row r="16781">
      <c r="A16781" s="4" t="s">
        <v>21132</v>
      </c>
      <c r="B16781" s="4" t="s">
        <v>21135</v>
      </c>
      <c r="C16781" s="5" t="str">
        <f>IFERROR(__xludf.DUMMYFUNCTION("GOOGLETRANSLATE(B16781,""en"",""fr"")"),"Les enfants se tiennent à côté des trois et disent au revoir à la caméra.")</f>
        <v>Les enfants se tiennent à côté des trois et disent au revoir à la caméra.</v>
      </c>
    </row>
    <row r="16782">
      <c r="A16782" s="4" t="s">
        <v>21136</v>
      </c>
      <c r="B16782" s="4" t="s">
        <v>3869</v>
      </c>
      <c r="C16782" s="5" t="str">
        <f>IFERROR(__xludf.DUMMYFUNCTION("GOOGLETRANSLATE(B16782,""en"",""fr"")"),"Une femme danse sur une scène.")</f>
        <v>Une femme danse sur une scène.</v>
      </c>
    </row>
    <row r="16783">
      <c r="A16783" s="4" t="s">
        <v>21136</v>
      </c>
      <c r="B16783" s="4" t="s">
        <v>21137</v>
      </c>
      <c r="C16783" s="5" t="str">
        <f>IFERROR(__xludf.DUMMYFUNCTION("GOOGLETRANSLATE(B16783,""en"",""fr"")"),"Une personne les soulève dans les airs sur eux.")</f>
        <v>Une personne les soulève dans les airs sur eux.</v>
      </c>
    </row>
    <row r="16784">
      <c r="A16784" s="4" t="s">
        <v>21136</v>
      </c>
      <c r="B16784" s="4" t="s">
        <v>21138</v>
      </c>
      <c r="C16784" s="5" t="str">
        <f>IFERROR(__xludf.DUMMYFUNCTION("GOOGLETRANSLATE(B16784,""en"",""fr"")"),"Les ballerines dansent sur une scène.")</f>
        <v>Les ballerines dansent sur une scène.</v>
      </c>
    </row>
    <row r="16785">
      <c r="A16785" s="4" t="s">
        <v>21139</v>
      </c>
      <c r="B16785" s="4" t="s">
        <v>21140</v>
      </c>
      <c r="C16785" s="5" t="str">
        <f>IFERROR(__xludf.DUMMYFUNCTION("GOOGLETRANSLATE(B16785,""en"",""fr"")"),"Les gens sont tirés sur une colline sur une corde de remorqueur assis sur des tubes internes.")</f>
        <v>Les gens sont tirés sur une colline sur une corde de remorqueur assis sur des tubes internes.</v>
      </c>
    </row>
    <row r="16786">
      <c r="A16786" s="4" t="s">
        <v>21139</v>
      </c>
      <c r="B16786" s="4" t="s">
        <v>21141</v>
      </c>
      <c r="C16786" s="5" t="str">
        <f>IFERROR(__xludf.DUMMYFUNCTION("GOOGLETRANSLATE(B16786,""en"",""fr"")"),"Une famille tire ses tubes internes à la main et le sommet de la colline.")</f>
        <v>Une famille tire ses tubes internes à la main et le sommet de la colline.</v>
      </c>
    </row>
    <row r="16787">
      <c r="A16787" s="4" t="s">
        <v>21139</v>
      </c>
      <c r="B16787" s="4" t="s">
        <v>21142</v>
      </c>
      <c r="C16787" s="5" t="str">
        <f>IFERROR(__xludf.DUMMYFUNCTION("GOOGLETRANSLATE(B16787,""en"",""fr"")"),"Une personne est assise dans un tube inter-haut au sommet d'une colline puis descend la pente en riant.")</f>
        <v>Une personne est assise dans un tube inter-haut au sommet d'une colline puis descend la pente en riant.</v>
      </c>
    </row>
    <row r="16788">
      <c r="A16788" s="4" t="s">
        <v>21139</v>
      </c>
      <c r="B16788" s="4" t="s">
        <v>21143</v>
      </c>
      <c r="C16788" s="5" t="str">
        <f>IFERROR(__xludf.DUMMYFUNCTION("GOOGLETRANSLATE(B16788,""en"",""fr"")"),"La famille traverse les tubes internes dans un groupe circulaire avec les enfants assis dedans.")</f>
        <v>La famille traverse les tubes internes dans un groupe circulaire avec les enfants assis dedans.</v>
      </c>
    </row>
    <row r="16789">
      <c r="A16789" s="4" t="s">
        <v>21139</v>
      </c>
      <c r="B16789" s="4" t="s">
        <v>21144</v>
      </c>
      <c r="C16789" s="5" t="str">
        <f>IFERROR(__xludf.DUMMYFUNCTION("GOOGLETRANSLATE(B16789,""en"",""fr"")"),"La famille monte dans un grand groupe de tubes internes sur une pente enneigée.")</f>
        <v>La famille monte dans un grand groupe de tubes internes sur une pente enneigée.</v>
      </c>
    </row>
    <row r="16790">
      <c r="A16790" s="4" t="s">
        <v>21145</v>
      </c>
      <c r="B16790" s="4" t="s">
        <v>21146</v>
      </c>
      <c r="C16790" s="5" t="str">
        <f>IFERROR(__xludf.DUMMYFUNCTION("GOOGLETRANSLATE(B16790,""en"",""fr"")"),"Un homme athlétique tourne en rond et lançant une discussion longtemps sur un champ.")</f>
        <v>Un homme athlétique tourne en rond et lançant une discussion longtemps sur un champ.</v>
      </c>
    </row>
    <row r="16791">
      <c r="A16791" s="4" t="s">
        <v>21145</v>
      </c>
      <c r="B16791" s="6" t="s">
        <v>21147</v>
      </c>
      <c r="C16791" s="5" t="str">
        <f>IFERROR(__xludf.DUMMYFUNCTION("GOOGLETRANSLATE(B16791,""en"",""fr"")"),"Il s'intensifie et lance plusieurs autres balles en cercle tandis qu'à la fin en essuyant la sueur de son visage avec sa chemise.")</f>
        <v>Il s'intensifie et lance plusieurs autres balles en cercle tandis qu'à la fin en essuyant la sueur de son visage avec sa chemise.</v>
      </c>
    </row>
    <row r="16792">
      <c r="A16792" s="4" t="s">
        <v>21148</v>
      </c>
      <c r="B16792" s="4" t="s">
        <v>21149</v>
      </c>
      <c r="C16792" s="5" t="str">
        <f>IFERROR(__xludf.DUMMYFUNCTION("GOOGLETRANSLATE(B16792,""en"",""fr"")"),"Un homme est vu marcher sur une cour tout en tenant un bâton à la main.")</f>
        <v>Un homme est vu marcher sur une cour tout en tenant un bâton à la main.</v>
      </c>
    </row>
    <row r="16793">
      <c r="A16793" s="4" t="s">
        <v>21148</v>
      </c>
      <c r="B16793" s="4" t="s">
        <v>21150</v>
      </c>
      <c r="C16793" s="5" t="str">
        <f>IFERROR(__xludf.DUMMYFUNCTION("GOOGLETRANSLATE(B16793,""en"",""fr"")"),"On voit alors que l'homme jouer à un jeu de crochet tandis que d'autres regardent sur le côté.")</f>
        <v>On voit alors que l'homme jouer à un jeu de crochet tandis que d'autres regardent sur le côté.</v>
      </c>
    </row>
    <row r="16794">
      <c r="A16794" s="4" t="s">
        <v>21148</v>
      </c>
      <c r="B16794" s="4" t="s">
        <v>21151</v>
      </c>
      <c r="C16794" s="5" t="str">
        <f>IFERROR(__xludf.DUMMYFUNCTION("GOOGLETRANSLATE(B16794,""en"",""fr"")"),"L'homme continue de frapper le ballon ainsi que de se pencher et de mesurer ses tirs.")</f>
        <v>L'homme continue de frapper le ballon ainsi que de se pencher et de mesurer ses tirs.</v>
      </c>
    </row>
    <row r="16795">
      <c r="A16795" s="4" t="s">
        <v>21152</v>
      </c>
      <c r="B16795" s="4" t="s">
        <v>21153</v>
      </c>
      <c r="C16795" s="5" t="str">
        <f>IFERROR(__xludf.DUMMYFUNCTION("GOOGLETRANSLATE(B16795,""en"",""fr"")"),"Les crédits de clip sont affichés.")</f>
        <v>Les crédits de clip sont affichés.</v>
      </c>
    </row>
    <row r="16796">
      <c r="A16796" s="4" t="s">
        <v>21152</v>
      </c>
      <c r="B16796" s="4" t="s">
        <v>21154</v>
      </c>
      <c r="C16796" s="5" t="str">
        <f>IFERROR(__xludf.DUMMYFUNCTION("GOOGLETRANSLATE(B16796,""en"",""fr"")"),"Les limes sont coupées en morceaux sur une planche à découper blanche.")</f>
        <v>Les limes sont coupées en morceaux sur une planche à découper blanche.</v>
      </c>
    </row>
    <row r="16797">
      <c r="A16797" s="4" t="s">
        <v>21152</v>
      </c>
      <c r="B16797" s="4" t="s">
        <v>21155</v>
      </c>
      <c r="C16797" s="5" t="str">
        <f>IFERROR(__xludf.DUMMYFUNCTION("GOOGLETRANSLATE(B16797,""en"",""fr"")"),"Les limes coupées sont placées dans un mélangeur avec un liquide et mélangées.")</f>
        <v>Les limes coupées sont placées dans un mélangeur avec un liquide et mélangées.</v>
      </c>
    </row>
    <row r="16798">
      <c r="A16798" s="4" t="s">
        <v>21152</v>
      </c>
      <c r="B16798" s="4" t="s">
        <v>21156</v>
      </c>
      <c r="C16798" s="5" t="str">
        <f>IFERROR(__xludf.DUMMYFUNCTION("GOOGLETRANSLATE(B16798,""en"",""fr"")"),"Le liquide est ajouté à un pichet avec une passoire.")</f>
        <v>Le liquide est ajouté à un pichet avec une passoire.</v>
      </c>
    </row>
    <row r="16799">
      <c r="A16799" s="4" t="s">
        <v>21152</v>
      </c>
      <c r="B16799" s="4" t="s">
        <v>21157</v>
      </c>
      <c r="C16799" s="5" t="str">
        <f>IFERROR(__xludf.DUMMYFUNCTION("GOOGLETRANSLATE(B16799,""en"",""fr"")"),"Les crédits de la vidéo sont affichés.")</f>
        <v>Les crédits de la vidéo sont affichés.</v>
      </c>
    </row>
    <row r="16800">
      <c r="A16800" s="4" t="s">
        <v>21158</v>
      </c>
      <c r="B16800" s="4" t="s">
        <v>21159</v>
      </c>
      <c r="C16800" s="5" t="str">
        <f>IFERROR(__xludf.DUMMYFUNCTION("GOOGLETRANSLATE(B16800,""en"",""fr"")"),"Une femme d'information s'assoit à un bureau, parlant.")</f>
        <v>Une femme d'information s'assoit à un bureau, parlant.</v>
      </c>
    </row>
    <row r="16801">
      <c r="A16801" s="4" t="s">
        <v>21158</v>
      </c>
      <c r="B16801" s="4" t="s">
        <v>21160</v>
      </c>
      <c r="C16801" s="5" t="str">
        <f>IFERROR(__xludf.DUMMYFUNCTION("GOOGLETRANSLATE(B16801,""en"",""fr"")"),"Nous voyons de nombreuses personnes courir dans l'eau avec des kayaks, coulant dans une rivière de rapides.")</f>
        <v>Nous voyons de nombreuses personnes courir dans l'eau avec des kayaks, coulant dans une rivière de rapides.</v>
      </c>
    </row>
    <row r="16802">
      <c r="A16802" s="4" t="s">
        <v>21158</v>
      </c>
      <c r="B16802" s="6" t="s">
        <v>21161</v>
      </c>
      <c r="C16802" s="5" t="str">
        <f>IFERROR(__xludf.DUMMYFUNCTION("GOOGLETRANSLATE(B16802,""en"",""fr"")"),"Quand ils ont terminé, plusieurs des concurrents sont interviewés à la caméra et d'autres marchent dans l'eau sur de faux kayaks.")</f>
        <v>Quand ils ont terminé, plusieurs des concurrents sont interviewés à la caméra et d'autres marchent dans l'eau sur de faux kayaks.</v>
      </c>
    </row>
    <row r="16803">
      <c r="A16803" s="4" t="s">
        <v>21162</v>
      </c>
      <c r="B16803" s="4" t="s">
        <v>21163</v>
      </c>
      <c r="C16803" s="5" t="str">
        <f>IFERROR(__xludf.DUMMYFUNCTION("GOOGLETRANSLATE(B16803,""en"",""fr"")"),"Nous voyons une femme enceinte faire du ballet dans un studio.")</f>
        <v>Nous voyons une femme enceinte faire du ballet dans un studio.</v>
      </c>
    </row>
    <row r="16804">
      <c r="A16804" s="4" t="s">
        <v>21162</v>
      </c>
      <c r="B16804" s="4" t="s">
        <v>21164</v>
      </c>
      <c r="C16804" s="5" t="str">
        <f>IFERROR(__xludf.DUMMYFUNCTION("GOOGLETRANSLATE(B16804,""en"",""fr"")"),"La dame tourne et fait un pliea.")</f>
        <v>La dame tourne et fait un pliea.</v>
      </c>
    </row>
    <row r="16805">
      <c r="A16805" s="4" t="s">
        <v>21162</v>
      </c>
      <c r="B16805" s="4" t="s">
        <v>21165</v>
      </c>
      <c r="C16805" s="5" t="str">
        <f>IFERROR(__xludf.DUMMYFUNCTION("GOOGLETRANSLATE(B16805,""en"",""fr"")"),"Les gens en arrière-plan applaudissent pour la dame.")</f>
        <v>Les gens en arrière-plan applaudissent pour la dame.</v>
      </c>
    </row>
    <row r="16806">
      <c r="A16806" s="4" t="s">
        <v>21162</v>
      </c>
      <c r="B16806" s="4" t="s">
        <v>21166</v>
      </c>
      <c r="C16806" s="5" t="str">
        <f>IFERROR(__xludf.DUMMYFUNCTION("GOOGLETRANSLATE(B16806,""en"",""fr"")"),"La dame quitte ensuite la caméra en riant.")</f>
        <v>La dame quitte ensuite la caméra en riant.</v>
      </c>
    </row>
    <row r="16807">
      <c r="A16807" s="4" t="s">
        <v>21167</v>
      </c>
      <c r="B16807" s="4" t="s">
        <v>21168</v>
      </c>
      <c r="C16807" s="5" t="str">
        <f>IFERROR(__xludf.DUMMYFUNCTION("GOOGLETRANSLATE(B16807,""en"",""fr"")"),"Deux robinets d'eau courent et montrent des mains de personnes sous l'évier.")</f>
        <v>Deux robinets d'eau courent et montrent des mains de personnes sous l'évier.</v>
      </c>
    </row>
    <row r="16808">
      <c r="A16808" s="4" t="s">
        <v>21167</v>
      </c>
      <c r="B16808" s="4" t="s">
        <v>21169</v>
      </c>
      <c r="C16808" s="5" t="str">
        <f>IFERROR(__xludf.DUMMYFUNCTION("GOOGLETRANSLATE(B16808,""en"",""fr"")"),"L'homme bouge ses mains puis se termine avec lui en essuyant ses mains dans ses cheveux.")</f>
        <v>L'homme bouge ses mains puis se termine avec lui en essuyant ses mains dans ses cheveux.</v>
      </c>
    </row>
    <row r="16809">
      <c r="A16809" s="4" t="s">
        <v>21170</v>
      </c>
      <c r="B16809" s="4" t="s">
        <v>21171</v>
      </c>
      <c r="C16809" s="5" t="str">
        <f>IFERROR(__xludf.DUMMYFUNCTION("GOOGLETRANSLATE(B16809,""en"",""fr"")"),"Un homme en costume rose parle à un homme en costume rouge et l'homme ne portant pas de chemise.")</f>
        <v>Un homme en costume rose parle à un homme en costume rouge et l'homme ne portant pas de chemise.</v>
      </c>
    </row>
    <row r="16810">
      <c r="A16810" s="4" t="s">
        <v>21170</v>
      </c>
      <c r="B16810" s="4" t="s">
        <v>21172</v>
      </c>
      <c r="C16810" s="5" t="str">
        <f>IFERROR(__xludf.DUMMYFUNCTION("GOOGLETRANSLATE(B16810,""en"",""fr"")"),"Ils jouent des ciseaux en papier rocheux.")</f>
        <v>Ils jouent des ciseaux en papier rocheux.</v>
      </c>
    </row>
    <row r="16811">
      <c r="A16811" s="4" t="s">
        <v>21170</v>
      </c>
      <c r="B16811" s="4" t="s">
        <v>21173</v>
      </c>
      <c r="C16811" s="5" t="str">
        <f>IFERROR(__xludf.DUMMYFUNCTION("GOOGLETRANSLATE(B16811,""en"",""fr"")"),"L'homme en costume rose célèbre.")</f>
        <v>L'homme en costume rose célèbre.</v>
      </c>
    </row>
    <row r="16812">
      <c r="A16812" s="4" t="s">
        <v>21170</v>
      </c>
      <c r="B16812" s="4" t="s">
        <v>21174</v>
      </c>
      <c r="C16812" s="5" t="str">
        <f>IFERROR(__xludf.DUMMYFUNCTION("GOOGLETRANSLATE(B16812,""en"",""fr"")"),"L'homme ne portant pas de chemise poursuit l'homme en costume rose.")</f>
        <v>L'homme ne portant pas de chemise poursuit l'homme en costume rose.</v>
      </c>
    </row>
    <row r="16813">
      <c r="A16813" s="4" t="s">
        <v>21170</v>
      </c>
      <c r="B16813" s="4" t="s">
        <v>21175</v>
      </c>
      <c r="C16813" s="5" t="str">
        <f>IFERROR(__xludf.DUMMYFUNCTION("GOOGLETRANSLATE(B16813,""en"",""fr"")"),"L'homme en costume rose tombe.")</f>
        <v>L'homme en costume rose tombe.</v>
      </c>
    </row>
    <row r="16814">
      <c r="A16814" s="4" t="s">
        <v>21170</v>
      </c>
      <c r="B16814" s="4" t="s">
        <v>21176</v>
      </c>
      <c r="C16814" s="5" t="str">
        <f>IFERROR(__xludf.DUMMYFUNCTION("GOOGLETRANSLATE(B16814,""en"",""fr"")"),"L'homme ne portant pas de chemise jette un baril blanc sur l'homme au sol.")</f>
        <v>L'homme ne portant pas de chemise jette un baril blanc sur l'homme au sol.</v>
      </c>
    </row>
    <row r="16815">
      <c r="A16815" s="4" t="s">
        <v>21170</v>
      </c>
      <c r="B16815" s="4" t="s">
        <v>21177</v>
      </c>
      <c r="C16815" s="5" t="str">
        <f>IFERROR(__xludf.DUMMYFUNCTION("GOOGLETRANSLATE(B16815,""en"",""fr"")"),"Un homme en costume noir sort des buissons.")</f>
        <v>Un homme en costume noir sort des buissons.</v>
      </c>
    </row>
    <row r="16816">
      <c r="A16816" s="4" t="s">
        <v>21170</v>
      </c>
      <c r="B16816" s="4" t="s">
        <v>21178</v>
      </c>
      <c r="C16816" s="5" t="str">
        <f>IFERROR(__xludf.DUMMYFUNCTION("GOOGLETRANSLATE(B16816,""en"",""fr"")"),"Il combat l'homme en costume rouge.")</f>
        <v>Il combat l'homme en costume rouge.</v>
      </c>
    </row>
    <row r="16817">
      <c r="A16817" s="4" t="s">
        <v>21170</v>
      </c>
      <c r="B16817" s="4" t="s">
        <v>21179</v>
      </c>
      <c r="C16817" s="5" t="str">
        <f>IFERROR(__xludf.DUMMYFUNCTION("GOOGLETRANSLATE(B16817,""en"",""fr"")"),"L'homme sans chemise jette un baril sur l'homme dans le costume noir.")</f>
        <v>L'homme sans chemise jette un baril sur l'homme dans le costume noir.</v>
      </c>
    </row>
    <row r="16818">
      <c r="A16818" s="4" t="s">
        <v>21180</v>
      </c>
      <c r="B16818" s="4" t="s">
        <v>21181</v>
      </c>
      <c r="C16818" s="5" t="str">
        <f>IFERROR(__xludf.DUMMYFUNCTION("GOOGLETRANSLATE(B16818,""en"",""fr"")"),"Un coureur de saut se réchauffe avant de faire un saut en longueur.")</f>
        <v>Un coureur de saut se réchauffe avant de faire un saut en longueur.</v>
      </c>
    </row>
    <row r="16819">
      <c r="A16819" s="4" t="s">
        <v>21180</v>
      </c>
      <c r="B16819" s="6" t="s">
        <v>21182</v>
      </c>
      <c r="C16819" s="5" t="str">
        <f>IFERROR(__xludf.DUMMYFUNCTION("GOOGLETRANSLATE(B16819,""en"",""fr"")"),"Il fait le saut en longueur, puis saute immédiatement et revient, encourage et célébrant avec la foule.")</f>
        <v>Il fait le saut en longueur, puis saute immédiatement et revient, encourage et célébrant avec la foule.</v>
      </c>
    </row>
    <row r="16820">
      <c r="A16820" s="4" t="s">
        <v>21180</v>
      </c>
      <c r="B16820" s="4" t="s">
        <v>21183</v>
      </c>
      <c r="C16820" s="5" t="str">
        <f>IFERROR(__xludf.DUMMYFUNCTION("GOOGLETRANSLATE(B16820,""en"",""fr"")"),"Il bat la poitrine et étreint les gens.")</f>
        <v>Il bat la poitrine et étreint les gens.</v>
      </c>
    </row>
    <row r="16821">
      <c r="A16821" s="4" t="s">
        <v>21180</v>
      </c>
      <c r="B16821" s="4" t="s">
        <v>21184</v>
      </c>
      <c r="C16821" s="5" t="str">
        <f>IFERROR(__xludf.DUMMYFUNCTION("GOOGLETRANSLATE(B16821,""en"",""fr"")"),"Il pose ensuite devant un tableau de bord pendant que les gens prennent des photos.")</f>
        <v>Il pose ensuite devant un tableau de bord pendant que les gens prennent des photos.</v>
      </c>
    </row>
    <row r="16822">
      <c r="A16822" s="4" t="s">
        <v>21185</v>
      </c>
      <c r="B16822" s="4" t="s">
        <v>21186</v>
      </c>
      <c r="C16822" s="5" t="str">
        <f>IFERROR(__xludf.DUMMYFUNCTION("GOOGLETRANSLATE(B16822,""en"",""fr"")"),"Un homme fait des réparations à un vélo sur les planchers de bois franc d'une chambre tandis que deux chats regardent.")</f>
        <v>Un homme fait des réparations à un vélo sur les planchers de bois franc d'une chambre tandis que deux chats regardent.</v>
      </c>
    </row>
    <row r="16823">
      <c r="A16823" s="4" t="s">
        <v>21185</v>
      </c>
      <c r="B16823" s="4" t="s">
        <v>21187</v>
      </c>
      <c r="C16823" s="5" t="str">
        <f>IFERROR(__xludf.DUMMYFUNCTION("GOOGLETRANSLATE(B16823,""en"",""fr"")"),"Un homme entre dans une chambre et prend une partie à vélo sur le sol de sa chambre.")</f>
        <v>Un homme entre dans une chambre et prend une partie à vélo sur le sol de sa chambre.</v>
      </c>
    </row>
    <row r="16824">
      <c r="A16824" s="4" t="s">
        <v>21185</v>
      </c>
      <c r="B16824" s="6" t="s">
        <v>21188</v>
      </c>
      <c r="C16824" s="5" t="str">
        <f>IFERROR(__xludf.DUMMYFUNCTION("GOOGLETRANSLATE(B16824,""en"",""fr"")"),"L'homme fait ensuite des réparations à l'aide d'outils tandis que deux chats se promènent dans la périphérie de regarder et de se déplacer.")</f>
        <v>L'homme fait ensuite des réparations à l'aide d'outils tandis que deux chats se promènent dans la périphérie de regarder et de se déplacer.</v>
      </c>
    </row>
    <row r="16825">
      <c r="A16825" s="4" t="s">
        <v>21185</v>
      </c>
      <c r="B16825" s="6" t="s">
        <v>21189</v>
      </c>
      <c r="C16825" s="5" t="str">
        <f>IFERROR(__xludf.DUMMYFUNCTION("GOOGLETRANSLATE(B16825,""en"",""fr"")"),"L'homme produit beaucoup de poussière noire tout en faisant les réparations du vélo, et il finit par quitter la pièce, revient puis reparti tandis qu'un chat s'approche de la zone d'où travaillait.")</f>
        <v>L'homme produit beaucoup de poussière noire tout en faisant les réparations du vélo, et il finit par quitter la pièce, revient puis reparti tandis qu'un chat s'approche de la zone d'où travaillait.</v>
      </c>
    </row>
    <row r="16826">
      <c r="A16826" s="4" t="s">
        <v>21190</v>
      </c>
      <c r="B16826" s="4" t="s">
        <v>21191</v>
      </c>
      <c r="C16826" s="5" t="str">
        <f>IFERROR(__xludf.DUMMYFUNCTION("GOOGLETRANSLATE(B16826,""en"",""fr"")"),"Un enfant en chemise bleue est une longue pension.")</f>
        <v>Un enfant en chemise bleue est une longue pension.</v>
      </c>
    </row>
    <row r="16827">
      <c r="A16827" s="4" t="s">
        <v>21190</v>
      </c>
      <c r="B16827" s="4" t="s">
        <v>21192</v>
      </c>
      <c r="C16827" s="5" t="str">
        <f>IFERROR(__xludf.DUMMYFUNCTION("GOOGLETRANSLATE(B16827,""en"",""fr"")"),"Il tombe et dans la rue.")</f>
        <v>Il tombe et dans la rue.</v>
      </c>
    </row>
    <row r="16828">
      <c r="A16828" s="4" t="s">
        <v>21190</v>
      </c>
      <c r="B16828" s="4" t="s">
        <v>21193</v>
      </c>
      <c r="C16828" s="5" t="str">
        <f>IFERROR(__xludf.DUMMYFUNCTION("GOOGLETRANSLATE(B16828,""en"",""fr"")"),"Il continue de descendre dans la rue sur sa longue planche.")</f>
        <v>Il continue de descendre dans la rue sur sa longue planche.</v>
      </c>
    </row>
    <row r="16829">
      <c r="A16829" s="4" t="s">
        <v>21194</v>
      </c>
      <c r="B16829" s="4" t="s">
        <v>21195</v>
      </c>
      <c r="C16829" s="5" t="str">
        <f>IFERROR(__xludf.DUMMYFUNCTION("GOOGLETRANSLATE(B16829,""en"",""fr"")"),"Une caméra zoome sur divers aliments et ingrédients ainsi qu'une casserole sur un poêle.")</f>
        <v>Une caméra zoome sur divers aliments et ingrédients ainsi qu'une casserole sur un poêle.</v>
      </c>
    </row>
    <row r="16830">
      <c r="A16830" s="4" t="s">
        <v>21194</v>
      </c>
      <c r="B16830" s="6" t="s">
        <v>21196</v>
      </c>
      <c r="C16830" s="5" t="str">
        <f>IFERROR(__xludf.DUMMYFUNCTION("GOOGLETRANSLATE(B16830,""en"",""fr"")"),"Une personne portant des gants est vue en train de répandre des aliments sur une assiette suivie d'une grande pâtisserie et de répandre du beurre dessus.")</f>
        <v>Une personne portant des gants est vue en train de répandre des aliments sur une assiette suivie d'une grande pâtisserie et de répandre du beurre dessus.</v>
      </c>
    </row>
    <row r="16831">
      <c r="A16831" s="4" t="s">
        <v>21194</v>
      </c>
      <c r="B16831" s="4" t="s">
        <v>21197</v>
      </c>
      <c r="C16831" s="5" t="str">
        <f>IFERROR(__xludf.DUMMYFUNCTION("GOOGLETRANSLATE(B16831,""en"",""fr"")"),"La personne continue de faire des couches, puis défait le gâteau et montre le gâteau solide.")</f>
        <v>La personne continue de faire des couches, puis défait le gâteau et montre le gâteau solide.</v>
      </c>
    </row>
    <row r="16832">
      <c r="A16832" s="4" t="s">
        <v>21194</v>
      </c>
      <c r="B16832" s="6" t="s">
        <v>21198</v>
      </c>
      <c r="C16832" s="5" t="str">
        <f>IFERROR(__xludf.DUMMYFUNCTION("GOOGLETRANSLATE(B16832,""en"",""fr"")"),"Elle prend du ruban adhésif, puis déroule plus de pâte et la propage le long du gâteau, montrant le résultat fini.")</f>
        <v>Elle prend du ruban adhésif, puis déroule plus de pâte et la propage le long du gâteau, montrant le résultat fini.</v>
      </c>
    </row>
    <row r="16833">
      <c r="A16833" s="4" t="s">
        <v>21199</v>
      </c>
      <c r="B16833" s="4" t="s">
        <v>21200</v>
      </c>
      <c r="C16833" s="5" t="str">
        <f>IFERROR(__xludf.DUMMYFUNCTION("GOOGLETRANSLATE(B16833,""en"",""fr"")"),"Un homme se tient sur le devant une table pleine d'objets pendant que les gens écoutent l'homme.")</f>
        <v>Un homme se tient sur le devant une table pleine d'objets pendant que les gens écoutent l'homme.</v>
      </c>
    </row>
    <row r="16834">
      <c r="A16834" s="4" t="s">
        <v>21199</v>
      </c>
      <c r="B16834" s="4" t="s">
        <v>21201</v>
      </c>
      <c r="C16834" s="5" t="str">
        <f>IFERROR(__xludf.DUMMYFUNCTION("GOOGLETRANSLATE(B16834,""en"",""fr"")"),"Une femme présente des barreaux de granola et explique aux gens autour de la table.")</f>
        <v>Une femme présente des barreaux de granola et explique aux gens autour de la table.</v>
      </c>
    </row>
    <row r="16835">
      <c r="A16835" s="4" t="s">
        <v>21199</v>
      </c>
      <c r="B16835" s="4" t="s">
        <v>21202</v>
      </c>
      <c r="C16835" s="5" t="str">
        <f>IFERROR(__xludf.DUMMYFUNCTION("GOOGLETRANSLATE(B16835,""en"",""fr"")"),"Ensuite, une personne a mis de la cire sur des skis avec une petite machine électrique dans une pièce pleine de skis.")</f>
        <v>Ensuite, une personne a mis de la cire sur des skis avec une petite machine électrique dans une pièce pleine de skis.</v>
      </c>
    </row>
    <row r="16836">
      <c r="A16836" s="4" t="s">
        <v>21203</v>
      </c>
      <c r="B16836" s="6" t="s">
        <v>21204</v>
      </c>
      <c r="C16836" s="5" t="str">
        <f>IFERROR(__xludf.DUMMYFUNCTION("GOOGLETRANSLATE(B16836,""en"",""fr"")"),"L'homme interviewe certaines personnes qui regardent deux femmes en lutte en bikini, la femme gagne et commence à sauter.")</f>
        <v>L'homme interviewe certaines personnes qui regardent deux femmes en lutte en bikini, la femme gagne et commence à sauter.</v>
      </c>
    </row>
    <row r="16837">
      <c r="A16837" s="4" t="s">
        <v>21203</v>
      </c>
      <c r="B16837" s="6" t="s">
        <v>21205</v>
      </c>
      <c r="C16837" s="5" t="str">
        <f>IFERROR(__xludf.DUMMYFUNCTION("GOOGLETRANSLATE(B16837,""en"",""fr"")"),"Deux femmes en bikini se tiennent avec un nain et il gagne le combat pendant que l'intervieweur parle aux gens du public.")</f>
        <v>Deux femmes en bikini se tiennent avec un nain et il gagne le combat pendant que l'intervieweur parle aux gens du public.</v>
      </c>
    </row>
    <row r="16838">
      <c r="A16838" s="4" t="s">
        <v>21203</v>
      </c>
      <c r="B16838" s="4" t="s">
        <v>21206</v>
      </c>
      <c r="C16838" s="5" t="str">
        <f>IFERROR(__xludf.DUMMYFUNCTION("GOOGLETRANSLATE(B16838,""en"",""fr"")"),"Les femmes de Bikini se préparent à s'arrêter sur le ring.")</f>
        <v>Les femmes de Bikini se préparent à s'arrêter sur le ring.</v>
      </c>
    </row>
    <row r="16839">
      <c r="A16839" s="4" t="s">
        <v>21203</v>
      </c>
      <c r="B16839" s="4" t="s">
        <v>21207</v>
      </c>
      <c r="C16839" s="5" t="str">
        <f>IFERROR(__xludf.DUMMYFUNCTION("GOOGLETRANSLATE(B16839,""en"",""fr"")"),"Certains clips de vidéos YouTube sont affichés.")</f>
        <v>Certains clips de vidéos YouTube sont affichés.</v>
      </c>
    </row>
    <row r="16840">
      <c r="A16840" s="4" t="s">
        <v>21208</v>
      </c>
      <c r="B16840" s="4" t="s">
        <v>21209</v>
      </c>
      <c r="C16840" s="5" t="str">
        <f>IFERROR(__xludf.DUMMYFUNCTION("GOOGLETRANSLATE(B16840,""en"",""fr"")"),"Plusieurs gros plans de sandwichs sont vus ainsi qu'une personne qui coupe la viande et les légumes.")</f>
        <v>Plusieurs gros plans de sandwichs sont vus ainsi qu'une personne qui coupe la viande et les légumes.</v>
      </c>
    </row>
    <row r="16841">
      <c r="A16841" s="4" t="s">
        <v>21208</v>
      </c>
      <c r="B16841" s="4" t="s">
        <v>21210</v>
      </c>
      <c r="C16841" s="5" t="str">
        <f>IFERROR(__xludf.DUMMYFUNCTION("GOOGLETRANSLATE(B16841,""en"",""fr"")"),"La personne coupe le pain suivant en posant divers ingrédients sur le pain.")</f>
        <v>La personne coupe le pain suivant en posant divers ingrédients sur le pain.</v>
      </c>
    </row>
    <row r="16842">
      <c r="A16842" s="4" t="s">
        <v>21208</v>
      </c>
      <c r="B16842" s="6" t="s">
        <v>21211</v>
      </c>
      <c r="C16842" s="5" t="str">
        <f>IFERROR(__xludf.DUMMYFUNCTION("GOOGLETRANSLATE(B16842,""en"",""fr"")"),"La personne ferme le pain pour faire des sandwichs suivis en les mettant dans une presse française et en les présentant à la caméra.")</f>
        <v>La personne ferme le pain pour faire des sandwichs suivis en les mettant dans une presse française et en les présentant à la caméra.</v>
      </c>
    </row>
    <row r="16843">
      <c r="A16843" s="4" t="s">
        <v>21212</v>
      </c>
      <c r="B16843" s="6" t="s">
        <v>21213</v>
      </c>
      <c r="C16843" s="5" t="str">
        <f>IFERROR(__xludf.DUMMYFUNCTION("GOOGLETRANSLATE(B16843,""en"",""fr"")"),"Un homme est vu jouer des mouvements de danse de pause au milieu d'une place de la ville tandis que les gens entrent et sortent du cadre.")</f>
        <v>Un homme est vu jouer des mouvements de danse de pause au milieu d'une place de la ville tandis que les gens entrent et sortent du cadre.</v>
      </c>
    </row>
    <row r="16844">
      <c r="A16844" s="4" t="s">
        <v>21212</v>
      </c>
      <c r="B16844" s="4" t="s">
        <v>21214</v>
      </c>
      <c r="C16844" s="5" t="str">
        <f>IFERROR(__xludf.DUMMYFUNCTION("GOOGLETRANSLATE(B16844,""en"",""fr"")"),"L'homme continue de danser et de tenir des poses tout en regardant la caméra.")</f>
        <v>L'homme continue de danser et de tenir des poses tout en regardant la caméra.</v>
      </c>
    </row>
    <row r="16845">
      <c r="A16845" s="4" t="s">
        <v>21215</v>
      </c>
      <c r="B16845" s="6" t="s">
        <v>21216</v>
      </c>
      <c r="C16845" s="5" t="str">
        <f>IFERROR(__xludf.DUMMYFUNCTION("GOOGLETRANSLATE(B16845,""en"",""fr"")"),"Deux personnes donnent un coup de pied dans un ring de boxe sur le devant une foule, tandis que l'arbitre tourne les boxeurs.")</f>
        <v>Deux personnes donnent un coup de pied dans un ring de boxe sur le devant une foule, tandis que l'arbitre tourne les boxeurs.</v>
      </c>
    </row>
    <row r="16846">
      <c r="A16846" s="4" t="s">
        <v>21215</v>
      </c>
      <c r="B16846" s="4" t="s">
        <v>21217</v>
      </c>
      <c r="C16846" s="5" t="str">
        <f>IFERROR(__xludf.DUMMYFUNCTION("GOOGLETRANSLATE(B16846,""en"",""fr"")"),"L'arbitre répare le casque du boxeur.")</f>
        <v>L'arbitre répare le casque du boxeur.</v>
      </c>
    </row>
    <row r="16847">
      <c r="A16847" s="4" t="s">
        <v>21215</v>
      </c>
      <c r="B16847" s="4" t="s">
        <v>21218</v>
      </c>
      <c r="C16847" s="5" t="str">
        <f>IFERROR(__xludf.DUMMYFUNCTION("GOOGLETRANSLATE(B16847,""en"",""fr"")"),"Une mouche de bâton et atterrit sur le ring de boxe.")</f>
        <v>Une mouche de bâton et atterrit sur le ring de boxe.</v>
      </c>
    </row>
    <row r="16848">
      <c r="A16848" s="4" t="s">
        <v>21219</v>
      </c>
      <c r="B16848" s="4" t="s">
        <v>21220</v>
      </c>
      <c r="C16848" s="5" t="str">
        <f>IFERROR(__xludf.DUMMYFUNCTION("GOOGLETRANSLATE(B16848,""en"",""fr"")"),"Une pièce de théâtre fait partie d'un jeu de cricket sur l'écran.")</f>
        <v>Une pièce de théâtre fait partie d'un jeu de cricket sur l'écran.</v>
      </c>
    </row>
    <row r="16849">
      <c r="A16849" s="4" t="s">
        <v>21219</v>
      </c>
      <c r="B16849" s="4" t="s">
        <v>21221</v>
      </c>
      <c r="C16849" s="5" t="str">
        <f>IFERROR(__xludf.DUMMYFUNCTION("GOOGLETRANSLATE(B16849,""en"",""fr"")"),"Les joueurs du jeu de cricket sont montrés en célébrant et en interagissant les uns avec les autres.")</f>
        <v>Les joueurs du jeu de cricket sont montrés en célébrant et en interagissant les uns avec les autres.</v>
      </c>
    </row>
    <row r="16850">
      <c r="A16850" s="4" t="s">
        <v>21219</v>
      </c>
      <c r="B16850" s="4" t="s">
        <v>21222</v>
      </c>
      <c r="C16850" s="5" t="str">
        <f>IFERROR(__xludf.DUMMYFUNCTION("GOOGLETRANSLATE(B16850,""en"",""fr"")"),"Une rediffusion est affichée et les statistiques sont ensuite affichées à l'écran.")</f>
        <v>Une rediffusion est affichée et les statistiques sont ensuite affichées à l'écran.</v>
      </c>
    </row>
    <row r="16851">
      <c r="A16851" s="4" t="s">
        <v>21219</v>
      </c>
      <c r="B16851" s="4" t="s">
        <v>21223</v>
      </c>
      <c r="C16851" s="5" t="str">
        <f>IFERROR(__xludf.DUMMYFUNCTION("GOOGLETRANSLATE(B16851,""en"",""fr"")"),"Le jeu se poursuit avec un autre jeu et une rediffusion est montrée de ce jeu.")</f>
        <v>Le jeu se poursuit avec un autre jeu et une rediffusion est montrée de ce jeu.</v>
      </c>
    </row>
    <row r="16852">
      <c r="A16852" s="4" t="s">
        <v>21219</v>
      </c>
      <c r="B16852" s="4" t="s">
        <v>21224</v>
      </c>
      <c r="C16852" s="5" t="str">
        <f>IFERROR(__xludf.DUMMYFUNCTION("GOOGLETRANSLATE(B16852,""en"",""fr"")"),"Un autre jeu est montré et une rediffusion de ce jeu est également montrée.")</f>
        <v>Un autre jeu est montré et une rediffusion de ce jeu est également montrée.</v>
      </c>
    </row>
    <row r="16853">
      <c r="A16853" s="4" t="s">
        <v>21219</v>
      </c>
      <c r="B16853" s="4" t="s">
        <v>21225</v>
      </c>
      <c r="C16853" s="5" t="str">
        <f>IFERROR(__xludf.DUMMYFUNCTION("GOOGLETRANSLATE(B16853,""en"",""fr"")"),"Le jeu suivant est montré et que l'équipe commence à célébrer avant qu'une rediffusion de ce jeu ne soit montrée.")</f>
        <v>Le jeu suivant est montré et que l'équipe commence à célébrer avant qu'une rediffusion de ce jeu ne soit montrée.</v>
      </c>
    </row>
    <row r="16854">
      <c r="A16854" s="4" t="s">
        <v>21219</v>
      </c>
      <c r="B16854" s="4" t="s">
        <v>21226</v>
      </c>
      <c r="C16854" s="5" t="str">
        <f>IFERROR(__xludf.DUMMYFUNCTION("GOOGLETRANSLATE(B16854,""en"",""fr"")"),"La lecture suivante est affichée puis la vidéo se termine.")</f>
        <v>La lecture suivante est affichée puis la vidéo se termine.</v>
      </c>
    </row>
    <row r="16855">
      <c r="A16855" s="4" t="s">
        <v>21227</v>
      </c>
      <c r="B16855" s="6" t="s">
        <v>21228</v>
      </c>
      <c r="C16855" s="5" t="str">
        <f>IFERROR(__xludf.DUMMYFUNCTION("GOOGLETRANSLATE(B16855,""en"",""fr"")"),"Une caméra se déroule autour d'une plage suivie de gens marchant avec une planche de surf et procédant à faire des astuces sur l'eau.")</f>
        <v>Une caméra se déroule autour d'une plage suivie de gens marchant avec une planche de surf et procédant à faire des astuces sur l'eau.</v>
      </c>
    </row>
    <row r="16856">
      <c r="A16856" s="4" t="s">
        <v>21227</v>
      </c>
      <c r="B16856" s="6" t="s">
        <v>21229</v>
      </c>
      <c r="C16856" s="5" t="str">
        <f>IFERROR(__xludf.DUMMYFUNCTION("GOOGLETRANSLATE(B16856,""en"",""fr"")"),"La caméra capture les hommes effectuant différentes astuces ainsi que la natation dans l'océan et se déplaçant au ralenti.")</f>
        <v>La caméra capture les hommes effectuant différentes astuces ainsi que la natation dans l'océan et se déplaçant au ralenti.</v>
      </c>
    </row>
    <row r="16857">
      <c r="A16857" s="4" t="s">
        <v>21230</v>
      </c>
      <c r="B16857" s="4" t="s">
        <v>21231</v>
      </c>
      <c r="C16857" s="5" t="str">
        <f>IFERROR(__xludf.DUMMYFUNCTION("GOOGLETRANSLATE(B16857,""en"",""fr"")"),"Un jeu de water-polo est montré, avec un joueur mis en évidence.")</f>
        <v>Un jeu de water-polo est montré, avec un joueur mis en évidence.</v>
      </c>
    </row>
    <row r="16858">
      <c r="A16858" s="4" t="s">
        <v>21230</v>
      </c>
      <c r="B16858" s="4" t="s">
        <v>21232</v>
      </c>
      <c r="C16858" s="5" t="str">
        <f>IFERROR(__xludf.DUMMYFUNCTION("GOOGLETRANSLATE(B16858,""en"",""fr"")"),"Un homme vêtu de blancs de marche d'avant en arrière au bord de la piscine en arrière-plan.")</f>
        <v>Un homme vêtu de blancs de marche d'avant en arrière au bord de la piscine en arrière-plan.</v>
      </c>
    </row>
    <row r="16859">
      <c r="A16859" s="4" t="s">
        <v>21230</v>
      </c>
      <c r="B16859" s="4" t="s">
        <v>21233</v>
      </c>
      <c r="C16859" s="5" t="str">
        <f>IFERROR(__xludf.DUMMYFUNCTION("GOOGLETRANSLATE(B16859,""en"",""fr"")"),"Un homme vêtu de blanc est montré debout au premier plan et geste.")</f>
        <v>Un homme vêtu de blanc est montré debout au premier plan et geste.</v>
      </c>
    </row>
    <row r="16860">
      <c r="A16860" s="4" t="s">
        <v>21234</v>
      </c>
      <c r="B16860" s="4" t="s">
        <v>21235</v>
      </c>
      <c r="C16860" s="5" t="str">
        <f>IFERROR(__xludf.DUMMYFUNCTION("GOOGLETRANSLATE(B16860,""en"",""fr"")"),"Un homme vêtu de vêtements d'hiver jaunes et noirs sur un lac gelé sur un lac gelé.")</f>
        <v>Un homme vêtu de vêtements d'hiver jaunes et noirs sur un lac gelé sur un lac gelé.</v>
      </c>
    </row>
    <row r="16861">
      <c r="A16861" s="4" t="s">
        <v>21234</v>
      </c>
      <c r="B16861" s="4" t="s">
        <v>21236</v>
      </c>
      <c r="C16861" s="5" t="str">
        <f>IFERROR(__xludf.DUMMYFUNCTION("GOOGLETRANSLATE(B16861,""en"",""fr"")"),"L'homme est sous le choc dans un poisson pendant longtemps.")</f>
        <v>L'homme est sous le choc dans un poisson pendant longtemps.</v>
      </c>
    </row>
    <row r="16862">
      <c r="A16862" s="4" t="s">
        <v>21234</v>
      </c>
      <c r="B16862" s="4" t="s">
        <v>21237</v>
      </c>
      <c r="C16862" s="5" t="str">
        <f>IFERROR(__xludf.DUMMYFUNCTION("GOOGLETRANSLATE(B16862,""en"",""fr"")"),"La capture des hommes atteint finalement la surface.")</f>
        <v>La capture des hommes atteint finalement la surface.</v>
      </c>
    </row>
    <row r="16863">
      <c r="A16863" s="4" t="s">
        <v>21238</v>
      </c>
      <c r="B16863" s="4" t="s">
        <v>21239</v>
      </c>
      <c r="C16863" s="5" t="str">
        <f>IFERROR(__xludf.DUMMYFUNCTION("GOOGLETRANSLATE(B16863,""en"",""fr"")"),"Les gens jouent à une partie de water-polo dans une piscine.")</f>
        <v>Les gens jouent à une partie de water-polo dans une piscine.</v>
      </c>
    </row>
    <row r="16864">
      <c r="A16864" s="4" t="s">
        <v>21238</v>
      </c>
      <c r="B16864" s="4" t="s">
        <v>21240</v>
      </c>
      <c r="C16864" s="5" t="str">
        <f>IFERROR(__xludf.DUMMYFUNCTION("GOOGLETRANSLATE(B16864,""en"",""fr"")"),"Une femme debout sur le côté de la piscine parle à la caméra.")</f>
        <v>Une femme debout sur le côté de la piscine parle à la caméra.</v>
      </c>
    </row>
    <row r="16865">
      <c r="A16865" s="4" t="s">
        <v>21238</v>
      </c>
      <c r="B16865" s="4" t="s">
        <v>21241</v>
      </c>
      <c r="C16865" s="5" t="str">
        <f>IFERROR(__xludf.DUMMYFUNCTION("GOOGLETRANSLATE(B16865,""en"",""fr"")"),"Un homme siffle sur le côté de la piscine.")</f>
        <v>Un homme siffle sur le côté de la piscine.</v>
      </c>
    </row>
    <row r="16866">
      <c r="A16866" s="4" t="s">
        <v>21242</v>
      </c>
      <c r="B16866" s="4" t="s">
        <v>21243</v>
      </c>
      <c r="C16866" s="5" t="str">
        <f>IFERROR(__xludf.DUMMYFUNCTION("GOOGLETRANSLATE(B16866,""en"",""fr"")"),"Un jeune homme est montré dans une pièce en jouant au ping-pong.")</f>
        <v>Un jeune homme est montré dans une pièce en jouant au ping-pong.</v>
      </c>
    </row>
    <row r="16867">
      <c r="A16867" s="4" t="s">
        <v>21242</v>
      </c>
      <c r="B16867" s="4" t="s">
        <v>21244</v>
      </c>
      <c r="C16867" s="5" t="str">
        <f>IFERROR(__xludf.DUMMYFUNCTION("GOOGLETRANSLATE(B16867,""en"",""fr"")"),"À un moment donné, il hausse les épaules en attendant que son adversaire commence.")</f>
        <v>À un moment donné, il hausse les épaules en attendant que son adversaire commence.</v>
      </c>
    </row>
    <row r="16868">
      <c r="A16868" s="4" t="s">
        <v>21242</v>
      </c>
      <c r="B16868" s="6" t="s">
        <v>21245</v>
      </c>
      <c r="C16868" s="5" t="str">
        <f>IFERROR(__xludf.DUMMYFUNCTION("GOOGLETRANSLATE(B16868,""en"",""fr"")"),"La vidéo continue de montrer à l'homme jouant au ping-pong, et s'arrêtant parfois à cause du ballon qui quitte la table.")</f>
        <v>La vidéo continue de montrer à l'homme jouant au ping-pong, et s'arrêtant parfois à cause du ballon qui quitte la table.</v>
      </c>
    </row>
    <row r="16869">
      <c r="A16869" s="4" t="s">
        <v>21242</v>
      </c>
      <c r="B16869" s="4" t="s">
        <v>21246</v>
      </c>
      <c r="C16869" s="5" t="str">
        <f>IFERROR(__xludf.DUMMYFUNCTION("GOOGLETRANSLATE(B16869,""en"",""fr"")"),"La vidéo se termine alors que l'homme s'approche de la caméra pour l'éteindre.")</f>
        <v>La vidéo se termine alors que l'homme s'approche de la caméra pour l'éteindre.</v>
      </c>
    </row>
    <row r="16870">
      <c r="A16870" s="4" t="s">
        <v>21247</v>
      </c>
      <c r="B16870" s="4" t="s">
        <v>21248</v>
      </c>
      <c r="C16870" s="5" t="str">
        <f>IFERROR(__xludf.DUMMYFUNCTION("GOOGLETRANSLATE(B16870,""en"",""fr"")"),"Il y a plusieurs personnes dans un parc qui participent à des activités de plein air.")</f>
        <v>Il y a plusieurs personnes dans un parc qui participent à des activités de plein air.</v>
      </c>
    </row>
    <row r="16871">
      <c r="A16871" s="4" t="s">
        <v>21247</v>
      </c>
      <c r="B16871" s="6" t="s">
        <v>21249</v>
      </c>
      <c r="C16871" s="5" t="str">
        <f>IFERROR(__xludf.DUMMYFUNCTION("GOOGLETRANSLATE(B16871,""en"",""fr"")"),"Il y a une personne à vélo sur une corde serrée, essayant d'équilibrer alors qu'il tombe vers la fin de la corde.")</f>
        <v>Il y a une personne à vélo sur une corde serrée, essayant d'équilibrer alors qu'il tombe vers la fin de la corde.</v>
      </c>
    </row>
    <row r="16872">
      <c r="A16872" s="4" t="s">
        <v>21247</v>
      </c>
      <c r="B16872" s="4" t="s">
        <v>21250</v>
      </c>
      <c r="C16872" s="5" t="str">
        <f>IFERROR(__xludf.DUMMYFUNCTION("GOOGLETRANSLATE(B16872,""en"",""fr"")"),"Il y a des enfants qui courent sur le sol.")</f>
        <v>Il y a des enfants qui courent sur le sol.</v>
      </c>
    </row>
    <row r="16873">
      <c r="A16873" s="4" t="s">
        <v>21247</v>
      </c>
      <c r="B16873" s="4" t="s">
        <v>21251</v>
      </c>
      <c r="C16873" s="5" t="str">
        <f>IFERROR(__xludf.DUMMYFUNCTION("GOOGLETRANSLATE(B16873,""en"",""fr"")"),"Il y a un autre homme marchant sur la corde serrée.")</f>
        <v>Il y a un autre homme marchant sur la corde serrée.</v>
      </c>
    </row>
    <row r="16874">
      <c r="A16874" s="4" t="s">
        <v>21247</v>
      </c>
      <c r="B16874" s="4" t="s">
        <v>21252</v>
      </c>
      <c r="C16874" s="5" t="str">
        <f>IFERROR(__xludf.DUMMYFUNCTION("GOOGLETRANSLATE(B16874,""en"",""fr"")"),"Il y a aussi beaucoup de gens assis par terre en regardant les activités.")</f>
        <v>Il y a aussi beaucoup de gens assis par terre en regardant les activités.</v>
      </c>
    </row>
    <row r="16875">
      <c r="A16875" s="4" t="s">
        <v>21247</v>
      </c>
      <c r="B16875" s="6" t="s">
        <v>21253</v>
      </c>
      <c r="C16875" s="5" t="str">
        <f>IFERROR(__xludf.DUMMYFUNCTION("GOOGLETRANSLATE(B16875,""en"",""fr"")"),"Un homme continue de marcher et de sauter et de rebondir sur la corde serrée, faisant des cascades pendant que les gens le regardent.")</f>
        <v>Un homme continue de marcher et de sauter et de rebondir sur la corde serrée, faisant des cascades pendant que les gens le regardent.</v>
      </c>
    </row>
    <row r="16876">
      <c r="A16876" s="4" t="s">
        <v>21247</v>
      </c>
      <c r="B16876" s="4" t="s">
        <v>21254</v>
      </c>
      <c r="C16876" s="5" t="str">
        <f>IFERROR(__xludf.DUMMYFUNCTION("GOOGLETRANSLATE(B16876,""en"",""fr"")"),"Il y a un vélo tombé sur le sol avec ses roues qui tournent rapidement.")</f>
        <v>Il y a un vélo tombé sur le sol avec ses roues qui tournent rapidement.</v>
      </c>
    </row>
    <row r="16877">
      <c r="A16877" s="4" t="s">
        <v>21255</v>
      </c>
      <c r="B16877" s="4" t="s">
        <v>21256</v>
      </c>
      <c r="C16877" s="5" t="str">
        <f>IFERROR(__xludf.DUMMYFUNCTION("GOOGLETRANSLATE(B16877,""en"",""fr"")"),"Un homme coupe la haie d'une maison à l'aide d'une coupe-boutique.")</f>
        <v>Un homme coupe la haie d'une maison à l'aide d'une coupe-boutique.</v>
      </c>
    </row>
    <row r="16878">
      <c r="A16878" s="4" t="s">
        <v>21255</v>
      </c>
      <c r="B16878" s="4" t="s">
        <v>21257</v>
      </c>
      <c r="C16878" s="5" t="str">
        <f>IFERROR(__xludf.DUMMYFUNCTION("GOOGLETRANSLATE(B16878,""en"",""fr"")"),"L'homme cesse de couper et tire le fil de la coupe-coupe et continue de couper.")</f>
        <v>L'homme cesse de couper et tire le fil de la coupe-coupe et continue de couper.</v>
      </c>
    </row>
    <row r="16879">
      <c r="A16879" s="4" t="s">
        <v>21258</v>
      </c>
      <c r="B16879" s="4" t="s">
        <v>21259</v>
      </c>
      <c r="C16879" s="5" t="str">
        <f>IFERROR(__xludf.DUMMYFUNCTION("GOOGLETRANSLATE(B16879,""en"",""fr"")"),"Un jeune garçon est vu assis sur une chaise en parlant à la caméra.")</f>
        <v>Un jeune garçon est vu assis sur une chaise en parlant à la caméra.</v>
      </c>
    </row>
    <row r="16880">
      <c r="A16880" s="4" t="s">
        <v>21258</v>
      </c>
      <c r="B16880" s="4" t="s">
        <v>21260</v>
      </c>
      <c r="C16880" s="5" t="str">
        <f>IFERROR(__xludf.DUMMYFUNCTION("GOOGLETRANSLATE(B16880,""en"",""fr"")"),"Il montre que son bras est dans un casting et met ses chaussettes et ses chaussures.")</f>
        <v>Il montre que son bras est dans un casting et met ses chaussettes et ses chaussures.</v>
      </c>
    </row>
    <row r="16881">
      <c r="A16881" s="4" t="s">
        <v>21258</v>
      </c>
      <c r="B16881" s="4" t="s">
        <v>21261</v>
      </c>
      <c r="C16881" s="5" t="str">
        <f>IFERROR(__xludf.DUMMYFUNCTION("GOOGLETRANSLATE(B16881,""en"",""fr"")"),"Il attache enfin ses chaussures et regarde la caméra.")</f>
        <v>Il attache enfin ses chaussures et regarde la caméra.</v>
      </c>
    </row>
    <row r="16882">
      <c r="A16882" s="4" t="s">
        <v>21262</v>
      </c>
      <c r="B16882" s="4" t="s">
        <v>21263</v>
      </c>
      <c r="C16882" s="5" t="str">
        <f>IFERROR(__xludf.DUMMYFUNCTION("GOOGLETRANSLATE(B16882,""en"",""fr"")"),"Quelques enfants sont habillés pour sortir sur Dirtbikes.")</f>
        <v>Quelques enfants sont habillés pour sortir sur Dirtbikes.</v>
      </c>
    </row>
    <row r="16883">
      <c r="A16883" s="4" t="s">
        <v>21262</v>
      </c>
      <c r="B16883" s="4" t="s">
        <v>21264</v>
      </c>
      <c r="C16883" s="5" t="str">
        <f>IFERROR(__xludf.DUMMYFUNCTION("GOOGLETRANSLATE(B16883,""en"",""fr"")"),"Les enfants font des sauts et font des virages rapides.")</f>
        <v>Les enfants font des sauts et font des virages rapides.</v>
      </c>
    </row>
    <row r="16884">
      <c r="A16884" s="4" t="s">
        <v>21262</v>
      </c>
      <c r="B16884" s="4" t="s">
        <v>21265</v>
      </c>
      <c r="C16884" s="5" t="str">
        <f>IFERROR(__xludf.DUMMYFUNCTION("GOOGLETRANSLATE(B16884,""en"",""fr"")"),"Une caméra embarquée capture tout le plaisir.")</f>
        <v>Une caméra embarquée capture tout le plaisir.</v>
      </c>
    </row>
    <row r="16885">
      <c r="A16885" s="4" t="s">
        <v>21266</v>
      </c>
      <c r="B16885" s="4" t="s">
        <v>21267</v>
      </c>
      <c r="C16885" s="5" t="str">
        <f>IFERROR(__xludf.DUMMYFUNCTION("GOOGLETRANSLATE(B16885,""en"",""fr"")"),"Un jeune homme peint la clôture.")</f>
        <v>Un jeune homme peint la clôture.</v>
      </c>
    </row>
    <row r="16886">
      <c r="A16886" s="4" t="s">
        <v>21266</v>
      </c>
      <c r="B16886" s="4" t="s">
        <v>21268</v>
      </c>
      <c r="C16886" s="5" t="str">
        <f>IFERROR(__xludf.DUMMYFUNCTION("GOOGLETRANSLATE(B16886,""en"",""fr"")"),"Un homme en chemise blanche est venu vers l'homme en rayures et lui parler.")</f>
        <v>Un homme en chemise blanche est venu vers l'homme en rayures et lui parler.</v>
      </c>
    </row>
    <row r="16887">
      <c r="A16887" s="4" t="s">
        <v>21266</v>
      </c>
      <c r="B16887" s="4" t="s">
        <v>21269</v>
      </c>
      <c r="C16887" s="5" t="str">
        <f>IFERROR(__xludf.DUMMYFUNCTION("GOOGLETRANSLATE(B16887,""en"",""fr"")"),"L'homme en rayures a peint le pain, puis il parle dans son téléphone portable.")</f>
        <v>L'homme en rayures a peint le pain, puis il parle dans son téléphone portable.</v>
      </c>
    </row>
    <row r="16888">
      <c r="A16888" s="4" t="s">
        <v>21270</v>
      </c>
      <c r="B16888" s="4" t="s">
        <v>21271</v>
      </c>
      <c r="C16888" s="5" t="str">
        <f>IFERROR(__xludf.DUMMYFUNCTION("GOOGLETRANSLATE(B16888,""en"",""fr"")"),"Il y a deux personnes naviguant sur un bateau de vitesse à travers l'océan par une journée ensoleillée.")</f>
        <v>Il y a deux personnes naviguant sur un bateau de vitesse à travers l'océan par une journée ensoleillée.</v>
      </c>
    </row>
    <row r="16889">
      <c r="A16889" s="4" t="s">
        <v>21270</v>
      </c>
      <c r="B16889" s="4" t="s">
        <v>21272</v>
      </c>
      <c r="C16889" s="5" t="str">
        <f>IFERROR(__xludf.DUMMYFUNCTION("GOOGLETRANSLATE(B16889,""en"",""fr"")"),"Ils traversent l'eau de l'océan régulièrement et à grande vitesse.")</f>
        <v>Ils traversent l'eau de l'océan régulièrement et à grande vitesse.</v>
      </c>
    </row>
    <row r="16890">
      <c r="A16890" s="4" t="s">
        <v>21270</v>
      </c>
      <c r="B16890" s="4" t="s">
        <v>21273</v>
      </c>
      <c r="C16890" s="5" t="str">
        <f>IFERROR(__xludf.DUMMYFUNCTION("GOOGLETRANSLATE(B16890,""en"",""fr"")"),"L'un des marins tire une corde rouge alors qu'il se réveille sur le bateau à vapeur.")</f>
        <v>L'un des marins tire une corde rouge alors qu'il se réveille sur le bateau à vapeur.</v>
      </c>
    </row>
    <row r="16891">
      <c r="A16891" s="4" t="s">
        <v>21270</v>
      </c>
      <c r="B16891" s="4" t="s">
        <v>21274</v>
      </c>
      <c r="C16891" s="5" t="str">
        <f>IFERROR(__xludf.DUMMYFUNCTION("GOOGLETRANSLATE(B16891,""en"",""fr"")"),"Ils accélèrent dans l'eau pour rattraper un autre bateau qui les attend.")</f>
        <v>Ils accélèrent dans l'eau pour rattraper un autre bateau qui les attend.</v>
      </c>
    </row>
    <row r="16892">
      <c r="A16892" s="4" t="s">
        <v>21270</v>
      </c>
      <c r="B16892" s="4" t="s">
        <v>21275</v>
      </c>
      <c r="C16892" s="5" t="str">
        <f>IFERROR(__xludf.DUMMYFUNCTION("GOOGLETRANSLATE(B16892,""en"",""fr"")"),"Plusieurs autres bateaux à vapeur passent par eux alors qu'ils naviguent dans l'océan.")</f>
        <v>Plusieurs autres bateaux à vapeur passent par eux alors qu'ils naviguent dans l'océan.</v>
      </c>
    </row>
    <row r="16893">
      <c r="A16893" s="4" t="s">
        <v>21276</v>
      </c>
      <c r="B16893" s="4" t="s">
        <v>21277</v>
      </c>
      <c r="C16893" s="5" t="str">
        <f>IFERROR(__xludf.DUMMYFUNCTION("GOOGLETRANSLATE(B16893,""en"",""fr"")"),"Une femme est dans un gymnase à domicile, parle à la caméra.")</f>
        <v>Une femme est dans un gymnase à domicile, parle à la caméra.</v>
      </c>
    </row>
    <row r="16894">
      <c r="A16894" s="4" t="s">
        <v>21276</v>
      </c>
      <c r="B16894" s="6" t="s">
        <v>21278</v>
      </c>
      <c r="C16894" s="5" t="str">
        <f>IFERROR(__xludf.DUMMYFUNCTION("GOOGLETRANSLATE(B16894,""en"",""fr"")"),"Elle montre comment utiliser l'équipement d'exercice, pédaler et tirer des cordes, même si elle est assise dans un ordinateur.")</f>
        <v>Elle montre comment utiliser l'équipement d'exercice, pédaler et tirer des cordes, même si elle est assise dans un ordinateur.</v>
      </c>
    </row>
    <row r="16895">
      <c r="A16895" s="4" t="s">
        <v>21276</v>
      </c>
      <c r="B16895" s="4" t="s">
        <v>21279</v>
      </c>
      <c r="C16895" s="5" t="str">
        <f>IFERROR(__xludf.DUMMYFUNCTION("GOOGLETRANSLATE(B16895,""en"",""fr"")"),"Elle parle à la caméra pendant une période prolongée, parsemée d'une formation sur l'équipement.")</f>
        <v>Elle parle à la caméra pendant une période prolongée, parsemée d'une formation sur l'équipement.</v>
      </c>
    </row>
    <row r="16896">
      <c r="A16896" s="4" t="s">
        <v>21280</v>
      </c>
      <c r="B16896" s="4" t="s">
        <v>21281</v>
      </c>
      <c r="C16896" s="5" t="str">
        <f>IFERROR(__xludf.DUMMYFUNCTION("GOOGLETRANSLATE(B16896,""en"",""fr"")"),"Le public regarde les jeux.")</f>
        <v>Le public regarde les jeux.</v>
      </c>
    </row>
    <row r="16897">
      <c r="A16897" s="4" t="s">
        <v>21280</v>
      </c>
      <c r="B16897" s="4" t="s">
        <v>21282</v>
      </c>
      <c r="C16897" s="5" t="str">
        <f>IFERROR(__xludf.DUMMYFUNCTION("GOOGLETRANSLATE(B16897,""en"",""fr"")"),"Un gars court avec un bâton mince et allongé et jette le bâton.")</f>
        <v>Un gars court avec un bâton mince et allongé et jette le bâton.</v>
      </c>
    </row>
    <row r="16898">
      <c r="A16898" s="4" t="s">
        <v>21280</v>
      </c>
      <c r="B16898" s="4" t="s">
        <v>21283</v>
      </c>
      <c r="C16898" s="5" t="str">
        <f>IFERROR(__xludf.DUMMYFUNCTION("GOOGLETRANSLATE(B16898,""en"",""fr"")"),"Le gars sort sa langue.")</f>
        <v>Le gars sort sa langue.</v>
      </c>
    </row>
    <row r="16899">
      <c r="A16899" s="4" t="s">
        <v>21280</v>
      </c>
      <c r="B16899" s="4" t="s">
        <v>21284</v>
      </c>
      <c r="C16899" s="5" t="str">
        <f>IFERROR(__xludf.DUMMYFUNCTION("GOOGLETRANSLATE(B16899,""en"",""fr"")"),"Le gars tient ses lèvres ensemble et lève la main.")</f>
        <v>Le gars tient ses lèvres ensemble et lève la main.</v>
      </c>
    </row>
    <row r="16900">
      <c r="A16900" s="4" t="s">
        <v>21280</v>
      </c>
      <c r="B16900" s="4" t="s">
        <v>21285</v>
      </c>
      <c r="C16900" s="5" t="str">
        <f>IFERROR(__xludf.DUMMYFUNCTION("GOOGLETRANSLATE(B16900,""en"",""fr"")"),"Le gars sourit et pose un chiffon.")</f>
        <v>Le gars sourit et pose un chiffon.</v>
      </c>
    </row>
    <row r="16901">
      <c r="A16901" s="4" t="s">
        <v>21286</v>
      </c>
      <c r="B16901" s="6" t="s">
        <v>21287</v>
      </c>
      <c r="C16901" s="5" t="str">
        <f>IFERROR(__xludf.DUMMYFUNCTION("GOOGLETRANSLATE(B16901,""en"",""fr"")"),"La Scottish Archery Association s'est réunie dans leur gamme avec plusieurs personnes prêtes à participer à un événement.")</f>
        <v>La Scottish Archery Association s'est réunie dans leur gamme avec plusieurs personnes prêtes à participer à un événement.</v>
      </c>
    </row>
    <row r="16902">
      <c r="A16902" s="4" t="s">
        <v>21286</v>
      </c>
      <c r="B16902" s="6" t="s">
        <v>21288</v>
      </c>
      <c r="C16902" s="5" t="str">
        <f>IFERROR(__xludf.DUMMYFUNCTION("GOOGLETRANSLATE(B16902,""en"",""fr"")"),"Les participants se relaient à tour de rôle pour utiliser leur arc et leur flèche pour viser l'art, la carte cible s'est classée à plusieurs pieds d'eux.")</f>
        <v>Les participants se relaient à tour de rôle pour utiliser leur arc et leur flèche pour viser l'art, la carte cible s'est classée à plusieurs pieds d'eux.</v>
      </c>
    </row>
    <row r="16903">
      <c r="A16903" s="4" t="s">
        <v>21286</v>
      </c>
      <c r="B16903" s="4" t="s">
        <v>21289</v>
      </c>
      <c r="C16903" s="5" t="str">
        <f>IFERROR(__xludf.DUMMYFUNCTION("GOOGLETRANSLATE(B16903,""en"",""fr"")"),"Les archers visent leurs flèches et tirent sur la cible pour viser l'œil des Bulls.")</f>
        <v>Les archers visent leurs flèches et tirent sur la cible pour viser l'œil des Bulls.</v>
      </c>
    </row>
    <row r="16904">
      <c r="A16904" s="4" t="s">
        <v>21290</v>
      </c>
      <c r="B16904" s="4" t="s">
        <v>21291</v>
      </c>
      <c r="C16904" s="5" t="str">
        <f>IFERROR(__xludf.DUMMYFUNCTION("GOOGLETRANSLATE(B16904,""en"",""fr"")"),"Une personne marche le long d'une ligne lâche.")</f>
        <v>Une personne marche le long d'une ligne lâche.</v>
      </c>
    </row>
    <row r="16905">
      <c r="A16905" s="4" t="s">
        <v>21290</v>
      </c>
      <c r="B16905" s="4" t="s">
        <v>21292</v>
      </c>
      <c r="C16905" s="5" t="str">
        <f>IFERROR(__xludf.DUMMYFUNCTION("GOOGLETRANSLATE(B16905,""en"",""fr"")"),"Ils se déplacent d'avant en arrière sur la ligne Slack.")</f>
        <v>Ils se déplacent d'avant en arrière sur la ligne Slack.</v>
      </c>
    </row>
    <row r="16906">
      <c r="A16906" s="4" t="s">
        <v>21290</v>
      </c>
      <c r="B16906" s="4" t="s">
        <v>21293</v>
      </c>
      <c r="C16906" s="5" t="str">
        <f>IFERROR(__xludf.DUMMYFUNCTION("GOOGLETRANSLATE(B16906,""en"",""fr"")"),"Il se retourne et commence à marcher dans l'autre sens.")</f>
        <v>Il se retourne et commence à marcher dans l'autre sens.</v>
      </c>
    </row>
    <row r="16907">
      <c r="A16907" s="4" t="s">
        <v>21294</v>
      </c>
      <c r="B16907" s="4" t="s">
        <v>21295</v>
      </c>
      <c r="C16907" s="5" t="str">
        <f>IFERROR(__xludf.DUMMYFUNCTION("GOOGLETRANSLATE(B16907,""en"",""fr"")"),"Un homme et une femme interprètent diverses remontés de danse et quatrième dans une pièce vide.")</f>
        <v>Un homme et une femme interprètent diverses remontés de danse et quatrième dans une pièce vide.</v>
      </c>
    </row>
    <row r="16908">
      <c r="A16908" s="4" t="s">
        <v>21294</v>
      </c>
      <c r="B16908" s="6" t="s">
        <v>21296</v>
      </c>
      <c r="C16908" s="5" t="str">
        <f>IFERROR(__xludf.DUMMYFUNCTION("GOOGLETRANSLATE(B16908,""en"",""fr"")"),"Le couple continue de tourner et d'exécuter la routine de tango tandis que l'homme la tourne derrière lui.")</f>
        <v>Le couple continue de tourner et d'exécuter la routine de tango tandis que l'homme la tourne derrière lui.</v>
      </c>
    </row>
    <row r="16909">
      <c r="A16909" s="4" t="s">
        <v>21297</v>
      </c>
      <c r="B16909" s="4" t="s">
        <v>21298</v>
      </c>
      <c r="C16909" s="5" t="str">
        <f>IFERROR(__xludf.DUMMYFUNCTION("GOOGLETRANSLATE(B16909,""en"",""fr"")"),"Un homme est vu parler à la caméra tout en tenant un fil dans ses mains.")</f>
        <v>Un homme est vu parler à la caméra tout en tenant un fil dans ses mains.</v>
      </c>
    </row>
    <row r="16910">
      <c r="A16910" s="4" t="s">
        <v>21297</v>
      </c>
      <c r="B16910" s="4" t="s">
        <v>21299</v>
      </c>
      <c r="C16910" s="5" t="str">
        <f>IFERROR(__xludf.DUMMYFUNCTION("GOOGLETRANSLATE(B16910,""en"",""fr"")"),"Il continue de parler tout en utilisant ses mains et en interrompant une zone de moquette.")</f>
        <v>Il continue de parler tout en utilisant ses mains et en interrompant une zone de moquette.</v>
      </c>
    </row>
    <row r="16911">
      <c r="A16911" s="4" t="s">
        <v>21297</v>
      </c>
      <c r="B16911" s="4" t="s">
        <v>21300</v>
      </c>
      <c r="C16911" s="5" t="str">
        <f>IFERROR(__xludf.DUMMYFUNCTION("GOOGLETRANSLATE(B16911,""en"",""fr"")"),"Il utilise ensuite un vide sur les étages tout en parlant à la caméra.")</f>
        <v>Il utilise ensuite un vide sur les étages tout en parlant à la caméra.</v>
      </c>
    </row>
    <row r="16912">
      <c r="A16912" s="4" t="s">
        <v>21301</v>
      </c>
      <c r="B16912" s="4" t="s">
        <v>21302</v>
      </c>
      <c r="C16912" s="5" t="str">
        <f>IFERROR(__xludf.DUMMYFUNCTION("GOOGLETRANSLATE(B16912,""en"",""fr"")"),"Un clip est illustré à un tas de personnes en eau vive rafraîchissant sur des ruisseaux de rivière assez durs.")</f>
        <v>Un clip est illustré à un tas de personnes en eau vive rafraîchissant sur des ruisseaux de rivière assez durs.</v>
      </c>
    </row>
    <row r="16913">
      <c r="A16913" s="4" t="s">
        <v>21301</v>
      </c>
      <c r="B16913" s="4" t="s">
        <v>21303</v>
      </c>
      <c r="C16913" s="5" t="str">
        <f>IFERROR(__xludf.DUMMYFUNCTION("GOOGLETRANSLATE(B16913,""en"",""fr"")"),"Ils travaillent à l'unisson et c'est très difficile.")</f>
        <v>Ils travaillent à l'unisson et c'est très difficile.</v>
      </c>
    </row>
    <row r="16914">
      <c r="A16914" s="4" t="s">
        <v>21301</v>
      </c>
      <c r="B16914" s="4" t="s">
        <v>21304</v>
      </c>
      <c r="C16914" s="5" t="str">
        <f>IFERROR(__xludf.DUMMYFUNCTION("GOOGLETRANSLATE(B16914,""en"",""fr"")"),"Ils ont presque frappé un rocher car ils pagayent tous très fort.")</f>
        <v>Ils ont presque frappé un rocher car ils pagayent tous très fort.</v>
      </c>
    </row>
    <row r="16915">
      <c r="A16915" s="4" t="s">
        <v>21301</v>
      </c>
      <c r="B16915" s="4" t="s">
        <v>21305</v>
      </c>
      <c r="C16915" s="5" t="str">
        <f>IFERROR(__xludf.DUMMYFUNCTION("GOOGLETRANSLATE(B16915,""en"",""fr"")"),"Un spectacle immobile d'eux après avoir réussi est montré avec eux en applaudissant.")</f>
        <v>Un spectacle immobile d'eux après avoir réussi est montré avec eux en applaudissant.</v>
      </c>
    </row>
    <row r="16916">
      <c r="A16916" s="4" t="s">
        <v>21301</v>
      </c>
      <c r="B16916" s="4" t="s">
        <v>21306</v>
      </c>
      <c r="C16916" s="5" t="str">
        <f>IFERROR(__xludf.DUMMYFUNCTION("GOOGLETRANSLATE(B16916,""en"",""fr"")"),"Un coup d'eux au ralenti des parties les plus difficiles est ensuite montré.")</f>
        <v>Un coup d'eux au ralenti des parties les plus difficiles est ensuite montré.</v>
      </c>
    </row>
    <row r="16917">
      <c r="A16917" s="4" t="s">
        <v>21301</v>
      </c>
      <c r="B16917" s="6" t="s">
        <v>21307</v>
      </c>
      <c r="C16917" s="5" t="str">
        <f>IFERROR(__xludf.DUMMYFUNCTION("GOOGLETRANSLATE(B16917,""en"",""fr"")"),"La vidéo montre un mouvement plus ralenti et un mouvement rapide avant de se terminer et de montrer des crédits de fin et un nom de chaîne YouTube.")</f>
        <v>La vidéo montre un mouvement plus ralenti et un mouvement rapide avant de se terminer et de montrer des crédits de fin et un nom de chaîne YouTube.</v>
      </c>
    </row>
    <row r="16918">
      <c r="A16918" s="4" t="s">
        <v>21308</v>
      </c>
      <c r="B16918" s="4" t="s">
        <v>21309</v>
      </c>
      <c r="C16918" s="5" t="str">
        <f>IFERROR(__xludf.DUMMYFUNCTION("GOOGLETRANSLATE(B16918,""en"",""fr"")"),"Une dame est debout et tient un marteau.")</f>
        <v>Une dame est debout et tient un marteau.</v>
      </c>
    </row>
    <row r="16919">
      <c r="A16919" s="4" t="s">
        <v>21308</v>
      </c>
      <c r="B16919" s="4" t="s">
        <v>21310</v>
      </c>
      <c r="C16919" s="5" t="str">
        <f>IFERROR(__xludf.DUMMYFUNCTION("GOOGLETRANSLATE(B16919,""en"",""fr"")"),"La dame tourne avec le marteau et lance le marteau.")</f>
        <v>La dame tourne avec le marteau et lance le marteau.</v>
      </c>
    </row>
    <row r="16920">
      <c r="A16920" s="4" t="s">
        <v>21308</v>
      </c>
      <c r="B16920" s="4" t="s">
        <v>21311</v>
      </c>
      <c r="C16920" s="5" t="str">
        <f>IFERROR(__xludf.DUMMYFUNCTION("GOOGLETRANSLATE(B16920,""en"",""fr"")"),"La dame part après avoir libéré le marteau.")</f>
        <v>La dame part après avoir libéré le marteau.</v>
      </c>
    </row>
    <row r="16921">
      <c r="A16921" s="4" t="s">
        <v>21312</v>
      </c>
      <c r="B16921" s="4" t="s">
        <v>21313</v>
      </c>
      <c r="C16921" s="5" t="str">
        <f>IFERROR(__xludf.DUMMYFUNCTION("GOOGLETRANSLATE(B16921,""en"",""fr"")"),"Les enfants jouent dans une piscine olimpique et une femme parle à la caméra.")</f>
        <v>Les enfants jouent dans une piscine olimpique et une femme parle à la caméra.</v>
      </c>
    </row>
    <row r="16922">
      <c r="A16922" s="4" t="s">
        <v>21312</v>
      </c>
      <c r="B16922" s="6" t="s">
        <v>21314</v>
      </c>
      <c r="C16922" s="5" t="str">
        <f>IFERROR(__xludf.DUMMYFUNCTION("GOOGLETRANSLATE(B16922,""en"",""fr"")"),"Kid utilise un écran solaire et une femme parle de crème solaire Coppertone recommandée pour les enfants.")</f>
        <v>Kid utilise un écran solaire et une femme parle de crème solaire Coppertone recommandée pour les enfants.</v>
      </c>
    </row>
    <row r="16923">
      <c r="A16923" s="4" t="s">
        <v>21315</v>
      </c>
      <c r="B16923" s="4" t="s">
        <v>21316</v>
      </c>
      <c r="C16923" s="5" t="str">
        <f>IFERROR(__xludf.DUMMYFUNCTION("GOOGLETRANSLATE(B16923,""en"",""fr"")"),"Un homme parle tenant un microphone, puis l'homme effectue un bras en lutte avec une personne.")</f>
        <v>Un homme parle tenant un microphone, puis l'homme effectue un bras en lutte avec une personne.</v>
      </c>
    </row>
    <row r="16924">
      <c r="A16924" s="4" t="s">
        <v>21315</v>
      </c>
      <c r="B16924" s="4" t="s">
        <v>21317</v>
      </c>
      <c r="C16924" s="5" t="str">
        <f>IFERROR(__xludf.DUMMYFUNCTION("GOOGLETRANSLATE(B16924,""en"",""fr"")"),"L'homme attrape une pesée et pratique le poids avec sa main gauche.")</f>
        <v>L'homme attrape une pesée et pratique le poids avec sa main gauche.</v>
      </c>
    </row>
    <row r="16925">
      <c r="A16925" s="4" t="s">
        <v>21315</v>
      </c>
      <c r="B16925" s="6" t="s">
        <v>21318</v>
      </c>
      <c r="C16925" s="5" t="str">
        <f>IFERROR(__xludf.DUMMYFUNCTION("GOOGLETRANSLATE(B16925,""en"",""fr"")"),"Après, l'homme enlève sa montre et joue un bras en lutte avec la personne et gagne, puis il saute joyeusement.")</f>
        <v>Après, l'homme enlève sa montre et joue un bras en lutte avec la personne et gagne, puis il saute joyeusement.</v>
      </c>
    </row>
    <row r="16926">
      <c r="A16926" s="4" t="s">
        <v>21319</v>
      </c>
      <c r="B16926" s="4" t="s">
        <v>21320</v>
      </c>
      <c r="C16926" s="5" t="str">
        <f>IFERROR(__xludf.DUMMYFUNCTION("GOOGLETRANSLATE(B16926,""en"",""fr"")"),"Une ligne de batterie se produit dans une rue de la ville.")</f>
        <v>Une ligne de batterie se produit dans une rue de la ville.</v>
      </c>
    </row>
    <row r="16927">
      <c r="A16927" s="4" t="s">
        <v>21319</v>
      </c>
      <c r="B16927" s="4" t="s">
        <v>21321</v>
      </c>
      <c r="C16927" s="5" t="str">
        <f>IFERROR(__xludf.DUMMYFUNCTION("GOOGLETRANSLATE(B16927,""en"",""fr"")"),"Ils entrent en formation puis commencent à marcher dans la rue.")</f>
        <v>Ils entrent en formation puis commencent à marcher dans la rue.</v>
      </c>
    </row>
    <row r="16928">
      <c r="A16928" s="4" t="s">
        <v>21322</v>
      </c>
      <c r="B16928" s="4" t="s">
        <v>21323</v>
      </c>
      <c r="C16928" s="5" t="str">
        <f>IFERROR(__xludf.DUMMYFUNCTION("GOOGLETRANSLATE(B16928,""en"",""fr"")"),"Un homme bowling et manque une épingle avec sa première balle.")</f>
        <v>Un homme bowling et manque une épingle avec sa première balle.</v>
      </c>
    </row>
    <row r="16929">
      <c r="A16929" s="4" t="s">
        <v>21322</v>
      </c>
      <c r="B16929" s="4" t="s">
        <v>21324</v>
      </c>
      <c r="C16929" s="5" t="str">
        <f>IFERROR(__xludf.DUMMYFUNCTION("GOOGLETRANSLATE(B16929,""en"",""fr"")"),"Il obtient toutes les frappes pour les six prochains tours.")</f>
        <v>Il obtient toutes les frappes pour les six prochains tours.</v>
      </c>
    </row>
    <row r="16930">
      <c r="A16930" s="4" t="s">
        <v>21322</v>
      </c>
      <c r="B16930" s="4" t="s">
        <v>21325</v>
      </c>
      <c r="C16930" s="5" t="str">
        <f>IFERROR(__xludf.DUMMYFUNCTION("GOOGLETRANSLATE(B16930,""en"",""fr"")"),"L'homme change de balles et bols plusieurs autres tours obtenant principalement des frappes.")</f>
        <v>L'homme change de balles et bols plusieurs autres tours obtenant principalement des frappes.</v>
      </c>
    </row>
    <row r="16931">
      <c r="A16931" s="4" t="s">
        <v>21322</v>
      </c>
      <c r="B16931" s="4" t="s">
        <v>21326</v>
      </c>
      <c r="C16931" s="5" t="str">
        <f>IFERROR(__xludf.DUMMYFUNCTION("GOOGLETRANSLATE(B16931,""en"",""fr"")"),"Il change à nouveau sa balle et fait deux coups de plus.")</f>
        <v>Il change à nouveau sa balle et fait deux coups de plus.</v>
      </c>
    </row>
    <row r="16932">
      <c r="A16932" s="4" t="s">
        <v>21322</v>
      </c>
      <c r="B16932" s="4" t="s">
        <v>21327</v>
      </c>
      <c r="C16932" s="5" t="str">
        <f>IFERROR(__xludf.DUMMYFUNCTION("GOOGLETRANSLATE(B16932,""en"",""fr"")"),"Une rediffusion du bowling de l'homme avec chaque balle est montrée.")</f>
        <v>Une rediffusion du bowling de l'homme avec chaque balle est montrée.</v>
      </c>
    </row>
    <row r="16933">
      <c r="A16933" s="4" t="s">
        <v>21328</v>
      </c>
      <c r="B16933" s="4" t="s">
        <v>21329</v>
      </c>
      <c r="C16933" s="5" t="str">
        <f>IFERROR(__xludf.DUMMYFUNCTION("GOOGLETRANSLATE(B16933,""en"",""fr"")"),"Les gens sont dans une ville qui marche, parle et fait des activités.")</f>
        <v>Les gens sont dans une ville qui marche, parle et fait des activités.</v>
      </c>
    </row>
    <row r="16934">
      <c r="A16934" s="4" t="s">
        <v>21328</v>
      </c>
      <c r="B16934" s="4" t="s">
        <v>21330</v>
      </c>
      <c r="C16934" s="5" t="str">
        <f>IFERROR(__xludf.DUMMYFUNCTION("GOOGLETRANSLATE(B16934,""en"",""fr"")"),"Deux hommes jouent dans le papier de rue, des ciseaux et de la pierre sur les autres personnes.")</f>
        <v>Deux hommes jouent dans le papier de rue, des ciseaux et de la pierre sur les autres personnes.</v>
      </c>
    </row>
    <row r="16935">
      <c r="A16935" s="4" t="s">
        <v>21328</v>
      </c>
      <c r="B16935" s="4" t="s">
        <v>21331</v>
      </c>
      <c r="C16935" s="5" t="str">
        <f>IFERROR(__xludf.DUMMYFUNCTION("GOOGLETRANSLATE(B16935,""en"",""fr"")"),"Un homme parle avec des gens qui le regardent.")</f>
        <v>Un homme parle avec des gens qui le regardent.</v>
      </c>
    </row>
    <row r="16936">
      <c r="A16936" s="4" t="s">
        <v>21332</v>
      </c>
      <c r="B16936" s="4" t="s">
        <v>21333</v>
      </c>
      <c r="C16936" s="5" t="str">
        <f>IFERROR(__xludf.DUMMYFUNCTION("GOOGLETRANSLATE(B16936,""en"",""fr"")"),"Un homme est représenté à l'intérieur d'une piscine.")</f>
        <v>Un homme est représenté à l'intérieur d'une piscine.</v>
      </c>
    </row>
    <row r="16937">
      <c r="A16937" s="4" t="s">
        <v>21332</v>
      </c>
      <c r="B16937" s="4" t="s">
        <v>21334</v>
      </c>
      <c r="C16937" s="5" t="str">
        <f>IFERROR(__xludf.DUMMYFUNCTION("GOOGLETRANSLATE(B16937,""en"",""fr"")"),"Il lance une balle encore et encore à son chien.")</f>
        <v>Il lance une balle encore et encore à son chien.</v>
      </c>
    </row>
    <row r="16938">
      <c r="A16938" s="4" t="s">
        <v>21332</v>
      </c>
      <c r="B16938" s="4" t="s">
        <v>21335</v>
      </c>
      <c r="C16938" s="5" t="str">
        <f>IFERROR(__xludf.DUMMYFUNCTION("GOOGLETRANSLATE(B16938,""en"",""fr"")"),"Le chien rebondit continuellement le ballon avec son nez.")</f>
        <v>Le chien rebondit continuellement le ballon avec son nez.</v>
      </c>
    </row>
    <row r="16939">
      <c r="A16939" s="4" t="s">
        <v>21336</v>
      </c>
      <c r="B16939" s="4" t="s">
        <v>21337</v>
      </c>
      <c r="C16939" s="5" t="str">
        <f>IFERROR(__xludf.DUMMYFUNCTION("GOOGLETRANSLATE(B16939,""en"",""fr"")"),"Une femme en chemise verte se tient à l'extérieur en tenant un cerceau.")</f>
        <v>Une femme en chemise verte se tient à l'extérieur en tenant un cerceau.</v>
      </c>
    </row>
    <row r="16940">
      <c r="A16940" s="4" t="s">
        <v>21336</v>
      </c>
      <c r="B16940" s="4" t="s">
        <v>21338</v>
      </c>
      <c r="C16940" s="5" t="str">
        <f>IFERROR(__xludf.DUMMYFUNCTION("GOOGLETRANSLATE(B16940,""en"",""fr"")"),"Elle commence Hula Hoop avec le cerceau Hula.")</f>
        <v>Elle commence Hula Hoop avec le cerceau Hula.</v>
      </c>
    </row>
    <row r="16941">
      <c r="A16941" s="4" t="s">
        <v>21336</v>
      </c>
      <c r="B16941" s="4" t="s">
        <v>21339</v>
      </c>
      <c r="C16941" s="5" t="str">
        <f>IFERROR(__xludf.DUMMYFUNCTION("GOOGLETRANSLATE(B16941,""en"",""fr"")"),"Les mots montent sur l'écran à la fin.")</f>
        <v>Les mots montent sur l'écran à la fin.</v>
      </c>
    </row>
    <row r="16942">
      <c r="A16942" s="4" t="s">
        <v>21340</v>
      </c>
      <c r="B16942" s="6" t="s">
        <v>21341</v>
      </c>
      <c r="C16942" s="5" t="str">
        <f>IFERROR(__xludf.DUMMYFUNCTION("GOOGLETRANSLATE(B16942,""en"",""fr"")"),"Un groupe de personnes est à l'extérieur d'une station de ski intitulée Boulder Ridge et ils commencent à faire la queue avec leurs tubes.")</f>
        <v>Un groupe de personnes est à l'extérieur d'une station de ski intitulée Boulder Ridge et ils commencent à faire la queue avec leurs tubes.</v>
      </c>
    </row>
    <row r="16943">
      <c r="A16943" s="4" t="s">
        <v>21340</v>
      </c>
      <c r="B16943" s="6" t="s">
        <v>21342</v>
      </c>
      <c r="C16943" s="5" t="str">
        <f>IFERROR(__xludf.DUMMYFUNCTION("GOOGLETRANSLATE(B16943,""en"",""fr"")"),"Pendant qu'ils attendent, ils peuvent voir plusieurs personnes descendre la colline et les tubes avant que ce ne soit enfin leur tour.")</f>
        <v>Pendant qu'ils attendent, ils peuvent voir plusieurs personnes descendre la colline et les tubes avant que ce ne soit enfin leur tour.</v>
      </c>
    </row>
    <row r="16944">
      <c r="A16944" s="4" t="s">
        <v>21340</v>
      </c>
      <c r="B16944" s="4" t="s">
        <v>21343</v>
      </c>
      <c r="C16944" s="5" t="str">
        <f>IFERROR(__xludf.DUMMYFUNCTION("GOOGLETRANSLATE(B16944,""en"",""fr"")"),"Une fois qu'ils ont atteint le fond, ils attrapent leur tube et commencent à quitter la pente.")</f>
        <v>Une fois qu'ils ont atteint le fond, ils attrapent leur tube et commencent à quitter la pente.</v>
      </c>
    </row>
    <row r="16945">
      <c r="A16945" s="4" t="s">
        <v>21344</v>
      </c>
      <c r="B16945" s="6" t="s">
        <v>21345</v>
      </c>
      <c r="C16945" s="5" t="str">
        <f>IFERROR(__xludf.DUMMYFUNCTION("GOOGLETRANSLATE(B16945,""en"",""fr"")"),"Une vidéo d'introduction avec un écran bleu qui a une image d'un navire dessiné est en arrière-plan tandis que les mots jaunes font défiler du bas en haut.")</f>
        <v>Une vidéo d'introduction avec un écran bleu qui a une image d'un navire dessiné est en arrière-plan tandis que les mots jaunes font défiler du bas en haut.</v>
      </c>
    </row>
    <row r="16946">
      <c r="A16946" s="4" t="s">
        <v>21344</v>
      </c>
      <c r="B16946" s="4" t="s">
        <v>21346</v>
      </c>
      <c r="C16946" s="5" t="str">
        <f>IFERROR(__xludf.DUMMYFUNCTION("GOOGLETRANSLATE(B16946,""en"",""fr"")"),"Une vue depuis l'eau commence et quelques maisons et beaucoup d'arbres sont représentés sur terre.")</f>
        <v>Une vue depuis l'eau commence et quelques maisons et beaucoup d'arbres sont représentés sur terre.</v>
      </c>
    </row>
    <row r="16947">
      <c r="A16947" s="4" t="s">
        <v>21344</v>
      </c>
      <c r="B16947" s="6" t="s">
        <v>21347</v>
      </c>
      <c r="C16947" s="5" t="str">
        <f>IFERROR(__xludf.DUMMYFUNCTION("GOOGLETRANSLATE(B16947,""en"",""fr"")"),"A person underwater in snorkeling gear is now swimming around the bottom of the water and meets up with another snorkeler and they both go into a ship that is underwater as they both hold their flashlights and cameras to explore the ship and everything el"&amp;"se at the bottom of l'eau.")</f>
        <v>A person underwater in snorkeling gear is now swimming around the bottom of the water and meets up with another snorkeler and they both go into a ship that is underwater as they both hold their flashlights and cameras to explore the ship and everything else at the bottom of l'eau.</v>
      </c>
    </row>
    <row r="16948">
      <c r="A16948" s="4" t="s">
        <v>21344</v>
      </c>
      <c r="B16948" s="4" t="s">
        <v>21348</v>
      </c>
      <c r="C16948" s="5" t="str">
        <f>IFERROR(__xludf.DUMMYFUNCTION("GOOGLETRANSLATE(B16948,""en"",""fr"")"),"Une école de poissons apparaît et ils nagent et traînent autour du bateau.")</f>
        <v>Une école de poissons apparaît et ils nagent et traînent autour du bateau.</v>
      </c>
    </row>
    <row r="16949">
      <c r="A16949" s="4" t="s">
        <v>21344</v>
      </c>
      <c r="B16949" s="4" t="s">
        <v>21349</v>
      </c>
      <c r="C16949" s="5" t="str">
        <f>IFERROR(__xludf.DUMMYFUNCTION("GOOGLETRANSLATE(B16949,""en"",""fr"")"),"L'accent remonte aux plongeurs alors qu'ils continuent d'explorer la zone avec leurs lampes de poche.")</f>
        <v>L'accent remonte aux plongeurs alors qu'ils continuent d'explorer la zone avec leurs lampes de poche.</v>
      </c>
    </row>
    <row r="16950">
      <c r="A16950" s="4" t="s">
        <v>21344</v>
      </c>
      <c r="B16950" s="6" t="s">
        <v>21350</v>
      </c>
      <c r="C16950" s="5" t="str">
        <f>IFERROR(__xludf.DUMMYFUNCTION("GOOGLETRANSLATE(B16950,""en"",""fr"")"),"La vidéo outro apparaît et c'est la même image bleue que l'intro et comprend quelques informations de contact sur la vidéo et les crédits commencent à rouler avec le texte en faisant défiler du bas en haut.")</f>
        <v>La vidéo outro apparaît et c'est la même image bleue que l'intro et comprend quelques informations de contact sur la vidéo et les crédits commencent à rouler avec le texte en faisant défiler du bas en haut.</v>
      </c>
    </row>
    <row r="16951">
      <c r="A16951" s="4" t="s">
        <v>21351</v>
      </c>
      <c r="B16951" s="4" t="s">
        <v>21352</v>
      </c>
      <c r="C16951" s="5" t="str">
        <f>IFERROR(__xludf.DUMMYFUNCTION("GOOGLETRANSLATE(B16951,""en"",""fr"")"),"Un homme est assis, jouant une guitare.")</f>
        <v>Un homme est assis, jouant une guitare.</v>
      </c>
    </row>
    <row r="16952">
      <c r="A16952" s="4" t="s">
        <v>21351</v>
      </c>
      <c r="B16952" s="4" t="s">
        <v>21353</v>
      </c>
      <c r="C16952" s="5" t="str">
        <f>IFERROR(__xludf.DUMMYFUNCTION("GOOGLETRANSLATE(B16952,""en"",""fr"")"),"Les gros plans sont parfois montrés de l'instrument, puis de retour à l'homme en jouant.")</f>
        <v>Les gros plans sont parfois montrés de l'instrument, puis de retour à l'homme en jouant.</v>
      </c>
    </row>
    <row r="16953">
      <c r="A16953" s="4" t="s">
        <v>21354</v>
      </c>
      <c r="B16953" s="4" t="s">
        <v>21355</v>
      </c>
      <c r="C16953" s="5" t="str">
        <f>IFERROR(__xludf.DUMMYFUNCTION("GOOGLETRANSLATE(B16953,""en"",""fr"")"),"Les gens jouent un match de polo dans un champ.")</f>
        <v>Les gens jouent un match de polo dans un champ.</v>
      </c>
    </row>
    <row r="16954">
      <c r="A16954" s="4" t="s">
        <v>21354</v>
      </c>
      <c r="B16954" s="4" t="s">
        <v>21356</v>
      </c>
      <c r="C16954" s="5" t="str">
        <f>IFERROR(__xludf.DUMMYFUNCTION("GOOGLETRANSLATE(B16954,""en"",""fr"")"),"L'accent est mis sur un homme et un cheval qui poursuivent le ballon.")</f>
        <v>L'accent est mis sur un homme et un cheval qui poursuivent le ballon.</v>
      </c>
    </row>
    <row r="16955">
      <c r="A16955" s="4" t="s">
        <v>21354</v>
      </c>
      <c r="B16955" s="4" t="s">
        <v>21357</v>
      </c>
      <c r="C16955" s="5" t="str">
        <f>IFERROR(__xludf.DUMMYFUNCTION("GOOGLETRANSLATE(B16955,""en"",""fr"")"),"La caméra reste sur le numéro 2 tout le temps.")</f>
        <v>La caméra reste sur le numéro 2 tout le temps.</v>
      </c>
    </row>
    <row r="16956">
      <c r="A16956" s="4" t="s">
        <v>21358</v>
      </c>
      <c r="B16956" s="4" t="s">
        <v>21359</v>
      </c>
      <c r="C16956" s="5" t="str">
        <f>IFERROR(__xludf.DUMMYFUNCTION("GOOGLETRANSLATE(B16956,""en"",""fr"")"),"Un homme du nom de Bob court et fait un saut en longueur.")</f>
        <v>Un homme du nom de Bob court et fait un saut en longueur.</v>
      </c>
    </row>
    <row r="16957">
      <c r="A16957" s="4" t="s">
        <v>21358</v>
      </c>
      <c r="B16957" s="4" t="s">
        <v>21360</v>
      </c>
      <c r="C16957" s="5" t="str">
        <f>IFERROR(__xludf.DUMMYFUNCTION("GOOGLETRANSLATE(B16957,""en"",""fr"")"),"Il recommence à atterrir dans du sable.")</f>
        <v>Il recommence à atterrir dans du sable.</v>
      </c>
    </row>
    <row r="16958">
      <c r="A16958" s="4" t="s">
        <v>21358</v>
      </c>
      <c r="B16958" s="4" t="s">
        <v>21361</v>
      </c>
      <c r="C16958" s="5" t="str">
        <f>IFERROR(__xludf.DUMMYFUNCTION("GOOGLETRANSLATE(B16958,""en"",""fr"")"),"Il continue de faire cette course et de sauter à nouveau en atterrissant comme un pro.")</f>
        <v>Il continue de faire cette course et de sauter à nouveau en atterrissant comme un pro.</v>
      </c>
    </row>
    <row r="16959">
      <c r="A16959" s="4" t="s">
        <v>21358</v>
      </c>
      <c r="B16959" s="4" t="s">
        <v>21362</v>
      </c>
      <c r="C16959" s="5" t="str">
        <f>IFERROR(__xludf.DUMMYFUNCTION("GOOGLETRANSLATE(B16959,""en"",""fr"")"),"Ensuite, un autre homme nommé Ralph va prendre son tour ensuite.")</f>
        <v>Ensuite, un autre homme nommé Ralph va prendre son tour ensuite.</v>
      </c>
    </row>
    <row r="16960">
      <c r="A16960" s="4" t="s">
        <v>21363</v>
      </c>
      <c r="B16960" s="4" t="s">
        <v>21364</v>
      </c>
      <c r="C16960" s="5" t="str">
        <f>IFERROR(__xludf.DUMMYFUNCTION("GOOGLETRANSLATE(B16960,""en"",""fr"")"),"Diverses intros de texte mènent à plusieurs personnes qui coulent sur une longue piste.")</f>
        <v>Diverses intros de texte mènent à plusieurs personnes qui coulent sur une longue piste.</v>
      </c>
    </row>
    <row r="16961">
      <c r="A16961" s="4" t="s">
        <v>21363</v>
      </c>
      <c r="B16961" s="4" t="s">
        <v>21365</v>
      </c>
      <c r="C16961" s="5" t="str">
        <f>IFERROR(__xludf.DUMMYFUNCTION("GOOGLETRANSLATE(B16961,""en"",""fr"")"),"La caméra capture les coureurs sous plusieurs angles et les mène en effectuant des sauts.")</f>
        <v>La caméra capture les coureurs sous plusieurs angles et les mène en effectuant des sauts.</v>
      </c>
    </row>
    <row r="16962">
      <c r="A16962" s="4" t="s">
        <v>21363</v>
      </c>
      <c r="B16962" s="4" t="s">
        <v>21366</v>
      </c>
      <c r="C16962" s="5" t="str">
        <f>IFERROR(__xludf.DUMMYFUNCTION("GOOGLETRANSLATE(B16962,""en"",""fr"")"),"Les coureurs sautent continuellement dans la fosse et se terminent avec du texte à travers l'écran.")</f>
        <v>Les coureurs sautent continuellement dans la fosse et se terminent avec du texte à travers l'écran.</v>
      </c>
    </row>
    <row r="16963">
      <c r="A16963" s="4" t="s">
        <v>21367</v>
      </c>
      <c r="B16963" s="4" t="s">
        <v>21368</v>
      </c>
      <c r="C16963" s="5" t="str">
        <f>IFERROR(__xludf.DUMMYFUNCTION("GOOGLETRANSLATE(B16963,""en"",""fr"")"),"Une femme en costume rouge parle derrière un bureau.")</f>
        <v>Une femme en costume rouge parle derrière un bureau.</v>
      </c>
    </row>
    <row r="16964">
      <c r="A16964" s="4" t="s">
        <v>21367</v>
      </c>
      <c r="B16964" s="4" t="s">
        <v>21369</v>
      </c>
      <c r="C16964" s="5" t="str">
        <f>IFERROR(__xludf.DUMMYFUNCTION("GOOGLETRANSLATE(B16964,""en"",""fr"")"),"Un homme se lève en tenant son pied derrière est de retour.")</f>
        <v>Un homme se lève en tenant son pied derrière est de retour.</v>
      </c>
    </row>
    <row r="16965">
      <c r="A16965" s="4" t="s">
        <v>21367</v>
      </c>
      <c r="B16965" s="4" t="s">
        <v>21370</v>
      </c>
      <c r="C16965" s="5" t="str">
        <f>IFERROR(__xludf.DUMMYFUNCTION("GOOGLETRANSLATE(B16965,""en"",""fr"")"),"Les gens coulent sur le trottoir.")</f>
        <v>Les gens coulent sur le trottoir.</v>
      </c>
    </row>
    <row r="16966">
      <c r="A16966" s="4" t="s">
        <v>21367</v>
      </c>
      <c r="B16966" s="4" t="s">
        <v>21371</v>
      </c>
      <c r="C16966" s="5" t="str">
        <f>IFERROR(__xludf.DUMMYFUNCTION("GOOGLETRANSLATE(B16966,""en"",""fr"")"),"Un homme en chemise bleue parle à la caméra.")</f>
        <v>Un homme en chemise bleue parle à la caméra.</v>
      </c>
    </row>
    <row r="16967">
      <c r="A16967" s="4" t="s">
        <v>21367</v>
      </c>
      <c r="B16967" s="4" t="s">
        <v>21372</v>
      </c>
      <c r="C16967" s="5" t="str">
        <f>IFERROR(__xludf.DUMMYFUNCTION("GOOGLETRANSLATE(B16967,""en"",""fr"")"),"Une femme en chemise noire parle à la caméra.")</f>
        <v>Une femme en chemise noire parle à la caméra.</v>
      </c>
    </row>
    <row r="16968">
      <c r="A16968" s="4" t="s">
        <v>21367</v>
      </c>
      <c r="B16968" s="4" t="s">
        <v>21373</v>
      </c>
      <c r="C16968" s="5" t="str">
        <f>IFERROR(__xludf.DUMMYFUNCTION("GOOGLETRANSLATE(B16968,""en"",""fr"")"),"Les gens courent sur un sentier.")</f>
        <v>Les gens courent sur un sentier.</v>
      </c>
    </row>
    <row r="16969">
      <c r="A16969" s="4" t="s">
        <v>21374</v>
      </c>
      <c r="B16969" s="4" t="s">
        <v>21375</v>
      </c>
      <c r="C16969" s="5" t="str">
        <f>IFERROR(__xludf.DUMMYFUNCTION("GOOGLETRANSLATE(B16969,""en"",""fr"")"),"Nous voyons des hommes marcher dans la rue et une chute de skateur.")</f>
        <v>Nous voyons des hommes marcher dans la rue et une chute de skateur.</v>
      </c>
    </row>
    <row r="16970">
      <c r="A16970" s="4" t="s">
        <v>21374</v>
      </c>
      <c r="B16970" s="4" t="s">
        <v>21376</v>
      </c>
      <c r="C16970" s="5" t="str">
        <f>IFERROR(__xludf.DUMMYFUNCTION("GOOGLETRANSLATE(B16970,""en"",""fr"")"),"Nous voyons des enfants clubs et des skateurs avec des écrans de titre.")</f>
        <v>Nous voyons des enfants clubs et des skateurs avec des écrans de titre.</v>
      </c>
    </row>
    <row r="16971">
      <c r="A16971" s="4" t="s">
        <v>21374</v>
      </c>
      <c r="B16971" s="4" t="s">
        <v>21377</v>
      </c>
      <c r="C16971" s="5" t="str">
        <f>IFERROR(__xludf.DUMMYFUNCTION("GOOGLETRANSLATE(B16971,""en"",""fr"")"),"Nous voyons des hommes de skateboard dans une rue et nous nous tenons en groupes.")</f>
        <v>Nous voyons des hommes de skateboard dans une rue et nous nous tenons en groupes.</v>
      </c>
    </row>
    <row r="16972">
      <c r="A16972" s="4" t="s">
        <v>21374</v>
      </c>
      <c r="B16972" s="4" t="s">
        <v>21378</v>
      </c>
      <c r="C16972" s="5" t="str">
        <f>IFERROR(__xludf.DUMMYFUNCTION("GOOGLETRANSLATE(B16972,""en"",""fr"")"),"Un homme saute par-dessus les escaliers et court dans la caméra.")</f>
        <v>Un homme saute par-dessus les escaliers et court dans la caméra.</v>
      </c>
    </row>
    <row r="16973">
      <c r="A16973" s="4" t="s">
        <v>21374</v>
      </c>
      <c r="B16973" s="4" t="s">
        <v>21379</v>
      </c>
      <c r="C16973" s="5" t="str">
        <f>IFERROR(__xludf.DUMMYFUNCTION("GOOGLETRANSLATE(B16973,""en"",""fr"")"),"Un homme tombe et un autre rencontre la caméra.")</f>
        <v>Un homme tombe et un autre rencontre la caméra.</v>
      </c>
    </row>
    <row r="16974">
      <c r="A16974" s="4" t="s">
        <v>21374</v>
      </c>
      <c r="B16974" s="4" t="s">
        <v>21380</v>
      </c>
      <c r="C16974" s="5" t="str">
        <f>IFERROR(__xludf.DUMMYFUNCTION("GOOGLETRANSLATE(B16974,""en"",""fr"")"),"Nous voyons une vague d'homme et une autre sur une corne de taureau.")</f>
        <v>Nous voyons une vague d'homme et une autre sur une corne de taureau.</v>
      </c>
    </row>
    <row r="16975">
      <c r="A16975" s="4" t="s">
        <v>21374</v>
      </c>
      <c r="B16975" s="4" t="s">
        <v>21381</v>
      </c>
      <c r="C16975" s="5" t="str">
        <f>IFERROR(__xludf.DUMMYFUNCTION("GOOGLETRANSLATE(B16975,""en"",""fr"")"),"Le club lumineux flash et un groupe joue de la musique alors que les gens dansent.")</f>
        <v>Le club lumineux flash et un groupe joue de la musique alors que les gens dansent.</v>
      </c>
    </row>
    <row r="16976">
      <c r="A16976" s="4" t="s">
        <v>21374</v>
      </c>
      <c r="B16976" s="4" t="s">
        <v>21382</v>
      </c>
      <c r="C16976" s="5" t="str">
        <f>IFERROR(__xludf.DUMMYFUNCTION("GOOGLETRANSLATE(B16976,""en"",""fr"")"),"Nous voyons les crédits et plus de patinage.")</f>
        <v>Nous voyons les crédits et plus de patinage.</v>
      </c>
    </row>
    <row r="16977">
      <c r="A16977" s="4" t="s">
        <v>21383</v>
      </c>
      <c r="B16977" s="6" t="s">
        <v>21384</v>
      </c>
      <c r="C16977" s="5" t="str">
        <f>IFERROR(__xludf.DUMMYFUNCTION("GOOGLETRANSLATE(B16977,""en"",""fr"")"),"Un clip d'introduction apparaît et c'est une animation d'une chaise à bascule gris qui se balance sur un écran gris très clair qui a des mots orange qui disent ""les strip-teaseuses!"" et les lettres blanches m &amp; r dans un ovale bleu foncé.")</f>
        <v>Un clip d'introduction apparaît et c'est une animation d'une chaise à bascule gris qui se balance sur un écran gris très clair qui a des mots orange qui disent "les strip-teaseuses!" et les lettres blanches m &amp; r dans un ovale bleu foncé.</v>
      </c>
    </row>
    <row r="16978">
      <c r="A16978" s="4" t="s">
        <v>21383</v>
      </c>
      <c r="B16978" s="6" t="s">
        <v>21385</v>
      </c>
      <c r="C16978" s="5" t="str">
        <f>IFERROR(__xludf.DUMMYFUNCTION("GOOGLETRANSLATE(B16978,""en"",""fr"")"),"Des clips de l'extérieur et de l'intérieur de la boutique sont représentés et il comprend une personne dans un bureau, des gens de la boutique travaillant sur les morceaux de bois, des personnes interrogées, des fournitures de bois et des morceaux de bois"&amp;" finis eux-mêmes.")</f>
        <v>Des clips de l'extérieur et de l'intérieur de la boutique sont représentés et il comprend une personne dans un bureau, des gens de la boutique travaillant sur les morceaux de bois, des personnes interrogées, des fournitures de bois et des morceaux de bois finis eux-mêmes.</v>
      </c>
    </row>
    <row r="16979">
      <c r="A16979" s="4" t="s">
        <v>21383</v>
      </c>
      <c r="B16979" s="6" t="s">
        <v>21386</v>
      </c>
      <c r="C16979" s="5" t="str">
        <f>IFERROR(__xludf.DUMMYFUNCTION("GOOGLETRANSLATE(B16979,""en"",""fr"")"),"L'Undro apparaît et c'est le clip vidéo des travailleurs travaillant sur les pièces en bois, et le texte apparaît à l'écran qui inclut l'adresse des magasins, le courriel, le site Web et le numéro de téléphone, la boutique extérieure est à nouveau affiché"&amp;"e.")</f>
        <v>L'Undro apparaît et c'est le clip vidéo des travailleurs travaillant sur les pièces en bois, et le texte apparaît à l'écran qui inclut l'adresse des magasins, le courriel, le site Web et le numéro de téléphone, la boutique extérieure est à nouveau affichée.</v>
      </c>
    </row>
    <row r="16980">
      <c r="A16980" s="4" t="s">
        <v>21383</v>
      </c>
      <c r="B16980" s="6" t="s">
        <v>21387</v>
      </c>
      <c r="C16980" s="5" t="str">
        <f>IFERROR(__xludf.DUMMYFUNCTION("GOOGLETRANSLATE(B16980,""en"",""fr"")"),"Le dernier écran est l'écran gris clair affiché d'abord et inclut le nom, le numéro de l'entreprise et le site Web.")</f>
        <v>Le dernier écran est l'écran gris clair affiché d'abord et inclut le nom, le numéro de l'entreprise et le site Web.</v>
      </c>
    </row>
    <row r="16981">
      <c r="A16981" s="4" t="s">
        <v>21388</v>
      </c>
      <c r="B16981" s="4" t="s">
        <v>21389</v>
      </c>
      <c r="C16981" s="5" t="str">
        <f>IFERROR(__xludf.DUMMYFUNCTION("GOOGLETRANSLATE(B16981,""en"",""fr"")"),"Une fille s'assoit devant un top.")</f>
        <v>Une fille s'assoit devant un top.</v>
      </c>
    </row>
    <row r="16982">
      <c r="A16982" s="4" t="s">
        <v>21388</v>
      </c>
      <c r="B16982" s="4" t="s">
        <v>21390</v>
      </c>
      <c r="C16982" s="5" t="str">
        <f>IFERROR(__xludf.DUMMYFUNCTION("GOOGLETRANSLATE(B16982,""en"",""fr"")"),"Elle fume un narguilé avec une pointe rouge et souffle la fumée de sa bouche.")</f>
        <v>Elle fume un narguilé avec une pointe rouge et souffle la fumée de sa bouche.</v>
      </c>
    </row>
    <row r="16983">
      <c r="A16983" s="4" t="s">
        <v>21388</v>
      </c>
      <c r="B16983" s="6" t="s">
        <v>21391</v>
      </c>
      <c r="C16983" s="5" t="str">
        <f>IFERROR(__xludf.DUMMYFUNCTION("GOOGLETRANSLATE(B16983,""en"",""fr"")"),"Elle rit, puis partage le narguilé avec une autre femme, qui change la pointe et fume également.")</f>
        <v>Elle rit, puis partage le narguilé avec une autre femme, qui change la pointe et fume également.</v>
      </c>
    </row>
    <row r="16984">
      <c r="A16984" s="4" t="s">
        <v>21388</v>
      </c>
      <c r="B16984" s="4" t="s">
        <v>21392</v>
      </c>
      <c r="C16984" s="5" t="str">
        <f>IFERROR(__xludf.DUMMYFUNCTION("GOOGLETRANSLATE(B16984,""en"",""fr"")"),"Les femmes parlent et fument à table pendant longtemps.")</f>
        <v>Les femmes parlent et fument à table pendant longtemps.</v>
      </c>
    </row>
    <row r="16985">
      <c r="A16985" s="4" t="s">
        <v>21393</v>
      </c>
      <c r="B16985" s="4" t="s">
        <v>21394</v>
      </c>
      <c r="C16985" s="5" t="str">
        <f>IFERROR(__xludf.DUMMYFUNCTION("GOOGLETRANSLATE(B16985,""en"",""fr"")"),"Des photos d'un bureau sont montrées.")</f>
        <v>Des photos d'un bureau sont montrées.</v>
      </c>
    </row>
    <row r="16986">
      <c r="A16986" s="4" t="s">
        <v>21393</v>
      </c>
      <c r="B16986" s="4" t="s">
        <v>21395</v>
      </c>
      <c r="C16986" s="5" t="str">
        <f>IFERROR(__xludf.DUMMYFUNCTION("GOOGLETRANSLATE(B16986,""en"",""fr"")"),"Une femme fait des cheveux d'une autre femme.")</f>
        <v>Une femme fait des cheveux d'une autre femme.</v>
      </c>
    </row>
    <row r="16987">
      <c r="A16987" s="4" t="s">
        <v>21393</v>
      </c>
      <c r="B16987" s="4" t="s">
        <v>21396</v>
      </c>
      <c r="C16987" s="5" t="str">
        <f>IFERROR(__xludf.DUMMYFUNCTION("GOOGLETRANSLATE(B16987,""en"",""fr"")"),"Les gens se coiffent dans un salon de coiffure.")</f>
        <v>Les gens se coiffent dans un salon de coiffure.</v>
      </c>
    </row>
    <row r="16988">
      <c r="A16988" s="4" t="s">
        <v>21397</v>
      </c>
      <c r="B16988" s="6" t="s">
        <v>21398</v>
      </c>
      <c r="C16988" s="5" t="str">
        <f>IFERROR(__xludf.DUMMYFUNCTION("GOOGLETRANSLATE(B16988,""en"",""fr"")"),"Une femme est vue en parlant à la caméra tout en tenant divers objets dans ses mains et commence à pulvériser une fenêtre devant elle.")</f>
        <v>Une femme est vue en parlant à la caméra tout en tenant divers objets dans ses mains et commence à pulvériser une fenêtre devant elle.</v>
      </c>
    </row>
    <row r="16989">
      <c r="A16989" s="4" t="s">
        <v>21397</v>
      </c>
      <c r="B16989" s="6" t="s">
        <v>21399</v>
      </c>
      <c r="C16989" s="5" t="str">
        <f>IFERROR(__xludf.DUMMYFUNCTION("GOOGLETRANSLATE(B16989,""en"",""fr"")"),"La femme essuie la fenêtre avec un chiffon ainsi qu'un grattoir et continue de regarder en arrière et de parler à la caméra.")</f>
        <v>La femme essuie la fenêtre avec un chiffon ainsi qu'un grattoir et continue de regarder en arrière et de parler à la caméra.</v>
      </c>
    </row>
    <row r="16990">
      <c r="A16990" s="4" t="s">
        <v>21400</v>
      </c>
      <c r="B16990" s="4" t="s">
        <v>21401</v>
      </c>
      <c r="C16990" s="5" t="str">
        <f>IFERROR(__xludf.DUMMYFUNCTION("GOOGLETRANSLATE(B16990,""en"",""fr"")"),"Une personne descendait un rapide sur un tube inter dans un groupe d'amis sur une rivière Rocky.")</f>
        <v>Une personne descendait un rapide sur un tube inter dans un groupe d'amis sur une rivière Rocky.</v>
      </c>
    </row>
    <row r="16991">
      <c r="A16991" s="4" t="s">
        <v>21400</v>
      </c>
      <c r="B16991" s="4" t="s">
        <v>21402</v>
      </c>
      <c r="C16991" s="5" t="str">
        <f>IFERROR(__xludf.DUMMYFUNCTION("GOOGLETRANSLATE(B16991,""en"",""fr"")"),"Les gens des intertubes sont aidés par une rivière guides en polo.")</f>
        <v>Les gens des intertubes sont aidés par une rivière guides en polo.</v>
      </c>
    </row>
    <row r="16992">
      <c r="A16992" s="4" t="s">
        <v>21403</v>
      </c>
      <c r="B16992" s="6" t="s">
        <v>21404</v>
      </c>
      <c r="C16992" s="5" t="str">
        <f>IFERROR(__xludf.DUMMYFUNCTION("GOOGLETRANSLATE(B16992,""en"",""fr"")"),"Une fille verse du liquide d'une bouteille à une tasse qui tient une jeune femme, puis ils se rincent la bouche tout en faisant des gestes et en riant.")</f>
        <v>Une fille verse du liquide d'une bouteille à une tasse qui tient une jeune femme, puis ils se rincent la bouche tout en faisant des gestes et en riant.</v>
      </c>
    </row>
    <row r="16993">
      <c r="A16993" s="4" t="s">
        <v>21403</v>
      </c>
      <c r="B16993" s="4" t="s">
        <v>21405</v>
      </c>
      <c r="C16993" s="5" t="str">
        <f>IFERROR(__xludf.DUMMYFUNCTION("GOOGLETRANSLATE(B16993,""en"",""fr"")"),"Après, la jeune femme crache le liquide, puis elle pique la joue de la fille qui crache.")</f>
        <v>Après, la jeune femme crache le liquide, puis elle pique la joue de la fille qui crache.</v>
      </c>
    </row>
    <row r="16994">
      <c r="A16994" s="4" t="s">
        <v>21403</v>
      </c>
      <c r="B16994" s="6" t="s">
        <v>21406</v>
      </c>
      <c r="C16994" s="5" t="str">
        <f>IFERROR(__xludf.DUMMYFUNCTION("GOOGLETRANSLATE(B16994,""en"",""fr"")"),"Ensuite, la fille allume le robinet de la baignoire et se plit, après que la fille ait éteint le robinet et nettoyer les mains en parlant.")</f>
        <v>Ensuite, la fille allume le robinet de la baignoire et se plit, après que la fille ait éteint le robinet et nettoyer les mains en parlant.</v>
      </c>
    </row>
    <row r="16995">
      <c r="A16995" s="4" t="s">
        <v>21407</v>
      </c>
      <c r="B16995" s="4" t="s">
        <v>1487</v>
      </c>
      <c r="C16995" s="5" t="str">
        <f>IFERROR(__xludf.DUMMYFUNCTION("GOOGLETRANSLATE(B16995,""en"",""fr"")"),"Nous voyons un écran de titre d'ouverture.")</f>
        <v>Nous voyons un écran de titre d'ouverture.</v>
      </c>
    </row>
    <row r="16996">
      <c r="A16996" s="4" t="s">
        <v>21407</v>
      </c>
      <c r="B16996" s="4" t="s">
        <v>21408</v>
      </c>
      <c r="C16996" s="5" t="str">
        <f>IFERROR(__xludf.DUMMYFUNCTION("GOOGLETRANSLATE(B16996,""en"",""fr"")"),"Nous voyons un homme parler.")</f>
        <v>Nous voyons un homme parler.</v>
      </c>
    </row>
    <row r="16997">
      <c r="A16997" s="4" t="s">
        <v>21407</v>
      </c>
      <c r="B16997" s="4" t="s">
        <v>21409</v>
      </c>
      <c r="C16997" s="5" t="str">
        <f>IFERROR(__xludf.DUMMYFUNCTION("GOOGLETRANSLATE(B16997,""en"",""fr"")"),"L'homme assouplit ses mains et ajoute du savon.")</f>
        <v>L'homme assouplit ses mains et ajoute du savon.</v>
      </c>
    </row>
    <row r="16998">
      <c r="A16998" s="4" t="s">
        <v>21407</v>
      </c>
      <c r="B16998" s="4" t="s">
        <v>21410</v>
      </c>
      <c r="C16998" s="5" t="str">
        <f>IFERROR(__xludf.DUMMYFUNCTION("GOOGLETRANSLATE(B16998,""en"",""fr"")"),"Nous voyons l'homme se laver les mains.")</f>
        <v>Nous voyons l'homme se laver les mains.</v>
      </c>
    </row>
    <row r="16999">
      <c r="A16999" s="4" t="s">
        <v>21407</v>
      </c>
      <c r="B16999" s="4" t="s">
        <v>21411</v>
      </c>
      <c r="C16999" s="5" t="str">
        <f>IFERROR(__xludf.DUMMYFUNCTION("GOOGLETRANSLATE(B16999,""en"",""fr"")"),"L'homme rince les mains.")</f>
        <v>L'homme rince les mains.</v>
      </c>
    </row>
    <row r="17000">
      <c r="A17000" s="4" t="s">
        <v>21407</v>
      </c>
      <c r="B17000" s="4" t="s">
        <v>21412</v>
      </c>
      <c r="C17000" s="5" t="str">
        <f>IFERROR(__xludf.DUMMYFUNCTION("GOOGLETRANSLATE(B17000,""en"",""fr"")"),"L'homme drogue ses mains et éteint l'eau avec la serviette en papier.")</f>
        <v>L'homme drogue ses mains et éteint l'eau avec la serviette en papier.</v>
      </c>
    </row>
    <row r="17001">
      <c r="A17001" s="4" t="s">
        <v>21407</v>
      </c>
      <c r="B17001" s="4" t="s">
        <v>1380</v>
      </c>
      <c r="C17001" s="5" t="str">
        <f>IFERROR(__xludf.DUMMYFUNCTION("GOOGLETRANSLATE(B17001,""en"",""fr"")"),"Nous voyons ensuite les crédits de fin.")</f>
        <v>Nous voyons ensuite les crédits de fin.</v>
      </c>
    </row>
    <row r="17002">
      <c r="A17002" s="4" t="s">
        <v>21413</v>
      </c>
      <c r="B17002" s="6" t="s">
        <v>21414</v>
      </c>
      <c r="C17002" s="5" t="str">
        <f>IFERROR(__xludf.DUMMYFUNCTION("GOOGLETRANSLATE(B17002,""en"",""fr"")"),"Plusieurs jeunes hommes pratiquent des sauts en longueur et des sauts arrière à l'intérieur d'une salle de sport avec un drapeau américain accroché au mur.")</f>
        <v>Plusieurs jeunes hommes pratiquent des sauts en longueur et des sauts arrière à l'intérieur d'une salle de sport avec un drapeau américain accroché au mur.</v>
      </c>
    </row>
    <row r="17003">
      <c r="A17003" s="4" t="s">
        <v>21413</v>
      </c>
      <c r="B17003" s="6" t="s">
        <v>21415</v>
      </c>
      <c r="C17003" s="5" t="str">
        <f>IFERROR(__xludf.DUMMYFUNCTION("GOOGLETRANSLATE(B17003,""en"",""fr"")"),"Un homme pratique un saut en longueur à l'intérieur d'une salle de sport intérieure en utilisant un bac à sable intérieur pour l'atterrissage et une île de course dessinée.")</f>
        <v>Un homme pratique un saut en longueur à l'intérieur d'une salle de sport intérieure en utilisant un bac à sable intérieur pour l'atterrissage et une île de course dessinée.</v>
      </c>
    </row>
    <row r="17004">
      <c r="A17004" s="4" t="s">
        <v>21413</v>
      </c>
      <c r="B17004" s="4" t="s">
        <v>21416</v>
      </c>
      <c r="C17004" s="5" t="str">
        <f>IFERROR(__xludf.DUMMYFUNCTION("GOOGLETRANSLATE(B17004,""en"",""fr"")"),"Un autre homme s'entraîne à se lancer en arrière sur un poteau sur un tapis de gym à l'intérieur du gymnase.")</f>
        <v>Un autre homme s'entraîne à se lancer en arrière sur un poteau sur un tapis de gym à l'intérieur du gymnase.</v>
      </c>
    </row>
    <row r="17005">
      <c r="A17005" s="4" t="s">
        <v>21413</v>
      </c>
      <c r="B17005" s="6" t="s">
        <v>21417</v>
      </c>
      <c r="C17005" s="5" t="str">
        <f>IFERROR(__xludf.DUMMYFUNCTION("GOOGLETRANSLATE(B17005,""en"",""fr"")"),"Plusieurs autres hommes pratiquent des sauts en longueur et des sauts arrière à l'intérieur du gymnase en utilisant le bac à sable et les tapis de gym comme outils d'atterrissage.")</f>
        <v>Plusieurs autres hommes pratiquent des sauts en longueur et des sauts arrière à l'intérieur du gymnase en utilisant le bac à sable et les tapis de gym comme outils d'atterrissage.</v>
      </c>
    </row>
    <row r="17006">
      <c r="A17006" s="4" t="s">
        <v>21418</v>
      </c>
      <c r="B17006" s="4" t="s">
        <v>21419</v>
      </c>
      <c r="C17006" s="5" t="str">
        <f>IFERROR(__xludf.DUMMYFUNCTION("GOOGLETRANSLATE(B17006,""en"",""fr"")"),"Il y a deux concurrents participant à la compétition de saut sportif.")</f>
        <v>Il y a deux concurrents participant à la compétition de saut sportif.</v>
      </c>
    </row>
    <row r="17007">
      <c r="A17007" s="4" t="s">
        <v>21418</v>
      </c>
      <c r="B17007" s="6" t="s">
        <v>21420</v>
      </c>
      <c r="C17007" s="5" t="str">
        <f>IFERROR(__xludf.DUMMYFUNCTION("GOOGLETRANSLATE(B17007,""en"",""fr"")"),"Il y a plusieurs spectateurs et juges qui les regardent alors qu'ils sautent par-dessus la barre dans un grand stade intérieur.")</f>
        <v>Il y a plusieurs spectateurs et juges qui les regardent alors qu'ils sautent par-dessus la barre dans un grand stade intérieur.</v>
      </c>
    </row>
    <row r="17008">
      <c r="A17008" s="4" t="s">
        <v>21418</v>
      </c>
      <c r="B17008" s="4" t="s">
        <v>21421</v>
      </c>
      <c r="C17008" s="5" t="str">
        <f>IFERROR(__xludf.DUMMYFUNCTION("GOOGLETRANSLATE(B17008,""en"",""fr"")"),"Les deux candidats ont réussi à sauter par-dessus le bar.")</f>
        <v>Les deux candidats ont réussi à sauter par-dessus le bar.</v>
      </c>
    </row>
    <row r="17009">
      <c r="A17009" s="4" t="s">
        <v>21418</v>
      </c>
      <c r="B17009" s="4" t="s">
        <v>21422</v>
      </c>
      <c r="C17009" s="5" t="str">
        <f>IFERROR(__xludf.DUMMYFUNCTION("GOOGLETRANSLATE(B17009,""en"",""fr"")"),"Il y a une vidéo au ralenti du concurrent sautant par-dessus la barre.")</f>
        <v>Il y a une vidéo au ralenti du concurrent sautant par-dessus la barre.</v>
      </c>
    </row>
    <row r="17010">
      <c r="A17010" s="4" t="s">
        <v>21423</v>
      </c>
      <c r="B17010" s="4" t="s">
        <v>21424</v>
      </c>
      <c r="C17010" s="5" t="str">
        <f>IFERROR(__xludf.DUMMYFUNCTION("GOOGLETRANSLATE(B17010,""en"",""fr"")"),"Plusieurs personnes se préparent à skier.")</f>
        <v>Plusieurs personnes se préparent à skier.</v>
      </c>
    </row>
    <row r="17011">
      <c r="A17011" s="4" t="s">
        <v>21423</v>
      </c>
      <c r="B17011" s="4" t="s">
        <v>21425</v>
      </c>
      <c r="C17011" s="5" t="str">
        <f>IFERROR(__xludf.DUMMYFUNCTION("GOOGLETRANSLATE(B17011,""en"",""fr"")"),"Il y a une personne qui skie en descente à pleine vitesse dont l'ombre peut être vue.")</f>
        <v>Il y a une personne qui skie en descente à pleine vitesse dont l'ombre peut être vue.</v>
      </c>
    </row>
    <row r="17012">
      <c r="A17012" s="4" t="s">
        <v>21423</v>
      </c>
      <c r="B17012" s="4" t="s">
        <v>21426</v>
      </c>
      <c r="C17012" s="5" t="str">
        <f>IFERROR(__xludf.DUMMYFUNCTION("GOOGLETRANSLATE(B17012,""en"",""fr"")"),"Il y a des gens assis et attendent au sommet d'une montagne qui attend de commencer à skier.")</f>
        <v>Il y a des gens assis et attendent au sommet d'une montagne qui attend de commencer à skier.</v>
      </c>
    </row>
    <row r="17013">
      <c r="A17013" s="4" t="s">
        <v>21423</v>
      </c>
      <c r="B17013" s="6" t="s">
        <v>21427</v>
      </c>
      <c r="C17013" s="5" t="str">
        <f>IFERROR(__xludf.DUMMYFUNCTION("GOOGLETRANSLATE(B17013,""en"",""fr"")"),"Le skieur allant rapidement en descente montre comment tourner et gérer la vitesse tout en descendant.")</f>
        <v>Le skieur allant rapidement en descente montre comment tourner et gérer la vitesse tout en descendant.</v>
      </c>
    </row>
    <row r="17014">
      <c r="A17014" s="4" t="s">
        <v>21423</v>
      </c>
      <c r="B17014" s="4" t="s">
        <v>21428</v>
      </c>
      <c r="C17014" s="5" t="str">
        <f>IFERROR(__xludf.DUMMYFUNCTION("GOOGLETRANSLATE(B17014,""en"",""fr"")"),"Il y a des gens qui se dirigent vers la montagne de ski sur un escalator.")</f>
        <v>Il y a des gens qui se dirigent vers la montagne de ski sur un escalator.</v>
      </c>
    </row>
    <row r="17015">
      <c r="A17015" s="4" t="s">
        <v>21423</v>
      </c>
      <c r="B17015" s="4" t="s">
        <v>21429</v>
      </c>
      <c r="C17015" s="5" t="str">
        <f>IFERROR(__xludf.DUMMYFUNCTION("GOOGLETRANSLATE(B17015,""en"",""fr"")"),"Le skieur continue de skier en descente régulièrement sur des pentes raides et sinueuses.")</f>
        <v>Le skieur continue de skier en descente régulièrement sur des pentes raides et sinueuses.</v>
      </c>
    </row>
    <row r="17016">
      <c r="A17016" s="4" t="s">
        <v>21430</v>
      </c>
      <c r="B17016" s="4" t="s">
        <v>21431</v>
      </c>
      <c r="C17016" s="5" t="str">
        <f>IFERROR(__xludf.DUMMYFUNCTION("GOOGLETRANSLATE(B17016,""en"",""fr"")"),"Il y a une fille aux yeux clairs et à des cheveux bruns foncés qui parlent d'un lentille des yeux colorée.")</f>
        <v>Il y a une fille aux yeux clairs et à des cheveux bruns foncés qui parlent d'un lentille des yeux colorée.</v>
      </c>
    </row>
    <row r="17017">
      <c r="A17017" s="4" t="s">
        <v>21430</v>
      </c>
      <c r="B17017" s="4" t="s">
        <v>21432</v>
      </c>
      <c r="C17017" s="5" t="str">
        <f>IFERROR(__xludf.DUMMYFUNCTION("GOOGLETRANSLATE(B17017,""en"",""fr"")"),"Elle fait un tutoriel sur la façon de porter des lentilles colorées dans vos yeux.")</f>
        <v>Elle fait un tutoriel sur la façon de porter des lentilles colorées dans vos yeux.</v>
      </c>
    </row>
    <row r="17018">
      <c r="A17018" s="4" t="s">
        <v>21430</v>
      </c>
      <c r="B17018" s="4" t="s">
        <v>21433</v>
      </c>
      <c r="C17018" s="5" t="str">
        <f>IFERROR(__xludf.DUMMYFUNCTION("GOOGLETRANSLATE(B17018,""en"",""fr"")"),"Elle ouvre une petite bouteille en verre qui contient les lentilles colorées.")</f>
        <v>Elle ouvre une petite bouteille en verre qui contient les lentilles colorées.</v>
      </c>
    </row>
    <row r="17019">
      <c r="A17019" s="4" t="s">
        <v>21430</v>
      </c>
      <c r="B17019" s="4" t="s">
        <v>21434</v>
      </c>
      <c r="C17019" s="5" t="str">
        <f>IFERROR(__xludf.DUMMYFUNCTION("GOOGLETRANSLATE(B17019,""en"",""fr"")"),"Elle retire l'objectif et le place sur son doigt.")</f>
        <v>Elle retire l'objectif et le place sur son doigt.</v>
      </c>
    </row>
    <row r="17020">
      <c r="A17020" s="4" t="s">
        <v>21430</v>
      </c>
      <c r="B17020" s="4" t="s">
        <v>21435</v>
      </c>
      <c r="C17020" s="5" t="str">
        <f>IFERROR(__xludf.DUMMYFUNCTION("GOOGLETRANSLATE(B17020,""en"",""fr"")"),"Puis elle porte doucement l'objectif dans son œil droit en premier, puis dans son œil gauche.")</f>
        <v>Puis elle porte doucement l'objectif dans son œil droit en premier, puis dans son œil gauche.</v>
      </c>
    </row>
    <row r="17021">
      <c r="A17021" s="4" t="s">
        <v>21430</v>
      </c>
      <c r="B17021" s="4" t="s">
        <v>21436</v>
      </c>
      <c r="C17021" s="5" t="str">
        <f>IFERROR(__xludf.DUMMYFUNCTION("GOOGLETRANSLATE(B17021,""en"",""fr"")"),"Elle montre l'objectif de couleur jaune qu'elle a porté.")</f>
        <v>Elle montre l'objectif de couleur jaune qu'elle a porté.</v>
      </c>
    </row>
    <row r="17022">
      <c r="A17022" s="4" t="s">
        <v>21437</v>
      </c>
      <c r="B17022" s="4" t="s">
        <v>21438</v>
      </c>
      <c r="C17022" s="5" t="str">
        <f>IFERROR(__xludf.DUMMYFUNCTION("GOOGLETRANSLATE(B17022,""en"",""fr"")"),"Nous voyons le titre sur la scène.")</f>
        <v>Nous voyons le titre sur la scène.</v>
      </c>
    </row>
    <row r="17023">
      <c r="A17023" s="4" t="s">
        <v>21437</v>
      </c>
      <c r="B17023" s="4" t="s">
        <v>21439</v>
      </c>
      <c r="C17023" s="5" t="str">
        <f>IFERROR(__xludf.DUMMYFUNCTION("GOOGLETRANSLATE(B17023,""en"",""fr"")"),"Nous voyons que l'inverse d'un homme tondait sa pelouse avec une tondeuse électrique.")</f>
        <v>Nous voyons que l'inverse d'un homme tondait sa pelouse avec une tondeuse électrique.</v>
      </c>
    </row>
    <row r="17024">
      <c r="A17024" s="4" t="s">
        <v>21437</v>
      </c>
      <c r="B17024" s="4" t="s">
        <v>21440</v>
      </c>
      <c r="C17024" s="5" t="str">
        <f>IFERROR(__xludf.DUMMYFUNCTION("GOOGLETRANSLATE(B17024,""en"",""fr"")"),"L'homme monte à mi-chemin dans la cour et se retourne.")</f>
        <v>L'homme monte à mi-chemin dans la cour et se retourne.</v>
      </c>
    </row>
    <row r="17025">
      <c r="A17025" s="4" t="s">
        <v>21437</v>
      </c>
      <c r="B17025" s="4" t="s">
        <v>21441</v>
      </c>
      <c r="C17025" s="5" t="str">
        <f>IFERROR(__xludf.DUMMYFUNCTION("GOOGLETRANSLATE(B17025,""en"",""fr"")"),"Le titre de fin revient à l'écran.")</f>
        <v>Le titre de fin revient à l'écran.</v>
      </c>
    </row>
    <row r="17026">
      <c r="A17026" s="4" t="s">
        <v>21442</v>
      </c>
      <c r="B17026" s="4" t="s">
        <v>21443</v>
      </c>
      <c r="C17026" s="5" t="str">
        <f>IFERROR(__xludf.DUMMYFUNCTION("GOOGLETRANSLATE(B17026,""en"",""fr"")"),"Un homme monte sur un petit chariot de rail soufflant des feuilles avec un souffleur de feuilles.")</f>
        <v>Un homme monte sur un petit chariot de rail soufflant des feuilles avec un souffleur de feuilles.</v>
      </c>
    </row>
    <row r="17027">
      <c r="A17027" s="4" t="s">
        <v>21442</v>
      </c>
      <c r="B17027" s="4" t="s">
        <v>21444</v>
      </c>
      <c r="C17027" s="5" t="str">
        <f>IFERROR(__xludf.DUMMYFUNCTION("GOOGLETRANSLATE(B17027,""en"",""fr"")"),"L'homme va directement sur une fourchette sur les pistes sur un chariot et autour d'un virage.")</f>
        <v>L'homme va directement sur une fourchette sur les pistes sur un chariot et autour d'un virage.</v>
      </c>
    </row>
    <row r="17028">
      <c r="A17028" s="4" t="s">
        <v>21445</v>
      </c>
      <c r="B17028" s="4" t="s">
        <v>21446</v>
      </c>
      <c r="C17028" s="5" t="str">
        <f>IFERROR(__xludf.DUMMYFUNCTION("GOOGLETRANSLATE(B17028,""en"",""fr"")"),"Un jeune enfant utilise un aspirateur jouet sur un plancher en bois.")</f>
        <v>Un jeune enfant utilise un aspirateur jouet sur un plancher en bois.</v>
      </c>
    </row>
    <row r="17029">
      <c r="A17029" s="4" t="s">
        <v>21445</v>
      </c>
      <c r="B17029" s="4" t="s">
        <v>21447</v>
      </c>
      <c r="C17029" s="5" t="str">
        <f>IFERROR(__xludf.DUMMYFUNCTION("GOOGLETRANSLATE(B17029,""en"",""fr"")"),"La maman vient et aide l'enfant.")</f>
        <v>La maman vient et aide l'enfant.</v>
      </c>
    </row>
    <row r="17030">
      <c r="A17030" s="4" t="s">
        <v>21448</v>
      </c>
      <c r="B17030" s="4" t="s">
        <v>21449</v>
      </c>
      <c r="C17030" s="5" t="str">
        <f>IFERROR(__xludf.DUMMYFUNCTION("GOOGLETRANSLATE(B17030,""en"",""fr"")"),"Plusieurs hommes commencent à commencer à tourner leur corps aussi rapidement qu'ils le peuvent.")</f>
        <v>Plusieurs hommes commencent à commencer à tourner leur corps aussi rapidement qu'ils le peuvent.</v>
      </c>
    </row>
    <row r="17031">
      <c r="A17031" s="4" t="s">
        <v>21448</v>
      </c>
      <c r="B17031" s="4" t="s">
        <v>21450</v>
      </c>
      <c r="C17031" s="5" t="str">
        <f>IFERROR(__xludf.DUMMYFUNCTION("GOOGLETRANSLATE(B17031,""en"",""fr"")"),"Ils ont chacun dans différentes situations, mais tous jouent le même sport.")</f>
        <v>Ils ont chacun dans différentes situations, mais tous jouent le même sport.</v>
      </c>
    </row>
    <row r="17032">
      <c r="A17032" s="4" t="s">
        <v>21448</v>
      </c>
      <c r="B17032" s="4" t="s">
        <v>21451</v>
      </c>
      <c r="C17032" s="5" t="str">
        <f>IFERROR(__xludf.DUMMYFUNCTION("GOOGLETRANSLATE(B17032,""en"",""fr"")"),"Ils accumulent autant de vitesse que possible afin qu'ils puissent lancer autant que possible.")</f>
        <v>Ils accumulent autant de vitesse que possible afin qu'ils puissent lancer autant que possible.</v>
      </c>
    </row>
    <row r="17033">
      <c r="A17033" s="4" t="s">
        <v>21448</v>
      </c>
      <c r="B17033" s="4" t="s">
        <v>21452</v>
      </c>
      <c r="C17033" s="5" t="str">
        <f>IFERROR(__xludf.DUMMYFUNCTION("GOOGLETRANSLATE(B17033,""en"",""fr"")"),"Il y a même du public pour ce sport qui vient de le regarder.")</f>
        <v>Il y a même du public pour ce sport qui vient de le regarder.</v>
      </c>
    </row>
    <row r="17034">
      <c r="A17034" s="4" t="s">
        <v>21453</v>
      </c>
      <c r="B17034" s="4" t="s">
        <v>21454</v>
      </c>
      <c r="C17034" s="5" t="str">
        <f>IFERROR(__xludf.DUMMYFUNCTION("GOOGLETRANSLATE(B17034,""en"",""fr"")"),"Nous voyons un motard BMX alors qu'il se prépare à monter.")</f>
        <v>Nous voyons un motard BMX alors qu'il se prépare à monter.</v>
      </c>
    </row>
    <row r="17035">
      <c r="A17035" s="4" t="s">
        <v>21453</v>
      </c>
      <c r="B17035" s="4" t="s">
        <v>21455</v>
      </c>
      <c r="C17035" s="5" t="str">
        <f>IFERROR(__xludf.DUMMYFUNCTION("GOOGLETRANSLATE(B17035,""en"",""fr"")"),"Nous voyons la porte s'ouvrir et voyons le champ.")</f>
        <v>Nous voyons la porte s'ouvrir et voyons le champ.</v>
      </c>
    </row>
    <row r="17036">
      <c r="A17036" s="4" t="s">
        <v>21453</v>
      </c>
      <c r="B17036" s="4" t="s">
        <v>21456</v>
      </c>
      <c r="C17036" s="5" t="str">
        <f>IFERROR(__xludf.DUMMYFUNCTION("GOOGLETRANSLATE(B17036,""en"",""fr"")"),"Le cavalier décolle le cours.")</f>
        <v>Le cavalier décolle le cours.</v>
      </c>
    </row>
    <row r="17037">
      <c r="A17037" s="4" t="s">
        <v>21453</v>
      </c>
      <c r="B17037" s="4" t="s">
        <v>21457</v>
      </c>
      <c r="C17037" s="5" t="str">
        <f>IFERROR(__xludf.DUMMYFUNCTION("GOOGLETRANSLATE(B17037,""en"",""fr"")"),"Nous voyons des coureurs effectuer des sauts et des personnes à vélo.")</f>
        <v>Nous voyons des coureurs effectuer des sauts et des personnes à vélo.</v>
      </c>
    </row>
    <row r="17038">
      <c r="A17038" s="4" t="s">
        <v>21453</v>
      </c>
      <c r="B17038" s="4" t="s">
        <v>21458</v>
      </c>
      <c r="C17038" s="5" t="str">
        <f>IFERROR(__xludf.DUMMYFUNCTION("GOOGLETRANSLATE(B17038,""en"",""fr"")"),"Nous voyons un autre départ et un groupe de personnes décolle dans une piste intérieure.")</f>
        <v>Nous voyons un autre départ et un groupe de personnes décolle dans une piste intérieure.</v>
      </c>
    </row>
    <row r="17039">
      <c r="A17039" s="4" t="s">
        <v>21453</v>
      </c>
      <c r="B17039" s="4" t="s">
        <v>21459</v>
      </c>
      <c r="C17039" s="5" t="str">
        <f>IFERROR(__xludf.DUMMYFUNCTION("GOOGLETRANSLATE(B17039,""en"",""fr"")"),"Nous voyons des photos d'hommes roulant à l'extérieur et une autre porte s'ouvre.")</f>
        <v>Nous voyons des photos d'hommes roulant à l'extérieur et une autre porte s'ouvre.</v>
      </c>
    </row>
    <row r="17040">
      <c r="A17040" s="4" t="s">
        <v>21453</v>
      </c>
      <c r="B17040" s="4" t="s">
        <v>21460</v>
      </c>
      <c r="C17040" s="5" t="str">
        <f>IFERROR(__xludf.DUMMYFUNCTION("GOOGLETRANSLATE(B17040,""en"",""fr"")"),"Nous voyons un vélo allongé sur le côté.")</f>
        <v>Nous voyons un vélo allongé sur le côté.</v>
      </c>
    </row>
    <row r="17041">
      <c r="A17041" s="4" t="s">
        <v>21461</v>
      </c>
      <c r="B17041" s="4" t="s">
        <v>21462</v>
      </c>
      <c r="C17041" s="5" t="str">
        <f>IFERROR(__xludf.DUMMYFUNCTION("GOOGLETRANSLATE(B17041,""en"",""fr"")"),"Une intro commence et montre un homme tenant une pelle et parlant à la caméra.")</f>
        <v>Une intro commence et montre un homme tenant une pelle et parlant à la caméra.</v>
      </c>
    </row>
    <row r="17042">
      <c r="A17042" s="4" t="s">
        <v>21461</v>
      </c>
      <c r="B17042" s="6" t="s">
        <v>21463</v>
      </c>
      <c r="C17042" s="5" t="str">
        <f>IFERROR(__xludf.DUMMYFUNCTION("GOOGLETRANSLATE(B17042,""en"",""fr"")"),"Il fait progressivement des feuilles et parle de la caméra et montre que plusieurs personnes aident également à ramasser des feuilles.")</f>
        <v>Il fait progressivement des feuilles et parle de la caméra et montre que plusieurs personnes aident également à ramasser des feuilles.</v>
      </c>
    </row>
    <row r="17043">
      <c r="A17043" s="4" t="s">
        <v>21461</v>
      </c>
      <c r="B17043" s="4" t="s">
        <v>21464</v>
      </c>
      <c r="C17043" s="5" t="str">
        <f>IFERROR(__xludf.DUMMYFUNCTION("GOOGLETRANSLATE(B17043,""en"",""fr"")"),"Différentes personnes sont interviewées à la caméra tandis que plusieurs autres sont montrées en train de relâcher les feuilles.")</f>
        <v>Différentes personnes sont interviewées à la caméra tandis que plusieurs autres sont montrées en train de relâcher les feuilles.</v>
      </c>
    </row>
    <row r="17044">
      <c r="A17044" s="4" t="s">
        <v>21461</v>
      </c>
      <c r="B17044" s="4" t="s">
        <v>21465</v>
      </c>
      <c r="C17044" s="5" t="str">
        <f>IFERROR(__xludf.DUMMYFUNCTION("GOOGLETRANSLATE(B17044,""en"",""fr"")"),"Un homme est vu assis dans sa voiture et un autre met ses gants.")</f>
        <v>Un homme est vu assis dans sa voiture et un autre met ses gants.</v>
      </c>
    </row>
    <row r="17045">
      <c r="A17045" s="4" t="s">
        <v>21461</v>
      </c>
      <c r="B17045" s="4" t="s">
        <v>21466</v>
      </c>
      <c r="C17045" s="5" t="str">
        <f>IFERROR(__xludf.DUMMYFUNCTION("GOOGLETRANSLATE(B17045,""en"",""fr"")"),"La caméra se déroule sur les feuilles ratissées tandis que plusieurs autres discutent de leur travail acharné.")</f>
        <v>La caméra se déroule sur les feuilles ratissées tandis que plusieurs autres discutent de leur travail acharné.</v>
      </c>
    </row>
    <row r="17046">
      <c r="A17046" s="4" t="s">
        <v>21467</v>
      </c>
      <c r="B17046" s="4" t="s">
        <v>21468</v>
      </c>
      <c r="C17046" s="5" t="str">
        <f>IFERROR(__xludf.DUMMYFUNCTION("GOOGLETRANSLATE(B17046,""en"",""fr"")"),"Nous voyons deux filles l'une assise l'autre en se penchant.")</f>
        <v>Nous voyons deux filles l'une assise l'autre en se penchant.</v>
      </c>
    </row>
    <row r="17047">
      <c r="A17047" s="4" t="s">
        <v>21467</v>
      </c>
      <c r="B17047" s="4" t="s">
        <v>21469</v>
      </c>
      <c r="C17047" s="5" t="str">
        <f>IFERROR(__xludf.DUMMYFUNCTION("GOOGLETRANSLATE(B17047,""en"",""fr"")"),"La fille pliée se lève.")</f>
        <v>La fille pliée se lève.</v>
      </c>
    </row>
    <row r="17048">
      <c r="A17048" s="4" t="s">
        <v>21467</v>
      </c>
      <c r="B17048" s="4" t="s">
        <v>21470</v>
      </c>
      <c r="C17048" s="5" t="str">
        <f>IFERROR(__xludf.DUMMYFUNCTION("GOOGLETRANSLATE(B17048,""en"",""fr"")"),"Nous voyons une personne peindre les ongles d'orteil assis des filles.")</f>
        <v>Nous voyons une personne peindre les ongles d'orteil assis des filles.</v>
      </c>
    </row>
    <row r="17049">
      <c r="A17049" s="4" t="s">
        <v>21471</v>
      </c>
      <c r="B17049" s="4" t="s">
        <v>21472</v>
      </c>
      <c r="C17049" s="5" t="str">
        <f>IFERROR(__xludf.DUMMYFUNCTION("GOOGLETRANSLATE(B17049,""en"",""fr"")"),"Little Kid est dans un parking jouant de la marelle à côté des voitures.")</f>
        <v>Little Kid est dans un parking jouant de la marelle à côté des voitures.</v>
      </c>
    </row>
    <row r="17050">
      <c r="A17050" s="4" t="s">
        <v>21471</v>
      </c>
      <c r="B17050" s="4" t="s">
        <v>21473</v>
      </c>
      <c r="C17050" s="5" t="str">
        <f>IFERROR(__xludf.DUMMYFUNCTION("GOOGLETRANSLATE(B17050,""en"",""fr"")"),"L'homme portant un short se tient à côté du jeu Hopscotch.")</f>
        <v>L'homme portant un short se tient à côté du jeu Hopscotch.</v>
      </c>
    </row>
    <row r="17051">
      <c r="A17051" s="4" t="s">
        <v>21471</v>
      </c>
      <c r="B17051" s="4" t="s">
        <v>21474</v>
      </c>
      <c r="C17051" s="5" t="str">
        <f>IFERROR(__xludf.DUMMYFUNCTION("GOOGLETRANSLATE(B17051,""en"",""fr"")"),"Litle Blond Kid est debout dans la rue jouant dans la police d'un homme.")</f>
        <v>Litle Blond Kid est debout dans la rue jouant dans la police d'un homme.</v>
      </c>
    </row>
    <row r="17052">
      <c r="A17052" s="4" t="s">
        <v>21475</v>
      </c>
      <c r="B17052" s="4" t="s">
        <v>21476</v>
      </c>
      <c r="C17052" s="5" t="str">
        <f>IFERROR(__xludf.DUMMYFUNCTION("GOOGLETRANSLATE(B17052,""en"",""fr"")"),"Il y a des chevaux et ils sortent d'une remorque.")</f>
        <v>Il y a des chevaux et ils sortent d'une remorque.</v>
      </c>
    </row>
    <row r="17053">
      <c r="A17053" s="4" t="s">
        <v>21475</v>
      </c>
      <c r="B17053" s="4" t="s">
        <v>21477</v>
      </c>
      <c r="C17053" s="5" t="str">
        <f>IFERROR(__xludf.DUMMYFUNCTION("GOOGLETRANSLATE(B17053,""en"",""fr"")"),"Ils vont pour traverser le désert, à travers différentes parties du désert.")</f>
        <v>Ils vont pour traverser le désert, à travers différentes parties du désert.</v>
      </c>
    </row>
    <row r="17054">
      <c r="A17054" s="4" t="s">
        <v>21478</v>
      </c>
      <c r="B17054" s="6" t="s">
        <v>21479</v>
      </c>
      <c r="C17054" s="5" t="str">
        <f>IFERROR(__xludf.DUMMYFUNCTION("GOOGLETRANSLATE(B17054,""en"",""fr"")"),"Une femme est vue se laver les mains sous un évier avec une lumière apparaissant dans l'eau pour la température.")</f>
        <v>Une femme est vue se laver les mains sous un évier avec une lumière apparaissant dans l'eau pour la température.</v>
      </c>
    </row>
    <row r="17055">
      <c r="A17055" s="4" t="s">
        <v>21478</v>
      </c>
      <c r="B17055" s="4" t="s">
        <v>21480</v>
      </c>
      <c r="C17055" s="5" t="str">
        <f>IFERROR(__xludf.DUMMYFUNCTION("GOOGLETRANSLATE(B17055,""en"",""fr"")"),"La personne continue de se frotter les mains et les secoue à la fin.")</f>
        <v>La personne continue de se frotter les mains et les secoue à la fin.</v>
      </c>
    </row>
    <row r="17056">
      <c r="A17056" s="4" t="s">
        <v>21481</v>
      </c>
      <c r="B17056" s="4" t="s">
        <v>21482</v>
      </c>
      <c r="C17056" s="5" t="str">
        <f>IFERROR(__xludf.DUMMYFUNCTION("GOOGLETRANSLATE(B17056,""en"",""fr"")"),"Les gens naviguent sur des planches de voile dans l'océan.")</f>
        <v>Les gens naviguent sur des planches de voile dans l'océan.</v>
      </c>
    </row>
    <row r="17057">
      <c r="A17057" s="4" t="s">
        <v>21481</v>
      </c>
      <c r="B17057" s="4" t="s">
        <v>21483</v>
      </c>
      <c r="C17057" s="5" t="str">
        <f>IFERROR(__xludf.DUMMYFUNCTION("GOOGLETRANSLATE(B17057,""en"",""fr"")"),"Un homme navigue sur une planche de voile qui passait sur d'autres marins.")</f>
        <v>Un homme navigue sur une planche de voile qui passait sur d'autres marins.</v>
      </c>
    </row>
    <row r="17058">
      <c r="A17058" s="4" t="s">
        <v>21481</v>
      </c>
      <c r="B17058" s="4" t="s">
        <v>21484</v>
      </c>
      <c r="C17058" s="5" t="str">
        <f>IFERROR(__xludf.DUMMYFUNCTION("GOOGLETRANSLATE(B17058,""en"",""fr"")"),"Un avion vole au-dessus de la plage où les gens naviguent.")</f>
        <v>Un avion vole au-dessus de la plage où les gens naviguent.</v>
      </c>
    </row>
    <row r="17059">
      <c r="A17059" s="4" t="s">
        <v>21481</v>
      </c>
      <c r="B17059" s="4" t="s">
        <v>21485</v>
      </c>
      <c r="C17059" s="5" t="str">
        <f>IFERROR(__xludf.DUMMYFUNCTION("GOOGLETRANSLATE(B17059,""en"",""fr"")"),"Une femme prend une photo de la ville d'une colline.")</f>
        <v>Une femme prend une photo de la ville d'une colline.</v>
      </c>
    </row>
    <row r="17060">
      <c r="A17060" s="4" t="s">
        <v>21486</v>
      </c>
      <c r="B17060" s="4" t="s">
        <v>21487</v>
      </c>
      <c r="C17060" s="5" t="str">
        <f>IFERROR(__xludf.DUMMYFUNCTION("GOOGLETRANSLATE(B17060,""en"",""fr"")"),"Plusieurs personnes sont vues dans différentes scènes, marchant en public.")</f>
        <v>Plusieurs personnes sont vues dans différentes scènes, marchant en public.</v>
      </c>
    </row>
    <row r="17061">
      <c r="A17061" s="4" t="s">
        <v>21486</v>
      </c>
      <c r="B17061" s="4" t="s">
        <v>21488</v>
      </c>
      <c r="C17061" s="5" t="str">
        <f>IFERROR(__xludf.DUMMYFUNCTION("GOOGLETRANSLATE(B17061,""en"",""fr"")"),"Un homme aide une femme à monter un cheval dans les bois.")</f>
        <v>Un homme aide une femme à monter un cheval dans les bois.</v>
      </c>
    </row>
    <row r="17062">
      <c r="A17062" s="4" t="s">
        <v>21486</v>
      </c>
      <c r="B17062" s="4" t="s">
        <v>21489</v>
      </c>
      <c r="C17062" s="5" t="str">
        <f>IFERROR(__xludf.DUMMYFUNCTION("GOOGLETRANSLATE(B17062,""en"",""fr"")"),"Elle nourrit les pommes de cheval alors qu'ils traversent les sentiers boisés.")</f>
        <v>Elle nourrit les pommes de cheval alors qu'ils traversent les sentiers boisés.</v>
      </c>
    </row>
    <row r="17063">
      <c r="A17063" s="4" t="s">
        <v>21490</v>
      </c>
      <c r="B17063" s="4" t="s">
        <v>21491</v>
      </c>
      <c r="C17063" s="5" t="str">
        <f>IFERROR(__xludf.DUMMYFUNCTION("GOOGLETRANSLATE(B17063,""en"",""fr"")"),"Un garçon se démarque dans les bois tenant un morceau d'écorce et parle à la caméra.")</f>
        <v>Un garçon se démarque dans les bois tenant un morceau d'écorce et parle à la caméra.</v>
      </c>
    </row>
    <row r="17064">
      <c r="A17064" s="4" t="s">
        <v>21490</v>
      </c>
      <c r="B17064" s="4" t="s">
        <v>21492</v>
      </c>
      <c r="C17064" s="5" t="str">
        <f>IFERROR(__xludf.DUMMYFUNCTION("GOOGLETRANSLATE(B17064,""en"",""fr"")"),"Une femme est vue en train de faire une pile de bûches pendant que le garçon entre dans le cadre.")</f>
        <v>Une femme est vue en train de faire une pile de bûches pendant que le garçon entre dans le cadre.</v>
      </c>
    </row>
    <row r="17065">
      <c r="A17065" s="4" t="s">
        <v>21490</v>
      </c>
      <c r="B17065" s="4" t="s">
        <v>21493</v>
      </c>
      <c r="C17065" s="5" t="str">
        <f>IFERROR(__xludf.DUMMYFUNCTION("GOOGLETRANSLATE(B17065,""en"",""fr"")"),"Elle continue d'allumer le bâton jusqu'à ce qu'une flamme commence et la met dans le feu.")</f>
        <v>Elle continue d'allumer le bâton jusqu'à ce qu'une flamme commence et la met dans le feu.</v>
      </c>
    </row>
    <row r="17066">
      <c r="A17066" s="4" t="s">
        <v>21490</v>
      </c>
      <c r="B17066" s="4" t="s">
        <v>21494</v>
      </c>
      <c r="C17066" s="5" t="str">
        <f>IFERROR(__xludf.DUMMYFUNCTION("GOOGLETRANSLATE(B17066,""en"",""fr"")"),"L'incendie s'agrandit progressivement et la femme met de plus en plus d'écorce.")</f>
        <v>L'incendie s'agrandit progressivement et la femme met de plus en plus d'écorce.</v>
      </c>
    </row>
    <row r="17067">
      <c r="A17067" s="4" t="s">
        <v>21495</v>
      </c>
      <c r="B17067" s="4" t="s">
        <v>21496</v>
      </c>
      <c r="C17067" s="5" t="str">
        <f>IFERROR(__xludf.DUMMYFUNCTION("GOOGLETRANSLATE(B17067,""en"",""fr"")"),"Un homme est vu portant une chemise rouge et se tenant à côté d'une table de football.")</f>
        <v>Un homme est vu portant une chemise rouge et se tenant à côté d'une table de football.</v>
      </c>
    </row>
    <row r="17068">
      <c r="A17068" s="4" t="s">
        <v>21495</v>
      </c>
      <c r="B17068" s="4" t="s">
        <v>21497</v>
      </c>
      <c r="C17068" s="5" t="str">
        <f>IFERROR(__xludf.DUMMYFUNCTION("GOOGLETRANSLATE(B17068,""en"",""fr"")"),"L'homme joue un peu suivi en tenant une boîte de bière et en le présentant à la caméra.")</f>
        <v>L'homme joue un peu suivi en tenant une boîte de bière et en le présentant à la caméra.</v>
      </c>
    </row>
    <row r="17069">
      <c r="A17069" s="4" t="s">
        <v>21495</v>
      </c>
      <c r="B17069" s="4" t="s">
        <v>21498</v>
      </c>
      <c r="C17069" s="5" t="str">
        <f>IFERROR(__xludf.DUMMYFUNCTION("GOOGLETRANSLATE(B17069,""en"",""fr"")"),"L'homme continue ensuite de jouer pendant que la caméra zoome sur la table.")</f>
        <v>L'homme continue ensuite de jouer pendant que la caméra zoome sur la table.</v>
      </c>
    </row>
    <row r="17070">
      <c r="A17070" s="4" t="s">
        <v>21499</v>
      </c>
      <c r="B17070" s="4" t="s">
        <v>21500</v>
      </c>
      <c r="C17070" s="5" t="str">
        <f>IFERROR(__xludf.DUMMYFUNCTION("GOOGLETRANSLATE(B17070,""en"",""fr"")"),"Un homme court tout autour de la corde de saut pendant que la foule applaudit.")</f>
        <v>Un homme court tout autour de la corde de saut pendant que la foule applaudit.</v>
      </c>
    </row>
    <row r="17071">
      <c r="A17071" s="4" t="s">
        <v>21499</v>
      </c>
      <c r="B17071" s="4" t="s">
        <v>21501</v>
      </c>
      <c r="C17071" s="5" t="str">
        <f>IFERROR(__xludf.DUMMYFUNCTION("GOOGLETRANSLATE(B17071,""en"",""fr"")"),"Certaines personnes rampent en arrière-plan sur le sol.")</f>
        <v>Certaines personnes rampent en arrière-plan sur le sol.</v>
      </c>
    </row>
    <row r="17072">
      <c r="A17072" s="4" t="s">
        <v>21499</v>
      </c>
      <c r="B17072" s="4" t="s">
        <v>21502</v>
      </c>
      <c r="C17072" s="5" t="str">
        <f>IFERROR(__xludf.DUMMYFUNCTION("GOOGLETRANSLATE(B17072,""en"",""fr"")"),"L'homme termine la routine, puis s'enfuit pour embrasser une femme.")</f>
        <v>L'homme termine la routine, puis s'enfuit pour embrasser une femme.</v>
      </c>
    </row>
    <row r="17073">
      <c r="A17073" s="4" t="s">
        <v>21503</v>
      </c>
      <c r="B17073" s="4" t="s">
        <v>21504</v>
      </c>
      <c r="C17073" s="5" t="str">
        <f>IFERROR(__xludf.DUMMYFUNCTION("GOOGLETRANSLATE(B17073,""en"",""fr"")"),"Deux enfants sont vus debout dans une pièce intérieure contenant des raquettes de tennis.")</f>
        <v>Deux enfants sont vus debout dans une pièce intérieure contenant des raquettes de tennis.</v>
      </c>
    </row>
    <row r="17074">
      <c r="A17074" s="4" t="s">
        <v>21503</v>
      </c>
      <c r="B17074" s="4" t="s">
        <v>21505</v>
      </c>
      <c r="C17074" s="5" t="str">
        <f>IFERROR(__xludf.DUMMYFUNCTION("GOOGLETRANSLATE(B17074,""en"",""fr"")"),"La caméra se déroule aux enfants qui frappent le ballon en tenant des raquettes de tennis.")</f>
        <v>La caméra se déroule aux enfants qui frappent le ballon en tenant des raquettes de tennis.</v>
      </c>
    </row>
    <row r="17075">
      <c r="A17075" s="4" t="s">
        <v>21503</v>
      </c>
      <c r="B17075" s="4" t="s">
        <v>21506</v>
      </c>
      <c r="C17075" s="5" t="str">
        <f>IFERROR(__xludf.DUMMYFUNCTION("GOOGLETRANSLATE(B17075,""en"",""fr"")"),"Les enfants continuent de frapper le ballon les uns aux autres.")</f>
        <v>Les enfants continuent de frapper le ballon les uns aux autres.</v>
      </c>
    </row>
    <row r="17076">
      <c r="A17076" s="4" t="s">
        <v>21507</v>
      </c>
      <c r="B17076" s="6" t="s">
        <v>21508</v>
      </c>
      <c r="C17076" s="5" t="str">
        <f>IFERROR(__xludf.DUMMYFUNCTION("GOOGLETRANSLATE(B17076,""en"",""fr"")"),"Un petit groupe de personnes est vu debout les uns avec les autres et les mène à courir et à jouer à un jeu de paintball.")</f>
        <v>Un petit groupe de personnes est vu debout les uns avec les autres et les mène à courir et à jouer à un jeu de paintball.</v>
      </c>
    </row>
    <row r="17077">
      <c r="A17077" s="4" t="s">
        <v>21507</v>
      </c>
      <c r="B17077" s="6" t="s">
        <v>21509</v>
      </c>
      <c r="C17077" s="5" t="str">
        <f>IFERROR(__xludf.DUMMYFUNCTION("GOOGLETRANSLATE(B17077,""en"",""fr"")"),"Le caméraman vise tout autour de lui en capturant les autres et en tirant plusieurs fois au loin.")</f>
        <v>Le caméraman vise tout autour de lui en capturant les autres et en tirant plusieurs fois au loin.</v>
      </c>
    </row>
    <row r="17078">
      <c r="A17078" s="4" t="s">
        <v>21507</v>
      </c>
      <c r="B17078" s="4" t="s">
        <v>21510</v>
      </c>
      <c r="C17078" s="5" t="str">
        <f>IFERROR(__xludf.DUMMYFUNCTION("GOOGLETRANSLATE(B17078,""en"",""fr"")"),"Le jeu continue avec l'homme qui coule et s'arrête à la fin.")</f>
        <v>Le jeu continue avec l'homme qui coule et s'arrête à la fin.</v>
      </c>
    </row>
    <row r="17079">
      <c r="A17079" s="4" t="s">
        <v>21511</v>
      </c>
      <c r="B17079" s="4" t="s">
        <v>21512</v>
      </c>
      <c r="C17079" s="5" t="str">
        <f>IFERROR(__xludf.DUMMYFUNCTION("GOOGLETRANSLATE(B17079,""en"",""fr"")"),"Un homme s'agenouille sur un tapis bleu.")</f>
        <v>Un homme s'agenouille sur un tapis bleu.</v>
      </c>
    </row>
    <row r="17080">
      <c r="A17080" s="4" t="s">
        <v>21511</v>
      </c>
      <c r="B17080" s="4" t="s">
        <v>21513</v>
      </c>
      <c r="C17080" s="5" t="str">
        <f>IFERROR(__xludf.DUMMYFUNCTION("GOOGLETRANSLATE(B17080,""en"",""fr"")"),"Un autre homme s'agenouille sur le sol à côté de lui.")</f>
        <v>Un autre homme s'agenouille sur le sol à côté de lui.</v>
      </c>
    </row>
    <row r="17081">
      <c r="A17081" s="4" t="s">
        <v>21511</v>
      </c>
      <c r="B17081" s="4" t="s">
        <v>21514</v>
      </c>
      <c r="C17081" s="5" t="str">
        <f>IFERROR(__xludf.DUMMYFUNCTION("GOOGLETRANSLATE(B17081,""en"",""fr"")"),"L'homme soulève une extrémité d'un poids et le soulève au-dessus de sa tête.")</f>
        <v>L'homme soulève une extrémité d'un poids et le soulève au-dessus de sa tête.</v>
      </c>
    </row>
    <row r="17082">
      <c r="A17082" s="4" t="s">
        <v>21515</v>
      </c>
      <c r="B17082" s="4" t="s">
        <v>21516</v>
      </c>
      <c r="C17082" s="5" t="str">
        <f>IFERROR(__xludf.DUMMYFUNCTION("GOOGLETRANSLATE(B17082,""en"",""fr"")"),"Un homme portant des chaussettes noirs est montré en mettant ses chaussures en cuir noir et en attachant ses lacets.")</f>
        <v>Un homme portant des chaussettes noirs est montré en mettant ses chaussures en cuir noir et en attachant ses lacets.</v>
      </c>
    </row>
    <row r="17083">
      <c r="A17083" s="4" t="s">
        <v>21515</v>
      </c>
      <c r="B17083" s="4" t="s">
        <v>21517</v>
      </c>
      <c r="C17083" s="5" t="str">
        <f>IFERROR(__xludf.DUMMYFUNCTION("GOOGLETRANSLATE(B17083,""en"",""fr"")"),"Il y a une autre personne portant des chaussures en cuir marron sur des chaussettes noires.")</f>
        <v>Il y a une autre personne portant des chaussures en cuir marron sur des chaussettes noires.</v>
      </c>
    </row>
    <row r="17084">
      <c r="A17084" s="4" t="s">
        <v>21515</v>
      </c>
      <c r="B17084" s="4" t="s">
        <v>21518</v>
      </c>
      <c r="C17084" s="5" t="str">
        <f>IFERROR(__xludf.DUMMYFUNCTION("GOOGLETRANSLATE(B17084,""en"",""fr"")"),"Il attache fermement les lacets pour les sécuriser.")</f>
        <v>Il attache fermement les lacets pour les sécuriser.</v>
      </c>
    </row>
    <row r="17085">
      <c r="A17085" s="4" t="s">
        <v>21515</v>
      </c>
      <c r="B17085" s="4" t="s">
        <v>21519</v>
      </c>
      <c r="C17085" s="5" t="str">
        <f>IFERROR(__xludf.DUMMYFUNCTION("GOOGLETRANSLATE(B17085,""en"",""fr"")"),"Ensuite, une autre scène montre une personne portant des chaussures en cuir sur des chaussettes noires.")</f>
        <v>Ensuite, une autre scène montre une personne portant des chaussures en cuir sur des chaussettes noires.</v>
      </c>
    </row>
    <row r="17086">
      <c r="A17086" s="4" t="s">
        <v>21515</v>
      </c>
      <c r="B17086" s="4" t="s">
        <v>21520</v>
      </c>
      <c r="C17086" s="5" t="str">
        <f>IFERROR(__xludf.DUMMYFUNCTION("GOOGLETRANSLATE(B17086,""en"",""fr"")"),"Suivi de plusieurs scènes montrant la personne portant des chaussures en cuir marron avec des lacets.")</f>
        <v>Suivi de plusieurs scènes montrant la personne portant des chaussures en cuir marron avec des lacets.</v>
      </c>
    </row>
    <row r="17087">
      <c r="A17087" s="4" t="s">
        <v>21515</v>
      </c>
      <c r="B17087" s="4" t="s">
        <v>21521</v>
      </c>
      <c r="C17087" s="5" t="str">
        <f>IFERROR(__xludf.DUMMYFUNCTION("GOOGLETRANSLATE(B17087,""en"",""fr"")"),"Il porte les chaussures sur des chaussettes noires et attache en toute sécurité les chaussures.")</f>
        <v>Il porte les chaussures sur des chaussettes noires et attache en toute sécurité les chaussures.</v>
      </c>
    </row>
    <row r="17088">
      <c r="A17088" s="4" t="s">
        <v>21515</v>
      </c>
      <c r="B17088" s="4" t="s">
        <v>21522</v>
      </c>
      <c r="C17088" s="5" t="str">
        <f>IFERROR(__xludf.DUMMYFUNCTION("GOOGLETRANSLATE(B17088,""en"",""fr"")"),"Il se lève ensuite après avoir fini de porter les chaussures en cuir marron.")</f>
        <v>Il se lève ensuite après avoir fini de porter les chaussures en cuir marron.</v>
      </c>
    </row>
    <row r="17089">
      <c r="A17089" s="4" t="s">
        <v>21523</v>
      </c>
      <c r="B17089" s="4" t="s">
        <v>21524</v>
      </c>
      <c r="C17089" s="5" t="str">
        <f>IFERROR(__xludf.DUMMYFUNCTION("GOOGLETRANSLATE(B17089,""en"",""fr"")"),"On voit les mains d'une personne courir les ongles d'un chat tandis que le chat lutte un peu.")</f>
        <v>On voit les mains d'une personne courir les ongles d'un chat tandis que le chat lutte un peu.</v>
      </c>
    </row>
    <row r="17090">
      <c r="A17090" s="4" t="s">
        <v>21523</v>
      </c>
      <c r="B17090" s="6" t="s">
        <v>21525</v>
      </c>
      <c r="C17090" s="5" t="str">
        <f>IFERROR(__xludf.DUMMYFUNCTION("GOOGLETRANSLATE(B17090,""en"",""fr"")"),"Plus de photos de son coup de coup le chat sont montrées et à un moment donné, il bouge et elle l'attrape par le cou.")</f>
        <v>Plus de photos de son coup de coup le chat sont montrées et à un moment donné, il bouge et elle l'attrape par le cou.</v>
      </c>
    </row>
    <row r="17091">
      <c r="A17091" s="4" t="s">
        <v>21526</v>
      </c>
      <c r="B17091" s="4" t="s">
        <v>21527</v>
      </c>
      <c r="C17091" s="5" t="str">
        <f>IFERROR(__xludf.DUMMYFUNCTION("GOOGLETRANSLATE(B17091,""en"",""fr"")"),"Les hommes sont dans un stade nettoyant la neige des tribunes.")</f>
        <v>Les hommes sont dans un stade nettoyant la neige des tribunes.</v>
      </c>
    </row>
    <row r="17092">
      <c r="A17092" s="4" t="s">
        <v>21526</v>
      </c>
      <c r="B17092" s="4" t="s">
        <v>21528</v>
      </c>
      <c r="C17092" s="5" t="str">
        <f>IFERROR(__xludf.DUMMYFUNCTION("GOOGLETRANSLATE(B17092,""en"",""fr"")"),"Les hommes chevauchent des chevaux dans un champ enneigé.")</f>
        <v>Les hommes chevauchent des chevaux dans un champ enneigé.</v>
      </c>
    </row>
    <row r="17093">
      <c r="A17093" s="4" t="s">
        <v>21526</v>
      </c>
      <c r="B17093" s="4" t="s">
        <v>21529</v>
      </c>
      <c r="C17093" s="5" t="str">
        <f>IFERROR(__xludf.DUMMYFUNCTION("GOOGLETRANSLATE(B17093,""en"",""fr"")"),"Les hommes mettent des bottes et des uniformes de polo.")</f>
        <v>Les hommes mettent des bottes et des uniformes de polo.</v>
      </c>
    </row>
    <row r="17094">
      <c r="A17094" s="4" t="s">
        <v>21526</v>
      </c>
      <c r="B17094" s="4" t="s">
        <v>21530</v>
      </c>
      <c r="C17094" s="5" t="str">
        <f>IFERROR(__xludf.DUMMYFUNCTION("GOOGLETRANSLATE(B17094,""en"",""fr"")"),"Les femmes se tiennent dans un champ à pied et assis sur des stands.")</f>
        <v>Les femmes se tiennent dans un champ à pied et assis sur des stands.</v>
      </c>
    </row>
    <row r="17095">
      <c r="A17095" s="4" t="s">
        <v>21526</v>
      </c>
      <c r="B17095" s="4" t="s">
        <v>21531</v>
      </c>
      <c r="C17095" s="5" t="str">
        <f>IFERROR(__xludf.DUMMYFUNCTION("GOOGLETRANSLATE(B17095,""en"",""fr"")"),"Les hommes jouent au polo dans un champ enneigé pendant que les gens sont là-bas.")</f>
        <v>Les hommes jouent au polo dans un champ enneigé pendant que les gens sont là-bas.</v>
      </c>
    </row>
    <row r="17096">
      <c r="A17096" s="4" t="s">
        <v>21532</v>
      </c>
      <c r="B17096" s="6" t="s">
        <v>21533</v>
      </c>
      <c r="C17096" s="5" t="str">
        <f>IFERROR(__xludf.DUMMYFUNCTION("GOOGLETRANSLATE(B17096,""en"",""fr"")"),"Un jeune homme portant une chemise à cravate est vu parler à la caméra, puis le montre à choisir des vêtements.")</f>
        <v>Un jeune homme portant une chemise à cravate est vu parler à la caméra, puis le montre à choisir des vêtements.</v>
      </c>
    </row>
    <row r="17097">
      <c r="A17097" s="4" t="s">
        <v>21532</v>
      </c>
      <c r="B17097" s="4" t="s">
        <v>21534</v>
      </c>
      <c r="C17097" s="5" t="str">
        <f>IFERROR(__xludf.DUMMYFUNCTION("GOOGLETRANSLATE(B17097,""en"",""fr"")"),"Il montre ses jambes puis coule un rasoir électrique sur ses jambes en se rasant les cheveux.")</f>
        <v>Il montre ses jambes puis coule un rasoir électrique sur ses jambes en se rasant les cheveux.</v>
      </c>
    </row>
    <row r="17098">
      <c r="A17098" s="4" t="s">
        <v>21532</v>
      </c>
      <c r="B17098" s="6" t="s">
        <v>21535</v>
      </c>
      <c r="C17098" s="5" t="str">
        <f>IFERROR(__xludf.DUMMYFUNCTION("GOOGLETRANSLATE(B17098,""en"",""fr"")"),"Il met ensuite la crème à raser sur ses jambes et les rasage, montrant finalement ses jambes nues à la fin et parlant à la caméra.")</f>
        <v>Il met ensuite la crème à raser sur ses jambes et les rasage, montrant finalement ses jambes nues à la fin et parlant à la caméra.</v>
      </c>
    </row>
    <row r="17099">
      <c r="A17099" s="4" t="s">
        <v>21536</v>
      </c>
      <c r="B17099" s="4" t="s">
        <v>21537</v>
      </c>
      <c r="C17099" s="5" t="str">
        <f>IFERROR(__xludf.DUMMYFUNCTION("GOOGLETRANSLATE(B17099,""en"",""fr"")"),"Nous voyons des astronautes flotter dans un navire.")</f>
        <v>Nous voyons des astronautes flotter dans un navire.</v>
      </c>
    </row>
    <row r="17100">
      <c r="A17100" s="4" t="s">
        <v>21536</v>
      </c>
      <c r="B17100" s="4" t="s">
        <v>21538</v>
      </c>
      <c r="C17100" s="5" t="str">
        <f>IFERROR(__xludf.DUMMYFUNCTION("GOOGLETRANSLATE(B17100,""en"",""fr"")"),"L'homme tend la dame le microphone.")</f>
        <v>L'homme tend la dame le microphone.</v>
      </c>
    </row>
    <row r="17101">
      <c r="A17101" s="4" t="s">
        <v>21536</v>
      </c>
      <c r="B17101" s="4" t="s">
        <v>21539</v>
      </c>
      <c r="C17101" s="5" t="str">
        <f>IFERROR(__xludf.DUMMYFUNCTION("GOOGLETRANSLATE(B17101,""en"",""fr"")"),"L'homme du milieu traverse ses mains et a le microphone.")</f>
        <v>L'homme du milieu traverse ses mains et a le microphone.</v>
      </c>
    </row>
    <row r="17102">
      <c r="A17102" s="4" t="s">
        <v>21536</v>
      </c>
      <c r="B17102" s="4" t="s">
        <v>21540</v>
      </c>
      <c r="C17102" s="5" t="str">
        <f>IFERROR(__xludf.DUMMYFUNCTION("GOOGLETRANSLATE(B17102,""en"",""fr"")"),"La dame retrouve le microphone et parle.")</f>
        <v>La dame retrouve le microphone et parle.</v>
      </c>
    </row>
    <row r="17103">
      <c r="A17103" s="4" t="s">
        <v>21536</v>
      </c>
      <c r="B17103" s="4" t="s">
        <v>21541</v>
      </c>
      <c r="C17103" s="5" t="str">
        <f>IFERROR(__xludf.DUMMYFUNCTION("GOOGLETRANSLATE(B17103,""en"",""fr"")"),"La dame attrape la flûte et joue.")</f>
        <v>La dame attrape la flûte et joue.</v>
      </c>
    </row>
    <row r="17104">
      <c r="A17104" s="4" t="s">
        <v>21542</v>
      </c>
      <c r="B17104" s="4" t="s">
        <v>21543</v>
      </c>
      <c r="C17104" s="5" t="str">
        <f>IFERROR(__xludf.DUMMYFUNCTION("GOOGLETRANSLATE(B17104,""en"",""fr"")"),"Une femme est vue en marchant avec un cheval et des pansements vers une autre fille s'éloignant.")</f>
        <v>Une femme est vue en marchant avec un cheval et des pansements vers une autre fille s'éloignant.</v>
      </c>
    </row>
    <row r="17105">
      <c r="A17105" s="4" t="s">
        <v>21542</v>
      </c>
      <c r="B17105" s="6" t="s">
        <v>21544</v>
      </c>
      <c r="C17105" s="5" t="str">
        <f>IFERROR(__xludf.DUMMYFUNCTION("GOOGLETRANSLATE(B17105,""en"",""fr"")"),"Plus de filles sont vues tenir un produit et parler à la caméra et mène aux filles montrant comment nettoyer le cheval et brosser le cheval.")</f>
        <v>Plus de filles sont vues tenir un produit et parler à la caméra et mène aux filles montrant comment nettoyer le cheval et brosser le cheval.</v>
      </c>
    </row>
    <row r="17106">
      <c r="A17106" s="4" t="s">
        <v>21545</v>
      </c>
      <c r="B17106" s="4" t="s">
        <v>21546</v>
      </c>
      <c r="C17106" s="5" t="str">
        <f>IFERROR(__xludf.DUMMYFUNCTION("GOOGLETRANSLATE(B17106,""en"",""fr"")"),"Un homme utilise un entraîneur elliptique en se tenant.")</f>
        <v>Un homme utilise un entraîneur elliptique en se tenant.</v>
      </c>
    </row>
    <row r="17107">
      <c r="A17107" s="4" t="s">
        <v>21545</v>
      </c>
      <c r="B17107" s="4" t="s">
        <v>21547</v>
      </c>
      <c r="C17107" s="5" t="str">
        <f>IFERROR(__xludf.DUMMYFUNCTION("GOOGLETRANSLATE(B17107,""en"",""fr"")"),"Ensuite, une femme s'assoit dessus car elle l'utilise d'une autre manière.")</f>
        <v>Ensuite, une femme s'assoit dessus car elle l'utilise d'une autre manière.</v>
      </c>
    </row>
    <row r="17108">
      <c r="A17108" s="4" t="s">
        <v>21545</v>
      </c>
      <c r="B17108" s="4" t="s">
        <v>21548</v>
      </c>
      <c r="C17108" s="5" t="str">
        <f>IFERROR(__xludf.DUMMYFUNCTION("GOOGLETRANSLATE(B17108,""en"",""fr"")"),"Il bascule entre les deux pendant leur exercice.")</f>
        <v>Il bascule entre les deux pendant leur exercice.</v>
      </c>
    </row>
    <row r="17109">
      <c r="A17109" s="4" t="s">
        <v>21545</v>
      </c>
      <c r="B17109" s="4" t="s">
        <v>21549</v>
      </c>
      <c r="C17109" s="5" t="str">
        <f>IFERROR(__xludf.DUMMYFUNCTION("GOOGLETRANSLATE(B17109,""en"",""fr"")"),"Un gros plan est montré sur le fonctionnement de la machine et se replie pour un stockage facile.")</f>
        <v>Un gros plan est montré sur le fonctionnement de la machine et se replie pour un stockage facile.</v>
      </c>
    </row>
    <row r="17110">
      <c r="A17110" s="4" t="s">
        <v>21550</v>
      </c>
      <c r="B17110" s="4" t="s">
        <v>21551</v>
      </c>
      <c r="C17110" s="5" t="str">
        <f>IFERROR(__xludf.DUMMYFUNCTION("GOOGLETRANSLATE(B17110,""en"",""fr"")"),"Un homme et un garçon sont à l'extérieur sur une allée.")</f>
        <v>Un homme et un garçon sont à l'extérieur sur une allée.</v>
      </c>
    </row>
    <row r="17111">
      <c r="A17111" s="4" t="s">
        <v>21550</v>
      </c>
      <c r="B17111" s="4" t="s">
        <v>21552</v>
      </c>
      <c r="C17111" s="5" t="str">
        <f>IFERROR(__xludf.DUMMYFUNCTION("GOOGLETRANSLATE(B17111,""en"",""fr"")"),"Ils sont en compétition pour voir à quelle vitesse ils peuvent pelleter la neige de l'allée.")</f>
        <v>Ils sont en compétition pour voir à quelle vitesse ils peuvent pelleter la neige de l'allée.</v>
      </c>
    </row>
    <row r="17112">
      <c r="A17112" s="4" t="s">
        <v>21550</v>
      </c>
      <c r="B17112" s="4" t="s">
        <v>21553</v>
      </c>
      <c r="C17112" s="5" t="str">
        <f>IFERROR(__xludf.DUMMYFUNCTION("GOOGLETRANSLATE(B17112,""en"",""fr"")"),"Ils font des allers-retours aussi vite qu'ils le peuvent.")</f>
        <v>Ils font des allers-retours aussi vite qu'ils le peuvent.</v>
      </c>
    </row>
    <row r="17113">
      <c r="A17113" s="4" t="s">
        <v>21554</v>
      </c>
      <c r="B17113" s="4" t="s">
        <v>21555</v>
      </c>
      <c r="C17113" s="5" t="str">
        <f>IFERROR(__xludf.DUMMYFUNCTION("GOOGLETRANSLATE(B17113,""en"",""fr"")"),"Un groupe de personnes flotte sur des radeaux sur une rivière.")</f>
        <v>Un groupe de personnes flotte sur des radeaux sur une rivière.</v>
      </c>
    </row>
    <row r="17114">
      <c r="A17114" s="4" t="s">
        <v>21554</v>
      </c>
      <c r="B17114" s="4" t="s">
        <v>21556</v>
      </c>
      <c r="C17114" s="5" t="str">
        <f>IFERROR(__xludf.DUMMYFUNCTION("GOOGLETRANSLATE(B17114,""en"",""fr"")"),"Ils pagayent les radeaux à travers des rapides durs en eau vive.")</f>
        <v>Ils pagayent les radeaux à travers des rapides durs en eau vive.</v>
      </c>
    </row>
    <row r="17115">
      <c r="A17115" s="4" t="s">
        <v>21554</v>
      </c>
      <c r="B17115" s="4" t="s">
        <v>21557</v>
      </c>
      <c r="C17115" s="5" t="str">
        <f>IFERROR(__xludf.DUMMYFUNCTION("GOOGLETRANSLATE(B17115,""en"",""fr"")"),"Les gens tombent et sont retirés par d'autres chevrons avant de continuer leur chemin.")</f>
        <v>Les gens tombent et sont retirés par d'autres chevrons avant de continuer leur chemin.</v>
      </c>
    </row>
    <row r="17116">
      <c r="A17116" s="4" t="s">
        <v>21558</v>
      </c>
      <c r="B17116" s="6" t="s">
        <v>21559</v>
      </c>
      <c r="C17116" s="5" t="str">
        <f>IFERROR(__xludf.DUMMYFUNCTION("GOOGLETRANSLATE(B17116,""en"",""fr"")"),"Un homme est vu parler à la caméra alors qu'il était assis dans un kayak et tenant un jouet sur un kayak autour de ses genoux.")</f>
        <v>Un homme est vu parler à la caméra alors qu'il était assis dans un kayak et tenant un jouet sur un kayak autour de ses genoux.</v>
      </c>
    </row>
    <row r="17117">
      <c r="A17117" s="4" t="s">
        <v>21558</v>
      </c>
      <c r="B17117" s="6" t="s">
        <v>21560</v>
      </c>
      <c r="C17117" s="5" t="str">
        <f>IFERROR(__xludf.DUMMYFUNCTION("GOOGLETRANSLATE(B17117,""en"",""fr"")"),"L'homme continue de parler à la caméra tout en tenant l'objet et conduit en le roulant dans le kayak.")</f>
        <v>L'homme continue de parler à la caméra tout en tenant l'objet et conduit en le roulant dans le kayak.</v>
      </c>
    </row>
    <row r="17118">
      <c r="A17118" s="4" t="s">
        <v>21561</v>
      </c>
      <c r="B17118" s="4" t="s">
        <v>21562</v>
      </c>
      <c r="C17118" s="5" t="str">
        <f>IFERROR(__xludf.DUMMYFUNCTION("GOOGLETRANSLATE(B17118,""en"",""fr"")"),"Un homme est vu à l'extérieur devant un porche poussant une tondeuse en arrière et quatrième.")</f>
        <v>Un homme est vu à l'extérieur devant un porche poussant une tondeuse en arrière et quatrième.</v>
      </c>
    </row>
    <row r="17119">
      <c r="A17119" s="4" t="s">
        <v>21561</v>
      </c>
      <c r="B17119" s="4" t="s">
        <v>21563</v>
      </c>
      <c r="C17119" s="5" t="str">
        <f>IFERROR(__xludf.DUMMYFUNCTION("GOOGLETRANSLATE(B17119,""en"",""fr"")"),"Il dirige la tondeuse le long de l'herbe et monte et descend la pelouse.")</f>
        <v>Il dirige la tondeuse le long de l'herbe et monte et descend la pelouse.</v>
      </c>
    </row>
    <row r="17120">
      <c r="A17120" s="4" t="s">
        <v>21564</v>
      </c>
      <c r="B17120" s="6" t="s">
        <v>21565</v>
      </c>
      <c r="C17120" s="5" t="str">
        <f>IFERROR(__xludf.DUMMYFUNCTION("GOOGLETRANSLATE(B17120,""en"",""fr"")"),"Un homme porte un costume et parle et les mots à l'écran disent que son nom est riche Noonan et qu'il est l'hôte du meilleur de la meilleure télévision.")</f>
        <v>Un homme porte un costume et parle et les mots à l'écran disent que son nom est riche Noonan et qu'il est l'hôte du meilleur de la meilleure télévision.</v>
      </c>
    </row>
    <row r="17121">
      <c r="A17121" s="4" t="s">
        <v>21564</v>
      </c>
      <c r="B17121" s="6" t="s">
        <v>21566</v>
      </c>
      <c r="C17121" s="5" t="str">
        <f>IFERROR(__xludf.DUMMYFUNCTION("GOOGLETRANSLATE(B17121,""en"",""fr"")"),"Une série a toujours pris des photos de maisons, de personnes, de travail de stuc qui se fait dans une maison, une liste d'informations en stuc commence à jouer et les mots d'ouverture avant que les images ne commencent à dire ""le meilleur de la meilleur"&amp;"e télévision"".")</f>
        <v>Une série a toujours pris des photos de maisons, de personnes, de travail de stuc qui se fait dans une maison, une liste d'informations en stuc commence à jouer et les mots d'ouverture avant que les images ne commencent à dire "le meilleur de la meilleure télévision".</v>
      </c>
    </row>
    <row r="17122">
      <c r="A17122" s="4" t="s">
        <v>21564</v>
      </c>
      <c r="B17122" s="6" t="s">
        <v>21567</v>
      </c>
      <c r="C17122" s="5" t="str">
        <f>IFERROR(__xludf.DUMMYFUNCTION("GOOGLETRANSLATE(B17122,""en"",""fr"")"),"Lorsque les images sont terminées, un écran gris foncé apparaît qui inclut le nom de la compagnie de stuc, leur numéro de téléphone et leur site Web.")</f>
        <v>Lorsque les images sont terminées, un écran gris foncé apparaît qui inclut le nom de la compagnie de stuc, leur numéro de téléphone et leur site Web.</v>
      </c>
    </row>
    <row r="17123">
      <c r="A17123" s="4" t="s">
        <v>21564</v>
      </c>
      <c r="B17123" s="6" t="s">
        <v>21568</v>
      </c>
      <c r="C17123" s="5" t="str">
        <f>IFERROR(__xludf.DUMMYFUNCTION("GOOGLETRANSLATE(B17123,""en"",""fr"")"),"L'hôte apparaît à nouveau parler et cela se termine par les mots un écran disant le meilleur de la meilleure télévision, puis un écran nommant le producteur et son site Web.")</f>
        <v>L'hôte apparaît à nouveau parler et cela se termine par les mots un écran disant le meilleur de la meilleure télévision, puis un écran nommant le producteur et son site Web.</v>
      </c>
    </row>
    <row r="17124">
      <c r="A17124" s="4" t="s">
        <v>21569</v>
      </c>
      <c r="B17124" s="4" t="s">
        <v>21570</v>
      </c>
      <c r="C17124" s="5" t="str">
        <f>IFERROR(__xludf.DUMMYFUNCTION("GOOGLETRANSLATE(B17124,""en"",""fr"")"),"Un graphique d'introduction est vu avec le titre.")</f>
        <v>Un graphique d'introduction est vu avec le titre.</v>
      </c>
    </row>
    <row r="17125">
      <c r="A17125" s="4" t="s">
        <v>21569</v>
      </c>
      <c r="B17125" s="4" t="s">
        <v>21571</v>
      </c>
      <c r="C17125" s="5" t="str">
        <f>IFERROR(__xludf.DUMMYFUNCTION("GOOGLETRANSLATE(B17125,""en"",""fr"")"),"Une grande plage vide est vue depuis le rivage.")</f>
        <v>Une grande plage vide est vue depuis le rivage.</v>
      </c>
    </row>
    <row r="17126">
      <c r="A17126" s="4" t="s">
        <v>21569</v>
      </c>
      <c r="B17126" s="4" t="s">
        <v>21572</v>
      </c>
      <c r="C17126" s="5" t="str">
        <f>IFERROR(__xludf.DUMMYFUNCTION("GOOGLETRANSLATE(B17126,""en"",""fr"")"),"Un oiseau est vu marcher le long du rivage.")</f>
        <v>Un oiseau est vu marcher le long du rivage.</v>
      </c>
    </row>
    <row r="17127">
      <c r="A17127" s="4" t="s">
        <v>21569</v>
      </c>
      <c r="B17127" s="4" t="s">
        <v>21573</v>
      </c>
      <c r="C17127" s="5" t="str">
        <f>IFERROR(__xludf.DUMMYFUNCTION("GOOGLETRANSLATE(B17127,""en"",""fr"")"),"Un groupe chevauche des chevaux le long de la côte ensemble.")</f>
        <v>Un groupe chevauche des chevaux le long de la côte ensemble.</v>
      </c>
    </row>
    <row r="17128">
      <c r="A17128" s="4" t="s">
        <v>21569</v>
      </c>
      <c r="B17128" s="4" t="s">
        <v>21574</v>
      </c>
      <c r="C17128" s="5" t="str">
        <f>IFERROR(__xludf.DUMMYFUNCTION("GOOGLETRANSLATE(B17128,""en"",""fr"")"),"Différentes espèces de fleurs sont observées.")</f>
        <v>Différentes espèces de fleurs sont observées.</v>
      </c>
    </row>
    <row r="17129">
      <c r="A17129" s="4" t="s">
        <v>21569</v>
      </c>
      <c r="B17129" s="4" t="s">
        <v>21575</v>
      </c>
      <c r="C17129" s="5" t="str">
        <f>IFERROR(__xludf.DUMMYFUNCTION("GOOGLETRANSLATE(B17129,""en"",""fr"")"),"Le groupe monte le long des bluffs.")</f>
        <v>Le groupe monte le long des bluffs.</v>
      </c>
    </row>
    <row r="17130">
      <c r="A17130" s="4" t="s">
        <v>21569</v>
      </c>
      <c r="B17130" s="4" t="s">
        <v>21576</v>
      </c>
      <c r="C17130" s="5" t="str">
        <f>IFERROR(__xludf.DUMMYFUNCTION("GOOGLETRANSLATE(B17130,""en"",""fr"")"),"Un cavalier femelle roule près du bord des eaux.")</f>
        <v>Un cavalier femelle roule près du bord des eaux.</v>
      </c>
    </row>
    <row r="17131">
      <c r="A17131" s="4" t="s">
        <v>21569</v>
      </c>
      <c r="B17131" s="4" t="s">
        <v>21577</v>
      </c>
      <c r="C17131" s="5" t="str">
        <f>IFERROR(__xludf.DUMMYFUNCTION("GOOGLETRANSLATE(B17131,""en"",""fr"")"),"Le groupe roule à travers du sable lâche et les chevaux le donnent un coup de pied dans les airs.")</f>
        <v>Le groupe roule à travers du sable lâche et les chevaux le donnent un coup de pied dans les airs.</v>
      </c>
    </row>
    <row r="17132">
      <c r="A17132" s="4" t="s">
        <v>21569</v>
      </c>
      <c r="B17132" s="4" t="s">
        <v>21578</v>
      </c>
      <c r="C17132" s="5" t="str">
        <f>IFERROR(__xludf.DUMMYFUNCTION("GOOGLETRANSLATE(B17132,""en"",""fr"")"),"Le groupe monte le long d'une section de dunes et à travers une faible végétation.")</f>
        <v>Le groupe monte le long d'une section de dunes et à travers une faible végétation.</v>
      </c>
    </row>
    <row r="17133">
      <c r="A17133" s="4" t="s">
        <v>21569</v>
      </c>
      <c r="B17133" s="4" t="s">
        <v>21579</v>
      </c>
      <c r="C17133" s="5" t="str">
        <f>IFERROR(__xludf.DUMMYFUNCTION("GOOGLETRANSLATE(B17133,""en"",""fr"")"),"Le groupe monte à un gallup dans l'eau et le long de la plage.")</f>
        <v>Le groupe monte à un gallup dans l'eau et le long de la plage.</v>
      </c>
    </row>
    <row r="17134">
      <c r="A17134" s="4" t="s">
        <v>21569</v>
      </c>
      <c r="B17134" s="4" t="s">
        <v>21580</v>
      </c>
      <c r="C17134" s="5" t="str">
        <f>IFERROR(__xludf.DUMMYFUNCTION("GOOGLETRANSLATE(B17134,""en"",""fr"")"),"Les coureurs roulent lentement, puis cela devient plus tard dans la journée et le soleil se basse.")</f>
        <v>Les coureurs roulent lentement, puis cela devient plus tard dans la journée et le soleil se basse.</v>
      </c>
    </row>
    <row r="17135">
      <c r="A17135" s="4" t="s">
        <v>21569</v>
      </c>
      <c r="B17135" s="4" t="s">
        <v>21581</v>
      </c>
      <c r="C17135" s="5" t="str">
        <f>IFERROR(__xludf.DUMMYFUNCTION("GOOGLETRANSLATE(B17135,""en"",""fr"")"),"La plage est vue à distance au coucher du soleil.")</f>
        <v>La plage est vue à distance au coucher du soleil.</v>
      </c>
    </row>
    <row r="17136">
      <c r="A17136" s="4" t="s">
        <v>21582</v>
      </c>
      <c r="B17136" s="4" t="s">
        <v>21583</v>
      </c>
      <c r="C17136" s="5" t="str">
        <f>IFERROR(__xludf.DUMMYFUNCTION("GOOGLETRANSLATE(B17136,""en"",""fr"")"),"Un texte blanc sur un fond noir explique qu'aucun humain n'a été blessé pendant cette vidéo.")</f>
        <v>Un texte blanc sur un fond noir explique qu'aucun humain n'a été blessé pendant cette vidéo.</v>
      </c>
    </row>
    <row r="17137">
      <c r="A17137" s="4" t="s">
        <v>21582</v>
      </c>
      <c r="B17137" s="4" t="s">
        <v>21584</v>
      </c>
      <c r="C17137" s="5" t="str">
        <f>IFERROR(__xludf.DUMMYFUNCTION("GOOGLETRANSLATE(B17137,""en"",""fr"")"),"Un jeune homme fait des grimaces à la caméra tout en se tenant devant un rocher.")</f>
        <v>Un jeune homme fait des grimaces à la caméra tout en se tenant devant un rocher.</v>
      </c>
    </row>
    <row r="17138">
      <c r="A17138" s="4" t="s">
        <v>21582</v>
      </c>
      <c r="B17138" s="4" t="s">
        <v>21585</v>
      </c>
      <c r="C17138" s="5" t="str">
        <f>IFERROR(__xludf.DUMMYFUNCTION("GOOGLETRANSLATE(B17138,""en"",""fr"")"),"Quelques images de pièces d'autres personnes promenant la corde serrée et faisant d'autres astuces sur la corde serrée.")</f>
        <v>Quelques images de pièces d'autres personnes promenant la corde serrée et faisant d'autres astuces sur la corde serrée.</v>
      </c>
    </row>
    <row r="17139">
      <c r="A17139" s="4" t="s">
        <v>21582</v>
      </c>
      <c r="B17139" s="4" t="s">
        <v>21586</v>
      </c>
      <c r="C17139" s="5" t="str">
        <f>IFERROR(__xludf.DUMMYFUNCTION("GOOGLETRANSLATE(B17139,""en"",""fr"")"),"Un homme plus âgé conduit un petit vélo à l'intérieur d'un magasin.")</f>
        <v>Un homme plus âgé conduit un petit vélo à l'intérieur d'un magasin.</v>
      </c>
    </row>
    <row r="17140">
      <c r="A17140" s="4" t="s">
        <v>21582</v>
      </c>
      <c r="B17140" s="4" t="s">
        <v>21587</v>
      </c>
      <c r="C17140" s="5" t="str">
        <f>IFERROR(__xludf.DUMMYFUNCTION("GOOGLETRANSLATE(B17140,""en"",""fr"")"),"Plus de séquences sont représentées par des marcheurs de corde serrés qui trébuchent et tombent.")</f>
        <v>Plus de séquences sont représentées par des marcheurs de corde serrés qui trébuchent et tombent.</v>
      </c>
    </row>
    <row r="17141">
      <c r="A17141" s="4" t="s">
        <v>21582</v>
      </c>
      <c r="B17141" s="4" t="s">
        <v>21588</v>
      </c>
      <c r="C17141" s="5" t="str">
        <f>IFERROR(__xludf.DUMMYFUNCTION("GOOGLETRANSLATE(B17141,""en"",""fr"")"),"Certains graphiques des organisations qui ont fait la vidéo sont affichés.")</f>
        <v>Certains graphiques des organisations qui ont fait la vidéo sont affichés.</v>
      </c>
    </row>
    <row r="17142">
      <c r="A17142" s="4" t="s">
        <v>21589</v>
      </c>
      <c r="B17142" s="4" t="s">
        <v>21590</v>
      </c>
      <c r="C17142" s="5" t="str">
        <f>IFERROR(__xludf.DUMMYFUNCTION("GOOGLETRANSLATE(B17142,""en"",""fr"")"),"Une personne est vue rouler le long de l'eau dans un kayak.")</f>
        <v>Une personne est vue rouler le long de l'eau dans un kayak.</v>
      </c>
    </row>
    <row r="17143">
      <c r="A17143" s="4" t="s">
        <v>21589</v>
      </c>
      <c r="B17143" s="6" t="s">
        <v>21591</v>
      </c>
      <c r="C17143" s="5" t="str">
        <f>IFERROR(__xludf.DUMMYFUNCTION("GOOGLETRANSLATE(B17143,""en"",""fr"")"),"La personne utilise une pagaie pour se pousser autour de l'eau tout en regardant au loin.")</f>
        <v>La personne utilise une pagaie pour se pousser autour de l'eau tout en regardant au loin.</v>
      </c>
    </row>
    <row r="17144">
      <c r="A17144" s="4" t="s">
        <v>21589</v>
      </c>
      <c r="B17144" s="4" t="s">
        <v>21592</v>
      </c>
      <c r="C17144" s="5" t="str">
        <f>IFERROR(__xludf.DUMMYFUNCTION("GOOGLETRANSLATE(B17144,""en"",""fr"")"),"La personne continue de rouler en train de retourner dans l'eau et de s'éloigner de la caméra.")</f>
        <v>La personne continue de rouler en train de retourner dans l'eau et de s'éloigner de la caméra.</v>
      </c>
    </row>
    <row r="17145">
      <c r="A17145" s="4" t="s">
        <v>21593</v>
      </c>
      <c r="B17145" s="6" t="s">
        <v>21594</v>
      </c>
      <c r="C17145" s="5" t="str">
        <f>IFERROR(__xludf.DUMMYFUNCTION("GOOGLETRANSLATE(B17145,""en"",""fr"")"),"Un homme, avec un saxophone autour de son cou, montre comment jouer le saxophone devant un tableau vert et à côté d'un piano brun.")</f>
        <v>Un homme, avec un saxophone autour de son cou, montre comment jouer le saxophone devant un tableau vert et à côté d'un piano brun.</v>
      </c>
    </row>
    <row r="17146">
      <c r="A17146" s="4" t="s">
        <v>21593</v>
      </c>
      <c r="B17146" s="4" t="s">
        <v>21595</v>
      </c>
      <c r="C17146" s="5" t="str">
        <f>IFERROR(__xludf.DUMMYFUNCTION("GOOGLETRANSLATE(B17146,""en"",""fr"")"),"L'homme pointe vers différentes sections du saxophone alors qu'il parle à la caméra.")</f>
        <v>L'homme pointe vers différentes sections du saxophone alors qu'il parle à la caméra.</v>
      </c>
    </row>
    <row r="17147">
      <c r="A17147" s="4" t="s">
        <v>21593</v>
      </c>
      <c r="B17147" s="6" t="s">
        <v>21596</v>
      </c>
      <c r="C17147" s="5" t="str">
        <f>IFERROR(__xludf.DUMMYFUNCTION("GOOGLETRANSLATE(B17147,""en"",""fr"")"),"L'homme commence à jouer brièvement le saxophone, puis se tourne vers le tableau noir et commence à écrire des notes dessus alors qu'il parle à la caméra.")</f>
        <v>L'homme commence à jouer brièvement le saxophone, puis se tourne vers le tableau noir et commence à écrire des notes dessus alors qu'il parle à la caméra.</v>
      </c>
    </row>
    <row r="17148">
      <c r="A17148" s="4" t="s">
        <v>21593</v>
      </c>
      <c r="B17148" s="6" t="s">
        <v>21597</v>
      </c>
      <c r="C17148" s="5" t="str">
        <f>IFERROR(__xludf.DUMMYFUNCTION("GOOGLETRANSLATE(B17148,""en"",""fr"")"),"L'homme pointe vers des notes écrites sur le tableau avant de commencer à jouer alors qu'il lit les notes du tableau, avant de retourner à parler et à jouer devant la caméra.")</f>
        <v>L'homme pointe vers des notes écrites sur le tableau avant de commencer à jouer alors qu'il lit les notes du tableau, avant de retourner à parler et à jouer devant la caméra.</v>
      </c>
    </row>
    <row r="17149">
      <c r="A17149" s="4" t="s">
        <v>21598</v>
      </c>
      <c r="B17149" s="4" t="s">
        <v>21599</v>
      </c>
      <c r="C17149" s="5" t="str">
        <f>IFERROR(__xludf.DUMMYFUNCTION("GOOGLETRANSLATE(B17149,""en"",""fr"")"),"Une personne entre dans la vue de la caméra où il y a un jouet orange allongé sur le sol.")</f>
        <v>Une personne entre dans la vue de la caméra où il y a un jouet orange allongé sur le sol.</v>
      </c>
    </row>
    <row r="17150">
      <c r="A17150" s="4" t="s">
        <v>21598</v>
      </c>
      <c r="B17150" s="4" t="s">
        <v>21600</v>
      </c>
      <c r="C17150" s="5" t="str">
        <f>IFERROR(__xludf.DUMMYFUNCTION("GOOGLETRANSLATE(B17150,""en"",""fr"")"),"La personne commence à essuyer vigoureusement les pieds sur le jouet.")</f>
        <v>La personne commence à essuyer vigoureusement les pieds sur le jouet.</v>
      </c>
    </row>
    <row r="17151">
      <c r="A17151" s="4" t="s">
        <v>21598</v>
      </c>
      <c r="B17151" s="4" t="s">
        <v>21601</v>
      </c>
      <c r="C17151" s="5" t="str">
        <f>IFERROR(__xludf.DUMMYFUNCTION("GOOGLETRANSLATE(B17151,""en"",""fr"")"),"La personne rejette le jouet alors qu'ils finissent en essuyant les pieds sur le jouet.")</f>
        <v>La personne rejette le jouet alors qu'ils finissent en essuyant les pieds sur le jouet.</v>
      </c>
    </row>
    <row r="17152">
      <c r="A17152" s="4" t="s">
        <v>21602</v>
      </c>
      <c r="B17152" s="4" t="s">
        <v>21603</v>
      </c>
      <c r="C17152" s="5" t="str">
        <f>IFERROR(__xludf.DUMMYFUNCTION("GOOGLETRANSLATE(B17152,""en"",""fr"")"),"Un homme assis parle à une pièce pleine de joueurs de football.")</f>
        <v>Un homme assis parle à une pièce pleine de joueurs de football.</v>
      </c>
    </row>
    <row r="17153">
      <c r="A17153" s="4" t="s">
        <v>21602</v>
      </c>
      <c r="B17153" s="4" t="s">
        <v>21604</v>
      </c>
      <c r="C17153" s="5" t="str">
        <f>IFERROR(__xludf.DUMMYFUNCTION("GOOGLETRANSLATE(B17153,""en"",""fr"")"),"Ils lancent le ballon dans leur vestiaire.")</f>
        <v>Ils lancent le ballon dans leur vestiaire.</v>
      </c>
    </row>
    <row r="17154">
      <c r="A17154" s="4" t="s">
        <v>21602</v>
      </c>
      <c r="B17154" s="4" t="s">
        <v>21605</v>
      </c>
      <c r="C17154" s="5" t="str">
        <f>IFERROR(__xludf.DUMMYFUNCTION("GOOGLETRANSLATE(B17154,""en"",""fr"")"),"L'homme parle à la caméra du jeu.")</f>
        <v>L'homme parle à la caméra du jeu.</v>
      </c>
    </row>
    <row r="17155">
      <c r="A17155" s="4" t="s">
        <v>21602</v>
      </c>
      <c r="B17155" s="4" t="s">
        <v>21606</v>
      </c>
      <c r="C17155" s="5" t="str">
        <f>IFERROR(__xludf.DUMMYFUNCTION("GOOGLETRANSLATE(B17155,""en"",""fr"")"),"Il sort et un jeu est montré en cours car il en discute plus longtemps.")</f>
        <v>Il sort et un jeu est montré en cours car il en discute plus longtemps.</v>
      </c>
    </row>
    <row r="17156">
      <c r="A17156" s="4" t="s">
        <v>21602</v>
      </c>
      <c r="B17156" s="4" t="s">
        <v>21607</v>
      </c>
      <c r="C17156" s="5" t="str">
        <f>IFERROR(__xludf.DUMMYFUNCTION("GOOGLETRANSLATE(B17156,""en"",""fr"")"),"Les hommes sont montrés parler, jouer au jeu et poser pour une photographie d'équipe à la fin.")</f>
        <v>Les hommes sont montrés parler, jouer au jeu et poser pour une photographie d'équipe à la fin.</v>
      </c>
    </row>
    <row r="17157">
      <c r="A17157" s="4" t="s">
        <v>21608</v>
      </c>
      <c r="B17157" s="4" t="s">
        <v>21609</v>
      </c>
      <c r="C17157" s="5" t="str">
        <f>IFERROR(__xludf.DUMMYFUNCTION("GOOGLETRANSLATE(B17157,""en"",""fr"")"),"Les adolescents skateboard sur la route et un parking pendant la journée.")</f>
        <v>Les adolescents skateboard sur la route et un parking pendant la journée.</v>
      </c>
    </row>
    <row r="17158">
      <c r="A17158" s="4" t="s">
        <v>21608</v>
      </c>
      <c r="B17158" s="4" t="s">
        <v>21610</v>
      </c>
      <c r="C17158" s="5" t="str">
        <f>IFERROR(__xludf.DUMMYFUNCTION("GOOGLETRANSLATE(B17158,""en"",""fr"")"),"La planche à roulettes des adolescents dans la rue jour et nuit.")</f>
        <v>La planche à roulettes des adolescents dans la rue jour et nuit.</v>
      </c>
    </row>
    <row r="17159">
      <c r="A17159" s="4" t="s">
        <v>21608</v>
      </c>
      <c r="B17159" s="4" t="s">
        <v>21611</v>
      </c>
      <c r="C17159" s="5" t="str">
        <f>IFERROR(__xludf.DUMMYFUNCTION("GOOGLETRANSLATE(B17159,""en"",""fr"")"),"Les adolescents skateboard dans une rue animée, puis la planche à roulettes sur les rails d'un bâtiment.")</f>
        <v>Les adolescents skateboard dans une rue animée, puis la planche à roulettes sur les rails d'un bâtiment.</v>
      </c>
    </row>
    <row r="17160">
      <c r="A17160" s="4" t="s">
        <v>21608</v>
      </c>
      <c r="B17160" s="4" t="s">
        <v>21612</v>
      </c>
      <c r="C17160" s="5" t="str">
        <f>IFERROR(__xludf.DUMMYFUNCTION("GOOGLETRANSLATE(B17160,""en"",""fr"")"),"Après, les adolescents skateboard jour et nuit dans la rue.")</f>
        <v>Après, les adolescents skateboard jour et nuit dans la rue.</v>
      </c>
    </row>
    <row r="17161">
      <c r="A17161" s="4" t="s">
        <v>21613</v>
      </c>
      <c r="B17161" s="6" t="s">
        <v>21614</v>
      </c>
      <c r="C17161" s="5" t="str">
        <f>IFERROR(__xludf.DUMMYFUNCTION("GOOGLETRANSLATE(B17161,""en"",""fr"")"),"Un homme est vu en tenant une chemise à la caméra tandis que le caméraman parle et se remet à l'homme avec la chemise.")</f>
        <v>Un homme est vu en tenant une chemise à la caméra tandis que le caméraman parle et se remet à l'homme avec la chemise.</v>
      </c>
    </row>
    <row r="17162">
      <c r="A17162" s="4" t="s">
        <v>21613</v>
      </c>
      <c r="B17162" s="4" t="s">
        <v>21615</v>
      </c>
      <c r="C17162" s="5" t="str">
        <f>IFERROR(__xludf.DUMMYFUNCTION("GOOGLETRANSLATE(B17162,""en"",""fr"")"),"L'homme qui se tient parlant et pointe un fer près de lui.")</f>
        <v>L'homme qui se tient parlant et pointe un fer près de lui.</v>
      </c>
    </row>
    <row r="17163">
      <c r="A17163" s="4" t="s">
        <v>21613</v>
      </c>
      <c r="B17163" s="6" t="s">
        <v>21616</v>
      </c>
      <c r="C17163" s="5" t="str">
        <f>IFERROR(__xludf.DUMMYFUNCTION("GOOGLETRANSLATE(B17163,""en"",""fr"")"),"Il ramasse le fer en attendant qu'il devienne chaud, puis procède à la repousse de sa chemise tout en regardant la caméra.")</f>
        <v>Il ramasse le fer en attendant qu'il devienne chaud, puis procède à la repousse de sa chemise tout en regardant la caméra.</v>
      </c>
    </row>
    <row r="17164">
      <c r="A17164" s="4" t="s">
        <v>21617</v>
      </c>
      <c r="B17164" s="6" t="s">
        <v>21618</v>
      </c>
      <c r="C17164" s="5" t="str">
        <f>IFERROR(__xludf.DUMMYFUNCTION("GOOGLETRANSLATE(B17164,""en"",""fr"")"),"Un petit groupe de personnes est vu debout autour d'un gymnase avec un courir vers le bas et de tirer un panier.")</f>
        <v>Un petit groupe de personnes est vu debout autour d'un gymnase avec un courir vers le bas et de tirer un panier.</v>
      </c>
    </row>
    <row r="17165">
      <c r="A17165" s="4" t="s">
        <v>21617</v>
      </c>
      <c r="B17165" s="4" t="s">
        <v>21619</v>
      </c>
      <c r="C17165" s="5" t="str">
        <f>IFERROR(__xludf.DUMMYFUNCTION("GOOGLETRANSLATE(B17165,""en"",""fr"")"),"Plusieurs autres personnes sont vues couler dans la voie et tirer un panier au-dessus d'eux.")</f>
        <v>Plusieurs autres personnes sont vues couler dans la voie et tirer un panier au-dessus d'eux.</v>
      </c>
    </row>
    <row r="17166">
      <c r="A17166" s="4" t="s">
        <v>21617</v>
      </c>
      <c r="B17166" s="4" t="s">
        <v>21620</v>
      </c>
      <c r="C17166" s="5" t="str">
        <f>IFERROR(__xludf.DUMMYFUNCTION("GOOGLETRANSLATE(B17166,""en"",""fr"")"),"Plus de filles coulent pour tirer un panier et se terminer en revenant ensemble.")</f>
        <v>Plus de filles coulent pour tirer un panier et se terminer en revenant ensemble.</v>
      </c>
    </row>
    <row r="17167">
      <c r="A17167" s="4" t="s">
        <v>21621</v>
      </c>
      <c r="B17167" s="4" t="s">
        <v>21622</v>
      </c>
      <c r="C17167" s="5" t="str">
        <f>IFERROR(__xludf.DUMMYFUNCTION("GOOGLETRANSLATE(B17167,""en"",""fr"")"),"Une image immobile d'une équipe de hockey est affichée et un numéro sept est affiché sur l'écran.")</f>
        <v>Une image immobile d'une équipe de hockey est affichée et un numéro sept est affiché sur l'écran.</v>
      </c>
    </row>
    <row r="17168">
      <c r="A17168" s="4" t="s">
        <v>21621</v>
      </c>
      <c r="B17168" s="4" t="s">
        <v>21623</v>
      </c>
      <c r="C17168" s="5" t="str">
        <f>IFERROR(__xludf.DUMMYFUNCTION("GOOGLETRANSLATE(B17168,""en"",""fr"")"),"Un cercle met alors en évidence le joueur et le jeu commence.")</f>
        <v>Un cercle met alors en évidence le joueur et le jeu commence.</v>
      </c>
    </row>
    <row r="17169">
      <c r="A17169" s="4" t="s">
        <v>21621</v>
      </c>
      <c r="B17169" s="6" t="s">
        <v>21624</v>
      </c>
      <c r="C17169" s="5" t="str">
        <f>IFERROR(__xludf.DUMMYFUNCTION("GOOGLETRANSLATE(B17169,""en"",""fr"")"),"Alors que le jeu continue, l'athlète est représenté plusieurs fois où il fait quelque chose de spectaculaire.")</f>
        <v>Alors que le jeu continue, l'athlète est représenté plusieurs fois où il fait quelque chose de spectaculaire.</v>
      </c>
    </row>
    <row r="17170">
      <c r="A17170" s="4" t="s">
        <v>21625</v>
      </c>
      <c r="B17170" s="4" t="s">
        <v>21626</v>
      </c>
      <c r="C17170" s="5" t="str">
        <f>IFERROR(__xludf.DUMMYFUNCTION("GOOGLETRANSLATE(B17170,""en"",""fr"")"),"Un homme tenant un poteau coule rapidement vers la ligne d'arrivée et le jette assez loin.")</f>
        <v>Un homme tenant un poteau coule rapidement vers la ligne d'arrivée et le jette assez loin.</v>
      </c>
    </row>
    <row r="17171">
      <c r="A17171" s="4" t="s">
        <v>21625</v>
      </c>
      <c r="B17171" s="4" t="s">
        <v>21627</v>
      </c>
      <c r="C17171" s="5" t="str">
        <f>IFERROR(__xludf.DUMMYFUNCTION("GOOGLETRANSLATE(B17171,""en"",""fr"")"),"L'athlète semble fier de son lancer et son moment est à nouveau montré au ralenti.")</f>
        <v>L'athlète semble fier de son lancer et son moment est à nouveau montré au ralenti.</v>
      </c>
    </row>
    <row r="17172">
      <c r="A17172" s="4" t="s">
        <v>21625</v>
      </c>
      <c r="B17172" s="4" t="s">
        <v>21628</v>
      </c>
      <c r="C17172" s="5" t="str">
        <f>IFERROR(__xludf.DUMMYFUNCTION("GOOGLETRANSLATE(B17172,""en"",""fr"")"),"Le commentateur continue de discuter de sa technique tout en rejouant le lancer à plusieurs reprises.")</f>
        <v>Le commentateur continue de discuter de sa technique tout en rejouant le lancer à plusieurs reprises.</v>
      </c>
    </row>
    <row r="17173">
      <c r="A17173" s="4" t="s">
        <v>21629</v>
      </c>
      <c r="B17173" s="4" t="s">
        <v>21630</v>
      </c>
      <c r="C17173" s="5" t="str">
        <f>IFERROR(__xludf.DUMMYFUNCTION("GOOGLETRANSLATE(B17173,""en"",""fr"")"),"Une personne appuye sur les boutons sur un four.")</f>
        <v>Une personne appuye sur les boutons sur un four.</v>
      </c>
    </row>
    <row r="17174">
      <c r="A17174" s="4" t="s">
        <v>21629</v>
      </c>
      <c r="B17174" s="4" t="s">
        <v>21631</v>
      </c>
      <c r="C17174" s="5" t="str">
        <f>IFERROR(__xludf.DUMMYFUNCTION("GOOGLETRANSLATE(B17174,""en"",""fr"")"),"Une fille verse des ingrédients dans un bol ensemble.")</f>
        <v>Une fille verse des ingrédients dans un bol ensemble.</v>
      </c>
    </row>
    <row r="17175">
      <c r="A17175" s="4" t="s">
        <v>21629</v>
      </c>
      <c r="B17175" s="4" t="s">
        <v>21632</v>
      </c>
      <c r="C17175" s="5" t="str">
        <f>IFERROR(__xludf.DUMMYFUNCTION("GOOGLETRANSLATE(B17175,""en"",""fr"")"),"Elle mélange les ingrédients à l'aide d'un mélangeur puis met plus d'ingrédients dans le bol.")</f>
        <v>Elle mélange les ingrédients à l'aide d'un mélangeur puis met plus d'ingrédients dans le bol.</v>
      </c>
    </row>
    <row r="17176">
      <c r="A17176" s="4" t="s">
        <v>21629</v>
      </c>
      <c r="B17176" s="4" t="s">
        <v>21633</v>
      </c>
      <c r="C17176" s="5" t="str">
        <f>IFERROR(__xludf.DUMMYFUNCTION("GOOGLETRANSLATE(B17176,""en"",""fr"")"),"Le mélange à nouveau et met finalement une autre petite quantité d'ingrédients dans le bol.")</f>
        <v>Le mélange à nouveau et met finalement une autre petite quantité d'ingrédients dans le bol.</v>
      </c>
    </row>
    <row r="17177">
      <c r="A17177" s="4" t="s">
        <v>21629</v>
      </c>
      <c r="B17177" s="4" t="s">
        <v>21634</v>
      </c>
      <c r="C17177" s="5" t="str">
        <f>IFERROR(__xludf.DUMMYFUNCTION("GOOGLETRANSLATE(B17177,""en"",""fr"")"),"Elle mélange une troisième fois et ajoute des pépites de chocolat, mélangez enfin une fois de plus.")</f>
        <v>Elle mélange une troisième fois et ajoute des pépites de chocolat, mélangez enfin une fois de plus.</v>
      </c>
    </row>
    <row r="17178">
      <c r="A17178" s="4" t="s">
        <v>21629</v>
      </c>
      <c r="B17178" s="4" t="s">
        <v>21635</v>
      </c>
      <c r="C17178" s="5" t="str">
        <f>IFERROR(__xludf.DUMMYFUNCTION("GOOGLETRANSLATE(B17178,""en"",""fr"")"),"Le four jette un coup d'œil et elle prépare une casserole avec une pâte à biscuits.")</f>
        <v>Le four jette un coup d'œil et elle prépare une casserole avec une pâte à biscuits.</v>
      </c>
    </row>
    <row r="17179">
      <c r="A17179" s="4" t="s">
        <v>21629</v>
      </c>
      <c r="B17179" s="4" t="s">
        <v>21636</v>
      </c>
      <c r="C17179" s="5" t="str">
        <f>IFERROR(__xludf.DUMMYFUNCTION("GOOGLETRANSLATE(B17179,""en"",""fr"")"),"Elle met la pâte dans le four et presse les options de cuisson.")</f>
        <v>Elle met la pâte dans le four et presse les options de cuisson.</v>
      </c>
    </row>
    <row r="17180">
      <c r="A17180" s="4" t="s">
        <v>21629</v>
      </c>
      <c r="B17180" s="4" t="s">
        <v>21637</v>
      </c>
      <c r="C17180" s="5" t="str">
        <f>IFERROR(__xludf.DUMMYFUNCTION("GOOGLETRANSLATE(B17180,""en"",""fr"")"),"Après plusieurs minutes, elle sort la poêle et répand les biscuits.")</f>
        <v>Après plusieurs minutes, elle sort la poêle et répand les biscuits.</v>
      </c>
    </row>
    <row r="17181">
      <c r="A17181" s="4" t="s">
        <v>21638</v>
      </c>
      <c r="B17181" s="4" t="s">
        <v>21639</v>
      </c>
      <c r="C17181" s="5" t="str">
        <f>IFERROR(__xludf.DUMMYFUNCTION("GOOGLETRANSLATE(B17181,""en"",""fr"")"),"On voit de la citronie versée dans un verre et une femme versant de l'eau.")</f>
        <v>On voit de la citronie versée dans un verre et une femme versant de l'eau.</v>
      </c>
    </row>
    <row r="17182">
      <c r="A17182" s="4" t="s">
        <v>21638</v>
      </c>
      <c r="B17182" s="4" t="s">
        <v>21640</v>
      </c>
      <c r="C17182" s="5" t="str">
        <f>IFERROR(__xludf.DUMMYFUNCTION("GOOGLETRANSLATE(B17182,""en"",""fr"")"),"Elle mélange les ingrédients dans un récipient et verse plus d'eau.")</f>
        <v>Elle mélange les ingrédients dans un récipient et verse plus d'eau.</v>
      </c>
    </row>
    <row r="17183">
      <c r="A17183" s="4" t="s">
        <v>21638</v>
      </c>
      <c r="B17183" s="4" t="s">
        <v>21641</v>
      </c>
      <c r="C17183" s="5" t="str">
        <f>IFERROR(__xludf.DUMMYFUNCTION("GOOGLETRANSLATE(B17183,""en"",""fr"")"),"Dans le She, elle montre sa limonade.")</f>
        <v>Dans le She, elle montre sa limonade.</v>
      </c>
    </row>
    <row r="17184">
      <c r="A17184" s="4" t="s">
        <v>21642</v>
      </c>
      <c r="B17184" s="6" t="s">
        <v>21643</v>
      </c>
      <c r="C17184" s="5" t="str">
        <f>IFERROR(__xludf.DUMMYFUNCTION("GOOGLETRANSLATE(B17184,""en"",""fr"")"),"Un grand groupe de personnes est vu debout autour de plusieurs hommes tenant une corde se préparant à jouer du remorqueur de guerre.")</f>
        <v>Un grand groupe de personnes est vu debout autour de plusieurs hommes tenant une corde se préparant à jouer du remorqueur de guerre.</v>
      </c>
    </row>
    <row r="17185">
      <c r="A17185" s="4" t="s">
        <v>21642</v>
      </c>
      <c r="B17185" s="6" t="s">
        <v>21644</v>
      </c>
      <c r="C17185" s="5" t="str">
        <f>IFERROR(__xludf.DUMMYFUNCTION("GOOGLETRANSLATE(B17185,""en"",""fr"")"),"Un autre groupe d'hommes est vu en tirant la corde tandis qu'une foule debout les applaudit.")</f>
        <v>Un autre groupe d'hommes est vu en tirant la corde tandis qu'une foule debout les applaudit.</v>
      </c>
    </row>
    <row r="17186">
      <c r="A17186" s="4" t="s">
        <v>21642</v>
      </c>
      <c r="B17186" s="4" t="s">
        <v>21645</v>
      </c>
      <c r="C17186" s="5" t="str">
        <f>IFERROR(__xludf.DUMMYFUNCTION("GOOGLETRANSLATE(B17186,""en"",""fr"")"),"Un troisième groupe d'hommes est vu jouer du remorqueur avec une foule autour d'eux.")</f>
        <v>Un troisième groupe d'hommes est vu jouer du remorqueur avec une foule autour d'eux.</v>
      </c>
    </row>
    <row r="17187">
      <c r="A17187" s="4" t="s">
        <v>21642</v>
      </c>
      <c r="B17187" s="4" t="s">
        <v>21646</v>
      </c>
      <c r="C17187" s="5" t="str">
        <f>IFERROR(__xludf.DUMMYFUNCTION("GOOGLETRANSLATE(B17187,""en"",""fr"")"),"Un groupe d'hommes Forth est montré également jouant du remorqueur dans une foule.")</f>
        <v>Un groupe d'hommes Forth est montré également jouant du remorqueur dans une foule.</v>
      </c>
    </row>
    <row r="17188">
      <c r="A17188" s="4" t="s">
        <v>21642</v>
      </c>
      <c r="B17188" s="4" t="s">
        <v>21647</v>
      </c>
      <c r="C17188" s="5" t="str">
        <f>IFERROR(__xludf.DUMMYFUNCTION("GOOGLETRANSLATE(B17188,""en"",""fr"")"),"Un cinquième groupe d'hommes est montré jouant du remorqueur dans une foule de personnes et de chiens.")</f>
        <v>Un cinquième groupe d'hommes est montré jouant du remorqueur dans une foule de personnes et de chiens.</v>
      </c>
    </row>
    <row r="17189">
      <c r="A17189" s="4" t="s">
        <v>21642</v>
      </c>
      <c r="B17189" s="4" t="s">
        <v>21648</v>
      </c>
      <c r="C17189" s="5" t="str">
        <f>IFERROR(__xludf.DUMMYFUNCTION("GOOGLETRANSLATE(B17189,""en"",""fr"")"),"Un autre groupe d'hommes joue du remorqueur avec une foule qui regarde.")</f>
        <v>Un autre groupe d'hommes joue du remorqueur avec une foule qui regarde.</v>
      </c>
    </row>
    <row r="17190">
      <c r="A17190" s="4" t="s">
        <v>21642</v>
      </c>
      <c r="B17190" s="4" t="s">
        <v>21649</v>
      </c>
      <c r="C17190" s="5" t="str">
        <f>IFERROR(__xludf.DUMMYFUNCTION("GOOGLETRANSLATE(B17190,""en"",""fr"")"),"Un septième groupe d'hommes joue du remorqueur dans une foule.")</f>
        <v>Un septième groupe d'hommes joue du remorqueur dans une foule.</v>
      </c>
    </row>
    <row r="17191">
      <c r="A17191" s="4" t="s">
        <v>21642</v>
      </c>
      <c r="B17191" s="6" t="s">
        <v>21650</v>
      </c>
      <c r="C17191" s="5" t="str">
        <f>IFERROR(__xludf.DUMMYFUNCTION("GOOGLETRANSLATE(B17191,""en"",""fr"")"),"Un autre groupe d'hommes joue du remorqueur en cas de guerre et semble gagner tout en étant acclamé par la foule.")</f>
        <v>Un autre groupe d'hommes joue du remorqueur en cas de guerre et semble gagner tout en étant acclamé par la foule.</v>
      </c>
    </row>
    <row r="17192">
      <c r="A17192" s="4" t="s">
        <v>21642</v>
      </c>
      <c r="B17192" s="4" t="s">
        <v>21651</v>
      </c>
      <c r="C17192" s="5" t="str">
        <f>IFERROR(__xludf.DUMMYFUNCTION("GOOGLETRANSLATE(B17192,""en"",""fr"")"),"Pourtant, un autre groupe d'hommes joue du remorqueur pendant que une foule regarde.")</f>
        <v>Pourtant, un autre groupe d'hommes joue du remorqueur pendant que une foule regarde.</v>
      </c>
    </row>
    <row r="17193">
      <c r="A17193" s="4" t="s">
        <v>21642</v>
      </c>
      <c r="B17193" s="4" t="s">
        <v>21652</v>
      </c>
      <c r="C17193" s="5" t="str">
        <f>IFERROR(__xludf.DUMMYFUNCTION("GOOGLETRANSLATE(B17193,""en"",""fr"")"),"Un autre groupe d'hommes est montré en jouant au remorqueur si la guerre de près pendant qu'une foule regarde.")</f>
        <v>Un autre groupe d'hommes est montré en jouant au remorqueur si la guerre de près pendant qu'une foule regarde.</v>
      </c>
    </row>
    <row r="17194">
      <c r="A17194" s="4" t="s">
        <v>21642</v>
      </c>
      <c r="B17194" s="4" t="s">
        <v>21653</v>
      </c>
      <c r="C17194" s="5" t="str">
        <f>IFERROR(__xludf.DUMMYFUNCTION("GOOGLETRANSLATE(B17194,""en"",""fr"")"),"Un autre groupe d'hommes joue pendant que les gens s'assoient et se tiennent en arrière-plan.")</f>
        <v>Un autre groupe d'hommes joue pendant que les gens s'assoient et se tiennent en arrière-plan.</v>
      </c>
    </row>
    <row r="17195">
      <c r="A17195" s="4" t="s">
        <v>21642</v>
      </c>
      <c r="B17195" s="4" t="s">
        <v>21654</v>
      </c>
      <c r="C17195" s="5" t="str">
        <f>IFERROR(__xludf.DUMMYFUNCTION("GOOGLETRANSLATE(B17195,""en"",""fr"")"),"Un autre groupe d'hommes est vu jouer pendant que les gens s'asseyent et se tiennent autour d'eux.")</f>
        <v>Un autre groupe d'hommes est vu jouer pendant que les gens s'asseyent et se tiennent autour d'eux.</v>
      </c>
    </row>
    <row r="17196">
      <c r="A17196" s="4" t="s">
        <v>21642</v>
      </c>
      <c r="B17196" s="4" t="s">
        <v>21655</v>
      </c>
      <c r="C17196" s="5" t="str">
        <f>IFERROR(__xludf.DUMMYFUNCTION("GOOGLETRANSLATE(B17196,""en"",""fr"")"),"Un autre groupe d'hommes est montré de près pendant que les gens s'asseyent et se tiennent en arrière-plan.")</f>
        <v>Un autre groupe d'hommes est montré de près pendant que les gens s'asseyent et se tiennent en arrière-plan.</v>
      </c>
    </row>
    <row r="17197">
      <c r="A17197" s="4" t="s">
        <v>21642</v>
      </c>
      <c r="B17197" s="4" t="s">
        <v>21656</v>
      </c>
      <c r="C17197" s="5" t="str">
        <f>IFERROR(__xludf.DUMMYFUNCTION("GOOGLETRANSLATE(B17197,""en"",""fr"")"),"Un groupe d'hommes est montré de près en jouant du remorqueur avec des gens autour d'eux.")</f>
        <v>Un groupe d'hommes est montré de près en jouant du remorqueur avec des gens autour d'eux.</v>
      </c>
    </row>
    <row r="17198">
      <c r="A17198" s="4" t="s">
        <v>21642</v>
      </c>
      <c r="B17198" s="4" t="s">
        <v>21657</v>
      </c>
      <c r="C17198" s="5" t="str">
        <f>IFERROR(__xludf.DUMMYFUNCTION("GOOGLETRANSLATE(B17198,""en"",""fr"")"),"Un autre groupe d'hommes est vu jouer pendant que les gens se tiennent sur le trottoir.")</f>
        <v>Un autre groupe d'hommes est vu jouer pendant que les gens se tiennent sur le trottoir.</v>
      </c>
    </row>
    <row r="17199">
      <c r="A17199" s="4" t="s">
        <v>21642</v>
      </c>
      <c r="B17199" s="4" t="s">
        <v>21658</v>
      </c>
      <c r="C17199" s="5" t="str">
        <f>IFERROR(__xludf.DUMMYFUNCTION("GOOGLETRANSLATE(B17199,""en"",""fr"")"),"Un groupe d'hommes dans tous les joueurs noirs luttent contre la guerre pendant que les gens se tenaient autour d'eux.")</f>
        <v>Un groupe d'hommes dans tous les joueurs noirs luttent contre la guerre pendant que les gens se tenaient autour d'eux.</v>
      </c>
    </row>
    <row r="17200">
      <c r="A17200" s="4" t="s">
        <v>21642</v>
      </c>
      <c r="B17200" s="4" t="s">
        <v>21659</v>
      </c>
      <c r="C17200" s="5" t="str">
        <f>IFERROR(__xludf.DUMMYFUNCTION("GOOGLETRANSLATE(B17200,""en"",""fr"")"),"Un autre groupe d'hommes joue du remorqueur parmi une grande foule qui les encourage.")</f>
        <v>Un autre groupe d'hommes joue du remorqueur parmi une grande foule qui les encourage.</v>
      </c>
    </row>
    <row r="17201">
      <c r="A17201" s="4" t="s">
        <v>21642</v>
      </c>
      <c r="B17201" s="4" t="s">
        <v>21660</v>
      </c>
      <c r="C17201" s="5" t="str">
        <f>IFERROR(__xludf.DUMMYFUNCTION("GOOGLETRANSLATE(B17201,""en"",""fr"")"),"Certains hommes tombent alors qu'ils gagnent le match.")</f>
        <v>Certains hommes tombent alors qu'ils gagnent le match.</v>
      </c>
    </row>
    <row r="17202">
      <c r="A17202" s="4" t="s">
        <v>21642</v>
      </c>
      <c r="B17202" s="4" t="s">
        <v>21661</v>
      </c>
      <c r="C17202" s="5" t="str">
        <f>IFERROR(__xludf.DUMMYFUNCTION("GOOGLETRANSLATE(B17202,""en"",""fr"")"),"Un autre groupe est vu de près avec une foule de gens et une jeune fille qui hurle.")</f>
        <v>Un autre groupe est vu de près avec une foule de gens et une jeune fille qui hurle.</v>
      </c>
    </row>
    <row r="17203">
      <c r="A17203" s="4" t="s">
        <v>21662</v>
      </c>
      <c r="B17203" s="4" t="s">
        <v>21663</v>
      </c>
      <c r="C17203" s="5" t="str">
        <f>IFERROR(__xludf.DUMMYFUNCTION("GOOGLETRANSLATE(B17203,""en"",""fr"")"),"Il y a un gars portant des gants en caoutchouc jaune démontrant comment réparer un pneu sur une roue de voiture.")</f>
        <v>Il y a un gars portant des gants en caoutchouc jaune démontrant comment réparer un pneu sur une roue de voiture.</v>
      </c>
    </row>
    <row r="17204">
      <c r="A17204" s="4" t="s">
        <v>21662</v>
      </c>
      <c r="B17204" s="4" t="s">
        <v>21664</v>
      </c>
      <c r="C17204" s="5" t="str">
        <f>IFERROR(__xludf.DUMMYFUNCTION("GOOGLETRANSLATE(B17204,""en"",""fr"")"),"Il dévisse les vis qui maintiennent les plaques de la roue.")</f>
        <v>Il dévisse les vis qui maintiennent les plaques de la roue.</v>
      </c>
    </row>
    <row r="17205">
      <c r="A17205" s="4" t="s">
        <v>21662</v>
      </c>
      <c r="B17205" s="4" t="s">
        <v>21665</v>
      </c>
      <c r="C17205" s="5" t="str">
        <f>IFERROR(__xludf.DUMMYFUNCTION("GOOGLETRANSLATE(B17205,""en"",""fr"")"),"Il desserre les vis pour retirer le pneu.")</f>
        <v>Il desserre les vis pour retirer le pneu.</v>
      </c>
    </row>
    <row r="17206">
      <c r="A17206" s="4" t="s">
        <v>21666</v>
      </c>
      <c r="B17206" s="4" t="s">
        <v>21667</v>
      </c>
      <c r="C17206" s="5" t="str">
        <f>IFERROR(__xludf.DUMMYFUNCTION("GOOGLETRANSLATE(B17206,""en"",""fr"")"),"Un groupe de jeunes hommes est à l'intérieur d'une pièce.")</f>
        <v>Un groupe de jeunes hommes est à l'intérieur d'une pièce.</v>
      </c>
    </row>
    <row r="17207">
      <c r="A17207" s="4" t="s">
        <v>21666</v>
      </c>
      <c r="B17207" s="4" t="s">
        <v>21668</v>
      </c>
      <c r="C17207" s="5" t="str">
        <f>IFERROR(__xludf.DUMMYFUNCTION("GOOGLETRANSLATE(B17207,""en"",""fr"")"),"Ils sont engagés ensemble dans un jeu de football.")</f>
        <v>Ils sont engagés ensemble dans un jeu de football.</v>
      </c>
    </row>
    <row r="17208">
      <c r="A17208" s="4" t="s">
        <v>21666</v>
      </c>
      <c r="B17208" s="4" t="s">
        <v>21669</v>
      </c>
      <c r="C17208" s="5" t="str">
        <f>IFERROR(__xludf.DUMMYFUNCTION("GOOGLETRANSLATE(B17208,""en"",""fr"")"),"Ils rient et frappent les gens d'avant en arrière.")</f>
        <v>Ils rient et frappent les gens d'avant en arrière.</v>
      </c>
    </row>
    <row r="17209">
      <c r="A17209" s="4" t="s">
        <v>21670</v>
      </c>
      <c r="B17209" s="4" t="s">
        <v>21671</v>
      </c>
      <c r="C17209" s="5" t="str">
        <f>IFERROR(__xludf.DUMMYFUNCTION("GOOGLETRANSLATE(B17209,""en"",""fr"")"),"Des maisons Sreet et des voitures couvertes de neige sont représentées.")</f>
        <v>Des maisons Sreet et des voitures couvertes de neige sont représentées.</v>
      </c>
    </row>
    <row r="17210">
      <c r="A17210" s="4" t="s">
        <v>21670</v>
      </c>
      <c r="B17210" s="4" t="s">
        <v>21672</v>
      </c>
      <c r="C17210" s="5" t="str">
        <f>IFERROR(__xludf.DUMMYFUNCTION("GOOGLETRANSLATE(B17210,""en"",""fr"")"),"L'homme enlève une épaisse couche de neige d'une voiture.")</f>
        <v>L'homme enlève une épaisse couche de neige d'une voiture.</v>
      </c>
    </row>
    <row r="17211">
      <c r="A17211" s="4" t="s">
        <v>21673</v>
      </c>
      <c r="B17211" s="6" t="s">
        <v>21674</v>
      </c>
      <c r="C17211" s="5" t="str">
        <f>IFERROR(__xludf.DUMMYFUNCTION("GOOGLETRANSLATE(B17211,""en"",""fr"")"),"Une femme est vue parler à la caméra alors qu'elle était assise sur une chaise et conduit à entendre assis dans une douche en tenant un chien.")</f>
        <v>Une femme est vue parler à la caméra alors qu'elle était assise sur une chaise et conduit à entendre assis dans une douche en tenant un chien.</v>
      </c>
    </row>
    <row r="17212">
      <c r="A17212" s="4" t="s">
        <v>21673</v>
      </c>
      <c r="B17212" s="4" t="s">
        <v>21675</v>
      </c>
      <c r="C17212" s="5" t="str">
        <f>IFERROR(__xludf.DUMMYFUNCTION("GOOGLETRANSLATE(B17212,""en"",""fr"")"),"Elle frotte le chien avec du savon, puis rince le chien tout en parlant à la caméra.")</f>
        <v>Elle frotte le chien avec du savon, puis rince le chien tout en parlant à la caméra.</v>
      </c>
    </row>
    <row r="17213">
      <c r="A17213" s="4" t="s">
        <v>21673</v>
      </c>
      <c r="B17213" s="4" t="s">
        <v>21676</v>
      </c>
      <c r="C17213" s="5" t="str">
        <f>IFERROR(__xludf.DUMMYFUNCTION("GOOGLETRANSLATE(B17213,""en"",""fr"")"),"On le voit ensuite jouer avec le chien à l'extérieur et parler par intermittence à la caméra.")</f>
        <v>On le voit ensuite jouer avec le chien à l'extérieur et parler par intermittence à la caméra.</v>
      </c>
    </row>
    <row r="17214">
      <c r="A17214" s="4" t="s">
        <v>21677</v>
      </c>
      <c r="B17214" s="4" t="s">
        <v>21678</v>
      </c>
      <c r="C17214" s="5" t="str">
        <f>IFERROR(__xludf.DUMMYFUNCTION("GOOGLETRANSLATE(B17214,""en"",""fr"")"),"Les mots ""Conga the Artisters Dance Company Flemington New Jersey"" apparaît à l'écran.")</f>
        <v>Les mots "Conga the Artisters Dance Company Flemington New Jersey" apparaît à l'écran.</v>
      </c>
    </row>
    <row r="17215">
      <c r="A17215" s="4" t="s">
        <v>21677</v>
      </c>
      <c r="B17215" s="4" t="s">
        <v>21679</v>
      </c>
      <c r="C17215" s="5" t="str">
        <f>IFERROR(__xludf.DUMMYFUNCTION("GOOGLETRANSLATE(B17215,""en"",""fr"")"),"Quatre jeunes filles se produisent sur scène aux ""American Dance Championships.")</f>
        <v>Quatre jeunes filles se produisent sur scène aux "American Dance Championships.</v>
      </c>
    </row>
    <row r="17216">
      <c r="A17216" s="4" t="s">
        <v>21677</v>
      </c>
      <c r="B17216" s="4" t="s">
        <v>21680</v>
      </c>
      <c r="C17216" s="5" t="str">
        <f>IFERROR(__xludf.DUMMYFUNCTION("GOOGLETRANSLATE(B17216,""en"",""fr"")"),"«Les filles tombent au sol dans le cadre de la routine et continuent de danser.")</f>
        <v>«Les filles tombent au sol dans le cadre de la routine et continuent de danser.</v>
      </c>
    </row>
    <row r="17217">
      <c r="A17217" s="4" t="s">
        <v>21681</v>
      </c>
      <c r="B17217" s="4" t="s">
        <v>21682</v>
      </c>
      <c r="C17217" s="5" t="str">
        <f>IFERROR(__xludf.DUMMYFUNCTION("GOOGLETRANSLATE(B17217,""en"",""fr"")"),"Un homme se tient autour d'une balle géante.")</f>
        <v>Un homme se tient autour d'une balle géante.</v>
      </c>
    </row>
    <row r="17218">
      <c r="A17218" s="4" t="s">
        <v>21681</v>
      </c>
      <c r="B17218" s="4" t="s">
        <v>21683</v>
      </c>
      <c r="C17218" s="5" t="str">
        <f>IFERROR(__xludf.DUMMYFUNCTION("GOOGLETRANSLATE(B17218,""en"",""fr"")"),"L'homme s'agenouille et prend une balle.")</f>
        <v>L'homme s'agenouille et prend une balle.</v>
      </c>
    </row>
    <row r="17219">
      <c r="A17219" s="4" t="s">
        <v>21681</v>
      </c>
      <c r="B17219" s="4" t="s">
        <v>21684</v>
      </c>
      <c r="C17219" s="5" t="str">
        <f>IFERROR(__xludf.DUMMYFUNCTION("GOOGLETRANSLATE(B17219,""en"",""fr"")"),"L'homme glisse avec le ballon, glissant le ballon devant lui.")</f>
        <v>L'homme glisse avec le ballon, glissant le ballon devant lui.</v>
      </c>
    </row>
    <row r="17220">
      <c r="A17220" s="4" t="s">
        <v>21681</v>
      </c>
      <c r="B17220" s="4" t="s">
        <v>21685</v>
      </c>
      <c r="C17220" s="5" t="str">
        <f>IFERROR(__xludf.DUMMYFUNCTION("GOOGLETRANSLATE(B17220,""en"",""fr"")"),"Un homme est frappé par le ballon et tombe au sol.")</f>
        <v>Un homme est frappé par le ballon et tombe au sol.</v>
      </c>
    </row>
    <row r="17221">
      <c r="A17221" s="4" t="s">
        <v>21681</v>
      </c>
      <c r="B17221" s="4" t="s">
        <v>21686</v>
      </c>
      <c r="C17221" s="5" t="str">
        <f>IFERROR(__xludf.DUMMYFUNCTION("GOOGLETRANSLATE(B17221,""en"",""fr"")"),"L'homme se lève et commence à marcher.")</f>
        <v>L'homme se lève et commence à marcher.</v>
      </c>
    </row>
    <row r="17222">
      <c r="A17222" s="4" t="s">
        <v>21687</v>
      </c>
      <c r="B17222" s="6" t="s">
        <v>21688</v>
      </c>
      <c r="C17222" s="5" t="str">
        <f>IFERROR(__xludf.DUMMYFUNCTION("GOOGLETRANSLATE(B17222,""en"",""fr"")"),"Deux adolescents se tiennent dans une école en jouant au rock, au papier et aux ciseaux et sont entourés d'un grand groupe d'adolescents qui regardent.")</f>
        <v>Deux adolescents se tiennent dans une école en jouant au rock, au papier et aux ciseaux et sont entourés d'un grand groupe d'adolescents qui regardent.</v>
      </c>
    </row>
    <row r="17223">
      <c r="A17223" s="4" t="s">
        <v>21687</v>
      </c>
      <c r="B17223" s="4" t="s">
        <v>21689</v>
      </c>
      <c r="C17223" s="5" t="str">
        <f>IFERROR(__xludf.DUMMYFUNCTION("GOOGLETRANSLATE(B17223,""en"",""fr"")"),"Une femme se dirige vers eux pour regarder ce qu'ils font, puis sort du cercle.")</f>
        <v>Une femme se dirige vers eux pour regarder ce qu'ils font, puis sort du cercle.</v>
      </c>
    </row>
    <row r="17224">
      <c r="A17224" s="4" t="s">
        <v>21687</v>
      </c>
      <c r="B17224" s="6" t="s">
        <v>21690</v>
      </c>
      <c r="C17224" s="5" t="str">
        <f>IFERROR(__xludf.DUMMYFUNCTION("GOOGLETRANSLATE(B17224,""en"",""fr"")"),"Un homme se dirige ensuite vers les garçons et les arrête en posant ses mains sur chaque garçon et en les éloignant.")</f>
        <v>Un homme se dirige ensuite vers les garçons et les arrête en posant ses mains sur chaque garçon et en les éloignant.</v>
      </c>
    </row>
    <row r="17225">
      <c r="A17225" s="4" t="s">
        <v>21691</v>
      </c>
      <c r="B17225" s="4" t="s">
        <v>21692</v>
      </c>
      <c r="C17225" s="5" t="str">
        <f>IFERROR(__xludf.DUMMYFUNCTION("GOOGLETRANSLATE(B17225,""en"",""fr"")"),"Un ciel nuageux mobile avec la foudre apparaît avant de voir du texte blanc.")</f>
        <v>Un ciel nuageux mobile avec la foudre apparaît avant de voir du texte blanc.</v>
      </c>
    </row>
    <row r="17226">
      <c r="A17226" s="4" t="s">
        <v>21691</v>
      </c>
      <c r="B17226" s="4" t="s">
        <v>21693</v>
      </c>
      <c r="C17226" s="5" t="str">
        <f>IFERROR(__xludf.DUMMYFUNCTION("GOOGLETRANSLATE(B17226,""en"",""fr"")"),"Plusieurs personnes sont montrées de près, fumant des cigarettes.")</f>
        <v>Plusieurs personnes sont montrées de près, fumant des cigarettes.</v>
      </c>
    </row>
    <row r="17227">
      <c r="A17227" s="4" t="s">
        <v>21691</v>
      </c>
      <c r="B17227" s="4" t="s">
        <v>21694</v>
      </c>
      <c r="C17227" s="5" t="str">
        <f>IFERROR(__xludf.DUMMYFUNCTION("GOOGLETRANSLATE(B17227,""en"",""fr"")"),"Certains parlent à la caméra.")</f>
        <v>Certains parlent à la caméra.</v>
      </c>
    </row>
    <row r="17228">
      <c r="A17228" s="4" t="s">
        <v>21691</v>
      </c>
      <c r="B17228" s="4" t="s">
        <v>21695</v>
      </c>
      <c r="C17228" s="5" t="str">
        <f>IFERROR(__xludf.DUMMYFUNCTION("GOOGLETRANSLATE(B17228,""en"",""fr"")"),"La vidéo se termine par les mots South Beach Smoke.")</f>
        <v>La vidéo se termine par les mots South Beach Smoke.</v>
      </c>
    </row>
    <row r="17229">
      <c r="A17229" s="4" t="s">
        <v>21696</v>
      </c>
      <c r="B17229" s="4" t="s">
        <v>21697</v>
      </c>
      <c r="C17229" s="5" t="str">
        <f>IFERROR(__xludf.DUMMYFUNCTION("GOOGLETRANSLATE(B17229,""en"",""fr"")"),"Une femme parle à la caméra, puis elle coupe un petit garçon à l'aide d'un cerceau.")</f>
        <v>Une femme parle à la caméra, puis elle coupe un petit garçon à l'aide d'un cerceau.</v>
      </c>
    </row>
    <row r="17230">
      <c r="A17230" s="4" t="s">
        <v>21696</v>
      </c>
      <c r="B17230" s="4" t="s">
        <v>21698</v>
      </c>
      <c r="C17230" s="5" t="str">
        <f>IFERROR(__xludf.DUMMYFUNCTION("GOOGLETRANSLATE(B17230,""en"",""fr"")"),"La femme montre du ruban coloré utilisé pour enrouler un tuyau et créer le tube elle-même.")</f>
        <v>La femme montre du ruban coloré utilisé pour enrouler un tuyau et créer le tube elle-même.</v>
      </c>
    </row>
    <row r="17231">
      <c r="A17231" s="4" t="s">
        <v>21696</v>
      </c>
      <c r="B17231" s="4" t="s">
        <v>21699</v>
      </c>
      <c r="C17231" s="5" t="str">
        <f>IFERROR(__xludf.DUMMYFUNCTION("GOOGLETRANSLATE(B17231,""en"",""fr"")"),"Elle montre le produit final, puis le garçon utilisant à nouveau le cerceau Hula.")</f>
        <v>Elle montre le produit final, puis le garçon utilisant à nouveau le cerceau Hula.</v>
      </c>
    </row>
    <row r="17232">
      <c r="A17232" s="4" t="s">
        <v>21700</v>
      </c>
      <c r="B17232" s="4" t="s">
        <v>21701</v>
      </c>
      <c r="C17232" s="5" t="str">
        <f>IFERROR(__xludf.DUMMYFUNCTION("GOOGLETRANSLATE(B17232,""en"",""fr"")"),"Une femme ajuste une caméra dans une chambre.")</f>
        <v>Une femme ajuste une caméra dans une chambre.</v>
      </c>
    </row>
    <row r="17233">
      <c r="A17233" s="4" t="s">
        <v>21700</v>
      </c>
      <c r="B17233" s="4" t="s">
        <v>21702</v>
      </c>
      <c r="C17233" s="5" t="str">
        <f>IFERROR(__xludf.DUMMYFUNCTION("GOOGLETRANSLATE(B17233,""en"",""fr"")"),"Elle fume une cigarette et la gêne dans un plateau.")</f>
        <v>Elle fume une cigarette et la gêne dans un plateau.</v>
      </c>
    </row>
    <row r="17234">
      <c r="A17234" s="4" t="s">
        <v>21700</v>
      </c>
      <c r="B17234" s="4" t="s">
        <v>21703</v>
      </c>
      <c r="C17234" s="5" t="str">
        <f>IFERROR(__xludf.DUMMYFUNCTION("GOOGLETRANSLATE(B17234,""en"",""fr"")"),"Elle broie la cigarette dans le plateau quand elle a terminé.")</f>
        <v>Elle broie la cigarette dans le plateau quand elle a terminé.</v>
      </c>
    </row>
    <row r="17235">
      <c r="A17235" s="4" t="s">
        <v>21704</v>
      </c>
      <c r="B17235" s="4" t="s">
        <v>21705</v>
      </c>
      <c r="C17235" s="5" t="str">
        <f>IFERROR(__xludf.DUMMYFUNCTION("GOOGLETRANSLATE(B17235,""en"",""fr"")"),"Une femme faisant une présentation sur la façon de repasser une chemise.")</f>
        <v>Une femme faisant une présentation sur la façon de repasser une chemise.</v>
      </c>
    </row>
    <row r="17236">
      <c r="A17236" s="4" t="s">
        <v>21704</v>
      </c>
      <c r="B17236" s="4" t="s">
        <v>21706</v>
      </c>
      <c r="C17236" s="5" t="str">
        <f>IFERROR(__xludf.DUMMYFUNCTION("GOOGLETRANSLATE(B17236,""en"",""fr"")"),"Elle discute de la chemise et fait ressortir un spray startch.")</f>
        <v>Elle discute de la chemise et fait ressortir un spray startch.</v>
      </c>
    </row>
    <row r="17237">
      <c r="A17237" s="4" t="s">
        <v>21704</v>
      </c>
      <c r="B17237" s="4" t="s">
        <v>21707</v>
      </c>
      <c r="C17237" s="5" t="str">
        <f>IFERROR(__xludf.DUMMYFUNCTION("GOOGLETRANSLATE(B17237,""en"",""fr"")"),"Elle commence à utiliser le spray sur la chemise.")</f>
        <v>Elle commence à utiliser le spray sur la chemise.</v>
      </c>
    </row>
    <row r="17238">
      <c r="A17238" s="4" t="s">
        <v>21704</v>
      </c>
      <c r="B17238" s="4" t="s">
        <v>21708</v>
      </c>
      <c r="C17238" s="5" t="str">
        <f>IFERROR(__xludf.DUMMYFUNCTION("GOOGLETRANSLATE(B17238,""en"",""fr"")"),"Elle réorganise ensuite la chemise.")</f>
        <v>Elle réorganise ensuite la chemise.</v>
      </c>
    </row>
    <row r="17239">
      <c r="A17239" s="4" t="s">
        <v>21704</v>
      </c>
      <c r="B17239" s="4" t="s">
        <v>21709</v>
      </c>
      <c r="C17239" s="5" t="str">
        <f>IFERROR(__xludf.DUMMYFUNCTION("GOOGLETRANSLATE(B17239,""en"",""fr"")"),"Ensuite, elle montre comment repasser la chemise.")</f>
        <v>Ensuite, elle montre comment repasser la chemise.</v>
      </c>
    </row>
    <row r="17240">
      <c r="A17240" s="4" t="s">
        <v>21704</v>
      </c>
      <c r="B17240" s="4" t="s">
        <v>21710</v>
      </c>
      <c r="C17240" s="5" t="str">
        <f>IFERROR(__xludf.DUMMYFUNCTION("GOOGLETRANSLATE(B17240,""en"",""fr"")"),"Elle montre ensuite comment faire sortir les plis les plus difficiles.")</f>
        <v>Elle montre ensuite comment faire sortir les plis les plus difficiles.</v>
      </c>
    </row>
    <row r="17241">
      <c r="A17241" s="4" t="s">
        <v>21704</v>
      </c>
      <c r="B17241" s="4" t="s">
        <v>21711</v>
      </c>
      <c r="C17241" s="5" t="str">
        <f>IFERROR(__xludf.DUMMYFUNCTION("GOOGLETRANSLATE(B17241,""en"",""fr"")"),"Ensuite, elle retourne la chemise et place la manche.")</f>
        <v>Ensuite, elle retourne la chemise et place la manche.</v>
      </c>
    </row>
    <row r="17242">
      <c r="A17242" s="4" t="s">
        <v>21704</v>
      </c>
      <c r="B17242" s="4" t="s">
        <v>21712</v>
      </c>
      <c r="C17242" s="5" t="str">
        <f>IFERROR(__xludf.DUMMYFUNCTION("GOOGLETRANSLATE(B17242,""en"",""fr"")"),"Elle montre ensuite comment repasser la manche.")</f>
        <v>Elle montre ensuite comment repasser la manche.</v>
      </c>
    </row>
    <row r="17243">
      <c r="A17243" s="4" t="s">
        <v>21704</v>
      </c>
      <c r="B17243" s="4" t="s">
        <v>21713</v>
      </c>
      <c r="C17243" s="5" t="str">
        <f>IFERROR(__xludf.DUMMYFUNCTION("GOOGLETRANSLATE(B17243,""en"",""fr"")"),"Elle retourne ensuite la chemise.")</f>
        <v>Elle retourne ensuite la chemise.</v>
      </c>
    </row>
    <row r="17244">
      <c r="A17244" s="4" t="s">
        <v>21714</v>
      </c>
      <c r="B17244" s="4" t="s">
        <v>21715</v>
      </c>
      <c r="C17244" s="5" t="str">
        <f>IFERROR(__xludf.DUMMYFUNCTION("GOOGLETRANSLATE(B17244,""en"",""fr"")"),"Une personne roule sur un vélo de saleté.")</f>
        <v>Une personne roule sur un vélo de saleté.</v>
      </c>
    </row>
    <row r="17245">
      <c r="A17245" s="4" t="s">
        <v>21714</v>
      </c>
      <c r="B17245" s="4" t="s">
        <v>21716</v>
      </c>
      <c r="C17245" s="5" t="str">
        <f>IFERROR(__xludf.DUMMYFUNCTION("GOOGLETRANSLATE(B17245,""en"",""fr"")"),"Il se prépare pour une course.")</f>
        <v>Il se prépare pour une course.</v>
      </c>
    </row>
    <row r="17246">
      <c r="A17246" s="4" t="s">
        <v>21714</v>
      </c>
      <c r="B17246" s="4" t="s">
        <v>21717</v>
      </c>
      <c r="C17246" s="5" t="str">
        <f>IFERROR(__xludf.DUMMYFUNCTION("GOOGLETRANSLATE(B17246,""en"",""fr"")"),"Il commence à courir sur son vélo de saleté.")</f>
        <v>Il commence à courir sur son vélo de saleté.</v>
      </c>
    </row>
    <row r="17247">
      <c r="A17247" s="4" t="s">
        <v>21714</v>
      </c>
      <c r="B17247" s="4" t="s">
        <v>21718</v>
      </c>
      <c r="C17247" s="5" t="str">
        <f>IFERROR(__xludf.DUMMYFUNCTION("GOOGLETRANSLATE(B17247,""en"",""fr"")"),"Le texte apparaît à l'écran lorsqu'il s'estompe.")</f>
        <v>Le texte apparaît à l'écran lorsqu'il s'estompe.</v>
      </c>
    </row>
    <row r="17248">
      <c r="A17248" s="4" t="s">
        <v>21719</v>
      </c>
      <c r="B17248" s="4" t="s">
        <v>21720</v>
      </c>
      <c r="C17248" s="5" t="str">
        <f>IFERROR(__xludf.DUMMYFUNCTION("GOOGLETRANSLATE(B17248,""en"",""fr"")"),"Un homme en chemise blanche se tient dans une salle de sport.")</f>
        <v>Un homme en chemise blanche se tient dans une salle de sport.</v>
      </c>
    </row>
    <row r="17249">
      <c r="A17249" s="4" t="s">
        <v>21719</v>
      </c>
      <c r="B17249" s="4" t="s">
        <v>21721</v>
      </c>
      <c r="C17249" s="5" t="str">
        <f>IFERROR(__xludf.DUMMYFUNCTION("GOOGLETRANSLATE(B17249,""en"",""fr"")"),"Il est assis sur une machine d'exercice et commence à s'entraîner.")</f>
        <v>Il est assis sur une machine d'exercice et commence à s'entraîner.</v>
      </c>
    </row>
    <row r="17250">
      <c r="A17250" s="4" t="s">
        <v>21719</v>
      </c>
      <c r="B17250" s="4" t="s">
        <v>21722</v>
      </c>
      <c r="C17250" s="5" t="str">
        <f>IFERROR(__xludf.DUMMYFUNCTION("GOOGLETRANSLATE(B17250,""en"",""fr"")"),"Il termine et pose la barre.")</f>
        <v>Il termine et pose la barre.</v>
      </c>
    </row>
    <row r="17251">
      <c r="A17251" s="4" t="s">
        <v>21723</v>
      </c>
      <c r="B17251" s="4" t="s">
        <v>21724</v>
      </c>
      <c r="C17251" s="5" t="str">
        <f>IFERROR(__xludf.DUMMYFUNCTION("GOOGLETRANSLATE(B17251,""en"",""fr"")"),"Une dame danse et parle à l'intérieur.")</f>
        <v>Une dame danse et parle à l'intérieur.</v>
      </c>
    </row>
    <row r="17252">
      <c r="A17252" s="4" t="s">
        <v>21723</v>
      </c>
      <c r="B17252" s="4" t="s">
        <v>21725</v>
      </c>
      <c r="C17252" s="5" t="str">
        <f>IFERROR(__xludf.DUMMYFUNCTION("GOOGLETRANSLATE(B17252,""en"",""fr"")"),"La dame mélange tous les ingrédients et cuit des couches colorées pour un gâteau.")</f>
        <v>La dame mélange tous les ingrédients et cuit des couches colorées pour un gâteau.</v>
      </c>
    </row>
    <row r="17253">
      <c r="A17253" s="4" t="s">
        <v>21723</v>
      </c>
      <c r="B17253" s="4" t="s">
        <v>21726</v>
      </c>
      <c r="C17253" s="5" t="str">
        <f>IFERROR(__xludf.DUMMYFUNCTION("GOOGLETRANSLATE(B17253,""en"",""fr"")"),"La dame a ajouté beaucoup d'embellissement coloré au gâteau en couches.")</f>
        <v>La dame a ajouté beaucoup d'embellissement coloré au gâteau en couches.</v>
      </c>
    </row>
    <row r="17254">
      <c r="A17254" s="4" t="s">
        <v>21723</v>
      </c>
      <c r="B17254" s="4" t="s">
        <v>21727</v>
      </c>
      <c r="C17254" s="5" t="str">
        <f>IFERROR(__xludf.DUMMYFUNCTION("GOOGLETRANSLATE(B17254,""en"",""fr"")"),"La dame sort dans une cage de lapin.")</f>
        <v>La dame sort dans une cage de lapin.</v>
      </c>
    </row>
    <row r="17255">
      <c r="A17255" s="4" t="s">
        <v>21728</v>
      </c>
      <c r="B17255" s="4" t="s">
        <v>21729</v>
      </c>
      <c r="C17255" s="5" t="str">
        <f>IFERROR(__xludf.DUMMYFUNCTION("GOOGLETRANSLATE(B17255,""en"",""fr"")"),"Deux jeunes garçons se tiennent sur une allée résidentielle.")</f>
        <v>Deux jeunes garçons se tiennent sur une allée résidentielle.</v>
      </c>
    </row>
    <row r="17256">
      <c r="A17256" s="4" t="s">
        <v>21728</v>
      </c>
      <c r="B17256" s="4" t="s">
        <v>21730</v>
      </c>
      <c r="C17256" s="5" t="str">
        <f>IFERROR(__xludf.DUMMYFUNCTION("GOOGLETRANSLATE(B17256,""en"",""fr"")"),"Le petit garçon joue deux fois sur l'allée.")</f>
        <v>Le petit garçon joue deux fois sur l'allée.</v>
      </c>
    </row>
    <row r="17257">
      <c r="A17257" s="4" t="s">
        <v>21728</v>
      </c>
      <c r="B17257" s="4" t="s">
        <v>21731</v>
      </c>
      <c r="C17257" s="5" t="str">
        <f>IFERROR(__xludf.DUMMYFUNCTION("GOOGLETRANSLATE(B17257,""en"",""fr"")"),"Une petite fille joue aussi le jeu puis suit les autres enfants loin de l'allée.")</f>
        <v>Une petite fille joue aussi le jeu puis suit les autres enfants loin de l'allée.</v>
      </c>
    </row>
    <row r="17258">
      <c r="A17258" s="4" t="s">
        <v>21732</v>
      </c>
      <c r="B17258" s="4" t="s">
        <v>21733</v>
      </c>
      <c r="C17258" s="5" t="str">
        <f>IFERROR(__xludf.DUMMYFUNCTION("GOOGLETRANSLATE(B17258,""en"",""fr"")"),"La femme sur le terrain se tient derrière le filet.")</f>
        <v>La femme sur le terrain se tient derrière le filet.</v>
      </c>
    </row>
    <row r="17259">
      <c r="A17259" s="4" t="s">
        <v>21732</v>
      </c>
      <c r="B17259" s="4" t="s">
        <v>21734</v>
      </c>
      <c r="C17259" s="5" t="str">
        <f>IFERROR(__xludf.DUMMYFUNCTION("GOOGLETRANSLATE(B17259,""en"",""fr"")"),"La femme tourbillonne et jeta un heavy metal vers le champ.")</f>
        <v>La femme tourbillonne et jeta un heavy metal vers le champ.</v>
      </c>
    </row>
    <row r="17260">
      <c r="A17260" s="4" t="s">
        <v>21732</v>
      </c>
      <c r="B17260" s="4" t="s">
        <v>21735</v>
      </c>
      <c r="C17260" s="5" t="str">
        <f>IFERROR(__xludf.DUMMYFUNCTION("GOOGLETRANSLATE(B17260,""en"",""fr"")"),"Le domaine a des gens dans le, un homme court.")</f>
        <v>Le domaine a des gens dans le, un homme court.</v>
      </c>
    </row>
    <row r="17261">
      <c r="A17261" s="4" t="s">
        <v>21732</v>
      </c>
      <c r="B17261" s="4" t="s">
        <v>21736</v>
      </c>
      <c r="C17261" s="5" t="str">
        <f>IFERROR(__xludf.DUMMYFUNCTION("GOOGLETRANSLATE(B17261,""en"",""fr"")"),"L'athlète de Pink Top avance.")</f>
        <v>L'athlète de Pink Top avance.</v>
      </c>
    </row>
    <row r="17262">
      <c r="A17262" s="4" t="s">
        <v>21732</v>
      </c>
      <c r="B17262" s="4" t="s">
        <v>21737</v>
      </c>
      <c r="C17262" s="5" t="str">
        <f>IFERROR(__xludf.DUMMYFUNCTION("GOOGLETRANSLATE(B17262,""en"",""fr"")"),"Une athlète avec Barrios Tag sur sa chemise se tient derrière le filet.")</f>
        <v>Une athlète avec Barrios Tag sur sa chemise se tient derrière le filet.</v>
      </c>
    </row>
    <row r="17263">
      <c r="A17263" s="4" t="s">
        <v>21732</v>
      </c>
      <c r="B17263" s="4" t="s">
        <v>21738</v>
      </c>
      <c r="C17263" s="5" t="str">
        <f>IFERROR(__xludf.DUMMYFUNCTION("GOOGLETRANSLATE(B17263,""en"",""fr"")"),"La femme a élevé le métal circulaire et elle a commencé à tourbillonner et a jeté le métal.")</f>
        <v>La femme a élevé le métal circulaire et elle a commencé à tourbillonner et a jeté le métal.</v>
      </c>
    </row>
    <row r="17264">
      <c r="A17264" s="4" t="s">
        <v>21732</v>
      </c>
      <c r="B17264" s="4" t="s">
        <v>21739</v>
      </c>
      <c r="C17264" s="5" t="str">
        <f>IFERROR(__xludf.DUMMYFUNCTION("GOOGLETRANSLATE(B17264,""en"",""fr"")"),"Le métal a frappé le terrain.")</f>
        <v>Le métal a frappé le terrain.</v>
      </c>
    </row>
    <row r="17265">
      <c r="A17265" s="4" t="s">
        <v>21732</v>
      </c>
      <c r="B17265" s="4" t="s">
        <v>21740</v>
      </c>
      <c r="C17265" s="5" t="str">
        <f>IFERROR(__xludf.DUMMYFUNCTION("GOOGLETRANSLATE(B17265,""en"",""fr"")"),"Un homme court vers le cercle blanc sur le sol.")</f>
        <v>Un homme court vers le cercle blanc sur le sol.</v>
      </c>
    </row>
    <row r="17266">
      <c r="A17266" s="4" t="s">
        <v>21732</v>
      </c>
      <c r="B17266" s="4" t="s">
        <v>21741</v>
      </c>
      <c r="C17266" s="5" t="str">
        <f>IFERROR(__xludf.DUMMYFUNCTION("GOOGLETRANSLATE(B17266,""en"",""fr"")"),"Une femme s'étend derrière le filet.")</f>
        <v>Une femme s'étend derrière le filet.</v>
      </c>
    </row>
    <row r="17267">
      <c r="A17267" s="4" t="s">
        <v>21732</v>
      </c>
      <c r="B17267" s="4" t="s">
        <v>21742</v>
      </c>
      <c r="C17267" s="5" t="str">
        <f>IFERROR(__xludf.DUMMYFUNCTION("GOOGLETRANSLATE(B17267,""en"",""fr"")"),"Elle tourbillonne et jeta quelque chose vers le champ.")</f>
        <v>Elle tourbillonne et jeta quelque chose vers le champ.</v>
      </c>
    </row>
    <row r="17268">
      <c r="A17268" s="4" t="s">
        <v>21732</v>
      </c>
      <c r="B17268" s="4" t="s">
        <v>21743</v>
      </c>
      <c r="C17268" s="5" t="str">
        <f>IFERROR(__xludf.DUMMYFUNCTION("GOOGLETRANSLATE(B17268,""en"",""fr"")"),"Deux hommes qui courent l'un vers l'autre.")</f>
        <v>Deux hommes qui courent l'un vers l'autre.</v>
      </c>
    </row>
    <row r="17269">
      <c r="A17269" s="4" t="s">
        <v>21732</v>
      </c>
      <c r="B17269" s="4" t="s">
        <v>21744</v>
      </c>
      <c r="C17269" s="5" t="str">
        <f>IFERROR(__xludf.DUMMYFUNCTION("GOOGLETRANSLATE(B17269,""en"",""fr"")"),"La femme a fait un câlin à une autre femme.")</f>
        <v>La femme a fait un câlin à une autre femme.</v>
      </c>
    </row>
    <row r="17270">
      <c r="A17270" s="4" t="s">
        <v>21732</v>
      </c>
      <c r="B17270" s="4" t="s">
        <v>21745</v>
      </c>
      <c r="C17270" s="5" t="str">
        <f>IFERROR(__xludf.DUMMYFUNCTION("GOOGLETRANSLATE(B17270,""en"",""fr"")"),"Le champ vert a un public sur les côtés du champ.")</f>
        <v>Le champ vert a un public sur les côtés du champ.</v>
      </c>
    </row>
    <row r="17271">
      <c r="A17271" s="4" t="s">
        <v>21746</v>
      </c>
      <c r="B17271" s="4" t="s">
        <v>21747</v>
      </c>
      <c r="C17271" s="5" t="str">
        <f>IFERROR(__xludf.DUMMYFUNCTION("GOOGLETRANSLATE(B17271,""en"",""fr"")"),"Un homme sur le toit mettant des morceaux de métal à travers les bardeaux.")</f>
        <v>Un homme sur le toit mettant des morceaux de métal à travers les bardeaux.</v>
      </c>
    </row>
    <row r="17272">
      <c r="A17272" s="4" t="s">
        <v>21746</v>
      </c>
      <c r="B17272" s="4" t="s">
        <v>21748</v>
      </c>
      <c r="C17272" s="5" t="str">
        <f>IFERROR(__xludf.DUMMYFUNCTION("GOOGLETRANSLATE(B17272,""en"",""fr"")"),"Il met de petites pièces de métal sur le métal pour les maintenir.")</f>
        <v>Il met de petites pièces de métal sur le métal pour les maintenir.</v>
      </c>
    </row>
    <row r="17273">
      <c r="A17273" s="4" t="s">
        <v>21746</v>
      </c>
      <c r="B17273" s="4" t="s">
        <v>21749</v>
      </c>
      <c r="C17273" s="5" t="str">
        <f>IFERROR(__xludf.DUMMYFUNCTION("GOOGLETRANSLATE(B17273,""en"",""fr"")"),"Il en parle un peu en plaisantant.")</f>
        <v>Il en parle un peu en plaisantant.</v>
      </c>
    </row>
    <row r="17274">
      <c r="A17274" s="4" t="s">
        <v>21746</v>
      </c>
      <c r="B17274" s="4" t="s">
        <v>21750</v>
      </c>
      <c r="C17274" s="5" t="str">
        <f>IFERROR(__xludf.DUMMYFUNCTION("GOOGLETRANSLATE(B17274,""en"",""fr"")"),"Puis il a essayé de l'ajuster un peu plus.")</f>
        <v>Puis il a essayé de l'ajuster un peu plus.</v>
      </c>
    </row>
    <row r="17275">
      <c r="A17275" s="4" t="s">
        <v>21751</v>
      </c>
      <c r="B17275" s="4" t="s">
        <v>1251</v>
      </c>
      <c r="C17275" s="5" t="str">
        <f>IFERROR(__xludf.DUMMYFUNCTION("GOOGLETRANSLATE(B17275,""en"",""fr"")"),"Les crédits du clip sont affichés.")</f>
        <v>Les crédits du clip sont affichés.</v>
      </c>
    </row>
    <row r="17276">
      <c r="A17276" s="4" t="s">
        <v>21751</v>
      </c>
      <c r="B17276" s="4" t="s">
        <v>21752</v>
      </c>
      <c r="C17276" s="5" t="str">
        <f>IFERROR(__xludf.DUMMYFUNCTION("GOOGLETRANSLATE(B17276,""en"",""fr"")"),"Les produits capillaires et les outils capillaires sont affichés.")</f>
        <v>Les produits capillaires et les outils capillaires sont affichés.</v>
      </c>
    </row>
    <row r="17277">
      <c r="A17277" s="4" t="s">
        <v>21751</v>
      </c>
      <c r="B17277" s="4" t="s">
        <v>21753</v>
      </c>
      <c r="C17277" s="5" t="str">
        <f>IFERROR(__xludf.DUMMYFUNCTION("GOOGLETRANSLATE(B17277,""en"",""fr"")"),"Le styliste masculin fait les cheveux d'un client avec des produits, une tondeuse et un sèche-cheveux.")</f>
        <v>Le styliste masculin fait les cheveux d'un client avec des produits, une tondeuse et un sèche-cheveux.</v>
      </c>
    </row>
    <row r="17278">
      <c r="A17278" s="4" t="s">
        <v>21751</v>
      </c>
      <c r="B17278" s="4" t="s">
        <v>573</v>
      </c>
      <c r="C17278" s="5" t="str">
        <f>IFERROR(__xludf.DUMMYFUNCTION("GOOGLETRANSLATE(B17278,""en"",""fr"")"),"Les crédits de la vidéo sont affichés.")</f>
        <v>Les crédits de la vidéo sont affichés.</v>
      </c>
    </row>
    <row r="17279">
      <c r="A17279" s="4" t="s">
        <v>21754</v>
      </c>
      <c r="B17279" s="6" t="s">
        <v>21755</v>
      </c>
      <c r="C17279" s="5" t="str">
        <f>IFERROR(__xludf.DUMMYFUNCTION("GOOGLETRANSLATE(B17279,""en"",""fr"")"),"Dans une piscine, les gens sont tous rassemblés autour de quelques tables de piscine en attendant que les joueurs prennent leur tour.")</f>
        <v>Dans une piscine, les gens sont tous rassemblés autour de quelques tables de piscine en attendant que les joueurs prennent leur tour.</v>
      </c>
    </row>
    <row r="17280">
      <c r="A17280" s="4" t="s">
        <v>21754</v>
      </c>
      <c r="B17280" s="4" t="s">
        <v>21756</v>
      </c>
      <c r="C17280" s="5" t="str">
        <f>IFERROR(__xludf.DUMMYFUNCTION("GOOGLETRANSLATE(B17280,""en"",""fr"")"),"Un mâle prend son tour, puis un autre en rouge prend sa frappe, mais le bot en faisant.")</f>
        <v>Un mâle prend son tour, puis un autre en rouge prend sa frappe, mais le bot en faisant.</v>
      </c>
    </row>
    <row r="17281">
      <c r="A17281" s="4" t="s">
        <v>21754</v>
      </c>
      <c r="B17281" s="4" t="s">
        <v>21757</v>
      </c>
      <c r="C17281" s="5" t="str">
        <f>IFERROR(__xludf.DUMMYFUNCTION("GOOGLETRANSLATE(B17281,""en"",""fr"")"),"Personne ne fait à leur tour, alors ils continuent au joueur suivant.")</f>
        <v>Personne ne fait à leur tour, alors ils continuent au joueur suivant.</v>
      </c>
    </row>
    <row r="17282">
      <c r="A17282" s="4" t="s">
        <v>21754</v>
      </c>
      <c r="B17282" s="4" t="s">
        <v>21758</v>
      </c>
      <c r="C17282" s="5" t="str">
        <f>IFERROR(__xludf.DUMMYFUNCTION("GOOGLETRANSLATE(B17282,""en"",""fr"")"),"Le jeu continue d'attendre que quelqu'un fasse quelques coups de feu.")</f>
        <v>Le jeu continue d'attendre que quelqu'un fasse quelques coups de feu.</v>
      </c>
    </row>
    <row r="17283">
      <c r="A17283" s="4" t="s">
        <v>21759</v>
      </c>
      <c r="B17283" s="4" t="s">
        <v>21760</v>
      </c>
      <c r="C17283" s="5" t="str">
        <f>IFERROR(__xludf.DUMMYFUNCTION("GOOGLETRANSLATE(B17283,""en"",""fr"")"),"Un athlète de piste se prépare et s'étend sur une ligne de départ.")</f>
        <v>Un athlète de piste se prépare et s'étend sur une ligne de départ.</v>
      </c>
    </row>
    <row r="17284">
      <c r="A17284" s="4" t="s">
        <v>21759</v>
      </c>
      <c r="B17284" s="4" t="s">
        <v>21761</v>
      </c>
      <c r="C17284" s="5" t="str">
        <f>IFERROR(__xludf.DUMMYFUNCTION("GOOGLETRANSLATE(B17284,""en"",""fr"")"),"Un athlète de piste coule sur une piste et des sauts en hauteur sur une barre sur un tapis.")</f>
        <v>Un athlète de piste coule sur une piste et des sauts en hauteur sur une barre sur un tapis.</v>
      </c>
    </row>
    <row r="17285">
      <c r="A17285" s="4" t="s">
        <v>21759</v>
      </c>
      <c r="B17285" s="6" t="s">
        <v>21762</v>
      </c>
      <c r="C17285" s="5" t="str">
        <f>IFERROR(__xludf.DUMMYFUNCTION("GOOGLETRANSLATE(B17285,""en"",""fr"")"),"L'athlète tente de sauter par-dessus la barre, mais échoue le renversant sur le tapis.")</f>
        <v>L'athlète tente de sauter par-dessus la barre, mais échoue le renversant sur le tapis.</v>
      </c>
    </row>
    <row r="17286">
      <c r="A17286" s="4" t="s">
        <v>21763</v>
      </c>
      <c r="B17286" s="4" t="s">
        <v>21764</v>
      </c>
      <c r="C17286" s="5" t="str">
        <f>IFERROR(__xludf.DUMMYFUNCTION("GOOGLETRANSLATE(B17286,""en"",""fr"")"),"Une fille fait des flips sur un trampoline dans un gymnase.")</f>
        <v>Une fille fait des flips sur un trampoline dans un gymnase.</v>
      </c>
    </row>
    <row r="17287">
      <c r="A17287" s="4" t="s">
        <v>21763</v>
      </c>
      <c r="B17287" s="4" t="s">
        <v>21765</v>
      </c>
      <c r="C17287" s="5" t="str">
        <f>IFERROR(__xludf.DUMMYFUNCTION("GOOGLETRANSLATE(B17287,""en"",""fr"")"),"Nous voyons ensuite un enfant plonger en arrière dans la piscine.")</f>
        <v>Nous voyons ensuite un enfant plonger en arrière dans la piscine.</v>
      </c>
    </row>
    <row r="17288">
      <c r="A17288" s="4" t="s">
        <v>21763</v>
      </c>
      <c r="B17288" s="4" t="s">
        <v>21766</v>
      </c>
      <c r="C17288" s="5" t="str">
        <f>IFERROR(__xludf.DUMMYFUNCTION("GOOGLETRANSLATE(B17288,""en"",""fr"")"),"Nous voyons l'enfant sur le trampoline.")</f>
        <v>Nous voyons l'enfant sur le trampoline.</v>
      </c>
    </row>
    <row r="17289">
      <c r="A17289" s="4" t="s">
        <v>21763</v>
      </c>
      <c r="B17289" s="4" t="s">
        <v>21767</v>
      </c>
      <c r="C17289" s="5" t="str">
        <f>IFERROR(__xludf.DUMMYFUNCTION("GOOGLETRANSLATE(B17289,""en"",""fr"")"),"Nous voyons ensuite les enfants plonger à nouveau.")</f>
        <v>Nous voyons ensuite les enfants plonger à nouveau.</v>
      </c>
    </row>
    <row r="17290">
      <c r="A17290" s="4" t="s">
        <v>21763</v>
      </c>
      <c r="B17290" s="4" t="s">
        <v>21768</v>
      </c>
      <c r="C17290" s="5" t="str">
        <f>IFERROR(__xludf.DUMMYFUNCTION("GOOGLETRANSLATE(B17290,""en"",""fr"")"),"Nous retournons aux enfants qui s'entraînons sur le trampoline et revenons à eux en plongeant à nouveau.")</f>
        <v>Nous retournons aux enfants qui s'entraînons sur le trampoline et revenons à eux en plongeant à nouveau.</v>
      </c>
    </row>
    <row r="17291">
      <c r="A17291" s="4" t="s">
        <v>21769</v>
      </c>
      <c r="B17291" s="4" t="s">
        <v>21770</v>
      </c>
      <c r="C17291" s="5" t="str">
        <f>IFERROR(__xludf.DUMMYFUNCTION("GOOGLETRANSLATE(B17291,""en"",""fr"")"),"Une femme est vue effectuer une routine de danse sur une scène devant un large public.")</f>
        <v>Une femme est vue effectuer une routine de danse sur une scène devant un large public.</v>
      </c>
    </row>
    <row r="17292">
      <c r="A17292" s="4" t="s">
        <v>21769</v>
      </c>
      <c r="B17292" s="4" t="s">
        <v>21771</v>
      </c>
      <c r="C17292" s="5" t="str">
        <f>IFERROR(__xludf.DUMMYFUNCTION("GOOGLETRANSLATE(B17292,""en"",""fr"")"),"La femme continue de danser tout autour de la scène et se termine avec un arc et qui sortait de la scène.")</f>
        <v>La femme continue de danser tout autour de la scène et se termine avec un arc et qui sortait de la scène.</v>
      </c>
    </row>
    <row r="17293">
      <c r="A17293" s="4" t="s">
        <v>21772</v>
      </c>
      <c r="B17293" s="4" t="s">
        <v>21773</v>
      </c>
      <c r="C17293" s="5" t="str">
        <f>IFERROR(__xludf.DUMMYFUNCTION("GOOGLETRANSLATE(B17293,""en"",""fr"")"),"Un homme se tient dans un bar.")</f>
        <v>Un homme se tient dans un bar.</v>
      </c>
    </row>
    <row r="17294">
      <c r="A17294" s="4" t="s">
        <v>21772</v>
      </c>
      <c r="B17294" s="4" t="s">
        <v>21774</v>
      </c>
      <c r="C17294" s="5" t="str">
        <f>IFERROR(__xludf.DUMMYFUNCTION("GOOGLETRANSLATE(B17294,""en"",""fr"")"),"Nous voyons l'écran de titre sur la façon de faire un verre.")</f>
        <v>Nous voyons l'écran de titre sur la façon de faire un verre.</v>
      </c>
    </row>
    <row r="17295">
      <c r="A17295" s="4" t="s">
        <v>21772</v>
      </c>
      <c r="B17295" s="4" t="s">
        <v>21775</v>
      </c>
      <c r="C17295" s="5" t="str">
        <f>IFERROR(__xludf.DUMMYFUNCTION("GOOGLETRANSLATE(B17295,""en"",""fr"")"),"L'homme verse trois liqueurs et du soda à la chaux dans un verre.")</f>
        <v>L'homme verse trois liqueurs et du soda à la chaux dans un verre.</v>
      </c>
    </row>
    <row r="17296">
      <c r="A17296" s="4" t="s">
        <v>21772</v>
      </c>
      <c r="B17296" s="4" t="s">
        <v>21776</v>
      </c>
      <c r="C17296" s="5" t="str">
        <f>IFERROR(__xludf.DUMMYFUNCTION("GOOGLETRANSLATE(B17296,""en"",""fr"")"),"Il remue le verre avec un outil métallique.")</f>
        <v>Il remue le verre avec un outil métallique.</v>
      </c>
    </row>
    <row r="17297">
      <c r="A17297" s="4" t="s">
        <v>21772</v>
      </c>
      <c r="B17297" s="4" t="s">
        <v>21777</v>
      </c>
      <c r="C17297" s="5" t="str">
        <f>IFERROR(__xludf.DUMMYFUNCTION("GOOGLETRANSLATE(B17297,""en"",""fr"")"),"L'homme boit ensuite dans le verre.")</f>
        <v>L'homme boit ensuite dans le verre.</v>
      </c>
    </row>
    <row r="17298">
      <c r="A17298" s="4" t="s">
        <v>21772</v>
      </c>
      <c r="B17298" s="4" t="s">
        <v>21778</v>
      </c>
      <c r="C17298" s="5" t="str">
        <f>IFERROR(__xludf.DUMMYFUNCTION("GOOGLETRANSLATE(B17298,""en"",""fr"")"),"L'homme pointe vers la caméra, nous voyons la séquence finale.")</f>
        <v>L'homme pointe vers la caméra, nous voyons la séquence finale.</v>
      </c>
    </row>
    <row r="17299">
      <c r="A17299" s="4" t="s">
        <v>21779</v>
      </c>
      <c r="B17299" s="4" t="s">
        <v>21780</v>
      </c>
      <c r="C17299" s="5" t="str">
        <f>IFERROR(__xludf.DUMMYFUNCTION("GOOGLETRANSLATE(B17299,""en"",""fr"")"),"Une paire de danseuse commence à se présenter à la Latin Dance Cup.")</f>
        <v>Une paire de danseuse commence à se présenter à la Latin Dance Cup.</v>
      </c>
    </row>
    <row r="17300">
      <c r="A17300" s="4" t="s">
        <v>21779</v>
      </c>
      <c r="B17300" s="4" t="s">
        <v>21781</v>
      </c>
      <c r="C17300" s="5" t="str">
        <f>IFERROR(__xludf.DUMMYFUNCTION("GOOGLETRANSLATE(B17300,""en"",""fr"")"),"La femme montre le décolleté.")</f>
        <v>La femme montre le décolleté.</v>
      </c>
    </row>
    <row r="17301">
      <c r="A17301" s="4" t="s">
        <v>21779</v>
      </c>
      <c r="B17301" s="4" t="s">
        <v>21782</v>
      </c>
      <c r="C17301" s="5" t="str">
        <f>IFERROR(__xludf.DUMMYFUNCTION("GOOGLETRANSLATE(B17301,""en"",""fr"")"),"Les danseurs commencent à tourner les uns autour des autres.")</f>
        <v>Les danseurs commencent à tourner les uns autour des autres.</v>
      </c>
    </row>
    <row r="17302">
      <c r="A17302" s="4" t="s">
        <v>21779</v>
      </c>
      <c r="B17302" s="4" t="s">
        <v>21783</v>
      </c>
      <c r="C17302" s="5" t="str">
        <f>IFERROR(__xludf.DUMMYFUNCTION("GOOGLETRANSLATE(B17302,""en"",""fr"")"),"Les danseurs commencent à se présenter séparément.")</f>
        <v>Les danseurs commencent à se présenter séparément.</v>
      </c>
    </row>
    <row r="17303">
      <c r="A17303" s="4" t="s">
        <v>21779</v>
      </c>
      <c r="B17303" s="4" t="s">
        <v>21784</v>
      </c>
      <c r="C17303" s="5" t="str">
        <f>IFERROR(__xludf.DUMMYFUNCTION("GOOGLETRANSLATE(B17303,""en"",""fr"")"),"Les danseurs recommencent à se déplacer ensemble pour une grande finition.")</f>
        <v>Les danseurs recommencent à se déplacer ensemble pour une grande finition.</v>
      </c>
    </row>
    <row r="17304">
      <c r="A17304" s="4" t="s">
        <v>21785</v>
      </c>
      <c r="B17304" s="4" t="s">
        <v>21786</v>
      </c>
      <c r="C17304" s="5" t="str">
        <f>IFERROR(__xludf.DUMMYFUNCTION("GOOGLETRANSLATE(B17304,""en"",""fr"")"),"Un homme est vu parler à la caméra à l'extérieur tandis que divers objets et outils s'assoient autour de lui.")</f>
        <v>Un homme est vu parler à la caméra à l'extérieur tandis que divers objets et outils s'assoient autour de lui.</v>
      </c>
    </row>
    <row r="17305">
      <c r="A17305" s="4" t="s">
        <v>21785</v>
      </c>
      <c r="B17305" s="4" t="s">
        <v>21787</v>
      </c>
      <c r="C17305" s="5" t="str">
        <f>IFERROR(__xludf.DUMMYFUNCTION("GOOGLETRANSLATE(B17305,""en"",""fr"")"),"L'homme continue de parler et mène à des clips de lui poussant autour d'une tondeuse faible.")</f>
        <v>L'homme continue de parler et mène à des clips de lui poussant autour d'une tondeuse faible.</v>
      </c>
    </row>
    <row r="17306">
      <c r="A17306" s="4" t="s">
        <v>21785</v>
      </c>
      <c r="B17306" s="4" t="s">
        <v>21788</v>
      </c>
      <c r="C17306" s="5" t="str">
        <f>IFERROR(__xludf.DUMMYFUNCTION("GOOGLETRANSLATE(B17306,""en"",""fr"")"),"Il continue de couper l'herbe et mène à plus de clips de lui parlant.")</f>
        <v>Il continue de couper l'herbe et mène à plus de clips de lui parlant.</v>
      </c>
    </row>
    <row r="17307">
      <c r="A17307" s="4" t="s">
        <v>21789</v>
      </c>
      <c r="B17307" s="4" t="s">
        <v>21790</v>
      </c>
      <c r="C17307" s="5" t="str">
        <f>IFERROR(__xludf.DUMMYFUNCTION("GOOGLETRANSLATE(B17307,""en"",""fr"")"),"L'animation du logo du réseau télévisé Awesomeness joue.")</f>
        <v>L'animation du logo du réseau télévisé Awesomeness joue.</v>
      </c>
    </row>
    <row r="17308">
      <c r="A17308" s="4" t="s">
        <v>21789</v>
      </c>
      <c r="B17308" s="4" t="s">
        <v>21791</v>
      </c>
      <c r="C17308" s="5" t="str">
        <f>IFERROR(__xludf.DUMMYFUNCTION("GOOGLETRANSLATE(B17308,""en"",""fr"")"),"Un homme se retourne et passe à travers un tapis.")</f>
        <v>Un homme se retourne et passe à travers un tapis.</v>
      </c>
    </row>
    <row r="17309">
      <c r="A17309" s="4" t="s">
        <v>21789</v>
      </c>
      <c r="B17309" s="4" t="s">
        <v>21792</v>
      </c>
      <c r="C17309" s="5" t="str">
        <f>IFERROR(__xludf.DUMMYFUNCTION("GOOGLETRANSLATE(B17309,""en"",""fr"")"),"Le même homme traverse à nouveau le tapis, cette fois ne portant pas de chemise.")</f>
        <v>Le même homme traverse à nouveau le tapis, cette fois ne portant pas de chemise.</v>
      </c>
    </row>
    <row r="17310">
      <c r="A17310" s="4" t="s">
        <v>21789</v>
      </c>
      <c r="B17310" s="4" t="s">
        <v>21793</v>
      </c>
      <c r="C17310" s="5" t="str">
        <f>IFERROR(__xludf.DUMMYFUNCTION("GOOGLETRANSLATE(B17310,""en"",""fr"")"),"L'homme parle à la caméra.")</f>
        <v>L'homme parle à la caméra.</v>
      </c>
    </row>
    <row r="17311">
      <c r="A17311" s="4" t="s">
        <v>21789</v>
      </c>
      <c r="B17311" s="6" t="s">
        <v>21794</v>
      </c>
      <c r="C17311" s="5" t="str">
        <f>IFERROR(__xludf.DUMMYFUNCTION("GOOGLETRANSLATE(B17311,""en"",""fr"")"),"Une femme avec un arc bleu dans les cheveux traverse l'écran derrière l'homme et commence à parler à une autre femme qui sort de l'écran.")</f>
        <v>Une femme avec un arc bleu dans les cheveux traverse l'écran derrière l'homme et commence à parler à une autre femme qui sort de l'écran.</v>
      </c>
    </row>
    <row r="17312">
      <c r="A17312" s="4" t="s">
        <v>21789</v>
      </c>
      <c r="B17312" s="6" t="s">
        <v>21795</v>
      </c>
      <c r="C17312" s="5" t="str">
        <f>IFERROR(__xludf.DUMMYFUNCTION("GOOGLETRANSLATE(B17312,""en"",""fr"")"),"L'homme torse nu est montré à nouveau en retournant et en tombant à travers l'écran, cette fois, il n'atterris pas son dernier retournement et il tombe sur le côté.")</f>
        <v>L'homme torse nu est montré à nouveau en retournant et en tombant à travers l'écran, cette fois, il n'atterris pas son dernier retournement et il tombe sur le côté.</v>
      </c>
    </row>
    <row r="17313">
      <c r="A17313" s="4" t="s">
        <v>21789</v>
      </c>
      <c r="B17313" s="4" t="s">
        <v>21796</v>
      </c>
      <c r="C17313" s="5" t="str">
        <f>IFERROR(__xludf.DUMMYFUNCTION("GOOGLETRANSLATE(B17313,""en"",""fr"")"),"Il commence alors à marcher vers un homme sur le côté du tapis.")</f>
        <v>Il commence alors à marcher vers un homme sur le côté du tapis.</v>
      </c>
    </row>
    <row r="17314">
      <c r="A17314" s="4" t="s">
        <v>21789</v>
      </c>
      <c r="B17314" s="4" t="s">
        <v>21797</v>
      </c>
      <c r="C17314" s="5" t="str">
        <f>IFERROR(__xludf.DUMMYFUNCTION("GOOGLETRANSLATE(B17314,""en"",""fr"")"),"Le spectateur pointe vers sa tête et la gymnaste fait également de même pour sa propre tête.")</f>
        <v>Le spectateur pointe vers sa tête et la gymnaste fait également de même pour sa propre tête.</v>
      </c>
    </row>
    <row r="17315">
      <c r="A17315" s="4" t="s">
        <v>21789</v>
      </c>
      <c r="B17315" s="4" t="s">
        <v>21798</v>
      </c>
      <c r="C17315" s="5" t="str">
        <f>IFERROR(__xludf.DUMMYFUNCTION("GOOGLETRANSLATE(B17315,""en"",""fr"")"),"La gymnaste parle à nouveau à la caméra expliquant ce qui s'est passé pendant cette routine.")</f>
        <v>La gymnaste parle à nouveau à la caméra expliquant ce qui s'est passé pendant cette routine.</v>
      </c>
    </row>
    <row r="17316">
      <c r="A17316" s="4" t="s">
        <v>21789</v>
      </c>
      <c r="B17316" s="4" t="s">
        <v>21799</v>
      </c>
      <c r="C17316" s="5" t="str">
        <f>IFERROR(__xludf.DUMMYFUNCTION("GOOGLETRANSLATE(B17316,""en"",""fr"")"),"Une petite vidéo apparaît en bas à droite pour rejouer le moment où il tombe.")</f>
        <v>Une petite vidéo apparaît en bas à droite pour rejouer le moment où il tombe.</v>
      </c>
    </row>
    <row r="17317">
      <c r="A17317" s="4" t="s">
        <v>21789</v>
      </c>
      <c r="B17317" s="4" t="s">
        <v>21800</v>
      </c>
      <c r="C17317" s="5" t="str">
        <f>IFERROR(__xludf.DUMMYFUNCTION("GOOGLETRANSLATE(B17317,""en"",""fr"")"),"Il recommence à traverser le tapis.")</f>
        <v>Il recommence à traverser le tapis.</v>
      </c>
    </row>
    <row r="17318">
      <c r="A17318" s="4" t="s">
        <v>21789</v>
      </c>
      <c r="B17318" s="4" t="s">
        <v>21801</v>
      </c>
      <c r="C17318" s="5" t="str">
        <f>IFERROR(__xludf.DUMMYFUNCTION("GOOGLETRANSLATE(B17318,""en"",""fr"")"),"L'homme se tient à côté de quelques autres gars, il saute en l'air et fait des coups de pied.")</f>
        <v>L'homme se tient à côté de quelques autres gars, il saute en l'air et fait des coups de pied.</v>
      </c>
    </row>
    <row r="17319">
      <c r="A17319" s="4" t="s">
        <v>21789</v>
      </c>
      <c r="B17319" s="4" t="s">
        <v>21802</v>
      </c>
      <c r="C17319" s="5" t="str">
        <f>IFERROR(__xludf.DUMMYFUNCTION("GOOGLETRANSLATE(B17319,""en"",""fr"")"),"Maintenant, il fait des flips en arrière sur le tapis.")</f>
        <v>Maintenant, il fait des flips en arrière sur le tapis.</v>
      </c>
    </row>
    <row r="17320">
      <c r="A17320" s="4" t="s">
        <v>21789</v>
      </c>
      <c r="B17320" s="4" t="s">
        <v>21803</v>
      </c>
      <c r="C17320" s="5" t="str">
        <f>IFERROR(__xludf.DUMMYFUNCTION("GOOGLETRANSLATE(B17320,""en"",""fr"")"),"Il passe d'un flip en avant pour le retour en arrière.")</f>
        <v>Il passe d'un flip en avant pour le retour en arrière.</v>
      </c>
    </row>
    <row r="17321">
      <c r="A17321" s="4" t="s">
        <v>21789</v>
      </c>
      <c r="B17321" s="4" t="s">
        <v>21804</v>
      </c>
      <c r="C17321" s="5" t="str">
        <f>IFERROR(__xludf.DUMMYFUNCTION("GOOGLETRANSLATE(B17321,""en"",""fr"")"),"Maintenant, il est debout sur la ligne latérale en train de se préparer à faire des flips.")</f>
        <v>Maintenant, il est debout sur la ligne latérale en train de se préparer à faire des flips.</v>
      </c>
    </row>
    <row r="17322">
      <c r="A17322" s="4" t="s">
        <v>21789</v>
      </c>
      <c r="B17322" s="4" t="s">
        <v>21805</v>
      </c>
      <c r="C17322" s="5" t="str">
        <f>IFERROR(__xludf.DUMMYFUNCTION("GOOGLETRANSLATE(B17322,""en"",""fr"")"),"Il fait plus de flips et d'atterrir sur le tapis rouge.")</f>
        <v>Il fait plus de flips et d'atterrir sur le tapis rouge.</v>
      </c>
    </row>
    <row r="17323">
      <c r="A17323" s="4" t="s">
        <v>21789</v>
      </c>
      <c r="B17323" s="4" t="s">
        <v>21806</v>
      </c>
      <c r="C17323" s="5" t="str">
        <f>IFERROR(__xludf.DUMMYFUNCTION("GOOGLETRANSLATE(B17323,""en"",""fr"")"),"Maintenant, il se retourne à nouveau et s'inverse et commence à retourner dans l'autre sens.")</f>
        <v>Maintenant, il se retourne à nouveau et s'inverse et commence à retourner dans l'autre sens.</v>
      </c>
    </row>
    <row r="17324">
      <c r="A17324" s="4" t="s">
        <v>21789</v>
      </c>
      <c r="B17324" s="4" t="s">
        <v>21807</v>
      </c>
      <c r="C17324" s="5" t="str">
        <f>IFERROR(__xludf.DUMMYFUNCTION("GOOGLETRANSLATE(B17324,""en"",""fr"")"),"Cette fois, il porte une chemise jaune et commence par faire un coup de pied, puis commence à retourner en arrière.")</f>
        <v>Cette fois, il porte une chemise jaune et commence par faire un coup de pied, puis commence à retourner en arrière.</v>
      </c>
    </row>
    <row r="17325">
      <c r="A17325" s="4" t="s">
        <v>21789</v>
      </c>
      <c r="B17325" s="4" t="s">
        <v>21808</v>
      </c>
      <c r="C17325" s="5" t="str">
        <f>IFERROR(__xludf.DUMMYFUNCTION("GOOGLETRANSLATE(B17325,""en"",""fr"")"),"Maintenant, il traverse lentement le tapis.")</f>
        <v>Maintenant, il traverse lentement le tapis.</v>
      </c>
    </row>
    <row r="17326">
      <c r="A17326" s="4" t="s">
        <v>21809</v>
      </c>
      <c r="B17326" s="4" t="s">
        <v>21810</v>
      </c>
      <c r="C17326" s="5" t="str">
        <f>IFERROR(__xludf.DUMMYFUNCTION("GOOGLETRANSLATE(B17326,""en"",""fr"")"),"Un homme est vu debout sur un grand terrain effectuant divers trucs de chiens avec un chien.")</f>
        <v>Un homme est vu debout sur un grand terrain effectuant divers trucs de chiens avec un chien.</v>
      </c>
    </row>
    <row r="17327">
      <c r="A17327" s="4" t="s">
        <v>21809</v>
      </c>
      <c r="B17327" s="6" t="s">
        <v>21811</v>
      </c>
      <c r="C17327" s="5" t="str">
        <f>IFERROR(__xludf.DUMMYFUNCTION("GOOGLETRANSLATE(B17327,""en"",""fr"")"),"Une autre personne regarde au loin alors que l'homme et le chien continuent d'effectuer des tours et que le chien coule tout autour.")</f>
        <v>Une autre personne regarde au loin alors que l'homme et le chien continuent d'effectuer des tours et que le chien coule tout autour.</v>
      </c>
    </row>
    <row r="17328">
      <c r="A17328" s="4" t="s">
        <v>21812</v>
      </c>
      <c r="B17328" s="4" t="s">
        <v>21813</v>
      </c>
      <c r="C17328" s="5" t="str">
        <f>IFERROR(__xludf.DUMMYFUNCTION("GOOGLETRANSLATE(B17328,""en"",""fr"")"),"Un homme regarde autour de lui et attrape son visage.")</f>
        <v>Un homme regarde autour de lui et attrape son visage.</v>
      </c>
    </row>
    <row r="17329">
      <c r="A17329" s="4" t="s">
        <v>21812</v>
      </c>
      <c r="B17329" s="4" t="s">
        <v>21814</v>
      </c>
      <c r="C17329" s="5" t="str">
        <f>IFERROR(__xludf.DUMMYFUNCTION("GOOGLETRANSLATE(B17329,""en"",""fr"")"),"Il place une serviette sur son visage.")</f>
        <v>Il place une serviette sur son visage.</v>
      </c>
    </row>
    <row r="17330">
      <c r="A17330" s="4" t="s">
        <v>21812</v>
      </c>
      <c r="B17330" s="4" t="s">
        <v>21815</v>
      </c>
      <c r="C17330" s="5" t="str">
        <f>IFERROR(__xludf.DUMMYFUNCTION("GOOGLETRANSLATE(B17330,""en"",""fr"")"),"L'homme présente une unité de rasage et un baume.")</f>
        <v>L'homme présente une unité de rasage et un baume.</v>
      </c>
    </row>
    <row r="17331">
      <c r="A17331" s="4" t="s">
        <v>21812</v>
      </c>
      <c r="B17331" s="4" t="s">
        <v>21816</v>
      </c>
      <c r="C17331" s="5" t="str">
        <f>IFERROR(__xludf.DUMMYFUNCTION("GOOGLETRANSLATE(B17331,""en"",""fr"")"),"Il montre un bol et fait passer la brosse à raser autour de lui.")</f>
        <v>Il montre un bol et fait passer la brosse à raser autour de lui.</v>
      </c>
    </row>
    <row r="17332">
      <c r="A17332" s="4" t="s">
        <v>21812</v>
      </c>
      <c r="B17332" s="4" t="s">
        <v>21817</v>
      </c>
      <c r="C17332" s="5" t="str">
        <f>IFERROR(__xludf.DUMMYFUNCTION("GOOGLETRANSLATE(B17332,""en"",""fr"")"),"L'homme place la crème à raser sur tout son visage avec l'utilisation de sa brosse à raser.")</f>
        <v>L'homme place la crème à raser sur tout son visage avec l'utilisation de sa brosse à raser.</v>
      </c>
    </row>
    <row r="17333">
      <c r="A17333" s="4" t="s">
        <v>21812</v>
      </c>
      <c r="B17333" s="4" t="s">
        <v>21818</v>
      </c>
      <c r="C17333" s="5" t="str">
        <f>IFERROR(__xludf.DUMMYFUNCTION("GOOGLETRANSLATE(B17333,""en"",""fr"")"),"Il prend un rasoir et des rasages.")</f>
        <v>Il prend un rasoir et des rasages.</v>
      </c>
    </row>
    <row r="17334">
      <c r="A17334" s="4" t="s">
        <v>21812</v>
      </c>
      <c r="B17334" s="4" t="s">
        <v>21819</v>
      </c>
      <c r="C17334" s="5" t="str">
        <f>IFERROR(__xludf.DUMMYFUNCTION("GOOGLETRANSLATE(B17334,""en"",""fr"")"),"Il attrape à nouveau le bol et fait passer le pinceau à raser autour de l'intérieur.")</f>
        <v>Il attrape à nouveau le bol et fait passer le pinceau à raser autour de l'intérieur.</v>
      </c>
    </row>
    <row r="17335">
      <c r="A17335" s="4" t="s">
        <v>21812</v>
      </c>
      <c r="B17335" s="4" t="s">
        <v>21820</v>
      </c>
      <c r="C17335" s="5" t="str">
        <f>IFERROR(__xludf.DUMMYFUNCTION("GOOGLETRANSLATE(B17335,""en"",""fr"")"),"Il étouffe la crème à raser le visage de son visage.")</f>
        <v>Il étouffe la crème à raser le visage de son visage.</v>
      </c>
    </row>
    <row r="17336">
      <c r="A17336" s="4" t="s">
        <v>21812</v>
      </c>
      <c r="B17336" s="4" t="s">
        <v>21821</v>
      </c>
      <c r="C17336" s="5" t="str">
        <f>IFERROR(__xludf.DUMMYFUNCTION("GOOGLETRANSLATE(B17336,""en"",""fr"")"),"Il se rase à nouveau son visage.")</f>
        <v>Il se rase à nouveau son visage.</v>
      </c>
    </row>
    <row r="17337">
      <c r="A17337" s="4" t="s">
        <v>21812</v>
      </c>
      <c r="B17337" s="4" t="s">
        <v>21822</v>
      </c>
      <c r="C17337" s="5" t="str">
        <f>IFERROR(__xludf.DUMMYFUNCTION("GOOGLETRANSLATE(B17337,""en"",""fr"")"),"Il éclabousse son visage et le sèche avec une serviette violette.")</f>
        <v>Il éclabousse son visage et le sèche avec une serviette violette.</v>
      </c>
    </row>
    <row r="17338">
      <c r="A17338" s="4" t="s">
        <v>21812</v>
      </c>
      <c r="B17338" s="4" t="s">
        <v>21823</v>
      </c>
      <c r="C17338" s="5" t="str">
        <f>IFERROR(__xludf.DUMMYFUNCTION("GOOGLETRANSLATE(B17338,""en"",""fr"")"),"Il frotte une huile sur son visage et montre avec enthousiasme ses muscles.")</f>
        <v>Il frotte une huile sur son visage et montre avec enthousiasme ses muscles.</v>
      </c>
    </row>
    <row r="17339">
      <c r="A17339" s="4" t="s">
        <v>21824</v>
      </c>
      <c r="B17339" s="4" t="s">
        <v>21825</v>
      </c>
      <c r="C17339" s="5" t="str">
        <f>IFERROR(__xludf.DUMMYFUNCTION("GOOGLETRANSLATE(B17339,""en"",""fr"")"),"Un homme en turban rouge se tient dans une cuisine.")</f>
        <v>Un homme en turban rouge se tient dans une cuisine.</v>
      </c>
    </row>
    <row r="17340">
      <c r="A17340" s="4" t="s">
        <v>21824</v>
      </c>
      <c r="B17340" s="4" t="s">
        <v>21826</v>
      </c>
      <c r="C17340" s="5" t="str">
        <f>IFERROR(__xludf.DUMMYFUNCTION("GOOGLETRANSLATE(B17340,""en"",""fr"")"),"Il verse des ingrédients dans un verre.")</f>
        <v>Il verse des ingrédients dans un verre.</v>
      </c>
    </row>
    <row r="17341">
      <c r="A17341" s="4" t="s">
        <v>21824</v>
      </c>
      <c r="B17341" s="4" t="s">
        <v>21827</v>
      </c>
      <c r="C17341" s="5" t="str">
        <f>IFERROR(__xludf.DUMMYFUNCTION("GOOGLETRANSLATE(B17341,""en"",""fr"")"),"Il explique ses méthodes tenant une cuillère.")</f>
        <v>Il explique ses méthodes tenant une cuillère.</v>
      </c>
    </row>
    <row r="17342">
      <c r="A17342" s="4" t="s">
        <v>21824</v>
      </c>
      <c r="B17342" s="4" t="s">
        <v>21828</v>
      </c>
      <c r="C17342" s="5" t="str">
        <f>IFERROR(__xludf.DUMMYFUNCTION("GOOGLETRANSLATE(B17342,""en"",""fr"")"),"Il termine ensuite la boisson avec une garniture.")</f>
        <v>Il termine ensuite la boisson avec une garniture.</v>
      </c>
    </row>
    <row r="17343">
      <c r="A17343" s="4" t="s">
        <v>21829</v>
      </c>
      <c r="B17343" s="4" t="s">
        <v>21830</v>
      </c>
      <c r="C17343" s="5" t="str">
        <f>IFERROR(__xludf.DUMMYFUNCTION("GOOGLETRANSLATE(B17343,""en"",""fr"")"),"Un gros plan du fond de l'océan est montré ainsi qu'un plongeur de plongée et un poisson nageant.")</f>
        <v>Un gros plan du fond de l'océan est montré ainsi qu'un plongeur de plongée et un poisson nageant.</v>
      </c>
    </row>
    <row r="17344">
      <c r="A17344" s="4" t="s">
        <v>21829</v>
      </c>
      <c r="B17344" s="6" t="s">
        <v>21831</v>
      </c>
      <c r="C17344" s="5" t="str">
        <f>IFERROR(__xludf.DUMMYFUNCTION("GOOGLETRANSLATE(B17344,""en"",""fr"")"),"La caméra continue de capturer le fond du sol ainsi que plusieurs mangeoires de poissons et de bas au sol.")</f>
        <v>La caméra continue de capturer le fond du sol ainsi que plusieurs mangeoires de poissons et de bas au sol.</v>
      </c>
    </row>
    <row r="17345">
      <c r="A17345" s="4" t="s">
        <v>21829</v>
      </c>
      <c r="B17345" s="6" t="s">
        <v>21832</v>
      </c>
      <c r="C17345" s="5" t="str">
        <f>IFERROR(__xludf.DUMMYFUNCTION("GOOGLETRANSLATE(B17345,""en"",""fr"")"),"Le plongeur de plongée déplace une lampe de poche pour capturer le fond et regarder la faune se déplacer.")</f>
        <v>Le plongeur de plongée déplace une lampe de poche pour capturer le fond et regarder la faune se déplacer.</v>
      </c>
    </row>
    <row r="17346">
      <c r="A17346" s="4" t="s">
        <v>21833</v>
      </c>
      <c r="B17346" s="4" t="s">
        <v>21834</v>
      </c>
      <c r="C17346" s="5" t="str">
        <f>IFERROR(__xludf.DUMMYFUNCTION("GOOGLETRANSLATE(B17346,""en"",""fr"")"),"Un homme marche sur l'herbe avec des échasses.")</f>
        <v>Un homme marche sur l'herbe avec des échasses.</v>
      </c>
    </row>
    <row r="17347">
      <c r="A17347" s="4" t="s">
        <v>21833</v>
      </c>
      <c r="B17347" s="4" t="s">
        <v>21835</v>
      </c>
      <c r="C17347" s="5" t="str">
        <f>IFERROR(__xludf.DUMMYFUNCTION("GOOGLETRANSLATE(B17347,""en"",""fr"")"),"Les gens le regardent à côté d'un étang.")</f>
        <v>Les gens le regardent à côté d'un étang.</v>
      </c>
    </row>
    <row r="17348">
      <c r="A17348" s="4" t="s">
        <v>21833</v>
      </c>
      <c r="B17348" s="4" t="s">
        <v>21836</v>
      </c>
      <c r="C17348" s="5" t="str">
        <f>IFERROR(__xludf.DUMMYFUNCTION("GOOGLETRANSLATE(B17348,""en"",""fr"")"),"Il continue de marcher sur l'herbe vers les gens.")</f>
        <v>Il continue de marcher sur l'herbe vers les gens.</v>
      </c>
    </row>
    <row r="17349">
      <c r="A17349" s="4" t="s">
        <v>21837</v>
      </c>
      <c r="B17349" s="6" t="s">
        <v>21838</v>
      </c>
      <c r="C17349" s="5" t="str">
        <f>IFERROR(__xludf.DUMMYFUNCTION("GOOGLETRANSLATE(B17349,""en"",""fr"")"),"Un gros plan d'une peinture est montré suivi d'un pinceau plongeant dans la peinture et se déplaçant tout le long de l'image.")</f>
        <v>Un gros plan d'une peinture est montré suivi d'un pinceau plongeant dans la peinture et se déplaçant tout le long de l'image.</v>
      </c>
    </row>
    <row r="17350">
      <c r="A17350" s="4" t="s">
        <v>21837</v>
      </c>
      <c r="B17350" s="6" t="s">
        <v>21839</v>
      </c>
      <c r="C17350" s="5" t="str">
        <f>IFERROR(__xludf.DUMMYFUNCTION("GOOGLETRANSLATE(B17350,""en"",""fr"")"),"La personne continue de peindre des buissons sur l'image et se termine par des crédits roulant au-dessus de l'écran.")</f>
        <v>La personne continue de peindre des buissons sur l'image et se termine par des crédits roulant au-dessus de l'écran.</v>
      </c>
    </row>
    <row r="17351">
      <c r="A17351" s="4" t="s">
        <v>21840</v>
      </c>
      <c r="B17351" s="4" t="s">
        <v>21841</v>
      </c>
      <c r="C17351" s="5" t="str">
        <f>IFERROR(__xludf.DUMMYFUNCTION("GOOGLETRANSLATE(B17351,""en"",""fr"")"),"Un gros plan de pommes de terre est montré suivi d'une femme parlant à la caméra.")</f>
        <v>Un gros plan de pommes de terre est montré suivi d'une femme parlant à la caméra.</v>
      </c>
    </row>
    <row r="17352">
      <c r="A17352" s="4" t="s">
        <v>21840</v>
      </c>
      <c r="B17352" s="4" t="s">
        <v>21842</v>
      </c>
      <c r="C17352" s="5" t="str">
        <f>IFERROR(__xludf.DUMMYFUNCTION("GOOGLETRANSLATE(B17352,""en"",""fr"")"),"La femme pointe vers un pot et commence ensuite à peler les pommes de terre et à les mettre dans un pot.")</f>
        <v>La femme pointe vers un pot et commence ensuite à peler les pommes de terre et à les mettre dans un pot.</v>
      </c>
    </row>
    <row r="17353">
      <c r="A17353" s="4" t="s">
        <v>21840</v>
      </c>
      <c r="B17353" s="4" t="s">
        <v>21843</v>
      </c>
      <c r="C17353" s="5" t="str">
        <f>IFERROR(__xludf.DUMMYFUNCTION("GOOGLETRANSLATE(B17353,""en"",""fr"")"),"Elle le mélange avec du sel et trempe les pommes de terre dans de l'eau glacée, les regardant finir de peler.")</f>
        <v>Elle le mélange avec du sel et trempe les pommes de terre dans de l'eau glacée, les regardant finir de peler.</v>
      </c>
    </row>
    <row r="17354">
      <c r="A17354" s="4" t="s">
        <v>21844</v>
      </c>
      <c r="B17354" s="6" t="s">
        <v>21845</v>
      </c>
      <c r="C17354" s="5" t="str">
        <f>IFERROR(__xludf.DUMMYFUNCTION("GOOGLETRANSLATE(B17354,""en"",""fr"")"),"Une femme est vue regarder au loin, suivie de coups de son cheval et regardant au loin.")</f>
        <v>Une femme est vue regarder au loin, suivie de coups de son cheval et regardant au loin.</v>
      </c>
    </row>
    <row r="17355">
      <c r="A17355" s="4" t="s">
        <v>21844</v>
      </c>
      <c r="B17355" s="6" t="s">
        <v>21846</v>
      </c>
      <c r="C17355" s="5" t="str">
        <f>IFERROR(__xludf.DUMMYFUNCTION("GOOGLETRANSLATE(B17355,""en"",""fr"")"),"La femme continue de rouler sur le cheval et se termine avec elle s'éloignant et agitant vers la caméra.")</f>
        <v>La femme continue de rouler sur le cheval et se termine avec elle s'éloignant et agitant vers la caméra.</v>
      </c>
    </row>
    <row r="17356">
      <c r="A17356" s="4" t="s">
        <v>21847</v>
      </c>
      <c r="B17356" s="4" t="s">
        <v>21848</v>
      </c>
      <c r="C17356" s="5" t="str">
        <f>IFERROR(__xludf.DUMMYFUNCTION("GOOGLETRANSLATE(B17356,""en"",""fr"")"),"Un haltérophile féminin tente de soulever un ensemble de poids.")</f>
        <v>Un haltérophile féminin tente de soulever un ensemble de poids.</v>
      </c>
    </row>
    <row r="17357">
      <c r="A17357" s="4" t="s">
        <v>21847</v>
      </c>
      <c r="B17357" s="4" t="s">
        <v>21849</v>
      </c>
      <c r="C17357" s="5" t="str">
        <f>IFERROR(__xludf.DUMMYFUNCTION("GOOGLETRANSLATE(B17357,""en"",""fr"")"),"Elle se lève lentement aux genoux.")</f>
        <v>Elle se lève lentement aux genoux.</v>
      </c>
    </row>
    <row r="17358">
      <c r="A17358" s="4" t="s">
        <v>21847</v>
      </c>
      <c r="B17358" s="4" t="s">
        <v>21850</v>
      </c>
      <c r="C17358" s="5" t="str">
        <f>IFERROR(__xludf.DUMMYFUNCTION("GOOGLETRANSLATE(B17358,""en"",""fr"")"),"Elle soulève la barre vers sa poitrine, s'arrêtant.")</f>
        <v>Elle soulève la barre vers sa poitrine, s'arrêtant.</v>
      </c>
    </row>
    <row r="17359">
      <c r="A17359" s="4" t="s">
        <v>21847</v>
      </c>
      <c r="B17359" s="4" t="s">
        <v>21851</v>
      </c>
      <c r="C17359" s="5" t="str">
        <f>IFERROR(__xludf.DUMMYFUNCTION("GOOGLETRANSLATE(B17359,""en"",""fr"")"),"Elle le soulève ensuite au-dessus de sa tête avant de s'accroupir en dessous.")</f>
        <v>Elle le soulève ensuite au-dessus de sa tête avant de s'accroupir en dessous.</v>
      </c>
    </row>
    <row r="17360">
      <c r="A17360" s="4" t="s">
        <v>21852</v>
      </c>
      <c r="B17360" s="4" t="s">
        <v>21853</v>
      </c>
      <c r="C17360" s="5" t="str">
        <f>IFERROR(__xludf.DUMMYFUNCTION("GOOGLETRANSLATE(B17360,""en"",""fr"")"),"Deux personnes se tiennent face à face sous les projecteurs.")</f>
        <v>Deux personnes se tiennent face à face sous les projecteurs.</v>
      </c>
    </row>
    <row r="17361">
      <c r="A17361" s="4" t="s">
        <v>21852</v>
      </c>
      <c r="B17361" s="6" t="s">
        <v>21854</v>
      </c>
      <c r="C17361" s="5" t="str">
        <f>IFERROR(__xludf.DUMMYFUNCTION("GOOGLETRANSLATE(B17361,""en"",""fr"")"),"L'homme portant un costume noir et blanc simule une gifle à la femme portant une robe à droite.")</f>
        <v>L'homme portant un costume noir et blanc simule une gifle à la femme portant une robe à droite.</v>
      </c>
    </row>
    <row r="17362">
      <c r="A17362" s="4" t="s">
        <v>21852</v>
      </c>
      <c r="B17362" s="6" t="s">
        <v>21855</v>
      </c>
      <c r="C17362" s="5" t="str">
        <f>IFERROR(__xludf.DUMMYFUNCTION("GOOGLETRANSLATE(B17362,""en"",""fr"")"),"Un homme portant un débardeur noir se met immédiatement sous les projecteurs pour se tenir entre les deux et ils commencent tous à danser alors que la pièce est éclairée pour montrer une grande zone de danse avec des gens du public qui les regardent.")</f>
        <v>Un homme portant un débardeur noir se met immédiatement sous les projecteurs pour se tenir entre les deux et ils commencent tous à danser alors que la pièce est éclairée pour montrer une grande zone de danse avec des gens du public qui les regardent.</v>
      </c>
    </row>
    <row r="17363">
      <c r="A17363" s="4" t="s">
        <v>21852</v>
      </c>
      <c r="B17363" s="6" t="s">
        <v>21856</v>
      </c>
      <c r="C17363" s="5" t="str">
        <f>IFERROR(__xludf.DUMMYFUNCTION("GOOGLETRANSLATE(B17363,""en"",""fr"")"),"Les trois continuent de danser jusqu'à ce que l'homme du débardeur noir ramasse la femme et la jette au sol et quitte la piste de danse.")</f>
        <v>Les trois continuent de danser jusqu'à ce que l'homme du débardeur noir ramasse la femme et la jette au sol et quitte la piste de danse.</v>
      </c>
    </row>
    <row r="17364">
      <c r="A17364" s="4" t="s">
        <v>21852</v>
      </c>
      <c r="B17364" s="4" t="s">
        <v>21857</v>
      </c>
      <c r="C17364" s="5" t="str">
        <f>IFERROR(__xludf.DUMMYFUNCTION("GOOGLETRANSLATE(B17364,""en"",""fr"")"),"L'homme en costume et la femme continuent de danser seuls.")</f>
        <v>L'homme en costume et la femme continuent de danser seuls.</v>
      </c>
    </row>
    <row r="17365">
      <c r="A17365" s="4" t="s">
        <v>21852</v>
      </c>
      <c r="B17365" s="6" t="s">
        <v>21858</v>
      </c>
      <c r="C17365" s="5" t="str">
        <f>IFERROR(__xludf.DUMMYFUNCTION("GOOGLETRANSLATE(B17365,""en"",""fr"")"),"L'homme dans le débardeur revient sur la piste de danse et essaie de frapper l'homme dans le costume, mais l'homme du costume esquive le coup de poing et pousse l'homme dans le débardeur hors de la piste de danse.")</f>
        <v>L'homme dans le débardeur revient sur la piste de danse et essaie de frapper l'homme dans le costume, mais l'homme du costume esquive le coup de poing et pousse l'homme dans le débardeur hors de la piste de danse.</v>
      </c>
    </row>
    <row r="17366">
      <c r="A17366" s="4" t="s">
        <v>21852</v>
      </c>
      <c r="B17366" s="6" t="s">
        <v>21859</v>
      </c>
      <c r="C17366" s="5" t="str">
        <f>IFERROR(__xludf.DUMMYFUNCTION("GOOGLETRANSLATE(B17366,""en"",""fr"")"),"L'homme en costume et la femme de la robe continuent de danser seuls et ils se terminent de façon spectaculaire avec son dos sur le sol et l'homme planant au-dessus d'elle.")</f>
        <v>L'homme en costume et la femme de la robe continuent de danser seuls et ils se terminent de façon spectaculaire avec son dos sur le sol et l'homme planant au-dessus d'elle.</v>
      </c>
    </row>
    <row r="17367">
      <c r="A17367" s="4" t="s">
        <v>21860</v>
      </c>
      <c r="B17367" s="6" t="s">
        <v>21861</v>
      </c>
      <c r="C17367" s="5" t="str">
        <f>IFERROR(__xludf.DUMMYFUNCTION("GOOGLETRANSLATE(B17367,""en"",""fr"")"),"Une fille athlétique blonde avec un visage sérieux a ses mains toutes baissées et se tient à côté d'un faisceau d'équilibre en bois, vêtu d'un body décoré en noir et blanc, et la bannière en bas de l'écran Say's son nom est Shawn Johnson 1ère place Après "&amp;"la 2ème rotation.")</f>
        <v>Une fille athlétique blonde avec un visage sérieux a ses mains toutes baissées et se tient à côté d'un faisceau d'équilibre en bois, vêtu d'un body décoré en noir et blanc, et la bannière en bas de l'écran Say's son nom est Shawn Johnson 1ère place Après la 2ème rotation.</v>
      </c>
    </row>
    <row r="17368">
      <c r="A17368" s="4" t="s">
        <v>21860</v>
      </c>
      <c r="B17368" s="6" t="s">
        <v>21862</v>
      </c>
      <c r="C17368" s="5" t="str">
        <f>IFERROR(__xludf.DUMMYFUNCTION("GOOGLETRANSLATE(B17368,""en"",""fr"")"),"La fille se frotte les mains à quelques reprises, le public applaudit, elle sourit et lève ses deux bras en l'air, sourit, se tourne vers le cheval et court et saute jusqu'à ce qu'elle atterrit sur la poutre d'équilibre.")</f>
        <v>La fille se frotte les mains à quelques reprises, le public applaudit, elle sourit et lève ses deux bras en l'air, sourit, se tourne vers le cheval et court et saute jusqu'à ce qu'elle atterrit sur la poutre d'équilibre.</v>
      </c>
    </row>
    <row r="17369">
      <c r="A17369" s="4" t="s">
        <v>21860</v>
      </c>
      <c r="B17369" s="6" t="s">
        <v>21863</v>
      </c>
      <c r="C17369" s="5" t="str">
        <f>IFERROR(__xludf.DUMMYFUNCTION("GOOGLETRANSLATE(B17369,""en"",""fr"")"),"La fille commence immédiatement sa routine et il comprend beaucoup de flips, de marche, de tourbillon, de mouvements de la main, de tours et etc.")</f>
        <v>La fille commence immédiatement sa routine et il comprend beaucoup de flips, de marche, de tourbillon, de mouvements de la main, de tours et etc.</v>
      </c>
    </row>
    <row r="17370">
      <c r="A17370" s="4" t="s">
        <v>21860</v>
      </c>
      <c r="B17370" s="6" t="s">
        <v>21864</v>
      </c>
      <c r="C17370" s="5" t="str">
        <f>IFERROR(__xludf.DUMMYFUNCTION("GOOGLETRANSLATE(B17370,""en"",""fr"")"),"La fille va à l'extrémité la plus éloignée du faisceau d'équilibre, regarde l'autre extrémité, se retourne rapidement sur le faisceau d'équilibre, puis se détache du faisceau d'équilibre plusieurs fois, atterrit sur ses pieds, lève ses deux bras dans l'ai"&amp;"r et La foule applaudit.")</f>
        <v>La fille va à l'extrémité la plus éloignée du faisceau d'équilibre, regarde l'autre extrémité, se retourne rapidement sur le faisceau d'équilibre, puis se détache du faisceau d'équilibre plusieurs fois, atterrit sur ses pieds, lève ses deux bras dans l'air et La foule applaudit.</v>
      </c>
    </row>
    <row r="17371">
      <c r="A17371" s="4" t="s">
        <v>21865</v>
      </c>
      <c r="B17371" s="4" t="s">
        <v>21866</v>
      </c>
      <c r="C17371" s="5" t="str">
        <f>IFERROR(__xludf.DUMMYFUNCTION("GOOGLETRANSLATE(B17371,""en"",""fr"")"),"Un bœuf est tenu par un entraîneur dans une place de la ville.")</f>
        <v>Un bœuf est tenu par un entraîneur dans une place de la ville.</v>
      </c>
    </row>
    <row r="17372">
      <c r="A17372" s="4" t="s">
        <v>21865</v>
      </c>
      <c r="B17372" s="4" t="s">
        <v>21867</v>
      </c>
      <c r="C17372" s="5" t="str">
        <f>IFERROR(__xludf.DUMMYFUNCTION("GOOGLETRANSLATE(B17372,""en"",""fr"")"),"Deux duel de bœuf avec des cornes dans un corral tandis que les entraîneurs les guident.")</f>
        <v>Deux duel de bœuf avec des cornes dans un corral tandis que les entraîneurs les guident.</v>
      </c>
    </row>
    <row r="17373">
      <c r="A17373" s="4" t="s">
        <v>21865</v>
      </c>
      <c r="B17373" s="4" t="s">
        <v>21868</v>
      </c>
      <c r="C17373" s="5" t="str">
        <f>IFERROR(__xludf.DUMMYFUNCTION("GOOGLETRANSLATE(B17373,""en"",""fr"")"),"La charge de bœuf sur les entraîneurs alignés contre le mur.")</f>
        <v>La charge de bœuf sur les entraîneurs alignés contre le mur.</v>
      </c>
    </row>
    <row r="17374">
      <c r="A17374" s="4" t="s">
        <v>21865</v>
      </c>
      <c r="B17374" s="4" t="s">
        <v>21869</v>
      </c>
      <c r="C17374" s="5" t="str">
        <f>IFERROR(__xludf.DUMMYFUNCTION("GOOGLETRANSLATE(B17374,""en"",""fr"")"),"Les spectateurs regardent et marchent dans les tribunes pendant l'événement.")</f>
        <v>Les spectateurs regardent et marchent dans les tribunes pendant l'événement.</v>
      </c>
    </row>
    <row r="17375">
      <c r="A17375" s="4" t="s">
        <v>21870</v>
      </c>
      <c r="B17375" s="4" t="s">
        <v>21871</v>
      </c>
      <c r="C17375" s="5" t="str">
        <f>IFERROR(__xludf.DUMMYFUNCTION("GOOGLETRANSLATE(B17375,""en"",""fr"")"),"Les gens s'entraînent dans une pièce en marchant sur des tabourets.")</f>
        <v>Les gens s'entraînent dans une pièce en marchant sur des tabourets.</v>
      </c>
    </row>
    <row r="17376">
      <c r="A17376" s="4" t="s">
        <v>21870</v>
      </c>
      <c r="B17376" s="4" t="s">
        <v>21872</v>
      </c>
      <c r="C17376" s="5" t="str">
        <f>IFERROR(__xludf.DUMMYFUNCTION("GOOGLETRANSLATE(B17376,""en"",""fr"")"),"Un homme en chemise blanche mène le groupe.")</f>
        <v>Un homme en chemise blanche mène le groupe.</v>
      </c>
    </row>
    <row r="17377">
      <c r="A17377" s="4" t="s">
        <v>21870</v>
      </c>
      <c r="B17377" s="4" t="s">
        <v>21873</v>
      </c>
      <c r="C17377" s="5" t="str">
        <f>IFERROR(__xludf.DUMMYFUNCTION("GOOGLETRANSLATE(B17377,""en"",""fr"")"),"Il s'en va ensuite derrière la caméra.")</f>
        <v>Il s'en va ensuite derrière la caméra.</v>
      </c>
    </row>
    <row r="17378">
      <c r="A17378" s="4" t="s">
        <v>21874</v>
      </c>
      <c r="B17378" s="4" t="s">
        <v>21875</v>
      </c>
      <c r="C17378" s="5" t="str">
        <f>IFERROR(__xludf.DUMMYFUNCTION("GOOGLETRANSLATE(B17378,""en"",""fr"")"),"Une série d'athlètes est montrée participant à une compétition de lancement de disques devant une foule.")</f>
        <v>Une série d'athlètes est montrée participant à une compétition de lancement de disques devant une foule.</v>
      </c>
    </row>
    <row r="17379">
      <c r="A17379" s="4" t="s">
        <v>21874</v>
      </c>
      <c r="B17379" s="4" t="s">
        <v>21876</v>
      </c>
      <c r="C17379" s="5" t="str">
        <f>IFERROR(__xludf.DUMMYFUNCTION("GOOGLETRANSLATE(B17379,""en"",""fr"")"),"La foule applaudit les athlètes alors qu'un homme distribue des prix aux athlètes.")</f>
        <v>La foule applaudit les athlètes alors qu'un homme distribue des prix aux athlètes.</v>
      </c>
    </row>
    <row r="17380">
      <c r="A17380" s="4" t="s">
        <v>21874</v>
      </c>
      <c r="B17380" s="4" t="s">
        <v>21877</v>
      </c>
      <c r="C17380" s="5" t="str">
        <f>IFERROR(__xludf.DUMMYFUNCTION("GOOGLETRANSLATE(B17380,""en"",""fr"")"),"Les journalistes entourent les athlètes de caméras.")</f>
        <v>Les journalistes entourent les athlètes de caméras.</v>
      </c>
    </row>
    <row r="17381">
      <c r="A17381" s="4" t="s">
        <v>21874</v>
      </c>
      <c r="B17381" s="4" t="s">
        <v>21878</v>
      </c>
      <c r="C17381" s="5" t="str">
        <f>IFERROR(__xludf.DUMMYFUNCTION("GOOGLETRANSLATE(B17381,""en"",""fr"")"),"Plus de performances de lancer de disques sont affichées.")</f>
        <v>Plus de performances de lancer de disques sont affichées.</v>
      </c>
    </row>
    <row r="17382">
      <c r="A17382" s="4" t="s">
        <v>21874</v>
      </c>
      <c r="B17382" s="4" t="s">
        <v>21879</v>
      </c>
      <c r="C17382" s="5" t="str">
        <f>IFERROR(__xludf.DUMMYFUNCTION("GOOGLETRANSLATE(B17382,""en"",""fr"")"),"Une équipe de caméra se concentre sur un athlète assis en sueur.")</f>
        <v>Une équipe de caméra se concentre sur un athlète assis en sueur.</v>
      </c>
    </row>
    <row r="17383">
      <c r="A17383" s="4" t="s">
        <v>21874</v>
      </c>
      <c r="B17383" s="4" t="s">
        <v>21880</v>
      </c>
      <c r="C17383" s="5" t="str">
        <f>IFERROR(__xludf.DUMMYFUNCTION("GOOGLETRANSLATE(B17383,""en"",""fr"")"),"Encore une autre performance de Discus Throw est montrée.")</f>
        <v>Encore une autre performance de Discus Throw est montrée.</v>
      </c>
    </row>
    <row r="17384">
      <c r="A17384" s="4" t="s">
        <v>21874</v>
      </c>
      <c r="B17384" s="4" t="s">
        <v>21881</v>
      </c>
      <c r="C17384" s="5" t="str">
        <f>IFERROR(__xludf.DUMMYFUNCTION("GOOGLETRANSLATE(B17384,""en"",""fr"")"),"Trois personnes s'assoient à parler devant un public.")</f>
        <v>Trois personnes s'assoient à parler devant un public.</v>
      </c>
    </row>
    <row r="17385">
      <c r="A17385" s="4" t="s">
        <v>21882</v>
      </c>
      <c r="B17385" s="4" t="s">
        <v>21883</v>
      </c>
      <c r="C17385" s="5" t="str">
        <f>IFERROR(__xludf.DUMMYFUNCTION("GOOGLETRANSLATE(B17385,""en"",""fr"")"),"Un homme parle de faire un plat de pâtes épicé.")</f>
        <v>Un homme parle de faire un plat de pâtes épicé.</v>
      </c>
    </row>
    <row r="17386">
      <c r="A17386" s="4" t="s">
        <v>21882</v>
      </c>
      <c r="B17386" s="4" t="s">
        <v>21884</v>
      </c>
      <c r="C17386" s="5" t="str">
        <f>IFERROR(__xludf.DUMMYFUNCTION("GOOGLETRANSLATE(B17386,""en"",""fr"")"),"L'homme prend de la saucisse et le fait cuire dans une casserole.")</f>
        <v>L'homme prend de la saucisse et le fait cuire dans une casserole.</v>
      </c>
    </row>
    <row r="17387">
      <c r="A17387" s="4" t="s">
        <v>21882</v>
      </c>
      <c r="B17387" s="4" t="s">
        <v>21885</v>
      </c>
      <c r="C17387" s="5" t="str">
        <f>IFERROR(__xludf.DUMMYFUNCTION("GOOGLETRANSLATE(B17387,""en"",""fr"")"),"Le persil est ajouté à la saucisse.")</f>
        <v>Le persil est ajouté à la saucisse.</v>
      </c>
    </row>
    <row r="17388">
      <c r="A17388" s="4" t="s">
        <v>21882</v>
      </c>
      <c r="B17388" s="4" t="s">
        <v>21886</v>
      </c>
      <c r="C17388" s="5" t="str">
        <f>IFERROR(__xludf.DUMMYFUNCTION("GOOGLETRANSLATE(B17388,""en"",""fr"")"),"Le vin blanc est ajouté au mélange.")</f>
        <v>Le vin blanc est ajouté au mélange.</v>
      </c>
    </row>
    <row r="17389">
      <c r="A17389" s="4" t="s">
        <v>21882</v>
      </c>
      <c r="B17389" s="4" t="s">
        <v>21887</v>
      </c>
      <c r="C17389" s="5" t="str">
        <f>IFERROR(__xludf.DUMMYFUNCTION("GOOGLETRANSLATE(B17389,""en"",""fr"")"),"La crème épaisse est ajoutée à la viande avec un pot de sauce marinara.")</f>
        <v>La crème épaisse est ajoutée à la viande avec un pot de sauce marinara.</v>
      </c>
    </row>
    <row r="17390">
      <c r="A17390" s="4" t="s">
        <v>21882</v>
      </c>
      <c r="B17390" s="4" t="s">
        <v>21888</v>
      </c>
      <c r="C17390" s="5" t="str">
        <f>IFERROR(__xludf.DUMMYFUNCTION("GOOGLETRANSLATE(B17390,""en"",""fr"")"),"L'eau est montrée bouillante dans le pot.")</f>
        <v>L'eau est montrée bouillante dans le pot.</v>
      </c>
    </row>
    <row r="17391">
      <c r="A17391" s="4" t="s">
        <v>21882</v>
      </c>
      <c r="B17391" s="4" t="s">
        <v>21889</v>
      </c>
      <c r="C17391" s="5" t="str">
        <f>IFERROR(__xludf.DUMMYFUNCTION("GOOGLETRANSLATE(B17391,""en"",""fr"")"),"Les pâtes et la sauce sont mélangées dans le pot.")</f>
        <v>Les pâtes et la sauce sont mélangées dans le pot.</v>
      </c>
    </row>
    <row r="17392">
      <c r="A17392" s="4" t="s">
        <v>21882</v>
      </c>
      <c r="B17392" s="4" t="s">
        <v>21890</v>
      </c>
      <c r="C17392" s="5" t="str">
        <f>IFERROR(__xludf.DUMMYFUNCTION("GOOGLETRANSLATE(B17392,""en"",""fr"")"),"Les pâtes finales sont ajoutées à un bol et le fromage parmesan est ajouté.")</f>
        <v>Les pâtes finales sont ajoutées à un bol et le fromage parmesan est ajouté.</v>
      </c>
    </row>
    <row r="17393">
      <c r="A17393" s="4" t="s">
        <v>21891</v>
      </c>
      <c r="B17393" s="4" t="s">
        <v>21892</v>
      </c>
      <c r="C17393" s="5" t="str">
        <f>IFERROR(__xludf.DUMMYFUNCTION("GOOGLETRANSLATE(B17393,""en"",""fr"")"),"Un grand groupe de personnes est assis sur des chevaux près des zones fermées.")</f>
        <v>Un grand groupe de personnes est assis sur des chevaux près des zones fermées.</v>
      </c>
    </row>
    <row r="17394">
      <c r="A17394" s="4" t="s">
        <v>21891</v>
      </c>
      <c r="B17394" s="4" t="s">
        <v>21893</v>
      </c>
      <c r="C17394" s="5" t="str">
        <f>IFERROR(__xludf.DUMMYFUNCTION("GOOGLETRANSLATE(B17394,""en"",""fr"")"),"Les gens regardent autour de lui avec étonnement alors qu'un cheval d'équitation attrape un mollet presque instantanément.")</f>
        <v>Les gens regardent autour de lui avec étonnement alors qu'un cheval d'équitation attrape un mollet presque instantanément.</v>
      </c>
    </row>
    <row r="17395">
      <c r="A17395" s="4" t="s">
        <v>21891</v>
      </c>
      <c r="B17395" s="4" t="s">
        <v>21894</v>
      </c>
      <c r="C17395" s="5" t="str">
        <f>IFERROR(__xludf.DUMMYFUNCTION("GOOGLETRANSLATE(B17395,""en"",""fr"")"),"L'homme corde du veau et la foule l'encourage alors que l'annonceur lui donne son temps.")</f>
        <v>L'homme corde du veau et la foule l'encourage alors que l'annonceur lui donne son temps.</v>
      </c>
    </row>
    <row r="17396">
      <c r="A17396" s="4" t="s">
        <v>21895</v>
      </c>
      <c r="B17396" s="4" t="s">
        <v>21896</v>
      </c>
      <c r="C17396" s="5" t="str">
        <f>IFERROR(__xludf.DUMMYFUNCTION("GOOGLETRANSLATE(B17396,""en"",""fr"")"),"Des photos d'une ville couverte de neige sont montrées.")</f>
        <v>Des photos d'une ville couverte de neige sont montrées.</v>
      </c>
    </row>
    <row r="17397">
      <c r="A17397" s="4" t="s">
        <v>21895</v>
      </c>
      <c r="B17397" s="4" t="s">
        <v>21897</v>
      </c>
      <c r="C17397" s="5" t="str">
        <f>IFERROR(__xludf.DUMMYFUNCTION("GOOGLETRANSLATE(B17397,""en"",""fr"")"),"Une personne élimine la glace de sa voiture.")</f>
        <v>Une personne élimine la glace de sa voiture.</v>
      </c>
    </row>
    <row r="17398">
      <c r="A17398" s="4" t="s">
        <v>21898</v>
      </c>
      <c r="B17398" s="4" t="s">
        <v>21899</v>
      </c>
      <c r="C17398" s="5" t="str">
        <f>IFERROR(__xludf.DUMMYFUNCTION("GOOGLETRANSLATE(B17398,""en"",""fr"")"),"Un chat est allongé sur le dos sur les genoux de quelqu'un.")</f>
        <v>Un chat est allongé sur le dos sur les genoux de quelqu'un.</v>
      </c>
    </row>
    <row r="17399">
      <c r="A17399" s="4" t="s">
        <v>21898</v>
      </c>
      <c r="B17399" s="4" t="s">
        <v>21900</v>
      </c>
      <c r="C17399" s="5" t="str">
        <f>IFERROR(__xludf.DUMMYFUNCTION("GOOGLETRANSLATE(B17399,""en"",""fr"")"),"La personne commence à couper les ongles des chats avec un coup de ongles.")</f>
        <v>La personne commence à couper les ongles des chats avec un coup de ongles.</v>
      </c>
    </row>
    <row r="17400">
      <c r="A17400" s="4" t="s">
        <v>21898</v>
      </c>
      <c r="B17400" s="4" t="s">
        <v>21901</v>
      </c>
      <c r="C17400" s="5" t="str">
        <f>IFERROR(__xludf.DUMMYFUNCTION("GOOGLETRANSLATE(B17400,""en"",""fr"")"),"Ils finissent et caressent le pied du chat.")</f>
        <v>Ils finissent et caressent le pied du chat.</v>
      </c>
    </row>
    <row r="17401">
      <c r="A17401" s="4" t="s">
        <v>21902</v>
      </c>
      <c r="B17401" s="4" t="s">
        <v>21903</v>
      </c>
      <c r="C17401" s="5" t="str">
        <f>IFERROR(__xludf.DUMMYFUNCTION("GOOGLETRANSLATE(B17401,""en"",""fr"")"),"Une femme est à l'extérieur dans un soutien-gorge de sport et des bas de bikini se promenant dans la préparation.")</f>
        <v>Une femme est à l'extérieur dans un soutien-gorge de sport et des bas de bikini se promenant dans la préparation.</v>
      </c>
    </row>
    <row r="17402">
      <c r="A17402" s="4" t="s">
        <v>21902</v>
      </c>
      <c r="B17402" s="4" t="s">
        <v>21904</v>
      </c>
      <c r="C17402" s="5" t="str">
        <f>IFERROR(__xludf.DUMMYFUNCTION("GOOGLETRANSLATE(B17402,""en"",""fr"")"),"Elle prend ses cheveux et les remets en queue de cheval.")</f>
        <v>Elle prend ses cheveux et les remets en queue de cheval.</v>
      </c>
    </row>
    <row r="17403">
      <c r="A17403" s="4" t="s">
        <v>21902</v>
      </c>
      <c r="B17403" s="4" t="s">
        <v>21905</v>
      </c>
      <c r="C17403" s="5" t="str">
        <f>IFERROR(__xludf.DUMMYFUNCTION("GOOGLETRANSLATE(B17403,""en"",""fr"")"),"Elle fessée ses fesses et se tient là à se préparer à commencer sa course.")</f>
        <v>Elle fessée ses fesses et se tient là à se préparer à commencer sa course.</v>
      </c>
    </row>
    <row r="17404">
      <c r="A17404" s="4" t="s">
        <v>21902</v>
      </c>
      <c r="B17404" s="4" t="s">
        <v>21906</v>
      </c>
      <c r="C17404" s="5" t="str">
        <f>IFERROR(__xludf.DUMMYFUNCTION("GOOGLETRANSLATE(B17404,""en"",""fr"")"),"Elle commence sa course et elle saute sur le parcours et atterrit.")</f>
        <v>Elle commence sa course et elle saute sur le parcours et atterrit.</v>
      </c>
    </row>
    <row r="17405">
      <c r="A17405" s="4" t="s">
        <v>21907</v>
      </c>
      <c r="B17405" s="6" t="s">
        <v>21908</v>
      </c>
      <c r="C17405" s="5" t="str">
        <f>IFERROR(__xludf.DUMMYFUNCTION("GOOGLETRANSLATE(B17405,""en"",""fr"")"),"Il y a deux jeunes filles qui tiennent des violons entre leurs mains, debout avec un stand de musique et un livre avec des notes de musique derrière elles.")</f>
        <v>Il y a deux jeunes filles qui tiennent des violons entre leurs mains, debout avec un stand de musique et un livre avec des notes de musique derrière elles.</v>
      </c>
    </row>
    <row r="17406">
      <c r="A17406" s="4" t="s">
        <v>21907</v>
      </c>
      <c r="B17406" s="6" t="s">
        <v>21909</v>
      </c>
      <c r="C17406" s="5" t="str">
        <f>IFERROR(__xludf.DUMMYFUNCTION("GOOGLETRANSLATE(B17406,""en"",""fr"")"),"La fille plus âgée aide et enseigne à sa sœur cadette à tenir correctement le violon en changeant sa position de tête.")</f>
        <v>La fille plus âgée aide et enseigne à sa sœur cadette à tenir correctement le violon en changeant sa position de tête.</v>
      </c>
    </row>
    <row r="17407">
      <c r="A17407" s="4" t="s">
        <v>21907</v>
      </c>
      <c r="B17407" s="4" t="s">
        <v>21910</v>
      </c>
      <c r="C17407" s="5" t="str">
        <f>IFERROR(__xludf.DUMMYFUNCTION("GOOGLETRANSLATE(B17407,""en"",""fr"")"),"Ensuite, la sœur aînée attrape son violon et accorde les cordes du violon.")</f>
        <v>Ensuite, la sœur aînée attrape son violon et accorde les cordes du violon.</v>
      </c>
    </row>
    <row r="17408">
      <c r="A17408" s="4" t="s">
        <v>21907</v>
      </c>
      <c r="B17408" s="4" t="s">
        <v>21911</v>
      </c>
      <c r="C17408" s="5" t="str">
        <f>IFERROR(__xludf.DUMMYFUNCTION("GOOGLETRANSLATE(B17408,""en"",""fr"")"),"Ensuite, la sœur aînée commence à jouer du violon pendant que la sœur cadette la regarde.")</f>
        <v>Ensuite, la sœur aînée commence à jouer du violon pendant que la sœur cadette la regarde.</v>
      </c>
    </row>
    <row r="17409">
      <c r="A17409" s="4" t="s">
        <v>21907</v>
      </c>
      <c r="B17409" s="4" t="s">
        <v>21912</v>
      </c>
      <c r="C17409" s="5" t="str">
        <f>IFERROR(__xludf.DUMMYFUNCTION("GOOGLETRANSLATE(B17409,""en"",""fr"")"),"La fille plus âgée montre à sa sœur comment jouer du violon.")</f>
        <v>La fille plus âgée montre à sa sœur comment jouer du violon.</v>
      </c>
    </row>
    <row r="17410">
      <c r="A17410" s="4" t="s">
        <v>21907</v>
      </c>
      <c r="B17410" s="4" t="s">
        <v>21913</v>
      </c>
      <c r="C17410" s="5" t="str">
        <f>IFERROR(__xludf.DUMMYFUNCTION("GOOGLETRANSLATE(B17410,""en"",""fr"")"),"Ensuite, ils commencent tous les deux à jouer le violon ensemble.")</f>
        <v>Ensuite, ils commencent tous les deux à jouer le violon ensemble.</v>
      </c>
    </row>
    <row r="17411">
      <c r="A17411" s="4" t="s">
        <v>21914</v>
      </c>
      <c r="B17411" s="4" t="s">
        <v>21915</v>
      </c>
      <c r="C17411" s="5" t="str">
        <f>IFERROR(__xludf.DUMMYFUNCTION("GOOGLETRANSLATE(B17411,""en"",""fr"")"),"Un homme est montré sur une scène, jouant de la batterie.")</f>
        <v>Un homme est montré sur une scène, jouant de la batterie.</v>
      </c>
    </row>
    <row r="17412">
      <c r="A17412" s="4" t="s">
        <v>21914</v>
      </c>
      <c r="B17412" s="4" t="s">
        <v>21916</v>
      </c>
      <c r="C17412" s="5" t="str">
        <f>IFERROR(__xludf.DUMMYFUNCTION("GOOGLETRANSLATE(B17412,""en"",""fr"")"),"Il bat très rapidement les cymbales et les tambours.")</f>
        <v>Il bat très rapidement les cymbales et les tambours.</v>
      </c>
    </row>
    <row r="17413">
      <c r="A17413" s="4" t="s">
        <v>21914</v>
      </c>
      <c r="B17413" s="4" t="s">
        <v>21917</v>
      </c>
      <c r="C17413" s="5" t="str">
        <f>IFERROR(__xludf.DUMMYFUNCTION("GOOGLETRANSLATE(B17413,""en"",""fr"")"),"Il continue, faisant des grimaces au fur et à mesure.")</f>
        <v>Il continue, faisant des grimaces au fur et à mesure.</v>
      </c>
    </row>
    <row r="17414">
      <c r="A17414" s="4" t="s">
        <v>21918</v>
      </c>
      <c r="B17414" s="4" t="s">
        <v>21919</v>
      </c>
      <c r="C17414" s="5" t="str">
        <f>IFERROR(__xludf.DUMMYFUNCTION("GOOGLETRANSLATE(B17414,""en"",""fr"")"),"Un grand groupe de personnes montées à cheval se promène sur un grand champ.")</f>
        <v>Un grand groupe de personnes montées à cheval se promène sur un grand champ.</v>
      </c>
    </row>
    <row r="17415">
      <c r="A17415" s="4" t="s">
        <v>21918</v>
      </c>
      <c r="B17415" s="4" t="s">
        <v>21920</v>
      </c>
      <c r="C17415" s="5" t="str">
        <f>IFERROR(__xludf.DUMMYFUNCTION("GOOGLETRANSLATE(B17415,""en"",""fr"")"),"L'un d'eux lance une balle sur le terrain et les gens commencent à jouer un jeu sur leurs chevaux.")</f>
        <v>L'un d'eux lance une balle sur le terrain et les gens commencent à jouer un jeu sur leurs chevaux.</v>
      </c>
    </row>
    <row r="17416">
      <c r="A17416" s="4" t="s">
        <v>21921</v>
      </c>
      <c r="B17416" s="4" t="s">
        <v>21922</v>
      </c>
      <c r="C17416" s="5" t="str">
        <f>IFERROR(__xludf.DUMMYFUNCTION("GOOGLETRANSLATE(B17416,""en"",""fr"")"),"Il y a un homme vêtu de Croquet en tout blanc dans un champ ouvert.")</f>
        <v>Il y a un homme vêtu de Croquet en tout blanc dans un champ ouvert.</v>
      </c>
    </row>
    <row r="17417">
      <c r="A17417" s="4" t="s">
        <v>21921</v>
      </c>
      <c r="B17417" s="4" t="s">
        <v>21923</v>
      </c>
      <c r="C17417" s="5" t="str">
        <f>IFERROR(__xludf.DUMMYFUNCTION("GOOGLETRANSLATE(B17417,""en"",""fr"")"),"Il y a plusieurs chaises disposées sur le terrain.")</f>
        <v>Il y a plusieurs chaises disposées sur le terrain.</v>
      </c>
    </row>
    <row r="17418">
      <c r="A17418" s="4" t="s">
        <v>21921</v>
      </c>
      <c r="B17418" s="4" t="s">
        <v>21924</v>
      </c>
      <c r="C17418" s="5" t="str">
        <f>IFERROR(__xludf.DUMMYFUNCTION("GOOGLETRANSLATE(B17418,""en"",""fr"")"),"Il prend le maillet dans sa main et frappe la balle de croquet au cerceau.")</f>
        <v>Il prend le maillet dans sa main et frappe la balle de croquet au cerceau.</v>
      </c>
    </row>
    <row r="17419">
      <c r="A17419" s="4" t="s">
        <v>21921</v>
      </c>
      <c r="B17419" s="4" t="s">
        <v>21925</v>
      </c>
      <c r="C17419" s="5" t="str">
        <f>IFERROR(__xludf.DUMMYFUNCTION("GOOGLETRANSLATE(B17419,""en"",""fr"")"),"Il frappe le ballon et il atterrit directement dans le cerceau.")</f>
        <v>Il frappe le ballon et il atterrit directement dans le cerceau.</v>
      </c>
    </row>
    <row r="17420">
      <c r="A17420" s="4" t="s">
        <v>21926</v>
      </c>
      <c r="B17420" s="4" t="s">
        <v>21927</v>
      </c>
      <c r="C17420" s="5" t="str">
        <f>IFERROR(__xludf.DUMMYFUNCTION("GOOGLETRANSLATE(B17420,""en"",""fr"")"),"Un homme prend une balle avec sa raquette et la balance à son adversaire sur le filet.")</f>
        <v>Un homme prend une balle avec sa raquette et la balance à son adversaire sur le filet.</v>
      </c>
    </row>
    <row r="17421">
      <c r="A17421" s="4" t="s">
        <v>21926</v>
      </c>
      <c r="B17421" s="4" t="s">
        <v>21928</v>
      </c>
      <c r="C17421" s="5" t="str">
        <f>IFERROR(__xludf.DUMMYFUNCTION("GOOGLETRANSLATE(B17421,""en"",""fr"")"),"L'adversaire sert le ballon.")</f>
        <v>L'adversaire sert le ballon.</v>
      </c>
    </row>
    <row r="17422">
      <c r="A17422" s="4" t="s">
        <v>21926</v>
      </c>
      <c r="B17422" s="4" t="s">
        <v>21929</v>
      </c>
      <c r="C17422" s="5" t="str">
        <f>IFERROR(__xludf.DUMMYFUNCTION("GOOGLETRANSLATE(B17422,""en"",""fr"")"),"Les équipes s'engagent dans des allers-retours rapides du ballon.")</f>
        <v>Les équipes s'engagent dans des allers-retours rapides du ballon.</v>
      </c>
    </row>
    <row r="17423">
      <c r="A17423" s="4" t="s">
        <v>21926</v>
      </c>
      <c r="B17423" s="4" t="s">
        <v>21930</v>
      </c>
      <c r="C17423" s="5" t="str">
        <f>IFERROR(__xludf.DUMMYFUNCTION("GOOGLETRANSLATE(B17423,""en"",""fr"")"),"Le jeu s'arrête pendant une seconde et reprend avec l'une des équipes servant le ballon.")</f>
        <v>Le jeu s'arrête pendant une seconde et reprend avec l'une des équipes servant le ballon.</v>
      </c>
    </row>
    <row r="17424">
      <c r="A17424" s="4" t="s">
        <v>21926</v>
      </c>
      <c r="B17424" s="4" t="s">
        <v>21931</v>
      </c>
      <c r="C17424" s="5" t="str">
        <f>IFERROR(__xludf.DUMMYFUNCTION("GOOGLETRANSLATE(B17424,""en"",""fr"")"),"Ils se battent sur le terrain, envoyant le ballon dans les deux sens sur le filet.")</f>
        <v>Ils se battent sur le terrain, envoyant le ballon dans les deux sens sur le filet.</v>
      </c>
    </row>
    <row r="17425">
      <c r="A17425" s="4" t="s">
        <v>21926</v>
      </c>
      <c r="B17425" s="4" t="s">
        <v>21932</v>
      </c>
      <c r="C17425" s="5" t="str">
        <f>IFERROR(__xludf.DUMMYFUNCTION("GOOGLETRANSLATE(B17425,""en"",""fr"")"),"Le ballon sort des limites.")</f>
        <v>Le ballon sort des limites.</v>
      </c>
    </row>
    <row r="17426">
      <c r="A17426" s="4" t="s">
        <v>21926</v>
      </c>
      <c r="B17426" s="6" t="s">
        <v>21933</v>
      </c>
      <c r="C17426" s="5" t="str">
        <f>IFERROR(__xludf.DUMMYFUNCTION("GOOGLETRANSLATE(B17426,""en"",""fr"")"),"Un homme sert le ballon et ils s'engagent dans un bref et venant du ballon avant que le ballon ne tombe au sol.")</f>
        <v>Un homme sert le ballon et ils s'engagent dans un bref et venant du ballon avant que le ballon ne tombe au sol.</v>
      </c>
    </row>
    <row r="17427">
      <c r="A17427" s="4" t="s">
        <v>21934</v>
      </c>
      <c r="B17427" s="4" t="s">
        <v>7239</v>
      </c>
      <c r="C17427" s="5" t="str">
        <f>IFERROR(__xludf.DUMMYFUNCTION("GOOGLETRANSLATE(B17427,""en"",""fr"")"),"Nous voyons un écran de titre noir.")</f>
        <v>Nous voyons un écran de titre noir.</v>
      </c>
    </row>
    <row r="17428">
      <c r="A17428" s="4" t="s">
        <v>21934</v>
      </c>
      <c r="B17428" s="4" t="s">
        <v>21935</v>
      </c>
      <c r="C17428" s="5" t="str">
        <f>IFERROR(__xludf.DUMMYFUNCTION("GOOGLETRANSLATE(B17428,""en"",""fr"")"),"Un homme se dirige vers un mur de briques avec une raclette et nous montre une bouteille de Windex.")</f>
        <v>Un homme se dirige vers un mur de briques avec une raclette et nous montre une bouteille de Windex.</v>
      </c>
    </row>
    <row r="17429">
      <c r="A17429" s="4" t="s">
        <v>21934</v>
      </c>
      <c r="B17429" s="4" t="s">
        <v>21936</v>
      </c>
      <c r="C17429" s="5" t="str">
        <f>IFERROR(__xludf.DUMMYFUNCTION("GOOGLETRANSLATE(B17429,""en"",""fr"")"),"L'homme lave la fenêtre.")</f>
        <v>L'homme lave la fenêtre.</v>
      </c>
    </row>
    <row r="17430">
      <c r="A17430" s="4" t="s">
        <v>21934</v>
      </c>
      <c r="B17430" s="4" t="s">
        <v>21937</v>
      </c>
      <c r="C17430" s="5" t="str">
        <f>IFERROR(__xludf.DUMMYFUNCTION("GOOGLETRANSLATE(B17430,""en"",""fr"")"),"L'homme pulvérise Windex et se lave avec une raclette.")</f>
        <v>L'homme pulvérise Windex et se lave avec une raclette.</v>
      </c>
    </row>
    <row r="17431">
      <c r="A17431" s="4" t="s">
        <v>21934</v>
      </c>
      <c r="B17431" s="4" t="s">
        <v>21938</v>
      </c>
      <c r="C17431" s="5" t="str">
        <f>IFERROR(__xludf.DUMMYFUNCTION("GOOGLETRANSLATE(B17431,""en"",""fr"")"),"L'homme utilise du souffleur de feuilles pour sécher la fenêtre.")</f>
        <v>L'homme utilise du souffleur de feuilles pour sécher la fenêtre.</v>
      </c>
    </row>
    <row r="17432">
      <c r="A17432" s="4" t="s">
        <v>21934</v>
      </c>
      <c r="B17432" s="4" t="s">
        <v>21939</v>
      </c>
      <c r="C17432" s="5" t="str">
        <f>IFERROR(__xludf.DUMMYFUNCTION("GOOGLETRANSLATE(B17432,""en"",""fr"")"),"L'homme finit et parle de la fenêtre avant de s'éloigner.")</f>
        <v>L'homme finit et parle de la fenêtre avant de s'éloigner.</v>
      </c>
    </row>
    <row r="17433">
      <c r="A17433" s="4" t="s">
        <v>21940</v>
      </c>
      <c r="B17433" s="4" t="s">
        <v>21941</v>
      </c>
      <c r="C17433" s="5" t="str">
        <f>IFERROR(__xludf.DUMMYFUNCTION("GOOGLETRANSLATE(B17433,""en"",""fr"")"),"Deux enfants font des arts martiaux mixtes devant une télévision.")</f>
        <v>Deux enfants font des arts martiaux mixtes devant une télévision.</v>
      </c>
    </row>
    <row r="17434">
      <c r="A17434" s="4" t="s">
        <v>21940</v>
      </c>
      <c r="B17434" s="4" t="s">
        <v>21942</v>
      </c>
      <c r="C17434" s="5" t="str">
        <f>IFERROR(__xludf.DUMMYFUNCTION("GOOGLETRANSLATE(B17434,""en"",""fr"")"),"Ils se frappent et se frappent pour le sport.")</f>
        <v>Ils se frappent et se frappent pour le sport.</v>
      </c>
    </row>
    <row r="17435">
      <c r="A17435" s="4" t="s">
        <v>21943</v>
      </c>
      <c r="B17435" s="4" t="s">
        <v>21944</v>
      </c>
      <c r="C17435" s="5" t="str">
        <f>IFERROR(__xludf.DUMMYFUNCTION("GOOGLETRANSLATE(B17435,""en"",""fr"")"),"Un homme est vu en plusieurs coups sur une planche à roulettes dans un entrepôt sombre.")</f>
        <v>Un homme est vu en plusieurs coups sur une planche à roulettes dans un entrepôt sombre.</v>
      </c>
    </row>
    <row r="17436">
      <c r="A17436" s="4" t="s">
        <v>21943</v>
      </c>
      <c r="B17436" s="4" t="s">
        <v>21945</v>
      </c>
      <c r="C17436" s="5" t="str">
        <f>IFERROR(__xludf.DUMMYFUNCTION("GOOGLETRANSLATE(B17436,""en"",""fr"")"),"L'homme commence alors à sauter sur sa planche pour démontrer des mouvements.")</f>
        <v>L'homme commence alors à sauter sur sa planche pour démontrer des mouvements.</v>
      </c>
    </row>
    <row r="17437">
      <c r="A17437" s="4" t="s">
        <v>21943</v>
      </c>
      <c r="B17437" s="4" t="s">
        <v>21946</v>
      </c>
      <c r="C17437" s="5" t="str">
        <f>IFERROR(__xludf.DUMMYFUNCTION("GOOGLETRANSLATE(B17437,""en"",""fr"")"),"Il continue de sauter dans la pièce pendant que la caméra capture ses mouvements.")</f>
        <v>Il continue de sauter dans la pièce pendant que la caméra capture ses mouvements.</v>
      </c>
    </row>
    <row r="17438">
      <c r="A17438" s="4" t="s">
        <v>21947</v>
      </c>
      <c r="B17438" s="4" t="s">
        <v>21948</v>
      </c>
      <c r="C17438" s="5" t="str">
        <f>IFERROR(__xludf.DUMMYFUNCTION("GOOGLETRANSLATE(B17438,""en"",""fr"")"),"Nous voyons un gardien de gardien de hockey patiner sur la glace.")</f>
        <v>Nous voyons un gardien de gardien de hockey patiner sur la glace.</v>
      </c>
    </row>
    <row r="17439">
      <c r="A17439" s="4" t="s">
        <v>21947</v>
      </c>
      <c r="B17439" s="4" t="s">
        <v>21949</v>
      </c>
      <c r="C17439" s="5" t="str">
        <f>IFERROR(__xludf.DUMMYFUNCTION("GOOGLETRANSLATE(B17439,""en"",""fr"")"),"Le gardien bloque à plusieurs reprises des coups.")</f>
        <v>Le gardien bloque à plusieurs reprises des coups.</v>
      </c>
    </row>
    <row r="17440">
      <c r="A17440" s="4" t="s">
        <v>21947</v>
      </c>
      <c r="B17440" s="4" t="s">
        <v>21950</v>
      </c>
      <c r="C17440" s="5" t="str">
        <f>IFERROR(__xludf.DUMMYFUNCTION("GOOGLETRANSLATE(B17440,""en"",""fr"")"),"Nous voyons le gardien de but allongé sur la glace.")</f>
        <v>Nous voyons le gardien de but allongé sur la glace.</v>
      </c>
    </row>
    <row r="17441">
      <c r="A17441" s="4" t="s">
        <v>21947</v>
      </c>
      <c r="B17441" s="4" t="s">
        <v>21951</v>
      </c>
      <c r="C17441" s="5" t="str">
        <f>IFERROR(__xludf.DUMMYFUNCTION("GOOGLETRANSLATE(B17441,""en"",""fr"")"),"Un tir passe le passé et le gardien de but a une crise de colère.")</f>
        <v>Un tir passe le passé et le gardien de but a une crise de colère.</v>
      </c>
    </row>
    <row r="17442">
      <c r="A17442" s="4" t="s">
        <v>21947</v>
      </c>
      <c r="B17442" s="4" t="s">
        <v>21952</v>
      </c>
      <c r="C17442" s="5" t="str">
        <f>IFERROR(__xludf.DUMMYFUNCTION("GOOGLETRANSLATE(B17442,""en"",""fr"")"),"Le gardien est assis par terre alors qu'une personne tire son coup.")</f>
        <v>Le gardien est assis par terre alors qu'une personne tire son coup.</v>
      </c>
    </row>
    <row r="17443">
      <c r="A17443" s="4" t="s">
        <v>21953</v>
      </c>
      <c r="B17443" s="4" t="s">
        <v>21954</v>
      </c>
      <c r="C17443" s="5" t="str">
        <f>IFERROR(__xludf.DUMMYFUNCTION("GOOGLETRANSLATE(B17443,""en"",""fr"")"),"Un homme portant une chemise noire et un jean bleu joue une guitare acoustique.")</f>
        <v>Un homme portant une chemise noire et un jean bleu joue une guitare acoustique.</v>
      </c>
    </row>
    <row r="17444">
      <c r="A17444" s="4" t="s">
        <v>21953</v>
      </c>
      <c r="B17444" s="4" t="s">
        <v>21955</v>
      </c>
      <c r="C17444" s="5" t="str">
        <f>IFERROR(__xludf.DUMMYFUNCTION("GOOGLETRANSLATE(B17444,""en"",""fr"")"),"Il joue un riff alors qu'il bouge les jambes en rythme.")</f>
        <v>Il joue un riff alors qu'il bouge les jambes en rythme.</v>
      </c>
    </row>
    <row r="17445">
      <c r="A17445" s="4" t="s">
        <v>21953</v>
      </c>
      <c r="B17445" s="4" t="s">
        <v>21956</v>
      </c>
      <c r="C17445" s="5" t="str">
        <f>IFERROR(__xludf.DUMMYFUNCTION("GOOGLETRANSLATE(B17445,""en"",""fr"")"),"Il continue de jouer de la guitare alors que la caméra se concentre sur ses mains et la guitare uniquement.")</f>
        <v>Il continue de jouer de la guitare alors que la caméra se concentre sur ses mains et la guitare uniquement.</v>
      </c>
    </row>
    <row r="17446">
      <c r="A17446" s="4" t="s">
        <v>21953</v>
      </c>
      <c r="B17446" s="4" t="s">
        <v>21957</v>
      </c>
      <c r="C17446" s="5" t="str">
        <f>IFERROR(__xludf.DUMMYFUNCTION("GOOGLETRANSLATE(B17446,""en"",""fr"")"),"Il joue plusieurs morceaux différents les uns après les autres alors qu'il gratte la guitare avec son choix.")</f>
        <v>Il joue plusieurs morceaux différents les uns après les autres alors qu'il gratte la guitare avec son choix.</v>
      </c>
    </row>
    <row r="17447">
      <c r="A17447" s="4" t="s">
        <v>21958</v>
      </c>
      <c r="B17447" s="4" t="s">
        <v>21959</v>
      </c>
      <c r="C17447" s="5" t="str">
        <f>IFERROR(__xludf.DUMMYFUNCTION("GOOGLETRANSLATE(B17447,""en"",""fr"")"),"Un homme est vu rire et souriant à lui-même et mène à lui jouer un piano devant lui.")</f>
        <v>Un homme est vu rire et souriant à lui-même et mène à lui jouer un piano devant lui.</v>
      </c>
    </row>
    <row r="17448">
      <c r="A17448" s="4" t="s">
        <v>21958</v>
      </c>
      <c r="B17448" s="6" t="s">
        <v>21960</v>
      </c>
      <c r="C17448" s="5" t="str">
        <f>IFERROR(__xludf.DUMMYFUNCTION("GOOGLETRANSLATE(B17448,""en"",""fr"")"),"L'homme s'arrête et regarde au loin pour voir un autre homme lui parler ainsi que dans un microphone.")</f>
        <v>L'homme s'arrête et regarde au loin pour voir un autre homme lui parler ainsi que dans un microphone.</v>
      </c>
    </row>
    <row r="17449">
      <c r="A17449" s="4" t="s">
        <v>21961</v>
      </c>
      <c r="B17449" s="4" t="s">
        <v>21962</v>
      </c>
      <c r="C17449" s="5" t="str">
        <f>IFERROR(__xludf.DUMMYFUNCTION("GOOGLETRANSLATE(B17449,""en"",""fr"")"),"Une ligne de joueurs est sur un terrain ensemble.")</f>
        <v>Une ligne de joueurs est sur un terrain ensemble.</v>
      </c>
    </row>
    <row r="17450">
      <c r="A17450" s="4" t="s">
        <v>21961</v>
      </c>
      <c r="B17450" s="4" t="s">
        <v>21963</v>
      </c>
      <c r="C17450" s="5" t="str">
        <f>IFERROR(__xludf.DUMMYFUNCTION("GOOGLETRANSLATE(B17450,""en"",""fr"")"),"Ils commencent à sauter la corde à l'unisson.")</f>
        <v>Ils commencent à sauter la corde à l'unisson.</v>
      </c>
    </row>
    <row r="17451">
      <c r="A17451" s="4" t="s">
        <v>21961</v>
      </c>
      <c r="B17451" s="4" t="s">
        <v>21964</v>
      </c>
      <c r="C17451" s="5" t="str">
        <f>IFERROR(__xludf.DUMMYFUNCTION("GOOGLETRANSLATE(B17451,""en"",""fr"")"),"Ils se déplacent de la même manière, dansant et traversant les cordes.")</f>
        <v>Ils se déplacent de la même manière, dansant et traversant les cordes.</v>
      </c>
    </row>
    <row r="17452">
      <c r="A17452" s="4" t="s">
        <v>21965</v>
      </c>
      <c r="B17452" s="4" t="s">
        <v>21966</v>
      </c>
      <c r="C17452" s="5" t="str">
        <f>IFERROR(__xludf.DUMMYFUNCTION("GOOGLETRANSLATE(B17452,""en"",""fr"")"),"Un gars se prépare à jouer un instrument.")</f>
        <v>Un gars se prépare à jouer un instrument.</v>
      </c>
    </row>
    <row r="17453">
      <c r="A17453" s="4" t="s">
        <v>21965</v>
      </c>
      <c r="B17453" s="4" t="s">
        <v>21967</v>
      </c>
      <c r="C17453" s="5" t="str">
        <f>IFERROR(__xludf.DUMMYFUNCTION("GOOGLETRANSLATE(B17453,""en"",""fr"")"),"Le gars joue un saxophone et utilise un microphone.")</f>
        <v>Le gars joue un saxophone et utilise un microphone.</v>
      </c>
    </row>
    <row r="17454">
      <c r="A17454" s="4" t="s">
        <v>21965</v>
      </c>
      <c r="B17454" s="4" t="s">
        <v>21968</v>
      </c>
      <c r="C17454" s="5" t="str">
        <f>IFERROR(__xludf.DUMMYFUNCTION("GOOGLETRANSLATE(B17454,""en"",""fr"")"),"Le gars sort le saxophone de sa bouche et se pose.")</f>
        <v>Le gars sort le saxophone de sa bouche et se pose.</v>
      </c>
    </row>
    <row r="17455">
      <c r="A17455" s="4" t="s">
        <v>21969</v>
      </c>
      <c r="B17455" s="4" t="s">
        <v>21970</v>
      </c>
      <c r="C17455" s="5" t="str">
        <f>IFERROR(__xludf.DUMMYFUNCTION("GOOGLETRANSLATE(B17455,""en"",""fr"")"),"Une personne peint une clôture en bois.")</f>
        <v>Une personne peint une clôture en bois.</v>
      </c>
    </row>
    <row r="17456">
      <c r="A17456" s="4" t="s">
        <v>21969</v>
      </c>
      <c r="B17456" s="4" t="s">
        <v>21971</v>
      </c>
      <c r="C17456" s="5" t="str">
        <f>IFERROR(__xludf.DUMMYFUNCTION("GOOGLETRANSLATE(B17456,""en"",""fr"")"),"Les pattes d'un chat peuvent être vues sortir sous la clôture.")</f>
        <v>Les pattes d'un chat peuvent être vues sortir sous la clôture.</v>
      </c>
    </row>
    <row r="17457">
      <c r="A17457" s="4" t="s">
        <v>21969</v>
      </c>
      <c r="B17457" s="4" t="s">
        <v>21972</v>
      </c>
      <c r="C17457" s="5" t="str">
        <f>IFERROR(__xludf.DUMMYFUNCTION("GOOGLETRANSLATE(B17457,""en"",""fr"")"),"Un chien regarde les pattes du chat.")</f>
        <v>Un chien regarde les pattes du chat.</v>
      </c>
    </row>
    <row r="17458">
      <c r="A17458" s="4" t="s">
        <v>21973</v>
      </c>
      <c r="B17458" s="4" t="s">
        <v>21974</v>
      </c>
      <c r="C17458" s="5" t="str">
        <f>IFERROR(__xludf.DUMMYFUNCTION("GOOGLETRANSLATE(B17458,""en"",""fr"")"),"Un homme regarde une performance à la télévision tout en jouant un ensemble de tambours à main à la maison.")</f>
        <v>Un homme regarde une performance à la télévision tout en jouant un ensemble de tambours à main à la maison.</v>
      </c>
    </row>
    <row r="17459">
      <c r="A17459" s="4" t="s">
        <v>21973</v>
      </c>
      <c r="B17459" s="4" t="s">
        <v>21975</v>
      </c>
      <c r="C17459" s="5" t="str">
        <f>IFERROR(__xludf.DUMMYFUNCTION("GOOGLETRANSLATE(B17459,""en"",""fr"")"),"L'homme regarde et se concentre en jouant à la batterie.")</f>
        <v>L'homme regarde et se concentre en jouant à la batterie.</v>
      </c>
    </row>
    <row r="17460">
      <c r="A17460" s="4" t="s">
        <v>21973</v>
      </c>
      <c r="B17460" s="4" t="s">
        <v>21976</v>
      </c>
      <c r="C17460" s="5" t="str">
        <f>IFERROR(__xludf.DUMMYFUNCTION("GOOGLETRANSLATE(B17460,""en"",""fr"")"),"L'homme se penche en arrière et joue vigoureusement sur les tambours.")</f>
        <v>L'homme se penche en arrière et joue vigoureusement sur les tambours.</v>
      </c>
    </row>
    <row r="17461">
      <c r="A17461" s="4" t="s">
        <v>21977</v>
      </c>
      <c r="B17461" s="4" t="s">
        <v>21978</v>
      </c>
      <c r="C17461" s="5" t="str">
        <f>IFERROR(__xludf.DUMMYFUNCTION("GOOGLETRANSLATE(B17461,""en"",""fr"")"),"De nombreux arbres et eau profonde d'une rivière sont représentés.")</f>
        <v>De nombreux arbres et eau profonde d'une rivière sont représentés.</v>
      </c>
    </row>
    <row r="17462">
      <c r="A17462" s="4" t="s">
        <v>21977</v>
      </c>
      <c r="B17462" s="4" t="s">
        <v>21979</v>
      </c>
      <c r="C17462" s="5" t="str">
        <f>IFERROR(__xludf.DUMMYFUNCTION("GOOGLETRANSLATE(B17462,""en"",""fr"")"),"Un homme se tient à l'arrière d'un bateau-vitesse.")</f>
        <v>Un homme se tient à l'arrière d'un bateau-vitesse.</v>
      </c>
    </row>
    <row r="17463">
      <c r="A17463" s="4" t="s">
        <v>21977</v>
      </c>
      <c r="B17463" s="4" t="s">
        <v>21980</v>
      </c>
      <c r="C17463" s="5" t="str">
        <f>IFERROR(__xludf.DUMMYFUNCTION("GOOGLETRANSLATE(B17463,""en"",""fr"")"),"Il place sa planche dans l'eau et commence à skier nautique.")</f>
        <v>Il place sa planche dans l'eau et commence à skier nautique.</v>
      </c>
    </row>
    <row r="17464">
      <c r="A17464" s="4" t="s">
        <v>21977</v>
      </c>
      <c r="B17464" s="4" t="s">
        <v>21981</v>
      </c>
      <c r="C17464" s="5" t="str">
        <f>IFERROR(__xludf.DUMMYFUNCTION("GOOGLETRANSLATE(B17464,""en"",""fr"")"),"Il effectue plusieurs astuces pendant qu'il skis.")</f>
        <v>Il effectue plusieurs astuces pendant qu'il skis.</v>
      </c>
    </row>
    <row r="17465">
      <c r="A17465" s="4" t="s">
        <v>21982</v>
      </c>
      <c r="B17465" s="4" t="s">
        <v>21983</v>
      </c>
      <c r="C17465" s="5" t="str">
        <f>IFERROR(__xludf.DUMMYFUNCTION("GOOGLETRANSLATE(B17465,""en"",""fr"")"),"Un jeune garçon balance dans une pinata sans avoir un bon coup dessus.")</f>
        <v>Un jeune garçon balance dans une pinata sans avoir un bon coup dessus.</v>
      </c>
    </row>
    <row r="17466">
      <c r="A17466" s="4" t="s">
        <v>21982</v>
      </c>
      <c r="B17466" s="4" t="s">
        <v>21984</v>
      </c>
      <c r="C17466" s="5" t="str">
        <f>IFERROR(__xludf.DUMMYFUNCTION("GOOGLETRANSLATE(B17466,""en"",""fr"")"),"Le garçon esquive la pinata qui se balance vers lui.")</f>
        <v>Le garçon esquive la pinata qui se balance vers lui.</v>
      </c>
    </row>
    <row r="17467">
      <c r="A17467" s="4" t="s">
        <v>21982</v>
      </c>
      <c r="B17467" s="4" t="s">
        <v>21985</v>
      </c>
      <c r="C17467" s="5" t="str">
        <f>IFERROR(__xludf.DUMMYFUNCTION("GOOGLETRANSLATE(B17467,""en"",""fr"")"),"Le garçon abandonne et s'éloigne.")</f>
        <v>Le garçon abandonne et s'éloigne.</v>
      </c>
    </row>
    <row r="17468">
      <c r="A17468" s="4" t="s">
        <v>21986</v>
      </c>
      <c r="B17468" s="4" t="s">
        <v>21987</v>
      </c>
      <c r="C17468" s="5" t="str">
        <f>IFERROR(__xludf.DUMMYFUNCTION("GOOGLETRANSLATE(B17468,""en"",""fr"")"),"Un homme entre dans une pièce en jouant sa cornemuse.")</f>
        <v>Un homme entre dans une pièce en jouant sa cornemuse.</v>
      </c>
    </row>
    <row r="17469">
      <c r="A17469" s="4" t="s">
        <v>21986</v>
      </c>
      <c r="B17469" s="4" t="s">
        <v>21988</v>
      </c>
      <c r="C17469" s="5" t="str">
        <f>IFERROR(__xludf.DUMMYFUNCTION("GOOGLETRANSLATE(B17469,""en"",""fr"")"),"Il arrête de jouer à ses cornemas.")</f>
        <v>Il arrête de jouer à ses cornemas.</v>
      </c>
    </row>
    <row r="17470">
      <c r="A17470" s="4" t="s">
        <v>21989</v>
      </c>
      <c r="B17470" s="4" t="s">
        <v>21990</v>
      </c>
      <c r="C17470" s="5" t="str">
        <f>IFERROR(__xludf.DUMMYFUNCTION("GOOGLETRANSLATE(B17470,""en"",""fr"")"),"Un groupe d'hommes parle dans une pièce.")</f>
        <v>Un groupe d'hommes parle dans une pièce.</v>
      </c>
    </row>
    <row r="17471">
      <c r="A17471" s="4" t="s">
        <v>21989</v>
      </c>
      <c r="B17471" s="4" t="s">
        <v>21991</v>
      </c>
      <c r="C17471" s="5" t="str">
        <f>IFERROR(__xludf.DUMMYFUNCTION("GOOGLETRANSLATE(B17471,""en"",""fr"")"),"Plusieurs scènes de combat sont montrées à partir d'un film d'arts martiaux.")</f>
        <v>Plusieurs scènes de combat sont montrées à partir d'un film d'arts martiaux.</v>
      </c>
    </row>
    <row r="17472">
      <c r="A17472" s="4" t="s">
        <v>21989</v>
      </c>
      <c r="B17472" s="4" t="s">
        <v>21992</v>
      </c>
      <c r="C17472" s="5" t="str">
        <f>IFERROR(__xludf.DUMMYFUNCTION("GOOGLETRANSLATE(B17472,""en"",""fr"")"),"Ils se déplacent rapidement, faisant semblant de se battre pour la caméra.")</f>
        <v>Ils se déplacent rapidement, faisant semblant de se battre pour la caméra.</v>
      </c>
    </row>
    <row r="17473">
      <c r="A17473" s="4" t="s">
        <v>21993</v>
      </c>
      <c r="B17473" s="6" t="s">
        <v>21994</v>
      </c>
      <c r="C17473" s="5" t="str">
        <f>IFERROR(__xludf.DUMMYFUNCTION("GOOGLETRANSLATE(B17473,""en"",""fr"")"),"Un homme est vu parler à la caméra et mène à des coups de feu en marchant dans un couloir et en prenant un café.")</f>
        <v>Un homme est vu parler à la caméra et mène à des coups de feu en marchant dans un couloir et en prenant un café.</v>
      </c>
    </row>
    <row r="17474">
      <c r="A17474" s="4" t="s">
        <v>21993</v>
      </c>
      <c r="B17474" s="4" t="s">
        <v>21995</v>
      </c>
      <c r="C17474" s="5" t="str">
        <f>IFERROR(__xludf.DUMMYFUNCTION("GOOGLETRANSLATE(B17474,""en"",""fr"")"),"Il attrape du sucre, met un couvercle sur son café puis sourit au loin en s'éloignant.")</f>
        <v>Il attrape du sucre, met un couvercle sur son café puis sourit au loin en s'éloignant.</v>
      </c>
    </row>
    <row r="17475">
      <c r="A17475" s="4" t="s">
        <v>21996</v>
      </c>
      <c r="B17475" s="6" t="s">
        <v>21997</v>
      </c>
      <c r="C17475" s="5" t="str">
        <f>IFERROR(__xludf.DUMMYFUNCTION("GOOGLETRANSLATE(B17475,""en"",""fr"")"),"Un homme peint professionnellement plusieurs meubles à l'aide d'un peintre de pulvérisation dans un atelier de peinture tout en portant une salopette, une chemise en jean et un masque de peinture.")</f>
        <v>Un homme peint professionnellement plusieurs meubles à l'aide d'un peintre de pulvérisation dans un atelier de peinture tout en portant une salopette, une chemise en jean et un masque de peinture.</v>
      </c>
    </row>
    <row r="17476">
      <c r="A17476" s="4" t="s">
        <v>21996</v>
      </c>
      <c r="B17476" s="4" t="s">
        <v>21998</v>
      </c>
      <c r="C17476" s="5" t="str">
        <f>IFERROR(__xludf.DUMMYFUNCTION("GOOGLETRANSLATE(B17476,""en"",""fr"")"),"L'homme commence par peindre un gris métallique de fauteuil en bois avec une boîte de peinture en aérosol en or.")</f>
        <v>L'homme commence par peindre un gris métallique de fauteuil en bois avec une boîte de peinture en aérosol en or.</v>
      </c>
    </row>
    <row r="17477">
      <c r="A17477" s="4" t="s">
        <v>21996</v>
      </c>
      <c r="B17477" s="4" t="s">
        <v>21999</v>
      </c>
      <c r="C17477" s="5" t="str">
        <f>IFERROR(__xludf.DUMMYFUNCTION("GOOGLETRANSLATE(B17477,""en"",""fr"")"),"L'homme peint ensuite une table d'appoint noire avec des lumières qui brillent du bois peint noir.")</f>
        <v>L'homme peint ensuite une table d'appoint noire avec des lumières qui brillent du bois peint noir.</v>
      </c>
    </row>
    <row r="17478">
      <c r="A17478" s="4" t="s">
        <v>21996</v>
      </c>
      <c r="B17478" s="6" t="s">
        <v>22000</v>
      </c>
      <c r="C17478" s="5" t="str">
        <f>IFERROR(__xludf.DUMMYFUNCTION("GOOGLETRANSLATE(B17478,""en"",""fr"")"),"L'homme se termine par la peinture d'un tiroir de commode rose avant que la scène ne se fonde sur un graphique marketing noir.")</f>
        <v>L'homme se termine par la peinture d'un tiroir de commode rose avant que la scène ne se fonde sur un graphique marketing noir.</v>
      </c>
    </row>
    <row r="17479">
      <c r="A17479" s="4" t="s">
        <v>22001</v>
      </c>
      <c r="B17479" s="4" t="s">
        <v>22002</v>
      </c>
      <c r="C17479" s="5" t="str">
        <f>IFERROR(__xludf.DUMMYFUNCTION("GOOGLETRANSLATE(B17479,""en"",""fr"")"),"Un homme commence par faire du vélo de terre et s'écrase immédiatement dans le sol derrière lui.")</f>
        <v>Un homme commence par faire du vélo de terre et s'écrase immédiatement dans le sol derrière lui.</v>
      </c>
    </row>
    <row r="17480">
      <c r="A17480" s="4" t="s">
        <v>22001</v>
      </c>
      <c r="B17480" s="6" t="s">
        <v>22003</v>
      </c>
      <c r="C17480" s="5" t="str">
        <f>IFERROR(__xludf.DUMMYFUNCTION("GOOGLETRANSLATE(B17480,""en"",""fr"")"),"La vidéo suit plusieurs autres personnes qui tentent de courir un vélo de saleté et de s'écraser instantanément sur le chemin devant eux.")</f>
        <v>La vidéo suit plusieurs autres personnes qui tentent de courir un vélo de saleté et de s'écraser instantanément sur le chemin devant eux.</v>
      </c>
    </row>
    <row r="17481">
      <c r="A17481" s="4" t="s">
        <v>22004</v>
      </c>
      <c r="B17481" s="4" t="s">
        <v>22005</v>
      </c>
      <c r="C17481" s="5" t="str">
        <f>IFERROR(__xludf.DUMMYFUNCTION("GOOGLETRANSLATE(B17481,""en"",""fr"")"),"Un garçon et une fille sont assis dans leur salon avec un fil coloré et démontrant comment tricoter.")</f>
        <v>Un garçon et une fille sont assis dans leur salon avec un fil coloré et démontrant comment tricoter.</v>
      </c>
    </row>
    <row r="17482">
      <c r="A17482" s="4" t="s">
        <v>22004</v>
      </c>
      <c r="B17482" s="6" t="s">
        <v>22006</v>
      </c>
      <c r="C17482" s="5" t="str">
        <f>IFERROR(__xludf.DUMMYFUNCTION("GOOGLETRANSLATE(B17482,""en"",""fr"")"),"Le garçon porte un sweat à capuche bleu et la fille porte un pull blanc avec des rayures horizontales bleues.")</f>
        <v>Le garçon porte un sweat à capuche bleu et la fille porte un pull blanc avec des rayures horizontales bleues.</v>
      </c>
    </row>
    <row r="17483">
      <c r="A17483" s="4" t="s">
        <v>22004</v>
      </c>
      <c r="B17483" s="4" t="s">
        <v>22007</v>
      </c>
      <c r="C17483" s="5" t="str">
        <f>IFERROR(__xludf.DUMMYFUNCTION("GOOGLETRANSLATE(B17483,""en"",""fr"")"),"La mère qui n'est pas représentée dans la vidéo les enregistre.")</f>
        <v>La mère qui n'est pas représentée dans la vidéo les enregistre.</v>
      </c>
    </row>
    <row r="17484">
      <c r="A17484" s="4" t="s">
        <v>22004</v>
      </c>
      <c r="B17484" s="4" t="s">
        <v>22008</v>
      </c>
      <c r="C17484" s="5" t="str">
        <f>IFERROR(__xludf.DUMMYFUNCTION("GOOGLETRANSLATE(B17484,""en"",""fr"")"),"Le garçon tient les aiguilles et montre comment il utilise le fil pour tricoter.")</f>
        <v>Le garçon tient les aiguilles et montre comment il utilise le fil pour tricoter.</v>
      </c>
    </row>
    <row r="17485">
      <c r="A17485" s="4" t="s">
        <v>22009</v>
      </c>
      <c r="B17485" s="6" t="s">
        <v>22010</v>
      </c>
      <c r="C17485" s="5" t="str">
        <f>IFERROR(__xludf.DUMMYFUNCTION("GOOGLETRANSLATE(B17485,""en"",""fr"")"),"Un groupe de personnes masquées, portant All Black, joue un jeu graphique animé de paintball dans un champ de guerre.")</f>
        <v>Un groupe de personnes masquées, portant All Black, joue un jeu graphique animé de paintball dans un champ de guerre.</v>
      </c>
    </row>
    <row r="17486">
      <c r="A17486" s="4" t="s">
        <v>22009</v>
      </c>
      <c r="B17486" s="6" t="s">
        <v>22011</v>
      </c>
      <c r="C17486" s="5" t="str">
        <f>IFERROR(__xludf.DUMMYFUNCTION("GOOGLETRANSLATE(B17486,""en"",""fr"")"),"Une personne animée traverse un champ de soldats masqués noirs avec un pistolet de peinture et commence à tirer sur des gens, plusieurs personnes sont blessées parmi un champ de guerre jonché de cabanes en pierre vides et de voitures abandonnées.")</f>
        <v>Une personne animée traverse un champ de soldats masqués noirs avec un pistolet de peinture et commence à tirer sur des gens, plusieurs personnes sont blessées parmi un champ de guerre jonché de cabanes en pierre vides et de voitures abandonnées.</v>
      </c>
    </row>
    <row r="17487">
      <c r="A17487" s="4" t="s">
        <v>22009</v>
      </c>
      <c r="B17487" s="6" t="s">
        <v>22012</v>
      </c>
      <c r="C17487" s="5" t="str">
        <f>IFERROR(__xludf.DUMMYFUNCTION("GOOGLETRANSLATE(B17487,""en"",""fr"")"),"Les soldats de combat passent un chien animé en laisse avec une personne vêtue d'un uniforme arbitre noir et blanc tenant la laisse.")</f>
        <v>Les soldats de combat passent un chien animé en laisse avec une personne vêtue d'un uniforme arbitre noir et blanc tenant la laisse.</v>
      </c>
    </row>
    <row r="17488">
      <c r="A17488" s="4" t="s">
        <v>22009</v>
      </c>
      <c r="B17488" s="6" t="s">
        <v>22013</v>
      </c>
      <c r="C17488" s="5" t="str">
        <f>IFERROR(__xludf.DUMMYFUNCTION("GOOGLETRANSLATE(B17488,""en"",""fr"")"),"La fusillade se poursuit parmi les soldats masqués jusqu'à ce qu'une boîte de lettres ""Red Team gagne"" apparaît et que les soldats se dirigent vers la droite et se terminaient en nombre.")</f>
        <v>La fusillade se poursuit parmi les soldats masqués jusqu'à ce qu'une boîte de lettres "Red Team gagne" apparaît et que les soldats se dirigent vers la droite et se terminaient en nombre.</v>
      </c>
    </row>
    <row r="17489">
      <c r="A17489" s="4" t="s">
        <v>22014</v>
      </c>
      <c r="B17489" s="4" t="s">
        <v>22015</v>
      </c>
      <c r="C17489" s="5" t="str">
        <f>IFERROR(__xludf.DUMMYFUNCTION("GOOGLETRANSLATE(B17489,""en"",""fr"")"),"Un homme est vu se plier en tenant une batte au crochet et en frappant une balle dans un trou.")</f>
        <v>Un homme est vu se plier en tenant une batte au crochet et en frappant une balle dans un trou.</v>
      </c>
    </row>
    <row r="17490">
      <c r="A17490" s="4" t="s">
        <v>22014</v>
      </c>
      <c r="B17490" s="4" t="s">
        <v>22016</v>
      </c>
      <c r="C17490" s="5" t="str">
        <f>IFERROR(__xludf.DUMMYFUNCTION("GOOGLETRANSLATE(B17490,""en"",""fr"")"),"L'homme leva ensuite ses mains et regarde la caméra et sourit.")</f>
        <v>L'homme leva ensuite ses mains et regarde la caméra et sourit.</v>
      </c>
    </row>
    <row r="17491">
      <c r="A17491" s="4" t="s">
        <v>22017</v>
      </c>
      <c r="B17491" s="4" t="s">
        <v>22018</v>
      </c>
      <c r="C17491" s="5" t="str">
        <f>IFERROR(__xludf.DUMMYFUNCTION("GOOGLETRANSLATE(B17491,""en"",""fr"")"),"Les plongeurs plongent à tour de rôle des plates-formes de plongée haute dans une piscine.")</f>
        <v>Les plongeurs plongent à tour de rôle des plates-formes de plongée haute dans une piscine.</v>
      </c>
    </row>
    <row r="17492">
      <c r="A17492" s="4" t="s">
        <v>22017</v>
      </c>
      <c r="B17492" s="4" t="s">
        <v>22019</v>
      </c>
      <c r="C17492" s="5" t="str">
        <f>IFERROR(__xludf.DUMMYFUNCTION("GOOGLETRANSLATE(B17492,""en"",""fr"")"),"La foule applaudit et regarde les performances des plongeurs.")</f>
        <v>La foule applaudit et regarde les performances des plongeurs.</v>
      </c>
    </row>
    <row r="17493">
      <c r="A17493" s="4" t="s">
        <v>22017</v>
      </c>
      <c r="B17493" s="4" t="s">
        <v>22020</v>
      </c>
      <c r="C17493" s="5" t="str">
        <f>IFERROR(__xludf.DUMMYFUNCTION("GOOGLETRANSLATE(B17493,""en"",""fr"")"),"Un plongeur fait une plongée sur la pointe de la plate-forme la plus élevée dans la piscine.")</f>
        <v>Un plongeur fait une plongée sur la pointe de la plate-forme la plus élevée dans la piscine.</v>
      </c>
    </row>
    <row r="17494">
      <c r="A17494" s="4" t="s">
        <v>22021</v>
      </c>
      <c r="B17494" s="4" t="s">
        <v>22022</v>
      </c>
      <c r="C17494" s="5" t="str">
        <f>IFERROR(__xludf.DUMMYFUNCTION("GOOGLETRANSLATE(B17494,""en"",""fr"")"),"Une femme danse le ventre sur une scène.")</f>
        <v>Une femme danse le ventre sur une scène.</v>
      </c>
    </row>
    <row r="17495">
      <c r="A17495" s="4" t="s">
        <v>22021</v>
      </c>
      <c r="B17495" s="4" t="s">
        <v>22023</v>
      </c>
      <c r="C17495" s="5" t="str">
        <f>IFERROR(__xludf.DUMMYFUNCTION("GOOGLETRANSLATE(B17495,""en"",""fr"")"),"Il y a un gros plan de son ventre.")</f>
        <v>Il y a un gros plan de son ventre.</v>
      </c>
    </row>
    <row r="17496">
      <c r="A17496" s="4" t="s">
        <v>22021</v>
      </c>
      <c r="B17496" s="4" t="s">
        <v>22024</v>
      </c>
      <c r="C17496" s="5" t="str">
        <f>IFERROR(__xludf.DUMMYFUNCTION("GOOGLETRANSLATE(B17496,""en"",""fr"")"),"Elle ralentit sa danse vers le bas et tourne les cercles.")</f>
        <v>Elle ralentit sa danse vers le bas et tourne les cercles.</v>
      </c>
    </row>
    <row r="17497">
      <c r="A17497" s="4" t="s">
        <v>22025</v>
      </c>
      <c r="B17497" s="4" t="s">
        <v>22026</v>
      </c>
      <c r="C17497" s="5" t="str">
        <f>IFERROR(__xludf.DUMMYFUNCTION("GOOGLETRANSLATE(B17497,""en"",""fr"")"),"Une grande cascade est représentée à l'extérieur près d'un sentier rocheux d'eau.")</f>
        <v>Une grande cascade est représentée à l'extérieur près d'un sentier rocheux d'eau.</v>
      </c>
    </row>
    <row r="17498">
      <c r="A17498" s="4" t="s">
        <v>22025</v>
      </c>
      <c r="B17498" s="6" t="s">
        <v>22027</v>
      </c>
      <c r="C17498" s="5" t="str">
        <f>IFERROR(__xludf.DUMMYFUNCTION("GOOGLETRANSLATE(B17498,""en"",""fr"")"),"Tout d'un coup, une personne sur un long radeau vient pagayer dans l'eau et passe facilement à l'automne.")</f>
        <v>Tout d'un coup, une personne sur un long radeau vient pagayer dans l'eau et passe facilement à l'automne.</v>
      </c>
    </row>
    <row r="17499">
      <c r="A17499" s="4" t="s">
        <v>22025</v>
      </c>
      <c r="B17499" s="6" t="s">
        <v>22028</v>
      </c>
      <c r="C17499" s="5" t="str">
        <f>IFERROR(__xludf.DUMMYFUNCTION("GOOGLETRANSLATE(B17499,""en"",""fr"")"),"Une fois fini, ils continuent de pagayer et de naviguer dans l'eau pendant que les gens sur le côté regarde.")</f>
        <v>Une fois fini, ils continuent de pagayer et de naviguer dans l'eau pendant que les gens sur le côté regarde.</v>
      </c>
    </row>
    <row r="17500">
      <c r="A17500" s="4" t="s">
        <v>22029</v>
      </c>
      <c r="B17500" s="4" t="s">
        <v>22030</v>
      </c>
      <c r="C17500" s="5" t="str">
        <f>IFERROR(__xludf.DUMMYFUNCTION("GOOGLETRANSLATE(B17500,""en"",""fr"")"),"Tout d'abord, la caméra montre les trois personnes qui tube la neige dans la glissière enneigée glissante.")</f>
        <v>Tout d'abord, la caméra montre les trois personnes qui tube la neige dans la glissière enneigée glissante.</v>
      </c>
    </row>
    <row r="17501">
      <c r="A17501" s="4" t="s">
        <v>22029</v>
      </c>
      <c r="B17501" s="4" t="s">
        <v>22031</v>
      </c>
      <c r="C17501" s="5" t="str">
        <f>IFERROR(__xludf.DUMMYFUNCTION("GOOGLETRANSLATE(B17501,""en"",""fr"")"),"Ensuite, une personne est montrée avec des verres et d'autres équipements de neige dans les tubes de neige.")</f>
        <v>Ensuite, une personne est montrée avec des verres et d'autres équipements de neige dans les tubes de neige.</v>
      </c>
    </row>
    <row r="17502">
      <c r="A17502" s="4" t="s">
        <v>22029</v>
      </c>
      <c r="B17502" s="4" t="s">
        <v>22032</v>
      </c>
      <c r="C17502" s="5" t="str">
        <f>IFERROR(__xludf.DUMMYFUNCTION("GOOGLETRANSLATE(B17502,""en"",""fr"")"),"Ensuite, une grande quantité d'autres personnes sont représentées des tubes de neige les uns à côté des autres.")</f>
        <v>Ensuite, une grande quantité d'autres personnes sont représentées des tubes de neige les uns à côté des autres.</v>
      </c>
    </row>
    <row r="17503">
      <c r="A17503" s="4" t="s">
        <v>22033</v>
      </c>
      <c r="B17503" s="6" t="s">
        <v>22034</v>
      </c>
      <c r="C17503" s="5" t="str">
        <f>IFERROR(__xludf.DUMMYFUNCTION("GOOGLETRANSLATE(B17503,""en"",""fr"")"),"Une personne est vue en train de peindre un mur tandis que la caméra le capture rapidement et d'autres entrant et sortant du cadre.")</f>
        <v>Une personne est vue en train de peindre un mur tandis que la caméra le capture rapidement et d'autres entrant et sortant du cadre.</v>
      </c>
    </row>
    <row r="17504">
      <c r="A17504" s="4" t="s">
        <v>22033</v>
      </c>
      <c r="B17504" s="4" t="s">
        <v>22035</v>
      </c>
      <c r="C17504" s="5" t="str">
        <f>IFERROR(__xludf.DUMMYFUNCTION("GOOGLETRANSLATE(B17504,""en"",""fr"")"),"La personne continue de peindre le long du mur avec d'autres personnes debout et aidant.")</f>
        <v>La personne continue de peindre le long du mur avec d'autres personnes debout et aidant.</v>
      </c>
    </row>
    <row r="17505">
      <c r="A17505" s="4" t="s">
        <v>22036</v>
      </c>
      <c r="B17505" s="4" t="s">
        <v>22037</v>
      </c>
      <c r="C17505" s="5" t="str">
        <f>IFERROR(__xludf.DUMMYFUNCTION("GOOGLETRANSLATE(B17505,""en"",""fr"")"),"Un homme fait du snowboard sur une colline très raide à un rythme rapide.")</f>
        <v>Un homme fait du snowboard sur une colline très raide à un rythme rapide.</v>
      </c>
    </row>
    <row r="17506">
      <c r="A17506" s="4" t="s">
        <v>22036</v>
      </c>
      <c r="B17506" s="6" t="s">
        <v>22038</v>
      </c>
      <c r="C17506" s="5" t="str">
        <f>IFERROR(__xludf.DUMMYFUNCTION("GOOGLETRANSLATE(B17506,""en"",""fr"")"),"La vidéo s'interrompent avec divers angles montrant ce voyage en bas de la montagne d'une manière très excitante.")</f>
        <v>La vidéo s'interrompent avec divers angles montrant ce voyage en bas de la montagne d'une manière très excitante.</v>
      </c>
    </row>
    <row r="17507">
      <c r="A17507" s="4" t="s">
        <v>22036</v>
      </c>
      <c r="B17507" s="4" t="s">
        <v>22039</v>
      </c>
      <c r="C17507" s="5" t="str">
        <f>IFERROR(__xludf.DUMMYFUNCTION("GOOGLETRANSLATE(B17507,""en"",""fr"")"),"L'enfant saute d'un journal destiné à cette fin et continue en bas de la colline.")</f>
        <v>L'enfant saute d'un journal destiné à cette fin et continue en bas de la colline.</v>
      </c>
    </row>
    <row r="17508">
      <c r="A17508" s="4" t="s">
        <v>22036</v>
      </c>
      <c r="B17508" s="4" t="s">
        <v>22040</v>
      </c>
      <c r="C17508" s="5" t="str">
        <f>IFERROR(__xludf.DUMMYFUNCTION("GOOGLETRANSLATE(B17508,""en"",""fr"")"),"Un autre homme en jaune fait des flips à côté d'une petite rampe de neige tout en descendant la montagne.")</f>
        <v>Un autre homme en jaune fait des flips à côté d'une petite rampe de neige tout en descendant la montagne.</v>
      </c>
    </row>
    <row r="17509">
      <c r="A17509" s="4" t="s">
        <v>22036</v>
      </c>
      <c r="B17509" s="6" t="s">
        <v>22041</v>
      </c>
      <c r="C17509" s="5" t="str">
        <f>IFERROR(__xludf.DUMMYFUNCTION("GOOGLETRANSLATE(B17509,""en"",""fr"")"),"Un autre homme en bleu fait de même et il y a diverses coupes qui vont et viennent entre les trois.")</f>
        <v>Un autre homme en bleu fait de même et il y a diverses coupes qui vont et viennent entre les trois.</v>
      </c>
    </row>
    <row r="17510">
      <c r="A17510" s="4" t="s">
        <v>22036</v>
      </c>
      <c r="B17510" s="4" t="s">
        <v>22042</v>
      </c>
      <c r="C17510" s="5" t="str">
        <f>IFERROR(__xludf.DUMMYFUNCTION("GOOGLETRANSLATE(B17510,""en"",""fr"")"),"Ils sont hautement qualifiés et diminuent tous les obstacles qu'ils peuvent trouver.")</f>
        <v>Ils sont hautement qualifiés et diminuent tous les obstacles qu'ils peuvent trouver.</v>
      </c>
    </row>
    <row r="17511">
      <c r="A17511" s="4" t="s">
        <v>22036</v>
      </c>
      <c r="B17511" s="6" t="s">
        <v>22043</v>
      </c>
      <c r="C17511" s="5" t="str">
        <f>IFERROR(__xludf.DUMMYFUNCTION("GOOGLETRANSLATE(B17511,""en"",""fr"")"),"La vidéo montre ensuite plusieurs personnes qui ont fait une montagne très rocheuse alors qu'ils parlent de la caméra.")</f>
        <v>La vidéo montre ensuite plusieurs personnes qui ont fait une montagne très rocheuse alors qu'ils parlent de la caméra.</v>
      </c>
    </row>
    <row r="17512">
      <c r="A17512" s="4" t="s">
        <v>22036</v>
      </c>
      <c r="B17512" s="4" t="s">
        <v>22044</v>
      </c>
      <c r="C17512" s="5" t="str">
        <f>IFERROR(__xludf.DUMMYFUNCTION("GOOGLETRANSLATE(B17512,""en"",""fr"")"),"Les gens qui ont grimpé sont alors du snowboard le bas dans un casse-cou comme un coup.")</f>
        <v>Les gens qui ont grimpé sont alors du snowboard le bas dans un casse-cou comme un coup.</v>
      </c>
    </row>
    <row r="17513">
      <c r="A17513" s="4" t="s">
        <v>22045</v>
      </c>
      <c r="B17513" s="4" t="s">
        <v>22046</v>
      </c>
      <c r="C17513" s="5" t="str">
        <f>IFERROR(__xludf.DUMMYFUNCTION("GOOGLETRANSLATE(B17513,""en"",""fr"")"),"Une jeune fille utilise une truelle sur un mur et s'accroche sur le sol.")</f>
        <v>Une jeune fille utilise une truelle sur un mur et s'accroche sur le sol.</v>
      </c>
    </row>
    <row r="17514">
      <c r="A17514" s="4" t="s">
        <v>22045</v>
      </c>
      <c r="B17514" s="4" t="s">
        <v>22047</v>
      </c>
      <c r="C17514" s="5" t="str">
        <f>IFERROR(__xludf.DUMMYFUNCTION("GOOGLETRANSLATE(B17514,""en"",""fr"")"),"Elle se tient et essuie sa truelle propre avec une brosse.")</f>
        <v>Elle se tient et essuie sa truelle propre avec une brosse.</v>
      </c>
    </row>
    <row r="17515">
      <c r="A17515" s="4" t="s">
        <v>22045</v>
      </c>
      <c r="B17515" s="4" t="s">
        <v>22048</v>
      </c>
      <c r="C17515" s="5" t="str">
        <f>IFERROR(__xludf.DUMMYFUNCTION("GOOGLETRANSLATE(B17515,""en"",""fr"")"),"Elle revient au travail mural.")</f>
        <v>Elle revient au travail mural.</v>
      </c>
    </row>
    <row r="17516">
      <c r="A17516" s="4" t="s">
        <v>22045</v>
      </c>
      <c r="B17516" s="4" t="s">
        <v>22049</v>
      </c>
      <c r="C17516" s="5" t="str">
        <f>IFERROR(__xludf.DUMMYFUNCTION("GOOGLETRANSLATE(B17516,""en"",""fr"")"),"Elle se lève et pointe et le mur.")</f>
        <v>Elle se lève et pointe et le mur.</v>
      </c>
    </row>
    <row r="17517">
      <c r="A17517" s="4" t="s">
        <v>22045</v>
      </c>
      <c r="B17517" s="4" t="s">
        <v>22050</v>
      </c>
      <c r="C17517" s="5" t="str">
        <f>IFERROR(__xludf.DUMMYFUNCTION("GOOGLETRANSLATE(B17517,""en"",""fr"")"),"Elle elle essuie à nouveau le pinceau sur la truelle.")</f>
        <v>Elle elle essuie à nouveau le pinceau sur la truelle.</v>
      </c>
    </row>
    <row r="17518">
      <c r="A17518" s="4" t="s">
        <v>22045</v>
      </c>
      <c r="B17518" s="4" t="s">
        <v>22051</v>
      </c>
      <c r="C17518" s="5" t="str">
        <f>IFERROR(__xludf.DUMMYFUNCTION("GOOGLETRANSLATE(B17518,""en"",""fr"")"),"Elle lisse à nouveau le mur.")</f>
        <v>Elle lisse à nouveau le mur.</v>
      </c>
    </row>
    <row r="17519">
      <c r="A17519" s="4" t="s">
        <v>22045</v>
      </c>
      <c r="B17519" s="4" t="s">
        <v>22052</v>
      </c>
      <c r="C17519" s="5" t="str">
        <f>IFERROR(__xludf.DUMMYFUNCTION("GOOGLETRANSLATE(B17519,""en"",""fr"")"),"Les filles utilisent une brosse pour nettoyer son outil.")</f>
        <v>Les filles utilisent une brosse pour nettoyer son outil.</v>
      </c>
    </row>
    <row r="17520">
      <c r="A17520" s="4" t="s">
        <v>22045</v>
      </c>
      <c r="B17520" s="4" t="s">
        <v>22053</v>
      </c>
      <c r="C17520" s="5" t="str">
        <f>IFERROR(__xludf.DUMMYFUNCTION("GOOGLETRANSLATE(B17520,""en"",""fr"")"),"Elle essuie à nouveau le mur, puis nettoie à nouveau son pinceau deux fois.")</f>
        <v>Elle essuie à nouveau le mur, puis nettoie à nouveau son pinceau deux fois.</v>
      </c>
    </row>
    <row r="17521">
      <c r="A17521" s="4" t="s">
        <v>22045</v>
      </c>
      <c r="B17521" s="4" t="s">
        <v>22054</v>
      </c>
      <c r="C17521" s="5" t="str">
        <f>IFERROR(__xludf.DUMMYFUNCTION("GOOGLETRANSLATE(B17521,""en"",""fr"")"),"Nous montrons le haut du mur et la fille pendant qu'elle travaille.")</f>
        <v>Nous montrons le haut du mur et la fille pendant qu'elle travaille.</v>
      </c>
    </row>
    <row r="17522">
      <c r="A17522" s="4" t="s">
        <v>22055</v>
      </c>
      <c r="B17522" s="4" t="s">
        <v>22056</v>
      </c>
      <c r="C17522" s="5" t="str">
        <f>IFERROR(__xludf.DUMMYFUNCTION("GOOGLETRANSLATE(B17522,""en"",""fr"")"),"Un écran d'introduction apparaît avec les logos, les noms d'entreprise et le site Web.")</f>
        <v>Un écran d'introduction apparaît avec les logos, les noms d'entreprise et le site Web.</v>
      </c>
    </row>
    <row r="17523">
      <c r="A17523" s="4" t="s">
        <v>22055</v>
      </c>
      <c r="B17523" s="6" t="s">
        <v>22057</v>
      </c>
      <c r="C17523" s="5" t="str">
        <f>IFERROR(__xludf.DUMMYFUNCTION("GOOGLETRANSLATE(B17523,""en"",""fr"")"),"Une femme se penche devant 3 boîtes et commence à retirer des morceaux de tapis carrelés de la boîte supérieure.")</f>
        <v>Une femme se penche devant 3 boîtes et commence à retirer des morceaux de tapis carrelés de la boîte supérieure.</v>
      </c>
    </row>
    <row r="17524">
      <c r="A17524" s="4" t="s">
        <v>22055</v>
      </c>
      <c r="B17524" s="6" t="s">
        <v>22058</v>
      </c>
      <c r="C17524" s="5" t="str">
        <f>IFERROR(__xludf.DUMMYFUNCTION("GOOGLETRANSLATE(B17524,""en"",""fr"")"),"Un tas d'outils apparaissent sur un sol carrelé et ils comprennent: du ruban adhésif, un couteau, des tabutes collantes et un t-carré.")</f>
        <v>Un tas d'outils apparaissent sur un sol carrelé et ils comprennent: du ruban adhésif, un couteau, des tabutes collantes et un t-carré.</v>
      </c>
    </row>
    <row r="17525">
      <c r="A17525" s="4" t="s">
        <v>22055</v>
      </c>
      <c r="B17525" s="6" t="s">
        <v>22059</v>
      </c>
      <c r="C17525" s="5" t="str">
        <f>IFERROR(__xludf.DUMMYFUNCTION("GOOGLETRANSLATE(B17525,""en"",""fr"")"),"La femme est sur un sol carrelé avec un tas de tapis carrelés devant elle et elle commence à dépoussiérer les morceaux de tapis en excès de l'avant et de l'arrière des morceaux.")</f>
        <v>La femme est sur un sol carrelé avec un tas de tapis carrelés devant elle et elle commence à dépoussiérer les morceaux de tapis en excès de l'avant et de l'arrière des morceaux.</v>
      </c>
    </row>
    <row r="17526">
      <c r="A17526" s="4" t="s">
        <v>22055</v>
      </c>
      <c r="B17526" s="6" t="s">
        <v>22060</v>
      </c>
      <c r="C17526" s="5" t="str">
        <f>IFERROR(__xludf.DUMMYFUNCTION("GOOGLETRANSLATE(B17526,""en"",""fr"")"),"Un écran apparaît avec les mots «méthodes d'installation» et comprend 3 diagrammes différents de dispositions, puis affiche différents tapis carrelés dans chaque disposition.")</f>
        <v>Un écran apparaît avec les mots «méthodes d'installation» et comprend 3 diagrammes différents de dispositions, puis affiche différents tapis carrelés dans chaque disposition.</v>
      </c>
    </row>
    <row r="17527">
      <c r="A17527" s="4" t="s">
        <v>22055</v>
      </c>
      <c r="B17527" s="6" t="s">
        <v>22061</v>
      </c>
      <c r="C17527" s="5" t="str">
        <f>IFERROR(__xludf.DUMMYFUNCTION("GOOGLETRANSLATE(B17527,""en"",""fr"")"),"Une femme est maintenant à genoux sur un tapis carrelé et elle tire des cassettes collantes doubles d'un drap et les place sur les tapis carrelés et les colle sur le sol.")</f>
        <v>Une femme est maintenant à genoux sur un tapis carrelé et elle tire des cassettes collantes doubles d'un drap et les place sur les tapis carrelés et les colle sur le sol.</v>
      </c>
    </row>
    <row r="17528">
      <c r="A17528" s="4" t="s">
        <v>22055</v>
      </c>
      <c r="B17528" s="6" t="s">
        <v>22062</v>
      </c>
      <c r="C17528" s="5" t="str">
        <f>IFERROR(__xludf.DUMMYFUNCTION("GOOGLETRANSLATE(B17528,""en"",""fr"")"),"Une femme différente apparaît près d'un mur et elle montre comment couper les carreaux une fois qu'un mur est atteint et utilise une longue règle pour mesurer, couper et séparer la tuile de tapis et la remettre sur le sol.")</f>
        <v>Une femme différente apparaît près d'un mur et elle montre comment couper les carreaux une fois qu'un mur est atteint et utilise une longue règle pour mesurer, couper et séparer la tuile de tapis et la remettre sur le sol.</v>
      </c>
    </row>
    <row r="17529">
      <c r="A17529" s="4" t="s">
        <v>22055</v>
      </c>
      <c r="B17529" s="4" t="s">
        <v>22063</v>
      </c>
      <c r="C17529" s="5" t="str">
        <f>IFERROR(__xludf.DUMMYFUNCTION("GOOGLETRANSLATE(B17529,""en"",""fr"")"),"L'Undro est un écran blanc avec les logos, les noms d'entreprise et le site Web.")</f>
        <v>L'Undro est un écran blanc avec les logos, les noms d'entreprise et le site Web.</v>
      </c>
    </row>
    <row r="17530">
      <c r="A17530" s="4" t="s">
        <v>22064</v>
      </c>
      <c r="B17530" s="6" t="s">
        <v>22065</v>
      </c>
      <c r="C17530" s="5" t="str">
        <f>IFERROR(__xludf.DUMMYFUNCTION("GOOGLETRANSLATE(B17530,""en"",""fr"")"),"Un homme est vu marcher en avant et parler à la caméra tandis que deux personnes tirent un objet derrière lui.")</f>
        <v>Un homme est vu marcher en avant et parler à la caméra tandis que deux personnes tirent un objet derrière lui.</v>
      </c>
    </row>
    <row r="17531">
      <c r="A17531" s="4" t="s">
        <v>22064</v>
      </c>
      <c r="B17531" s="4" t="s">
        <v>22066</v>
      </c>
      <c r="C17531" s="5" t="str">
        <f>IFERROR(__xludf.DUMMYFUNCTION("GOOGLETRANSLATE(B17531,""en"",""fr"")"),"L'homme parle alors pendant qu'une femme exerce à côté de lui.")</f>
        <v>L'homme parle alors pendant qu'une femme exerce à côté de lui.</v>
      </c>
    </row>
    <row r="17532">
      <c r="A17532" s="4" t="s">
        <v>22064</v>
      </c>
      <c r="B17532" s="4" t="s">
        <v>22067</v>
      </c>
      <c r="C17532" s="5" t="str">
        <f>IFERROR(__xludf.DUMMYFUNCTION("GOOGLETRANSLATE(B17532,""en"",""fr"")"),"L'homme continue de parler et le texte est affiché sur l'écran.")</f>
        <v>L'homme continue de parler et le texte est affiché sur l'écran.</v>
      </c>
    </row>
    <row r="17533">
      <c r="A17533" s="4" t="s">
        <v>22068</v>
      </c>
      <c r="B17533" s="4" t="s">
        <v>22069</v>
      </c>
      <c r="C17533" s="5" t="str">
        <f>IFERROR(__xludf.DUMMYFUNCTION("GOOGLETRANSLATE(B17533,""en"",""fr"")"),"Les gens se tiennent dans une pièce.")</f>
        <v>Les gens se tiennent dans une pièce.</v>
      </c>
    </row>
    <row r="17534">
      <c r="A17534" s="4" t="s">
        <v>22068</v>
      </c>
      <c r="B17534" s="4" t="s">
        <v>22070</v>
      </c>
      <c r="C17534" s="5" t="str">
        <f>IFERROR(__xludf.DUMMYFUNCTION("GOOGLETRANSLATE(B17534,""en"",""fr"")"),"Les gens font du karaté tandis que certains jouent dans la batterie.")</f>
        <v>Les gens font du karaté tandis que certains jouent dans la batterie.</v>
      </c>
    </row>
    <row r="17535">
      <c r="A17535" s="4" t="s">
        <v>22068</v>
      </c>
      <c r="B17535" s="4" t="s">
        <v>22071</v>
      </c>
      <c r="C17535" s="5" t="str">
        <f>IFERROR(__xludf.DUMMYFUNCTION("GOOGLETRANSLATE(B17535,""en"",""fr"")"),"Les adversaires de karaté se serrent la main et se serrent étreigés.")</f>
        <v>Les adversaires de karaté se serrent la main et se serrent étreigés.</v>
      </c>
    </row>
    <row r="17536">
      <c r="A17536" s="4" t="s">
        <v>22072</v>
      </c>
      <c r="B17536" s="6" t="s">
        <v>22073</v>
      </c>
      <c r="C17536" s="5" t="str">
        <f>IFERROR(__xludf.DUMMYFUNCTION("GOOGLETRANSLATE(B17536,""en"",""fr"")"),"Une petite fille / tout-petit se tient à l'extérieur, sur un champ couvert d'herbe, et frappe, à plusieurs reprises, une pinata rose suspendue à un arbre.")</f>
        <v>Une petite fille / tout-petit se tient à l'extérieur, sur un champ couvert d'herbe, et frappe, à plusieurs reprises, une pinata rose suspendue à un arbre.</v>
      </c>
    </row>
    <row r="17537">
      <c r="A17537" s="4" t="s">
        <v>22072</v>
      </c>
      <c r="B17537" s="6" t="s">
        <v>22074</v>
      </c>
      <c r="C17537" s="5" t="str">
        <f>IFERROR(__xludf.DUMMYFUNCTION("GOOGLETRANSLATE(B17537,""en"",""fr"")"),"Une petite fille / tout-petit dans un arc à cheveux vert lime et Tutu se tient à l'extérieur sous un arbre et frappe une pinata avec un bâton.")</f>
        <v>Une petite fille / tout-petit dans un arc à cheveux vert lime et Tutu se tient à l'extérieur sous un arbre et frappe une pinata avec un bâton.</v>
      </c>
    </row>
    <row r="17538">
      <c r="A17538" s="4" t="s">
        <v>22072</v>
      </c>
      <c r="B17538" s="4" t="s">
        <v>22075</v>
      </c>
      <c r="C17538" s="5" t="str">
        <f>IFERROR(__xludf.DUMMYFUNCTION("GOOGLETRANSLATE(B17538,""en"",""fr"")"),"La pinata se lance et la fille frappe à nouveau la pinata.")</f>
        <v>La pinata se lance et la fille frappe à nouveau la pinata.</v>
      </c>
    </row>
    <row r="17539">
      <c r="A17539" s="4" t="s">
        <v>22072</v>
      </c>
      <c r="B17539" s="4" t="s">
        <v>22076</v>
      </c>
      <c r="C17539" s="5" t="str">
        <f>IFERROR(__xludf.DUMMYFUNCTION("GOOGLETRANSLATE(B17539,""en"",""fr"")"),"La petite fille se tourne pour regarder la caméra entre frapper la pinata.")</f>
        <v>La petite fille se tourne pour regarder la caméra entre frapper la pinata.</v>
      </c>
    </row>
    <row r="17540">
      <c r="A17540" s="4" t="s">
        <v>22077</v>
      </c>
      <c r="B17540" s="4" t="s">
        <v>22078</v>
      </c>
      <c r="C17540" s="5" t="str">
        <f>IFERROR(__xludf.DUMMYFUNCTION("GOOGLETRANSLATE(B17540,""en"",""fr"")"),"Un homme debout parle à la caméra avec deux femmes assises à côté de lui.")</f>
        <v>Un homme debout parle à la caméra avec deux femmes assises à côté de lui.</v>
      </c>
    </row>
    <row r="17541">
      <c r="A17541" s="4" t="s">
        <v>22077</v>
      </c>
      <c r="B17541" s="4" t="s">
        <v>22079</v>
      </c>
      <c r="C17541" s="5" t="str">
        <f>IFERROR(__xludf.DUMMYFUNCTION("GOOGLETRANSLATE(B17541,""en"",""fr"")"),"La caméra se concentre pour se concentrer sur les deux femmes.")</f>
        <v>La caméra se concentre pour se concentrer sur les deux femmes.</v>
      </c>
    </row>
    <row r="17542">
      <c r="A17542" s="4" t="s">
        <v>22080</v>
      </c>
      <c r="B17542" s="4" t="s">
        <v>22081</v>
      </c>
      <c r="C17542" s="5" t="str">
        <f>IFERROR(__xludf.DUMMYFUNCTION("GOOGLETRANSLATE(B17542,""en"",""fr"")"),"Une personne coupe les ongles des pattes avant d'un chat.")</f>
        <v>Une personne coupe les ongles des pattes avant d'un chat.</v>
      </c>
    </row>
    <row r="17543">
      <c r="A17543" s="4" t="s">
        <v>22080</v>
      </c>
      <c r="B17543" s="4" t="s">
        <v>22082</v>
      </c>
      <c r="C17543" s="5" t="str">
        <f>IFERROR(__xludf.DUMMYFUNCTION("GOOGLETRANSLATE(B17543,""en"",""fr"")"),"Ensuite, la personne coupe les ongles des jambes arrière d'une voiture.")</f>
        <v>Ensuite, la personne coupe les ongles des jambes arrière d'une voiture.</v>
      </c>
    </row>
    <row r="17544">
      <c r="A17544" s="4" t="s">
        <v>22083</v>
      </c>
      <c r="B17544" s="4" t="s">
        <v>22084</v>
      </c>
      <c r="C17544" s="5" t="str">
        <f>IFERROR(__xludf.DUMMYFUNCTION("GOOGLETRANSLATE(B17544,""en"",""fr"")"),"Un homme tente de traverser une corde propagée entre deux morceaux de bois faits maison.")</f>
        <v>Un homme tente de traverser une corde propagée entre deux morceaux de bois faits maison.</v>
      </c>
    </row>
    <row r="17545">
      <c r="A17545" s="4" t="s">
        <v>22083</v>
      </c>
      <c r="B17545" s="4" t="s">
        <v>22085</v>
      </c>
      <c r="C17545" s="5" t="str">
        <f>IFERROR(__xludf.DUMMYFUNCTION("GOOGLETRANSLATE(B17545,""en"",""fr"")"),"Il équilibre sur la corde, se balançant d'avant en arrière.")</f>
        <v>Il équilibre sur la corde, se balançant d'avant en arrière.</v>
      </c>
    </row>
    <row r="17546">
      <c r="A17546" s="4" t="s">
        <v>22083</v>
      </c>
      <c r="B17546" s="4" t="s">
        <v>22086</v>
      </c>
      <c r="C17546" s="5" t="str">
        <f>IFERROR(__xludf.DUMMYFUNCTION("GOOGLETRANSLATE(B17546,""en"",""fr"")"),"Il perd son équilibre et saute de la corde.")</f>
        <v>Il perd son équilibre et saute de la corde.</v>
      </c>
    </row>
    <row r="17547">
      <c r="A17547" s="4" t="s">
        <v>22087</v>
      </c>
      <c r="B17547" s="4" t="s">
        <v>22088</v>
      </c>
      <c r="C17547" s="5" t="str">
        <f>IFERROR(__xludf.DUMMYFUNCTION("GOOGLETRANSLATE(B17547,""en"",""fr"")"),"Il y a deux voitures dans le lave-auto et une garée dans un endroit.")</f>
        <v>Il y a deux voitures dans le lave-auto et une garée dans un endroit.</v>
      </c>
    </row>
    <row r="17548">
      <c r="A17548" s="4" t="s">
        <v>22087</v>
      </c>
      <c r="B17548" s="4" t="s">
        <v>22089</v>
      </c>
      <c r="C17548" s="5" t="str">
        <f>IFERROR(__xludf.DUMMYFUNCTION("GOOGLETRANSLATE(B17548,""en"",""fr"")"),"Les propriétaires des voitures les savonnent et nettoient très bien les pneus.")</f>
        <v>Les propriétaires des voitures les savonnent et nettoient très bien les pneus.</v>
      </c>
    </row>
    <row r="17549">
      <c r="A17549" s="4" t="s">
        <v>22087</v>
      </c>
      <c r="B17549" s="4" t="s">
        <v>22090</v>
      </c>
      <c r="C17549" s="5" t="str">
        <f>IFERROR(__xludf.DUMMYFUNCTION("GOOGLETRANSLATE(B17549,""en"",""fr"")"),"À l'intérieur de la voiture, lavez-le complètement vide, personne n'est à l'intérieur.")</f>
        <v>À l'intérieur de la voiture, lavez-le complètement vide, personne n'est à l'intérieur.</v>
      </c>
    </row>
    <row r="17550">
      <c r="A17550" s="4" t="s">
        <v>22087</v>
      </c>
      <c r="B17550" s="4" t="s">
        <v>22091</v>
      </c>
      <c r="C17550" s="5" t="str">
        <f>IFERROR(__xludf.DUMMYFUNCTION("GOOGLETRANSLATE(B17550,""en"",""fr"")"),"L'un des autres propriétaires de voitures est de rincer sa voiture.")</f>
        <v>L'un des autres propriétaires de voitures est de rincer sa voiture.</v>
      </c>
    </row>
    <row r="17551">
      <c r="A17551" s="4" t="s">
        <v>22092</v>
      </c>
      <c r="B17551" s="4" t="s">
        <v>22093</v>
      </c>
      <c r="C17551" s="5" t="str">
        <f>IFERROR(__xludf.DUMMYFUNCTION("GOOGLETRANSLATE(B17551,""en"",""fr"")"),"Un homme est vu parler à la caméra suivi de plusieurs plans d'une célébrité et d'un mannequin.")</f>
        <v>Un homme est vu parler à la caméra suivi de plusieurs plans d'une célébrité et d'un mannequin.</v>
      </c>
    </row>
    <row r="17552">
      <c r="A17552" s="4" t="s">
        <v>22092</v>
      </c>
      <c r="B17552" s="4" t="s">
        <v>22094</v>
      </c>
      <c r="C17552" s="5" t="str">
        <f>IFERROR(__xludf.DUMMYFUNCTION("GOOGLETRANSLATE(B17552,""en"",""fr"")"),"L'homme commence alors à venir les cheveux du mannequin et à utiliser des ciseaux sur le côté.")</f>
        <v>L'homme commence alors à venir les cheveux du mannequin et à utiliser des ciseaux sur le côté.</v>
      </c>
    </row>
    <row r="17553">
      <c r="A17553" s="4" t="s">
        <v>22092</v>
      </c>
      <c r="B17553" s="4" t="s">
        <v>22095</v>
      </c>
      <c r="C17553" s="5" t="str">
        <f>IFERROR(__xludf.DUMMYFUNCTION("GOOGLETRANSLATE(B17553,""en"",""fr"")"),"Il continue de couper les cheveux du mannequin et d'utiliser le gel capillaire à la fin pour les faire tourner.")</f>
        <v>Il continue de couper les cheveux du mannequin et d'utiliser le gel capillaire à la fin pour les faire tourner.</v>
      </c>
    </row>
    <row r="17554">
      <c r="A17554" s="4" t="s">
        <v>22096</v>
      </c>
      <c r="B17554" s="4" t="s">
        <v>22097</v>
      </c>
      <c r="C17554" s="5" t="str">
        <f>IFERROR(__xludf.DUMMYFUNCTION("GOOGLETRANSLATE(B17554,""en"",""fr"")"),"Une vidéo sur la façon de faire un cerf-volant est montrée.")</f>
        <v>Une vidéo sur la façon de faire un cerf-volant est montrée.</v>
      </c>
    </row>
    <row r="17555">
      <c r="A17555" s="4" t="s">
        <v>22096</v>
      </c>
      <c r="B17555" s="4" t="s">
        <v>22098</v>
      </c>
      <c r="C17555" s="5" t="str">
        <f>IFERROR(__xludf.DUMMYFUNCTION("GOOGLETRANSLATE(B17555,""en"",""fr"")"),"Les matériaux sont rassemblés, puis le cerf-volant est assemblé.")</f>
        <v>Les matériaux sont rassemblés, puis le cerf-volant est assemblé.</v>
      </c>
    </row>
    <row r="17556">
      <c r="A17556" s="4" t="s">
        <v>22099</v>
      </c>
      <c r="B17556" s="4" t="s">
        <v>22100</v>
      </c>
      <c r="C17556" s="5" t="str">
        <f>IFERROR(__xludf.DUMMYFUNCTION("GOOGLETRANSLATE(B17556,""en"",""fr"")"),"Quelques personnes sont vues debout dans une grande fosse avec un taureau à l'intérieur et beaucoup regardent sur les côtés.")</f>
        <v>Quelques personnes sont vues debout dans une grande fosse avec un taureau à l'intérieur et beaucoup regardent sur les côtés.</v>
      </c>
    </row>
    <row r="17557">
      <c r="A17557" s="4" t="s">
        <v>22099</v>
      </c>
      <c r="B17557" s="6" t="s">
        <v>22101</v>
      </c>
      <c r="C17557" s="5" t="str">
        <f>IFERROR(__xludf.DUMMYFUNCTION("GOOGLETRANSLATE(B17557,""en"",""fr"")"),"L'homme se rapproche du taureau et le taureau attaque plusieurs personnes alors qu'ils essaient également de le tirer vers le bas par sa tête et sa queue.")</f>
        <v>L'homme se rapproche du taureau et le taureau attaque plusieurs personnes alors qu'ils essaient également de le tirer vers le bas par sa tête et sa queue.</v>
      </c>
    </row>
    <row r="17558">
      <c r="A17558" s="4" t="s">
        <v>22099</v>
      </c>
      <c r="B17558" s="4" t="s">
        <v>22102</v>
      </c>
      <c r="C17558" s="5" t="str">
        <f>IFERROR(__xludf.DUMMYFUNCTION("GOOGLETRANSLATE(B17558,""en"",""fr"")"),"Ils se détachent finalement tout de suite.")</f>
        <v>Ils se détachent finalement tout de suite.</v>
      </c>
    </row>
    <row r="17559">
      <c r="A17559" s="4" t="s">
        <v>22103</v>
      </c>
      <c r="B17559" s="4" t="s">
        <v>22104</v>
      </c>
      <c r="C17559" s="5" t="str">
        <f>IFERROR(__xludf.DUMMYFUNCTION("GOOGLETRANSLATE(B17559,""en"",""fr"")"),"Un homme est assis dans une salle de sport avec des amis qui font des signes stupides à la caméra.")</f>
        <v>Un homme est assis dans une salle de sport avec des amis qui font des signes stupides à la caméra.</v>
      </c>
    </row>
    <row r="17560">
      <c r="A17560" s="4" t="s">
        <v>22103</v>
      </c>
      <c r="B17560" s="4" t="s">
        <v>22105</v>
      </c>
      <c r="C17560" s="5" t="str">
        <f>IFERROR(__xludf.DUMMYFUNCTION("GOOGLETRANSLATE(B17560,""en"",""fr"")"),"Ensuite, une balle de dodge est jouée.")</f>
        <v>Ensuite, une balle de dodge est jouée.</v>
      </c>
    </row>
    <row r="17561">
      <c r="A17561" s="4" t="s">
        <v>22106</v>
      </c>
      <c r="B17561" s="4" t="s">
        <v>22107</v>
      </c>
      <c r="C17561" s="5" t="str">
        <f>IFERROR(__xludf.DUMMYFUNCTION("GOOGLETRANSLATE(B17561,""en"",""fr"")"),"Un graphique avec certains mots clés formant le nombre «2» est affiché.")</f>
        <v>Un graphique avec certains mots clés formant le nombre «2» est affiché.</v>
      </c>
    </row>
    <row r="17562">
      <c r="A17562" s="4" t="s">
        <v>22106</v>
      </c>
      <c r="B17562" s="4" t="s">
        <v>22108</v>
      </c>
      <c r="C17562" s="5" t="str">
        <f>IFERROR(__xludf.DUMMYFUNCTION("GOOGLETRANSLATE(B17562,""en"",""fr"")"),"La scène passe à un écran noir avec du texte sur un prochain marathon.")</f>
        <v>La scène passe à un écran noir avec du texte sur un prochain marathon.</v>
      </c>
    </row>
    <row r="17563">
      <c r="A17563" s="4" t="s">
        <v>22106</v>
      </c>
      <c r="B17563" s="6" t="s">
        <v>22109</v>
      </c>
      <c r="C17563" s="5" t="str">
        <f>IFERROR(__xludf.DUMMYFUNCTION("GOOGLETRANSLATE(B17563,""en"",""fr"")"),"Un homme est montré en faisant du jogging dans une ville sur certains trottoirs, un pont, des chemins dans un parc, etc., avec un comptoir sur le côté montrant ses progrès en kilomètres au fur et à mesure.")</f>
        <v>Un homme est montré en faisant du jogging dans une ville sur certains trottoirs, un pont, des chemins dans un parc, etc., avec un comptoir sur le côté montrant ses progrès en kilomètres au fur et à mesure.</v>
      </c>
    </row>
    <row r="17564">
      <c r="A17564" s="4" t="s">
        <v>22110</v>
      </c>
      <c r="B17564" s="4" t="s">
        <v>22111</v>
      </c>
      <c r="C17564" s="5" t="str">
        <f>IFERROR(__xludf.DUMMYFUNCTION("GOOGLETRANSLATE(B17564,""en"",""fr"")"),"Une personne couvre ses jambes de savon pendant qu'elle se tient sur la baignoire.")</f>
        <v>Une personne couvre ses jambes de savon pendant qu'elle se tient sur la baignoire.</v>
      </c>
    </row>
    <row r="17565">
      <c r="A17565" s="4" t="s">
        <v>22110</v>
      </c>
      <c r="B17565" s="4" t="s">
        <v>22112</v>
      </c>
      <c r="C17565" s="5" t="str">
        <f>IFERROR(__xludf.DUMMYFUNCTION("GOOGLETRANSLATE(B17565,""en"",""fr"")"),"Ensuite, la personne prend une lame pour se raser les jambes tout en lavant la lame sous le robinet.")</f>
        <v>Ensuite, la personne prend une lame pour se raser les jambes tout en lavant la lame sous le robinet.</v>
      </c>
    </row>
    <row r="17566">
      <c r="A17566" s="4" t="s">
        <v>22110</v>
      </c>
      <c r="B17566" s="4" t="s">
        <v>22113</v>
      </c>
      <c r="C17566" s="5" t="str">
        <f>IFERROR(__xludf.DUMMYFUNCTION("GOOGLETRANSLATE(B17566,""en"",""fr"")"),"Après, la personne enlève les sous-vêtements et l'a mis sur la baignoire.")</f>
        <v>Après, la personne enlève les sous-vêtements et l'a mis sur la baignoire.</v>
      </c>
    </row>
    <row r="17567">
      <c r="A17567" s="4" t="s">
        <v>22114</v>
      </c>
      <c r="B17567" s="6" t="s">
        <v>22115</v>
      </c>
      <c r="C17567" s="5" t="str">
        <f>IFERROR(__xludf.DUMMYFUNCTION("GOOGLETRANSLATE(B17567,""en"",""fr"")"),"Il y a une vidéo de mouvement rapide montrant une famille sculptant quatre citrouilles pour faire des lanternes Jack O dans leur cuisine.")</f>
        <v>Il y a une vidéo de mouvement rapide montrant une famille sculptant quatre citrouilles pour faire des lanternes Jack O dans leur cuisine.</v>
      </c>
    </row>
    <row r="17568">
      <c r="A17568" s="4" t="s">
        <v>22114</v>
      </c>
      <c r="B17568" s="4" t="s">
        <v>22116</v>
      </c>
      <c r="C17568" s="5" t="str">
        <f>IFERROR(__xludf.DUMMYFUNCTION("GOOGLETRANSLATE(B17568,""en"",""fr"")"),"Il y a un petit bébé assis sur la table à manger en train de regarder les autres sculpter les citrouilles.")</f>
        <v>Il y a un petit bébé assis sur la table à manger en train de regarder les autres sculpter les citrouilles.</v>
      </c>
    </row>
    <row r="17569">
      <c r="A17569" s="4" t="s">
        <v>22114</v>
      </c>
      <c r="B17569" s="6" t="s">
        <v>22117</v>
      </c>
      <c r="C17569" s="5" t="str">
        <f>IFERROR(__xludf.DUMMYFUNCTION("GOOGLETRANSLATE(B17569,""en"",""fr"")"),"Les deux autres filles aident leurs parents à sculpter les citrouilles et à retirer les graines et la pulpe de la citrouille.")</f>
        <v>Les deux autres filles aident leurs parents à sculpter les citrouilles et à retirer les graines et la pulpe de la citrouille.</v>
      </c>
    </row>
    <row r="17570">
      <c r="A17570" s="4" t="s">
        <v>22118</v>
      </c>
      <c r="B17570" s="6" t="s">
        <v>22119</v>
      </c>
      <c r="C17570" s="5" t="str">
        <f>IFERROR(__xludf.DUMMYFUNCTION("GOOGLETRANSLATE(B17570,""en"",""fr"")"),"Un homme assis devant un filet de tennis se retourne et fait face à son adversaire, avec un entraîneur et une caméra qui regarde.")</f>
        <v>Un homme assis devant un filet de tennis se retourne et fait face à son adversaire, avec un entraîneur et une caméra qui regarde.</v>
      </c>
    </row>
    <row r="17571">
      <c r="A17571" s="4" t="s">
        <v>22118</v>
      </c>
      <c r="B17571" s="6" t="s">
        <v>22120</v>
      </c>
      <c r="C17571" s="5" t="str">
        <f>IFERROR(__xludf.DUMMYFUNCTION("GOOGLETRANSLATE(B17571,""en"",""fr"")"),"Alors qu'ils montent tous les deux, nous voyons qu'ils se dirigent réellement vers un jeu de tennis de table, la table sur un vrai court de tennis.")</f>
        <v>Alors qu'ils montent tous les deux, nous voyons qu'ils se dirigent réellement vers un jeu de tennis de table, la table sur un vrai court de tennis.</v>
      </c>
    </row>
    <row r="17572">
      <c r="A17572" s="4" t="s">
        <v>22118</v>
      </c>
      <c r="B17572" s="6" t="s">
        <v>22121</v>
      </c>
      <c r="C17572" s="5" t="str">
        <f>IFERROR(__xludf.DUMMYFUNCTION("GOOGLETRANSLATE(B17572,""en"",""fr"")"),"Ils sont leur match, l'un dans un débardeur blanc et un short vert, l'autre dans une chemise orange et un short blanc.")</f>
        <v>Ils sont leur match, l'un dans un débardeur blanc et un short vert, l'autre dans une chemise orange et un short blanc.</v>
      </c>
    </row>
    <row r="17573">
      <c r="A17573" s="4" t="s">
        <v>22118</v>
      </c>
      <c r="B17573" s="6" t="s">
        <v>22122</v>
      </c>
      <c r="C17573" s="5" t="str">
        <f>IFERROR(__xludf.DUMMYFUNCTION("GOOGLETRANSLATE(B17573,""en"",""fr"")"),"Ils ont fait des allers-retours pendant un certain temps, le plaisir du jeu semblant plus important de la victoire, et ils giflent les mains à la conclusion.")</f>
        <v>Ils ont fait des allers-retours pendant un certain temps, le plaisir du jeu semblant plus important de la victoire, et ils giflent les mains à la conclusion.</v>
      </c>
    </row>
    <row r="17574">
      <c r="A17574" s="4" t="s">
        <v>22123</v>
      </c>
      <c r="B17574" s="6" t="s">
        <v>22124</v>
      </c>
      <c r="C17574" s="5" t="str">
        <f>IFERROR(__xludf.DUMMYFUNCTION("GOOGLETRANSLATE(B17574,""en"",""fr"")"),"Deux hommes sont vus se parler devant la caméra tout en se déplaçant les mains vers leur voix.")</f>
        <v>Deux hommes sont vus se parler devant la caméra tout en se déplaçant les mains vers leur voix.</v>
      </c>
    </row>
    <row r="17575">
      <c r="A17575" s="4" t="s">
        <v>22123</v>
      </c>
      <c r="B17575" s="6" t="s">
        <v>22125</v>
      </c>
      <c r="C17575" s="5" t="str">
        <f>IFERROR(__xludf.DUMMYFUNCTION("GOOGLETRANSLATE(B17575,""en"",""fr"")"),"Les hommes continuent de parler les uns avec les autres tout en agissant fou sur le canapé et se pointant les uns les autres.")</f>
        <v>Les hommes continuent de parler les uns avec les autres tout en agissant fou sur le canapé et se pointant les uns les autres.</v>
      </c>
    </row>
    <row r="17576">
      <c r="A17576" s="4" t="s">
        <v>22126</v>
      </c>
      <c r="B17576" s="4" t="s">
        <v>22127</v>
      </c>
      <c r="C17576" s="5" t="str">
        <f>IFERROR(__xludf.DUMMYFUNCTION("GOOGLETRANSLATE(B17576,""en"",""fr"")"),"Un homme est vu s'agenouiller avant une piste tandis que d'autres regardent sur les côtés.")</f>
        <v>Un homme est vu s'agenouiller avant une piste tandis que d'autres regardent sur les côtés.</v>
      </c>
    </row>
    <row r="17577">
      <c r="A17577" s="4" t="s">
        <v>22126</v>
      </c>
      <c r="B17577" s="4" t="s">
        <v>22128</v>
      </c>
      <c r="C17577" s="5" t="str">
        <f>IFERROR(__xludf.DUMMYFUNCTION("GOOGLETRANSLATE(B17577,""en"",""fr"")"),"Une personne court sur le côté et saute dans une fosse.")</f>
        <v>Une personne court sur le côté et saute dans une fosse.</v>
      </c>
    </row>
    <row r="17578">
      <c r="A17578" s="4" t="s">
        <v>22126</v>
      </c>
      <c r="B17578" s="4" t="s">
        <v>22129</v>
      </c>
      <c r="C17578" s="5" t="str">
        <f>IFERROR(__xludf.DUMMYFUNCTION("GOOGLETRANSLATE(B17578,""en"",""fr"")"),"L'homme assis suit son score et plusieurs autres personnes sont vues courir.")</f>
        <v>L'homme assis suit son score et plusieurs autres personnes sont vues courir.</v>
      </c>
    </row>
    <row r="17579">
      <c r="A17579" s="4" t="s">
        <v>22130</v>
      </c>
      <c r="B17579" s="4" t="s">
        <v>22131</v>
      </c>
      <c r="C17579" s="5" t="str">
        <f>IFERROR(__xludf.DUMMYFUNCTION("GOOGLETRANSLATE(B17579,""en"",""fr"")"),"Un jeune homme résout rapidement un cube Rubix dans une session chronométrée numérique.")</f>
        <v>Un jeune homme résout rapidement un cube Rubix dans une session chronométrée numérique.</v>
      </c>
    </row>
    <row r="17580">
      <c r="A17580" s="4" t="s">
        <v>22130</v>
      </c>
      <c r="B17580" s="6" t="s">
        <v>22132</v>
      </c>
      <c r="C17580" s="5" t="str">
        <f>IFERROR(__xludf.DUMMYFUNCTION("GOOGLETRANSLATE(B17580,""en"",""fr"")"),"Un homme dans une chemise jaune avec un graphique du visage d'un homme dessus parle à l'appareil photo et maintient un cube Rubix non résolu.")</f>
        <v>Un homme dans une chemise jaune avec un graphique du visage d'un homme dessus parle à l'appareil photo et maintient un cube Rubix non résolu.</v>
      </c>
    </row>
    <row r="17581">
      <c r="A17581" s="4" t="s">
        <v>22130</v>
      </c>
      <c r="B17581" s="4" t="s">
        <v>22133</v>
      </c>
      <c r="C17581" s="5" t="str">
        <f>IFERROR(__xludf.DUMMYFUNCTION("GOOGLETRANSLATE(B17581,""en"",""fr"")"),"Une minuterie numérique noire apparaît sur l'écran dans le coin inférieur à droite et commence à courir le temps.")</f>
        <v>Une minuterie numérique noire apparaît sur l'écran dans le coin inférieur à droite et commence à courir le temps.</v>
      </c>
    </row>
    <row r="17582">
      <c r="A17582" s="4" t="s">
        <v>22130</v>
      </c>
      <c r="B17582" s="6" t="s">
        <v>22134</v>
      </c>
      <c r="C17582" s="5" t="str">
        <f>IFERROR(__xludf.DUMMYFUNCTION("GOOGLETRANSLATE(B17582,""en"",""fr"")"),"L'homme commence à résoudre le cube Rubix lorsque la minuterie démarre, puis résout le cube Rubix avec 00:34:08 fois, à quel point il tient le cube Rubix résolu dans l'air comme démonstration.")</f>
        <v>L'homme commence à résoudre le cube Rubix lorsque la minuterie démarre, puis résout le cube Rubix avec 00:34:08 fois, à quel point il tient le cube Rubix résolu dans l'air comme démonstration.</v>
      </c>
    </row>
    <row r="17583">
      <c r="A17583" s="4" t="s">
        <v>22135</v>
      </c>
      <c r="B17583" s="4" t="s">
        <v>22136</v>
      </c>
      <c r="C17583" s="5" t="str">
        <f>IFERROR(__xludf.DUMMYFUNCTION("GOOGLETRANSLATE(B17583,""en"",""fr"")"),"On voit deux hommes parler à la caméra tandis que chacun tient un arc et une flèche.")</f>
        <v>On voit deux hommes parler à la caméra tandis que chacun tient un arc et une flèche.</v>
      </c>
    </row>
    <row r="17584">
      <c r="A17584" s="4" t="s">
        <v>22135</v>
      </c>
      <c r="B17584" s="4" t="s">
        <v>22137</v>
      </c>
      <c r="C17584" s="5" t="str">
        <f>IFERROR(__xludf.DUMMYFUNCTION("GOOGLETRANSLATE(B17584,""en"",""fr"")"),"Un homme montre ses clips tandis que les clips sont montrés des gens qui tirent l'arc et montrés entre les deux.")</f>
        <v>Un homme montre ses clips tandis que les clips sont montrés des gens qui tirent l'arc et montrés entre les deux.</v>
      </c>
    </row>
    <row r="17585">
      <c r="A17585" s="4" t="s">
        <v>22135</v>
      </c>
      <c r="B17585" s="4" t="s">
        <v>22138</v>
      </c>
      <c r="C17585" s="5" t="str">
        <f>IFERROR(__xludf.DUMMYFUNCTION("GOOGLETRANSLATE(B17585,""en"",""fr"")"),"L'autre homme montre son arc tout en montrant ses spécifications.")</f>
        <v>L'autre homme montre son arc tout en montrant ses spécifications.</v>
      </c>
    </row>
    <row r="17586">
      <c r="A17586" s="4" t="s">
        <v>22139</v>
      </c>
      <c r="B17586" s="4" t="s">
        <v>22140</v>
      </c>
      <c r="C17586" s="5" t="str">
        <f>IFERROR(__xludf.DUMMYFUNCTION("GOOGLETRANSLATE(B17586,""en"",""fr"")"),"Une personne est vue qui roule dans une rue dans une rue tandis que beaucoup de gens sont vus se promener autour de lui.")</f>
        <v>Une personne est vue qui roule dans une rue dans une rue tandis que beaucoup de gens sont vus se promener autour de lui.</v>
      </c>
    </row>
    <row r="17587">
      <c r="A17587" s="4" t="s">
        <v>22139</v>
      </c>
      <c r="B17587" s="4" t="s">
        <v>22141</v>
      </c>
      <c r="C17587" s="5" t="str">
        <f>IFERROR(__xludf.DUMMYFUNCTION("GOOGLETRANSLATE(B17587,""en"",""fr"")"),"Un homme est ensuite interviewé par des journalistes et se termine par la caméra qui se précipitait.")</f>
        <v>Un homme est ensuite interviewé par des journalistes et se termine par la caméra qui se précipitait.</v>
      </c>
    </row>
    <row r="17588">
      <c r="A17588" s="4" t="s">
        <v>22142</v>
      </c>
      <c r="B17588" s="4" t="s">
        <v>22143</v>
      </c>
      <c r="C17588" s="5" t="str">
        <f>IFERROR(__xludf.DUMMYFUNCTION("GOOGLETRANSLATE(B17588,""en"",""fr"")"),"Une personne met un morceau de papier peint en place et les aligne sur les autres pièces.")</f>
        <v>Une personne met un morceau de papier peint en place et les aligne sur les autres pièces.</v>
      </c>
    </row>
    <row r="17589">
      <c r="A17589" s="4" t="s">
        <v>22142</v>
      </c>
      <c r="B17589" s="4" t="s">
        <v>22144</v>
      </c>
      <c r="C17589" s="5" t="str">
        <f>IFERROR(__xludf.DUMMYFUNCTION("GOOGLETRANSLATE(B17589,""en"",""fr"")"),"Le papier peint est coupé avec des chemins à la bonne taille.")</f>
        <v>Le papier peint est coupé avec des chemins à la bonne taille.</v>
      </c>
    </row>
    <row r="17590">
      <c r="A17590" s="4" t="s">
        <v>22142</v>
      </c>
      <c r="B17590" s="4" t="s">
        <v>22145</v>
      </c>
      <c r="C17590" s="5" t="str">
        <f>IFERROR(__xludf.DUMMYFUNCTION("GOOGLETRANSLATE(B17590,""en"",""fr"")"),"L'homme vérifie le papier peint puis décolle une bande d'adhésif à l'arrière.")</f>
        <v>L'homme vérifie le papier peint puis décolle une bande d'adhésif à l'arrière.</v>
      </c>
    </row>
    <row r="17591">
      <c r="A17591" s="4" t="s">
        <v>22142</v>
      </c>
      <c r="B17591" s="4" t="s">
        <v>22146</v>
      </c>
      <c r="C17591" s="5" t="str">
        <f>IFERROR(__xludf.DUMMYFUNCTION("GOOGLETRANSLATE(B17591,""en"",""fr"")"),"Le papier peint est attaché au mur et lissé à la main.")</f>
        <v>Le papier peint est attaché au mur et lissé à la main.</v>
      </c>
    </row>
    <row r="17592">
      <c r="A17592" s="4" t="s">
        <v>22142</v>
      </c>
      <c r="B17592" s="4" t="s">
        <v>22147</v>
      </c>
      <c r="C17592" s="5" t="str">
        <f>IFERROR(__xludf.DUMMYFUNCTION("GOOGLETRANSLATE(B17592,""en"",""fr"")"),"La personne utilise une serviette pour aplatir le papier peint.")</f>
        <v>La personne utilise une serviette pour aplatir le papier peint.</v>
      </c>
    </row>
    <row r="17593">
      <c r="A17593" s="4" t="s">
        <v>22142</v>
      </c>
      <c r="B17593" s="4" t="s">
        <v>22148</v>
      </c>
      <c r="C17593" s="5" t="str">
        <f>IFERROR(__xludf.DUMMYFUNCTION("GOOGLETRANSLATE(B17593,""en"",""fr"")"),"Le papier peint est coupé en bas et s'est frappé contre le plancher.")</f>
        <v>Le papier peint est coupé en bas et s'est frappé contre le plancher.</v>
      </c>
    </row>
    <row r="17594">
      <c r="A17594" s="4" t="s">
        <v>22142</v>
      </c>
      <c r="B17594" s="4" t="s">
        <v>22149</v>
      </c>
      <c r="C17594" s="5" t="str">
        <f>IFERROR(__xludf.DUMMYFUNCTION("GOOGLETRANSLATE(B17594,""en"",""fr"")"),"Le papier peint est coupé et froissé le long du plafond.")</f>
        <v>Le papier peint est coupé et froissé le long du plafond.</v>
      </c>
    </row>
    <row r="17595">
      <c r="A17595" s="4" t="s">
        <v>22150</v>
      </c>
      <c r="B17595" s="4" t="s">
        <v>22151</v>
      </c>
      <c r="C17595" s="5" t="str">
        <f>IFERROR(__xludf.DUMMYFUNCTION("GOOGLETRANSLATE(B17595,""en"",""fr"")"),"Un groupe de personnes est présenté dans un festival servant de la nourriture et interagissant avec leur foule.")</f>
        <v>Un groupe de personnes est présenté dans un festival servant de la nourriture et interagissant avec leur foule.</v>
      </c>
    </row>
    <row r="17596">
      <c r="A17596" s="4" t="s">
        <v>22150</v>
      </c>
      <c r="B17596" s="4" t="s">
        <v>22152</v>
      </c>
      <c r="C17596" s="5" t="str">
        <f>IFERROR(__xludf.DUMMYFUNCTION("GOOGLETRANSLATE(B17596,""en"",""fr"")"),"Le mâle continue, jouer avec la foule et les fait fonctionner pour leur cornet de crème glacée.")</f>
        <v>Le mâle continue, jouer avec la foule et les fait fonctionner pour leur cornet de crème glacée.</v>
      </c>
    </row>
    <row r="17597">
      <c r="A17597" s="4" t="s">
        <v>22150</v>
      </c>
      <c r="B17597" s="4" t="s">
        <v>22153</v>
      </c>
      <c r="C17597" s="5" t="str">
        <f>IFERROR(__xludf.DUMMYFUNCTION("GOOGLETRANSLATE(B17597,""en"",""fr"")"),"Enfin, la vidéo se termine, l'homme sourit et les crédits commencent à rouler.")</f>
        <v>Enfin, la vidéo se termine, l'homme sourit et les crédits commencent à rouler.</v>
      </c>
    </row>
    <row r="17598">
      <c r="A17598" s="4" t="s">
        <v>22154</v>
      </c>
      <c r="B17598" s="4" t="s">
        <v>22155</v>
      </c>
      <c r="C17598" s="5" t="str">
        <f>IFERROR(__xludf.DUMMYFUNCTION("GOOGLETRANSLATE(B17598,""en"",""fr"")"),"Les gens ramassent des tas d'herbe dans une cour avant.")</f>
        <v>Les gens ramassent des tas d'herbe dans une cour avant.</v>
      </c>
    </row>
    <row r="17599">
      <c r="A17599" s="4" t="s">
        <v>22154</v>
      </c>
      <c r="B17599" s="4" t="s">
        <v>22156</v>
      </c>
      <c r="C17599" s="5" t="str">
        <f>IFERROR(__xludf.DUMMYFUNCTION("GOOGLETRANSLATE(B17599,""en"",""fr"")"),"Un chien marche dans la cour où les gens empilent l'herbe.")</f>
        <v>Un chien marche dans la cour où les gens empilent l'herbe.</v>
      </c>
    </row>
    <row r="17600">
      <c r="A17600" s="4" t="s">
        <v>22154</v>
      </c>
      <c r="B17600" s="4" t="s">
        <v>22157</v>
      </c>
      <c r="C17600" s="5" t="str">
        <f>IFERROR(__xludf.DUMMYFUNCTION("GOOGLETRANSLATE(B17600,""en"",""fr"")"),"Un homme a coupé l'herbe à l'aide d'un coupe-main.")</f>
        <v>Un homme a coupé l'herbe à l'aide d'un coupe-main.</v>
      </c>
    </row>
    <row r="17601">
      <c r="A17601" s="4" t="s">
        <v>22154</v>
      </c>
      <c r="B17601" s="4" t="s">
        <v>22158</v>
      </c>
      <c r="C17601" s="5" t="str">
        <f>IFERROR(__xludf.DUMMYFUNCTION("GOOGLETRANSLATE(B17601,""en"",""fr"")"),"Les chiens sentent sur le sol.")</f>
        <v>Les chiens sentent sur le sol.</v>
      </c>
    </row>
    <row r="17602">
      <c r="A17602" s="4" t="s">
        <v>22159</v>
      </c>
      <c r="B17602" s="4" t="s">
        <v>22160</v>
      </c>
      <c r="C17602" s="5" t="str">
        <f>IFERROR(__xludf.DUMMYFUNCTION("GOOGLETRANSLATE(B17602,""en"",""fr"")"),"Une paire de mains est montrée en jouant du piano.")</f>
        <v>Une paire de mains est montrée en jouant du piano.</v>
      </c>
    </row>
    <row r="17603">
      <c r="A17603" s="4" t="s">
        <v>22159</v>
      </c>
      <c r="B17603" s="4" t="s">
        <v>22161</v>
      </c>
      <c r="C17603" s="5" t="str">
        <f>IFERROR(__xludf.DUMMYFUNCTION("GOOGLETRANSLATE(B17603,""en"",""fr"")"),"Le piano est montré en jouant avec une autre personne assis à côté de lui.")</f>
        <v>Le piano est montré en jouant avec une autre personne assis à côté de lui.</v>
      </c>
    </row>
    <row r="17604">
      <c r="A17604" s="4" t="s">
        <v>22159</v>
      </c>
      <c r="B17604" s="4" t="s">
        <v>22162</v>
      </c>
      <c r="C17604" s="5" t="str">
        <f>IFERROR(__xludf.DUMMYFUNCTION("GOOGLETRANSLATE(B17604,""en"",""fr"")"),"Le jeu est visible à nouveau d'une vue rapprochée à la main.")</f>
        <v>Le jeu est visible à nouveau d'une vue rapprochée à la main.</v>
      </c>
    </row>
    <row r="17605">
      <c r="A17605" s="4" t="s">
        <v>22159</v>
      </c>
      <c r="B17605" s="4" t="s">
        <v>22163</v>
      </c>
      <c r="C17605" s="5" t="str">
        <f>IFERROR(__xludf.DUMMYFUNCTION("GOOGLETRANSLATE(B17605,""en"",""fr"")"),"Le deuxième homme imite le premier homme.")</f>
        <v>Le deuxième homme imite le premier homme.</v>
      </c>
    </row>
    <row r="17606">
      <c r="A17606" s="4" t="s">
        <v>22159</v>
      </c>
      <c r="B17606" s="4" t="s">
        <v>22164</v>
      </c>
      <c r="C17606" s="5" t="str">
        <f>IFERROR(__xludf.DUMMYFUNCTION("GOOGLETRANSLATE(B17606,""en"",""fr"")"),"Le premier homme applaudit l'imitation du deuxième homme.")</f>
        <v>Le premier homme applaudit l'imitation du deuxième homme.</v>
      </c>
    </row>
    <row r="17607">
      <c r="A17607" s="4" t="s">
        <v>22165</v>
      </c>
      <c r="B17607" s="4" t="s">
        <v>22166</v>
      </c>
      <c r="C17607" s="5" t="str">
        <f>IFERROR(__xludf.DUMMYFUNCTION("GOOGLETRANSLATE(B17607,""en"",""fr"")"),"Un homme se tient devant la caméra puis prend une bouffée de sa cigarette.")</f>
        <v>Un homme se tient devant la caméra puis prend une bouffée de sa cigarette.</v>
      </c>
    </row>
    <row r="17608">
      <c r="A17608" s="4" t="s">
        <v>22165</v>
      </c>
      <c r="B17608" s="6" t="s">
        <v>22167</v>
      </c>
      <c r="C17608" s="5" t="str">
        <f>IFERROR(__xludf.DUMMYFUNCTION("GOOGLETRANSLATE(B17608,""en"",""fr"")"),"Après, il apparaît avec des lames à rouleaux et commence à sauter sur différents blocs et rochers de la ville.")</f>
        <v>Après, il apparaît avec des lames à rouleaux et commence à sauter sur différents blocs et rochers de la ville.</v>
      </c>
    </row>
    <row r="17609">
      <c r="A17609" s="4" t="s">
        <v>22165</v>
      </c>
      <c r="B17609" s="4" t="s">
        <v>22168</v>
      </c>
      <c r="C17609" s="5" t="str">
        <f>IFERROR(__xludf.DUMMYFUNCTION("GOOGLETRANSLATE(B17609,""en"",""fr"")"),"L'homme continue de se frayer un chemin à travers la ville, de passer des voitures et de sauter par-dessus les rochers.")</f>
        <v>L'homme continue de se frayer un chemin à travers la ville, de passer des voitures et de sauter par-dessus les rochers.</v>
      </c>
    </row>
    <row r="17610">
      <c r="A17610" s="4" t="s">
        <v>22169</v>
      </c>
      <c r="B17610" s="4" t="s">
        <v>22170</v>
      </c>
      <c r="C17610" s="5" t="str">
        <f>IFERROR(__xludf.DUMMYFUNCTION("GOOGLETRANSLATE(B17610,""en"",""fr"")"),"Une femme et un homme saluent, puis ils démontrent des mouvements de karaté dans un gymnase.")</f>
        <v>Une femme et un homme saluent, puis ils démontrent des mouvements de karaté dans un gymnase.</v>
      </c>
    </row>
    <row r="17611">
      <c r="A17611" s="4" t="s">
        <v>22169</v>
      </c>
      <c r="B17611" s="4" t="s">
        <v>22171</v>
      </c>
      <c r="C17611" s="5" t="str">
        <f>IFERROR(__xludf.DUMMYFUNCTION("GOOGLETRANSLATE(B17611,""en"",""fr"")"),"Après, la femme et l'homme se tiennent et saluent.")</f>
        <v>Après, la femme et l'homme se tiennent et saluent.</v>
      </c>
    </row>
    <row r="17612">
      <c r="A17612" s="4" t="s">
        <v>22172</v>
      </c>
      <c r="B17612" s="4" t="s">
        <v>22173</v>
      </c>
      <c r="C17612" s="5" t="str">
        <f>IFERROR(__xludf.DUMMYFUNCTION("GOOGLETRANSLATE(B17612,""en"",""fr"")"),"Un graphique est vu avec des dessins de champignons et de plantes.")</f>
        <v>Un graphique est vu avec des dessins de champignons et de plantes.</v>
      </c>
    </row>
    <row r="17613">
      <c r="A17613" s="4" t="s">
        <v>22172</v>
      </c>
      <c r="B17613" s="4" t="s">
        <v>22174</v>
      </c>
      <c r="C17613" s="5" t="str">
        <f>IFERROR(__xludf.DUMMYFUNCTION("GOOGLETRANSLATE(B17613,""en"",""fr"")"),"Un grand pin est vu.")</f>
        <v>Un grand pin est vu.</v>
      </c>
    </row>
    <row r="17614">
      <c r="A17614" s="4" t="s">
        <v>22172</v>
      </c>
      <c r="B17614" s="4" t="s">
        <v>22175</v>
      </c>
      <c r="C17614" s="5" t="str">
        <f>IFERROR(__xludf.DUMMYFUNCTION("GOOGLETRANSLATE(B17614,""en"",""fr"")"),"Un match est allumé et un jeune homme tient un autre match éclairé avec des bâtons puis le souffle.")</f>
        <v>Un match est allumé et un jeune homme tient un autre match éclairé avec des bâtons puis le souffle.</v>
      </c>
    </row>
    <row r="17615">
      <c r="A17615" s="4" t="s">
        <v>22172</v>
      </c>
      <c r="B17615" s="4" t="s">
        <v>22176</v>
      </c>
      <c r="C17615" s="5" t="str">
        <f>IFERROR(__xludf.DUMMYFUNCTION("GOOGLETRANSLATE(B17615,""en"",""fr"")"),"Le jeune homme construit un anneau de rochers près d'une tente.")</f>
        <v>Le jeune homme construit un anneau de rochers près d'une tente.</v>
      </c>
    </row>
    <row r="17616">
      <c r="A17616" s="4" t="s">
        <v>22172</v>
      </c>
      <c r="B17616" s="4" t="s">
        <v>22177</v>
      </c>
      <c r="C17616" s="5" t="str">
        <f>IFERROR(__xludf.DUMMYFUNCTION("GOOGLETRANSLATE(B17616,""en"",""fr"")"),"Le camping-car montre ensuite des bâtons de différentes tailles dans ses mains et d'autres qu'il casse en deux.")</f>
        <v>Le camping-car montre ensuite des bâtons de différentes tailles dans ses mains et d'autres qu'il casse en deux.</v>
      </c>
    </row>
    <row r="17617">
      <c r="A17617" s="4" t="s">
        <v>22172</v>
      </c>
      <c r="B17617" s="4" t="s">
        <v>22178</v>
      </c>
      <c r="C17617" s="5" t="str">
        <f>IFERROR(__xludf.DUMMYFUNCTION("GOOGLETRANSLATE(B17617,""en"",""fr"")"),"Le jeune homme casse des bâtons avec son pied et les transporte au camping.")</f>
        <v>Le jeune homme casse des bâtons avec son pied et les transporte au camping.</v>
      </c>
    </row>
    <row r="17618">
      <c r="A17618" s="4" t="s">
        <v>22172</v>
      </c>
      <c r="B17618" s="4" t="s">
        <v>22179</v>
      </c>
      <c r="C17618" s="5" t="str">
        <f>IFERROR(__xludf.DUMMYFUNCTION("GOOGLETRANSLATE(B17618,""en"",""fr"")"),"Le jeune homme construit un feu avec les bâtons de dimension différentes dans l'anneau de feu et l'allume.")</f>
        <v>Le jeune homme construit un feu avec les bâtons de dimension différentes dans l'anneau de feu et l'allume.</v>
      </c>
    </row>
    <row r="17619">
      <c r="A17619" s="4" t="s">
        <v>22172</v>
      </c>
      <c r="B17619" s="4" t="s">
        <v>22180</v>
      </c>
      <c r="C17619" s="5" t="str">
        <f>IFERROR(__xludf.DUMMYFUNCTION("GOOGLETRANSLATE(B17619,""en"",""fr"")"),"Le feu brûle dans la nuit.")</f>
        <v>Le feu brûle dans la nuit.</v>
      </c>
    </row>
    <row r="17620">
      <c r="A17620" s="4" t="s">
        <v>22181</v>
      </c>
      <c r="B17620" s="6" t="s">
        <v>22182</v>
      </c>
      <c r="C17620" s="5" t="str">
        <f>IFERROR(__xludf.DUMMYFUNCTION("GOOGLETRANSLATE(B17620,""en"",""fr"")"),"Un homme en smoking et femme en robe de fête danse le tango dans une salle de bal entourée de foule en chaises pendant la représentation.")</f>
        <v>Un homme en smoking et femme en robe de fête danse le tango dans une salle de bal entourée de foule en chaises pendant la représentation.</v>
      </c>
    </row>
    <row r="17621">
      <c r="A17621" s="4" t="s">
        <v>22181</v>
      </c>
      <c r="B17621" s="4" t="s">
        <v>22183</v>
      </c>
      <c r="C17621" s="5" t="str">
        <f>IFERROR(__xludf.DUMMYFUNCTION("GOOGLETRANSLATE(B17621,""en"",""fr"")"),"La foule applaudit à la fin et applaudit les mains.")</f>
        <v>La foule applaudit à la fin et applaudit les mains.</v>
      </c>
    </row>
    <row r="17622">
      <c r="A17622" s="4" t="s">
        <v>22184</v>
      </c>
      <c r="B17622" s="4" t="s">
        <v>22185</v>
      </c>
      <c r="C17622" s="5" t="str">
        <f>IFERROR(__xludf.DUMMYFUNCTION("GOOGLETRANSLATE(B17622,""en"",""fr"")"),"Une femme se tient devant une laveuse et une sécheuse dans une buanderie.")</f>
        <v>Une femme se tient devant une laveuse et une sécheuse dans une buanderie.</v>
      </c>
    </row>
    <row r="17623">
      <c r="A17623" s="4" t="s">
        <v>22184</v>
      </c>
      <c r="B17623" s="4" t="s">
        <v>22186</v>
      </c>
      <c r="C17623" s="5" t="str">
        <f>IFERROR(__xludf.DUMMYFUNCTION("GOOGLETRANSLATE(B17623,""en"",""fr"")"),"Des instructions étape par étape sont données pour repasser les vêtements.")</f>
        <v>Des instructions étape par étape sont données pour repasser les vêtements.</v>
      </c>
    </row>
    <row r="17624">
      <c r="A17624" s="4" t="s">
        <v>22184</v>
      </c>
      <c r="B17624" s="4" t="s">
        <v>22187</v>
      </c>
      <c r="C17624" s="5" t="str">
        <f>IFERROR(__xludf.DUMMYFUNCTION("GOOGLETRANSLATE(B17624,""en"",""fr"")"),"Elle montre comment préparer et repasser les vêtements à l'aide d'un chiffon et d'une vapeur.")</f>
        <v>Elle montre comment préparer et repasser les vêtements à l'aide d'un chiffon et d'une vapeur.</v>
      </c>
    </row>
    <row r="17625">
      <c r="A17625" s="4" t="s">
        <v>22188</v>
      </c>
      <c r="B17625" s="4" t="s">
        <v>22189</v>
      </c>
      <c r="C17625" s="5" t="str">
        <f>IFERROR(__xludf.DUMMYFUNCTION("GOOGLETRANSLATE(B17625,""en"",""fr"")"),"Une femme est assise à côté d'un bébé sur une chaise haute.")</f>
        <v>Une femme est assise à côté d'un bébé sur une chaise haute.</v>
      </c>
    </row>
    <row r="17626">
      <c r="A17626" s="4" t="s">
        <v>22188</v>
      </c>
      <c r="B17626" s="4" t="s">
        <v>22190</v>
      </c>
      <c r="C17626" s="5" t="str">
        <f>IFERROR(__xludf.DUMMYFUNCTION("GOOGLETRANSLATE(B17626,""en"",""fr"")"),"Elle joue un accordéan pour le bébé.")</f>
        <v>Elle joue un accordéan pour le bébé.</v>
      </c>
    </row>
    <row r="17627">
      <c r="A17627" s="4" t="s">
        <v>22188</v>
      </c>
      <c r="B17627" s="4" t="s">
        <v>22191</v>
      </c>
      <c r="C17627" s="5" t="str">
        <f>IFERROR(__xludf.DUMMYFUNCTION("GOOGLETRANSLATE(B17627,""en"",""fr"")"),"Le bébé bascule d'avant en arrière, dansant sur la musique.")</f>
        <v>Le bébé bascule d'avant en arrière, dansant sur la musique.</v>
      </c>
    </row>
    <row r="17628">
      <c r="A17628" s="4" t="s">
        <v>22192</v>
      </c>
      <c r="B17628" s="4" t="s">
        <v>22193</v>
      </c>
      <c r="C17628" s="5" t="str">
        <f>IFERROR(__xludf.DUMMYFUNCTION("GOOGLETRANSLATE(B17628,""en"",""fr"")"),"Une femme donne des instructions sur la façon de faire sa limonade.")</f>
        <v>Une femme donne des instructions sur la façon de faire sa limonade.</v>
      </c>
    </row>
    <row r="17629">
      <c r="A17629" s="4" t="s">
        <v>22192</v>
      </c>
      <c r="B17629" s="6" t="s">
        <v>22194</v>
      </c>
      <c r="C17629" s="5" t="str">
        <f>IFERROR(__xludf.DUMMYFUNCTION("GOOGLETRANSLATE(B17629,""en"",""fr"")"),"Elle montre tous les ingrédients qu'elle utilise et commence à les faire bouillir et à les mélanger sur un pot sur le poêle.")</f>
        <v>Elle montre tous les ingrédients qu'elle utilise et commence à les faire bouillir et à les mélanger sur un pot sur le poêle.</v>
      </c>
    </row>
    <row r="17630">
      <c r="A17630" s="4" t="s">
        <v>22192</v>
      </c>
      <c r="B17630" s="4" t="s">
        <v>22195</v>
      </c>
      <c r="C17630" s="5" t="str">
        <f>IFERROR(__xludf.DUMMYFUNCTION("GOOGLETRANSLATE(B17630,""en"",""fr"")"),"Dans un mélangeur, elle mélange des fraises et du jus de citron.")</f>
        <v>Dans un mélangeur, elle mélange des fraises et du jus de citron.</v>
      </c>
    </row>
    <row r="17631">
      <c r="A17631" s="4" t="s">
        <v>22192</v>
      </c>
      <c r="B17631" s="6" t="s">
        <v>22196</v>
      </c>
      <c r="C17631" s="5" t="str">
        <f>IFERROR(__xludf.DUMMYFUNCTION("GOOGLETRANSLATE(B17631,""en"",""fr"")"),"Elle recommence à faire à nouveau plus ou moins toutes ces étapes pour tous les différents types d'autres limonades qu'elle fait.")</f>
        <v>Elle recommence à faire à nouveau plus ou moins toutes ces étapes pour tous les différents types d'autres limonades qu'elle fait.</v>
      </c>
    </row>
    <row r="17632">
      <c r="A17632" s="4" t="s">
        <v>22197</v>
      </c>
      <c r="B17632" s="6" t="s">
        <v>22198</v>
      </c>
      <c r="C17632" s="5" t="str">
        <f>IFERROR(__xludf.DUMMYFUNCTION("GOOGLETRANSLATE(B17632,""en"",""fr"")"),"Un gros plan d'une personne marchant sur une corde est montré suivi d'un vieil homme qui parle à la caméra et plus de photos de la personne qui marche.")</f>
        <v>Un gros plan d'une personne marchant sur une corde est montré suivi d'un vieil homme qui parle à la caméra et plus de photos de la personne qui marche.</v>
      </c>
    </row>
    <row r="17633">
      <c r="A17633" s="4" t="s">
        <v>22197</v>
      </c>
      <c r="B17633" s="6" t="s">
        <v>22199</v>
      </c>
      <c r="C17633" s="5" t="str">
        <f>IFERROR(__xludf.DUMMYFUNCTION("GOOGLETRANSLATE(B17633,""en"",""fr"")"),"Plus de gens sont interviewés pendant que les gens marchent derrière eux et montrent plusieurs autres photos de personnes qui traversent une corde.")</f>
        <v>Plus de gens sont interviewés pendant que les gens marchent derrière eux et montrent plusieurs autres photos de personnes qui traversent une corde.</v>
      </c>
    </row>
    <row r="17634">
      <c r="A17634" s="4" t="s">
        <v>22200</v>
      </c>
      <c r="B17634" s="6" t="s">
        <v>22201</v>
      </c>
      <c r="C17634" s="5" t="str">
        <f>IFERROR(__xludf.DUMMYFUNCTION("GOOGLETRANSLATE(B17634,""en"",""fr"")"),"Un petit groupe de personnes est vu debout le long d'un intérieur avec un joueur donnant un coup de pied au ballon et marquant un but.")</f>
        <v>Un petit groupe de personnes est vu debout le long d'un intérieur avec un joueur donnant un coup de pied au ballon et marquant un but.</v>
      </c>
    </row>
    <row r="17635">
      <c r="A17635" s="4" t="s">
        <v>22200</v>
      </c>
      <c r="B17635" s="4" t="s">
        <v>22202</v>
      </c>
      <c r="C17635" s="5" t="str">
        <f>IFERROR(__xludf.DUMMYFUNCTION("GOOGLETRANSLATE(B17635,""en"",""fr"")"),"Le public applaudit et le même coup est à nouveau montré plusieurs fois et le joueur s'éloignait.")</f>
        <v>Le public applaudit et le même coup est à nouveau montré plusieurs fois et le joueur s'éloignait.</v>
      </c>
    </row>
    <row r="17636">
      <c r="A17636" s="4" t="s">
        <v>22200</v>
      </c>
      <c r="B17636" s="6" t="s">
        <v>22203</v>
      </c>
      <c r="C17636" s="5" t="str">
        <f>IFERROR(__xludf.DUMMYFUNCTION("GOOGLETRANSLATE(B17636,""en"",""fr"")"),"Beaucoup plus de coups de buts sont affichés pendant le match, suivis du même tir illustré à nouveau au ralenti.")</f>
        <v>Beaucoup plus de coups de buts sont affichés pendant le match, suivis du même tir illustré à nouveau au ralenti.</v>
      </c>
    </row>
    <row r="17637">
      <c r="A17637" s="4" t="s">
        <v>22204</v>
      </c>
      <c r="B17637" s="4" t="s">
        <v>22205</v>
      </c>
      <c r="C17637" s="5" t="str">
        <f>IFERROR(__xludf.DUMMYFUNCTION("GOOGLETRANSLATE(B17637,""en"",""fr"")"),"Nous voyons l'homme taquiner un taureau avec un drapeau.")</f>
        <v>Nous voyons l'homme taquiner un taureau avec un drapeau.</v>
      </c>
    </row>
    <row r="17638">
      <c r="A17638" s="4" t="s">
        <v>22204</v>
      </c>
      <c r="B17638" s="4" t="s">
        <v>22206</v>
      </c>
      <c r="C17638" s="5" t="str">
        <f>IFERROR(__xludf.DUMMYFUNCTION("GOOGLETRANSLATE(B17638,""en"",""fr"")"),"Le taureau charge au drapeau.")</f>
        <v>Le taureau charge au drapeau.</v>
      </c>
    </row>
    <row r="17639">
      <c r="A17639" s="4" t="s">
        <v>22204</v>
      </c>
      <c r="B17639" s="4" t="s">
        <v>22207</v>
      </c>
      <c r="C17639" s="5" t="str">
        <f>IFERROR(__xludf.DUMMYFUNCTION("GOOGLETRANSLATE(B17639,""en"",""fr"")"),"Le taureau charge et s'en va après le drapeau.")</f>
        <v>Le taureau charge et s'en va après le drapeau.</v>
      </c>
    </row>
    <row r="17640">
      <c r="A17640" s="4" t="s">
        <v>22204</v>
      </c>
      <c r="B17640" s="4" t="s">
        <v>22208</v>
      </c>
      <c r="C17640" s="5" t="str">
        <f>IFERROR(__xludf.DUMMYFUNCTION("GOOGLETRANSLATE(B17640,""en"",""fr"")"),"Le taureau se déplace à gauche et le taureau le suit.")</f>
        <v>Le taureau se déplace à gauche et le taureau le suit.</v>
      </c>
    </row>
    <row r="17641">
      <c r="A17641" s="4" t="s">
        <v>22209</v>
      </c>
      <c r="B17641" s="4" t="s">
        <v>22210</v>
      </c>
      <c r="C17641" s="5" t="str">
        <f>IFERROR(__xludf.DUMMYFUNCTION("GOOGLETRANSLATE(B17641,""en"",""fr"")"),"Deux hommes marchent en tenant des balles devant eux.")</f>
        <v>Deux hommes marchent en tenant des balles devant eux.</v>
      </c>
    </row>
    <row r="17642">
      <c r="A17642" s="4" t="s">
        <v>22209</v>
      </c>
      <c r="B17642" s="4" t="s">
        <v>22211</v>
      </c>
      <c r="C17642" s="5" t="str">
        <f>IFERROR(__xludf.DUMMYFUNCTION("GOOGLETRANSLATE(B17642,""en"",""fr"")"),"Ils organisent des disques sur certains chiffres.")</f>
        <v>Ils organisent des disques sur certains chiffres.</v>
      </c>
    </row>
    <row r="17643">
      <c r="A17643" s="4" t="s">
        <v>22209</v>
      </c>
      <c r="B17643" s="4" t="s">
        <v>22212</v>
      </c>
      <c r="C17643" s="5" t="str">
        <f>IFERROR(__xludf.DUMMYFUNCTION("GOOGLETRANSLATE(B17643,""en"",""fr"")"),"L'un des hommes lance un disque avec son bâton.")</f>
        <v>L'un des hommes lance un disque avec son bâton.</v>
      </c>
    </row>
    <row r="17644">
      <c r="A17644" s="4" t="s">
        <v>22209</v>
      </c>
      <c r="B17644" s="4" t="s">
        <v>22213</v>
      </c>
      <c r="C17644" s="5" t="str">
        <f>IFERROR(__xludf.DUMMYFUNCTION("GOOGLETRANSLATE(B17644,""en"",""fr"")"),"L'homme en rouge jette son disque.")</f>
        <v>L'homme en rouge jette son disque.</v>
      </c>
    </row>
    <row r="17645">
      <c r="A17645" s="4" t="s">
        <v>22209</v>
      </c>
      <c r="B17645" s="4" t="s">
        <v>22214</v>
      </c>
      <c r="C17645" s="5" t="str">
        <f>IFERROR(__xludf.DUMMYFUNCTION("GOOGLETRANSLATE(B17645,""en"",""fr"")"),"Le premier homme lance un autre disque.")</f>
        <v>Le premier homme lance un autre disque.</v>
      </c>
    </row>
    <row r="17646">
      <c r="A17646" s="4" t="s">
        <v>22209</v>
      </c>
      <c r="B17646" s="4" t="s">
        <v>22215</v>
      </c>
      <c r="C17646" s="5" t="str">
        <f>IFERROR(__xludf.DUMMYFUNCTION("GOOGLETRANSLATE(B17646,""en"",""fr"")"),"L'homme dans la chemise rouge suit.")</f>
        <v>L'homme dans la chemise rouge suit.</v>
      </c>
    </row>
    <row r="17647">
      <c r="A17647" s="4" t="s">
        <v>22209</v>
      </c>
      <c r="B17647" s="4" t="s">
        <v>22216</v>
      </c>
      <c r="C17647" s="5" t="str">
        <f>IFERROR(__xludf.DUMMYFUNCTION("GOOGLETRANSLATE(B17647,""en"",""fr"")"),"Le premier homme lance un autre disque et l'homme dans la chemise rouge suit.")</f>
        <v>Le premier homme lance un autre disque et l'homme dans la chemise rouge suit.</v>
      </c>
    </row>
    <row r="17648">
      <c r="A17648" s="4" t="s">
        <v>22209</v>
      </c>
      <c r="B17648" s="4" t="s">
        <v>22217</v>
      </c>
      <c r="C17648" s="5" t="str">
        <f>IFERROR(__xludf.DUMMYFUNCTION("GOOGLETRANSLATE(B17648,""en"",""fr"")"),"Ils se sont élevés.")</f>
        <v>Ils se sont élevés.</v>
      </c>
    </row>
    <row r="17649">
      <c r="A17649" s="4" t="s">
        <v>22218</v>
      </c>
      <c r="B17649" s="4" t="s">
        <v>22219</v>
      </c>
      <c r="C17649" s="5" t="str">
        <f>IFERROR(__xludf.DUMMYFUNCTION("GOOGLETRANSLATE(B17649,""en"",""fr"")"),"Un homme en uniforme militaire se tient devant un groupe de soldats.")</f>
        <v>Un homme en uniforme militaire se tient devant un groupe de soldats.</v>
      </c>
    </row>
    <row r="17650">
      <c r="A17650" s="4" t="s">
        <v>22218</v>
      </c>
      <c r="B17650" s="4" t="s">
        <v>22220</v>
      </c>
      <c r="C17650" s="5" t="str">
        <f>IFERROR(__xludf.DUMMYFUNCTION("GOOGLETRANSLATE(B17650,""en"",""fr"")"),"Il joue les cornemusets pendant que les autres soldats se tiennent et le regarde.")</f>
        <v>Il joue les cornemusets pendant que les autres soldats se tiennent et le regarde.</v>
      </c>
    </row>
    <row r="17651">
      <c r="A17651" s="4" t="s">
        <v>22218</v>
      </c>
      <c r="B17651" s="6" t="s">
        <v>22221</v>
      </c>
      <c r="C17651" s="5" t="str">
        <f>IFERROR(__xludf.DUMMYFUNCTION("GOOGLETRANSLATE(B17651,""en"",""fr"")"),"C'est peut-être un défilé pour lequel ils s'entraînent car ils se tiennent et le regardent au-dessus de la bande-annonce.")</f>
        <v>C'est peut-être un défilé pour lequel ils s'entraînent car ils se tiennent et le regardent au-dessus de la bande-annonce.</v>
      </c>
    </row>
    <row r="17652">
      <c r="A17652" s="4" t="s">
        <v>22218</v>
      </c>
      <c r="B17652" s="4" t="s">
        <v>22222</v>
      </c>
      <c r="C17652" s="5" t="str">
        <f>IFERROR(__xludf.DUMMYFUNCTION("GOOGLETRANSLATE(B17652,""en"",""fr"")"),"Une fois le soldat terminé avec sa chanson sur la cornemuse, tous les soldats applaudissent et encouragent pour lui.")</f>
        <v>Une fois le soldat terminé avec sa chanson sur la cornemuse, tous les soldats applaudissent et encouragent pour lui.</v>
      </c>
    </row>
    <row r="17653">
      <c r="A17653" s="4" t="s">
        <v>22223</v>
      </c>
      <c r="B17653" s="4" t="s">
        <v>22224</v>
      </c>
      <c r="C17653" s="5" t="str">
        <f>IFERROR(__xludf.DUMMYFUNCTION("GOOGLETRANSLATE(B17653,""en"",""fr"")"),"Une vieille vidéo de surf est montrée.")</f>
        <v>Une vieille vidéo de surf est montrée.</v>
      </c>
    </row>
    <row r="17654">
      <c r="A17654" s="4" t="s">
        <v>22223</v>
      </c>
      <c r="B17654" s="4" t="s">
        <v>22225</v>
      </c>
      <c r="C17654" s="5" t="str">
        <f>IFERROR(__xludf.DUMMYFUNCTION("GOOGLETRANSLATE(B17654,""en"",""fr"")"),"Les gens attrapent des vagues et le gros gars fait un très bon travail.")</f>
        <v>Les gens attrapent des vagues et le gros gars fait un très bon travail.</v>
      </c>
    </row>
    <row r="17655">
      <c r="A17655" s="4" t="s">
        <v>22226</v>
      </c>
      <c r="B17655" s="4" t="s">
        <v>22227</v>
      </c>
      <c r="C17655" s="5" t="str">
        <f>IFERROR(__xludf.DUMMYFUNCTION("GOOGLETRANSLATE(B17655,""en"",""fr"")"),"Un grand mâle noir et John Cena sont dans une lutte contre le bras de la lutte.")</f>
        <v>Un grand mâle noir et John Cena sont dans une lutte contre le bras de la lutte.</v>
      </c>
    </row>
    <row r="17656">
      <c r="A17656" s="4" t="s">
        <v>22226</v>
      </c>
      <c r="B17656" s="6" t="s">
        <v>22228</v>
      </c>
      <c r="C17656" s="5" t="str">
        <f>IFERROR(__xludf.DUMMYFUNCTION("GOOGLETRANSLATE(B17656,""en"",""fr"")"),"Le homme noir commence à gagner, mais John Cena utilise toutes ses forces pour ne pas céder et gagner suffisamment de force pour repousser la main dans l'autre sens.")</f>
        <v>Le homme noir commence à gagner, mais John Cena utilise toutes ses forces pour ne pas céder et gagner suffisamment de force pour repousser la main dans l'autre sens.</v>
      </c>
    </row>
    <row r="17657">
      <c r="A17657" s="4" t="s">
        <v>22226</v>
      </c>
      <c r="B17657" s="6" t="s">
        <v>22229</v>
      </c>
      <c r="C17657" s="5" t="str">
        <f>IFERROR(__xludf.DUMMYFUNCTION("GOOGLETRANSLATE(B17657,""en"",""fr"")"),"Après un certain temps, John Cena gagne et quelqu'un saute sur le dos et commence à le lutter et prend l'homme noir et le laisse tomber.")</f>
        <v>Après un certain temps, John Cena gagne et quelqu'un saute sur le dos et commence à le lutter et prend l'homme noir et le laisse tomber.</v>
      </c>
    </row>
    <row r="17658">
      <c r="A17658" s="4" t="s">
        <v>22226</v>
      </c>
      <c r="B17658" s="6" t="s">
        <v>22230</v>
      </c>
      <c r="C17658" s="5" t="str">
        <f>IFERROR(__xludf.DUMMYFUNCTION("GOOGLETRANSLATE(B17658,""en"",""fr"")"),"Alors que John Cena continue de célébrer l'autre gars commence à parler des ordures et que John Cena le regarde, puis parle à la foule.")</f>
        <v>Alors que John Cena continue de célébrer l'autre gars commence à parler des ordures et que John Cena le regarde, puis parle à la foule.</v>
      </c>
    </row>
    <row r="17659">
      <c r="A17659" s="4" t="s">
        <v>22231</v>
      </c>
      <c r="B17659" s="4" t="s">
        <v>22232</v>
      </c>
      <c r="C17659" s="5" t="str">
        <f>IFERROR(__xludf.DUMMYFUNCTION("GOOGLETRANSLATE(B17659,""en"",""fr"")"),"Une fanfare joue dans un gymnase et les gens regardent.")</f>
        <v>Une fanfare joue dans un gymnase et les gens regardent.</v>
      </c>
    </row>
    <row r="17660">
      <c r="A17660" s="4" t="s">
        <v>22231</v>
      </c>
      <c r="B17660" s="4" t="s">
        <v>22233</v>
      </c>
      <c r="C17660" s="5" t="str">
        <f>IFERROR(__xludf.DUMMYFUNCTION("GOOGLETRANSLATE(B17660,""en"",""fr"")"),"Ensuite, la fanfare cesse de jouer un peu, puis elle reprend.")</f>
        <v>Ensuite, la fanfare cesse de jouer un peu, puis elle reprend.</v>
      </c>
    </row>
    <row r="17661">
      <c r="A17661" s="4" t="s">
        <v>22231</v>
      </c>
      <c r="B17661" s="4" t="s">
        <v>22234</v>
      </c>
      <c r="C17661" s="5" t="str">
        <f>IFERROR(__xludf.DUMMYFUNCTION("GOOGLETRANSLATE(B17661,""en"",""fr"")"),"Une femme passe du côté de la fanfare.")</f>
        <v>Une femme passe du côté de la fanfare.</v>
      </c>
    </row>
    <row r="17662">
      <c r="A17662" s="4" t="s">
        <v>22231</v>
      </c>
      <c r="B17662" s="4" t="s">
        <v>22235</v>
      </c>
      <c r="C17662" s="5" t="str">
        <f>IFERROR(__xludf.DUMMYFUNCTION("GOOGLETRANSLATE(B17662,""en"",""fr"")"),"Un jeune homme boit d'une boîte.")</f>
        <v>Un jeune homme boit d'une boîte.</v>
      </c>
    </row>
    <row r="17663">
      <c r="A17663" s="4" t="s">
        <v>22231</v>
      </c>
      <c r="B17663" s="4" t="s">
        <v>22236</v>
      </c>
      <c r="C17663" s="5" t="str">
        <f>IFERROR(__xludf.DUMMYFUNCTION("GOOGLETRANSLATE(B17663,""en"",""fr"")"),"Après, un enfant passe devant la fanfare.")</f>
        <v>Après, un enfant passe devant la fanfare.</v>
      </c>
    </row>
    <row r="17664">
      <c r="A17664" s="4" t="s">
        <v>22237</v>
      </c>
      <c r="B17664" s="4" t="s">
        <v>22238</v>
      </c>
      <c r="C17664" s="5" t="str">
        <f>IFERROR(__xludf.DUMMYFUNCTION("GOOGLETRANSLATE(B17664,""en"",""fr"")"),"Les gens dans une maison se préparent à faire du traîneau dans la rue recouverte de neige.")</f>
        <v>Les gens dans une maison se préparent à faire du traîneau dans la rue recouverte de neige.</v>
      </c>
    </row>
    <row r="17665">
      <c r="A17665" s="4" t="s">
        <v>22237</v>
      </c>
      <c r="B17665" s="4" t="s">
        <v>22239</v>
      </c>
      <c r="C17665" s="5" t="str">
        <f>IFERROR(__xludf.DUMMYFUNCTION("GOOGLETRANSLATE(B17665,""en"",""fr"")"),"Deux jeunes hommes ont traîné sur la route tirée par une voiture.")</f>
        <v>Deux jeunes hommes ont traîné sur la route tirée par une voiture.</v>
      </c>
    </row>
    <row r="17666">
      <c r="A17666" s="4" t="s">
        <v>22237</v>
      </c>
      <c r="B17666" s="4" t="s">
        <v>22240</v>
      </c>
      <c r="C17666" s="5" t="str">
        <f>IFERROR(__xludf.DUMMYFUNCTION("GOOGLETRANSLATE(B17666,""en"",""fr"")"),"Des éclaboussures de neige tombent sur les jeunes hommes recouverts de neige.")</f>
        <v>Des éclaboussures de neige tombent sur les jeunes hommes recouverts de neige.</v>
      </c>
    </row>
    <row r="17667">
      <c r="A17667" s="4" t="s">
        <v>22237</v>
      </c>
      <c r="B17667" s="6" t="s">
        <v>22241</v>
      </c>
      <c r="C17667" s="5" t="str">
        <f>IFERROR(__xludf.DUMMYFUNCTION("GOOGLETRANSLATE(B17667,""en"",""fr"")"),"Un jeune homme se tient du traîneau et entre dans la voiture et une autre personne prend sa place sur le traîneau.")</f>
        <v>Un jeune homme se tient du traîneau et entre dans la voiture et une autre personne prend sa place sur le traîneau.</v>
      </c>
    </row>
    <row r="17668">
      <c r="A17668" s="4" t="s">
        <v>22237</v>
      </c>
      <c r="B17668" s="4" t="s">
        <v>22242</v>
      </c>
      <c r="C17668" s="5" t="str">
        <f>IFERROR(__xludf.DUMMYFUNCTION("GOOGLETRANSLATE(B17668,""en"",""fr"")"),"Un jeune homme descend le traîneau de la route tandis que la neige s'écoule sur eux.")</f>
        <v>Un jeune homme descend le traîneau de la route tandis que la neige s'écoule sur eux.</v>
      </c>
    </row>
    <row r="17669">
      <c r="A17669" s="4" t="s">
        <v>22237</v>
      </c>
      <c r="B17669" s="4" t="s">
        <v>22243</v>
      </c>
      <c r="C17669" s="5" t="str">
        <f>IFERROR(__xludf.DUMMYFUNCTION("GOOGLETRANSLATE(B17669,""en"",""fr"")"),"Un jeune snowboards tenant une corde attachée à une voiture, à la fin, il tombe.")</f>
        <v>Un jeune snowboards tenant une corde attachée à une voiture, à la fin, il tombe.</v>
      </c>
    </row>
    <row r="17670">
      <c r="A17670" s="4" t="s">
        <v>22244</v>
      </c>
      <c r="B17670" s="4" t="s">
        <v>22245</v>
      </c>
      <c r="C17670" s="5" t="str">
        <f>IFERROR(__xludf.DUMMYFUNCTION("GOOGLETRANSLATE(B17670,""en"",""fr"")"),"Une planche à roulettes pour garçons sur une route sautant et retournant la planche à roulettes dans la rue.")</f>
        <v>Une planche à roulettes pour garçons sur une route sautant et retournant la planche à roulettes dans la rue.</v>
      </c>
    </row>
    <row r="17671">
      <c r="A17671" s="4" t="s">
        <v>22244</v>
      </c>
      <c r="B17671" s="4" t="s">
        <v>22246</v>
      </c>
      <c r="C17671" s="5" t="str">
        <f>IFERROR(__xludf.DUMMYFUNCTION("GOOGLETRANSLATE(B17671,""en"",""fr"")"),"Une planche à roulettes s'appuie sur un arbre.")</f>
        <v>Une planche à roulettes s'appuie sur un arbre.</v>
      </c>
    </row>
    <row r="17672">
      <c r="A17672" s="4" t="s">
        <v>22244</v>
      </c>
      <c r="B17672" s="4" t="s">
        <v>22247</v>
      </c>
      <c r="C17672" s="5" t="str">
        <f>IFERROR(__xludf.DUMMYFUNCTION("GOOGLETRANSLATE(B17672,""en"",""fr"")"),"Ensuite, la planche à roulettes sur les petites rampes, puis continue de skateboard dans la rue.")</f>
        <v>Ensuite, la planche à roulettes sur les petites rampes, puis continue de skateboard dans la rue.</v>
      </c>
    </row>
    <row r="17673">
      <c r="A17673" s="4" t="s">
        <v>22248</v>
      </c>
      <c r="B17673" s="4" t="s">
        <v>22249</v>
      </c>
      <c r="C17673" s="5" t="str">
        <f>IFERROR(__xludf.DUMMYFUNCTION("GOOGLETRANSLATE(B17673,""en"",""fr"")"),"Un homme place la crème à raser sur son visage.")</f>
        <v>Un homme place la crème à raser sur son visage.</v>
      </c>
    </row>
    <row r="17674">
      <c r="A17674" s="4" t="s">
        <v>22248</v>
      </c>
      <c r="B17674" s="4" t="s">
        <v>22250</v>
      </c>
      <c r="C17674" s="5" t="str">
        <f>IFERROR(__xludf.DUMMYFUNCTION("GOOGLETRANSLATE(B17674,""en"",""fr"")"),"Un homme crache un peu de liquide de sa bouche.")</f>
        <v>Un homme crache un peu de liquide de sa bouche.</v>
      </c>
    </row>
    <row r="17675">
      <c r="A17675" s="4" t="s">
        <v>22248</v>
      </c>
      <c r="B17675" s="4" t="s">
        <v>22251</v>
      </c>
      <c r="C17675" s="5" t="str">
        <f>IFERROR(__xludf.DUMMYFUNCTION("GOOGLETRANSLATE(B17675,""en"",""fr"")"),"Un homme aiguise sa lame de rasoir.")</f>
        <v>Un homme aiguise sa lame de rasoir.</v>
      </c>
    </row>
    <row r="17676">
      <c r="A17676" s="4" t="s">
        <v>22248</v>
      </c>
      <c r="B17676" s="4" t="s">
        <v>22252</v>
      </c>
      <c r="C17676" s="5" t="str">
        <f>IFERROR(__xludf.DUMMYFUNCTION("GOOGLETRANSLATE(B17676,""en"",""fr"")"),"L'homme se rattache le visage avec le rasoir.")</f>
        <v>L'homme se rattache le visage avec le rasoir.</v>
      </c>
    </row>
    <row r="17677">
      <c r="A17677" s="4" t="s">
        <v>22248</v>
      </c>
      <c r="B17677" s="4" t="s">
        <v>22253</v>
      </c>
      <c r="C17677" s="5" t="str">
        <f>IFERROR(__xludf.DUMMYFUNCTION("GOOGLETRANSLATE(B17677,""en"",""fr"")"),"L'homme met plus de crème à raser sur son visage.")</f>
        <v>L'homme met plus de crème à raser sur son visage.</v>
      </c>
    </row>
    <row r="17678">
      <c r="A17678" s="4" t="s">
        <v>22254</v>
      </c>
      <c r="B17678" s="6" t="s">
        <v>22255</v>
      </c>
      <c r="C17678" s="5" t="str">
        <f>IFERROR(__xludf.DUMMYFUNCTION("GOOGLETRANSLATE(B17678,""en"",""fr"")"),"Une intro apparaît et il a un logo et les mots ""EXTERNOOR INTERLAKEN +"", puis les mots jaunes et les chiffres romains apparaissent.")</f>
        <v>Une intro apparaît et il a un logo et les mots "EXTERNOOR INTERLAKEN +", puis les mots jaunes et les chiffres romains apparaissent.</v>
      </c>
    </row>
    <row r="17679">
      <c r="A17679" s="4" t="s">
        <v>22254</v>
      </c>
      <c r="B17679" s="6" t="s">
        <v>22256</v>
      </c>
      <c r="C17679" s="5" t="str">
        <f>IFERROR(__xludf.DUMMYFUNCTION("GOOGLETRANSLATE(B17679,""en"",""fr"")"),"La boutique extérieure apparaît et elle change rapidement à l'intérieur de la boutique où les gens sont tous rassemblés pour obtenir des instructions, s'habiller en casques et équipements de sécurité et préparez le rafting en eau vive.")</f>
        <v>La boutique extérieure apparaît et elle change rapidement à l'intérieur de la boutique où les gens sont tous rassemblés pour obtenir des instructions, s'habiller en casques et équipements de sécurité et préparez le rafting en eau vive.</v>
      </c>
    </row>
    <row r="17680">
      <c r="A17680" s="4" t="s">
        <v>22254</v>
      </c>
      <c r="B17680" s="6" t="s">
        <v>22257</v>
      </c>
      <c r="C17680" s="5" t="str">
        <f>IFERROR(__xludf.DUMMYFUNCTION("GOOGLETRANSLATE(B17680,""en"",""fr"")"),"Les gens vont ensuite à l'extérieur où ils s'entraînent sur des terres sur la façon de s'asseoir dans le radeau, la pagaie et etc.")</f>
        <v>Les gens vont ensuite à l'extérieur où ils s'entraînent sur des terres sur la façon de s'asseoir dans le radeau, la pagaie et etc.</v>
      </c>
    </row>
    <row r="17681">
      <c r="A17681" s="4" t="s">
        <v>22254</v>
      </c>
      <c r="B17681" s="6" t="s">
        <v>22258</v>
      </c>
      <c r="C17681" s="5" t="str">
        <f>IFERROR(__xludf.DUMMYFUNCTION("GOOGLETRANSLATE(B17681,""en"",""fr"")"),"Quand ils ont fini de pratiquer la marche vers l'eau avec leurs radeaux et ils sont tous vus dans les eaux très difficiles qui descendent et pagayent et dans leurs radeaux où ils se retrouvent dans des eaux calmes et sautent de leurs radeaux pour célébrer"&amp;" leur succès.")</f>
        <v>Quand ils ont fini de pratiquer la marche vers l'eau avec leurs radeaux et ils sont tous vus dans les eaux très difficiles qui descendent et pagayent et dans leurs radeaux où ils se retrouvent dans des eaux calmes et sautent de leurs radeaux pour célébrer leur succès.</v>
      </c>
    </row>
    <row r="17682">
      <c r="A17682" s="4" t="s">
        <v>22254</v>
      </c>
      <c r="B17682" s="6" t="s">
        <v>22259</v>
      </c>
      <c r="C17682" s="5" t="str">
        <f>IFERROR(__xludf.DUMMYFUNCTION("GOOGLETRANSLATE(B17682,""en"",""fr"")"),"Quand ils ont fini de célébrer les gens qui sortent de l'eau en tenant leur radeau et ils se retrouvent dans un véhicule où ils sourient et heureux.")</f>
        <v>Quand ils ont fini de célébrer les gens qui sortent de l'eau en tenant leur radeau et ils se retrouvent dans un véhicule où ils sourient et heureux.</v>
      </c>
    </row>
    <row r="17683">
      <c r="A17683" s="4" t="s">
        <v>22254</v>
      </c>
      <c r="B17683" s="4" t="s">
        <v>22260</v>
      </c>
      <c r="C17683" s="5" t="str">
        <f>IFERROR(__xludf.DUMMYFUNCTION("GOOGLETRANSLATE(B17683,""en"",""fr"")"),"L'Undro apparaît avec les coordonnées, le site Web, les logos et les crédits.")</f>
        <v>L'Undro apparaît avec les coordonnées, le site Web, les logos et les crédits.</v>
      </c>
    </row>
    <row r="17684">
      <c r="A17684" s="4" t="s">
        <v>22261</v>
      </c>
      <c r="B17684" s="4" t="s">
        <v>22262</v>
      </c>
      <c r="C17684" s="5" t="str">
        <f>IFERROR(__xludf.DUMMYFUNCTION("GOOGLETRANSLATE(B17684,""en"",""fr"")"),"Deux personnes sont vues assises sur le rivage alors qu'elle était assise dans des kayaks.")</f>
        <v>Deux personnes sont vues assises sur le rivage alors qu'elle était assise dans des kayaks.</v>
      </c>
    </row>
    <row r="17685">
      <c r="A17685" s="4" t="s">
        <v>22261</v>
      </c>
      <c r="B17685" s="4" t="s">
        <v>22263</v>
      </c>
      <c r="C17685" s="5" t="str">
        <f>IFERROR(__xludf.DUMMYFUNCTION("GOOGLETRANSLATE(B17685,""en"",""fr"")"),"Une personne se rapproche de l'eau et commence à rouler le long de la rivière.")</f>
        <v>Une personne se rapproche de l'eau et commence à rouler le long de la rivière.</v>
      </c>
    </row>
    <row r="17686">
      <c r="A17686" s="4" t="s">
        <v>22264</v>
      </c>
      <c r="B17686" s="4" t="s">
        <v>22265</v>
      </c>
      <c r="C17686" s="5" t="str">
        <f>IFERROR(__xludf.DUMMYFUNCTION("GOOGLETRANSLATE(B17686,""en"",""fr"")"),"Les jeunes hommes montent sur les planches à roulettes et font des virages sur une place de la ville.")</f>
        <v>Les jeunes hommes montent sur les planches à roulettes et font des virages sur une place de la ville.</v>
      </c>
    </row>
    <row r="17687">
      <c r="A17687" s="4" t="s">
        <v>22264</v>
      </c>
      <c r="B17687" s="4" t="s">
        <v>22266</v>
      </c>
      <c r="C17687" s="5" t="str">
        <f>IFERROR(__xludf.DUMMYFUNCTION("GOOGLETRANSLATE(B17687,""en"",""fr"")"),"Le skateur fait un wheelie.")</f>
        <v>Le skateur fait un wheelie.</v>
      </c>
    </row>
    <row r="17688">
      <c r="A17688" s="4" t="s">
        <v>22264</v>
      </c>
      <c r="B17688" s="4" t="s">
        <v>22267</v>
      </c>
      <c r="C17688" s="5" t="str">
        <f>IFERROR(__xludf.DUMMYFUNCTION("GOOGLETRANSLATE(B17688,""en"",""fr"")"),"Les skateurs roulent le long d'un trottoir qui va quelque part.")</f>
        <v>Les skateurs roulent le long d'un trottoir qui va quelque part.</v>
      </c>
    </row>
    <row r="17689">
      <c r="A17689" s="4" t="s">
        <v>22264</v>
      </c>
      <c r="B17689" s="4" t="s">
        <v>22268</v>
      </c>
      <c r="C17689" s="5" t="str">
        <f>IFERROR(__xludf.DUMMYFUNCTION("GOOGLETRANSLATE(B17689,""en"",""fr"")"),"Les garçons se promènent et entrent dans une station de transport.")</f>
        <v>Les garçons se promènent et entrent dans une station de transport.</v>
      </c>
    </row>
    <row r="17690">
      <c r="A17690" s="4" t="s">
        <v>22269</v>
      </c>
      <c r="B17690" s="4" t="s">
        <v>22270</v>
      </c>
      <c r="C17690" s="5" t="str">
        <f>IFERROR(__xludf.DUMMYFUNCTION("GOOGLETRANSLATE(B17690,""en"",""fr"")"),"Un homme en rouge à l'extérieur vissant dans ses rotors et remettant son pneu sur son camion.")</f>
        <v>Un homme en rouge à l'extérieur vissant dans ses rotors et remettant son pneu sur son camion.</v>
      </c>
    </row>
    <row r="17691">
      <c r="A17691" s="4" t="s">
        <v>22269</v>
      </c>
      <c r="B17691" s="4" t="s">
        <v>22271</v>
      </c>
      <c r="C17691" s="5" t="str">
        <f>IFERROR(__xludf.DUMMYFUNCTION("GOOGLETRANSLATE(B17691,""en"",""fr"")"),"Il attrape des morceaux pour le resserrer et commence à s'assurer qu'ils sont super serrés.")</f>
        <v>Il attrape des morceaux pour le resserrer et commence à s'assurer qu'ils sont super serrés.</v>
      </c>
    </row>
    <row r="17692">
      <c r="A17692" s="4" t="s">
        <v>22269</v>
      </c>
      <c r="B17692" s="4" t="s">
        <v>22272</v>
      </c>
      <c r="C17692" s="5" t="str">
        <f>IFERROR(__xludf.DUMMYFUNCTION("GOOGLETRANSLATE(B17692,""en"",""fr"")"),"Il le fait à plusieurs reprises pour s'assurer qu'ils restent tous bien.")</f>
        <v>Il le fait à plusieurs reprises pour s'assurer qu'ils restent tous bien.</v>
      </c>
    </row>
    <row r="17693">
      <c r="A17693" s="4" t="s">
        <v>22269</v>
      </c>
      <c r="B17693" s="4" t="s">
        <v>22273</v>
      </c>
      <c r="C17693" s="5" t="str">
        <f>IFERROR(__xludf.DUMMYFUNCTION("GOOGLETRANSLATE(B17693,""en"",""fr"")"),"Sinon, il serait dangereux de conduire s'ils sont lâches.")</f>
        <v>Sinon, il serait dangereux de conduire s'ils sont lâches.</v>
      </c>
    </row>
    <row r="17694">
      <c r="A17694" s="4" t="s">
        <v>22274</v>
      </c>
      <c r="B17694" s="4" t="s">
        <v>22275</v>
      </c>
      <c r="C17694" s="5" t="str">
        <f>IFERROR(__xludf.DUMMYFUNCTION("GOOGLETRANSLATE(B17694,""en"",""fr"")"),"Nous voyons un garçon dans une casquette dans une pièce en riant et en s'asseyant.")</f>
        <v>Nous voyons un garçon dans une casquette dans une pièce en riant et en s'asseyant.</v>
      </c>
    </row>
    <row r="17695">
      <c r="A17695" s="4" t="s">
        <v>22274</v>
      </c>
      <c r="B17695" s="4" t="s">
        <v>22276</v>
      </c>
      <c r="C17695" s="5" t="str">
        <f>IFERROR(__xludf.DUMMYFUNCTION("GOOGLETRANSLATE(B17695,""en"",""fr"")"),"Nous voyons le garçon dans les coulisses parler à deux hommes.")</f>
        <v>Nous voyons le garçon dans les coulisses parler à deux hommes.</v>
      </c>
    </row>
    <row r="17696">
      <c r="A17696" s="4" t="s">
        <v>22274</v>
      </c>
      <c r="B17696" s="4" t="s">
        <v>22277</v>
      </c>
      <c r="C17696" s="5" t="str">
        <f>IFERROR(__xludf.DUMMYFUNCTION("GOOGLETRANSLATE(B17696,""en"",""fr"")"),"Le garçon monte sur scène et parle aux juges.")</f>
        <v>Le garçon monte sur scène et parle aux juges.</v>
      </c>
    </row>
    <row r="17697">
      <c r="A17697" s="4" t="s">
        <v>22274</v>
      </c>
      <c r="B17697" s="4" t="s">
        <v>22278</v>
      </c>
      <c r="C17697" s="5" t="str">
        <f>IFERROR(__xludf.DUMMYFUNCTION("GOOGLETRANSLATE(B17697,""en"",""fr"")"),"Le garçon effectue une danse de pause.")</f>
        <v>Le garçon effectue une danse de pause.</v>
      </c>
    </row>
    <row r="17698">
      <c r="A17698" s="4" t="s">
        <v>22274</v>
      </c>
      <c r="B17698" s="4" t="s">
        <v>22279</v>
      </c>
      <c r="C17698" s="5" t="str">
        <f>IFERROR(__xludf.DUMMYFUNCTION("GOOGLETRANSLATE(B17698,""en"",""fr"")"),"Une bouche des juges s'ouvre.")</f>
        <v>Une bouche des juges s'ouvre.</v>
      </c>
    </row>
    <row r="17699">
      <c r="A17699" s="4" t="s">
        <v>22274</v>
      </c>
      <c r="B17699" s="4" t="s">
        <v>22280</v>
      </c>
      <c r="C17699" s="5" t="str">
        <f>IFERROR(__xludf.DUMMYFUNCTION("GOOGLETRANSLATE(B17699,""en"",""fr"")"),"Le garçon finit de danser et les juges donnent leurs commentaires.")</f>
        <v>Le garçon finit de danser et les juges donnent leurs commentaires.</v>
      </c>
    </row>
    <row r="17700">
      <c r="A17700" s="4" t="s">
        <v>22274</v>
      </c>
      <c r="B17700" s="4" t="s">
        <v>22281</v>
      </c>
      <c r="C17700" s="5" t="str">
        <f>IFERROR(__xludf.DUMMYFUNCTION("GOOGLETRANSLATE(B17700,""en"",""fr"")"),"La foule lève les bras en l'air.")</f>
        <v>La foule lève les bras en l'air.</v>
      </c>
    </row>
    <row r="17701">
      <c r="A17701" s="4" t="s">
        <v>22274</v>
      </c>
      <c r="B17701" s="4" t="s">
        <v>22282</v>
      </c>
      <c r="C17701" s="5" t="str">
        <f>IFERROR(__xludf.DUMMYFUNCTION("GOOGLETRANSLATE(B17701,""en"",""fr"")"),"Le garçon quitte la scène et est interviewé.")</f>
        <v>Le garçon quitte la scène et est interviewé.</v>
      </c>
    </row>
    <row r="17702">
      <c r="A17702" s="4" t="s">
        <v>22274</v>
      </c>
      <c r="B17702" s="4" t="s">
        <v>22283</v>
      </c>
      <c r="C17702" s="5" t="str">
        <f>IFERROR(__xludf.DUMMYFUNCTION("GOOGLETRANSLATE(B17702,""en"",""fr"")"),"Le garçon s'éloigne des hommes.")</f>
        <v>Le garçon s'éloigne des hommes.</v>
      </c>
    </row>
    <row r="17703">
      <c r="A17703" s="4" t="s">
        <v>22284</v>
      </c>
      <c r="B17703" s="4" t="s">
        <v>22285</v>
      </c>
      <c r="C17703" s="5" t="str">
        <f>IFERROR(__xludf.DUMMYFUNCTION("GOOGLETRANSLATE(B17703,""en"",""fr"")"),"Un homme coule lance un javelot.")</f>
        <v>Un homme coule lance un javelot.</v>
      </c>
    </row>
    <row r="17704">
      <c r="A17704" s="4" t="s">
        <v>22284</v>
      </c>
      <c r="B17704" s="4" t="s">
        <v>22286</v>
      </c>
      <c r="C17704" s="5" t="str">
        <f>IFERROR(__xludf.DUMMYFUNCTION("GOOGLETRANSLATE(B17704,""en"",""fr"")"),"Il met ses mains en l'air et agite la foule.")</f>
        <v>Il met ses mains en l'air et agite la foule.</v>
      </c>
    </row>
    <row r="17705">
      <c r="A17705" s="4" t="s">
        <v>22284</v>
      </c>
      <c r="B17705" s="4" t="s">
        <v>22287</v>
      </c>
      <c r="C17705" s="5" t="str">
        <f>IFERROR(__xludf.DUMMYFUNCTION("GOOGLETRANSLATE(B17705,""en"",""fr"")"),"Il attrape une serviette et met ses mains en l'air.")</f>
        <v>Il attrape une serviette et met ses mains en l'air.</v>
      </c>
    </row>
    <row r="17706">
      <c r="A17706" s="4" t="s">
        <v>22288</v>
      </c>
      <c r="B17706" s="6" t="s">
        <v>22289</v>
      </c>
      <c r="C17706" s="5" t="str">
        <f>IFERROR(__xludf.DUMMYFUNCTION("GOOGLETRANSLATE(B17706,""en"",""fr"")"),"Un homme se tient dans un bar et il commence à verser de la glace dans une grande tasse avec un liquide bleu, un liquide foncé et un liquide rouge.")</f>
        <v>Un homme se tient dans un bar et il commence à verser de la glace dans une grande tasse avec un liquide bleu, un liquide foncé et un liquide rouge.</v>
      </c>
    </row>
    <row r="17707">
      <c r="A17707" s="4" t="s">
        <v>22288</v>
      </c>
      <c r="B17707" s="4" t="s">
        <v>22290</v>
      </c>
      <c r="C17707" s="5" t="str">
        <f>IFERROR(__xludf.DUMMYFUNCTION("GOOGLETRANSLATE(B17707,""en"",""fr"")"),"L'homme le verse ensuite dans un shaker et le secoue jusqu'à ce qu'il soit complètement mélangé.")</f>
        <v>L'homme le verse ensuite dans un shaker et le secoue jusqu'à ce qu'il soit complètement mélangé.</v>
      </c>
    </row>
    <row r="17708">
      <c r="A17708" s="4" t="s">
        <v>22288</v>
      </c>
      <c r="B17708" s="6" t="s">
        <v>22291</v>
      </c>
      <c r="C17708" s="5" t="str">
        <f>IFERROR(__xludf.DUMMYFUNCTION("GOOGLETRANSLATE(B17708,""en"",""fr"")"),"Lorsque l'homme a fini de secouer la boisson, il retire la tasse du shaker, verse les liquides dans une tasse plus petite et y colle une paille blanche.")</f>
        <v>Lorsque l'homme a fini de secouer la boisson, il retire la tasse du shaker, verse les liquides dans une tasse plus petite et y colle une paille blanche.</v>
      </c>
    </row>
    <row r="17709">
      <c r="A17709" s="4" t="s">
        <v>22288</v>
      </c>
      <c r="B17709" s="4" t="s">
        <v>22292</v>
      </c>
      <c r="C17709" s="5" t="str">
        <f>IFERROR(__xludf.DUMMYFUNCTION("GOOGLETRANSLATE(B17709,""en"",""fr"")"),"Tout en parlant de l'homme, alors ramasse la tasse, le sent, sourit et tient la boisson.")</f>
        <v>Tout en parlant de l'homme, alors ramasse la tasse, le sent, sourit et tient la boisson.</v>
      </c>
    </row>
    <row r="17710">
      <c r="A17710" s="4" t="s">
        <v>22293</v>
      </c>
      <c r="B17710" s="4" t="s">
        <v>22294</v>
      </c>
      <c r="C17710" s="5" t="str">
        <f>IFERROR(__xludf.DUMMYFUNCTION("GOOGLETRANSLATE(B17710,""en"",""fr"")"),"Une caméra se déroule autour d'une personne qui roule sur un cheval.")</f>
        <v>Une caméra se déroule autour d'une personne qui roule sur un cheval.</v>
      </c>
    </row>
    <row r="17711">
      <c r="A17711" s="4" t="s">
        <v>22293</v>
      </c>
      <c r="B17711" s="6" t="s">
        <v>22295</v>
      </c>
      <c r="C17711" s="5" t="str">
        <f>IFERROR(__xludf.DUMMYFUNCTION("GOOGLETRANSLATE(B17711,""en"",""fr"")"),"La personne continue de rouler dans la région et s'arrête pour parler à la femme pendant qu'elle rit et parle à la caméra.")</f>
        <v>La personne continue de rouler dans la région et s'arrête pour parler à la femme pendant qu'elle rit et parle à la caméra.</v>
      </c>
    </row>
    <row r="17712">
      <c r="A17712" s="4" t="s">
        <v>22296</v>
      </c>
      <c r="B17712" s="4" t="s">
        <v>22297</v>
      </c>
      <c r="C17712" s="5" t="str">
        <f>IFERROR(__xludf.DUMMYFUNCTION("GOOGLETRANSLATE(B17712,""en"",""fr"")"),"Un groupe de pom-pom girls se rassemble sur un terrain de football.")</f>
        <v>Un groupe de pom-pom girls se rassemble sur un terrain de football.</v>
      </c>
    </row>
    <row r="17713">
      <c r="A17713" s="4" t="s">
        <v>22296</v>
      </c>
      <c r="B17713" s="4" t="s">
        <v>22298</v>
      </c>
      <c r="C17713" s="5" t="str">
        <f>IFERROR(__xludf.DUMMYFUNCTION("GOOGLETRANSLATE(B17713,""en"",""fr"")"),"Ils applaudissent et se retournent en faisant du jogging sur le terrain.")</f>
        <v>Ils applaudissent et se retournent en faisant du jogging sur le terrain.</v>
      </c>
    </row>
    <row r="17714">
      <c r="A17714" s="4" t="s">
        <v>22296</v>
      </c>
      <c r="B17714" s="4" t="s">
        <v>22299</v>
      </c>
      <c r="C17714" s="5" t="str">
        <f>IFERROR(__xludf.DUMMYFUNCTION("GOOGLETRANSLATE(B17714,""en"",""fr"")"),"Ils ont ensuite mis une performance, se retournant et sautant.")</f>
        <v>Ils ont ensuite mis une performance, se retournant et sautant.</v>
      </c>
    </row>
    <row r="17715">
      <c r="A17715" s="4" t="s">
        <v>22300</v>
      </c>
      <c r="B17715" s="6" t="s">
        <v>22301</v>
      </c>
      <c r="C17715" s="5" t="str">
        <f>IFERROR(__xludf.DUMMYFUNCTION("GOOGLETRANSLATE(B17715,""en"",""fr"")"),"Une introduction mène à plusieurs plans d'une zone boisée et plusieurs personnes à l'élastique sautant d'un pont.")</f>
        <v>Une introduction mène à plusieurs plans d'une zone boisée et plusieurs personnes à l'élastique sautant d'un pont.</v>
      </c>
    </row>
    <row r="17716">
      <c r="A17716" s="4" t="s">
        <v>22300</v>
      </c>
      <c r="B17716" s="6" t="s">
        <v>22302</v>
      </c>
      <c r="C17716" s="5" t="str">
        <f>IFERROR(__xludf.DUMMYFUNCTION("GOOGLETRANSLATE(B17716,""en"",""fr"")"),"Plusieurs plans de personnes sautant du côté et montraient et beaucoup debout sur le côté et les gros plans des cavaliers.")</f>
        <v>Plusieurs plans de personnes sautant du côté et montraient et beaucoup debout sur le côté et les gros plans des cavaliers.</v>
      </c>
    </row>
    <row r="17717">
      <c r="A17717" s="4" t="s">
        <v>22303</v>
      </c>
      <c r="B17717" s="6" t="s">
        <v>22304</v>
      </c>
      <c r="C17717" s="5" t="str">
        <f>IFERROR(__xludf.DUMMYFUNCTION("GOOGLETRANSLATE(B17717,""en"",""fr"")"),"Les gens de Stands regardent deux taureaux se promener dans un ring de taureaute, d'autres personnes se promenaient dans le ring en prenant des photos.")</f>
        <v>Les gens de Stands regardent deux taureaux se promener dans un ring de taureaute, d'autres personnes se promenaient dans le ring en prenant des photos.</v>
      </c>
    </row>
    <row r="17718">
      <c r="A17718" s="4" t="s">
        <v>22303</v>
      </c>
      <c r="B17718" s="4" t="s">
        <v>22305</v>
      </c>
      <c r="C17718" s="5" t="str">
        <f>IFERROR(__xludf.DUMMYFUNCTION("GOOGLETRANSLATE(B17718,""en"",""fr"")"),"Les taureaux verrouillent les cornes et sont agressifs les uns envers les autres.")</f>
        <v>Les taureaux verrouillent les cornes et sont agressifs les uns envers les autres.</v>
      </c>
    </row>
    <row r="17719">
      <c r="A17719" s="4" t="s">
        <v>22303</v>
      </c>
      <c r="B17719" s="4" t="s">
        <v>22306</v>
      </c>
      <c r="C17719" s="5" t="str">
        <f>IFERROR(__xludf.DUMMYFUNCTION("GOOGLETRANSLATE(B17719,""en"",""fr"")"),"Un taureau s'éloigne de l'autre, puis se tourne rapidement pour se réengager dans le combat.")</f>
        <v>Un taureau s'éloigne de l'autre, puis se tourne rapidement pour se réengager dans le combat.</v>
      </c>
    </row>
    <row r="17720">
      <c r="A17720" s="4" t="s">
        <v>22303</v>
      </c>
      <c r="B17720" s="4" t="s">
        <v>22307</v>
      </c>
      <c r="C17720" s="5" t="str">
        <f>IFERROR(__xludf.DUMMYFUNCTION("GOOGLETRANSLATE(B17720,""en"",""fr"")"),"Les taureaux se tournent les uns les autres.")</f>
        <v>Les taureaux se tournent les uns les autres.</v>
      </c>
    </row>
    <row r="17721">
      <c r="A17721" s="4" t="s">
        <v>22303</v>
      </c>
      <c r="B17721" s="4" t="s">
        <v>22308</v>
      </c>
      <c r="C17721" s="5" t="str">
        <f>IFERROR(__xludf.DUMMYFUNCTION("GOOGLETRANSLATE(B17721,""en"",""fr"")"),"Les Bulls commencent à se battre.")</f>
        <v>Les Bulls commencent à se battre.</v>
      </c>
    </row>
    <row r="17722">
      <c r="A17722" s="4" t="s">
        <v>22309</v>
      </c>
      <c r="B17722" s="4" t="s">
        <v>22310</v>
      </c>
      <c r="C17722" s="5" t="str">
        <f>IFERROR(__xludf.DUMMYFUNCTION("GOOGLETRANSLATE(B17722,""en"",""fr"")"),"L'homme se tient dans un atelier debout devant un vélo pour parler à la caméra.")</f>
        <v>L'homme se tient dans un atelier debout devant un vélo pour parler à la caméra.</v>
      </c>
    </row>
    <row r="17723">
      <c r="A17723" s="4" t="s">
        <v>22309</v>
      </c>
      <c r="B17723" s="4" t="s">
        <v>22311</v>
      </c>
      <c r="C17723" s="5" t="str">
        <f>IFERROR(__xludf.DUMMYFUNCTION("GOOGLETRANSLATE(B17723,""en"",""fr"")"),"La liste des matériaux est affichée à l'écran.")</f>
        <v>La liste des matériaux est affichée à l'écran.</v>
      </c>
    </row>
    <row r="17724">
      <c r="A17724" s="4" t="s">
        <v>22309</v>
      </c>
      <c r="B17724" s="4" t="s">
        <v>22312</v>
      </c>
      <c r="C17724" s="5" t="str">
        <f>IFERROR(__xludf.DUMMYFUNCTION("GOOGLETRANSLATE(B17724,""en"",""fr"")"),"L'homme met des formalités administratives sur des barres à vélo.")</f>
        <v>L'homme met des formalités administratives sur des barres à vélo.</v>
      </c>
    </row>
    <row r="17725">
      <c r="A17725" s="4" t="s">
        <v>22309</v>
      </c>
      <c r="B17725" s="4" t="s">
        <v>22313</v>
      </c>
      <c r="C17725" s="5" t="str">
        <f>IFERROR(__xludf.DUMMYFUNCTION("GOOGLETRANSLATE(B17725,""en"",""fr"")"),"L'homme enveloppe toute la barre de la paperasse.")</f>
        <v>L'homme enveloppe toute la barre de la paperasse.</v>
      </c>
    </row>
    <row r="17726">
      <c r="A17726" s="4" t="s">
        <v>22314</v>
      </c>
      <c r="B17726" s="4" t="s">
        <v>22315</v>
      </c>
      <c r="C17726" s="5" t="str">
        <f>IFERROR(__xludf.DUMMYFUNCTION("GOOGLETRANSLATE(B17726,""en"",""fr"")"),"Un homme jette un frisbee sur un champ.")</f>
        <v>Un homme jette un frisbee sur un champ.</v>
      </c>
    </row>
    <row r="17727">
      <c r="A17727" s="4" t="s">
        <v>22314</v>
      </c>
      <c r="B17727" s="4" t="s">
        <v>22316</v>
      </c>
      <c r="C17727" s="5" t="str">
        <f>IFERROR(__xludf.DUMMYFUNCTION("GOOGLETRANSLATE(B17727,""en"",""fr"")"),"Un chien saute et attrape le frisbee en l'air.")</f>
        <v>Un chien saute et attrape le frisbee en l'air.</v>
      </c>
    </row>
    <row r="17728">
      <c r="A17728" s="4" t="s">
        <v>22314</v>
      </c>
      <c r="B17728" s="4" t="s">
        <v>22317</v>
      </c>
      <c r="C17728" s="5" t="str">
        <f>IFERROR(__xludf.DUMMYFUNCTION("GOOGLETRANSLATE(B17728,""en"",""fr"")"),"L'homme est allongé sur son dos et le chien se tient sur ses pieds.")</f>
        <v>L'homme est allongé sur son dos et le chien se tient sur ses pieds.</v>
      </c>
    </row>
    <row r="17729">
      <c r="A17729" s="4" t="s">
        <v>22314</v>
      </c>
      <c r="B17729" s="4" t="s">
        <v>22318</v>
      </c>
      <c r="C17729" s="5" t="str">
        <f>IFERROR(__xludf.DUMMYFUNCTION("GOOGLETRANSLATE(B17729,""en"",""fr"")"),"L'homme se penche et le chien saute sur son dos.")</f>
        <v>L'homme se penche et le chien saute sur son dos.</v>
      </c>
    </row>
    <row r="17730">
      <c r="A17730" s="4" t="s">
        <v>22314</v>
      </c>
      <c r="B17730" s="4" t="s">
        <v>22319</v>
      </c>
      <c r="C17730" s="5" t="str">
        <f>IFERROR(__xludf.DUMMYFUNCTION("GOOGLETRANSLATE(B17730,""en"",""fr"")"),"Le chien court et saute dans les bras de l'homme et l'homme le porte.")</f>
        <v>Le chien court et saute dans les bras de l'homme et l'homme le porte.</v>
      </c>
    </row>
    <row r="17731">
      <c r="A17731" s="4" t="s">
        <v>22320</v>
      </c>
      <c r="B17731" s="4" t="s">
        <v>22321</v>
      </c>
      <c r="C17731" s="5" t="str">
        <f>IFERROR(__xludf.DUMMYFUNCTION("GOOGLETRANSLATE(B17731,""en"",""fr"")"),"Une femme parle à la caméra.")</f>
        <v>Une femme parle à la caméra.</v>
      </c>
    </row>
    <row r="17732">
      <c r="A17732" s="4" t="s">
        <v>22320</v>
      </c>
      <c r="B17732" s="4" t="s">
        <v>22322</v>
      </c>
      <c r="C17732" s="5" t="str">
        <f>IFERROR(__xludf.DUMMYFUNCTION("GOOGLETRANSLATE(B17732,""en"",""fr"")"),"De nombreux citrons tombent sur un comptoir.")</f>
        <v>De nombreux citrons tombent sur un comptoir.</v>
      </c>
    </row>
    <row r="17733">
      <c r="A17733" s="4" t="s">
        <v>22320</v>
      </c>
      <c r="B17733" s="4" t="s">
        <v>22323</v>
      </c>
      <c r="C17733" s="5" t="str">
        <f>IFERROR(__xludf.DUMMYFUNCTION("GOOGLETRANSLATE(B17733,""en"",""fr"")"),"La femme attrape un bol en bois et y verse de la cassonade.")</f>
        <v>La femme attrape un bol en bois et y verse de la cassonade.</v>
      </c>
    </row>
    <row r="17734">
      <c r="A17734" s="4" t="s">
        <v>22320</v>
      </c>
      <c r="B17734" s="4" t="s">
        <v>22324</v>
      </c>
      <c r="C17734" s="5" t="str">
        <f>IFERROR(__xludf.DUMMYFUNCTION("GOOGLETRANSLATE(B17734,""en"",""fr"")"),"Elle attrape un citron et frotte la cassonade sur tout le citron.")</f>
        <v>Elle attrape un citron et frotte la cassonade sur tout le citron.</v>
      </c>
    </row>
    <row r="17735">
      <c r="A17735" s="4" t="s">
        <v>22320</v>
      </c>
      <c r="B17735" s="4" t="s">
        <v>22325</v>
      </c>
      <c r="C17735" s="5" t="str">
        <f>IFERROR(__xludf.DUMMYFUNCTION("GOOGLETRANSLATE(B17735,""en"",""fr"")"),"Elle procède à frotter deux citrons sur le comptoir.")</f>
        <v>Elle procède à frotter deux citrons sur le comptoir.</v>
      </c>
    </row>
    <row r="17736">
      <c r="A17736" s="4" t="s">
        <v>22320</v>
      </c>
      <c r="B17736" s="4" t="s">
        <v>22326</v>
      </c>
      <c r="C17736" s="5" t="str">
        <f>IFERROR(__xludf.DUMMYFUNCTION("GOOGLETRANSLATE(B17736,""en"",""fr"")"),"Avec un couteau, elle coupe un citron en deux.")</f>
        <v>Avec un couteau, elle coupe un citron en deux.</v>
      </c>
    </row>
    <row r="17737">
      <c r="A17737" s="4" t="s">
        <v>22320</v>
      </c>
      <c r="B17737" s="4" t="s">
        <v>22327</v>
      </c>
      <c r="C17737" s="5" t="str">
        <f>IFERROR(__xludf.DUMMYFUNCTION("GOOGLETRANSLATE(B17737,""en"",""fr"")"),"Elle serre le jus de citron dans un bol.")</f>
        <v>Elle serre le jus de citron dans un bol.</v>
      </c>
    </row>
    <row r="17738">
      <c r="A17738" s="4" t="s">
        <v>22320</v>
      </c>
      <c r="B17738" s="4" t="s">
        <v>22328</v>
      </c>
      <c r="C17738" s="5" t="str">
        <f>IFERROR(__xludf.DUMMYFUNCTION("GOOGLETRANSLATE(B17738,""en"",""fr"")"),"Elle verse le jus de citron pressé dans un pichet.")</f>
        <v>Elle verse le jus de citron pressé dans un pichet.</v>
      </c>
    </row>
    <row r="17739">
      <c r="A17739" s="4" t="s">
        <v>22320</v>
      </c>
      <c r="B17739" s="4" t="s">
        <v>22329</v>
      </c>
      <c r="C17739" s="5" t="str">
        <f>IFERROR(__xludf.DUMMYFUNCTION("GOOGLETRANSLATE(B17739,""en"",""fr"")"),"Elle verse de l'eau bouillante dans le bol avec de la cassonade.")</f>
        <v>Elle verse de l'eau bouillante dans le bol avec de la cassonade.</v>
      </c>
    </row>
    <row r="17740">
      <c r="A17740" s="4" t="s">
        <v>22320</v>
      </c>
      <c r="B17740" s="4" t="s">
        <v>22330</v>
      </c>
      <c r="C17740" s="5" t="str">
        <f>IFERROR(__xludf.DUMMYFUNCTION("GOOGLETRANSLATE(B17740,""en"",""fr"")"),"Elle verse la cassonade arrosée dans le pichet et remue.")</f>
        <v>Elle verse la cassonade arrosée dans le pichet et remue.</v>
      </c>
    </row>
    <row r="17741">
      <c r="A17741" s="4" t="s">
        <v>22320</v>
      </c>
      <c r="B17741" s="4" t="s">
        <v>22331</v>
      </c>
      <c r="C17741" s="5" t="str">
        <f>IFERROR(__xludf.DUMMYFUNCTION("GOOGLETRANSLATE(B17741,""en"",""fr"")"),"Elle brise les glaçons en les frappant avec une cuillère.")</f>
        <v>Elle brise les glaçons en les frappant avec une cuillère.</v>
      </c>
    </row>
    <row r="17742">
      <c r="A17742" s="4" t="s">
        <v>22320</v>
      </c>
      <c r="B17742" s="4" t="s">
        <v>22332</v>
      </c>
      <c r="C17742" s="5" t="str">
        <f>IFERROR(__xludf.DUMMYFUNCTION("GOOGLETRANSLATE(B17742,""en"",""fr"")"),"Elle place la glace dans un verre et ajoute la limonade.")</f>
        <v>Elle place la glace dans un verre et ajoute la limonade.</v>
      </c>
    </row>
    <row r="17743">
      <c r="A17743" s="4" t="s">
        <v>22320</v>
      </c>
      <c r="B17743" s="4" t="s">
        <v>22333</v>
      </c>
      <c r="C17743" s="5" t="str">
        <f>IFERROR(__xludf.DUMMYFUNCTION("GOOGLETRANSLATE(B17743,""en"",""fr"")"),"Enfin, elle prend une gorgée de la limonade qu'elle vient de faire.")</f>
        <v>Enfin, elle prend une gorgée de la limonade qu'elle vient de faire.</v>
      </c>
    </row>
    <row r="17744">
      <c r="A17744" s="4" t="s">
        <v>22334</v>
      </c>
      <c r="B17744" s="4" t="s">
        <v>22335</v>
      </c>
      <c r="C17744" s="5" t="str">
        <f>IFERROR(__xludf.DUMMYFUNCTION("GOOGLETRANSLATE(B17744,""en"",""fr"")"),"Un cow-boy monte un cheval d'un corral et entre dans une zone clôturée.")</f>
        <v>Un cow-boy monte un cheval d'un corral et entre dans une zone clôturée.</v>
      </c>
    </row>
    <row r="17745">
      <c r="A17745" s="4" t="s">
        <v>22334</v>
      </c>
      <c r="B17745" s="4" t="s">
        <v>22336</v>
      </c>
      <c r="C17745" s="5" t="str">
        <f>IFERROR(__xludf.DUMMYFUNCTION("GOOGLETRANSLATE(B17745,""en"",""fr"")"),"L'homme sort de son cheval hors des clôtures et jette une corde autour d'un bétail.")</f>
        <v>L'homme sort de son cheval hors des clôtures et jette une corde autour d'un bétail.</v>
      </c>
    </row>
    <row r="17746">
      <c r="A17746" s="4" t="s">
        <v>22334</v>
      </c>
      <c r="B17746" s="4" t="s">
        <v>22337</v>
      </c>
      <c r="C17746" s="5" t="str">
        <f>IFERROR(__xludf.DUMMYFUNCTION("GOOGLETRANSLATE(B17746,""en"",""fr"")"),"L'homme est aidé par d'autres cow-boys tout en attachant le bétail.")</f>
        <v>L'homme est aidé par d'autres cow-boys tout en attachant le bétail.</v>
      </c>
    </row>
    <row r="17747">
      <c r="A17747" s="4" t="s">
        <v>22338</v>
      </c>
      <c r="B17747" s="4" t="s">
        <v>22339</v>
      </c>
      <c r="C17747" s="5" t="str">
        <f>IFERROR(__xludf.DUMMYFUNCTION("GOOGLETRANSLATE(B17747,""en"",""fr"")"),"Une fille dans une tenue étincelante marche sur le terrain, suivie par d'autres filles.")</f>
        <v>Une fille dans une tenue étincelante marche sur le terrain, suivie par d'autres filles.</v>
      </c>
    </row>
    <row r="17748">
      <c r="A17748" s="4" t="s">
        <v>22338</v>
      </c>
      <c r="B17748" s="4" t="s">
        <v>22340</v>
      </c>
      <c r="C17748" s="5" t="str">
        <f>IFERROR(__xludf.DUMMYFUNCTION("GOOGLETRANSLATE(B17748,""en"",""fr"")"),"Ils tiennent des matraques en marchant.")</f>
        <v>Ils tiennent des matraques en marchant.</v>
      </c>
    </row>
    <row r="17749">
      <c r="A17749" s="4" t="s">
        <v>22338</v>
      </c>
      <c r="B17749" s="4" t="s">
        <v>22341</v>
      </c>
      <c r="C17749" s="5" t="str">
        <f>IFERROR(__xludf.DUMMYFUNCTION("GOOGLETRANSLATE(B17749,""en"",""fr"")"),"Ils s'éloignent ensuite, hors du terrain.")</f>
        <v>Ils s'éloignent ensuite, hors du terrain.</v>
      </c>
    </row>
    <row r="17750">
      <c r="A17750" s="4" t="s">
        <v>22342</v>
      </c>
      <c r="B17750" s="6" t="s">
        <v>22343</v>
      </c>
      <c r="C17750" s="5" t="str">
        <f>IFERROR(__xludf.DUMMYFUNCTION("GOOGLETRANSLATE(B17750,""en"",""fr"")"),"Une piste intérieure est montrée alors qu'un homme commence à courir avec un saut à la perche, mais il ne réussit pas dans son saut.")</f>
        <v>Une piste intérieure est montrée alors qu'un homme commence à courir avec un saut à la perche, mais il ne réussit pas dans son saut.</v>
      </c>
    </row>
    <row r="17751">
      <c r="A17751" s="4" t="s">
        <v>22342</v>
      </c>
      <c r="B17751" s="4" t="s">
        <v>22344</v>
      </c>
      <c r="C17751" s="5" t="str">
        <f>IFERROR(__xludf.DUMMYFUNCTION("GOOGLETRANSLATE(B17751,""en"",""fr"")"),"Une autre personne vient alors derrière la caméra et commence à parler.")</f>
        <v>Une autre personne vient alors derrière la caméra et commence à parler.</v>
      </c>
    </row>
    <row r="17752">
      <c r="A17752" s="4" t="s">
        <v>22342</v>
      </c>
      <c r="B17752" s="4" t="s">
        <v>22345</v>
      </c>
      <c r="C17752" s="5" t="str">
        <f>IFERROR(__xludf.DUMMYFUNCTION("GOOGLETRANSLATE(B17752,""en"",""fr"")"),"L'athlète fait ensuite son saut plusieurs fois mais il ne réussit pas.")</f>
        <v>L'athlète fait ensuite son saut plusieurs fois mais il ne réussit pas.</v>
      </c>
    </row>
    <row r="17753">
      <c r="A17753" s="4" t="s">
        <v>22346</v>
      </c>
      <c r="B17753" s="4" t="s">
        <v>22347</v>
      </c>
      <c r="C17753" s="5" t="str">
        <f>IFERROR(__xludf.DUMMYFUNCTION("GOOGLETRANSLATE(B17753,""en"",""fr"")"),"Les personnes âgées jouent au croquet près de l'océan.")</f>
        <v>Les personnes âgées jouent au croquet près de l'océan.</v>
      </c>
    </row>
    <row r="17754">
      <c r="A17754" s="4" t="s">
        <v>22346</v>
      </c>
      <c r="B17754" s="4" t="s">
        <v>22348</v>
      </c>
      <c r="C17754" s="5" t="str">
        <f>IFERROR(__xludf.DUMMYFUNCTION("GOOGLETRANSLATE(B17754,""en"",""fr"")"),"Un groupe de personnes vient passer en arrière-plan.")</f>
        <v>Un groupe de personnes vient passer en arrière-plan.</v>
      </c>
    </row>
    <row r="17755">
      <c r="A17755" s="4" t="s">
        <v>22346</v>
      </c>
      <c r="B17755" s="4" t="s">
        <v>22349</v>
      </c>
      <c r="C17755" s="5" t="str">
        <f>IFERROR(__xludf.DUMMYFUNCTION("GOOGLETRANSLATE(B17755,""en"",""fr"")"),"Les deux groupes jouent et interagissent entre eux.")</f>
        <v>Les deux groupes jouent et interagissent entre eux.</v>
      </c>
    </row>
    <row r="17756">
      <c r="A17756" s="4" t="s">
        <v>22350</v>
      </c>
      <c r="B17756" s="4" t="s">
        <v>22351</v>
      </c>
      <c r="C17756" s="5" t="str">
        <f>IFERROR(__xludf.DUMMYFUNCTION("GOOGLETRANSLATE(B17756,""en"",""fr"")"),"Un homme mort soulève une barre de poids du sol au-dessus de sa tête dans une salle de sport.")</f>
        <v>Un homme mort soulève une barre de poids du sol au-dessus de sa tête dans une salle de sport.</v>
      </c>
    </row>
    <row r="17757">
      <c r="A17757" s="4" t="s">
        <v>22350</v>
      </c>
      <c r="B17757" s="4" t="s">
        <v>22352</v>
      </c>
      <c r="C17757" s="5" t="str">
        <f>IFERROR(__xludf.DUMMYFUNCTION("GOOGLETRANSLATE(B17757,""en"",""fr"")"),"L'homme fait des répétitions soulevant une barre de poids du sol au niveau de la taille.")</f>
        <v>L'homme fait des répétitions soulevant une barre de poids du sol au niveau de la taille.</v>
      </c>
    </row>
    <row r="17758">
      <c r="A17758" s="4" t="s">
        <v>22353</v>
      </c>
      <c r="B17758" s="4" t="s">
        <v>22354</v>
      </c>
      <c r="C17758" s="5" t="str">
        <f>IFERROR(__xludf.DUMMYFUNCTION("GOOGLETRANSLATE(B17758,""en"",""fr"")"),"Il y a deux hommes qui utilisent des techniques de défense comme moyen de mouvements de danse.")</f>
        <v>Il y a deux hommes qui utilisent des techniques de défense comme moyen de mouvements de danse.</v>
      </c>
    </row>
    <row r="17759">
      <c r="A17759" s="4" t="s">
        <v>22353</v>
      </c>
      <c r="B17759" s="4" t="s">
        <v>22355</v>
      </c>
      <c r="C17759" s="5" t="str">
        <f>IFERROR(__xludf.DUMMYFUNCTION("GOOGLETRANSLATE(B17759,""en"",""fr"")"),"Ils sont au milieu d'un cercle de personnes qui applaudissent.")</f>
        <v>Ils sont au milieu d'un cercle de personnes qui applaudissent.</v>
      </c>
    </row>
    <row r="17760">
      <c r="A17760" s="4" t="s">
        <v>22353</v>
      </c>
      <c r="B17760" s="4" t="s">
        <v>22356</v>
      </c>
      <c r="C17760" s="5" t="str">
        <f>IFERROR(__xludf.DUMMYFUNCTION("GOOGLETRANSLATE(B17760,""en"",""fr"")"),"Deux autres hommes viennent de la foule pour essayer de danser, mais la vidéo se termine.")</f>
        <v>Deux autres hommes viennent de la foule pour essayer de danser, mais la vidéo se termine.</v>
      </c>
    </row>
    <row r="17761">
      <c r="A17761" s="4" t="s">
        <v>22357</v>
      </c>
      <c r="B17761" s="4" t="s">
        <v>22358</v>
      </c>
      <c r="C17761" s="5" t="str">
        <f>IFERROR(__xludf.DUMMYFUNCTION("GOOGLETRANSLATE(B17761,""en"",""fr"")"),"Un homme est vu porter des lunettes de soleil et parler à la caméra tout en tenant un bâton de crosse.")</f>
        <v>Un homme est vu porter des lunettes de soleil et parler à la caméra tout en tenant un bâton de crosse.</v>
      </c>
    </row>
    <row r="17762">
      <c r="A17762" s="4" t="s">
        <v>22357</v>
      </c>
      <c r="B17762" s="4" t="s">
        <v>22359</v>
      </c>
      <c r="C17762" s="5" t="str">
        <f>IFERROR(__xludf.DUMMYFUNCTION("GOOGLETRANSLATE(B17762,""en"",""fr"")"),"L'homme continue de parler à la caméra tout en déplaçant le bâton tout autour.")</f>
        <v>L'homme continue de parler à la caméra tout en déplaçant le bâton tout autour.</v>
      </c>
    </row>
    <row r="17763">
      <c r="A17763" s="4" t="s">
        <v>22357</v>
      </c>
      <c r="B17763" s="6" t="s">
        <v>22360</v>
      </c>
      <c r="C17763" s="5" t="str">
        <f>IFERROR(__xludf.DUMMYFUNCTION("GOOGLETRANSLATE(B17763,""en"",""fr"")"),"En fin de compte, on voit encore parler tout en bougeant ses jambes et montrant comment lancer correctement le ballon.")</f>
        <v>En fin de compte, on voit encore parler tout en bougeant ses jambes et montrant comment lancer correctement le ballon.</v>
      </c>
    </row>
    <row r="17764">
      <c r="A17764" s="4" t="s">
        <v>22361</v>
      </c>
      <c r="B17764" s="4" t="s">
        <v>22362</v>
      </c>
      <c r="C17764" s="5" t="str">
        <f>IFERROR(__xludf.DUMMYFUNCTION("GOOGLETRANSLATE(B17764,""en"",""fr"")"),"Un homme est vu parler à la caméra et mène à des clips de lui frappant une balle avec un bâton.")</f>
        <v>Un homme est vu parler à la caméra et mène à des clips de lui frappant une balle avec un bâton.</v>
      </c>
    </row>
    <row r="17765">
      <c r="A17765" s="4" t="s">
        <v>22361</v>
      </c>
      <c r="B17765" s="6" t="s">
        <v>22363</v>
      </c>
      <c r="C17765" s="5" t="str">
        <f>IFERROR(__xludf.DUMMYFUNCTION("GOOGLETRANSLATE(B17765,""en"",""fr"")"),"L'homme continue de parler à la caméra à plusieurs endroits et de frapper le ballon autour d'un espace intérieur.")</f>
        <v>L'homme continue de parler à la caméra à plusieurs endroits et de frapper le ballon autour d'un espace intérieur.</v>
      </c>
    </row>
    <row r="17766">
      <c r="A17766" s="4" t="s">
        <v>22364</v>
      </c>
      <c r="B17766" s="4" t="s">
        <v>22365</v>
      </c>
      <c r="C17766" s="5" t="str">
        <f>IFERROR(__xludf.DUMMYFUNCTION("GOOGLETRANSLATE(B17766,""en"",""fr"")"),"Une introduction arrive sur l'écran pour une vidéo sur la façon de skier.")</f>
        <v>Une introduction arrive sur l'écran pour une vidéo sur la façon de skier.</v>
      </c>
    </row>
    <row r="17767">
      <c r="A17767" s="4" t="s">
        <v>22364</v>
      </c>
      <c r="B17767" s="6" t="s">
        <v>22366</v>
      </c>
      <c r="C17767" s="5" t="str">
        <f>IFERROR(__xludf.DUMMYFUNCTION("GOOGLETRANSLATE(B17767,""en"",""fr"")"),"Un homme commence à parler de certains éléments clés du ski et de la façon d'apprendre à skier.")</f>
        <v>Un homme commence à parler de certains éléments clés du ski et de la façon d'apprendre à skier.</v>
      </c>
    </row>
    <row r="17768">
      <c r="A17768" s="4" t="s">
        <v>22364</v>
      </c>
      <c r="B17768" s="6" t="s">
        <v>22367</v>
      </c>
      <c r="C17768" s="5" t="str">
        <f>IFERROR(__xludf.DUMMYFUNCTION("GOOGLETRANSLATE(B17768,""en"",""fr"")"),"La vidéo va ensuite à la vidéo de personnes skiant sur une pente tout en se tournant et en tournant d'un côté à l'autre.")</f>
        <v>La vidéo va ensuite à la vidéo de personnes skiant sur une pente tout en se tournant et en tournant d'un côté à l'autre.</v>
      </c>
    </row>
    <row r="17769">
      <c r="A17769" s="4" t="s">
        <v>22364</v>
      </c>
      <c r="B17769" s="4" t="s">
        <v>22368</v>
      </c>
      <c r="C17769" s="5" t="str">
        <f>IFERROR(__xludf.DUMMYFUNCTION("GOOGLETRANSLATE(B17769,""en"",""fr"")"),"Une scène est montrée de trois hommes qui parlent en montant l'ascenseur de ski.")</f>
        <v>Une scène est montrée de trois hommes qui parlent en montant l'ascenseur de ski.</v>
      </c>
    </row>
    <row r="17770">
      <c r="A17770" s="4" t="s">
        <v>22364</v>
      </c>
      <c r="B17770" s="4" t="s">
        <v>22369</v>
      </c>
      <c r="C17770" s="5" t="str">
        <f>IFERROR(__xludf.DUMMYFUNCTION("GOOGLETRANSLATE(B17770,""en"",""fr"")"),"Les crédits de clôture et les graphiques sont affichés à la fin.")</f>
        <v>Les crédits de clôture et les graphiques sont affichés à la fin.</v>
      </c>
    </row>
    <row r="17771">
      <c r="A17771" s="4" t="s">
        <v>22370</v>
      </c>
      <c r="B17771" s="4" t="s">
        <v>22371</v>
      </c>
      <c r="C17771" s="5" t="str">
        <f>IFERROR(__xludf.DUMMYFUNCTION("GOOGLETRANSLATE(B17771,""en"",""fr"")"),"Un employé du métro se tient dans la cuisine en préparant le sous-marin.")</f>
        <v>Un employé du métro se tient dans la cuisine en préparant le sous-marin.</v>
      </c>
    </row>
    <row r="17772">
      <c r="A17772" s="4" t="s">
        <v>22370</v>
      </c>
      <c r="B17772" s="6" t="s">
        <v>22372</v>
      </c>
      <c r="C17772" s="5" t="str">
        <f>IFERROR(__xludf.DUMMYFUNCTION("GOOGLETRANSLATE(B17772,""en"",""fr"")"),"Sur un morceau blanc est de papier est un morceau de pain de long et une rangée de jambon, de pepperoni, de salami, puis du fromage est ajouté sur le sous-marin.")</f>
        <v>Sur un morceau blanc est de papier est un morceau de pain de long et une rangée de jambon, de pepperoni, de salami, puis du fromage est ajouté sur le sous-marin.</v>
      </c>
    </row>
    <row r="17773">
      <c r="A17773" s="4" t="s">
        <v>22370</v>
      </c>
      <c r="B17773" s="6" t="s">
        <v>22373</v>
      </c>
      <c r="C17773" s="5" t="str">
        <f>IFERROR(__xludf.DUMMYFUNCTION("GOOGLETRANSLATE(B17773,""en"",""fr"")"),"Ensuite, l'homme met le sous-marin au four pour être grillé et déplace un plateau de cookies de l'autre côté du comptoir.")</f>
        <v>Ensuite, l'homme met le sous-marin au four pour être grillé et déplace un plateau de cookies de l'autre côté du comptoir.</v>
      </c>
    </row>
    <row r="17774">
      <c r="A17774" s="4" t="s">
        <v>22370</v>
      </c>
      <c r="B17774" s="4" t="s">
        <v>22374</v>
      </c>
      <c r="C17774" s="5" t="str">
        <f>IFERROR(__xludf.DUMMYFUNCTION("GOOGLETRANSLATE(B17774,""en"",""fr"")"),"En attendant, il commence à parler à son ami et à vérifier les cookies.")</f>
        <v>En attendant, il commence à parler à son ami et à vérifier les cookies.</v>
      </c>
    </row>
    <row r="17775">
      <c r="A17775" s="4" t="s">
        <v>22370</v>
      </c>
      <c r="B17775" s="6" t="s">
        <v>22375</v>
      </c>
      <c r="C17775" s="5" t="str">
        <f>IFERROR(__xludf.DUMMYFUNCTION("GOOGLETRANSLATE(B17775,""en"",""fr"")"),"Maintenant, le sous-marin est grillé, une laitue et des tomates sont ajoutées avec des concombres, des anchois, de l'huile, du vinaigre et de la mayonnaise.")</f>
        <v>Maintenant, le sous-marin est grillé, une laitue et des tomates sont ajoutées avec des concombres, des anchois, de l'huile, du vinaigre et de la mayonnaise.</v>
      </c>
    </row>
    <row r="17776">
      <c r="A17776" s="4" t="s">
        <v>22370</v>
      </c>
      <c r="B17776" s="4" t="s">
        <v>22376</v>
      </c>
      <c r="C17776" s="5" t="str">
        <f>IFERROR(__xludf.DUMMYFUNCTION("GOOGLETRANSLATE(B17776,""en"",""fr"")"),"Le sous-marin est finalement terminé en deux, roulé dans du papier, puis totalisé sur le registre.")</f>
        <v>Le sous-marin est finalement terminé en deux, roulé dans du papier, puis totalisé sur le registre.</v>
      </c>
    </row>
    <row r="17777">
      <c r="A17777" s="4" t="s">
        <v>22377</v>
      </c>
      <c r="B17777" s="4" t="s">
        <v>22378</v>
      </c>
      <c r="C17777" s="5" t="str">
        <f>IFERROR(__xludf.DUMMYFUNCTION("GOOGLETRANSLATE(B17777,""en"",""fr"")"),"Plusieurs garçons interagissent dans une patinoire.")</f>
        <v>Plusieurs garçons interagissent dans une patinoire.</v>
      </c>
    </row>
    <row r="17778">
      <c r="A17778" s="4" t="s">
        <v>22377</v>
      </c>
      <c r="B17778" s="4" t="s">
        <v>22379</v>
      </c>
      <c r="C17778" s="5" t="str">
        <f>IFERROR(__xludf.DUMMYFUNCTION("GOOGLETRANSLATE(B17778,""en"",""fr"")"),"Deux garçons qui glissent à genoux l'un vers l'autre se heurtent et se replient.")</f>
        <v>Deux garçons qui glissent à genoux l'un vers l'autre se heurtent et se replient.</v>
      </c>
    </row>
    <row r="17779">
      <c r="A17779" s="4" t="s">
        <v>22377</v>
      </c>
      <c r="B17779" s="4" t="s">
        <v>22380</v>
      </c>
      <c r="C17779" s="5" t="str">
        <f>IFERROR(__xludf.DUMMYFUNCTION("GOOGLETRANSLATE(B17779,""en"",""fr"")"),"Un garçon libère une pierre de curling.")</f>
        <v>Un garçon libère une pierre de curling.</v>
      </c>
    </row>
    <row r="17780">
      <c r="A17780" s="4" t="s">
        <v>22377</v>
      </c>
      <c r="B17780" s="4" t="s">
        <v>22381</v>
      </c>
      <c r="C17780" s="5" t="str">
        <f>IFERROR(__xludf.DUMMYFUNCTION("GOOGLETRANSLATE(B17780,""en"",""fr"")"),"Trois garçons marchent ensemble sur la glace.")</f>
        <v>Trois garçons marchent ensemble sur la glace.</v>
      </c>
    </row>
    <row r="17781">
      <c r="A17781" s="4" t="s">
        <v>22382</v>
      </c>
      <c r="B17781" s="4" t="s">
        <v>22383</v>
      </c>
      <c r="C17781" s="5" t="str">
        <f>IFERROR(__xludf.DUMMYFUNCTION("GOOGLETRANSLATE(B17781,""en"",""fr"")"),"Les cartes de titre clignotent sur l'écran.")</f>
        <v>Les cartes de titre clignotent sur l'écran.</v>
      </c>
    </row>
    <row r="17782">
      <c r="A17782" s="4" t="s">
        <v>22382</v>
      </c>
      <c r="B17782" s="4" t="s">
        <v>22384</v>
      </c>
      <c r="C17782" s="5" t="str">
        <f>IFERROR(__xludf.DUMMYFUNCTION("GOOGLETRANSLATE(B17782,""en"",""fr"")"),"Des images de radeaux sont affichées.")</f>
        <v>Des images de radeaux sont affichées.</v>
      </c>
    </row>
    <row r="17783">
      <c r="A17783" s="4" t="s">
        <v>22382</v>
      </c>
      <c r="B17783" s="4" t="s">
        <v>22385</v>
      </c>
      <c r="C17783" s="5" t="str">
        <f>IFERROR(__xludf.DUMMYFUNCTION("GOOGLETRANSLATE(B17783,""en"",""fr"")"),"Nous voyons des gens assis dans leur radeau puis commencer à ramer.")</f>
        <v>Nous voyons des gens assis dans leur radeau puis commencer à ramer.</v>
      </c>
    </row>
    <row r="17784">
      <c r="A17784" s="4" t="s">
        <v>22382</v>
      </c>
      <c r="B17784" s="4" t="s">
        <v>22386</v>
      </c>
      <c r="C17784" s="5" t="str">
        <f>IFERROR(__xludf.DUMMYFUNCTION("GOOGLETRANSLATE(B17784,""en"",""fr"")"),"Une cascade se déverse dans le radeau.")</f>
        <v>Une cascade se déverse dans le radeau.</v>
      </c>
    </row>
    <row r="17785">
      <c r="A17785" s="4" t="s">
        <v>22382</v>
      </c>
      <c r="B17785" s="4" t="s">
        <v>22387</v>
      </c>
      <c r="C17785" s="5" t="str">
        <f>IFERROR(__xludf.DUMMYFUNCTION("GOOGLETRANSLATE(B17785,""en"",""fr"")"),"Deux bateaux de chevrons radeau sur une rivière.")</f>
        <v>Deux bateaux de chevrons radeau sur une rivière.</v>
      </c>
    </row>
    <row r="17786">
      <c r="A17786" s="4" t="s">
        <v>22382</v>
      </c>
      <c r="B17786" s="4" t="s">
        <v>22388</v>
      </c>
      <c r="C17786" s="5" t="str">
        <f>IFERROR(__xludf.DUMMYFUNCTION("GOOGLETRANSLATE(B17786,""en"",""fr"")"),"Le premier bateau éclabousse le bateau arrière.")</f>
        <v>Le premier bateau éclabousse le bateau arrière.</v>
      </c>
    </row>
    <row r="17787">
      <c r="A17787" s="4" t="s">
        <v>22382</v>
      </c>
      <c r="B17787" s="4" t="s">
        <v>22389</v>
      </c>
      <c r="C17787" s="5" t="str">
        <f>IFERROR(__xludf.DUMMYFUNCTION("GOOGLETRANSLATE(B17787,""en"",""fr"")"),"Les chevrons se éclaboussent.")</f>
        <v>Les chevrons se éclaboussent.</v>
      </c>
    </row>
    <row r="17788">
      <c r="A17788" s="4" t="s">
        <v>22382</v>
      </c>
      <c r="B17788" s="4" t="s">
        <v>22390</v>
      </c>
      <c r="C17788" s="5" t="str">
        <f>IFERROR(__xludf.DUMMYFUNCTION("GOOGLETRANSLATE(B17788,""en"",""fr"")"),"Un radeau se retourne dans l'eau et les chevrons flottent vers la rive de la rivière.")</f>
        <v>Un radeau se retourne dans l'eau et les chevrons flottent vers la rive de la rivière.</v>
      </c>
    </row>
    <row r="17789">
      <c r="A17789" s="4" t="s">
        <v>22382</v>
      </c>
      <c r="B17789" s="4" t="s">
        <v>22391</v>
      </c>
      <c r="C17789" s="5" t="str">
        <f>IFERROR(__xludf.DUMMYFUNCTION("GOOGLETRANSLATE(B17789,""en"",""fr"")"),"Une camionnette roule ensuite sur la route.")</f>
        <v>Une camionnette roule ensuite sur la route.</v>
      </c>
    </row>
    <row r="17790">
      <c r="A17790" s="4" t="s">
        <v>22382</v>
      </c>
      <c r="B17790" s="4" t="s">
        <v>22392</v>
      </c>
      <c r="C17790" s="5" t="str">
        <f>IFERROR(__xludf.DUMMYFUNCTION("GOOGLETRANSLATE(B17790,""en"",""fr"")"),"La carte de titre de fin apparaît à l'écran.")</f>
        <v>La carte de titre de fin apparaît à l'écran.</v>
      </c>
    </row>
    <row r="17791">
      <c r="A17791" s="4" t="s">
        <v>22393</v>
      </c>
      <c r="B17791" s="4" t="s">
        <v>22394</v>
      </c>
      <c r="C17791" s="5" t="str">
        <f>IFERROR(__xludf.DUMMYFUNCTION("GOOGLETRANSLATE(B17791,""en"",""fr"")"),"Un homme est dans l'eau de l'océan, tenant une corde.")</f>
        <v>Un homme est dans l'eau de l'océan, tenant une corde.</v>
      </c>
    </row>
    <row r="17792">
      <c r="A17792" s="4" t="s">
        <v>22393</v>
      </c>
      <c r="B17792" s="4" t="s">
        <v>22395</v>
      </c>
      <c r="C17792" s="5" t="str">
        <f>IFERROR(__xludf.DUMMYFUNCTION("GOOGLETRANSLATE(B17792,""en"",""fr"")"),"Il est attaché à un bateau pendant qu'il est sur des skis nautiques.")</f>
        <v>Il est attaché à un bateau pendant qu'il est sur des skis nautiques.</v>
      </c>
    </row>
    <row r="17793">
      <c r="A17793" s="4" t="s">
        <v>22393</v>
      </c>
      <c r="B17793" s="4" t="s">
        <v>22396</v>
      </c>
      <c r="C17793" s="5" t="str">
        <f>IFERROR(__xludf.DUMMYFUNCTION("GOOGLETRANSLATE(B17793,""en"",""fr"")"),"Il se soulève, skiant dans les vagues.")</f>
        <v>Il se soulève, skiant dans les vagues.</v>
      </c>
    </row>
    <row r="17794">
      <c r="A17794" s="4" t="s">
        <v>22397</v>
      </c>
      <c r="B17794" s="4" t="s">
        <v>22398</v>
      </c>
      <c r="C17794" s="5" t="str">
        <f>IFERROR(__xludf.DUMMYFUNCTION("GOOGLETRANSLATE(B17794,""en"",""fr"")"),"Un homme se tient à l'extérieur de boire de la bière.")</f>
        <v>Un homme se tient à l'extérieur de boire de la bière.</v>
      </c>
    </row>
    <row r="17795">
      <c r="A17795" s="4" t="s">
        <v>22397</v>
      </c>
      <c r="B17795" s="4" t="s">
        <v>22399</v>
      </c>
      <c r="C17795" s="5" t="str">
        <f>IFERROR(__xludf.DUMMYFUNCTION("GOOGLETRANSLATE(B17795,""en"",""fr"")"),"Les gens se tiennent à le regarder.")</f>
        <v>Les gens se tiennent à le regarder.</v>
      </c>
    </row>
    <row r="17796">
      <c r="A17796" s="4" t="s">
        <v>22397</v>
      </c>
      <c r="B17796" s="4" t="s">
        <v>22400</v>
      </c>
      <c r="C17796" s="5" t="str">
        <f>IFERROR(__xludf.DUMMYFUNCTION("GOOGLETRANSLATE(B17796,""en"",""fr"")"),"Il pose le verre de bière sur une table.")</f>
        <v>Il pose le verre de bière sur une table.</v>
      </c>
    </row>
    <row r="17797">
      <c r="A17797" s="4" t="s">
        <v>22401</v>
      </c>
      <c r="B17797" s="4" t="s">
        <v>22402</v>
      </c>
      <c r="C17797" s="5" t="str">
        <f>IFERROR(__xludf.DUMMYFUNCTION("GOOGLETRANSLATE(B17797,""en"",""fr"")"),"Une femme détient deux gros gants où deux petites filles tapent avec les deux mains.")</f>
        <v>Une femme détient deux gros gants où deux petites filles tapent avec les deux mains.</v>
      </c>
    </row>
    <row r="17798">
      <c r="A17798" s="4" t="s">
        <v>22401</v>
      </c>
      <c r="B17798" s="4" t="s">
        <v>22403</v>
      </c>
      <c r="C17798" s="5" t="str">
        <f>IFERROR(__xludf.DUMMYFUNCTION("GOOGLETRANSLATE(B17798,""en"",""fr"")"),"Ensuite, la femme met les globes sur sa poitrine.")</f>
        <v>Ensuite, la femme met les globes sur sa poitrine.</v>
      </c>
    </row>
    <row r="17799">
      <c r="A17799" s="4" t="s">
        <v>22401</v>
      </c>
      <c r="B17799" s="4" t="s">
        <v>22404</v>
      </c>
      <c r="C17799" s="5" t="str">
        <f>IFERROR(__xludf.DUMMYFUNCTION("GOOGLETRANSLATE(B17799,""en"",""fr"")"),"Les gens pratiquent le karaté dans une pièce.")</f>
        <v>Les gens pratiquent le karaté dans une pièce.</v>
      </c>
    </row>
    <row r="17800">
      <c r="A17800" s="4" t="s">
        <v>22405</v>
      </c>
      <c r="B17800" s="4" t="s">
        <v>22406</v>
      </c>
      <c r="C17800" s="5" t="str">
        <f>IFERROR(__xludf.DUMMYFUNCTION("GOOGLETRANSLATE(B17800,""en"",""fr"")"),"Une personne tient un garçon qui se trouve sur une tige de balançoire, puis pousse la tige.")</f>
        <v>Une personne tient un garçon qui se trouve sur une tige de balançoire, puis pousse la tige.</v>
      </c>
    </row>
    <row r="17801">
      <c r="A17801" s="4" t="s">
        <v>22405</v>
      </c>
      <c r="B17801" s="4" t="s">
        <v>22407</v>
      </c>
      <c r="C17801" s="5" t="str">
        <f>IFERROR(__xludf.DUMMYFUNCTION("GOOGLETRANSLATE(B17801,""en"",""fr"")"),"Ensuite, le garçon se balance sur la tige pour impulser son corps pour se balancer en rond jusqu'à la force de perte de tige.")</f>
        <v>Ensuite, le garçon se balance sur la tige pour impulser son corps pour se balancer en rond jusqu'à la force de perte de tige.</v>
      </c>
    </row>
    <row r="17802">
      <c r="A17802" s="4" t="s">
        <v>22405</v>
      </c>
      <c r="B17802" s="4" t="s">
        <v>22408</v>
      </c>
      <c r="C17802" s="5" t="str">
        <f>IFERROR(__xludf.DUMMYFUNCTION("GOOGLETRANSLATE(B17802,""en"",""fr"")"),"Après, un homme aide à arrêter la canne à balançoire, tandis que d'autres personnes réparent quelque chose.")</f>
        <v>Après, un homme aide à arrêter la canne à balançoire, tandis que d'autres personnes réparent quelque chose.</v>
      </c>
    </row>
    <row r="17803">
      <c r="A17803" s="4" t="s">
        <v>22405</v>
      </c>
      <c r="B17803" s="4" t="s">
        <v>22409</v>
      </c>
      <c r="C17803" s="5" t="str">
        <f>IFERROR(__xludf.DUMMYFUNCTION("GOOGLETRANSLATE(B17803,""en"",""fr"")"),"Un jeune homme portant du t-shirt jaune bouge ses bras.")</f>
        <v>Un jeune homme portant du t-shirt jaune bouge ses bras.</v>
      </c>
    </row>
    <row r="17804">
      <c r="A17804" s="4" t="s">
        <v>22410</v>
      </c>
      <c r="B17804" s="4" t="s">
        <v>22411</v>
      </c>
      <c r="C17804" s="5" t="str">
        <f>IFERROR(__xludf.DUMMYFUNCTION("GOOGLETRANSLATE(B17804,""en"",""fr"")"),"Un jeu de hockey sur le terrain est en cours.")</f>
        <v>Un jeu de hockey sur le terrain est en cours.</v>
      </c>
    </row>
    <row r="17805">
      <c r="A17805" s="4" t="s">
        <v>22410</v>
      </c>
      <c r="B17805" s="4" t="s">
        <v>22412</v>
      </c>
      <c r="C17805" s="5" t="str">
        <f>IFERROR(__xludf.DUMMYFUNCTION("GOOGLETRANSLATE(B17805,""en"",""fr"")"),"Alors qu'une équipe essaie de marquer, un joueur dans une chemise blanche se pose alors que la rondelle vole sur sa tête.")</f>
        <v>Alors qu'une équipe essaie de marquer, un joueur dans une chemise blanche se pose alors que la rondelle vole sur sa tête.</v>
      </c>
    </row>
    <row r="17806">
      <c r="A17806" s="4" t="s">
        <v>22410</v>
      </c>
      <c r="B17806" s="6" t="s">
        <v>22413</v>
      </c>
      <c r="C17806" s="5" t="str">
        <f>IFERROR(__xludf.DUMMYFUNCTION("GOOGLETRANSLATE(B17806,""en"",""fr"")"),"Après que la rondelle passe par le gardien de but, la jeune femme sourit alors qu'elle se met à la touche et reçoit un high cinq de son entraîneur.")</f>
        <v>Après que la rondelle passe par le gardien de but, la jeune femme sourit alors qu'elle se met à la touche et reçoit un high cinq de son entraîneur.</v>
      </c>
    </row>
    <row r="17807">
      <c r="A17807" s="4" t="s">
        <v>22414</v>
      </c>
      <c r="B17807" s="4" t="s">
        <v>1487</v>
      </c>
      <c r="C17807" s="5" t="str">
        <f>IFERROR(__xludf.DUMMYFUNCTION("GOOGLETRANSLATE(B17807,""en"",""fr"")"),"Nous voyons un écran de titre d'ouverture.")</f>
        <v>Nous voyons un écran de titre d'ouverture.</v>
      </c>
    </row>
    <row r="17808">
      <c r="A17808" s="4" t="s">
        <v>22414</v>
      </c>
      <c r="B17808" s="4" t="s">
        <v>22415</v>
      </c>
      <c r="C17808" s="5" t="str">
        <f>IFERROR(__xludf.DUMMYFUNCTION("GOOGLETRANSLATE(B17808,""en"",""fr"")"),"Deux personnes transportent des planches de surf de cerf-volant dans l'eau et nous voyons des gens les rouler dans l'eau.")</f>
        <v>Deux personnes transportent des planches de surf de cerf-volant dans l'eau et nous voyons des gens les rouler dans l'eau.</v>
      </c>
    </row>
    <row r="17809">
      <c r="A17809" s="4" t="s">
        <v>22414</v>
      </c>
      <c r="B17809" s="4" t="s">
        <v>22416</v>
      </c>
      <c r="C17809" s="5" t="str">
        <f>IFERROR(__xludf.DUMMYFUNCTION("GOOGLETRANSLATE(B17809,""en"",""fr"")"),"Nous voyons la planche de près.")</f>
        <v>Nous voyons la planche de près.</v>
      </c>
    </row>
    <row r="17810">
      <c r="A17810" s="4" t="s">
        <v>22414</v>
      </c>
      <c r="B17810" s="4" t="s">
        <v>22417</v>
      </c>
      <c r="C17810" s="5" t="str">
        <f>IFERROR(__xludf.DUMMYFUNCTION("GOOGLETRANSLATE(B17810,""en"",""fr"")"),"Nous voyons un homme monter et nous arrêter.")</f>
        <v>Nous voyons un homme monter et nous arrêter.</v>
      </c>
    </row>
    <row r="17811">
      <c r="A17811" s="4" t="s">
        <v>22414</v>
      </c>
      <c r="B17811" s="4" t="s">
        <v>22418</v>
      </c>
      <c r="C17811" s="5" t="str">
        <f>IFERROR(__xludf.DUMMYFUNCTION("GOOGLETRANSLATE(B17811,""en"",""fr"")"),"Nous voyons à nouveau le tableau de près.")</f>
        <v>Nous voyons à nouveau le tableau de près.</v>
      </c>
    </row>
    <row r="17812">
      <c r="A17812" s="4" t="s">
        <v>22414</v>
      </c>
      <c r="B17812" s="4" t="s">
        <v>22419</v>
      </c>
      <c r="C17812" s="5" t="str">
        <f>IFERROR(__xludf.DUMMYFUNCTION("GOOGLETRANSLATE(B17812,""en"",""fr"")"),"Nous voyons l'homme monter à nouveau sur la planche dans l'eau.")</f>
        <v>Nous voyons l'homme monter à nouveau sur la planche dans l'eau.</v>
      </c>
    </row>
    <row r="17813">
      <c r="A17813" s="4" t="s">
        <v>22414</v>
      </c>
      <c r="B17813" s="4" t="s">
        <v>777</v>
      </c>
      <c r="C17813" s="5" t="str">
        <f>IFERROR(__xludf.DUMMYFUNCTION("GOOGLETRANSLATE(B17813,""en"",""fr"")"),"Nous voyons l'écran du titre de fin.")</f>
        <v>Nous voyons l'écran du titre de fin.</v>
      </c>
    </row>
    <row r="17814">
      <c r="A17814" s="4" t="s">
        <v>22420</v>
      </c>
      <c r="B17814" s="4" t="s">
        <v>22421</v>
      </c>
      <c r="C17814" s="5" t="str">
        <f>IFERROR(__xludf.DUMMYFUNCTION("GOOGLETRANSLATE(B17814,""en"",""fr"")"),"Un homme portant une chemise blanche joue une piscine dans une salle de loisirs.")</f>
        <v>Un homme portant une chemise blanche joue une piscine dans une salle de loisirs.</v>
      </c>
    </row>
    <row r="17815">
      <c r="A17815" s="4" t="s">
        <v>22420</v>
      </c>
      <c r="B17815" s="4" t="s">
        <v>22422</v>
      </c>
      <c r="C17815" s="5" t="str">
        <f>IFERROR(__xludf.DUMMYFUNCTION("GOOGLETRANSLATE(B17815,""en"",""fr"")"),"Il y a d'autres joueurs à côté de la table de billard.")</f>
        <v>Il y a d'autres joueurs à côté de la table de billard.</v>
      </c>
    </row>
    <row r="17816">
      <c r="A17816" s="4" t="s">
        <v>22420</v>
      </c>
      <c r="B17816" s="4" t="s">
        <v>22423</v>
      </c>
      <c r="C17816" s="5" t="str">
        <f>IFERROR(__xludf.DUMMYFUNCTION("GOOGLETRANSLATE(B17816,""en"",""fr"")"),"L'homme jouant à la piscine frappe les balles alors qu'il continue de jouer au jeu.")</f>
        <v>L'homme jouant à la piscine frappe les balles alors qu'il continue de jouer au jeu.</v>
      </c>
    </row>
    <row r="17817">
      <c r="A17817" s="4" t="s">
        <v>22424</v>
      </c>
      <c r="B17817" s="4" t="s">
        <v>22425</v>
      </c>
      <c r="C17817" s="5" t="str">
        <f>IFERROR(__xludf.DUMMYFUNCTION("GOOGLETRANSLATE(B17817,""en"",""fr"")"),"Un arbre et des matériaux de paillage sont présentés, puis un homme prépare la zone autour de l'arbre.")</f>
        <v>Un arbre et des matériaux de paillage sont présentés, puis un homme prépare la zone autour de l'arbre.</v>
      </c>
    </row>
    <row r="17818">
      <c r="A17818" s="4" t="s">
        <v>22424</v>
      </c>
      <c r="B17818" s="4" t="s">
        <v>22426</v>
      </c>
      <c r="C17818" s="5" t="str">
        <f>IFERROR(__xludf.DUMMYFUNCTION("GOOGLETRANSLATE(B17818,""en"",""fr"")"),"Ensuite, l'homme a mis du paillis autour de l'arbre et donne une forme avec un rack.")</f>
        <v>Ensuite, l'homme a mis du paillis autour de l'arbre et donne une forme avec un rack.</v>
      </c>
    </row>
    <row r="17819">
      <c r="A17819" s="4" t="s">
        <v>22427</v>
      </c>
      <c r="B17819" s="6" t="s">
        <v>22428</v>
      </c>
      <c r="C17819" s="5" t="str">
        <f>IFERROR(__xludf.DUMMYFUNCTION("GOOGLETRANSLATE(B17819,""en"",""fr"")"),"Une femme est vue jeter une fléchette au tableau et regarder en arrière en riant tandis qu'un autre regarde de loin.")</f>
        <v>Une femme est vue jeter une fléchette au tableau et regarder en arrière en riant tandis qu'un autre regarde de loin.</v>
      </c>
    </row>
    <row r="17820">
      <c r="A17820" s="4" t="s">
        <v>22427</v>
      </c>
      <c r="B17820" s="6" t="s">
        <v>22429</v>
      </c>
      <c r="C17820" s="5" t="str">
        <f>IFERROR(__xludf.DUMMYFUNCTION("GOOGLETRANSLATE(B17820,""en"",""fr"")"),"Elle jette plus de fléchettes sur la planche tout en s'arrêtant pour les attraper et un homme se penchant à côté d'elle.")</f>
        <v>Elle jette plus de fléchettes sur la planche tout en s'arrêtant pour les attraper et un homme se penchant à côté d'elle.</v>
      </c>
    </row>
    <row r="17821">
      <c r="A17821" s="4" t="s">
        <v>22430</v>
      </c>
      <c r="B17821" s="4" t="s">
        <v>22431</v>
      </c>
      <c r="C17821" s="5" t="str">
        <f>IFERROR(__xludf.DUMMYFUNCTION("GOOGLETRANSLATE(B17821,""en"",""fr"")"),"Un homme est dans un terrain de racquetball intérieur, parlant alors qu'il tient une balle et une raquette.")</f>
        <v>Un homme est dans un terrain de racquetball intérieur, parlant alors qu'il tient une balle et une raquette.</v>
      </c>
    </row>
    <row r="17822">
      <c r="A17822" s="4" t="s">
        <v>22430</v>
      </c>
      <c r="B17822" s="4" t="s">
        <v>22432</v>
      </c>
      <c r="C17822" s="5" t="str">
        <f>IFERROR(__xludf.DUMMYFUNCTION("GOOGLETRANSLATE(B17822,""en"",""fr"")"),"Il lance le ballon d'avant en arrière contre le mur, entrecoupé de parler du jeu.")</f>
        <v>Il lance le ballon d'avant en arrière contre le mur, entrecoupé de parler du jeu.</v>
      </c>
    </row>
    <row r="17823">
      <c r="A17823" s="4" t="s">
        <v>22430</v>
      </c>
      <c r="B17823" s="4" t="s">
        <v>22433</v>
      </c>
      <c r="C17823" s="5" t="str">
        <f>IFERROR(__xludf.DUMMYFUNCTION("GOOGLETRANSLATE(B17823,""en"",""fr"")"),"Il parle un peu plus longtemps avant la fin de la vidéo.")</f>
        <v>Il parle un peu plus longtemps avant la fin de la vidéo.</v>
      </c>
    </row>
    <row r="17824">
      <c r="A17824" s="4" t="s">
        <v>22434</v>
      </c>
      <c r="B17824" s="6" t="s">
        <v>22435</v>
      </c>
      <c r="C17824" s="5" t="str">
        <f>IFERROR(__xludf.DUMMYFUNCTION("GOOGLETRANSLATE(B17824,""en"",""fr"")"),"Deux hommes se tiennent dans une salle de sport intérieure et en synchronisation, ils commencent tous les deux à sauter sur leurs semirs gonflables en métal et ils font tous les deux un backflip.")</f>
        <v>Deux hommes se tiennent dans une salle de sport intérieure et en synchronisation, ils commencent tous les deux à sauter sur leurs semirs gonflables en métal et ils font tous les deux un backflip.</v>
      </c>
    </row>
    <row r="17825">
      <c r="A17825" s="4" t="s">
        <v>22434</v>
      </c>
      <c r="B17825" s="6" t="s">
        <v>22436</v>
      </c>
      <c r="C17825" s="5" t="str">
        <f>IFERROR(__xludf.DUMMYFUNCTION("GOOGLETRANSLATE(B17825,""en"",""fr"")"),"Divers clips de différentes personnes portant également le jeu des échasses rebondissantes et ils courent tous, retournent et font diverses astuces tout en atterrissant sur des tapis bleus dans une salle de sport intérieure.")</f>
        <v>Divers clips de différentes personnes portant également le jeu des échasses rebondissantes et ils courent tous, retournent et font diverses astuces tout en atterrissant sur des tapis bleus dans une salle de sport intérieure.</v>
      </c>
    </row>
    <row r="17826">
      <c r="A17826" s="4" t="s">
        <v>22434</v>
      </c>
      <c r="B17826" s="6" t="s">
        <v>22437</v>
      </c>
      <c r="C17826" s="5" t="str">
        <f>IFERROR(__xludf.DUMMYFUNCTION("GOOGLETRANSLATE(B17826,""en"",""fr"")"),"Maintenant, il y a beaucoup de gens à l'extérieur, des hommes et des femmes, et ils courent tous, sautent, sautent et font des flips à l'extérieur.")</f>
        <v>Maintenant, il y a beaucoup de gens à l'extérieur, des hommes et des femmes, et ils courent tous, sautent, sautent et font des flips à l'extérieur.</v>
      </c>
    </row>
    <row r="17827">
      <c r="A17827" s="4" t="s">
        <v>22434</v>
      </c>
      <c r="B17827" s="6" t="s">
        <v>22438</v>
      </c>
      <c r="C17827" s="5" t="str">
        <f>IFERROR(__xludf.DUMMYFUNCTION("GOOGLETRANSLATE(B17827,""en"",""fr"")"),"Un grand groupe d'entre eux s'aligne tous et une vue d'en haut montre qu'ils ont formé le numéro 7.")</f>
        <v>Un grand groupe d'entre eux s'aligne tous et une vue d'en haut montre qu'ils ont formé le numéro 7.</v>
      </c>
    </row>
    <row r="17828">
      <c r="A17828" s="4" t="s">
        <v>22434</v>
      </c>
      <c r="B17828" s="6" t="s">
        <v>22439</v>
      </c>
      <c r="C17828" s="5" t="str">
        <f>IFERROR(__xludf.DUMMYFUNCTION("GOOGLETRANSLATE(B17828,""en"",""fr"")"),"Diverses images de prise de vue montrent et des clips de plus de personnes à l'extérieur dans une autre zone de jeu et ils sautent également par-dessus les poteaux, font des flips, des sauts, des couleurs et etc.")</f>
        <v>Diverses images de prise de vue montrent et des clips de plus de personnes à l'extérieur dans une autre zone de jeu et ils sautent également par-dessus les poteaux, font des flips, des sauts, des couleurs et etc.</v>
      </c>
    </row>
    <row r="17829">
      <c r="A17829" s="4" t="s">
        <v>22434</v>
      </c>
      <c r="B17829" s="6" t="s">
        <v>22440</v>
      </c>
      <c r="C17829" s="5" t="str">
        <f>IFERROR(__xludf.DUMMYFUNCTION("GOOGLETRANSLATE(B17829,""en"",""fr"")"),"Maintenant, il y a des gens qui sautent dans l'eau avec leurs échasses gonflables, puis de retour dans une grande zone herbeuse jusqu'à ce qu'un écran noir apparaisse et beaucoup de mots blancs et de sites Web font défiler rapidement du bas en haut.")</f>
        <v>Maintenant, il y a des gens qui sautent dans l'eau avec leurs échasses gonflables, puis de retour dans une grande zone herbeuse jusqu'à ce qu'un écran noir apparaisse et beaucoup de mots blancs et de sites Web font défiler rapidement du bas en haut.</v>
      </c>
    </row>
    <row r="17830">
      <c r="A17830" s="4" t="s">
        <v>22441</v>
      </c>
      <c r="B17830" s="4" t="s">
        <v>22442</v>
      </c>
      <c r="C17830" s="5" t="str">
        <f>IFERROR(__xludf.DUMMYFUNCTION("GOOGLETRANSLATE(B17830,""en"",""fr"")"),"Les gens font du canoë dans une rivière d'eau.")</f>
        <v>Les gens font du canoë dans une rivière d'eau.</v>
      </c>
    </row>
    <row r="17831">
      <c r="A17831" s="4" t="s">
        <v>22441</v>
      </c>
      <c r="B17831" s="4" t="s">
        <v>22443</v>
      </c>
      <c r="C17831" s="5" t="str">
        <f>IFERROR(__xludf.DUMMYFUNCTION("GOOGLETRANSLATE(B17831,""en"",""fr"")"),"Ils contournent les poteaux dans l'eau.")</f>
        <v>Ils contournent les poteaux dans l'eau.</v>
      </c>
    </row>
    <row r="17832">
      <c r="A17832" s="4" t="s">
        <v>22441</v>
      </c>
      <c r="B17832" s="4" t="s">
        <v>22444</v>
      </c>
      <c r="C17832" s="5" t="str">
        <f>IFERROR(__xludf.DUMMYFUNCTION("GOOGLETRANSLATE(B17832,""en"",""fr"")"),"Ils passent sous un pont.")</f>
        <v>Ils passent sous un pont.</v>
      </c>
    </row>
    <row r="17833">
      <c r="A17833" s="4" t="s">
        <v>22445</v>
      </c>
      <c r="B17833" s="6" t="s">
        <v>22446</v>
      </c>
      <c r="C17833" s="5" t="str">
        <f>IFERROR(__xludf.DUMMYFUNCTION("GOOGLETRANSLATE(B17833,""en"",""fr"")"),"Une petite fille en manteau gris et imprimé se tient au centre des feuilles sèches, elle s'est éloignée du tas de feuilles, saisissait la poignée et la mettait d'un côté.")</f>
        <v>Une petite fille en manteau gris et imprimé se tient au centre des feuilles sèches, elle s'est éloignée du tas de feuilles, saisissait la poignée et la mettait d'un côté.</v>
      </c>
    </row>
    <row r="17834">
      <c r="A17834" s="4" t="s">
        <v>22445</v>
      </c>
      <c r="B17834" s="6" t="s">
        <v>22447</v>
      </c>
      <c r="C17834" s="5" t="str">
        <f>IFERROR(__xludf.DUMMYFUNCTION("GOOGLETRANSLATE(B17834,""en"",""fr"")"),"Une femme en pull gris et en pantalon bleu marche de la fille derrière elle, vers elle, la dame porte un râteau.")</f>
        <v>Une femme en pull gris et en pantalon bleu marche de la fille derrière elle, vers elle, la dame porte un râteau.</v>
      </c>
    </row>
    <row r="17835">
      <c r="A17835" s="4" t="s">
        <v>22445</v>
      </c>
      <c r="B17835" s="4" t="s">
        <v>22448</v>
      </c>
      <c r="C17835" s="5" t="str">
        <f>IFERROR(__xludf.DUMMYFUNCTION("GOOGLETRANSLATE(B17835,""en"",""fr"")"),"La petite fille est venue vers elle et essayait d'atteindre le râteau.")</f>
        <v>La petite fille est venue vers elle et essayait d'atteindre le râteau.</v>
      </c>
    </row>
    <row r="17836">
      <c r="A17836" s="4" t="s">
        <v>22445</v>
      </c>
      <c r="B17836" s="4" t="s">
        <v>22449</v>
      </c>
      <c r="C17836" s="5" t="str">
        <f>IFERROR(__xludf.DUMMYFUNCTION("GOOGLETRANSLATE(B17836,""en"",""fr"")"),"La femme a ajusté la poignée du râteau pour la rendre plus courte et remise à la fille.")</f>
        <v>La femme a ajusté la poignée du râteau pour la rendre plus courte et remise à la fille.</v>
      </c>
    </row>
    <row r="17837">
      <c r="A17837" s="4" t="s">
        <v>22445</v>
      </c>
      <c r="B17837" s="6" t="s">
        <v>22450</v>
      </c>
      <c r="C17837" s="5" t="str">
        <f>IFERROR(__xludf.DUMMYFUNCTION("GOOGLETRANSLATE(B17837,""en"",""fr"")"),"La petite fille a essayé de ratisser, mais elle ne bougerait pas, alors la femme s'est assise à côté de la fille et à prendre le râteau d'elle, tandis que la petite fille s'est distrante par les enfants qui courent dans la rue.")</f>
        <v>La petite fille a essayé de ratisser, mais elle ne bougerait pas, alors la femme s'est assise à côté de la fille et à prendre le râteau d'elle, tandis que la petite fille s'est distrante par les enfants qui courent dans la rue.</v>
      </c>
    </row>
    <row r="17838">
      <c r="A17838" s="4" t="s">
        <v>22445</v>
      </c>
      <c r="B17838" s="4" t="s">
        <v>22451</v>
      </c>
      <c r="C17838" s="5" t="str">
        <f>IFERROR(__xludf.DUMMYFUNCTION("GOOGLETRANSLATE(B17838,""en"",""fr"")"),"La petite fille continue de ratisser, tandis que la dame prend un plus grand râteau et a commencé à ratisser les feuilles.")</f>
        <v>La petite fille continue de ratisser, tandis que la dame prend un plus grand râteau et a commencé à ratisser les feuilles.</v>
      </c>
    </row>
    <row r="17839">
      <c r="A17839" s="4" t="s">
        <v>22452</v>
      </c>
      <c r="B17839" s="4" t="s">
        <v>22453</v>
      </c>
      <c r="C17839" s="5" t="str">
        <f>IFERROR(__xludf.DUMMYFUNCTION("GOOGLETRANSLATE(B17839,""en"",""fr"")"),"Une personne marche le long de la rue qui a de la craie dessus.")</f>
        <v>Une personne marche le long de la rue qui a de la craie dessus.</v>
      </c>
    </row>
    <row r="17840">
      <c r="A17840" s="4" t="s">
        <v>22452</v>
      </c>
      <c r="B17840" s="4" t="s">
        <v>22454</v>
      </c>
      <c r="C17840" s="5" t="str">
        <f>IFERROR(__xludf.DUMMYFUNCTION("GOOGLETRANSLATE(B17840,""en"",""fr"")"),"Une personne en chemise rouge saute le long de la rue avec la craie dessus.")</f>
        <v>Une personne en chemise rouge saute le long de la rue avec la craie dessus.</v>
      </c>
    </row>
    <row r="17841">
      <c r="A17841" s="4" t="s">
        <v>22452</v>
      </c>
      <c r="B17841" s="4" t="s">
        <v>22455</v>
      </c>
      <c r="C17841" s="5" t="str">
        <f>IFERROR(__xludf.DUMMYFUNCTION("GOOGLETRANSLATE(B17841,""en"",""fr"")"),"Ils finissent et sourient à la caméra.")</f>
        <v>Ils finissent et sourient à la caméra.</v>
      </c>
    </row>
    <row r="17842">
      <c r="A17842" s="4" t="s">
        <v>22456</v>
      </c>
      <c r="B17842" s="4" t="s">
        <v>22457</v>
      </c>
      <c r="C17842" s="5" t="str">
        <f>IFERROR(__xludf.DUMMYFUNCTION("GOOGLETRANSLATE(B17842,""en"",""fr"")"),"Il s'agit d'une recette pour faire des biscuits aux pépites de chocolat.")</f>
        <v>Il s'agit d'une recette pour faire des biscuits aux pépites de chocolat.</v>
      </c>
    </row>
    <row r="17843">
      <c r="A17843" s="4" t="s">
        <v>22456</v>
      </c>
      <c r="B17843" s="4" t="s">
        <v>22458</v>
      </c>
      <c r="C17843" s="5" t="str">
        <f>IFERROR(__xludf.DUMMYFUNCTION("GOOGLETRANSLATE(B17843,""en"",""fr"")"),"Les barres de chocolat sont découpées avec un couteau.")</f>
        <v>Les barres de chocolat sont découpées avec un couteau.</v>
      </c>
    </row>
    <row r="17844">
      <c r="A17844" s="4" t="s">
        <v>22456</v>
      </c>
      <c r="B17844" s="4" t="s">
        <v>22459</v>
      </c>
      <c r="C17844" s="5" t="str">
        <f>IFERROR(__xludf.DUMMYFUNCTION("GOOGLETRANSLATE(B17844,""en"",""fr"")"),"Le beurre est au micro-ondes et préparé avec du sucre et d'autres ingrédients.")</f>
        <v>Le beurre est au micro-ondes et préparé avec du sucre et d'autres ingrédients.</v>
      </c>
    </row>
    <row r="17845">
      <c r="A17845" s="4" t="s">
        <v>22456</v>
      </c>
      <c r="B17845" s="4" t="s">
        <v>22460</v>
      </c>
      <c r="C17845" s="5" t="str">
        <f>IFERROR(__xludf.DUMMYFUNCTION("GOOGLETRANSLATE(B17845,""en"",""fr"")"),"Tout est remué et le chocolat est mis.")</f>
        <v>Tout est remué et le chocolat est mis.</v>
      </c>
    </row>
    <row r="17846">
      <c r="A17846" s="4" t="s">
        <v>22456</v>
      </c>
      <c r="B17846" s="4" t="s">
        <v>22461</v>
      </c>
      <c r="C17846" s="5" t="str">
        <f>IFERROR(__xludf.DUMMYFUNCTION("GOOGLETRANSLATE(B17846,""en"",""fr"")"),"Les cookies sont façonnés et placés dans un four.")</f>
        <v>Les cookies sont façonnés et placés dans un four.</v>
      </c>
    </row>
    <row r="17847">
      <c r="A17847" s="4" t="s">
        <v>22462</v>
      </c>
      <c r="B17847" s="4" t="s">
        <v>22463</v>
      </c>
      <c r="C17847" s="5" t="str">
        <f>IFERROR(__xludf.DUMMYFUNCTION("GOOGLETRANSLATE(B17847,""en"",""fr"")"),"L'homme est assis sur le siège du conducteur.")</f>
        <v>L'homme est assis sur le siège du conducteur.</v>
      </c>
    </row>
    <row r="17848">
      <c r="A17848" s="4" t="s">
        <v>22462</v>
      </c>
      <c r="B17848" s="4" t="s">
        <v>22464</v>
      </c>
      <c r="C17848" s="5" t="str">
        <f>IFERROR(__xludf.DUMMYFUNCTION("GOOGLETRANSLATE(B17848,""en"",""fr"")"),"Les gens sont dans le snowboard enneigé des Mountain.")</f>
        <v>Les gens sont dans le snowboard enneigé des Mountain.</v>
      </c>
    </row>
    <row r="17849">
      <c r="A17849" s="4" t="s">
        <v>22465</v>
      </c>
      <c r="B17849" s="4" t="s">
        <v>22466</v>
      </c>
      <c r="C17849" s="5" t="str">
        <f>IFERROR(__xludf.DUMMYFUNCTION("GOOGLETRANSLATE(B17849,""en"",""fr"")"),"Quelqu'un attrape un cube Rubix de son bureau et commence à le résoudre.")</f>
        <v>Quelqu'un attrape un cube Rubix de son bureau et commence à le résoudre.</v>
      </c>
    </row>
    <row r="17850">
      <c r="A17850" s="4" t="s">
        <v>22465</v>
      </c>
      <c r="B17850" s="4" t="s">
        <v>22467</v>
      </c>
      <c r="C17850" s="5" t="str">
        <f>IFERROR(__xludf.DUMMYFUNCTION("GOOGLETRANSLATE(B17850,""en"",""fr"")"),"Ils se déplacent si vite, ils l'ont mis pendant une fraction de seconde.")</f>
        <v>Ils se déplacent si vite, ils l'ont mis pendant une fraction de seconde.</v>
      </c>
    </row>
    <row r="17851">
      <c r="A17851" s="4" t="s">
        <v>22465</v>
      </c>
      <c r="B17851" s="4" t="s">
        <v>22468</v>
      </c>
      <c r="C17851" s="5" t="str">
        <f>IFERROR(__xludf.DUMMYFUNCTION("GOOGLETRANSLATE(B17851,""en"",""fr"")"),"Ils le ramassent rapidement et y reviennent, se déplaçant si vite.")</f>
        <v>Ils le ramassent rapidement et y reviennent, se déplaçant si vite.</v>
      </c>
    </row>
    <row r="17852">
      <c r="A17852" s="4" t="s">
        <v>22465</v>
      </c>
      <c r="B17852" s="4" t="s">
        <v>22469</v>
      </c>
      <c r="C17852" s="5" t="str">
        <f>IFERROR(__xludf.DUMMYFUNCTION("GOOGLETRANSLATE(B17852,""en"",""fr"")"),"Quand ils résolvent enfin le cube qu'ils montrent leur temps, il ne leur a fallu que 33,91 pour résoudre le cube.")</f>
        <v>Quand ils résolvent enfin le cube qu'ils montrent leur temps, il ne leur a fallu que 33,91 pour résoudre le cube.</v>
      </c>
    </row>
    <row r="17853">
      <c r="A17853" s="4" t="s">
        <v>22470</v>
      </c>
      <c r="B17853" s="4" t="s">
        <v>22471</v>
      </c>
      <c r="C17853" s="5" t="str">
        <f>IFERROR(__xludf.DUMMYFUNCTION("GOOGLETRANSLATE(B17853,""en"",""fr"")"),"L'homme en chemise noire marche puis a soulevé le ballon.")</f>
        <v>L'homme en chemise noire marche puis a soulevé le ballon.</v>
      </c>
    </row>
    <row r="17854">
      <c r="A17854" s="4" t="s">
        <v>22470</v>
      </c>
      <c r="B17854" s="4" t="s">
        <v>22472</v>
      </c>
      <c r="C17854" s="5" t="str">
        <f>IFERROR(__xludf.DUMMYFUNCTION("GOOGLETRANSLATE(B17854,""en"",""fr"")"),"L'homme a mis le ballon sur son cou et a commencé à se retourner et a lancé le ballon.")</f>
        <v>L'homme a mis le ballon sur son cou et a commencé à se retourner et a lancé le ballon.</v>
      </c>
    </row>
    <row r="17855">
      <c r="A17855" s="4" t="s">
        <v>22470</v>
      </c>
      <c r="B17855" s="6" t="s">
        <v>22473</v>
      </c>
      <c r="C17855" s="5" t="str">
        <f>IFERROR(__xludf.DUMMYFUNCTION("GOOGLETRANSLATE(B17855,""en"",""fr"")"),"L'homme a applaudi et a donné un high cinq à un autre homme, puis il est si heureux qu'il soit allé au sol sur le ventre et il continue de encourager.")</f>
        <v>L'homme a applaudi et a donné un high cinq à un autre homme, puis il est si heureux qu'il soit allé au sol sur le ventre et il continue de encourager.</v>
      </c>
    </row>
    <row r="17856">
      <c r="A17856" s="4" t="s">
        <v>22474</v>
      </c>
      <c r="B17856" s="4" t="s">
        <v>22475</v>
      </c>
      <c r="C17856" s="5" t="str">
        <f>IFERROR(__xludf.DUMMYFUNCTION("GOOGLETRANSLATE(B17856,""en"",""fr"")"),"Il y a une femme dans une robe rose assise avec un homme en chemise grise.")</f>
        <v>Il y a une femme dans une robe rose assise avec un homme en chemise grise.</v>
      </c>
    </row>
    <row r="17857">
      <c r="A17857" s="4" t="s">
        <v>22474</v>
      </c>
      <c r="B17857" s="4" t="s">
        <v>22476</v>
      </c>
      <c r="C17857" s="5" t="str">
        <f>IFERROR(__xludf.DUMMYFUNCTION("GOOGLETRANSLATE(B17857,""en"",""fr"")"),"Ils parlent de brosser les dents en sous-vêtements et comment il est interdit par Metacafe.")</f>
        <v>Ils parlent de brosser les dents en sous-vêtements et comment il est interdit par Metacafe.</v>
      </c>
    </row>
    <row r="17858">
      <c r="A17858" s="4" t="s">
        <v>22474</v>
      </c>
      <c r="B17858" s="4" t="s">
        <v>22477</v>
      </c>
      <c r="C17858" s="5" t="str">
        <f>IFERROR(__xludf.DUMMYFUNCTION("GOOGLETRANSLATE(B17858,""en"",""fr"")"),"L'homme a un script dans sa main qu'il lit.")</f>
        <v>L'homme a un script dans sa main qu'il lit.</v>
      </c>
    </row>
    <row r="17859">
      <c r="A17859" s="4" t="s">
        <v>22474</v>
      </c>
      <c r="B17859" s="4" t="s">
        <v>22478</v>
      </c>
      <c r="C17859" s="5" t="str">
        <f>IFERROR(__xludf.DUMMYFUNCTION("GOOGLETRANSLATE(B17859,""en"",""fr"")"),"Un homme en pantalon plié marche sur la plage.")</f>
        <v>Un homme en pantalon plié marche sur la plage.</v>
      </c>
    </row>
    <row r="17860">
      <c r="A17860" s="4" t="s">
        <v>22474</v>
      </c>
      <c r="B17860" s="4" t="s">
        <v>22479</v>
      </c>
      <c r="C17860" s="5" t="str">
        <f>IFERROR(__xludf.DUMMYFUNCTION("GOOGLETRANSLATE(B17860,""en"",""fr"")"),"Il ramasse une brosse à dents dans le sable et commence à se brosser les dents.")</f>
        <v>Il ramasse une brosse à dents dans le sable et commence à se brosser les dents.</v>
      </c>
    </row>
    <row r="17861">
      <c r="A17861" s="4" t="s">
        <v>22474</v>
      </c>
      <c r="B17861" s="4" t="s">
        <v>22480</v>
      </c>
      <c r="C17861" s="5" t="str">
        <f>IFERROR(__xludf.DUMMYFUNCTION("GOOGLETRANSLATE(B17861,""en"",""fr"")"),"La femme dans la salle de bain se brosse les dents et est attaquée par un homme avec un couteau.")</f>
        <v>La femme dans la salle de bain se brosse les dents et est attaquée par un homme avec un couteau.</v>
      </c>
    </row>
    <row r="17862">
      <c r="A17862" s="4" t="s">
        <v>22474</v>
      </c>
      <c r="B17862" s="4" t="s">
        <v>22481</v>
      </c>
      <c r="C17862" s="5" t="str">
        <f>IFERROR(__xludf.DUMMYFUNCTION("GOOGLETRANSLATE(B17862,""en"",""fr"")"),"Il y a du sang éclaboussé dans la salle de bain.")</f>
        <v>Il y a du sang éclaboussé dans la salle de bain.</v>
      </c>
    </row>
    <row r="17863">
      <c r="A17863" s="4" t="s">
        <v>22474</v>
      </c>
      <c r="B17863" s="6" t="s">
        <v>22482</v>
      </c>
      <c r="C17863" s="5" t="str">
        <f>IFERROR(__xludf.DUMMYFUNCTION("GOOGLETRANSLATE(B17863,""en"",""fr"")"),"La femme blessée se lève et regarde dans le miroir découvre seulement qu'elle a le visage de l'homme de la plage.")</f>
        <v>La femme blessée se lève et regarde dans le miroir découvre seulement qu'elle a le visage de l'homme de la plage.</v>
      </c>
    </row>
    <row r="17864">
      <c r="A17864" s="4" t="s">
        <v>22474</v>
      </c>
      <c r="B17864" s="4" t="s">
        <v>22483</v>
      </c>
      <c r="C17864" s="5" t="str">
        <f>IFERROR(__xludf.DUMMYFUNCTION("GOOGLETRANSLATE(B17864,""en"",""fr"")"),"Le même homme est maintenant de retour sur la plage, marchant le long du rivage.")</f>
        <v>Le même homme est maintenant de retour sur la plage, marchant le long du rivage.</v>
      </c>
    </row>
    <row r="17865">
      <c r="A17865" s="4" t="s">
        <v>22484</v>
      </c>
      <c r="B17865" s="6" t="s">
        <v>22485</v>
      </c>
      <c r="C17865" s="5" t="str">
        <f>IFERROR(__xludf.DUMMYFUNCTION("GOOGLETRANSLATE(B17865,""en"",""fr"")"),"Diverses plans de paysages sont représentés, suivis d'une femme parlant à la caméra, se préparant et conduisant derrière un véhicule.")</f>
        <v>Diverses plans de paysages sont représentés, suivis d'une femme parlant à la caméra, se préparant et conduisant derrière un véhicule.</v>
      </c>
    </row>
    <row r="17866">
      <c r="A17866" s="4" t="s">
        <v>22484</v>
      </c>
      <c r="B17866" s="6" t="s">
        <v>22486</v>
      </c>
      <c r="C17866" s="5" t="str">
        <f>IFERROR(__xludf.DUMMYFUNCTION("GOOGLETRANSLATE(B17866,""en"",""fr"")"),"La personne se promène et interagit avec le conducteur et mène à plus de clips de la personne qui roule sur une planche derrière une voiture.")</f>
        <v>La personne se promène et interagit avec le conducteur et mène à plus de clips de la personne qui roule sur une planche derrière une voiture.</v>
      </c>
    </row>
    <row r="17867">
      <c r="A17867" s="4" t="s">
        <v>22484</v>
      </c>
      <c r="B17867" s="6" t="s">
        <v>22487</v>
      </c>
      <c r="C17867" s="5" t="str">
        <f>IFERROR(__xludf.DUMMYFUNCTION("GOOGLETRANSLATE(B17867,""en"",""fr"")"),"Un homme parle dans un talkie-walkie et montrant la vitesse de la voiture ainsi que des gens qui célébraient et l'homme recevant une plaque.")</f>
        <v>Un homme parle dans un talkie-walkie et montrant la vitesse de la voiture ainsi que des gens qui célébraient et l'homme recevant une plaque.</v>
      </c>
    </row>
    <row r="17868">
      <c r="A17868" s="4" t="s">
        <v>22488</v>
      </c>
      <c r="B17868" s="4" t="s">
        <v>22489</v>
      </c>
      <c r="C17868" s="5" t="str">
        <f>IFERROR(__xludf.DUMMYFUNCTION("GOOGLETRANSLATE(B17868,""en"",""fr"")"),"Un groupe d'hommes est dans une pièce en faisant divers mouvements de main et en se déplaçant les pieds.")</f>
        <v>Un groupe d'hommes est dans une pièce en faisant divers mouvements de main et en se déplaçant les pieds.</v>
      </c>
    </row>
    <row r="17869">
      <c r="A17869" s="4" t="s">
        <v>22488</v>
      </c>
      <c r="B17869" s="6" t="s">
        <v>22490</v>
      </c>
      <c r="C17869" s="5" t="str">
        <f>IFERROR(__xludf.DUMMYFUNCTION("GOOGLETRANSLATE(B17869,""en"",""fr"")"),"Alors qu'ils continuent, l'homme à l'arrière tombe sur le sol, se lève et continue de se déplacer à l'arrière de la pièce.")</f>
        <v>Alors qu'ils continuent, l'homme à l'arrière tombe sur le sol, se lève et continue de se déplacer à l'arrière de la pièce.</v>
      </c>
    </row>
    <row r="17870">
      <c r="A17870" s="4" t="s">
        <v>22488</v>
      </c>
      <c r="B17870" s="4" t="s">
        <v>22491</v>
      </c>
      <c r="C17870" s="5" t="str">
        <f>IFERROR(__xludf.DUMMYFUNCTION("GOOGLETRANSLATE(B17870,""en"",""fr"")"),"Ils finissent, se tiennent immobile et commencent à applaudir et se sont élevés.")</f>
        <v>Ils finissent, se tiennent immobile et commencent à applaudir et se sont élevés.</v>
      </c>
    </row>
    <row r="17871">
      <c r="A17871" s="4" t="s">
        <v>22492</v>
      </c>
      <c r="B17871" s="4" t="s">
        <v>22493</v>
      </c>
      <c r="C17871" s="5" t="str">
        <f>IFERROR(__xludf.DUMMYFUNCTION("GOOGLETRANSLATE(B17871,""en"",""fr"")"),"La femme blonde ratisse les feuilles sèches dans une cour et le chien joue avec eux en courant.")</f>
        <v>La femme blonde ratisse les feuilles sèches dans une cour et le chien joue avec eux en courant.</v>
      </c>
    </row>
    <row r="17872">
      <c r="A17872" s="4" t="s">
        <v>22492</v>
      </c>
      <c r="B17872" s="6" t="s">
        <v>22494</v>
      </c>
      <c r="C17872" s="5" t="str">
        <f>IFERROR(__xludf.DUMMYFUNCTION("GOOGLETRANSLATE(B17872,""en"",""fr"")"),"Le chien est en cours dans l'arrière-cour et boit de l'eau d'une fontaine smal et continue de courir sur le terrain en jouant avec les feuilles pendant que la femme continue de ratifier.")</f>
        <v>Le chien est en cours dans l'arrière-cour et boit de l'eau d'une fontaine smal et continue de courir sur le terrain en jouant avec les feuilles pendant que la femme continue de ratifier.</v>
      </c>
    </row>
    <row r="17873">
      <c r="A17873" s="4" t="s">
        <v>22495</v>
      </c>
      <c r="B17873" s="4" t="s">
        <v>22496</v>
      </c>
      <c r="C17873" s="5" t="str">
        <f>IFERROR(__xludf.DUMMYFUNCTION("GOOGLETRANSLATE(B17873,""en"",""fr"")"),"Deux personnes se tiennent derrière un comptoir.")</f>
        <v>Deux personnes se tiennent derrière un comptoir.</v>
      </c>
    </row>
    <row r="17874">
      <c r="A17874" s="4" t="s">
        <v>22495</v>
      </c>
      <c r="B17874" s="4" t="s">
        <v>22497</v>
      </c>
      <c r="C17874" s="5" t="str">
        <f>IFERROR(__xludf.DUMMYFUNCTION("GOOGLETRANSLATE(B17874,""en"",""fr"")"),"Une personne ajoute des poivrons à une salade.")</f>
        <v>Une personne ajoute des poivrons à une salade.</v>
      </c>
    </row>
    <row r="17875">
      <c r="A17875" s="4" t="s">
        <v>22495</v>
      </c>
      <c r="B17875" s="4" t="s">
        <v>22498</v>
      </c>
      <c r="C17875" s="5" t="str">
        <f>IFERROR(__xludf.DUMMYFUNCTION("GOOGLETRANSLATE(B17875,""en"",""fr"")"),"Une autre personne coupe le poivre sur une planche.")</f>
        <v>Une autre personne coupe le poivre sur une planche.</v>
      </c>
    </row>
    <row r="17876">
      <c r="A17876" s="4" t="s">
        <v>22499</v>
      </c>
      <c r="B17876" s="4" t="s">
        <v>22500</v>
      </c>
      <c r="C17876" s="5" t="str">
        <f>IFERROR(__xludf.DUMMYFUNCTION("GOOGLETRANSLATE(B17876,""en"",""fr"")"),"Les crédits d'ouverture pour un film apparaissent à l'écran.")</f>
        <v>Les crédits d'ouverture pour un film apparaissent à l'écran.</v>
      </c>
    </row>
    <row r="17877">
      <c r="A17877" s="4" t="s">
        <v>22499</v>
      </c>
      <c r="B17877" s="4" t="s">
        <v>22501</v>
      </c>
      <c r="C17877" s="5" t="str">
        <f>IFERROR(__xludf.DUMMYFUNCTION("GOOGLETRANSLATE(B17877,""en"",""fr"")"),"Plusieurs jeunes hommes sont montrés en effectuant diverses cascades sur les planches à roulettes.")</f>
        <v>Plusieurs jeunes hommes sont montrés en effectuant diverses cascades sur les planches à roulettes.</v>
      </c>
    </row>
    <row r="17878">
      <c r="A17878" s="4" t="s">
        <v>22499</v>
      </c>
      <c r="B17878" s="4" t="s">
        <v>22502</v>
      </c>
      <c r="C17878" s="5" t="str">
        <f>IFERROR(__xludf.DUMMYFUNCTION("GOOGLETRANSLATE(B17878,""en"",""fr"")"),"Ils sautent sur des tables, sur des fontaines et en bas des escaliers.")</f>
        <v>Ils sautent sur des tables, sur des fontaines et en bas des escaliers.</v>
      </c>
    </row>
    <row r="17879">
      <c r="A17879" s="4" t="s">
        <v>22503</v>
      </c>
      <c r="B17879" s="4" t="s">
        <v>22504</v>
      </c>
      <c r="C17879" s="5" t="str">
        <f>IFERROR(__xludf.DUMMYFUNCTION("GOOGLETRANSLATE(B17879,""en"",""fr"")"),"Un homme remute quelque chose dans un pot.")</f>
        <v>Un homme remute quelque chose dans un pot.</v>
      </c>
    </row>
    <row r="17880">
      <c r="A17880" s="4" t="s">
        <v>22503</v>
      </c>
      <c r="B17880" s="4" t="s">
        <v>22505</v>
      </c>
      <c r="C17880" s="5" t="str">
        <f>IFERROR(__xludf.DUMMYFUNCTION("GOOGLETRANSLATE(B17880,""en"",""fr"")"),"Le premier homme quitte la scène alors qu'un deuxième homme entre et remue quelque chose dans un bol.")</f>
        <v>Le premier homme quitte la scène alors qu'un deuxième homme entre et remue quelque chose dans un bol.</v>
      </c>
    </row>
    <row r="17881">
      <c r="A17881" s="4" t="s">
        <v>22503</v>
      </c>
      <c r="B17881" s="4" t="s">
        <v>22506</v>
      </c>
      <c r="C17881" s="5" t="str">
        <f>IFERROR(__xludf.DUMMYFUNCTION("GOOGLETRANSLATE(B17881,""en"",""fr"")"),"Le premier homme entre dans et hors du cadre.")</f>
        <v>Le premier homme entre dans et hors du cadre.</v>
      </c>
    </row>
    <row r="17882">
      <c r="A17882" s="4" t="s">
        <v>22503</v>
      </c>
      <c r="B17882" s="4" t="s">
        <v>22507</v>
      </c>
      <c r="C17882" s="5" t="str">
        <f>IFERROR(__xludf.DUMMYFUNCTION("GOOGLETRANSLATE(B17882,""en"",""fr"")"),"La caméra est parti pour regarder le premier homme travailler dans un four.")</f>
        <v>La caméra est parti pour regarder le premier homme travailler dans un four.</v>
      </c>
    </row>
    <row r="17883">
      <c r="A17883" s="4" t="s">
        <v>22508</v>
      </c>
      <c r="B17883" s="4" t="s">
        <v>22509</v>
      </c>
      <c r="C17883" s="5" t="str">
        <f>IFERROR(__xludf.DUMMYFUNCTION("GOOGLETRANSLATE(B17883,""en"",""fr"")"),"Les personnes en uniformes de différents personnages sont présentées dans un champ vert.")</f>
        <v>Les personnes en uniformes de différents personnages sont présentées dans un champ vert.</v>
      </c>
    </row>
    <row r="17884">
      <c r="A17884" s="4" t="s">
        <v>22508</v>
      </c>
      <c r="B17884" s="4" t="s">
        <v>22510</v>
      </c>
      <c r="C17884" s="5" t="str">
        <f>IFERROR(__xludf.DUMMYFUNCTION("GOOGLETRANSLATE(B17884,""en"",""fr"")"),"Ensuite, un jeu de crosse commence et ils rivalisent les uns contre les autres.")</f>
        <v>Ensuite, un jeu de crosse commence et ils rivalisent les uns contre les autres.</v>
      </c>
    </row>
    <row r="17885">
      <c r="A17885" s="4" t="s">
        <v>22508</v>
      </c>
      <c r="B17885" s="6" t="s">
        <v>22511</v>
      </c>
      <c r="C17885" s="5" t="str">
        <f>IFERROR(__xludf.DUMMYFUNCTION("GOOGLETRANSLATE(B17885,""en"",""fr"")"),"Le grand personnage jaune tente d'obtenir un objectif mais ne réussit pas et il tombe à genoux avec déception.")</f>
        <v>Le grand personnage jaune tente d'obtenir un objectif mais ne réussit pas et il tombe à genoux avec déception.</v>
      </c>
    </row>
    <row r="17886">
      <c r="A17886" s="4" t="s">
        <v>22512</v>
      </c>
      <c r="B17886" s="6" t="s">
        <v>22513</v>
      </c>
      <c r="C17886" s="5" t="str">
        <f>IFERROR(__xludf.DUMMYFUNCTION("GOOGLETRANSLATE(B17886,""en"",""fr"")"),"Un homme dans une chemise en jean et une casquette de baseball noire joue l'harmonica à la plage devant un rivage sablonneux, de l'eau de l'océan et une herbe recouverte d'herbe et de fleurs.")</f>
        <v>Un homme dans une chemise en jean et une casquette de baseball noire joue l'harmonica à la plage devant un rivage sablonneux, de l'eau de l'océan et une herbe recouverte d'herbe et de fleurs.</v>
      </c>
    </row>
    <row r="17887">
      <c r="A17887" s="4" t="s">
        <v>22512</v>
      </c>
      <c r="B17887" s="6" t="s">
        <v>22514</v>
      </c>
      <c r="C17887" s="5" t="str">
        <f>IFERROR(__xludf.DUMMYFUNCTION("GOOGLETRANSLATE(B17887,""en"",""fr"")"),"L'homme se tient au sommet d'un escalier en bois court et, s'appuyant contre la balustrade, l'homme commence à jouer l'harmonica couvrant l'instrument entier avec les deux mains tout en jouant.")</f>
        <v>L'homme se tient au sommet d'un escalier en bois court et, s'appuyant contre la balustrade, l'homme commence à jouer l'harmonica couvrant l'instrument entier avec les deux mains tout en jouant.</v>
      </c>
    </row>
    <row r="17888">
      <c r="A17888" s="4" t="s">
        <v>22512</v>
      </c>
      <c r="B17888" s="4" t="s">
        <v>22515</v>
      </c>
      <c r="C17888" s="5" t="str">
        <f>IFERROR(__xludf.DUMMYFUNCTION("GOOGLETRANSLATE(B17888,""en"",""fr"")"),"Un amateur de plage en short passe devant lui au loin sur le sable humide de la plage.")</f>
        <v>Un amateur de plage en short passe devant lui au loin sur le sable humide de la plage.</v>
      </c>
    </row>
    <row r="17889">
      <c r="A17889" s="4" t="s">
        <v>22512</v>
      </c>
      <c r="B17889" s="6" t="s">
        <v>22516</v>
      </c>
      <c r="C17889" s="5" t="str">
        <f>IFERROR(__xludf.DUMMYFUNCTION("GOOGLETRANSLATE(B17889,""en"",""fr"")"),"L'homme continue de jouer l'harmonica se terminant en éloignant l'harmonica de la bouche et en se tortillant de façon spectaculaire une grande moustache gonflée.")</f>
        <v>L'homme continue de jouer l'harmonica se terminant en éloignant l'harmonica de la bouche et en se tortillant de façon spectaculaire une grande moustache gonflée.</v>
      </c>
    </row>
    <row r="17890">
      <c r="A17890" s="4" t="s">
        <v>22517</v>
      </c>
      <c r="B17890" s="4" t="s">
        <v>22518</v>
      </c>
      <c r="C17890" s="5" t="str">
        <f>IFERROR(__xludf.DUMMYFUNCTION("GOOGLETRANSLATE(B17890,""en"",""fr"")"),"Un homme et un chien sont vus debout dans un champ avec le chien qui se tourne vers le propriétaire.")</f>
        <v>Un homme et un chien sont vus debout dans un champ avec le chien qui se tourne vers le propriétaire.</v>
      </c>
    </row>
    <row r="17891">
      <c r="A17891" s="4" t="s">
        <v>22517</v>
      </c>
      <c r="B17891" s="4" t="s">
        <v>22519</v>
      </c>
      <c r="C17891" s="5" t="str">
        <f>IFERROR(__xludf.DUMMYFUNCTION("GOOGLETRANSLATE(B17891,""en"",""fr"")"),"L'homme jette un frisbee au loin et le chien le poursuit.")</f>
        <v>L'homme jette un frisbee au loin et le chien le poursuit.</v>
      </c>
    </row>
    <row r="17892">
      <c r="A17892" s="4" t="s">
        <v>22517</v>
      </c>
      <c r="B17892" s="4" t="s">
        <v>22520</v>
      </c>
      <c r="C17892" s="5" t="str">
        <f>IFERROR(__xludf.DUMMYFUNCTION("GOOGLETRANSLATE(B17892,""en"",""fr"")"),"Le chien attrape le frisbee et revient à l'homme.")</f>
        <v>Le chien attrape le frisbee et revient à l'homme.</v>
      </c>
    </row>
    <row r="17893">
      <c r="A17893" s="4" t="s">
        <v>22521</v>
      </c>
      <c r="B17893" s="4" t="s">
        <v>22522</v>
      </c>
      <c r="C17893" s="5" t="str">
        <f>IFERROR(__xludf.DUMMYFUNCTION("GOOGLETRANSLATE(B17893,""en"",""fr"")"),"Une jeune femme est dans un gymnase.")</f>
        <v>Une jeune femme est dans un gymnase.</v>
      </c>
    </row>
    <row r="17894">
      <c r="A17894" s="4" t="s">
        <v>22521</v>
      </c>
      <c r="B17894" s="4" t="s">
        <v>22523</v>
      </c>
      <c r="C17894" s="5" t="str">
        <f>IFERROR(__xludf.DUMMYFUNCTION("GOOGLETRANSLATE(B17894,""en"",""fr"")"),"Elle est assise sur une machine d'exercice tout en parlant à la caméra.")</f>
        <v>Elle est assise sur une machine d'exercice tout en parlant à la caméra.</v>
      </c>
    </row>
    <row r="17895">
      <c r="A17895" s="4" t="s">
        <v>22521</v>
      </c>
      <c r="B17895" s="4" t="s">
        <v>22524</v>
      </c>
      <c r="C17895" s="5" t="str">
        <f>IFERROR(__xludf.DUMMYFUNCTION("GOOGLETRANSLATE(B17895,""en"",""fr"")"),"Trois autres personnes sont près d'elle, également sur des machines d'exercice.")</f>
        <v>Trois autres personnes sont près d'elle, également sur des machines d'exercice.</v>
      </c>
    </row>
    <row r="17896">
      <c r="A17896" s="4" t="s">
        <v>22521</v>
      </c>
      <c r="B17896" s="4" t="s">
        <v>22525</v>
      </c>
      <c r="C17896" s="5" t="str">
        <f>IFERROR(__xludf.DUMMYFUNCTION("GOOGLETRANSLATE(B17896,""en"",""fr"")"),"La femme commence alors à utiliser la machine d'exercice.")</f>
        <v>La femme commence alors à utiliser la machine d'exercice.</v>
      </c>
    </row>
    <row r="17897">
      <c r="A17897" s="4" t="s">
        <v>22521</v>
      </c>
      <c r="B17897" s="4" t="s">
        <v>22526</v>
      </c>
      <c r="C17897" s="5" t="str">
        <f>IFERROR(__xludf.DUMMYFUNCTION("GOOGLETRANSLATE(B17897,""en"",""fr"")"),"La vidéo se termine avec la femme arrêtant la machine et souriant à la caméra.")</f>
        <v>La vidéo se termine avec la femme arrêtant la machine et souriant à la caméra.</v>
      </c>
    </row>
    <row r="17898">
      <c r="A17898" s="4" t="s">
        <v>22527</v>
      </c>
      <c r="B17898" s="4" t="s">
        <v>22528</v>
      </c>
      <c r="C17898" s="5" t="str">
        <f>IFERROR(__xludf.DUMMYFUNCTION("GOOGLETRANSLATE(B17898,""en"",""fr"")"),"Un homme et une femme sont vus effectuer une routine de danse sur un étage les uns avec les autres.")</f>
        <v>Un homme et une femme sont vus effectuer une routine de danse sur un étage les uns avec les autres.</v>
      </c>
    </row>
    <row r="17899">
      <c r="A17899" s="4" t="s">
        <v>22527</v>
      </c>
      <c r="B17899" s="6" t="s">
        <v>22529</v>
      </c>
      <c r="C17899" s="5" t="str">
        <f>IFERROR(__xludf.DUMMYFUNCTION("GOOGLETRANSLATE(B17899,""en"",""fr"")"),"L'homme et la femme sont également vus dans des coups de feu dansant par eux-mêmes et les mènent dansant à nouveau ensemble.")</f>
        <v>L'homme et la femme sont également vus dans des coups de feu dansant par eux-mêmes et les mènent dansant à nouveau ensemble.</v>
      </c>
    </row>
    <row r="17900">
      <c r="A17900" s="4" t="s">
        <v>22530</v>
      </c>
      <c r="B17900" s="4" t="s">
        <v>22531</v>
      </c>
      <c r="C17900" s="5" t="str">
        <f>IFERROR(__xludf.DUMMYFUNCTION("GOOGLETRANSLATE(B17900,""en"",""fr"")"),"Une fille se tient dans une salle de bain parlant à la caméra alors qu'un homme la filme.")</f>
        <v>Une fille se tient dans une salle de bain parlant à la caméra alors qu'un homme la filme.</v>
      </c>
    </row>
    <row r="17901">
      <c r="A17901" s="4" t="s">
        <v>22530</v>
      </c>
      <c r="B17901" s="4" t="s">
        <v>22532</v>
      </c>
      <c r="C17901" s="5" t="str">
        <f>IFERROR(__xludf.DUMMYFUNCTION("GOOGLETRANSLATE(B17901,""en"",""fr"")"),"La dame essuie son maquillage pour les yeux et lave son visage.")</f>
        <v>La dame essuie son maquillage pour les yeux et lave son visage.</v>
      </c>
    </row>
    <row r="17902">
      <c r="A17902" s="4" t="s">
        <v>22530</v>
      </c>
      <c r="B17902" s="4" t="s">
        <v>22533</v>
      </c>
      <c r="C17902" s="5" t="str">
        <f>IFERROR(__xludf.DUMMYFUNCTION("GOOGLETRANSLATE(B17902,""en"",""fr"")"),"La dame rince le savon de son visage.")</f>
        <v>La dame rince le savon de son visage.</v>
      </c>
    </row>
    <row r="17903">
      <c r="A17903" s="4" t="s">
        <v>22530</v>
      </c>
      <c r="B17903" s="4" t="s">
        <v>22534</v>
      </c>
      <c r="C17903" s="5" t="str">
        <f>IFERROR(__xludf.DUMMYFUNCTION("GOOGLETRANSLATE(B17903,""en"",""fr"")"),"La dame se tient debout et essuie son visage avec ses mains en souriant.")</f>
        <v>La dame se tient debout et essuie son visage avec ses mains en souriant.</v>
      </c>
    </row>
    <row r="17904">
      <c r="A17904" s="4" t="s">
        <v>22535</v>
      </c>
      <c r="B17904" s="6" t="s">
        <v>22536</v>
      </c>
      <c r="C17904" s="5" t="str">
        <f>IFERROR(__xludf.DUMMYFUNCTION("GOOGLETRANSLATE(B17904,""en"",""fr"")"),"Un homme marchant sur des échasses en métal fait rebondir un ballon de basket avec sa main droite alors qu'un homme le passe sur les rollers dans la direction opposée.")</f>
        <v>Un homme marchant sur des échasses en métal fait rebondir un ballon de basket avec sa main droite alors qu'un homme le passe sur les rollers dans la direction opposée.</v>
      </c>
    </row>
    <row r="17905">
      <c r="A17905" s="4" t="s">
        <v>22535</v>
      </c>
      <c r="B17905" s="6" t="s">
        <v>22537</v>
      </c>
      <c r="C17905" s="5" t="str">
        <f>IFERROR(__xludf.DUMMYFUNCTION("GOOGLETRANSLATE(B17905,""en"",""fr"")"),"L'homme sur les échasses se retourne tout en faisant rebondir le ballon, perd le contrôle un peu, mais monte et rebondit à nouveau.")</f>
        <v>L'homme sur les échasses se retourne tout en faisant rebondir le ballon, perd le contrôle un peu, mais monte et rebondit à nouveau.</v>
      </c>
    </row>
    <row r="17906">
      <c r="A17906" s="4" t="s">
        <v>22535</v>
      </c>
      <c r="B17906" s="6" t="s">
        <v>22538</v>
      </c>
      <c r="C17906" s="5" t="str">
        <f>IFERROR(__xludf.DUMMYFUNCTION("GOOGLETRANSLATE(B17906,""en"",""fr"")"),"L'homme attrape ensuite le basket avec deux mains et prétend qu'il va le lancer vers la caméra.")</f>
        <v>L'homme attrape ensuite le basket avec deux mains et prétend qu'il va le lancer vers la caméra.</v>
      </c>
    </row>
    <row r="17907">
      <c r="A17907" s="4" t="s">
        <v>22539</v>
      </c>
      <c r="B17907" s="4" t="s">
        <v>22540</v>
      </c>
      <c r="C17907" s="5" t="str">
        <f>IFERROR(__xludf.DUMMYFUNCTION("GOOGLETRANSLATE(B17907,""en"",""fr"")"),"Une piscine est représentée dans une pièce.")</f>
        <v>Une piscine est représentée dans une pièce.</v>
      </c>
    </row>
    <row r="17908">
      <c r="A17908" s="4" t="s">
        <v>22539</v>
      </c>
      <c r="B17908" s="4" t="s">
        <v>22541</v>
      </c>
      <c r="C17908" s="5" t="str">
        <f>IFERROR(__xludf.DUMMYFUNCTION("GOOGLETRANSLATE(B17908,""en"",""fr"")"),"Les hommes sont montrés sauter dans la piscine et les tours de natation.")</f>
        <v>Les hommes sont montrés sauter dans la piscine et les tours de natation.</v>
      </c>
    </row>
    <row r="17909">
      <c r="A17909" s="4" t="s">
        <v>22542</v>
      </c>
      <c r="B17909" s="4" t="s">
        <v>1251</v>
      </c>
      <c r="C17909" s="5" t="str">
        <f>IFERROR(__xludf.DUMMYFUNCTION("GOOGLETRANSLATE(B17909,""en"",""fr"")"),"Les crédits du clip sont affichés.")</f>
        <v>Les crédits du clip sont affichés.</v>
      </c>
    </row>
    <row r="17910">
      <c r="A17910" s="4" t="s">
        <v>22542</v>
      </c>
      <c r="B17910" s="4" t="s">
        <v>22543</v>
      </c>
      <c r="C17910" s="5" t="str">
        <f>IFERROR(__xludf.DUMMYFUNCTION("GOOGLETRANSLATE(B17910,""en"",""fr"")"),"Les voitures se déplacent sur une route adjacente à une maison.")</f>
        <v>Les voitures se déplacent sur une route adjacente à une maison.</v>
      </c>
    </row>
    <row r="17911">
      <c r="A17911" s="4" t="s">
        <v>22542</v>
      </c>
      <c r="B17911" s="4" t="s">
        <v>22544</v>
      </c>
      <c r="C17911" s="5" t="str">
        <f>IFERROR(__xludf.DUMMYFUNCTION("GOOGLETRANSLATE(B17911,""en"",""fr"")"),"Une personne est un lavage de puissance.")</f>
        <v>Une personne est un lavage de puissance.</v>
      </c>
    </row>
    <row r="17912">
      <c r="A17912" s="4" t="s">
        <v>22542</v>
      </c>
      <c r="B17912" s="4" t="s">
        <v>22545</v>
      </c>
      <c r="C17912" s="5" t="str">
        <f>IFERROR(__xludf.DUMMYFUNCTION("GOOGLETRANSLATE(B17912,""en"",""fr"")"),"La personne profite de l'eau et des débris avec un vide.")</f>
        <v>La personne profite de l'eau et des débris avec un vide.</v>
      </c>
    </row>
    <row r="17913">
      <c r="A17913" s="4" t="s">
        <v>22542</v>
      </c>
      <c r="B17913" s="4" t="s">
        <v>22546</v>
      </c>
      <c r="C17913" s="5" t="str">
        <f>IFERROR(__xludf.DUMMYFUNCTION("GOOGLETRANSLATE(B17913,""en"",""fr"")"),"Un homme peint le mur, bleu clair.")</f>
        <v>Un homme peint le mur, bleu clair.</v>
      </c>
    </row>
    <row r="17914">
      <c r="A17914" s="4" t="s">
        <v>22542</v>
      </c>
      <c r="B17914" s="4" t="s">
        <v>22547</v>
      </c>
      <c r="C17914" s="5" t="str">
        <f>IFERROR(__xludf.DUMMYFUNCTION("GOOGLETRANSLATE(B17914,""en"",""fr"")"),"L'homme peint le mur et le sol d'un toit, noir.")</f>
        <v>L'homme peint le mur et le sol d'un toit, noir.</v>
      </c>
    </row>
    <row r="17915">
      <c r="A17915" s="4" t="s">
        <v>22542</v>
      </c>
      <c r="B17915" s="4" t="s">
        <v>573</v>
      </c>
      <c r="C17915" s="5" t="str">
        <f>IFERROR(__xludf.DUMMYFUNCTION("GOOGLETRANSLATE(B17915,""en"",""fr"")"),"Les crédits de la vidéo sont affichés.")</f>
        <v>Les crédits de la vidéo sont affichés.</v>
      </c>
    </row>
    <row r="17916">
      <c r="A17916" s="4" t="s">
        <v>22548</v>
      </c>
      <c r="B17916" s="4" t="s">
        <v>1487</v>
      </c>
      <c r="C17916" s="5" t="str">
        <f>IFERROR(__xludf.DUMMYFUNCTION("GOOGLETRANSLATE(B17916,""en"",""fr"")"),"Nous voyons un écran de titre d'ouverture.")</f>
        <v>Nous voyons un écran de titre d'ouverture.</v>
      </c>
    </row>
    <row r="17917">
      <c r="A17917" s="4" t="s">
        <v>22548</v>
      </c>
      <c r="B17917" s="4" t="s">
        <v>22549</v>
      </c>
      <c r="C17917" s="5" t="str">
        <f>IFERROR(__xludf.DUMMYFUNCTION("GOOGLETRANSLATE(B17917,""en"",""fr"")"),"Un homme joue de la batterie tout en portant des écouteurs.")</f>
        <v>Un homme joue de la batterie tout en portant des écouteurs.</v>
      </c>
    </row>
    <row r="17918">
      <c r="A17918" s="4" t="s">
        <v>22548</v>
      </c>
      <c r="B17918" s="4" t="s">
        <v>22550</v>
      </c>
      <c r="C17918" s="5" t="str">
        <f>IFERROR(__xludf.DUMMYFUNCTION("GOOGLETRANSLATE(B17918,""en"",""fr"")"),"Nous voyons les pieds de l'homme dans le coin supérieur.")</f>
        <v>Nous voyons les pieds de l'homme dans le coin supérieur.</v>
      </c>
    </row>
    <row r="17919">
      <c r="A17919" s="4" t="s">
        <v>22548</v>
      </c>
      <c r="B17919" s="4" t="s">
        <v>22551</v>
      </c>
      <c r="C17919" s="5" t="str">
        <f>IFERROR(__xludf.DUMMYFUNCTION("GOOGLETRANSLATE(B17919,""en"",""fr"")"),"Les pieds des hommes reviennent dans le coin.")</f>
        <v>Les pieds des hommes reviennent dans le coin.</v>
      </c>
    </row>
    <row r="17920">
      <c r="A17920" s="4" t="s">
        <v>22548</v>
      </c>
      <c r="B17920" s="4" t="s">
        <v>22552</v>
      </c>
      <c r="C17920" s="5" t="str">
        <f>IFERROR(__xludf.DUMMYFUNCTION("GOOGLETRANSLATE(B17920,""en"",""fr"")"),"Nous voyons un jeu joué avant de retourner au batteur.")</f>
        <v>Nous voyons un jeu joué avant de retourner au batteur.</v>
      </c>
    </row>
    <row r="17921">
      <c r="A17921" s="4" t="s">
        <v>22548</v>
      </c>
      <c r="B17921" s="4" t="s">
        <v>22553</v>
      </c>
      <c r="C17921" s="5" t="str">
        <f>IFERROR(__xludf.DUMMYFUNCTION("GOOGLETRANSLATE(B17921,""en"",""fr"")"),"Nous voyons une autre scène du jeu.")</f>
        <v>Nous voyons une autre scène du jeu.</v>
      </c>
    </row>
    <row r="17922">
      <c r="A17922" s="4" t="s">
        <v>22548</v>
      </c>
      <c r="B17922" s="4" t="s">
        <v>22554</v>
      </c>
      <c r="C17922" s="5" t="str">
        <f>IFERROR(__xludf.DUMMYFUNCTION("GOOGLETRANSLATE(B17922,""en"",""fr"")"),"L'homme lance et attrape l'un de ses pilons.")</f>
        <v>L'homme lance et attrape l'un de ses pilons.</v>
      </c>
    </row>
    <row r="17923">
      <c r="A17923" s="4" t="s">
        <v>22548</v>
      </c>
      <c r="B17923" s="4" t="s">
        <v>22555</v>
      </c>
      <c r="C17923" s="5" t="str">
        <f>IFERROR(__xludf.DUMMYFUNCTION("GOOGLETRANSLATE(B17923,""en"",""fr"")"),"Nous voyons un écran de clôture avec un site Web dessus.")</f>
        <v>Nous voyons un écran de clôture avec un site Web dessus.</v>
      </c>
    </row>
    <row r="17924">
      <c r="A17924" s="4" t="s">
        <v>22556</v>
      </c>
      <c r="B17924" s="6" t="s">
        <v>22557</v>
      </c>
      <c r="C17924" s="5" t="str">
        <f>IFERROR(__xludf.DUMMYFUNCTION("GOOGLETRANSLATE(B17924,""en"",""fr"")"),"Un coup est vu de deux hommes jouant ensemble un match de lutte de bras pendant que le public applaudit.")</f>
        <v>Un coup est vu de deux hommes jouant ensemble un match de lutte de bras pendant que le public applaudit.</v>
      </c>
    </row>
    <row r="17925">
      <c r="A17925" s="4" t="s">
        <v>22556</v>
      </c>
      <c r="B17925" s="4" t="s">
        <v>22558</v>
      </c>
      <c r="C17925" s="5" t="str">
        <f>IFERROR(__xludf.DUMMYFUNCTION("GOOGLETRANSLATE(B17925,""en"",""fr"")"),"Un homme bat l'autre et les deux tiennent les bras pour encourager et tout le monde célèbre.")</f>
        <v>Un homme bat l'autre et les deux tiennent les bras pour encourager et tout le monde célèbre.</v>
      </c>
    </row>
    <row r="17926">
      <c r="A17926" s="4" t="s">
        <v>22556</v>
      </c>
      <c r="B17926" s="4" t="s">
        <v>22559</v>
      </c>
      <c r="C17926" s="5" t="str">
        <f>IFERROR(__xludf.DUMMYFUNCTION("GOOGLETRANSLATE(B17926,""en"",""fr"")"),"Un homme dans le public a l'air décevant et le gagnant tient un garçon.")</f>
        <v>Un homme dans le public a l'air décevant et le gagnant tient un garçon.</v>
      </c>
    </row>
    <row r="17927">
      <c r="A17927" s="4" t="s">
        <v>22560</v>
      </c>
      <c r="B17927" s="4" t="s">
        <v>22561</v>
      </c>
      <c r="C17927" s="5" t="str">
        <f>IFERROR(__xludf.DUMMYFUNCTION("GOOGLETRANSLATE(B17927,""en"",""fr"")"),"Un homme ramasse l'intérieur d'une pastèque.")</f>
        <v>Un homme ramasse l'intérieur d'une pastèque.</v>
      </c>
    </row>
    <row r="17928">
      <c r="A17928" s="4" t="s">
        <v>22560</v>
      </c>
      <c r="B17928" s="4" t="s">
        <v>22562</v>
      </c>
      <c r="C17928" s="5" t="str">
        <f>IFERROR(__xludf.DUMMYFUNCTION("GOOGLETRANSLATE(B17928,""en"",""fr"")"),"Il mange un morceau de pastèque.")</f>
        <v>Il mange un morceau de pastèque.</v>
      </c>
    </row>
    <row r="17929">
      <c r="A17929" s="4" t="s">
        <v>22560</v>
      </c>
      <c r="B17929" s="4" t="s">
        <v>22563</v>
      </c>
      <c r="C17929" s="5" t="str">
        <f>IFERROR(__xludf.DUMMYFUNCTION("GOOGLETRANSLATE(B17929,""en"",""fr"")"),"Il s'inspire du côté de la pastèque.")</f>
        <v>Il s'inspire du côté de la pastèque.</v>
      </c>
    </row>
    <row r="17930">
      <c r="A17930" s="4" t="s">
        <v>22560</v>
      </c>
      <c r="B17930" s="4" t="s">
        <v>22564</v>
      </c>
      <c r="C17930" s="5" t="str">
        <f>IFERROR(__xludf.DUMMYFUNCTION("GOOGLETRANSLATE(B17930,""en"",""fr"")"),"Il commence à couper des parties de la pastèque pour la sculpter.")</f>
        <v>Il commence à couper des parties de la pastèque pour la sculpter.</v>
      </c>
    </row>
    <row r="17931">
      <c r="A17931" s="4" t="s">
        <v>22560</v>
      </c>
      <c r="B17931" s="4" t="s">
        <v>22565</v>
      </c>
      <c r="C17931" s="5" t="str">
        <f>IFERROR(__xludf.DUMMYFUNCTION("GOOGLETRANSLATE(B17931,""en"",""fr"")"),"Il sort un morceau de peau de pastèque.")</f>
        <v>Il sort un morceau de peau de pastèque.</v>
      </c>
    </row>
    <row r="17932">
      <c r="A17932" s="4" t="s">
        <v>22560</v>
      </c>
      <c r="B17932" s="4" t="s">
        <v>22566</v>
      </c>
      <c r="C17932" s="5" t="str">
        <f>IFERROR(__xludf.DUMMYFUNCTION("GOOGLETRANSLATE(B17932,""en"",""fr"")"),"Il continue de dessiner et de couper la pastèque.")</f>
        <v>Il continue de dessiner et de couper la pastèque.</v>
      </c>
    </row>
    <row r="17933">
      <c r="A17933" s="4" t="s">
        <v>22560</v>
      </c>
      <c r="B17933" s="4" t="s">
        <v>22567</v>
      </c>
      <c r="C17933" s="5" t="str">
        <f>IFERROR(__xludf.DUMMYFUNCTION("GOOGLETRANSLATE(B17933,""en"",""fr"")"),"Il montre la pastèque sculptée.")</f>
        <v>Il montre la pastèque sculptée.</v>
      </c>
    </row>
    <row r="17934">
      <c r="A17934" s="4" t="s">
        <v>22560</v>
      </c>
      <c r="B17934" s="4" t="s">
        <v>22568</v>
      </c>
      <c r="C17934" s="5" t="str">
        <f>IFERROR(__xludf.DUMMYFUNCTION("GOOGLETRANSLATE(B17934,""en"",""fr"")"),"Les lumières s'éteignent et il montre la pastèque sculptée.")</f>
        <v>Les lumières s'éteignent et il montre la pastèque sculptée.</v>
      </c>
    </row>
    <row r="17935">
      <c r="A17935" s="4" t="s">
        <v>22569</v>
      </c>
      <c r="B17935" s="6" t="s">
        <v>22570</v>
      </c>
      <c r="C17935" s="5" t="str">
        <f>IFERROR(__xludf.DUMMYFUNCTION("GOOGLETRANSLATE(B17935,""en"",""fr"")"),"Deux filles tournent des cordes à double saut tandis qu'une fille en jupe noire saute et une foule de spectateurs regarde.")</f>
        <v>Deux filles tournent des cordes à double saut tandis qu'une fille en jupe noire saute et une foule de spectateurs regarde.</v>
      </c>
    </row>
    <row r="17936">
      <c r="A17936" s="4" t="s">
        <v>22569</v>
      </c>
      <c r="B17936" s="4" t="s">
        <v>22571</v>
      </c>
      <c r="C17936" s="5" t="str">
        <f>IFERROR(__xludf.DUMMYFUNCTION("GOOGLETRANSLATE(B17936,""en"",""fr"")"),"Une fille en jeans entre dans les cordes et effectue différents mouvements de saut.")</f>
        <v>Une fille en jeans entre dans les cordes et effectue différents mouvements de saut.</v>
      </c>
    </row>
    <row r="17937">
      <c r="A17937" s="4" t="s">
        <v>22569</v>
      </c>
      <c r="B17937" s="4" t="s">
        <v>22572</v>
      </c>
      <c r="C17937" s="5" t="str">
        <f>IFERROR(__xludf.DUMMYFUNCTION("GOOGLETRANSLATE(B17937,""en"",""fr"")"),"Une fille en chemise bleue entre dans les cordes de saut et effectue différents mouvements tout en sautant.")</f>
        <v>Une fille en chemise bleue entre dans les cordes de saut et effectue différents mouvements tout en sautant.</v>
      </c>
    </row>
    <row r="17938">
      <c r="A17938" s="4" t="s">
        <v>22569</v>
      </c>
      <c r="B17938" s="4" t="s">
        <v>22573</v>
      </c>
      <c r="C17938" s="5" t="str">
        <f>IFERROR(__xludf.DUMMYFUNCTION("GOOGLETRANSLATE(B17938,""en"",""fr"")"),"Une fille entre dans les cordes de saut en une vitesse rapide et effectue des sauts rapides.")</f>
        <v>Une fille entre dans les cordes de saut en une vitesse rapide et effectue des sauts rapides.</v>
      </c>
    </row>
    <row r="17939">
      <c r="A17939" s="4" t="s">
        <v>22574</v>
      </c>
      <c r="B17939" s="4" t="s">
        <v>22575</v>
      </c>
      <c r="C17939" s="5" t="str">
        <f>IFERROR(__xludf.DUMMYFUNCTION("GOOGLETRANSLATE(B17939,""en"",""fr"")"),"Un homme en costume de gorille joue un saxophone au milieu d'un magasin.")</f>
        <v>Un homme en costume de gorille joue un saxophone au milieu d'un magasin.</v>
      </c>
    </row>
    <row r="17940">
      <c r="A17940" s="4" t="s">
        <v>22574</v>
      </c>
      <c r="B17940" s="4" t="s">
        <v>22576</v>
      </c>
      <c r="C17940" s="5" t="str">
        <f>IFERROR(__xludf.DUMMYFUNCTION("GOOGLETRANSLATE(B17940,""en"",""fr"")"),"Les employés regardent et rient de la personne qui joue et utilise son téléphone pour prendre des photos.")</f>
        <v>Les employés regardent et rient de la personne qui joue et utilise son téléphone pour prendre des photos.</v>
      </c>
    </row>
    <row r="17941">
      <c r="A17941" s="4" t="s">
        <v>22574</v>
      </c>
      <c r="B17941" s="6" t="s">
        <v>22577</v>
      </c>
      <c r="C17941" s="5" t="str">
        <f>IFERROR(__xludf.DUMMYFUNCTION("GOOGLETRANSLATE(B17941,""en"",""fr"")"),"Les gorilles tendent la main pour saisir l'une des mains des employés et l'homme en est très gêné.")</f>
        <v>Les gorilles tendent la main pour saisir l'une des mains des employés et l'homme en est très gêné.</v>
      </c>
    </row>
    <row r="17942">
      <c r="A17942" s="4" t="s">
        <v>22574</v>
      </c>
      <c r="B17942" s="4" t="s">
        <v>22578</v>
      </c>
      <c r="C17942" s="5" t="str">
        <f>IFERROR(__xludf.DUMMYFUNCTION("GOOGLETRANSLATE(B17942,""en"",""fr"")"),"Ils se parlent un peu et les autres employés commencent à applaudir avec enthousiasme.")</f>
        <v>Ils se parlent un peu et les autres employés commencent à applaudir avec enthousiasme.</v>
      </c>
    </row>
    <row r="17943">
      <c r="A17943" s="4" t="s">
        <v>22574</v>
      </c>
      <c r="B17943" s="4" t="s">
        <v>22579</v>
      </c>
      <c r="C17943" s="5" t="str">
        <f>IFERROR(__xludf.DUMMYFUNCTION("GOOGLETRANSLATE(B17943,""en"",""fr"")"),"L'homme de Gorilla Suit joue un peu plus le saxa alors que tout le monde rit toujours.")</f>
        <v>L'homme de Gorilla Suit joue un peu plus le saxa alors que tout le monde rit toujours.</v>
      </c>
    </row>
    <row r="17944">
      <c r="A17944" s="4" t="s">
        <v>22574</v>
      </c>
      <c r="B17944" s="4" t="s">
        <v>22580</v>
      </c>
      <c r="C17944" s="5" t="str">
        <f>IFERROR(__xludf.DUMMYFUNCTION("GOOGLETRANSLATE(B17944,""en"",""fr"")"),"Il joue et joue avec la caméra à la fin de la vidéo.")</f>
        <v>Il joue et joue avec la caméra à la fin de la vidéo.</v>
      </c>
    </row>
    <row r="17945">
      <c r="A17945" s="4" t="s">
        <v>22581</v>
      </c>
      <c r="B17945" s="4" t="s">
        <v>22582</v>
      </c>
      <c r="C17945" s="5" t="str">
        <f>IFERROR(__xludf.DUMMYFUNCTION("GOOGLETRANSLATE(B17945,""en"",""fr"")"),"Les gens se luttent sur un tapis.")</f>
        <v>Les gens se luttent sur un tapis.</v>
      </c>
    </row>
    <row r="17946">
      <c r="A17946" s="4" t="s">
        <v>22581</v>
      </c>
      <c r="B17946" s="4" t="s">
        <v>22583</v>
      </c>
      <c r="C17946" s="5" t="str">
        <f>IFERROR(__xludf.DUMMYFUNCTION("GOOGLETRANSLATE(B17946,""en"",""fr"")"),"Les gens jouent de la batterie.")</f>
        <v>Les gens jouent de la batterie.</v>
      </c>
    </row>
    <row r="17947">
      <c r="A17947" s="4" t="s">
        <v>22581</v>
      </c>
      <c r="B17947" s="4" t="s">
        <v>22584</v>
      </c>
      <c r="C17947" s="5" t="str">
        <f>IFERROR(__xludf.DUMMYFUNCTION("GOOGLETRANSLATE(B17947,""en"",""fr"")"),"Les lutteurs de sumo parlent à la caméra.")</f>
        <v>Les lutteurs de sumo parlent à la caméra.</v>
      </c>
    </row>
    <row r="17948">
      <c r="A17948" s="4" t="s">
        <v>22585</v>
      </c>
      <c r="B17948" s="4" t="s">
        <v>22586</v>
      </c>
      <c r="C17948" s="5" t="str">
        <f>IFERROR(__xludf.DUMMYFUNCTION("GOOGLETRANSLATE(B17948,""en"",""fr"")"),"Un petit groupe de personnes est vu rouler dans les tampses et s'écraser les uns aux autres.")</f>
        <v>Un petit groupe de personnes est vu rouler dans les tampses et s'écraser les uns aux autres.</v>
      </c>
    </row>
    <row r="17949">
      <c r="A17949" s="4" t="s">
        <v>22585</v>
      </c>
      <c r="B17949" s="4" t="s">
        <v>22587</v>
      </c>
      <c r="C17949" s="5" t="str">
        <f>IFERROR(__xludf.DUMMYFUNCTION("GOOGLETRANSLATE(B17949,""en"",""fr"")"),"Le groupe continue de se conduire et de se passer mutuellement.")</f>
        <v>Le groupe continue de se conduire et de se passer mutuellement.</v>
      </c>
    </row>
    <row r="17950">
      <c r="A17950" s="4" t="s">
        <v>22585</v>
      </c>
      <c r="B17950" s="4" t="s">
        <v>22588</v>
      </c>
      <c r="C17950" s="5" t="str">
        <f>IFERROR(__xludf.DUMMYFUNCTION("GOOGLETRANSLATE(B17950,""en"",""fr"")"),"Les gens continuent de conduire les voitures et de se passer mutuellement.")</f>
        <v>Les gens continuent de conduire les voitures et de se passer mutuellement.</v>
      </c>
    </row>
    <row r="17951">
      <c r="A17951" s="4" t="s">
        <v>22589</v>
      </c>
      <c r="B17951" s="6" t="s">
        <v>22590</v>
      </c>
      <c r="C17951" s="5" t="str">
        <f>IFERROR(__xludf.DUMMYFUNCTION("GOOGLETRANSLATE(B17951,""en"",""fr"")"),"Un adolescent et sa mère sont assis dans un lit vêtus très détendus et parlent de la façon d'envelopper des cadeaux.")</f>
        <v>Un adolescent et sa mère sont assis dans un lit vêtus très détendus et parlent de la façon d'envelopper des cadeaux.</v>
      </c>
    </row>
    <row r="17952">
      <c r="A17952" s="4" t="s">
        <v>22589</v>
      </c>
      <c r="B17952" s="6" t="s">
        <v>22591</v>
      </c>
      <c r="C17952" s="5" t="str">
        <f>IFERROR(__xludf.DUMMYFUNCTION("GOOGLETRANSLATE(B17952,""en"",""fr"")"),"Il se fait le côté suivi sur son téléphone puis revient aux affaires, ils commencent à couper le papier d'emballage.")</f>
        <v>Il se fait le côté suivi sur son téléphone puis revient aux affaires, ils commencent à couper le papier d'emballage.</v>
      </c>
    </row>
    <row r="17953">
      <c r="A17953" s="4" t="s">
        <v>22589</v>
      </c>
      <c r="B17953" s="4" t="s">
        <v>22592</v>
      </c>
      <c r="C17953" s="5" t="str">
        <f>IFERROR(__xludf.DUMMYFUNCTION("GOOGLETRANSLATE(B17953,""en"",""fr"")"),"Ils ont mis les cadeaux au milieu du papier et essaient de commencer à emballer.")</f>
        <v>Ils ont mis les cadeaux au milieu du papier et essaient de commencer à emballer.</v>
      </c>
    </row>
    <row r="17954">
      <c r="A17954" s="4" t="s">
        <v>22589</v>
      </c>
      <c r="B17954" s="6" t="s">
        <v>22593</v>
      </c>
      <c r="C17954" s="5" t="str">
        <f>IFERROR(__xludf.DUMMYFUNCTION("GOOGLETRANSLATE(B17954,""en"",""fr"")"),"Ils semblent avoir des techniques différentes car le fils termine beaucoup plus rapidement et que maman sort un peu mieux.")</f>
        <v>Ils semblent avoir des techniques différentes car le fils termine beaucoup plus rapidement et que maman sort un peu mieux.</v>
      </c>
    </row>
    <row r="17955">
      <c r="A17955" s="4" t="s">
        <v>22594</v>
      </c>
      <c r="B17955" s="4" t="s">
        <v>22595</v>
      </c>
      <c r="C17955" s="5" t="str">
        <f>IFERROR(__xludf.DUMMYFUNCTION("GOOGLETRANSLATE(B17955,""en"",""fr"")"),"Une femme est dans une écurie avec un cheval blanc.")</f>
        <v>Une femme est dans une écurie avec un cheval blanc.</v>
      </c>
    </row>
    <row r="17956">
      <c r="A17956" s="4" t="s">
        <v>22594</v>
      </c>
      <c r="B17956" s="4" t="s">
        <v>22596</v>
      </c>
      <c r="C17956" s="5" t="str">
        <f>IFERROR(__xludf.DUMMYFUNCTION("GOOGLETRANSLATE(B17956,""en"",""fr"")"),"Elle montre une collection de pinceaux et de fournitures de toilettage.")</f>
        <v>Elle montre une collection de pinceaux et de fournitures de toilettage.</v>
      </c>
    </row>
    <row r="17957">
      <c r="A17957" s="4" t="s">
        <v>22594</v>
      </c>
      <c r="B17957" s="4" t="s">
        <v>22597</v>
      </c>
      <c r="C17957" s="5" t="str">
        <f>IFERROR(__xludf.DUMMYFUNCTION("GOOGLETRANSLATE(B17957,""en"",""fr"")"),"Elle caresse le cheval pendant qu'elle parle et essaie de le garder calme.")</f>
        <v>Elle caresse le cheval pendant qu'elle parle et essaie de le garder calme.</v>
      </c>
    </row>
    <row r="17958">
      <c r="A17958" s="4" t="s">
        <v>22594</v>
      </c>
      <c r="B17958" s="4" t="s">
        <v>22598</v>
      </c>
      <c r="C17958" s="5" t="str">
        <f>IFERROR(__xludf.DUMMYFUNCTION("GOOGLETRANSLATE(B17958,""en"",""fr"")"),"Elle utilise les pinceaux pour le préparer soigneusement, puis nettoie ses sabots.")</f>
        <v>Elle utilise les pinceaux pour le préparer soigneusement, puis nettoie ses sabots.</v>
      </c>
    </row>
    <row r="17959">
      <c r="A17959" s="4" t="s">
        <v>22599</v>
      </c>
      <c r="B17959" s="6" t="s">
        <v>22600</v>
      </c>
      <c r="C17959" s="5" t="str">
        <f>IFERROR(__xludf.DUMMYFUNCTION("GOOGLETRANSLATE(B17959,""en"",""fr"")"),"Un petit groupe de personnes est vue assis autour d'une table de poker avec une femme traitant des cartes devant.")</f>
        <v>Un petit groupe de personnes est vue assis autour d'une table de poker avec une femme traitant des cartes devant.</v>
      </c>
    </row>
    <row r="17960">
      <c r="A17960" s="4" t="s">
        <v>22599</v>
      </c>
      <c r="B17960" s="4" t="s">
        <v>22601</v>
      </c>
      <c r="C17960" s="5" t="str">
        <f>IFERROR(__xludf.DUMMYFUNCTION("GOOGLETRANSLATE(B17960,""en"",""fr"")"),"La femme traite des cartes aux gens pendant qu'ils mettent leurs cartes et chips au milieu.")</f>
        <v>La femme traite des cartes aux gens pendant qu'ils mettent leurs cartes et chips au milieu.</v>
      </c>
    </row>
    <row r="17961">
      <c r="A17961" s="4" t="s">
        <v>22599</v>
      </c>
      <c r="B17961" s="4" t="s">
        <v>22602</v>
      </c>
      <c r="C17961" s="5" t="str">
        <f>IFERROR(__xludf.DUMMYFUNCTION("GOOGLETRANSLATE(B17961,""en"",""fr"")"),"Le concessionnaire continue de jouer avec les gens et de regarder au loin.")</f>
        <v>Le concessionnaire continue de jouer avec les gens et de regarder au loin.</v>
      </c>
    </row>
    <row r="17962">
      <c r="A17962" s="4" t="s">
        <v>22603</v>
      </c>
      <c r="B17962" s="4" t="s">
        <v>22604</v>
      </c>
      <c r="C17962" s="5" t="str">
        <f>IFERROR(__xludf.DUMMYFUNCTION("GOOGLETRANSLATE(B17962,""en"",""fr"")"),"Nous voyons une scène d'ouverture animée.")</f>
        <v>Nous voyons une scène d'ouverture animée.</v>
      </c>
    </row>
    <row r="17963">
      <c r="A17963" s="4" t="s">
        <v>22603</v>
      </c>
      <c r="B17963" s="4" t="s">
        <v>22605</v>
      </c>
      <c r="C17963" s="5" t="str">
        <f>IFERROR(__xludf.DUMMYFUNCTION("GOOGLETRANSLATE(B17963,""en"",""fr"")"),"Nous voyons un homme courir avec un poteau et effectuer un saut en hauteur.")</f>
        <v>Nous voyons un homme courir avec un poteau et effectuer un saut en hauteur.</v>
      </c>
    </row>
    <row r="17964">
      <c r="A17964" s="4" t="s">
        <v>22603</v>
      </c>
      <c r="B17964" s="4" t="s">
        <v>22606</v>
      </c>
      <c r="C17964" s="5" t="str">
        <f>IFERROR(__xludf.DUMMYFUNCTION("GOOGLETRANSLATE(B17964,""en"",""fr"")"),"L'homme fait tomber le poteau et se décepte.")</f>
        <v>L'homme fait tomber le poteau et se décepte.</v>
      </c>
    </row>
    <row r="17965">
      <c r="A17965" s="4" t="s">
        <v>22603</v>
      </c>
      <c r="B17965" s="4" t="s">
        <v>22607</v>
      </c>
      <c r="C17965" s="5" t="str">
        <f>IFERROR(__xludf.DUMMYFUNCTION("GOOGLETRANSLATE(B17965,""en"",""fr"")"),"Nous voyons l'homme tenir son poteau et faire sa deuxième tentative frapper le poteau.")</f>
        <v>Nous voyons l'homme tenir son poteau et faire sa deuxième tentative frapper le poteau.</v>
      </c>
    </row>
    <row r="17966">
      <c r="A17966" s="4" t="s">
        <v>22603</v>
      </c>
      <c r="B17966" s="4" t="s">
        <v>22608</v>
      </c>
      <c r="C17966" s="5" t="str">
        <f>IFERROR(__xludf.DUMMYFUNCTION("GOOGLETRANSLATE(B17966,""en"",""fr"")"),"L'homme essaie une troisième fois et les poteaux restent debout.")</f>
        <v>L'homme essaie une troisième fois et les poteaux restent debout.</v>
      </c>
    </row>
    <row r="17967">
      <c r="A17967" s="4" t="s">
        <v>22603</v>
      </c>
      <c r="B17967" s="4" t="s">
        <v>22609</v>
      </c>
      <c r="C17967" s="5" t="str">
        <f>IFERROR(__xludf.DUMMYFUNCTION("GOOGLETRANSLATE(B17967,""en"",""fr"")"),"L'homme lève les bras en l'air.")</f>
        <v>L'homme lève les bras en l'air.</v>
      </c>
    </row>
    <row r="17968">
      <c r="A17968" s="4" t="s">
        <v>22603</v>
      </c>
      <c r="B17968" s="4" t="s">
        <v>22610</v>
      </c>
      <c r="C17968" s="5" t="str">
        <f>IFERROR(__xludf.DUMMYFUNCTION("GOOGLETRANSLATE(B17968,""en"",""fr"")"),"Nous voyons ensuite à nouveau Tentative 1,2 et 3.")</f>
        <v>Nous voyons ensuite à nouveau Tentative 1,2 et 3.</v>
      </c>
    </row>
    <row r="17969">
      <c r="A17969" s="4" t="s">
        <v>22603</v>
      </c>
      <c r="B17969" s="4" t="s">
        <v>22611</v>
      </c>
      <c r="C17969" s="5" t="str">
        <f>IFERROR(__xludf.DUMMYFUNCTION("GOOGLETRANSLATE(B17969,""en"",""fr"")"),"L'homme lève les bras en l'air pour la foule.")</f>
        <v>L'homme lève les bras en l'air pour la foule.</v>
      </c>
    </row>
    <row r="17970">
      <c r="A17970" s="4" t="s">
        <v>22603</v>
      </c>
      <c r="B17970" s="4" t="s">
        <v>22612</v>
      </c>
      <c r="C17970" s="5" t="str">
        <f>IFERROR(__xludf.DUMMYFUNCTION("GOOGLETRANSLATE(B17970,""en"",""fr"")"),"L'homme jette ses bras en l'air et tombe au sol.")</f>
        <v>L'homme jette ses bras en l'air et tombe au sol.</v>
      </c>
    </row>
    <row r="17971">
      <c r="A17971" s="4" t="s">
        <v>22613</v>
      </c>
      <c r="B17971" s="4" t="s">
        <v>22614</v>
      </c>
      <c r="C17971" s="5" t="str">
        <f>IFERROR(__xludf.DUMMYFUNCTION("GOOGLETRANSLATE(B17971,""en"",""fr"")"),"Un homme en chemise noire est assis à jouer un jeu de batterie.")</f>
        <v>Un homme en chemise noire est assis à jouer un jeu de batterie.</v>
      </c>
    </row>
    <row r="17972">
      <c r="A17972" s="4" t="s">
        <v>22613</v>
      </c>
      <c r="B17972" s="4" t="s">
        <v>22615</v>
      </c>
      <c r="C17972" s="5" t="str">
        <f>IFERROR(__xludf.DUMMYFUNCTION("GOOGLETRANSLATE(B17972,""en"",""fr"")"),"Il arrête de jouer et commence à parler dans un microphone.")</f>
        <v>Il arrête de jouer et commence à parler dans un microphone.</v>
      </c>
    </row>
    <row r="17973">
      <c r="A17973" s="4" t="s">
        <v>22616</v>
      </c>
      <c r="B17973" s="4" t="s">
        <v>22617</v>
      </c>
      <c r="C17973" s="5" t="str">
        <f>IFERROR(__xludf.DUMMYFUNCTION("GOOGLETRANSLATE(B17973,""en"",""fr"")"),"Un homme pelle une neige de son entrée dans une lourde tempête de neige.")</f>
        <v>Un homme pelle une neige de son entrée dans une lourde tempête de neige.</v>
      </c>
    </row>
    <row r="17974">
      <c r="A17974" s="4" t="s">
        <v>22616</v>
      </c>
      <c r="B17974" s="4" t="s">
        <v>22618</v>
      </c>
      <c r="C17974" s="5" t="str">
        <f>IFERROR(__xludf.DUMMYFUNCTION("GOOGLETRANSLATE(B17974,""en"",""fr"")"),"Il porte des vêtements d'hiver et son entièrement couvert.")</f>
        <v>Il porte des vêtements d'hiver et son entièrement couvert.</v>
      </c>
    </row>
    <row r="17975">
      <c r="A17975" s="4" t="s">
        <v>22616</v>
      </c>
      <c r="B17975" s="6" t="s">
        <v>22619</v>
      </c>
      <c r="C17975" s="5" t="str">
        <f>IFERROR(__xludf.DUMMYFUNCTION("GOOGLETRANSLATE(B17975,""en"",""fr"")"),"Un autre homme pellent également la neige de la passerelle de la maison ne porte pas d'équipement d'hiver.")</f>
        <v>Un autre homme pellent également la neige de la passerelle de la maison ne porte pas d'équipement d'hiver.</v>
      </c>
    </row>
    <row r="17976">
      <c r="A17976" s="4" t="s">
        <v>22616</v>
      </c>
      <c r="B17976" s="4" t="s">
        <v>22620</v>
      </c>
      <c r="C17976" s="5" t="str">
        <f>IFERROR(__xludf.DUMMYFUNCTION("GOOGLETRANSLATE(B17976,""en"",""fr"")"),"Ils continuent tous les deux à pelleter et à nettoyer la neige dans la lourde tempête de neige.")</f>
        <v>Ils continuent tous les deux à pelleter et à nettoyer la neige dans la lourde tempête de neige.</v>
      </c>
    </row>
    <row r="17977">
      <c r="A17977" s="4" t="s">
        <v>22621</v>
      </c>
      <c r="B17977" s="4" t="s">
        <v>22622</v>
      </c>
      <c r="C17977" s="5" t="str">
        <f>IFERROR(__xludf.DUMMYFUNCTION("GOOGLETRANSLATE(B17977,""en"",""fr"")"),"Une femme est assise devant une table recouverte de fournitures d'emballage.")</f>
        <v>Une femme est assise devant une table recouverte de fournitures d'emballage.</v>
      </c>
    </row>
    <row r="17978">
      <c r="A17978" s="4" t="s">
        <v>22621</v>
      </c>
      <c r="B17978" s="4" t="s">
        <v>22623</v>
      </c>
      <c r="C17978" s="5" t="str">
        <f>IFERROR(__xludf.DUMMYFUNCTION("GOOGLETRANSLATE(B17978,""en"",""fr"")"),"Elle montre une tasse remplie de cadeaux.")</f>
        <v>Elle montre une tasse remplie de cadeaux.</v>
      </c>
    </row>
    <row r="17979">
      <c r="A17979" s="4" t="s">
        <v>22621</v>
      </c>
      <c r="B17979" s="4" t="s">
        <v>22624</v>
      </c>
      <c r="C17979" s="5" t="str">
        <f>IFERROR(__xludf.DUMMYFUNCTION("GOOGLETRANSLATE(B17979,""en"",""fr"")"),"Elle le place dans du cellophane coupé, le s'enroule autour du présent.")</f>
        <v>Elle le place dans du cellophane coupé, le s'enroule autour du présent.</v>
      </c>
    </row>
    <row r="17980">
      <c r="A17980" s="4" t="s">
        <v>22621</v>
      </c>
      <c r="B17980" s="4" t="s">
        <v>22625</v>
      </c>
      <c r="C17980" s="5" t="str">
        <f>IFERROR(__xludf.DUMMYFUNCTION("GOOGLETRANSLATE(B17980,""en"",""fr"")"),"Elle l'attache ensuite avec des rubans colorés.")</f>
        <v>Elle l'attache ensuite avec des rubans colorés.</v>
      </c>
    </row>
    <row r="17981">
      <c r="A17981" s="4" t="s">
        <v>22626</v>
      </c>
      <c r="B17981" s="4" t="s">
        <v>22627</v>
      </c>
      <c r="C17981" s="5" t="str">
        <f>IFERROR(__xludf.DUMMYFUNCTION("GOOGLETRANSLATE(B17981,""en"",""fr"")"),"Un athlète masculin est montré et il tourne et jette le disque.")</f>
        <v>Un athlète masculin est montré et il tourne et jette le disque.</v>
      </c>
    </row>
    <row r="17982">
      <c r="A17982" s="4" t="s">
        <v>22626</v>
      </c>
      <c r="B17982" s="4" t="s">
        <v>22628</v>
      </c>
      <c r="C17982" s="5" t="str">
        <f>IFERROR(__xludf.DUMMYFUNCTION("GOOGLETRANSLATE(B17982,""en"",""fr"")"),"Une fois terminé, deux personnes se précipitent pour mesurer la distance.")</f>
        <v>Une fois terminé, deux personnes se précipitent pour mesurer la distance.</v>
      </c>
    </row>
    <row r="17983">
      <c r="A17983" s="4" t="s">
        <v>22626</v>
      </c>
      <c r="B17983" s="4" t="s">
        <v>22629</v>
      </c>
      <c r="C17983" s="5" t="str">
        <f>IFERROR(__xludf.DUMMYFUNCTION("GOOGLETRANSLATE(B17983,""en"",""fr"")"),"La séquence est ensuite continue et d'autres hommes sont montrés en lançant le disque.")</f>
        <v>La séquence est ensuite continue et d'autres hommes sont montrés en lançant le disque.</v>
      </c>
    </row>
    <row r="17984">
      <c r="A17984" s="4" t="s">
        <v>22630</v>
      </c>
      <c r="B17984" s="4" t="s">
        <v>22631</v>
      </c>
      <c r="C17984" s="5" t="str">
        <f>IFERROR(__xludf.DUMMYFUNCTION("GOOGLETRANSLATE(B17984,""en"",""fr"")"),"On voit une personne poussant une tondeuse à gazon tout autour d'une cour tout en se déplaçant en mouvement rapide.")</f>
        <v>On voit une personne poussant une tondeuse à gazon tout autour d'une cour tout en se déplaçant en mouvement rapide.</v>
      </c>
    </row>
    <row r="17985">
      <c r="A17985" s="4" t="s">
        <v>22630</v>
      </c>
      <c r="B17985" s="4" t="s">
        <v>22632</v>
      </c>
      <c r="C17985" s="5" t="str">
        <f>IFERROR(__xludf.DUMMYFUNCTION("GOOGLETRANSLATE(B17985,""en"",""fr"")"),"La personne continue de se déplacer pour couper l'herbe et la caméra capture ses mouvements.")</f>
        <v>La personne continue de se déplacer pour couper l'herbe et la caméra capture ses mouvements.</v>
      </c>
    </row>
    <row r="17986">
      <c r="A17986" s="4" t="s">
        <v>22633</v>
      </c>
      <c r="B17986" s="6" t="s">
        <v>22634</v>
      </c>
      <c r="C17986" s="5" t="str">
        <f>IFERROR(__xludf.DUMMYFUNCTION("GOOGLETRANSLATE(B17986,""en"",""fr"")"),"Une personne est vue saisir une boule de bowling et enroulant son bras tandis que d'autres personnes balent autour de lui.")</f>
        <v>Une personne est vue saisir une boule de bowling et enroulant son bras tandis que d'autres personnes balent autour de lui.</v>
      </c>
    </row>
    <row r="17987">
      <c r="A17987" s="4" t="s">
        <v>22633</v>
      </c>
      <c r="B17987" s="4" t="s">
        <v>22635</v>
      </c>
      <c r="C17987" s="5" t="str">
        <f>IFERROR(__xludf.DUMMYFUNCTION("GOOGLETRANSLATE(B17987,""en"",""fr"")"),"L'homme lance le ballon et frappe plusieurs épingles tout en courant et en applaudissant la caméra.")</f>
        <v>L'homme lance le ballon et frappe plusieurs épingles tout en courant et en applaudissant la caméra.</v>
      </c>
    </row>
    <row r="17988">
      <c r="A17988" s="4" t="s">
        <v>22636</v>
      </c>
      <c r="B17988" s="4" t="s">
        <v>22637</v>
      </c>
      <c r="C17988" s="5" t="str">
        <f>IFERROR(__xludf.DUMMYFUNCTION("GOOGLETRANSLATE(B17988,""en"",""fr"")"),"Un jeune homme est assis sur une machine à cardio.")</f>
        <v>Un jeune homme est assis sur une machine à cardio.</v>
      </c>
    </row>
    <row r="17989">
      <c r="A17989" s="4" t="s">
        <v>22636</v>
      </c>
      <c r="B17989" s="4" t="s">
        <v>22638</v>
      </c>
      <c r="C17989" s="5" t="str">
        <f>IFERROR(__xludf.DUMMYFUNCTION("GOOGLETRANSLATE(B17989,""en"",""fr"")"),"Ensuite, l'homme accroche la poignée de la machine.")</f>
        <v>Ensuite, l'homme accroche la poignée de la machine.</v>
      </c>
    </row>
    <row r="17990">
      <c r="A17990" s="4" t="s">
        <v>22636</v>
      </c>
      <c r="B17990" s="4" t="s">
        <v>22639</v>
      </c>
      <c r="C17990" s="5" t="str">
        <f>IFERROR(__xludf.DUMMYFUNCTION("GOOGLETRANSLATE(B17990,""en"",""fr"")"),"Après, l'homme tire la poignée de la machine pour faire des abdos.")</f>
        <v>Après, l'homme tire la poignée de la machine pour faire des abdos.</v>
      </c>
    </row>
    <row r="17991">
      <c r="A17991" s="4" t="s">
        <v>22640</v>
      </c>
      <c r="B17991" s="4" t="s">
        <v>22641</v>
      </c>
      <c r="C17991" s="5" t="str">
        <f>IFERROR(__xludf.DUMMYFUNCTION("GOOGLETRANSLATE(B17991,""en"",""fr"")"),"Un journal parle devant une image d'un chiot Bulldog.")</f>
        <v>Un journal parle devant une image d'un chiot Bulldog.</v>
      </c>
    </row>
    <row r="17992">
      <c r="A17992" s="4" t="s">
        <v>22640</v>
      </c>
      <c r="B17992" s="4" t="s">
        <v>22642</v>
      </c>
      <c r="C17992" s="5" t="str">
        <f>IFERROR(__xludf.DUMMYFUNCTION("GOOGLETRANSLATE(B17992,""en"",""fr"")"),"Les portes s'ouvrent sur un magasin, avec diverses images de personnes travaillant sur différents projets.")</f>
        <v>Les portes s'ouvrent sur un magasin, avec diverses images de personnes travaillant sur différents projets.</v>
      </c>
    </row>
    <row r="17993">
      <c r="A17993" s="4" t="s">
        <v>22640</v>
      </c>
      <c r="B17993" s="4" t="s">
        <v>22643</v>
      </c>
      <c r="C17993" s="5" t="str">
        <f>IFERROR(__xludf.DUMMYFUNCTION("GOOGLETRANSLATE(B17993,""en"",""fr"")"),"Un homme montre comment il a reçu des jambes prostique pour le chien.")</f>
        <v>Un homme montre comment il a reçu des jambes prostique pour le chien.</v>
      </c>
    </row>
    <row r="17994">
      <c r="A17994" s="4" t="s">
        <v>22640</v>
      </c>
      <c r="B17994" s="4" t="s">
        <v>22644</v>
      </c>
      <c r="C17994" s="5" t="str">
        <f>IFERROR(__xludf.DUMMYFUNCTION("GOOGLETRANSLATE(B17994,""en"",""fr"")"),"Le chien est montré avec ses nouvelles jambes pendant qu'ils guérissent.")</f>
        <v>Le chien est montré avec ses nouvelles jambes pendant qu'ils guérissent.</v>
      </c>
    </row>
    <row r="17995">
      <c r="A17995" s="4" t="s">
        <v>22640</v>
      </c>
      <c r="B17995" s="4" t="s">
        <v>22645</v>
      </c>
      <c r="C17995" s="5" t="str">
        <f>IFERROR(__xludf.DUMMYFUNCTION("GOOGLETRANSLATE(B17995,""en"",""fr"")"),"Dans la scène finale, le chien marche avec un cochon de compagnie en laisse.")</f>
        <v>Dans la scène finale, le chien marche avec un cochon de compagnie en laisse.</v>
      </c>
    </row>
    <row r="17996">
      <c r="A17996" s="4" t="s">
        <v>22646</v>
      </c>
      <c r="B17996" s="4" t="s">
        <v>22647</v>
      </c>
      <c r="C17996" s="5" t="str">
        <f>IFERROR(__xludf.DUMMYFUNCTION("GOOGLETRANSLATE(B17996,""en"",""fr"")"),"Un écran de titre apparaît, puis plusieurs paragraphes commencent à rouler sur l'écran.")</f>
        <v>Un écran de titre apparaît, puis plusieurs paragraphes commencent à rouler sur l'écran.</v>
      </c>
    </row>
    <row r="17997">
      <c r="A17997" s="4" t="s">
        <v>22646</v>
      </c>
      <c r="B17997" s="4" t="s">
        <v>22648</v>
      </c>
      <c r="C17997" s="5" t="str">
        <f>IFERROR(__xludf.DUMMYFUNCTION("GOOGLETRANSLATE(B17997,""en"",""fr"")"),"Ensuite, un homme aux cheveux noirs bouclés de taille moyenne vêtus d'un costume commence à parler.")</f>
        <v>Ensuite, un homme aux cheveux noirs bouclés de taille moyenne vêtus d'un costume commence à parler.</v>
      </c>
    </row>
    <row r="17998">
      <c r="A17998" s="4" t="s">
        <v>22646</v>
      </c>
      <c r="B17998" s="6" t="s">
        <v>22649</v>
      </c>
      <c r="C17998" s="5" t="str">
        <f>IFERROR(__xludf.DUMMYFUNCTION("GOOGLETRANSLATE(B17998,""en"",""fr"")"),"Quand il a terminé, un homme est montré jouant du saxophone dans une émission de télévision nocturne, puis l'homme revient pour finir de parler.")</f>
        <v>Quand il a terminé, un homme est montré jouant du saxophone dans une émission de télévision nocturne, puis l'homme revient pour finir de parler.</v>
      </c>
    </row>
    <row r="17999">
      <c r="A17999" s="4" t="s">
        <v>22650</v>
      </c>
      <c r="B17999" s="6" t="s">
        <v>22651</v>
      </c>
      <c r="C17999" s="5" t="str">
        <f>IFERROR(__xludf.DUMMYFUNCTION("GOOGLETRANSLATE(B17999,""en"",""fr"")"),"L'homme est sur ses pieds rebondissant vers la caméra tout en se tenant sur un ruban plat serré qui est relié à deux très hautes parois rocheuses.")</f>
        <v>L'homme est sur ses pieds rebondissant vers la caméra tout en se tenant sur un ruban plat serré qui est relié à deux très hautes parois rocheuses.</v>
      </c>
    </row>
    <row r="18000">
      <c r="A18000" s="4" t="s">
        <v>22650</v>
      </c>
      <c r="B18000" s="6" t="s">
        <v>22652</v>
      </c>
      <c r="C18000" s="5" t="str">
        <f>IFERROR(__xludf.DUMMYFUNCTION("GOOGLETRANSLATE(B18000,""en"",""fr"")"),"L'homme se retourne alors et commence à rebondir sur son dos puis d'avant en arrière sur ses pieds et à l'arrière tout en tenant et en lâchant le ruban.")</f>
        <v>L'homme se retourne alors et commence à rebondir sur son dos puis d'avant en arrière sur ses pieds et à l'arrière tout en tenant et en lâchant le ruban.</v>
      </c>
    </row>
    <row r="18001">
      <c r="A18001" s="4" t="s">
        <v>22650</v>
      </c>
      <c r="B18001" s="6" t="s">
        <v>22653</v>
      </c>
      <c r="C18001" s="5" t="str">
        <f>IFERROR(__xludf.DUMMYFUNCTION("GOOGLETRANSLATE(B18001,""en"",""fr"")"),"L'homme continue de faire des astuces sur le ruban serré jusqu'à ce qu'il quitte le ruban et s'éloigne en souriant.")</f>
        <v>L'homme continue de faire des astuces sur le ruban serré jusqu'à ce qu'il quitte le ruban et s'éloigne en souriant.</v>
      </c>
    </row>
    <row r="18002">
      <c r="A18002" s="4" t="s">
        <v>22654</v>
      </c>
      <c r="B18002" s="4" t="s">
        <v>22655</v>
      </c>
      <c r="C18002" s="5" t="str">
        <f>IFERROR(__xludf.DUMMYFUNCTION("GOOGLETRANSLATE(B18002,""en"",""fr"")"),"Une introduction arrive à l'écran pour une vidéo sur une compétition sportive.")</f>
        <v>Une introduction arrive à l'écran pour une vidéo sur une compétition sportive.</v>
      </c>
    </row>
    <row r="18003">
      <c r="A18003" s="4" t="s">
        <v>22654</v>
      </c>
      <c r="B18003" s="4" t="s">
        <v>22656</v>
      </c>
      <c r="C18003" s="5" t="str">
        <f>IFERROR(__xludf.DUMMYFUNCTION("GOOGLETRANSLATE(B18003,""en"",""fr"")"),"Une femme interviewe une autre femme au sujet de la compétition et de tous les événements.")</f>
        <v>Une femme interviewe une autre femme au sujet de la compétition et de tous les événements.</v>
      </c>
    </row>
    <row r="18004">
      <c r="A18004" s="4" t="s">
        <v>22654</v>
      </c>
      <c r="B18004" s="4" t="s">
        <v>22657</v>
      </c>
      <c r="C18004" s="5" t="str">
        <f>IFERROR(__xludf.DUMMYFUNCTION("GOOGLETRANSLATE(B18004,""en"",""fr"")"),"Plusieurs clips sont représentés par des personnes appréciant différents sports et activités.")</f>
        <v>Plusieurs clips sont représentés par des personnes appréciant différents sports et activités.</v>
      </c>
    </row>
    <row r="18005">
      <c r="A18005" s="4" t="s">
        <v>22654</v>
      </c>
      <c r="B18005" s="4" t="s">
        <v>22658</v>
      </c>
      <c r="C18005" s="5" t="str">
        <f>IFERROR(__xludf.DUMMYFUNCTION("GOOGLETRANSLATE(B18005,""en"",""fr"")"),"Après la fin de l'entretien, les crédits de clôture sont affichés avec des graphiques.")</f>
        <v>Après la fin de l'entretien, les crédits de clôture sont affichés avec des graphiques.</v>
      </c>
    </row>
    <row r="18006">
      <c r="A18006" s="4" t="s">
        <v>22659</v>
      </c>
      <c r="B18006" s="4" t="s">
        <v>22660</v>
      </c>
      <c r="C18006" s="5" t="str">
        <f>IFERROR(__xludf.DUMMYFUNCTION("GOOGLETRANSLATE(B18006,""en"",""fr"")"),"Un cow-boy montant un cheval sort d'une porte.")</f>
        <v>Un cow-boy montant un cheval sort d'une porte.</v>
      </c>
    </row>
    <row r="18007">
      <c r="A18007" s="4" t="s">
        <v>22659</v>
      </c>
      <c r="B18007" s="4" t="s">
        <v>22661</v>
      </c>
      <c r="C18007" s="5" t="str">
        <f>IFERROR(__xludf.DUMMYFUNCTION("GOOGLETRANSLATE(B18007,""en"",""fr"")"),"Il corde un peu de mollet avec un lasso.")</f>
        <v>Il corde un peu de mollet avec un lasso.</v>
      </c>
    </row>
    <row r="18008">
      <c r="A18008" s="4" t="s">
        <v>22659</v>
      </c>
      <c r="B18008" s="4" t="s">
        <v>22662</v>
      </c>
      <c r="C18008" s="5" t="str">
        <f>IFERROR(__xludf.DUMMYFUNCTION("GOOGLETRANSLATE(B18008,""en"",""fr"")"),"Il saute et attache le veau.")</f>
        <v>Il saute et attache le veau.</v>
      </c>
    </row>
    <row r="18009">
      <c r="A18009" s="4" t="s">
        <v>22663</v>
      </c>
      <c r="B18009" s="4" t="s">
        <v>22664</v>
      </c>
      <c r="C18009" s="5" t="str">
        <f>IFERROR(__xludf.DUMMYFUNCTION("GOOGLETRANSLATE(B18009,""en"",""fr"")"),"Une balle de repère roule sur une table lentement loin de la poche.")</f>
        <v>Une balle de repère roule sur une table lentement loin de la poche.</v>
      </c>
    </row>
    <row r="18010">
      <c r="A18010" s="4" t="s">
        <v>22663</v>
      </c>
      <c r="B18010" s="4" t="s">
        <v>22665</v>
      </c>
      <c r="C18010" s="5" t="str">
        <f>IFERROR(__xludf.DUMMYFUNCTION("GOOGLETRANSLATE(B18010,""en"",""fr"")"),"Un homme se tient en tenant un écran tactile à discuter.")</f>
        <v>Un homme se tient en tenant un écran tactile à discuter.</v>
      </c>
    </row>
    <row r="18011">
      <c r="A18011" s="4" t="s">
        <v>22663</v>
      </c>
      <c r="B18011" s="4" t="s">
        <v>22666</v>
      </c>
      <c r="C18011" s="5" t="str">
        <f>IFERROR(__xludf.DUMMYFUNCTION("GOOGLETRANSLATE(B18011,""en"",""fr"")"),"Les hommes rivalisent et jouent à des jeux de billard.")</f>
        <v>Les hommes rivalisent et jouent à des jeux de billard.</v>
      </c>
    </row>
    <row r="18012">
      <c r="A18012" s="4" t="s">
        <v>22667</v>
      </c>
      <c r="B18012" s="6" t="s">
        <v>22668</v>
      </c>
      <c r="C18012" s="5" t="str">
        <f>IFERROR(__xludf.DUMMYFUNCTION("GOOGLETRANSLATE(B18012,""en"",""fr"")"),"Une jambe portant un pantalon bleu avec des lignes rouges et blanches est montrée, elle se déplace sur la neige, les jambes ont été traversées alors que la bouée de sauvetage se déplace sur la neige.")</f>
        <v>Une jambe portant un pantalon bleu avec des lignes rouges et blanches est montrée, elle se déplace sur la neige, les jambes ont été traversées alors que la bouée de sauvetage se déplace sur la neige.</v>
      </c>
    </row>
    <row r="18013">
      <c r="A18013" s="4" t="s">
        <v>22667</v>
      </c>
      <c r="B18013" s="4" t="s">
        <v>22669</v>
      </c>
      <c r="C18013" s="5" t="str">
        <f>IFERROR(__xludf.DUMMYFUNCTION("GOOGLETRANSLATE(B18013,""en"",""fr"")"),"Une personne de loin est sur une vie de sauvetage glissant sur la neige.")</f>
        <v>Une personne de loin est sur une vie de sauvetage glissant sur la neige.</v>
      </c>
    </row>
    <row r="18014">
      <c r="A18014" s="4" t="s">
        <v>22670</v>
      </c>
      <c r="B18014" s="4" t="s">
        <v>22671</v>
      </c>
      <c r="C18014" s="5" t="str">
        <f>IFERROR(__xludf.DUMMYFUNCTION("GOOGLETRANSLATE(B18014,""en"",""fr"")"),"Une petite fille oscille à travers les barres de singe sur une aire de jeux.")</f>
        <v>Une petite fille oscille à travers les barres de singe sur une aire de jeux.</v>
      </c>
    </row>
    <row r="18015">
      <c r="A18015" s="4" t="s">
        <v>22670</v>
      </c>
      <c r="B18015" s="4" t="s">
        <v>22672</v>
      </c>
      <c r="C18015" s="5" t="str">
        <f>IFERROR(__xludf.DUMMYFUNCTION("GOOGLETRANSLATE(B18015,""en"",""fr"")"),"Sa mère parle alors qu'elle la regarde glisser vers le sol et recommencer.")</f>
        <v>Sa mère parle alors qu'elle la regarde glisser vers le sol et recommencer.</v>
      </c>
    </row>
    <row r="18016">
      <c r="A18016" s="4" t="s">
        <v>22673</v>
      </c>
      <c r="B18016" s="4" t="s">
        <v>22674</v>
      </c>
      <c r="C18016" s="5" t="str">
        <f>IFERROR(__xludf.DUMMYFUNCTION("GOOGLETRANSLATE(B18016,""en"",""fr"")"),"Un gros plan d'un cheval est montré suivi d'une femme entrant dans le cadre et brossant le cheval.")</f>
        <v>Un gros plan d'un cheval est montré suivi d'une femme entrant dans le cadre et brossant le cheval.</v>
      </c>
    </row>
    <row r="18017">
      <c r="A18017" s="4" t="s">
        <v>22673</v>
      </c>
      <c r="B18017" s="4" t="s">
        <v>22675</v>
      </c>
      <c r="C18017" s="5" t="str">
        <f>IFERROR(__xludf.DUMMYFUNCTION("GOOGLETRANSLATE(B18017,""en"",""fr"")"),"Elle continue de brosser le cheval à divers endroits et se termine par elle nourrissant le cheval.")</f>
        <v>Elle continue de brosser le cheval à divers endroits et se termine par elle nourrissant le cheval.</v>
      </c>
    </row>
    <row r="18018">
      <c r="A18018" s="4" t="s">
        <v>22676</v>
      </c>
      <c r="B18018" s="4" t="s">
        <v>9910</v>
      </c>
      <c r="C18018" s="5" t="str">
        <f>IFERROR(__xludf.DUMMYFUNCTION("GOOGLETRANSLATE(B18018,""en"",""fr"")"),"Un homme saute sur un faisceau d'équilibre.")</f>
        <v>Un homme saute sur un faisceau d'équilibre.</v>
      </c>
    </row>
    <row r="18019">
      <c r="A18019" s="4" t="s">
        <v>22676</v>
      </c>
      <c r="B18019" s="4" t="s">
        <v>22677</v>
      </c>
      <c r="C18019" s="5" t="str">
        <f>IFERROR(__xludf.DUMMYFUNCTION("GOOGLETRANSLATE(B18019,""en"",""fr"")"),"Il fait une routine de gymnastique sur la poutre d'équilibre.")</f>
        <v>Il fait une routine de gymnastique sur la poutre d'équilibre.</v>
      </c>
    </row>
    <row r="18020">
      <c r="A18020" s="4" t="s">
        <v>22676</v>
      </c>
      <c r="B18020" s="4" t="s">
        <v>22678</v>
      </c>
      <c r="C18020" s="5" t="str">
        <f>IFERROR(__xludf.DUMMYFUNCTION("GOOGLETRANSLATE(B18020,""en"",""fr"")"),"Il démonte et atterrit sur un tapis bleu.")</f>
        <v>Il démonte et atterrit sur un tapis bleu.</v>
      </c>
    </row>
    <row r="18021">
      <c r="A18021" s="4" t="s">
        <v>22676</v>
      </c>
      <c r="B18021" s="4" t="s">
        <v>22679</v>
      </c>
      <c r="C18021" s="5" t="str">
        <f>IFERROR(__xludf.DUMMYFUNCTION("GOOGLETRANSLATE(B18021,""en"",""fr"")"),"Il fait signe à la foule et s'éloigne.")</f>
        <v>Il fait signe à la foule et s'éloigne.</v>
      </c>
    </row>
    <row r="18022">
      <c r="A18022" s="4" t="s">
        <v>22680</v>
      </c>
      <c r="B18022" s="6" t="s">
        <v>22681</v>
      </c>
      <c r="C18022" s="5" t="str">
        <f>IFERROR(__xludf.DUMMYFUNCTION("GOOGLETRANSLATE(B18022,""en"",""fr"")"),"La caméra se déroule autour d'un grand groupe de personnes tenant des arcs et des flèches, suivis de plusieurs plans d'entre eux tirant les flèches.")</f>
        <v>La caméra se déroule autour d'un grand groupe de personnes tenant des arcs et des flèches, suivis de plusieurs plans d'entre eux tirant les flèches.</v>
      </c>
    </row>
    <row r="18023">
      <c r="A18023" s="4" t="s">
        <v>22680</v>
      </c>
      <c r="B18023" s="6" t="s">
        <v>22682</v>
      </c>
      <c r="C18023" s="5" t="str">
        <f>IFERROR(__xludf.DUMMYFUNCTION("GOOGLETRANSLATE(B18023,""en"",""fr"")"),"Plusieurs hommes traversent le terrain alors qu'ils tirent des flèches sur eux qui mènent à des combats d'épée et à des personnes blessées.")</f>
        <v>Plusieurs hommes traversent le terrain alors qu'ils tirent des flèches sur eux qui mènent à des combats d'épée et à des personnes blessées.</v>
      </c>
    </row>
    <row r="18024">
      <c r="A18024" s="4" t="s">
        <v>22680</v>
      </c>
      <c r="B18024" s="4" t="s">
        <v>22683</v>
      </c>
      <c r="C18024" s="5" t="str">
        <f>IFERROR(__xludf.DUMMYFUNCTION("GOOGLETRANSLATE(B18024,""en"",""fr"")"),"Les gens jettent des éponges sur un homme, se battent et tirent plus de flèches sur les autres.")</f>
        <v>Les gens jettent des éponges sur un homme, se battent et tirent plus de flèches sur les autres.</v>
      </c>
    </row>
    <row r="18025">
      <c r="A18025" s="4" t="s">
        <v>22684</v>
      </c>
      <c r="B18025" s="4" t="s">
        <v>22685</v>
      </c>
      <c r="C18025" s="5" t="str">
        <f>IFERROR(__xludf.DUMMYFUNCTION("GOOGLETRANSLATE(B18025,""en"",""fr"")"),"Une femme se tient debout et marche dans un magasin.")</f>
        <v>Une femme se tient debout et marche dans un magasin.</v>
      </c>
    </row>
    <row r="18026">
      <c r="A18026" s="4" t="s">
        <v>22684</v>
      </c>
      <c r="B18026" s="4" t="s">
        <v>22686</v>
      </c>
      <c r="C18026" s="5" t="str">
        <f>IFERROR(__xludf.DUMMYFUNCTION("GOOGLETRANSLATE(B18026,""en"",""fr"")"),"Elle se dirige vers un homme et lui serre la main.")</f>
        <v>Elle se dirige vers un homme et lui serre la main.</v>
      </c>
    </row>
    <row r="18027">
      <c r="A18027" s="4" t="s">
        <v>22684</v>
      </c>
      <c r="B18027" s="6" t="s">
        <v>22687</v>
      </c>
      <c r="C18027" s="5" t="str">
        <f>IFERROR(__xludf.DUMMYFUNCTION("GOOGLETRANSLATE(B18027,""en"",""fr"")"),"Elle s'éloigne, parcourant les objets sur les étagères avant de se pencher sur le comptoir, fléchissant ses biceps.")</f>
        <v>Elle s'éloigne, parcourant les objets sur les étagères avant de se pencher sur le comptoir, fléchissant ses biceps.</v>
      </c>
    </row>
    <row r="18028">
      <c r="A18028" s="4" t="s">
        <v>22684</v>
      </c>
      <c r="B18028" s="4" t="s">
        <v>22688</v>
      </c>
      <c r="C18028" s="5" t="str">
        <f>IFERROR(__xludf.DUMMYFUNCTION("GOOGLETRANSLATE(B18028,""en"",""fr"")"),"La femme montre à l'homme ses biceps avant de s'engager dans le bras avec lui.")</f>
        <v>La femme montre à l'homme ses biceps avant de s'engager dans le bras avec lui.</v>
      </c>
    </row>
    <row r="18029">
      <c r="A18029" s="4" t="s">
        <v>22684</v>
      </c>
      <c r="B18029" s="4" t="s">
        <v>22689</v>
      </c>
      <c r="C18029" s="5" t="str">
        <f>IFERROR(__xludf.DUMMYFUNCTION("GOOGLETRANSLATE(B18029,""en"",""fr"")"),"Elle est assise à côté du comptoir, continuant à parler avec lui pendant un certain temps.")</f>
        <v>Elle est assise à côté du comptoir, continuant à parler avec lui pendant un certain temps.</v>
      </c>
    </row>
    <row r="18030">
      <c r="A18030" s="4" t="s">
        <v>22690</v>
      </c>
      <c r="B18030" s="4" t="s">
        <v>22691</v>
      </c>
      <c r="C18030" s="5" t="str">
        <f>IFERROR(__xludf.DUMMYFUNCTION("GOOGLETRANSLATE(B18030,""en"",""fr"")"),"L'homme court avec des échasses dans un champ herbeux vert.")</f>
        <v>L'homme court avec des échasses dans un champ herbeux vert.</v>
      </c>
    </row>
    <row r="18031">
      <c r="A18031" s="4" t="s">
        <v>22690</v>
      </c>
      <c r="B18031" s="4" t="s">
        <v>22692</v>
      </c>
      <c r="C18031" s="5" t="str">
        <f>IFERROR(__xludf.DUMMYFUNCTION("GOOGLETRANSLATE(B18031,""en"",""fr"")"),"Les voitures sont garées sur le côté d'une rue en arrière-plan.")</f>
        <v>Les voitures sont garées sur le côté d'une rue en arrière-plan.</v>
      </c>
    </row>
    <row r="18032">
      <c r="A18032" s="4" t="s">
        <v>22690</v>
      </c>
      <c r="B18032" s="4" t="s">
        <v>22693</v>
      </c>
      <c r="C18032" s="5" t="str">
        <f>IFERROR(__xludf.DUMMYFUNCTION("GOOGLETRANSLATE(B18032,""en"",""fr"")"),"L'homme obtient l'herbe et court dans une rue.")</f>
        <v>L'homme obtient l'herbe et court dans une rue.</v>
      </c>
    </row>
    <row r="18033">
      <c r="A18033" s="4" t="s">
        <v>22694</v>
      </c>
      <c r="B18033" s="4" t="s">
        <v>22695</v>
      </c>
      <c r="C18033" s="5" t="str">
        <f>IFERROR(__xludf.DUMMYFUNCTION("GOOGLETRANSLATE(B18033,""en"",""fr"")"),"Les gens se tiennent dans un gymnase à parler.")</f>
        <v>Les gens se tiennent dans un gymnase à parler.</v>
      </c>
    </row>
    <row r="18034">
      <c r="A18034" s="4" t="s">
        <v>22694</v>
      </c>
      <c r="B18034" s="4" t="s">
        <v>22696</v>
      </c>
      <c r="C18034" s="5" t="str">
        <f>IFERROR(__xludf.DUMMYFUNCTION("GOOGLETRANSLATE(B18034,""en"",""fr"")"),"Ils commencent à courir et à se lancer des balles.")</f>
        <v>Ils commencent à courir et à se lancer des balles.</v>
      </c>
    </row>
    <row r="18035">
      <c r="A18035" s="4" t="s">
        <v>22697</v>
      </c>
      <c r="B18035" s="4" t="s">
        <v>22698</v>
      </c>
      <c r="C18035" s="5" t="str">
        <f>IFERROR(__xludf.DUMMYFUNCTION("GOOGLETRANSLATE(B18035,""en"",""fr"")"),"Un homme est vu debout au bout d'un quai et en regardant les gens faire la fête.")</f>
        <v>Un homme est vu debout au bout d'un quai et en regardant les gens faire la fête.</v>
      </c>
    </row>
    <row r="18036">
      <c r="A18036" s="4" t="s">
        <v>22697</v>
      </c>
      <c r="B18036" s="4" t="s">
        <v>22699</v>
      </c>
      <c r="C18036" s="5" t="str">
        <f>IFERROR(__xludf.DUMMYFUNCTION("GOOGLETRANSLATE(B18036,""en"",""fr"")"),"L'homme s'approche et voit deux personnes jouer des arts martiaux au milieu d'un cercle.")</f>
        <v>L'homme s'approche et voit deux personnes jouer des arts martiaux au milieu d'un cercle.</v>
      </c>
    </row>
    <row r="18037">
      <c r="A18037" s="4" t="s">
        <v>22697</v>
      </c>
      <c r="B18037" s="6" t="s">
        <v>22700</v>
      </c>
      <c r="C18037" s="5" t="str">
        <f>IFERROR(__xludf.DUMMYFUNCTION("GOOGLETRANSLATE(B18037,""en"",""fr"")"),"Les gens qui continuent de se déplacer tandis que d'autres regardent sur le côté et le soldat se joigne également.")</f>
        <v>Les gens qui continuent de se déplacer tandis que d'autres regardent sur le côté et le soldat se joigne également.</v>
      </c>
    </row>
    <row r="18038">
      <c r="A18038" s="4" t="s">
        <v>22701</v>
      </c>
      <c r="B18038" s="4" t="s">
        <v>22702</v>
      </c>
      <c r="C18038" s="5" t="str">
        <f>IFERROR(__xludf.DUMMYFUNCTION("GOOGLETRANSLATE(B18038,""en"",""fr"")"),"Il y a une jeune femme qui se recroqueville dans une patinoire.")</f>
        <v>Il y a une jeune femme qui se recroqueville dans une patinoire.</v>
      </c>
    </row>
    <row r="18039">
      <c r="A18039" s="4" t="s">
        <v>22701</v>
      </c>
      <c r="B18039" s="4" t="s">
        <v>22703</v>
      </c>
      <c r="C18039" s="5" t="str">
        <f>IFERROR(__xludf.DUMMYFUNCTION("GOOGLETRANSLATE(B18039,""en"",""fr"")"),"Il y a plusieurs autres joueurs qui curling également.")</f>
        <v>Il y a plusieurs autres joueurs qui curling également.</v>
      </c>
    </row>
    <row r="18040">
      <c r="A18040" s="4" t="s">
        <v>22701</v>
      </c>
      <c r="B18040" s="4" t="s">
        <v>22704</v>
      </c>
      <c r="C18040" s="5" t="str">
        <f>IFERROR(__xludf.DUMMYFUNCTION("GOOGLETRANSLATE(B18040,""en"",""fr"")"),"Diverses photos de cette même femme sont montrées en posant pour une sorte de séance photo.")</f>
        <v>Diverses photos de cette même femme sont montrées en posant pour une sorte de séance photo.</v>
      </c>
    </row>
    <row r="18041">
      <c r="A18041" s="4" t="s">
        <v>22701</v>
      </c>
      <c r="B18041" s="4" t="s">
        <v>22705</v>
      </c>
      <c r="C18041" s="5" t="str">
        <f>IFERROR(__xludf.DUMMYFUNCTION("GOOGLETRANSLATE(B18041,""en"",""fr"")"),"La femme semble un peu détressée par le jeu.")</f>
        <v>La femme semble un peu détressée par le jeu.</v>
      </c>
    </row>
    <row r="18042">
      <c r="A18042" s="4" t="s">
        <v>22701</v>
      </c>
      <c r="B18042" s="4" t="s">
        <v>22706</v>
      </c>
      <c r="C18042" s="5" t="str">
        <f>IFERROR(__xludf.DUMMYFUNCTION("GOOGLETRANSLATE(B18042,""en"",""fr"")"),"Elle pose pour une séance photo avec un rocher de curling.")</f>
        <v>Elle pose pour une séance photo avec un rocher de curling.</v>
      </c>
    </row>
    <row r="18043">
      <c r="A18043" s="4" t="s">
        <v>22707</v>
      </c>
      <c r="B18043" s="4" t="s">
        <v>22708</v>
      </c>
      <c r="C18043" s="5" t="str">
        <f>IFERROR(__xludf.DUMMYFUNCTION("GOOGLETRANSLATE(B18043,""en"",""fr"")"),"Un homme utilise un whacker de mauvaises herbes pour couper les buissons.")</f>
        <v>Un homme utilise un whacker de mauvaises herbes pour couper les buissons.</v>
      </c>
    </row>
    <row r="18044">
      <c r="A18044" s="4" t="s">
        <v>22707</v>
      </c>
      <c r="B18044" s="4" t="s">
        <v>22709</v>
      </c>
      <c r="C18044" s="5" t="str">
        <f>IFERROR(__xludf.DUMMYFUNCTION("GOOGLETRANSLATE(B18044,""en"",""fr"")"),"Il se détourne des buissons et coupe les mauvaises herbes au sol.")</f>
        <v>Il se détourne des buissons et coupe les mauvaises herbes au sol.</v>
      </c>
    </row>
    <row r="18045">
      <c r="A18045" s="4" t="s">
        <v>22710</v>
      </c>
      <c r="B18045" s="6" t="s">
        <v>22711</v>
      </c>
      <c r="C18045" s="5" t="str">
        <f>IFERROR(__xludf.DUMMYFUNCTION("GOOGLETRANSLATE(B18045,""en"",""fr"")"),"Divers clips sont illustrés à une femme debout et pointant sur une plage qui mène à la traînée le long d'une planche et à l'ajuster sur l'eau.")</f>
        <v>Divers clips sont illustrés à une femme debout et pointant sur une plage qui mène à la traînée le long d'une planche et à l'ajuster sur l'eau.</v>
      </c>
    </row>
    <row r="18046">
      <c r="A18046" s="4" t="s">
        <v>22710</v>
      </c>
      <c r="B18046" s="6" t="s">
        <v>22712</v>
      </c>
      <c r="C18046" s="5" t="str">
        <f>IFERROR(__xludf.DUMMYFUNCTION("GOOGLETRANSLATE(B18046,""en"",""fr"")"),"La femme saisit ensuite la planche et se déplace dans l'eau tout en démontrant des mouvements appropriés et la caméra se déplaçant tout autour des autres.")</f>
        <v>La femme saisit ensuite la planche et se déplace dans l'eau tout en démontrant des mouvements appropriés et la caméra se déplaçant tout autour des autres.</v>
      </c>
    </row>
    <row r="18047">
      <c r="A18047" s="4" t="s">
        <v>22713</v>
      </c>
      <c r="B18047" s="6" t="s">
        <v>22714</v>
      </c>
      <c r="C18047" s="5" t="str">
        <f>IFERROR(__xludf.DUMMYFUNCTION("GOOGLETRANSLATE(B18047,""en"",""fr"")"),"Un garçon est assis dans la pièce avec trois guitares et commence à les jouer tous les trois avec un arc de violon.")</f>
        <v>Un garçon est assis dans la pièce avec trois guitares et commence à les jouer tous les trois avec un arc de violon.</v>
      </c>
    </row>
    <row r="18048">
      <c r="A18048" s="4" t="s">
        <v>22713</v>
      </c>
      <c r="B18048" s="6" t="s">
        <v>22715</v>
      </c>
      <c r="C18048" s="5" t="str">
        <f>IFERROR(__xludf.DUMMYFUNCTION("GOOGLETRANSLATE(B18048,""en"",""fr"")"),"L'homme commence alors à jouer la guitare qui est sur ses genoux avec ses doigts et termine la chanson.")</f>
        <v>L'homme commence alors à jouer la guitare qui est sur ses genoux avec ses doigts et termine la chanson.</v>
      </c>
    </row>
    <row r="18049">
      <c r="A18049" s="4" t="s">
        <v>22716</v>
      </c>
      <c r="B18049" s="4" t="s">
        <v>22717</v>
      </c>
      <c r="C18049" s="5" t="str">
        <f>IFERROR(__xludf.DUMMYFUNCTION("GOOGLETRANSLATE(B18049,""en"",""fr"")"),"Une personne fait une routine sur des barres parallèles.")</f>
        <v>Une personne fait une routine sur des barres parallèles.</v>
      </c>
    </row>
    <row r="18050">
      <c r="A18050" s="4" t="s">
        <v>22716</v>
      </c>
      <c r="B18050" s="4" t="s">
        <v>22718</v>
      </c>
      <c r="C18050" s="5" t="str">
        <f>IFERROR(__xludf.DUMMYFUNCTION("GOOGLETRANSLATE(B18050,""en"",""fr"")"),"Il fait sa routine puis démonte.")</f>
        <v>Il fait sa routine puis démonte.</v>
      </c>
    </row>
    <row r="18051">
      <c r="A18051" s="4" t="s">
        <v>22719</v>
      </c>
      <c r="B18051" s="4" t="s">
        <v>22720</v>
      </c>
      <c r="C18051" s="5" t="str">
        <f>IFERROR(__xludf.DUMMYFUNCTION("GOOGLETRANSLATE(B18051,""en"",""fr"")"),"Le propriétaire du chien se tient avec et tiendra leurs chiens.")</f>
        <v>Le propriétaire du chien se tient avec et tiendra leurs chiens.</v>
      </c>
    </row>
    <row r="18052">
      <c r="A18052" s="4" t="s">
        <v>22719</v>
      </c>
      <c r="B18052" s="4" t="s">
        <v>22721</v>
      </c>
      <c r="C18052" s="5" t="str">
        <f>IFERROR(__xludf.DUMMYFUNCTION("GOOGLETRANSLATE(B18052,""en"",""fr"")"),"Les gens jouent avec leurs chiens dans un parc avec des obstacles.")</f>
        <v>Les gens jouent avec leurs chiens dans un parc avec des obstacles.</v>
      </c>
    </row>
    <row r="18053">
      <c r="A18053" s="4" t="s">
        <v>22719</v>
      </c>
      <c r="B18053" s="4" t="s">
        <v>22722</v>
      </c>
      <c r="C18053" s="5" t="str">
        <f>IFERROR(__xludf.DUMMYFUNCTION("GOOGLETRANSLATE(B18053,""en"",""fr"")"),"Un groupe détient des panneaux avec un chien sur un trottoir de la ville.")</f>
        <v>Un groupe détient des panneaux avec un chien sur un trottoir de la ville.</v>
      </c>
    </row>
    <row r="18054">
      <c r="A18054" s="4" t="s">
        <v>22723</v>
      </c>
      <c r="B18054" s="4" t="s">
        <v>22724</v>
      </c>
      <c r="C18054" s="5" t="str">
        <f>IFERROR(__xludf.DUMMYFUNCTION("GOOGLETRANSLATE(B18054,""en"",""fr"")"),"Un homme et une femme sont vus debout sur une scène avec un projecteur montré sur eux.")</f>
        <v>Un homme et une femme sont vus debout sur une scène avec un projecteur montré sur eux.</v>
      </c>
    </row>
    <row r="18055">
      <c r="A18055" s="4" t="s">
        <v>22723</v>
      </c>
      <c r="B18055" s="4" t="s">
        <v>22725</v>
      </c>
      <c r="C18055" s="5" t="str">
        <f>IFERROR(__xludf.DUMMYFUNCTION("GOOGLETRANSLATE(B18055,""en"",""fr"")"),"Le duo commence à jouer des instruments ensemble tout en se regardant ainsi que la caméra.")</f>
        <v>Le duo commence à jouer des instruments ensemble tout en se regardant ainsi que la caméra.</v>
      </c>
    </row>
    <row r="18056">
      <c r="A18056" s="4" t="s">
        <v>22723</v>
      </c>
      <c r="B18056" s="4" t="s">
        <v>22726</v>
      </c>
      <c r="C18056" s="5" t="str">
        <f>IFERROR(__xludf.DUMMYFUNCTION("GOOGLETRANSLATE(B18056,""en"",""fr"")"),"Les deux continuent de jouer les uns avec les autres et s'arrêtent pour regarder la caméra.")</f>
        <v>Les deux continuent de jouer les uns avec les autres et s'arrêtent pour regarder la caméra.</v>
      </c>
    </row>
    <row r="18057">
      <c r="A18057" s="4" t="s">
        <v>22727</v>
      </c>
      <c r="B18057" s="4" t="s">
        <v>22728</v>
      </c>
      <c r="C18057" s="5" t="str">
        <f>IFERROR(__xludf.DUMMYFUNCTION("GOOGLETRANSLATE(B18057,""en"",""fr"")"),"Une personne est vue en train de couper une tomate et de montrer comment le couteau fonctionne sur un morceau de papier.")</f>
        <v>Une personne est vue en train de couper une tomate et de montrer comment le couteau fonctionne sur un morceau de papier.</v>
      </c>
    </row>
    <row r="18058">
      <c r="A18058" s="4" t="s">
        <v>22727</v>
      </c>
      <c r="B18058" s="4" t="s">
        <v>22729</v>
      </c>
      <c r="C18058" s="5" t="str">
        <f>IFERROR(__xludf.DUMMYFUNCTION("GOOGLETRANSLATE(B18058,""en"",""fr"")"),"La personne aiguise ensuite la lame sur une tasse à café et coupe le papier.")</f>
        <v>La personne aiguise ensuite la lame sur une tasse à café et coupe le papier.</v>
      </c>
    </row>
    <row r="18059">
      <c r="A18059" s="4" t="s">
        <v>22730</v>
      </c>
      <c r="B18059" s="4" t="s">
        <v>22731</v>
      </c>
      <c r="C18059" s="5" t="str">
        <f>IFERROR(__xludf.DUMMYFUNCTION("GOOGLETRANSLATE(B18059,""en"",""fr"")"),"Les mots ""Abstract Birds / Painting Oil Katy Jade Dobson"" apparaissent à l'écran.")</f>
        <v>Les mots "Abstract Birds / Painting Oil Katy Jade Dobson" apparaissent à l'écran.</v>
      </c>
    </row>
    <row r="18060">
      <c r="A18060" s="4" t="s">
        <v>22730</v>
      </c>
      <c r="B18060" s="4" t="s">
        <v>22732</v>
      </c>
      <c r="C18060" s="5" t="str">
        <f>IFERROR(__xludf.DUMMYFUNCTION("GOOGLETRANSLATE(B18060,""en"",""fr"")"),"Dobson esquisse un design sur la toile blanche et commence à la peindre.")</f>
        <v>Dobson esquisse un design sur la toile blanche et commence à la peindre.</v>
      </c>
    </row>
    <row r="18061">
      <c r="A18061" s="4" t="s">
        <v>22730</v>
      </c>
      <c r="B18061" s="4" t="s">
        <v>22733</v>
      </c>
      <c r="C18061" s="5" t="str">
        <f>IFERROR(__xludf.DUMMYFUNCTION("GOOGLETRANSLATE(B18061,""en"",""fr"")"),"Elle se tient à côté de son travail fini alors que la peinture glisse dans les lignes sur la toile.")</f>
        <v>Elle se tient à côté de son travail fini alors que la peinture glisse dans les lignes sur la toile.</v>
      </c>
    </row>
    <row r="18062">
      <c r="A18062" s="4" t="s">
        <v>22734</v>
      </c>
      <c r="B18062" s="4" t="s">
        <v>22735</v>
      </c>
      <c r="C18062" s="5" t="str">
        <f>IFERROR(__xludf.DUMMYFUNCTION("GOOGLETRANSLATE(B18062,""en"",""fr"")"),"Un homme se tient derrière un bar.")</f>
        <v>Un homme se tient derrière un bar.</v>
      </c>
    </row>
    <row r="18063">
      <c r="A18063" s="4" t="s">
        <v>22734</v>
      </c>
      <c r="B18063" s="4" t="s">
        <v>22736</v>
      </c>
      <c r="C18063" s="5" t="str">
        <f>IFERROR(__xludf.DUMMYFUNCTION("GOOGLETRANSLATE(B18063,""en"",""fr"")"),"Il met de la glace dans le verre et y verse des boissons.")</f>
        <v>Il met de la glace dans le verre et y verse des boissons.</v>
      </c>
    </row>
    <row r="18064">
      <c r="A18064" s="4" t="s">
        <v>22734</v>
      </c>
      <c r="B18064" s="4" t="s">
        <v>22737</v>
      </c>
      <c r="C18064" s="5" t="str">
        <f>IFERROR(__xludf.DUMMYFUNCTION("GOOGLETRANSLATE(B18064,""en"",""fr"")"),"Il le remue avec une paille.")</f>
        <v>Il le remue avec une paille.</v>
      </c>
    </row>
    <row r="18065">
      <c r="A18065" s="4" t="s">
        <v>22738</v>
      </c>
      <c r="B18065" s="4" t="s">
        <v>22739</v>
      </c>
      <c r="C18065" s="5" t="str">
        <f>IFERROR(__xludf.DUMMYFUNCTION("GOOGLETRANSLATE(B18065,""en"",""fr"")"),"La scène s'ouvre avec un lavage et une publicité.")</f>
        <v>La scène s'ouvre avec un lavage et une publicité.</v>
      </c>
    </row>
    <row r="18066">
      <c r="A18066" s="4" t="s">
        <v>22738</v>
      </c>
      <c r="B18066" s="4" t="s">
        <v>22740</v>
      </c>
      <c r="C18066" s="5" t="str">
        <f>IFERROR(__xludf.DUMMYFUNCTION("GOOGLETRANSLATE(B18066,""en"",""fr"")"),"Deux hommes parlent tandis que l'on est assis dans sa voiture.")</f>
        <v>Deux hommes parlent tandis que l'on est assis dans sa voiture.</v>
      </c>
    </row>
    <row r="18067">
      <c r="A18067" s="4" t="s">
        <v>22738</v>
      </c>
      <c r="B18067" s="4" t="s">
        <v>22741</v>
      </c>
      <c r="C18067" s="5" t="str">
        <f>IFERROR(__xludf.DUMMYFUNCTION("GOOGLETRANSLATE(B18067,""en"",""fr"")"),"Un homme nettoie une voiture et parle à la caméra.")</f>
        <v>Un homme nettoie une voiture et parle à la caméra.</v>
      </c>
    </row>
    <row r="18068">
      <c r="A18068" s="4" t="s">
        <v>22738</v>
      </c>
      <c r="B18068" s="4" t="s">
        <v>22742</v>
      </c>
      <c r="C18068" s="5" t="str">
        <f>IFERROR(__xludf.DUMMYFUNCTION("GOOGLETRANSLATE(B18068,""en"",""fr"")"),"La voiture est séchée et aspirée, puis vers la voiture suivante.")</f>
        <v>La voiture est séchée et aspirée, puis vers la voiture suivante.</v>
      </c>
    </row>
    <row r="18069">
      <c r="A18069" s="4" t="s">
        <v>22738</v>
      </c>
      <c r="B18069" s="4" t="s">
        <v>22743</v>
      </c>
      <c r="C18069" s="5" t="str">
        <f>IFERROR(__xludf.DUMMYFUNCTION("GOOGLETRANSLATE(B18069,""en"",""fr"")"),"Le client reçoit ses clés et il est en route avec une voiture propre.")</f>
        <v>Le client reçoit ses clés et il est en route avec une voiture propre.</v>
      </c>
    </row>
    <row r="18070">
      <c r="A18070" s="4" t="s">
        <v>22738</v>
      </c>
      <c r="B18070" s="4" t="s">
        <v>22744</v>
      </c>
      <c r="C18070" s="5" t="str">
        <f>IFERROR(__xludf.DUMMYFUNCTION("GOOGLETRANSLATE(B18070,""en"",""fr"")"),"Deux hommes gâchent tout en nettoyant la voiture.")</f>
        <v>Deux hommes gâchent tout en nettoyant la voiture.</v>
      </c>
    </row>
    <row r="18071">
      <c r="A18071" s="4" t="s">
        <v>22738</v>
      </c>
      <c r="B18071" s="4" t="s">
        <v>22745</v>
      </c>
      <c r="C18071" s="5" t="str">
        <f>IFERROR(__xludf.DUMMYFUNCTION("GOOGLETRANSLATE(B18071,""en"",""fr"")"),"Un panneau montre les services qu'ils offrent.")</f>
        <v>Un panneau montre les services qu'ils offrent.</v>
      </c>
    </row>
    <row r="18072">
      <c r="A18072" s="4" t="s">
        <v>22746</v>
      </c>
      <c r="B18072" s="6" t="s">
        <v>22747</v>
      </c>
      <c r="C18072" s="5" t="str">
        <f>IFERROR(__xludf.DUMMYFUNCTION("GOOGLETRANSLATE(B18072,""en"",""fr"")"),"Une jeune fille se tient dans son salon tenant un bâton horizontal à son cou pendant qu'un chat sur le sol se déplace.")</f>
        <v>Une jeune fille se tient dans son salon tenant un bâton horizontal à son cou pendant qu'un chat sur le sol se déplace.</v>
      </c>
    </row>
    <row r="18073">
      <c r="A18073" s="4" t="s">
        <v>22746</v>
      </c>
      <c r="B18073" s="6" t="s">
        <v>22748</v>
      </c>
      <c r="C18073" s="5" t="str">
        <f>IFERROR(__xludf.DUMMYFUNCTION("GOOGLETRANSLATE(B18073,""en"",""fr"")"),"La fille dénigne alors son bras, laisse le bâton rouler sur ses mains puis commence à faire une série de tournoyer du bâton.")</f>
        <v>La fille dénigne alors son bras, laisse le bâton rouler sur ses mains puis commence à faire une série de tournoyer du bâton.</v>
      </c>
    </row>
    <row r="18074">
      <c r="A18074" s="4" t="s">
        <v>22746</v>
      </c>
      <c r="B18074" s="6" t="s">
        <v>22749</v>
      </c>
      <c r="C18074" s="5" t="str">
        <f>IFERROR(__xludf.DUMMYFUNCTION("GOOGLETRANSLATE(B18074,""en"",""fr"")"),"Le chat en dessous entre et hors de l'écran pendant qu'elle tournoie le bâton et le jette même en l'air, l'attrape puis continue de le faire tournoyer.")</f>
        <v>Le chat en dessous entre et hors de l'écran pendant qu'elle tournoie le bâton et le jette même en l'air, l'attrape puis continue de le faire tournoyer.</v>
      </c>
    </row>
    <row r="18075">
      <c r="A18075" s="4" t="s">
        <v>22750</v>
      </c>
      <c r="B18075" s="4" t="s">
        <v>22751</v>
      </c>
      <c r="C18075" s="5" t="str">
        <f>IFERROR(__xludf.DUMMYFUNCTION("GOOGLETRANSLATE(B18075,""en"",""fr"")"),"Un homme se penche à l'avant une haie tenant un coupeur électrique.")</f>
        <v>Un homme se penche à l'avant une haie tenant un coupeur électrique.</v>
      </c>
    </row>
    <row r="18076">
      <c r="A18076" s="4" t="s">
        <v>22750</v>
      </c>
      <c r="B18076" s="4" t="s">
        <v>22752</v>
      </c>
      <c r="C18076" s="5" t="str">
        <f>IFERROR(__xludf.DUMMYFUNCTION("GOOGLETRANSLATE(B18076,""en"",""fr"")"),"L'homme coupe une longue haie d'un jardin à l'aide d'un coupeur électrique.")</f>
        <v>L'homme coupe une longue haie d'un jardin à l'aide d'un coupeur électrique.</v>
      </c>
    </row>
    <row r="18077">
      <c r="A18077" s="4" t="s">
        <v>22750</v>
      </c>
      <c r="B18077" s="4" t="s">
        <v>22753</v>
      </c>
      <c r="C18077" s="5" t="str">
        <f>IFERROR(__xludf.DUMMYFUNCTION("GOOGLETRANSLATE(B18077,""en"",""fr"")"),"Ensuite, l'homme enlève les feuilles sur la haie avec sa main.")</f>
        <v>Ensuite, l'homme enlève les feuilles sur la haie avec sa main.</v>
      </c>
    </row>
    <row r="18078">
      <c r="A18078" s="4" t="s">
        <v>22754</v>
      </c>
      <c r="B18078" s="4" t="s">
        <v>22755</v>
      </c>
      <c r="C18078" s="5" t="str">
        <f>IFERROR(__xludf.DUMMYFUNCTION("GOOGLETRANSLATE(B18078,""en"",""fr"")"),"L'homme est assis dans une pièce en jouant des congas.")</f>
        <v>L'homme est assis dans une pièce en jouant des congas.</v>
      </c>
    </row>
    <row r="18079">
      <c r="A18079" s="4" t="s">
        <v>22754</v>
      </c>
      <c r="B18079" s="4" t="s">
        <v>22756</v>
      </c>
      <c r="C18079" s="5" t="str">
        <f>IFERROR(__xludf.DUMMYFUNCTION("GOOGLETRANSLATE(B18079,""en"",""fr"")"),"Le clavier est derrière l'homme jouant congsa dans une pièce.")</f>
        <v>Le clavier est derrière l'homme jouant congsa dans une pièce.</v>
      </c>
    </row>
    <row r="18080">
      <c r="A18080" s="4" t="s">
        <v>22754</v>
      </c>
      <c r="B18080" s="4" t="s">
        <v>22757</v>
      </c>
      <c r="C18080" s="5" t="str">
        <f>IFERROR(__xludf.DUMMYFUNCTION("GOOGLETRANSLATE(B18080,""en"",""fr"")"),"L'homme joue de la salsa en congas dans une salle de musique.")</f>
        <v>L'homme joue de la salsa en congas dans une salle de musique.</v>
      </c>
    </row>
    <row r="18081">
      <c r="A18081" s="4" t="s">
        <v>22758</v>
      </c>
      <c r="B18081" s="4" t="s">
        <v>22759</v>
      </c>
      <c r="C18081" s="5" t="str">
        <f>IFERROR(__xludf.DUMMYFUNCTION("GOOGLETRANSLATE(B18081,""en"",""fr"")"),"Une fille monte sur une tondeuse à gazon jaune sur une très grande cour remplie d'herbe verte.")</f>
        <v>Une fille monte sur une tondeuse à gazon jaune sur une très grande cour remplie d'herbe verte.</v>
      </c>
    </row>
    <row r="18082">
      <c r="A18082" s="4" t="s">
        <v>22758</v>
      </c>
      <c r="B18082" s="6" t="s">
        <v>22760</v>
      </c>
      <c r="C18082" s="5" t="str">
        <f>IFERROR(__xludf.DUMMYFUNCTION("GOOGLETRANSLATE(B18082,""en"",""fr"")"),"Lorsque la fille atteint la fin de la cour, elle fait un virage et monte dans la même direction dont elle vient.")</f>
        <v>Lorsque la fille atteint la fin de la cour, elle fait un virage et monte dans la même direction dont elle vient.</v>
      </c>
    </row>
    <row r="18083">
      <c r="A18083" s="4" t="s">
        <v>22758</v>
      </c>
      <c r="B18083" s="4" t="s">
        <v>22761</v>
      </c>
      <c r="C18083" s="5" t="str">
        <f>IFERROR(__xludf.DUMMYFUNCTION("GOOGLETRANSLATE(B18083,""en"",""fr"")"),"Quand elle atteint cette fin, elle fait un virage mais c'est trop serré et elle s'inverse un peu.")</f>
        <v>Quand elle atteint cette fin, elle fait un virage mais c'est trop serré et elle s'inverse un peu.</v>
      </c>
    </row>
    <row r="18084">
      <c r="A18084" s="4" t="s">
        <v>22758</v>
      </c>
      <c r="B18084" s="6" t="s">
        <v>22762</v>
      </c>
      <c r="C18084" s="5" t="str">
        <f>IFERROR(__xludf.DUMMYFUNCTION("GOOGLETRANSLATE(B18084,""en"",""fr"")"),"La fille la fait ensuite tourner dans la direction opposée une fois de plus et quand elle atteint à mi-chemin dans la cour, elle se retourne à nouveau et se dirige vers la direction d'où elle vient.")</f>
        <v>La fille la fait ensuite tourner dans la direction opposée une fois de plus et quand elle atteint à mi-chemin dans la cour, elle se retourne à nouveau et se dirige vers la direction d'où elle vient.</v>
      </c>
    </row>
    <row r="18085">
      <c r="A18085" s="4" t="s">
        <v>22763</v>
      </c>
      <c r="B18085" s="4" t="s">
        <v>22764</v>
      </c>
      <c r="C18085" s="5" t="str">
        <f>IFERROR(__xludf.DUMMYFUNCTION("GOOGLETRANSLATE(B18085,""en"",""fr"")"),"Un homme en veste de ski sur un snowboard tient une corde attachée à un camion.")</f>
        <v>Un homme en veste de ski sur un snowboard tient une corde attachée à un camion.</v>
      </c>
    </row>
    <row r="18086">
      <c r="A18086" s="4" t="s">
        <v>22763</v>
      </c>
      <c r="B18086" s="4" t="s">
        <v>22765</v>
      </c>
      <c r="C18086" s="5" t="str">
        <f>IFERROR(__xludf.DUMMYFUNCTION("GOOGLETRANSLATE(B18086,""en"",""fr"")"),"Le camion commence à conduire et l'homme est tiré derrière sur la corde de remorquage.")</f>
        <v>Le camion commence à conduire et l'homme est tiré derrière sur la corde de remorquage.</v>
      </c>
    </row>
    <row r="18087">
      <c r="A18087" s="4" t="s">
        <v>22763</v>
      </c>
      <c r="B18087" s="6" t="s">
        <v>22766</v>
      </c>
      <c r="C18087" s="5" t="str">
        <f>IFERROR(__xludf.DUMMYFUNCTION("GOOGLETRANSLATE(B18087,""en"",""fr"")"),"L'homme manœuvre pour tirer le parallèle avec le camion et alternatif en train de faire des allers-retours derrière le camion.")</f>
        <v>L'homme manœuvre pour tirer le parallèle avec le camion et alternatif en train de faire des allers-retours derrière le camion.</v>
      </c>
    </row>
    <row r="18088">
      <c r="A18088" s="4" t="s">
        <v>22763</v>
      </c>
      <c r="B18088" s="4" t="s">
        <v>22767</v>
      </c>
      <c r="C18088" s="5" t="str">
        <f>IFERROR(__xludf.DUMMYFUNCTION("GOOGLETRANSLATE(B18088,""en"",""fr"")"),"L'homme ralentit avant qu'il ne lâche la corde de remorquage et s'arrête.")</f>
        <v>L'homme ralentit avant qu'il ne lâche la corde de remorquage et s'arrête.</v>
      </c>
    </row>
    <row r="18089">
      <c r="A18089" s="4" t="s">
        <v>22768</v>
      </c>
      <c r="B18089" s="6" t="s">
        <v>22769</v>
      </c>
      <c r="C18089" s="5" t="str">
        <f>IFERROR(__xludf.DUMMYFUNCTION("GOOGLETRANSLATE(B18089,""en"",""fr"")"),"Un gars est sur un cheval avec une corde longue blanche qui a un grand cercle à la fin et semble attendre que des portes bleues s'ouvrent.")</f>
        <v>Un gars est sur un cheval avec une corde longue blanche qui a un grand cercle à la fin et semble attendre que des portes bleues s'ouvrent.</v>
      </c>
    </row>
    <row r="18090">
      <c r="A18090" s="4" t="s">
        <v>22768</v>
      </c>
      <c r="B18090" s="4" t="s">
        <v>22770</v>
      </c>
      <c r="C18090" s="5" t="str">
        <f>IFERROR(__xludf.DUMMYFUNCTION("GOOGLETRANSLATE(B18090,""en"",""fr"")"),"Les portes bleues s'ouvrent et un peu de taureau s'épuise et le gars du cheval le poursuit.")</f>
        <v>Les portes bleues s'ouvrent et un peu de taureau s'épuise et le gars du cheval le poursuit.</v>
      </c>
    </row>
    <row r="18091">
      <c r="A18091" s="4" t="s">
        <v>22768</v>
      </c>
      <c r="B18091" s="6" t="s">
        <v>22771</v>
      </c>
      <c r="C18091" s="5" t="str">
        <f>IFERROR(__xludf.DUMMYFUNCTION("GOOGLETRANSLATE(B18091,""en"",""fr"")"),"Le gars lance la corde et attrape le taureau autour du cou pendant que l'extrémité ou la corde est attachée au cheval.")</f>
        <v>Le gars lance la corde et attrape le taureau autour du cou pendant que l'extrémité ou la corde est attachée au cheval.</v>
      </c>
    </row>
    <row r="18092">
      <c r="A18092" s="4" t="s">
        <v>22768</v>
      </c>
      <c r="B18092" s="6" t="s">
        <v>22772</v>
      </c>
      <c r="C18092" s="5" t="str">
        <f>IFERROR(__xludf.DUMMYFUNCTION("GOOGLETRANSLATE(B18092,""en"",""fr"")"),"Le gars saute ensuite du cheval, court vers le taureau et le retourner sur son dos puis attacher les jambes des Bulls.")</f>
        <v>Le gars saute ensuite du cheval, court vers le taureau et le retourner sur son dos puis attacher les jambes des Bulls.</v>
      </c>
    </row>
    <row r="18093">
      <c r="A18093" s="4" t="s">
        <v>22768</v>
      </c>
      <c r="B18093" s="6" t="s">
        <v>22773</v>
      </c>
      <c r="C18093" s="5" t="str">
        <f>IFERROR(__xludf.DUMMYFUNCTION("GOOGLETRANSLATE(B18093,""en"",""fr"")"),"Le gars revient ensuite sur son cheval tandis que deux autres gars libèrent le taureau de la cravate de corde et l'emportent.")</f>
        <v>Le gars revient ensuite sur son cheval tandis que deux autres gars libèrent le taureau de la cravate de corde et l'emportent.</v>
      </c>
    </row>
    <row r="18094">
      <c r="A18094" s="4" t="s">
        <v>22774</v>
      </c>
      <c r="B18094" s="6" t="s">
        <v>22775</v>
      </c>
      <c r="C18094" s="5" t="str">
        <f>IFERROR(__xludf.DUMMYFUNCTION("GOOGLETRANSLATE(B18094,""en"",""fr"")"),"L'homme est agenouillé au sol, mais il se lève pour lever le bras et monter dans les barreaux pour accomplir son acte.")</f>
        <v>L'homme est agenouillé au sol, mais il se lève pour lever le bras et monter dans les barreaux pour accomplir son acte.</v>
      </c>
    </row>
    <row r="18095">
      <c r="A18095" s="4" t="s">
        <v>22774</v>
      </c>
      <c r="B18095" s="6" t="s">
        <v>22776</v>
      </c>
      <c r="C18095" s="5" t="str">
        <f>IFERROR(__xludf.DUMMYFUNCTION("GOOGLETRANSLATE(B18095,""en"",""fr"")"),"Quand il a terminé, il se retourne et s'incline, ensuite une fille est montrée assise sur la chaise, puis il est montré en train de jouer à nouveau mais au ralenti.")</f>
        <v>Quand il a terminé, il se retourne et s'incline, ensuite une fille est montrée assise sur la chaise, puis il est montré en train de jouer à nouveau mais au ralenti.</v>
      </c>
    </row>
    <row r="18096">
      <c r="A18096" s="4" t="s">
        <v>22774</v>
      </c>
      <c r="B18096" s="6" t="s">
        <v>22777</v>
      </c>
      <c r="C18096" s="5" t="str">
        <f>IFERROR(__xludf.DUMMYFUNCTION("GOOGLETRANSLATE(B18096,""en"",""fr"")"),"Ensuite, une fille est montrée se balançant sur les barres inégales et quand elle a fini, elle va s'asseoir et parler de ce qu'elle fait.")</f>
        <v>Ensuite, une fille est montrée se balançant sur les barres inégales et quand elle a fini, elle va s'asseoir et parler de ce qu'elle fait.</v>
      </c>
    </row>
    <row r="18097">
      <c r="A18097" s="4" t="s">
        <v>22778</v>
      </c>
      <c r="B18097" s="4" t="s">
        <v>22779</v>
      </c>
      <c r="C18097" s="5" t="str">
        <f>IFERROR(__xludf.DUMMYFUNCTION("GOOGLETRANSLATE(B18097,""en"",""fr"")"),"Une dame traverse une pelouse.")</f>
        <v>Une dame traverse une pelouse.</v>
      </c>
    </row>
    <row r="18098">
      <c r="A18098" s="4" t="s">
        <v>22778</v>
      </c>
      <c r="B18098" s="4" t="s">
        <v>22780</v>
      </c>
      <c r="C18098" s="5" t="str">
        <f>IFERROR(__xludf.DUMMYFUNCTION("GOOGLETRANSLATE(B18098,""en"",""fr"")"),"Un gars court et s'arrête sur la pelouse.")</f>
        <v>Un gars court et s'arrête sur la pelouse.</v>
      </c>
    </row>
    <row r="18099">
      <c r="A18099" s="4" t="s">
        <v>22778</v>
      </c>
      <c r="B18099" s="4" t="s">
        <v>22781</v>
      </c>
      <c r="C18099" s="5" t="str">
        <f>IFERROR(__xludf.DUMMYFUNCTION("GOOGLETRANSLATE(B18099,""en"",""fr"")"),"Un homme se tient sur une piste.")</f>
        <v>Un homme se tient sur une piste.</v>
      </c>
    </row>
    <row r="18100">
      <c r="A18100" s="4" t="s">
        <v>22778</v>
      </c>
      <c r="B18100" s="4" t="s">
        <v>22782</v>
      </c>
      <c r="C18100" s="5" t="str">
        <f>IFERROR(__xludf.DUMMYFUNCTION("GOOGLETRANSLATE(B18100,""en"",""fr"")"),"L'homme court sur la piste, saute et atterrit dans une boîte de sable.")</f>
        <v>L'homme court sur la piste, saute et atterrit dans une boîte de sable.</v>
      </c>
    </row>
    <row r="18101">
      <c r="A18101" s="4" t="s">
        <v>22778</v>
      </c>
      <c r="B18101" s="4" t="s">
        <v>22783</v>
      </c>
      <c r="C18101" s="5" t="str">
        <f>IFERROR(__xludf.DUMMYFUNCTION("GOOGLETRANSLATE(B18101,""en"",""fr"")"),"L'homme se lève, tombe au sol et s'y trouve.")</f>
        <v>L'homme se lève, tombe au sol et s'y trouve.</v>
      </c>
    </row>
    <row r="18102">
      <c r="A18102" s="4" t="s">
        <v>22784</v>
      </c>
      <c r="B18102" s="4" t="s">
        <v>22785</v>
      </c>
      <c r="C18102" s="5" t="str">
        <f>IFERROR(__xludf.DUMMYFUNCTION("GOOGLETRANSLATE(B18102,""en"",""fr"")"),"Girl Us Pold à un poteau dans un gymnase couvert et saut à la piscine terrestre.")</f>
        <v>Girl Us Pold à un poteau dans un gymnase couvert et saut à la piscine terrestre.</v>
      </c>
    </row>
    <row r="18103">
      <c r="A18103" s="4" t="s">
        <v>22784</v>
      </c>
      <c r="B18103" s="4" t="s">
        <v>22786</v>
      </c>
      <c r="C18103" s="5" t="str">
        <f>IFERROR(__xludf.DUMMYFUNCTION("GOOGLETRANSLATE(B18103,""en"",""fr"")"),"La femme qui se tient une chemise rouge se tient devant le poteau.")</f>
        <v>La femme qui se tient une chemise rouge se tient devant le poteau.</v>
      </c>
    </row>
    <row r="18104">
      <c r="A18104" s="4" t="s">
        <v>22784</v>
      </c>
      <c r="B18104" s="4" t="s">
        <v>22787</v>
      </c>
      <c r="C18104" s="5" t="str">
        <f>IFERROR(__xludf.DUMMYFUNCTION("GOOGLETRANSLATE(B18104,""en"",""fr"")"),"La petite fille marche devant la gymnastique.")</f>
        <v>La petite fille marche devant la gymnastique.</v>
      </c>
    </row>
    <row r="18105">
      <c r="A18105" s="4" t="s">
        <v>22788</v>
      </c>
      <c r="B18105" s="6" t="s">
        <v>22789</v>
      </c>
      <c r="C18105" s="5" t="str">
        <f>IFERROR(__xludf.DUMMYFUNCTION("GOOGLETRANSLATE(B18105,""en"",""fr"")"),"Un homme se tient devant la caméra avant d'être montré en jouant à un jeu de basket-ball tout en frappant un homme avec une paire de gants de boxe.")</f>
        <v>Un homme se tient devant la caméra avant d'être montré en jouant à un jeu de basket-ball tout en frappant un homme avec une paire de gants de boxe.</v>
      </c>
    </row>
    <row r="18106">
      <c r="A18106" s="4" t="s">
        <v>22788</v>
      </c>
      <c r="B18106" s="4" t="s">
        <v>22790</v>
      </c>
      <c r="C18106" s="5" t="str">
        <f>IFERROR(__xludf.DUMMYFUNCTION("GOOGLETRANSLATE(B18106,""en"",""fr"")"),"Les deux hommes se serrent la main.")</f>
        <v>Les deux hommes se serrent la main.</v>
      </c>
    </row>
    <row r="18107">
      <c r="A18107" s="4" t="s">
        <v>22791</v>
      </c>
      <c r="B18107" s="4" t="s">
        <v>22792</v>
      </c>
      <c r="C18107" s="5" t="str">
        <f>IFERROR(__xludf.DUMMYFUNCTION("GOOGLETRANSLATE(B18107,""en"",""fr"")"),"Un homme est vu assis sur un banc tenant une guitare et parlant à la caméra.")</f>
        <v>Un homme est vu assis sur un banc tenant une guitare et parlant à la caméra.</v>
      </c>
    </row>
    <row r="18108">
      <c r="A18108" s="4" t="s">
        <v>22791</v>
      </c>
      <c r="B18108" s="4" t="s">
        <v>22793</v>
      </c>
      <c r="C18108" s="5" t="str">
        <f>IFERROR(__xludf.DUMMYFUNCTION("GOOGLETRANSLATE(B18108,""en"",""fr"")"),"Il pointe des microphones devant lui et commence à gratter la guitare.")</f>
        <v>Il pointe des microphones devant lui et commence à gratter la guitare.</v>
      </c>
    </row>
    <row r="18109">
      <c r="A18109" s="4" t="s">
        <v>22791</v>
      </c>
      <c r="B18109" s="4" t="s">
        <v>22794</v>
      </c>
      <c r="C18109" s="5" t="str">
        <f>IFERROR(__xludf.DUMMYFUNCTION("GOOGLETRANSLATE(B18109,""en"",""fr"")"),"L'homme continue de jouer tout en déplaçant ses mains tout autour et s'arrêtant pour regarder la caméra.")</f>
        <v>L'homme continue de jouer tout en déplaçant ses mains tout autour et s'arrêtant pour regarder la caméra.</v>
      </c>
    </row>
    <row r="18110">
      <c r="A18110" s="4" t="s">
        <v>22795</v>
      </c>
      <c r="B18110" s="4" t="s">
        <v>22796</v>
      </c>
      <c r="C18110" s="5" t="str">
        <f>IFERROR(__xludf.DUMMYFUNCTION("GOOGLETRANSLATE(B18110,""en"",""fr"")"),"Nous voyons des gens debout dans un cours d'aérobic.")</f>
        <v>Nous voyons des gens debout dans un cours d'aérobic.</v>
      </c>
    </row>
    <row r="18111">
      <c r="A18111" s="4" t="s">
        <v>22795</v>
      </c>
      <c r="B18111" s="4" t="s">
        <v>22797</v>
      </c>
      <c r="C18111" s="5" t="str">
        <f>IFERROR(__xludf.DUMMYFUNCTION("GOOGLETRANSLATE(B18111,""en"",""fr"")"),"L'enseignant commence et la classe suit.")</f>
        <v>L'enseignant commence et la classe suit.</v>
      </c>
    </row>
    <row r="18112">
      <c r="A18112" s="4" t="s">
        <v>22795</v>
      </c>
      <c r="B18112" s="4" t="s">
        <v>22798</v>
      </c>
      <c r="C18112" s="5" t="str">
        <f>IFERROR(__xludf.DUMMYFUNCTION("GOOGLETRANSLATE(B18112,""en"",""fr"")"),"Tout en se tenant sur le pas, les gens se balancent les mains.")</f>
        <v>Tout en se tenant sur le pas, les gens se balancent les mains.</v>
      </c>
    </row>
    <row r="18113">
      <c r="A18113" s="4" t="s">
        <v>22795</v>
      </c>
      <c r="B18113" s="4" t="s">
        <v>22799</v>
      </c>
      <c r="C18113" s="5" t="str">
        <f>IFERROR(__xludf.DUMMYFUNCTION("GOOGLETRANSLATE(B18113,""en"",""fr"")"),"La classe balance à nouveau leurs bras.")</f>
        <v>La classe balance à nouveau leurs bras.</v>
      </c>
    </row>
    <row r="18114">
      <c r="A18114" s="4" t="s">
        <v>22795</v>
      </c>
      <c r="B18114" s="4" t="s">
        <v>22800</v>
      </c>
      <c r="C18114" s="5" t="str">
        <f>IFERROR(__xludf.DUMMYFUNCTION("GOOGLETRANSLATE(B18114,""en"",""fr"")"),"L'homme en rouge s'éloigne de gauche.")</f>
        <v>L'homme en rouge s'éloigne de gauche.</v>
      </c>
    </row>
    <row r="18115">
      <c r="A18115" s="4" t="s">
        <v>22795</v>
      </c>
      <c r="B18115" s="4" t="s">
        <v>22801</v>
      </c>
      <c r="C18115" s="5" t="str">
        <f>IFERROR(__xludf.DUMMYFUNCTION("GOOGLETRANSLATE(B18115,""en"",""fr"")"),"La classe se termine et arrête de danser.")</f>
        <v>La classe se termine et arrête de danser.</v>
      </c>
    </row>
    <row r="18116">
      <c r="A18116" s="4" t="s">
        <v>22795</v>
      </c>
      <c r="B18116" s="4" t="s">
        <v>22802</v>
      </c>
      <c r="C18116" s="5" t="str">
        <f>IFERROR(__xludf.DUMMYFUNCTION("GOOGLETRANSLATE(B18116,""en"",""fr"")"),"L'enseignant se promène pour éteindre la caméra.")</f>
        <v>L'enseignant se promène pour éteindre la caméra.</v>
      </c>
    </row>
    <row r="18117">
      <c r="A18117" s="4" t="s">
        <v>22803</v>
      </c>
      <c r="B18117" s="6" t="s">
        <v>22804</v>
      </c>
      <c r="C18117" s="5" t="str">
        <f>IFERROR(__xludf.DUMMYFUNCTION("GOOGLETRANSLATE(B18117,""en"",""fr"")"),"Une nageuse est debout sur une plongée dans un maillot de bain noir et elle saute en train de faire plusieurs flips.")</f>
        <v>Une nageuse est debout sur une plongée dans un maillot de bain noir et elle saute en train de faire plusieurs flips.</v>
      </c>
    </row>
    <row r="18118">
      <c r="A18118" s="4" t="s">
        <v>22803</v>
      </c>
      <c r="B18118" s="4" t="s">
        <v>22805</v>
      </c>
      <c r="C18118" s="5" t="str">
        <f>IFERROR(__xludf.DUMMYFUNCTION("GOOGLETRANSLATE(B18118,""en"",""fr"")"),"Elle est ensuite montrée au niveau du sol en parlant et en essuyant son visage avec une serviette.")</f>
        <v>Elle est ensuite montrée au niveau du sol en parlant et en essuyant son visage avec une serviette.</v>
      </c>
    </row>
    <row r="18119">
      <c r="A18119" s="4" t="s">
        <v>22803</v>
      </c>
      <c r="B18119" s="6" t="s">
        <v>22806</v>
      </c>
      <c r="C18119" s="5" t="str">
        <f>IFERROR(__xludf.DUMMYFUNCTION("GOOGLETRANSLATE(B18119,""en"",""fr"")"),"Tout d'un coup, elle revient au plongeon et fait un flip fou où ses genoux sont rentrés et elle fait plusieurs flips, puis les hommes l'applaudissent et il y a une rediffusion instantanée.")</f>
        <v>Tout d'un coup, elle revient au plongeon et fait un flip fou où ses genoux sont rentrés et elle fait plusieurs flips, puis les hommes l'applaudissent et il y a une rediffusion instantanée.</v>
      </c>
    </row>
    <row r="18120">
      <c r="A18120" s="4" t="s">
        <v>22803</v>
      </c>
      <c r="B18120" s="6" t="s">
        <v>22807</v>
      </c>
      <c r="C18120" s="5" t="str">
        <f>IFERROR(__xludf.DUMMYFUNCTION("GOOGLETRANSLATE(B18120,""en"",""fr"")"),"La routine continue et la fille tente de faire plus de flips et les gens réagissent de la même manière et elle met sa main à sa bouche avec admiration.")</f>
        <v>La routine continue et la fille tente de faire plus de flips et les gens réagissent de la même manière et elle met sa main à sa bouche avec admiration.</v>
      </c>
    </row>
    <row r="18121">
      <c r="A18121" s="4" t="s">
        <v>22808</v>
      </c>
      <c r="B18121" s="4" t="s">
        <v>22809</v>
      </c>
      <c r="C18121" s="5" t="str">
        <f>IFERROR(__xludf.DUMMYFUNCTION("GOOGLETRANSLATE(B18121,""en"",""fr"")"),"Diverses intros de texte mènent à des images d'une fille et à la peinture de près.")</f>
        <v>Diverses intros de texte mènent à des images d'une fille et à la peinture de près.</v>
      </c>
    </row>
    <row r="18122">
      <c r="A18122" s="4" t="s">
        <v>22808</v>
      </c>
      <c r="B18122" s="4" t="s">
        <v>22810</v>
      </c>
      <c r="C18122" s="5" t="str">
        <f>IFERROR(__xludf.DUMMYFUNCTION("GOOGLETRANSLATE(B18122,""en"",""fr"")"),"Une personne est ensuite vue peindre sur un morceau de papier utilisant différentes couleurs.")</f>
        <v>Une personne est ensuite vue peindre sur un morceau de papier utilisant différentes couleurs.</v>
      </c>
    </row>
    <row r="18123">
      <c r="A18123" s="4" t="s">
        <v>22808</v>
      </c>
      <c r="B18123" s="4" t="s">
        <v>22811</v>
      </c>
      <c r="C18123" s="5" t="str">
        <f>IFERROR(__xludf.DUMMYFUNCTION("GOOGLETRANSLATE(B18123,""en"",""fr"")"),"La personne continue de peindre avec du texte montré et de mélange dans la peinture.")</f>
        <v>La personne continue de peindre avec du texte montré et de mélange dans la peinture.</v>
      </c>
    </row>
    <row r="18124">
      <c r="A18124" s="4" t="s">
        <v>22812</v>
      </c>
      <c r="B18124" s="4" t="s">
        <v>22813</v>
      </c>
      <c r="C18124" s="5" t="str">
        <f>IFERROR(__xludf.DUMMYFUNCTION("GOOGLETRANSLATE(B18124,""en"",""fr"")"),"La vidéo parle de Bristol BMX Club organisant un événement de vélo.")</f>
        <v>La vidéo parle de Bristol BMX Club organisant un événement de vélo.</v>
      </c>
    </row>
    <row r="18125">
      <c r="A18125" s="4" t="s">
        <v>22812</v>
      </c>
      <c r="B18125" s="4" t="s">
        <v>22814</v>
      </c>
      <c r="C18125" s="5" t="str">
        <f>IFERROR(__xludf.DUMMYFUNCTION("GOOGLETRANSLATE(B18125,""en"",""fr"")"),"Il y a un homme dessinant une ligne de départ blanche sur le sol pour la course.")</f>
        <v>Il y a un homme dessinant une ligne de départ blanche sur le sol pour la course.</v>
      </c>
    </row>
    <row r="18126">
      <c r="A18126" s="4" t="s">
        <v>22812</v>
      </c>
      <c r="B18126" s="4" t="s">
        <v>22815</v>
      </c>
      <c r="C18126" s="5" t="str">
        <f>IFERROR(__xludf.DUMMYFUNCTION("GOOGLETRANSLATE(B18126,""en"",""fr"")"),"Les motards se préparent à commencer leur course.")</f>
        <v>Les motards se préparent à commencer leur course.</v>
      </c>
    </row>
    <row r="18127">
      <c r="A18127" s="4" t="s">
        <v>22812</v>
      </c>
      <c r="B18127" s="4" t="s">
        <v>22816</v>
      </c>
      <c r="C18127" s="5" t="str">
        <f>IFERROR(__xludf.DUMMYFUNCTION("GOOGLETRANSLATE(B18127,""en"",""fr"")"),"Ils commencent la course et passent par des rampes et des bosses.")</f>
        <v>Ils commencent la course et passent par des rampes et des bosses.</v>
      </c>
    </row>
    <row r="18128">
      <c r="A18128" s="4" t="s">
        <v>22812</v>
      </c>
      <c r="B18128" s="4" t="s">
        <v>22817</v>
      </c>
      <c r="C18128" s="5" t="str">
        <f>IFERROR(__xludf.DUMMYFUNCTION("GOOGLETRANSLATE(B18128,""en"",""fr"")"),"Les motards proviennent de divers groupes d'âge allant des adolescents aux adultes.")</f>
        <v>Les motards proviennent de divers groupes d'âge allant des adolescents aux adultes.</v>
      </c>
    </row>
    <row r="18129">
      <c r="A18129" s="4" t="s">
        <v>22812</v>
      </c>
      <c r="B18129" s="6" t="s">
        <v>22818</v>
      </c>
      <c r="C18129" s="5" t="str">
        <f>IFERROR(__xludf.DUMMYFUNCTION("GOOGLETRANSLATE(B18129,""en"",""fr"")"),"Les courses continuent alors que les motards se frayent un chemin à travers le parcours d'obstacles pour passer en revue les rampes et les bosses.")</f>
        <v>Les courses continuent alors que les motards se frayent un chemin à travers le parcours d'obstacles pour passer en revue les rampes et les bosses.</v>
      </c>
    </row>
    <row r="18130">
      <c r="A18130" s="4" t="s">
        <v>22819</v>
      </c>
      <c r="B18130" s="4" t="s">
        <v>22820</v>
      </c>
      <c r="C18130" s="5" t="str">
        <f>IFERROR(__xludf.DUMMYFUNCTION("GOOGLETRANSLATE(B18130,""en"",""fr"")"),"Quelques lutteurs de sumo sont sur une scène.")</f>
        <v>Quelques lutteurs de sumo sont sur une scène.</v>
      </c>
    </row>
    <row r="18131">
      <c r="A18131" s="4" t="s">
        <v>22819</v>
      </c>
      <c r="B18131" s="4" t="s">
        <v>22821</v>
      </c>
      <c r="C18131" s="5" t="str">
        <f>IFERROR(__xludf.DUMMYFUNCTION("GOOGLETRANSLATE(B18131,""en"",""fr"")"),"Ils s'engagent ensemble dans un match de lutte.")</f>
        <v>Ils s'engagent ensemble dans un match de lutte.</v>
      </c>
    </row>
    <row r="18132">
      <c r="A18132" s="4" t="s">
        <v>22819</v>
      </c>
      <c r="B18132" s="4" t="s">
        <v>22822</v>
      </c>
      <c r="C18132" s="5" t="str">
        <f>IFERROR(__xludf.DUMMYFUNCTION("GOOGLETRANSLATE(B18132,""en"",""fr"")"),"Un panneau s'il vous plaît apparaît comme des problèmes techniques rencontrés.")</f>
        <v>Un panneau s'il vous plaît apparaît comme des problèmes techniques rencontrés.</v>
      </c>
    </row>
    <row r="18133">
      <c r="A18133" s="4" t="s">
        <v>22823</v>
      </c>
      <c r="B18133" s="6" t="s">
        <v>22824</v>
      </c>
      <c r="C18133" s="5" t="str">
        <f>IFERROR(__xludf.DUMMYFUNCTION("GOOGLETRANSLATE(B18133,""en"",""fr"")"),"Un écran blanc est affiché et divers logos sont affichés sur le dessus de l'écran au fur et à mesure qu'il passe à un écran noir.")</f>
        <v>Un écran blanc est affiché et divers logos sont affichés sur le dessus de l'écran au fur et à mesure qu'il passe à un écran noir.</v>
      </c>
    </row>
    <row r="18134">
      <c r="A18134" s="4" t="s">
        <v>22823</v>
      </c>
      <c r="B18134" s="4" t="s">
        <v>22825</v>
      </c>
      <c r="C18134" s="5" t="str">
        <f>IFERROR(__xludf.DUMMYFUNCTION("GOOGLETRANSLATE(B18134,""en"",""fr"")"),"Un soleil se lève et les hommes montent une colline, tirent une corde et lisent un livre.")</f>
        <v>Un soleil se lève et les hommes montent une colline, tirent une corde et lisent un livre.</v>
      </c>
    </row>
    <row r="18135">
      <c r="A18135" s="4" t="s">
        <v>22823</v>
      </c>
      <c r="B18135" s="6" t="s">
        <v>22826</v>
      </c>
      <c r="C18135" s="5" t="str">
        <f>IFERROR(__xludf.DUMMYFUNCTION("GOOGLETRANSLATE(B18135,""en"",""fr"")"),"Ils continuent de faire divers passe-temps dans les montagnes et un homme revient et commence à parler alors que les crédits commencent à rouler.")</f>
        <v>Ils continuent de faire divers passe-temps dans les montagnes et un homme revient et commence à parler alors que les crédits commencent à rouler.</v>
      </c>
    </row>
    <row r="18136">
      <c r="A18136" s="4" t="s">
        <v>22827</v>
      </c>
      <c r="B18136" s="4" t="s">
        <v>22828</v>
      </c>
      <c r="C18136" s="5" t="str">
        <f>IFERROR(__xludf.DUMMYFUNCTION("GOOGLETRANSLATE(B18136,""en"",""fr"")"),"Une jeune fille est dehors au parc en parlant à ce qui semble être son frère aîné.")</f>
        <v>Une jeune fille est dehors au parc en parlant à ce qui semble être son frère aîné.</v>
      </c>
    </row>
    <row r="18137">
      <c r="A18137" s="4" t="s">
        <v>22827</v>
      </c>
      <c r="B18137" s="4" t="s">
        <v>22829</v>
      </c>
      <c r="C18137" s="5" t="str">
        <f>IFERROR(__xludf.DUMMYFUNCTION("GOOGLETRANSLATE(B18137,""en"",""fr"")"),"Les deux commencent un visage et ils tombent sur le trottoir en dessinant un long jeu de marelle.")</f>
        <v>Les deux commencent un visage et ils tombent sur le trottoir en dessinant un long jeu de marelle.</v>
      </c>
    </row>
    <row r="18138">
      <c r="A18138" s="4" t="s">
        <v>22827</v>
      </c>
      <c r="B18138" s="4" t="s">
        <v>22830</v>
      </c>
      <c r="C18138" s="5" t="str">
        <f>IFERROR(__xludf.DUMMYFUNCTION("GOOGLETRANSLATE(B18138,""en"",""fr"")"),"Une fois terminé, ils se lèvent, jettent leur craie et la fille se déplace à droite du jeu.")</f>
        <v>Une fois terminé, ils se lèvent, jettent leur craie et la fille se déplace à droite du jeu.</v>
      </c>
    </row>
    <row r="18139">
      <c r="A18139" s="4" t="s">
        <v>22827</v>
      </c>
      <c r="B18139" s="6" t="s">
        <v>22831</v>
      </c>
      <c r="C18139" s="5" t="str">
        <f>IFERROR(__xludf.DUMMYFUNCTION("GOOGLETRANSLATE(B18139,""en"",""fr"")"),"Le garçon commence le jeu et la fille commence son tour en avançant et en arrière sur le jeu.")</f>
        <v>Le garçon commence le jeu et la fille commence son tour en avançant et en arrière sur le jeu.</v>
      </c>
    </row>
    <row r="18140">
      <c r="A18140" s="4" t="s">
        <v>22827</v>
      </c>
      <c r="B18140" s="6" t="s">
        <v>22832</v>
      </c>
      <c r="C18140" s="5" t="str">
        <f>IFERROR(__xludf.DUMMYFUNCTION("GOOGLETRANSLATE(B18140,""en"",""fr"")"),"Pour lui montrer, le garçon commence à danser à travers le trottoir et la fille le retourne en renversant le jeu.")</f>
        <v>Pour lui montrer, le garçon commence à danser à travers le trottoir et la fille le retourne en renversant le jeu.</v>
      </c>
    </row>
    <row r="18141">
      <c r="A18141" s="4" t="s">
        <v>22827</v>
      </c>
      <c r="B18141" s="4" t="s">
        <v>22833</v>
      </c>
      <c r="C18141" s="5" t="str">
        <f>IFERROR(__xludf.DUMMYFUNCTION("GOOGLETRANSLATE(B18141,""en"",""fr"")"),"Maintenant, c'est le tour du garçon et il essaie de retourner mais finit par tomber et la fille commence à rire de lui.")</f>
        <v>Maintenant, c'est le tour du garçon et il essaie de retourner mais finit par tomber et la fille commence à rire de lui.</v>
      </c>
    </row>
    <row r="18142">
      <c r="A18142" s="4" t="s">
        <v>22827</v>
      </c>
      <c r="B18142" s="4" t="s">
        <v>22834</v>
      </c>
      <c r="C18142" s="5" t="str">
        <f>IFERROR(__xludf.DUMMYFUNCTION("GOOGLETRANSLATE(B18142,""en"",""fr"")"),"La jeune fille gagne et le garçon lui donne sa Xbox en conséquence.")</f>
        <v>La jeune fille gagne et le garçon lui donne sa Xbox en conséquence.</v>
      </c>
    </row>
    <row r="18143">
      <c r="A18143" s="4" t="s">
        <v>22835</v>
      </c>
      <c r="B18143" s="4" t="s">
        <v>22836</v>
      </c>
      <c r="C18143" s="5" t="str">
        <f>IFERROR(__xludf.DUMMYFUNCTION("GOOGLETRANSLATE(B18143,""en"",""fr"")"),"Un homme vêtu de noir joue un saxophone sur une terrasse de piscine.")</f>
        <v>Un homme vêtu de noir joue un saxophone sur une terrasse de piscine.</v>
      </c>
    </row>
    <row r="18144">
      <c r="A18144" s="4" t="s">
        <v>22835</v>
      </c>
      <c r="B18144" s="4" t="s">
        <v>22837</v>
      </c>
      <c r="C18144" s="5" t="str">
        <f>IFERROR(__xludf.DUMMYFUNCTION("GOOGLETRANSLATE(B18144,""en"",""fr"")"),"Le joueur de saxophone jette un coup d'œil à son clavier.")</f>
        <v>Le joueur de saxophone jette un coup d'œil à son clavier.</v>
      </c>
    </row>
    <row r="18145">
      <c r="A18145" s="4" t="s">
        <v>22835</v>
      </c>
      <c r="B18145" s="4" t="s">
        <v>22838</v>
      </c>
      <c r="C18145" s="5" t="str">
        <f>IFERROR(__xludf.DUMMYFUNCTION("GOOGLETRANSLATE(B18145,""en"",""fr"")"),"La caméra se déroule sur le clavier jouant un piano électrique Korg.")</f>
        <v>La caméra se déroule sur le clavier jouant un piano électrique Korg.</v>
      </c>
    </row>
    <row r="18146">
      <c r="A18146" s="4" t="s">
        <v>22839</v>
      </c>
      <c r="B18146" s="4" t="s">
        <v>22840</v>
      </c>
      <c r="C18146" s="5" t="str">
        <f>IFERROR(__xludf.DUMMYFUNCTION("GOOGLETRANSLATE(B18146,""en"",""fr"")"),"La dame parle à la caméra.")</f>
        <v>La dame parle à la caméra.</v>
      </c>
    </row>
    <row r="18147">
      <c r="A18147" s="4" t="s">
        <v>22839</v>
      </c>
      <c r="B18147" s="4" t="s">
        <v>22841</v>
      </c>
      <c r="C18147" s="5" t="str">
        <f>IFERROR(__xludf.DUMMYFUNCTION("GOOGLETRANSLATE(B18147,""en"",""fr"")"),"Nous voyons alors un pot.")</f>
        <v>Nous voyons alors un pot.</v>
      </c>
    </row>
    <row r="18148">
      <c r="A18148" s="4" t="s">
        <v>22839</v>
      </c>
      <c r="B18148" s="4" t="s">
        <v>22842</v>
      </c>
      <c r="C18148" s="5" t="str">
        <f>IFERROR(__xludf.DUMMYFUNCTION("GOOGLETRANSLATE(B18148,""en"",""fr"")"),"Nous voyons des spaghettis dans une boîte.")</f>
        <v>Nous voyons des spaghettis dans une boîte.</v>
      </c>
    </row>
    <row r="18149">
      <c r="A18149" s="4" t="s">
        <v>22839</v>
      </c>
      <c r="B18149" s="4" t="s">
        <v>22843</v>
      </c>
      <c r="C18149" s="5" t="str">
        <f>IFERROR(__xludf.DUMMYFUNCTION("GOOGLETRANSLATE(B18149,""en"",""fr"")"),"Nous voyons du sel dans une tasse.")</f>
        <v>Nous voyons du sel dans une tasse.</v>
      </c>
    </row>
    <row r="18150">
      <c r="A18150" s="4" t="s">
        <v>22839</v>
      </c>
      <c r="B18150" s="4" t="s">
        <v>22844</v>
      </c>
      <c r="C18150" s="5" t="str">
        <f>IFERROR(__xludf.DUMMYFUNCTION("GOOGLETRANSLATE(B18150,""en"",""fr"")"),"L'eau bouillonne dans le bot.")</f>
        <v>L'eau bouillonne dans le bot.</v>
      </c>
    </row>
    <row r="18151">
      <c r="A18151" s="4" t="s">
        <v>22839</v>
      </c>
      <c r="B18151" s="4" t="s">
        <v>22845</v>
      </c>
      <c r="C18151" s="5" t="str">
        <f>IFERROR(__xludf.DUMMYFUNCTION("GOOGLETRANSLATE(B18151,""en"",""fr"")"),"Elle ajoute du sel au pot.")</f>
        <v>Elle ajoute du sel au pot.</v>
      </c>
    </row>
    <row r="18152">
      <c r="A18152" s="4" t="s">
        <v>22839</v>
      </c>
      <c r="B18152" s="4" t="s">
        <v>22846</v>
      </c>
      <c r="C18152" s="5" t="str">
        <f>IFERROR(__xludf.DUMMYFUNCTION("GOOGLETRANSLATE(B18152,""en"",""fr"")"),"Elle ajoute des pâtes à l'eau.")</f>
        <v>Elle ajoute des pâtes à l'eau.</v>
      </c>
    </row>
    <row r="18153">
      <c r="A18153" s="4" t="s">
        <v>22839</v>
      </c>
      <c r="B18153" s="4" t="s">
        <v>22847</v>
      </c>
      <c r="C18153" s="5" t="str">
        <f>IFERROR(__xludf.DUMMYFUNCTION("GOOGLETRANSLATE(B18153,""en"",""fr"")"),"Nous voyons la boîte de pâtes de près.")</f>
        <v>Nous voyons la boîte de pâtes de près.</v>
      </c>
    </row>
    <row r="18154">
      <c r="A18154" s="4" t="s">
        <v>22839</v>
      </c>
      <c r="B18154" s="4" t="s">
        <v>22848</v>
      </c>
      <c r="C18154" s="5" t="str">
        <f>IFERROR(__xludf.DUMMYFUNCTION("GOOGLETRANSLATE(B18154,""en"",""fr"")"),"Nous voyons la dame définir la minuterie.")</f>
        <v>Nous voyons la dame définir la minuterie.</v>
      </c>
    </row>
    <row r="18155">
      <c r="A18155" s="4" t="s">
        <v>22839</v>
      </c>
      <c r="B18155" s="4" t="s">
        <v>22849</v>
      </c>
      <c r="C18155" s="5" t="str">
        <f>IFERROR(__xludf.DUMMYFUNCTION("GOOGLETRANSLATE(B18155,""en"",""fr"")"),"Elle sort les pâtes du pot.")</f>
        <v>Elle sort les pâtes du pot.</v>
      </c>
    </row>
    <row r="18156">
      <c r="A18156" s="4" t="s">
        <v>22839</v>
      </c>
      <c r="B18156" s="4" t="s">
        <v>22850</v>
      </c>
      <c r="C18156" s="5" t="str">
        <f>IFERROR(__xludf.DUMMYFUNCTION("GOOGLETRANSLATE(B18156,""en"",""fr"")"),"Elle parle et agit au revoir à la caméra.")</f>
        <v>Elle parle et agit au revoir à la caméra.</v>
      </c>
    </row>
    <row r="18157">
      <c r="A18157" s="4" t="s">
        <v>22851</v>
      </c>
      <c r="B18157" s="6" t="s">
        <v>22852</v>
      </c>
      <c r="C18157" s="5" t="str">
        <f>IFERROR(__xludf.DUMMYFUNCTION("GOOGLETRANSLATE(B18157,""en"",""fr"")"),"Un homme et une femme sont vus debout au milieu d'un sol avec une femme parlant à la caméra et l'emmenant à danser avec l'homme.")</f>
        <v>Un homme et une femme sont vus debout au milieu d'un sol avec une femme parlant à la caméra et l'emmenant à danser avec l'homme.</v>
      </c>
    </row>
    <row r="18158">
      <c r="A18158" s="4" t="s">
        <v>22851</v>
      </c>
      <c r="B18158" s="4" t="s">
        <v>22853</v>
      </c>
      <c r="C18158" s="5" t="str">
        <f>IFERROR(__xludf.DUMMYFUNCTION("GOOGLETRANSLATE(B18158,""en"",""fr"")"),"Les deux tournent et dansent l'un dans l'autre et se termine en s'éloignant l'un de l'autre.")</f>
        <v>Les deux tournent et dansent l'un dans l'autre et se termine en s'éloignant l'un de l'autre.</v>
      </c>
    </row>
    <row r="18159">
      <c r="A18159" s="4" t="s">
        <v>22854</v>
      </c>
      <c r="B18159" s="4" t="s">
        <v>22855</v>
      </c>
      <c r="C18159" s="5" t="str">
        <f>IFERROR(__xludf.DUMMYFUNCTION("GOOGLETRANSLATE(B18159,""en"",""fr"")"),"Un homme est vu parler à la caméra tout en se tenant à côté d'une voiture avec un coffre ouvert.")</f>
        <v>Un homme est vu parler à la caméra tout en se tenant à côté d'une voiture avec un coffre ouvert.</v>
      </c>
    </row>
    <row r="18160">
      <c r="A18160" s="4" t="s">
        <v>22854</v>
      </c>
      <c r="B18160" s="4" t="s">
        <v>22856</v>
      </c>
      <c r="C18160" s="5" t="str">
        <f>IFERROR(__xludf.DUMMYFUNCTION("GOOGLETRANSLATE(B18160,""en"",""fr"")"),"L'homme dévisse ensuite un pneu et soulève la voiture avec un cric.")</f>
        <v>L'homme dévisse ensuite un pneu et soulève la voiture avec un cric.</v>
      </c>
    </row>
    <row r="18161">
      <c r="A18161" s="4" t="s">
        <v>22854</v>
      </c>
      <c r="B18161" s="4" t="s">
        <v>22857</v>
      </c>
      <c r="C18161" s="5" t="str">
        <f>IFERROR(__xludf.DUMMYFUNCTION("GOOGLETRANSLATE(B18161,""en"",""fr"")"),"L'homme enlève le pneu et en met un nouveau, se terminant en le vissant en place.")</f>
        <v>L'homme enlève le pneu et en met un nouveau, se terminant en le vissant en place.</v>
      </c>
    </row>
    <row r="18162">
      <c r="A18162" s="4" t="s">
        <v>22854</v>
      </c>
      <c r="B18162" s="4" t="s">
        <v>22858</v>
      </c>
      <c r="C18162" s="5" t="str">
        <f>IFERROR(__xludf.DUMMYFUNCTION("GOOGLETRANSLATE(B18162,""en"",""fr"")"),"Il enlève le cric et termine en parlant à la caméra.")</f>
        <v>Il enlève le cric et termine en parlant à la caméra.</v>
      </c>
    </row>
    <row r="18163">
      <c r="A18163" s="4" t="s">
        <v>22859</v>
      </c>
      <c r="B18163" s="4" t="s">
        <v>22860</v>
      </c>
      <c r="C18163" s="5" t="str">
        <f>IFERROR(__xludf.DUMMYFUNCTION("GOOGLETRANSLATE(B18163,""en"",""fr"")"),"Un vélo est illustré dans une pièce sombre.")</f>
        <v>Un vélo est illustré dans une pièce sombre.</v>
      </c>
    </row>
    <row r="18164">
      <c r="A18164" s="4" t="s">
        <v>22859</v>
      </c>
      <c r="B18164" s="4" t="s">
        <v>22861</v>
      </c>
      <c r="C18164" s="5" t="str">
        <f>IFERROR(__xludf.DUMMYFUNCTION("GOOGLETRANSLATE(B18164,""en"",""fr"")"),"L'homme porte des vêtements Motobike et conduit une moto dans un champ.")</f>
        <v>L'homme porte des vêtements Motobike et conduit une moto dans un champ.</v>
      </c>
    </row>
    <row r="18165">
      <c r="A18165" s="4" t="s">
        <v>22859</v>
      </c>
      <c r="B18165" s="4" t="s">
        <v>22862</v>
      </c>
      <c r="C18165" s="5" t="str">
        <f>IFERROR(__xludf.DUMMYFUNCTION("GOOGLETRANSLATE(B18165,""en"",""fr"")"),"L'homme fait des sauts en hauteur sur le motocross de la moto dans un champ poussiéreux.")</f>
        <v>L'homme fait des sauts en hauteur sur le motocross de la moto dans un champ poussiéreux.</v>
      </c>
    </row>
    <row r="18166">
      <c r="A18166" s="4" t="s">
        <v>22863</v>
      </c>
      <c r="B18166" s="4" t="s">
        <v>22864</v>
      </c>
      <c r="C18166" s="5" t="str">
        <f>IFERROR(__xludf.DUMMYFUNCTION("GOOGLETRANSLATE(B18166,""en"",""fr"")"),"Un grand groupe de drapeaux est montré.")</f>
        <v>Un grand groupe de drapeaux est montré.</v>
      </c>
    </row>
    <row r="18167">
      <c r="A18167" s="4" t="s">
        <v>22863</v>
      </c>
      <c r="B18167" s="4" t="s">
        <v>22865</v>
      </c>
      <c r="C18167" s="5" t="str">
        <f>IFERROR(__xludf.DUMMYFUNCTION("GOOGLETRANSLATE(B18167,""en"",""fr"")"),"Plusieurs nageurs nagent dans la piscine.")</f>
        <v>Plusieurs nageurs nagent dans la piscine.</v>
      </c>
    </row>
    <row r="18168">
      <c r="A18168" s="4" t="s">
        <v>22863</v>
      </c>
      <c r="B18168" s="4" t="s">
        <v>22866</v>
      </c>
      <c r="C18168" s="5" t="str">
        <f>IFERROR(__xludf.DUMMYFUNCTION("GOOGLETRANSLATE(B18168,""en"",""fr"")"),"Ils nagent de manière compétitive, illustrée par sous.")</f>
        <v>Ils nagent de manière compétitive, illustrée par sous.</v>
      </c>
    </row>
    <row r="18169">
      <c r="A18169" s="4" t="s">
        <v>22867</v>
      </c>
      <c r="B18169" s="4" t="s">
        <v>22868</v>
      </c>
      <c r="C18169" s="5" t="str">
        <f>IFERROR(__xludf.DUMMYFUNCTION("GOOGLETRANSLATE(B18169,""en"",""fr"")"),"Un homme est montré en ratissant rapidement les feuilles dans sa cour avant.")</f>
        <v>Un homme est montré en ratissant rapidement les feuilles dans sa cour avant.</v>
      </c>
    </row>
    <row r="18170">
      <c r="A18170" s="4" t="s">
        <v>22867</v>
      </c>
      <c r="B18170" s="4" t="s">
        <v>22869</v>
      </c>
      <c r="C18170" s="5" t="str">
        <f>IFERROR(__xludf.DUMMYFUNCTION("GOOGLETRANSLATE(B18170,""en"",""fr"")"),"Plusieurs voitures passent alors qu'il continue de ratir.")</f>
        <v>Plusieurs voitures passent alors qu'il continue de ratir.</v>
      </c>
    </row>
    <row r="18171">
      <c r="A18171" s="4" t="s">
        <v>22867</v>
      </c>
      <c r="B18171" s="4" t="s">
        <v>22870</v>
      </c>
      <c r="C18171" s="5" t="str">
        <f>IFERROR(__xludf.DUMMYFUNCTION("GOOGLETRANSLATE(B18171,""en"",""fr"")"),"Il ratisse les buissons et les arbres dans sa cour.")</f>
        <v>Il ratisse les buissons et les arbres dans sa cour.</v>
      </c>
    </row>
    <row r="18172">
      <c r="A18172" s="4" t="s">
        <v>22867</v>
      </c>
      <c r="B18172" s="4" t="s">
        <v>22871</v>
      </c>
      <c r="C18172" s="5" t="str">
        <f>IFERROR(__xludf.DUMMYFUNCTION("GOOGLETRANSLATE(B18172,""en"",""fr"")"),"Une femme apparaît et l'aide à ratisser et à mettre les feuilles.")</f>
        <v>Une femme apparaît et l'aide à ratisser et à mettre les feuilles.</v>
      </c>
    </row>
    <row r="18173">
      <c r="A18173" s="4" t="s">
        <v>22867</v>
      </c>
      <c r="B18173" s="4" t="s">
        <v>22872</v>
      </c>
      <c r="C18173" s="5" t="str">
        <f>IFERROR(__xludf.DUMMYFUNCTION("GOOGLETRANSLATE(B18173,""en"",""fr"")"),"Ils enlèvent les sacs quand ils ont fini.")</f>
        <v>Ils enlèvent les sacs quand ils ont fini.</v>
      </c>
    </row>
    <row r="18174">
      <c r="A18174" s="4" t="s">
        <v>22867</v>
      </c>
      <c r="B18174" s="4" t="s">
        <v>22873</v>
      </c>
      <c r="C18174" s="5" t="str">
        <f>IFERROR(__xludf.DUMMYFUNCTION("GOOGLETRANSLATE(B18174,""en"",""fr"")"),"Ils se tiennent devant la caméra et posent avec le râteau.")</f>
        <v>Ils se tiennent devant la caméra et posent avec le râteau.</v>
      </c>
    </row>
    <row r="18175">
      <c r="A18175" s="4" t="s">
        <v>22874</v>
      </c>
      <c r="B18175" s="4" t="s">
        <v>22875</v>
      </c>
      <c r="C18175" s="5" t="str">
        <f>IFERROR(__xludf.DUMMYFUNCTION("GOOGLETRANSLATE(B18175,""en"",""fr"")"),"Une personne marche dans une cour tout en l'enregistrant avec une caméra.")</f>
        <v>Une personne marche dans une cour tout en l'enregistrant avec une caméra.</v>
      </c>
    </row>
    <row r="18176">
      <c r="A18176" s="4" t="s">
        <v>22874</v>
      </c>
      <c r="B18176" s="4" t="s">
        <v>22876</v>
      </c>
      <c r="C18176" s="5" t="str">
        <f>IFERROR(__xludf.DUMMYFUNCTION("GOOGLETRANSLATE(B18176,""en"",""fr"")"),"La personne obtient un plateau de peinture blanche et peint une clôture.")</f>
        <v>La personne obtient un plateau de peinture blanche et peint une clôture.</v>
      </c>
    </row>
    <row r="18177">
      <c r="A18177" s="4" t="s">
        <v>22877</v>
      </c>
      <c r="B18177" s="4" t="s">
        <v>22878</v>
      </c>
      <c r="C18177" s="5" t="str">
        <f>IFERROR(__xludf.DUMMYFUNCTION("GOOGLETRANSLATE(B18177,""en"",""fr"")"),"Un homme parle à la caméra d'une cuisine.")</f>
        <v>Un homme parle à la caméra d'une cuisine.</v>
      </c>
    </row>
    <row r="18178">
      <c r="A18178" s="4" t="s">
        <v>22877</v>
      </c>
      <c r="B18178" s="4" t="s">
        <v>22879</v>
      </c>
      <c r="C18178" s="5" t="str">
        <f>IFERROR(__xludf.DUMMYFUNCTION("GOOGLETRANSLATE(B18178,""en"",""fr"")"),"L'homme démontre l'affûtage d'un couteau avec plusieurs outils d'affûtage.")</f>
        <v>L'homme démontre l'affûtage d'un couteau avec plusieurs outils d'affûtage.</v>
      </c>
    </row>
    <row r="18179">
      <c r="A18179" s="4" t="s">
        <v>22877</v>
      </c>
      <c r="B18179" s="4" t="s">
        <v>22880</v>
      </c>
      <c r="C18179" s="5" t="str">
        <f>IFERROR(__xludf.DUMMYFUNCTION("GOOGLETRANSLATE(B18179,""en"",""fr"")"),"L'homme parle à nouveau à la caméra.")</f>
        <v>L'homme parle à nouveau à la caméra.</v>
      </c>
    </row>
    <row r="18180">
      <c r="A18180" s="4" t="s">
        <v>22877</v>
      </c>
      <c r="B18180" s="4" t="s">
        <v>22881</v>
      </c>
      <c r="C18180" s="5" t="str">
        <f>IFERROR(__xludf.DUMMYFUNCTION("GOOGLETRANSLATE(B18180,""en"",""fr"")"),"L'homme s'accuse puis tient un couteau.")</f>
        <v>L'homme s'accuse puis tient un couteau.</v>
      </c>
    </row>
    <row r="18181">
      <c r="A18181" s="4" t="s">
        <v>22877</v>
      </c>
      <c r="B18181" s="4" t="s">
        <v>22882</v>
      </c>
      <c r="C18181" s="5" t="str">
        <f>IFERROR(__xludf.DUMMYFUNCTION("GOOGLETRANSLATE(B18181,""en"",""fr"")"),"Plusieurs types d'options de stockage de couteau sont affichés.")</f>
        <v>Plusieurs types d'options de stockage de couteau sont affichés.</v>
      </c>
    </row>
    <row r="18182">
      <c r="A18182" s="4" t="s">
        <v>22877</v>
      </c>
      <c r="B18182" s="4" t="s">
        <v>22883</v>
      </c>
      <c r="C18182" s="5" t="str">
        <f>IFERROR(__xludf.DUMMYFUNCTION("GOOGLETRANSLATE(B18182,""en"",""fr"")"),"L'homme parle encore plus à la caméra.")</f>
        <v>L'homme parle encore plus à la caméra.</v>
      </c>
    </row>
    <row r="18183">
      <c r="A18183" s="4" t="s">
        <v>22884</v>
      </c>
      <c r="B18183" s="4" t="s">
        <v>22885</v>
      </c>
      <c r="C18183" s="5" t="str">
        <f>IFERROR(__xludf.DUMMYFUNCTION("GOOGLETRANSLATE(B18183,""en"",""fr"")"),"Nous voyons un écran d'ouverture avec un chien.")</f>
        <v>Nous voyons un écran d'ouverture avec un chien.</v>
      </c>
    </row>
    <row r="18184">
      <c r="A18184" s="4" t="s">
        <v>22884</v>
      </c>
      <c r="B18184" s="4" t="s">
        <v>22886</v>
      </c>
      <c r="C18184" s="5" t="str">
        <f>IFERROR(__xludf.DUMMYFUNCTION("GOOGLETRANSLATE(B18184,""en"",""fr"")"),"Nous voyons une dame dans une chemise infirmière parler et deux chiens dans une cuisine.")</f>
        <v>Nous voyons une dame dans une chemise infirmière parler et deux chiens dans une cuisine.</v>
      </c>
    </row>
    <row r="18185">
      <c r="A18185" s="4" t="s">
        <v>22884</v>
      </c>
      <c r="B18185" s="4" t="s">
        <v>22887</v>
      </c>
      <c r="C18185" s="5" t="str">
        <f>IFERROR(__xludf.DUMMYFUNCTION("GOOGLETRANSLATE(B18185,""en"",""fr"")"),"La dame a un petit chien mouillé, elle aspire sur la table et brosse le chien.")</f>
        <v>La dame a un petit chien mouillé, elle aspire sur la table et brosse le chien.</v>
      </c>
    </row>
    <row r="18186">
      <c r="A18186" s="4" t="s">
        <v>22884</v>
      </c>
      <c r="B18186" s="4" t="s">
        <v>22888</v>
      </c>
      <c r="C18186" s="5" t="str">
        <f>IFERROR(__xludf.DUMMYFUNCTION("GOOGLETRANSLATE(B18186,""en"",""fr"")"),"Nous voyons les chiens courir sur le sol de la cuisine.")</f>
        <v>Nous voyons les chiens courir sur le sol de la cuisine.</v>
      </c>
    </row>
    <row r="18187">
      <c r="A18187" s="4" t="s">
        <v>22884</v>
      </c>
      <c r="B18187" s="4" t="s">
        <v>22889</v>
      </c>
      <c r="C18187" s="5" t="str">
        <f>IFERROR(__xludf.DUMMYFUNCTION("GOOGLETRANSLATE(B18187,""en"",""fr"")"),"Nous voyons la dame raser une fourrure de chiens et brosser le chien.")</f>
        <v>Nous voyons la dame raser une fourrure de chiens et brosser le chien.</v>
      </c>
    </row>
    <row r="18188">
      <c r="A18188" s="4" t="s">
        <v>22884</v>
      </c>
      <c r="B18188" s="4" t="s">
        <v>22890</v>
      </c>
      <c r="C18188" s="5" t="str">
        <f>IFERROR(__xludf.DUMMYFUNCTION("GOOGLETRANSLATE(B18188,""en"",""fr"")"),"Nous voyons ensuite les chiens sur le sol.")</f>
        <v>Nous voyons ensuite les chiens sur le sol.</v>
      </c>
    </row>
    <row r="18189">
      <c r="A18189" s="4" t="s">
        <v>22884</v>
      </c>
      <c r="B18189" s="4" t="s">
        <v>22891</v>
      </c>
      <c r="C18189" s="5" t="str">
        <f>IFERROR(__xludf.DUMMYFUNCTION("GOOGLETRANSLATE(B18189,""en"",""fr"")"),"Nous voyons la dame et ses coordonnées sur son visage.")</f>
        <v>Nous voyons la dame et ses coordonnées sur son visage.</v>
      </c>
    </row>
    <row r="18190">
      <c r="A18190" s="4" t="s">
        <v>22892</v>
      </c>
      <c r="B18190" s="4" t="s">
        <v>22893</v>
      </c>
      <c r="C18190" s="5" t="str">
        <f>IFERROR(__xludf.DUMMYFUNCTION("GOOGLETRANSLATE(B18190,""en"",""fr"")"),"Une annonce pour le football apparaît à l'écran.")</f>
        <v>Une annonce pour le football apparaît à l'écran.</v>
      </c>
    </row>
    <row r="18191">
      <c r="A18191" s="4" t="s">
        <v>22892</v>
      </c>
      <c r="B18191" s="4" t="s">
        <v>22894</v>
      </c>
      <c r="C18191" s="5" t="str">
        <f>IFERROR(__xludf.DUMMYFUNCTION("GOOGLETRANSLATE(B18191,""en"",""fr"")"),"Plusieurs hommes jouent au football à l'intérieur.")</f>
        <v>Plusieurs hommes jouent au football à l'intérieur.</v>
      </c>
    </row>
    <row r="18192">
      <c r="A18192" s="4" t="s">
        <v>22892</v>
      </c>
      <c r="B18192" s="4" t="s">
        <v>22895</v>
      </c>
      <c r="C18192" s="5" t="str">
        <f>IFERROR(__xludf.DUMMYFUNCTION("GOOGLETRANSLATE(B18192,""en"",""fr"")"),"Ils lancent le ballon d'avant en arrière pendant que certaines personnes regardent sur la touche.")</f>
        <v>Ils lancent le ballon d'avant en arrière pendant que certaines personnes regardent sur la touche.</v>
      </c>
    </row>
    <row r="18193">
      <c r="A18193" s="4" t="s">
        <v>22896</v>
      </c>
      <c r="B18193" s="4" t="s">
        <v>22897</v>
      </c>
      <c r="C18193" s="5" t="str">
        <f>IFERROR(__xludf.DUMMYFUNCTION("GOOGLETRANSLATE(B18193,""en"",""fr"")"),"Un joueur de baseball réussit sur un terrain sportif et exécute les bases en faisant un coup de circuit.")</f>
        <v>Un joueur de baseball réussit sur un terrain sportif et exécute les bases en faisant un coup de circuit.</v>
      </c>
    </row>
    <row r="18194">
      <c r="A18194" s="4" t="s">
        <v>22896</v>
      </c>
      <c r="B18194" s="4" t="s">
        <v>22898</v>
      </c>
      <c r="C18194" s="5" t="str">
        <f>IFERROR(__xludf.DUMMYFUNCTION("GOOGLETRANSLATE(B18194,""en"",""fr"")"),"Les joueurs donnent un coup de pied à une balle et courent les bases sur un terrain de baseball.")</f>
        <v>Les joueurs donnent un coup de pied à une balle et courent les bases sur un terrain de baseball.</v>
      </c>
    </row>
    <row r="18195">
      <c r="A18195" s="4" t="s">
        <v>22896</v>
      </c>
      <c r="B18195" s="4" t="s">
        <v>22899</v>
      </c>
      <c r="C18195" s="5" t="str">
        <f>IFERROR(__xludf.DUMMYFUNCTION("GOOGLETRANSLATE(B18195,""en"",""fr"")"),"Le receveur s'amuse en dansant.")</f>
        <v>Le receveur s'amuse en dansant.</v>
      </c>
    </row>
    <row r="18196">
      <c r="A18196" s="4" t="s">
        <v>22896</v>
      </c>
      <c r="B18196" s="4" t="s">
        <v>22900</v>
      </c>
      <c r="C18196" s="5" t="str">
        <f>IFERROR(__xludf.DUMMYFUNCTION("GOOGLETRANSLATE(B18196,""en"",""fr"")"),"Un coup de pied est pris en plein air par le joueur de base et le joueur est sorti.")</f>
        <v>Un coup de pied est pris en plein air par le joueur de base et le joueur est sorti.</v>
      </c>
    </row>
    <row r="18197">
      <c r="A18197" s="4" t="s">
        <v>22901</v>
      </c>
      <c r="B18197" s="4" t="s">
        <v>22902</v>
      </c>
      <c r="C18197" s="5" t="str">
        <f>IFERROR(__xludf.DUMMYFUNCTION("GOOGLETRANSLATE(B18197,""en"",""fr"")"),"Une personne monte une tondeuse à gazon avec un parapluie sous la pluie.")</f>
        <v>Une personne monte une tondeuse à gazon avec un parapluie sous la pluie.</v>
      </c>
    </row>
    <row r="18198">
      <c r="A18198" s="4" t="s">
        <v>22901</v>
      </c>
      <c r="B18198" s="4" t="s">
        <v>22903</v>
      </c>
      <c r="C18198" s="5" t="str">
        <f>IFERROR(__xludf.DUMMYFUNCTION("GOOGLETRANSLATE(B18198,""en"",""fr"")"),"Une berline de couleur claire passe sur la route.")</f>
        <v>Une berline de couleur claire passe sur la route.</v>
      </c>
    </row>
    <row r="18199">
      <c r="A18199" s="4" t="s">
        <v>22901</v>
      </c>
      <c r="B18199" s="4" t="s">
        <v>22904</v>
      </c>
      <c r="C18199" s="5" t="str">
        <f>IFERROR(__xludf.DUMMYFUNCTION("GOOGLETRANSLATE(B18199,""en"",""fr"")"),"La personne sur la tondeuse se rend sur la chaussée.")</f>
        <v>La personne sur la tondeuse se rend sur la chaussée.</v>
      </c>
    </row>
    <row r="18200">
      <c r="A18200" s="4" t="s">
        <v>22905</v>
      </c>
      <c r="B18200" s="4" t="s">
        <v>22906</v>
      </c>
      <c r="C18200" s="5" t="str">
        <f>IFERROR(__xludf.DUMMYFUNCTION("GOOGLETRANSLATE(B18200,""en"",""fr"")"),"Un petit enfant est vu assis dans un swing.")</f>
        <v>Un petit enfant est vu assis dans un swing.</v>
      </c>
    </row>
    <row r="18201">
      <c r="A18201" s="4" t="s">
        <v>22905</v>
      </c>
      <c r="B18201" s="4" t="s">
        <v>22907</v>
      </c>
      <c r="C18201" s="5" t="str">
        <f>IFERROR(__xludf.DUMMYFUNCTION("GOOGLETRANSLATE(B18201,""en"",""fr"")"),"L'enfant recule et quatrième sur le swing en riant.")</f>
        <v>L'enfant recule et quatrième sur le swing en riant.</v>
      </c>
    </row>
    <row r="18202">
      <c r="A18202" s="4" t="s">
        <v>22905</v>
      </c>
      <c r="B18202" s="4" t="s">
        <v>22908</v>
      </c>
      <c r="C18202" s="5" t="str">
        <f>IFERROR(__xludf.DUMMYFUNCTION("GOOGLETRANSLATE(B18202,""en"",""fr"")"),"On voit la main d'une personne pousser l'enfant alors qu'elle recule et quatrième.")</f>
        <v>On voit la main d'une personne pousser l'enfant alors qu'elle recule et quatrième.</v>
      </c>
    </row>
    <row r="18203">
      <c r="A18203" s="4" t="s">
        <v>22909</v>
      </c>
      <c r="B18203" s="4" t="s">
        <v>22910</v>
      </c>
      <c r="C18203" s="5" t="str">
        <f>IFERROR(__xludf.DUMMYFUNCTION("GOOGLETRANSLATE(B18203,""en"",""fr"")"),"Une dame essuie son visage.")</f>
        <v>Une dame essuie son visage.</v>
      </c>
    </row>
    <row r="18204">
      <c r="A18204" s="4" t="s">
        <v>22909</v>
      </c>
      <c r="B18204" s="4" t="s">
        <v>22911</v>
      </c>
      <c r="C18204" s="5" t="str">
        <f>IFERROR(__xludf.DUMMYFUNCTION("GOOGLETRANSLATE(B18204,""en"",""fr"")"),"Une petite fille s'applique à son visage.")</f>
        <v>Une petite fille s'applique à son visage.</v>
      </c>
    </row>
    <row r="18205">
      <c r="A18205" s="4" t="s">
        <v>22909</v>
      </c>
      <c r="B18205" s="4" t="s">
        <v>22912</v>
      </c>
      <c r="C18205" s="5" t="str">
        <f>IFERROR(__xludf.DUMMYFUNCTION("GOOGLETRANSLATE(B18205,""en"",""fr"")"),"La mère fait le maquillage des filles.")</f>
        <v>La mère fait le maquillage des filles.</v>
      </c>
    </row>
    <row r="18206">
      <c r="A18206" s="4" t="s">
        <v>22909</v>
      </c>
      <c r="B18206" s="4" t="s">
        <v>22913</v>
      </c>
      <c r="C18206" s="5" t="str">
        <f>IFERROR(__xludf.DUMMYFUNCTION("GOOGLETRANSLATE(B18206,""en"",""fr"")"),"Les filles admirent son reflet.")</f>
        <v>Les filles admirent son reflet.</v>
      </c>
    </row>
    <row r="18207">
      <c r="A18207" s="4" t="s">
        <v>22909</v>
      </c>
      <c r="B18207" s="4" t="s">
        <v>22914</v>
      </c>
      <c r="C18207" s="5" t="str">
        <f>IFERROR(__xludf.DUMMYFUNCTION("GOOGLETRANSLATE(B18207,""en"",""fr"")"),"La fille attrape sa brosse à dents.")</f>
        <v>La fille attrape sa brosse à dents.</v>
      </c>
    </row>
    <row r="18208">
      <c r="A18208" s="4" t="s">
        <v>22915</v>
      </c>
      <c r="B18208" s="4" t="s">
        <v>22916</v>
      </c>
      <c r="C18208" s="5" t="str">
        <f>IFERROR(__xludf.DUMMYFUNCTION("GOOGLETRANSLATE(B18208,""en"",""fr"")"),"Un homme portant des lunettes de ski ajuste la caméra.")</f>
        <v>Un homme portant des lunettes de ski ajuste la caméra.</v>
      </c>
    </row>
    <row r="18209">
      <c r="A18209" s="4" t="s">
        <v>22915</v>
      </c>
      <c r="B18209" s="4" t="s">
        <v>22917</v>
      </c>
      <c r="C18209" s="5" t="str">
        <f>IFERROR(__xludf.DUMMYFUNCTION("GOOGLETRANSLATE(B18209,""en"",""fr"")"),"Plusieurs personnes sont vues skier sur une pente abrupte.")</f>
        <v>Plusieurs personnes sont vues skier sur une pente abrupte.</v>
      </c>
    </row>
    <row r="18210">
      <c r="A18210" s="4" t="s">
        <v>22915</v>
      </c>
      <c r="B18210" s="4" t="s">
        <v>22918</v>
      </c>
      <c r="C18210" s="5" t="str">
        <f>IFERROR(__xludf.DUMMYFUNCTION("GOOGLETRANSLATE(B18210,""en"",""fr"")"),"Ils continuent de skier de plus en plus vite en descendant.")</f>
        <v>Ils continuent de skier de plus en plus vite en descendant.</v>
      </c>
    </row>
    <row r="18211">
      <c r="A18211" s="4" t="s">
        <v>22919</v>
      </c>
      <c r="B18211" s="6" t="s">
        <v>22920</v>
      </c>
      <c r="C18211" s="5" t="str">
        <f>IFERROR(__xludf.DUMMYFUNCTION("GOOGLETRANSLATE(B18211,""en"",""fr"")"),"La femme est positionnée pour décoller sur la piste de course et l'homme s'éloigne pour qu'elle puisse aller.")</f>
        <v>La femme est positionnée pour décoller sur la piste de course et l'homme s'éloigne pour qu'elle puisse aller.</v>
      </c>
    </row>
    <row r="18212">
      <c r="A18212" s="4" t="s">
        <v>22919</v>
      </c>
      <c r="B18212" s="6" t="s">
        <v>22921</v>
      </c>
      <c r="C18212" s="5" t="str">
        <f>IFERROR(__xludf.DUMMYFUNCTION("GOOGLETRANSLATE(B18212,""en"",""fr"")"),"Ensuite, elle accélère et fait le triple saut dans le sable en le faisant jusqu'à la fin de la règle de 16 pouces.")</f>
        <v>Ensuite, elle accélère et fait le triple saut dans le sable en le faisant jusqu'à la fin de la règle de 16 pouces.</v>
      </c>
    </row>
    <row r="18213">
      <c r="A18213" s="4" t="s">
        <v>22919</v>
      </c>
      <c r="B18213" s="4" t="s">
        <v>22922</v>
      </c>
      <c r="C18213" s="5" t="str">
        <f>IFERROR(__xludf.DUMMYFUNCTION("GOOGLETRANSLATE(B18213,""en"",""fr"")"),"Ensuite, elle est montrée debout de la piste en souriant les bras levés dans l'air rempli de joie.")</f>
        <v>Ensuite, elle est montrée debout de la piste en souriant les bras levés dans l'air rempli de joie.</v>
      </c>
    </row>
    <row r="18214">
      <c r="A18214" s="4" t="s">
        <v>22923</v>
      </c>
      <c r="B18214" s="4" t="s">
        <v>22924</v>
      </c>
      <c r="C18214" s="5" t="str">
        <f>IFERROR(__xludf.DUMMYFUNCTION("GOOGLETRANSLATE(B18214,""en"",""fr"")"),"Les gens skient entre eux.")</f>
        <v>Les gens skient entre eux.</v>
      </c>
    </row>
    <row r="18215">
      <c r="A18215" s="4" t="s">
        <v>22923</v>
      </c>
      <c r="B18215" s="4" t="s">
        <v>22925</v>
      </c>
      <c r="C18215" s="5" t="str">
        <f>IFERROR(__xludf.DUMMYFUNCTION("GOOGLETRANSLATE(B18215,""en"",""fr"")"),"Un bouton est poussé sur une machine.")</f>
        <v>Un bouton est poussé sur une machine.</v>
      </c>
    </row>
    <row r="18216">
      <c r="A18216" s="4" t="s">
        <v>22923</v>
      </c>
      <c r="B18216" s="4" t="s">
        <v>22926</v>
      </c>
      <c r="C18216" s="5" t="str">
        <f>IFERROR(__xludf.DUMMYFUNCTION("GOOGLETRANSLATE(B18216,""en"",""fr"")"),"Les gens entrent dans une cabine.")</f>
        <v>Les gens entrent dans une cabine.</v>
      </c>
    </row>
    <row r="18217">
      <c r="A18217" s="4" t="s">
        <v>22923</v>
      </c>
      <c r="B18217" s="4" t="s">
        <v>22927</v>
      </c>
      <c r="C18217" s="5" t="str">
        <f>IFERROR(__xludf.DUMMYFUNCTION("GOOGLETRANSLATE(B18217,""en"",""fr"")"),"Une personne essaie des skis.")</f>
        <v>Une personne essaie des skis.</v>
      </c>
    </row>
    <row r="18218">
      <c r="A18218" s="4" t="s">
        <v>22923</v>
      </c>
      <c r="B18218" s="4" t="s">
        <v>22928</v>
      </c>
      <c r="C18218" s="5" t="str">
        <f>IFERROR(__xludf.DUMMYFUNCTION("GOOGLETRANSLATE(B18218,""en"",""fr"")"),"D'autres personnes pratiquent le ski sur une ceinture de moteur.")</f>
        <v>D'autres personnes pratiquent le ski sur une ceinture de moteur.</v>
      </c>
    </row>
    <row r="18219">
      <c r="A18219" s="4" t="s">
        <v>22929</v>
      </c>
      <c r="B18219" s="4" t="s">
        <v>22930</v>
      </c>
      <c r="C18219" s="5" t="str">
        <f>IFERROR(__xludf.DUMMYFUNCTION("GOOGLETRANSLATE(B18219,""en"",""fr"")"),"Les hommes se tiennent sur une plate-forme en acier élevée dans la région et un instructeur parle.")</f>
        <v>Les hommes se tiennent sur une plate-forme en acier élevée dans la région et un instructeur parle.</v>
      </c>
    </row>
    <row r="18220">
      <c r="A18220" s="4" t="s">
        <v>22929</v>
      </c>
      <c r="B18220" s="4" t="s">
        <v>22931</v>
      </c>
      <c r="C18220" s="5" t="str">
        <f>IFERROR(__xludf.DUMMYFUNCTION("GOOGLETRANSLATE(B18220,""en"",""fr"")"),"Un homme est assis sur le bord de la plate-forme et conserve de grandes cordes.")</f>
        <v>Un homme est assis sur le bord de la plate-forme et conserve de grandes cordes.</v>
      </c>
    </row>
    <row r="18221">
      <c r="A18221" s="4" t="s">
        <v>22929</v>
      </c>
      <c r="B18221" s="6" t="s">
        <v>22932</v>
      </c>
      <c r="C18221" s="5" t="str">
        <f>IFERROR(__xludf.DUMMYFUNCTION("GOOGLETRANSLATE(B18221,""en"",""fr"")"),"Un patron court et saute de la plate-forme portant un cordon de perruche et il rebondit dessus alors qu'il atteint le fond.")</f>
        <v>Un patron court et saute de la plate-forme portant un cordon de perruche et il rebondit dessus alors qu'il atteint le fond.</v>
      </c>
    </row>
    <row r="18222">
      <c r="A18222" s="4" t="s">
        <v>22933</v>
      </c>
      <c r="B18222" s="4" t="s">
        <v>22934</v>
      </c>
      <c r="C18222" s="5" t="str">
        <f>IFERROR(__xludf.DUMMYFUNCTION("GOOGLETRANSLATE(B18222,""en"",""fr"")"),"Nous voyons un bateau se retirer du quai.")</f>
        <v>Nous voyons un bateau se retirer du quai.</v>
      </c>
    </row>
    <row r="18223">
      <c r="A18223" s="4" t="s">
        <v>22933</v>
      </c>
      <c r="B18223" s="4" t="s">
        <v>22935</v>
      </c>
      <c r="C18223" s="5" t="str">
        <f>IFERROR(__xludf.DUMMYFUNCTION("GOOGLETRANSLATE(B18223,""en"",""fr"")"),"Nous voyons le bateau conduire comme une personne à réaction derrière.")</f>
        <v>Nous voyons le bateau conduire comme une personne à réaction derrière.</v>
      </c>
    </row>
    <row r="18224">
      <c r="A18224" s="4" t="s">
        <v>22933</v>
      </c>
      <c r="B18224" s="4" t="s">
        <v>22936</v>
      </c>
      <c r="C18224" s="5" t="str">
        <f>IFERROR(__xludf.DUMMYFUNCTION("GOOGLETRANSLATE(B18224,""en"",""fr"")"),"Nous voyons le skieur sans le bateau.")</f>
        <v>Nous voyons le skieur sans le bateau.</v>
      </c>
    </row>
    <row r="18225">
      <c r="A18225" s="4" t="s">
        <v>22933</v>
      </c>
      <c r="B18225" s="4" t="s">
        <v>22937</v>
      </c>
      <c r="C18225" s="5" t="str">
        <f>IFERROR(__xludf.DUMMYFUNCTION("GOOGLETRANSLATE(B18225,""en"",""fr"")"),"Nous voyons à nouveau le bateau de plus.")</f>
        <v>Nous voyons à nouveau le bateau de plus.</v>
      </c>
    </row>
    <row r="18226">
      <c r="A18226" s="4" t="s">
        <v>22933</v>
      </c>
      <c r="B18226" s="4" t="s">
        <v>22938</v>
      </c>
      <c r="C18226" s="5" t="str">
        <f>IFERROR(__xludf.DUMMYFUNCTION("GOOGLETRANSLATE(B18226,""en"",""fr"")"),"Le skieur tombe dans l'eau.")</f>
        <v>Le skieur tombe dans l'eau.</v>
      </c>
    </row>
    <row r="18227">
      <c r="A18227" s="4" t="s">
        <v>22933</v>
      </c>
      <c r="B18227" s="4" t="s">
        <v>22939</v>
      </c>
      <c r="C18227" s="5" t="str">
        <f>IFERROR(__xludf.DUMMYFUNCTION("GOOGLETRANSLATE(B18227,""en"",""fr"")"),"Nous voyons le skieur ski et effectuons 4 flips.")</f>
        <v>Nous voyons le skieur ski et effectuons 4 flips.</v>
      </c>
    </row>
    <row r="18228">
      <c r="A18228" s="4" t="s">
        <v>22933</v>
      </c>
      <c r="B18228" s="4" t="s">
        <v>22940</v>
      </c>
      <c r="C18228" s="5" t="str">
        <f>IFERROR(__xludf.DUMMYFUNCTION("GOOGLETRANSLATE(B18228,""en"",""fr"")"),"Nous voyons le skieur ski.")</f>
        <v>Nous voyons le skieur ski.</v>
      </c>
    </row>
    <row r="18229">
      <c r="A18229" s="4" t="s">
        <v>22933</v>
      </c>
      <c r="B18229" s="4" t="s">
        <v>22941</v>
      </c>
      <c r="C18229" s="5" t="str">
        <f>IFERROR(__xludf.DUMMYFUNCTION("GOOGLETRANSLATE(B18229,""en"",""fr"")"),"Nous voyons le skieur nager vers le bateau.")</f>
        <v>Nous voyons le skieur nager vers le bateau.</v>
      </c>
    </row>
    <row r="18230">
      <c r="A18230" s="4" t="s">
        <v>22933</v>
      </c>
      <c r="B18230" s="4" t="s">
        <v>22942</v>
      </c>
      <c r="C18230" s="5" t="str">
        <f>IFERROR(__xludf.DUMMYFUNCTION("GOOGLETRANSLATE(B18230,""en"",""fr"")"),"Une personne dans le bateau lève les mains en l'air.")</f>
        <v>Une personne dans le bateau lève les mains en l'air.</v>
      </c>
    </row>
    <row r="18231">
      <c r="A18231" s="4" t="s">
        <v>22943</v>
      </c>
      <c r="B18231" s="4" t="s">
        <v>22944</v>
      </c>
      <c r="C18231" s="5" t="str">
        <f>IFERROR(__xludf.DUMMYFUNCTION("GOOGLETRANSLATE(B18231,""en"",""fr"")"),"L'homme en chemise noire joue de la guitare en studio.")</f>
        <v>L'homme en chemise noire joue de la guitare en studio.</v>
      </c>
    </row>
    <row r="18232">
      <c r="A18232" s="4" t="s">
        <v>22943</v>
      </c>
      <c r="B18232" s="4" t="s">
        <v>22945</v>
      </c>
      <c r="C18232" s="5" t="str">
        <f>IFERROR(__xludf.DUMMYFUNCTION("GOOGLETRANSLATE(B18232,""en"",""fr"")"),"L'homme gratte la guitare.")</f>
        <v>L'homme gratte la guitare.</v>
      </c>
    </row>
    <row r="18233">
      <c r="A18233" s="4" t="s">
        <v>22943</v>
      </c>
      <c r="B18233" s="4" t="s">
        <v>22946</v>
      </c>
      <c r="C18233" s="5" t="str">
        <f>IFERROR(__xludf.DUMMYFUNCTION("GOOGLETRANSLATE(B18233,""en"",""fr"")"),"L'homme appuye sur le fil sur les touches de guitare alors qu'il fraudit la guitare.")</f>
        <v>L'homme appuye sur le fil sur les touches de guitare alors qu'il fraudit la guitare.</v>
      </c>
    </row>
    <row r="18234">
      <c r="A18234" s="4" t="s">
        <v>22947</v>
      </c>
      <c r="B18234" s="4" t="s">
        <v>22948</v>
      </c>
      <c r="C18234" s="5" t="str">
        <f>IFERROR(__xludf.DUMMYFUNCTION("GOOGLETRANSLATE(B18234,""en"",""fr"")"),"Une personne cuisine sur une cuisinière à bois, puis une personne rade dans une rivière.")</f>
        <v>Une personne cuisine sur une cuisinière à bois, puis une personne rade dans une rivière.</v>
      </c>
    </row>
    <row r="18235">
      <c r="A18235" s="4" t="s">
        <v>22947</v>
      </c>
      <c r="B18235" s="4" t="s">
        <v>22949</v>
      </c>
      <c r="C18235" s="5" t="str">
        <f>IFERROR(__xludf.DUMMYFUNCTION("GOOGLETRANSLATE(B18235,""en"",""fr"")"),"Les jeunes hommes déballent une voiture puis transportent des bateaux de radeau dans la jungle et passent un pont de corde.")</f>
        <v>Les jeunes hommes déballent une voiture puis transportent des bateaux de radeau dans la jungle et passent un pont de corde.</v>
      </c>
    </row>
    <row r="18236">
      <c r="A18236" s="4" t="s">
        <v>22947</v>
      </c>
      <c r="B18236" s="4" t="s">
        <v>22950</v>
      </c>
      <c r="C18236" s="5" t="str">
        <f>IFERROR(__xludf.DUMMYFUNCTION("GOOGLETRANSLATE(B18236,""en"",""fr"")"),"Les jeunes hommes radelaient dans une rivière agité étroite sur des bateaux individuels.")</f>
        <v>Les jeunes hommes radelaient dans une rivière agité étroite sur des bateaux individuels.</v>
      </c>
    </row>
    <row r="18237">
      <c r="A18237" s="4" t="s">
        <v>22947</v>
      </c>
      <c r="B18237" s="4" t="s">
        <v>22951</v>
      </c>
      <c r="C18237" s="5" t="str">
        <f>IFERROR(__xludf.DUMMYFUNCTION("GOOGLETRANSLATE(B18237,""en"",""fr"")"),"Les jeunes hommes tombent de petites cascades dans la rivière Rocky.")</f>
        <v>Les jeunes hommes tombent de petites cascades dans la rivière Rocky.</v>
      </c>
    </row>
    <row r="18238">
      <c r="A18238" s="4" t="s">
        <v>22952</v>
      </c>
      <c r="B18238" s="4" t="s">
        <v>22953</v>
      </c>
      <c r="C18238" s="5" t="str">
        <f>IFERROR(__xludf.DUMMYFUNCTION("GOOGLETRANSLATE(B18238,""en"",""fr"")"),"Une femme se penche dans une pose de ballet.")</f>
        <v>Une femme se penche dans une pose de ballet.</v>
      </c>
    </row>
    <row r="18239">
      <c r="A18239" s="4" t="s">
        <v>22952</v>
      </c>
      <c r="B18239" s="4" t="s">
        <v>22954</v>
      </c>
      <c r="C18239" s="5" t="str">
        <f>IFERROR(__xludf.DUMMYFUNCTION("GOOGLETRANSLATE(B18239,""en"",""fr"")"),"Elle fait ensuite face à la caméra en train de parler.")</f>
        <v>Elle fait ensuite face à la caméra en train de parler.</v>
      </c>
    </row>
    <row r="18240">
      <c r="A18240" s="4" t="s">
        <v>22952</v>
      </c>
      <c r="B18240" s="4" t="s">
        <v>22955</v>
      </c>
      <c r="C18240" s="5" t="str">
        <f>IFERROR(__xludf.DUMMYFUNCTION("GOOGLETRANSLATE(B18240,""en"",""fr"")"),"Elle affiche plus de mouvements de ballet.")</f>
        <v>Elle affiche plus de mouvements de ballet.</v>
      </c>
    </row>
    <row r="18241">
      <c r="A18241" s="4" t="s">
        <v>22952</v>
      </c>
      <c r="B18241" s="4" t="s">
        <v>22956</v>
      </c>
      <c r="C18241" s="5" t="str">
        <f>IFERROR(__xludf.DUMMYFUNCTION("GOOGLETRANSLATE(B18241,""en"",""fr"")"),"Elle termine avec la cinquième position.")</f>
        <v>Elle termine avec la cinquième position.</v>
      </c>
    </row>
    <row r="18242">
      <c r="A18242" s="4" t="s">
        <v>22957</v>
      </c>
      <c r="B18242" s="6" t="s">
        <v>22958</v>
      </c>
      <c r="C18242" s="5" t="str">
        <f>IFERROR(__xludf.DUMMYFUNCTION("GOOGLETRANSLATE(B18242,""en"",""fr"")"),"Plusieurs paires de chaussures sont représentées ainsi qu'un grand groupe de personnes socialisant et versant de l'alcool dans des verres.")</f>
        <v>Plusieurs paires de chaussures sont représentées ainsi qu'un grand groupe de personnes socialisant et versant de l'alcool dans des verres.</v>
      </c>
    </row>
    <row r="18243">
      <c r="A18243" s="4" t="s">
        <v>22957</v>
      </c>
      <c r="B18243" s="4" t="s">
        <v>22959</v>
      </c>
      <c r="C18243" s="5" t="str">
        <f>IFERROR(__xludf.DUMMYFUNCTION("GOOGLETRANSLATE(B18243,""en"",""fr"")"),"Les verres sont disposés sur une table et plusieurs coups sont montrés des personnes jouant à la bière pong.")</f>
        <v>Les verres sont disposés sur une table et plusieurs coups sont montrés des personnes jouant à la bière pong.</v>
      </c>
    </row>
    <row r="18244">
      <c r="A18244" s="4" t="s">
        <v>22957</v>
      </c>
      <c r="B18244" s="6" t="s">
        <v>22960</v>
      </c>
      <c r="C18244" s="5" t="str">
        <f>IFERROR(__xludf.DUMMYFUNCTION("GOOGLETRANSLATE(B18244,""en"",""fr"")"),"D'autres tirs sont montrés des personnes qui se parlent les uns aux autres ainsi que de jouer à Beer Pong dans plusieurs endroits et de faire la fête les uns avec les autres.")</f>
        <v>D'autres tirs sont montrés des personnes qui se parlent les uns aux autres ainsi que de jouer à Beer Pong dans plusieurs endroits et de faire la fête les uns avec les autres.</v>
      </c>
    </row>
    <row r="18245">
      <c r="A18245" s="4" t="s">
        <v>22957</v>
      </c>
      <c r="B18245" s="4" t="s">
        <v>22961</v>
      </c>
      <c r="C18245" s="5" t="str">
        <f>IFERROR(__xludf.DUMMYFUNCTION("GOOGLETRANSLATE(B18245,""en"",""fr"")"),"À la fin, les médailles sont remises et les gens les portent tout en célébrant à différents endroits.")</f>
        <v>À la fin, les médailles sont remises et les gens les portent tout en célébrant à différents endroits.</v>
      </c>
    </row>
    <row r="18246">
      <c r="A18246" s="4" t="s">
        <v>22962</v>
      </c>
      <c r="B18246" s="4" t="s">
        <v>22963</v>
      </c>
      <c r="C18246" s="5" t="str">
        <f>IFERROR(__xludf.DUMMYFUNCTION("GOOGLETRANSLATE(B18246,""en"",""fr"")"),"Il y a plusieurs nageurs debout sur le plus haut plongeur d'une piscine.")</f>
        <v>Il y a plusieurs nageurs debout sur le plus haut plongeur d'une piscine.</v>
      </c>
    </row>
    <row r="18247">
      <c r="A18247" s="4" t="s">
        <v>22962</v>
      </c>
      <c r="B18247" s="4" t="s">
        <v>22964</v>
      </c>
      <c r="C18247" s="5" t="str">
        <f>IFERROR(__xludf.DUMMYFUNCTION("GOOGLETRANSLATE(B18247,""en"",""fr"")"),"Les plongeurs s'apprêtent à plonger dans la piscine.")</f>
        <v>Les plongeurs s'apprêtent à plonger dans la piscine.</v>
      </c>
    </row>
    <row r="18248">
      <c r="A18248" s="4" t="s">
        <v>22962</v>
      </c>
      <c r="B18248" s="4" t="s">
        <v>22965</v>
      </c>
      <c r="C18248" s="5" t="str">
        <f>IFERROR(__xludf.DUMMYFUNCTION("GOOGLETRANSLATE(B18248,""en"",""fr"")"),"L'une des plongeurs plonge et saute dans la piscine d'une grande hauteur.")</f>
        <v>L'une des plongeurs plonge et saute dans la piscine d'une grande hauteur.</v>
      </c>
    </row>
    <row r="18249">
      <c r="A18249" s="4" t="s">
        <v>22966</v>
      </c>
      <c r="B18249" s="4" t="s">
        <v>22967</v>
      </c>
      <c r="C18249" s="5" t="str">
        <f>IFERROR(__xludf.DUMMYFUNCTION("GOOGLETRANSLATE(B18249,""en"",""fr"")"),"Un homme dans un tablier rouge parle.")</f>
        <v>Un homme dans un tablier rouge parle.</v>
      </c>
    </row>
    <row r="18250">
      <c r="A18250" s="4" t="s">
        <v>22966</v>
      </c>
      <c r="B18250" s="4" t="s">
        <v>22968</v>
      </c>
      <c r="C18250" s="5" t="str">
        <f>IFERROR(__xludf.DUMMYFUNCTION("GOOGLETRANSLATE(B18250,""en"",""fr"")"),"Il frotte quelque chose sur une planche et le repose.")</f>
        <v>Il frotte quelque chose sur une planche et le repose.</v>
      </c>
    </row>
    <row r="18251">
      <c r="A18251" s="4" t="s">
        <v>22966</v>
      </c>
      <c r="B18251" s="4" t="s">
        <v>22969</v>
      </c>
      <c r="C18251" s="5" t="str">
        <f>IFERROR(__xludf.DUMMYFUNCTION("GOOGLETRANSLATE(B18251,""en"",""fr"")"),"Il gratte le haut de la planche qu'il a repoussé.")</f>
        <v>Il gratte le haut de la planche qu'il a repoussé.</v>
      </c>
    </row>
    <row r="18252">
      <c r="A18252" s="4" t="s">
        <v>22970</v>
      </c>
      <c r="B18252" s="4" t="s">
        <v>22971</v>
      </c>
      <c r="C18252" s="5" t="str">
        <f>IFERROR(__xludf.DUMMYFUNCTION("GOOGLETRANSLATE(B18252,""en"",""fr"")"),"Une femme est vue monter sur un chameau derrière un autre homme sur un chameau.")</f>
        <v>Une femme est vue monter sur un chameau derrière un autre homme sur un chameau.</v>
      </c>
    </row>
    <row r="18253">
      <c r="A18253" s="4" t="s">
        <v>22970</v>
      </c>
      <c r="B18253" s="4" t="s">
        <v>22972</v>
      </c>
      <c r="C18253" s="5" t="str">
        <f>IFERROR(__xludf.DUMMYFUNCTION("GOOGLETRANSLATE(B18253,""en"",""fr"")"),"Elle regarde en arrière et sourit à la caméra pendant qu'elle passe dans la zone.")</f>
        <v>Elle regarde en arrière et sourit à la caméra pendant qu'elle passe dans la zone.</v>
      </c>
    </row>
    <row r="18254">
      <c r="A18254" s="4" t="s">
        <v>22970</v>
      </c>
      <c r="B18254" s="4" t="s">
        <v>22973</v>
      </c>
      <c r="C18254" s="5" t="str">
        <f>IFERROR(__xludf.DUMMYFUNCTION("GOOGLETRANSLATE(B18254,""en"",""fr"")"),"Une autre personne est vue rouler par derrière pendant que les gens s'accrochent aux chameaux.")</f>
        <v>Une autre personne est vue rouler par derrière pendant que les gens s'accrochent aux chameaux.</v>
      </c>
    </row>
    <row r="18255">
      <c r="A18255" s="4" t="s">
        <v>22974</v>
      </c>
      <c r="B18255" s="6" t="s">
        <v>22975</v>
      </c>
      <c r="C18255" s="5" t="str">
        <f>IFERROR(__xludf.DUMMYFUNCTION("GOOGLETRANSLATE(B18255,""en"",""fr"")"),"Deux femmes dans un enfant sont représentées dans un canoë tandis qu'un homme tire le canoë en se tenant dans l'eau, avec d'autres individus visibles en arrière-plan.")</f>
        <v>Deux femmes dans un enfant sont représentées dans un canoë tandis qu'un homme tire le canoë en se tenant dans l'eau, avec d'autres individus visibles en arrière-plan.</v>
      </c>
    </row>
    <row r="18256">
      <c r="A18256" s="4" t="s">
        <v>22974</v>
      </c>
      <c r="B18256" s="4" t="s">
        <v>22976</v>
      </c>
      <c r="C18256" s="5" t="str">
        <f>IFERROR(__xludf.DUMMYFUNCTION("GOOGLETRANSLATE(B18256,""en"",""fr"")"),"L'enfant et un homme différent s'assoient dans un canoë pendant que l'homme palette.")</f>
        <v>L'enfant et un homme différent s'assoient dans un canoë pendant que l'homme palette.</v>
      </c>
    </row>
    <row r="18257">
      <c r="A18257" s="4" t="s">
        <v>22974</v>
      </c>
      <c r="B18257" s="4" t="s">
        <v>22977</v>
      </c>
      <c r="C18257" s="5" t="str">
        <f>IFERROR(__xludf.DUMMYFUNCTION("GOOGLETRANSLATE(B18257,""en"",""fr"")"),"La caméra est en train de montrer le premier homme au premier plan.")</f>
        <v>La caméra est en train de montrer le premier homme au premier plan.</v>
      </c>
    </row>
    <row r="18258">
      <c r="A18258" s="4" t="s">
        <v>22974</v>
      </c>
      <c r="B18258" s="4" t="s">
        <v>22978</v>
      </c>
      <c r="C18258" s="5" t="str">
        <f>IFERROR(__xludf.DUMMYFUNCTION("GOOGLETRANSLATE(B18258,""en"",""fr"")"),"L'enfant et le premier homme sont dans un canoë tandis que le premier homme palette.")</f>
        <v>L'enfant et le premier homme sont dans un canoë tandis que le premier homme palette.</v>
      </c>
    </row>
    <row r="18259">
      <c r="A18259" s="4" t="s">
        <v>22974</v>
      </c>
      <c r="B18259" s="4" t="s">
        <v>22979</v>
      </c>
      <c r="C18259" s="5" t="str">
        <f>IFERROR(__xludf.DUMMYFUNCTION("GOOGLETRANSLATE(B18259,""en"",""fr"")"),"Une série d'images fixes des différentes personnes montrées pendant la vidéo est affichée.")</f>
        <v>Une série d'images fixes des différentes personnes montrées pendant la vidéo est affichée.</v>
      </c>
    </row>
    <row r="18260">
      <c r="A18260" s="4" t="s">
        <v>22980</v>
      </c>
      <c r="B18260" s="4" t="s">
        <v>22981</v>
      </c>
      <c r="C18260" s="5" t="str">
        <f>IFERROR(__xludf.DUMMYFUNCTION("GOOGLETRANSLATE(B18260,""en"",""fr"")"),"Une personne roule dans l'herbe après une chute et se lève pour rejoindre un jeu de crosse.")</f>
        <v>Une personne roule dans l'herbe après une chute et se lève pour rejoindre un jeu de crosse.</v>
      </c>
    </row>
    <row r="18261">
      <c r="A18261" s="4" t="s">
        <v>22980</v>
      </c>
      <c r="B18261" s="4" t="s">
        <v>22982</v>
      </c>
      <c r="C18261" s="5" t="str">
        <f>IFERROR(__xludf.DUMMYFUNCTION("GOOGLETRANSLATE(B18261,""en"",""fr"")"),"Nous voyons du matériel dans l'herbe et un homme qui parle à la caméra.")</f>
        <v>Nous voyons du matériel dans l'herbe et un homme qui parle à la caméra.</v>
      </c>
    </row>
    <row r="18262">
      <c r="A18262" s="4" t="s">
        <v>22980</v>
      </c>
      <c r="B18262" s="4" t="s">
        <v>22983</v>
      </c>
      <c r="C18262" s="5" t="str">
        <f>IFERROR(__xludf.DUMMYFUNCTION("GOOGLETRANSLATE(B18262,""en"",""fr"")"),"Les hommes jouent à la crosse et les dames encouragent le côté.")</f>
        <v>Les hommes jouent à la crosse et les dames encouragent le côté.</v>
      </c>
    </row>
    <row r="18263">
      <c r="A18263" s="4" t="s">
        <v>22980</v>
      </c>
      <c r="B18263" s="4" t="s">
        <v>22984</v>
      </c>
      <c r="C18263" s="5" t="str">
        <f>IFERROR(__xludf.DUMMYFUNCTION("GOOGLETRANSLATE(B18263,""en"",""fr"")"),"Nous voyons un homme interviewé et une équipe se blottir et voir des hommes jouer.")</f>
        <v>Nous voyons un homme interviewé et une équipe se blottir et voir des hommes jouer.</v>
      </c>
    </row>
    <row r="18264">
      <c r="A18264" s="4" t="s">
        <v>22980</v>
      </c>
      <c r="B18264" s="4" t="s">
        <v>22985</v>
      </c>
      <c r="C18264" s="5" t="str">
        <f>IFERROR(__xludf.DUMMYFUNCTION("GOOGLETRANSLATE(B18264,""en"",""fr"")"),"Un homme interviewé et nous voyons les hommes jouer à la crosse.")</f>
        <v>Un homme interviewé et nous voyons les hommes jouer à la crosse.</v>
      </c>
    </row>
    <row r="18265">
      <c r="A18265" s="4" t="s">
        <v>22980</v>
      </c>
      <c r="B18265" s="4" t="s">
        <v>22986</v>
      </c>
      <c r="C18265" s="5" t="str">
        <f>IFERROR(__xludf.DUMMYFUNCTION("GOOGLETRANSLATE(B18265,""en"",""fr"")"),"Un homme en rouge est interviewé et les équipes se serrent la main, tiennent leur trophée et posent pour des photos.")</f>
        <v>Un homme en rouge est interviewé et les équipes se serrent la main, tiennent leur trophée et posent pour des photos.</v>
      </c>
    </row>
    <row r="18266">
      <c r="A18266" s="4" t="s">
        <v>22987</v>
      </c>
      <c r="B18266" s="4" t="s">
        <v>22988</v>
      </c>
      <c r="C18266" s="5" t="str">
        <f>IFERROR(__xludf.DUMMYFUNCTION("GOOGLETRANSLATE(B18266,""en"",""fr"")"),"Une jeune gymnaste féminine portant du rouge se prépare à sa routine de faisceau d'équilibre aux Jeux olympiques.")</f>
        <v>Une jeune gymnaste féminine portant du rouge se prépare à sa routine de faisceau d'équilibre aux Jeux olympiques.</v>
      </c>
    </row>
    <row r="18267">
      <c r="A18267" s="4" t="s">
        <v>22987</v>
      </c>
      <c r="B18267" s="4" t="s">
        <v>22989</v>
      </c>
      <c r="C18267" s="5" t="str">
        <f>IFERROR(__xludf.DUMMYFUNCTION("GOOGLETRANSLATE(B18267,""en"",""fr"")"),"La gymnaste féminine court vers le tremplin et en saute à la poutre d'équilibre.")</f>
        <v>La gymnaste féminine court vers le tremplin et en saute à la poutre d'équilibre.</v>
      </c>
    </row>
    <row r="18268">
      <c r="A18268" s="4" t="s">
        <v>22987</v>
      </c>
      <c r="B18268" s="6" t="s">
        <v>22990</v>
      </c>
      <c r="C18268" s="5" t="str">
        <f>IFERROR(__xludf.DUMMYFUNCTION("GOOGLETRANSLATE(B18268,""en"",""fr"")"),"La gymnaste féminine fait alors sa routine de culbutation sur le faisceau d'équilibre tandis que les commentateurs expliquent ce qu'elle fait et à quel point c'est difficile.")</f>
        <v>La gymnaste féminine fait alors sa routine de culbutation sur le faisceau d'équilibre tandis que les commentateurs expliquent ce qu'elle fait et à quel point c'est difficile.</v>
      </c>
    </row>
    <row r="18269">
      <c r="A18269" s="4" t="s">
        <v>22987</v>
      </c>
      <c r="B18269" s="4" t="s">
        <v>22991</v>
      </c>
      <c r="C18269" s="5" t="str">
        <f>IFERROR(__xludf.DUMMYFUNCTION("GOOGLETRANSLATE(B18269,""en"",""fr"")"),"Une foule énorme regarde et encourage la gymnaste.")</f>
        <v>Une foule énorme regarde et encourage la gymnaste.</v>
      </c>
    </row>
    <row r="18270">
      <c r="A18270" s="4" t="s">
        <v>22987</v>
      </c>
      <c r="B18270" s="4" t="s">
        <v>22992</v>
      </c>
      <c r="C18270" s="5" t="str">
        <f>IFERROR(__xludf.DUMMYFUNCTION("GOOGLETRANSLATE(B18270,""en"",""fr"")"),"Un homme asiatique se dirige vers le faisceau d'équilibre et éloigne le tremplin du faisceau.")</f>
        <v>Un homme asiatique se dirige vers le faisceau d'équilibre et éloigne le tremplin du faisceau.</v>
      </c>
    </row>
    <row r="18271">
      <c r="A18271" s="4" t="s">
        <v>22987</v>
      </c>
      <c r="B18271" s="4" t="s">
        <v>22993</v>
      </c>
      <c r="C18271" s="5" t="str">
        <f>IFERROR(__xludf.DUMMYFUNCTION("GOOGLETRANSLATE(B18271,""en"",""fr"")"),"La gymnaste effectue une séquence de culbutage difficile et la foule applaudit plus fort qu'auparavant.")</f>
        <v>La gymnaste effectue une séquence de culbutage difficile et la foule applaudit plus fort qu'auparavant.</v>
      </c>
    </row>
    <row r="18272">
      <c r="A18272" s="4" t="s">
        <v>22987</v>
      </c>
      <c r="B18272" s="6" t="s">
        <v>22994</v>
      </c>
      <c r="C18272" s="5" t="str">
        <f>IFERROR(__xludf.DUMMYFUNCTION("GOOGLETRANSLATE(B18272,""en"",""fr"")"),"Des gens dans la foule qui regardent le gymnaste entrer dans le gymnase et trouvent des sièges pendant que d'autres se lèvent et sortent du gymnase.")</f>
        <v>Des gens dans la foule qui regardent le gymnaste entrer dans le gymnase et trouvent des sièges pendant que d'autres se lèvent et sortent du gymnase.</v>
      </c>
    </row>
    <row r="18273">
      <c r="A18273" s="4" t="s">
        <v>22987</v>
      </c>
      <c r="B18273" s="4" t="s">
        <v>22995</v>
      </c>
      <c r="C18273" s="5" t="str">
        <f>IFERROR(__xludf.DUMMYFUNCTION("GOOGLETRANSLATE(B18273,""en"",""fr"")"),"Une autre gymnaste féminine passe devant le faisceau d'équilibre en arrière-plan.")</f>
        <v>Une autre gymnaste féminine passe devant le faisceau d'équilibre en arrière-plan.</v>
      </c>
    </row>
    <row r="18274">
      <c r="A18274" s="4" t="s">
        <v>22987</v>
      </c>
      <c r="B18274" s="4" t="s">
        <v>22996</v>
      </c>
      <c r="C18274" s="5" t="str">
        <f>IFERROR(__xludf.DUMMYFUNCTION("GOOGLETRANSLATE(B18274,""en"",""fr"")"),"La gymnaste féminine se prépare à son démontage.")</f>
        <v>La gymnaste féminine se prépare à son démontage.</v>
      </c>
    </row>
    <row r="18275">
      <c r="A18275" s="4" t="s">
        <v>22987</v>
      </c>
      <c r="B18275" s="4" t="s">
        <v>22997</v>
      </c>
      <c r="C18275" s="5" t="str">
        <f>IFERROR(__xludf.DUMMYFUNCTION("GOOGLETRANSLATE(B18275,""en"",""fr"")"),"La gymnaste féminine court et complète une séquence de culbutation pour quitter le faisceau d'équilibre.")</f>
        <v>La gymnaste féminine court et complète une séquence de culbutation pour quitter le faisceau d'équilibre.</v>
      </c>
    </row>
    <row r="18276">
      <c r="A18276" s="4" t="s">
        <v>22987</v>
      </c>
      <c r="B18276" s="6" t="s">
        <v>22998</v>
      </c>
      <c r="C18276" s="5" t="str">
        <f>IFERROR(__xludf.DUMMYFUNCTION("GOOGLETRANSLATE(B18276,""en"",""fr"")"),"La gymnaste féminine atterrit parfaitement et jette ses bras directement dans les airs avec un énorme sourire sur son visage d'autres gymnastes en arrière-plan et applaudissent.")</f>
        <v>La gymnaste féminine atterrit parfaitement et jette ses bras directement dans les airs avec un énorme sourire sur son visage d'autres gymnastes en arrière-plan et applaudissent.</v>
      </c>
    </row>
    <row r="18277">
      <c r="A18277" s="4" t="s">
        <v>22987</v>
      </c>
      <c r="B18277" s="4" t="s">
        <v>22999</v>
      </c>
      <c r="C18277" s="5" t="str">
        <f>IFERROR(__xludf.DUMMYFUNCTION("GOOGLETRANSLATE(B18277,""en"",""fr"")"),"Un grand groupe de photographes regarde et prennent des photos du gymnaste.")</f>
        <v>Un grand groupe de photographes regarde et prennent des photos du gymnaste.</v>
      </c>
    </row>
    <row r="18278">
      <c r="A18278" s="4" t="s">
        <v>22987</v>
      </c>
      <c r="B18278" s="4" t="s">
        <v>23000</v>
      </c>
      <c r="C18278" s="5" t="str">
        <f>IFERROR(__xludf.DUMMYFUNCTION("GOOGLETRANSLATE(B18278,""en"",""fr"")"),"La gymnaste agit tout en tournant en cercle, puis court sur le côté du sol du gymnase.")</f>
        <v>La gymnaste agit tout en tournant en cercle, puis court sur le côté du sol du gymnase.</v>
      </c>
    </row>
    <row r="18279">
      <c r="A18279" s="4" t="s">
        <v>22987</v>
      </c>
      <c r="B18279" s="4" t="s">
        <v>23001</v>
      </c>
      <c r="C18279" s="5" t="str">
        <f>IFERROR(__xludf.DUMMYFUNCTION("GOOGLETRANSLATE(B18279,""en"",""fr"")"),"Trois gymnastes asiatiques en montre jaune et applaudissent sans sourire.")</f>
        <v>Trois gymnastes asiatiques en montre jaune et applaudissent sans sourire.</v>
      </c>
    </row>
    <row r="18280">
      <c r="A18280" s="4" t="s">
        <v>22987</v>
      </c>
      <c r="B18280" s="6" t="s">
        <v>23002</v>
      </c>
      <c r="C18280" s="5" t="str">
        <f>IFERROR(__xludf.DUMMYFUNCTION("GOOGLETRANSLATE(B18280,""en"",""fr"")"),"La gymnaste en câlins rouges et parle à ses autres coéquipiers et à son entraîneur tandis que plusieurs photographes prennent des photos d'elle.")</f>
        <v>La gymnaste en câlins rouges et parle à ses autres coéquipiers et à son entraîneur tandis que plusieurs photographes prennent des photos d'elle.</v>
      </c>
    </row>
    <row r="18281">
      <c r="A18281" s="4" t="s">
        <v>22987</v>
      </c>
      <c r="B18281" s="6" t="s">
        <v>23003</v>
      </c>
      <c r="C18281" s="5" t="str">
        <f>IFERROR(__xludf.DUMMYFUNCTION("GOOGLETRANSLATE(B18281,""en"",""fr"")"),"Les commentateurs rejouent plusieurs des gymnastes plus difficiles de séquences de tumbling et son démontage au ralenti tout en expliquant ce qu'elle fait.")</f>
        <v>Les commentateurs rejouent plusieurs des gymnastes plus difficiles de séquences de tumbling et son démontage au ralenti tout en expliquant ce qu'elle fait.</v>
      </c>
    </row>
    <row r="18282">
      <c r="A18282" s="4" t="s">
        <v>22987</v>
      </c>
      <c r="B18282" s="6" t="s">
        <v>23004</v>
      </c>
      <c r="C18282" s="5" t="str">
        <f>IFERROR(__xludf.DUMMYFUNCTION("GOOGLETRANSLATE(B18282,""en"",""fr"")"),"La gymnaste féminine embrasse un autre entraîneur et une autre de ses coéquipiers tandis qu'un homme les filme avec un grand appareil photo.")</f>
        <v>La gymnaste féminine embrasse un autre entraîneur et une autre de ses coéquipiers tandis qu'un homme les filme avec un grand appareil photo.</v>
      </c>
    </row>
    <row r="18283">
      <c r="A18283" s="4" t="s">
        <v>22987</v>
      </c>
      <c r="B18283" s="6" t="s">
        <v>23005</v>
      </c>
      <c r="C18283" s="5" t="str">
        <f>IFERROR(__xludf.DUMMYFUNCTION("GOOGLETRANSLATE(B18283,""en"",""fr"")"),"Tous les gymnastes de l'équipe américaine et leurs entraîneurs traversent le gymnase pendant que la foule applaudit très fort.")</f>
        <v>Tous les gymnastes de l'équipe américaine et leurs entraîneurs traversent le gymnase pendant que la foule applaudit très fort.</v>
      </c>
    </row>
    <row r="18284">
      <c r="A18284" s="4" t="s">
        <v>22987</v>
      </c>
      <c r="B18284" s="4" t="s">
        <v>23006</v>
      </c>
      <c r="C18284" s="5" t="str">
        <f>IFERROR(__xludf.DUMMYFUNCTION("GOOGLETRANSLATE(B18284,""en"",""fr"")"),"Plusieurs gymnastes d'autres équipes passent également.")</f>
        <v>Plusieurs gymnastes d'autres équipes passent également.</v>
      </c>
    </row>
    <row r="18285">
      <c r="A18285" s="4" t="s">
        <v>22987</v>
      </c>
      <c r="B18285" s="4" t="s">
        <v>23007</v>
      </c>
      <c r="C18285" s="5" t="str">
        <f>IFERROR(__xludf.DUMMYFUNCTION("GOOGLETRANSLATE(B18285,""en"",""fr"")"),"La gymnaste féminine s'entretient avec son équipe en attendant que son score soit affiché.")</f>
        <v>La gymnaste féminine s'entretient avec son équipe en attendant que son score soit affiché.</v>
      </c>
    </row>
    <row r="18286">
      <c r="A18286" s="4" t="s">
        <v>23008</v>
      </c>
      <c r="B18286" s="6" t="s">
        <v>23009</v>
      </c>
      <c r="C18286" s="5" t="str">
        <f>IFERROR(__xludf.DUMMYFUNCTION("GOOGLETRANSLATE(B18286,""en"",""fr"")"),"Une petite fille montre comment appliquer le maquillage à l'aide d'un mini kit de maquillage comme source de maquillage, tout en parlant à la caméra.")</f>
        <v>Une petite fille montre comment appliquer le maquillage à l'aide d'un mini kit de maquillage comme source de maquillage, tout en parlant à la caméra.</v>
      </c>
    </row>
    <row r="18287">
      <c r="A18287" s="4" t="s">
        <v>23008</v>
      </c>
      <c r="B18287" s="4" t="s">
        <v>23010</v>
      </c>
      <c r="C18287" s="5" t="str">
        <f>IFERROR(__xludf.DUMMYFUNCTION("GOOGLETRANSLATE(B18287,""en"",""fr"")"),"Une petite fille parle à la caméra puis se penche sur la caméra dans un plan de gros plan.")</f>
        <v>Une petite fille parle à la caméra puis se penche sur la caméra dans un plan de gros plan.</v>
      </c>
    </row>
    <row r="18288">
      <c r="A18288" s="4" t="s">
        <v>23008</v>
      </c>
      <c r="B18288" s="6" t="s">
        <v>23011</v>
      </c>
      <c r="C18288" s="5" t="str">
        <f>IFERROR(__xludf.DUMMYFUNCTION("GOOGLETRANSLATE(B18288,""en"",""fr"")"),"La petite fille sort une palette de maquillage colorée et montre la caméra à l'intérieur de la palette avant de commencer à appliquer une partie du maquillage sur ses yeux.")</f>
        <v>La petite fille sort une palette de maquillage colorée et montre la caméra à l'intérieur de la palette avant de commencer à appliquer une partie du maquillage sur ses yeux.</v>
      </c>
    </row>
    <row r="18289">
      <c r="A18289" s="4" t="s">
        <v>23008</v>
      </c>
      <c r="B18289" s="6" t="s">
        <v>23012</v>
      </c>
      <c r="C18289" s="5" t="str">
        <f>IFERROR(__xludf.DUMMYFUNCTION("GOOGLETRANSLATE(B18289,""en"",""fr"")"),"La fille applique ensuite le mascara noir à ses cils et des fards à paupières et un brillant à lèvres prenant des pauses après les applications pour parler à la caméra.")</f>
        <v>La fille applique ensuite le mascara noir à ses cils et des fards à paupières et un brillant à lèvres prenant des pauses après les applications pour parler à la caméra.</v>
      </c>
    </row>
    <row r="18290">
      <c r="A18290" s="4" t="s">
        <v>23008</v>
      </c>
      <c r="B18290" s="6" t="s">
        <v>23013</v>
      </c>
      <c r="C18290" s="5" t="str">
        <f>IFERROR(__xludf.DUMMYFUNCTION("GOOGLETRANSLATE(B18290,""en"",""fr"")"),"La petite fille donne un dernier coup de pouce et fait un baiser à la caméra avant de parler plus et de sourire alors que la scène s'estompe.")</f>
        <v>La petite fille donne un dernier coup de pouce et fait un baiser à la caméra avant de parler plus et de sourire alors que la scène s'estompe.</v>
      </c>
    </row>
    <row r="18291">
      <c r="A18291" s="4" t="s">
        <v>23014</v>
      </c>
      <c r="B18291" s="6" t="s">
        <v>23015</v>
      </c>
      <c r="C18291" s="5" t="str">
        <f>IFERROR(__xludf.DUMMYFUNCTION("GOOGLETRANSLATE(B18291,""en"",""fr"")"),"Un homme est assis sur une machine à aviron dans un gymnase et parle à la caméra tout en démontrant comment utiliser une machine d'exercice d'aviron.")</f>
        <v>Un homme est assis sur une machine à aviron dans un gymnase et parle à la caméra tout en démontrant comment utiliser une machine d'exercice d'aviron.</v>
      </c>
    </row>
    <row r="18292">
      <c r="A18292" s="4" t="s">
        <v>23014</v>
      </c>
      <c r="B18292" s="6" t="s">
        <v>23016</v>
      </c>
      <c r="C18292" s="5" t="str">
        <f>IFERROR(__xludf.DUMMYFUNCTION("GOOGLETRANSLATE(B18292,""en"",""fr"")"),"L'homme commence à faire de l'exercice sur la machine lentement, tout en parlant à la caméra, en s'appuyant finalement à un entraînement plus rapide sur la même machine.")</f>
        <v>L'homme commence à faire de l'exercice sur la machine lentement, tout en parlant à la caméra, en s'appuyant finalement à un entraînement plus rapide sur la même machine.</v>
      </c>
    </row>
    <row r="18293">
      <c r="A18293" s="4" t="s">
        <v>23014</v>
      </c>
      <c r="B18293" s="6" t="s">
        <v>23017</v>
      </c>
      <c r="C18293" s="5" t="str">
        <f>IFERROR(__xludf.DUMMYFUNCTION("GOOGLETRANSLATE(B18293,""en"",""fr"")"),"L'homme commence à montrer comment utiliser le panneau numérique sur la machine d'exercice en le pointant et en parlant à la caméra.")</f>
        <v>L'homme commence à montrer comment utiliser le panneau numérique sur la machine d'exercice en le pointant et en parlant à la caméra.</v>
      </c>
    </row>
    <row r="18294">
      <c r="A18294" s="4" t="s">
        <v>23018</v>
      </c>
      <c r="B18294" s="4" t="s">
        <v>23019</v>
      </c>
      <c r="C18294" s="5" t="str">
        <f>IFERROR(__xludf.DUMMYFUNCTION("GOOGLETRANSLATE(B18294,""en"",""fr"")"),"Un cerf-volant est représenté haut dans l'air.")</f>
        <v>Un cerf-volant est représenté haut dans l'air.</v>
      </c>
    </row>
    <row r="18295">
      <c r="A18295" s="4" t="s">
        <v>23018</v>
      </c>
      <c r="B18295" s="4" t="s">
        <v>23020</v>
      </c>
      <c r="C18295" s="5" t="str">
        <f>IFERROR(__xludf.DUMMYFUNCTION("GOOGLETRANSLATE(B18295,""en"",""fr"")"),"Un homme tient le cerf-volant avant de le laisser partir.")</f>
        <v>Un homme tient le cerf-volant avant de le laisser partir.</v>
      </c>
    </row>
    <row r="18296">
      <c r="A18296" s="4" t="s">
        <v>23018</v>
      </c>
      <c r="B18296" s="4" t="s">
        <v>23021</v>
      </c>
      <c r="C18296" s="5" t="str">
        <f>IFERROR(__xludf.DUMMYFUNCTION("GOOGLETRANSLATE(B18296,""en"",""fr"")"),"Il tourne haut dans l'air et se retourne en cercles et en angles, rebondissant sur le sol.")</f>
        <v>Il tourne haut dans l'air et se retourne en cercles et en angles, rebondissant sur le sol.</v>
      </c>
    </row>
    <row r="18297">
      <c r="A18297" s="4" t="s">
        <v>23022</v>
      </c>
      <c r="B18297" s="6" t="s">
        <v>23023</v>
      </c>
      <c r="C18297" s="5" t="str">
        <f>IFERROR(__xludf.DUMMYFUNCTION("GOOGLETRANSLATE(B18297,""en"",""fr"")"),"Un homme se tient dans un gymnase en tenant une grande roue de vélo se déplaçant ses mains le long du tube à l'intérieur du caoutchouc.")</f>
        <v>Un homme se tient dans un gymnase en tenant une grande roue de vélo se déplaçant ses mains le long du tube à l'intérieur du caoutchouc.</v>
      </c>
    </row>
    <row r="18298">
      <c r="A18298" s="4" t="s">
        <v>23022</v>
      </c>
      <c r="B18298" s="4" t="s">
        <v>23024</v>
      </c>
      <c r="C18298" s="5" t="str">
        <f>IFERROR(__xludf.DUMMYFUNCTION("GOOGLETRANSLATE(B18298,""en"",""fr"")"),"L'homme exécute continuellement l'action alors qu'il bouge le cercle sur son genou.")</f>
        <v>L'homme exécute continuellement l'action alors qu'il bouge le cercle sur son genou.</v>
      </c>
    </row>
    <row r="18299">
      <c r="A18299" s="4" t="s">
        <v>23022</v>
      </c>
      <c r="B18299" s="6" t="s">
        <v>23025</v>
      </c>
      <c r="C18299" s="5" t="str">
        <f>IFERROR(__xludf.DUMMYFUNCTION("GOOGLETRANSLATE(B18299,""en"",""fr"")"),"Après, l'homme ramasse un objet jaune et commence à resserrer les rayons sur la roue et à sceller le soulèvement du caoutchouc.")</f>
        <v>Après, l'homme ramasse un objet jaune et commence à resserrer les rayons sur la roue et à sceller le soulèvement du caoutchouc.</v>
      </c>
    </row>
    <row r="18300">
      <c r="A18300" s="4" t="s">
        <v>23026</v>
      </c>
      <c r="B18300" s="4" t="s">
        <v>23027</v>
      </c>
      <c r="C18300" s="5" t="str">
        <f>IFERROR(__xludf.DUMMYFUNCTION("GOOGLETRANSLATE(B18300,""en"",""fr"")"),"Un homme utilise une tondeuse pour couper les feuilles sur un arbre dans une cour, commençant au milieu.")</f>
        <v>Un homme utilise une tondeuse pour couper les feuilles sur un arbre dans une cour, commençant au milieu.</v>
      </c>
    </row>
    <row r="18301">
      <c r="A18301" s="4" t="s">
        <v>23026</v>
      </c>
      <c r="B18301" s="4" t="s">
        <v>23028</v>
      </c>
      <c r="C18301" s="5" t="str">
        <f>IFERROR(__xludf.DUMMYFUNCTION("GOOGLETRANSLATE(B18301,""en"",""fr"")"),"Il se déplace vers sa gauche pour continuer à couper l'arbre.")</f>
        <v>Il se déplace vers sa gauche pour continuer à couper l'arbre.</v>
      </c>
    </row>
    <row r="18302">
      <c r="A18302" s="4" t="s">
        <v>23029</v>
      </c>
      <c r="B18302" s="4" t="s">
        <v>23030</v>
      </c>
      <c r="C18302" s="5" t="str">
        <f>IFERROR(__xludf.DUMMYFUNCTION("GOOGLETRANSLATE(B18302,""en"",""fr"")"),"Deux femmes se tiennent dans une maison.")</f>
        <v>Deux femmes se tiennent dans une maison.</v>
      </c>
    </row>
    <row r="18303">
      <c r="A18303" s="4" t="s">
        <v>23029</v>
      </c>
      <c r="B18303" s="4" t="s">
        <v>23031</v>
      </c>
      <c r="C18303" s="5" t="str">
        <f>IFERROR(__xludf.DUMMYFUNCTION("GOOGLETRANSLATE(B18303,""en"",""fr"")"),"Ils montrent une tuile en toile.")</f>
        <v>Ils montrent une tuile en toile.</v>
      </c>
    </row>
    <row r="18304">
      <c r="A18304" s="4" t="s">
        <v>23029</v>
      </c>
      <c r="B18304" s="6" t="s">
        <v>23032</v>
      </c>
      <c r="C18304" s="5" t="str">
        <f>IFERROR(__xludf.DUMMYFUNCTION("GOOGLETRANSLATE(B18304,""en"",""fr"")"),"Ils montrent ensuite comment ils ont fait la tuile et l'ont dispensé sur le sol, la reconstituant comme un puzzle.")</f>
        <v>Ils montrent ensuite comment ils ont fait la tuile et l'ont dispensé sur le sol, la reconstituant comme un puzzle.</v>
      </c>
    </row>
    <row r="18305">
      <c r="A18305" s="4" t="s">
        <v>23029</v>
      </c>
      <c r="B18305" s="4" t="s">
        <v>23033</v>
      </c>
      <c r="C18305" s="5" t="str">
        <f>IFERROR(__xludf.DUMMYFUNCTION("GOOGLETRANSLATE(B18305,""en"",""fr"")"),"Ils s'assoient par-dessus en parlant avant de remettre les meubles en place dessus.")</f>
        <v>Ils s'assoient par-dessus en parlant avant de remettre les meubles en place dessus.</v>
      </c>
    </row>
    <row r="18306">
      <c r="A18306" s="4" t="s">
        <v>23034</v>
      </c>
      <c r="B18306" s="4" t="s">
        <v>23035</v>
      </c>
      <c r="C18306" s="5" t="str">
        <f>IFERROR(__xludf.DUMMYFUNCTION("GOOGLETRANSLATE(B18306,""en"",""fr"")"),"Un chien moelleux se tient sur un trottoir avec un enfant derrière.")</f>
        <v>Un chien moelleux se tient sur un trottoir avec un enfant derrière.</v>
      </c>
    </row>
    <row r="18307">
      <c r="A18307" s="4" t="s">
        <v>23034</v>
      </c>
      <c r="B18307" s="6" t="s">
        <v>23036</v>
      </c>
      <c r="C18307" s="5" t="str">
        <f>IFERROR(__xludf.DUMMYFUNCTION("GOOGLETRANSLATE(B18307,""en"",""fr"")"),"Le chien commence à marcher sur le trottoir et derrière lui, un enfant monte sur un scooter alors que le chien marche.")</f>
        <v>Le chien commence à marcher sur le trottoir et derrière lui, un enfant monte sur un scooter alors que le chien marche.</v>
      </c>
    </row>
    <row r="18308">
      <c r="A18308" s="4" t="s">
        <v>23037</v>
      </c>
      <c r="B18308" s="4" t="s">
        <v>23038</v>
      </c>
      <c r="C18308" s="5" t="str">
        <f>IFERROR(__xludf.DUMMYFUNCTION("GOOGLETRANSLATE(B18308,""en"",""fr"")"),"Un évier est représenté plein de plats sales et mène à divers produits présentés.")</f>
        <v>Un évier est représenté plein de plats sales et mène à divers produits présentés.</v>
      </c>
    </row>
    <row r="18309">
      <c r="A18309" s="4" t="s">
        <v>23037</v>
      </c>
      <c r="B18309" s="4" t="s">
        <v>23039</v>
      </c>
      <c r="C18309" s="5" t="str">
        <f>IFERROR(__xludf.DUMMYFUNCTION("GOOGLETRANSLATE(B18309,""en"",""fr"")"),"Une personne frotte alors la vaisselle et commence à en mettre certaines dans un seau.")</f>
        <v>Une personne frotte alors la vaisselle et commence à en mettre certaines dans un seau.</v>
      </c>
    </row>
    <row r="18310">
      <c r="A18310" s="4" t="s">
        <v>23037</v>
      </c>
      <c r="B18310" s="4" t="s">
        <v>23040</v>
      </c>
      <c r="C18310" s="5" t="str">
        <f>IFERROR(__xludf.DUMMYFUNCTION("GOOGLETRANSLATE(B18310,""en"",""fr"")"),"Ils lavent la vaisselle en continu tout en les empilant dans une grille sur le côté.")</f>
        <v>Ils lavent la vaisselle en continu tout en les empilant dans une grille sur le côté.</v>
      </c>
    </row>
    <row r="18311">
      <c r="A18311" s="4" t="s">
        <v>23041</v>
      </c>
      <c r="B18311" s="4" t="s">
        <v>23042</v>
      </c>
      <c r="C18311" s="5" t="str">
        <f>IFERROR(__xludf.DUMMYFUNCTION("GOOGLETRANSLATE(B18311,""en"",""fr"")"),"Un rasoir à trois têtes Phillips est illustré puis sans boîte sur une table rouge.")</f>
        <v>Un rasoir à trois têtes Phillips est illustré puis sans boîte sur une table rouge.</v>
      </c>
    </row>
    <row r="18312">
      <c r="A18312" s="4" t="s">
        <v>23041</v>
      </c>
      <c r="B18312" s="4" t="s">
        <v>23043</v>
      </c>
      <c r="C18312" s="5" t="str">
        <f>IFERROR(__xludf.DUMMYFUNCTION("GOOGLETRANSLATE(B18312,""en"",""fr"")"),"Ensuite, le rasoir est assemblé et place sur sa charge pour charger une fois qu'il est branché.")</f>
        <v>Ensuite, le rasoir est assemblé et place sur sa charge pour charger une fois qu'il est branché.</v>
      </c>
    </row>
    <row r="18313">
      <c r="A18313" s="4" t="s">
        <v>23041</v>
      </c>
      <c r="B18313" s="6" t="s">
        <v>23044</v>
      </c>
      <c r="C18313" s="5" t="str">
        <f>IFERROR(__xludf.DUMMYFUNCTION("GOOGLETRANSLATE(B18313,""en"",""fr"")"),"Une fois complètement chargé, l'homme rince les rasoirs, applique de la crème à raser à cette zone de barbe et commence à se raser.")</f>
        <v>Une fois complètement chargé, l'homme rince les rasoirs, applique de la crème à raser à cette zone de barbe et commence à se raser.</v>
      </c>
    </row>
    <row r="18314">
      <c r="A18314" s="4" t="s">
        <v>23041</v>
      </c>
      <c r="B18314" s="6" t="s">
        <v>23045</v>
      </c>
      <c r="C18314" s="5" t="str">
        <f>IFERROR(__xludf.DUMMYFUNCTION("GOOGLETRANSLATE(B18314,""en"",""fr"")"),"Alors qu'il se rasage, l'homme continue de parler et son visage commence à tourner un peu de rasoir et le rasoir est ensuite remis sur le chargeur.")</f>
        <v>Alors qu'il se rasage, l'homme continue de parler et son visage commence à tourner un peu de rasoir et le rasoir est ensuite remis sur le chargeur.</v>
      </c>
    </row>
    <row r="18315">
      <c r="A18315" s="4" t="s">
        <v>23046</v>
      </c>
      <c r="B18315" s="6" t="s">
        <v>23047</v>
      </c>
      <c r="C18315" s="5" t="str">
        <f>IFERROR(__xludf.DUMMYFUNCTION("GOOGLETRANSLATE(B18315,""en"",""fr"")"),"Un homme se tient sur une scène devant un drapeau américain tout en lisant dans un microphone à partir d'un morceau de papier.")</f>
        <v>Un homme se tient sur une scène devant un drapeau américain tout en lisant dans un microphone à partir d'un morceau de papier.</v>
      </c>
    </row>
    <row r="18316">
      <c r="A18316" s="4" t="s">
        <v>23046</v>
      </c>
      <c r="B18316" s="4" t="s">
        <v>23048</v>
      </c>
      <c r="C18316" s="5" t="str">
        <f>IFERROR(__xludf.DUMMYFUNCTION("GOOGLETRANSLATE(B18316,""en"",""fr"")"),"Il est ensuite montré devant une foule alors qu'ils crient derrière lui.")</f>
        <v>Il est ensuite montré devant une foule alors qu'ils crient derrière lui.</v>
      </c>
    </row>
    <row r="18317">
      <c r="A18317" s="4" t="s">
        <v>23046</v>
      </c>
      <c r="B18317" s="4" t="s">
        <v>23049</v>
      </c>
      <c r="C18317" s="5" t="str">
        <f>IFERROR(__xludf.DUMMYFUNCTION("GOOGLETRANSLATE(B18317,""en"",""fr"")"),"Les hommes sortent et commencent à participer à un défi de lancement de fléchettes.")</f>
        <v>Les hommes sortent et commencent à participer à un défi de lancement de fléchettes.</v>
      </c>
    </row>
    <row r="18318">
      <c r="A18318" s="4" t="s">
        <v>23046</v>
      </c>
      <c r="B18318" s="4" t="s">
        <v>23050</v>
      </c>
      <c r="C18318" s="5" t="str">
        <f>IFERROR(__xludf.DUMMYFUNCTION("GOOGLETRANSLATE(B18318,""en"",""fr"")"),"Le gagnant est interviewé par la suite.")</f>
        <v>Le gagnant est interviewé par la suite.</v>
      </c>
    </row>
    <row r="18319">
      <c r="A18319" s="4" t="s">
        <v>23051</v>
      </c>
      <c r="B18319" s="4" t="s">
        <v>23052</v>
      </c>
      <c r="C18319" s="5" t="str">
        <f>IFERROR(__xludf.DUMMYFUNCTION("GOOGLETRANSLATE(B18319,""en"",""fr"")"),"Les informations de tubes de Bali River sont affichées à l'écran.")</f>
        <v>Les informations de tubes de Bali River sont affichées à l'écran.</v>
      </c>
    </row>
    <row r="18320">
      <c r="A18320" s="4" t="s">
        <v>23051</v>
      </c>
      <c r="B18320" s="4" t="s">
        <v>23053</v>
      </c>
      <c r="C18320" s="5" t="str">
        <f>IFERROR(__xludf.DUMMYFUNCTION("GOOGLETRANSLATE(B18320,""en"",""fr"")"),"Il y a un tube jaune et rouge illustré avec le nom de la rivière Bali imprimée dessus.")</f>
        <v>Il y a un tube jaune et rouge illustré avec le nom de la rivière Bali imprimée dessus.</v>
      </c>
    </row>
    <row r="18321">
      <c r="A18321" s="4" t="s">
        <v>23051</v>
      </c>
      <c r="B18321" s="4" t="s">
        <v>23054</v>
      </c>
      <c r="C18321" s="5" t="str">
        <f>IFERROR(__xludf.DUMMYFUNCTION("GOOGLETRANSLATE(B18321,""en"",""fr"")"),"Il y a plusieurs personnes portant des tubes de casques protecteurs dans la rivière.")</f>
        <v>Il y a plusieurs personnes portant des tubes de casques protecteurs dans la rivière.</v>
      </c>
    </row>
    <row r="18322">
      <c r="A18322" s="4" t="s">
        <v>23051</v>
      </c>
      <c r="B18322" s="4" t="s">
        <v>23055</v>
      </c>
      <c r="C18322" s="5" t="str">
        <f>IFERROR(__xludf.DUMMYFUNCTION("GOOGLETRANSLATE(B18322,""en"",""fr"")"),"Il y a un homme debout sous un tuyau avec de l'eau qui coule rapide.")</f>
        <v>Il y a un homme debout sous un tuyau avec de l'eau qui coule rapide.</v>
      </c>
    </row>
    <row r="18323">
      <c r="A18323" s="4" t="s">
        <v>23051</v>
      </c>
      <c r="B18323" s="4" t="s">
        <v>23056</v>
      </c>
      <c r="C18323" s="5" t="str">
        <f>IFERROR(__xludf.DUMMYFUNCTION("GOOGLETRANSLATE(B18323,""en"",""fr"")"),"Il y a des tubercules pagayant dans l'eau avec leurs mains.")</f>
        <v>Il y a des tubercules pagayant dans l'eau avec leurs mains.</v>
      </c>
    </row>
    <row r="18324">
      <c r="A18324" s="4" t="s">
        <v>23051</v>
      </c>
      <c r="B18324" s="4" t="s">
        <v>23057</v>
      </c>
      <c r="C18324" s="5" t="str">
        <f>IFERROR(__xludf.DUMMYFUNCTION("GOOGLETRANSLATE(B18324,""en"",""fr"")"),"Il y a un homme se détendant dans son tube donnant un coup de pouce.")</f>
        <v>Il y a un homme se détendant dans son tube donnant un coup de pouce.</v>
      </c>
    </row>
    <row r="18325">
      <c r="A18325" s="4" t="s">
        <v>23051</v>
      </c>
      <c r="B18325" s="4" t="s">
        <v>23058</v>
      </c>
      <c r="C18325" s="5" t="str">
        <f>IFERROR(__xludf.DUMMYFUNCTION("GOOGLETRANSLATE(B18325,""en"",""fr"")"),"Les tubercules continuent de tubes à travers la rivière.")</f>
        <v>Les tubercules continuent de tubes à travers la rivière.</v>
      </c>
    </row>
    <row r="18326">
      <c r="A18326" s="4" t="s">
        <v>23059</v>
      </c>
      <c r="B18326" s="4" t="s">
        <v>23060</v>
      </c>
      <c r="C18326" s="5" t="str">
        <f>IFERROR(__xludf.DUMMYFUNCTION("GOOGLETRANSLATE(B18326,""en"",""fr"")"),"Un homme est vu portant un masque et poussant un objet le long d'un mur.")</f>
        <v>Un homme est vu portant un masque et poussant un objet le long d'un mur.</v>
      </c>
    </row>
    <row r="18327">
      <c r="A18327" s="4" t="s">
        <v>23059</v>
      </c>
      <c r="B18327" s="4" t="s">
        <v>23061</v>
      </c>
      <c r="C18327" s="5" t="str">
        <f>IFERROR(__xludf.DUMMYFUNCTION("GOOGLETRANSLATE(B18327,""en"",""fr"")"),"L'homme est ensuite vu en train de souscrire du papier sur une table.")</f>
        <v>L'homme est ensuite vu en train de souscrire du papier sur une table.</v>
      </c>
    </row>
    <row r="18328">
      <c r="A18328" s="4" t="s">
        <v>23059</v>
      </c>
      <c r="B18328" s="4" t="s">
        <v>23062</v>
      </c>
      <c r="C18328" s="5" t="str">
        <f>IFERROR(__xludf.DUMMYFUNCTION("GOOGLETRANSLATE(B18328,""en"",""fr"")"),"Il met peu de temps après le papier peint sur le mur.")</f>
        <v>Il met peu de temps après le papier peint sur le mur.</v>
      </c>
    </row>
    <row r="18329">
      <c r="A18329" s="4" t="s">
        <v>23063</v>
      </c>
      <c r="B18329" s="4" t="s">
        <v>23064</v>
      </c>
      <c r="C18329" s="5" t="str">
        <f>IFERROR(__xludf.DUMMYFUNCTION("GOOGLETRANSLATE(B18329,""en"",""fr"")"),"Une femme sur des lames à roller recule, tombe sur l'herbe et rit.")</f>
        <v>Une femme sur des lames à roller recule, tombe sur l'herbe et rit.</v>
      </c>
    </row>
    <row r="18330">
      <c r="A18330" s="4" t="s">
        <v>23063</v>
      </c>
      <c r="B18330" s="4" t="s">
        <v>23065</v>
      </c>
      <c r="C18330" s="5" t="str">
        <f>IFERROR(__xludf.DUMMYFUNCTION("GOOGLETRANSLATE(B18330,""en"",""fr"")"),"Une amie parle avec la femme tombée alors qu'elle essaie de se lever.")</f>
        <v>Une amie parle avec la femme tombée alors qu'elle essaie de se lever.</v>
      </c>
    </row>
    <row r="18331">
      <c r="A18331" s="4" t="s">
        <v>23063</v>
      </c>
      <c r="B18331" s="4" t="s">
        <v>23066</v>
      </c>
      <c r="C18331" s="5" t="str">
        <f>IFERROR(__xludf.DUMMYFUNCTION("GOOGLETRANSLATE(B18331,""en"",""fr"")"),"Une amie lui parle tout en tenant la caméra et lui offre une main pour se lever.")</f>
        <v>Une amie lui parle tout en tenant la caméra et lui offre une main pour se lever.</v>
      </c>
    </row>
    <row r="18332">
      <c r="A18332" s="4" t="s">
        <v>23063</v>
      </c>
      <c r="B18332" s="4" t="s">
        <v>23067</v>
      </c>
      <c r="C18332" s="5" t="str">
        <f>IFERROR(__xludf.DUMMYFUNCTION("GOOGLETRANSLATE(B18332,""en"",""fr"")"),"Deux femmes tiennent la main et commencent à rouler, tandis que la fille dans la chemise rouge apprend comment.")</f>
        <v>Deux femmes tiennent la main et commencent à rouler, tandis que la fille dans la chemise rouge apprend comment.</v>
      </c>
    </row>
    <row r="18333">
      <c r="A18333" s="4" t="s">
        <v>23063</v>
      </c>
      <c r="B18333" s="4" t="s">
        <v>23068</v>
      </c>
      <c r="C18333" s="5" t="str">
        <f>IFERROR(__xludf.DUMMYFUNCTION("GOOGLETRANSLATE(B18333,""en"",""fr"")"),"La fille dans la chemise rouge tombe et ils rient tous.")</f>
        <v>La fille dans la chemise rouge tombe et ils rient tous.</v>
      </c>
    </row>
    <row r="18334">
      <c r="A18334" s="4" t="s">
        <v>23069</v>
      </c>
      <c r="B18334" s="6" t="s">
        <v>23070</v>
      </c>
      <c r="C18334" s="5" t="str">
        <f>IFERROR(__xludf.DUMMYFUNCTION("GOOGLETRANSLATE(B18334,""en"",""fr"")"),"Un souffleur de feuilles est montré soufflant un gros tas de feuilles sur une pelouse verte devant des maisons résidentielles.")</f>
        <v>Un souffleur de feuilles est montré soufflant un gros tas de feuilles sur une pelouse verte devant des maisons résidentielles.</v>
      </c>
    </row>
    <row r="18335">
      <c r="A18335" s="4" t="s">
        <v>23069</v>
      </c>
      <c r="B18335" s="6" t="s">
        <v>23071</v>
      </c>
      <c r="C18335" s="5" t="str">
        <f>IFERROR(__xludf.DUMMYFUNCTION("GOOGLETRANSLATE(B18335,""en"",""fr"")"),"Les feuilles volent dans l'air mais collent en grande partie ensemble lorsque le souffleur de feuille essuie le sol des feuilles brunes et commence à former des tas sur la pelouse.")</f>
        <v>Les feuilles volent dans l'air mais collent en grande partie ensemble lorsque le souffleur de feuille essuie le sol des feuilles brunes et commence à former des tas sur la pelouse.</v>
      </c>
    </row>
    <row r="18336">
      <c r="A18336" s="4" t="s">
        <v>23069</v>
      </c>
      <c r="B18336" s="6" t="s">
        <v>23072</v>
      </c>
      <c r="C18336" s="5" t="str">
        <f>IFERROR(__xludf.DUMMYFUNCTION("GOOGLETRANSLATE(B18336,""en"",""fr"")"),"La caméra de temps en temps et finalement s'installe sur une tondeuse à gazon jaune assis dans la cour au-delà des tas de feuilles.")</f>
        <v>La caméra de temps en temps et finalement s'installe sur une tondeuse à gazon jaune assis dans la cour au-delà des tas de feuilles.</v>
      </c>
    </row>
    <row r="18337">
      <c r="A18337" s="4" t="s">
        <v>23073</v>
      </c>
      <c r="B18337" s="4" t="s">
        <v>23074</v>
      </c>
      <c r="C18337" s="5" t="str">
        <f>IFERROR(__xludf.DUMMYFUNCTION("GOOGLETRANSLATE(B18337,""en"",""fr"")"),"Nous voyons une fille aux cheveux violets parler à la caméra.")</f>
        <v>Nous voyons une fille aux cheveux violets parler à la caméra.</v>
      </c>
    </row>
    <row r="18338">
      <c r="A18338" s="4" t="s">
        <v>23073</v>
      </c>
      <c r="B18338" s="4" t="s">
        <v>23075</v>
      </c>
      <c r="C18338" s="5" t="str">
        <f>IFERROR(__xludf.DUMMYFUNCTION("GOOGLETRANSLATE(B18338,""en"",""fr"")"),"Nous voyons la fille regarder la caméra.")</f>
        <v>Nous voyons la fille regarder la caméra.</v>
      </c>
    </row>
    <row r="18339">
      <c r="A18339" s="4" t="s">
        <v>23073</v>
      </c>
      <c r="B18339" s="4" t="s">
        <v>23076</v>
      </c>
      <c r="C18339" s="5" t="str">
        <f>IFERROR(__xludf.DUMMYFUNCTION("GOOGLETRANSLATE(B18339,""en"",""fr"")"),"Nous voyons la fille faire semblant de se brosser et de vaporiser ses cheveux.")</f>
        <v>Nous voyons la fille faire semblant de se brosser et de vaporiser ses cheveux.</v>
      </c>
    </row>
    <row r="18340">
      <c r="A18340" s="4" t="s">
        <v>23073</v>
      </c>
      <c r="B18340" s="4" t="s">
        <v>23077</v>
      </c>
      <c r="C18340" s="5" t="str">
        <f>IFERROR(__xludf.DUMMYFUNCTION("GOOGLETRANSLATE(B18340,""en"",""fr"")"),"Elle tient 2 bouteilles à la caméra.")</f>
        <v>Elle tient 2 bouteilles à la caméra.</v>
      </c>
    </row>
    <row r="18341">
      <c r="A18341" s="4" t="s">
        <v>23073</v>
      </c>
      <c r="B18341" s="4" t="s">
        <v>23078</v>
      </c>
      <c r="C18341" s="5" t="str">
        <f>IFERROR(__xludf.DUMMYFUNCTION("GOOGLETRANSLATE(B18341,""en"",""fr"")"),"La fille se brosse les cheveux et les met en queue de cheval.")</f>
        <v>La fille se brosse les cheveux et les met en queue de cheval.</v>
      </c>
    </row>
    <row r="18342">
      <c r="A18342" s="4" t="s">
        <v>23073</v>
      </c>
      <c r="B18342" s="4" t="s">
        <v>23079</v>
      </c>
      <c r="C18342" s="5" t="str">
        <f>IFERROR(__xludf.DUMMYFUNCTION("GOOGLETRANSLATE(B18342,""en"",""fr"")"),"La fille ajoute des produits à ses cheveux.")</f>
        <v>La fille ajoute des produits à ses cheveux.</v>
      </c>
    </row>
    <row r="18343">
      <c r="A18343" s="4" t="s">
        <v>23073</v>
      </c>
      <c r="B18343" s="4" t="s">
        <v>23080</v>
      </c>
      <c r="C18343" s="5" t="str">
        <f>IFERROR(__xludf.DUMMYFUNCTION("GOOGLETRANSLATE(B18343,""en"",""fr"")"),"La fille pointe vers la caméra.")</f>
        <v>La fille pointe vers la caméra.</v>
      </c>
    </row>
    <row r="18344">
      <c r="A18344" s="4" t="s">
        <v>23073</v>
      </c>
      <c r="B18344" s="4" t="s">
        <v>23081</v>
      </c>
      <c r="C18344" s="5" t="str">
        <f>IFERROR(__xludf.DUMMYFUNCTION("GOOGLETRANSLATE(B18344,""en"",""fr"")"),"La fille donne à la caméra un coup de pouce.")</f>
        <v>La fille donne à la caméra un coup de pouce.</v>
      </c>
    </row>
    <row r="18345">
      <c r="A18345" s="4" t="s">
        <v>23082</v>
      </c>
      <c r="B18345" s="4" t="s">
        <v>23083</v>
      </c>
      <c r="C18345" s="5" t="str">
        <f>IFERROR(__xludf.DUMMYFUNCTION("GOOGLETRANSLATE(B18345,""en"",""fr"")"),"L'homme se tient sur une pièce en jouant à Dart.")</f>
        <v>L'homme se tient sur une pièce en jouant à Dart.</v>
      </c>
    </row>
    <row r="18346">
      <c r="A18346" s="4" t="s">
        <v>23082</v>
      </c>
      <c r="B18346" s="4" t="s">
        <v>23084</v>
      </c>
      <c r="C18346" s="5" t="str">
        <f>IFERROR(__xludf.DUMMYFUNCTION("GOOGLETRANSLATE(B18346,""en"",""fr"")"),"L'homme jette des fléchettes dans une planche de fléchette.")</f>
        <v>L'homme jette des fléchettes dans une planche de fléchette.</v>
      </c>
    </row>
    <row r="18347">
      <c r="A18347" s="4" t="s">
        <v>23082</v>
      </c>
      <c r="B18347" s="4" t="s">
        <v>23085</v>
      </c>
      <c r="C18347" s="5" t="str">
        <f>IFERROR(__xludf.DUMMYFUNCTION("GOOGLETRANSLATE(B18347,""en"",""fr"")"),"L'homme attrape les fléchettes de la planche et parle à la caméra.")</f>
        <v>L'homme attrape les fléchettes de la planche et parle à la caméra.</v>
      </c>
    </row>
    <row r="18348">
      <c r="A18348" s="4" t="s">
        <v>23086</v>
      </c>
      <c r="B18348" s="6" t="s">
        <v>23087</v>
      </c>
      <c r="C18348" s="5" t="str">
        <f>IFERROR(__xludf.DUMMYFUNCTION("GOOGLETRANSLATE(B18348,""en"",""fr"")"),"Il y a des gens qui travaillent dans un stand de boisson à boire des tasses, des tasses tremblantes, des tasses ou simplement se promener.")</f>
        <v>Il y a des gens qui travaillent dans un stand de boisson à boire des tasses, des tasses tremblantes, des tasses ou simplement se promener.</v>
      </c>
    </row>
    <row r="18349">
      <c r="A18349" s="4" t="s">
        <v>23086</v>
      </c>
      <c r="B18349" s="6" t="s">
        <v>23088</v>
      </c>
      <c r="C18349" s="5" t="str">
        <f>IFERROR(__xludf.DUMMYFUNCTION("GOOGLETRANSLATE(B18349,""en"",""fr"")"),"Un jeune homme remplit une tasse claire de liquide, le met sur le comptoir, le couvre avec une tasse en papier, le secoue vigoureusement, et quand il a fini, il pose la tasse en papier et y verse tous les contenus, met une paille jaune dans la paille jaun"&amp;"e ça et le remet à la personne qui attend.")</f>
        <v>Un jeune homme remplit une tasse claire de liquide, le met sur le comptoir, le couvre avec une tasse en papier, le secoue vigoureusement, et quand il a fini, il pose la tasse en papier et y verse tous les contenus, met une paille jaune dans la paille jaune ça et le remet à la personne qui attend.</v>
      </c>
    </row>
    <row r="18350">
      <c r="A18350" s="4" t="s">
        <v>23086</v>
      </c>
      <c r="B18350" s="6" t="s">
        <v>23089</v>
      </c>
      <c r="C18350" s="5" t="str">
        <f>IFERROR(__xludf.DUMMYFUNCTION("GOOGLETRANSLATE(B18350,""en"",""fr"")"),"À côté de lui, un autre garçon tremblait également une tasse, puis se préparait à transférer le contenu dans une tasse en papier.")</f>
        <v>À côté de lui, un autre garçon tremblait également une tasse, puis se préparait à transférer le contenu dans une tasse en papier.</v>
      </c>
    </row>
    <row r="18351">
      <c r="A18351" s="4" t="s">
        <v>23090</v>
      </c>
      <c r="B18351" s="6" t="s">
        <v>23091</v>
      </c>
      <c r="C18351" s="5" t="str">
        <f>IFERROR(__xludf.DUMMYFUNCTION("GOOGLETRANSLATE(B18351,""en"",""fr"")"),"Un homme en chemise bleue parle à côté d'un jeu de table de hockey aérien dans une salle de vitrine, entrecoupé une vidéo de quatre hommes démontrant un jeu de hockey de table aérienne.")</f>
        <v>Un homme en chemise bleue parle à côté d'un jeu de table de hockey aérien dans une salle de vitrine, entrecoupé une vidéo de quatre hommes démontrant un jeu de hockey de table aérienne.</v>
      </c>
    </row>
    <row r="18352">
      <c r="A18352" s="4" t="s">
        <v>23090</v>
      </c>
      <c r="B18352" s="4" t="s">
        <v>23092</v>
      </c>
      <c r="C18352" s="5" t="str">
        <f>IFERROR(__xludf.DUMMYFUNCTION("GOOGLETRANSLATE(B18352,""en"",""fr"")"),"Un homme commence à parler d'une salle d'exposition, tout en se tenant devant un jeu de table de hockey aérien.")</f>
        <v>Un homme commence à parler d'une salle d'exposition, tout en se tenant devant un jeu de table de hockey aérien.</v>
      </c>
    </row>
    <row r="18353">
      <c r="A18353" s="4" t="s">
        <v>23090</v>
      </c>
      <c r="B18353" s="4" t="s">
        <v>23093</v>
      </c>
      <c r="C18353" s="5" t="str">
        <f>IFERROR(__xludf.DUMMYFUNCTION("GOOGLETRANSLATE(B18353,""en"",""fr"")"),"La caméra coupe pour montrer quatre hommes jouant à un jeu de hockey aérien avec le jeu de table.")</f>
        <v>La caméra coupe pour montrer quatre hommes jouant à un jeu de hockey aérien avec le jeu de table.</v>
      </c>
    </row>
    <row r="18354">
      <c r="A18354" s="4" t="s">
        <v>23090</v>
      </c>
      <c r="B18354" s="6" t="s">
        <v>23094</v>
      </c>
      <c r="C18354" s="5" t="str">
        <f>IFERROR(__xludf.DUMMYFUNCTION("GOOGLETRANSLATE(B18354,""en"",""fr"")"),"L'homme parle à nouveau, à côté du jeu de la table, jusqu'à ce que la caméra se reproduise aux hommes jouant au hockey aérien jusqu'à ce que la scène se fonde sur un graphique élaboré de marketing de jeux Gold Standard.")</f>
        <v>L'homme parle à nouveau, à côté du jeu de la table, jusqu'à ce que la caméra se reproduise aux hommes jouant au hockey aérien jusqu'à ce que la scène se fonde sur un graphique élaboré de marketing de jeux Gold Standard.</v>
      </c>
    </row>
    <row r="18355">
      <c r="A18355" s="4" t="s">
        <v>23095</v>
      </c>
      <c r="B18355" s="6" t="s">
        <v>23096</v>
      </c>
      <c r="C18355" s="5" t="str">
        <f>IFERROR(__xludf.DUMMYFUNCTION("GOOGLETRANSLATE(B18355,""en"",""fr"")"),"Un homme se tient près d'une plate-forme de saut à la perche tandis qu'une série de Vaulters est montrée en essayant le coffre-fort avec divers degrés de succès.")</f>
        <v>Un homme se tient près d'une plate-forme de saut à la perche tandis qu'une série de Vaulters est montrée en essayant le coffre-fort avec divers degrés de succès.</v>
      </c>
    </row>
    <row r="18356">
      <c r="A18356" s="4" t="s">
        <v>23095</v>
      </c>
      <c r="B18356" s="4" t="s">
        <v>23097</v>
      </c>
      <c r="C18356" s="5" t="str">
        <f>IFERROR(__xludf.DUMMYFUNCTION("GOOGLETRANSLATE(B18356,""en"",""fr"")"),"Un groupe de personnes portant des uniformes blancs passe en arrière-plan.")</f>
        <v>Un groupe de personnes portant des uniformes blancs passe en arrière-plan.</v>
      </c>
    </row>
    <row r="18357">
      <c r="A18357" s="4" t="s">
        <v>23095</v>
      </c>
      <c r="B18357" s="4" t="s">
        <v>23098</v>
      </c>
      <c r="C18357" s="5" t="str">
        <f>IFERROR(__xludf.DUMMYFUNCTION("GOOGLETRANSLATE(B18357,""en"",""fr"")"),"Deux personnes passent en arrière-plan.")</f>
        <v>Deux personnes passent en arrière-plan.</v>
      </c>
    </row>
    <row r="18358">
      <c r="A18358" s="4" t="s">
        <v>23099</v>
      </c>
      <c r="B18358" s="4" t="s">
        <v>23100</v>
      </c>
      <c r="C18358" s="5" t="str">
        <f>IFERROR(__xludf.DUMMYFUNCTION("GOOGLETRANSLATE(B18358,""en"",""fr"")"),"Une femme ferme les yeux debout sur un plongeon.")</f>
        <v>Une femme ferme les yeux debout sur un plongeon.</v>
      </c>
    </row>
    <row r="18359">
      <c r="A18359" s="4" t="s">
        <v>23099</v>
      </c>
      <c r="B18359" s="4" t="s">
        <v>23101</v>
      </c>
      <c r="C18359" s="5" t="str">
        <f>IFERROR(__xludf.DUMMYFUNCTION("GOOGLETRANSLATE(B18359,""en"",""fr"")"),"Elle fait un flip et plonge dans l'eau.")</f>
        <v>Elle fait un flip et plonge dans l'eau.</v>
      </c>
    </row>
    <row r="18360">
      <c r="A18360" s="4" t="s">
        <v>23099</v>
      </c>
      <c r="B18360" s="4" t="s">
        <v>23102</v>
      </c>
      <c r="C18360" s="5" t="str">
        <f>IFERROR(__xludf.DUMMYFUNCTION("GOOGLETRANSLATE(B18360,""en"",""fr"")"),"Elle nage à la surface.")</f>
        <v>Elle nage à la surface.</v>
      </c>
    </row>
    <row r="18361">
      <c r="A18361" s="4" t="s">
        <v>23103</v>
      </c>
      <c r="B18361" s="4" t="s">
        <v>23104</v>
      </c>
      <c r="C18361" s="5" t="str">
        <f>IFERROR(__xludf.DUMMYFUNCTION("GOOGLETRANSLATE(B18361,""en"",""fr"")"),"Un groupe joue sur une scène.")</f>
        <v>Un groupe joue sur une scène.</v>
      </c>
    </row>
    <row r="18362">
      <c r="A18362" s="4" t="s">
        <v>23103</v>
      </c>
      <c r="B18362" s="4" t="s">
        <v>23105</v>
      </c>
      <c r="C18362" s="5" t="str">
        <f>IFERROR(__xludf.DUMMYFUNCTION("GOOGLETRANSLATE(B18362,""en"",""fr"")"),"Un homme et une femme s'embrassent.")</f>
        <v>Un homme et une femme s'embrassent.</v>
      </c>
    </row>
    <row r="18363">
      <c r="A18363" s="4" t="s">
        <v>23103</v>
      </c>
      <c r="B18363" s="4" t="s">
        <v>23106</v>
      </c>
      <c r="C18363" s="5" t="str">
        <f>IFERROR(__xludf.DUMMYFUNCTION("GOOGLETRANSLATE(B18363,""en"",""fr"")"),"Un homme en chemise jaune joue le saxophone.")</f>
        <v>Un homme en chemise jaune joue le saxophone.</v>
      </c>
    </row>
    <row r="18364">
      <c r="A18364" s="4" t="s">
        <v>23107</v>
      </c>
      <c r="B18364" s="4" t="s">
        <v>23108</v>
      </c>
      <c r="C18364" s="5" t="str">
        <f>IFERROR(__xludf.DUMMYFUNCTION("GOOGLETRANSLATE(B18364,""en"",""fr"")"),"Un jeune homme s'assoit et tire un tambour près de lui.")</f>
        <v>Un jeune homme s'assoit et tire un tambour près de lui.</v>
      </c>
    </row>
    <row r="18365">
      <c r="A18365" s="4" t="s">
        <v>23107</v>
      </c>
      <c r="B18365" s="4" t="s">
        <v>23109</v>
      </c>
      <c r="C18365" s="5" t="str">
        <f>IFERROR(__xludf.DUMMYFUNCTION("GOOGLETRANSLATE(B18365,""en"",""fr"")"),"Il ramasse ses bâtons et les frappe ensemble.")</f>
        <v>Il ramasse ses bâtons et les frappe ensemble.</v>
      </c>
    </row>
    <row r="18366">
      <c r="A18366" s="4" t="s">
        <v>23107</v>
      </c>
      <c r="B18366" s="4" t="s">
        <v>23110</v>
      </c>
      <c r="C18366" s="5" t="str">
        <f>IFERROR(__xludf.DUMMYFUNCTION("GOOGLETRANSLATE(B18366,""en"",""fr"")"),"Il commence à compter et à tambour.")</f>
        <v>Il commence à compter et à tambour.</v>
      </c>
    </row>
    <row r="18367">
      <c r="A18367" s="4" t="s">
        <v>23107</v>
      </c>
      <c r="B18367" s="4" t="s">
        <v>23111</v>
      </c>
      <c r="C18367" s="5" t="str">
        <f>IFERROR(__xludf.DUMMYFUNCTION("GOOGLETRANSLATE(B18367,""en"",""fr"")"),"Il bat plus vite en détournant le regard, puis s'arrête pour ajuster quelques tambours.")</f>
        <v>Il bat plus vite en détournant le regard, puis s'arrête pour ajuster quelques tambours.</v>
      </c>
    </row>
    <row r="18368">
      <c r="A18368" s="4" t="s">
        <v>23107</v>
      </c>
      <c r="B18368" s="6" t="s">
        <v>23112</v>
      </c>
      <c r="C18368" s="5" t="str">
        <f>IFERROR(__xludf.DUMMYFUNCTION("GOOGLETRANSLATE(B18368,""en"",""fr"")"),"Il se lève et déplace la caméra pour montrer un levier qu'il déplace, puis il tape sur le dessus d'un tambour encore et encore.")</f>
        <v>Il se lève et déplace la caméra pour montrer un levier qu'il déplace, puis il tape sur le dessus d'un tambour encore et encore.</v>
      </c>
    </row>
    <row r="18369">
      <c r="A18369" s="4" t="s">
        <v>23107</v>
      </c>
      <c r="B18369" s="4" t="s">
        <v>23113</v>
      </c>
      <c r="C18369" s="5" t="str">
        <f>IFERROR(__xludf.DUMMYFUNCTION("GOOGLETRANSLATE(B18369,""en"",""fr"")"),"Il donne un coup de pouce et un signe de paix.")</f>
        <v>Il donne un coup de pouce et un signe de paix.</v>
      </c>
    </row>
    <row r="18370">
      <c r="A18370" s="4" t="s">
        <v>23114</v>
      </c>
      <c r="B18370" s="4" t="s">
        <v>23115</v>
      </c>
      <c r="C18370" s="5" t="str">
        <f>IFERROR(__xludf.DUMMYFUNCTION("GOOGLETRANSLATE(B18370,""en"",""fr"")"),"Un homme est assis dans un piano, jouant et chante dans un microphone.")</f>
        <v>Un homme est assis dans un piano, jouant et chante dans un microphone.</v>
      </c>
    </row>
    <row r="18371">
      <c r="A18371" s="4" t="s">
        <v>23114</v>
      </c>
      <c r="B18371" s="4" t="s">
        <v>23116</v>
      </c>
      <c r="C18371" s="5" t="str">
        <f>IFERROR(__xludf.DUMMYFUNCTION("GOOGLETRANSLATE(B18371,""en"",""fr"")"),"Quand il termine, il lève les yeux et sourit.")</f>
        <v>Quand il termine, il lève les yeux et sourit.</v>
      </c>
    </row>
    <row r="18372">
      <c r="A18372" s="4" t="s">
        <v>23117</v>
      </c>
      <c r="B18372" s="4" t="s">
        <v>23118</v>
      </c>
      <c r="C18372" s="5" t="str">
        <f>IFERROR(__xludf.DUMMYFUNCTION("GOOGLETRANSLATE(B18372,""en"",""fr"")"),"Une athlète féminine court rapidement sur une piste.")</f>
        <v>Une athlète féminine court rapidement sur une piste.</v>
      </c>
    </row>
    <row r="18373">
      <c r="A18373" s="4" t="s">
        <v>23117</v>
      </c>
      <c r="B18373" s="4" t="s">
        <v>23119</v>
      </c>
      <c r="C18373" s="5" t="str">
        <f>IFERROR(__xludf.DUMMYFUNCTION("GOOGLETRANSLATE(B18373,""en"",""fr"")"),"Elle pénétre dans le sable avant de se lever et de s'éloigner.")</f>
        <v>Elle pénétre dans le sable avant de se lever et de s'éloigner.</v>
      </c>
    </row>
    <row r="18374">
      <c r="A18374" s="4" t="s">
        <v>23117</v>
      </c>
      <c r="B18374" s="4" t="s">
        <v>23120</v>
      </c>
      <c r="C18374" s="5" t="str">
        <f>IFERROR(__xludf.DUMMYFUNCTION("GOOGLETRANSLATE(B18374,""en"",""fr"")"),"La scène est répétée trois fois avant de se terminer avec ses applaudissements et applaudissements.")</f>
        <v>La scène est répétée trois fois avant de se terminer avec ses applaudissements et applaudissements.</v>
      </c>
    </row>
    <row r="18375">
      <c r="A18375" s="4" t="s">
        <v>23121</v>
      </c>
      <c r="B18375" s="4" t="s">
        <v>23122</v>
      </c>
      <c r="C18375" s="5" t="str">
        <f>IFERROR(__xludf.DUMMYFUNCTION("GOOGLETRANSLATE(B18375,""en"",""fr"")"),"Une personne est vue accrochée sur le côté d'un faisceau descendant tandis qu'un autre homme le tient.")</f>
        <v>Une personne est vue accrochée sur le côté d'un faisceau descendant tandis qu'un autre homme le tient.</v>
      </c>
    </row>
    <row r="18376">
      <c r="A18376" s="4" t="s">
        <v>23121</v>
      </c>
      <c r="B18376" s="4" t="s">
        <v>23123</v>
      </c>
      <c r="C18376" s="5" t="str">
        <f>IFERROR(__xludf.DUMMYFUNCTION("GOOGLETRANSLATE(B18376,""en"",""fr"")"),"Il tire ensuite l'autre homme et le regarde sauter sur le côté sur un cordon élastique.")</f>
        <v>Il tire ensuite l'autre homme et le regarde sauter sur le côté sur un cordon élastique.</v>
      </c>
    </row>
    <row r="18377">
      <c r="A18377" s="4" t="s">
        <v>23124</v>
      </c>
      <c r="B18377" s="4" t="s">
        <v>23125</v>
      </c>
      <c r="C18377" s="5" t="str">
        <f>IFERROR(__xludf.DUMMYFUNCTION("GOOGLETRANSLATE(B18377,""en"",""fr"")"),"Un homme est dans un culte, parlant devant un morceau de bois.")</f>
        <v>Un homme est dans un culte, parlant devant un morceau de bois.</v>
      </c>
    </row>
    <row r="18378">
      <c r="A18378" s="4" t="s">
        <v>23124</v>
      </c>
      <c r="B18378" s="4" t="s">
        <v>23126</v>
      </c>
      <c r="C18378" s="5" t="str">
        <f>IFERROR(__xludf.DUMMYFUNCTION("GOOGLETRANSLATE(B18378,""en"",""fr"")"),"Il ponce le morceau de bois vers le bas, puis essuie le scellant ou tachait sur le bois.")</f>
        <v>Il ponce le morceau de bois vers le bas, puis essuie le scellant ou tachait sur le bois.</v>
      </c>
    </row>
    <row r="18379">
      <c r="A18379" s="4" t="s">
        <v>23127</v>
      </c>
      <c r="B18379" s="4" t="s">
        <v>23128</v>
      </c>
      <c r="C18379" s="5" t="str">
        <f>IFERROR(__xludf.DUMMYFUNCTION("GOOGLETRANSLATE(B18379,""en"",""fr"")"),"Un homme est accroupi dans les bois à côté d'un tas de pierres.")</f>
        <v>Un homme est accroupi dans les bois à côté d'un tas de pierres.</v>
      </c>
    </row>
    <row r="18380">
      <c r="A18380" s="4" t="s">
        <v>23127</v>
      </c>
      <c r="B18380" s="4" t="s">
        <v>23129</v>
      </c>
      <c r="C18380" s="5" t="str">
        <f>IFERROR(__xludf.DUMMYFUNCTION("GOOGLETRANSLATE(B18380,""en"",""fr"")"),"Il explique la construction d'un incendie.")</f>
        <v>Il explique la construction d'un incendie.</v>
      </c>
    </row>
    <row r="18381">
      <c r="A18381" s="4" t="s">
        <v>23127</v>
      </c>
      <c r="B18381" s="4" t="s">
        <v>23130</v>
      </c>
      <c r="C18381" s="5" t="str">
        <f>IFERROR(__xludf.DUMMYFUNCTION("GOOGLETRANSLATE(B18381,""en"",""fr"")"),"Il allume le bois, créant un feu.")</f>
        <v>Il allume le bois, créant un feu.</v>
      </c>
    </row>
    <row r="18382">
      <c r="A18382" s="4" t="s">
        <v>23131</v>
      </c>
      <c r="B18382" s="4" t="s">
        <v>23132</v>
      </c>
      <c r="C18382" s="5" t="str">
        <f>IFERROR(__xludf.DUMMYFUNCTION("GOOGLETRANSLATE(B18382,""en"",""fr"")"),"Les gens jouent au hockey sur une patinoire.")</f>
        <v>Les gens jouent au hockey sur une patinoire.</v>
      </c>
    </row>
    <row r="18383">
      <c r="A18383" s="4" t="s">
        <v>23131</v>
      </c>
      <c r="B18383" s="4" t="s">
        <v>23133</v>
      </c>
      <c r="C18383" s="5" t="str">
        <f>IFERROR(__xludf.DUMMYFUNCTION("GOOGLETRANSLATE(B18383,""en"",""fr"")"),"Une personne tombe sur la glace.")</f>
        <v>Une personne tombe sur la glace.</v>
      </c>
    </row>
    <row r="18384">
      <c r="A18384" s="4" t="s">
        <v>23131</v>
      </c>
      <c r="B18384" s="4" t="s">
        <v>23134</v>
      </c>
      <c r="C18384" s="5" t="str">
        <f>IFERROR(__xludf.DUMMYFUNCTION("GOOGLETRANSLATE(B18384,""en"",""fr"")"),"Une personne court après une rondelle et retombe.")</f>
        <v>Une personne court après une rondelle et retombe.</v>
      </c>
    </row>
    <row r="18385">
      <c r="A18385" s="4" t="s">
        <v>23131</v>
      </c>
      <c r="B18385" s="4" t="s">
        <v>23135</v>
      </c>
      <c r="C18385" s="5" t="str">
        <f>IFERROR(__xludf.DUMMYFUNCTION("GOOGLETRANSLATE(B18385,""en"",""fr"")"),"Il commence à frapper la rondelle et tombe à nouveau.")</f>
        <v>Il commence à frapper la rondelle et tombe à nouveau.</v>
      </c>
    </row>
    <row r="18386">
      <c r="A18386" s="4" t="s">
        <v>23136</v>
      </c>
      <c r="B18386" s="4" t="s">
        <v>1487</v>
      </c>
      <c r="C18386" s="5" t="str">
        <f>IFERROR(__xludf.DUMMYFUNCTION("GOOGLETRANSLATE(B18386,""en"",""fr"")"),"Nous voyons un écran de titre d'ouverture.")</f>
        <v>Nous voyons un écran de titre d'ouverture.</v>
      </c>
    </row>
    <row r="18387">
      <c r="A18387" s="4" t="s">
        <v>23136</v>
      </c>
      <c r="B18387" s="4" t="s">
        <v>23137</v>
      </c>
      <c r="C18387" s="5" t="str">
        <f>IFERROR(__xludf.DUMMYFUNCTION("GOOGLETRANSLATE(B18387,""en"",""fr"")"),"Nous voyons un homme dans un magasin tenant un ski.")</f>
        <v>Nous voyons un homme dans un magasin tenant un ski.</v>
      </c>
    </row>
    <row r="18388">
      <c r="A18388" s="4" t="s">
        <v>23136</v>
      </c>
      <c r="B18388" s="4" t="s">
        <v>23138</v>
      </c>
      <c r="C18388" s="5" t="str">
        <f>IFERROR(__xludf.DUMMYFUNCTION("GOOGLETRANSLATE(B18388,""en"",""fr"")"),"L'homme nous montre une canette de produit sur lequel il pulvérise et essuie un ski.")</f>
        <v>L'homme nous montre une canette de produit sur lequel il pulvérise et essuie un ski.</v>
      </c>
    </row>
    <row r="18389">
      <c r="A18389" s="4" t="s">
        <v>23136</v>
      </c>
      <c r="B18389" s="4" t="s">
        <v>23139</v>
      </c>
      <c r="C18389" s="5" t="str">
        <f>IFERROR(__xludf.DUMMYFUNCTION("GOOGLETRANSLATE(B18389,""en"",""fr"")"),"L'homme tient alors le ski pour que nous puissions voir.")</f>
        <v>L'homme tient alors le ski pour que nous puissions voir.</v>
      </c>
    </row>
    <row r="18390">
      <c r="A18390" s="4" t="s">
        <v>23136</v>
      </c>
      <c r="B18390" s="4" t="s">
        <v>23140</v>
      </c>
      <c r="C18390" s="5" t="str">
        <f>IFERROR(__xludf.DUMMYFUNCTION("GOOGLETRANSLATE(B18390,""en"",""fr"")"),"Nous voyons deux produits de ski et un écran de fin.")</f>
        <v>Nous voyons deux produits de ski et un écran de fin.</v>
      </c>
    </row>
    <row r="18391">
      <c r="A18391" s="4" t="s">
        <v>23141</v>
      </c>
      <c r="B18391" s="4" t="s">
        <v>23142</v>
      </c>
      <c r="C18391" s="5" t="str">
        <f>IFERROR(__xludf.DUMMYFUNCTION("GOOGLETRANSLATE(B18391,""en"",""fr"")"),"Deux enfants aux cheveux extrêmement longs sont à l'extérieur près d'un groupe de hangars.")</f>
        <v>Deux enfants aux cheveux extrêmement longs sont à l'extérieur près d'un groupe de hangars.</v>
      </c>
    </row>
    <row r="18392">
      <c r="A18392" s="4" t="s">
        <v>23141</v>
      </c>
      <c r="B18392" s="4" t="s">
        <v>23143</v>
      </c>
      <c r="C18392" s="5" t="str">
        <f>IFERROR(__xludf.DUMMYFUNCTION("GOOGLETRANSLATE(B18392,""en"",""fr"")"),"Le garçon plus court commence à tirer les cheveux des autres gars et à le tirer par ça.")</f>
        <v>Le garçon plus court commence à tirer les cheveux des autres gars et à le tirer par ça.</v>
      </c>
    </row>
    <row r="18393">
      <c r="A18393" s="4" t="s">
        <v>23141</v>
      </c>
      <c r="B18393" s="6" t="s">
        <v>23144</v>
      </c>
      <c r="C18393" s="5" t="str">
        <f>IFERROR(__xludf.DUMMYFUNCTION("GOOGLETRANSLATE(B18393,""en"",""fr"")"),"Cependant, le garçon laisse aller les cheveux et le gars commence à le genou dans la zone privée, à le récupérer au-dessus de sa tête et à le laisser tomber sur un morceau de bois.")</f>
        <v>Cependant, le garçon laisse aller les cheveux et le gars commence à le genou dans la zone privée, à le récupérer au-dessus de sa tête et à le laisser tomber sur un morceau de bois.</v>
      </c>
    </row>
    <row r="18394">
      <c r="A18394" s="4" t="s">
        <v>23145</v>
      </c>
      <c r="B18394" s="4" t="s">
        <v>23146</v>
      </c>
      <c r="C18394" s="5" t="str">
        <f>IFERROR(__xludf.DUMMYFUNCTION("GOOGLETRANSLATE(B18394,""en"",""fr"")"),"Il y a beaucoup de gens habillés assis dans une grande salle à manger lors d'une réception.")</f>
        <v>Il y a beaucoup de gens habillés assis dans une grande salle à manger lors d'une réception.</v>
      </c>
    </row>
    <row r="18395">
      <c r="A18395" s="4" t="s">
        <v>23145</v>
      </c>
      <c r="B18395" s="6" t="s">
        <v>23147</v>
      </c>
      <c r="C18395" s="5" t="str">
        <f>IFERROR(__xludf.DUMMYFUNCTION("GOOGLETRANSLATE(B18395,""en"",""fr"")"),"Une femme brune tape une femme blonde sur le dos, pointe quelque chose sur le sol, et les femmes sourient avec la femme blonde se penche et ramasse son pull qui était sur le sol.")</f>
        <v>Une femme brune tape une femme blonde sur le dos, pointe quelque chose sur le sol, et les femmes sourient avec la femme blonde se penche et ramasse son pull qui était sur le sol.</v>
      </c>
    </row>
    <row r="18396">
      <c r="A18396" s="4" t="s">
        <v>23145</v>
      </c>
      <c r="B18396" s="6" t="s">
        <v>23148</v>
      </c>
      <c r="C18396" s="5" t="str">
        <f>IFERROR(__xludf.DUMMYFUNCTION("GOOGLETRANSLATE(B18396,""en"",""fr"")"),"Une femme vêtue d'une robe fluide bleue avec un body bleu en dessous est debout, et elle commence à faire une routine de danse de ballet au milieu du grand sol de danse tandis que les gens de la réception la regardent à chaque mouvement, prenant une photo"&amp;" et la vidéo.")</f>
        <v>Une femme vêtue d'une robe fluide bleue avec un body bleu en dessous est debout, et elle commence à faire une routine de danse de ballet au milieu du grand sol de danse tandis que les gens de la réception la regardent à chaque mouvement, prenant une photo et la vidéo.</v>
      </c>
    </row>
    <row r="18397">
      <c r="A18397" s="4" t="s">
        <v>23145</v>
      </c>
      <c r="B18397" s="6" t="s">
        <v>23149</v>
      </c>
      <c r="C18397" s="5" t="str">
        <f>IFERROR(__xludf.DUMMYFUNCTION("GOOGLETRANSLATE(B18397,""en"",""fr"")"),"Lorsque la femme a fini de danser, elle se tient là, les bras croisés sur sa poitrine et la foule applaudit, et lui donne une ovation debout pendant qu'elle prend quelques arcs.")</f>
        <v>Lorsque la femme a fini de danser, elle se tient là, les bras croisés sur sa poitrine et la foule applaudit, et lui donne une ovation debout pendant qu'elle prend quelques arcs.</v>
      </c>
    </row>
    <row r="18398">
      <c r="A18398" s="4" t="s">
        <v>23150</v>
      </c>
      <c r="B18398" s="4" t="s">
        <v>23151</v>
      </c>
      <c r="C18398" s="5" t="str">
        <f>IFERROR(__xludf.DUMMYFUNCTION("GOOGLETRANSLATE(B18398,""en"",""fr"")"),"La femme se tient devant des jetons et des cartes de poker.")</f>
        <v>La femme se tient devant des jetons et des cartes de poker.</v>
      </c>
    </row>
    <row r="18399">
      <c r="A18399" s="4" t="s">
        <v>23150</v>
      </c>
      <c r="B18399" s="4" t="s">
        <v>23152</v>
      </c>
      <c r="C18399" s="5" t="str">
        <f>IFERROR(__xludf.DUMMYFUNCTION("GOOGLETRANSLATE(B18399,""en"",""fr"")"),"Elle tourne les cartes et la mélange.")</f>
        <v>Elle tourne les cartes et la mélange.</v>
      </c>
    </row>
    <row r="18400">
      <c r="A18400" s="4" t="s">
        <v>23150</v>
      </c>
      <c r="B18400" s="4" t="s">
        <v>23153</v>
      </c>
      <c r="C18400" s="5" t="str">
        <f>IFERROR(__xludf.DUMMYFUNCTION("GOOGLETRANSLATE(B18400,""en"",""fr"")"),"Les cartes sont dans une pile et les divisent en 4 et le mélangent.")</f>
        <v>Les cartes sont dans une pile et les divisent en 4 et le mélangent.</v>
      </c>
    </row>
    <row r="18401">
      <c r="A18401" s="4" t="s">
        <v>23150</v>
      </c>
      <c r="B18401" s="4" t="s">
        <v>23154</v>
      </c>
      <c r="C18401" s="5" t="str">
        <f>IFERROR(__xludf.DUMMYFUNCTION("GOOGLETRANSLATE(B18401,""en"",""fr"")"),"Les cartes sont dans une pile et une autre personne le divise en deux et les met dans une boîte transparente.")</f>
        <v>Les cartes sont dans une pile et une autre personne le divise en deux et les met dans une boîte transparente.</v>
      </c>
    </row>
    <row r="18402">
      <c r="A18402" s="4" t="s">
        <v>23155</v>
      </c>
      <c r="B18402" s="4" t="s">
        <v>23156</v>
      </c>
      <c r="C18402" s="5" t="str">
        <f>IFERROR(__xludf.DUMMYFUNCTION("GOOGLETRANSLATE(B18402,""en"",""fr"")"),"Une fille montre comment faire des biscuits à partir de zéro.")</f>
        <v>Une fille montre comment faire des biscuits à partir de zéro.</v>
      </c>
    </row>
    <row r="18403">
      <c r="A18403" s="4" t="s">
        <v>23155</v>
      </c>
      <c r="B18403" s="4" t="s">
        <v>23157</v>
      </c>
      <c r="C18403" s="5" t="str">
        <f>IFERROR(__xludf.DUMMYFUNCTION("GOOGLETRANSLATE(B18403,""en"",""fr"")"),"Des ingrédients sont ajoutés, remués, puis le mélange est placé au four.")</f>
        <v>Des ingrédients sont ajoutés, remués, puis le mélange est placé au four.</v>
      </c>
    </row>
    <row r="18404">
      <c r="A18404" s="4" t="s">
        <v>23158</v>
      </c>
      <c r="B18404" s="4" t="s">
        <v>23159</v>
      </c>
      <c r="C18404" s="5" t="str">
        <f>IFERROR(__xludf.DUMMYFUNCTION("GOOGLETRANSLATE(B18404,""en"",""fr"")"),"Il y a une femme dans un imperméable noir debout à côté d'une clôture en bois.")</f>
        <v>Il y a une femme dans un imperméable noir debout à côté d'une clôture en bois.</v>
      </c>
    </row>
    <row r="18405">
      <c r="A18405" s="4" t="s">
        <v>23158</v>
      </c>
      <c r="B18405" s="4" t="s">
        <v>23160</v>
      </c>
      <c r="C18405" s="5" t="str">
        <f>IFERROR(__xludf.DUMMYFUNCTION("GOOGLETRANSLATE(B18405,""en"",""fr"")"),"Elle est rejointe par une petite fille portant une veste en pointillés qui lui apporte de la peinture verte.")</f>
        <v>Elle est rejointe par une petite fille portant une veste en pointillés qui lui apporte de la peinture verte.</v>
      </c>
    </row>
    <row r="18406">
      <c r="A18406" s="4" t="s">
        <v>23158</v>
      </c>
      <c r="B18406" s="4" t="s">
        <v>23161</v>
      </c>
      <c r="C18406" s="5" t="str">
        <f>IFERROR(__xludf.DUMMYFUNCTION("GOOGLETRANSLATE(B18406,""en"",""fr"")"),"La femme commence à peindre la clôture avec un buisson.")</f>
        <v>La femme commence à peindre la clôture avec un buisson.</v>
      </c>
    </row>
    <row r="18407">
      <c r="A18407" s="4" t="s">
        <v>23158</v>
      </c>
      <c r="B18407" s="6" t="s">
        <v>23162</v>
      </c>
      <c r="C18407" s="5" t="str">
        <f>IFERROR(__xludf.DUMMYFUNCTION("GOOGLETRANSLATE(B18407,""en"",""fr"")"),"Il y a plusieurs autres personnes dans le quartier qui sont vues se porter volontaires pour peindre la clôture avec de la peinture verte.")</f>
        <v>Il y a plusieurs autres personnes dans le quartier qui sont vues se porter volontaires pour peindre la clôture avec de la peinture verte.</v>
      </c>
    </row>
    <row r="18408">
      <c r="A18408" s="4" t="s">
        <v>23158</v>
      </c>
      <c r="B18408" s="4" t="s">
        <v>23163</v>
      </c>
      <c r="C18408" s="5" t="str">
        <f>IFERROR(__xludf.DUMMYFUNCTION("GOOGLETRANSLATE(B18408,""en"",""fr"")"),"Les bénévoles sont interrogés.")</f>
        <v>Les bénévoles sont interrogés.</v>
      </c>
    </row>
    <row r="18409">
      <c r="A18409" s="4" t="s">
        <v>23158</v>
      </c>
      <c r="B18409" s="4" t="s">
        <v>23164</v>
      </c>
      <c r="C18409" s="5" t="str">
        <f>IFERROR(__xludf.DUMMYFUNCTION("GOOGLETRANSLATE(B18409,""en"",""fr"")"),"Il y a deux garçons vêtus de costumes Batman debout là.")</f>
        <v>Il y a deux garçons vêtus de costumes Batman debout là.</v>
      </c>
    </row>
    <row r="18410">
      <c r="A18410" s="4" t="s">
        <v>23158</v>
      </c>
      <c r="B18410" s="4" t="s">
        <v>23165</v>
      </c>
      <c r="C18410" s="5" t="str">
        <f>IFERROR(__xludf.DUMMYFUNCTION("GOOGLETRANSLATE(B18410,""en"",""fr"")"),"Les volontaires continuent de peindre la clôture.")</f>
        <v>Les volontaires continuent de peindre la clôture.</v>
      </c>
    </row>
    <row r="18411">
      <c r="A18411" s="4" t="s">
        <v>23158</v>
      </c>
      <c r="B18411" s="4" t="s">
        <v>23166</v>
      </c>
      <c r="C18411" s="5" t="str">
        <f>IFERROR(__xludf.DUMMYFUNCTION("GOOGLETRANSLATE(B18411,""en"",""fr"")"),"Certaines personnes de la communauté se rassemblent autour du parking.")</f>
        <v>Certaines personnes de la communauté se rassemblent autour du parking.</v>
      </c>
    </row>
    <row r="18412">
      <c r="A18412" s="4" t="s">
        <v>23158</v>
      </c>
      <c r="B18412" s="4" t="s">
        <v>23167</v>
      </c>
      <c r="C18412" s="5" t="str">
        <f>IFERROR(__xludf.DUMMYFUNCTION("GOOGLETRANSLATE(B18412,""en"",""fr"")"),"Les gens continuent de peindre la clôture.")</f>
        <v>Les gens continuent de peindre la clôture.</v>
      </c>
    </row>
    <row r="18413">
      <c r="A18413" s="4" t="s">
        <v>23168</v>
      </c>
      <c r="B18413" s="4" t="s">
        <v>23169</v>
      </c>
      <c r="C18413" s="5" t="str">
        <f>IFERROR(__xludf.DUMMYFUNCTION("GOOGLETRANSLATE(B18413,""en"",""fr"")"),"Divers paysages de montagne sont montrés sous différents angles.")</f>
        <v>Divers paysages de montagne sont montrés sous différents angles.</v>
      </c>
    </row>
    <row r="18414">
      <c r="A18414" s="4" t="s">
        <v>23168</v>
      </c>
      <c r="B18414" s="4" t="s">
        <v>23170</v>
      </c>
      <c r="C18414" s="5" t="str">
        <f>IFERROR(__xludf.DUMMYFUNCTION("GOOGLETRANSLATE(B18414,""en"",""fr"")"),"Un soldat joue une cornemuse dans une scène de montagne.")</f>
        <v>Un soldat joue une cornemuse dans une scène de montagne.</v>
      </c>
    </row>
    <row r="18415">
      <c r="A18415" s="4" t="s">
        <v>23171</v>
      </c>
      <c r="B18415" s="6" t="s">
        <v>23172</v>
      </c>
      <c r="C18415" s="5" t="str">
        <f>IFERROR(__xludf.DUMMYFUNCTION("GOOGLETRANSLATE(B18415,""en"",""fr"")"),"Divers clips sont illustrés à des paysages ainsi qu'aux personnes qui roulent sur des bateaux et un homme qui parle à la caméra.")</f>
        <v>Divers clips sont illustrés à des paysages ainsi qu'aux personnes qui roulent sur des bateaux et un homme qui parle à la caméra.</v>
      </c>
    </row>
    <row r="18416">
      <c r="A18416" s="4" t="s">
        <v>23171</v>
      </c>
      <c r="B18416" s="6" t="s">
        <v>23173</v>
      </c>
      <c r="C18416" s="5" t="str">
        <f>IFERROR(__xludf.DUMMYFUNCTION("GOOGLETRANSLATE(B18416,""en"",""fr"")"),"L'homme plonge dans l'eau et est montré dans plusieurs clips nageant et des poissons se déplaçant également.")</f>
        <v>L'homme plonge dans l'eau et est montré dans plusieurs clips nageant et des poissons se déplaçant également.</v>
      </c>
    </row>
    <row r="18417">
      <c r="A18417" s="4" t="s">
        <v>23171</v>
      </c>
      <c r="B18417" s="6" t="s">
        <v>23174</v>
      </c>
      <c r="C18417" s="5" t="str">
        <f>IFERROR(__xludf.DUMMYFUNCTION("GOOGLETRANSLATE(B18417,""en"",""fr"")"),"L'homme donne des gestes de la main à la caméra et nage à la surface quand un autre homme attrape son équipement et il parle à la caméra.")</f>
        <v>L'homme donne des gestes de la main à la caméra et nage à la surface quand un autre homme attrape son équipement et il parle à la caméra.</v>
      </c>
    </row>
    <row r="18418">
      <c r="A18418" s="4" t="s">
        <v>23171</v>
      </c>
      <c r="B18418" s="4" t="s">
        <v>23175</v>
      </c>
      <c r="C18418" s="5" t="str">
        <f>IFERROR(__xludf.DUMMYFUNCTION("GOOGLETRANSLATE(B18418,""en"",""fr"")"),"Plus d'hommes parlent à la caméra alors qu'il saute.")</f>
        <v>Plus d'hommes parlent à la caméra alors qu'il saute.</v>
      </c>
    </row>
    <row r="18419">
      <c r="A18419" s="4" t="s">
        <v>23176</v>
      </c>
      <c r="B18419" s="4" t="s">
        <v>23177</v>
      </c>
      <c r="C18419" s="5" t="str">
        <f>IFERROR(__xludf.DUMMYFUNCTION("GOOGLETRANSLATE(B18419,""en"",""fr"")"),"Une intro mène à deux hommes de clôture dans un champ.")</f>
        <v>Une intro mène à deux hommes de clôture dans un champ.</v>
      </c>
    </row>
    <row r="18420">
      <c r="A18420" s="4" t="s">
        <v>23176</v>
      </c>
      <c r="B18420" s="4" t="s">
        <v>23178</v>
      </c>
      <c r="C18420" s="5" t="str">
        <f>IFERROR(__xludf.DUMMYFUNCTION("GOOGLETRANSLATE(B18420,""en"",""fr"")"),"Plusieurs plans sont montrés des hommes qui se collaient les uns aux autres et de l'autre blocage.")</f>
        <v>Plusieurs plans sont montrés des hommes qui se collaient les uns aux autres et de l'autre blocage.</v>
      </c>
    </row>
    <row r="18421">
      <c r="A18421" s="4" t="s">
        <v>23176</v>
      </c>
      <c r="B18421" s="4" t="s">
        <v>23179</v>
      </c>
      <c r="C18421" s="5" t="str">
        <f>IFERROR(__xludf.DUMMYFUNCTION("GOOGLETRANSLATE(B18421,""en"",""fr"")"),"Entre les clips, sont illustrés à la boxe d'hommes.")</f>
        <v>Entre les clips, sont illustrés à la boxe d'hommes.</v>
      </c>
    </row>
    <row r="18422">
      <c r="A18422" s="4" t="s">
        <v>23180</v>
      </c>
      <c r="B18422" s="6" t="s">
        <v>23181</v>
      </c>
      <c r="C18422" s="5" t="str">
        <f>IFERROR(__xludf.DUMMYFUNCTION("GOOGLETRANSLATE(B18422,""en"",""fr"")"),"En marchant dans l'aéroport, en volant dans un avion et en descendant sur l'autoroute, ils arrivent là où ils vont.")</f>
        <v>En marchant dans l'aéroport, en volant dans un avion et en descendant sur l'autoroute, ils arrivent là où ils vont.</v>
      </c>
    </row>
    <row r="18423">
      <c r="A18423" s="4" t="s">
        <v>23180</v>
      </c>
      <c r="B18423" s="6" t="s">
        <v>23182</v>
      </c>
      <c r="C18423" s="5" t="str">
        <f>IFERROR(__xludf.DUMMYFUNCTION("GOOGLETRANSLATE(B18423,""en"",""fr"")"),"Un homme dans un masque blanc s'apprête à aller à l'élastique sautant d'une falaise très haute, il se tient les bras comme s'ils étaient des ailes sur le bord.")</f>
        <v>Un homme dans un masque blanc s'apprête à aller à l'élastique sautant d'une falaise très haute, il se tient les bras comme s'ils étaient des ailes sur le bord.</v>
      </c>
    </row>
    <row r="18424">
      <c r="A18424" s="4" t="s">
        <v>23180</v>
      </c>
      <c r="B18424" s="6" t="s">
        <v>23183</v>
      </c>
      <c r="C18424" s="5" t="str">
        <f>IFERROR(__xludf.DUMMYFUNCTION("GOOGLETRANSLATE(B18424,""en"",""fr"")"),"Puis il saute, tombant d'une hauteur très élevée, un autre homme le suit, puis l'homme de la caméra lui-même prend le saut enregistrant toute la chute.")</f>
        <v>Puis il saute, tombant d'une hauteur très élevée, un autre homme le suit, puis l'homme de la caméra lui-même prend le saut enregistrant toute la chute.</v>
      </c>
    </row>
    <row r="18425">
      <c r="A18425" s="4" t="s">
        <v>23180</v>
      </c>
      <c r="B18425" s="4" t="s">
        <v>23184</v>
      </c>
      <c r="C18425" s="5" t="str">
        <f>IFERROR(__xludf.DUMMYFUNCTION("GOOGLETRANSLATE(B18425,""en"",""fr"")"),"Ils sautaient tous à tour de rôle, l'un d'eux descend même en arrière.")</f>
        <v>Ils sautaient tous à tour de rôle, l'un d'eux descend même en arrière.</v>
      </c>
    </row>
    <row r="18426">
      <c r="A18426" s="4" t="s">
        <v>23185</v>
      </c>
      <c r="B18426" s="6" t="s">
        <v>23186</v>
      </c>
      <c r="C18426" s="5" t="str">
        <f>IFERROR(__xludf.DUMMYFUNCTION("GOOGLETRANSLATE(B18426,""en"",""fr"")"),"Une caméra se déroule autour d'une zone enneigée et mène à un homme tenant un accordéon et commence à jouer.")</f>
        <v>Une caméra se déroule autour d'une zone enneigée et mène à un homme tenant un accordéon et commence à jouer.</v>
      </c>
    </row>
    <row r="18427">
      <c r="A18427" s="4" t="s">
        <v>23185</v>
      </c>
      <c r="B18427" s="6" t="s">
        <v>23187</v>
      </c>
      <c r="C18427" s="5" t="str">
        <f>IFERROR(__xludf.DUMMYFUNCTION("GOOGLETRANSLATE(B18427,""en"",""fr"")"),"L'homme continue de jouer l'instrument pendant que la caméra montre plus de paysages de zones enneigées et l'homme qui continue de jouer.")</f>
        <v>L'homme continue de jouer l'instrument pendant que la caméra montre plus de paysages de zones enneigées et l'homme qui continue de jouer.</v>
      </c>
    </row>
    <row r="18428">
      <c r="A18428" s="4" t="s">
        <v>23188</v>
      </c>
      <c r="B18428" s="4" t="s">
        <v>23189</v>
      </c>
      <c r="C18428" s="5" t="str">
        <f>IFERROR(__xludf.DUMMYFUNCTION("GOOGLETRANSLATE(B18428,""en"",""fr"")"),"Un emballage Sun Capri dans un tas de rochers au sol avec un tas de sciure dessus.")</f>
        <v>Un emballage Sun Capri dans un tas de rochers au sol avec un tas de sciure dessus.</v>
      </c>
    </row>
    <row r="18429">
      <c r="A18429" s="4" t="s">
        <v>23188</v>
      </c>
      <c r="B18429" s="4" t="s">
        <v>23190</v>
      </c>
      <c r="C18429" s="5" t="str">
        <f>IFERROR(__xludf.DUMMYFUNCTION("GOOGLETRANSLATE(B18429,""en"",""fr"")"),"Nous voyons un tas de bâtons à gauche et voyons un silex.")</f>
        <v>Nous voyons un tas de bâtons à gauche et voyons un silex.</v>
      </c>
    </row>
    <row r="18430">
      <c r="A18430" s="4" t="s">
        <v>23188</v>
      </c>
      <c r="B18430" s="4" t="s">
        <v>23191</v>
      </c>
      <c r="C18430" s="5" t="str">
        <f>IFERROR(__xludf.DUMMYFUNCTION("GOOGLETRANSLATE(B18430,""en"",""fr"")"),"La personne frappe le silex et une flamme s'assoit sur la sciure.")</f>
        <v>La personne frappe le silex et une flamme s'assoit sur la sciure.</v>
      </c>
    </row>
    <row r="18431">
      <c r="A18431" s="4" t="s">
        <v>23188</v>
      </c>
      <c r="B18431" s="4" t="s">
        <v>23192</v>
      </c>
      <c r="C18431" s="5" t="str">
        <f>IFERROR(__xludf.DUMMYFUNCTION("GOOGLETRANSLATE(B18431,""en"",""fr"")"),"La personne met alors une poignée de brindilles sur le feu.")</f>
        <v>La personne met alors une poignée de brindilles sur le feu.</v>
      </c>
    </row>
    <row r="18432">
      <c r="A18432" s="4" t="s">
        <v>23188</v>
      </c>
      <c r="B18432" s="4" t="s">
        <v>23193</v>
      </c>
      <c r="C18432" s="5" t="str">
        <f>IFERROR(__xludf.DUMMYFUNCTION("GOOGLETRANSLATE(B18432,""en"",""fr"")"),"Le feu pousse et le caméraman recule pour montrer les rochers entourant le feu.")</f>
        <v>Le feu pousse et le caméraman recule pour montrer les rochers entourant le feu.</v>
      </c>
    </row>
    <row r="18433">
      <c r="A18433" s="4" t="s">
        <v>23194</v>
      </c>
      <c r="B18433" s="4" t="s">
        <v>23195</v>
      </c>
      <c r="C18433" s="5" t="str">
        <f>IFERROR(__xludf.DUMMYFUNCTION("GOOGLETRANSLATE(B18433,""en"",""fr"")"),"Deux hommes sont assis dans une pièce avec quatre congos devant eux en jouant.")</f>
        <v>Deux hommes sont assis dans une pièce avec quatre congos devant eux en jouant.</v>
      </c>
    </row>
    <row r="18434">
      <c r="A18434" s="4" t="s">
        <v>23194</v>
      </c>
      <c r="B18434" s="6" t="s">
        <v>23196</v>
      </c>
      <c r="C18434" s="5" t="str">
        <f>IFERROR(__xludf.DUMMYFUNCTION("GOOGLETRANSLATE(B18434,""en"",""fr"")"),"Ils sont tous les deux à l'unisson et ils utilisent leurs parties du corps dans le cadre de leur routine pour faire différents sons.")</f>
        <v>Ils sont tous les deux à l'unisson et ils utilisent leurs parties du corps dans le cadre de leur routine pour faire différents sons.</v>
      </c>
    </row>
    <row r="18435">
      <c r="A18435" s="4" t="s">
        <v>23194</v>
      </c>
      <c r="B18435" s="6" t="s">
        <v>23197</v>
      </c>
      <c r="C18435" s="5" t="str">
        <f>IFERROR(__xludf.DUMMYFUNCTION("GOOGLETRANSLATE(B18435,""en"",""fr"")"),"Les hommes prennent une pause extrêmement brève avant de frapper rapidement le Congo et de se terminer en pointant le doigt les uns sur les autres.")</f>
        <v>Les hommes prennent une pause extrêmement brève avant de frapper rapidement le Congo et de se terminer en pointant le doigt les uns sur les autres.</v>
      </c>
    </row>
    <row r="18436">
      <c r="A18436" s="4" t="s">
        <v>23198</v>
      </c>
      <c r="B18436" s="6" t="s">
        <v>23199</v>
      </c>
      <c r="C18436" s="5" t="str">
        <f>IFERROR(__xludf.DUMMYFUNCTION("GOOGLETRANSLATE(B18436,""en"",""fr"")"),"Deux personnes sont vues assises sur des vélos de terre parlant à la caméra avec une saleté de pelleter et l'autre roulant.")</f>
        <v>Deux personnes sont vues assises sur des vélos de terre parlant à la caméra avec une saleté de pelleter et l'autre roulant.</v>
      </c>
    </row>
    <row r="18437">
      <c r="A18437" s="4" t="s">
        <v>23198</v>
      </c>
      <c r="B18437" s="6" t="s">
        <v>23200</v>
      </c>
      <c r="C18437" s="5" t="str">
        <f>IFERROR(__xludf.DUMMYFUNCTION("GOOGLETRANSLATE(B18437,""en"",""fr"")"),"Plusieurs plans sont ensuite illustrés aux deux vélos de saleté de conduite le long d'un sentier tout en s'arrêtant pour faire un geste vers la caméra de temps en temps.")</f>
        <v>Plusieurs plans sont ensuite illustrés aux deux vélos de saleté de conduite le long d'un sentier tout en s'arrêtant pour faire un geste vers la caméra de temps en temps.</v>
      </c>
    </row>
    <row r="18438">
      <c r="A18438" s="4" t="s">
        <v>23201</v>
      </c>
      <c r="B18438" s="4" t="s">
        <v>23202</v>
      </c>
      <c r="C18438" s="5" t="str">
        <f>IFERROR(__xludf.DUMMYFUNCTION("GOOGLETRANSLATE(B18438,""en"",""fr"")"),"Une femme sur une plage commence à construire un château de sable.")</f>
        <v>Une femme sur une plage commence à construire un château de sable.</v>
      </c>
    </row>
    <row r="18439">
      <c r="A18439" s="4" t="s">
        <v>23201</v>
      </c>
      <c r="B18439" s="4" t="s">
        <v>23203</v>
      </c>
      <c r="C18439" s="5" t="str">
        <f>IFERROR(__xludf.DUMMYFUNCTION("GOOGLETRANSLATE(B18439,""en"",""fr"")"),"Un homme vient et commence à construire le château de sable avec elle.")</f>
        <v>Un homme vient et commence à construire le château de sable avec elle.</v>
      </c>
    </row>
    <row r="18440">
      <c r="A18440" s="4" t="s">
        <v>23201</v>
      </c>
      <c r="B18440" s="4" t="s">
        <v>23204</v>
      </c>
      <c r="C18440" s="5" t="str">
        <f>IFERROR(__xludf.DUMMYFUNCTION("GOOGLETRANSLATE(B18440,""en"",""fr"")"),"Plusieurs personnes passent alors qu'elles continuent de construire le château.")</f>
        <v>Plusieurs personnes passent alors qu'elles continuent de construire le château.</v>
      </c>
    </row>
    <row r="18441">
      <c r="A18441" s="4" t="s">
        <v>23205</v>
      </c>
      <c r="B18441" s="4" t="s">
        <v>23206</v>
      </c>
      <c r="C18441" s="5" t="str">
        <f>IFERROR(__xludf.DUMMYFUNCTION("GOOGLETRANSLATE(B18441,""en"",""fr"")"),"Une femme dans une veste lave des vêtements dans un évier.")</f>
        <v>Une femme dans une veste lave des vêtements dans un évier.</v>
      </c>
    </row>
    <row r="18442">
      <c r="A18442" s="4" t="s">
        <v>23205</v>
      </c>
      <c r="B18442" s="4" t="s">
        <v>23207</v>
      </c>
      <c r="C18442" s="5" t="str">
        <f>IFERROR(__xludf.DUMMYFUNCTION("GOOGLETRANSLATE(B18442,""en"",""fr"")"),"Elle verse de l'eau dans un bol bleu.")</f>
        <v>Elle verse de l'eau dans un bol bleu.</v>
      </c>
    </row>
    <row r="18443">
      <c r="A18443" s="4" t="s">
        <v>23205</v>
      </c>
      <c r="B18443" s="4" t="s">
        <v>23208</v>
      </c>
      <c r="C18443" s="5" t="str">
        <f>IFERROR(__xludf.DUMMYFUNCTION("GOOGLETRANSLATE(B18443,""en"",""fr"")"),"Elle met des vêtements dans les seaux d'eau qui se trouvent dans l'évier.")</f>
        <v>Elle met des vêtements dans les seaux d'eau qui se trouvent dans l'évier.</v>
      </c>
    </row>
    <row r="18444">
      <c r="A18444" s="4" t="s">
        <v>23205</v>
      </c>
      <c r="B18444" s="4" t="s">
        <v>23209</v>
      </c>
      <c r="C18444" s="5" t="str">
        <f>IFERROR(__xludf.DUMMYFUNCTION("GOOGLETRANSLATE(B18444,""en"",""fr"")"),"Une machine à laver blanche qui est débranchée est montrée.")</f>
        <v>Une machine à laver blanche qui est débranchée est montrée.</v>
      </c>
    </row>
    <row r="18445">
      <c r="A18445" s="4" t="s">
        <v>23205</v>
      </c>
      <c r="B18445" s="4" t="s">
        <v>23210</v>
      </c>
      <c r="C18445" s="5" t="str">
        <f>IFERROR(__xludf.DUMMYFUNCTION("GOOGLETRANSLATE(B18445,""en"",""fr"")"),"La femme continue de laver les vêtements dans l'évier.")</f>
        <v>La femme continue de laver les vêtements dans l'évier.</v>
      </c>
    </row>
    <row r="18446">
      <c r="A18446" s="4" t="s">
        <v>23205</v>
      </c>
      <c r="B18446" s="4" t="s">
        <v>23211</v>
      </c>
      <c r="C18446" s="5" t="str">
        <f>IFERROR(__xludf.DUMMYFUNCTION("GOOGLETRANSLATE(B18446,""en"",""fr"")"),"Elle marche et retire le couvercle d'un grand seau d'eau sur le sol.")</f>
        <v>Elle marche et retire le couvercle d'un grand seau d'eau sur le sol.</v>
      </c>
    </row>
    <row r="18447">
      <c r="A18447" s="4" t="s">
        <v>23205</v>
      </c>
      <c r="B18447" s="4" t="s">
        <v>23212</v>
      </c>
      <c r="C18447" s="5" t="str">
        <f>IFERROR(__xludf.DUMMYFUNCTION("GOOGLETRANSLATE(B18447,""en"",""fr"")"),"Elle trempe un pot dans le seau et jette l'eau dans l'évier.")</f>
        <v>Elle trempe un pot dans le seau et jette l'eau dans l'évier.</v>
      </c>
    </row>
    <row r="18448">
      <c r="A18448" s="4" t="s">
        <v>23213</v>
      </c>
      <c r="B18448" s="4" t="s">
        <v>23214</v>
      </c>
      <c r="C18448" s="5" t="str">
        <f>IFERROR(__xludf.DUMMYFUNCTION("GOOGLETRANSLATE(B18448,""en"",""fr"")"),"Un taureau coule autour d'un stylo et essaie de frapper le clown avec leurs cornes.")</f>
        <v>Un taureau coule autour d'un stylo et essaie de frapper le clown avec leurs cornes.</v>
      </c>
    </row>
    <row r="18449">
      <c r="A18449" s="4" t="s">
        <v>23213</v>
      </c>
      <c r="B18449" s="4" t="s">
        <v>23215</v>
      </c>
      <c r="C18449" s="5" t="str">
        <f>IFERROR(__xludf.DUMMYFUNCTION("GOOGLETRANSLATE(B18449,""en"",""fr"")"),"Un gars saute par-dessus une clôture pour s'éloigner du taureau.")</f>
        <v>Un gars saute par-dessus une clôture pour s'éloigner du taureau.</v>
      </c>
    </row>
    <row r="18450">
      <c r="A18450" s="4" t="s">
        <v>23213</v>
      </c>
      <c r="B18450" s="4" t="s">
        <v>23216</v>
      </c>
      <c r="C18450" s="5" t="str">
        <f>IFERROR(__xludf.DUMMYFUNCTION("GOOGLETRANSLATE(B18450,""en"",""fr"")"),"Un clown se cache derrière un baril rouge.")</f>
        <v>Un clown se cache derrière un baril rouge.</v>
      </c>
    </row>
    <row r="18451">
      <c r="A18451" s="4" t="s">
        <v>23213</v>
      </c>
      <c r="B18451" s="4" t="s">
        <v>23217</v>
      </c>
      <c r="C18451" s="5" t="str">
        <f>IFERROR(__xludf.DUMMYFUNCTION("GOOGLETRANSLATE(B18451,""en"",""fr"")"),"L'homme tombe par terre pour poursuivre le taureau.")</f>
        <v>L'homme tombe par terre pour poursuivre le taureau.</v>
      </c>
    </row>
    <row r="18452">
      <c r="A18452" s="4" t="s">
        <v>23218</v>
      </c>
      <c r="B18452" s="4" t="s">
        <v>23219</v>
      </c>
      <c r="C18452" s="5" t="str">
        <f>IFERROR(__xludf.DUMMYFUNCTION("GOOGLETRANSLATE(B18452,""en"",""fr"")"),"Un exercice de gymnaste sur les barres parallèles pendant que l'entraîneur donne des instructions et répare un tapis.")</f>
        <v>Un exercice de gymnaste sur les barres parallèles pendant que l'entraîneur donne des instructions et répare un tapis.</v>
      </c>
    </row>
    <row r="18453">
      <c r="A18453" s="4" t="s">
        <v>23218</v>
      </c>
      <c r="B18453" s="4" t="s">
        <v>23220</v>
      </c>
      <c r="C18453" s="5" t="str">
        <f>IFERROR(__xludf.DUMMYFUNCTION("GOOGLETRANSLATE(B18453,""en"",""fr"")"),"Ensuite, la gymnaste tourne sur la barre haute, puis retourne et tombe sur le tapis.")</f>
        <v>Ensuite, la gymnaste tourne sur la barre haute, puis retourne et tombe sur le tapis.</v>
      </c>
    </row>
    <row r="18454">
      <c r="A18454" s="4" t="s">
        <v>23221</v>
      </c>
      <c r="B18454" s="4" t="s">
        <v>23222</v>
      </c>
      <c r="C18454" s="5" t="str">
        <f>IFERROR(__xludf.DUMMYFUNCTION("GOOGLETRANSLATE(B18454,""en"",""fr"")"),"Nous voyons un titre sur un écran gris foncé, nous voyons un bateau sur un lac sous différents angles.")</f>
        <v>Nous voyons un titre sur un écran gris foncé, nous voyons un bateau sur un lac sous différents angles.</v>
      </c>
    </row>
    <row r="18455">
      <c r="A18455" s="4" t="s">
        <v>23221</v>
      </c>
      <c r="B18455" s="4" t="s">
        <v>23223</v>
      </c>
      <c r="C18455" s="5" t="str">
        <f>IFERROR(__xludf.DUMMYFUNCTION("GOOGLETRANSLATE(B18455,""en"",""fr"")"),"Une personne chevauchant une planche de surf derrière le bateau fait un flip.")</f>
        <v>Une personne chevauchant une planche de surf derrière le bateau fait un flip.</v>
      </c>
    </row>
    <row r="18456">
      <c r="A18456" s="4" t="s">
        <v>23221</v>
      </c>
      <c r="B18456" s="4" t="s">
        <v>23224</v>
      </c>
      <c r="C18456" s="5" t="str">
        <f>IFERROR(__xludf.DUMMYFUNCTION("GOOGLETRANSLATE(B18456,""en"",""fr"")"),", On nous montre l'intérieur du bateau.")</f>
        <v>, On nous montre l'intérieur du bateau.</v>
      </c>
    </row>
    <row r="18457">
      <c r="A18457" s="4" t="s">
        <v>23221</v>
      </c>
      <c r="B18457" s="4" t="s">
        <v>23225</v>
      </c>
      <c r="C18457" s="5" t="str">
        <f>IFERROR(__xludf.DUMMYFUNCTION("GOOGLETRANSLATE(B18457,""en"",""fr"")"),"Nous voyons l'intérieur puis l'extérieur du bateau par intermittence.")</f>
        <v>Nous voyons l'intérieur puis l'extérieur du bateau par intermittence.</v>
      </c>
    </row>
    <row r="18458">
      <c r="A18458" s="4" t="s">
        <v>23221</v>
      </c>
      <c r="B18458" s="4" t="s">
        <v>23226</v>
      </c>
      <c r="C18458" s="5" t="str">
        <f>IFERROR(__xludf.DUMMYFUNCTION("GOOGLETRANSLATE(B18458,""en"",""fr"")"),"Nous voyons des gens sur un radeau tirés par le bateau.")</f>
        <v>Nous voyons des gens sur un radeau tirés par le bateau.</v>
      </c>
    </row>
    <row r="18459">
      <c r="A18459" s="4" t="s">
        <v>23221</v>
      </c>
      <c r="B18459" s="4" t="s">
        <v>23227</v>
      </c>
      <c r="C18459" s="5" t="str">
        <f>IFERROR(__xludf.DUMMYFUNCTION("GOOGLETRANSLATE(B18459,""en"",""fr"")"),"Une fille attrape quelque chose d'une armoire puis saute dans l'eau.")</f>
        <v>Une fille attrape quelque chose d'une armoire puis saute dans l'eau.</v>
      </c>
    </row>
    <row r="18460">
      <c r="A18460" s="4" t="s">
        <v>23221</v>
      </c>
      <c r="B18460" s="4" t="s">
        <v>23228</v>
      </c>
      <c r="C18460" s="5" t="str">
        <f>IFERROR(__xludf.DUMMYFUNCTION("GOOGLETRANSLATE(B18460,""en"",""fr"")"),"Nous voyons les scènes de crédit finales.")</f>
        <v>Nous voyons les scènes de crédit finales.</v>
      </c>
    </row>
    <row r="18461">
      <c r="A18461" s="4" t="s">
        <v>23229</v>
      </c>
      <c r="B18461" s="4" t="s">
        <v>23230</v>
      </c>
      <c r="C18461" s="5" t="str">
        <f>IFERROR(__xludf.DUMMYFUNCTION("GOOGLETRANSLATE(B18461,""en"",""fr"")"),"La vodka est montrée versée dans un verre de martini.")</f>
        <v>La vodka est montrée versée dans un verre de martini.</v>
      </c>
    </row>
    <row r="18462">
      <c r="A18462" s="4" t="s">
        <v>23229</v>
      </c>
      <c r="B18462" s="4" t="s">
        <v>23231</v>
      </c>
      <c r="C18462" s="5" t="str">
        <f>IFERROR(__xludf.DUMMYFUNCTION("GOOGLETRANSLATE(B18462,""en"",""fr"")"),"Une femme est derrière un bar, montrant des bouteilles d'alcool.")</f>
        <v>Une femme est derrière un bar, montrant des bouteilles d'alcool.</v>
      </c>
    </row>
    <row r="18463">
      <c r="A18463" s="4" t="s">
        <v>23229</v>
      </c>
      <c r="B18463" s="6" t="s">
        <v>23232</v>
      </c>
      <c r="C18463" s="5" t="str">
        <f>IFERROR(__xludf.DUMMYFUNCTION("GOOGLETRANSLATE(B18463,""en"",""fr"")"),"Elle mélange les ingrédients ensemble, puis les secoue avant de verser dans un verre rempli de glace.")</f>
        <v>Elle mélange les ingrédients ensemble, puis les secoue avant de verser dans un verre rempli de glace.</v>
      </c>
    </row>
    <row r="18464">
      <c r="A18464" s="4" t="s">
        <v>23233</v>
      </c>
      <c r="B18464" s="4" t="s">
        <v>23234</v>
      </c>
      <c r="C18464" s="5" t="str">
        <f>IFERROR(__xludf.DUMMYFUNCTION("GOOGLETRANSLATE(B18464,""en"",""fr"")"),"Trois hommes sont assis ensemble sur un canapé.")</f>
        <v>Trois hommes sont assis ensemble sur un canapé.</v>
      </c>
    </row>
    <row r="18465">
      <c r="A18465" s="4" t="s">
        <v>23233</v>
      </c>
      <c r="B18465" s="4" t="s">
        <v>23235</v>
      </c>
      <c r="C18465" s="5" t="str">
        <f>IFERROR(__xludf.DUMMYFUNCTION("GOOGLETRANSLATE(B18465,""en"",""fr"")"),"Un homme se lève et marche dans un salon de coiffure.")</f>
        <v>Un homme se lève et marche dans un salon de coiffure.</v>
      </c>
    </row>
    <row r="18466">
      <c r="A18466" s="4" t="s">
        <v>23233</v>
      </c>
      <c r="B18466" s="4" t="s">
        <v>23236</v>
      </c>
      <c r="C18466" s="5" t="str">
        <f>IFERROR(__xludf.DUMMYFUNCTION("GOOGLETRANSLATE(B18466,""en"",""fr"")"),"Il s'assoit et se coupe les cheveux.")</f>
        <v>Il s'assoit et se coupe les cheveux.</v>
      </c>
    </row>
    <row r="18467">
      <c r="A18467" s="4" t="s">
        <v>23233</v>
      </c>
      <c r="B18467" s="4" t="s">
        <v>23237</v>
      </c>
      <c r="C18467" s="5" t="str">
        <f>IFERROR(__xludf.DUMMYFUNCTION("GOOGLETRANSLATE(B18467,""en"",""fr"")"),"Il dort sur la chaise.")</f>
        <v>Il dort sur la chaise.</v>
      </c>
    </row>
    <row r="18468">
      <c r="A18468" s="4" t="s">
        <v>23233</v>
      </c>
      <c r="B18468" s="4" t="s">
        <v>23238</v>
      </c>
      <c r="C18468" s="5" t="str">
        <f>IFERROR(__xludf.DUMMYFUNCTION("GOOGLETRANSLATE(B18468,""en"",""fr"")"),"Il se réveille et regarde dans un miroir.")</f>
        <v>Il se réveille et regarde dans un miroir.</v>
      </c>
    </row>
    <row r="18469">
      <c r="A18469" s="4" t="s">
        <v>23233</v>
      </c>
      <c r="B18469" s="4" t="s">
        <v>23239</v>
      </c>
      <c r="C18469" s="5" t="str">
        <f>IFERROR(__xludf.DUMMYFUNCTION("GOOGLETRANSLATE(B18469,""en"",""fr"")"),"Lui et l'homme commencent à se battre.")</f>
        <v>Lui et l'homme commencent à se battre.</v>
      </c>
    </row>
    <row r="18470">
      <c r="A18470" s="4" t="s">
        <v>23233</v>
      </c>
      <c r="B18470" s="4" t="s">
        <v>23240</v>
      </c>
      <c r="C18470" s="5" t="str">
        <f>IFERROR(__xludf.DUMMYFUNCTION("GOOGLETRANSLATE(B18470,""en"",""fr"")"),"L'homme tire un pistolet et le pointe vers l'autre homme.")</f>
        <v>L'homme tire un pistolet et le pointe vers l'autre homme.</v>
      </c>
    </row>
    <row r="18471">
      <c r="A18471" s="4" t="s">
        <v>23233</v>
      </c>
      <c r="B18471" s="4" t="s">
        <v>23241</v>
      </c>
      <c r="C18471" s="5" t="str">
        <f>IFERROR(__xludf.DUMMYFUNCTION("GOOGLETRANSLATE(B18471,""en"",""fr"")"),"Il court dans un autre bras et ils sortent par la porte.")</f>
        <v>Il court dans un autre bras et ils sortent par la porte.</v>
      </c>
    </row>
    <row r="18472">
      <c r="A18472" s="4" t="s">
        <v>23242</v>
      </c>
      <c r="B18472" s="4" t="s">
        <v>23243</v>
      </c>
      <c r="C18472" s="5" t="str">
        <f>IFERROR(__xludf.DUMMYFUNCTION("GOOGLETRANSLATE(B18472,""en"",""fr"")"),"La vidéo montre comment obtenir des réductions sur Amazon pour une catégorie de fournitures pour chiens.")</f>
        <v>La vidéo montre comment obtenir des réductions sur Amazon pour une catégorie de fournitures pour chiens.</v>
      </c>
    </row>
    <row r="18473">
      <c r="A18473" s="4" t="s">
        <v>23242</v>
      </c>
      <c r="B18473" s="4" t="s">
        <v>23244</v>
      </c>
      <c r="C18473" s="5" t="str">
        <f>IFERROR(__xludf.DUMMYFUNCTION("GOOGLETRANSLATE(B18473,""en"",""fr"")"),"Ensuite, il montre une femme rasant un chien.")</f>
        <v>Ensuite, il montre une femme rasant un chien.</v>
      </c>
    </row>
    <row r="18474">
      <c r="A18474" s="4" t="s">
        <v>23245</v>
      </c>
      <c r="B18474" s="4" t="s">
        <v>23246</v>
      </c>
      <c r="C18474" s="5" t="str">
        <f>IFERROR(__xludf.DUMMYFUNCTION("GOOGLETRANSLATE(B18474,""en"",""fr"")"),"Une dame tient une brosse à dents pendant qu'un enfant est assis sur un comptoir.")</f>
        <v>Une dame tient une brosse à dents pendant qu'un enfant est assis sur un comptoir.</v>
      </c>
    </row>
    <row r="18475">
      <c r="A18475" s="4" t="s">
        <v>23245</v>
      </c>
      <c r="B18475" s="4" t="s">
        <v>23247</v>
      </c>
      <c r="C18475" s="5" t="str">
        <f>IFERROR(__xludf.DUMMYFUNCTION("GOOGLETRANSLATE(B18475,""en"",""fr"")"),"La dame brosse les dents des garçons.")</f>
        <v>La dame brosse les dents des garçons.</v>
      </c>
    </row>
    <row r="18476">
      <c r="A18476" s="4" t="s">
        <v>23245</v>
      </c>
      <c r="B18476" s="4" t="s">
        <v>23248</v>
      </c>
      <c r="C18476" s="5" t="str">
        <f>IFERROR(__xludf.DUMMYFUNCTION("GOOGLETRANSLATE(B18476,""en"",""fr"")"),"Elle finit et le petit garçon sourit.")</f>
        <v>Elle finit et le petit garçon sourit.</v>
      </c>
    </row>
    <row r="18477">
      <c r="A18477" s="4" t="s">
        <v>23245</v>
      </c>
      <c r="B18477" s="4" t="s">
        <v>23249</v>
      </c>
      <c r="C18477" s="5" t="str">
        <f>IFERROR(__xludf.DUMMYFUNCTION("GOOGLETRANSLATE(B18477,""en"",""fr"")"),"La dame recule et l'enfant met une tétine dans sa bouche.")</f>
        <v>La dame recule et l'enfant met une tétine dans sa bouche.</v>
      </c>
    </row>
    <row r="18478">
      <c r="A18478" s="4" t="s">
        <v>23250</v>
      </c>
      <c r="B18478" s="4" t="s">
        <v>23251</v>
      </c>
      <c r="C18478" s="5" t="str">
        <f>IFERROR(__xludf.DUMMYFUNCTION("GOOGLETRANSLATE(B18478,""en"",""fr"")"),"Un homme est assis dans une pièce en riant.")</f>
        <v>Un homme est assis dans une pièce en riant.</v>
      </c>
    </row>
    <row r="18479">
      <c r="A18479" s="4" t="s">
        <v>23250</v>
      </c>
      <c r="B18479" s="4" t="s">
        <v>23252</v>
      </c>
      <c r="C18479" s="5" t="str">
        <f>IFERROR(__xludf.DUMMYFUNCTION("GOOGLETRANSLATE(B18479,""en"",""fr"")"),"L'homme rejoint une femme et un homme à une table à manger.")</f>
        <v>L'homme rejoint une femme et un homme à une table à manger.</v>
      </c>
    </row>
    <row r="18480">
      <c r="A18480" s="4" t="s">
        <v>23250</v>
      </c>
      <c r="B18480" s="4" t="s">
        <v>23253</v>
      </c>
      <c r="C18480" s="5" t="str">
        <f>IFERROR(__xludf.DUMMYFUNCTION("GOOGLETRANSLATE(B18480,""en"",""fr"")"),"L'homme voit une poupée Bobble et la pousse.")</f>
        <v>L'homme voit une poupée Bobble et la pousse.</v>
      </c>
    </row>
    <row r="18481">
      <c r="A18481" s="4" t="s">
        <v>23250</v>
      </c>
      <c r="B18481" s="6" t="s">
        <v>23254</v>
      </c>
      <c r="C18481" s="5" t="str">
        <f>IFERROR(__xludf.DUMMYFUNCTION("GOOGLETRANSLATE(B18481,""en"",""fr"")"),"L'homme frappe la poupée et fait rebondir une balle dans la pièce en train de frapper toute la nourriture de la table et de faire un gâchis.")</f>
        <v>L'homme frappe la poupée et fait rebondir une balle dans la pièce en train de frapper toute la nourriture de la table et de faire un gâchis.</v>
      </c>
    </row>
    <row r="18482">
      <c r="A18482" s="4" t="s">
        <v>23250</v>
      </c>
      <c r="B18482" s="6" t="s">
        <v>23255</v>
      </c>
      <c r="C18482" s="5" t="str">
        <f>IFERROR(__xludf.DUMMYFUNCTION("GOOGLETRANSLATE(B18482,""en"",""fr"")"),"Les gens rient et l'homme nettoie et crée un tourbillon dans le puits qui se brise et il basse les murs.")</f>
        <v>Les gens rient et l'homme nettoie et crée un tourbillon dans le puits qui se brise et il basse les murs.</v>
      </c>
    </row>
    <row r="18483">
      <c r="A18483" s="4" t="s">
        <v>23250</v>
      </c>
      <c r="B18483" s="4" t="s">
        <v>23256</v>
      </c>
      <c r="C18483" s="5" t="str">
        <f>IFERROR(__xludf.DUMMYFUNCTION("GOOGLETRANSLATE(B18483,""en"",""fr"")"),"L'homme s'entraîne dans un champ.")</f>
        <v>L'homme s'entraîne dans un champ.</v>
      </c>
    </row>
    <row r="18484">
      <c r="A18484" s="4" t="s">
        <v>23250</v>
      </c>
      <c r="B18484" s="4" t="s">
        <v>23257</v>
      </c>
      <c r="C18484" s="5" t="str">
        <f>IFERROR(__xludf.DUMMYFUNCTION("GOOGLETRANSLATE(B18484,""en"",""fr"")"),"La poussière s'élève de l'homme et les feuilles volent dans le ciel.")</f>
        <v>La poussière s'élève de l'homme et les feuilles volent dans le ciel.</v>
      </c>
    </row>
    <row r="18485">
      <c r="A18485" s="4" t="s">
        <v>23258</v>
      </c>
      <c r="B18485" s="4" t="s">
        <v>12542</v>
      </c>
      <c r="C18485" s="5" t="str">
        <f>IFERROR(__xludf.DUMMYFUNCTION("GOOGLETRANSLATE(B18485,""en"",""fr"")"),"Une femme parle à la caméra.")</f>
        <v>Une femme parle à la caméra.</v>
      </c>
    </row>
    <row r="18486">
      <c r="A18486" s="4" t="s">
        <v>23258</v>
      </c>
      <c r="B18486" s="4" t="s">
        <v>23259</v>
      </c>
      <c r="C18486" s="5" t="str">
        <f>IFERROR(__xludf.DUMMYFUNCTION("GOOGLETRANSLATE(B18486,""en"",""fr"")"),"Elle montre comment accrocher une frontière le long d'un mur dans un salon.")</f>
        <v>Elle montre comment accrocher une frontière le long d'un mur dans un salon.</v>
      </c>
    </row>
    <row r="18487">
      <c r="A18487" s="4" t="s">
        <v>23258</v>
      </c>
      <c r="B18487" s="4" t="s">
        <v>23260</v>
      </c>
      <c r="C18487" s="5" t="str">
        <f>IFERROR(__xludf.DUMMYFUNCTION("GOOGLETRANSLATE(B18487,""en"",""fr"")"),"Elle revient ensuite à parler à la caméra.")</f>
        <v>Elle revient ensuite à parler à la caméra.</v>
      </c>
    </row>
    <row r="18488">
      <c r="A18488" s="4" t="s">
        <v>23261</v>
      </c>
      <c r="B18488" s="4" t="s">
        <v>23262</v>
      </c>
      <c r="C18488" s="5" t="str">
        <f>IFERROR(__xludf.DUMMYFUNCTION("GOOGLETRANSLATE(B18488,""en"",""fr"")"),"Un groupe joue au volley-ball dans une piscine à nager.")</f>
        <v>Un groupe joue au volley-ball dans une piscine à nager.</v>
      </c>
    </row>
    <row r="18489">
      <c r="A18489" s="4" t="s">
        <v>23261</v>
      </c>
      <c r="B18489" s="6" t="s">
        <v>23263</v>
      </c>
      <c r="C18489" s="5" t="str">
        <f>IFERROR(__xludf.DUMMYFUNCTION("GOOGLETRANSLATE(B18489,""en"",""fr"")"),"Ils rebondissent le ballon d'avant en arrière sur le filet alors qu'un golden retriever le rejoint, frappant le ballon avec son nez.")</f>
        <v>Ils rebondissent le ballon d'avant en arrière sur le filet alors qu'un golden retriever le rejoint, frappant le ballon avec son nez.</v>
      </c>
    </row>
    <row r="18490">
      <c r="A18490" s="4" t="s">
        <v>23264</v>
      </c>
      <c r="B18490" s="4" t="s">
        <v>23265</v>
      </c>
      <c r="C18490" s="5" t="str">
        <f>IFERROR(__xludf.DUMMYFUNCTION("GOOGLETRANSLATE(B18490,""en"",""fr"")"),"Un garçon joue de la batterie sur les gens avant.")</f>
        <v>Un garçon joue de la batterie sur les gens avant.</v>
      </c>
    </row>
    <row r="18491">
      <c r="A18491" s="4" t="s">
        <v>23264</v>
      </c>
      <c r="B18491" s="4" t="s">
        <v>23266</v>
      </c>
      <c r="C18491" s="5" t="str">
        <f>IFERROR(__xludf.DUMMYFUNCTION("GOOGLETRANSLATE(B18491,""en"",""fr"")"),"Un homme chante en tenant un microphone à côté du batteur.")</f>
        <v>Un homme chante en tenant un microphone à côté du batteur.</v>
      </c>
    </row>
    <row r="18492">
      <c r="A18492" s="4" t="s">
        <v>23264</v>
      </c>
      <c r="B18492" s="4" t="s">
        <v>23267</v>
      </c>
      <c r="C18492" s="5" t="str">
        <f>IFERROR(__xludf.DUMMYFUNCTION("GOOGLETRANSLATE(B18492,""en"",""fr"")"),"Une personne passe devant le garçon.")</f>
        <v>Une personne passe devant le garçon.</v>
      </c>
    </row>
    <row r="18493">
      <c r="A18493" s="4" t="s">
        <v>23268</v>
      </c>
      <c r="B18493" s="4" t="s">
        <v>23269</v>
      </c>
      <c r="C18493" s="5" t="str">
        <f>IFERROR(__xludf.DUMMYFUNCTION("GOOGLETRANSLATE(B18493,""en"",""fr"")"),"Un petit groupe de personnes est vu rouler dans un radeau sur une rivière rugueuse.")</f>
        <v>Un petit groupe de personnes est vu rouler dans un radeau sur une rivière rugueuse.</v>
      </c>
    </row>
    <row r="18494">
      <c r="A18494" s="4" t="s">
        <v>23268</v>
      </c>
      <c r="B18494" s="4" t="s">
        <v>23270</v>
      </c>
      <c r="C18494" s="5" t="str">
        <f>IFERROR(__xludf.DUMMYFUNCTION("GOOGLETRANSLATE(B18494,""en"",""fr"")"),"Les gens utilisent des pagaies pour se déplacer le long de l'eau et sous des tunnels.")</f>
        <v>Les gens utilisent des pagaies pour se déplacer le long de l'eau et sous des tunnels.</v>
      </c>
    </row>
    <row r="18495">
      <c r="A18495" s="4" t="s">
        <v>23268</v>
      </c>
      <c r="B18495" s="4" t="s">
        <v>23271</v>
      </c>
      <c r="C18495" s="5" t="str">
        <f>IFERROR(__xludf.DUMMYFUNCTION("GOOGLETRANSLATE(B18495,""en"",""fr"")"),"Le groupe continue de monter sur la rivière et se termine avec du texte à travers l'écran.")</f>
        <v>Le groupe continue de monter sur la rivière et se termine avec du texte à travers l'écran.</v>
      </c>
    </row>
    <row r="18496">
      <c r="A18496" s="4" t="s">
        <v>23272</v>
      </c>
      <c r="B18496" s="4" t="s">
        <v>23273</v>
      </c>
      <c r="C18496" s="5" t="str">
        <f>IFERROR(__xludf.DUMMYFUNCTION("GOOGLETRANSLATE(B18496,""en"",""fr"")"),"Une femme se fait couper les cheveux très courts dans une cuisine par une femme avec une paire de ciseaux.")</f>
        <v>Une femme se fait couper les cheveux très courts dans une cuisine par une femme avec une paire de ciseaux.</v>
      </c>
    </row>
    <row r="18497">
      <c r="A18497" s="4" t="s">
        <v>23272</v>
      </c>
      <c r="B18497" s="6" t="s">
        <v>23274</v>
      </c>
      <c r="C18497" s="5" t="str">
        <f>IFERROR(__xludf.DUMMYFUNCTION("GOOGLETRANSLATE(B18497,""en"",""fr"")"),"Un homme, portant des lunettes, parle de la caméra en gros plan avant que la caméra ne passe à une femme assise sur une chaise douce et se concentre sur son haut du bras.")</f>
        <v>Un homme, portant des lunettes, parle de la caméra en gros plan avant que la caméra ne passe à une femme assise sur une chaise douce et se concentre sur son haut du bras.</v>
      </c>
    </row>
    <row r="18498">
      <c r="A18498" s="4" t="s">
        <v>23272</v>
      </c>
      <c r="B18498" s="6" t="s">
        <v>23275</v>
      </c>
      <c r="C18498" s="5" t="str">
        <f>IFERROR(__xludf.DUMMYFUNCTION("GOOGLETRANSLATE(B18498,""en"",""fr"")"),"La caméra se déroule dans une cuisine et une femme assise tenant une serrure de ses propres cheveux tandis qu'une autre femme derrière elle (la femme qui était auparavant assise) commence à lui couper les cheveux avec une paire de ciseaux.")</f>
        <v>La caméra se déroule dans une cuisine et une femme assise tenant une serrure de ses propres cheveux tandis qu'une autre femme derrière elle (la femme qui était auparavant assise) commence à lui couper les cheveux avec une paire de ciseaux.</v>
      </c>
    </row>
    <row r="18499">
      <c r="A18499" s="4" t="s">
        <v>23272</v>
      </c>
      <c r="B18499" s="6" t="s">
        <v>23276</v>
      </c>
      <c r="C18499" s="5" t="str">
        <f>IFERROR(__xludf.DUMMYFUNCTION("GOOGLETRANSLATE(B18499,""en"",""fr"")"),"La caméra se met à un gros plan de la femme de la chaise de cuisine qui a eu la plupart de ses cheveux coupés et maintenant comment une coupe de cheveux très courte.")</f>
        <v>La caméra se met à un gros plan de la femme de la chaise de cuisine qui a eu la plupart de ses cheveux coupés et maintenant comment une coupe de cheveux très courte.</v>
      </c>
    </row>
    <row r="18500">
      <c r="A18500" s="4" t="s">
        <v>23272</v>
      </c>
      <c r="B18500" s="6" t="s">
        <v>23277</v>
      </c>
      <c r="C18500" s="5" t="str">
        <f>IFERROR(__xludf.DUMMYFUNCTION("GOOGLETRANSLATE(B18500,""en"",""fr"")"),"La caméra coupe à nouveau à l'homme qui apparaît pour la première fois dans le film et une photo d'une horloge numérique affichant le temps.")</f>
        <v>La caméra coupe à nouveau à l'homme qui apparaît pour la première fois dans le film et une photo d'une horloge numérique affichant le temps.</v>
      </c>
    </row>
    <row r="18501">
      <c r="A18501" s="4" t="s">
        <v>23278</v>
      </c>
      <c r="B18501" s="4" t="s">
        <v>23279</v>
      </c>
      <c r="C18501" s="5" t="str">
        <f>IFERROR(__xludf.DUMMYFUNCTION("GOOGLETRANSLATE(B18501,""en"",""fr"")"),"Une jeune femme est vue agenouillée dans une baignoire avec des vêtements tout autour d'elle.")</f>
        <v>Une jeune femme est vue agenouillée dans une baignoire avec des vêtements tout autour d'elle.</v>
      </c>
    </row>
    <row r="18502">
      <c r="A18502" s="4" t="s">
        <v>23278</v>
      </c>
      <c r="B18502" s="4" t="s">
        <v>23280</v>
      </c>
      <c r="C18502" s="5" t="str">
        <f>IFERROR(__xludf.DUMMYFUNCTION("GOOGLETRANSLATE(B18502,""en"",""fr"")"),"Elle monte sur les vêtements et se penche à nouveau pour les frotter pendant que la caméra se déroule autour d'elle.")</f>
        <v>Elle monte sur les vêtements et se penche à nouveau pour les frotter pendant que la caméra se déroule autour d'elle.</v>
      </c>
    </row>
    <row r="18503">
      <c r="A18503" s="4" t="s">
        <v>23278</v>
      </c>
      <c r="B18503" s="6" t="s">
        <v>23281</v>
      </c>
      <c r="C18503" s="5" t="str">
        <f>IFERROR(__xludf.DUMMYFUNCTION("GOOGLETRANSLATE(B18503,""en"",""fr"")"),"Elle tient les vêtements et continue de les laver ainsi qu'un homme entre dans le cadre pour aider.")</f>
        <v>Elle tient les vêtements et continue de les laver ainsi qu'un homme entre dans le cadre pour aider.</v>
      </c>
    </row>
    <row r="18504">
      <c r="A18504" s="4" t="s">
        <v>23282</v>
      </c>
      <c r="B18504" s="6" t="s">
        <v>23283</v>
      </c>
      <c r="C18504" s="5" t="str">
        <f>IFERROR(__xludf.DUMMYFUNCTION("GOOGLETRANSLATE(B18504,""en"",""fr"")"),"Une ballerine de femme vêtue d'une jupe rose et d'un chemisier blanc se tient en pose avec son dos plié vers l'avant et les mains sur ses côtés sur une scène.")</f>
        <v>Une ballerine de femme vêtue d'une jupe rose et d'un chemisier blanc se tient en pose avec son dos plié vers l'avant et les mains sur ses côtés sur une scène.</v>
      </c>
    </row>
    <row r="18505">
      <c r="A18505" s="4" t="s">
        <v>23282</v>
      </c>
      <c r="B18505" s="4" t="s">
        <v>23284</v>
      </c>
      <c r="C18505" s="5" t="str">
        <f>IFERROR(__xludf.DUMMYFUNCTION("GOOGLETRANSLATE(B18505,""en"",""fr"")"),"Un homme en jean bleu et une chemise blanche entre et lui caresse le dos avec un chiffon jaune.")</f>
        <v>Un homme en jean bleu et une chemise blanche entre et lui caresse le dos avec un chiffon jaune.</v>
      </c>
    </row>
    <row r="18506">
      <c r="A18506" s="4" t="s">
        <v>23282</v>
      </c>
      <c r="B18506" s="4" t="s">
        <v>23285</v>
      </c>
      <c r="C18506" s="5" t="str">
        <f>IFERROR(__xludf.DUMMYFUNCTION("GOOGLETRANSLATE(B18506,""en"",""fr"")"),"Puis une petite ballerine vient et tombe sur la femme.")</f>
        <v>Puis une petite ballerine vient et tombe sur la femme.</v>
      </c>
    </row>
    <row r="18507">
      <c r="A18507" s="4" t="s">
        <v>23282</v>
      </c>
      <c r="B18507" s="4" t="s">
        <v>23286</v>
      </c>
      <c r="C18507" s="5" t="str">
        <f>IFERROR(__xludf.DUMMYFUNCTION("GOOGLETRANSLATE(B18507,""en"",""fr"")"),"La femme se brise en danse chaque fois que la ballerine de la petite fille la tape.")</f>
        <v>La femme se brise en danse chaque fois que la ballerine de la petite fille la tape.</v>
      </c>
    </row>
    <row r="18508">
      <c r="A18508" s="4" t="s">
        <v>23282</v>
      </c>
      <c r="B18508" s="4" t="s">
        <v>23287</v>
      </c>
      <c r="C18508" s="5" t="str">
        <f>IFERROR(__xludf.DUMMYFUNCTION("GOOGLETRANSLATE(B18508,""en"",""fr"")"),"La petite fille ramasse une paire d'ailes et essaie de la mettre sur son dos.")</f>
        <v>La petite fille ramasse une paire d'ailes et essaie de la mettre sur son dos.</v>
      </c>
    </row>
    <row r="18509">
      <c r="A18509" s="4" t="s">
        <v>23282</v>
      </c>
      <c r="B18509" s="4" t="s">
        <v>23288</v>
      </c>
      <c r="C18509" s="5" t="str">
        <f>IFERROR(__xludf.DUMMYFUNCTION("GOOGLETRANSLATE(B18509,""en"",""fr"")"),"La femme commence à faire des mouvements de ballet.")</f>
        <v>La femme commence à faire des mouvements de ballet.</v>
      </c>
    </row>
    <row r="18510">
      <c r="A18510" s="4" t="s">
        <v>23282</v>
      </c>
      <c r="B18510" s="4" t="s">
        <v>23289</v>
      </c>
      <c r="C18510" s="5" t="str">
        <f>IFERROR(__xludf.DUMMYFUNCTION("GOOGLETRANSLATE(B18510,""en"",""fr"")"),"Elle continue de danser sur le ballet se déplace alors que la petite fille s'éloigne.")</f>
        <v>Elle continue de danser sur le ballet se déplace alors que la petite fille s'éloigne.</v>
      </c>
    </row>
    <row r="18511">
      <c r="A18511" s="4" t="s">
        <v>23282</v>
      </c>
      <c r="B18511" s="4" t="s">
        <v>23290</v>
      </c>
      <c r="C18511" s="5" t="str">
        <f>IFERROR(__xludf.DUMMYFUNCTION("GOOGLETRANSLATE(B18511,""en"",""fr"")"),"La ballerine femme se tord et tourbillonne sur ses orteils alors qu'elle danse à la musique.")</f>
        <v>La ballerine femme se tord et tourbillonne sur ses orteils alors qu'elle danse à la musique.</v>
      </c>
    </row>
    <row r="18512">
      <c r="A18512" s="4" t="s">
        <v>23282</v>
      </c>
      <c r="B18512" s="6" t="s">
        <v>23291</v>
      </c>
      <c r="C18512" s="5" t="str">
        <f>IFERROR(__xludf.DUMMYFUNCTION("GOOGLETRANSLATE(B18512,""en"",""fr"")"),"La foule applaudit et l'homme dans la chemise blanche et le jean bleu la soulèvent et sort de la scène.")</f>
        <v>La foule applaudit et l'homme dans la chemise blanche et le jean bleu la soulèvent et sort de la scène.</v>
      </c>
    </row>
    <row r="18513">
      <c r="A18513" s="4" t="s">
        <v>23292</v>
      </c>
      <c r="B18513" s="6" t="s">
        <v>23293</v>
      </c>
      <c r="C18513" s="5" t="str">
        <f>IFERROR(__xludf.DUMMYFUNCTION("GOOGLETRANSLATE(B18513,""en"",""fr"")"),"Un appareil photo se déroule autour d'une pièce avec un mur fraîchement peint et un homme peignant le mur sur un tabouret est vu.")</f>
        <v>Un appareil photo se déroule autour d'une pièce avec un mur fraîchement peint et un homme peignant le mur sur un tabouret est vu.</v>
      </c>
    </row>
    <row r="18514">
      <c r="A18514" s="4" t="s">
        <v>23292</v>
      </c>
      <c r="B18514" s="4" t="s">
        <v>23294</v>
      </c>
      <c r="C18514" s="5" t="str">
        <f>IFERROR(__xludf.DUMMYFUNCTION("GOOGLETRANSLATE(B18514,""en"",""fr"")"),"La caméra se déroule sur le puits de lumière et se termine en regardant derrière la zone.")</f>
        <v>La caméra se déroule sur le puits de lumière et se termine en regardant derrière la zone.</v>
      </c>
    </row>
    <row r="18515">
      <c r="A18515" s="4" t="s">
        <v>23295</v>
      </c>
      <c r="B18515" s="4" t="s">
        <v>23296</v>
      </c>
      <c r="C18515" s="5" t="str">
        <f>IFERROR(__xludf.DUMMYFUNCTION("GOOGLETRANSLATE(B18515,""en"",""fr"")"),"Nous voyons une personne dans une cuisine cuisiner sur le poêle.")</f>
        <v>Nous voyons une personne dans une cuisine cuisiner sur le poêle.</v>
      </c>
    </row>
    <row r="18516">
      <c r="A18516" s="4" t="s">
        <v>23295</v>
      </c>
      <c r="B18516" s="4" t="s">
        <v>23297</v>
      </c>
      <c r="C18516" s="5" t="str">
        <f>IFERROR(__xludf.DUMMYFUNCTION("GOOGLETRANSLATE(B18516,""en"",""fr"")"),"La personne a une poêle avec du beurre à laquelle il ajoute des œufs.")</f>
        <v>La personne a une poêle avec du beurre à laquelle il ajoute des œufs.</v>
      </c>
    </row>
    <row r="18517">
      <c r="A18517" s="4" t="s">
        <v>23295</v>
      </c>
      <c r="B18517" s="4" t="s">
        <v>23298</v>
      </c>
      <c r="C18517" s="5" t="str">
        <f>IFERROR(__xludf.DUMMYFUNCTION("GOOGLETRANSLATE(B18517,""en"",""fr"")"),"La personne retourne les œufs.")</f>
        <v>La personne retourne les œufs.</v>
      </c>
    </row>
    <row r="18518">
      <c r="A18518" s="4" t="s">
        <v>23295</v>
      </c>
      <c r="B18518" s="4" t="s">
        <v>23299</v>
      </c>
      <c r="C18518" s="5" t="str">
        <f>IFERROR(__xludf.DUMMYFUNCTION("GOOGLETRANSLATE(B18518,""en"",""fr"")"),"Un feu commence sur l'œil, la personne souffle.")</f>
        <v>Un feu commence sur l'œil, la personne souffle.</v>
      </c>
    </row>
    <row r="18519">
      <c r="A18519" s="4" t="s">
        <v>23295</v>
      </c>
      <c r="B18519" s="4" t="s">
        <v>23300</v>
      </c>
      <c r="C18519" s="5" t="str">
        <f>IFERROR(__xludf.DUMMYFUNCTION("GOOGLETRANSLATE(B18519,""en"",""fr"")"),"La personne retourne les œufs avec une spatule.")</f>
        <v>La personne retourne les œufs avec une spatule.</v>
      </c>
    </row>
    <row r="18520">
      <c r="A18520" s="4" t="s">
        <v>23295</v>
      </c>
      <c r="B18520" s="4" t="s">
        <v>23301</v>
      </c>
      <c r="C18520" s="5" t="str">
        <f>IFERROR(__xludf.DUMMYFUNCTION("GOOGLETRANSLATE(B18520,""en"",""fr"")"),"Les œufs sont versés dans une assiette et du sel et du poivre sont ajoutés.")</f>
        <v>Les œufs sont versés dans une assiette et du sel et du poivre sont ajoutés.</v>
      </c>
    </row>
    <row r="18521">
      <c r="A18521" s="4" t="s">
        <v>23295</v>
      </c>
      <c r="B18521" s="4" t="s">
        <v>23302</v>
      </c>
      <c r="C18521" s="5" t="str">
        <f>IFERROR(__xludf.DUMMYFUNCTION("GOOGLETRANSLATE(B18521,""en"",""fr"")"),"La personne s'éloigne du poêle.")</f>
        <v>La personne s'éloigne du poêle.</v>
      </c>
    </row>
    <row r="18522">
      <c r="A18522" s="4" t="s">
        <v>23303</v>
      </c>
      <c r="B18522" s="6" t="s">
        <v>23304</v>
      </c>
      <c r="C18522" s="5" t="str">
        <f>IFERROR(__xludf.DUMMYFUNCTION("GOOGLETRANSLATE(B18522,""en"",""fr"")"),"Un chien urine régulièrement, sans s'arrêter, et en marchant sur ses pattes avant, vers le bas et autour d'un trottoir pavé tout pendant qu'une personne les promenait en laisse jaune.")</f>
        <v>Un chien urine régulièrement, sans s'arrêter, et en marchant sur ses pattes avant, vers le bas et autour d'un trottoir pavé tout pendant qu'une personne les promenait en laisse jaune.</v>
      </c>
    </row>
    <row r="18523">
      <c r="A18523" s="4" t="s">
        <v>23303</v>
      </c>
      <c r="B18523" s="6" t="s">
        <v>23305</v>
      </c>
      <c r="C18523" s="5" t="str">
        <f>IFERROR(__xludf.DUMMYFUNCTION("GOOGLETRANSLATE(B18523,""en"",""fr"")"),"Le chien de carlin commence à uriner sur un trottoir en pierre le long d'un mini-mur en pierre basse, atterrit sur les quatre jambes pour faire demi-tour, puis commence à marcher sur ses deux pattes avant.")</f>
        <v>Le chien de carlin commence à uriner sur un trottoir en pierre le long d'un mini-mur en pierre basse, atterrit sur les quatre jambes pour faire demi-tour, puis commence à marcher sur ses deux pattes avant.</v>
      </c>
    </row>
    <row r="18524">
      <c r="A18524" s="4" t="s">
        <v>23303</v>
      </c>
      <c r="B18524" s="6" t="s">
        <v>23306</v>
      </c>
      <c r="C18524" s="5" t="str">
        <f>IFERROR(__xludf.DUMMYFUNCTION("GOOGLETRANSLATE(B18524,""en"",""fr"")"),"Le chien commence à uriner en marchant sur ses pattes avant avec la laisse jaune qui suit derrière une personne invisible promenait le chien de l'arrière-plan.")</f>
        <v>Le chien commence à uriner en marchant sur ses pattes avant avec la laisse jaune qui suit derrière une personne invisible promenait le chien de l'arrière-plan.</v>
      </c>
    </row>
    <row r="18525">
      <c r="A18525" s="4" t="s">
        <v>23303</v>
      </c>
      <c r="B18525" s="6" t="s">
        <v>23307</v>
      </c>
      <c r="C18525" s="5" t="str">
        <f>IFERROR(__xludf.DUMMYFUNCTION("GOOGLETRANSLATE(B18525,""en"",""fr"")"),"Le chien continue d'uriner de cette manière, après plus de trottoirs et d'herbe, et commence enfin à utiliser trois jambes, s'arrête et urine plus tandis que la stationnaire sur trois jambes.")</f>
        <v>Le chien continue d'uriner de cette manière, après plus de trottoirs et d'herbe, et commence enfin à utiliser trois jambes, s'arrête et urine plus tandis que la stationnaire sur trois jambes.</v>
      </c>
    </row>
    <row r="18526">
      <c r="A18526" s="4" t="s">
        <v>23308</v>
      </c>
      <c r="B18526" s="4" t="s">
        <v>23309</v>
      </c>
      <c r="C18526" s="5" t="str">
        <f>IFERROR(__xludf.DUMMYFUNCTION("GOOGLETRANSLATE(B18526,""en"",""fr"")"),"Un homme sécurise une femme assise dans un harnais élastique tandis que d'autres restent.")</f>
        <v>Un homme sécurise une femme assise dans un harnais élastique tandis que d'autres restent.</v>
      </c>
    </row>
    <row r="18527">
      <c r="A18527" s="4" t="s">
        <v>23308</v>
      </c>
      <c r="B18527" s="4" t="s">
        <v>23310</v>
      </c>
      <c r="C18527" s="5" t="str">
        <f>IFERROR(__xludf.DUMMYFUNCTION("GOOGLETRANSLATE(B18527,""en"",""fr"")"),"La femme parle à la caméra en vue de près.")</f>
        <v>La femme parle à la caméra en vue de près.</v>
      </c>
    </row>
    <row r="18528">
      <c r="A18528" s="4" t="s">
        <v>23308</v>
      </c>
      <c r="B18528" s="4" t="s">
        <v>23311</v>
      </c>
      <c r="C18528" s="5" t="str">
        <f>IFERROR(__xludf.DUMMYFUNCTION("GOOGLETRANSLATE(B18528,""en"",""fr"")"),"Plusieurs plans du paysage sont montrés entrecoupés avec la femme en attente.")</f>
        <v>Plusieurs plans du paysage sont montrés entrecoupés avec la femme en attente.</v>
      </c>
    </row>
    <row r="18529">
      <c r="A18529" s="4" t="s">
        <v>23308</v>
      </c>
      <c r="B18529" s="4" t="s">
        <v>23312</v>
      </c>
      <c r="C18529" s="5" t="str">
        <f>IFERROR(__xludf.DUMMYFUNCTION("GOOGLETRANSLATE(B18529,""en"",""fr"")"),"L'homme se termine avec l'équipement.")</f>
        <v>L'homme se termine avec l'équipement.</v>
      </c>
    </row>
    <row r="18530">
      <c r="A18530" s="4" t="s">
        <v>23308</v>
      </c>
      <c r="B18530" s="6" t="s">
        <v>23313</v>
      </c>
      <c r="C18530" s="5" t="str">
        <f>IFERROR(__xludf.DUMMYFUNCTION("GOOGLETRANSLATE(B18530,""en"",""fr"")"),"La femme sort soigneusement sur la plate-forme de saut tandis que l'un des hommes se tient derrière elle et un public regarde.")</f>
        <v>La femme sort soigneusement sur la plate-forme de saut tandis que l'un des hommes se tient derrière elle et un public regarde.</v>
      </c>
    </row>
    <row r="18531">
      <c r="A18531" s="4" t="s">
        <v>23308</v>
      </c>
      <c r="B18531" s="4" t="s">
        <v>23314</v>
      </c>
      <c r="C18531" s="5" t="str">
        <f>IFERROR(__xludf.DUMMYFUNCTION("GOOGLETRANSLATE(B18531,""en"",""fr"")"),"La femme s'écoule de la plate-forme.")</f>
        <v>La femme s'écoule de la plate-forme.</v>
      </c>
    </row>
    <row r="18532">
      <c r="A18532" s="4" t="s">
        <v>23308</v>
      </c>
      <c r="B18532" s="4" t="s">
        <v>23315</v>
      </c>
      <c r="C18532" s="5" t="str">
        <f>IFERROR(__xludf.DUMMYFUNCTION("GOOGLETRANSLATE(B18532,""en"",""fr"")"),"Une rediffusion de la femme à l'élastique de la plate-forme est montrée.")</f>
        <v>Une rediffusion de la femme à l'élastique de la plate-forme est montrée.</v>
      </c>
    </row>
    <row r="18533">
      <c r="A18533" s="4" t="s">
        <v>23316</v>
      </c>
      <c r="B18533" s="4" t="s">
        <v>23317</v>
      </c>
      <c r="C18533" s="5" t="str">
        <f>IFERROR(__xludf.DUMMYFUNCTION("GOOGLETRANSLATE(B18533,""en"",""fr"")"),"Nous voyons une table couverte de papiers et un ordinateur portable comme un homme fonctionne.")</f>
        <v>Nous voyons une table couverte de papiers et un ordinateur portable comme un homme fonctionne.</v>
      </c>
    </row>
    <row r="18534">
      <c r="A18534" s="4" t="s">
        <v>23316</v>
      </c>
      <c r="B18534" s="4" t="s">
        <v>23318</v>
      </c>
      <c r="C18534" s="5" t="str">
        <f>IFERROR(__xludf.DUMMYFUNCTION("GOOGLETRANSLATE(B18534,""en"",""fr"")"),"L'homme part et va dans un garage couvert de graffitis et allume une boombox.")</f>
        <v>L'homme part et va dans un garage couvert de graffitis et allume une boombox.</v>
      </c>
    </row>
    <row r="18535">
      <c r="A18535" s="4" t="s">
        <v>23316</v>
      </c>
      <c r="B18535" s="4" t="s">
        <v>23319</v>
      </c>
      <c r="C18535" s="5" t="str">
        <f>IFERROR(__xludf.DUMMYFUNCTION("GOOGLETRANSLATE(B18535,""en"",""fr"")"),"L'homme casse des danses puis voit qu'il y a un homme de l'autre côté de la pièce.")</f>
        <v>L'homme casse des danses puis voit qu'il y a un homme de l'autre côté de la pièce.</v>
      </c>
    </row>
    <row r="18536">
      <c r="A18536" s="4" t="s">
        <v>23316</v>
      </c>
      <c r="B18536" s="4" t="s">
        <v>23320</v>
      </c>
      <c r="C18536" s="5" t="str">
        <f>IFERROR(__xludf.DUMMYFUNCTION("GOOGLETRANSLATE(B18536,""en"",""fr"")"),"Les hommes se relaient ensuite dans la danse.")</f>
        <v>Les hommes se relaient ensuite dans la danse.</v>
      </c>
    </row>
    <row r="18537">
      <c r="A18537" s="4" t="s">
        <v>23316</v>
      </c>
      <c r="B18537" s="4" t="s">
        <v>23321</v>
      </c>
      <c r="C18537" s="5" t="str">
        <f>IFERROR(__xludf.DUMMYFUNCTION("GOOGLETRANSLATE(B18537,""en"",""fr"")"),"Les hommes se tiennent face à face et brisent ensemble.")</f>
        <v>Les hommes se tiennent face à face et brisent ensemble.</v>
      </c>
    </row>
    <row r="18538">
      <c r="A18538" s="4" t="s">
        <v>23316</v>
      </c>
      <c r="B18538" s="4" t="s">
        <v>5107</v>
      </c>
      <c r="C18538" s="5" t="str">
        <f>IFERROR(__xludf.DUMMYFUNCTION("GOOGLETRANSLATE(B18538,""en"",""fr"")"),"Nous voyons ensuite l'écran du titre de fin.")</f>
        <v>Nous voyons ensuite l'écran du titre de fin.</v>
      </c>
    </row>
    <row r="18539">
      <c r="A18539" s="4" t="s">
        <v>23322</v>
      </c>
      <c r="B18539" s="6" t="s">
        <v>23323</v>
      </c>
      <c r="C18539" s="5" t="str">
        <f>IFERROR(__xludf.DUMMYFUNCTION("GOOGLETRANSLATE(B18539,""en"",""fr"")"),"Les skis d'une personne sont montrés de près alors qu'ils se déplacent en continu sur une colline enneigée se déplaçant rapidement devant les arbres.")</f>
        <v>Les skis d'une personne sont montrés de près alors qu'ils se déplacent en continu sur une colline enneigée se déplaçant rapidement devant les arbres.</v>
      </c>
    </row>
    <row r="18540">
      <c r="A18540" s="4" t="s">
        <v>23322</v>
      </c>
      <c r="B18540" s="6" t="s">
        <v>23324</v>
      </c>
      <c r="C18540" s="5" t="str">
        <f>IFERROR(__xludf.DUMMYFUNCTION("GOOGLETRANSLATE(B18540,""en"",""fr"")"),"La personne continue de descendre le sentier à un rythme rapide et de rencontrer d'autres personnes en bas.")</f>
        <v>La personne continue de descendre le sentier à un rythme rapide et de rencontrer d'autres personnes en bas.</v>
      </c>
    </row>
    <row r="18541">
      <c r="A18541" s="4" t="s">
        <v>23325</v>
      </c>
      <c r="B18541" s="6" t="s">
        <v>23326</v>
      </c>
      <c r="C18541" s="5" t="str">
        <f>IFERROR(__xludf.DUMMYFUNCTION("GOOGLETRANSLATE(B18541,""en"",""fr"")"),"Les gens se tiennent dans un tribunal en jouant à Shufleboard pendant que les gens sont dans les terrasses qui regardent le match.")</f>
        <v>Les gens se tiennent dans un tribunal en jouant à Shufleboard pendant que les gens sont dans les terrasses qui regardent le match.</v>
      </c>
    </row>
    <row r="18542">
      <c r="A18542" s="4" t="s">
        <v>23325</v>
      </c>
      <c r="B18542" s="4" t="s">
        <v>23327</v>
      </c>
      <c r="C18542" s="5" t="str">
        <f>IFERROR(__xludf.DUMMYFUNCTION("GOOGLETRANSLATE(B18542,""en"",""fr"")"),"Beaucoup de gens qui portent des uniformes rouges marchent et sont assis autour du terrain.")</f>
        <v>Beaucoup de gens qui portent des uniformes rouges marchent et sont assis autour du terrain.</v>
      </c>
    </row>
    <row r="18543">
      <c r="A18543" s="4" t="s">
        <v>23328</v>
      </c>
      <c r="B18543" s="4" t="s">
        <v>23329</v>
      </c>
      <c r="C18543" s="5" t="str">
        <f>IFERROR(__xludf.DUMMYFUNCTION("GOOGLETRANSLATE(B18543,""en"",""fr"")"),"Un homme en costume et une dame dans une robe étincelante sur scène.")</f>
        <v>Un homme en costume et une dame dans une robe étincelante sur scène.</v>
      </c>
    </row>
    <row r="18544">
      <c r="A18544" s="4" t="s">
        <v>23328</v>
      </c>
      <c r="B18544" s="4" t="s">
        <v>23330</v>
      </c>
      <c r="C18544" s="5" t="str">
        <f>IFERROR(__xludf.DUMMYFUNCTION("GOOGLETRANSLATE(B18544,""en"",""fr"")"),"Les gens dansent ensuite dans la salle de bal alors que les gens regardent.")</f>
        <v>Les gens dansent ensuite dans la salle de bal alors que les gens regardent.</v>
      </c>
    </row>
    <row r="18545">
      <c r="A18545" s="4" t="s">
        <v>23328</v>
      </c>
      <c r="B18545" s="4" t="s">
        <v>23331</v>
      </c>
      <c r="C18545" s="5" t="str">
        <f>IFERROR(__xludf.DUMMYFUNCTION("GOOGLETRANSLATE(B18545,""en"",""fr"")"),"L'homme tourne la femme en l'air devant lui.")</f>
        <v>L'homme tourne la femme en l'air devant lui.</v>
      </c>
    </row>
    <row r="18546">
      <c r="A18546" s="4" t="s">
        <v>23328</v>
      </c>
      <c r="B18546" s="4" t="s">
        <v>23332</v>
      </c>
      <c r="C18546" s="5" t="str">
        <f>IFERROR(__xludf.DUMMYFUNCTION("GOOGLETRANSLATE(B18546,""en"",""fr"")"),"L'homme plonge la dame et elle donne des coups de pied dans les airs.")</f>
        <v>L'homme plonge la dame et elle donne des coups de pied dans les airs.</v>
      </c>
    </row>
    <row r="18547">
      <c r="A18547" s="4" t="s">
        <v>23328</v>
      </c>
      <c r="B18547" s="4" t="s">
        <v>23333</v>
      </c>
      <c r="C18547" s="5" t="str">
        <f>IFERROR(__xludf.DUMMYFUNCTION("GOOGLETRANSLATE(B18547,""en"",""fr"")"),"Ils finissent et la foule applaudit alors qu'ils quittent la scène.")</f>
        <v>Ils finissent et la foule applaudit alors qu'ils quittent la scène.</v>
      </c>
    </row>
    <row r="18548">
      <c r="A18548" s="4" t="s">
        <v>23334</v>
      </c>
      <c r="B18548" s="6" t="s">
        <v>23335</v>
      </c>
      <c r="C18548" s="5" t="str">
        <f>IFERROR(__xludf.DUMMYFUNCTION("GOOGLETRANSLATE(B18548,""en"",""fr"")"),"On voit deux filles qui ont une pose au milieu d'un grand gymnase tandis que d'autres veillent autour d'eux.")</f>
        <v>On voit deux filles qui ont une pose au milieu d'un grand gymnase tandis que d'autres veillent autour d'eux.</v>
      </c>
    </row>
    <row r="18549">
      <c r="A18549" s="4" t="s">
        <v>23334</v>
      </c>
      <c r="B18549" s="4" t="s">
        <v>23336</v>
      </c>
      <c r="C18549" s="5" t="str">
        <f>IFERROR(__xludf.DUMMYFUNCTION("GOOGLETRANSLATE(B18549,""en"",""fr"")"),"Les filles commencent à effectuer une routine de danse tout en utilisant des matraques.")</f>
        <v>Les filles commencent à effectuer une routine de danse tout en utilisant des matraques.</v>
      </c>
    </row>
    <row r="18550">
      <c r="A18550" s="4" t="s">
        <v>23334</v>
      </c>
      <c r="B18550" s="4" t="s">
        <v>23337</v>
      </c>
      <c r="C18550" s="5" t="str">
        <f>IFERROR(__xludf.DUMMYFUNCTION("GOOGLETRANSLATE(B18550,""en"",""fr"")"),"Les filles continuent de danser et de finir en tenant une pose.")</f>
        <v>Les filles continuent de danser et de finir en tenant une pose.</v>
      </c>
    </row>
    <row r="18551">
      <c r="A18551" s="4" t="s">
        <v>23338</v>
      </c>
      <c r="B18551" s="4" t="s">
        <v>23339</v>
      </c>
      <c r="C18551" s="5" t="str">
        <f>IFERROR(__xludf.DUMMYFUNCTION("GOOGLETRANSLATE(B18551,""en"",""fr"")"),"Une femme marche sur la plage avec une planche de surf.")</f>
        <v>Une femme marche sur la plage avec une planche de surf.</v>
      </c>
    </row>
    <row r="18552">
      <c r="A18552" s="4" t="s">
        <v>23338</v>
      </c>
      <c r="B18552" s="4" t="s">
        <v>23340</v>
      </c>
      <c r="C18552" s="5" t="str">
        <f>IFERROR(__xludf.DUMMYFUNCTION("GOOGLETRANSLATE(B18552,""en"",""fr"")"),"Elle commence à surfer dans l'eau.")</f>
        <v>Elle commence à surfer dans l'eau.</v>
      </c>
    </row>
    <row r="18553">
      <c r="A18553" s="4" t="s">
        <v>23341</v>
      </c>
      <c r="B18553" s="4" t="s">
        <v>23342</v>
      </c>
      <c r="C18553" s="5" t="str">
        <f>IFERROR(__xludf.DUMMYFUNCTION("GOOGLETRANSLATE(B18553,""en"",""fr"")"),"Une femme se lave dans un évier et montre une petite bouteille.")</f>
        <v>Une femme se lave dans un évier et montre une petite bouteille.</v>
      </c>
    </row>
    <row r="18554">
      <c r="A18554" s="4" t="s">
        <v>23341</v>
      </c>
      <c r="B18554" s="4" t="s">
        <v>23343</v>
      </c>
      <c r="C18554" s="5" t="str">
        <f>IFERROR(__xludf.DUMMYFUNCTION("GOOGLETRANSLATE(B18554,""en"",""fr"")"),"Ensuite, la femme ajoute plusieurs pommes de terre dans un pot à vapeur.")</f>
        <v>Ensuite, la femme ajoute plusieurs pommes de terre dans un pot à vapeur.</v>
      </c>
    </row>
    <row r="18555">
      <c r="A18555" s="4" t="s">
        <v>23341</v>
      </c>
      <c r="B18555" s="4" t="s">
        <v>23344</v>
      </c>
      <c r="C18555" s="5" t="str">
        <f>IFERROR(__xludf.DUMMYFUNCTION("GOOGLETRANSLATE(B18555,""en"",""fr"")"),"Après, la femme a mis les pommes de terre dans un bol puis décoller facilement une pomme de terre.")</f>
        <v>Après, la femme a mis les pommes de terre dans un bol puis décoller facilement une pomme de terre.</v>
      </c>
    </row>
    <row r="18556">
      <c r="A18556" s="4" t="s">
        <v>23345</v>
      </c>
      <c r="B18556" s="4" t="s">
        <v>23346</v>
      </c>
      <c r="C18556" s="5" t="str">
        <f>IFERROR(__xludf.DUMMYFUNCTION("GOOGLETRANSLATE(B18556,""en"",""fr"")"),"Il y a un jardin avec de nombreux arbres et arbustes.")</f>
        <v>Il y a un jardin avec de nombreux arbres et arbustes.</v>
      </c>
    </row>
    <row r="18557">
      <c r="A18557" s="4" t="s">
        <v>23345</v>
      </c>
      <c r="B18557" s="4" t="s">
        <v>23347</v>
      </c>
      <c r="C18557" s="5" t="str">
        <f>IFERROR(__xludf.DUMMYFUNCTION("GOOGLETRANSLATE(B18557,""en"",""fr"")"),"Il y a un homme qui utilise une couverture et un équipement de coupe qui coupent les buissons.")</f>
        <v>Il y a un homme qui utilise une couverture et un équipement de coupe qui coupent les buissons.</v>
      </c>
    </row>
    <row r="18558">
      <c r="A18558" s="4" t="s">
        <v>23345</v>
      </c>
      <c r="B18558" s="4" t="s">
        <v>23348</v>
      </c>
      <c r="C18558" s="5" t="str">
        <f>IFERROR(__xludf.DUMMYFUNCTION("GOOGLETRANSLATE(B18558,""en"",""fr"")"),"Un autre homme donne des instructions sur la pelouse et les soins du jardin.")</f>
        <v>Un autre homme donne des instructions sur la pelouse et les soins du jardin.</v>
      </c>
    </row>
    <row r="18559">
      <c r="A18559" s="4" t="s">
        <v>23345</v>
      </c>
      <c r="B18559" s="4" t="s">
        <v>23349</v>
      </c>
      <c r="C18559" s="5" t="str">
        <f>IFERROR(__xludf.DUMMYFUNCTION("GOOGLETRANSLATE(B18559,""en"",""fr"")"),"L'homme grimpe à plusieurs reprises pour couper les arbres et les buissons.")</f>
        <v>L'homme grimpe à plusieurs reprises pour couper les arbres et les buissons.</v>
      </c>
    </row>
    <row r="18560">
      <c r="A18560" s="4" t="s">
        <v>23345</v>
      </c>
      <c r="B18560" s="4" t="s">
        <v>23350</v>
      </c>
      <c r="C18560" s="5" t="str">
        <f>IFERROR(__xludf.DUMMYFUNCTION("GOOGLETRANSLATE(B18560,""en"",""fr"")"),"Il fait le tour de tout le côté pour couper les haies.")</f>
        <v>Il fait le tour de tout le côté pour couper les haies.</v>
      </c>
    </row>
    <row r="18561">
      <c r="A18561" s="4" t="s">
        <v>23345</v>
      </c>
      <c r="B18561" s="6" t="s">
        <v>23351</v>
      </c>
      <c r="C18561" s="5" t="str">
        <f>IFERROR(__xludf.DUMMYFUNCTION("GOOGLETRANSLATE(B18561,""en"",""fr"")"),"L'instructeur continue de parler du processus de jardinage, l'homme coupe les haies qui forment une barrière près d'une maison.")</f>
        <v>L'instructeur continue de parler du processus de jardinage, l'homme coupe les haies qui forment une barrière près d'une maison.</v>
      </c>
    </row>
    <row r="18562">
      <c r="A18562" s="4" t="s">
        <v>23345</v>
      </c>
      <c r="B18562" s="4" t="s">
        <v>23352</v>
      </c>
      <c r="C18562" s="5" t="str">
        <f>IFERROR(__xludf.DUMMYFUNCTION("GOOGLETRANSLATE(B18562,""en"",""fr"")"),"L'instructeur explique à nouveau le processus aux téléspectateurs.")</f>
        <v>L'instructeur explique à nouveau le processus aux téléspectateurs.</v>
      </c>
    </row>
    <row r="18563">
      <c r="A18563" s="4" t="s">
        <v>23345</v>
      </c>
      <c r="B18563" s="6" t="s">
        <v>23353</v>
      </c>
      <c r="C18563" s="5" t="str">
        <f>IFERROR(__xludf.DUMMYFUNCTION("GOOGLETRANSLATE(B18563,""en"",""fr"")"),"La scène se transforme en une statue étrange dans une ville animée et se termine par un remerciement d'avoir regardé le message.")</f>
        <v>La scène se transforme en une statue étrange dans une ville animée et se termine par un remerciement d'avoir regardé le message.</v>
      </c>
    </row>
    <row r="18564">
      <c r="A18564" s="4" t="s">
        <v>23354</v>
      </c>
      <c r="B18564" s="4" t="s">
        <v>23355</v>
      </c>
      <c r="C18564" s="5" t="str">
        <f>IFERROR(__xludf.DUMMYFUNCTION("GOOGLETRANSLATE(B18564,""en"",""fr"")"),"Une femme en lingerie est assise sur un canapé en signe de la caméra.")</f>
        <v>Une femme en lingerie est assise sur un canapé en signe de la caméra.</v>
      </c>
    </row>
    <row r="18565">
      <c r="A18565" s="4" t="s">
        <v>23354</v>
      </c>
      <c r="B18565" s="4" t="s">
        <v>23356</v>
      </c>
      <c r="C18565" s="5" t="str">
        <f>IFERROR(__xludf.DUMMYFUNCTION("GOOGLETRANSLATE(B18565,""en"",""fr"")"),"Elle ouvre un paquet de cigarettes et s'allume.")</f>
        <v>Elle ouvre un paquet de cigarettes et s'allume.</v>
      </c>
    </row>
    <row r="18566">
      <c r="A18566" s="4" t="s">
        <v>23354</v>
      </c>
      <c r="B18566" s="4" t="s">
        <v>23357</v>
      </c>
      <c r="C18566" s="5" t="str">
        <f>IFERROR(__xludf.DUMMYFUNCTION("GOOGLETRANSLATE(B18566,""en"",""fr"")"),"Elle continue de s'asseoir et de fumer en regardant la caméra.")</f>
        <v>Elle continue de s'asseoir et de fumer en regardant la caméra.</v>
      </c>
    </row>
    <row r="18567">
      <c r="A18567" s="4" t="s">
        <v>23358</v>
      </c>
      <c r="B18567" s="4" t="s">
        <v>23359</v>
      </c>
      <c r="C18567" s="5" t="str">
        <f>IFERROR(__xludf.DUMMYFUNCTION("GOOGLETRANSLATE(B18567,""en"",""fr"")"),"Une dame discute en se tenant dans une cuisine adjacente à un évier.")</f>
        <v>Une dame discute en se tenant dans une cuisine adjacente à un évier.</v>
      </c>
    </row>
    <row r="18568">
      <c r="A18568" s="4" t="s">
        <v>23358</v>
      </c>
      <c r="B18568" s="4" t="s">
        <v>23360</v>
      </c>
      <c r="C18568" s="5" t="str">
        <f>IFERROR(__xludf.DUMMYFUNCTION("GOOGLETRANSLATE(B18568,""en"",""fr"")"),"La dame tient une éponge pendant que l'eau du puits fonctionne.")</f>
        <v>La dame tient une éponge pendant que l'eau du puits fonctionne.</v>
      </c>
    </row>
    <row r="18569">
      <c r="A18569" s="4" t="s">
        <v>23358</v>
      </c>
      <c r="B18569" s="4" t="s">
        <v>23361</v>
      </c>
      <c r="C18569" s="5" t="str">
        <f>IFERROR(__xludf.DUMMYFUNCTION("GOOGLETRANSLATE(B18569,""en"",""fr"")"),"La dame trempe la vaisselle dans l'eau savonneuse.")</f>
        <v>La dame trempe la vaisselle dans l'eau savonneuse.</v>
      </c>
    </row>
    <row r="18570">
      <c r="A18570" s="4" t="s">
        <v>23362</v>
      </c>
      <c r="B18570" s="4" t="s">
        <v>23363</v>
      </c>
      <c r="C18570" s="5" t="str">
        <f>IFERROR(__xludf.DUMMYFUNCTION("GOOGLETRANSLATE(B18570,""en"",""fr"")"),"Une femme dans un ventre de robe blanche danse à l'extérieur près des colonnes et des arbres.")</f>
        <v>Une femme dans un ventre de robe blanche danse à l'extérieur près des colonnes et des arbres.</v>
      </c>
    </row>
    <row r="18571">
      <c r="A18571" s="4" t="s">
        <v>23362</v>
      </c>
      <c r="B18571" s="4" t="s">
        <v>23364</v>
      </c>
      <c r="C18571" s="5" t="str">
        <f>IFERROR(__xludf.DUMMYFUNCTION("GOOGLETRANSLATE(B18571,""en"",""fr"")"),"La femme secoue ses hanches alors qu'elle danse.")</f>
        <v>La femme secoue ses hanches alors qu'elle danse.</v>
      </c>
    </row>
    <row r="18572">
      <c r="A18572" s="4" t="s">
        <v>23362</v>
      </c>
      <c r="B18572" s="4" t="s">
        <v>23365</v>
      </c>
      <c r="C18572" s="5" t="str">
        <f>IFERROR(__xludf.DUMMYFUNCTION("GOOGLETRANSLATE(B18572,""en"",""fr"")"),"Les crédits apparaissent à l'écran.")</f>
        <v>Les crédits apparaissent à l'écran.</v>
      </c>
    </row>
    <row r="18573">
      <c r="A18573" s="4" t="s">
        <v>23366</v>
      </c>
      <c r="B18573" s="4" t="s">
        <v>23367</v>
      </c>
      <c r="C18573" s="5" t="str">
        <f>IFERROR(__xludf.DUMMYFUNCTION("GOOGLETRANSLATE(B18573,""en"",""fr"")"),"Un verre de tir est illustré, rempli de trois couleurs de liquide.")</f>
        <v>Un verre de tir est illustré, rempli de trois couleurs de liquide.</v>
      </c>
    </row>
    <row r="18574">
      <c r="A18574" s="4" t="s">
        <v>23366</v>
      </c>
      <c r="B18574" s="4" t="s">
        <v>23368</v>
      </c>
      <c r="C18574" s="5" t="str">
        <f>IFERROR(__xludf.DUMMYFUNCTION("GOOGLETRANSLATE(B18574,""en"",""fr"")"),"Plusieurs bouteilles d'alcools de différentes couleurs sont présentées.")</f>
        <v>Plusieurs bouteilles d'alcools de différentes couleurs sont présentées.</v>
      </c>
    </row>
    <row r="18575">
      <c r="A18575" s="4" t="s">
        <v>23366</v>
      </c>
      <c r="B18575" s="4" t="s">
        <v>23369</v>
      </c>
      <c r="C18575" s="5" t="str">
        <f>IFERROR(__xludf.DUMMYFUNCTION("GOOGLETRANSLATE(B18575,""en"",""fr"")"),"Les liquides sont versés un à la fois dans les verres, formant la boisson tricolore.")</f>
        <v>Les liquides sont versés un à la fois dans les verres, formant la boisson tricolore.</v>
      </c>
    </row>
    <row r="18576">
      <c r="A18576" s="4" t="s">
        <v>23370</v>
      </c>
      <c r="B18576" s="4" t="s">
        <v>23371</v>
      </c>
      <c r="C18576" s="5" t="str">
        <f>IFERROR(__xludf.DUMMYFUNCTION("GOOGLETRANSLATE(B18576,""en"",""fr"")"),"Un homme en chemise habillée tape son tissu sur le bec d'un récipient en verre pour le rendre humide.")</f>
        <v>Un homme en chemise habillée tape son tissu sur le bec d'un récipient en verre pour le rendre humide.</v>
      </c>
    </row>
    <row r="18577">
      <c r="A18577" s="4" t="s">
        <v>23370</v>
      </c>
      <c r="B18577" s="4" t="s">
        <v>23372</v>
      </c>
      <c r="C18577" s="5" t="str">
        <f>IFERROR(__xludf.DUMMYFUNCTION("GOOGLETRANSLATE(B18577,""en"",""fr"")"),"L'homme utilise son tissu enroulé autour de son index et de son moyen moyen pour polir une chaussure.")</f>
        <v>L'homme utilise son tissu enroulé autour de son index et de son moyen moyen pour polir une chaussure.</v>
      </c>
    </row>
    <row r="18578">
      <c r="A18578" s="4" t="s">
        <v>23370</v>
      </c>
      <c r="B18578" s="4" t="s">
        <v>23373</v>
      </c>
      <c r="C18578" s="5" t="str">
        <f>IFERROR(__xludf.DUMMYFUNCTION("GOOGLETRANSLATE(B18578,""en"",""fr"")"),"L'homme frotte son tissu dans une boîte à chaussures de chaussures pour plus de substance.")</f>
        <v>L'homme frotte son tissu dans une boîte à chaussures de chaussures pour plus de substance.</v>
      </c>
    </row>
    <row r="18579">
      <c r="A18579" s="4" t="s">
        <v>23370</v>
      </c>
      <c r="B18579" s="4" t="s">
        <v>23374</v>
      </c>
      <c r="C18579" s="5" t="str">
        <f>IFERROR(__xludf.DUMMYFUNCTION("GOOGLETRANSLATE(B18579,""en"",""fr"")"),"L'homme continue de polir le spectacle autour de l'orteil de la chaussure.")</f>
        <v>L'homme continue de polir le spectacle autour de l'orteil de la chaussure.</v>
      </c>
    </row>
    <row r="18580">
      <c r="A18580" s="4" t="s">
        <v>23370</v>
      </c>
      <c r="B18580" s="4" t="s">
        <v>23375</v>
      </c>
      <c r="C18580" s="5" t="str">
        <f>IFERROR(__xludf.DUMMYFUNCTION("GOOGLETRANSLATE(B18580,""en"",""fr"")"),"L'homme frotte à nouveau son tissu dans le moule pour plus de polonais.")</f>
        <v>L'homme frotte à nouveau son tissu dans le moule pour plus de polonais.</v>
      </c>
    </row>
    <row r="18581">
      <c r="A18581" s="4" t="s">
        <v>23370</v>
      </c>
      <c r="B18581" s="6" t="s">
        <v>23376</v>
      </c>
      <c r="C18581" s="5" t="str">
        <f>IFERROR(__xludf.DUMMYFUNCTION("GOOGLETRANSLATE(B18581,""en"",""fr"")"),"L'homme continue de polir le spectacle autour de l'orteil de la chaussure près de l'orteil dans un mouvement circulaire.")</f>
        <v>L'homme continue de polir le spectacle autour de l'orteil de la chaussure près de l'orteil dans un mouvement circulaire.</v>
      </c>
    </row>
    <row r="18582">
      <c r="A18582" s="4" t="s">
        <v>23377</v>
      </c>
      <c r="B18582" s="4" t="s">
        <v>23378</v>
      </c>
      <c r="C18582" s="5" t="str">
        <f>IFERROR(__xludf.DUMMYFUNCTION("GOOGLETRANSLATE(B18582,""en"",""fr"")"),"Deux filles agissent idiote et jettent des panneaux sur une caméra.")</f>
        <v>Deux filles agissent idiote et jettent des panneaux sur une caméra.</v>
      </c>
    </row>
    <row r="18583">
      <c r="A18583" s="4" t="s">
        <v>23377</v>
      </c>
      <c r="B18583" s="4" t="s">
        <v>23379</v>
      </c>
      <c r="C18583" s="5" t="str">
        <f>IFERROR(__xludf.DUMMYFUNCTION("GOOGLETRANSLATE(B18583,""en"",""fr"")"),"Ils se relaient ensuite à tour de rôle sur la pelouse.")</f>
        <v>Ils se relaient ensuite à tour de rôle sur la pelouse.</v>
      </c>
    </row>
    <row r="18584">
      <c r="A18584" s="4" t="s">
        <v>23377</v>
      </c>
      <c r="B18584" s="4" t="s">
        <v>23380</v>
      </c>
      <c r="C18584" s="5" t="str">
        <f>IFERROR(__xludf.DUMMYFUNCTION("GOOGLETRANSLATE(B18584,""en"",""fr"")"),"Ils font des retournements avant et arrière, puis courent vers la caméra.")</f>
        <v>Ils font des retournements avant et arrière, puis courent vers la caméra.</v>
      </c>
    </row>
    <row r="18585">
      <c r="A18585" s="4" t="s">
        <v>23381</v>
      </c>
      <c r="B18585" s="4" t="s">
        <v>23382</v>
      </c>
      <c r="C18585" s="5" t="str">
        <f>IFERROR(__xludf.DUMMYFUNCTION("GOOGLETRANSLATE(B18585,""en"",""fr"")"),"Un homme se tient à l'intérieur d'une cuisine devant des ingrédients et des outils pour la cuisson.")</f>
        <v>Un homme se tient à l'intérieur d'une cuisine devant des ingrédients et des outils pour la cuisson.</v>
      </c>
    </row>
    <row r="18586">
      <c r="A18586" s="4" t="s">
        <v>23381</v>
      </c>
      <c r="B18586" s="4" t="s">
        <v>23383</v>
      </c>
      <c r="C18586" s="5" t="str">
        <f>IFERROR(__xludf.DUMMYFUNCTION("GOOGLETRANSLATE(B18586,""en"",""fr"")"),"Il montre une vinaigrette versée sur une salade de chou.")</f>
        <v>Il montre une vinaigrette versée sur une salade de chou.</v>
      </c>
    </row>
    <row r="18587">
      <c r="A18587" s="4" t="s">
        <v>23381</v>
      </c>
      <c r="B18587" s="4" t="s">
        <v>23384</v>
      </c>
      <c r="C18587" s="5" t="str">
        <f>IFERROR(__xludf.DUMMYFUNCTION("GOOGLETRANSLATE(B18587,""en"",""fr"")"),"Il explique comment couper un melon, créant des tranches qui entrent dans sa salade.")</f>
        <v>Il explique comment couper un melon, créant des tranches qui entrent dans sa salade.</v>
      </c>
    </row>
    <row r="18588">
      <c r="A18588" s="4" t="s">
        <v>23381</v>
      </c>
      <c r="B18588" s="4" t="s">
        <v>23385</v>
      </c>
      <c r="C18588" s="5" t="str">
        <f>IFERROR(__xludf.DUMMYFUNCTION("GOOGLETRANSLATE(B18588,""en"",""fr"")"),"Puis il déchiquet une carotte et déplace la salade dans un bol avant de la bruiner avec une vinaigrette.")</f>
        <v>Puis il déchiquet une carotte et déplace la salade dans un bol avant de la bruiner avec une vinaigrette.</v>
      </c>
    </row>
    <row r="18589">
      <c r="A18589" s="4" t="s">
        <v>23386</v>
      </c>
      <c r="B18589" s="6" t="s">
        <v>23387</v>
      </c>
      <c r="C18589" s="5" t="str">
        <f>IFERROR(__xludf.DUMMYFUNCTION("GOOGLETRANSLATE(B18589,""en"",""fr"")"),"Un écran noir apparaît avec des mots blancs qui lisent ""GoPro Hero3 + Black faisant des tâches quotidiennes amusantes"" Tonde la pelouse ""Résolution: 1080p Superwide.")</f>
        <v>Un écran noir apparaît avec des mots blancs qui lisent "GoPro Hero3 + Black faisant des tâches quotidiennes amusantes" Tonde la pelouse "Résolution: 1080p Superwide.</v>
      </c>
    </row>
    <row r="18590">
      <c r="A18590" s="4" t="s">
        <v>23386</v>
      </c>
      <c r="B18590" s="6" t="s">
        <v>23388</v>
      </c>
      <c r="C18590" s="5" t="str">
        <f>IFERROR(__xludf.DUMMYFUNCTION("GOOGLETRANSLATE(B18590,""en"",""fr"")"),"Une vue du haut d'une tondeuse à gazon montre une femme tirant sur la poignée de traction de la tondeuse à gazon.")</f>
        <v>Une vue du haut d'une tondeuse à gazon montre une femme tirant sur la poignée de traction de la tondeuse à gazon.</v>
      </c>
    </row>
    <row r="18591">
      <c r="A18591" s="4" t="s">
        <v>23386</v>
      </c>
      <c r="B18591" s="6" t="s">
        <v>23389</v>
      </c>
      <c r="C18591" s="5" t="str">
        <f>IFERROR(__xludf.DUMMYFUNCTION("GOOGLETRANSLATE(B18591,""en"",""fr"")"),"La vue passe à la vue de la tondeuse à gazon et la tondeuse se déplace le long d'une cour remplie d'herbe verte.")</f>
        <v>La vue passe à la vue de la tondeuse à gazon et la tondeuse se déplace le long d'une cour remplie d'herbe verte.</v>
      </c>
    </row>
    <row r="18592">
      <c r="A18592" s="4" t="s">
        <v>23386</v>
      </c>
      <c r="B18592" s="6" t="s">
        <v>23390</v>
      </c>
      <c r="C18592" s="5" t="str">
        <f>IFERROR(__xludf.DUMMYFUNCTION("GOOGLETRANSLATE(B18592,""en"",""fr"")"),"La vue change d'avant en arrière de la vision de la tondeuse à la pelouse et de la vision de toute la femme qui tondait la pelouse.")</f>
        <v>La vue change d'avant en arrière de la vision de la tondeuse à la pelouse et de la vision de toute la femme qui tondait la pelouse.</v>
      </c>
    </row>
    <row r="18593">
      <c r="A18593" s="4" t="s">
        <v>23391</v>
      </c>
      <c r="B18593" s="4" t="s">
        <v>23392</v>
      </c>
      <c r="C18593" s="5" t="str">
        <f>IFERROR(__xludf.DUMMYFUNCTION("GOOGLETRANSLATE(B18593,""en"",""fr"")"),"Un grand groupe de personnes est vue assise sur des vélos qui s'exercent entre eux.")</f>
        <v>Un grand groupe de personnes est vue assise sur des vélos qui s'exercent entre eux.</v>
      </c>
    </row>
    <row r="18594">
      <c r="A18594" s="4" t="s">
        <v>23391</v>
      </c>
      <c r="B18594" s="4" t="s">
        <v>23393</v>
      </c>
      <c r="C18594" s="5" t="str">
        <f>IFERROR(__xludf.DUMMYFUNCTION("GOOGLETRANSLATE(B18594,""en"",""fr"")"),"Une femme parle à la caméra tandis que davantage de coups de feu sont montrés des personnes qui roulent.")</f>
        <v>Une femme parle à la caméra tandis que davantage de coups de feu sont montrés des personnes qui roulent.</v>
      </c>
    </row>
    <row r="18595">
      <c r="A18595" s="4" t="s">
        <v>23391</v>
      </c>
      <c r="B18595" s="4" t="s">
        <v>23394</v>
      </c>
      <c r="C18595" s="5" t="str">
        <f>IFERROR(__xludf.DUMMYFUNCTION("GOOGLETRANSLATE(B18595,""en"",""fr"")"),"Une femme mène la classe et parle à la caméra et à d'autres roulant.")</f>
        <v>Une femme mène la classe et parle à la caméra et à d'autres roulant.</v>
      </c>
    </row>
    <row r="18596">
      <c r="A18596" s="4" t="s">
        <v>23395</v>
      </c>
      <c r="B18596" s="6" t="s">
        <v>23396</v>
      </c>
      <c r="C18596" s="5" t="str">
        <f>IFERROR(__xludf.DUMMYFUNCTION("GOOGLETRANSLATE(B18596,""en"",""fr"")"),"Une main montre un couteau à lame incurvé, puis il a montré un choix de glace avec du papier blanc à la fin.")</f>
        <v>Une main montre un couteau à lame incurvé, puis il a montré un choix de glace avec du papier blanc à la fin.</v>
      </c>
    </row>
    <row r="18597">
      <c r="A18597" s="4" t="s">
        <v>23395</v>
      </c>
      <c r="B18597" s="4" t="s">
        <v>23397</v>
      </c>
      <c r="C18597" s="5" t="str">
        <f>IFERROR(__xludf.DUMMYFUNCTION("GOOGLETRANSLATE(B18597,""en"",""fr"")"),"L'homme a jeté la lame sur le contreplaqué, puis il a lancé le choix de glace.")</f>
        <v>L'homme a jeté la lame sur le contreplaqué, puis il a lancé le choix de glace.</v>
      </c>
    </row>
    <row r="18598">
      <c r="A18598" s="4" t="s">
        <v>23398</v>
      </c>
      <c r="B18598" s="4" t="s">
        <v>23399</v>
      </c>
      <c r="C18598" s="5" t="str">
        <f>IFERROR(__xludf.DUMMYFUNCTION("GOOGLETRANSLATE(B18598,""en"",""fr"")"),"Un garçon met des biscuits fraîchement cuits sur une grille de refroidissement.")</f>
        <v>Un garçon met des biscuits fraîchement cuits sur une grille de refroidissement.</v>
      </c>
    </row>
    <row r="18599">
      <c r="A18599" s="4" t="s">
        <v>23398</v>
      </c>
      <c r="B18599" s="4" t="s">
        <v>23400</v>
      </c>
      <c r="C18599" s="5" t="str">
        <f>IFERROR(__xludf.DUMMYFUNCTION("GOOGLETRANSLATE(B18599,""en"",""fr"")"),"On est coincé et il lèche la spatule.")</f>
        <v>On est coincé et il lèche la spatule.</v>
      </c>
    </row>
    <row r="18600">
      <c r="A18600" s="4" t="s">
        <v>23401</v>
      </c>
      <c r="B18600" s="6" t="s">
        <v>23402</v>
      </c>
      <c r="C18600" s="5" t="str">
        <f>IFERROR(__xludf.DUMMYFUNCTION("GOOGLETRANSLATE(B18600,""en"",""fr"")"),"On voit la main d'une personne pousser divers billes sur une longue piste et regarder où elle atterrit.")</f>
        <v>On voit la main d'une personne pousser divers billes sur une longue piste et regarder où elle atterrit.</v>
      </c>
    </row>
    <row r="18601">
      <c r="A18601" s="4" t="s">
        <v>23401</v>
      </c>
      <c r="B18601" s="4" t="s">
        <v>23403</v>
      </c>
      <c r="C18601" s="5" t="str">
        <f>IFERROR(__xludf.DUMMYFUNCTION("GOOGLETRANSLATE(B18601,""en"",""fr"")"),"Ils poussent plusieurs autres billes tandis que la caméra monte et descend pour attraper l'action.")</f>
        <v>Ils poussent plusieurs autres billes tandis que la caméra monte et descend pour attraper l'action.</v>
      </c>
    </row>
    <row r="18602">
      <c r="A18602" s="4" t="s">
        <v>23404</v>
      </c>
      <c r="B18602" s="4" t="s">
        <v>23405</v>
      </c>
      <c r="C18602" s="5" t="str">
        <f>IFERROR(__xludf.DUMMYFUNCTION("GOOGLETRANSLATE(B18602,""en"",""fr"")"),"Un jeune homme est vu parler à la caméra et l'amène en essayant de résoudre un cube Rubix.")</f>
        <v>Un jeune homme est vu parler à la caméra et l'amène en essayant de résoudre un cube Rubix.</v>
      </c>
    </row>
    <row r="18603">
      <c r="A18603" s="4" t="s">
        <v>23404</v>
      </c>
      <c r="B18603" s="4" t="s">
        <v>23406</v>
      </c>
      <c r="C18603" s="5" t="str">
        <f>IFERROR(__xludf.DUMMYFUNCTION("GOOGLETRANSLATE(B18603,""en"",""fr"")"),"Le garçon résout ensuite le cube et repousse la caméra pour montrer son temps.")</f>
        <v>Le garçon résout ensuite le cube et repousse la caméra pour montrer son temps.</v>
      </c>
    </row>
    <row r="18604">
      <c r="A18604" s="4" t="s">
        <v>23407</v>
      </c>
      <c r="B18604" s="6" t="s">
        <v>23408</v>
      </c>
      <c r="C18604" s="5" t="str">
        <f>IFERROR(__xludf.DUMMYFUNCTION("GOOGLETRANSLATE(B18604,""en"",""fr"")"),"Un homme est vu utiliser un narguilé et souffler de la fumée dans les airs et l'emmente en grattant du tabac et en conduisant.")</f>
        <v>Un homme est vu utiliser un narguilé et souffler de la fumée dans les airs et l'emmente en grattant du tabac et en conduisant.</v>
      </c>
    </row>
    <row r="18605">
      <c r="A18605" s="4" t="s">
        <v>23407</v>
      </c>
      <c r="B18605" s="4" t="s">
        <v>23409</v>
      </c>
      <c r="C18605" s="5" t="str">
        <f>IFERROR(__xludf.DUMMYFUNCTION("GOOGLETRANSLATE(B18605,""en"",""fr"")"),"Il parle de la caméra et se remet dans un narguilé et commence à fumer.")</f>
        <v>Il parle de la caméra et se remet dans un narguilé et commence à fumer.</v>
      </c>
    </row>
    <row r="18606">
      <c r="A18606" s="4" t="s">
        <v>23410</v>
      </c>
      <c r="B18606" s="4" t="s">
        <v>23411</v>
      </c>
      <c r="C18606" s="5" t="str">
        <f>IFERROR(__xludf.DUMMYFUNCTION("GOOGLETRANSLATE(B18606,""en"",""fr"")"),"Un homme se tient dans un hangar derrière une table d'artisanat en parlant à la caméra.")</f>
        <v>Un homme se tient dans un hangar derrière une table d'artisanat en parlant à la caméra.</v>
      </c>
    </row>
    <row r="18607">
      <c r="A18607" s="4" t="s">
        <v>23410</v>
      </c>
      <c r="B18607" s="6" t="s">
        <v>23412</v>
      </c>
      <c r="C18607" s="5" t="str">
        <f>IFERROR(__xludf.DUMMYFUNCTION("GOOGLETRANSLATE(B18607,""en"",""fr"")"),"Ensuite, un homme en uniforme de la Marine commence à marcher sur la route et se retrouve dans la pièce avec l'homme.")</f>
        <v>Ensuite, un homme en uniforme de la Marine commence à marcher sur la route et se retrouve dans la pièce avec l'homme.</v>
      </c>
    </row>
    <row r="18608">
      <c r="A18608" s="4" t="s">
        <v>23410</v>
      </c>
      <c r="B18608" s="4" t="s">
        <v>23413</v>
      </c>
      <c r="C18608" s="5" t="str">
        <f>IFERROR(__xludf.DUMMYFUNCTION("GOOGLETRANSLATE(B18608,""en"",""fr"")"),"Les deux commencent à polir une paire de bottes avec un chiffon blanc et une brosse verte.")</f>
        <v>Les deux commencent à polir une paire de bottes avec un chiffon blanc et une brosse verte.</v>
      </c>
    </row>
    <row r="18609">
      <c r="A18609" s="4" t="s">
        <v>23410</v>
      </c>
      <c r="B18609" s="6" t="s">
        <v>23414</v>
      </c>
      <c r="C18609" s="5" t="str">
        <f>IFERROR(__xludf.DUMMYFUNCTION("GOOGLETRANSLATE(B18609,""en"",""fr"")"),"À mesure qu'ils terminent, l'homme dans la chemise verte reçoit un patch et un écran de conseils est sur l'écran pour s'occuper correctement de vos bottes.")</f>
        <v>À mesure qu'ils terminent, l'homme dans la chemise verte reçoit un patch et un écran de conseils est sur l'écran pour s'occuper correctement de vos bottes.</v>
      </c>
    </row>
    <row r="18610">
      <c r="A18610" s="4" t="s">
        <v>23415</v>
      </c>
      <c r="B18610" s="4" t="s">
        <v>1251</v>
      </c>
      <c r="C18610" s="5" t="str">
        <f>IFERROR(__xludf.DUMMYFUNCTION("GOOGLETRANSLATE(B18610,""en"",""fr"")"),"Les crédits du clip sont affichés.")</f>
        <v>Les crédits du clip sont affichés.</v>
      </c>
    </row>
    <row r="18611">
      <c r="A18611" s="4" t="s">
        <v>23415</v>
      </c>
      <c r="B18611" s="4" t="s">
        <v>23416</v>
      </c>
      <c r="C18611" s="5" t="str">
        <f>IFERROR(__xludf.DUMMYFUNCTION("GOOGLETRANSLATE(B18611,""en"",""fr"")"),"Les gens font du vélo sur un chemin.")</f>
        <v>Les gens font du vélo sur un chemin.</v>
      </c>
    </row>
    <row r="18612">
      <c r="A18612" s="4" t="s">
        <v>23415</v>
      </c>
      <c r="B18612" s="4" t="s">
        <v>23417</v>
      </c>
      <c r="C18612" s="5" t="str">
        <f>IFERROR(__xludf.DUMMYFUNCTION("GOOGLETRANSLATE(B18612,""en"",""fr"")"),"Une personne essaie de déclencher un incendie.")</f>
        <v>Une personne essaie de déclencher un incendie.</v>
      </c>
    </row>
    <row r="18613">
      <c r="A18613" s="4" t="s">
        <v>23415</v>
      </c>
      <c r="B18613" s="4" t="s">
        <v>23418</v>
      </c>
      <c r="C18613" s="5" t="str">
        <f>IFERROR(__xludf.DUMMYFUNCTION("GOOGLETRANSLATE(B18613,""en"",""fr"")"),"La personne nourrit le feu et la déplace vers un trou.")</f>
        <v>La personne nourrit le feu et la déplace vers un trou.</v>
      </c>
    </row>
    <row r="18614">
      <c r="A18614" s="4" t="s">
        <v>23415</v>
      </c>
      <c r="B18614" s="4" t="s">
        <v>573</v>
      </c>
      <c r="C18614" s="5" t="str">
        <f>IFERROR(__xludf.DUMMYFUNCTION("GOOGLETRANSLATE(B18614,""en"",""fr"")"),"Les crédits de la vidéo sont affichés.")</f>
        <v>Les crédits de la vidéo sont affichés.</v>
      </c>
    </row>
    <row r="18615">
      <c r="A18615" s="4" t="s">
        <v>23419</v>
      </c>
      <c r="B18615" s="4" t="s">
        <v>23420</v>
      </c>
      <c r="C18615" s="5" t="str">
        <f>IFERROR(__xludf.DUMMYFUNCTION("GOOGLETRANSLATE(B18615,""en"",""fr"")"),"Une fille en robe traverse les bars de singe.")</f>
        <v>Une fille en robe traverse les bars de singe.</v>
      </c>
    </row>
    <row r="18616">
      <c r="A18616" s="4" t="s">
        <v>23419</v>
      </c>
      <c r="B18616" s="4" t="s">
        <v>23421</v>
      </c>
      <c r="C18616" s="5" t="str">
        <f>IFERROR(__xludf.DUMMYFUNCTION("GOOGLETRANSLATE(B18616,""en"",""fr"")"),"Elle arrive à la fin et marche sur un rocher.")</f>
        <v>Elle arrive à la fin et marche sur un rocher.</v>
      </c>
    </row>
    <row r="18617">
      <c r="A18617" s="4" t="s">
        <v>23419</v>
      </c>
      <c r="B18617" s="4" t="s">
        <v>23422</v>
      </c>
      <c r="C18617" s="5" t="str">
        <f>IFERROR(__xludf.DUMMYFUNCTION("GOOGLETRANSLATE(B18617,""en"",""fr"")"),"Un garçon dans une chemise bleue se tient derrière elle.")</f>
        <v>Un garçon dans une chemise bleue se tient derrière elle.</v>
      </c>
    </row>
    <row r="18618">
      <c r="A18618" s="4" t="s">
        <v>23423</v>
      </c>
      <c r="B18618" s="4" t="s">
        <v>23424</v>
      </c>
      <c r="C18618" s="5" t="str">
        <f>IFERROR(__xludf.DUMMYFUNCTION("GOOGLETRANSLATE(B18618,""en"",""fr"")"),"Un père et une fille jouent à Hop Scotch sur leur porche carrelé.")</f>
        <v>Un père et une fille jouent à Hop Scotch sur leur porche carrelé.</v>
      </c>
    </row>
    <row r="18619">
      <c r="A18619" s="4" t="s">
        <v>23423</v>
      </c>
      <c r="B18619" s="6" t="s">
        <v>23425</v>
      </c>
      <c r="C18619" s="5" t="str">
        <f>IFERROR(__xludf.DUMMYFUNCTION("GOOGLETRANSLATE(B18619,""en"",""fr"")"),"La fille porte une chemise et un short sans manches bleues et le père porte une chemise grise et un short.")</f>
        <v>La fille porte une chemise et un short sans manches bleues et le père porte une chemise grise et un short.</v>
      </c>
    </row>
    <row r="18620">
      <c r="A18620" s="4" t="s">
        <v>23423</v>
      </c>
      <c r="B18620" s="4" t="s">
        <v>23426</v>
      </c>
      <c r="C18620" s="5" t="str">
        <f>IFERROR(__xludf.DUMMYFUNCTION("GOOGLETRANSLATE(B18620,""en"",""fr"")"),"Ils se relaient sur les carrés.")</f>
        <v>Ils se relaient sur les carrés.</v>
      </c>
    </row>
    <row r="18621">
      <c r="A18621" s="4" t="s">
        <v>23423</v>
      </c>
      <c r="B18621" s="4" t="s">
        <v>23427</v>
      </c>
      <c r="C18621" s="5" t="str">
        <f>IFERROR(__xludf.DUMMYFUNCTION("GOOGLETRANSLATE(B18621,""en"",""fr"")"),"Puis sa petite fille est rejointe par sa mère qui commence à sauter sur les carrés.")</f>
        <v>Puis sa petite fille est rejointe par sa mère qui commence à sauter sur les carrés.</v>
      </c>
    </row>
    <row r="18622">
      <c r="A18622" s="4" t="s">
        <v>23423</v>
      </c>
      <c r="B18622" s="4" t="s">
        <v>23428</v>
      </c>
      <c r="C18622" s="5" t="str">
        <f>IFERROR(__xludf.DUMMYFUNCTION("GOOGLETRANSLATE(B18622,""en"",""fr"")"),"Elle donne à la fille un high cinq.")</f>
        <v>Elle donne à la fille un high cinq.</v>
      </c>
    </row>
    <row r="18623">
      <c r="A18623" s="4" t="s">
        <v>23423</v>
      </c>
      <c r="B18623" s="4" t="s">
        <v>23429</v>
      </c>
      <c r="C18623" s="5" t="str">
        <f>IFERROR(__xludf.DUMMYFUNCTION("GOOGLETRANSLATE(B18623,""en"",""fr"")"),"Ensuite, la fille commence à sauter et à sauter sur les carrés.")</f>
        <v>Ensuite, la fille commence à sauter et à sauter sur les carrés.</v>
      </c>
    </row>
    <row r="18624">
      <c r="A18624" s="4" t="s">
        <v>23430</v>
      </c>
      <c r="B18624" s="4" t="s">
        <v>23431</v>
      </c>
      <c r="C18624" s="5" t="str">
        <f>IFERROR(__xludf.DUMMYFUNCTION("GOOGLETRANSLATE(B18624,""en"",""fr"")"),"Un homme se tient sur le devant un évier.")</f>
        <v>Un homme se tient sur le devant un évier.</v>
      </c>
    </row>
    <row r="18625">
      <c r="A18625" s="4" t="s">
        <v>23430</v>
      </c>
      <c r="B18625" s="4" t="s">
        <v>23432</v>
      </c>
      <c r="C18625" s="5" t="str">
        <f>IFERROR(__xludf.DUMMYFUNCTION("GOOGLETRANSLATE(B18625,""en"",""fr"")"),"Ensuite, l'homme met du savon sur un chiffon.")</f>
        <v>Ensuite, l'homme met du savon sur un chiffon.</v>
      </c>
    </row>
    <row r="18626">
      <c r="A18626" s="4" t="s">
        <v>23430</v>
      </c>
      <c r="B18626" s="4" t="s">
        <v>23433</v>
      </c>
      <c r="C18626" s="5" t="str">
        <f>IFERROR(__xludf.DUMMYFUNCTION("GOOGLETRANSLATE(B18626,""en"",""fr"")"),"Après, l'homme lave le pot à l'extérieur et à l'intérieur.")</f>
        <v>Après, l'homme lave le pot à l'extérieur et à l'intérieur.</v>
      </c>
    </row>
    <row r="18627">
      <c r="A18627" s="4" t="s">
        <v>23430</v>
      </c>
      <c r="B18627" s="4" t="s">
        <v>23434</v>
      </c>
      <c r="C18627" s="5" t="str">
        <f>IFERROR(__xludf.DUMMYFUNCTION("GOOGLETRANSLATE(B18627,""en"",""fr"")"),"Ensuite, l'homme se retourne et sèche ses mains.")</f>
        <v>Ensuite, l'homme se retourne et sèche ses mains.</v>
      </c>
    </row>
    <row r="18628">
      <c r="A18628" s="4" t="s">
        <v>23435</v>
      </c>
      <c r="B18628" s="4" t="s">
        <v>23436</v>
      </c>
      <c r="C18628" s="5" t="str">
        <f>IFERROR(__xludf.DUMMYFUNCTION("GOOGLETRANSLATE(B18628,""en"",""fr"")"),"Le mot Funkin est à l'écran et en dessous, il est dit Bacardi Cocktail.")</f>
        <v>Le mot Funkin est à l'écran et en dessous, il est dit Bacardi Cocktail.</v>
      </c>
    </row>
    <row r="18629">
      <c r="A18629" s="4" t="s">
        <v>23435</v>
      </c>
      <c r="B18629" s="6" t="s">
        <v>23437</v>
      </c>
      <c r="C18629" s="5" t="str">
        <f>IFERROR(__xludf.DUMMYFUNCTION("GOOGLETRANSLATE(B18629,""en"",""fr"")"),"Un homme dans une chemise Funkin parle et montre comment faire le cocktail Bacardi derrière un bar.")</f>
        <v>Un homme dans une chemise Funkin parle et montre comment faire le cocktail Bacardi derrière un bar.</v>
      </c>
    </row>
    <row r="18630">
      <c r="A18630" s="4" t="s">
        <v>23435</v>
      </c>
      <c r="B18630" s="4" t="s">
        <v>23438</v>
      </c>
      <c r="C18630" s="5" t="str">
        <f>IFERROR(__xludf.DUMMYFUNCTION("GOOGLETRANSLATE(B18630,""en"",""fr"")"),"L'homme montre aux gens comment faire un verre dans un verre à martini.")</f>
        <v>L'homme montre aux gens comment faire un verre dans un verre à martini.</v>
      </c>
    </row>
    <row r="18631">
      <c r="A18631" s="4" t="s">
        <v>23435</v>
      </c>
      <c r="B18631" s="4" t="s">
        <v>23439</v>
      </c>
      <c r="C18631" s="5" t="str">
        <f>IFERROR(__xludf.DUMMYFUNCTION("GOOGLETRANSLATE(B18631,""en"",""fr"")"),"L'homme met des ingrédients dans un verre ordinaire tout en montrant les bouteilles d'ingrédients qu'il utilise.")</f>
        <v>L'homme met des ingrédients dans un verre ordinaire tout en montrant les bouteilles d'ingrédients qu'il utilise.</v>
      </c>
    </row>
    <row r="18632">
      <c r="A18632" s="4" t="s">
        <v>23435</v>
      </c>
      <c r="B18632" s="4" t="s">
        <v>23440</v>
      </c>
      <c r="C18632" s="5" t="str">
        <f>IFERROR(__xludf.DUMMYFUNCTION("GOOGLETRANSLATE(B18632,""en"",""fr"")"),"Le mot Funkin est à l'écran.")</f>
        <v>Le mot Funkin est à l'écran.</v>
      </c>
    </row>
    <row r="18633">
      <c r="A18633" s="4" t="s">
        <v>23441</v>
      </c>
      <c r="B18633" s="4" t="s">
        <v>23442</v>
      </c>
      <c r="C18633" s="5" t="str">
        <f>IFERROR(__xludf.DUMMYFUNCTION("GOOGLETRANSLATE(B18633,""en"",""fr"")"),"Un homme se tient dans un salon rustique et joue une cornemuse dans ses chaussettes.")</f>
        <v>Un homme se tient dans un salon rustique et joue une cornemuse dans ses chaussettes.</v>
      </c>
    </row>
    <row r="18634">
      <c r="A18634" s="4" t="s">
        <v>23441</v>
      </c>
      <c r="B18634" s="4" t="s">
        <v>23443</v>
      </c>
      <c r="C18634" s="5" t="str">
        <f>IFERROR(__xludf.DUMMYFUNCTION("GOOGLETRANSLATE(B18634,""en"",""fr"")"),"Nous voyons un homme taper le pied pendant qu'il joue.")</f>
        <v>Nous voyons un homme taper le pied pendant qu'il joue.</v>
      </c>
    </row>
    <row r="18635">
      <c r="A18635" s="4" t="s">
        <v>23441</v>
      </c>
      <c r="B18635" s="4" t="s">
        <v>23444</v>
      </c>
      <c r="C18635" s="5" t="str">
        <f>IFERROR(__xludf.DUMMYFUNCTION("GOOGLETRANSLATE(B18635,""en"",""fr"")"),"L'homme passe à son autre coup de pied.")</f>
        <v>L'homme passe à son autre coup de pied.</v>
      </c>
    </row>
    <row r="18636">
      <c r="A18636" s="4" t="s">
        <v>23441</v>
      </c>
      <c r="B18636" s="4" t="s">
        <v>23445</v>
      </c>
      <c r="C18636" s="5" t="str">
        <f>IFERROR(__xludf.DUMMYFUNCTION("GOOGLETRANSLATE(B18636,""en"",""fr"")"),"L'homme finit de jouer et essuie son visage.")</f>
        <v>L'homme finit de jouer et essuie son visage.</v>
      </c>
    </row>
    <row r="18637">
      <c r="A18637" s="4" t="s">
        <v>23446</v>
      </c>
      <c r="B18637" s="4" t="s">
        <v>23447</v>
      </c>
      <c r="C18637" s="5" t="str">
        <f>IFERROR(__xludf.DUMMYFUNCTION("GOOGLETRANSLATE(B18637,""en"",""fr"")"),"Un groupe de personnes âgées est vue assise dans un bus se parlant.")</f>
        <v>Un groupe de personnes âgées est vue assise dans un bus se parlant.</v>
      </c>
    </row>
    <row r="18638">
      <c r="A18638" s="4" t="s">
        <v>23446</v>
      </c>
      <c r="B18638" s="4" t="s">
        <v>23448</v>
      </c>
      <c r="C18638" s="5" t="str">
        <f>IFERROR(__xludf.DUMMYFUNCTION("GOOGLETRANSLATE(B18638,""en"",""fr"")"),"La caméra se déroule dans le bus pour montrer plus de gens assis et parlant.")</f>
        <v>La caméra se déroule dans le bus pour montrer plus de gens assis et parlant.</v>
      </c>
    </row>
    <row r="18639">
      <c r="A18639" s="4" t="s">
        <v>23446</v>
      </c>
      <c r="B18639" s="4" t="s">
        <v>23449</v>
      </c>
      <c r="C18639" s="5" t="str">
        <f>IFERROR(__xludf.DUMMYFUNCTION("GOOGLETRANSLATE(B18639,""en"",""fr"")"),"Une femme est vue en parlant à un homme à côté d'elle pendant qu'il tricote.")</f>
        <v>Une femme est vue en parlant à un homme à côté d'elle pendant qu'il tricote.</v>
      </c>
    </row>
    <row r="18640">
      <c r="A18640" s="4" t="s">
        <v>23450</v>
      </c>
      <c r="B18640" s="4" t="s">
        <v>1251</v>
      </c>
      <c r="C18640" s="5" t="str">
        <f>IFERROR(__xludf.DUMMYFUNCTION("GOOGLETRANSLATE(B18640,""en"",""fr"")"),"Les crédits du clip sont affichés.")</f>
        <v>Les crédits du clip sont affichés.</v>
      </c>
    </row>
    <row r="18641">
      <c r="A18641" s="4" t="s">
        <v>23450</v>
      </c>
      <c r="B18641" s="4" t="s">
        <v>23451</v>
      </c>
      <c r="C18641" s="5" t="str">
        <f>IFERROR(__xludf.DUMMYFUNCTION("GOOGLETRANSLATE(B18641,""en"",""fr"")"),"Les gars sont en train de danser sur une scène devant un public.")</f>
        <v>Les gars sont en train de danser sur une scène devant un public.</v>
      </c>
    </row>
    <row r="18642">
      <c r="A18642" s="4" t="s">
        <v>23450</v>
      </c>
      <c r="B18642" s="4" t="s">
        <v>23452</v>
      </c>
      <c r="C18642" s="5" t="str">
        <f>IFERROR(__xludf.DUMMYFUNCTION("GOOGLETRANSLATE(B18642,""en"",""fr"")"),"Un gars casse la danse de la scène et sort.")</f>
        <v>Un gars casse la danse de la scène et sort.</v>
      </c>
    </row>
    <row r="18643">
      <c r="A18643" s="4" t="s">
        <v>23450</v>
      </c>
      <c r="B18643" s="4" t="s">
        <v>573</v>
      </c>
      <c r="C18643" s="5" t="str">
        <f>IFERROR(__xludf.DUMMYFUNCTION("GOOGLETRANSLATE(B18643,""en"",""fr"")"),"Les crédits de la vidéo sont affichés.")</f>
        <v>Les crédits de la vidéo sont affichés.</v>
      </c>
    </row>
    <row r="18644">
      <c r="A18644" s="4" t="s">
        <v>23453</v>
      </c>
      <c r="B18644" s="4" t="s">
        <v>23454</v>
      </c>
      <c r="C18644" s="5" t="str">
        <f>IFERROR(__xludf.DUMMYFUNCTION("GOOGLETRANSLATE(B18644,""en"",""fr"")"),"Un groupe de filles danse le long d'un rebord.")</f>
        <v>Un groupe de filles danse le long d'un rebord.</v>
      </c>
    </row>
    <row r="18645">
      <c r="A18645" s="4" t="s">
        <v>23453</v>
      </c>
      <c r="B18645" s="4" t="s">
        <v>23455</v>
      </c>
      <c r="C18645" s="5" t="str">
        <f>IFERROR(__xludf.DUMMYFUNCTION("GOOGLETRANSLATE(B18645,""en"",""fr"")"),"Chaque fille danse gracieusement sur le rebord.")</f>
        <v>Chaque fille danse gracieusement sur le rebord.</v>
      </c>
    </row>
    <row r="18646">
      <c r="A18646" s="4" t="s">
        <v>23453</v>
      </c>
      <c r="B18646" s="4" t="s">
        <v>23456</v>
      </c>
      <c r="C18646" s="5" t="str">
        <f>IFERROR(__xludf.DUMMYFUNCTION("GOOGLETRANSLATE(B18646,""en"",""fr"")"),"L'écran s'estompe en noir.")</f>
        <v>L'écran s'estompe en noir.</v>
      </c>
    </row>
    <row r="18647">
      <c r="A18647" s="4" t="s">
        <v>23457</v>
      </c>
      <c r="B18647" s="4" t="s">
        <v>23458</v>
      </c>
      <c r="C18647" s="5" t="str">
        <f>IFERROR(__xludf.DUMMYFUNCTION("GOOGLETRANSLATE(B18647,""en"",""fr"")"),"Nous voyons des gens travailler sur des étapes d'exercice dans un cours d'aérobic.")</f>
        <v>Nous voyons des gens travailler sur des étapes d'exercice dans un cours d'aérobic.</v>
      </c>
    </row>
    <row r="18648">
      <c r="A18648" s="4" t="s">
        <v>23457</v>
      </c>
      <c r="B18648" s="4" t="s">
        <v>23459</v>
      </c>
      <c r="C18648" s="5" t="str">
        <f>IFERROR(__xludf.DUMMYFUNCTION("GOOGLETRANSLATE(B18648,""en"",""fr"")"),"Le leader met sa main dans les airs.")</f>
        <v>Le leader met sa main dans les airs.</v>
      </c>
    </row>
    <row r="18649">
      <c r="A18649" s="4" t="s">
        <v>23457</v>
      </c>
      <c r="B18649" s="4" t="s">
        <v>23460</v>
      </c>
      <c r="C18649" s="5" t="str">
        <f>IFERROR(__xludf.DUMMYFUNCTION("GOOGLETRANSLATE(B18649,""en"",""fr"")"),"La dame à l'arrière à gauche se perd et s'arrête.")</f>
        <v>La dame à l'arrière à gauche se perd et s'arrête.</v>
      </c>
    </row>
    <row r="18650">
      <c r="A18650" s="4" t="s">
        <v>23457</v>
      </c>
      <c r="B18650" s="4" t="s">
        <v>23461</v>
      </c>
      <c r="C18650" s="5" t="str">
        <f>IFERROR(__xludf.DUMMYFUNCTION("GOOGLETRANSLATE(B18650,""en"",""fr"")"),"L'arrière à droite se perd et jette ses bras.")</f>
        <v>L'arrière à droite se perd et jette ses bras.</v>
      </c>
    </row>
    <row r="18651">
      <c r="A18651" s="4" t="s">
        <v>23457</v>
      </c>
      <c r="B18651" s="4" t="s">
        <v>23462</v>
      </c>
      <c r="C18651" s="5" t="str">
        <f>IFERROR(__xludf.DUMMYFUNCTION("GOOGLETRANSLATE(B18651,""en"",""fr"")"),"Le bras des instructeurs est à nouveau dans l'air.")</f>
        <v>Le bras des instructeurs est à nouveau dans l'air.</v>
      </c>
    </row>
    <row r="18652">
      <c r="A18652" s="4" t="s">
        <v>23457</v>
      </c>
      <c r="B18652" s="4" t="s">
        <v>23463</v>
      </c>
      <c r="C18652" s="5" t="str">
        <f>IFERROR(__xludf.DUMMYFUNCTION("GOOGLETRANSLATE(B18652,""en"",""fr"")"),"La dame deuxième à droite s'arrête d'essayer.")</f>
        <v>La dame deuxième à droite s'arrête d'essayer.</v>
      </c>
    </row>
    <row r="18653">
      <c r="A18653" s="4" t="s">
        <v>23464</v>
      </c>
      <c r="B18653" s="4" t="s">
        <v>23465</v>
      </c>
      <c r="C18653" s="5" t="str">
        <f>IFERROR(__xludf.DUMMYFUNCTION("GOOGLETRANSLATE(B18653,""en"",""fr"")"),"Deux personnes sont sur un bateau qui se préparent à plonger dans l'océan.")</f>
        <v>Deux personnes sont sur un bateau qui se préparent à plonger dans l'océan.</v>
      </c>
    </row>
    <row r="18654">
      <c r="A18654" s="4" t="s">
        <v>23464</v>
      </c>
      <c r="B18654" s="4" t="s">
        <v>23466</v>
      </c>
      <c r="C18654" s="5" t="str">
        <f>IFERROR(__xludf.DUMMYFUNCTION("GOOGLETRANSLATE(B18654,""en"",""fr"")"),"Ils plongent et sont capables de regarder tous les beaux coraux et de voir du poisson et d'autres choses.")</f>
        <v>Ils plongent et sont capables de regarder tous les beaux coraux et de voir du poisson et d'autres choses.</v>
      </c>
    </row>
    <row r="18655">
      <c r="A18655" s="4" t="s">
        <v>23464</v>
      </c>
      <c r="B18655" s="4" t="s">
        <v>23467</v>
      </c>
      <c r="C18655" s="5" t="str">
        <f>IFERROR(__xludf.DUMMYFUNCTION("GOOGLETRANSLATE(B18655,""en"",""fr"")"),"Ils trouvent un cockpit qu'ils commencent à observer et à regarder autour de lui également dans un poisson de gelée.")</f>
        <v>Ils trouvent un cockpit qu'ils commencent à observer et à regarder autour de lui également dans un poisson de gelée.</v>
      </c>
    </row>
    <row r="18656">
      <c r="A18656" s="4" t="s">
        <v>23464</v>
      </c>
      <c r="B18656" s="6" t="s">
        <v>23468</v>
      </c>
      <c r="C18656" s="5" t="str">
        <f>IFERROR(__xludf.DUMMYFUNCTION("GOOGLETRANSLATE(B18656,""en"",""fr"")"),"Ils commencent à explorer l'extérieur de l'avion où ils sont également capables de voir plus de poissons et d'autres vies marines autour.")</f>
        <v>Ils commencent à explorer l'extérieur de l'avion où ils sont également capables de voir plus de poissons et d'autres vies marines autour.</v>
      </c>
    </row>
    <row r="18657">
      <c r="A18657" s="4" t="s">
        <v>23469</v>
      </c>
      <c r="B18657" s="4" t="s">
        <v>23470</v>
      </c>
      <c r="C18657" s="5" t="str">
        <f>IFERROR(__xludf.DUMMYFUNCTION("GOOGLETRANSLATE(B18657,""en"",""fr"")"),"Une fille en chemise orange prend un verre de lavage de la bouche.")</f>
        <v>Une fille en chemise orange prend un verre de lavage de la bouche.</v>
      </c>
    </row>
    <row r="18658">
      <c r="A18658" s="4" t="s">
        <v>23469</v>
      </c>
      <c r="B18658" s="4" t="s">
        <v>23471</v>
      </c>
      <c r="C18658" s="5" t="str">
        <f>IFERROR(__xludf.DUMMYFUNCTION("GOOGLETRANSLATE(B18658,""en"",""fr"")"),"Elle le fait passer dans sa bouche et le crache dans un évier.")</f>
        <v>Elle le fait passer dans sa bouche et le crache dans un évier.</v>
      </c>
    </row>
    <row r="18659">
      <c r="A18659" s="4" t="s">
        <v>23472</v>
      </c>
      <c r="B18659" s="4" t="s">
        <v>23473</v>
      </c>
      <c r="C18659" s="5" t="str">
        <f>IFERROR(__xludf.DUMMYFUNCTION("GOOGLETRANSLATE(B18659,""en"",""fr"")"),"Il y a une dame qui fait un tutoriel sur la façon de se laver les mains dans sa cuisine.")</f>
        <v>Il y a une dame qui fait un tutoriel sur la façon de se laver les mains dans sa cuisine.</v>
      </c>
    </row>
    <row r="18660">
      <c r="A18660" s="4" t="s">
        <v>23472</v>
      </c>
      <c r="B18660" s="4" t="s">
        <v>23474</v>
      </c>
      <c r="C18660" s="5" t="str">
        <f>IFERROR(__xludf.DUMMYFUNCTION("GOOGLETRANSLATE(B18660,""en"",""fr"")"),"Elle se dirige vers l'évier et allume le robinet.")</f>
        <v>Elle se dirige vers l'évier et allume le robinet.</v>
      </c>
    </row>
    <row r="18661">
      <c r="A18661" s="4" t="s">
        <v>23472</v>
      </c>
      <c r="B18661" s="6" t="s">
        <v>23475</v>
      </c>
      <c r="C18661" s="5" t="str">
        <f>IFERROR(__xludf.DUMMYFUNCTION("GOOGLETRANSLATE(B18661,""en"",""fr"")"),"Puis elle prend du savon liquide dans ses mains et se frotte les mains sur le dessus, les paumes et entre ses doigts.")</f>
        <v>Puis elle prend du savon liquide dans ses mains et se frotte les mains sur le dessus, les paumes et entre ses doigts.</v>
      </c>
    </row>
    <row r="18662">
      <c r="A18662" s="4" t="s">
        <v>23472</v>
      </c>
      <c r="B18662" s="4" t="s">
        <v>23476</v>
      </c>
      <c r="C18662" s="5" t="str">
        <f>IFERROR(__xludf.DUMMYFUNCTION("GOOGLETRANSLATE(B18662,""en"",""fr"")"),"Elle montre comment frotter correctement les paumes et la zone du poignet pour assurer un lavage propre.")</f>
        <v>Elle montre comment frotter correctement les paumes et la zone du poignet pour assurer un lavage propre.</v>
      </c>
    </row>
    <row r="18663">
      <c r="A18663" s="4" t="s">
        <v>23472</v>
      </c>
      <c r="B18663" s="4" t="s">
        <v>23477</v>
      </c>
      <c r="C18663" s="5" t="str">
        <f>IFERROR(__xludf.DUMMYFUNCTION("GOOGLETRANSLATE(B18663,""en"",""fr"")"),"Ensuite, elle tourne le robinet pour laver le savon.")</f>
        <v>Ensuite, elle tourne le robinet pour laver le savon.</v>
      </c>
    </row>
    <row r="18664">
      <c r="A18664" s="4" t="s">
        <v>23472</v>
      </c>
      <c r="B18664" s="4" t="s">
        <v>23478</v>
      </c>
      <c r="C18664" s="5" t="str">
        <f>IFERROR(__xludf.DUMMYFUNCTION("GOOGLETRANSLATE(B18664,""en"",""fr"")"),"Ensuite, elle utilise son coude droit pour éteindre le robinet pour éviter de le toucher directement.")</f>
        <v>Ensuite, elle utilise son coude droit pour éteindre le robinet pour éviter de le toucher directement.</v>
      </c>
    </row>
    <row r="18665">
      <c r="A18665" s="4" t="s">
        <v>23472</v>
      </c>
      <c r="B18665" s="4" t="s">
        <v>23479</v>
      </c>
      <c r="C18665" s="5" t="str">
        <f>IFERROR(__xludf.DUMMYFUNCTION("GOOGLETRANSLATE(B18665,""en"",""fr"")"),"Puis elle prend une serviette en papier du rebord de la fenêtre et s'essuie les mains.")</f>
        <v>Puis elle prend une serviette en papier du rebord de la fenêtre et s'essuie les mains.</v>
      </c>
    </row>
    <row r="18666">
      <c r="A18666" s="4" t="s">
        <v>23480</v>
      </c>
      <c r="B18666" s="6" t="s">
        <v>23481</v>
      </c>
      <c r="C18666" s="5" t="str">
        <f>IFERROR(__xludf.DUMMYFUNCTION("GOOGLETRANSLATE(B18666,""en"",""fr"")"),"On voit trois personnes se diriger vers un grand sol de gymnase et conduire les trois à effectuer une routine de saut.")</f>
        <v>On voit trois personnes se diriger vers un grand sol de gymnase et conduire les trois à effectuer une routine de saut.</v>
      </c>
    </row>
    <row r="18667">
      <c r="A18667" s="4" t="s">
        <v>23480</v>
      </c>
      <c r="B18667" s="4" t="s">
        <v>23482</v>
      </c>
      <c r="C18667" s="5" t="str">
        <f>IFERROR(__xludf.DUMMYFUNCTION("GOOGLETRANSLATE(B18667,""en"",""fr"")"),"Les trois continuent de sauter autour du sol tandis que beaucoup regardent et se terminent avec leurs bras.")</f>
        <v>Les trois continuent de sauter autour du sol tandis que beaucoup regardent et se terminent avec leurs bras.</v>
      </c>
    </row>
    <row r="18668">
      <c r="A18668" s="4" t="s">
        <v>23483</v>
      </c>
      <c r="B18668" s="4" t="s">
        <v>23484</v>
      </c>
      <c r="C18668" s="5" t="str">
        <f>IFERROR(__xludf.DUMMYFUNCTION("GOOGLETRANSLATE(B18668,""en"",""fr"")"),"A tombe d'un skateboard d'une manière maladroite.")</f>
        <v>A tombe d'un skateboard d'une manière maladroite.</v>
      </c>
    </row>
    <row r="18669">
      <c r="A18669" s="4" t="s">
        <v>23483</v>
      </c>
      <c r="B18669" s="4" t="s">
        <v>23485</v>
      </c>
      <c r="C18669" s="5" t="str">
        <f>IFERROR(__xludf.DUMMYFUNCTION("GOOGLETRANSLATE(B18669,""en"",""fr"")"),"Ensuite, nous voyons plusieurs autres garçons pendant qu'ils trébuchent et tombent.")</f>
        <v>Ensuite, nous voyons plusieurs autres garçons pendant qu'ils trébuchent et tombent.</v>
      </c>
    </row>
    <row r="18670">
      <c r="A18670" s="4" t="s">
        <v>23483</v>
      </c>
      <c r="B18670" s="4" t="s">
        <v>23486</v>
      </c>
      <c r="C18670" s="5" t="str">
        <f>IFERROR(__xludf.DUMMYFUNCTION("GOOGLETRANSLATE(B18670,""en"",""fr"")"),"Ils prennent des virages aigus sur les routes de banlieue, essayant de rester sur leurs planches.")</f>
        <v>Ils prennent des virages aigus sur les routes de banlieue, essayant de rester sur leurs planches.</v>
      </c>
    </row>
    <row r="18671">
      <c r="A18671" s="4" t="s">
        <v>23487</v>
      </c>
      <c r="B18671" s="4" t="s">
        <v>23488</v>
      </c>
      <c r="C18671" s="5" t="str">
        <f>IFERROR(__xludf.DUMMYFUNCTION("GOOGLETRANSLATE(B18671,""en"",""fr"")"),"Le groupe joue les Bongos pendant qu'une jeune femme danse.")</f>
        <v>Le groupe joue les Bongos pendant qu'une jeune femme danse.</v>
      </c>
    </row>
    <row r="18672">
      <c r="A18672" s="4" t="s">
        <v>23487</v>
      </c>
      <c r="B18672" s="4" t="s">
        <v>23489</v>
      </c>
      <c r="C18672" s="5" t="str">
        <f>IFERROR(__xludf.DUMMYFUNCTION("GOOGLETRANSLATE(B18672,""en"",""fr"")"),"Un couple passe devant le groupe.")</f>
        <v>Un couple passe devant le groupe.</v>
      </c>
    </row>
    <row r="18673">
      <c r="A18673" s="4" t="s">
        <v>23487</v>
      </c>
      <c r="B18673" s="4" t="s">
        <v>23490</v>
      </c>
      <c r="C18673" s="5" t="str">
        <f>IFERROR(__xludf.DUMMYFUNCTION("GOOGLETRANSLATE(B18673,""en"",""fr"")"),"Le batteur donne à la caméra un geste de pouce vers le haut.")</f>
        <v>Le batteur donne à la caméra un geste de pouce vers le haut.</v>
      </c>
    </row>
    <row r="18674">
      <c r="A18674" s="4" t="s">
        <v>23487</v>
      </c>
      <c r="B18674" s="4" t="s">
        <v>23491</v>
      </c>
      <c r="C18674" s="5" t="str">
        <f>IFERROR(__xludf.DUMMYFUNCTION("GOOGLETRANSLATE(B18674,""en"",""fr"")"),"Beaucoup de gens passent en arrière-plan.")</f>
        <v>Beaucoup de gens passent en arrière-plan.</v>
      </c>
    </row>
    <row r="18675">
      <c r="A18675" s="4" t="s">
        <v>23487</v>
      </c>
      <c r="B18675" s="4" t="s">
        <v>23492</v>
      </c>
      <c r="C18675" s="5" t="str">
        <f>IFERROR(__xludf.DUMMYFUNCTION("GOOGLETRANSLATE(B18675,""en"",""fr"")"),"Un petit groupe regarde les musiciens.")</f>
        <v>Un petit groupe regarde les musiciens.</v>
      </c>
    </row>
    <row r="18676">
      <c r="A18676" s="4" t="s">
        <v>23487</v>
      </c>
      <c r="B18676" s="4" t="s">
        <v>23493</v>
      </c>
      <c r="C18676" s="5" t="str">
        <f>IFERROR(__xludf.DUMMYFUNCTION("GOOGLETRANSLATE(B18676,""en"",""fr"")"),"Le danseur pose avec 2 autres femmes.")</f>
        <v>Le danseur pose avec 2 autres femmes.</v>
      </c>
    </row>
    <row r="18677">
      <c r="A18677" s="4" t="s">
        <v>23494</v>
      </c>
      <c r="B18677" s="4" t="s">
        <v>23495</v>
      </c>
      <c r="C18677" s="5" t="str">
        <f>IFERROR(__xludf.DUMMYFUNCTION("GOOGLETRANSLATE(B18677,""en"",""fr"")"),"Un professionnel de la santé éteint les mains de savon dans un évier.")</f>
        <v>Un professionnel de la santé éteint les mains de savon dans un évier.</v>
      </c>
    </row>
    <row r="18678">
      <c r="A18678" s="4" t="s">
        <v>23494</v>
      </c>
      <c r="B18678" s="4" t="s">
        <v>23496</v>
      </c>
      <c r="C18678" s="5" t="str">
        <f>IFERROR(__xludf.DUMMYFUNCTION("GOOGLETRANSLATE(B18678,""en"",""fr"")"),"La femme se frotte à fond entre les doigts.")</f>
        <v>La femme se frotte à fond entre les doigts.</v>
      </c>
    </row>
    <row r="18679">
      <c r="A18679" s="4" t="s">
        <v>23494</v>
      </c>
      <c r="B18679" s="4" t="s">
        <v>23497</v>
      </c>
      <c r="C18679" s="5" t="str">
        <f>IFERROR(__xludf.DUMMYFUNCTION("GOOGLETRANSLATE(B18679,""en"",""fr"")"),"Les mains sont séchées avec une serviette en papier entre les doigts.")</f>
        <v>Les mains sont séchées avec une serviette en papier entre les doigts.</v>
      </c>
    </row>
    <row r="18680">
      <c r="A18680" s="4" t="s">
        <v>23494</v>
      </c>
      <c r="B18680" s="4" t="s">
        <v>23498</v>
      </c>
      <c r="C18680" s="5" t="str">
        <f>IFERROR(__xludf.DUMMYFUNCTION("GOOGLETRANSLATE(B18680,""en"",""fr"")"),"La femme jette la serviette en papier dans une poubelle désignée.")</f>
        <v>La femme jette la serviette en papier dans une poubelle désignée.</v>
      </c>
    </row>
    <row r="18681">
      <c r="A18681" s="4" t="s">
        <v>23494</v>
      </c>
      <c r="B18681" s="4" t="s">
        <v>23499</v>
      </c>
      <c r="C18681" s="5" t="str">
        <f>IFERROR(__xludf.DUMMYFUNCTION("GOOGLETRANSLATE(B18681,""en"",""fr"")"),"Le professionnel de la santé ferme le robinet d'eau à l'aide de son coude ainsi que la serviette en papier.")</f>
        <v>Le professionnel de la santé ferme le robinet d'eau à l'aide de son coude ainsi que la serviette en papier.</v>
      </c>
    </row>
    <row r="18682">
      <c r="A18682" s="4" t="s">
        <v>23500</v>
      </c>
      <c r="B18682" s="4" t="s">
        <v>23501</v>
      </c>
      <c r="C18682" s="5" t="str">
        <f>IFERROR(__xludf.DUMMYFUNCTION("GOOGLETRANSLATE(B18682,""en"",""fr"")"),"On voit un homme assembler un pneu sur un ascenseur et enlever le caoutchouc à l'aide d'une machine.")</f>
        <v>On voit un homme assembler un pneu sur un ascenseur et enlever le caoutchouc à l'aide d'une machine.</v>
      </c>
    </row>
    <row r="18683">
      <c r="A18683" s="4" t="s">
        <v>23500</v>
      </c>
      <c r="B18683" s="4" t="s">
        <v>23502</v>
      </c>
      <c r="C18683" s="5" t="str">
        <f>IFERROR(__xludf.DUMMYFUNCTION("GOOGLETRANSLATE(B18683,""en"",""fr"")"),"Il remet ensuite le caoutchouc en utilisant la machine et se termine en reculer du pneu.")</f>
        <v>Il remet ensuite le caoutchouc en utilisant la machine et se termine en reculer du pneu.</v>
      </c>
    </row>
    <row r="18684">
      <c r="A18684" s="4" t="s">
        <v>23503</v>
      </c>
      <c r="B18684" s="4" t="s">
        <v>21512</v>
      </c>
      <c r="C18684" s="5" t="str">
        <f>IFERROR(__xludf.DUMMYFUNCTION("GOOGLETRANSLATE(B18684,""en"",""fr"")"),"Un homme s'agenouille sur un tapis bleu.")</f>
        <v>Un homme s'agenouille sur un tapis bleu.</v>
      </c>
    </row>
    <row r="18685">
      <c r="A18685" s="4" t="s">
        <v>23503</v>
      </c>
      <c r="B18685" s="4" t="s">
        <v>23504</v>
      </c>
      <c r="C18685" s="5" t="str">
        <f>IFERROR(__xludf.DUMMYFUNCTION("GOOGLETRANSLATE(B18685,""en"",""fr"")"),"Il tire sur une corde et s'entraîne.")</f>
        <v>Il tire sur une corde et s'entraîne.</v>
      </c>
    </row>
    <row r="18686">
      <c r="A18686" s="4" t="s">
        <v>23503</v>
      </c>
      <c r="B18686" s="4" t="s">
        <v>23505</v>
      </c>
      <c r="C18686" s="5" t="str">
        <f>IFERROR(__xludf.DUMMYFUNCTION("GOOGLETRANSLATE(B18686,""en"",""fr"")"),"Il abaisse la barre et commence à tirer la corde dans l'autre sens.")</f>
        <v>Il abaisse la barre et commence à tirer la corde dans l'autre sens.</v>
      </c>
    </row>
    <row r="18687">
      <c r="A18687" s="4" t="s">
        <v>23506</v>
      </c>
      <c r="B18687" s="4" t="s">
        <v>23507</v>
      </c>
      <c r="C18687" s="5" t="str">
        <f>IFERROR(__xludf.DUMMYFUNCTION("GOOGLETRANSLATE(B18687,""en"",""fr"")"),"Il y a un toboggan très haut et raide qui traverse quelques arbres dans un grand terrain ouvert.")</f>
        <v>Il y a un toboggan très haut et raide qui traverse quelques arbres dans un grand terrain ouvert.</v>
      </c>
    </row>
    <row r="18688">
      <c r="A18688" s="4" t="s">
        <v>23506</v>
      </c>
      <c r="B18688" s="6" t="s">
        <v>23508</v>
      </c>
      <c r="C18688" s="5" t="str">
        <f>IFERROR(__xludf.DUMMYFUNCTION("GOOGLETRANSLATE(B18688,""en"",""fr"")"),"Il y a une surface en caoutchouc qui coule dans le sens de la longueur à l'extrémité inférieure de la diapositive pour protéger les gens de se blesser lorsqu'ils atterrissent.")</f>
        <v>Il y a une surface en caoutchouc qui coule dans le sens de la longueur à l'extrémité inférieure de la diapositive pour protéger les gens de se blesser lorsqu'ils atterrissent.</v>
      </c>
    </row>
    <row r="18689">
      <c r="A18689" s="4" t="s">
        <v>23506</v>
      </c>
      <c r="B18689" s="4" t="s">
        <v>23509</v>
      </c>
      <c r="C18689" s="5" t="str">
        <f>IFERROR(__xludf.DUMMYFUNCTION("GOOGLETRANSLATE(B18689,""en"",""fr"")"),"Un jeune garçon portant un short noir et une chemise glisse en pleine force.")</f>
        <v>Un jeune garçon portant un short noir et une chemise glisse en pleine force.</v>
      </c>
    </row>
    <row r="18690">
      <c r="A18690" s="4" t="s">
        <v>23506</v>
      </c>
      <c r="B18690" s="4" t="s">
        <v>23510</v>
      </c>
      <c r="C18690" s="5" t="str">
        <f>IFERROR(__xludf.DUMMYFUNCTION("GOOGLETRANSLATE(B18690,""en"",""fr"")"),"Il atterrit loin du toboggan alors qu'il tombe en bas et hors de la glissière.")</f>
        <v>Il atterrit loin du toboggan alors qu'il tombe en bas et hors de la glissière.</v>
      </c>
    </row>
    <row r="18691">
      <c r="A18691" s="4" t="s">
        <v>23511</v>
      </c>
      <c r="B18691" s="4" t="s">
        <v>23512</v>
      </c>
      <c r="C18691" s="5" t="str">
        <f>IFERROR(__xludf.DUMMYFUNCTION("GOOGLETRANSLATE(B18691,""en"",""fr"")"),"Un homme en chapeau parle lors d'une conférence de presse.")</f>
        <v>Un homme en chapeau parle lors d'une conférence de presse.</v>
      </c>
    </row>
    <row r="18692">
      <c r="A18692" s="4" t="s">
        <v>23511</v>
      </c>
      <c r="B18692" s="4" t="s">
        <v>23513</v>
      </c>
      <c r="C18692" s="5" t="str">
        <f>IFERROR(__xludf.DUMMYFUNCTION("GOOGLETRANSLATE(B18692,""en"",""fr"")"),"Nous voyons des cabines et des remorques dans une zone enneigée.")</f>
        <v>Nous voyons des cabines et des remorques dans une zone enneigée.</v>
      </c>
    </row>
    <row r="18693">
      <c r="A18693" s="4" t="s">
        <v>23511</v>
      </c>
      <c r="B18693" s="4" t="s">
        <v>23514</v>
      </c>
      <c r="C18693" s="5" t="str">
        <f>IFERROR(__xludf.DUMMYFUNCTION("GOOGLETRANSLATE(B18693,""en"",""fr"")"),"Trois hommes réintégment les skis dans un atelier et nous voyons l'homme lors de la conférence de presse.")</f>
        <v>Trois hommes réintégment les skis dans un atelier et nous voyons l'homme lors de la conférence de presse.</v>
      </c>
    </row>
    <row r="18694">
      <c r="A18694" s="4" t="s">
        <v>23511</v>
      </c>
      <c r="B18694" s="6" t="s">
        <v>23515</v>
      </c>
      <c r="C18694" s="5" t="str">
        <f>IFERROR(__xludf.DUMMYFUNCTION("GOOGLETRANSLATE(B18694,""en"",""fr"")"),"Un homme court derrière des remorques et deux hommes marchent sur la neige avant de revoir la conférence de presse.")</f>
        <v>Un homme court derrière des remorques et deux hommes marchent sur la neige avant de revoir la conférence de presse.</v>
      </c>
    </row>
    <row r="18695">
      <c r="A18695" s="4" t="s">
        <v>23511</v>
      </c>
      <c r="B18695" s="4" t="s">
        <v>23516</v>
      </c>
      <c r="C18695" s="5" t="str">
        <f>IFERROR(__xludf.DUMMYFUNCTION("GOOGLETRANSLATE(B18695,""en"",""fr"")"),"Nous voyons les hommes skier.")</f>
        <v>Nous voyons les hommes skier.</v>
      </c>
    </row>
    <row r="18696">
      <c r="A18696" s="4" t="s">
        <v>23511</v>
      </c>
      <c r="B18696" s="6" t="s">
        <v>23517</v>
      </c>
      <c r="C18696" s="5" t="str">
        <f>IFERROR(__xludf.DUMMYFUNCTION("GOOGLETRANSLATE(B18696,""en"",""fr"")"),"L'homme lors de la conférence de presse et un homme met un masque dans l'atelier et une machine se trouve sur le terrain.")</f>
        <v>L'homme lors de la conférence de presse et un homme met un masque dans l'atelier et une machine se trouve sur le terrain.</v>
      </c>
    </row>
    <row r="18697">
      <c r="A18697" s="4" t="s">
        <v>23511</v>
      </c>
      <c r="B18697" s="4" t="s">
        <v>23518</v>
      </c>
      <c r="C18697" s="5" t="str">
        <f>IFERROR(__xludf.DUMMYFUNCTION("GOOGLETRANSLATE(B18697,""en"",""fr"")"),"Deux hommes posent des fusils dans la neige.")</f>
        <v>Deux hommes posent des fusils dans la neige.</v>
      </c>
    </row>
    <row r="18698">
      <c r="A18698" s="4" t="s">
        <v>23519</v>
      </c>
      <c r="B18698" s="4" t="s">
        <v>23520</v>
      </c>
      <c r="C18698" s="5" t="str">
        <f>IFERROR(__xludf.DUMMYFUNCTION("GOOGLETRANSLATE(B18698,""en"",""fr"")"),"Un homme est vu assis sur une chaise ainsi que des plans de personnes chevauchant des tableaux de réveil et des clips d'un quai.")</f>
        <v>Un homme est vu assis sur une chaise ainsi que des plans de personnes chevauchant des tableaux de réveil et des clips d'un quai.</v>
      </c>
    </row>
    <row r="18699">
      <c r="A18699" s="4" t="s">
        <v>23519</v>
      </c>
      <c r="B18699" s="6" t="s">
        <v>23521</v>
      </c>
      <c r="C18699" s="5" t="str">
        <f>IFERROR(__xludf.DUMMYFUNCTION("GOOGLETRANSLATE(B18699,""en"",""fr"")"),"L'homme continue de parler à la caméra tandis que davantage de plans de Wake Boarding sont affichés ainsi que des flips et des astuces.")</f>
        <v>L'homme continue de parler à la caméra tandis que davantage de plans de Wake Boarding sont affichés ainsi que des flips et des astuces.</v>
      </c>
    </row>
    <row r="18700">
      <c r="A18700" s="4" t="s">
        <v>23522</v>
      </c>
      <c r="B18700" s="4" t="s">
        <v>23523</v>
      </c>
      <c r="C18700" s="5" t="str">
        <f>IFERROR(__xludf.DUMMYFUNCTION("GOOGLETRANSLATE(B18700,""en"",""fr"")"),"Nous voyons une dame tenant la caméra et séchant ses cheveux.")</f>
        <v>Nous voyons une dame tenant la caméra et séchant ses cheveux.</v>
      </c>
    </row>
    <row r="18701">
      <c r="A18701" s="4" t="s">
        <v>23522</v>
      </c>
      <c r="B18701" s="4" t="s">
        <v>23524</v>
      </c>
      <c r="C18701" s="5" t="str">
        <f>IFERROR(__xludf.DUMMYFUNCTION("GOOGLETRANSLATE(B18701,""en"",""fr"")"),"La dame assise la caméra sur le sol et continue de sécher ses cheveux.")</f>
        <v>La dame assise la caméra sur le sol et continue de sécher ses cheveux.</v>
      </c>
    </row>
    <row r="18702">
      <c r="A18702" s="4" t="s">
        <v>23522</v>
      </c>
      <c r="B18702" s="4" t="s">
        <v>23525</v>
      </c>
      <c r="C18702" s="5" t="str">
        <f>IFERROR(__xludf.DUMMYFUNCTION("GOOGLETRANSLATE(B18702,""en"",""fr"")"),"La dame rejette ses cheveux en arrière et décroche le téléphone.")</f>
        <v>La dame rejette ses cheveux en arrière et décroche le téléphone.</v>
      </c>
    </row>
    <row r="18703">
      <c r="A18703" s="4" t="s">
        <v>23526</v>
      </c>
      <c r="B18703" s="4" t="s">
        <v>23527</v>
      </c>
      <c r="C18703" s="5" t="str">
        <f>IFERROR(__xludf.DUMMYFUNCTION("GOOGLETRANSLATE(B18703,""en"",""fr"")"),"Nous voyons une dame endormie dans un hôpital.")</f>
        <v>Nous voyons une dame endormie dans un hôpital.</v>
      </c>
    </row>
    <row r="18704">
      <c r="A18704" s="4" t="s">
        <v>23526</v>
      </c>
      <c r="B18704" s="4" t="s">
        <v>23528</v>
      </c>
      <c r="C18704" s="5" t="str">
        <f>IFERROR(__xludf.DUMMYFUNCTION("GOOGLETRANSLATE(B18704,""en"",""fr"")"),"Une personne commence à peigner les cheveux d'une femme âgée endormie dans un hôpital.")</f>
        <v>Une personne commence à peigner les cheveux d'une femme âgée endormie dans un hôpital.</v>
      </c>
    </row>
    <row r="18705">
      <c r="A18705" s="4" t="s">
        <v>23526</v>
      </c>
      <c r="B18705" s="4" t="s">
        <v>23529</v>
      </c>
      <c r="C18705" s="5" t="str">
        <f>IFERROR(__xludf.DUMMYFUNCTION("GOOGLETRANSLATE(B18705,""en"",""fr"")"),"La caméra se déplace vers le haut de la tête dames.")</f>
        <v>La caméra se déplace vers le haut de la tête dames.</v>
      </c>
    </row>
    <row r="18706">
      <c r="A18706" s="4" t="s">
        <v>23526</v>
      </c>
      <c r="B18706" s="4" t="s">
        <v>23530</v>
      </c>
      <c r="C18706" s="5" t="str">
        <f>IFERROR(__xludf.DUMMYFUNCTION("GOOGLETRANSLATE(B18706,""en"",""fr"")"),"La caméra se déplace ensuite vers l'avant du visage des dames.")</f>
        <v>La caméra se déplace ensuite vers l'avant du visage des dames.</v>
      </c>
    </row>
    <row r="18707">
      <c r="A18707" s="4" t="s">
        <v>23531</v>
      </c>
      <c r="B18707" s="4" t="s">
        <v>23532</v>
      </c>
      <c r="C18707" s="5" t="str">
        <f>IFERROR(__xludf.DUMMYFUNCTION("GOOGLETRANSLATE(B18707,""en"",""fr"")"),"Un homme en short est dans un gymnase.")</f>
        <v>Un homme en short est dans un gymnase.</v>
      </c>
    </row>
    <row r="18708">
      <c r="A18708" s="4" t="s">
        <v>23531</v>
      </c>
      <c r="B18708" s="4" t="s">
        <v>23533</v>
      </c>
      <c r="C18708" s="5" t="str">
        <f>IFERROR(__xludf.DUMMYFUNCTION("GOOGLETRANSLATE(B18708,""en"",""fr"")"),"Il saute la corde là-dedans.")</f>
        <v>Il saute la corde là-dedans.</v>
      </c>
    </row>
    <row r="18709">
      <c r="A18709" s="4" t="s">
        <v>23531</v>
      </c>
      <c r="B18709" s="4" t="s">
        <v>23534</v>
      </c>
      <c r="C18709" s="5" t="str">
        <f>IFERROR(__xludf.DUMMYFUNCTION("GOOGLETRANSLATE(B18709,""en"",""fr"")"),"Il accélère son saut.")</f>
        <v>Il accélère son saut.</v>
      </c>
    </row>
    <row r="18710">
      <c r="A18710" s="4" t="s">
        <v>23531</v>
      </c>
      <c r="B18710" s="4" t="s">
        <v>23535</v>
      </c>
      <c r="C18710" s="5" t="str">
        <f>IFERROR(__xludf.DUMMYFUNCTION("GOOGLETRANSLATE(B18710,""en"",""fr"")"),"Il le fait devant un miroir.")</f>
        <v>Il le fait devant un miroir.</v>
      </c>
    </row>
    <row r="18711">
      <c r="A18711" s="4" t="s">
        <v>23536</v>
      </c>
      <c r="B18711" s="4" t="s">
        <v>23537</v>
      </c>
      <c r="C18711" s="5" t="str">
        <f>IFERROR(__xludf.DUMMYFUNCTION("GOOGLETRANSLATE(B18711,""en"",""fr"")"),"Un homme plus âgé est représenté debout sur un équipement d'exercice.")</f>
        <v>Un homme plus âgé est représenté debout sur un équipement d'exercice.</v>
      </c>
    </row>
    <row r="18712">
      <c r="A18712" s="4" t="s">
        <v>23536</v>
      </c>
      <c r="B18712" s="4" t="s">
        <v>23538</v>
      </c>
      <c r="C18712" s="5" t="str">
        <f>IFERROR(__xludf.DUMMYFUNCTION("GOOGLETRANSLATE(B18712,""en"",""fr"")"),"Il parle à la caméra et tient une télécommande et continue de se déplacer sur la machine.")</f>
        <v>Il parle à la caméra et tient une télécommande et continue de se déplacer sur la machine.</v>
      </c>
    </row>
    <row r="18713">
      <c r="A18713" s="4" t="s">
        <v>23539</v>
      </c>
      <c r="B18713" s="4" t="s">
        <v>23540</v>
      </c>
      <c r="C18713" s="5" t="str">
        <f>IFERROR(__xludf.DUMMYFUNCTION("GOOGLETRANSLATE(B18713,""en"",""fr"")"),"Tout d'abord, la personne est vue en dévissant les barres de poignée.")</f>
        <v>Tout d'abord, la personne est vue en dévissant les barres de poignée.</v>
      </c>
    </row>
    <row r="18714">
      <c r="A18714" s="4" t="s">
        <v>23539</v>
      </c>
      <c r="B18714" s="4" t="s">
        <v>23541</v>
      </c>
      <c r="C18714" s="5" t="str">
        <f>IFERROR(__xludf.DUMMYFUNCTION("GOOGLETRANSLATE(B18714,""en"",""fr"")"),"Puis il dévisse la base pour le niveler à son goût.")</f>
        <v>Puis il dévisse la base pour le niveler à son goût.</v>
      </c>
    </row>
    <row r="18715">
      <c r="A18715" s="4" t="s">
        <v>23539</v>
      </c>
      <c r="B18715" s="4" t="s">
        <v>23542</v>
      </c>
      <c r="C18715" s="5" t="str">
        <f>IFERROR(__xludf.DUMMYFUNCTION("GOOGLETRANSLATE(B18715,""en"",""fr"")"),"Ensuite, il est assis sur le siège de vélo pour obtenir les meilleurs résultats.")</f>
        <v>Ensuite, il est assis sur le siège de vélo pour obtenir les meilleurs résultats.</v>
      </c>
    </row>
    <row r="18716">
      <c r="A18716" s="4" t="s">
        <v>23539</v>
      </c>
      <c r="B18716" s="4" t="s">
        <v>23543</v>
      </c>
      <c r="C18716" s="5" t="str">
        <f>IFERROR(__xludf.DUMMYFUNCTION("GOOGLETRANSLATE(B18716,""en"",""fr"")"),"Ensuite, il ajuste à nouveau les barres de poignée et s'assure qu'ils sont fermement en place.")</f>
        <v>Ensuite, il ajuste à nouveau les barres de poignée et s'assure qu'ils sont fermement en place.</v>
      </c>
    </row>
    <row r="18717">
      <c r="A18717" s="4" t="s">
        <v>23544</v>
      </c>
      <c r="B18717" s="6" t="s">
        <v>23545</v>
      </c>
      <c r="C18717" s="5" t="str">
        <f>IFERROR(__xludf.DUMMYFUNCTION("GOOGLETRANSLATE(B18717,""en"",""fr"")"),"Deux hommes sont dans une pièce avec trois murs et un ensemble de portes en verre derrière eux frappant une balle en arrière et quatrième contre le mur avec des raquettes de tennis.")</f>
        <v>Deux hommes sont dans une pièce avec trois murs et un ensemble de portes en verre derrière eux frappant une balle en arrière et quatrième contre le mur avec des raquettes de tennis.</v>
      </c>
    </row>
    <row r="18718">
      <c r="A18718" s="4" t="s">
        <v>23544</v>
      </c>
      <c r="B18718" s="4" t="s">
        <v>23546</v>
      </c>
      <c r="C18718" s="5" t="str">
        <f>IFERROR(__xludf.DUMMYFUNCTION("GOOGLETRANSLATE(B18718,""en"",""fr"")"),"Alors qu'ils continuent, un garçon tombe au sol et ils doivent recommencer.")</f>
        <v>Alors qu'ils continuent, un garçon tombe au sol et ils doivent recommencer.</v>
      </c>
    </row>
    <row r="18719">
      <c r="A18719" s="4" t="s">
        <v>23547</v>
      </c>
      <c r="B18719" s="4" t="s">
        <v>23548</v>
      </c>
      <c r="C18719" s="5" t="str">
        <f>IFERROR(__xludf.DUMMYFUNCTION("GOOGLETRANSLATE(B18719,""en"",""fr"")"),"Nous voyons un homme debout devant un établi dans un atelier et parler.")</f>
        <v>Nous voyons un homme debout devant un établi dans un atelier et parler.</v>
      </c>
    </row>
    <row r="18720">
      <c r="A18720" s="4" t="s">
        <v>23547</v>
      </c>
      <c r="B18720" s="4" t="s">
        <v>23549</v>
      </c>
      <c r="C18720" s="5" t="str">
        <f>IFERROR(__xludf.DUMMYFUNCTION("GOOGLETRANSLATE(B18720,""en"",""fr"")"),"L'homme montre un morceau de bois et une ponceuse.")</f>
        <v>L'homme montre un morceau de bois et une ponceuse.</v>
      </c>
    </row>
    <row r="18721">
      <c r="A18721" s="4" t="s">
        <v>23547</v>
      </c>
      <c r="B18721" s="4" t="s">
        <v>23550</v>
      </c>
      <c r="C18721" s="5" t="str">
        <f>IFERROR(__xludf.DUMMYFUNCTION("GOOGLETRANSLATE(B18721,""en"",""fr"")"),"L'homme essuie une substance d'une cruche sur le bois et de la ponceuse et sable le bois.")</f>
        <v>L'homme essuie une substance d'une cruche sur le bois et de la ponceuse et sable le bois.</v>
      </c>
    </row>
    <row r="18722">
      <c r="A18722" s="4" t="s">
        <v>23547</v>
      </c>
      <c r="B18722" s="4" t="s">
        <v>23551</v>
      </c>
      <c r="C18722" s="5" t="str">
        <f>IFERROR(__xludf.DUMMYFUNCTION("GOOGLETRANSLATE(B18722,""en"",""fr"")"),"L'homme nous montre le produit fini.")</f>
        <v>L'homme nous montre le produit fini.</v>
      </c>
    </row>
    <row r="18723">
      <c r="A18723" s="4" t="s">
        <v>23552</v>
      </c>
      <c r="B18723" s="6" t="s">
        <v>23553</v>
      </c>
      <c r="C18723" s="5" t="str">
        <f>IFERROR(__xludf.DUMMYFUNCTION("GOOGLETRANSLATE(B18723,""en"",""fr"")"),"Plusieurs personnes parasail sur un plan d'eau entouré d'autres bateaux, feuillage et maisons au loin.")</f>
        <v>Plusieurs personnes parasail sur un plan d'eau entouré d'autres bateaux, feuillage et maisons au loin.</v>
      </c>
    </row>
    <row r="18724">
      <c r="A18724" s="4" t="s">
        <v>23552</v>
      </c>
      <c r="B18724" s="4" t="s">
        <v>23554</v>
      </c>
      <c r="C18724" s="5" t="str">
        <f>IFERROR(__xludf.DUMMYFUNCTION("GOOGLETRANSLATE(B18724,""en"",""fr"")"),"Plusieurs personnes dans des troncs de natation naviguent dans un plan d'eau avec des parasails multicolores.")</f>
        <v>Plusieurs personnes dans des troncs de natation naviguent dans un plan d'eau avec des parasails multicolores.</v>
      </c>
    </row>
    <row r="18725">
      <c r="A18725" s="4" t="s">
        <v>23552</v>
      </c>
      <c r="B18725" s="6" t="s">
        <v>23555</v>
      </c>
      <c r="C18725" s="5" t="str">
        <f>IFERROR(__xludf.DUMMYFUNCTION("GOOGLETRANSLATE(B18725,""en"",""fr"")"),"Une personne au premier plan dans les troncs de natation bleus retourne la voile, mais la voile se tord et atterrit en bas pour que la personne et la voile atterrissent sur leurs pieds.")</f>
        <v>Une personne au premier plan dans les troncs de natation bleus retourne la voile, mais la voile se tord et atterrit en bas pour que la personne et la voile atterrissent sur leurs pieds.</v>
      </c>
    </row>
    <row r="18726">
      <c r="A18726" s="4" t="s">
        <v>23556</v>
      </c>
      <c r="B18726" s="4" t="s">
        <v>23557</v>
      </c>
      <c r="C18726" s="5" t="str">
        <f>IFERROR(__xludf.DUMMYFUNCTION("GOOGLETRANSLATE(B18726,""en"",""fr"")"),"Sur une piste, un coureur s'apprête à jouer.")</f>
        <v>Sur une piste, un coureur s'apprête à jouer.</v>
      </c>
    </row>
    <row r="18727">
      <c r="A18727" s="4" t="s">
        <v>23556</v>
      </c>
      <c r="B18727" s="4" t="s">
        <v>23558</v>
      </c>
      <c r="C18727" s="5" t="str">
        <f>IFERROR(__xludf.DUMMYFUNCTION("GOOGLETRANSLATE(B18727,""en"",""fr"")"),"Il court et saute le long du chemin, sautant haut à la fin.")</f>
        <v>Il court et saute le long du chemin, sautant haut à la fin.</v>
      </c>
    </row>
    <row r="18728">
      <c r="A18728" s="4" t="s">
        <v>23556</v>
      </c>
      <c r="B18728" s="4" t="s">
        <v>23559</v>
      </c>
      <c r="C18728" s="5" t="str">
        <f>IFERROR(__xludf.DUMMYFUNCTION("GOOGLETRANSLATE(B18728,""en"",""fr"")"),"Il marche le long de la piste après avoir terminé.")</f>
        <v>Il marche le long de la piste après avoir terminé.</v>
      </c>
    </row>
    <row r="18729">
      <c r="A18729" s="4" t="s">
        <v>23556</v>
      </c>
      <c r="B18729" s="4" t="s">
        <v>23560</v>
      </c>
      <c r="C18729" s="5" t="str">
        <f>IFERROR(__xludf.DUMMYFUNCTION("GOOGLETRANSLATE(B18729,""en"",""fr"")"),"L'homme court et saute à nouveau.")</f>
        <v>L'homme court et saute à nouveau.</v>
      </c>
    </row>
    <row r="18730">
      <c r="A18730" s="4" t="s">
        <v>23556</v>
      </c>
      <c r="B18730" s="4" t="s">
        <v>23561</v>
      </c>
      <c r="C18730" s="5" t="str">
        <f>IFERROR(__xludf.DUMMYFUNCTION("GOOGLETRANSLATE(B18730,""en"",""fr"")"),"Le coureur parle à quelqu'un.")</f>
        <v>Le coureur parle à quelqu'un.</v>
      </c>
    </row>
    <row r="18731">
      <c r="A18731" s="4" t="s">
        <v>23562</v>
      </c>
      <c r="B18731" s="4" t="s">
        <v>23563</v>
      </c>
      <c r="C18731" s="5" t="str">
        <f>IFERROR(__xludf.DUMMYFUNCTION("GOOGLETRANSLATE(B18731,""en"",""fr"")"),"Un homme joue les cornemas sur scène tout en portant une jupe écossaise.")</f>
        <v>Un homme joue les cornemas sur scène tout en portant une jupe écossaise.</v>
      </c>
    </row>
    <row r="18732">
      <c r="A18732" s="4" t="s">
        <v>23562</v>
      </c>
      <c r="B18732" s="4" t="s">
        <v>23564</v>
      </c>
      <c r="C18732" s="5" t="str">
        <f>IFERROR(__xludf.DUMMYFUNCTION("GOOGLETRANSLATE(B18732,""en"",""fr"")"),"Ensuite, l'homme se termine en jouant et tient les cornemas sur son bras gauche.")</f>
        <v>Ensuite, l'homme se termine en jouant et tient les cornemas sur son bras gauche.</v>
      </c>
    </row>
    <row r="18733">
      <c r="A18733" s="4" t="s">
        <v>23565</v>
      </c>
      <c r="B18733" s="4" t="s">
        <v>23566</v>
      </c>
      <c r="C18733" s="5" t="str">
        <f>IFERROR(__xludf.DUMMYFUNCTION("GOOGLETRANSLATE(B18733,""en"",""fr"")"),"Un homme en jaune ouvre une bière.")</f>
        <v>Un homme en jaune ouvre une bière.</v>
      </c>
    </row>
    <row r="18734">
      <c r="A18734" s="4" t="s">
        <v>23565</v>
      </c>
      <c r="B18734" s="4" t="s">
        <v>23567</v>
      </c>
      <c r="C18734" s="5" t="str">
        <f>IFERROR(__xludf.DUMMYFUNCTION("GOOGLETRANSLATE(B18734,""en"",""fr"")"),"Un homme en gris attrape la bière, ajuste ses vêtements puis s'assoit sur le sol en tenant la bière.")</f>
        <v>Un homme en gris attrape la bière, ajuste ses vêtements puis s'assoit sur le sol en tenant la bière.</v>
      </c>
    </row>
    <row r="18735">
      <c r="A18735" s="4" t="s">
        <v>23565</v>
      </c>
      <c r="B18735" s="6" t="s">
        <v>23568</v>
      </c>
      <c r="C18735" s="5" t="str">
        <f>IFERROR(__xludf.DUMMYFUNCTION("GOOGLETRANSLATE(B18735,""en"",""fr"")"),"L'homme met un bras derrière son dos et s'ajuste pour essayer de ramasser la bouteille avec sa bouche.")</f>
        <v>L'homme met un bras derrière son dos et s'ajuste pour essayer de ramasser la bouteille avec sa bouche.</v>
      </c>
    </row>
    <row r="18736">
      <c r="A18736" s="4" t="s">
        <v>23565</v>
      </c>
      <c r="B18736" s="4" t="s">
        <v>23569</v>
      </c>
      <c r="C18736" s="5" t="str">
        <f>IFERROR(__xludf.DUMMYFUNCTION("GOOGLETRANSLATE(B18736,""en"",""fr"")"),"L'homme boit ensuite rapidement et pose la bouteille.")</f>
        <v>L'homme boit ensuite rapidement et pose la bouteille.</v>
      </c>
    </row>
    <row r="18737">
      <c r="A18737" s="4" t="s">
        <v>23565</v>
      </c>
      <c r="B18737" s="4" t="s">
        <v>23570</v>
      </c>
      <c r="C18737" s="5" t="str">
        <f>IFERROR(__xludf.DUMMYFUNCTION("GOOGLETRANSLATE(B18737,""en"",""fr"")"),"Nous voyons une horloge à rebours.")</f>
        <v>Nous voyons une horloge à rebours.</v>
      </c>
    </row>
    <row r="18738">
      <c r="A18738" s="4" t="s">
        <v>23571</v>
      </c>
      <c r="B18738" s="4" t="s">
        <v>23572</v>
      </c>
      <c r="C18738" s="5" t="str">
        <f>IFERROR(__xludf.DUMMYFUNCTION("GOOGLETRANSLATE(B18738,""en"",""fr"")"),"Nous voyons l'écran de titre blanc.")</f>
        <v>Nous voyons l'écran de titre blanc.</v>
      </c>
    </row>
    <row r="18739">
      <c r="A18739" s="4" t="s">
        <v>23571</v>
      </c>
      <c r="B18739" s="4" t="s">
        <v>23573</v>
      </c>
      <c r="C18739" s="5" t="str">
        <f>IFERROR(__xludf.DUMMYFUNCTION("GOOGLETRANSLATE(B18739,""en"",""fr"")"),"Nous voyons ensuite un barman parler à deux personnes dans un bar.")</f>
        <v>Nous voyons ensuite un barman parler à deux personnes dans un bar.</v>
      </c>
    </row>
    <row r="18740">
      <c r="A18740" s="4" t="s">
        <v>23571</v>
      </c>
      <c r="B18740" s="4" t="s">
        <v>23574</v>
      </c>
      <c r="C18740" s="5" t="str">
        <f>IFERROR(__xludf.DUMMYFUNCTION("GOOGLETRANSLATE(B18740,""en"",""fr"")"),"L'homme met son bras derrière son dos.")</f>
        <v>L'homme met son bras derrière son dos.</v>
      </c>
    </row>
    <row r="18741">
      <c r="A18741" s="4" t="s">
        <v>23571</v>
      </c>
      <c r="B18741" s="4" t="s">
        <v>23575</v>
      </c>
      <c r="C18741" s="5" t="str">
        <f>IFERROR(__xludf.DUMMYFUNCTION("GOOGLETRANSLATE(B18741,""en"",""fr"")"),"Le barman met deux cartes sur la barre.")</f>
        <v>Le barman met deux cartes sur la barre.</v>
      </c>
    </row>
    <row r="18742">
      <c r="A18742" s="4" t="s">
        <v>23571</v>
      </c>
      <c r="B18742" s="4" t="s">
        <v>23576</v>
      </c>
      <c r="C18742" s="5" t="str">
        <f>IFERROR(__xludf.DUMMYFUNCTION("GOOGLETRANSLATE(B18742,""en"",""fr"")"),"Ils poussent leurs cartes et boivent de la bière, puis tirent des cartes et boivent de la bière.")</f>
        <v>Ils poussent leurs cartes et boivent de la bière, puis tirent des cartes et boivent de la bière.</v>
      </c>
    </row>
    <row r="18743">
      <c r="A18743" s="4" t="s">
        <v>23571</v>
      </c>
      <c r="B18743" s="4" t="s">
        <v>23577</v>
      </c>
      <c r="C18743" s="5" t="str">
        <f>IFERROR(__xludf.DUMMYFUNCTION("GOOGLETRANSLATE(B18743,""en"",""fr"")"),"Le barman crache la bière dans le verre.")</f>
        <v>Le barman crache la bière dans le verre.</v>
      </c>
    </row>
    <row r="18744">
      <c r="A18744" s="4" t="s">
        <v>23571</v>
      </c>
      <c r="B18744" s="4" t="s">
        <v>23578</v>
      </c>
      <c r="C18744" s="5" t="str">
        <f>IFERROR(__xludf.DUMMYFUNCTION("GOOGLETRANSLATE(B18744,""en"",""fr"")"),"Le barman regarde la caméra et parle.")</f>
        <v>Le barman regarde la caméra et parle.</v>
      </c>
    </row>
    <row r="18745">
      <c r="A18745" s="4" t="s">
        <v>23571</v>
      </c>
      <c r="B18745" s="4" t="s">
        <v>23579</v>
      </c>
      <c r="C18745" s="5" t="str">
        <f>IFERROR(__xludf.DUMMYFUNCTION("GOOGLETRANSLATE(B18745,""en"",""fr"")"),"Nous voyons l'écran du titre de fin.")</f>
        <v>Nous voyons l'écran du titre de fin.</v>
      </c>
    </row>
    <row r="18746">
      <c r="A18746" s="4" t="s">
        <v>23580</v>
      </c>
      <c r="B18746" s="4" t="s">
        <v>23581</v>
      </c>
      <c r="C18746" s="5" t="str">
        <f>IFERROR(__xludf.DUMMYFUNCTION("GOOGLETRANSLATE(B18746,""en"",""fr"")"),"Un petit garçon ramasse une boule de bowling.")</f>
        <v>Un petit garçon ramasse une boule de bowling.</v>
      </c>
    </row>
    <row r="18747">
      <c r="A18747" s="4" t="s">
        <v>23580</v>
      </c>
      <c r="B18747" s="4" t="s">
        <v>23582</v>
      </c>
      <c r="C18747" s="5" t="str">
        <f>IFERROR(__xludf.DUMMYFUNCTION("GOOGLETRANSLATE(B18747,""en"",""fr"")"),"Il le place sur un rail et le pousse sur une voie.")</f>
        <v>Il le place sur un rail et le pousse sur une voie.</v>
      </c>
    </row>
    <row r="18748">
      <c r="A18748" s="4" t="s">
        <v>23580</v>
      </c>
      <c r="B18748" s="4" t="s">
        <v>23583</v>
      </c>
      <c r="C18748" s="5" t="str">
        <f>IFERROR(__xludf.DUMMYFUNCTION("GOOGLETRANSLATE(B18748,""en"",""fr"")"),"Une femme avec un bébé attaché à sa poitrine baisse une balle dans une voie.")</f>
        <v>Une femme avec un bébé attaché à sa poitrine baisse une balle dans une voie.</v>
      </c>
    </row>
    <row r="18749">
      <c r="A18749" s="4" t="s">
        <v>23584</v>
      </c>
      <c r="B18749" s="4" t="s">
        <v>23585</v>
      </c>
      <c r="C18749" s="5" t="str">
        <f>IFERROR(__xludf.DUMMYFUNCTION("GOOGLETRANSLATE(B18749,""en"",""fr"")"),"Un homme en chemise à carreaux a frappé le ballon avec un bâton, la balle éparpillée sur la table.")</f>
        <v>Un homme en chemise à carreaux a frappé le ballon avec un bâton, la balle éparpillée sur la table.</v>
      </c>
    </row>
    <row r="18750">
      <c r="A18750" s="4" t="s">
        <v>23584</v>
      </c>
      <c r="B18750" s="6" t="s">
        <v>23586</v>
      </c>
      <c r="C18750" s="5" t="str">
        <f>IFERROR(__xludf.DUMMYFUNCTION("GOOGLETRANSLATE(B18750,""en"",""fr"")"),"L'homme en pull gris se penche sur la table et regarde le ballon, il a ensuite frappé la balle blanche et a frappé la balle jaune, tandis que l'homme en chemise à carreaux était assis sur la chaise.")</f>
        <v>L'homme en pull gris se penche sur la table et regarde le ballon, il a ensuite frappé la balle blanche et a frappé la balle jaune, tandis que l'homme en chemise à carreaux était assis sur la chaise.</v>
      </c>
    </row>
    <row r="18751">
      <c r="A18751" s="4" t="s">
        <v>23584</v>
      </c>
      <c r="B18751" s="4" t="s">
        <v>23587</v>
      </c>
      <c r="C18751" s="5" t="str">
        <f>IFERROR(__xludf.DUMMYFUNCTION("GOOGLETRANSLATE(B18751,""en"",""fr"")"),"L'homme en pull gris continue de jouer du billard, faisant tirer les balles dans les trous.")</f>
        <v>L'homme en pull gris continue de jouer du billard, faisant tirer les balles dans les trous.</v>
      </c>
    </row>
    <row r="18752">
      <c r="A18752" s="4" t="s">
        <v>23588</v>
      </c>
      <c r="B18752" s="4" t="s">
        <v>23589</v>
      </c>
      <c r="C18752" s="5" t="str">
        <f>IFERROR(__xludf.DUMMYFUNCTION("GOOGLETRANSLATE(B18752,""en"",""fr"")"),"Une main pousse une machine à souffler d'herbe.")</f>
        <v>Une main pousse une machine à souffler d'herbe.</v>
      </c>
    </row>
    <row r="18753">
      <c r="A18753" s="4" t="s">
        <v>23588</v>
      </c>
      <c r="B18753" s="4" t="s">
        <v>23590</v>
      </c>
      <c r="C18753" s="5" t="str">
        <f>IFERROR(__xludf.DUMMYFUNCTION("GOOGLETRANSLATE(B18753,""en"",""fr"")"),"La machine crache des feuilles sèches d'un poteau noir.")</f>
        <v>La machine crache des feuilles sèches d'un poteau noir.</v>
      </c>
    </row>
    <row r="18754">
      <c r="A18754" s="4" t="s">
        <v>23588</v>
      </c>
      <c r="B18754" s="4" t="s">
        <v>23591</v>
      </c>
      <c r="C18754" s="5" t="str">
        <f>IFERROR(__xludf.DUMMYFUNCTION("GOOGLETRANSLATE(B18754,""en"",""fr"")"),"La machine a tourné dans une courbe vers la maison.")</f>
        <v>La machine a tourné dans une courbe vers la maison.</v>
      </c>
    </row>
    <row r="18755">
      <c r="A18755" s="4" t="s">
        <v>23592</v>
      </c>
      <c r="B18755" s="6" t="s">
        <v>23593</v>
      </c>
      <c r="C18755" s="5" t="str">
        <f>IFERROR(__xludf.DUMMYFUNCTION("GOOGLETRANSLATE(B18755,""en"",""fr"")"),"Une femme est vue en parlant à la caméra, puis enlève sa bague pour passer ses mains sous de l'eau.")</f>
        <v>Une femme est vue en parlant à la caméra, puis enlève sa bague pour passer ses mains sous de l'eau.</v>
      </c>
    </row>
    <row r="18756">
      <c r="A18756" s="4" t="s">
        <v>23592</v>
      </c>
      <c r="B18756" s="4" t="s">
        <v>23594</v>
      </c>
      <c r="C18756" s="5" t="str">
        <f>IFERROR(__xludf.DUMMYFUNCTION("GOOGLETRANSLATE(B18756,""en"",""fr"")"),"Elle se frotte les mains de savon puis passe ses doigts sous l'eau.")</f>
        <v>Elle se frotte les mains de savon puis passe ses doigts sous l'eau.</v>
      </c>
    </row>
    <row r="18757">
      <c r="A18757" s="4" t="s">
        <v>23592</v>
      </c>
      <c r="B18757" s="4" t="s">
        <v>23595</v>
      </c>
      <c r="C18757" s="5" t="str">
        <f>IFERROR(__xludf.DUMMYFUNCTION("GOOGLETRANSLATE(B18757,""en"",""fr"")"),"En fin de compte, les gens jouent un peu de danse en montrant comment se laver correctement les mains.")</f>
        <v>En fin de compte, les gens jouent un peu de danse en montrant comment se laver correctement les mains.</v>
      </c>
    </row>
    <row r="18758">
      <c r="A18758" s="4" t="s">
        <v>23596</v>
      </c>
      <c r="B18758" s="4" t="s">
        <v>23597</v>
      </c>
      <c r="C18758" s="5" t="str">
        <f>IFERROR(__xludf.DUMMYFUNCTION("GOOGLETRANSLATE(B18758,""en"",""fr"")"),"Nous voyons des gens de la plongée en mer.")</f>
        <v>Nous voyons des gens de la plongée en mer.</v>
      </c>
    </row>
    <row r="18759">
      <c r="A18759" s="4" t="s">
        <v>23596</v>
      </c>
      <c r="B18759" s="4" t="s">
        <v>23598</v>
      </c>
      <c r="C18759" s="5" t="str">
        <f>IFERROR(__xludf.DUMMYFUNCTION("GOOGLETRANSLATE(B18759,""en"",""fr"")"),"Nous voyons la surface de l'océan.")</f>
        <v>Nous voyons la surface de l'océan.</v>
      </c>
    </row>
    <row r="18760">
      <c r="A18760" s="4" t="s">
        <v>23596</v>
      </c>
      <c r="B18760" s="4" t="s">
        <v>23599</v>
      </c>
      <c r="C18760" s="5" t="str">
        <f>IFERROR(__xludf.DUMMYFUNCTION("GOOGLETRANSLATE(B18760,""en"",""fr"")"),"Nous voyons des gens se tenir la main sous l'eau.")</f>
        <v>Nous voyons des gens se tenir la main sous l'eau.</v>
      </c>
    </row>
    <row r="18761">
      <c r="A18761" s="4" t="s">
        <v>23596</v>
      </c>
      <c r="B18761" s="4" t="s">
        <v>23600</v>
      </c>
      <c r="C18761" s="5" t="str">
        <f>IFERROR(__xludf.DUMMYFUNCTION("GOOGLETRANSLATE(B18761,""en"",""fr"")"),"Les gens jettent des panneaux de main.")</f>
        <v>Les gens jettent des panneaux de main.</v>
      </c>
    </row>
    <row r="18762">
      <c r="A18762" s="4" t="s">
        <v>23596</v>
      </c>
      <c r="B18762" s="4" t="s">
        <v>23601</v>
      </c>
      <c r="C18762" s="5" t="str">
        <f>IFERROR(__xludf.DUMMYFUNCTION("GOOGLETRANSLATE(B18762,""en"",""fr"")"),"Nous voyons un homme jeter un signe de la main et nous voyons des gens debout dans l'eau.")</f>
        <v>Nous voyons un homme jeter un signe de la main et nous voyons des gens debout dans l'eau.</v>
      </c>
    </row>
    <row r="18763">
      <c r="A18763" s="4" t="s">
        <v>23596</v>
      </c>
      <c r="B18763" s="4" t="s">
        <v>23602</v>
      </c>
      <c r="C18763" s="5" t="str">
        <f>IFERROR(__xludf.DUMMYFUNCTION("GOOGLETRANSLATE(B18763,""en"",""fr"")"),"Un homme passe lentement sous l'eau.")</f>
        <v>Un homme passe lentement sous l'eau.</v>
      </c>
    </row>
    <row r="18764">
      <c r="A18764" s="4" t="s">
        <v>23603</v>
      </c>
      <c r="B18764" s="4" t="s">
        <v>23604</v>
      </c>
      <c r="C18764" s="5" t="str">
        <f>IFERROR(__xludf.DUMMYFUNCTION("GOOGLETRANSLATE(B18764,""en"",""fr"")"),"Un petit groupe de personnes est vu debout sur une plage en jouant à un jeu de volleyball.")</f>
        <v>Un petit groupe de personnes est vu debout sur une plage en jouant à un jeu de volleyball.</v>
      </c>
    </row>
    <row r="18765">
      <c r="A18765" s="4" t="s">
        <v>23603</v>
      </c>
      <c r="B18765" s="4" t="s">
        <v>23605</v>
      </c>
      <c r="C18765" s="5" t="str">
        <f>IFERROR(__xludf.DUMMYFUNCTION("GOOGLETRANSLATE(B18765,""en"",""fr"")"),"Une personne le frappe à l'autre et ils ont frappé le jeu de balle.")</f>
        <v>Une personne le frappe à l'autre et ils ont frappé le jeu de balle.</v>
      </c>
    </row>
    <row r="18766">
      <c r="A18766" s="4" t="s">
        <v>23603</v>
      </c>
      <c r="B18766" s="4" t="s">
        <v>23606</v>
      </c>
      <c r="C18766" s="5" t="str">
        <f>IFERROR(__xludf.DUMMYFUNCTION("GOOGLETRANSLATE(B18766,""en"",""fr"")"),"Le jeu continue pendant que les gens sont vus regarder sur les côtés.")</f>
        <v>Le jeu continue pendant que les gens sont vus regarder sur les côtés.</v>
      </c>
    </row>
    <row r="18767">
      <c r="A18767" s="4" t="s">
        <v>23607</v>
      </c>
      <c r="B18767" s="4" t="s">
        <v>23608</v>
      </c>
      <c r="C18767" s="5" t="str">
        <f>IFERROR(__xludf.DUMMYFUNCTION("GOOGLETRANSLATE(B18767,""en"",""fr"")"),"Un homme est vu jouer avec ses cheveux devant la caméra et mène à ses cheveux.")</f>
        <v>Un homme est vu jouer avec ses cheveux devant la caméra et mène à ses cheveux.</v>
      </c>
    </row>
    <row r="18768">
      <c r="A18768" s="4" t="s">
        <v>23607</v>
      </c>
      <c r="B18768" s="4" t="s">
        <v>23609</v>
      </c>
      <c r="C18768" s="5" t="str">
        <f>IFERROR(__xludf.DUMMYFUNCTION("GOOGLETRANSLATE(B18768,""en"",""fr"")"),"Elle attache ensuite ses cheveux et continue de sécher ses cheveux pendant un peigne.")</f>
        <v>Elle attache ensuite ses cheveux et continue de sécher ses cheveux pendant un peigne.</v>
      </c>
    </row>
    <row r="18769">
      <c r="A18769" s="4" t="s">
        <v>23607</v>
      </c>
      <c r="B18769" s="4" t="s">
        <v>23610</v>
      </c>
      <c r="C18769" s="5" t="str">
        <f>IFERROR(__xludf.DUMMYFUNCTION("GOOGLETRANSLATE(B18769,""en"",""fr"")"),"Ensuite, abattre ses cheveux et coule de la lotion dans ses cheveux tout en regardant la caméra.")</f>
        <v>Ensuite, abattre ses cheveux et coule de la lotion dans ses cheveux tout en regardant la caméra.</v>
      </c>
    </row>
    <row r="18770">
      <c r="A18770" s="4" t="s">
        <v>23611</v>
      </c>
      <c r="B18770" s="4" t="s">
        <v>23612</v>
      </c>
      <c r="C18770" s="5" t="str">
        <f>IFERROR(__xludf.DUMMYFUNCTION("GOOGLETRANSLATE(B18770,""en"",""fr"")"),"Une photo d'une planche est montrée suivie de divers toilettes toiletant des chiens sur des tables.")</f>
        <v>Une photo d'une planche est montrée suivie de divers toilettes toiletant des chiens sur des tables.</v>
      </c>
    </row>
    <row r="18771">
      <c r="A18771" s="4" t="s">
        <v>23611</v>
      </c>
      <c r="B18771" s="4" t="s">
        <v>23613</v>
      </c>
      <c r="C18771" s="5" t="str">
        <f>IFERROR(__xludf.DUMMYFUNCTION("GOOGLETRANSLATE(B18771,""en"",""fr"")"),"Les gens continuent de préparer les chiens sur les tables et la vidéo se termine par du texte à travers l'écran.")</f>
        <v>Les gens continuent de préparer les chiens sur les tables et la vidéo se termine par du texte à travers l'écran.</v>
      </c>
    </row>
    <row r="18772">
      <c r="A18772" s="4" t="s">
        <v>23614</v>
      </c>
      <c r="B18772" s="4" t="s">
        <v>23615</v>
      </c>
      <c r="C18772" s="5" t="str">
        <f>IFERROR(__xludf.DUMMYFUNCTION("GOOGLETRANSLATE(B18772,""en"",""fr"")"),"Diverses personnes sont montrées en souriant dans une caméra et en étant interviewées sur une question.")</f>
        <v>Diverses personnes sont montrées en souriant dans une caméra et en étant interviewées sur une question.</v>
      </c>
    </row>
    <row r="18773">
      <c r="A18773" s="4" t="s">
        <v>23614</v>
      </c>
      <c r="B18773" s="6" t="s">
        <v>23616</v>
      </c>
      <c r="C18773" s="5" t="str">
        <f>IFERROR(__xludf.DUMMYFUNCTION("GOOGLETRANSLATE(B18773,""en"",""fr"")"),"Plusieurs autres questions sont posées aux mêmes personnes ainsi que des photos de personnes qui font des activités autour de la plage sur une corde.")</f>
        <v>Plusieurs autres questions sont posées aux mêmes personnes ainsi que des photos de personnes qui font des activités autour de la plage sur une corde.</v>
      </c>
    </row>
    <row r="18774">
      <c r="A18774" s="4" t="s">
        <v>23617</v>
      </c>
      <c r="B18774" s="4" t="s">
        <v>23618</v>
      </c>
      <c r="C18774" s="5" t="str">
        <f>IFERROR(__xludf.DUMMYFUNCTION("GOOGLETRANSLATE(B18774,""en"",""fr"")"),"L'avant d'un kayak jaune est vu comme le bateau flotte à travers des eaux blanches turbulentes d'une rivière.")</f>
        <v>L'avant d'un kayak jaune est vu comme le bateau flotte à travers des eaux blanches turbulentes d'une rivière.</v>
      </c>
    </row>
    <row r="18775">
      <c r="A18775" s="4" t="s">
        <v>23617</v>
      </c>
      <c r="B18775" s="4" t="s">
        <v>23619</v>
      </c>
      <c r="C18775" s="5" t="str">
        <f>IFERROR(__xludf.DUMMYFUNCTION("GOOGLETRANSLATE(B18775,""en"",""fr"")"),"Il passe un rocher et de nombreux arbres avant de ralentir.")</f>
        <v>Il passe un rocher et de nombreux arbres avant de ralentir.</v>
      </c>
    </row>
    <row r="18776">
      <c r="A18776" s="4" t="s">
        <v>23620</v>
      </c>
      <c r="B18776" s="4" t="s">
        <v>23621</v>
      </c>
      <c r="C18776" s="5" t="str">
        <f>IFERROR(__xludf.DUMMYFUNCTION("GOOGLETRANSLATE(B18776,""en"",""fr"")"),"Un jeune garçon blond est montré dans plusieurs images fixes, dont plusieurs pendant le ski.")</f>
        <v>Un jeune garçon blond est montré dans plusieurs images fixes, dont plusieurs pendant le ski.</v>
      </c>
    </row>
    <row r="18777">
      <c r="A18777" s="4" t="s">
        <v>23620</v>
      </c>
      <c r="B18777" s="4" t="s">
        <v>23622</v>
      </c>
      <c r="C18777" s="5" t="str">
        <f>IFERROR(__xludf.DUMMYFUNCTION("GOOGLETRANSLATE(B18777,""en"",""fr"")"),"Il est ensuite vu skier sur une grande colline sous plusieurs angles et vidéos.")</f>
        <v>Il est ensuite vu skier sur une grande colline sous plusieurs angles et vidéos.</v>
      </c>
    </row>
    <row r="18778">
      <c r="A18778" s="4" t="s">
        <v>23620</v>
      </c>
      <c r="B18778" s="4" t="s">
        <v>23623</v>
      </c>
      <c r="C18778" s="5" t="str">
        <f>IFERROR(__xludf.DUMMYFUNCTION("GOOGLETRANSLATE(B18778,""en"",""fr"")"),"Il atterrit au sommet d'une petite colline, tombant.")</f>
        <v>Il atterrit au sommet d'une petite colline, tombant.</v>
      </c>
    </row>
    <row r="18779">
      <c r="A18779" s="4" t="s">
        <v>23620</v>
      </c>
      <c r="B18779" s="4" t="s">
        <v>23624</v>
      </c>
      <c r="C18779" s="5" t="str">
        <f>IFERROR(__xludf.DUMMYFUNCTION("GOOGLETRANSLATE(B18779,""en"",""fr"")"),"Nous voyons ensuite une image de lui dormir sur un canapé.")</f>
        <v>Nous voyons ensuite une image de lui dormir sur un canapé.</v>
      </c>
    </row>
    <row r="18780">
      <c r="A18780" s="4" t="s">
        <v>23625</v>
      </c>
      <c r="B18780" s="4" t="s">
        <v>23626</v>
      </c>
      <c r="C18780" s="5" t="str">
        <f>IFERROR(__xludf.DUMMYFUNCTION("GOOGLETRANSLATE(B18780,""en"",""fr"")"),"Un homme est à l'intérieur d'une pièce dans une maison.")</f>
        <v>Un homme est à l'intérieur d'une pièce dans une maison.</v>
      </c>
    </row>
    <row r="18781">
      <c r="A18781" s="4" t="s">
        <v>23625</v>
      </c>
      <c r="B18781" s="4" t="s">
        <v>23627</v>
      </c>
      <c r="C18781" s="5" t="str">
        <f>IFERROR(__xludf.DUMMYFUNCTION("GOOGLETRANSLATE(B18781,""en"",""fr"")"),"Il utilise une raquette pour frapper une balle de tennis dans les deux sens contre un mur.")</f>
        <v>Il utilise une raquette pour frapper une balle de tennis dans les deux sens contre un mur.</v>
      </c>
    </row>
    <row r="18782">
      <c r="A18782" s="4" t="s">
        <v>23625</v>
      </c>
      <c r="B18782" s="4" t="s">
        <v>23628</v>
      </c>
      <c r="C18782" s="5" t="str">
        <f>IFERROR(__xludf.DUMMYFUNCTION("GOOGLETRANSLATE(B18782,""en"",""fr"")"),"Il continue de frapper le ballon jusqu'à ce qu'il ait fini de jouer au jeu.")</f>
        <v>Il continue de frapper le ballon jusqu'à ce qu'il ait fini de jouer au jeu.</v>
      </c>
    </row>
    <row r="18783">
      <c r="A18783" s="4" t="s">
        <v>23629</v>
      </c>
      <c r="B18783" s="6" t="s">
        <v>23630</v>
      </c>
      <c r="C18783" s="5" t="str">
        <f>IFERROR(__xludf.DUMMYFUNCTION("GOOGLETRANSLATE(B18783,""en"",""fr"")"),"Quelques citrons sont vus assis sur une table avec des lunettes et des assiettes et mène à une personne mettant les citrons dans un récipient.")</f>
        <v>Quelques citrons sont vus assis sur une table avec des lunettes et des assiettes et mène à une personne mettant les citrons dans un récipient.</v>
      </c>
    </row>
    <row r="18784">
      <c r="A18784" s="4" t="s">
        <v>23629</v>
      </c>
      <c r="B18784" s="4" t="s">
        <v>23631</v>
      </c>
      <c r="C18784" s="5" t="str">
        <f>IFERROR(__xludf.DUMMYFUNCTION("GOOGLETRANSLATE(B18784,""en"",""fr"")"),"Il mélange les ingrédients avec les citrons et les secoue dans un autre verre.")</f>
        <v>Il mélange les ingrédients avec les citrons et les secoue dans un autre verre.</v>
      </c>
    </row>
    <row r="18785">
      <c r="A18785" s="4" t="s">
        <v>23629</v>
      </c>
      <c r="B18785" s="4" t="s">
        <v>23632</v>
      </c>
      <c r="C18785" s="5" t="str">
        <f>IFERROR(__xludf.DUMMYFUNCTION("GOOGLETRANSLATE(B18785,""en"",""fr"")"),"Il termine la limonade et la présente à la caméra tout en prenant une gorgée.")</f>
        <v>Il termine la limonade et la présente à la caméra tout en prenant une gorgée.</v>
      </c>
    </row>
    <row r="18786">
      <c r="A18786" s="4" t="s">
        <v>23633</v>
      </c>
      <c r="B18786" s="4" t="s">
        <v>23634</v>
      </c>
      <c r="C18786" s="5" t="str">
        <f>IFERROR(__xludf.DUMMYFUNCTION("GOOGLETRANSLATE(B18786,""en"",""fr"")"),"On voit des gens se promener dans un gymnase et mène à un debout entre les bars.")</f>
        <v>On voit des gens se promener dans un gymnase et mène à un debout entre les bars.</v>
      </c>
    </row>
    <row r="18787">
      <c r="A18787" s="4" t="s">
        <v>23633</v>
      </c>
      <c r="B18787" s="4" t="s">
        <v>23635</v>
      </c>
      <c r="C18787" s="5" t="str">
        <f>IFERROR(__xludf.DUMMYFUNCTION("GOOGLETRANSLATE(B18787,""en"",""fr"")"),"La gymnaste se déplace ensuite dans les barres et saute par la suite.")</f>
        <v>La gymnaste se déplace ensuite dans les barres et saute par la suite.</v>
      </c>
    </row>
    <row r="18788">
      <c r="A18788" s="4" t="s">
        <v>23633</v>
      </c>
      <c r="B18788" s="4" t="s">
        <v>23636</v>
      </c>
      <c r="C18788" s="5" t="str">
        <f>IFERROR(__xludf.DUMMYFUNCTION("GOOGLETRANSLATE(B18788,""en"",""fr"")"),"Un autre homme se dirige vers les barreaux et tente de tourner.")</f>
        <v>Un autre homme se dirige vers les barreaux et tente de tourner.</v>
      </c>
    </row>
    <row r="18789">
      <c r="A18789" s="4" t="s">
        <v>23637</v>
      </c>
      <c r="B18789" s="4" t="s">
        <v>23638</v>
      </c>
      <c r="C18789" s="5" t="str">
        <f>IFERROR(__xludf.DUMMYFUNCTION("GOOGLETRANSLATE(B18789,""en"",""fr"")"),"Un tout-petit lave un chien dans une baignoire versant de l'eau avec le tuyau de douche.")</f>
        <v>Un tout-petit lave un chien dans une baignoire versant de l'eau avec le tuyau de douche.</v>
      </c>
    </row>
    <row r="18790">
      <c r="A18790" s="4" t="s">
        <v>23637</v>
      </c>
      <c r="B18790" s="4" t="s">
        <v>23639</v>
      </c>
      <c r="C18790" s="5" t="str">
        <f>IFERROR(__xludf.DUMMYFUNCTION("GOOGLETRANSLATE(B18790,""en"",""fr"")"),"Le tout-petit monte la queue du cheval et lavez les fesses.")</f>
        <v>Le tout-petit monte la queue du cheval et lavez les fesses.</v>
      </c>
    </row>
    <row r="18791">
      <c r="A18791" s="4" t="s">
        <v>23637</v>
      </c>
      <c r="B18791" s="4" t="s">
        <v>23640</v>
      </c>
      <c r="C18791" s="5" t="str">
        <f>IFERROR(__xludf.DUMMYFUNCTION("GOOGLETRANSLATE(B18791,""en"",""fr"")"),"Après, le tout-petit, prenez un pinceau et frottez et lavez le chien.")</f>
        <v>Après, le tout-petit, prenez un pinceau et frottez et lavez le chien.</v>
      </c>
    </row>
    <row r="18792">
      <c r="A18792" s="4" t="s">
        <v>23641</v>
      </c>
      <c r="B18792" s="4" t="s">
        <v>23642</v>
      </c>
      <c r="C18792" s="5" t="str">
        <f>IFERROR(__xludf.DUMMYFUNCTION("GOOGLETRANSLATE(B18792,""en"",""fr"")"),"Un homme chevauche une paire de skis nautiques alors qu'il était attaché à un bateau.")</f>
        <v>Un homme chevauche une paire de skis nautiques alors qu'il était attaché à un bateau.</v>
      </c>
    </row>
    <row r="18793">
      <c r="A18793" s="4" t="s">
        <v>23641</v>
      </c>
      <c r="B18793" s="4" t="s">
        <v>23643</v>
      </c>
      <c r="C18793" s="5" t="str">
        <f>IFERROR(__xludf.DUMMYFUNCTION("GOOGLETRANSLATE(B18793,""en"",""fr"")"),"Il fait une embardée d'un côté à l'autre dans l'eau, se tenant.")</f>
        <v>Il fait une embardée d'un côté à l'autre dans l'eau, se tenant.</v>
      </c>
    </row>
    <row r="18794">
      <c r="A18794" s="4" t="s">
        <v>23641</v>
      </c>
      <c r="B18794" s="4" t="s">
        <v>23644</v>
      </c>
      <c r="C18794" s="5" t="str">
        <f>IFERROR(__xludf.DUMMYFUNCTION("GOOGLETRANSLATE(B18794,""en"",""fr"")"),"Il saute en l'air comme un coup, puis perd son équilibre et tombe dans l'eau.")</f>
        <v>Il saute en l'air comme un coup, puis perd son équilibre et tombe dans l'eau.</v>
      </c>
    </row>
    <row r="18795">
      <c r="A18795" s="4" t="s">
        <v>23645</v>
      </c>
      <c r="B18795" s="6" t="s">
        <v>23646</v>
      </c>
      <c r="C18795" s="5" t="str">
        <f>IFERROR(__xludf.DUMMYFUNCTION("GOOGLETRANSLATE(B18795,""en"",""fr"")"),"Deux équipes jouent un remorqueur de guerre, tandis que l'arbitre est au centre et sur le côté, des gens prennent des photos.")</f>
        <v>Deux équipes jouent un remorqueur de guerre, tandis que l'arbitre est au centre et sur le côté, des gens prennent des photos.</v>
      </c>
    </row>
    <row r="18796">
      <c r="A18796" s="4" t="s">
        <v>23645</v>
      </c>
      <c r="B18796" s="6" t="s">
        <v>23647</v>
      </c>
      <c r="C18796" s="5" t="str">
        <f>IFERROR(__xludf.DUMMYFUNCTION("GOOGLETRANSLATE(B18796,""en"",""fr"")"),"L'arbitre a donné un signal pour que l'équipe commence à tirer, les joueurs tirent la corde de toutes leurs forces jusqu'à ce que l'équipe bleue gagne, de l'autre côté de la voie, une autre équipe joue au remorque Le public qui regarde le match.")</f>
        <v>L'arbitre a donné un signal pour que l'équipe commence à tirer, les joueurs tirent la corde de toutes leurs forces jusqu'à ce que l'équipe bleue gagne, de l'autre côté de la voie, une autre équipe joue au remorque Le public qui regarde le match.</v>
      </c>
    </row>
    <row r="18797">
      <c r="A18797" s="4" t="s">
        <v>23648</v>
      </c>
      <c r="B18797" s="4" t="s">
        <v>23649</v>
      </c>
      <c r="C18797" s="5" t="str">
        <f>IFERROR(__xludf.DUMMYFUNCTION("GOOGLETRANSLATE(B18797,""en"",""fr"")"),"Une femme utilise une brosse rose pour se brosser les dents.")</f>
        <v>Une femme utilise une brosse rose pour se brosser les dents.</v>
      </c>
    </row>
    <row r="18798">
      <c r="A18798" s="4" t="s">
        <v>23648</v>
      </c>
      <c r="B18798" s="4" t="s">
        <v>23650</v>
      </c>
      <c r="C18798" s="5" t="str">
        <f>IFERROR(__xludf.DUMMYFUNCTION("GOOGLETRANSLATE(B18798,""en"",""fr"")"),"Elle brosse très rapidement et vigoureusement.")</f>
        <v>Elle brosse très rapidement et vigoureusement.</v>
      </c>
    </row>
    <row r="18799">
      <c r="A18799" s="4" t="s">
        <v>23648</v>
      </c>
      <c r="B18799" s="4" t="s">
        <v>23651</v>
      </c>
      <c r="C18799" s="5" t="str">
        <f>IFERROR(__xludf.DUMMYFUNCTION("GOOGLETRANSLATE(B18799,""en"",""fr"")"),"Elle se brosse ses dents supérieures et inférieures.")</f>
        <v>Elle se brosse ses dents supérieures et inférieures.</v>
      </c>
    </row>
    <row r="18800">
      <c r="A18800" s="4" t="s">
        <v>23648</v>
      </c>
      <c r="B18800" s="4" t="s">
        <v>23652</v>
      </c>
      <c r="C18800" s="5" t="str">
        <f>IFERROR(__xludf.DUMMYFUNCTION("GOOGLETRANSLATE(B18800,""en"",""fr"")"),"Elle sort sa langue pour nettoyer le dentifrice.")</f>
        <v>Elle sort sa langue pour nettoyer le dentifrice.</v>
      </c>
    </row>
    <row r="18801">
      <c r="A18801" s="4" t="s">
        <v>23648</v>
      </c>
      <c r="B18801" s="4" t="s">
        <v>23653</v>
      </c>
      <c r="C18801" s="5" t="str">
        <f>IFERROR(__xludf.DUMMYFUNCTION("GOOGLETRANSLATE(B18801,""en"",""fr"")"),"Elle vérifie ses dents pour voir si elles sont suffisamment propres.")</f>
        <v>Elle vérifie ses dents pour voir si elles sont suffisamment propres.</v>
      </c>
    </row>
    <row r="18802">
      <c r="A18802" s="4" t="s">
        <v>23648</v>
      </c>
      <c r="B18802" s="4" t="s">
        <v>23654</v>
      </c>
      <c r="C18802" s="5" t="str">
        <f>IFERROR(__xludf.DUMMYFUNCTION("GOOGLETRANSLATE(B18802,""en"",""fr"")"),"Pendant qu'elle continue de se brosser, elle ouvre la bouche.")</f>
        <v>Pendant qu'elle continue de se brosser, elle ouvre la bouche.</v>
      </c>
    </row>
    <row r="18803">
      <c r="A18803" s="4" t="s">
        <v>23648</v>
      </c>
      <c r="B18803" s="4" t="s">
        <v>23655</v>
      </c>
      <c r="C18803" s="5" t="str">
        <f>IFERROR(__xludf.DUMMYFUNCTION("GOOGLETRANSLATE(B18803,""en"",""fr"")"),"Une partie du dentifrice tombe.")</f>
        <v>Une partie du dentifrice tombe.</v>
      </c>
    </row>
    <row r="18804">
      <c r="A18804" s="4" t="s">
        <v>23648</v>
      </c>
      <c r="B18804" s="4" t="s">
        <v>23656</v>
      </c>
      <c r="C18804" s="5" t="str">
        <f>IFERROR(__xludf.DUMMYFUNCTION("GOOGLETRANSLATE(B18804,""en"",""fr"")"),"Elle commence à se brosser soigneusement la langue.")</f>
        <v>Elle commence à se brosser soigneusement la langue.</v>
      </c>
    </row>
    <row r="18805">
      <c r="A18805" s="4" t="s">
        <v>23648</v>
      </c>
      <c r="B18805" s="4" t="s">
        <v>23657</v>
      </c>
      <c r="C18805" s="5" t="str">
        <f>IFERROR(__xludf.DUMMYFUNCTION("GOOGLETRANSLATE(B18805,""en"",""fr"")"),"Puis elle continue à se brosser à nouveau ses dents supérieures et inférieures.")</f>
        <v>Puis elle continue à se brosser à nouveau ses dents supérieures et inférieures.</v>
      </c>
    </row>
    <row r="18806">
      <c r="A18806" s="4" t="s">
        <v>23648</v>
      </c>
      <c r="B18806" s="4" t="s">
        <v>23658</v>
      </c>
      <c r="C18806" s="5" t="str">
        <f>IFERROR(__xludf.DUMMYFUNCTION("GOOGLETRANSLATE(B18806,""en"",""fr"")"),"Elle sort ensuite sa langue et la gratte contre ses dents.")</f>
        <v>Elle sort ensuite sa langue et la gratte contre ses dents.</v>
      </c>
    </row>
    <row r="18807">
      <c r="A18807" s="4" t="s">
        <v>23648</v>
      </c>
      <c r="B18807" s="4" t="s">
        <v>23659</v>
      </c>
      <c r="C18807" s="5" t="str">
        <f>IFERROR(__xludf.DUMMYFUNCTION("GOOGLETRANSLATE(B18807,""en"",""fr"")"),"Elle crache un dentifrice.")</f>
        <v>Elle crache un dentifrice.</v>
      </c>
    </row>
    <row r="18808">
      <c r="A18808" s="4" t="s">
        <v>23648</v>
      </c>
      <c r="B18808" s="4" t="s">
        <v>23660</v>
      </c>
      <c r="C18808" s="5" t="str">
        <f>IFERROR(__xludf.DUMMYFUNCTION("GOOGLETRANSLATE(B18808,""en"",""fr"")"),"Une partie du dentifrice tombe sur son menton, ce qui fait ressembler à une barbe blanche.")</f>
        <v>Une partie du dentifrice tombe sur son menton, ce qui fait ressembler à une barbe blanche.</v>
      </c>
    </row>
    <row r="18809">
      <c r="A18809" s="4" t="s">
        <v>23648</v>
      </c>
      <c r="B18809" s="4" t="s">
        <v>23661</v>
      </c>
      <c r="C18809" s="5" t="str">
        <f>IFERROR(__xludf.DUMMYFUNCTION("GOOGLETRANSLATE(B18809,""en"",""fr"")"),"Elle fait semblant d'être le Père Noël et dit, Ho, Ho, Joyeux Noël.")</f>
        <v>Elle fait semblant d'être le Père Noël et dit, Ho, Ho, Joyeux Noël.</v>
      </c>
    </row>
    <row r="18810">
      <c r="A18810" s="4" t="s">
        <v>23648</v>
      </c>
      <c r="B18810" s="4" t="s">
        <v>23662</v>
      </c>
      <c r="C18810" s="5" t="str">
        <f>IFERROR(__xludf.DUMMYFUNCTION("GOOGLETRANSLATE(B18810,""en"",""fr"")"),"Puis elle rit en montrant ses dents avec un large sourire.")</f>
        <v>Puis elle rit en montrant ses dents avec un large sourire.</v>
      </c>
    </row>
    <row r="18811">
      <c r="A18811" s="4" t="s">
        <v>23663</v>
      </c>
      <c r="B18811" s="4" t="s">
        <v>23664</v>
      </c>
      <c r="C18811" s="5" t="str">
        <f>IFERROR(__xludf.DUMMYFUNCTION("GOOGLETRANSLATE(B18811,""en"",""fr"")"),"Un grand groupe de personnes est vue assise dans un cercle et 2 taureaux debout dans la fosse.")</f>
        <v>Un grand groupe de personnes est vue assise dans un cercle et 2 taureaux debout dans la fosse.</v>
      </c>
    </row>
    <row r="18812">
      <c r="A18812" s="4" t="s">
        <v>23663</v>
      </c>
      <c r="B18812" s="6" t="s">
        <v>23665</v>
      </c>
      <c r="C18812" s="5" t="str">
        <f>IFERROR(__xludf.DUMMYFUNCTION("GOOGLETRANSLATE(B18812,""en"",""fr"")"),"Les animaux et les gens continuent de se promener les uns les autres et de conduire dans les taureaux se battant.")</f>
        <v>Les animaux et les gens continuent de se promener les uns les autres et de conduire dans les taureaux se battant.</v>
      </c>
    </row>
    <row r="18813">
      <c r="A18813" s="4" t="s">
        <v>23666</v>
      </c>
      <c r="B18813" s="4" t="s">
        <v>23667</v>
      </c>
      <c r="C18813" s="5" t="str">
        <f>IFERROR(__xludf.DUMMYFUNCTION("GOOGLETRANSLATE(B18813,""en"",""fr"")"),"Un logo apparaît alors le mot clôture.")</f>
        <v>Un logo apparaît alors le mot clôture.</v>
      </c>
    </row>
    <row r="18814">
      <c r="A18814" s="4" t="s">
        <v>23666</v>
      </c>
      <c r="B18814" s="4" t="s">
        <v>23668</v>
      </c>
      <c r="C18814" s="5" t="str">
        <f>IFERROR(__xludf.DUMMYFUNCTION("GOOGLETRANSLATE(B18814,""en"",""fr"")"),"Les gens commencent à clôturer ensemble.")</f>
        <v>Les gens commencent à clôturer ensemble.</v>
      </c>
    </row>
    <row r="18815">
      <c r="A18815" s="4" t="s">
        <v>23666</v>
      </c>
      <c r="B18815" s="4" t="s">
        <v>23669</v>
      </c>
      <c r="C18815" s="5" t="str">
        <f>IFERROR(__xludf.DUMMYFUNCTION("GOOGLETRANSLATE(B18815,""en"",""fr"")"),"Les gens se préparent à la clôture et sont affichés de l'escrime de diverses manières.")</f>
        <v>Les gens se préparent à la clôture et sont affichés de l'escrime de diverses manières.</v>
      </c>
    </row>
    <row r="18816">
      <c r="A18816" s="4" t="s">
        <v>23670</v>
      </c>
      <c r="B18816" s="4" t="s">
        <v>23671</v>
      </c>
      <c r="C18816" s="5" t="str">
        <f>IFERROR(__xludf.DUMMYFUNCTION("GOOGLETRANSLATE(B18816,""en"",""fr"")"),"Le fond d'une rivière trouble est représenté puis il clignote au nom des ressorts.")</f>
        <v>Le fond d'une rivière trouble est représenté puis il clignote au nom des ressorts.</v>
      </c>
    </row>
    <row r="18817">
      <c r="A18817" s="4" t="s">
        <v>23670</v>
      </c>
      <c r="B18817" s="6" t="s">
        <v>23672</v>
      </c>
      <c r="C18817" s="5" t="str">
        <f>IFERROR(__xludf.DUMMYFUNCTION("GOOGLETRANSLATE(B18817,""en"",""fr"")"),"Un groupe de personnes est montré et ils commencent à obtenir des flotteurs et à jouer et à flotter dans les ressorts.")</f>
        <v>Un groupe de personnes est montré et ils commencent à obtenir des flotteurs et à jouer et à flotter dans les ressorts.</v>
      </c>
    </row>
    <row r="18818">
      <c r="A18818" s="4" t="s">
        <v>23670</v>
      </c>
      <c r="B18818" s="4" t="s">
        <v>23673</v>
      </c>
      <c r="C18818" s="5" t="str">
        <f>IFERROR(__xludf.DUMMYFUNCTION("GOOGLETRANSLATE(B18818,""en"",""fr"")"),"Deux enfants sont ensemble sur les rochers et ils attrapent une libellule.")</f>
        <v>Deux enfants sont ensemble sur les rochers et ils attrapent une libellule.</v>
      </c>
    </row>
    <row r="18819">
      <c r="A18819" s="4" t="s">
        <v>23670</v>
      </c>
      <c r="B18819" s="6" t="s">
        <v>23674</v>
      </c>
      <c r="C18819" s="5" t="str">
        <f>IFERROR(__xludf.DUMMYFUNCTION("GOOGLETRANSLATE(B18819,""en"",""fr"")"),"Après, divers groupes de personnes sont montrés et un couple flotte avec un chien assis sur les genoux du mâle.")</f>
        <v>Après, divers groupes de personnes sont montrés et un couple flotte avec un chien assis sur les genoux du mâle.</v>
      </c>
    </row>
    <row r="18820">
      <c r="A18820" s="4" t="s">
        <v>23675</v>
      </c>
      <c r="B18820" s="4" t="s">
        <v>23676</v>
      </c>
      <c r="C18820" s="5" t="str">
        <f>IFERROR(__xludf.DUMMYFUNCTION("GOOGLETRANSLATE(B18820,""en"",""fr"")"),"Tout d'abord, l'homme pousse un pneu et il entre à l'intérieur.")</f>
        <v>Tout d'abord, l'homme pousse un pneu et il entre à l'intérieur.</v>
      </c>
    </row>
    <row r="18821">
      <c r="A18821" s="4" t="s">
        <v>23675</v>
      </c>
      <c r="B18821" s="4" t="s">
        <v>23677</v>
      </c>
      <c r="C18821" s="5" t="str">
        <f>IFERROR(__xludf.DUMMYFUNCTION("GOOGLETRANSLATE(B18821,""en"",""fr"")"),"Il commence ensuite Hula Hoop à l'intérieur du pneu avec lui autour de sa taille.")</f>
        <v>Il commence ensuite Hula Hoop à l'intérieur du pneu avec lui autour de sa taille.</v>
      </c>
    </row>
    <row r="18822">
      <c r="A18822" s="4" t="s">
        <v>23678</v>
      </c>
      <c r="B18822" s="4" t="s">
        <v>23679</v>
      </c>
      <c r="C18822" s="5" t="str">
        <f>IFERROR(__xludf.DUMMYFUNCTION("GOOGLETRANSLATE(B18822,""en"",""fr"")"),"Les gens qui jouent des instruments sont sur scène.")</f>
        <v>Les gens qui jouent des instruments sont sur scène.</v>
      </c>
    </row>
    <row r="18823">
      <c r="A18823" s="4" t="s">
        <v>23678</v>
      </c>
      <c r="B18823" s="4" t="s">
        <v>23680</v>
      </c>
      <c r="C18823" s="5" t="str">
        <f>IFERROR(__xludf.DUMMYFUNCTION("GOOGLETRANSLATE(B18823,""en"",""fr"")"),"Un homme en costume monte sur scène et commence à parler.")</f>
        <v>Un homme en costume monte sur scène et commence à parler.</v>
      </c>
    </row>
    <row r="18824">
      <c r="A18824" s="4" t="s">
        <v>23678</v>
      </c>
      <c r="B18824" s="4" t="s">
        <v>23681</v>
      </c>
      <c r="C18824" s="5" t="str">
        <f>IFERROR(__xludf.DUMMYFUNCTION("GOOGLETRANSLATE(B18824,""en"",""fr"")"),"Le groupe continue de jouer en arrière-plan.")</f>
        <v>Le groupe continue de jouer en arrière-plan.</v>
      </c>
    </row>
    <row r="18825">
      <c r="A18825" s="4" t="s">
        <v>23682</v>
      </c>
      <c r="B18825" s="4" t="s">
        <v>23683</v>
      </c>
      <c r="C18825" s="5" t="str">
        <f>IFERROR(__xludf.DUMMYFUNCTION("GOOGLETRANSLATE(B18825,""en"",""fr"")"),"Une femme est vue à genoux sur le sol en parlant à la caméra tandis qu'un chien s'allonge à côté d'elle.")</f>
        <v>Une femme est vue à genoux sur le sol en parlant à la caméra tandis qu'un chien s'allonge à côté d'elle.</v>
      </c>
    </row>
    <row r="18826">
      <c r="A18826" s="4" t="s">
        <v>23682</v>
      </c>
      <c r="B18826" s="6" t="s">
        <v>23684</v>
      </c>
      <c r="C18826" s="5" t="str">
        <f>IFERROR(__xludf.DUMMYFUNCTION("GOOGLETRANSLATE(B18826,""en"",""fr"")"),"On voit alors la femme courir du savon et de l'eau dans tout un chien dans l'évier et se terminant en le nettoyant et en le regardant courir et être excité.")</f>
        <v>On voit alors la femme courir du savon et de l'eau dans tout un chien dans l'évier et se terminant en le nettoyant et en le regardant courir et être excité.</v>
      </c>
    </row>
    <row r="18827">
      <c r="A18827" s="4" t="s">
        <v>23685</v>
      </c>
      <c r="B18827" s="4" t="s">
        <v>23686</v>
      </c>
      <c r="C18827" s="5" t="str">
        <f>IFERROR(__xludf.DUMMYFUNCTION("GOOGLETRANSLATE(B18827,""en"",""fr"")"),"Un homme est montré en travaillant dans un jardin extérieur.")</f>
        <v>Un homme est montré en travaillant dans un jardin extérieur.</v>
      </c>
    </row>
    <row r="18828">
      <c r="A18828" s="4" t="s">
        <v>23685</v>
      </c>
      <c r="B18828" s="4" t="s">
        <v>23687</v>
      </c>
      <c r="C18828" s="5" t="str">
        <f>IFERROR(__xludf.DUMMYFUNCTION("GOOGLETRANSLATE(B18828,""en"",""fr"")"),"Il utilise des outils pendant qu'il travaille.")</f>
        <v>Il utilise des outils pendant qu'il travaille.</v>
      </c>
    </row>
    <row r="18829">
      <c r="A18829" s="4" t="s">
        <v>23685</v>
      </c>
      <c r="B18829" s="4" t="s">
        <v>23688</v>
      </c>
      <c r="C18829" s="5" t="str">
        <f>IFERROR(__xludf.DUMMYFUNCTION("GOOGLETRANSLATE(B18829,""en"",""fr"")"),"Il coupe une longue rangée de haies, puis nettoie les débris.")</f>
        <v>Il coupe une longue rangée de haies, puis nettoie les débris.</v>
      </c>
    </row>
    <row r="18830">
      <c r="A18830" s="4" t="s">
        <v>23689</v>
      </c>
      <c r="B18830" s="4" t="s">
        <v>23690</v>
      </c>
      <c r="C18830" s="5" t="str">
        <f>IFERROR(__xludf.DUMMYFUNCTION("GOOGLETRANSLATE(B18830,""en"",""fr"")"),"Nous voyons un ensemble de tambours et un homme debout derrière les tambours à parler et à prendre un verre.")</f>
        <v>Nous voyons un ensemble de tambours et un homme debout derrière les tambours à parler et à prendre un verre.</v>
      </c>
    </row>
    <row r="18831">
      <c r="A18831" s="4" t="s">
        <v>23689</v>
      </c>
      <c r="B18831" s="4" t="s">
        <v>23691</v>
      </c>
      <c r="C18831" s="5" t="str">
        <f>IFERROR(__xludf.DUMMYFUNCTION("GOOGLETRANSLATE(B18831,""en"",""fr"")"),"L'homme boit de la boisson et le pose.")</f>
        <v>L'homme boit de la boisson et le pose.</v>
      </c>
    </row>
    <row r="18832">
      <c r="A18832" s="4" t="s">
        <v>23689</v>
      </c>
      <c r="B18832" s="4" t="s">
        <v>23692</v>
      </c>
      <c r="C18832" s="5" t="str">
        <f>IFERROR(__xludf.DUMMYFUNCTION("GOOGLETRANSLATE(B18832,""en"",""fr"")"),"L'homme joue la batterie avec ses mains.")</f>
        <v>L'homme joue la batterie avec ses mains.</v>
      </c>
    </row>
    <row r="18833">
      <c r="A18833" s="4" t="s">
        <v>23689</v>
      </c>
      <c r="B18833" s="4" t="s">
        <v>23693</v>
      </c>
      <c r="C18833" s="5" t="str">
        <f>IFERROR(__xludf.DUMMYFUNCTION("GOOGLETRANSLATE(B18833,""en"",""fr"")"),"L'homme s'arrête et parle avant de jouer à nouveau la batterie.")</f>
        <v>L'homme s'arrête et parle avant de jouer à nouveau la batterie.</v>
      </c>
    </row>
    <row r="18834">
      <c r="A18834" s="4" t="s">
        <v>23689</v>
      </c>
      <c r="B18834" s="4" t="s">
        <v>23694</v>
      </c>
      <c r="C18834" s="5" t="str">
        <f>IFERROR(__xludf.DUMMYFUNCTION("GOOGLETRANSLATE(B18834,""en"",""fr"")"),"L'homme se tient sur la batterie et les danses.")</f>
        <v>L'homme se tient sur la batterie et les danses.</v>
      </c>
    </row>
    <row r="18835">
      <c r="A18835" s="4" t="s">
        <v>23689</v>
      </c>
      <c r="B18835" s="4" t="s">
        <v>23695</v>
      </c>
      <c r="C18835" s="5" t="str">
        <f>IFERROR(__xludf.DUMMYFUNCTION("GOOGLETRANSLATE(B18835,""en"",""fr"")"),"Nous voyons deux hommes assis et le premier homme applaudit ses mains.")</f>
        <v>Nous voyons deux hommes assis et le premier homme applaudit ses mains.</v>
      </c>
    </row>
    <row r="18836">
      <c r="A18836" s="4" t="s">
        <v>23689</v>
      </c>
      <c r="B18836" s="6" t="s">
        <v>23696</v>
      </c>
      <c r="C18836" s="5" t="str">
        <f>IFERROR(__xludf.DUMMYFUNCTION("GOOGLETRANSLATE(B18836,""en"",""fr"")"),"Nous voyons l'homme jouer les Maracas alors qu'une dame danse à proximité de l'homme s'arrête et la dame se détourne.")</f>
        <v>Nous voyons l'homme jouer les Maracas alors qu'une dame danse à proximité de l'homme s'arrête et la dame se détourne.</v>
      </c>
    </row>
    <row r="18837">
      <c r="A18837" s="4" t="s">
        <v>23697</v>
      </c>
      <c r="B18837" s="4" t="s">
        <v>23698</v>
      </c>
      <c r="C18837" s="5" t="str">
        <f>IFERROR(__xludf.DUMMYFUNCTION("GOOGLETRANSLATE(B18837,""en"",""fr"")"),"Il y a un jeune garçon vêtu d'une chemise noire et d'un short noir dans un terrain jouant avec un bâton de hockey.")</f>
        <v>Il y a un jeune garçon vêtu d'une chemise noire et d'un short noir dans un terrain jouant avec un bâton de hockey.</v>
      </c>
    </row>
    <row r="18838">
      <c r="A18838" s="4" t="s">
        <v>23697</v>
      </c>
      <c r="B18838" s="4" t="s">
        <v>23699</v>
      </c>
      <c r="C18838" s="5" t="str">
        <f>IFERROR(__xludf.DUMMYFUNCTION("GOOGLETRANSLATE(B18838,""en"",""fr"")"),"Il frappe le ballon dans le but avec son bâton.")</f>
        <v>Il frappe le ballon dans le but avec son bâton.</v>
      </c>
    </row>
    <row r="18839">
      <c r="A18839" s="4" t="s">
        <v>23697</v>
      </c>
      <c r="B18839" s="4" t="s">
        <v>23700</v>
      </c>
      <c r="C18839" s="5" t="str">
        <f>IFERROR(__xludf.DUMMYFUNCTION("GOOGLETRANSLATE(B18839,""en"",""fr"")"),"Il balance le bâton quand une autre personne lui lance le ballon et le vise vers le but.")</f>
        <v>Il balance le bâton quand une autre personne lui lance le ballon et le vise vers le but.</v>
      </c>
    </row>
    <row r="18840">
      <c r="A18840" s="4" t="s">
        <v>23701</v>
      </c>
      <c r="B18840" s="4" t="s">
        <v>23702</v>
      </c>
      <c r="C18840" s="5" t="str">
        <f>IFERROR(__xludf.DUMMYFUNCTION("GOOGLETRANSLATE(B18840,""en"",""fr"")"),"L'homme montre comment il joue de la guitare.")</f>
        <v>L'homme montre comment il joue de la guitare.</v>
      </c>
    </row>
    <row r="18841">
      <c r="A18841" s="4" t="s">
        <v>23701</v>
      </c>
      <c r="B18841" s="4" t="s">
        <v>23703</v>
      </c>
      <c r="C18841" s="5" t="str">
        <f>IFERROR(__xludf.DUMMYFUNCTION("GOOGLETRANSLATE(B18841,""en"",""fr"")"),"Puis il nous montre comment il joue de la flûte.")</f>
        <v>Puis il nous montre comment il joue de la flûte.</v>
      </c>
    </row>
    <row r="18842">
      <c r="A18842" s="4" t="s">
        <v>23704</v>
      </c>
      <c r="B18842" s="4" t="s">
        <v>23705</v>
      </c>
      <c r="C18842" s="5" t="str">
        <f>IFERROR(__xludf.DUMMYFUNCTION("GOOGLETRANSLATE(B18842,""en"",""fr"")"),"Une femme et un homme effectue des poignées de remise en forme cardiovasculaire d'une machine pendant la course.")</f>
        <v>Une femme et un homme effectue des poignées de remise en forme cardiovasculaire d'une machine pendant la course.</v>
      </c>
    </row>
    <row r="18843">
      <c r="A18843" s="4" t="s">
        <v>23704</v>
      </c>
      <c r="B18843" s="4" t="s">
        <v>23706</v>
      </c>
      <c r="C18843" s="5" t="str">
        <f>IFERROR(__xludf.DUMMYFUNCTION("GOOGLETRANSLATE(B18843,""en"",""fr"")"),"Une personne ajuste l'angle de la pédale et continue de fonctionner.")</f>
        <v>Une personne ajuste l'angle de la pédale et continue de fonctionner.</v>
      </c>
    </row>
    <row r="18844">
      <c r="A18844" s="4" t="s">
        <v>23704</v>
      </c>
      <c r="B18844" s="6" t="s">
        <v>23707</v>
      </c>
      <c r="C18844" s="5" t="str">
        <f>IFERROR(__xludf.DUMMYFUNCTION("GOOGLETRANSLATE(B18844,""en"",""fr"")"),"L'écran de la machine affiche des informations pertinentes et montre la prise d'entrée audio de la machine et le profil musculaire pendant que l'homme et la femme continuent de faire de l'exercice.")</f>
        <v>L'écran de la machine affiche des informations pertinentes et montre la prise d'entrée audio de la machine et le profil musculaire pendant que l'homme et la femme continuent de faire de l'exercice.</v>
      </c>
    </row>
    <row r="18845">
      <c r="A18845" s="4" t="s">
        <v>23708</v>
      </c>
      <c r="B18845" s="4" t="s">
        <v>23709</v>
      </c>
      <c r="C18845" s="5" t="str">
        <f>IFERROR(__xludf.DUMMYFUNCTION("GOOGLETRANSLATE(B18845,""en"",""fr"")"),"Une femme se penche sur un garçon, tamponnant son visage avec une substance.")</f>
        <v>Une femme se penche sur un garçon, tamponnant son visage avec une substance.</v>
      </c>
    </row>
    <row r="18846">
      <c r="A18846" s="4" t="s">
        <v>23708</v>
      </c>
      <c r="B18846" s="4" t="s">
        <v>23710</v>
      </c>
      <c r="C18846" s="5" t="str">
        <f>IFERROR(__xludf.DUMMYFUNCTION("GOOGLETRANSLATE(B18846,""en"",""fr"")"),"Il rit et lutte alors qu'elle continue.")</f>
        <v>Il rit et lutte alors qu'elle continue.</v>
      </c>
    </row>
    <row r="18847">
      <c r="A18847" s="4" t="s">
        <v>23708</v>
      </c>
      <c r="B18847" s="4" t="s">
        <v>23711</v>
      </c>
      <c r="C18847" s="5" t="str">
        <f>IFERROR(__xludf.DUMMYFUNCTION("GOOGLETRANSLATE(B18847,""en"",""fr"")"),"Il l'attrape par les cheveux, mangeant le morceau de nourriture qu'elle avait frotté sur lui.")</f>
        <v>Il l'attrape par les cheveux, mangeant le morceau de nourriture qu'elle avait frotté sur lui.</v>
      </c>
    </row>
    <row r="18848">
      <c r="A18848" s="4" t="s">
        <v>23712</v>
      </c>
      <c r="B18848" s="4" t="s">
        <v>23713</v>
      </c>
      <c r="C18848" s="5" t="str">
        <f>IFERROR(__xludf.DUMMYFUNCTION("GOOGLETRANSLATE(B18848,""en"",""fr"")"),"Il y a un vieil homme qui fait du tai-chi sur un trottoir pendant que les piétons passent.")</f>
        <v>Il y a un vieil homme qui fait du tai-chi sur un trottoir pendant que les piétons passent.</v>
      </c>
    </row>
    <row r="18849">
      <c r="A18849" s="4" t="s">
        <v>23712</v>
      </c>
      <c r="B18849" s="4" t="s">
        <v>23714</v>
      </c>
      <c r="C18849" s="5" t="str">
        <f>IFERROR(__xludf.DUMMYFUNCTION("GOOGLETRANSLATE(B18849,""en"",""fr"")"),"L'homme continue de faire du tai-chi sur le trottoir alors que plusieurs personnes passent près de lui.")</f>
        <v>L'homme continue de faire du tai-chi sur le trottoir alors que plusieurs personnes passent près de lui.</v>
      </c>
    </row>
    <row r="18850">
      <c r="A18850" s="4" t="s">
        <v>23712</v>
      </c>
      <c r="B18850" s="6" t="s">
        <v>23715</v>
      </c>
      <c r="C18850" s="5" t="str">
        <f>IFERROR(__xludf.DUMMYFUNCTION("GOOGLETRANSLATE(B18850,""en"",""fr"")"),"Il se tient ensuite à côté de certains arbustes bien élagués et continue son exercice en plein air pendant qu'il pleut fortement.")</f>
        <v>Il se tient ensuite à côté de certains arbustes bien élagués et continue son exercice en plein air pendant qu'il pleut fortement.</v>
      </c>
    </row>
    <row r="18851">
      <c r="A18851" s="4" t="s">
        <v>23712</v>
      </c>
      <c r="B18851" s="4" t="s">
        <v>23716</v>
      </c>
      <c r="C18851" s="5" t="str">
        <f>IFERROR(__xludf.DUMMYFUNCTION("GOOGLETRANSLATE(B18851,""en"",""fr"")"),"Il enlève ensuite sa chemise et s'éloigne après avoir fini avec son exercice de tai-chi.")</f>
        <v>Il enlève ensuite sa chemise et s'éloigne après avoir fini avec son exercice de tai-chi.</v>
      </c>
    </row>
    <row r="18852">
      <c r="A18852" s="4" t="s">
        <v>23717</v>
      </c>
      <c r="B18852" s="4" t="s">
        <v>23718</v>
      </c>
      <c r="C18852" s="5" t="str">
        <f>IFERROR(__xludf.DUMMYFUNCTION("GOOGLETRANSLATE(B18852,""en"",""fr"")"),"Un homme est vu debout devant une grande clôture tenant un tuyau de pulvérisation à la main.")</f>
        <v>Un homme est vu debout devant une grande clôture tenant un tuyau de pulvérisation à la main.</v>
      </c>
    </row>
    <row r="18853">
      <c r="A18853" s="4" t="s">
        <v>23717</v>
      </c>
      <c r="B18853" s="4" t="s">
        <v>23719</v>
      </c>
      <c r="C18853" s="5" t="str">
        <f>IFERROR(__xludf.DUMMYFUNCTION("GOOGLETRANSLATE(B18853,""en"",""fr"")"),"L'homme pulvérise la peinture tout le long du mur pendant que la caméra capture ses mouvements.")</f>
        <v>L'homme pulvérise la peinture tout le long du mur pendant que la caméra capture ses mouvements.</v>
      </c>
    </row>
    <row r="18854">
      <c r="A18854" s="4" t="s">
        <v>23717</v>
      </c>
      <c r="B18854" s="4" t="s">
        <v>23720</v>
      </c>
      <c r="C18854" s="5" t="str">
        <f>IFERROR(__xludf.DUMMYFUNCTION("GOOGLETRANSLATE(B18854,""en"",""fr"")"),"L'homme continue de vaporiser le mur pendant que la caméra le suit par derrière.")</f>
        <v>L'homme continue de vaporiser le mur pendant que la caméra le suit par derrière.</v>
      </c>
    </row>
    <row r="18855">
      <c r="A18855" s="4" t="s">
        <v>23721</v>
      </c>
      <c r="B18855" s="4" t="s">
        <v>23722</v>
      </c>
      <c r="C18855" s="5" t="str">
        <f>IFERROR(__xludf.DUMMYFUNCTION("GOOGLETRANSLATE(B18855,""en"",""fr"")"),"Une fille en robe blanche frappe une pinata avec une batte.")</f>
        <v>Une fille en robe blanche frappe une pinata avec une batte.</v>
      </c>
    </row>
    <row r="18856">
      <c r="A18856" s="4" t="s">
        <v>23721</v>
      </c>
      <c r="B18856" s="4" t="s">
        <v>23723</v>
      </c>
      <c r="C18856" s="5" t="str">
        <f>IFERROR(__xludf.DUMMYFUNCTION("GOOGLETRANSLATE(B18856,""en"",""fr"")"),"Un homme se tient derrière elle en regardant.")</f>
        <v>Un homme se tient derrière elle en regardant.</v>
      </c>
    </row>
    <row r="18857">
      <c r="A18857" s="4" t="s">
        <v>23721</v>
      </c>
      <c r="B18857" s="4" t="s">
        <v>23724</v>
      </c>
      <c r="C18857" s="5" t="str">
        <f>IFERROR(__xludf.DUMMYFUNCTION("GOOGLETRANSLATE(B18857,""en"",""fr"")"),"Deux filles se tenaient près de la maison.")</f>
        <v>Deux filles se tenaient près de la maison.</v>
      </c>
    </row>
    <row r="18858">
      <c r="A18858" s="4" t="s">
        <v>23725</v>
      </c>
      <c r="B18858" s="4" t="s">
        <v>6939</v>
      </c>
      <c r="C18858" s="5" t="str">
        <f>IFERROR(__xludf.DUMMYFUNCTION("GOOGLETRANSLATE(B18858,""en"",""fr"")"),"Les gens dansent sur une piste de danse lors d'un mariage.")</f>
        <v>Les gens dansent sur une piste de danse lors d'un mariage.</v>
      </c>
    </row>
    <row r="18859">
      <c r="A18859" s="4" t="s">
        <v>23725</v>
      </c>
      <c r="B18859" s="4" t="s">
        <v>23726</v>
      </c>
      <c r="C18859" s="5" t="str">
        <f>IFERROR(__xludf.DUMMYFUNCTION("GOOGLETRANSLATE(B18859,""en"",""fr"")"),"Il est sombre dans la pièce et les lumières colorées s'allument.")</f>
        <v>Il est sombre dans la pièce et les lumières colorées s'allument.</v>
      </c>
    </row>
    <row r="18860">
      <c r="A18860" s="4" t="s">
        <v>23725</v>
      </c>
      <c r="B18860" s="4" t="s">
        <v>23727</v>
      </c>
      <c r="C18860" s="5" t="str">
        <f>IFERROR(__xludf.DUMMYFUNCTION("GOOGLETRANSLATE(B18860,""en"",""fr"")"),"Les gens continuent de danser sur la piste de danse.")</f>
        <v>Les gens continuent de danser sur la piste de danse.</v>
      </c>
    </row>
    <row r="18861">
      <c r="A18861" s="4" t="s">
        <v>23728</v>
      </c>
      <c r="B18861" s="4" t="s">
        <v>23729</v>
      </c>
      <c r="C18861" s="5" t="str">
        <f>IFERROR(__xludf.DUMMYFUNCTION("GOOGLETRANSLATE(B18861,""en"",""fr"")"),"Un petit arbre de Noël blanc de taille moyenne se tient devant deux portes vertes.")</f>
        <v>Un petit arbre de Noël blanc de taille moyenne se tient devant deux portes vertes.</v>
      </c>
    </row>
    <row r="18862">
      <c r="A18862" s="4" t="s">
        <v>23728</v>
      </c>
      <c r="B18862" s="4" t="s">
        <v>23730</v>
      </c>
      <c r="C18862" s="5" t="str">
        <f>IFERROR(__xludf.DUMMYFUNCTION("GOOGLETRANSLATE(B18862,""en"",""fr"")"),"Une dame porte un sac qui a un ""troupeau Sno-Bond # 1"" écrit dessus.")</f>
        <v>Une dame porte un sac qui a un "troupeau Sno-Bond # 1" écrit dessus.</v>
      </c>
    </row>
    <row r="18863">
      <c r="A18863" s="4" t="s">
        <v>23728</v>
      </c>
      <c r="B18863" s="4" t="s">
        <v>23731</v>
      </c>
      <c r="C18863" s="5" t="str">
        <f>IFERROR(__xludf.DUMMYFUNCTION("GOOGLETRANSLATE(B18863,""en"",""fr"")"),"La dame a mis le troupeau Sno-Bond dans une passoire et saisir un flacon pulvérisateur d'eau.")</f>
        <v>La dame a mis le troupeau Sno-Bond dans une passoire et saisir un flacon pulvérisateur d'eau.</v>
      </c>
    </row>
    <row r="18864">
      <c r="A18864" s="4" t="s">
        <v>23728</v>
      </c>
      <c r="B18864" s="4" t="s">
        <v>23732</v>
      </c>
      <c r="C18864" s="5" t="str">
        <f>IFERROR(__xludf.DUMMYFUNCTION("GOOGLETRANSLATE(B18864,""en"",""fr"")"),"Elle a commencé à tamiser les trucs blancs sur l'arbre.")</f>
        <v>Elle a commencé à tamiser les trucs blancs sur l'arbre.</v>
      </c>
    </row>
    <row r="18865">
      <c r="A18865" s="4" t="s">
        <v>23728</v>
      </c>
      <c r="B18865" s="4" t="s">
        <v>23733</v>
      </c>
      <c r="C18865" s="5" t="str">
        <f>IFERROR(__xludf.DUMMYFUNCTION("GOOGLETRANSLATE(B18865,""en"",""fr"")"),"Après avoir tamisé, elle vaporise la poussière vers l'arbre.")</f>
        <v>Après avoir tamisé, elle vaporise la poussière vers l'arbre.</v>
      </c>
    </row>
    <row r="18866">
      <c r="A18866" s="4" t="s">
        <v>23734</v>
      </c>
      <c r="B18866" s="4" t="s">
        <v>23735</v>
      </c>
      <c r="C18866" s="5" t="str">
        <f>IFERROR(__xludf.DUMMYFUNCTION("GOOGLETRANSLATE(B18866,""en"",""fr"")"),"Un homme polir le sol avec un tampon bleu.")</f>
        <v>Un homme polir le sol avec un tampon bleu.</v>
      </c>
    </row>
    <row r="18867">
      <c r="A18867" s="4" t="s">
        <v>23734</v>
      </c>
      <c r="B18867" s="4" t="s">
        <v>23736</v>
      </c>
      <c r="C18867" s="5" t="str">
        <f>IFERROR(__xludf.DUMMYFUNCTION("GOOGLETRANSLATE(B18867,""en"",""fr"")"),"Un autre homme se tient à côté de lui en regardant.")</f>
        <v>Un autre homme se tient à côté de lui en regardant.</v>
      </c>
    </row>
    <row r="18868">
      <c r="A18868" s="4" t="s">
        <v>23734</v>
      </c>
      <c r="B18868" s="4" t="s">
        <v>23737</v>
      </c>
      <c r="C18868" s="5" t="str">
        <f>IFERROR(__xludf.DUMMYFUNCTION("GOOGLETRANSLATE(B18868,""en"",""fr"")"),"Il passe par-dessus la tuile avec le tampon.")</f>
        <v>Il passe par-dessus la tuile avec le tampon.</v>
      </c>
    </row>
    <row r="18869">
      <c r="A18869" s="4" t="s">
        <v>23738</v>
      </c>
      <c r="B18869" s="4" t="s">
        <v>23739</v>
      </c>
      <c r="C18869" s="5" t="str">
        <f>IFERROR(__xludf.DUMMYFUNCTION("GOOGLETRANSLATE(B18869,""en"",""fr"")"),"Deux hommes sont vus assis dans un canoë en mouvement bas, puis pensent un peu le canoë avec une pagaie.")</f>
        <v>Deux hommes sont vus assis dans un canoë en mouvement bas, puis pensent un peu le canoë avec une pagaie.</v>
      </c>
    </row>
    <row r="18870">
      <c r="A18870" s="4" t="s">
        <v>23738</v>
      </c>
      <c r="B18870" s="4" t="s">
        <v>23740</v>
      </c>
      <c r="C18870" s="5" t="str">
        <f>IFERROR(__xludf.DUMMYFUNCTION("GOOGLETRANSLATE(B18870,""en"",""fr"")"),"Les hommes le font à plusieurs reprises suivis par des instructions et des lieux écrits dans le texte.")</f>
        <v>Les hommes le font à plusieurs reprises suivis par des instructions et des lieux écrits dans le texte.</v>
      </c>
    </row>
    <row r="18871">
      <c r="A18871" s="4" t="s">
        <v>23741</v>
      </c>
      <c r="B18871" s="4" t="s">
        <v>23742</v>
      </c>
      <c r="C18871" s="5" t="str">
        <f>IFERROR(__xludf.DUMMYFUNCTION("GOOGLETRANSLATE(B18871,""en"",""fr"")"),"Quelqu'un monte un cheval sur un champ herbeux et vient sur d'autres personnes à cheval.")</f>
        <v>Quelqu'un monte un cheval sur un champ herbeux et vient sur d'autres personnes à cheval.</v>
      </c>
    </row>
    <row r="18872">
      <c r="A18872" s="4" t="s">
        <v>23741</v>
      </c>
      <c r="B18872" s="6" t="s">
        <v>23743</v>
      </c>
      <c r="C18872" s="5" t="str">
        <f>IFERROR(__xludf.DUMMYFUNCTION("GOOGLETRANSLATE(B18872,""en"",""fr"")"),"Nous voyons bientôt que les coureurs font partie d'un groupe, et nous suivons le groupe à travers un parking et dans un ruisseau.")</f>
        <v>Nous voyons bientôt que les coureurs font partie d'un groupe, et nous suivons le groupe à travers un parking et dans un ruisseau.</v>
      </c>
    </row>
    <row r="18873">
      <c r="A18873" s="4" t="s">
        <v>23741</v>
      </c>
      <c r="B18873" s="4" t="s">
        <v>23744</v>
      </c>
      <c r="C18873" s="5" t="str">
        <f>IFERROR(__xludf.DUMMYFUNCTION("GOOGLETRANSLATE(B18873,""en"",""fr"")"),"Les acclamations de fête sont entendues alors que le groupe aime rouler à travers le ruisseau.")</f>
        <v>Les acclamations de fête sont entendues alors que le groupe aime rouler à travers le ruisseau.</v>
      </c>
    </row>
    <row r="18874">
      <c r="A18874" s="4" t="s">
        <v>23741</v>
      </c>
      <c r="B18874" s="4" t="s">
        <v>23745</v>
      </c>
      <c r="C18874" s="5" t="str">
        <f>IFERROR(__xludf.DUMMYFUNCTION("GOOGLETRANSLATE(B18874,""en"",""fr"")"),"Ensuite, nous voyons quelques coureurs, l'un d'eux se lançant debout dans sa selle.")</f>
        <v>Ensuite, nous voyons quelques coureurs, l'un d'eux se lançant debout dans sa selle.</v>
      </c>
    </row>
    <row r="18875">
      <c r="A18875" s="4" t="s">
        <v>23746</v>
      </c>
      <c r="B18875" s="4" t="s">
        <v>23747</v>
      </c>
      <c r="C18875" s="5" t="str">
        <f>IFERROR(__xludf.DUMMYFUNCTION("GOOGLETRANSLATE(B18875,""en"",""fr"")"),"Deux gars qui commencent un match de lutte au bras, le gars de la chemise arrière remporte le premier match.")</f>
        <v>Deux gars qui commencent un match de lutte au bras, le gars de la chemise arrière remporte le premier match.</v>
      </c>
    </row>
    <row r="18876">
      <c r="A18876" s="4" t="s">
        <v>23746</v>
      </c>
      <c r="B18876" s="4" t="s">
        <v>23748</v>
      </c>
      <c r="C18876" s="5" t="str">
        <f>IFERROR(__xludf.DUMMYFUNCTION("GOOGLETRANSLATE(B18876,""en"",""fr"")"),"Les hommes ont changé de mains et démarre un nouveau match.")</f>
        <v>Les hommes ont changé de mains et démarre un nouveau match.</v>
      </c>
    </row>
    <row r="18877">
      <c r="A18877" s="4" t="s">
        <v>23746</v>
      </c>
      <c r="B18877" s="4" t="s">
        <v>23749</v>
      </c>
      <c r="C18877" s="5" t="str">
        <f>IFERROR(__xludf.DUMMYFUNCTION("GOOGLETRANSLATE(B18877,""en"",""fr"")"),"Le match enfin a été remporté par le même gars avec la chemise arrière.")</f>
        <v>Le match enfin a été remporté par le même gars avec la chemise arrière.</v>
      </c>
    </row>
    <row r="18878">
      <c r="A18878" s="4" t="s">
        <v>23750</v>
      </c>
      <c r="B18878" s="4" t="s">
        <v>23751</v>
      </c>
      <c r="C18878" s="5" t="str">
        <f>IFERROR(__xludf.DUMMYFUNCTION("GOOGLETRANSLATE(B18878,""en"",""fr"")"),"Un gros plan d'un piano est vu suivi par une personne entrant dans le cadre.")</f>
        <v>Un gros plan d'un piano est vu suivi par une personne entrant dans le cadre.</v>
      </c>
    </row>
    <row r="18879">
      <c r="A18879" s="4" t="s">
        <v>23750</v>
      </c>
      <c r="B18879" s="4" t="s">
        <v>23752</v>
      </c>
      <c r="C18879" s="5" t="str">
        <f>IFERROR(__xludf.DUMMYFUNCTION("GOOGLETRANSLATE(B18879,""en"",""fr"")"),"La personne étire alors ses ongles et commence à jouer du piano.")</f>
        <v>La personne étire alors ses ongles et commence à jouer du piano.</v>
      </c>
    </row>
    <row r="18880">
      <c r="A18880" s="4" t="s">
        <v>23750</v>
      </c>
      <c r="B18880" s="4" t="s">
        <v>23753</v>
      </c>
      <c r="C18880" s="5" t="str">
        <f>IFERROR(__xludf.DUMMYFUNCTION("GOOGLETRANSLATE(B18880,""en"",""fr"")"),"La personne continue de jouer sur l'instrument et s'arrête pour éteindre la caméra.")</f>
        <v>La personne continue de jouer sur l'instrument et s'arrête pour éteindre la caméra.</v>
      </c>
    </row>
    <row r="18881">
      <c r="A18881" s="4" t="s">
        <v>23754</v>
      </c>
      <c r="B18881" s="4" t="s">
        <v>23755</v>
      </c>
      <c r="C18881" s="5" t="str">
        <f>IFERROR(__xludf.DUMMYFUNCTION("GOOGLETRANSLATE(B18881,""en"",""fr"")"),"Les hommes montent sur les chevaux jouent au polo sur le terrain.")</f>
        <v>Les hommes montent sur les chevaux jouent au polo sur le terrain.</v>
      </c>
    </row>
    <row r="18882">
      <c r="A18882" s="4" t="s">
        <v>23754</v>
      </c>
      <c r="B18882" s="4" t="s">
        <v>23756</v>
      </c>
      <c r="C18882" s="5" t="str">
        <f>IFERROR(__xludf.DUMMYFUNCTION("GOOGLETRANSLATE(B18882,""en"",""fr"")"),"Les hommes poursuivent le ballon et frappent avec Mallet.")</f>
        <v>Les hommes poursuivent le ballon et frappent avec Mallet.</v>
      </c>
    </row>
    <row r="18883">
      <c r="A18883" s="4" t="s">
        <v>23754</v>
      </c>
      <c r="B18883" s="4" t="s">
        <v>23757</v>
      </c>
      <c r="C18883" s="5" t="str">
        <f>IFERROR(__xludf.DUMMYFUNCTION("GOOGLETRANSLATE(B18883,""en"",""fr"")"),"Un joueur a frappé le ballon puis a couru après, derrière lui, d'autres joueurs sont d'autres joueurs.")</f>
        <v>Un joueur a frappé le ballon puis a couru après, derrière lui, d'autres joueurs sont d'autres joueurs.</v>
      </c>
    </row>
    <row r="18884">
      <c r="A18884" s="4" t="s">
        <v>23758</v>
      </c>
      <c r="B18884" s="4" t="s">
        <v>23759</v>
      </c>
      <c r="C18884" s="5" t="str">
        <f>IFERROR(__xludf.DUMMYFUNCTION("GOOGLETRANSLATE(B18884,""en"",""fr"")"),"Une foule de gens regarde deux taureaux se battre dans une compétition.")</f>
        <v>Une foule de gens regarde deux taureaux se battre dans une compétition.</v>
      </c>
    </row>
    <row r="18885">
      <c r="A18885" s="4" t="s">
        <v>23758</v>
      </c>
      <c r="B18885" s="4" t="s">
        <v>23760</v>
      </c>
      <c r="C18885" s="5" t="str">
        <f>IFERROR(__xludf.DUMMYFUNCTION("GOOGLETRANSLATE(B18885,""en"",""fr"")"),"La caméra se déroule pour montrer à beaucoup de gens dans la foule à regarder l'émission.")</f>
        <v>La caméra se déroule pour montrer à beaucoup de gens dans la foule à regarder l'émission.</v>
      </c>
    </row>
    <row r="18886">
      <c r="A18886" s="4" t="s">
        <v>23758</v>
      </c>
      <c r="B18886" s="4" t="s">
        <v>23761</v>
      </c>
      <c r="C18886" s="5" t="str">
        <f>IFERROR(__xludf.DUMMYFUNCTION("GOOGLETRANSLATE(B18886,""en"",""fr"")"),"Un homme passe près de la caméra.")</f>
        <v>Un homme passe près de la caméra.</v>
      </c>
    </row>
    <row r="18887">
      <c r="A18887" s="4" t="s">
        <v>23758</v>
      </c>
      <c r="B18887" s="4" t="s">
        <v>23762</v>
      </c>
      <c r="C18887" s="5" t="str">
        <f>IFERROR(__xludf.DUMMYFUNCTION("GOOGLETRANSLATE(B18887,""en"",""fr"")"),"Plusieurs personnes se rapprochent du taureau essayant d'attraper l'action.")</f>
        <v>Plusieurs personnes se rapprochent du taureau essayant d'attraper l'action.</v>
      </c>
    </row>
    <row r="18888">
      <c r="A18888" s="4" t="s">
        <v>23758</v>
      </c>
      <c r="B18888" s="4" t="s">
        <v>23763</v>
      </c>
      <c r="C18888" s="5" t="str">
        <f>IFERROR(__xludf.DUMMYFUNCTION("GOOGLETRANSLATE(B18888,""en"",""fr"")"),"Les taureaux commencent à se poursuivre sur le terrain.")</f>
        <v>Les taureaux commencent à se poursuivre sur le terrain.</v>
      </c>
    </row>
    <row r="18889">
      <c r="A18889" s="4" t="s">
        <v>23764</v>
      </c>
      <c r="B18889" s="6" t="s">
        <v>23765</v>
      </c>
      <c r="C18889" s="5" t="str">
        <f>IFERROR(__xludf.DUMMYFUNCTION("GOOGLETRANSLATE(B18889,""en"",""fr"")"),"Plusieurs plans sont montrés de personnes errant sur une plage qui mène à des clips d'un match de football et à des gens qui célébraient.")</f>
        <v>Plusieurs plans sont montrés de personnes errant sur une plage qui mène à des clips d'un match de football et à des gens qui célébraient.</v>
      </c>
    </row>
    <row r="18890">
      <c r="A18890" s="4" t="s">
        <v>23764</v>
      </c>
      <c r="B18890" s="4" t="s">
        <v>23766</v>
      </c>
      <c r="C18890" s="5" t="str">
        <f>IFERROR(__xludf.DUMMYFUNCTION("GOOGLETRANSLATE(B18890,""en"",""fr"")"),"Plus de gens sont vus danser ainsi que jouer au football et faire un geste vers la caméra.")</f>
        <v>Plus de gens sont vus danser ainsi que jouer au football et faire un geste vers la caméra.</v>
      </c>
    </row>
    <row r="18891">
      <c r="A18891" s="4" t="s">
        <v>23767</v>
      </c>
      <c r="B18891" s="4" t="s">
        <v>23768</v>
      </c>
      <c r="C18891" s="5" t="str">
        <f>IFERROR(__xludf.DUMMYFUNCTION("GOOGLETRANSLATE(B18891,""en"",""fr"")"),"Un chien qui manque ses pattes avant traverse une pelouse.")</f>
        <v>Un chien qui manque ses pattes avant traverse une pelouse.</v>
      </c>
    </row>
    <row r="18892">
      <c r="A18892" s="4" t="s">
        <v>23767</v>
      </c>
      <c r="B18892" s="4" t="s">
        <v>23769</v>
      </c>
      <c r="C18892" s="5" t="str">
        <f>IFERROR(__xludf.DUMMYFUNCTION("GOOGLETRANSLATE(B18892,""en"",""fr"")"),"Il suit l'homme de la caméra, puis se dirige vers une course à sauter.")</f>
        <v>Il suit l'homme de la caméra, puis se dirige vers une course à sauter.</v>
      </c>
    </row>
    <row r="18893">
      <c r="A18893" s="4" t="s">
        <v>23767</v>
      </c>
      <c r="B18893" s="4" t="s">
        <v>23770</v>
      </c>
      <c r="C18893" s="5" t="str">
        <f>IFERROR(__xludf.DUMMYFUNCTION("GOOGLETRANSLATE(B18893,""en"",""fr"")"),"Il revient et recommence.")</f>
        <v>Il revient et recommence.</v>
      </c>
    </row>
    <row r="18894">
      <c r="A18894" s="4" t="s">
        <v>23771</v>
      </c>
      <c r="B18894" s="4" t="s">
        <v>23772</v>
      </c>
      <c r="C18894" s="5" t="str">
        <f>IFERROR(__xludf.DUMMYFUNCTION("GOOGLETRANSLATE(B18894,""en"",""fr"")"),"Un homme par temps froid est un kayak sur une rivière.")</f>
        <v>Un homme par temps froid est un kayak sur une rivière.</v>
      </c>
    </row>
    <row r="18895">
      <c r="A18895" s="4" t="s">
        <v>23771</v>
      </c>
      <c r="B18895" s="4" t="s">
        <v>23773</v>
      </c>
      <c r="C18895" s="5" t="str">
        <f>IFERROR(__xludf.DUMMYFUNCTION("GOOGLETRANSLATE(B18895,""en"",""fr"")"),"Le tir se déroule pour montrer plusieurs kayaks, et l'homme est resté sur une petite cascade.")</f>
        <v>Le tir se déroule pour montrer plusieurs kayaks, et l'homme est resté sur une petite cascade.</v>
      </c>
    </row>
    <row r="18896">
      <c r="A18896" s="4" t="s">
        <v>23771</v>
      </c>
      <c r="B18896" s="4" t="s">
        <v>23774</v>
      </c>
      <c r="C18896" s="5" t="str">
        <f>IFERROR(__xludf.DUMMYFUNCTION("GOOGLETRANSLATE(B18896,""en"",""fr"")"),"Il se décolle finalement, s'éloignant des chutes.")</f>
        <v>Il se décolle finalement, s'éloignant des chutes.</v>
      </c>
    </row>
    <row r="18897">
      <c r="A18897" s="4" t="s">
        <v>23775</v>
      </c>
      <c r="B18897" s="4" t="s">
        <v>23776</v>
      </c>
      <c r="C18897" s="5" t="str">
        <f>IFERROR(__xludf.DUMMYFUNCTION("GOOGLETRANSLATE(B18897,""en"",""fr"")"),"Un chien renifle les pieds d'un homme et d'une femme.")</f>
        <v>Un chien renifle les pieds d'un homme et d'une femme.</v>
      </c>
    </row>
    <row r="18898">
      <c r="A18898" s="4" t="s">
        <v>23775</v>
      </c>
      <c r="B18898" s="4" t="s">
        <v>23777</v>
      </c>
      <c r="C18898" s="5" t="str">
        <f>IFERROR(__xludf.DUMMYFUNCTION("GOOGLETRANSLATE(B18898,""en"",""fr"")"),"Le couple marche sur le chien vers un lac.")</f>
        <v>Le couple marche sur le chien vers un lac.</v>
      </c>
    </row>
    <row r="18899">
      <c r="A18899" s="4" t="s">
        <v>23775</v>
      </c>
      <c r="B18899" s="4" t="s">
        <v>23778</v>
      </c>
      <c r="C18899" s="5" t="str">
        <f>IFERROR(__xludf.DUMMYFUNCTION("GOOGLETRANSLATE(B18899,""en"",""fr"")"),"Il y a d'autres propriétaires et chiens, et ils jouent au bord de l'eau.")</f>
        <v>Il y a d'autres propriétaires et chiens, et ils jouent au bord de l'eau.</v>
      </c>
    </row>
    <row r="18900">
      <c r="A18900" s="4" t="s">
        <v>23779</v>
      </c>
      <c r="B18900" s="6" t="s">
        <v>23780</v>
      </c>
      <c r="C18900" s="5" t="str">
        <f>IFERROR(__xludf.DUMMYFUNCTION("GOOGLETRANSLATE(B18900,""en"",""fr"")"),"Une fille est vue en souriant et en agitant à la caméra suivie par elle en tenant une lentille de contact et un nettoyant.")</f>
        <v>Une fille est vue en souriant et en agitant à la caméra suivie par elle en tenant une lentille de contact et un nettoyant.</v>
      </c>
    </row>
    <row r="18901">
      <c r="A18901" s="4" t="s">
        <v>23779</v>
      </c>
      <c r="B18901" s="4" t="s">
        <v>23781</v>
      </c>
      <c r="C18901" s="5" t="str">
        <f>IFERROR(__xludf.DUMMYFUNCTION("GOOGLETRANSLATE(B18901,""en"",""fr"")"),"Elle mélange les deux ensemble, suivis en mettant la lentille de contact dans ses yeux.")</f>
        <v>Elle mélange les deux ensemble, suivis en mettant la lentille de contact dans ses yeux.</v>
      </c>
    </row>
    <row r="18902">
      <c r="A18902" s="4" t="s">
        <v>23779</v>
      </c>
      <c r="B18902" s="4" t="s">
        <v>23782</v>
      </c>
      <c r="C18902" s="5" t="str">
        <f>IFERROR(__xludf.DUMMYFUNCTION("GOOGLETRANSLATE(B18902,""en"",""fr"")"),"Elle montre enfin ses yeux à la fin et donne à la caméra un coup de pouce.")</f>
        <v>Elle montre enfin ses yeux à la fin et donne à la caméra un coup de pouce.</v>
      </c>
    </row>
    <row r="18903">
      <c r="A18903" s="4" t="s">
        <v>23783</v>
      </c>
      <c r="B18903" s="6" t="s">
        <v>23784</v>
      </c>
      <c r="C18903" s="5" t="str">
        <f>IFERROR(__xludf.DUMMYFUNCTION("GOOGLETRANSLATE(B18903,""en"",""fr"")"),"Il y a deux hommes à l'intérieur et jouant au racquetball dans un terrain intérieur alors qu'ils frappent rapidement le ballon contre le mur et se relayèrent.")</f>
        <v>Il y a deux hommes à l'intérieur et jouant au racquetball dans un terrain intérieur alors qu'ils frappent rapidement le ballon contre le mur et se relayèrent.</v>
      </c>
    </row>
    <row r="18904">
      <c r="A18904" s="4" t="s">
        <v>23783</v>
      </c>
      <c r="B18904" s="6" t="s">
        <v>23785</v>
      </c>
      <c r="C18904" s="5" t="str">
        <f>IFERROR(__xludf.DUMMYFUNCTION("GOOGLETRANSLATE(B18904,""en"",""fr"")"),"L'un des hommes portant une chemise verte regarde avec colère la caméra et jette la raquette à la caméra.")</f>
        <v>L'un des hommes portant une chemise verte regarde avec colère la caméra et jette la raquette à la caméra.</v>
      </c>
    </row>
    <row r="18905">
      <c r="A18905" s="4" t="s">
        <v>23783</v>
      </c>
      <c r="B18905" s="6" t="s">
        <v>23786</v>
      </c>
      <c r="C18905" s="5" t="str">
        <f>IFERROR(__xludf.DUMMYFUNCTION("GOOGLETRANSLATE(B18905,""en"",""fr"")"),"La personne de la caméra tourne la caméra vers lui-même et il court et rit en regardant dans la caméra.")</f>
        <v>La personne de la caméra tourne la caméra vers lui-même et il court et rit en regardant dans la caméra.</v>
      </c>
    </row>
    <row r="18906">
      <c r="A18906" s="4" t="s">
        <v>23787</v>
      </c>
      <c r="B18906" s="4" t="s">
        <v>23788</v>
      </c>
      <c r="C18906" s="5" t="str">
        <f>IFERROR(__xludf.DUMMYFUNCTION("GOOGLETRANSLATE(B18906,""en"",""fr"")"),"Divers ingrédients sont disposés sur un comptoir et sont tous mélangés dans un bol.")</f>
        <v>Divers ingrédients sont disposés sur un comptoir et sont tous mélangés dans un bol.</v>
      </c>
    </row>
    <row r="18907">
      <c r="A18907" s="4" t="s">
        <v>23787</v>
      </c>
      <c r="B18907" s="4" t="s">
        <v>23789</v>
      </c>
      <c r="C18907" s="5" t="str">
        <f>IFERROR(__xludf.DUMMYFUNCTION("GOOGLETRANSLATE(B18907,""en"",""fr"")"),"La personne est ensuite montrée en plaçant des boules de pâte dans le four et en appuyant sur un bouton.")</f>
        <v>La personne est ensuite montrée en plaçant des boules de pâte dans le four et en appuyant sur un bouton.</v>
      </c>
    </row>
    <row r="18908">
      <c r="A18908" s="4" t="s">
        <v>23787</v>
      </c>
      <c r="B18908" s="4" t="s">
        <v>23790</v>
      </c>
      <c r="C18908" s="5" t="str">
        <f>IFERROR(__xludf.DUMMYFUNCTION("GOOGLETRANSLATE(B18908,""en"",""fr"")"),"Ensuite, la personne retire ensuite les cookies et ils disparaissent, le tout dans l'animation d'arrêt.")</f>
        <v>Ensuite, la personne retire ensuite les cookies et ils disparaissent, le tout dans l'animation d'arrêt.</v>
      </c>
    </row>
    <row r="18909">
      <c r="A18909" s="4" t="s">
        <v>23791</v>
      </c>
      <c r="B18909" s="4" t="s">
        <v>23792</v>
      </c>
      <c r="C18909" s="5" t="str">
        <f>IFERROR(__xludf.DUMMYFUNCTION("GOOGLETRANSLATE(B18909,""en"",""fr"")"),"Un homme est vu parler à la caméra tandis que la photo d'une personne jouant derrière des spectacles de basket.")</f>
        <v>Un homme est vu parler à la caméra tandis que la photo d'une personne jouant derrière des spectacles de basket.</v>
      </c>
    </row>
    <row r="18910">
      <c r="A18910" s="4" t="s">
        <v>23791</v>
      </c>
      <c r="B18910" s="4" t="s">
        <v>23793</v>
      </c>
      <c r="C18910" s="5" t="str">
        <f>IFERROR(__xludf.DUMMYFUNCTION("GOOGLETRANSLATE(B18910,""en"",""fr"")"),"L'homme continue de parler alors que davantage de coups de feu sont montrés du garçon jouant au basket.")</f>
        <v>L'homme continue de parler alors que davantage de coups de feu sont montrés du garçon jouant au basket.</v>
      </c>
    </row>
    <row r="18911">
      <c r="A18911" s="4" t="s">
        <v>23791</v>
      </c>
      <c r="B18911" s="4" t="s">
        <v>23794</v>
      </c>
      <c r="C18911" s="5" t="str">
        <f>IFERROR(__xludf.DUMMYFUNCTION("GOOGLETRANSLATE(B18911,""en"",""fr"")"),"L'homme continue de parler et se termine par du texte à travers l'écran.")</f>
        <v>L'homme continue de parler et se termine par du texte à travers l'écran.</v>
      </c>
    </row>
    <row r="18912">
      <c r="A18912" s="4" t="s">
        <v>23795</v>
      </c>
      <c r="B18912" s="4" t="s">
        <v>23796</v>
      </c>
      <c r="C18912" s="5" t="str">
        <f>IFERROR(__xludf.DUMMYFUNCTION("GOOGLETRANSLATE(B18912,""en"",""fr"")"),"Un nageur professionnel essuie les yeux avant de participer à la compétition.")</f>
        <v>Un nageur professionnel essuie les yeux avant de participer à la compétition.</v>
      </c>
    </row>
    <row r="18913">
      <c r="A18913" s="4" t="s">
        <v>23795</v>
      </c>
      <c r="B18913" s="4" t="s">
        <v>23797</v>
      </c>
      <c r="C18913" s="5" t="str">
        <f>IFERROR(__xludf.DUMMYFUNCTION("GOOGLETRANSLATE(B18913,""en"",""fr"")"),"Il décolle, nageant alors qu'il essaie de battre les deux concurrents de chaque côté de lui.")</f>
        <v>Il décolle, nageant alors qu'il essaie de battre les deux concurrents de chaque côté de lui.</v>
      </c>
    </row>
    <row r="18914">
      <c r="A18914" s="4" t="s">
        <v>23798</v>
      </c>
      <c r="B18914" s="4" t="s">
        <v>23799</v>
      </c>
      <c r="C18914" s="5" t="str">
        <f>IFERROR(__xludf.DUMMYFUNCTION("GOOGLETRANSLATE(B18914,""en"",""fr"")"),"Une gymnaste se prépare et s'étend avant un événement.")</f>
        <v>Une gymnaste se prépare et s'étend avant un événement.</v>
      </c>
    </row>
    <row r="18915">
      <c r="A18915" s="4" t="s">
        <v>23798</v>
      </c>
      <c r="B18915" s="6" t="s">
        <v>23800</v>
      </c>
      <c r="C18915" s="5" t="str">
        <f>IFERROR(__xludf.DUMMYFUNCTION("GOOGLETRANSLATE(B18915,""en"",""fr"")"),"Le gymnaste court ensuite sur une plate-forme lors d'un match olympique qui atterrit enfin sur un tapis rembourré.")</f>
        <v>Le gymnaste court ensuite sur une plate-forme lors d'un match olympique qui atterrit enfin sur un tapis rembourré.</v>
      </c>
    </row>
    <row r="18916">
      <c r="A18916" s="4" t="s">
        <v>23798</v>
      </c>
      <c r="B18916" s="4" t="s">
        <v>23801</v>
      </c>
      <c r="C18916" s="5" t="str">
        <f>IFERROR(__xludf.DUMMYFUNCTION("GOOGLETRANSLATE(B18916,""en"",""fr"")"),"Une grande foule applaudit la performance.")</f>
        <v>Une grande foule applaudit la performance.</v>
      </c>
    </row>
    <row r="18917">
      <c r="A18917" s="4" t="s">
        <v>23798</v>
      </c>
      <c r="B18917" s="4" t="s">
        <v>23802</v>
      </c>
      <c r="C18917" s="5" t="str">
        <f>IFERROR(__xludf.DUMMYFUNCTION("GOOGLETRANSLATE(B18917,""en"",""fr"")"),"D'autres gymnastes regardent et acquiescent avec l'approbation.")</f>
        <v>D'autres gymnastes regardent et acquiescent avec l'approbation.</v>
      </c>
    </row>
    <row r="18918">
      <c r="A18918" s="4" t="s">
        <v>23798</v>
      </c>
      <c r="B18918" s="4" t="s">
        <v>23803</v>
      </c>
      <c r="C18918" s="5" t="str">
        <f>IFERROR(__xludf.DUMMYFUNCTION("GOOGLETRANSLATE(B18918,""en"",""fr"")"),"Une rediffusion montre les performances des gymnastes au ralenti.")</f>
        <v>Une rediffusion montre les performances des gymnastes au ralenti.</v>
      </c>
    </row>
    <row r="18919">
      <c r="A18919" s="4" t="s">
        <v>23798</v>
      </c>
      <c r="B18919" s="4" t="s">
        <v>23804</v>
      </c>
      <c r="C18919" s="5" t="str">
        <f>IFERROR(__xludf.DUMMYFUNCTION("GOOGLETRANSLATE(B18919,""en"",""fr"")"),"La gymnaste s'assoit avec son entraîneur et est félicitée.")</f>
        <v>La gymnaste s'assoit avec son entraîneur et est félicitée.</v>
      </c>
    </row>
    <row r="18920">
      <c r="A18920" s="4" t="s">
        <v>23805</v>
      </c>
      <c r="B18920" s="4" t="s">
        <v>23806</v>
      </c>
      <c r="C18920" s="5" t="str">
        <f>IFERROR(__xludf.DUMMYFUNCTION("GOOGLETRANSLATE(B18920,""en"",""fr"")"),"Un gros plan d'un cheval est vu debout dans une zone clôturée.")</f>
        <v>Un gros plan d'un cheval est vu debout dans une zone clôturée.</v>
      </c>
    </row>
    <row r="18921">
      <c r="A18921" s="4" t="s">
        <v>23805</v>
      </c>
      <c r="B18921" s="4" t="s">
        <v>23807</v>
      </c>
      <c r="C18921" s="5" t="str">
        <f>IFERROR(__xludf.DUMMYFUNCTION("GOOGLETRANSLATE(B18921,""en"",""fr"")"),"Une personne est ensuite vue en brossant le cheval de côté.")</f>
        <v>Une personne est ensuite vue en brossant le cheval de côté.</v>
      </c>
    </row>
    <row r="18922">
      <c r="A18922" s="4" t="s">
        <v>23805</v>
      </c>
      <c r="B18922" s="4" t="s">
        <v>23808</v>
      </c>
      <c r="C18922" s="5" t="str">
        <f>IFERROR(__xludf.DUMMYFUNCTION("GOOGLETRANSLATE(B18922,""en"",""fr"")"),"La personne continue de se brosser alors qu'un gros plan du cheval est montré.")</f>
        <v>La personne continue de se brosser alors qu'un gros plan du cheval est montré.</v>
      </c>
    </row>
    <row r="18923">
      <c r="A18923" s="4" t="s">
        <v>23809</v>
      </c>
      <c r="B18923" s="4" t="s">
        <v>23810</v>
      </c>
      <c r="C18923" s="5" t="str">
        <f>IFERROR(__xludf.DUMMYFUNCTION("GOOGLETRANSLATE(B18923,""en"",""fr"")"),"Les mains d'une personne sont visibles au milieu d'un papier et commencent à dessiner le long de l'image.")</f>
        <v>Les mains d'une personne sont visibles au milieu d'un papier et commencent à dessiner le long de l'image.</v>
      </c>
    </row>
    <row r="18924">
      <c r="A18924" s="4" t="s">
        <v>23809</v>
      </c>
      <c r="B18924" s="4" t="s">
        <v>23811</v>
      </c>
      <c r="C18924" s="5" t="str">
        <f>IFERROR(__xludf.DUMMYFUNCTION("GOOGLETRANSLATE(B18924,""en"",""fr"")"),"La personne peint ensuite un grand arbre tout en se déplaçant rapidement sur la peinture.")</f>
        <v>La personne peint ensuite un grand arbre tout en se déplaçant rapidement sur la peinture.</v>
      </c>
    </row>
    <row r="18925">
      <c r="A18925" s="4" t="s">
        <v>23809</v>
      </c>
      <c r="B18925" s="4" t="s">
        <v>23812</v>
      </c>
      <c r="C18925" s="5" t="str">
        <f>IFERROR(__xludf.DUMMYFUNCTION("GOOGLETRANSLATE(B18925,""en"",""fr"")"),"La personne termine la peinture et signe son nom et montre une image d'elle-même.")</f>
        <v>La personne termine la peinture et signe son nom et montre une image d'elle-même.</v>
      </c>
    </row>
    <row r="18926">
      <c r="A18926" s="4" t="s">
        <v>23813</v>
      </c>
      <c r="B18926" s="4" t="s">
        <v>23814</v>
      </c>
      <c r="C18926" s="5" t="str">
        <f>IFERROR(__xludf.DUMMYFUNCTION("GOOGLETRANSLATE(B18926,""en"",""fr"")"),"Un écran noir apparaît avec des mots blancs en lecture, Winter Sedona, AZ.")</f>
        <v>Un écran noir apparaît avec des mots blancs en lecture, Winter Sedona, AZ.</v>
      </c>
    </row>
    <row r="18927">
      <c r="A18927" s="4" t="s">
        <v>23813</v>
      </c>
      <c r="B18927" s="6" t="s">
        <v>23815</v>
      </c>
      <c r="C18927" s="5" t="str">
        <f>IFERROR(__xludf.DUMMYFUNCTION("GOOGLETRANSLATE(B18927,""en"",""fr"")"),"Un homme commence à marcher dans un champ d'arbres et d'arbustes, portant un chapeau jaune, un cardigan, des bottes et un sac.")</f>
        <v>Un homme commence à marcher dans un champ d'arbres et d'arbustes, portant un chapeau jaune, un cardigan, des bottes et un sac.</v>
      </c>
    </row>
    <row r="18928">
      <c r="A18928" s="4" t="s">
        <v>23813</v>
      </c>
      <c r="B18928" s="4" t="s">
        <v>23816</v>
      </c>
      <c r="C18928" s="5" t="str">
        <f>IFERROR(__xludf.DUMMYFUNCTION("GOOGLETRANSLATE(B18928,""en"",""fr"")"),"Il s'arrête ensuite et commence à jouer un enregistreur en bois.")</f>
        <v>Il s'arrête ensuite et commence à jouer un enregistreur en bois.</v>
      </c>
    </row>
    <row r="18929">
      <c r="A18929" s="4" t="s">
        <v>23813</v>
      </c>
      <c r="B18929" s="6" t="s">
        <v>23817</v>
      </c>
      <c r="C18929" s="5" t="str">
        <f>IFERROR(__xludf.DUMMYFUNCTION("GOOGLETRANSLATE(B18929,""en"",""fr"")"),"La caméra zoome et il continue de jouer de l'enregistreur et diverses formes du paysage environnant sont montrées.")</f>
        <v>La caméra zoome et il continue de jouer de l'enregistreur et diverses formes du paysage environnant sont montrées.</v>
      </c>
    </row>
    <row r="18930">
      <c r="A18930" s="4" t="s">
        <v>23818</v>
      </c>
      <c r="B18930" s="4" t="s">
        <v>23819</v>
      </c>
      <c r="C18930" s="5" t="str">
        <f>IFERROR(__xludf.DUMMYFUNCTION("GOOGLETRANSLATE(B18930,""en"",""fr"")"),"La caméra s'installe sur deux voitures garées dans la rue face à face.")</f>
        <v>La caméra s'installe sur deux voitures garées dans la rue face à face.</v>
      </c>
    </row>
    <row r="18931">
      <c r="A18931" s="4" t="s">
        <v>23818</v>
      </c>
      <c r="B18931" s="6" t="s">
        <v>23820</v>
      </c>
      <c r="C18931" s="5" t="str">
        <f>IFERROR(__xludf.DUMMYFUNCTION("GOOGLETRANSLATE(B18931,""en"",""fr"")"),"Un jeune homme est ensuite vu monter un tracteur le long de la pelouse pour couper l'herbe et se déplacer tout autour de l'homme de la caméra.")</f>
        <v>Un jeune homme est ensuite vu monter un tracteur le long de la pelouse pour couper l'herbe et se déplacer tout autour de l'homme de la caméra.</v>
      </c>
    </row>
    <row r="18932">
      <c r="A18932" s="4" t="s">
        <v>23821</v>
      </c>
      <c r="B18932" s="4" t="s">
        <v>23822</v>
      </c>
      <c r="C18932" s="5" t="str">
        <f>IFERROR(__xludf.DUMMYFUNCTION("GOOGLETRANSLATE(B18932,""en"",""fr"")"),"Cinq personnes portant des planches à roulettes se dirigent vers la lumière.")</f>
        <v>Cinq personnes portant des planches à roulettes se dirigent vers la lumière.</v>
      </c>
    </row>
    <row r="18933">
      <c r="A18933" s="4" t="s">
        <v>23821</v>
      </c>
      <c r="B18933" s="6" t="s">
        <v>23823</v>
      </c>
      <c r="C18933" s="5" t="str">
        <f>IFERROR(__xludf.DUMMYFUNCTION("GOOGLETRANSLATE(B18933,""en"",""fr"")"),"Les jeunes sont du skateboard dans une subdivision tout en s'asseyant en utilisant leurs mains comme une pause.")</f>
        <v>Les jeunes sont du skateboard dans une subdivision tout en s'asseyant en utilisant leurs mains comme une pause.</v>
      </c>
    </row>
    <row r="18934">
      <c r="A18934" s="4" t="s">
        <v>23821</v>
      </c>
      <c r="B18934" s="6" t="s">
        <v>23824</v>
      </c>
      <c r="C18934" s="5" t="str">
        <f>IFERROR(__xludf.DUMMYFUNCTION("GOOGLETRANSLATE(B18934,""en"",""fr"")"),"Les jeunes skateboard dans une rampe, puis sur le parking, puis jusqu'à la subdivision, l'un des skaters est tombé de leurs planches à roulettes.")</f>
        <v>Les jeunes skateboard dans une rampe, puis sur le parking, puis jusqu'à la subdivision, l'un des skaters est tombé de leurs planches à roulettes.</v>
      </c>
    </row>
    <row r="18935">
      <c r="A18935" s="4" t="s">
        <v>23825</v>
      </c>
      <c r="B18935" s="4" t="s">
        <v>23826</v>
      </c>
      <c r="C18935" s="5" t="str">
        <f>IFERROR(__xludf.DUMMYFUNCTION("GOOGLETRANSLATE(B18935,""en"",""fr"")"),"Un homme tient un étui en bois.")</f>
        <v>Un homme tient un étui en bois.</v>
      </c>
    </row>
    <row r="18936">
      <c r="A18936" s="4" t="s">
        <v>23825</v>
      </c>
      <c r="B18936" s="4" t="s">
        <v>23827</v>
      </c>
      <c r="C18936" s="5" t="str">
        <f>IFERROR(__xludf.DUMMYFUNCTION("GOOGLETRANSLATE(B18936,""en"",""fr"")"),"Il met une serviette à travers le boîtier.")</f>
        <v>Il met une serviette à travers le boîtier.</v>
      </c>
    </row>
    <row r="18937">
      <c r="A18937" s="4" t="s">
        <v>23825</v>
      </c>
      <c r="B18937" s="4" t="s">
        <v>23828</v>
      </c>
      <c r="C18937" s="5" t="str">
        <f>IFERROR(__xludf.DUMMYFUNCTION("GOOGLETRANSLATE(B18937,""en"",""fr"")"),"Il commence à briller sa chaussure avec la serviette.")</f>
        <v>Il commence à briller sa chaussure avec la serviette.</v>
      </c>
    </row>
    <row r="18938">
      <c r="A18938" s="4" t="s">
        <v>23829</v>
      </c>
      <c r="B18938" s="4" t="s">
        <v>23830</v>
      </c>
      <c r="C18938" s="5" t="str">
        <f>IFERROR(__xludf.DUMMYFUNCTION("GOOGLETRANSLATE(B18938,""en"",""fr"")"),"Un homme est vu portant un costume et s'éloigne.")</f>
        <v>Un homme est vu portant un costume et s'éloigne.</v>
      </c>
    </row>
    <row r="18939">
      <c r="A18939" s="4" t="s">
        <v>23829</v>
      </c>
      <c r="B18939" s="4" t="s">
        <v>23831</v>
      </c>
      <c r="C18939" s="5" t="str">
        <f>IFERROR(__xludf.DUMMYFUNCTION("GOOGLETRANSLATE(B18939,""en"",""fr"")"),"L'homme se dirige vers une grande chaise et s'assoit.")</f>
        <v>L'homme se dirige vers une grande chaise et s'assoit.</v>
      </c>
    </row>
    <row r="18940">
      <c r="A18940" s="4" t="s">
        <v>23829</v>
      </c>
      <c r="B18940" s="4" t="s">
        <v>23832</v>
      </c>
      <c r="C18940" s="5" t="str">
        <f>IFERROR(__xludf.DUMMYFUNCTION("GOOGLETRANSLATE(B18940,""en"",""fr"")"),"Un autre homme est vu debout devant la chaise et commence à regarder les pieds de l'homme.")</f>
        <v>Un autre homme est vu debout devant la chaise et commence à regarder les pieds de l'homme.</v>
      </c>
    </row>
    <row r="18941">
      <c r="A18941" s="4" t="s">
        <v>23833</v>
      </c>
      <c r="B18941" s="6" t="s">
        <v>23834</v>
      </c>
      <c r="C18941" s="5" t="str">
        <f>IFERROR(__xludf.DUMMYFUNCTION("GOOGLETRANSLATE(B18941,""en"",""fr"")"),"Deux hommes sont à l'extérieur sur le côté d'un pont qui se parlent alors que plusieurs personnes marchent en leur parlant et en serrant les mains.")</f>
        <v>Deux hommes sont à l'extérieur sur le côté d'un pont qui se parlent alors que plusieurs personnes marchent en leur parlant et en serrant les mains.</v>
      </c>
    </row>
    <row r="18942">
      <c r="A18942" s="4" t="s">
        <v>23833</v>
      </c>
      <c r="B18942" s="6" t="s">
        <v>23835</v>
      </c>
      <c r="C18942" s="5" t="str">
        <f>IFERROR(__xludf.DUMMYFUNCTION("GOOGLETRANSLATE(B18942,""en"",""fr"")"),"Après, l'homme qui est dans le harnais s'accroche aux épaules de deux hommes alors qu'ils l'aident à se lever au-dessus du pont.")</f>
        <v>Après, l'homme qui est dans le harnais s'accroche aux épaules de deux hommes alors qu'ils l'aident à se lever au-dessus du pont.</v>
      </c>
    </row>
    <row r="18943">
      <c r="A18943" s="4" t="s">
        <v>23833</v>
      </c>
      <c r="B18943" s="4" t="s">
        <v>23836</v>
      </c>
      <c r="C18943" s="5" t="str">
        <f>IFERROR(__xludf.DUMMYFUNCTION("GOOGLETRANSLATE(B18943,""en"",""fr"")"),"Enfin, l'homme fait une chute libre du pont et une boule orange lui est lancée.")</f>
        <v>Enfin, l'homme fait une chute libre du pont et une boule orange lui est lancée.</v>
      </c>
    </row>
    <row r="18944">
      <c r="A18944" s="4" t="s">
        <v>23837</v>
      </c>
      <c r="B18944" s="6" t="s">
        <v>23838</v>
      </c>
      <c r="C18944" s="5" t="str">
        <f>IFERROR(__xludf.DUMMYFUNCTION("GOOGLETRANSLATE(B18944,""en"",""fr"")"),"Une gymnaste portant des justaucorps rouges effectue une gymnastique sur des bars inégaux dans un grand stade avec plusieurs spectateurs.")</f>
        <v>Une gymnaste portant des justaucorps rouges effectue une gymnastique sur des bars inégaux dans un grand stade avec plusieurs spectateurs.</v>
      </c>
    </row>
    <row r="18945">
      <c r="A18945" s="4" t="s">
        <v>23837</v>
      </c>
      <c r="B18945" s="4" t="s">
        <v>23839</v>
      </c>
      <c r="C18945" s="5" t="str">
        <f>IFERROR(__xludf.DUMMYFUNCTION("GOOGLETRANSLATE(B18945,""en"",""fr"")"),"Elle fait des flips avant et des flips arrière avec un mouvement rapide sans tomber.")</f>
        <v>Elle fait des flips avant et des flips arrière avec un mouvement rapide sans tomber.</v>
      </c>
    </row>
    <row r="18946">
      <c r="A18946" s="4" t="s">
        <v>23837</v>
      </c>
      <c r="B18946" s="4" t="s">
        <v>23840</v>
      </c>
      <c r="C18946" s="5" t="str">
        <f>IFERROR(__xludf.DUMMYFUNCTION("GOOGLETRANSLATE(B18946,""en"",""fr"")"),"Après avoir terminé, elle descend des barres inégales et s'en va alors qu'elle donne un high cinq à son entraîneur.")</f>
        <v>Après avoir terminé, elle descend des barres inégales et s'en va alors qu'elle donne un high cinq à son entraîneur.</v>
      </c>
    </row>
    <row r="18947">
      <c r="A18947" s="4" t="s">
        <v>23841</v>
      </c>
      <c r="B18947" s="4" t="s">
        <v>23842</v>
      </c>
      <c r="C18947" s="5" t="str">
        <f>IFERROR(__xludf.DUMMYFUNCTION("GOOGLETRANSLATE(B18947,""en"",""fr"")"),"Deux femmes sont vues à la caméra avec une tenant un chat sur ses genoux.")</f>
        <v>Deux femmes sont vues à la caméra avec une tenant un chat sur ses genoux.</v>
      </c>
    </row>
    <row r="18948">
      <c r="A18948" s="4" t="s">
        <v>23841</v>
      </c>
      <c r="B18948" s="6" t="s">
        <v>23843</v>
      </c>
      <c r="C18948" s="5" t="str">
        <f>IFERROR(__xludf.DUMMYFUNCTION("GOOGLETRANSLATE(B18948,""en"",""fr"")"),"La femme procède ensuite à la maintien des griffes du chat et a coupé les ongles tout en pointant le chat et en regardant la caméra.")</f>
        <v>La femme procède ensuite à la maintien des griffes du chat et a coupé les ongles tout en pointant le chat et en regardant la caméra.</v>
      </c>
    </row>
    <row r="18949">
      <c r="A18949" s="4" t="s">
        <v>23844</v>
      </c>
      <c r="B18949" s="4" t="s">
        <v>23845</v>
      </c>
      <c r="C18949" s="5" t="str">
        <f>IFERROR(__xludf.DUMMYFUNCTION("GOOGLETRANSLATE(B18949,""en"",""fr"")"),"Une femme se tient sur une plongée.")</f>
        <v>Une femme se tient sur une plongée.</v>
      </c>
    </row>
    <row r="18950">
      <c r="A18950" s="4" t="s">
        <v>23844</v>
      </c>
      <c r="B18950" s="4" t="s">
        <v>23846</v>
      </c>
      <c r="C18950" s="5" t="str">
        <f>IFERROR(__xludf.DUMMYFUNCTION("GOOGLETRANSLATE(B18950,""en"",""fr"")"),"Elle saute de la plongée.")</f>
        <v>Elle saute de la plongée.</v>
      </c>
    </row>
    <row r="18951">
      <c r="A18951" s="4" t="s">
        <v>23844</v>
      </c>
      <c r="B18951" s="4" t="s">
        <v>23847</v>
      </c>
      <c r="C18951" s="5" t="str">
        <f>IFERROR(__xludf.DUMMYFUNCTION("GOOGLETRANSLATE(B18951,""en"",""fr"")"),"Elle plonge dans la piscine d'eau.")</f>
        <v>Elle plonge dans la piscine d'eau.</v>
      </c>
    </row>
    <row r="18952">
      <c r="A18952" s="4" t="s">
        <v>23844</v>
      </c>
      <c r="B18952" s="4" t="s">
        <v>23848</v>
      </c>
      <c r="C18952" s="5" t="str">
        <f>IFERROR(__xludf.DUMMYFUNCTION("GOOGLETRANSLATE(B18952,""en"",""fr"")"),"Elle nage sous l'eau.")</f>
        <v>Elle nage sous l'eau.</v>
      </c>
    </row>
    <row r="18953">
      <c r="A18953" s="4" t="s">
        <v>23849</v>
      </c>
      <c r="B18953" s="6" t="s">
        <v>23850</v>
      </c>
      <c r="C18953" s="5" t="str">
        <f>IFERROR(__xludf.DUMMYFUNCTION("GOOGLETRANSLATE(B18953,""en"",""fr"")"),"Deux hommes présentent et démontrent l'utilisation d'un serveur de balle de tennis automatisé sur un terrain de balle de tennis.")</f>
        <v>Deux hommes présentent et démontrent l'utilisation d'un serveur de balle de tennis automatisé sur un terrain de balle de tennis.</v>
      </c>
    </row>
    <row r="18954">
      <c r="A18954" s="4" t="s">
        <v>23849</v>
      </c>
      <c r="B18954" s="4" t="s">
        <v>23851</v>
      </c>
      <c r="C18954" s="5" t="str">
        <f>IFERROR(__xludf.DUMMYFUNCTION("GOOGLETRANSLATE(B18954,""en"",""fr"")"),"Un graphique d'animation apparaît présentant deux cylindres en or à l'intérieur d'un support métallique.")</f>
        <v>Un graphique d'animation apparaît présentant deux cylindres en or à l'intérieur d'un support métallique.</v>
      </c>
    </row>
    <row r="18955">
      <c r="A18955" s="4" t="s">
        <v>23849</v>
      </c>
      <c r="B18955" s="6" t="s">
        <v>23852</v>
      </c>
      <c r="C18955" s="5" t="str">
        <f>IFERROR(__xludf.DUMMYFUNCTION("GOOGLETRANSLATE(B18955,""en"",""fr"")"),"Le graphique animé se transforme en une version réelle et réelle du graphique, apparaissant sur un court de tennis en plein air et flanqué de deux hommes.")</f>
        <v>Le graphique animé se transforme en une version réelle et réelle du graphique, apparaissant sur un court de tennis en plein air et flanqué de deux hommes.</v>
      </c>
    </row>
    <row r="18956">
      <c r="A18956" s="4" t="s">
        <v>23849</v>
      </c>
      <c r="B18956" s="6" t="s">
        <v>23853</v>
      </c>
      <c r="C18956" s="5" t="str">
        <f>IFERROR(__xludf.DUMMYFUNCTION("GOOGLETRANSLATE(B18956,""en"",""fr"")"),"Les deux hommes debout à côté des machines Placez des balles de tennis dans la machine, ce qui crache à son tour les balles agissant comme un serveur de balle de tennis automatisé pour un joueur qui se tient de l'autre côté du court de tennis avec une raq"&amp;"uette de tennis.")</f>
        <v>Les deux hommes debout à côté des machines Placez des balles de tennis dans la machine, ce qui crache à son tour les balles agissant comme un serveur de balle de tennis automatisé pour un joueur qui se tient de l'autre côté du court de tennis avec une raquette de tennis.</v>
      </c>
    </row>
    <row r="18957">
      <c r="A18957" s="4" t="s">
        <v>23854</v>
      </c>
      <c r="B18957" s="4" t="s">
        <v>23855</v>
      </c>
      <c r="C18957" s="5" t="str">
        <f>IFERROR(__xludf.DUMMYFUNCTION("GOOGLETRANSLATE(B18957,""en"",""fr"")"),"Une citrouille est assise sur un comptoir.")</f>
        <v>Une citrouille est assise sur un comptoir.</v>
      </c>
    </row>
    <row r="18958">
      <c r="A18958" s="4" t="s">
        <v>23854</v>
      </c>
      <c r="B18958" s="4" t="s">
        <v>23856</v>
      </c>
      <c r="C18958" s="5" t="str">
        <f>IFERROR(__xludf.DUMMYFUNCTION("GOOGLETRANSLATE(B18958,""en"",""fr"")"),"Un couteau scintille un visage dans la citrouille.")</f>
        <v>Un couteau scintille un visage dans la citrouille.</v>
      </c>
    </row>
    <row r="18959">
      <c r="A18959" s="4" t="s">
        <v>23854</v>
      </c>
      <c r="B18959" s="4" t="s">
        <v>23857</v>
      </c>
      <c r="C18959" s="5" t="str">
        <f>IFERROR(__xludf.DUMMYFUNCTION("GOOGLETRANSLATE(B18959,""en"",""fr"")"),"Les lumières sont éteintes et la citrouille est allumée.")</f>
        <v>Les lumières sont éteintes et la citrouille est allumée.</v>
      </c>
    </row>
    <row r="18960">
      <c r="A18960" s="4" t="s">
        <v>23858</v>
      </c>
      <c r="B18960" s="4" t="s">
        <v>23859</v>
      </c>
      <c r="C18960" s="5" t="str">
        <f>IFERROR(__xludf.DUMMYFUNCTION("GOOGLETRANSLATE(B18960,""en"",""fr"")"),"Il y a des membres du groupe qui parlent de leur concert au Canada.")</f>
        <v>Il y a des membres du groupe qui parlent de leur concert au Canada.</v>
      </c>
    </row>
    <row r="18961">
      <c r="A18961" s="4" t="s">
        <v>23858</v>
      </c>
      <c r="B18961" s="4" t="s">
        <v>23860</v>
      </c>
      <c r="C18961" s="5" t="str">
        <f>IFERROR(__xludf.DUMMYFUNCTION("GOOGLETRANSLATE(B18961,""en"",""fr"")"),"Ils sont assis sur une scène alors qu'ils parlent de leur expérience de surprendre un fan.")</f>
        <v>Ils sont assis sur une scène alors qu'ils parlent de leur expérience de surprendre un fan.</v>
      </c>
    </row>
    <row r="18962">
      <c r="A18962" s="4" t="s">
        <v>23858</v>
      </c>
      <c r="B18962" s="4" t="s">
        <v>23861</v>
      </c>
      <c r="C18962" s="5" t="str">
        <f>IFERROR(__xludf.DUMMYFUNCTION("GOOGLETRANSLATE(B18962,""en"",""fr"")"),"Ils surprennent un fan qui est le vainqueur d'un concours.")</f>
        <v>Ils surprennent un fan qui est le vainqueur d'un concours.</v>
      </c>
    </row>
    <row r="18963">
      <c r="A18963" s="4" t="s">
        <v>23858</v>
      </c>
      <c r="B18963" s="4" t="s">
        <v>23862</v>
      </c>
      <c r="C18963" s="5" t="str">
        <f>IFERROR(__xludf.DUMMYFUNCTION("GOOGLETRANSLATE(B18963,""en"",""fr"")"),"Les membres du groupe font du bowling avec le fan surpris et jouent au bowling.")</f>
        <v>Les membres du groupe font du bowling avec le fan surpris et jouent au bowling.</v>
      </c>
    </row>
    <row r="18964">
      <c r="A18964" s="4" t="s">
        <v>23858</v>
      </c>
      <c r="B18964" s="6" t="s">
        <v>23863</v>
      </c>
      <c r="C18964" s="5" t="str">
        <f>IFERROR(__xludf.DUMMYFUNCTION("GOOGLETRANSLATE(B18964,""en"",""fr"")"),"Une fois le jeu de bowling terminé, ils surprennent encore le fan en l'invitant à leur Concert Ans Sound Check Party.")</f>
        <v>Une fois le jeu de bowling terminé, ils surprennent encore le fan en l'invitant à leur Concert Ans Sound Check Party.</v>
      </c>
    </row>
    <row r="18965">
      <c r="A18965" s="4" t="s">
        <v>23864</v>
      </c>
      <c r="B18965" s="4" t="s">
        <v>23865</v>
      </c>
      <c r="C18965" s="5" t="str">
        <f>IFERROR(__xludf.DUMMYFUNCTION("GOOGLETRANSLATE(B18965,""en"",""fr"")"),"Un homme monte un cheval pommel et commence à tourner.")</f>
        <v>Un homme monte un cheval pommel et commence à tourner.</v>
      </c>
    </row>
    <row r="18966">
      <c r="A18966" s="4" t="s">
        <v>23864</v>
      </c>
      <c r="B18966" s="4" t="s">
        <v>23866</v>
      </c>
      <c r="C18966" s="5" t="str">
        <f>IFERROR(__xludf.DUMMYFUNCTION("GOOGLETRANSLATE(B18966,""en"",""fr"")"),"Une gymnaste en arrière-plan tombe en milieu de performance.")</f>
        <v>Une gymnaste en arrière-plan tombe en milieu de performance.</v>
      </c>
    </row>
    <row r="18967">
      <c r="A18967" s="4" t="s">
        <v>23864</v>
      </c>
      <c r="B18967" s="4" t="s">
        <v>23867</v>
      </c>
      <c r="C18967" s="5" t="str">
        <f>IFERROR(__xludf.DUMMYFUNCTION("GOOGLETRANSLATE(B18967,""en"",""fr"")"),"L'artiste principal démonte et jette ses bras en l'air.")</f>
        <v>L'artiste principal démonte et jette ses bras en l'air.</v>
      </c>
    </row>
    <row r="18968">
      <c r="A18968" s="4" t="s">
        <v>23864</v>
      </c>
      <c r="B18968" s="4" t="s">
        <v>23868</v>
      </c>
      <c r="C18968" s="5" t="str">
        <f>IFERROR(__xludf.DUMMYFUNCTION("GOOGLETRANSLATE(B18968,""en"",""fr"")"),"L'artiste principal s'éloigne.")</f>
        <v>L'artiste principal s'éloigne.</v>
      </c>
    </row>
    <row r="18969">
      <c r="A18969" s="4" t="s">
        <v>23869</v>
      </c>
      <c r="B18969" s="4" t="s">
        <v>23870</v>
      </c>
      <c r="C18969" s="5" t="str">
        <f>IFERROR(__xludf.DUMMYFUNCTION("GOOGLETRANSLATE(B18969,""en"",""fr"")"),"Un homme se tient dans une pièce à parler.")</f>
        <v>Un homme se tient dans une pièce à parler.</v>
      </c>
    </row>
    <row r="18970">
      <c r="A18970" s="4" t="s">
        <v>23869</v>
      </c>
      <c r="B18970" s="4" t="s">
        <v>23871</v>
      </c>
      <c r="C18970" s="5" t="str">
        <f>IFERROR(__xludf.DUMMYFUNCTION("GOOGLETRANSLATE(B18970,""en"",""fr"")"),"Un autre homme peint les murs de la pièce.")</f>
        <v>Un autre homme peint les murs de la pièce.</v>
      </c>
    </row>
    <row r="18971">
      <c r="A18971" s="4" t="s">
        <v>23869</v>
      </c>
      <c r="B18971" s="4" t="s">
        <v>23872</v>
      </c>
      <c r="C18971" s="5" t="str">
        <f>IFERROR(__xludf.DUMMYFUNCTION("GOOGLETRANSLATE(B18971,""en"",""fr"")"),"L'homme met sa boîte de peinture et sa serviette à côté de lui.")</f>
        <v>L'homme met sa boîte de peinture et sa serviette à côté de lui.</v>
      </c>
    </row>
    <row r="18972">
      <c r="A18972" s="4" t="s">
        <v>23873</v>
      </c>
      <c r="B18972" s="4" t="s">
        <v>23874</v>
      </c>
      <c r="C18972" s="5" t="str">
        <f>IFERROR(__xludf.DUMMYFUNCTION("GOOGLETRANSLATE(B18972,""en"",""fr"")"),"Une corde d'attache monte sur un bar.")</f>
        <v>Une corde d'attache monte sur un bar.</v>
      </c>
    </row>
    <row r="18973">
      <c r="A18973" s="4" t="s">
        <v>23873</v>
      </c>
      <c r="B18973" s="4" t="s">
        <v>23875</v>
      </c>
      <c r="C18973" s="5" t="str">
        <f>IFERROR(__xludf.DUMMYFUNCTION("GOOGLETRANSLATE(B18973,""en"",""fr"")"),"Les athlètes se préparent pour un événement préparant des poteaux et chalant les mains.")</f>
        <v>Les athlètes se préparent pour un événement préparant des poteaux et chalant les mains.</v>
      </c>
    </row>
    <row r="18974">
      <c r="A18974" s="4" t="s">
        <v>23873</v>
      </c>
      <c r="B18974" s="4" t="s">
        <v>23876</v>
      </c>
      <c r="C18974" s="5" t="str">
        <f>IFERROR(__xludf.DUMMYFUNCTION("GOOGLETRANSLATE(B18974,""en"",""fr"")"),"Athlètes Pole Vault Over A High Bar dans une compétition.")</f>
        <v>Athlètes Pole Vault Over A High Bar dans une compétition.</v>
      </c>
    </row>
    <row r="18975">
      <c r="A18975" s="4" t="s">
        <v>23873</v>
      </c>
      <c r="B18975" s="4" t="s">
        <v>23877</v>
      </c>
      <c r="C18975" s="5" t="str">
        <f>IFERROR(__xludf.DUMMYFUNCTION("GOOGLETRANSLATE(B18975,""en"",""fr"")"),"Les athlètes et les fans se réunissent après l'événement qui parlait et signer des autographes.")</f>
        <v>Les athlètes et les fans se réunissent après l'événement qui parlait et signer des autographes.</v>
      </c>
    </row>
    <row r="18976">
      <c r="A18976" s="4" t="s">
        <v>23873</v>
      </c>
      <c r="B18976" s="4" t="s">
        <v>23878</v>
      </c>
      <c r="C18976" s="5" t="str">
        <f>IFERROR(__xludf.DUMMYFUNCTION("GOOGLETRANSLATE(B18976,""en"",""fr"")"),"Un graphique est vu des sponsors d'événements et du site Web à l'écran avec un dos noir.")</f>
        <v>Un graphique est vu des sponsors d'événements et du site Web à l'écran avec un dos noir.</v>
      </c>
    </row>
    <row r="18977">
      <c r="A18977" s="4" t="s">
        <v>23879</v>
      </c>
      <c r="B18977" s="4" t="s">
        <v>23880</v>
      </c>
      <c r="C18977" s="5" t="str">
        <f>IFERROR(__xludf.DUMMYFUNCTION("GOOGLETRANSLATE(B18977,""en"",""fr"")"),"Un groupe d'adultes est dans un radeau, pagayant dans l'eau avec de grosses vagues.")</f>
        <v>Un groupe d'adultes est dans un radeau, pagayant dans l'eau avec de grosses vagues.</v>
      </c>
    </row>
    <row r="18978">
      <c r="A18978" s="4" t="s">
        <v>23879</v>
      </c>
      <c r="B18978" s="4" t="s">
        <v>23881</v>
      </c>
      <c r="C18978" s="5" t="str">
        <f>IFERROR(__xludf.DUMMYFUNCTION("GOOGLETRANSLATE(B18978,""en"",""fr"")"),"Le groupe a frappé la pagaie de l'autre comme un high cinq, puis continue de pagayer à travers la rivière.")</f>
        <v>Le groupe a frappé la pagaie de l'autre comme un high cinq, puis continue de pagayer à travers la rivière.</v>
      </c>
    </row>
    <row r="18979">
      <c r="A18979" s="4" t="s">
        <v>23879</v>
      </c>
      <c r="B18979" s="4" t="s">
        <v>23882</v>
      </c>
      <c r="C18979" s="5" t="str">
        <f>IFERROR(__xludf.DUMMYFUNCTION("GOOGLETRANSLATE(B18979,""en"",""fr"")"),"D'autres groupes de personnes montent sur les radeaux et se sont arrêtés sur le côté de la rivière.")</f>
        <v>D'autres groupes de personnes montent sur les radeaux et se sont arrêtés sur le côté de la rivière.</v>
      </c>
    </row>
    <row r="18980">
      <c r="A18980" s="4" t="s">
        <v>23883</v>
      </c>
      <c r="B18980" s="6" t="s">
        <v>23884</v>
      </c>
      <c r="C18980" s="5" t="str">
        <f>IFERROR(__xludf.DUMMYFUNCTION("GOOGLETRANSLATE(B18980,""en"",""fr"")"),"Une femme est vue en parlant à la caméra tenant un instrument et mène à elle en jouant à la flûte.")</f>
        <v>Une femme est vue en parlant à la caméra tenant un instrument et mène à elle en jouant à la flûte.</v>
      </c>
    </row>
    <row r="18981">
      <c r="A18981" s="4" t="s">
        <v>23883</v>
      </c>
      <c r="B18981" s="6" t="s">
        <v>23885</v>
      </c>
      <c r="C18981" s="5" t="str">
        <f>IFERROR(__xludf.DUMMYFUNCTION("GOOGLETRANSLATE(B18981,""en"",""fr"")"),"La caméra continue de zoomer sur elle en jouant à l'instrument pendant qu'elle intervient en parlant à la caméra.")</f>
        <v>La caméra continue de zoomer sur elle en jouant à l'instrument pendant qu'elle intervient en parlant à la caméra.</v>
      </c>
    </row>
    <row r="18982">
      <c r="A18982" s="4" t="s">
        <v>23886</v>
      </c>
      <c r="B18982" s="4" t="s">
        <v>23887</v>
      </c>
      <c r="C18982" s="5" t="str">
        <f>IFERROR(__xludf.DUMMYFUNCTION("GOOGLETRANSLATE(B18982,""en"",""fr"")"),"Nous voyons une bouteille de lavage du visage.")</f>
        <v>Nous voyons une bouteille de lavage du visage.</v>
      </c>
    </row>
    <row r="18983">
      <c r="A18983" s="4" t="s">
        <v>23886</v>
      </c>
      <c r="B18983" s="4" t="s">
        <v>23888</v>
      </c>
      <c r="C18983" s="5" t="str">
        <f>IFERROR(__xludf.DUMMYFUNCTION("GOOGLETRANSLATE(B18983,""en"",""fr"")"),"Nous voyons une personne tenir le visage se laver puis le mettre sur leur visage.")</f>
        <v>Nous voyons une personne tenir le visage se laver puis le mettre sur leur visage.</v>
      </c>
    </row>
    <row r="18984">
      <c r="A18984" s="4" t="s">
        <v>23886</v>
      </c>
      <c r="B18984" s="4" t="s">
        <v>23889</v>
      </c>
      <c r="C18984" s="5" t="str">
        <f>IFERROR(__xludf.DUMMYFUNCTION("GOOGLETRANSLATE(B18984,""en"",""fr"")"),"Ils rincent le visage et ajoutent le lavage du visage avec une brosse.")</f>
        <v>Ils rincent le visage et ajoutent le lavage du visage avec une brosse.</v>
      </c>
    </row>
    <row r="18985">
      <c r="A18985" s="4" t="s">
        <v>23886</v>
      </c>
      <c r="B18985" s="4" t="s">
        <v>23890</v>
      </c>
      <c r="C18985" s="5" t="str">
        <f>IFERROR(__xludf.DUMMYFUNCTION("GOOGLETRANSLATE(B18985,""en"",""fr"")"),"Nous voyons une illustration sur la façon d'ajouter le lavage à l'aide d'une brosse.")</f>
        <v>Nous voyons une illustration sur la façon d'ajouter le lavage à l'aide d'une brosse.</v>
      </c>
    </row>
    <row r="18986">
      <c r="A18986" s="4" t="s">
        <v>23886</v>
      </c>
      <c r="B18986" s="4" t="s">
        <v>4513</v>
      </c>
      <c r="C18986" s="5" t="str">
        <f>IFERROR(__xludf.DUMMYFUNCTION("GOOGLETRANSLATE(B18986,""en"",""fr"")"),"Nous voyons les crédits de fin.")</f>
        <v>Nous voyons les crédits de fin.</v>
      </c>
    </row>
    <row r="18987">
      <c r="A18987" s="4" t="s">
        <v>23891</v>
      </c>
      <c r="B18987" s="6" t="s">
        <v>23892</v>
      </c>
      <c r="C18987" s="5" t="str">
        <f>IFERROR(__xludf.DUMMYFUNCTION("GOOGLETRANSLATE(B18987,""en"",""fr"")"),"Divers clips d'un grand groupe de personnes sont vus debout conduisant à des clips de personnes qui tirent des arcs et des flèches.")</f>
        <v>Divers clips d'un grand groupe de personnes sont vus debout conduisant à des clips de personnes qui tirent des arcs et des flèches.</v>
      </c>
    </row>
    <row r="18988">
      <c r="A18988" s="4" t="s">
        <v>23891</v>
      </c>
      <c r="B18988" s="6" t="s">
        <v>23893</v>
      </c>
      <c r="C18988" s="5" t="str">
        <f>IFERROR(__xludf.DUMMYFUNCTION("GOOGLETRANSLATE(B18988,""en"",""fr"")"),"Plus de clips sont montrés par des personnes qui parlent de la caméra sont affichées ainsi que des personnes célébrant et tirant plus d'arcs et de danse.")</f>
        <v>Plus de clips sont montrés par des personnes qui parlent de la caméra sont affichées ainsi que des personnes célébrant et tirant plus d'arcs et de danse.</v>
      </c>
    </row>
    <row r="18989">
      <c r="A18989" s="4" t="s">
        <v>23894</v>
      </c>
      <c r="B18989" s="4" t="s">
        <v>23895</v>
      </c>
      <c r="C18989" s="5" t="str">
        <f>IFERROR(__xludf.DUMMYFUNCTION("GOOGLETRANSLATE(B18989,""en"",""fr"")"),"Un gros plan d'une maison est vu lorsqu'une personne entre dans le cadre.")</f>
        <v>Un gros plan d'une maison est vu lorsqu'une personne entre dans le cadre.</v>
      </c>
    </row>
    <row r="18990">
      <c r="A18990" s="4" t="s">
        <v>23894</v>
      </c>
      <c r="B18990" s="4" t="s">
        <v>23896</v>
      </c>
      <c r="C18990" s="5" t="str">
        <f>IFERROR(__xludf.DUMMYFUNCTION("GOOGLETRANSLATE(B18990,""en"",""fr"")"),"La personne est vue en train de saisir la tondeuse à gazon et de la tirer sur le côté.")</f>
        <v>La personne est vue en train de saisir la tondeuse à gazon et de la tirer sur le côté.</v>
      </c>
    </row>
    <row r="18991">
      <c r="A18991" s="4" t="s">
        <v>23894</v>
      </c>
      <c r="B18991" s="4" t="s">
        <v>23897</v>
      </c>
      <c r="C18991" s="5" t="str">
        <f>IFERROR(__xludf.DUMMYFUNCTION("GOOGLETRANSLATE(B18991,""en"",""fr"")"),"La personne pousse ensuite la tondeuse à gazon tout autour de la maison.")</f>
        <v>La personne pousse ensuite la tondeuse à gazon tout autour de la maison.</v>
      </c>
    </row>
    <row r="18992">
      <c r="A18992" s="4" t="s">
        <v>23898</v>
      </c>
      <c r="B18992" s="6" t="s">
        <v>23899</v>
      </c>
      <c r="C18992" s="5" t="str">
        <f>IFERROR(__xludf.DUMMYFUNCTION("GOOGLETRANSLATE(B18992,""en"",""fr"")"),"Les mains d'une personne sont vues de près sur un outil et commencent à déplacer la poignée et à démonter l'outil.")</f>
        <v>Les mains d'une personne sont vues de près sur un outil et commencent à déplacer la poignée et à démonter l'outil.</v>
      </c>
    </row>
    <row r="18993">
      <c r="A18993" s="4" t="s">
        <v>23898</v>
      </c>
      <c r="B18993" s="6" t="s">
        <v>23900</v>
      </c>
      <c r="C18993" s="5" t="str">
        <f>IFERROR(__xludf.DUMMYFUNCTION("GOOGLETRANSLATE(B18993,""en"",""fr"")"),"La personne dévisse certains articles et resserre l'intérieur et déplace le tournevis tout en maintenant l'outil.")</f>
        <v>La personne dévisse certains articles et resserre l'intérieur et déplace le tournevis tout en maintenant l'outil.</v>
      </c>
    </row>
    <row r="18994">
      <c r="A18994" s="4" t="s">
        <v>23901</v>
      </c>
      <c r="B18994" s="4" t="s">
        <v>23902</v>
      </c>
      <c r="C18994" s="5" t="str">
        <f>IFERROR(__xludf.DUMMYFUNCTION("GOOGLETRANSLATE(B18994,""en"",""fr"")"),"Un groupe d'hommes s'est rassemblé à l'intérieur.")</f>
        <v>Un groupe d'hommes s'est rassemblé à l'intérieur.</v>
      </c>
    </row>
    <row r="18995">
      <c r="A18995" s="4" t="s">
        <v>23901</v>
      </c>
      <c r="B18995" s="4" t="s">
        <v>23903</v>
      </c>
      <c r="C18995" s="5" t="str">
        <f>IFERROR(__xludf.DUMMYFUNCTION("GOOGLETRANSLATE(B18995,""en"",""fr"")"),"Deux d'entre eux s'accroupissent au centre.")</f>
        <v>Deux d'entre eux s'accroupissent au centre.</v>
      </c>
    </row>
    <row r="18996">
      <c r="A18996" s="4" t="s">
        <v>23901</v>
      </c>
      <c r="B18996" s="4" t="s">
        <v>23904</v>
      </c>
      <c r="C18996" s="5" t="str">
        <f>IFERROR(__xludf.DUMMYFUNCTION("GOOGLETRANSLATE(B18996,""en"",""fr"")"),"Ils se retournent au centre du cercle, faisant des cascades de kickbox ornées.")</f>
        <v>Ils se retournent au centre du cercle, faisant des cascades de kickbox ornées.</v>
      </c>
    </row>
    <row r="18997">
      <c r="A18997" s="4" t="s">
        <v>23901</v>
      </c>
      <c r="B18997" s="4" t="s">
        <v>23905</v>
      </c>
      <c r="C18997" s="5" t="str">
        <f>IFERROR(__xludf.DUMMYFUNCTION("GOOGLETRANSLATE(B18997,""en"",""fr"")"),"Plusieurs autres clips d'autres combattants sont affichés, retournent, roulant et coups de pied.")</f>
        <v>Plusieurs autres clips d'autres combattants sont affichés, retournent, roulant et coups de pied.</v>
      </c>
    </row>
    <row r="18998">
      <c r="A18998" s="4" t="s">
        <v>23901</v>
      </c>
      <c r="B18998" s="4" t="s">
        <v>23906</v>
      </c>
      <c r="C18998" s="5" t="str">
        <f>IFERROR(__xludf.DUMMYFUNCTION("GOOGLETRANSLATE(B18998,""en"",""fr"")"),"Les deux hommes s'embrassent à la fin.")</f>
        <v>Les deux hommes s'embrassent à la fin.</v>
      </c>
    </row>
    <row r="18999">
      <c r="A18999" s="4" t="s">
        <v>23907</v>
      </c>
      <c r="B18999" s="6" t="s">
        <v>23908</v>
      </c>
      <c r="C18999" s="5" t="str">
        <f>IFERROR(__xludf.DUMMYFUNCTION("GOOGLETRANSLATE(B18999,""en"",""fr"")"),"Diverses images encore prises d'hommes différents, des âges différents, différentes races et différentes tailles apparaissent avec des noms de texte blancs apparaissant sur chacun de leurs visages.")</f>
        <v>Diverses images encore prises d'hommes différents, des âges différents, différentes races et différentes tailles apparaissent avec des noms de texte blancs apparaissant sur chacun de leurs visages.</v>
      </c>
    </row>
    <row r="19000">
      <c r="A19000" s="4" t="s">
        <v>23907</v>
      </c>
      <c r="B19000" s="6" t="s">
        <v>23909</v>
      </c>
      <c r="C19000" s="5" t="str">
        <f>IFERROR(__xludf.DUMMYFUNCTION("GOOGLETRANSLATE(B19000,""en"",""fr"")"),"Un écran bleu apparaît alors et les mots de texte blanc apparaissent et disent ""attendez !! Alors qu'est-ce que le polo d'eau ??"".")</f>
        <v>Un écran bleu apparaît alors et les mots de texte blanc apparaissent et disent "attendez !! Alors qu'est-ce que le polo d'eau ??".</v>
      </c>
    </row>
    <row r="19001">
      <c r="A19001" s="4" t="s">
        <v>23907</v>
      </c>
      <c r="B19001" s="6" t="s">
        <v>23910</v>
      </c>
      <c r="C19001" s="5" t="str">
        <f>IFERROR(__xludf.DUMMYFUNCTION("GOOGLETRANSLATE(B19001,""en"",""fr"")"),"Divers clips de nombreux hommes jouant du water-polo dans une piscine commencent à jouer et ils leur montrent des éclaboussures dans l'eau, se battant pour le ballon, nageant et essayant de faire un but au filet qui est au bout d'une piscine.")</f>
        <v>Divers clips de nombreux hommes jouant du water-polo dans une piscine commencent à jouer et ils leur montrent des éclaboussures dans l'eau, se battant pour le ballon, nageant et essayant de faire un but au filet qui est au bout d'une piscine.</v>
      </c>
    </row>
    <row r="19002">
      <c r="A19002" s="4" t="s">
        <v>23907</v>
      </c>
      <c r="B19002" s="6" t="s">
        <v>23911</v>
      </c>
      <c r="C19002" s="5" t="str">
        <f>IFERROR(__xludf.DUMMYFUNCTION("GOOGLETRANSLATE(B19002,""en"",""fr"")"),"Un autre écran bleu apparaît et il a du texte blanc qui dit ""OK puis nous voici en action"" et de nombreux images encore photographiées affichage de personnes jouant du polo d'eau dans la piscine, ou tout simplement sont affichées.")</f>
        <v>Un autre écran bleu apparaît et il a du texte blanc qui dit "OK puis nous voici en action" et de nombreux images encore photographiées affichage de personnes jouant du polo d'eau dans la piscine, ou tout simplement sont affichées.</v>
      </c>
    </row>
    <row r="19003">
      <c r="A19003" s="4" t="s">
        <v>23907</v>
      </c>
      <c r="B19003" s="6" t="s">
        <v>23912</v>
      </c>
      <c r="C19003" s="5" t="str">
        <f>IFERROR(__xludf.DUMMYFUNCTION("GOOGLETRANSLATE(B19003,""en"",""fr"")"),"Lorsque les images sont effectuées, un écran bleu apparaît avec beaucoup de mots blancs qui disent essentiellement que si vous êtes intéressé par ce que vous venez de voir, il vous suffit de contacter l'un d'eux.")</f>
        <v>Lorsque les images sont effectuées, un écran bleu apparaît avec beaucoup de mots blancs qui disent essentiellement que si vous êtes intéressé par ce que vous venez de voir, il vous suffit de contacter l'un d'eux.</v>
      </c>
    </row>
    <row r="19004">
      <c r="A19004" s="4" t="s">
        <v>23913</v>
      </c>
      <c r="B19004" s="4" t="s">
        <v>23914</v>
      </c>
      <c r="C19004" s="5" t="str">
        <f>IFERROR(__xludf.DUMMYFUNCTION("GOOGLETRANSLATE(B19004,""en"",""fr"")"),"Plusieurs personnes parlent dans les microphones sur scène.")</f>
        <v>Plusieurs personnes parlent dans les microphones sur scène.</v>
      </c>
    </row>
    <row r="19005">
      <c r="A19005" s="4" t="s">
        <v>23913</v>
      </c>
      <c r="B19005" s="4" t="s">
        <v>23915</v>
      </c>
      <c r="C19005" s="5" t="str">
        <f>IFERROR(__xludf.DUMMYFUNCTION("GOOGLETRANSLATE(B19005,""en"",""fr"")"),"L'un des hommes commence à jouer d'un violon.")</f>
        <v>L'un des hommes commence à jouer d'un violon.</v>
      </c>
    </row>
    <row r="19006">
      <c r="A19006" s="4" t="s">
        <v>23913</v>
      </c>
      <c r="B19006" s="4" t="s">
        <v>23916</v>
      </c>
      <c r="C19006" s="5" t="str">
        <f>IFERROR(__xludf.DUMMYFUNCTION("GOOGLETRANSLATE(B19006,""en"",""fr"")"),"Il donne le violon à un autre homme qui le joue.")</f>
        <v>Il donne le violon à un autre homme qui le joue.</v>
      </c>
    </row>
    <row r="19007">
      <c r="A19007" s="4" t="s">
        <v>23913</v>
      </c>
      <c r="B19007" s="4" t="s">
        <v>23917</v>
      </c>
      <c r="C19007" s="5" t="str">
        <f>IFERROR(__xludf.DUMMYFUNCTION("GOOGLETRANSLATE(B19007,""en"",""fr"")"),"Le public commence à applaudir pour eux.")</f>
        <v>Le public commence à applaudir pour eux.</v>
      </c>
    </row>
    <row r="19008">
      <c r="A19008" s="4" t="s">
        <v>23918</v>
      </c>
      <c r="B19008" s="4" t="s">
        <v>23919</v>
      </c>
      <c r="C19008" s="5" t="str">
        <f>IFERROR(__xludf.DUMMYFUNCTION("GOOGLETRANSLATE(B19008,""en"",""fr"")"),"Un grand homme danse dans une pièce sombre.")</f>
        <v>Un grand homme danse dans une pièce sombre.</v>
      </c>
    </row>
    <row r="19009">
      <c r="A19009" s="4" t="s">
        <v>23918</v>
      </c>
      <c r="B19009" s="4" t="s">
        <v>23920</v>
      </c>
      <c r="C19009" s="5" t="str">
        <f>IFERROR(__xludf.DUMMYFUNCTION("GOOGLETRANSLATE(B19009,""en"",""fr"")"),"Les gens derrière lui rient et applaudissent.")</f>
        <v>Les gens derrière lui rient et applaudissent.</v>
      </c>
    </row>
    <row r="19010">
      <c r="A19010" s="4" t="s">
        <v>23918</v>
      </c>
      <c r="B19010" s="4" t="s">
        <v>23921</v>
      </c>
      <c r="C19010" s="5" t="str">
        <f>IFERROR(__xludf.DUMMYFUNCTION("GOOGLETRANSLATE(B19010,""en"",""fr"")"),"Il lance des fléchettes sur une cible au loin.")</f>
        <v>Il lance des fléchettes sur une cible au loin.</v>
      </c>
    </row>
    <row r="19011">
      <c r="A19011" s="4" t="s">
        <v>23922</v>
      </c>
      <c r="B19011" s="4" t="s">
        <v>23923</v>
      </c>
      <c r="C19011" s="5" t="str">
        <f>IFERROR(__xludf.DUMMYFUNCTION("GOOGLETRANSLATE(B19011,""en"",""fr"")"),"Une femme est vue avec vue portant un tanktop avec du texte d'introduction.")</f>
        <v>Une femme est vue avec vue portant un tanktop avec du texte d'introduction.</v>
      </c>
    </row>
    <row r="19012">
      <c r="A19012" s="4" t="s">
        <v>23922</v>
      </c>
      <c r="B19012" s="4" t="s">
        <v>23924</v>
      </c>
      <c r="C19012" s="5" t="str">
        <f>IFERROR(__xludf.DUMMYFUNCTION("GOOGLETRANSLATE(B19012,""en"",""fr"")"),"La femme a des cheveux attachés et applique le maquillage des yeux aux yeux en utilisant divers pinceaux et couleurs.")</f>
        <v>La femme a des cheveux attachés et applique le maquillage des yeux aux yeux en utilisant divers pinceaux et couleurs.</v>
      </c>
    </row>
    <row r="19013">
      <c r="A19013" s="4" t="s">
        <v>23922</v>
      </c>
      <c r="B19013" s="4" t="s">
        <v>23925</v>
      </c>
      <c r="C19013" s="5" t="str">
        <f>IFERROR(__xludf.DUMMYFUNCTION("GOOGLETRANSLATE(B19013,""en"",""fr"")"),"La femme commence à mettre le revêtement des yeux avec un beau crayon.")</f>
        <v>La femme commence à mettre le revêtement des yeux avec un beau crayon.</v>
      </c>
    </row>
    <row r="19014">
      <c r="A19014" s="4" t="s">
        <v>23922</v>
      </c>
      <c r="B19014" s="4" t="s">
        <v>23926</v>
      </c>
      <c r="C19014" s="5" t="str">
        <f>IFERROR(__xludf.DUMMYFUNCTION("GOOGLETRANSLATE(B19014,""en"",""fr"")"),"Les femmes retirent les liens en tissu d'ici et laissent ses cheveux qui sont maintenant bouclés.")</f>
        <v>Les femmes retirent les liens en tissu d'ici et laissent ses cheveux qui sont maintenant bouclés.</v>
      </c>
    </row>
    <row r="19015">
      <c r="A19015" s="4" t="s">
        <v>23922</v>
      </c>
      <c r="B19015" s="4" t="s">
        <v>23927</v>
      </c>
      <c r="C19015" s="5" t="str">
        <f>IFERROR(__xludf.DUMMYFUNCTION("GOOGLETRANSLATE(B19015,""en"",""fr"")"),"La femme utilise un peigne et un peupray pour lisser les parties d'ici les cheveux puis les lie.")</f>
        <v>La femme utilise un peigne et un peupray pour lisser les parties d'ici les cheveux puis les lie.</v>
      </c>
    </row>
    <row r="19016">
      <c r="A19016" s="4" t="s">
        <v>23922</v>
      </c>
      <c r="B19016" s="4" t="s">
        <v>23928</v>
      </c>
      <c r="C19016" s="5" t="str">
        <f>IFERROR(__xludf.DUMMYFUNCTION("GOOGLETRANSLATE(B19016,""en"",""fr"")"),"Les messages de Tex sont affichés à la fin de la vidéo.")</f>
        <v>Les messages de Tex sont affichés à la fin de la vidéo.</v>
      </c>
    </row>
    <row r="19017">
      <c r="A19017" s="4" t="s">
        <v>23929</v>
      </c>
      <c r="B19017" s="4" t="s">
        <v>23930</v>
      </c>
      <c r="C19017" s="5" t="str">
        <f>IFERROR(__xludf.DUMMYFUNCTION("GOOGLETRANSLATE(B19017,""en"",""fr"")"),"Une personne répare une sangle sur un gars.")</f>
        <v>Une personne répare une sangle sur un gars.</v>
      </c>
    </row>
    <row r="19018">
      <c r="A19018" s="4" t="s">
        <v>23929</v>
      </c>
      <c r="B19018" s="4" t="s">
        <v>23931</v>
      </c>
      <c r="C19018" s="5" t="str">
        <f>IFERROR(__xludf.DUMMYFUNCTION("GOOGLETRANSLATE(B19018,""en"",""fr"")"),"Le gars se rapproche du bord.")</f>
        <v>Le gars se rapproche du bord.</v>
      </c>
    </row>
    <row r="19019">
      <c r="A19019" s="4" t="s">
        <v>23929</v>
      </c>
      <c r="B19019" s="4" t="s">
        <v>23932</v>
      </c>
      <c r="C19019" s="5" t="str">
        <f>IFERROR(__xludf.DUMMYFUNCTION("GOOGLETRANSLATE(B19019,""en"",""fr"")"),"Deux hommes mettent des crochets sur le gars.")</f>
        <v>Deux hommes mettent des crochets sur le gars.</v>
      </c>
    </row>
    <row r="19020">
      <c r="A19020" s="4" t="s">
        <v>23929</v>
      </c>
      <c r="B19020" s="4" t="s">
        <v>23933</v>
      </c>
      <c r="C19020" s="5" t="str">
        <f>IFERROR(__xludf.DUMMYFUNCTION("GOOGLETRANSLATE(B19020,""en"",""fr"")"),"Un homme libère une corde.")</f>
        <v>Un homme libère une corde.</v>
      </c>
    </row>
    <row r="19021">
      <c r="A19021" s="4" t="s">
        <v>23929</v>
      </c>
      <c r="B19021" s="4" t="s">
        <v>23934</v>
      </c>
      <c r="C19021" s="5" t="str">
        <f>IFERROR(__xludf.DUMMYFUNCTION("GOOGLETRANSLATE(B19021,""en"",""fr"")"),"Le gars saute du bord ou des sauts élastiques.")</f>
        <v>Le gars saute du bord ou des sauts élastiques.</v>
      </c>
    </row>
    <row r="19022">
      <c r="A19022" s="4" t="s">
        <v>23935</v>
      </c>
      <c r="B19022" s="4" t="s">
        <v>23936</v>
      </c>
      <c r="C19022" s="5" t="str">
        <f>IFERROR(__xludf.DUMMYFUNCTION("GOOGLETRANSLATE(B19022,""en"",""fr"")"),"Une fanfare défilée dans la rue, jouant de la batterie et d'autres instruments.")</f>
        <v>Une fanfare défilée dans la rue, jouant de la batterie et d'autres instruments.</v>
      </c>
    </row>
    <row r="19023">
      <c r="A19023" s="4" t="s">
        <v>23935</v>
      </c>
      <c r="B19023" s="4" t="s">
        <v>23937</v>
      </c>
      <c r="C19023" s="5" t="str">
        <f>IFERROR(__xludf.DUMMYFUNCTION("GOOGLETRANSLATE(B19023,""en"",""fr"")"),"Les gens des deux côtés de la rue regardent le groupe se produire.")</f>
        <v>Les gens des deux côtés de la rue regardent le groupe se produire.</v>
      </c>
    </row>
    <row r="19024">
      <c r="A19024" s="4" t="s">
        <v>23938</v>
      </c>
      <c r="B19024" s="4" t="s">
        <v>23939</v>
      </c>
      <c r="C19024" s="5" t="str">
        <f>IFERROR(__xludf.DUMMYFUNCTION("GOOGLETRANSLATE(B19024,""en"",""fr"")"),"Une femme aux cheveux longs parle de la caméra.")</f>
        <v>Une femme aux cheveux longs parle de la caméra.</v>
      </c>
    </row>
    <row r="19025">
      <c r="A19025" s="4" t="s">
        <v>23938</v>
      </c>
      <c r="B19025" s="4" t="s">
        <v>23940</v>
      </c>
      <c r="C19025" s="5" t="str">
        <f>IFERROR(__xludf.DUMMYFUNCTION("GOOGLETRANSLATE(B19025,""en"",""fr"")"),"Elle tient une longue brosse.")</f>
        <v>Elle tient une longue brosse.</v>
      </c>
    </row>
    <row r="19026">
      <c r="A19026" s="4" t="s">
        <v>23938</v>
      </c>
      <c r="B19026" s="4" t="s">
        <v>23941</v>
      </c>
      <c r="C19026" s="5" t="str">
        <f>IFERROR(__xludf.DUMMYFUNCTION("GOOGLETRANSLATE(B19026,""en"",""fr"")"),"Elle montre comment utiliser la brosse pour gratter la neige d'une voiture.")</f>
        <v>Elle montre comment utiliser la brosse pour gratter la neige d'une voiture.</v>
      </c>
    </row>
    <row r="19027">
      <c r="A19027" s="4" t="s">
        <v>23938</v>
      </c>
      <c r="B19027" s="4" t="s">
        <v>23942</v>
      </c>
      <c r="C19027" s="5" t="str">
        <f>IFERROR(__xludf.DUMMYFUNCTION("GOOGLETRANSLATE(B19027,""en"",""fr"")"),"Quand elle a fini, elle continue de parler du pinceau.")</f>
        <v>Quand elle a fini, elle continue de parler du pinceau.</v>
      </c>
    </row>
    <row r="19028">
      <c r="A19028" s="4" t="s">
        <v>23943</v>
      </c>
      <c r="B19028" s="4" t="s">
        <v>23944</v>
      </c>
      <c r="C19028" s="5" t="str">
        <f>IFERROR(__xludf.DUMMYFUNCTION("GOOGLETRANSLATE(B19028,""en"",""fr"")"),"Une dame genoue, tandis qu'un gars marche et instruit.")</f>
        <v>Une dame genoue, tandis qu'un gars marche et instruit.</v>
      </c>
    </row>
    <row r="19029">
      <c r="A19029" s="4" t="s">
        <v>23943</v>
      </c>
      <c r="B19029" s="4" t="s">
        <v>23945</v>
      </c>
      <c r="C19029" s="5" t="str">
        <f>IFERROR(__xludf.DUMMYFUNCTION("GOOGLETRANSLATE(B19029,""en"",""fr"")"),"La dame place les deux mains derrière sa tête.")</f>
        <v>La dame place les deux mains derrière sa tête.</v>
      </c>
    </row>
    <row r="19030">
      <c r="A19030" s="4" t="s">
        <v>23946</v>
      </c>
      <c r="B19030" s="4" t="s">
        <v>23947</v>
      </c>
      <c r="C19030" s="5" t="str">
        <f>IFERROR(__xludf.DUMMYFUNCTION("GOOGLETRANSLATE(B19030,""en"",""fr"")"),"Une dame se brosse les cheveux.")</f>
        <v>Une dame se brosse les cheveux.</v>
      </c>
    </row>
    <row r="19031">
      <c r="A19031" s="4" t="s">
        <v>23946</v>
      </c>
      <c r="B19031" s="4" t="s">
        <v>23948</v>
      </c>
      <c r="C19031" s="5" t="str">
        <f>IFERROR(__xludf.DUMMYFUNCTION("GOOGLETRANSLATE(B19031,""en"",""fr"")"),"La dame se brosse les cheveux en dessous.")</f>
        <v>La dame se brosse les cheveux en dessous.</v>
      </c>
    </row>
    <row r="19032">
      <c r="A19032" s="4" t="s">
        <v>23946</v>
      </c>
      <c r="B19032" s="4" t="s">
        <v>23949</v>
      </c>
      <c r="C19032" s="5" t="str">
        <f>IFERROR(__xludf.DUMMYFUNCTION("GOOGLETRANSLATE(B19032,""en"",""fr"")"),"115 La dame passe sa main dans ses cheveux.")</f>
        <v>115 La dame passe sa main dans ses cheveux.</v>
      </c>
    </row>
    <row r="19033">
      <c r="A19033" s="4" t="s">
        <v>23946</v>
      </c>
      <c r="B19033" s="4" t="s">
        <v>23950</v>
      </c>
      <c r="C19033" s="5" t="str">
        <f>IFERROR(__xludf.DUMMYFUNCTION("GOOGLETRANSLATE(B19033,""en"",""fr"")"),"La dame termine et s'assoit debout.")</f>
        <v>La dame termine et s'assoit debout.</v>
      </c>
    </row>
    <row r="19034">
      <c r="A19034" s="4" t="s">
        <v>23951</v>
      </c>
      <c r="B19034" s="4" t="s">
        <v>23952</v>
      </c>
      <c r="C19034" s="5" t="str">
        <f>IFERROR(__xludf.DUMMYFUNCTION("GOOGLETRANSLATE(B19034,""en"",""fr"")"),"Les mains d'une personne sont montrées en jouant du piano.")</f>
        <v>Les mains d'une personne sont montrées en jouant du piano.</v>
      </c>
    </row>
    <row r="19035">
      <c r="A19035" s="4" t="s">
        <v>23951</v>
      </c>
      <c r="B19035" s="4" t="s">
        <v>23953</v>
      </c>
      <c r="C19035" s="5" t="str">
        <f>IFERROR(__xludf.DUMMYFUNCTION("GOOGLETRANSLATE(B19035,""en"",""fr"")"),"Un gros plan d'une trompette montre un homme jouant.")</f>
        <v>Un gros plan d'une trompette montre un homme jouant.</v>
      </c>
    </row>
    <row r="19036">
      <c r="A19036" s="4" t="s">
        <v>23951</v>
      </c>
      <c r="B19036" s="4" t="s">
        <v>23954</v>
      </c>
      <c r="C19036" s="5" t="str">
        <f>IFERROR(__xludf.DUMMYFUNCTION("GOOGLETRANSLATE(B19036,""en"",""fr"")"),"La vidéo s'estompe aux gens qui jouent sur scène.")</f>
        <v>La vidéo s'estompe aux gens qui jouent sur scène.</v>
      </c>
    </row>
    <row r="19037">
      <c r="A19037" s="4" t="s">
        <v>23951</v>
      </c>
      <c r="B19037" s="4" t="s">
        <v>23955</v>
      </c>
      <c r="C19037" s="5" t="str">
        <f>IFERROR(__xludf.DUMMYFUNCTION("GOOGLETRANSLATE(B19037,""en"",""fr"")"),"La caméra zoome sur le trompettiste.")</f>
        <v>La caméra zoome sur le trompettiste.</v>
      </c>
    </row>
    <row r="19038">
      <c r="A19038" s="4" t="s">
        <v>23951</v>
      </c>
      <c r="B19038" s="4" t="s">
        <v>23956</v>
      </c>
      <c r="C19038" s="5" t="str">
        <f>IFERROR(__xludf.DUMMYFUNCTION("GOOGLETRANSLATE(B19038,""en"",""fr"")"),"Une fille est montrée en jouant du piano.")</f>
        <v>Une fille est montrée en jouant du piano.</v>
      </c>
    </row>
    <row r="19039">
      <c r="A19039" s="4" t="s">
        <v>23951</v>
      </c>
      <c r="B19039" s="4" t="s">
        <v>23957</v>
      </c>
      <c r="C19039" s="5" t="str">
        <f>IFERROR(__xludf.DUMMYFUNCTION("GOOGLETRANSLATE(B19039,""en"",""fr"")"),"Le duo continue de jouer jusqu'à la fin de la chanson.")</f>
        <v>Le duo continue de jouer jusqu'à la fin de la chanson.</v>
      </c>
    </row>
    <row r="19040">
      <c r="A19040" s="4" t="s">
        <v>23958</v>
      </c>
      <c r="B19040" s="4" t="s">
        <v>23959</v>
      </c>
      <c r="C19040" s="5" t="str">
        <f>IFERROR(__xludf.DUMMYFUNCTION("GOOGLETRANSLATE(B19040,""en"",""fr"")"),"Un homme a grimpé une grande échelle à l'extérieur.")</f>
        <v>Un homme a grimpé une grande échelle à l'extérieur.</v>
      </c>
    </row>
    <row r="19041">
      <c r="A19041" s="4" t="s">
        <v>23958</v>
      </c>
      <c r="B19041" s="4" t="s">
        <v>23960</v>
      </c>
      <c r="C19041" s="5" t="str">
        <f>IFERROR(__xludf.DUMMYFUNCTION("GOOGLETRANSLATE(B19041,""en"",""fr"")"),"Il utilise des coupeurs pour couper et couper les grands arbres.")</f>
        <v>Il utilise des coupeurs pour couper et couper les grands arbres.</v>
      </c>
    </row>
    <row r="19042">
      <c r="A19042" s="4" t="s">
        <v>23958</v>
      </c>
      <c r="B19042" s="4" t="s">
        <v>23961</v>
      </c>
      <c r="C19042" s="5" t="str">
        <f>IFERROR(__xludf.DUMMYFUNCTION("GOOGLETRANSLATE(B19042,""en"",""fr"")"),"Il tend la main, coupant les branches et les brindilles.")</f>
        <v>Il tend la main, coupant les branches et les brindilles.</v>
      </c>
    </row>
    <row r="19043">
      <c r="A19043" s="4" t="s">
        <v>23962</v>
      </c>
      <c r="B19043" s="4" t="s">
        <v>23963</v>
      </c>
      <c r="C19043" s="5" t="str">
        <f>IFERROR(__xludf.DUMMYFUNCTION("GOOGLETRANSLATE(B19043,""en"",""fr"")"),"Un homme est vu tenant une raquette de tennis et commence à frapper une balle dans une pièce.")</f>
        <v>Un homme est vu tenant une raquette de tennis et commence à frapper une balle dans une pièce.</v>
      </c>
    </row>
    <row r="19044">
      <c r="A19044" s="4" t="s">
        <v>23962</v>
      </c>
      <c r="B19044" s="4" t="s">
        <v>23964</v>
      </c>
      <c r="C19044" s="5" t="str">
        <f>IFERROR(__xludf.DUMMYFUNCTION("GOOGLETRANSLATE(B19044,""en"",""fr"")"),"Un autre homme est dans le cadre qui tient également une raquette de tennis et frappe une balle autour.")</f>
        <v>Un autre homme est dans le cadre qui tient également une raquette de tennis et frappe une balle autour.</v>
      </c>
    </row>
    <row r="19045">
      <c r="A19045" s="4" t="s">
        <v>23962</v>
      </c>
      <c r="B19045" s="6" t="s">
        <v>23965</v>
      </c>
      <c r="C19045" s="5" t="str">
        <f>IFERROR(__xludf.DUMMYFUNCTION("GOOGLETRANSLATE(B19045,""en"",""fr"")"),"Les hommes continuent de jouer entre eux dans la pièce pendant que la caméra suit leurs mouvements.")</f>
        <v>Les hommes continuent de jouer entre eux dans la pièce pendant que la caméra suit leurs mouvements.</v>
      </c>
    </row>
    <row r="19046">
      <c r="A19046" s="4" t="s">
        <v>23966</v>
      </c>
      <c r="B19046" s="4" t="s">
        <v>23967</v>
      </c>
      <c r="C19046" s="5" t="str">
        <f>IFERROR(__xludf.DUMMYFUNCTION("GOOGLETRANSLATE(B19046,""en"",""fr"")"),"Plusieurs joueurs de la LNH jouent à un match de hockey dans un stade de hockey.")</f>
        <v>Plusieurs joueurs de la LNH jouent à un match de hockey dans un stade de hockey.</v>
      </c>
    </row>
    <row r="19047">
      <c r="A19047" s="4" t="s">
        <v>23966</v>
      </c>
      <c r="B19047" s="4" t="s">
        <v>23968</v>
      </c>
      <c r="C19047" s="5" t="str">
        <f>IFERROR(__xludf.DUMMYFUNCTION("GOOGLETRANSLATE(B19047,""en"",""fr"")"),"L'un des joueurs est montré exprimant sa colère contre le jeu.")</f>
        <v>L'un des joueurs est montré exprimant sa colère contre le jeu.</v>
      </c>
    </row>
    <row r="19048">
      <c r="A19048" s="4" t="s">
        <v>23966</v>
      </c>
      <c r="B19048" s="4" t="s">
        <v>23969</v>
      </c>
      <c r="C19048" s="5" t="str">
        <f>IFERROR(__xludf.DUMMYFUNCTION("GOOGLETRANSLATE(B19048,""en"",""fr"")"),"Un lanceur de nouvelles arrive sur l'écran pour annoncer un segment d'un segment sur les effondrements de hockey.")</f>
        <v>Un lanceur de nouvelles arrive sur l'écran pour annoncer un segment d'un segment sur les effondrements de hockey.</v>
      </c>
    </row>
    <row r="19049">
      <c r="A19049" s="4" t="s">
        <v>23966</v>
      </c>
      <c r="B19049" s="4" t="s">
        <v>23970</v>
      </c>
      <c r="C19049" s="5" t="str">
        <f>IFERROR(__xludf.DUMMYFUNCTION("GOOGLETRANSLATE(B19049,""en"",""fr"")"),"Les dix premiers hockey fondues sont ensuite affichés.")</f>
        <v>Les dix premiers hockey fondues sont ensuite affichés.</v>
      </c>
    </row>
    <row r="19050">
      <c r="A19050" s="4" t="s">
        <v>23971</v>
      </c>
      <c r="B19050" s="4" t="s">
        <v>23972</v>
      </c>
      <c r="C19050" s="5" t="str">
        <f>IFERROR(__xludf.DUMMYFUNCTION("GOOGLETRANSLATE(B19050,""en"",""fr"")"),"Un homme coupe une grande haie avec une coupe-poteaux.")</f>
        <v>Un homme coupe une grande haie avec une coupe-poteaux.</v>
      </c>
    </row>
    <row r="19051">
      <c r="A19051" s="4" t="s">
        <v>23971</v>
      </c>
      <c r="B19051" s="4" t="s">
        <v>23973</v>
      </c>
      <c r="C19051" s="5" t="str">
        <f>IFERROR(__xludf.DUMMYFUNCTION("GOOGLETRANSLATE(B19051,""en"",""fr"")"),"Il y a plusieurs gros plans de l'outil en action.")</f>
        <v>Il y a plusieurs gros plans de l'outil en action.</v>
      </c>
    </row>
    <row r="19052">
      <c r="A19052" s="4" t="s">
        <v>23971</v>
      </c>
      <c r="B19052" s="4" t="s">
        <v>23974</v>
      </c>
      <c r="C19052" s="5" t="str">
        <f>IFERROR(__xludf.DUMMYFUNCTION("GOOGLETRANSLATE(B19052,""en"",""fr"")"),"Plusieurs extensions sont montrées pour cela.")</f>
        <v>Plusieurs extensions sont montrées pour cela.</v>
      </c>
    </row>
    <row r="19053">
      <c r="A19053" s="4" t="s">
        <v>23971</v>
      </c>
      <c r="B19053" s="4" t="s">
        <v>23975</v>
      </c>
      <c r="C19053" s="5" t="str">
        <f>IFERROR(__xludf.DUMMYFUNCTION("GOOGLETRANSLATE(B19053,""en"",""fr"")"),"L'homme coupe un arbre avec.")</f>
        <v>L'homme coupe un arbre avec.</v>
      </c>
    </row>
    <row r="19054">
      <c r="A19054" s="4" t="s">
        <v>23976</v>
      </c>
      <c r="B19054" s="4" t="s">
        <v>23977</v>
      </c>
      <c r="C19054" s="5" t="str">
        <f>IFERROR(__xludf.DUMMYFUNCTION("GOOGLETRANSLATE(B19054,""en"",""fr"")"),"Une femme est vue parler à la caméra et l'amène en jouant avec ses cheveux et en le pinçant.")</f>
        <v>Une femme est vue parler à la caméra et l'amène en jouant avec ses cheveux et en le pinçant.</v>
      </c>
    </row>
    <row r="19055">
      <c r="A19055" s="4" t="s">
        <v>23976</v>
      </c>
      <c r="B19055" s="4" t="s">
        <v>23978</v>
      </c>
      <c r="C19055" s="5" t="str">
        <f>IFERROR(__xludf.DUMMYFUNCTION("GOOGLETRANSLATE(B19055,""en"",""fr"")"),"Elle commence à tresser ses cheveux à divers endroits tout en parlant à la caméra.")</f>
        <v>Elle commence à tresser ses cheveux à divers endroits tout en parlant à la caméra.</v>
      </c>
    </row>
    <row r="19056">
      <c r="A19056" s="4" t="s">
        <v>23976</v>
      </c>
      <c r="B19056" s="4" t="s">
        <v>23979</v>
      </c>
      <c r="C19056" s="5" t="str">
        <f>IFERROR(__xludf.DUMMYFUNCTION("GOOGLETRANSLATE(B19056,""en"",""fr"")"),"Elle attache ses cheveux autour de sa tête et se termine en parlant à la caméra.")</f>
        <v>Elle attache ses cheveux autour de sa tête et se termine en parlant à la caméra.</v>
      </c>
    </row>
    <row r="19057">
      <c r="A19057" s="4" t="s">
        <v>23980</v>
      </c>
      <c r="B19057" s="4" t="s">
        <v>23981</v>
      </c>
      <c r="C19057" s="5" t="str">
        <f>IFERROR(__xludf.DUMMYFUNCTION("GOOGLETRANSLATE(B19057,""en"",""fr"")"),"Une fille tient un bâton sa main.")</f>
        <v>Une fille tient un bâton sa main.</v>
      </c>
    </row>
    <row r="19058">
      <c r="A19058" s="4" t="s">
        <v>23980</v>
      </c>
      <c r="B19058" s="4" t="s">
        <v>23982</v>
      </c>
      <c r="C19058" s="5" t="str">
        <f>IFERROR(__xludf.DUMMYFUNCTION("GOOGLETRANSLATE(B19058,""en"",""fr"")"),"Elle le jette à un garçon à côté d'elle.")</f>
        <v>Elle le jette à un garçon à côté d'elle.</v>
      </c>
    </row>
    <row r="19059">
      <c r="A19059" s="4" t="s">
        <v>23980</v>
      </c>
      <c r="B19059" s="4" t="s">
        <v>23983</v>
      </c>
      <c r="C19059" s="5" t="str">
        <f>IFERROR(__xludf.DUMMYFUNCTION("GOOGLETRANSLATE(B19059,""en"",""fr"")"),"Ils le jettent à tour de rôle en l'air et l'attrapent.")</f>
        <v>Ils le jettent à tour de rôle en l'air et l'attrapent.</v>
      </c>
    </row>
    <row r="19060">
      <c r="A19060" s="4" t="s">
        <v>23984</v>
      </c>
      <c r="B19060" s="4" t="s">
        <v>23985</v>
      </c>
      <c r="C19060" s="5" t="str">
        <f>IFERROR(__xludf.DUMMYFUNCTION("GOOGLETRANSLATE(B19060,""en"",""fr"")"),"La caméra secoue sur une image d'un terrain de volley-ball intérieur.")</f>
        <v>La caméra secoue sur une image d'un terrain de volley-ball intérieur.</v>
      </c>
    </row>
    <row r="19061">
      <c r="A19061" s="4" t="s">
        <v>23984</v>
      </c>
      <c r="B19061" s="4" t="s">
        <v>23986</v>
      </c>
      <c r="C19061" s="5" t="str">
        <f>IFERROR(__xludf.DUMMYFUNCTION("GOOGLETRANSLATE(B19061,""en"",""fr"")"),"Une femme revient du filet pour frapper le volleyball entrant.")</f>
        <v>Une femme revient du filet pour frapper le volleyball entrant.</v>
      </c>
    </row>
    <row r="19062">
      <c r="A19062" s="4" t="s">
        <v>23984</v>
      </c>
      <c r="B19062" s="4" t="s">
        <v>23987</v>
      </c>
      <c r="C19062" s="5" t="str">
        <f>IFERROR(__xludf.DUMMYFUNCTION("GOOGLETRANSLATE(B19062,""en"",""fr"")"),"Un autre membre de l'équipe frappe également le ballon et l'envoie à travers le filet.")</f>
        <v>Un autre membre de l'équipe frappe également le ballon et l'envoie à travers le filet.</v>
      </c>
    </row>
    <row r="19063">
      <c r="A19063" s="4" t="s">
        <v>23988</v>
      </c>
      <c r="B19063" s="6" t="s">
        <v>23989</v>
      </c>
      <c r="C19063" s="5" t="str">
        <f>IFERROR(__xludf.DUMMYFUNCTION("GOOGLETRANSLATE(B19063,""en"",""fr"")"),"L'homme porte un tablier alors qu'il entre dans l'espace des œuvres et les mots ""Conti Ski-Boots Présente le fonctionnement de la course"" est superposé sur l'écran alors qu'il attrape un poteau de ski et ramasse un exercice et l'utilise sur le dessus de"&amp;" la ski.")</f>
        <v>L'homme porte un tablier alors qu'il entre dans l'espace des œuvres et les mots "Conti Ski-Boots Présente le fonctionnement de la course" est superposé sur l'écran alors qu'il attrape un poteau de ski et ramasse un exercice et l'utilise sur le dessus de la ski.</v>
      </c>
    </row>
    <row r="19064">
      <c r="A19064" s="4" t="s">
        <v>23988</v>
      </c>
      <c r="B19064" s="6" t="s">
        <v>23990</v>
      </c>
      <c r="C19064" s="5" t="str">
        <f>IFERROR(__xludf.DUMMYFUNCTION("GOOGLETRANSLATE(B19064,""en"",""fr"")"),"L'homme attrape ensuite le ski et le met dans la machinerie verte qui est située derrière lui et la passe à travers la machine plusieurs fois puis la retire et les étoiles pour travailler à l'arrière du ski qui semble avoir l'air de poncer, enregistrer et"&amp;" verser un certain type de finition claire dessus.")</f>
        <v>L'homme attrape ensuite le ski et le met dans la machinerie verte qui est située derrière lui et la passe à travers la machine plusieurs fois puis la retire et les étoiles pour travailler à l'arrière du ski qui semble avoir l'air de poncer, enregistrer et verser un certain type de finition claire dessus.</v>
      </c>
    </row>
    <row r="19065">
      <c r="A19065" s="4" t="s">
        <v>23988</v>
      </c>
      <c r="B19065" s="6" t="s">
        <v>23991</v>
      </c>
      <c r="C19065" s="5" t="str">
        <f>IFERROR(__xludf.DUMMYFUNCTION("GOOGLETRANSLATE(B19065,""en"",""fr"")"),"L'homme exécute ensuite un appareil sur le ciel qui ressemble à un fer et continue de le poncer, de le nettoyer, de le gratter et d'utiliser à nouveau l'appareil de repassage.")</f>
        <v>L'homme exécute ensuite un appareil sur le ciel qui ressemble à un fer et continue de le poncer, de le nettoyer, de le gratter et d'utiliser à nouveau l'appareil de repassage.</v>
      </c>
    </row>
    <row r="19066">
      <c r="A19066" s="4" t="s">
        <v>23988</v>
      </c>
      <c r="B19066" s="4" t="s">
        <v>23992</v>
      </c>
      <c r="C19066" s="5" t="str">
        <f>IFERROR(__xludf.DUMMYFUNCTION("GOOGLETRANSLATE(B19066,""en"",""fr"")"),"L'homme retire ensuite la bande et tourne le ski sur le côté pour le gratter.")</f>
        <v>L'homme retire ensuite la bande et tourne le ski sur le côté pour le gratter.</v>
      </c>
    </row>
    <row r="19067">
      <c r="A19067" s="4" t="s">
        <v>23988</v>
      </c>
      <c r="B19067" s="6" t="s">
        <v>23993</v>
      </c>
      <c r="C19067" s="5" t="str">
        <f>IFERROR(__xludf.DUMMYFUNCTION("GOOGLETRANSLATE(B19067,""en"",""fr"")"),"Quand il a fini, il attrape le ski et le met dans un compartiment situé au-dessus de la machine verte.")</f>
        <v>Quand il a fini, il attrape le ski et le met dans un compartiment situé au-dessus de la machine verte.</v>
      </c>
    </row>
    <row r="19068">
      <c r="A19068" s="4" t="s">
        <v>23994</v>
      </c>
      <c r="B19068" s="4" t="s">
        <v>23995</v>
      </c>
      <c r="C19068" s="5" t="str">
        <f>IFERROR(__xludf.DUMMYFUNCTION("GOOGLETRANSLATE(B19068,""en"",""fr"")"),"Un garçon et une fille en uniforme de karaté jouent devant une caméra.")</f>
        <v>Un garçon et une fille en uniforme de karaté jouent devant une caméra.</v>
      </c>
    </row>
    <row r="19069">
      <c r="A19069" s="4" t="s">
        <v>23994</v>
      </c>
      <c r="B19069" s="4" t="s">
        <v>23996</v>
      </c>
      <c r="C19069" s="5" t="str">
        <f>IFERROR(__xludf.DUMMYFUNCTION("GOOGLETRANSLATE(B19069,""en"",""fr"")"),"Ils parlent de la façon dont ils ont gagné leurs uniformes de karaté et de ce qu'ils aiment dans le karaté.")</f>
        <v>Ils parlent de la façon dont ils ont gagné leurs uniformes de karaté et de ce qu'ils aiment dans le karaté.</v>
      </c>
    </row>
    <row r="19070">
      <c r="A19070" s="4" t="s">
        <v>23994</v>
      </c>
      <c r="B19070" s="4" t="s">
        <v>23997</v>
      </c>
      <c r="C19070" s="5" t="str">
        <f>IFERROR(__xludf.DUMMYFUNCTION("GOOGLETRANSLATE(B19070,""en"",""fr"")"),"La fille parle de son frère et plus de karaté.")</f>
        <v>La fille parle de son frère et plus de karaté.</v>
      </c>
    </row>
    <row r="19071">
      <c r="A19071" s="4" t="s">
        <v>23994</v>
      </c>
      <c r="B19071" s="4" t="s">
        <v>23998</v>
      </c>
      <c r="C19071" s="5" t="str">
        <f>IFERROR(__xludf.DUMMYFUNCTION("GOOGLETRANSLATE(B19071,""en"",""fr"")"),"La fille joue des effets sur son frère.")</f>
        <v>La fille joue des effets sur son frère.</v>
      </c>
    </row>
    <row r="19072">
      <c r="A19072" s="4" t="s">
        <v>23994</v>
      </c>
      <c r="B19072" s="4" t="s">
        <v>23999</v>
      </c>
      <c r="C19072" s="5" t="str">
        <f>IFERROR(__xludf.DUMMYFUNCTION("GOOGLETRANSLATE(B19072,""en"",""fr"")"),"La fille fait divers mouvements de karaté pour la caméra.")</f>
        <v>La fille fait divers mouvements de karaté pour la caméra.</v>
      </c>
    </row>
    <row r="19073">
      <c r="A19073" s="4" t="s">
        <v>23994</v>
      </c>
      <c r="B19073" s="4" t="s">
        <v>24000</v>
      </c>
      <c r="C19073" s="5" t="str">
        <f>IFERROR(__xludf.DUMMYFUNCTION("GOOGLETRANSLATE(B19073,""en"",""fr"")"),"Ensuite, le frère fait plusieurs mouvements de karaté différents pour la caméra.")</f>
        <v>Ensuite, le frère fait plusieurs mouvements de karaté différents pour la caméra.</v>
      </c>
    </row>
    <row r="19074">
      <c r="A19074" s="4" t="s">
        <v>24001</v>
      </c>
      <c r="B19074" s="6" t="s">
        <v>24002</v>
      </c>
      <c r="C19074" s="5" t="str">
        <f>IFERROR(__xludf.DUMMYFUNCTION("GOOGLETRANSLATE(B19074,""en"",""fr"")"),"Un homme est dans une zone criblée debout sur un cercle en béton et balance une balle sur une corde à deux fois au-dessus de sa tête.")</f>
        <v>Un homme est dans une zone criblée debout sur un cercle en béton et balance une balle sur une corde à deux fois au-dessus de sa tête.</v>
      </c>
    </row>
    <row r="19075">
      <c r="A19075" s="4" t="s">
        <v>24001</v>
      </c>
      <c r="B19075" s="4" t="s">
        <v>24003</v>
      </c>
      <c r="C19075" s="5" t="str">
        <f>IFERROR(__xludf.DUMMYFUNCTION("GOOGLETRANSLATE(B19075,""en"",""fr"")"),"L'homme commence alors rapidement à se tourner avec un ballon sur la corde.")</f>
        <v>L'homme commence alors rapidement à se tourner avec un ballon sur la corde.</v>
      </c>
    </row>
    <row r="19076">
      <c r="A19076" s="4" t="s">
        <v>24001</v>
      </c>
      <c r="B19076" s="4" t="s">
        <v>24004</v>
      </c>
      <c r="C19076" s="5" t="str">
        <f>IFERROR(__xludf.DUMMYFUNCTION("GOOGLETRANSLATE(B19076,""en"",""fr"")"),"Après des balançoires nombreuses et rapides et tourne, l'homme laisse aller la corde et le ballon va voler.")</f>
        <v>Après des balançoires nombreuses et rapides et tourne, l'homme laisse aller la corde et le ballon va voler.</v>
      </c>
    </row>
    <row r="19077">
      <c r="A19077" s="4" t="s">
        <v>24005</v>
      </c>
      <c r="B19077" s="4" t="s">
        <v>24006</v>
      </c>
      <c r="C19077" s="5" t="str">
        <f>IFERROR(__xludf.DUMMYFUNCTION("GOOGLETRANSLATE(B19077,""en"",""fr"")"),"Une personne lave la vaisselle à l'aide d'une brosse dans un évier.")</f>
        <v>Une personne lave la vaisselle à l'aide d'une brosse dans un évier.</v>
      </c>
    </row>
    <row r="19078">
      <c r="A19078" s="4" t="s">
        <v>24005</v>
      </c>
      <c r="B19078" s="4" t="s">
        <v>24007</v>
      </c>
      <c r="C19078" s="5" t="str">
        <f>IFERROR(__xludf.DUMMYFUNCTION("GOOGLETRANSLATE(B19078,""en"",""fr"")"),"Ensuite, la personne lave les ustensiles tout en nettoyant avec la brosse.")</f>
        <v>Ensuite, la personne lave les ustensiles tout en nettoyant avec la brosse.</v>
      </c>
    </row>
    <row r="19079">
      <c r="A19079" s="4" t="s">
        <v>24005</v>
      </c>
      <c r="B19079" s="4" t="s">
        <v>24008</v>
      </c>
      <c r="C19079" s="5" t="str">
        <f>IFERROR(__xludf.DUMMYFUNCTION("GOOGLETRANSLATE(B19079,""en"",""fr"")"),"Après, la personne verse un lave-vaisselle dans un verre et une tasse, puis brosser et rincer.")</f>
        <v>Après, la personne verse un lave-vaisselle dans un verre et une tasse, puis brosser et rincer.</v>
      </c>
    </row>
    <row r="19080">
      <c r="A19080" s="4" t="s">
        <v>24009</v>
      </c>
      <c r="B19080" s="4" t="s">
        <v>24010</v>
      </c>
      <c r="C19080" s="5" t="str">
        <f>IFERROR(__xludf.DUMMYFUNCTION("GOOGLETRANSLATE(B19080,""en"",""fr"")"),"Un homme regarde à travers une fenêtre Two Bears copule tout en brossant une chaussure.")</f>
        <v>Un homme regarde à travers une fenêtre Two Bears copule tout en brossant une chaussure.</v>
      </c>
    </row>
    <row r="19081">
      <c r="A19081" s="4" t="s">
        <v>24009</v>
      </c>
      <c r="B19081" s="4" t="s">
        <v>24011</v>
      </c>
      <c r="C19081" s="5" t="str">
        <f>IFERROR(__xludf.DUMMYFUNCTION("GOOGLETRANSLATE(B19081,""en"",""fr"")"),"Une fille entre dans la pièce et voir les ours, puis elle quitte la pièce.")</f>
        <v>Une fille entre dans la pièce et voir les ours, puis elle quitte la pièce.</v>
      </c>
    </row>
    <row r="19082">
      <c r="A19082" s="4" t="s">
        <v>24012</v>
      </c>
      <c r="B19082" s="4" t="s">
        <v>24013</v>
      </c>
      <c r="C19082" s="5" t="str">
        <f>IFERROR(__xludf.DUMMYFUNCTION("GOOGLETRANSLATE(B19082,""en"",""fr"")"),"Les enfants effectuent des mouvements d'arts martiaux dans un dojo alors que les adultes regardent.")</f>
        <v>Les enfants effectuent des mouvements d'arts martiaux dans un dojo alors que les adultes regardent.</v>
      </c>
    </row>
    <row r="19083">
      <c r="A19083" s="4" t="s">
        <v>24012</v>
      </c>
      <c r="B19083" s="4" t="s">
        <v>24014</v>
      </c>
      <c r="C19083" s="5" t="str">
        <f>IFERROR(__xludf.DUMMYFUNCTION("GOOGLETRANSLATE(B19083,""en"",""fr"")"),"Une fille se retourne et prend son tour puis se détache du centre.")</f>
        <v>Une fille se retourne et prend son tour puis se détache du centre.</v>
      </c>
    </row>
    <row r="19084">
      <c r="A19084" s="4" t="s">
        <v>24012</v>
      </c>
      <c r="B19084" s="4" t="s">
        <v>24015</v>
      </c>
      <c r="C19084" s="5" t="str">
        <f>IFERROR(__xludf.DUMMYFUNCTION("GOOGLETRANSLATE(B19084,""en"",""fr"")"),"Un adolescent fait un retournement de l'autre côté de la pièce.")</f>
        <v>Un adolescent fait un retournement de l'autre côté de la pièce.</v>
      </c>
    </row>
    <row r="19085">
      <c r="A19085" s="4" t="s">
        <v>24012</v>
      </c>
      <c r="B19085" s="4" t="s">
        <v>24016</v>
      </c>
      <c r="C19085" s="5" t="str">
        <f>IFERROR(__xludf.DUMMYFUNCTION("GOOGLETRANSLATE(B19085,""en"",""fr"")"),"L'un des enseignants se déplace au milieu du sol.")</f>
        <v>L'un des enseignants se déplace au milieu du sol.</v>
      </c>
    </row>
    <row r="19086">
      <c r="A19086" s="4" t="s">
        <v>24012</v>
      </c>
      <c r="B19086" s="4" t="s">
        <v>24017</v>
      </c>
      <c r="C19086" s="5" t="str">
        <f>IFERROR(__xludf.DUMMYFUNCTION("GOOGLETRANSLATE(B19086,""en"",""fr"")"),"L'adolescent parle à un autre des enfants et envoie le garçon quand c'est à son tour.")</f>
        <v>L'adolescent parle à un autre des enfants et envoie le garçon quand c'est à son tour.</v>
      </c>
    </row>
    <row r="19087">
      <c r="A19087" s="4" t="s">
        <v>24012</v>
      </c>
      <c r="B19087" s="4" t="s">
        <v>24018</v>
      </c>
      <c r="C19087" s="5" t="str">
        <f>IFERROR(__xludf.DUMMYFUNCTION("GOOGLETRANSLATE(B19087,""en"",""fr"")"),"L'adolescent tente d'avoir un garçon effrayé à tourner mais le garçon refuse.")</f>
        <v>L'adolescent tente d'avoir un garçon effrayé à tourner mais le garçon refuse.</v>
      </c>
    </row>
    <row r="19088">
      <c r="A19088" s="4" t="s">
        <v>24012</v>
      </c>
      <c r="B19088" s="4" t="s">
        <v>24019</v>
      </c>
      <c r="C19088" s="5" t="str">
        <f>IFERROR(__xludf.DUMMYFUNCTION("GOOGLETRANSLATE(B19088,""en"",""fr"")"),"Les enfants courent tous au sol.")</f>
        <v>Les enfants courent tous au sol.</v>
      </c>
    </row>
    <row r="19089">
      <c r="A19089" s="4" t="s">
        <v>24020</v>
      </c>
      <c r="B19089" s="4" t="s">
        <v>24021</v>
      </c>
      <c r="C19089" s="5" t="str">
        <f>IFERROR(__xludf.DUMMYFUNCTION("GOOGLETRANSLATE(B19089,""en"",""fr"")"),"Une femme danse au milieu de la rue avec un bâton.")</f>
        <v>Une femme danse au milieu de la rue avec un bâton.</v>
      </c>
    </row>
    <row r="19090">
      <c r="A19090" s="4" t="s">
        <v>24020</v>
      </c>
      <c r="B19090" s="4" t="s">
        <v>24022</v>
      </c>
      <c r="C19090" s="5" t="str">
        <f>IFERROR(__xludf.DUMMYFUNCTION("GOOGLETRANSLATE(B19090,""en"",""fr"")"),"Elle tourbillonne et lance le bâton pendant qu'une petite foule regarde.")</f>
        <v>Elle tourbillonne et lance le bâton pendant qu'une petite foule regarde.</v>
      </c>
    </row>
    <row r="19091">
      <c r="A19091" s="4" t="s">
        <v>24020</v>
      </c>
      <c r="B19091" s="4" t="s">
        <v>24023</v>
      </c>
      <c r="C19091" s="5" t="str">
        <f>IFERROR(__xludf.DUMMYFUNCTION("GOOGLETRANSLATE(B19091,""en"",""fr"")"),"Elle continue sur la route, se produisant avec le bâton.")</f>
        <v>Elle continue sur la route, se produisant avec le bâton.</v>
      </c>
    </row>
    <row r="19092">
      <c r="A19092" s="4" t="s">
        <v>24024</v>
      </c>
      <c r="B19092" s="4" t="s">
        <v>24025</v>
      </c>
      <c r="C19092" s="5" t="str">
        <f>IFERROR(__xludf.DUMMYFUNCTION("GOOGLETRANSLATE(B19092,""en"",""fr"")"),"Dans la neige, divers jeunes hommes effectuent des tours de snowboard avant la caméra.")</f>
        <v>Dans la neige, divers jeunes hommes effectuent des tours de snowboard avant la caméra.</v>
      </c>
    </row>
    <row r="19093">
      <c r="A19093" s="4" t="s">
        <v>24024</v>
      </c>
      <c r="B19093" s="4" t="s">
        <v>24026</v>
      </c>
      <c r="C19093" s="5" t="str">
        <f>IFERROR(__xludf.DUMMYFUNCTION("GOOGLETRANSLATE(B19093,""en"",""fr"")"),"Un homme en sweat-shirt bleu saute dans un escalier.")</f>
        <v>Un homme en sweat-shirt bleu saute dans un escalier.</v>
      </c>
    </row>
    <row r="19094">
      <c r="A19094" s="4" t="s">
        <v>24024</v>
      </c>
      <c r="B19094" s="6" t="s">
        <v>24027</v>
      </c>
      <c r="C19094" s="5" t="str">
        <f>IFERROR(__xludf.DUMMYFUNCTION("GOOGLETRANSLATE(B19094,""en"",""fr"")"),"Un jeune homme dans une tenue noire effectue un double tour en broyant une balustrade et en sautant dans un escalier.")</f>
        <v>Un jeune homme dans une tenue noire effectue un double tour en broyant une balustrade et en sautant dans un escalier.</v>
      </c>
    </row>
    <row r="19095">
      <c r="A19095" s="4" t="s">
        <v>24024</v>
      </c>
      <c r="B19095" s="4" t="s">
        <v>24028</v>
      </c>
      <c r="C19095" s="5" t="str">
        <f>IFERROR(__xludf.DUMMYFUNCTION("GOOGLETRANSLATE(B19095,""en"",""fr"")"),"Un homme dans un sweat-shirt violet broie une balustrade d'escalier.")</f>
        <v>Un homme dans un sweat-shirt violet broie une balustrade d'escalier.</v>
      </c>
    </row>
    <row r="19096">
      <c r="A19096" s="4" t="s">
        <v>24024</v>
      </c>
      <c r="B19096" s="4" t="s">
        <v>24029</v>
      </c>
      <c r="C19096" s="5" t="str">
        <f>IFERROR(__xludf.DUMMYFUNCTION("GOOGLETRANSLATE(B19096,""en"",""fr"")"),"Un homme dans un sweat à rayures violet et noir saute dans un escalier.")</f>
        <v>Un homme dans un sweat à rayures violet et noir saute dans un escalier.</v>
      </c>
    </row>
    <row r="19097">
      <c r="A19097" s="4" t="s">
        <v>24024</v>
      </c>
      <c r="B19097" s="4" t="s">
        <v>24030</v>
      </c>
      <c r="C19097" s="5" t="str">
        <f>IFERROR(__xludf.DUMMYFUNCTION("GOOGLETRANSLATE(B19097,""en"",""fr"")"),"L'homme dans le sweat-shirt bleu broie une balustrade et atterrit avec élégance sur le sol.")</f>
        <v>L'homme dans le sweat-shirt bleu broie une balustrade et atterrit avec élégance sur le sol.</v>
      </c>
    </row>
    <row r="19098">
      <c r="A19098" s="4" t="s">
        <v>24031</v>
      </c>
      <c r="B19098" s="4" t="s">
        <v>24032</v>
      </c>
      <c r="C19098" s="5" t="str">
        <f>IFERROR(__xludf.DUMMYFUNCTION("GOOGLETRANSLATE(B19098,""en"",""fr"")"),"Un coup de coucher de soleil mène à un grand groupe de personnes chevauchant des chameaux le long de la plage.")</f>
        <v>Un coup de coucher de soleil mène à un grand groupe de personnes chevauchant des chameaux le long de la plage.</v>
      </c>
    </row>
    <row r="19099">
      <c r="A19099" s="4" t="s">
        <v>24031</v>
      </c>
      <c r="B19099" s="4" t="s">
        <v>24033</v>
      </c>
      <c r="C19099" s="5" t="str">
        <f>IFERROR(__xludf.DUMMYFUNCTION("GOOGLETRANSLATE(B19099,""en"",""fr"")"),"Beaucoup de gens sont vus monter sur les chameaux les uns après les autres sur le sable.")</f>
        <v>Beaucoup de gens sont vus monter sur les chameaux les uns après les autres sur le sable.</v>
      </c>
    </row>
    <row r="19100">
      <c r="A19100" s="4" t="s">
        <v>24031</v>
      </c>
      <c r="B19100" s="4" t="s">
        <v>24034</v>
      </c>
      <c r="C19100" s="5" t="str">
        <f>IFERROR(__xludf.DUMMYFUNCTION("GOOGLETRANSLATE(B19100,""en"",""fr"")"),"La vidéo continue de montrer plus de personnes à cheval sur les chameaux et d'autres menant à l'avant.")</f>
        <v>La vidéo continue de montrer plus de personnes à cheval sur les chameaux et d'autres menant à l'avant.</v>
      </c>
    </row>
    <row r="19101">
      <c r="A19101" s="4" t="s">
        <v>24035</v>
      </c>
      <c r="B19101" s="4" t="s">
        <v>24036</v>
      </c>
      <c r="C19101" s="5" t="str">
        <f>IFERROR(__xludf.DUMMYFUNCTION("GOOGLETRANSLATE(B19101,""en"",""fr"")"),"Un homme peint le bois avec une brosse, le bois est montré.")</f>
        <v>Un homme peint le bois avec une brosse, le bois est montré.</v>
      </c>
    </row>
    <row r="19102">
      <c r="A19102" s="4" t="s">
        <v>24035</v>
      </c>
      <c r="B19102" s="4" t="s">
        <v>24037</v>
      </c>
      <c r="C19102" s="5" t="str">
        <f>IFERROR(__xludf.DUMMYFUNCTION("GOOGLETRANSLATE(B19102,""en"",""fr"")"),"L'homme peint la clôture avec de la peinture brune, puis peint la table.")</f>
        <v>L'homme peint la clôture avec de la peinture brune, puis peint la table.</v>
      </c>
    </row>
    <row r="19103">
      <c r="A19103" s="4" t="s">
        <v>24035</v>
      </c>
      <c r="B19103" s="6" t="s">
        <v>24038</v>
      </c>
      <c r="C19103" s="5" t="str">
        <f>IFERROR(__xludf.DUMMYFUNCTION("GOOGLETRANSLATE(B19103,""en"",""fr"")"),"L'homme a mélangé la peinture puis a commencé à peindre la table en bois, puis il nettoie le sol et le brosser.")</f>
        <v>L'homme a mélangé la peinture puis a commencé à peindre la table en bois, puis il nettoie le sol et le brosser.</v>
      </c>
    </row>
    <row r="19104">
      <c r="A19104" s="4" t="s">
        <v>24039</v>
      </c>
      <c r="B19104" s="6" t="s">
        <v>24040</v>
      </c>
      <c r="C19104" s="5" t="str">
        <f>IFERROR(__xludf.DUMMYFUNCTION("GOOGLETRANSLATE(B19104,""en"",""fr"")"),"Une personne est vue assise à une table, suivie de deux personnes dansant les unes avec les autres et d'autres assises autour de la montre.")</f>
        <v>Une personne est vue assise à une table, suivie de deux personnes dansant les unes avec les autres et d'autres assises autour de la montre.</v>
      </c>
    </row>
    <row r="19105">
      <c r="A19105" s="4" t="s">
        <v>24039</v>
      </c>
      <c r="B19105" s="6" t="s">
        <v>24041</v>
      </c>
      <c r="C19105" s="5" t="str">
        <f>IFERROR(__xludf.DUMMYFUNCTION("GOOGLETRANSLATE(B19105,""en"",""fr"")"),"Les gens continuent de danser les uns avec les autres et se terminent en s'arrêtant et en faisant dans deux autres dansant à côté d'eux.")</f>
        <v>Les gens continuent de danser les uns avec les autres et se terminent en s'arrêtant et en faisant dans deux autres dansant à côté d'eux.</v>
      </c>
    </row>
    <row r="19106">
      <c r="A19106" s="4" t="s">
        <v>24042</v>
      </c>
      <c r="B19106" s="4" t="s">
        <v>24043</v>
      </c>
      <c r="C19106" s="5" t="str">
        <f>IFERROR(__xludf.DUMMYFUNCTION("GOOGLETRANSLATE(B19106,""en"",""fr"")"),"Nous voyons un écran d'ouverture avec un fond noir.")</f>
        <v>Nous voyons un écran d'ouverture avec un fond noir.</v>
      </c>
    </row>
    <row r="19107">
      <c r="A19107" s="4" t="s">
        <v>24042</v>
      </c>
      <c r="B19107" s="4" t="s">
        <v>24044</v>
      </c>
      <c r="C19107" s="5" t="str">
        <f>IFERROR(__xludf.DUMMYFUNCTION("GOOGLETRANSLATE(B19107,""en"",""fr"")"),"Nous voyons beaucoup de gens déplacer de la neige avec une pelle, des balais, des pots et des bols.")</f>
        <v>Nous voyons beaucoup de gens déplacer de la neige avec une pelle, des balais, des pots et des bols.</v>
      </c>
    </row>
    <row r="19108">
      <c r="A19108" s="4" t="s">
        <v>24042</v>
      </c>
      <c r="B19108" s="4" t="s">
        <v>24045</v>
      </c>
      <c r="C19108" s="5" t="str">
        <f>IFERROR(__xludf.DUMMYFUNCTION("GOOGLETRANSLATE(B19108,""en"",""fr"")"),"Un homme pelleter avec un panoramique suivi de dames avec une houe et une assiette.")</f>
        <v>Un homme pelleter avec un panoramique suivi de dames avec une houe et une assiette.</v>
      </c>
    </row>
    <row r="19109">
      <c r="A19109" s="4" t="s">
        <v>24042</v>
      </c>
      <c r="B19109" s="4" t="s">
        <v>24046</v>
      </c>
      <c r="C19109" s="5" t="str">
        <f>IFERROR(__xludf.DUMMYFUNCTION("GOOGLETRANSLATE(B19109,""en"",""fr"")"),"Un homme jette de la neige sur une dame.")</f>
        <v>Un homme jette de la neige sur une dame.</v>
      </c>
    </row>
    <row r="19110">
      <c r="A19110" s="4" t="s">
        <v>24042</v>
      </c>
      <c r="B19110" s="4" t="s">
        <v>24047</v>
      </c>
      <c r="C19110" s="5" t="str">
        <f>IFERROR(__xludf.DUMMYFUNCTION("GOOGLETRANSLATE(B19110,""en"",""fr"")"),"Un homme jette de la neige sur les gens.")</f>
        <v>Un homme jette de la neige sur les gens.</v>
      </c>
    </row>
    <row r="19111">
      <c r="A19111" s="4" t="s">
        <v>24042</v>
      </c>
      <c r="B19111" s="4" t="s">
        <v>24048</v>
      </c>
      <c r="C19111" s="5" t="str">
        <f>IFERROR(__xludf.DUMMYFUNCTION("GOOGLETRANSLATE(B19111,""en"",""fr"")"),"Une personne est coincée dans la neige est enterrée par d'autres.")</f>
        <v>Une personne est coincée dans la neige est enterrée par d'autres.</v>
      </c>
    </row>
    <row r="19112">
      <c r="A19112" s="4" t="s">
        <v>24042</v>
      </c>
      <c r="B19112" s="4" t="s">
        <v>24049</v>
      </c>
      <c r="C19112" s="5" t="str">
        <f>IFERROR(__xludf.DUMMYFUNCTION("GOOGLETRANSLATE(B19112,""en"",""fr"")"),"Une dame parle à la caméra et elle devient en noir et blanc.")</f>
        <v>Une dame parle à la caméra et elle devient en noir et blanc.</v>
      </c>
    </row>
    <row r="19113">
      <c r="A19113" s="4" t="s">
        <v>24042</v>
      </c>
      <c r="B19113" s="4" t="s">
        <v>24050</v>
      </c>
      <c r="C19113" s="5" t="str">
        <f>IFERROR(__xludf.DUMMYFUNCTION("GOOGLETRANSLATE(B19113,""en"",""fr"")"),"Les gens sont des anges de neige Mainge.")</f>
        <v>Les gens sont des anges de neige Mainge.</v>
      </c>
    </row>
    <row r="19114">
      <c r="A19114" s="4" t="s">
        <v>24042</v>
      </c>
      <c r="B19114" s="4" t="s">
        <v>24051</v>
      </c>
      <c r="C19114" s="5" t="str">
        <f>IFERROR(__xludf.DUMMYFUNCTION("GOOGLETRANSLATE(B19114,""en"",""fr"")"),"Nous voyons les crédits de clôture de la vidéo.")</f>
        <v>Nous voyons les crédits de clôture de la vidéo.</v>
      </c>
    </row>
    <row r="19115">
      <c r="A19115" s="4" t="s">
        <v>24052</v>
      </c>
      <c r="B19115" s="4" t="s">
        <v>24053</v>
      </c>
      <c r="C19115" s="5" t="str">
        <f>IFERROR(__xludf.DUMMYFUNCTION("GOOGLETRANSLATE(B19115,""en"",""fr"")"),"Une femme de l'âge moyen est montrée accroupie en ramassant la neige et en le jetant en pile.")</f>
        <v>Une femme de l'âge moyen est montrée accroupie en ramassant la neige et en le jetant en pile.</v>
      </c>
    </row>
    <row r="19116">
      <c r="A19116" s="4" t="s">
        <v>24052</v>
      </c>
      <c r="B19116" s="4" t="s">
        <v>24054</v>
      </c>
      <c r="C19116" s="5" t="str">
        <f>IFERROR(__xludf.DUMMYFUNCTION("GOOGLETRANSLATE(B19116,""en"",""fr"")"),"Elle se dirige ensuite vers la caméra et cogne sa langue.")</f>
        <v>Elle se dirige ensuite vers la caméra et cogne sa langue.</v>
      </c>
    </row>
    <row r="19117">
      <c r="A19117" s="4" t="s">
        <v>24055</v>
      </c>
      <c r="B19117" s="4" t="s">
        <v>24056</v>
      </c>
      <c r="C19117" s="5" t="str">
        <f>IFERROR(__xludf.DUMMYFUNCTION("GOOGLETRANSLATE(B19117,""en"",""fr"")"),"Une femme allume une cigarette devant la caméra.")</f>
        <v>Une femme allume une cigarette devant la caméra.</v>
      </c>
    </row>
    <row r="19118">
      <c r="A19118" s="4" t="s">
        <v>24055</v>
      </c>
      <c r="B19118" s="4" t="s">
        <v>24057</v>
      </c>
      <c r="C19118" s="5" t="str">
        <f>IFERROR(__xludf.DUMMYFUNCTION("GOOGLETRANSLATE(B19118,""en"",""fr"")"),"Elle prend un grand coup de cigarette.")</f>
        <v>Elle prend un grand coup de cigarette.</v>
      </c>
    </row>
    <row r="19119">
      <c r="A19119" s="4" t="s">
        <v>24055</v>
      </c>
      <c r="B19119" s="4" t="s">
        <v>24058</v>
      </c>
      <c r="C19119" s="5" t="str">
        <f>IFERROR(__xludf.DUMMYFUNCTION("GOOGLETRANSLATE(B19119,""en"",""fr"")"),"Elle souffle de la fumée à la caméra et sourit.")</f>
        <v>Elle souffle de la fumée à la caméra et sourit.</v>
      </c>
    </row>
    <row r="19120">
      <c r="A19120" s="4" t="s">
        <v>24055</v>
      </c>
      <c r="B19120" s="4" t="s">
        <v>24059</v>
      </c>
      <c r="C19120" s="5" t="str">
        <f>IFERROR(__xludf.DUMMYFUNCTION("GOOGLETRANSLATE(B19120,""en"",""fr"")"),"Elle prend une autre traction de la cigarette et souffle de la fumée.")</f>
        <v>Elle prend une autre traction de la cigarette et souffle de la fumée.</v>
      </c>
    </row>
    <row r="19121">
      <c r="A19121" s="4" t="s">
        <v>24055</v>
      </c>
      <c r="B19121" s="4" t="s">
        <v>24060</v>
      </c>
      <c r="C19121" s="5" t="str">
        <f>IFERROR(__xludf.DUMMYFUNCTION("GOOGLETRANSLATE(B19121,""en"",""fr"")"),"Elle joue avec ses cheveux.")</f>
        <v>Elle joue avec ses cheveux.</v>
      </c>
    </row>
    <row r="19122">
      <c r="A19122" s="4" t="s">
        <v>24055</v>
      </c>
      <c r="B19122" s="4" t="s">
        <v>24061</v>
      </c>
      <c r="C19122" s="5" t="str">
        <f>IFERROR(__xludf.DUMMYFUNCTION("GOOGLETRANSLATE(B19122,""en"",""fr"")"),"Elle continue ensuite de fumer la cigarette tout en regardant autour de lui.")</f>
        <v>Elle continue ensuite de fumer la cigarette tout en regardant autour de lui.</v>
      </c>
    </row>
    <row r="19123">
      <c r="A19123" s="4" t="s">
        <v>24062</v>
      </c>
      <c r="B19123" s="4" t="s">
        <v>24063</v>
      </c>
      <c r="C19123" s="5" t="str">
        <f>IFERROR(__xludf.DUMMYFUNCTION("GOOGLETRANSLATE(B19123,""en"",""fr"")"),"Un petit groupe de personnes est vu sur une scène préparant leurs instruments.")</f>
        <v>Un petit groupe de personnes est vu sur une scène préparant leurs instruments.</v>
      </c>
    </row>
    <row r="19124">
      <c r="A19124" s="4" t="s">
        <v>24062</v>
      </c>
      <c r="B19124" s="4" t="s">
        <v>24064</v>
      </c>
      <c r="C19124" s="5" t="str">
        <f>IFERROR(__xludf.DUMMYFUNCTION("GOOGLETRANSLATE(B19124,""en"",""fr"")"),"Une femme commence à jouer de la batterie tandis qu'un autre joue du piano et que les autres regardent.")</f>
        <v>Une femme commence à jouer de la batterie tandis qu'un autre joue du piano et que les autres regardent.</v>
      </c>
    </row>
    <row r="19125">
      <c r="A19125" s="4" t="s">
        <v>24062</v>
      </c>
      <c r="B19125" s="4" t="s">
        <v>24065</v>
      </c>
      <c r="C19125" s="5" t="str">
        <f>IFERROR(__xludf.DUMMYFUNCTION("GOOGLETRANSLATE(B19125,""en"",""fr"")"),"Les deux continuent de jouer leurs instruments et d'autres sur la montre latérale.")</f>
        <v>Les deux continuent de jouer leurs instruments et d'autres sur la montre latérale.</v>
      </c>
    </row>
    <row r="19126">
      <c r="A19126" s="4" t="s">
        <v>24066</v>
      </c>
      <c r="B19126" s="4" t="s">
        <v>24067</v>
      </c>
      <c r="C19126" s="5" t="str">
        <f>IFERROR(__xludf.DUMMYFUNCTION("GOOGLETRANSLATE(B19126,""en"",""fr"")"),"Deux hommes démante rapidement une cheminée rouge.")</f>
        <v>Deux hommes démante rapidement une cheminée rouge.</v>
      </c>
    </row>
    <row r="19127">
      <c r="A19127" s="4" t="s">
        <v>24066</v>
      </c>
      <c r="B19127" s="4" t="s">
        <v>24068</v>
      </c>
      <c r="C19127" s="5" t="str">
        <f>IFERROR(__xludf.DUMMYFUNCTION("GOOGLETRANSLATE(B19127,""en"",""fr"")"),"Un homme met du bois sur le trou béant.")</f>
        <v>Un homme met du bois sur le trou béant.</v>
      </c>
    </row>
    <row r="19128">
      <c r="A19128" s="4" t="s">
        <v>24066</v>
      </c>
      <c r="B19128" s="4" t="s">
        <v>24069</v>
      </c>
      <c r="C19128" s="5" t="str">
        <f>IFERROR(__xludf.DUMMYFUNCTION("GOOGLETRANSLATE(B19128,""en"",""fr"")"),"L'homme couvre ensuite le bois de bardeaux.")</f>
        <v>L'homme couvre ensuite le bois de bardeaux.</v>
      </c>
    </row>
    <row r="19129">
      <c r="A19129" s="4" t="s">
        <v>24070</v>
      </c>
      <c r="B19129" s="4" t="s">
        <v>24071</v>
      </c>
      <c r="C19129" s="5" t="str">
        <f>IFERROR(__xludf.DUMMYFUNCTION("GOOGLETRANSLATE(B19129,""en"",""fr"")"),"Nous voyons une personne couper un fruit.")</f>
        <v>Nous voyons une personne couper un fruit.</v>
      </c>
    </row>
    <row r="19130">
      <c r="A19130" s="4" t="s">
        <v>24070</v>
      </c>
      <c r="B19130" s="4" t="s">
        <v>24072</v>
      </c>
      <c r="C19130" s="5" t="str">
        <f>IFERROR(__xludf.DUMMYFUNCTION("GOOGLETRANSLATE(B19130,""en"",""fr"")"),"La personne coupe ensuite la partie hachée.")</f>
        <v>La personne coupe ensuite la partie hachée.</v>
      </c>
    </row>
    <row r="19131">
      <c r="A19131" s="4" t="s">
        <v>24070</v>
      </c>
      <c r="B19131" s="4" t="s">
        <v>24073</v>
      </c>
      <c r="C19131" s="5" t="str">
        <f>IFERROR(__xludf.DUMMYFUNCTION("GOOGLETRANSLATE(B19131,""en"",""fr"")"),"La personne coupe à nouveau le fruit et coupe le peu haché.")</f>
        <v>La personne coupe à nouveau le fruit et coupe le peu haché.</v>
      </c>
    </row>
    <row r="19132">
      <c r="A19132" s="4" t="s">
        <v>24070</v>
      </c>
      <c r="B19132" s="4" t="s">
        <v>24074</v>
      </c>
      <c r="C19132" s="5" t="str">
        <f>IFERROR(__xludf.DUMMYFUNCTION("GOOGLETRANSLATE(B19132,""en"",""fr"")"),"La personne prend une tranche du bol et la coupe.")</f>
        <v>La personne prend une tranche du bol et la coupe.</v>
      </c>
    </row>
    <row r="19133">
      <c r="A19133" s="4" t="s">
        <v>24070</v>
      </c>
      <c r="B19133" s="4" t="s">
        <v>24075</v>
      </c>
      <c r="C19133" s="5" t="str">
        <f>IFERROR(__xludf.DUMMYFUNCTION("GOOGLETRANSLATE(B19133,""en"",""fr"")"),"Nous voyons ensuite la personne hacher et couper plus.")</f>
        <v>Nous voyons ensuite la personne hacher et couper plus.</v>
      </c>
    </row>
    <row r="19134">
      <c r="A19134" s="4" t="s">
        <v>24070</v>
      </c>
      <c r="B19134" s="4" t="s">
        <v>24076</v>
      </c>
      <c r="C19134" s="5" t="str">
        <f>IFERROR(__xludf.DUMMYFUNCTION("GOOGLETRANSLATE(B19134,""en"",""fr"")"),"La personne reprend des morceaux de son pantalon.")</f>
        <v>La personne reprend des morceaux de son pantalon.</v>
      </c>
    </row>
    <row r="19135">
      <c r="A19135" s="4" t="s">
        <v>24077</v>
      </c>
      <c r="B19135" s="4" t="s">
        <v>24078</v>
      </c>
      <c r="C19135" s="5" t="str">
        <f>IFERROR(__xludf.DUMMYFUNCTION("GOOGLETRANSLATE(B19135,""en"",""fr"")"),"Un garçon est vu en tenant un bâton tandis que d'autres personnes regardent et applaudissent sur la touche.")</f>
        <v>Un garçon est vu en tenant un bâton tandis que d'autres personnes regardent et applaudissent sur la touche.</v>
      </c>
    </row>
    <row r="19136">
      <c r="A19136" s="4" t="s">
        <v>24077</v>
      </c>
      <c r="B19136" s="6" t="s">
        <v>24079</v>
      </c>
      <c r="C19136" s="5" t="str">
        <f>IFERROR(__xludf.DUMMYFUNCTION("GOOGLETRANSLATE(B19136,""en"",""fr"")"),"Le garçon tenant le bâton effectue une routine d'arts martiaux devant le peuple et se termine par une pose tandis que tout le monde autour de lui applaudit.")</f>
        <v>Le garçon tenant le bâton effectue une routine d'arts martiaux devant le peuple et se termine par une pose tandis que tout le monde autour de lui applaudit.</v>
      </c>
    </row>
    <row r="19137">
      <c r="A19137" s="4" t="s">
        <v>24080</v>
      </c>
      <c r="B19137" s="4" t="s">
        <v>24081</v>
      </c>
      <c r="C19137" s="5" t="str">
        <f>IFERROR(__xludf.DUMMYFUNCTION("GOOGLETRANSLATE(B19137,""en"",""fr"")"),"Un homme est vu donner à la caméra un signe de pièce tandis que d'autres autour de lui parlent et se préparent.")</f>
        <v>Un homme est vu donner à la caméra un signe de pièce tandis que d'autres autour de lui parlent et se préparent.</v>
      </c>
    </row>
    <row r="19138">
      <c r="A19138" s="4" t="s">
        <v>24080</v>
      </c>
      <c r="B19138" s="4" t="s">
        <v>24082</v>
      </c>
      <c r="C19138" s="5" t="str">
        <f>IFERROR(__xludf.DUMMYFUNCTION("GOOGLETRANSLATE(B19138,""en"",""fr"")"),"Un homme est ensuite vu s'intensifier sur une plate-forme et sauter du côté.")</f>
        <v>Un homme est ensuite vu s'intensifier sur une plate-forme et sauter du côté.</v>
      </c>
    </row>
    <row r="19139">
      <c r="A19139" s="4" t="s">
        <v>24083</v>
      </c>
      <c r="B19139" s="4" t="s">
        <v>24084</v>
      </c>
      <c r="C19139" s="5" t="str">
        <f>IFERROR(__xludf.DUMMYFUNCTION("GOOGLETRANSLATE(B19139,""en"",""fr"")"),"Un homme participe à un canoë dans une rivière en déplaçant l'OAR très rapidement.")</f>
        <v>Un homme participe à un canoë dans une rivière en déplaçant l'OAR très rapidement.</v>
      </c>
    </row>
    <row r="19140">
      <c r="A19140" s="4" t="s">
        <v>24083</v>
      </c>
      <c r="B19140" s="4" t="s">
        <v>24085</v>
      </c>
      <c r="C19140" s="5" t="str">
        <f>IFERROR(__xludf.DUMMYFUNCTION("GOOGLETRANSLATE(B19140,""en"",""fr"")"),"Ensuite, l'homme passe des eaux turbulentes.")</f>
        <v>Ensuite, l'homme passe des eaux turbulentes.</v>
      </c>
    </row>
    <row r="19141">
      <c r="A19141" s="4" t="s">
        <v>24086</v>
      </c>
      <c r="B19141" s="4" t="s">
        <v>24087</v>
      </c>
      <c r="C19141" s="5" t="str">
        <f>IFERROR(__xludf.DUMMYFUNCTION("GOOGLETRANSLATE(B19141,""en"",""fr"")"),"Le mot ehow apparaît sur l'écran.")</f>
        <v>Le mot ehow apparaît sur l'écran.</v>
      </c>
    </row>
    <row r="19142">
      <c r="A19142" s="4" t="s">
        <v>24086</v>
      </c>
      <c r="B19142" s="4" t="s">
        <v>24088</v>
      </c>
      <c r="C19142" s="5" t="str">
        <f>IFERROR(__xludf.DUMMYFUNCTION("GOOGLETRANSLATE(B19142,""en"",""fr"")"),"Nous voyons une femme vêtue de rouge debout dans une pièce d'une maison.")</f>
        <v>Nous voyons une femme vêtue de rouge debout dans une pièce d'une maison.</v>
      </c>
    </row>
    <row r="19143">
      <c r="A19143" s="4" t="s">
        <v>24086</v>
      </c>
      <c r="B19143" s="4" t="s">
        <v>24089</v>
      </c>
      <c r="C19143" s="5" t="str">
        <f>IFERROR(__xludf.DUMMYFUNCTION("GOOGLETRANSLATE(B19143,""en"",""fr"")"),"Elle parle d'une table devant elle.")</f>
        <v>Elle parle d'une table devant elle.</v>
      </c>
    </row>
    <row r="19144">
      <c r="A19144" s="4" t="s">
        <v>24086</v>
      </c>
      <c r="B19144" s="6" t="s">
        <v>24090</v>
      </c>
      <c r="C19144" s="5" t="str">
        <f>IFERROR(__xludf.DUMMYFUNCTION("GOOGLETRANSLATE(B19144,""en"",""fr"")"),"Elle ramasse du vernis à meubles et l'applique au bois, le polissant avec une chaussette qu'elle a mise sur sa main.")</f>
        <v>Elle ramasse du vernis à meubles et l'applique au bois, le polissant avec une chaussette qu'elle a mise sur sa main.</v>
      </c>
    </row>
    <row r="19145">
      <c r="A19145" s="4" t="s">
        <v>24091</v>
      </c>
      <c r="B19145" s="6" t="s">
        <v>24092</v>
      </c>
      <c r="C19145" s="5" t="str">
        <f>IFERROR(__xludf.DUMMYFUNCTION("GOOGLETRANSLATE(B19145,""en"",""fr"")"),"Une femme est vue parler à la caméra tout en tenant un équipement d'exercice avec ses bras.")</f>
        <v>Une femme est vue parler à la caméra tout en tenant un équipement d'exercice avec ses bras.</v>
      </c>
    </row>
    <row r="19146">
      <c r="A19146" s="4" t="s">
        <v>24091</v>
      </c>
      <c r="B19146" s="4" t="s">
        <v>24093</v>
      </c>
      <c r="C19146" s="5" t="str">
        <f>IFERROR(__xludf.DUMMYFUNCTION("GOOGLETRANSLATE(B19146,""en"",""fr"")"),"Elle recule la machine et quatrième tout en riant et en souriant à la caméra.")</f>
        <v>Elle recule la machine et quatrième tout en riant et en souriant à la caméra.</v>
      </c>
    </row>
    <row r="19147">
      <c r="A19147" s="4" t="s">
        <v>24094</v>
      </c>
      <c r="B19147" s="4" t="s">
        <v>24095</v>
      </c>
      <c r="C19147" s="5" t="str">
        <f>IFERROR(__xludf.DUMMYFUNCTION("GOOGLETRANSLATE(B19147,""en"",""fr"")"),"Dans une boule de cristal foncé, une chose extraterrestre regarde les personnages à l'intérieur.")</f>
        <v>Dans une boule de cristal foncé, une chose extraterrestre regarde les personnages à l'intérieur.</v>
      </c>
    </row>
    <row r="19148">
      <c r="A19148" s="4" t="s">
        <v>24094</v>
      </c>
      <c r="B19148" s="6" t="s">
        <v>24096</v>
      </c>
      <c r="C19148" s="5" t="str">
        <f>IFERROR(__xludf.DUMMYFUNCTION("GOOGLETRANSLATE(B19148,""en"",""fr"")"),"Trois hommes jouent du papier, des ciseaux, du bâton et de la pierre tandis que les créatures avec différentes couleurs les regardent avec un choc.")</f>
        <v>Trois hommes jouent du papier, des ciseaux, du bâton et de la pierre tandis que les créatures avec différentes couleurs les regardent avec un choc.</v>
      </c>
    </row>
    <row r="19149">
      <c r="A19149" s="4" t="s">
        <v>24094</v>
      </c>
      <c r="B19149" s="4" t="s">
        <v>24097</v>
      </c>
      <c r="C19149" s="5" t="str">
        <f>IFERROR(__xludf.DUMMYFUNCTION("GOOGLETRANSLATE(B19149,""en"",""fr"")"),"Un personnage a gagné en utilisant des ciseaux, il a ensuite parlé aux gens autour de lui.")</f>
        <v>Un personnage a gagné en utilisant des ciseaux, il a ensuite parlé aux gens autour de lui.</v>
      </c>
    </row>
    <row r="19150">
      <c r="A19150" s="4" t="s">
        <v>24098</v>
      </c>
      <c r="B19150" s="4" t="s">
        <v>24099</v>
      </c>
      <c r="C19150" s="5" t="str">
        <f>IFERROR(__xludf.DUMMYFUNCTION("GOOGLETRANSLATE(B19150,""en"",""fr"")"),"Une femme se penche et soulève un poids lourd sur sa tête.")</f>
        <v>Une femme se penche et soulève un poids lourd sur sa tête.</v>
      </c>
    </row>
    <row r="19151">
      <c r="A19151" s="4" t="s">
        <v>24098</v>
      </c>
      <c r="B19151" s="4" t="s">
        <v>24100</v>
      </c>
      <c r="C19151" s="5" t="str">
        <f>IFERROR(__xludf.DUMMYFUNCTION("GOOGLETRANSLATE(B19151,""en"",""fr"")"),"Les gens sont assis derrière eux sur des bancs.")</f>
        <v>Les gens sont assis derrière eux sur des bancs.</v>
      </c>
    </row>
    <row r="19152">
      <c r="A19152" s="4" t="s">
        <v>24098</v>
      </c>
      <c r="B19152" s="4" t="s">
        <v>24101</v>
      </c>
      <c r="C19152" s="5" t="str">
        <f>IFERROR(__xludf.DUMMYFUNCTION("GOOGLETRANSLATE(B19152,""en"",""fr"")"),"Plusieurs autres personnes continuent de soulever les poids.")</f>
        <v>Plusieurs autres personnes continuent de soulever les poids.</v>
      </c>
    </row>
    <row r="19153">
      <c r="A19153" s="4" t="s">
        <v>24102</v>
      </c>
      <c r="B19153" s="6" t="s">
        <v>24103</v>
      </c>
      <c r="C19153" s="5" t="str">
        <f>IFERROR(__xludf.DUMMYFUNCTION("GOOGLETRANSLATE(B19153,""en"",""fr"")"),"Une femme est vue en parlant de la caméra de manière agressive et l'emmente en le respectant un cerceau.")</f>
        <v>Une femme est vue en parlant de la caméra de manière agressive et l'emmente en le respectant un cerceau.</v>
      </c>
    </row>
    <row r="19154">
      <c r="A19154" s="4" t="s">
        <v>24102</v>
      </c>
      <c r="B19154" s="6" t="s">
        <v>24104</v>
      </c>
      <c r="C19154" s="5" t="str">
        <f>IFERROR(__xludf.DUMMYFUNCTION("GOOGLETRANSLATE(B19154,""en"",""fr"")"),"La femme tente de faire du cerceau plusieurs fois et réussit en l'utilisant sur son cou et en se penchant jusqu'à la caméra.")</f>
        <v>La femme tente de faire du cerceau plusieurs fois et réussit en l'utilisant sur son cou et en se penchant jusqu'à la caméra.</v>
      </c>
    </row>
    <row r="19155">
      <c r="A19155" s="4" t="s">
        <v>24105</v>
      </c>
      <c r="B19155" s="4" t="s">
        <v>24106</v>
      </c>
      <c r="C19155" s="5" t="str">
        <f>IFERROR(__xludf.DUMMYFUNCTION("GOOGLETRANSLATE(B19155,""en"",""fr"")"),"Une femme en robe rose coupe la patte droite d'un chat blanc qui est assis sur ses genoux.")</f>
        <v>Une femme en robe rose coupe la patte droite d'un chat blanc qui est assis sur ses genoux.</v>
      </c>
    </row>
    <row r="19156">
      <c r="A19156" s="4" t="s">
        <v>24105</v>
      </c>
      <c r="B19156" s="6" t="s">
        <v>24107</v>
      </c>
      <c r="C19156" s="5" t="str">
        <f>IFERROR(__xludf.DUMMYFUNCTION("GOOGLETRANSLATE(B19156,""en"",""fr"")"),"Elle a pris la patte gauche pour couler, le chat leva les yeux et la femme a baissé les yeux et lui a donné un petit baiser sur la tête.")</f>
        <v>Elle a pris la patte gauche pour couler, le chat leva les yeux et la femme a baissé les yeux et lui a donné un petit baiser sur la tête.</v>
      </c>
    </row>
    <row r="19157">
      <c r="A19157" s="4" t="s">
        <v>24105</v>
      </c>
      <c r="B19157" s="4" t="s">
        <v>24108</v>
      </c>
      <c r="C19157" s="5" t="str">
        <f>IFERROR(__xludf.DUMMYFUNCTION("GOOGLETRANSLATE(B19157,""en"",""fr"")"),"Le chat leva les yeux pendant que la femme coupe la patte arrière du chat.")</f>
        <v>Le chat leva les yeux pendant que la femme coupe la patte arrière du chat.</v>
      </c>
    </row>
    <row r="19158">
      <c r="A19158" s="4" t="s">
        <v>24105</v>
      </c>
      <c r="B19158" s="4" t="s">
        <v>24109</v>
      </c>
      <c r="C19158" s="5" t="str">
        <f>IFERROR(__xludf.DUMMYFUNCTION("GOOGLETRANSLATE(B19158,""en"",""fr"")"),"Pendant que la femme coupe la patte arrière gauche, le chat clignait des yeux vers la caméra.")</f>
        <v>Pendant que la femme coupe la patte arrière gauche, le chat clignait des yeux vers la caméra.</v>
      </c>
    </row>
    <row r="19159">
      <c r="A19159" s="4" t="s">
        <v>24110</v>
      </c>
      <c r="B19159" s="4" t="s">
        <v>24111</v>
      </c>
      <c r="C19159" s="5" t="str">
        <f>IFERROR(__xludf.DUMMYFUNCTION("GOOGLETRANSLATE(B19159,""en"",""fr"")"),"Deux hommes sont vus debout dans une pièce et parlant à la caméra tout en tenant des raquettes.")</f>
        <v>Deux hommes sont vus debout dans une pièce et parlant à la caméra tout en tenant des raquettes.</v>
      </c>
    </row>
    <row r="19160">
      <c r="A19160" s="4" t="s">
        <v>24110</v>
      </c>
      <c r="B19160" s="6" t="s">
        <v>24112</v>
      </c>
      <c r="C19160" s="5" t="str">
        <f>IFERROR(__xludf.DUMMYFUNCTION("GOOGLETRANSLATE(B19160,""en"",""fr"")"),"Les deux ont ensuite frappé en continu le ballon autour de la zone fermée en arrière et quatrième et pointent de la caméra avec une raquette et courent.")</f>
        <v>Les deux ont ensuite frappé en continu le ballon autour de la zone fermée en arrière et quatrième et pointent de la caméra avec une raquette et courent.</v>
      </c>
    </row>
    <row r="19161">
      <c r="A19161" s="4" t="s">
        <v>24113</v>
      </c>
      <c r="B19161" s="4" t="s">
        <v>24114</v>
      </c>
      <c r="C19161" s="5" t="str">
        <f>IFERROR(__xludf.DUMMYFUNCTION("GOOGLETRANSLATE(B19161,""en"",""fr"")"),"Un groupe de nombreuses personnes marchent dans une rue publique.")</f>
        <v>Un groupe de nombreuses personnes marchent dans une rue publique.</v>
      </c>
    </row>
    <row r="19162">
      <c r="A19162" s="4" t="s">
        <v>24113</v>
      </c>
      <c r="B19162" s="4" t="s">
        <v>24115</v>
      </c>
      <c r="C19162" s="5" t="str">
        <f>IFERROR(__xludf.DUMMYFUNCTION("GOOGLETRANSLATE(B19162,""en"",""fr"")"),"Un couple marche un pit-bull en laisse.")</f>
        <v>Un couple marche un pit-bull en laisse.</v>
      </c>
    </row>
    <row r="19163">
      <c r="A19163" s="4" t="s">
        <v>24113</v>
      </c>
      <c r="B19163" s="4" t="s">
        <v>24116</v>
      </c>
      <c r="C19163" s="5" t="str">
        <f>IFERROR(__xludf.DUMMYFUNCTION("GOOGLETRANSLATE(B19163,""en"",""fr"")"),"Nous voyons de la fumée s'échapper d'un bâtiment alors que les gens s'éloignent.")</f>
        <v>Nous voyons de la fumée s'échapper d'un bâtiment alors que les gens s'éloignent.</v>
      </c>
    </row>
    <row r="19164">
      <c r="A19164" s="4" t="s">
        <v>24117</v>
      </c>
      <c r="B19164" s="4" t="s">
        <v>24118</v>
      </c>
      <c r="C19164" s="5" t="str">
        <f>IFERROR(__xludf.DUMMYFUNCTION("GOOGLETRANSLATE(B19164,""en"",""fr"")"),"Deux travailleurs sont présentés dans un magasin à l'extérieur.")</f>
        <v>Deux travailleurs sont présentés dans un magasin à l'extérieur.</v>
      </c>
    </row>
    <row r="19165">
      <c r="A19165" s="4" t="s">
        <v>24117</v>
      </c>
      <c r="B19165" s="4" t="s">
        <v>24119</v>
      </c>
      <c r="C19165" s="5" t="str">
        <f>IFERROR(__xludf.DUMMYFUNCTION("GOOGLETRANSLATE(B19165,""en"",""fr"")"),"Ils lavent des voitures avec du savon, y compris les pneus de Maserati.")</f>
        <v>Ils lavent des voitures avec du savon, y compris les pneus de Maserati.</v>
      </c>
    </row>
    <row r="19166">
      <c r="A19166" s="4" t="s">
        <v>24117</v>
      </c>
      <c r="B19166" s="4" t="s">
        <v>24120</v>
      </c>
      <c r="C19166" s="5" t="str">
        <f>IFERROR(__xludf.DUMMYFUNCTION("GOOGLETRANSLATE(B19166,""en"",""fr"")"),"Ils rincent ensuite les voitures et les essuient.")</f>
        <v>Ils rincent ensuite les voitures et les essuient.</v>
      </c>
    </row>
    <row r="19167">
      <c r="A19167" s="4" t="s">
        <v>24117</v>
      </c>
      <c r="B19167" s="4" t="s">
        <v>24121</v>
      </c>
      <c r="C19167" s="5" t="str">
        <f>IFERROR(__xludf.DUMMYFUNCTION("GOOGLETRANSLATE(B19167,""en"",""fr"")"),"Le produit final est représenté comme une voiture italienne propre et brillante.")</f>
        <v>Le produit final est représenté comme une voiture italienne propre et brillante.</v>
      </c>
    </row>
    <row r="19168">
      <c r="A19168" s="4" t="s">
        <v>24122</v>
      </c>
      <c r="B19168" s="4" t="s">
        <v>24123</v>
      </c>
      <c r="C19168" s="5" t="str">
        <f>IFERROR(__xludf.DUMMYFUNCTION("GOOGLETRANSLATE(B19168,""en"",""fr"")"),"Un homme tient une planche de surf.")</f>
        <v>Un homme tient une planche de surf.</v>
      </c>
    </row>
    <row r="19169">
      <c r="A19169" s="4" t="s">
        <v>24122</v>
      </c>
      <c r="B19169" s="4" t="s">
        <v>24124</v>
      </c>
      <c r="C19169" s="5" t="str">
        <f>IFERROR(__xludf.DUMMYFUNCTION("GOOGLETRANSLATE(B19169,""en"",""fr"")"),"Les oiseaux volent dans le ciel au-dessus de l'eau.")</f>
        <v>Les oiseaux volent dans le ciel au-dessus de l'eau.</v>
      </c>
    </row>
    <row r="19170">
      <c r="A19170" s="4" t="s">
        <v>24122</v>
      </c>
      <c r="B19170" s="4" t="s">
        <v>24125</v>
      </c>
      <c r="C19170" s="5" t="str">
        <f>IFERROR(__xludf.DUMMYFUNCTION("GOOGLETRANSLATE(B19170,""en"",""fr"")"),"Il surfait les vagues dans l'eau.")</f>
        <v>Il surfait les vagues dans l'eau.</v>
      </c>
    </row>
    <row r="19171">
      <c r="A19171" s="4" t="s">
        <v>24122</v>
      </c>
      <c r="B19171" s="4" t="s">
        <v>24126</v>
      </c>
      <c r="C19171" s="5" t="str">
        <f>IFERROR(__xludf.DUMMYFUNCTION("GOOGLETRANSLATE(B19171,""en"",""fr"")"),"Il est dans la voiture à parler.")</f>
        <v>Il est dans la voiture à parler.</v>
      </c>
    </row>
    <row r="19172">
      <c r="A19172" s="4" t="s">
        <v>24122</v>
      </c>
      <c r="B19172" s="4" t="s">
        <v>24127</v>
      </c>
      <c r="C19172" s="5" t="str">
        <f>IFERROR(__xludf.DUMMYFUNCTION("GOOGLETRANSLATE(B19172,""en"",""fr"")"),"Il surfait encore dans l'eau.")</f>
        <v>Il surfait encore dans l'eau.</v>
      </c>
    </row>
    <row r="19173">
      <c r="A19173" s="4" t="s">
        <v>24122</v>
      </c>
      <c r="B19173" s="4" t="s">
        <v>24128</v>
      </c>
      <c r="C19173" s="5" t="str">
        <f>IFERROR(__xludf.DUMMYFUNCTION("GOOGLETRANSLATE(B19173,""en"",""fr"")"),"Les oiseaux volent à nouveau sur l'eau.")</f>
        <v>Les oiseaux volent à nouveau sur l'eau.</v>
      </c>
    </row>
    <row r="19174">
      <c r="A19174" s="4" t="s">
        <v>24129</v>
      </c>
      <c r="B19174" s="4" t="s">
        <v>24130</v>
      </c>
      <c r="C19174" s="5" t="str">
        <f>IFERROR(__xludf.DUMMYFUNCTION("GOOGLETRANSLATE(B19174,""en"",""fr"")"),"Un grand drapeau coule dans le vent.")</f>
        <v>Un grand drapeau coule dans le vent.</v>
      </c>
    </row>
    <row r="19175">
      <c r="A19175" s="4" t="s">
        <v>24129</v>
      </c>
      <c r="B19175" s="4" t="s">
        <v>24131</v>
      </c>
      <c r="C19175" s="5" t="str">
        <f>IFERROR(__xludf.DUMMYFUNCTION("GOOGLETRANSLATE(B19175,""en"",""fr"")"),"Un homme est dans une rue, frappant un bâton avec un autre bâton.")</f>
        <v>Un homme est dans une rue, frappant un bâton avec un autre bâton.</v>
      </c>
    </row>
    <row r="19176">
      <c r="A19176" s="4" t="s">
        <v>24129</v>
      </c>
      <c r="B19176" s="4" t="s">
        <v>24132</v>
      </c>
      <c r="C19176" s="5" t="str">
        <f>IFERROR(__xludf.DUMMYFUNCTION("GOOGLETRANSLATE(B19176,""en"",""fr"")"),"Deux hommes s'engagent dans des coups de pied en arts martiaux, des coups de pied et du swing et du retournement.")</f>
        <v>Deux hommes s'engagent dans des coups de pied en arts martiaux, des coups de pied et du swing et du retournement.</v>
      </c>
    </row>
    <row r="19177">
      <c r="A19177" s="4" t="s">
        <v>24133</v>
      </c>
      <c r="B19177" s="4" t="s">
        <v>24134</v>
      </c>
      <c r="C19177" s="5" t="str">
        <f>IFERROR(__xludf.DUMMYFUNCTION("GOOGLETRANSLATE(B19177,""en"",""fr"")"),"Un homme hache du bois dans une cour enneigée.")</f>
        <v>Un homme hache du bois dans une cour enneigée.</v>
      </c>
    </row>
    <row r="19178">
      <c r="A19178" s="4" t="s">
        <v>24133</v>
      </c>
      <c r="B19178" s="4" t="s">
        <v>24135</v>
      </c>
      <c r="C19178" s="5" t="str">
        <f>IFERROR(__xludf.DUMMYFUNCTION("GOOGLETRANSLATE(B19178,""en"",""fr"")"),"Il y a un tas de neige derrière lui.")</f>
        <v>Il y a un tas de neige derrière lui.</v>
      </c>
    </row>
    <row r="19179">
      <c r="A19179" s="4" t="s">
        <v>24133</v>
      </c>
      <c r="B19179" s="4" t="s">
        <v>24136</v>
      </c>
      <c r="C19179" s="5" t="str">
        <f>IFERROR(__xludf.DUMMYFUNCTION("GOOGLETRANSLATE(B19179,""en"",""fr"")"),"Le journal s'est divisé en deux avec une frappe.")</f>
        <v>Le journal s'est divisé en deux avec une frappe.</v>
      </c>
    </row>
    <row r="19180">
      <c r="A19180" s="4" t="s">
        <v>24137</v>
      </c>
      <c r="B19180" s="4" t="s">
        <v>24138</v>
      </c>
      <c r="C19180" s="5" t="str">
        <f>IFERROR(__xludf.DUMMYFUNCTION("GOOGLETRANSLATE(B19180,""en"",""fr"")"),"Un homme se penche pour parler à la caméra.")</f>
        <v>Un homme se penche pour parler à la caméra.</v>
      </c>
    </row>
    <row r="19181">
      <c r="A19181" s="4" t="s">
        <v>24137</v>
      </c>
      <c r="B19181" s="4" t="s">
        <v>24139</v>
      </c>
      <c r="C19181" s="5" t="str">
        <f>IFERROR(__xludf.DUMMYFUNCTION("GOOGLETRANSLATE(B19181,""en"",""fr"")"),"L'homme skateboard sur une rampe.")</f>
        <v>L'homme skateboard sur une rampe.</v>
      </c>
    </row>
    <row r="19182">
      <c r="A19182" s="4" t="s">
        <v>24137</v>
      </c>
      <c r="B19182" s="4" t="s">
        <v>24140</v>
      </c>
      <c r="C19182" s="5" t="str">
        <f>IFERROR(__xludf.DUMMYFUNCTION("GOOGLETRANSLATE(B19182,""en"",""fr"")"),"Il essaie de monter la rampe sans skateboard.")</f>
        <v>Il essaie de monter la rampe sans skateboard.</v>
      </c>
    </row>
    <row r="19183">
      <c r="A19183" s="4" t="s">
        <v>24137</v>
      </c>
      <c r="B19183" s="4" t="s">
        <v>24141</v>
      </c>
      <c r="C19183" s="5" t="str">
        <f>IFERROR(__xludf.DUMMYFUNCTION("GOOGLETRANSLATE(B19183,""en"",""fr"")"),"Un enfant glisse sur la rampe sur ses fesses.")</f>
        <v>Un enfant glisse sur la rampe sur ses fesses.</v>
      </c>
    </row>
    <row r="19184">
      <c r="A19184" s="4" t="s">
        <v>24137</v>
      </c>
      <c r="B19184" s="4" t="s">
        <v>24142</v>
      </c>
      <c r="C19184" s="5" t="str">
        <f>IFERROR(__xludf.DUMMYFUNCTION("GOOGLETRANSLATE(B19184,""en"",""fr"")"),"Le skateboard de l'homme s'éloigne de lui.")</f>
        <v>Le skateboard de l'homme s'éloigne de lui.</v>
      </c>
    </row>
    <row r="19185">
      <c r="A19185" s="4" t="s">
        <v>24137</v>
      </c>
      <c r="B19185" s="4" t="s">
        <v>24143</v>
      </c>
      <c r="C19185" s="5" t="str">
        <f>IFERROR(__xludf.DUMMYFUNCTION("GOOGLETRANSLATE(B19185,""en"",""fr"")"),"L'homme poursuit son skareboard.")</f>
        <v>L'homme poursuit son skareboard.</v>
      </c>
    </row>
    <row r="19186">
      <c r="A19186" s="4" t="s">
        <v>24137</v>
      </c>
      <c r="B19186" s="4" t="s">
        <v>24144</v>
      </c>
      <c r="C19186" s="5" t="str">
        <f>IFERROR(__xludf.DUMMYFUNCTION("GOOGLETRANSLATE(B19186,""en"",""fr"")"),"L'homme parle à la caméra.")</f>
        <v>L'homme parle à la caméra.</v>
      </c>
    </row>
    <row r="19187">
      <c r="A19187" s="4" t="s">
        <v>24145</v>
      </c>
      <c r="B19187" s="4" t="s">
        <v>24146</v>
      </c>
      <c r="C19187" s="5" t="str">
        <f>IFERROR(__xludf.DUMMYFUNCTION("GOOGLETRANSLATE(B19187,""en"",""fr"")"),"Un gentleman plus âgé dans une chemise bleue peint une clôture en bois.")</f>
        <v>Un gentleman plus âgé dans une chemise bleue peint une clôture en bois.</v>
      </c>
    </row>
    <row r="19188">
      <c r="A19188" s="4" t="s">
        <v>24145</v>
      </c>
      <c r="B19188" s="4" t="s">
        <v>24147</v>
      </c>
      <c r="C19188" s="5" t="str">
        <f>IFERROR(__xludf.DUMMYFUNCTION("GOOGLETRANSLATE(B19188,""en"",""fr"")"),"Il ramasse le seau de peinture et monte le trottoir.")</f>
        <v>Il ramasse le seau de peinture et monte le trottoir.</v>
      </c>
    </row>
    <row r="19189">
      <c r="A19189" s="4" t="s">
        <v>24148</v>
      </c>
      <c r="B19189" s="6" t="s">
        <v>24149</v>
      </c>
      <c r="C19189" s="5" t="str">
        <f>IFERROR(__xludf.DUMMYFUNCTION("GOOGLETRANSLATE(B19189,""en"",""fr"")"),"Un homme est vu rouler sur des lames à rouleaux dans un parc et effectue une mouture pendant que la caméra ralentit.")</f>
        <v>Un homme est vu rouler sur des lames à rouleaux dans un parc et effectue une mouture pendant que la caméra ralentit.</v>
      </c>
    </row>
    <row r="19190">
      <c r="A19190" s="4" t="s">
        <v>24148</v>
      </c>
      <c r="B19190" s="6" t="s">
        <v>24150</v>
      </c>
      <c r="C19190" s="5" t="str">
        <f>IFERROR(__xludf.DUMMYFUNCTION("GOOGLETRANSLATE(B19190,""en"",""fr"")"),"Plusieurs autres voleurs à rouleaux sont montrés broyant un parc à divers endroits et montrant plusieurs astuces supplémentaires.")</f>
        <v>Plusieurs autres voleurs à rouleaux sont montrés broyant un parc à divers endroits et montrant plusieurs astuces supplémentaires.</v>
      </c>
    </row>
    <row r="19191">
      <c r="A19191" s="4" t="s">
        <v>24148</v>
      </c>
      <c r="B19191" s="4" t="s">
        <v>24151</v>
      </c>
      <c r="C19191" s="5" t="str">
        <f>IFERROR(__xludf.DUMMYFUNCTION("GOOGLETRANSLATE(B19191,""en"",""fr"")"),"L'homme de la caméra tient la caméra près de son visage et zoome sur un homme assis et fumant.")</f>
        <v>L'homme de la caméra tient la caméra près de son visage et zoome sur un homme assis et fumant.</v>
      </c>
    </row>
    <row r="19192">
      <c r="A19192" s="4" t="s">
        <v>24152</v>
      </c>
      <c r="B19192" s="4" t="s">
        <v>24153</v>
      </c>
      <c r="C19192" s="5" t="str">
        <f>IFERROR(__xludf.DUMMYFUNCTION("GOOGLETRANSLATE(B19192,""en"",""fr"")"),"Une fille joue un instrument à vent à l'intérieur d'une maison.")</f>
        <v>Une fille joue un instrument à vent à l'intérieur d'une maison.</v>
      </c>
    </row>
    <row r="19193">
      <c r="A19193" s="4" t="s">
        <v>24152</v>
      </c>
      <c r="B19193" s="4" t="s">
        <v>24154</v>
      </c>
      <c r="C19193" s="5" t="str">
        <f>IFERROR(__xludf.DUMMYFUNCTION("GOOGLETRANSLATE(B19193,""en"",""fr"")"),"La femme rit puis reprend en jouant la chanson sur l'instrument.")</f>
        <v>La femme rit puis reprend en jouant la chanson sur l'instrument.</v>
      </c>
    </row>
    <row r="19194">
      <c r="A19194" s="4" t="s">
        <v>24155</v>
      </c>
      <c r="B19194" s="6" t="s">
        <v>24156</v>
      </c>
      <c r="C19194" s="5" t="str">
        <f>IFERROR(__xludf.DUMMYFUNCTION("GOOGLETRANSLATE(B19194,""en"",""fr"")"),"Un petit groupe de personnes est vu assis sur des chevaux et les mène à descendre le long d'un chemin de terre.")</f>
        <v>Un petit groupe de personnes est vu assis sur des chevaux et les mène à descendre le long d'un chemin de terre.</v>
      </c>
    </row>
    <row r="19195">
      <c r="A19195" s="4" t="s">
        <v>24155</v>
      </c>
      <c r="B19195" s="4" t="s">
        <v>24157</v>
      </c>
      <c r="C19195" s="5" t="str">
        <f>IFERROR(__xludf.DUMMYFUNCTION("GOOGLETRANSLATE(B19195,""en"",""fr"")"),"La caméra suit les gens qui roulent sur les chevaux et les ramènent dans les écuries.")</f>
        <v>La caméra suit les gens qui roulent sur les chevaux et les ramènent dans les écuries.</v>
      </c>
    </row>
    <row r="19196">
      <c r="A19196" s="4" t="s">
        <v>24158</v>
      </c>
      <c r="B19196" s="4" t="s">
        <v>24159</v>
      </c>
      <c r="C19196" s="5" t="str">
        <f>IFERROR(__xludf.DUMMYFUNCTION("GOOGLETRANSLATE(B19196,""en"",""fr"")"),"Une personne tenant un chat redresse la patte du chat.")</f>
        <v>Une personne tenant un chat redresse la patte du chat.</v>
      </c>
    </row>
    <row r="19197">
      <c r="A19197" s="4" t="s">
        <v>24158</v>
      </c>
      <c r="B19197" s="4" t="s">
        <v>24160</v>
      </c>
      <c r="C19197" s="5" t="str">
        <f>IFERROR(__xludf.DUMMYFUNCTION("GOOGLETRANSLATE(B19197,""en"",""fr"")"),"La personne coupe les griffes du chat avec une tondeuse en forme de ciseaux.")</f>
        <v>La personne coupe les griffes du chat avec une tondeuse en forme de ciseaux.</v>
      </c>
    </row>
    <row r="19198">
      <c r="A19198" s="4" t="s">
        <v>24158</v>
      </c>
      <c r="B19198" s="4" t="s">
        <v>24161</v>
      </c>
      <c r="C19198" s="5" t="str">
        <f>IFERROR(__xludf.DUMMYFUNCTION("GOOGLETRANSLATE(B19198,""en"",""fr"")"),"Le chat attaque le coupeur.")</f>
        <v>Le chat attaque le coupeur.</v>
      </c>
    </row>
    <row r="19199">
      <c r="A19199" s="4" t="s">
        <v>24162</v>
      </c>
      <c r="B19199" s="4" t="s">
        <v>24163</v>
      </c>
      <c r="C19199" s="5" t="str">
        <f>IFERROR(__xludf.DUMMYFUNCTION("GOOGLETRANSLATE(B19199,""en"",""fr"")"),"Les gens surfent sur une grande vague dans l'eau.")</f>
        <v>Les gens surfent sur une grande vague dans l'eau.</v>
      </c>
    </row>
    <row r="19200">
      <c r="A19200" s="4" t="s">
        <v>24162</v>
      </c>
      <c r="B19200" s="4" t="s">
        <v>24164</v>
      </c>
      <c r="C19200" s="5" t="str">
        <f>IFERROR(__xludf.DUMMYFUNCTION("GOOGLETRANSLATE(B19200,""en"",""fr"")"),"Un bateau est dans l'eau.")</f>
        <v>Un bateau est dans l'eau.</v>
      </c>
    </row>
    <row r="19201">
      <c r="A19201" s="4" t="s">
        <v>24162</v>
      </c>
      <c r="B19201" s="4" t="s">
        <v>24165</v>
      </c>
      <c r="C19201" s="5" t="str">
        <f>IFERROR(__xludf.DUMMYFUNCTION("GOOGLETRANSLATE(B19201,""en"",""fr"")"),"Une grande vague s'écrase dans l'eau.")</f>
        <v>Une grande vague s'écrase dans l'eau.</v>
      </c>
    </row>
    <row r="19202">
      <c r="A19202" s="4" t="s">
        <v>24166</v>
      </c>
      <c r="B19202" s="4" t="s">
        <v>24167</v>
      </c>
      <c r="C19202" s="5" t="str">
        <f>IFERROR(__xludf.DUMMYFUNCTION("GOOGLETRANSLATE(B19202,""en"",""fr"")"),"Deux personnes sont présentées, puis plusieurs bateaux sont annoncés.")</f>
        <v>Deux personnes sont présentées, puis plusieurs bateaux sont annoncés.</v>
      </c>
    </row>
    <row r="19203">
      <c r="A19203" s="4" t="s">
        <v>24166</v>
      </c>
      <c r="B19203" s="4" t="s">
        <v>24168</v>
      </c>
      <c r="C19203" s="5" t="str">
        <f>IFERROR(__xludf.DUMMYFUNCTION("GOOGLETRANSLATE(B19203,""en"",""fr"")"),"Après, les deux personnes dans l'eau surfant sur de grandes vagues énormes ensemble.")</f>
        <v>Après, les deux personnes dans l'eau surfant sur de grandes vagues énormes ensemble.</v>
      </c>
    </row>
    <row r="19204">
      <c r="A19204" s="4" t="s">
        <v>24166</v>
      </c>
      <c r="B19204" s="6" t="s">
        <v>24169</v>
      </c>
      <c r="C19204" s="5" t="str">
        <f>IFERROR(__xludf.DUMMYFUNCTION("GOOGLETRANSLATE(B19204,""en"",""fr"")"),"Ensuite, les gens du bateau entrent dans l'eau ainsi que sur les jet-skis alors qu'un homme se tient au-dessus d'une grande falaise au-dessus de l'eau.")</f>
        <v>Ensuite, les gens du bateau entrent dans l'eau ainsi que sur les jet-skis alors qu'un homme se tient au-dessus d'une grande falaise au-dessus de l'eau.</v>
      </c>
    </row>
    <row r="19205">
      <c r="A19205" s="4" t="s">
        <v>24170</v>
      </c>
      <c r="B19205" s="6" t="s">
        <v>24171</v>
      </c>
      <c r="C19205" s="5" t="str">
        <f>IFERROR(__xludf.DUMMYFUNCTION("GOOGLETRANSLATE(B19205,""en"",""fr"")"),"Une caméra se déroule tout autour d'un lac montrant les arbres et les montagnes ainsi que le canoë assis devant lui.")</f>
        <v>Une caméra se déroule tout autour d'un lac montrant les arbres et les montagnes ainsi que le canoë assis devant lui.</v>
      </c>
    </row>
    <row r="19206">
      <c r="A19206" s="4" t="s">
        <v>24170</v>
      </c>
      <c r="B19206" s="4" t="s">
        <v>24172</v>
      </c>
      <c r="C19206" s="5" t="str">
        <f>IFERROR(__xludf.DUMMYFUNCTION("GOOGLETRANSLATE(B19206,""en"",""fr"")"),"Un autre garçon est vu rouler le long de l'eau dans un canoë ainsi que plusieurs autres pagayant.")</f>
        <v>Un autre garçon est vu rouler le long de l'eau dans un canoë ainsi que plusieurs autres pagayant.</v>
      </c>
    </row>
    <row r="19207">
      <c r="A19207" s="4" t="s">
        <v>24170</v>
      </c>
      <c r="B19207" s="4" t="s">
        <v>24173</v>
      </c>
      <c r="C19207" s="5" t="str">
        <f>IFERROR(__xludf.DUMMYFUNCTION("GOOGLETRANSLATE(B19207,""en"",""fr"")"),"Plus de coups de feu sont montrés des personnes qui roulent dans leurs canots et capturant le paysage qui les entoure.")</f>
        <v>Plus de coups de feu sont montrés des personnes qui roulent dans leurs canots et capturant le paysage qui les entoure.</v>
      </c>
    </row>
    <row r="19208">
      <c r="A19208" s="4" t="s">
        <v>24174</v>
      </c>
      <c r="B19208" s="4" t="s">
        <v>24175</v>
      </c>
      <c r="C19208" s="5" t="str">
        <f>IFERROR(__xludf.DUMMYFUNCTION("GOOGLETRANSLATE(B19208,""en"",""fr"")"),"Un homme commence à sauter sur une scène.")</f>
        <v>Un homme commence à sauter sur une scène.</v>
      </c>
    </row>
    <row r="19209">
      <c r="A19209" s="4" t="s">
        <v>24174</v>
      </c>
      <c r="B19209" s="4" t="s">
        <v>24176</v>
      </c>
      <c r="C19209" s="5" t="str">
        <f>IFERROR(__xludf.DUMMYFUNCTION("GOOGLETRANSLATE(B19209,""en"",""fr"")"),"Les gens sont dans le public qui le regardent.")</f>
        <v>Les gens sont dans le public qui le regardent.</v>
      </c>
    </row>
    <row r="19210">
      <c r="A19210" s="4" t="s">
        <v>24174</v>
      </c>
      <c r="B19210" s="4" t="s">
        <v>24177</v>
      </c>
      <c r="C19210" s="5" t="str">
        <f>IFERROR(__xludf.DUMMYFUNCTION("GOOGLETRANSLATE(B19210,""en"",""fr"")"),"Deux hommes se tiennent derrière des caméras le filmant.")</f>
        <v>Deux hommes se tiennent derrière des caméras le filmant.</v>
      </c>
    </row>
    <row r="19211">
      <c r="A19211" s="4" t="s">
        <v>24178</v>
      </c>
      <c r="B19211" s="4" t="s">
        <v>24179</v>
      </c>
      <c r="C19211" s="5" t="str">
        <f>IFERROR(__xludf.DUMMYFUNCTION("GOOGLETRANSLATE(B19211,""en"",""fr"")"),"Une équipe de basketteurs est montrée sur le côté droit du tribunal en faisant des lay-up.")</f>
        <v>Une équipe de basketteurs est montrée sur le côté droit du tribunal en faisant des lay-up.</v>
      </c>
    </row>
    <row r="19212">
      <c r="A19212" s="4" t="s">
        <v>24178</v>
      </c>
      <c r="B19212" s="6" t="s">
        <v>24180</v>
      </c>
      <c r="C19212" s="5" t="str">
        <f>IFERROR(__xludf.DUMMYFUNCTION("GOOGLETRANSLATE(B19212,""en"",""fr"")"),"Après plusieurs tours, ils se déplacent vers le côté gauche du tribunal et commencent à pratiquer une fois de plus les licenciements.")</f>
        <v>Après plusieurs tours, ils se déplacent vers le côté gauche du tribunal et commencent à pratiquer une fois de plus les licenciements.</v>
      </c>
    </row>
    <row r="19213">
      <c r="A19213" s="4" t="s">
        <v>24178</v>
      </c>
      <c r="B19213" s="6" t="s">
        <v>24181</v>
      </c>
      <c r="C19213" s="5" t="str">
        <f>IFERROR(__xludf.DUMMYFUNCTION("GOOGLETRANSLATE(B19213,""en"",""fr"")"),"Au fur et à mesure qu'ils vont, une chaise s'assoit devant eux pour servir de marqueur et un homme va et vient en les regardant partir.")</f>
        <v>Au fur et à mesure qu'ils vont, une chaise s'assoit devant eux pour servir de marqueur et un homme va et vient en les regardant partir.</v>
      </c>
    </row>
    <row r="19214">
      <c r="A19214" s="4" t="s">
        <v>24182</v>
      </c>
      <c r="B19214" s="4" t="s">
        <v>24183</v>
      </c>
      <c r="C19214" s="5" t="str">
        <f>IFERROR(__xludf.DUMMYFUNCTION("GOOGLETRANSLATE(B19214,""en"",""fr"")"),"Un homme est debout et marche dans le gymnase.")</f>
        <v>Un homme est debout et marche dans le gymnase.</v>
      </c>
    </row>
    <row r="19215">
      <c r="A19215" s="4" t="s">
        <v>24182</v>
      </c>
      <c r="B19215" s="4" t="s">
        <v>24184</v>
      </c>
      <c r="C19215" s="5" t="str">
        <f>IFERROR(__xludf.DUMMYFUNCTION("GOOGLETRANSLATE(B19215,""en"",""fr"")"),"L'homme s'est assis sur la machine à ramer et a mis ses pieds sur la pédale.")</f>
        <v>L'homme s'est assis sur la machine à ramer et a mis ses pieds sur la pédale.</v>
      </c>
    </row>
    <row r="19216">
      <c r="A19216" s="4" t="s">
        <v>24182</v>
      </c>
      <c r="B19216" s="4" t="s">
        <v>24185</v>
      </c>
      <c r="C19216" s="5" t="str">
        <f>IFERROR(__xludf.DUMMYFUNCTION("GOOGLETRANSLATE(B19216,""en"",""fr"")"),"L'homme a commencé à tirer la ceinture.")</f>
        <v>L'homme a commencé à tirer la ceinture.</v>
      </c>
    </row>
    <row r="19217">
      <c r="A19217" s="4" t="s">
        <v>24186</v>
      </c>
      <c r="B19217" s="4" t="s">
        <v>24187</v>
      </c>
      <c r="C19217" s="5" t="str">
        <f>IFERROR(__xludf.DUMMYFUNCTION("GOOGLETRANSLATE(B19217,""en"",""fr"")"),"Nous voyons des enfants sur des vélos de terre sur un champ de terre avec des adultes qui se tiennent sur eux.")</f>
        <v>Nous voyons des enfants sur des vélos de terre sur un champ de terre avec des adultes qui se tiennent sur eux.</v>
      </c>
    </row>
    <row r="19218">
      <c r="A19218" s="4" t="s">
        <v>24186</v>
      </c>
      <c r="B19218" s="4" t="s">
        <v>24188</v>
      </c>
      <c r="C19218" s="5" t="str">
        <f>IFERROR(__xludf.DUMMYFUNCTION("GOOGLETRANSLATE(B19218,""en"",""fr"")"),"Les enfants décollent et commencent sur la piste Dirk.")</f>
        <v>Les enfants décollent et commencent sur la piste Dirk.</v>
      </c>
    </row>
    <row r="19219">
      <c r="A19219" s="4" t="s">
        <v>24186</v>
      </c>
      <c r="B19219" s="4" t="s">
        <v>24189</v>
      </c>
      <c r="C19219" s="5" t="str">
        <f>IFERROR(__xludf.DUMMYFUNCTION("GOOGLETRANSLATE(B19219,""en"",""fr"")"),"Les enfants ont du mal à tourner pour monter sur le piste de terre.")</f>
        <v>Les enfants ont du mal à tourner pour monter sur le piste de terre.</v>
      </c>
    </row>
    <row r="19220">
      <c r="A19220" s="4" t="s">
        <v>24186</v>
      </c>
      <c r="B19220" s="4" t="s">
        <v>24190</v>
      </c>
      <c r="C19220" s="5" t="str">
        <f>IFERROR(__xludf.DUMMYFUNCTION("GOOGLETRANSLATE(B19220,""en"",""fr"")"),"L'un des garçons est tombé et a laissé tomber son vélo.")</f>
        <v>L'un des garçons est tombé et a laissé tomber son vélo.</v>
      </c>
    </row>
    <row r="19221">
      <c r="A19221" s="4" t="s">
        <v>24186</v>
      </c>
      <c r="B19221" s="4" t="s">
        <v>24191</v>
      </c>
      <c r="C19221" s="5" t="str">
        <f>IFERROR(__xludf.DUMMYFUNCTION("GOOGLETRANSLATE(B19221,""en"",""fr"")"),"Nous voyons les enfants à cinq hommes et femmes en marge.")</f>
        <v>Nous voyons les enfants à cinq hommes et femmes en marge.</v>
      </c>
    </row>
    <row r="19222">
      <c r="A19222" s="4" t="s">
        <v>24192</v>
      </c>
      <c r="B19222" s="4" t="s">
        <v>24193</v>
      </c>
      <c r="C19222" s="5" t="str">
        <f>IFERROR(__xludf.DUMMYFUNCTION("GOOGLETRANSLATE(B19222,""en"",""fr"")"),"La vidéo concerne le polo d'eau universitaire des filles.")</f>
        <v>La vidéo concerne le polo d'eau universitaire des filles.</v>
      </c>
    </row>
    <row r="19223">
      <c r="A19223" s="4" t="s">
        <v>24192</v>
      </c>
      <c r="B19223" s="4" t="s">
        <v>24194</v>
      </c>
      <c r="C19223" s="5" t="str">
        <f>IFERROR(__xludf.DUMMYFUNCTION("GOOGLETRANSLATE(B19223,""en"",""fr"")"),"Il y a plusieurs filles qui s'apprêtent à aller à un événement de sport de water-polo.")</f>
        <v>Il y a plusieurs filles qui s'apprêtent à aller à un événement de sport de water-polo.</v>
      </c>
    </row>
    <row r="19224">
      <c r="A19224" s="4" t="s">
        <v>24192</v>
      </c>
      <c r="B19224" s="4" t="s">
        <v>24195</v>
      </c>
      <c r="C19224" s="5" t="str">
        <f>IFERROR(__xludf.DUMMYFUNCTION("GOOGLETRANSLATE(B19224,""en"",""fr"")"),"Ils tiennent leurs sacs à dos et leur équipement.")</f>
        <v>Ils tiennent leurs sacs à dos et leur équipement.</v>
      </c>
    </row>
    <row r="19225">
      <c r="A19225" s="4" t="s">
        <v>24192</v>
      </c>
      <c r="B19225" s="4" t="s">
        <v>24196</v>
      </c>
      <c r="C19225" s="5" t="str">
        <f>IFERROR(__xludf.DUMMYFUNCTION("GOOGLETRANSLATE(B19225,""en"",""fr"")"),"Ils se rendent ensemble à l'événement et se heurtent à un hôtel.")</f>
        <v>Ils se rendent ensemble à l'événement et se heurtent à un hôtel.</v>
      </c>
    </row>
    <row r="19226">
      <c r="A19226" s="4" t="s">
        <v>24192</v>
      </c>
      <c r="B19226" s="4" t="s">
        <v>24197</v>
      </c>
      <c r="C19226" s="5" t="str">
        <f>IFERROR(__xludf.DUMMYFUNCTION("GOOGLETRANSLATE(B19226,""en"",""fr"")"),"Toute l'équipe passe du temps ensemble avant l'événement.")</f>
        <v>Toute l'équipe passe du temps ensemble avant l'événement.</v>
      </c>
    </row>
    <row r="19227">
      <c r="A19227" s="4" t="s">
        <v>24192</v>
      </c>
      <c r="B19227" s="4" t="s">
        <v>24198</v>
      </c>
      <c r="C19227" s="5" t="str">
        <f>IFERROR(__xludf.DUMMYFUNCTION("GOOGLETRANSLATE(B19227,""en"",""fr"")"),"Deux des membres de l'équipe parlent de leur expérience avec l'événement Water Polo.")</f>
        <v>Deux des membres de l'équipe parlent de leur expérience avec l'événement Water Polo.</v>
      </c>
    </row>
    <row r="19228">
      <c r="A19228" s="4" t="s">
        <v>24192</v>
      </c>
      <c r="B19228" s="4" t="s">
        <v>24199</v>
      </c>
      <c r="C19228" s="5" t="str">
        <f>IFERROR(__xludf.DUMMYFUNCTION("GOOGLETRANSLATE(B19228,""en"",""fr"")"),"Les membres de l'équipe parlent de la compétition et de la façon dont ils ont réussi dans le sport.")</f>
        <v>Les membres de l'équipe parlent de la compétition et de la façon dont ils ont réussi dans le sport.</v>
      </c>
    </row>
    <row r="19229">
      <c r="A19229" s="4" t="s">
        <v>24192</v>
      </c>
      <c r="B19229" s="4" t="s">
        <v>24200</v>
      </c>
      <c r="C19229" s="5" t="str">
        <f>IFERROR(__xludf.DUMMYFUNCTION("GOOGLETRANSLATE(B19229,""en"",""fr"")"),"L'écran affiche toutes les victoires finales et perd dans le water-polo des filles.")</f>
        <v>L'écran affiche toutes les victoires finales et perd dans le water-polo des filles.</v>
      </c>
    </row>
    <row r="19230">
      <c r="A19230" s="4" t="s">
        <v>24201</v>
      </c>
      <c r="B19230" s="4" t="s">
        <v>24202</v>
      </c>
      <c r="C19230" s="5" t="str">
        <f>IFERROR(__xludf.DUMMYFUNCTION("GOOGLETRANSLATE(B19230,""en"",""fr"")"),"Un homme torse nu joue de la batterie de bongo devant un microphone.")</f>
        <v>Un homme torse nu joue de la batterie de bongo devant un microphone.</v>
      </c>
    </row>
    <row r="19231">
      <c r="A19231" s="4" t="s">
        <v>24201</v>
      </c>
      <c r="B19231" s="4" t="s">
        <v>24203</v>
      </c>
      <c r="C19231" s="5" t="str">
        <f>IFERROR(__xludf.DUMMYFUNCTION("GOOGLETRANSLATE(B19231,""en"",""fr"")"),"Il y a d'autres ensembles de tambours à sa gauche.")</f>
        <v>Il y a d'autres ensembles de tambours à sa gauche.</v>
      </c>
    </row>
    <row r="19232">
      <c r="A19232" s="4" t="s">
        <v>24201</v>
      </c>
      <c r="B19232" s="4" t="s">
        <v>24204</v>
      </c>
      <c r="C19232" s="5" t="str">
        <f>IFERROR(__xludf.DUMMYFUNCTION("GOOGLETRANSLATE(B19232,""en"",""fr"")"),"À sa droite se trouve un sac vert et un chapeau situé sur une table.")</f>
        <v>À sa droite se trouve un sac vert et un chapeau situé sur une table.</v>
      </c>
    </row>
    <row r="19233">
      <c r="A19233" s="4" t="s">
        <v>24205</v>
      </c>
      <c r="B19233" s="4" t="s">
        <v>24206</v>
      </c>
      <c r="C19233" s="5" t="str">
        <f>IFERROR(__xludf.DUMMYFUNCTION("GOOGLETRANSLATE(B19233,""en"",""fr"")"),"Les produits de nettoyage (et la liste des noms apparaissent à l'écran) sont sur une île dans une cuisine.")</f>
        <v>Les produits de nettoyage (et la liste des noms apparaissent à l'écran) sont sur une île dans une cuisine.</v>
      </c>
    </row>
    <row r="19234">
      <c r="A19234" s="4" t="s">
        <v>24205</v>
      </c>
      <c r="B19234" s="6" t="s">
        <v>24207</v>
      </c>
      <c r="C19234" s="5" t="str">
        <f>IFERROR(__xludf.DUMMYFUNCTION("GOOGLETRANSLATE(B19234,""en"",""fr"")"),"Une femme entre, attrape les fournitures, commence à pulvériser l'évier et commence à s'écouler avec une éponge.")</f>
        <v>Une femme entre, attrape les fournitures, commence à pulvériser l'évier et commence à s'écouler avec une éponge.</v>
      </c>
    </row>
    <row r="19235">
      <c r="A19235" s="4" t="s">
        <v>24205</v>
      </c>
      <c r="B19235" s="4" t="s">
        <v>24208</v>
      </c>
      <c r="C19235" s="5" t="str">
        <f>IFERROR(__xludf.DUMMYFUNCTION("GOOGLETRANSLATE(B19235,""en"",""fr"")"),"La femme commence alors à rincer l'évier avec le pulvérisateur à main jusqu'à ce qu'il soit propre.")</f>
        <v>La femme commence alors à rincer l'évier avec le pulvérisateur à main jusqu'à ce qu'il soit propre.</v>
      </c>
    </row>
    <row r="19236">
      <c r="A19236" s="4" t="s">
        <v>24205</v>
      </c>
      <c r="B19236" s="6" t="s">
        <v>24209</v>
      </c>
      <c r="C19236" s="5" t="str">
        <f>IFERROR(__xludf.DUMMYFUNCTION("GOOGLETRANSLATE(B19236,""en"",""fr"")"),"Le spray de nettoyage est sur le bord du comptoir et le texte de l'écran en dessous, lisez ""pour les taches difficiles répéter si nécessaire.")</f>
        <v>Le spray de nettoyage est sur le bord du comptoir et le texte de l'écran en dessous, lisez "pour les taches difficiles répéter si nécessaire.</v>
      </c>
    </row>
    <row r="19237">
      <c r="A19237" s="4" t="s">
        <v>24210</v>
      </c>
      <c r="B19237" s="4" t="s">
        <v>24211</v>
      </c>
      <c r="C19237" s="5" t="str">
        <f>IFERROR(__xludf.DUMMYFUNCTION("GOOGLETRANSLATE(B19237,""en"",""fr"")"),"Deux jeunes garçons effectuent des danses d'arts martiaux.")</f>
        <v>Deux jeunes garçons effectuent des danses d'arts martiaux.</v>
      </c>
    </row>
    <row r="19238">
      <c r="A19238" s="4" t="s">
        <v>24210</v>
      </c>
      <c r="B19238" s="4" t="s">
        <v>24212</v>
      </c>
      <c r="C19238" s="5" t="str">
        <f>IFERROR(__xludf.DUMMYFUNCTION("GOOGLETRANSLATE(B19238,""en"",""fr"")"),"Un groupe de garçons autour d'eux regarde.")</f>
        <v>Un groupe de garçons autour d'eux regarde.</v>
      </c>
    </row>
    <row r="19239">
      <c r="A19239" s="4" t="s">
        <v>24210</v>
      </c>
      <c r="B19239" s="4" t="s">
        <v>24213</v>
      </c>
      <c r="C19239" s="5" t="str">
        <f>IFERROR(__xludf.DUMMYFUNCTION("GOOGLETRANSLATE(B19239,""en"",""fr"")"),"Derrière les interprètes se trouve un groupe d'hommes jouant de la musique pour la performance.")</f>
        <v>Derrière les interprètes se trouve un groupe d'hommes jouant de la musique pour la performance.</v>
      </c>
    </row>
    <row r="19240">
      <c r="A19240" s="4" t="s">
        <v>24210</v>
      </c>
      <c r="B19240" s="4" t="s">
        <v>24214</v>
      </c>
      <c r="C19240" s="5" t="str">
        <f>IFERROR(__xludf.DUMMYFUNCTION("GOOGLETRANSLATE(B19240,""en"",""fr"")"),"Les artistes retournent à leurs sièges.")</f>
        <v>Les artistes retournent à leurs sièges.</v>
      </c>
    </row>
    <row r="19241">
      <c r="A19241" s="4" t="s">
        <v>24215</v>
      </c>
      <c r="B19241" s="4" t="s">
        <v>24216</v>
      </c>
      <c r="C19241" s="5" t="str">
        <f>IFERROR(__xludf.DUMMYFUNCTION("GOOGLETRANSLATE(B19241,""en"",""fr"")"),"Un tas d'enfants se tiennent sur un terrain de football et une fille parle.")</f>
        <v>Un tas d'enfants se tiennent sur un terrain de football et une fille parle.</v>
      </c>
    </row>
    <row r="19242">
      <c r="A19242" s="4" t="s">
        <v>24215</v>
      </c>
      <c r="B19242" s="4" t="s">
        <v>24217</v>
      </c>
      <c r="C19242" s="5" t="str">
        <f>IFERROR(__xludf.DUMMYFUNCTION("GOOGLETRANSLATE(B19242,""en"",""fr"")"),"La fille est prête à botter une balle rouge roulée sur le sol.")</f>
        <v>La fille est prête à botter une balle rouge roulée sur le sol.</v>
      </c>
    </row>
    <row r="19243">
      <c r="A19243" s="4" t="s">
        <v>24215</v>
      </c>
      <c r="B19243" s="4" t="s">
        <v>24218</v>
      </c>
      <c r="C19243" s="5" t="str">
        <f>IFERROR(__xludf.DUMMYFUNCTION("GOOGLETRANSLATE(B19243,""en"",""fr"")"),"La jeune femme portant un short bleu et un t-shirt coule et donne un coup de pied au ballon.")</f>
        <v>La jeune femme portant un short bleu et un t-shirt coule et donne un coup de pied au ballon.</v>
      </c>
    </row>
    <row r="19244">
      <c r="A19244" s="4" t="s">
        <v>24215</v>
      </c>
      <c r="B19244" s="4" t="s">
        <v>24219</v>
      </c>
      <c r="C19244" s="5" t="str">
        <f>IFERROR(__xludf.DUMMYFUNCTION("GOOGLETRANSLATE(B19244,""en"",""fr"")"),"La jeune fille glisse dans le premier toboggan.")</f>
        <v>La jeune fille glisse dans le premier toboggan.</v>
      </c>
    </row>
    <row r="19245">
      <c r="A19245" s="4" t="s">
        <v>24215</v>
      </c>
      <c r="B19245" s="4" t="s">
        <v>24220</v>
      </c>
      <c r="C19245" s="5" t="str">
        <f>IFERROR(__xludf.DUMMYFUNCTION("GOOGLETRANSLATE(B19245,""en"",""fr"")"),"La fille se lève ensuite puis glisse dans le deuxième toboggan.")</f>
        <v>La fille se lève ensuite puis glisse dans le deuxième toboggan.</v>
      </c>
    </row>
    <row r="19246">
      <c r="A19246" s="4" t="s">
        <v>24221</v>
      </c>
      <c r="B19246" s="4" t="s">
        <v>24222</v>
      </c>
      <c r="C19246" s="5" t="str">
        <f>IFERROR(__xludf.DUMMYFUNCTION("GOOGLETRANSLATE(B19246,""en"",""fr"")"),"Un homme attrape un poisson d'un trou dans la glace.")</f>
        <v>Un homme attrape un poisson d'un trou dans la glace.</v>
      </c>
    </row>
    <row r="19247">
      <c r="A19247" s="4" t="s">
        <v>24221</v>
      </c>
      <c r="B19247" s="4" t="s">
        <v>24223</v>
      </c>
      <c r="C19247" s="5" t="str">
        <f>IFERROR(__xludf.DUMMYFUNCTION("GOOGLETRANSLATE(B19247,""en"",""fr"")"),"Ensuite, l'homme tient le poisson qui se déplace sur la glace.")</f>
        <v>Ensuite, l'homme tient le poisson qui se déplace sur la glace.</v>
      </c>
    </row>
    <row r="19248">
      <c r="A19248" s="4" t="s">
        <v>24221</v>
      </c>
      <c r="B19248" s="4" t="s">
        <v>24224</v>
      </c>
      <c r="C19248" s="5" t="str">
        <f>IFERROR(__xludf.DUMMYFUNCTION("GOOGLETRANSLATE(B19248,""en"",""fr"")"),"Après, l'homme a mis une tige métallique sur l'embouchure du poisson.")</f>
        <v>Après, l'homme a mis une tige métallique sur l'embouchure du poisson.</v>
      </c>
    </row>
    <row r="19249">
      <c r="A19249" s="4" t="s">
        <v>24225</v>
      </c>
      <c r="B19249" s="4" t="s">
        <v>24226</v>
      </c>
      <c r="C19249" s="5" t="str">
        <f>IFERROR(__xludf.DUMMYFUNCTION("GOOGLETRANSLATE(B19249,""en"",""fr"")"),"Une personne est vue en train de jeter du plâtre sur un mur pendant que la caméra suit la personne qui se rapproche.")</f>
        <v>Une personne est vue en train de jeter du plâtre sur un mur pendant que la caméra suit la personne qui se rapproche.</v>
      </c>
    </row>
    <row r="19250">
      <c r="A19250" s="4" t="s">
        <v>24225</v>
      </c>
      <c r="B19250" s="6" t="s">
        <v>24227</v>
      </c>
      <c r="C19250" s="5" t="str">
        <f>IFERROR(__xludf.DUMMYFUNCTION("GOOGLETRANSLATE(B19250,""en"",""fr"")"),"La personne jette progressivement de plus en plus sur le mur et la caméra passe sur le produit fini.")</f>
        <v>La personne jette progressivement de plus en plus sur le mur et la caméra passe sur le produit fini.</v>
      </c>
    </row>
    <row r="19251">
      <c r="A19251" s="4" t="s">
        <v>24228</v>
      </c>
      <c r="B19251" s="4" t="s">
        <v>24229</v>
      </c>
      <c r="C19251" s="5" t="str">
        <f>IFERROR(__xludf.DUMMYFUNCTION("GOOGLETRANSLATE(B19251,""en"",""fr"")"),"Beaucoup de gens se promènent au début de la vidéo.")</f>
        <v>Beaucoup de gens se promènent au début de la vidéo.</v>
      </c>
    </row>
    <row r="19252">
      <c r="A19252" s="4" t="s">
        <v>24228</v>
      </c>
      <c r="B19252" s="4" t="s">
        <v>24230</v>
      </c>
      <c r="C19252" s="5" t="str">
        <f>IFERROR(__xludf.DUMMYFUNCTION("GOOGLETRANSLATE(B19252,""en"",""fr"")"),"Ensuite, différentes personnes sont présentées à skier des rampes pour faire des astuces sympas.")</f>
        <v>Ensuite, différentes personnes sont présentées à skier des rampes pour faire des astuces sympas.</v>
      </c>
    </row>
    <row r="19253">
      <c r="A19253" s="4" t="s">
        <v>24231</v>
      </c>
      <c r="B19253" s="4" t="s">
        <v>24232</v>
      </c>
      <c r="C19253" s="5" t="str">
        <f>IFERROR(__xludf.DUMMYFUNCTION("GOOGLETRANSLATE(B19253,""en"",""fr"")"),"Un bébé mange du pain sur une chaise haute.")</f>
        <v>Un bébé mange du pain sur une chaise haute.</v>
      </c>
    </row>
    <row r="19254">
      <c r="A19254" s="4" t="s">
        <v>24231</v>
      </c>
      <c r="B19254" s="4" t="s">
        <v>24233</v>
      </c>
      <c r="C19254" s="5" t="str">
        <f>IFERROR(__xludf.DUMMYFUNCTION("GOOGLETRANSLATE(B19254,""en"",""fr"")"),"Une personne met quelque chose dans les yeux du bébé.")</f>
        <v>Une personne met quelque chose dans les yeux du bébé.</v>
      </c>
    </row>
    <row r="19255">
      <c r="A19255" s="4" t="s">
        <v>24231</v>
      </c>
      <c r="B19255" s="4" t="s">
        <v>24234</v>
      </c>
      <c r="C19255" s="5" t="str">
        <f>IFERROR(__xludf.DUMMYFUNCTION("GOOGLETRANSLATE(B19255,""en"",""fr"")"),"Une personne dérange les cheveux du bébé.")</f>
        <v>Une personne dérange les cheveux du bébé.</v>
      </c>
    </row>
    <row r="19256">
      <c r="A19256" s="4" t="s">
        <v>24235</v>
      </c>
      <c r="B19256" s="4" t="s">
        <v>24236</v>
      </c>
      <c r="C19256" s="5" t="str">
        <f>IFERROR(__xludf.DUMMYFUNCTION("GOOGLETRANSLATE(B19256,""en"",""fr"")"),"Un jeune garçon est assis devant un bureau alors qu'il joue avec un cube Rubik.")</f>
        <v>Un jeune garçon est assis devant un bureau alors qu'il joue avec un cube Rubik.</v>
      </c>
    </row>
    <row r="19257">
      <c r="A19257" s="4" t="s">
        <v>24235</v>
      </c>
      <c r="B19257" s="4" t="s">
        <v>24237</v>
      </c>
      <c r="C19257" s="5" t="str">
        <f>IFERROR(__xludf.DUMMYFUNCTION("GOOGLETRANSLATE(B19257,""en"",""fr"")"),"Il termine le cube et le place sur le bureau et arrête rapidement une minuterie.")</f>
        <v>Il termine le cube et le place sur le bureau et arrête rapidement une minuterie.</v>
      </c>
    </row>
    <row r="19258">
      <c r="A19258" s="4" t="s">
        <v>24235</v>
      </c>
      <c r="B19258" s="4" t="s">
        <v>24238</v>
      </c>
      <c r="C19258" s="5" t="str">
        <f>IFERROR(__xludf.DUMMYFUNCTION("GOOGLETRANSLATE(B19258,""en"",""fr"")"),"Il attrape à nouveau le cube et commence à le terminer.")</f>
        <v>Il attrape à nouveau le cube et commence à le terminer.</v>
      </c>
    </row>
    <row r="19259">
      <c r="A19259" s="4" t="s">
        <v>24235</v>
      </c>
      <c r="B19259" s="4" t="s">
        <v>24239</v>
      </c>
      <c r="C19259" s="5" t="str">
        <f>IFERROR(__xludf.DUMMYFUNCTION("GOOGLETRANSLATE(B19259,""en"",""fr"")"),"Il termine à nouveau et commence un autre match du cube.")</f>
        <v>Il termine à nouveau et commence un autre match du cube.</v>
      </c>
    </row>
    <row r="19260">
      <c r="A19260" s="4" t="s">
        <v>24240</v>
      </c>
      <c r="B19260" s="4" t="s">
        <v>24241</v>
      </c>
      <c r="C19260" s="5" t="str">
        <f>IFERROR(__xludf.DUMMYFUNCTION("GOOGLETRANSLATE(B19260,""en"",""fr"")"),"Une intro apparaît à l'écran pour une vidéo sur un homme qui jouera les rhums.")</f>
        <v>Une intro apparaît à l'écran pour une vidéo sur un homme qui jouera les rhums.</v>
      </c>
    </row>
    <row r="19261">
      <c r="A19261" s="4" t="s">
        <v>24240</v>
      </c>
      <c r="B19261" s="4" t="s">
        <v>24242</v>
      </c>
      <c r="C19261" s="5" t="str">
        <f>IFERROR(__xludf.DUMMYFUNCTION("GOOGLETRANSLATE(B19261,""en"",""fr"")"),"L'homme commence à jouer de la batterie pendant que la caméra l'enregistre.")</f>
        <v>L'homme commence à jouer de la batterie pendant que la caméra l'enregistre.</v>
      </c>
    </row>
    <row r="19262">
      <c r="A19262" s="4" t="s">
        <v>24240</v>
      </c>
      <c r="B19262" s="4" t="s">
        <v>24243</v>
      </c>
      <c r="C19262" s="5" t="str">
        <f>IFERROR(__xludf.DUMMYFUNCTION("GOOGLETRANSLATE(B19262,""en"",""fr"")"),"Il s'arrête et les gens rit et apprécient la musique.")</f>
        <v>Il s'arrête et les gens rit et apprécient la musique.</v>
      </c>
    </row>
    <row r="19263">
      <c r="A19263" s="4" t="s">
        <v>24240</v>
      </c>
      <c r="B19263" s="4" t="s">
        <v>24244</v>
      </c>
      <c r="C19263" s="5" t="str">
        <f>IFERROR(__xludf.DUMMYFUNCTION("GOOGLETRANSLATE(B19263,""en"",""fr"")"),"Il s'arrête à nouveau et attend une réaction de la foule.")</f>
        <v>Il s'arrête à nouveau et attend une réaction de la foule.</v>
      </c>
    </row>
    <row r="19264">
      <c r="A19264" s="4" t="s">
        <v>24240</v>
      </c>
      <c r="B19264" s="4" t="s">
        <v>24245</v>
      </c>
      <c r="C19264" s="5" t="str">
        <f>IFERROR(__xludf.DUMMYFUNCTION("GOOGLETRANSLATE(B19264,""en"",""fr"")"),"La caméra se tourne pour montrer aux gens qui apprécient la musique.")</f>
        <v>La caméra se tourne pour montrer aux gens qui apprécient la musique.</v>
      </c>
    </row>
    <row r="19265">
      <c r="A19265" s="4" t="s">
        <v>24240</v>
      </c>
      <c r="B19265" s="4" t="s">
        <v>4959</v>
      </c>
      <c r="C19265" s="5" t="str">
        <f>IFERROR(__xludf.DUMMYFUNCTION("GOOGLETRANSLATE(B19265,""en"",""fr"")"),"La vidéo se termine par les crédits de clôture.")</f>
        <v>La vidéo se termine par les crédits de clôture.</v>
      </c>
    </row>
    <row r="19266">
      <c r="A19266" s="4" t="s">
        <v>24246</v>
      </c>
      <c r="B19266" s="6" t="s">
        <v>24247</v>
      </c>
      <c r="C19266" s="5" t="str">
        <f>IFERROR(__xludf.DUMMYFUNCTION("GOOGLETRANSLATE(B19266,""en"",""fr"")"),"Un groupe de femmes porte des uniformes d'équipe de volleyball debout dans une salle de sport intérieure, et une jeune femme qui a un numéro 10 sur sa chemise fait rebondir le volleyball et se prépare à servir.")</f>
        <v>Un groupe de femmes porte des uniformes d'équipe de volleyball debout dans une salle de sport intérieure, et une jeune femme qui a un numéro 10 sur sa chemise fait rebondir le volleyball et se prépare à servir.</v>
      </c>
    </row>
    <row r="19267">
      <c r="A19267" s="4" t="s">
        <v>24246</v>
      </c>
      <c r="B19267" s="6" t="s">
        <v>24248</v>
      </c>
      <c r="C19267" s="5" t="str">
        <f>IFERROR(__xludf.DUMMYFUNCTION("GOOGLETRANSLATE(B19267,""en"",""fr"")"),"La femme sert le ballon et un jeu s'ensuit alors que toutes les femmes gardent le ballon dans la région et la frappent plusieurs fois sur le filet en essayant de le garder dans les limites.")</f>
        <v>La femme sert le ballon et un jeu s'ensuit alors que toutes les femmes gardent le ballon dans la région et la frappent plusieurs fois sur le filet en essayant de le garder dans les limites.</v>
      </c>
    </row>
    <row r="19268">
      <c r="A19268" s="4" t="s">
        <v>24246</v>
      </c>
      <c r="B19268" s="6" t="s">
        <v>24249</v>
      </c>
      <c r="C19268" s="5" t="str">
        <f>IFERROR(__xludf.DUMMYFUNCTION("GOOGLETRANSLATE(B19268,""en"",""fr"")"),"La même femme qui a servi le ballon fait grimper le ballon très fort, l'autre équipe le manque et ses coéquipiers applaudissent.")</f>
        <v>La même femme qui a servi le ballon fait grimper le ballon très fort, l'autre équipe le manque et ses coéquipiers applaudissent.</v>
      </c>
    </row>
    <row r="19269">
      <c r="A19269" s="4" t="s">
        <v>24246</v>
      </c>
      <c r="B19269" s="6" t="s">
        <v>24250</v>
      </c>
      <c r="C19269" s="5" t="str">
        <f>IFERROR(__xludf.DUMMYFUNCTION("GOOGLETRANSLATE(B19269,""en"",""fr"")"),"La même femme qui a servi auparavant sert à nouveau le volleyball et l'autre équipe augmente rapidement le ballon qui envoie le membre de l'équipe adverse rouler sur le sol pour tenter de sauver le ballon de frapper le sol.")</f>
        <v>La même femme qui a servi auparavant sert à nouveau le volleyball et l'autre équipe augmente rapidement le ballon qui envoie le membre de l'équipe adverse rouler sur le sol pour tenter de sauver le ballon de frapper le sol.</v>
      </c>
    </row>
    <row r="19270">
      <c r="A19270" s="4" t="s">
        <v>24251</v>
      </c>
      <c r="B19270" s="4" t="s">
        <v>24252</v>
      </c>
      <c r="C19270" s="5" t="str">
        <f>IFERROR(__xludf.DUMMYFUNCTION("GOOGLETRANSLATE(B19270,""en"",""fr"")"),"Un homme est vu parler à la caméra et le mène en frottant une fenêtre.")</f>
        <v>Un homme est vu parler à la caméra et le mène en frottant une fenêtre.</v>
      </c>
    </row>
    <row r="19271">
      <c r="A19271" s="4" t="s">
        <v>24251</v>
      </c>
      <c r="B19271" s="4" t="s">
        <v>24253</v>
      </c>
      <c r="C19271" s="5" t="str">
        <f>IFERROR(__xludf.DUMMYFUNCTION("GOOGLETRANSLATE(B19271,""en"",""fr"")"),"Il fixe la fenêtre avec un nettoyant et montre plusieurs méthodes sur la façon d'utiliser correctement un essuie-glace.")</f>
        <v>Il fixe la fenêtre avec un nettoyant et montre plusieurs méthodes sur la façon d'utiliser correctement un essuie-glace.</v>
      </c>
    </row>
    <row r="19272">
      <c r="A19272" s="4" t="s">
        <v>24251</v>
      </c>
      <c r="B19272" s="4" t="s">
        <v>24254</v>
      </c>
      <c r="C19272" s="5" t="str">
        <f>IFERROR(__xludf.DUMMYFUNCTION("GOOGLETRANSLATE(B19272,""en"",""fr"")"),"La fenêtre est tout propre à la fin et il est toujours vu parler à la caméra.")</f>
        <v>La fenêtre est tout propre à la fin et il est toujours vu parler à la caméra.</v>
      </c>
    </row>
    <row r="19273">
      <c r="A19273" s="4" t="s">
        <v>24255</v>
      </c>
      <c r="B19273" s="4" t="s">
        <v>24256</v>
      </c>
      <c r="C19273" s="5" t="str">
        <f>IFERROR(__xludf.DUMMYFUNCTION("GOOGLETRANSLATE(B19273,""en"",""fr"")"),"Plusieurs canots sont disposés de Sen qui mènent à des photos de personnes qui roulent dans les canoës.")</f>
        <v>Plusieurs canots sont disposés de Sen qui mènent à des photos de personnes qui roulent dans les canoës.</v>
      </c>
    </row>
    <row r="19274">
      <c r="A19274" s="4" t="s">
        <v>24255</v>
      </c>
      <c r="B19274" s="4" t="s">
        <v>24257</v>
      </c>
      <c r="C19274" s="5" t="str">
        <f>IFERROR(__xludf.DUMMYFUNCTION("GOOGLETRANSLATE(B19274,""en"",""fr"")"),"Un homme est vu parler à la caméra ainsi qu'à rouler dans un canoë avec une autre femme.")</f>
        <v>Un homme est vu parler à la caméra ainsi qu'à rouler dans un canoë avec une autre femme.</v>
      </c>
    </row>
    <row r="19275">
      <c r="A19275" s="4" t="s">
        <v>24255</v>
      </c>
      <c r="B19275" s="4" t="s">
        <v>24258</v>
      </c>
      <c r="C19275" s="5" t="str">
        <f>IFERROR(__xludf.DUMMYFUNCTION("GOOGLETRANSLATE(B19275,""en"",""fr"")"),"Plus de gens sont vus descendre la rivière en canoës pendant que l'homme continue de parler.")</f>
        <v>Plus de gens sont vus descendre la rivière en canoës pendant que l'homme continue de parler.</v>
      </c>
    </row>
    <row r="19276">
      <c r="A19276" s="4" t="s">
        <v>24259</v>
      </c>
      <c r="B19276" s="4" t="s">
        <v>24260</v>
      </c>
      <c r="C19276" s="5" t="str">
        <f>IFERROR(__xludf.DUMMYFUNCTION("GOOGLETRANSLATE(B19276,""en"",""fr"")"),"Les gars en forme se tiennent sur un Javel.")</f>
        <v>Les gars en forme se tiennent sur un Javel.</v>
      </c>
    </row>
    <row r="19277">
      <c r="A19277" s="4" t="s">
        <v>24259</v>
      </c>
      <c r="B19277" s="4" t="s">
        <v>24261</v>
      </c>
      <c r="C19277" s="5" t="str">
        <f>IFERROR(__xludf.DUMMYFUNCTION("GOOGLETRANSLATE(B19277,""en"",""fr"")"),"Les gars jouent au soccer Beach.")</f>
        <v>Les gars jouent au soccer Beach.</v>
      </c>
    </row>
    <row r="19278">
      <c r="A19278" s="4" t="s">
        <v>24259</v>
      </c>
      <c r="B19278" s="4" t="s">
        <v>24262</v>
      </c>
      <c r="C19278" s="5" t="str">
        <f>IFERROR(__xludf.DUMMYFUNCTION("GOOGLETRANSLATE(B19278,""en"",""fr"")"),"Un homme donne une interview.")</f>
        <v>Un homme donne une interview.</v>
      </c>
    </row>
    <row r="19279">
      <c r="A19279" s="4" t="s">
        <v>24259</v>
      </c>
      <c r="B19279" s="4" t="s">
        <v>24263</v>
      </c>
      <c r="C19279" s="5" t="str">
        <f>IFERROR(__xludf.DUMMYFUNCTION("GOOGLETRANSLATE(B19279,""en"",""fr"")"),"Un joueur jongle sur deux balles de football.")</f>
        <v>Un joueur jongle sur deux balles de football.</v>
      </c>
    </row>
    <row r="19280">
      <c r="A19280" s="4" t="s">
        <v>24264</v>
      </c>
      <c r="B19280" s="4" t="s">
        <v>24265</v>
      </c>
      <c r="C19280" s="5" t="str">
        <f>IFERROR(__xludf.DUMMYFUNCTION("GOOGLETRANSLATE(B19280,""en"",""fr"")"),"Une fille en chemise jaune mange un cornet de crème glacée.")</f>
        <v>Une fille en chemise jaune mange un cornet de crème glacée.</v>
      </c>
    </row>
    <row r="19281">
      <c r="A19281" s="4" t="s">
        <v>24264</v>
      </c>
      <c r="B19281" s="4" t="s">
        <v>24266</v>
      </c>
      <c r="C19281" s="5" t="str">
        <f>IFERROR(__xludf.DUMMYFUNCTION("GOOGLETRANSLATE(B19281,""en"",""fr"")"),"Un garçon dans une chemise rayée est assis en face d'elle en train de manger un cornet de crème glacée.")</f>
        <v>Un garçon dans une chemise rayée est assis en face d'elle en train de manger un cornet de crème glacée.</v>
      </c>
    </row>
    <row r="19282">
      <c r="A19282" s="4" t="s">
        <v>24264</v>
      </c>
      <c r="B19282" s="4" t="s">
        <v>24267</v>
      </c>
      <c r="C19282" s="5" t="str">
        <f>IFERROR(__xludf.DUMMYFUNCTION("GOOGLETRANSLATE(B19282,""en"",""fr"")"),"Un homme à côté de lui la regarde.")</f>
        <v>Un homme à côté de lui la regarde.</v>
      </c>
    </row>
    <row r="19283">
      <c r="A19283" s="4" t="s">
        <v>24268</v>
      </c>
      <c r="B19283" s="4" t="s">
        <v>24269</v>
      </c>
      <c r="C19283" s="5" t="str">
        <f>IFERROR(__xludf.DUMMYFUNCTION("GOOGLETRANSLATE(B19283,""en"",""fr"")"),"Un gars tourne une balle attachée à une corde.")</f>
        <v>Un gars tourne une balle attachée à une corde.</v>
      </c>
    </row>
    <row r="19284">
      <c r="A19284" s="4" t="s">
        <v>24268</v>
      </c>
      <c r="B19284" s="4" t="s">
        <v>24270</v>
      </c>
      <c r="C19284" s="5" t="str">
        <f>IFERROR(__xludf.DUMMYFUNCTION("GOOGLETRANSLATE(B19284,""en"",""fr"")"),"Le gars libère le ballon et l'attachement de corde à la zone derrière lui.")</f>
        <v>Le gars libère le ballon et l'attachement de corde à la zone derrière lui.</v>
      </c>
    </row>
    <row r="19285">
      <c r="A19285" s="4" t="s">
        <v>24268</v>
      </c>
      <c r="B19285" s="4" t="s">
        <v>24271</v>
      </c>
      <c r="C19285" s="5" t="str">
        <f>IFERROR(__xludf.DUMMYFUNCTION("GOOGLETRANSLATE(B19285,""en"",""fr"")"),"Le gars tourne le ballon attaché à une corde et tombe au sol.")</f>
        <v>Le gars tourne le ballon attaché à une corde et tombe au sol.</v>
      </c>
    </row>
    <row r="19286">
      <c r="A19286" s="4" t="s">
        <v>24272</v>
      </c>
      <c r="B19286" s="4" t="s">
        <v>24273</v>
      </c>
      <c r="C19286" s="5" t="str">
        <f>IFERROR(__xludf.DUMMYFUNCTION("GOOGLETRANSLATE(B19286,""en"",""fr"")"),"Un homme en chemise blanche et une vie de sauvetage blanche est assise dans un seul radeau orange.")</f>
        <v>Un homme en chemise blanche et une vie de sauvetage blanche est assise dans un seul radeau orange.</v>
      </c>
    </row>
    <row r="19287">
      <c r="A19287" s="4" t="s">
        <v>24272</v>
      </c>
      <c r="B19287" s="4" t="s">
        <v>24274</v>
      </c>
      <c r="C19287" s="5" t="str">
        <f>IFERROR(__xludf.DUMMYFUNCTION("GOOGLETRANSLATE(B19287,""en"",""fr"")"),"L'homme dans un radeau va à l'encontre des vagues d'eau, il palette et le radeau tourne en cercle.")</f>
        <v>L'homme dans un radeau va à l'encontre des vagues d'eau, il palette et le radeau tourne en cercle.</v>
      </c>
    </row>
    <row r="19288">
      <c r="A19288" s="4" t="s">
        <v>24275</v>
      </c>
      <c r="B19288" s="4" t="s">
        <v>24276</v>
      </c>
      <c r="C19288" s="5" t="str">
        <f>IFERROR(__xludf.DUMMYFUNCTION("GOOGLETRANSLATE(B19288,""en"",""fr"")"),"Une pièce vide est représentée avec des carreaux jaunes.")</f>
        <v>Une pièce vide est représentée avec des carreaux jaunes.</v>
      </c>
    </row>
    <row r="19289">
      <c r="A19289" s="4" t="s">
        <v>24275</v>
      </c>
      <c r="B19289" s="4" t="s">
        <v>24277</v>
      </c>
      <c r="C19289" s="5" t="str">
        <f>IFERROR(__xludf.DUMMYFUNCTION("GOOGLETRANSLATE(B19289,""en"",""fr"")"),"Un homme en chemise blanche peint un mur.")</f>
        <v>Un homme en chemise blanche peint un mur.</v>
      </c>
    </row>
    <row r="19290">
      <c r="A19290" s="4" t="s">
        <v>24275</v>
      </c>
      <c r="B19290" s="4" t="s">
        <v>24278</v>
      </c>
      <c r="C19290" s="5" t="str">
        <f>IFERROR(__xludf.DUMMYFUNCTION("GOOGLETRANSLATE(B19290,""en"",""fr"")"),"Il se retourne et regarde la caméra.")</f>
        <v>Il se retourne et regarde la caméra.</v>
      </c>
    </row>
    <row r="19291">
      <c r="A19291" s="4" t="s">
        <v>24279</v>
      </c>
      <c r="B19291" s="4" t="s">
        <v>24280</v>
      </c>
      <c r="C19291" s="5" t="str">
        <f>IFERROR(__xludf.DUMMYFUNCTION("GOOGLETRANSLATE(B19291,""en"",""fr"")"),"Nous voyons une série d'écrans de titre.")</f>
        <v>Nous voyons une série d'écrans de titre.</v>
      </c>
    </row>
    <row r="19292">
      <c r="A19292" s="4" t="s">
        <v>24279</v>
      </c>
      <c r="B19292" s="4" t="s">
        <v>24281</v>
      </c>
      <c r="C19292" s="5" t="str">
        <f>IFERROR(__xludf.DUMMYFUNCTION("GOOGLETRANSLATE(B19292,""en"",""fr"")"),"Nous voyons ensuite un match de badminton.")</f>
        <v>Nous voyons ensuite un match de badminton.</v>
      </c>
    </row>
    <row r="19293">
      <c r="A19293" s="4" t="s">
        <v>24279</v>
      </c>
      <c r="B19293" s="4" t="s">
        <v>24282</v>
      </c>
      <c r="C19293" s="5" t="str">
        <f>IFERROR(__xludf.DUMMYFUNCTION("GOOGLETRANSLATE(B19293,""en"",""fr"")"),"Nous voyons une illustration de Badminton.")</f>
        <v>Nous voyons une illustration de Badminton.</v>
      </c>
    </row>
    <row r="19294">
      <c r="A19294" s="4" t="s">
        <v>24279</v>
      </c>
      <c r="B19294" s="4" t="s">
        <v>24283</v>
      </c>
      <c r="C19294" s="5" t="str">
        <f>IFERROR(__xludf.DUMMYFUNCTION("GOOGLETRANSLATE(B19294,""en"",""fr"")"),"Nous voyons ensuite une dame et un homme jouant à l'intérieur.")</f>
        <v>Nous voyons ensuite une dame et un homme jouant à l'intérieur.</v>
      </c>
    </row>
    <row r="19295">
      <c r="A19295" s="4" t="s">
        <v>24279</v>
      </c>
      <c r="B19295" s="4" t="s">
        <v>24284</v>
      </c>
      <c r="C19295" s="5" t="str">
        <f>IFERROR(__xludf.DUMMYFUNCTION("GOOGLETRANSLATE(B19295,""en"",""fr"")"),"Nous voyons des animations alors que l'homme frappe le ballon.")</f>
        <v>Nous voyons des animations alors que l'homme frappe le ballon.</v>
      </c>
    </row>
    <row r="19296">
      <c r="A19296" s="4" t="s">
        <v>24279</v>
      </c>
      <c r="B19296" s="4" t="s">
        <v>24285</v>
      </c>
      <c r="C19296" s="5" t="str">
        <f>IFERROR(__xludf.DUMMYFUNCTION("GOOGLETRANSLATE(B19296,""en"",""fr"")"),"Nous voyons une illustration de l'homme.")</f>
        <v>Nous voyons une illustration de l'homme.</v>
      </c>
    </row>
    <row r="19297">
      <c r="A19297" s="4" t="s">
        <v>24279</v>
      </c>
      <c r="B19297" s="4" t="s">
        <v>4452</v>
      </c>
      <c r="C19297" s="5" t="str">
        <f>IFERROR(__xludf.DUMMYFUNCTION("GOOGLETRANSLATE(B19297,""en"",""fr"")"),"Nous voyons ensuite l'écran de fin.")</f>
        <v>Nous voyons ensuite l'écran de fin.</v>
      </c>
    </row>
    <row r="19298">
      <c r="A19298" s="4" t="s">
        <v>24279</v>
      </c>
      <c r="B19298" s="4" t="s">
        <v>24286</v>
      </c>
      <c r="C19298" s="5" t="str">
        <f>IFERROR(__xludf.DUMMYFUNCTION("GOOGLETRANSLATE(B19298,""en"",""fr"")"),"Un homme parle dans une pièce verte.")</f>
        <v>Un homme parle dans une pièce verte.</v>
      </c>
    </row>
    <row r="19299">
      <c r="A19299" s="4" t="s">
        <v>24287</v>
      </c>
      <c r="B19299" s="4" t="s">
        <v>24288</v>
      </c>
      <c r="C19299" s="5" t="str">
        <f>IFERROR(__xludf.DUMMYFUNCTION("GOOGLETRANSLATE(B19299,""en"",""fr"")"),"On voit deux personnes jouer une table de fooseball et encourager les uns avec les autres.")</f>
        <v>On voit deux personnes jouer une table de fooseball et encourager les uns avec les autres.</v>
      </c>
    </row>
    <row r="19300">
      <c r="A19300" s="4" t="s">
        <v>24287</v>
      </c>
      <c r="B19300" s="4" t="s">
        <v>24289</v>
      </c>
      <c r="C19300" s="5" t="str">
        <f>IFERROR(__xludf.DUMMYFUNCTION("GOOGLETRANSLATE(B19300,""en"",""fr"")"),"Les gens continuent de jouer et de s'arrêter pour encourager la fin avec une poignée de main.")</f>
        <v>Les gens continuent de jouer et de s'arrêter pour encourager la fin avec une poignée de main.</v>
      </c>
    </row>
    <row r="19301">
      <c r="A19301" s="4" t="s">
        <v>24290</v>
      </c>
      <c r="B19301" s="4" t="s">
        <v>24291</v>
      </c>
      <c r="C19301" s="5" t="str">
        <f>IFERROR(__xludf.DUMMYFUNCTION("GOOGLETRANSLATE(B19301,""en"",""fr"")"),"Un support de pinceau vert est montré.")</f>
        <v>Un support de pinceau vert est montré.</v>
      </c>
    </row>
    <row r="19302">
      <c r="A19302" s="4" t="s">
        <v>24290</v>
      </c>
      <c r="B19302" s="4" t="s">
        <v>24292</v>
      </c>
      <c r="C19302" s="5" t="str">
        <f>IFERROR(__xludf.DUMMYFUNCTION("GOOGLETRANSLATE(B19302,""en"",""fr"")"),"Le pinceau du pinceau est montré sur le doigt d'une personne.")</f>
        <v>Le pinceau du pinceau est montré sur le doigt d'une personne.</v>
      </c>
    </row>
    <row r="19303">
      <c r="A19303" s="4" t="s">
        <v>24290</v>
      </c>
      <c r="B19303" s="4" t="s">
        <v>24293</v>
      </c>
      <c r="C19303" s="5" t="str">
        <f>IFERROR(__xludf.DUMMYFUNCTION("GOOGLETRANSLATE(B19303,""en"",""fr"")"),"Ils peignent avec le pinceau.")</f>
        <v>Ils peignent avec le pinceau.</v>
      </c>
    </row>
    <row r="19304">
      <c r="A19304" s="4" t="s">
        <v>24290</v>
      </c>
      <c r="B19304" s="4" t="s">
        <v>24294</v>
      </c>
      <c r="C19304" s="5" t="str">
        <f>IFERROR(__xludf.DUMMYFUNCTION("GOOGLETRANSLATE(B19304,""en"",""fr"")"),"Ils tombent plus minces dans la peinture avec un compte-gouttes.")</f>
        <v>Ils tombent plus minces dans la peinture avec un compte-gouttes.</v>
      </c>
    </row>
    <row r="19305">
      <c r="A19305" s="4" t="s">
        <v>24290</v>
      </c>
      <c r="B19305" s="4" t="s">
        <v>24295</v>
      </c>
      <c r="C19305" s="5" t="str">
        <f>IFERROR(__xludf.DUMMYFUNCTION("GOOGLETRANSLATE(B19305,""en"",""fr"")"),"Il y a un modèle d'avion assis sur la table.")</f>
        <v>Il y a un modèle d'avion assis sur la table.</v>
      </c>
    </row>
    <row r="19306">
      <c r="A19306" s="4" t="s">
        <v>24290</v>
      </c>
      <c r="B19306" s="4" t="s">
        <v>24296</v>
      </c>
      <c r="C19306" s="5" t="str">
        <f>IFERROR(__xludf.DUMMYFUNCTION("GOOGLETRANSLATE(B19306,""en"",""fr"")"),"L'avion est peint d'une couleur dorée.")</f>
        <v>L'avion est peint d'une couleur dorée.</v>
      </c>
    </row>
    <row r="19307">
      <c r="A19307" s="4" t="s">
        <v>24290</v>
      </c>
      <c r="B19307" s="4" t="s">
        <v>24297</v>
      </c>
      <c r="C19307" s="5" t="str">
        <f>IFERROR(__xludf.DUMMYFUNCTION("GOOGLETRANSLATE(B19307,""en"",""fr"")"),"Un pinceau vert est montré et retourné.")</f>
        <v>Un pinceau vert est montré et retourné.</v>
      </c>
    </row>
    <row r="19308">
      <c r="A19308" s="4" t="s">
        <v>24298</v>
      </c>
      <c r="B19308" s="4" t="s">
        <v>24299</v>
      </c>
      <c r="C19308" s="5" t="str">
        <f>IFERROR(__xludf.DUMMYFUNCTION("GOOGLETRANSLATE(B19308,""en"",""fr"")"),"Une personne est vue marcher le long de la neige et tirer un traîneau derrière lui.")</f>
        <v>Une personne est vue marcher le long de la neige et tirer un traîneau derrière lui.</v>
      </c>
    </row>
    <row r="19309">
      <c r="A19309" s="4" t="s">
        <v>24298</v>
      </c>
      <c r="B19309" s="4" t="s">
        <v>24300</v>
      </c>
      <c r="C19309" s="5" t="str">
        <f>IFERROR(__xludf.DUMMYFUNCTION("GOOGLETRANSLATE(B19309,""en"",""fr"")"),"La personne coupe un trou dans la glace ainsi que l'appât et attrape finalement un poisson.")</f>
        <v>La personne coupe un trou dans la glace ainsi que l'appât et attrape finalement un poisson.</v>
      </c>
    </row>
    <row r="19310">
      <c r="A19310" s="4" t="s">
        <v>24298</v>
      </c>
      <c r="B19310" s="4" t="s">
        <v>24301</v>
      </c>
      <c r="C19310" s="5" t="str">
        <f>IFERROR(__xludf.DUMMYFUNCTION("GOOGLETRANSLATE(B19310,""en"",""fr"")"),"L'homme coupe le poisson, le fait cuire et est ensuite vu le manger et s'éloigner.")</f>
        <v>L'homme coupe le poisson, le fait cuire et est ensuite vu le manger et s'éloigner.</v>
      </c>
    </row>
    <row r="19311">
      <c r="A19311" s="4" t="s">
        <v>24302</v>
      </c>
      <c r="B19311" s="4" t="s">
        <v>24303</v>
      </c>
      <c r="C19311" s="5" t="str">
        <f>IFERROR(__xludf.DUMMYFUNCTION("GOOGLETRANSLATE(B19311,""en"",""fr"")"),"Une dame lave un petit chien dans un évier.")</f>
        <v>Une dame lave un petit chien dans un évier.</v>
      </c>
    </row>
    <row r="19312">
      <c r="A19312" s="4" t="s">
        <v>24302</v>
      </c>
      <c r="B19312" s="4" t="s">
        <v>24304</v>
      </c>
      <c r="C19312" s="5" t="str">
        <f>IFERROR(__xludf.DUMMYFUNCTION("GOOGLETRANSLATE(B19312,""en"",""fr"")"),"La dame met le shampooing sur le chien.")</f>
        <v>La dame met le shampooing sur le chien.</v>
      </c>
    </row>
    <row r="19313">
      <c r="A19313" s="4" t="s">
        <v>24302</v>
      </c>
      <c r="B19313" s="4" t="s">
        <v>24305</v>
      </c>
      <c r="C19313" s="5" t="str">
        <f>IFERROR(__xludf.DUMMYFUNCTION("GOOGLETRANSLATE(B19313,""en"",""fr"")"),"La dame ramasse à nouveau le chien.")</f>
        <v>La dame ramasse à nouveau le chien.</v>
      </c>
    </row>
    <row r="19314">
      <c r="A19314" s="4" t="s">
        <v>24302</v>
      </c>
      <c r="B19314" s="4" t="s">
        <v>24306</v>
      </c>
      <c r="C19314" s="5" t="str">
        <f>IFERROR(__xludf.DUMMYFUNCTION("GOOGLETRANSLATE(B19314,""en"",""fr"")"),"La dame emmène le chien à une table et le lève.")</f>
        <v>La dame emmène le chien à une table et le lève.</v>
      </c>
    </row>
    <row r="19315">
      <c r="A19315" s="4" t="s">
        <v>24302</v>
      </c>
      <c r="B19315" s="4" t="s">
        <v>24307</v>
      </c>
      <c r="C19315" s="5" t="str">
        <f>IFERROR(__xludf.DUMMYFUNCTION("GOOGLETRANSLATE(B19315,""en"",""fr"")"),"Elle draps le chien sur une serviette enroulée.")</f>
        <v>Elle draps le chien sur une serviette enroulée.</v>
      </c>
    </row>
    <row r="19316">
      <c r="A19316" s="4" t="s">
        <v>24302</v>
      </c>
      <c r="B19316" s="4" t="s">
        <v>24308</v>
      </c>
      <c r="C19316" s="5" t="str">
        <f>IFERROR(__xludf.DUMMYFUNCTION("GOOGLETRANSLATE(B19316,""en"",""fr"")"),"Elle ramasse ensuite le chien.")</f>
        <v>Elle ramasse ensuite le chien.</v>
      </c>
    </row>
    <row r="19317">
      <c r="A19317" s="4" t="s">
        <v>24309</v>
      </c>
      <c r="B19317" s="6" t="s">
        <v>24310</v>
      </c>
      <c r="C19317" s="5" t="str">
        <f>IFERROR(__xludf.DUMMYFUNCTION("GOOGLETRANSLATE(B19317,""en"",""fr"")"),"Un homme est vu parler à la caméra tenant divers objets et transitions en lui coupant le bord d'une pelouse.")</f>
        <v>Un homme est vu parler à la caméra tenant divers objets et transitions en lui coupant le bord d'une pelouse.</v>
      </c>
    </row>
    <row r="19318">
      <c r="A19318" s="4" t="s">
        <v>24309</v>
      </c>
      <c r="B19318" s="6" t="s">
        <v>24311</v>
      </c>
      <c r="C19318" s="5" t="str">
        <f>IFERROR(__xludf.DUMMYFUNCTION("GOOGLETRANSLATE(B19318,""en"",""fr"")"),"On lui montre ensuite la tonte des pelouses et la coupe des haies tout en parlant à la caméra ainsi que des feuilles de souffle dans une cour.")</f>
        <v>On lui montre ensuite la tonte des pelouses et la coupe des haies tout en parlant à la caméra ainsi que des feuilles de souffle dans une cour.</v>
      </c>
    </row>
    <row r="19319">
      <c r="A19319" s="4" t="s">
        <v>24312</v>
      </c>
      <c r="B19319" s="4" t="s">
        <v>24313</v>
      </c>
      <c r="C19319" s="5" t="str">
        <f>IFERROR(__xludf.DUMMYFUNCTION("GOOGLETRANSLATE(B19319,""en"",""fr"")"),"Deux équipes jouent à un jeu de hockey sur le terrain en salle.")</f>
        <v>Deux équipes jouent à un jeu de hockey sur le terrain en salle.</v>
      </c>
    </row>
    <row r="19320">
      <c r="A19320" s="4" t="s">
        <v>24312</v>
      </c>
      <c r="B19320" s="4" t="s">
        <v>24314</v>
      </c>
      <c r="C19320" s="5" t="str">
        <f>IFERROR(__xludf.DUMMYFUNCTION("GOOGLETRANSLATE(B19320,""en"",""fr"")"),"Les équipes prennent des tirs sur un gardien de but qui est bloqué.")</f>
        <v>Les équipes prennent des tirs sur un gardien de but qui est bloqué.</v>
      </c>
    </row>
    <row r="19321">
      <c r="A19321" s="4" t="s">
        <v>24312</v>
      </c>
      <c r="B19321" s="4" t="s">
        <v>24315</v>
      </c>
      <c r="C19321" s="5" t="str">
        <f>IFERROR(__xludf.DUMMYFUNCTION("GOOGLETRANSLATE(B19321,""en"",""fr"")"),"L'arbitre commence et arrête le jeu.")</f>
        <v>L'arbitre commence et arrête le jeu.</v>
      </c>
    </row>
    <row r="19322">
      <c r="A19322" s="4" t="s">
        <v>24316</v>
      </c>
      <c r="B19322" s="4" t="s">
        <v>24317</v>
      </c>
      <c r="C19322" s="5" t="str">
        <f>IFERROR(__xludf.DUMMYFUNCTION("GOOGLETRANSLATE(B19322,""en"",""fr"")"),"La chaîne de montagnes enneigée est montrée et les gens font du snowboard.")</f>
        <v>La chaîne de montagnes enneigée est montrée et les gens font du snowboard.</v>
      </c>
    </row>
    <row r="19323">
      <c r="A19323" s="4" t="s">
        <v>24316</v>
      </c>
      <c r="B19323" s="4" t="s">
        <v>24318</v>
      </c>
      <c r="C19323" s="5" t="str">
        <f>IFERROR(__xludf.DUMMYFUNCTION("GOOGLETRANSLATE(B19323,""en"",""fr"")"),"L'hélicoptère est dans l'air atterrissant dans une montagne laissant des gens au sommet de la montagne.")</f>
        <v>L'hélicoptère est dans l'air atterrissant dans une montagne laissant des gens au sommet de la montagne.</v>
      </c>
    </row>
    <row r="19324">
      <c r="A19324" s="4" t="s">
        <v>24316</v>
      </c>
      <c r="B19324" s="4" t="s">
        <v>24319</v>
      </c>
      <c r="C19324" s="5" t="str">
        <f>IFERROR(__xludf.DUMMYFUNCTION("GOOGLETRANSLATE(B19324,""en"",""fr"")"),"Les gens sont à l'intérieur de l'hélicoptère qui parle entre eux.")</f>
        <v>Les gens sont à l'intérieur de l'hélicoptère qui parle entre eux.</v>
      </c>
    </row>
    <row r="19325">
      <c r="A19325" s="4" t="s">
        <v>24316</v>
      </c>
      <c r="B19325" s="4" t="s">
        <v>24320</v>
      </c>
      <c r="C19325" s="5" t="str">
        <f>IFERROR(__xludf.DUMMYFUNCTION("GOOGLETRANSLATE(B19325,""en"",""fr"")"),"Les gens commencent à descendre le snowboard de la pente dans la montagne.")</f>
        <v>Les gens commencent à descendre le snowboard de la pente dans la montagne.</v>
      </c>
    </row>
    <row r="19326">
      <c r="A19326" s="4" t="s">
        <v>24316</v>
      </c>
      <c r="B19326" s="4" t="s">
        <v>24321</v>
      </c>
      <c r="C19326" s="5" t="str">
        <f>IFERROR(__xludf.DUMMYFUNCTION("GOOGLETRANSLATE(B19326,""en"",""fr"")"),"Peolpe à l'intérieur de l'hélicoptère parle et met les vêtements d'hiver et parle à la caméra.")</f>
        <v>Peolpe à l'intérieur de l'hélicoptère parle et met les vêtements d'hiver et parle à la caméra.</v>
      </c>
    </row>
    <row r="19327">
      <c r="A19327" s="4" t="s">
        <v>24322</v>
      </c>
      <c r="B19327" s="4" t="s">
        <v>24323</v>
      </c>
      <c r="C19327" s="5" t="str">
        <f>IFERROR(__xludf.DUMMYFUNCTION("GOOGLETRANSLATE(B19327,""en"",""fr"")"),"Des scènes de femmes utilisant diverses méthodes pour boucler leurs cheveux sont montrées.")</f>
        <v>Des scènes de femmes utilisant diverses méthodes pour boucler leurs cheveux sont montrées.</v>
      </c>
    </row>
    <row r="19328">
      <c r="A19328" s="4" t="s">
        <v>24322</v>
      </c>
      <c r="B19328" s="4" t="s">
        <v>24324</v>
      </c>
      <c r="C19328" s="5" t="str">
        <f>IFERROR(__xludf.DUMMYFUNCTION("GOOGLETRANSLATE(B19328,""en"",""fr"")"),"Une séquence d'infographie montre la fonctionnalité d'un appareil particulier.")</f>
        <v>Une séquence d'infographie montre la fonctionnalité d'un appareil particulier.</v>
      </c>
    </row>
    <row r="19329">
      <c r="A19329" s="4" t="s">
        <v>24322</v>
      </c>
      <c r="B19329" s="4" t="s">
        <v>24325</v>
      </c>
      <c r="C19329" s="5" t="str">
        <f>IFERROR(__xludf.DUMMYFUNCTION("GOOGLETRANSLATE(B19329,""en"",""fr"")"),"Plusieurs femmes présentent leurs cheveux bouclés.")</f>
        <v>Plusieurs femmes présentent leurs cheveux bouclés.</v>
      </c>
    </row>
    <row r="19330">
      <c r="A19330" s="4" t="s">
        <v>24322</v>
      </c>
      <c r="B19330" s="4" t="s">
        <v>24326</v>
      </c>
      <c r="C19330" s="5" t="str">
        <f>IFERROR(__xludf.DUMMYFUNCTION("GOOGLETRANSLATE(B19330,""en"",""fr"")"),"Le produit de curling est à nouveau démontré par plusieurs femmes.")</f>
        <v>Le produit de curling est à nouveau démontré par plusieurs femmes.</v>
      </c>
    </row>
    <row r="19331">
      <c r="A19331" s="4" t="s">
        <v>24322</v>
      </c>
      <c r="B19331" s="4" t="s">
        <v>24327</v>
      </c>
      <c r="C19331" s="5" t="str">
        <f>IFERROR(__xludf.DUMMYFUNCTION("GOOGLETRANSLATE(B19331,""en"",""fr"")"),"Une femme avant et après les photos est montrée.")</f>
        <v>Une femme avant et après les photos est montrée.</v>
      </c>
    </row>
    <row r="19332">
      <c r="A19332" s="4" t="s">
        <v>24328</v>
      </c>
      <c r="B19332" s="4" t="s">
        <v>24329</v>
      </c>
      <c r="C19332" s="5" t="str">
        <f>IFERROR(__xludf.DUMMYFUNCTION("GOOGLETRANSLATE(B19332,""en"",""fr"")"),"Un homme en chemise verte jette un disque sur un champ.")</f>
        <v>Un homme en chemise verte jette un disque sur un champ.</v>
      </c>
    </row>
    <row r="19333">
      <c r="A19333" s="4" t="s">
        <v>24328</v>
      </c>
      <c r="B19333" s="4" t="s">
        <v>24330</v>
      </c>
      <c r="C19333" s="5" t="str">
        <f>IFERROR(__xludf.DUMMYFUNCTION("GOOGLETRANSLATE(B19333,""en"",""fr"")"),"Un homme en chemise bleue jette un disque sur le terrain.")</f>
        <v>Un homme en chemise bleue jette un disque sur le terrain.</v>
      </c>
    </row>
    <row r="19334">
      <c r="A19334" s="4" t="s">
        <v>24328</v>
      </c>
      <c r="B19334" s="4" t="s">
        <v>24331</v>
      </c>
      <c r="C19334" s="5" t="str">
        <f>IFERROR(__xludf.DUMMYFUNCTION("GOOGLETRANSLATE(B19334,""en"",""fr"")"),"Un homme en chemise violette jette un disque sur le terrain.")</f>
        <v>Un homme en chemise violette jette un disque sur le terrain.</v>
      </c>
    </row>
    <row r="19335">
      <c r="A19335" s="4" t="s">
        <v>24332</v>
      </c>
      <c r="B19335" s="4" t="s">
        <v>24333</v>
      </c>
      <c r="C19335" s="5" t="str">
        <f>IFERROR(__xludf.DUMMYFUNCTION("GOOGLETRANSLATE(B19335,""en"",""fr"")"),"Un homme travaille sur un cerf-volant.")</f>
        <v>Un homme travaille sur un cerf-volant.</v>
      </c>
    </row>
    <row r="19336">
      <c r="A19336" s="4" t="s">
        <v>24332</v>
      </c>
      <c r="B19336" s="4" t="s">
        <v>24334</v>
      </c>
      <c r="C19336" s="5" t="str">
        <f>IFERROR(__xludf.DUMMYFUNCTION("GOOGLETRANSLATE(B19336,""en"",""fr"")"),"Un autre homme tenant un bébé tient la bobine du cerf-volant.")</f>
        <v>Un autre homme tenant un bébé tient la bobine du cerf-volant.</v>
      </c>
    </row>
    <row r="19337">
      <c r="A19337" s="4" t="s">
        <v>24332</v>
      </c>
      <c r="B19337" s="4" t="s">
        <v>24335</v>
      </c>
      <c r="C19337" s="5" t="str">
        <f>IFERROR(__xludf.DUMMYFUNCTION("GOOGLETRANSLATE(B19337,""en"",""fr"")"),"Un troisième homme travaille sur un cerf-volant similaire tandis que le deuxième homme tient une bobine.")</f>
        <v>Un troisième homme travaille sur un cerf-volant similaire tandis que le deuxième homme tient une bobine.</v>
      </c>
    </row>
    <row r="19338">
      <c r="A19338" s="4" t="s">
        <v>24332</v>
      </c>
      <c r="B19338" s="4" t="s">
        <v>24336</v>
      </c>
      <c r="C19338" s="5" t="str">
        <f>IFERROR(__xludf.DUMMYFUNCTION("GOOGLETRANSLATE(B19338,""en"",""fr"")"),"Les hommes volent les cerfs-volants d'un toit.")</f>
        <v>Les hommes volent les cerfs-volants d'un toit.</v>
      </c>
    </row>
    <row r="19339">
      <c r="A19339" s="4" t="s">
        <v>24332</v>
      </c>
      <c r="B19339" s="4" t="s">
        <v>24337</v>
      </c>
      <c r="C19339" s="5" t="str">
        <f>IFERROR(__xludf.DUMMYFUNCTION("GOOGLETRANSLATE(B19339,""en"",""fr"")"),"La scène se transforme en vue nocturne du ciel avec une lumière non identifiée.")</f>
        <v>La scène se transforme en vue nocturne du ciel avec une lumière non identifiée.</v>
      </c>
    </row>
    <row r="19340">
      <c r="A19340" s="4" t="s">
        <v>24338</v>
      </c>
      <c r="B19340" s="4" t="s">
        <v>24339</v>
      </c>
      <c r="C19340" s="5" t="str">
        <f>IFERROR(__xludf.DUMMYFUNCTION("GOOGLETRANSLATE(B19340,""en"",""fr"")"),"Un écran publicitaire apparaît momentanément au début de la vidéo.")</f>
        <v>Un écran publicitaire apparaît momentanément au début de la vidéo.</v>
      </c>
    </row>
    <row r="19341">
      <c r="A19341" s="4" t="s">
        <v>24338</v>
      </c>
      <c r="B19341" s="4" t="s">
        <v>24340</v>
      </c>
      <c r="C19341" s="5" t="str">
        <f>IFERROR(__xludf.DUMMYFUNCTION("GOOGLETRANSLATE(B19341,""en"",""fr"")"),"Un groupe d'hommes est montré en train de donner un coup de pied dans un bal dans un stade.")</f>
        <v>Un groupe d'hommes est montré en train de donner un coup de pied dans un bal dans un stade.</v>
      </c>
    </row>
    <row r="19342">
      <c r="A19342" s="4" t="s">
        <v>24338</v>
      </c>
      <c r="B19342" s="4" t="s">
        <v>24341</v>
      </c>
      <c r="C19342" s="5" t="str">
        <f>IFERROR(__xludf.DUMMYFUNCTION("GOOGLETRANSLATE(B19342,""en"",""fr"")"),"Les hommes courent après le ballon, tentant de le capturer de l'équipe adverse.")</f>
        <v>Les hommes courent après le ballon, tentant de le capturer de l'équipe adverse.</v>
      </c>
    </row>
    <row r="19343">
      <c r="A19343" s="4" t="s">
        <v>24338</v>
      </c>
      <c r="B19343" s="4" t="s">
        <v>24342</v>
      </c>
      <c r="C19343" s="5" t="str">
        <f>IFERROR(__xludf.DUMMYFUNCTION("GOOGLETRANSLATE(B19343,""en"",""fr"")"),"Un cercle jaune est montré autour d'un joueur particulier.")</f>
        <v>Un cercle jaune est montré autour d'un joueur particulier.</v>
      </c>
    </row>
    <row r="19344">
      <c r="A19344" s="4" t="s">
        <v>24343</v>
      </c>
      <c r="B19344" s="4" t="s">
        <v>24344</v>
      </c>
      <c r="C19344" s="5" t="str">
        <f>IFERROR(__xludf.DUMMYFUNCTION("GOOGLETRANSLATE(B19344,""en"",""fr"")"),"Un groupe d'enfants se tient à porter des gilets de sauvetage alors que la caméra se déroule autour d'un lac.")</f>
        <v>Un groupe d'enfants se tient à porter des gilets de sauvetage alors que la caméra se déroule autour d'un lac.</v>
      </c>
    </row>
    <row r="19345">
      <c r="A19345" s="4" t="s">
        <v>24343</v>
      </c>
      <c r="B19345" s="4" t="s">
        <v>24345</v>
      </c>
      <c r="C19345" s="5" t="str">
        <f>IFERROR(__xludf.DUMMYFUNCTION("GOOGLETRANSLATE(B19345,""en"",""fr"")"),"Un homme est vu assis dans un bateau et la caméra continue de placer dans la zone.")</f>
        <v>Un homme est vu assis dans un bateau et la caméra continue de placer dans la zone.</v>
      </c>
    </row>
    <row r="19346">
      <c r="A19346" s="4" t="s">
        <v>24343</v>
      </c>
      <c r="B19346" s="4" t="s">
        <v>24346</v>
      </c>
      <c r="C19346" s="5" t="str">
        <f>IFERROR(__xludf.DUMMYFUNCTION("GOOGLETRANSLATE(B19346,""en"",""fr"")"),"Les enfants errent dans les bateaux et commençant à pagayer sur la rivière.")</f>
        <v>Les enfants errent dans les bateaux et commençant à pagayer sur la rivière.</v>
      </c>
    </row>
    <row r="19347">
      <c r="A19347" s="4" t="s">
        <v>24343</v>
      </c>
      <c r="B19347" s="4" t="s">
        <v>24347</v>
      </c>
      <c r="C19347" s="5" t="str">
        <f>IFERROR(__xludf.DUMMYFUNCTION("GOOGLETRANSLATE(B19347,""en"",""fr"")"),"L'eau devient plus furieuse et les enfants éclaboussent l'homme de la caméra avec espièglerie.")</f>
        <v>L'eau devient plus furieuse et les enfants éclaboussent l'homme de la caméra avec espièglerie.</v>
      </c>
    </row>
    <row r="19348">
      <c r="A19348" s="4" t="s">
        <v>24343</v>
      </c>
      <c r="B19348" s="4" t="s">
        <v>24348</v>
      </c>
      <c r="C19348" s="5" t="str">
        <f>IFERROR(__xludf.DUMMYFUNCTION("GOOGLETRANSLATE(B19348,""en"",""fr"")"),"La poursuite de la conduite des vagues perfides alors que la caméra les regarde de loin.")</f>
        <v>La poursuite de la conduite des vagues perfides alors que la caméra les regarde de loin.</v>
      </c>
    </row>
    <row r="19349">
      <c r="A19349" s="4" t="s">
        <v>24349</v>
      </c>
      <c r="B19349" s="6" t="s">
        <v>24350</v>
      </c>
      <c r="C19349" s="5" t="str">
        <f>IFERROR(__xludf.DUMMYFUNCTION("GOOGLETRANSLATE(B19349,""en"",""fr"")"),"Un petit groupe de personnes est vu nager autour d'une piscine saisissant une balle et la jetant en arrière et quatrième.")</f>
        <v>Un petit groupe de personnes est vu nager autour d'une piscine saisissant une balle et la jetant en arrière et quatrième.</v>
      </c>
    </row>
    <row r="19350">
      <c r="A19350" s="4" t="s">
        <v>24349</v>
      </c>
      <c r="B19350" s="4" t="s">
        <v>24351</v>
      </c>
      <c r="C19350" s="5" t="str">
        <f>IFERROR(__xludf.DUMMYFUNCTION("GOOGLETRANSLATE(B19350,""en"",""fr"")"),"Les gens continuent de jouer les uns avec les autres et de jeter le ballon.")</f>
        <v>Les gens continuent de jouer les uns avec les autres et de jeter le ballon.</v>
      </c>
    </row>
    <row r="19351">
      <c r="A19351" s="4" t="s">
        <v>24352</v>
      </c>
      <c r="B19351" s="4" t="s">
        <v>24353</v>
      </c>
      <c r="C19351" s="5" t="str">
        <f>IFERROR(__xludf.DUMMYFUNCTION("GOOGLETRANSLATE(B19351,""en"",""fr"")"),"Un homme et une femme parlent dans une pièce.")</f>
        <v>Un homme et une femme parlent dans une pièce.</v>
      </c>
    </row>
    <row r="19352">
      <c r="A19352" s="4" t="s">
        <v>24352</v>
      </c>
      <c r="B19352" s="4" t="s">
        <v>24354</v>
      </c>
      <c r="C19352" s="5" t="str">
        <f>IFERROR(__xludf.DUMMYFUNCTION("GOOGLETRANSLATE(B19352,""en"",""fr"")"),"Une personne fait du vélo dans la rue.")</f>
        <v>Une personne fait du vélo dans la rue.</v>
      </c>
    </row>
    <row r="19353">
      <c r="A19353" s="4" t="s">
        <v>24352</v>
      </c>
      <c r="B19353" s="4" t="s">
        <v>24355</v>
      </c>
      <c r="C19353" s="5" t="str">
        <f>IFERROR(__xludf.DUMMYFUNCTION("GOOGLETRANSLATE(B19353,""en"",""fr"")"),"Quelqu'un tombe après avoir fait du vélo.")</f>
        <v>Quelqu'un tombe après avoir fait du vélo.</v>
      </c>
    </row>
    <row r="19354">
      <c r="A19354" s="4" t="s">
        <v>24352</v>
      </c>
      <c r="B19354" s="4" t="s">
        <v>24356</v>
      </c>
      <c r="C19354" s="5" t="str">
        <f>IFERROR(__xludf.DUMMYFUNCTION("GOOGLETRANSLATE(B19354,""en"",""fr"")"),"L'homme et la femme parlent dans une pièce.")</f>
        <v>L'homme et la femme parlent dans une pièce.</v>
      </c>
    </row>
    <row r="19355">
      <c r="A19355" s="4" t="s">
        <v>24352</v>
      </c>
      <c r="B19355" s="4" t="s">
        <v>24357</v>
      </c>
      <c r="C19355" s="5" t="str">
        <f>IFERROR(__xludf.DUMMYFUNCTION("GOOGLETRANSLATE(B19355,""en"",""fr"")"),"Un vélo se penche contre une clôture.")</f>
        <v>Un vélo se penche contre une clôture.</v>
      </c>
    </row>
    <row r="19356">
      <c r="A19356" s="4" t="s">
        <v>24352</v>
      </c>
      <c r="B19356" s="4" t="s">
        <v>24358</v>
      </c>
      <c r="C19356" s="5" t="str">
        <f>IFERROR(__xludf.DUMMYFUNCTION("GOOGLETRANSLATE(B19356,""en"",""fr"")"),"Un homme met un verrou autour du pneu de son vélo.")</f>
        <v>Un homme met un verrou autour du pneu de son vélo.</v>
      </c>
    </row>
    <row r="19357">
      <c r="A19357" s="4" t="s">
        <v>24359</v>
      </c>
      <c r="B19357" s="4" t="s">
        <v>24360</v>
      </c>
      <c r="C19357" s="5" t="str">
        <f>IFERROR(__xludf.DUMMYFUNCTION("GOOGLETRANSLATE(B19357,""en"",""fr"")"),"Un coup de coucher de soleil est montré suivi par un pic de fumer et de se promener dans une fosse à balle de peinture.")</f>
        <v>Un coup de coucher de soleil est montré suivi par un pic de fumer et de se promener dans une fosse à balle de peinture.</v>
      </c>
    </row>
    <row r="19358">
      <c r="A19358" s="4" t="s">
        <v>24359</v>
      </c>
      <c r="B19358" s="4" t="s">
        <v>24361</v>
      </c>
      <c r="C19358" s="5" t="str">
        <f>IFERROR(__xludf.DUMMYFUNCTION("GOOGLETRANSLATE(B19358,""en"",""fr"")"),"Les hommes se parlent et mènent à courir et à jouer à Paint Ball.")</f>
        <v>Les hommes se parlent et mènent à courir et à jouer à Paint Ball.</v>
      </c>
    </row>
    <row r="19359">
      <c r="A19359" s="4" t="s">
        <v>24359</v>
      </c>
      <c r="B19359" s="6" t="s">
        <v>24362</v>
      </c>
      <c r="C19359" s="5" t="str">
        <f>IFERROR(__xludf.DUMMYFUNCTION("GOOGLETRANSLATE(B19359,""en"",""fr"")"),"Ils s'arrêtent pendant quelques instants pour se parler et la caméra capture les tireurs sous différents angles.")</f>
        <v>Ils s'arrêtent pendant quelques instants pour se parler et la caméra capture les tireurs sous différents angles.</v>
      </c>
    </row>
    <row r="19360">
      <c r="A19360" s="4" t="s">
        <v>24363</v>
      </c>
      <c r="B19360" s="4" t="s">
        <v>24364</v>
      </c>
      <c r="C19360" s="5" t="str">
        <f>IFERROR(__xludf.DUMMYFUNCTION("GOOGLETRANSLATE(B19360,""en"",""fr"")"),"Un petit enfant est vu s'allonger sur un tapis pendant que la caméra les enregistre.")</f>
        <v>Un petit enfant est vu s'allonger sur un tapis pendant que la caméra les enregistre.</v>
      </c>
    </row>
    <row r="19361">
      <c r="A19361" s="4" t="s">
        <v>24363</v>
      </c>
      <c r="B19361" s="4" t="s">
        <v>24365</v>
      </c>
      <c r="C19361" s="5" t="str">
        <f>IFERROR(__xludf.DUMMYFUNCTION("GOOGLETRANSLATE(B19361,""en"",""fr"")"),"L'enfant couvre ensuite leurs yeux avec leurs mains et bouge la tête de haut en bas.")</f>
        <v>L'enfant couvre ensuite leurs yeux avec leurs mains et bouge la tête de haut en bas.</v>
      </c>
    </row>
    <row r="19362">
      <c r="A19362" s="4" t="s">
        <v>24363</v>
      </c>
      <c r="B19362" s="4" t="s">
        <v>24366</v>
      </c>
      <c r="C19362" s="5" t="str">
        <f>IFERROR(__xludf.DUMMYFUNCTION("GOOGLETRANSLATE(B19362,""en"",""fr"")"),"Enfin, ils sourient à la caméra à la fin.")</f>
        <v>Enfin, ils sourient à la caméra à la fin.</v>
      </c>
    </row>
    <row r="19363">
      <c r="A19363" s="4" t="s">
        <v>24367</v>
      </c>
      <c r="B19363" s="4" t="s">
        <v>24368</v>
      </c>
      <c r="C19363" s="5" t="str">
        <f>IFERROR(__xludf.DUMMYFUNCTION("GOOGLETRANSLATE(B19363,""en"",""fr"")"),"Un gros plan est vu des accords et des nombres faisant défiler à côté du haut d'une guitare.")</f>
        <v>Un gros plan est vu des accords et des nombres faisant défiler à côté du haut d'une guitare.</v>
      </c>
    </row>
    <row r="19364">
      <c r="A19364" s="4" t="s">
        <v>24367</v>
      </c>
      <c r="B19364" s="4" t="s">
        <v>24369</v>
      </c>
      <c r="C19364" s="5" t="str">
        <f>IFERROR(__xludf.DUMMYFUNCTION("GOOGLETRANSLATE(B19364,""en"",""fr"")"),"Des instructions sont données pour jouer à l'instrument.")</f>
        <v>Des instructions sont données pour jouer à l'instrument.</v>
      </c>
    </row>
    <row r="19365">
      <c r="A19365" s="4" t="s">
        <v>24367</v>
      </c>
      <c r="B19365" s="4" t="s">
        <v>24370</v>
      </c>
      <c r="C19365" s="5" t="str">
        <f>IFERROR(__xludf.DUMMYFUNCTION("GOOGLETRANSLATE(B19365,""en"",""fr"")"),"Les doigts de la personne se déplacent de haut en bas sur les accords comme ils sont montrés.")</f>
        <v>Les doigts de la personne se déplacent de haut en bas sur les accords comme ils sont montrés.</v>
      </c>
    </row>
    <row r="19366">
      <c r="A19366" s="4" t="s">
        <v>24371</v>
      </c>
      <c r="B19366" s="4" t="s">
        <v>24372</v>
      </c>
      <c r="C19366" s="5" t="str">
        <f>IFERROR(__xludf.DUMMYFUNCTION("GOOGLETRANSLATE(B19366,""en"",""fr"")"),"L'homme porte des mèches et fait des sauts en hauteur au-dessus d'une poubelle dans un parking.")</f>
        <v>L'homme porte des mèches et fait des sauts en hauteur au-dessus d'une poubelle dans un parking.</v>
      </c>
    </row>
    <row r="19367">
      <c r="A19367" s="4" t="s">
        <v>24371</v>
      </c>
      <c r="B19367" s="6" t="s">
        <v>24373</v>
      </c>
      <c r="C19367" s="5" t="str">
        <f>IFERROR(__xludf.DUMMYFUNCTION("GOOGLETRANSLATE(B19367,""en"",""fr"")"),"L'homme fait des sauts en hauteur infrarouge du panneau de Las Vegas dans la rue et au-dessus d'un mur lapidé dans la rue.")</f>
        <v>L'homme fait des sauts en hauteur infrarouge du panneau de Las Vegas dans la rue et au-dessus d'un mur lapidé dans la rue.</v>
      </c>
    </row>
    <row r="19368">
      <c r="A19368" s="4" t="s">
        <v>24374</v>
      </c>
      <c r="B19368" s="6" t="s">
        <v>24375</v>
      </c>
      <c r="C19368" s="5" t="str">
        <f>IFERROR(__xludf.DUMMYFUNCTION("GOOGLETRANSLATE(B19368,""en"",""fr"")"),"Deux équipes sont présentées sur un terrain et l'homme court en jouant à la crosse et court directement dans l'autre adversaire.")</f>
        <v>Deux équipes sont présentées sur un terrain et l'homme court en jouant à la crosse et court directement dans l'autre adversaire.</v>
      </c>
    </row>
    <row r="19369">
      <c r="A19369" s="4" t="s">
        <v>24374</v>
      </c>
      <c r="B19369" s="6" t="s">
        <v>24376</v>
      </c>
      <c r="C19369" s="5" t="str">
        <f>IFERROR(__xludf.DUMMYFUNCTION("GOOGLETRANSLATE(B19369,""en"",""fr"")"),"Un autre jeu commence et cette fois, une autre personne est rencontrée, sauf qu'elle est plus parfumée et que la personne met sur le sol blessée pendant un certain temps.")</f>
        <v>Un autre jeu commence et cette fois, une autre personne est rencontrée, sauf qu'elle est plus parfumée et que la personne met sur le sol blessée pendant un certain temps.</v>
      </c>
    </row>
    <row r="19370">
      <c r="A19370" s="4" t="s">
        <v>24374</v>
      </c>
      <c r="B19370" s="6" t="s">
        <v>24377</v>
      </c>
      <c r="C19370" s="5" t="str">
        <f>IFERROR(__xludf.DUMMYFUNCTION("GOOGLETRANSLATE(B19370,""en"",""fr"")"),"Après avoir consulté l'arbitre et cherché de l'aide, le mâle se lève enfin et le reste du jeu continue.")</f>
        <v>Après avoir consulté l'arbitre et cherché de l'aide, le mâle se lève enfin et le reste du jeu continue.</v>
      </c>
    </row>
    <row r="19371">
      <c r="A19371" s="4" t="s">
        <v>24378</v>
      </c>
      <c r="B19371" s="4" t="s">
        <v>24379</v>
      </c>
      <c r="C19371" s="5" t="str">
        <f>IFERROR(__xludf.DUMMYFUNCTION("GOOGLETRANSLATE(B19371,""en"",""fr"")"),"Deux personnes portant des équipements de plongée sont sous l'eau.")</f>
        <v>Deux personnes portant des équipements de plongée sont sous l'eau.</v>
      </c>
    </row>
    <row r="19372">
      <c r="A19372" s="4" t="s">
        <v>24378</v>
      </c>
      <c r="B19372" s="4" t="s">
        <v>24380</v>
      </c>
      <c r="C19372" s="5" t="str">
        <f>IFERROR(__xludf.DUMMYFUNCTION("GOOGLETRANSLATE(B19372,""en"",""fr"")"),"Ils se regardent, retirent leur bouche, puis s'embrassent.")</f>
        <v>Ils se regardent, retirent leur bouche, puis s'embrassent.</v>
      </c>
    </row>
    <row r="19373">
      <c r="A19373" s="4" t="s">
        <v>24378</v>
      </c>
      <c r="B19373" s="4" t="s">
        <v>24381</v>
      </c>
      <c r="C19373" s="5" t="str">
        <f>IFERROR(__xludf.DUMMYFUNCTION("GOOGLETRANSLATE(B19373,""en"",""fr"")"),"L'homme repose sa bouche.")</f>
        <v>L'homme repose sa bouche.</v>
      </c>
    </row>
    <row r="19374">
      <c r="A19374" s="4" t="s">
        <v>24382</v>
      </c>
      <c r="B19374" s="4" t="s">
        <v>24383</v>
      </c>
      <c r="C19374" s="5" t="str">
        <f>IFERROR(__xludf.DUMMYFUNCTION("GOOGLETRANSLATE(B19374,""en"",""fr"")"),"Une personne saute d'un bateau dans l'eau.")</f>
        <v>Une personne saute d'un bateau dans l'eau.</v>
      </c>
    </row>
    <row r="19375">
      <c r="A19375" s="4" t="s">
        <v>24382</v>
      </c>
      <c r="B19375" s="4" t="s">
        <v>24384</v>
      </c>
      <c r="C19375" s="5" t="str">
        <f>IFERROR(__xludf.DUMMYFUNCTION("GOOGLETRANSLATE(B19375,""en"",""fr"")"),"Un garçon est long dans une rue dans une rue.")</f>
        <v>Un garçon est long dans une rue dans une rue.</v>
      </c>
    </row>
    <row r="19376">
      <c r="A19376" s="4" t="s">
        <v>24382</v>
      </c>
      <c r="B19376" s="4" t="s">
        <v>24385</v>
      </c>
      <c r="C19376" s="5" t="str">
        <f>IFERROR(__xludf.DUMMYFUNCTION("GOOGLETRANSLATE(B19376,""en"",""fr"")"),"Ils s'arrêtent et s'assoient sur un banc de parc.")</f>
        <v>Ils s'arrêtent et s'assoient sur un banc de parc.</v>
      </c>
    </row>
    <row r="19377">
      <c r="A19377" s="4" t="s">
        <v>24382</v>
      </c>
      <c r="B19377" s="4" t="s">
        <v>24386</v>
      </c>
      <c r="C19377" s="5" t="str">
        <f>IFERROR(__xludf.DUMMYFUNCTION("GOOGLETRANSLATE(B19377,""en"",""fr"")"),"Une personne monte un escalator.")</f>
        <v>Une personne monte un escalator.</v>
      </c>
    </row>
    <row r="19378">
      <c r="A19378" s="4" t="s">
        <v>24387</v>
      </c>
      <c r="B19378" s="4" t="s">
        <v>9397</v>
      </c>
      <c r="C19378" s="5" t="str">
        <f>IFERROR(__xludf.DUMMYFUNCTION("GOOGLETRANSLATE(B19378,""en"",""fr"")"),"Une femme se tient dans une pièce à parler.")</f>
        <v>Une femme se tient dans une pièce à parler.</v>
      </c>
    </row>
    <row r="19379">
      <c r="A19379" s="4" t="s">
        <v>24387</v>
      </c>
      <c r="B19379" s="4" t="s">
        <v>24388</v>
      </c>
      <c r="C19379" s="5" t="str">
        <f>IFERROR(__xludf.DUMMYFUNCTION("GOOGLETRANSLATE(B19379,""en"",""fr"")"),"Elle montre une bouteille à la main.")</f>
        <v>Elle montre une bouteille à la main.</v>
      </c>
    </row>
    <row r="19380">
      <c r="A19380" s="4" t="s">
        <v>24387</v>
      </c>
      <c r="B19380" s="4" t="s">
        <v>24389</v>
      </c>
      <c r="C19380" s="5" t="str">
        <f>IFERROR(__xludf.DUMMYFUNCTION("GOOGLETRANSLATE(B19380,""en"",""fr"")"),"Elle verse une partie de la lotion sur ses mains et la frotte sur son visage.")</f>
        <v>Elle verse une partie de la lotion sur ses mains et la frotte sur son visage.</v>
      </c>
    </row>
    <row r="19381">
      <c r="A19381" s="4" t="s">
        <v>24387</v>
      </c>
      <c r="B19381" s="4" t="s">
        <v>24390</v>
      </c>
      <c r="C19381" s="5" t="str">
        <f>IFERROR(__xludf.DUMMYFUNCTION("GOOGLETRANSLATE(B19381,""en"",""fr"")"),"Elle utilise une serviette pour sécher son visage.")</f>
        <v>Elle utilise une serviette pour sécher son visage.</v>
      </c>
    </row>
    <row r="19382">
      <c r="A19382" s="4" t="s">
        <v>24391</v>
      </c>
      <c r="B19382" s="4" t="s">
        <v>24392</v>
      </c>
      <c r="C19382" s="5" t="str">
        <f>IFERROR(__xludf.DUMMYFUNCTION("GOOGLETRANSLATE(B19382,""en"",""fr"")"),"Un petit garçon est dans un parking en plein air.")</f>
        <v>Un petit garçon est dans un parking en plein air.</v>
      </c>
    </row>
    <row r="19383">
      <c r="A19383" s="4" t="s">
        <v>24391</v>
      </c>
      <c r="B19383" s="4" t="s">
        <v>24393</v>
      </c>
      <c r="C19383" s="5" t="str">
        <f>IFERROR(__xludf.DUMMYFUNCTION("GOOGLETRANSLATE(B19383,""en"",""fr"")"),"Il essaie de rouler sur une paire de patins en ligne.")</f>
        <v>Il essaie de rouler sur une paire de patins en ligne.</v>
      </c>
    </row>
    <row r="19384">
      <c r="A19384" s="4" t="s">
        <v>24391</v>
      </c>
      <c r="B19384" s="4" t="s">
        <v>24394</v>
      </c>
      <c r="C19384" s="5" t="str">
        <f>IFERROR(__xludf.DUMMYFUNCTION("GOOGLETRANSLATE(B19384,""en"",""fr"")"),"Il essaie d'équilibrer sur un petit morceau de bois.")</f>
        <v>Il essaie d'équilibrer sur un petit morceau de bois.</v>
      </c>
    </row>
    <row r="19385">
      <c r="A19385" s="4" t="s">
        <v>24395</v>
      </c>
      <c r="B19385" s="6" t="s">
        <v>24396</v>
      </c>
      <c r="C19385" s="5" t="str">
        <f>IFERROR(__xludf.DUMMYFUNCTION("GOOGLETRANSLATE(B19385,""en"",""fr"")"),"Un homme est vu parler à la caméra tout en tenant un rouleau de papier toilette et commence à souffler de la fumée dans le rouleau.")</f>
        <v>Un homme est vu parler à la caméra tout en tenant un rouleau de papier toilette et commence à souffler de la fumée dans le rouleau.</v>
      </c>
    </row>
    <row r="19386">
      <c r="A19386" s="4" t="s">
        <v>24395</v>
      </c>
      <c r="B19386" s="4" t="s">
        <v>24397</v>
      </c>
      <c r="C19386" s="5" t="str">
        <f>IFERROR(__xludf.DUMMYFUNCTION("GOOGLETRANSLATE(B19386,""en"",""fr"")"),"L'homme continue de retirer plusieurs traînées d'un tuyau et de le faire exploser dans le rouleau de papier toilette.")</f>
        <v>L'homme continue de retirer plusieurs traînées d'un tuyau et de le faire exploser dans le rouleau de papier toilette.</v>
      </c>
    </row>
    <row r="19387">
      <c r="A19387" s="4" t="s">
        <v>24398</v>
      </c>
      <c r="B19387" s="4" t="s">
        <v>24399</v>
      </c>
      <c r="C19387" s="5" t="str">
        <f>IFERROR(__xludf.DUMMYFUNCTION("GOOGLETRANSLATE(B19387,""en"",""fr"")"),"Une personne est vue assise dans un kayak et se déplaçant sur une rivière Rough.")</f>
        <v>Une personne est vue assise dans un kayak et se déplaçant sur une rivière Rough.</v>
      </c>
    </row>
    <row r="19388">
      <c r="A19388" s="4" t="s">
        <v>24398</v>
      </c>
      <c r="B19388" s="4" t="s">
        <v>24400</v>
      </c>
      <c r="C19388" s="5" t="str">
        <f>IFERROR(__xludf.DUMMYFUNCTION("GOOGLETRANSLATE(B19388,""en"",""fr"")"),"La personne continue de monter sur la rivière tandis qu'un autre peuple regarde sur le côté.")</f>
        <v>La personne continue de monter sur la rivière tandis qu'un autre peuple regarde sur le côté.</v>
      </c>
    </row>
    <row r="19389">
      <c r="A19389" s="4" t="s">
        <v>24401</v>
      </c>
      <c r="B19389" s="4" t="s">
        <v>24402</v>
      </c>
      <c r="C19389" s="5" t="str">
        <f>IFERROR(__xludf.DUMMYFUNCTION("GOOGLETRANSLATE(B19389,""en"",""fr"")"),"Un homme en chemise noire joue un harmonica.")</f>
        <v>Un homme en chemise noire joue un harmonica.</v>
      </c>
    </row>
    <row r="19390">
      <c r="A19390" s="4" t="s">
        <v>24401</v>
      </c>
      <c r="B19390" s="4" t="s">
        <v>24403</v>
      </c>
      <c r="C19390" s="5" t="str">
        <f>IFERROR(__xludf.DUMMYFUNCTION("GOOGLETRANSLATE(B19390,""en"",""fr"")"),"Un autre homme est assis sur un porche d'une maison.")</f>
        <v>Un autre homme est assis sur un porche d'une maison.</v>
      </c>
    </row>
    <row r="19391">
      <c r="A19391" s="4" t="s">
        <v>24401</v>
      </c>
      <c r="B19391" s="4" t="s">
        <v>24404</v>
      </c>
      <c r="C19391" s="5" t="str">
        <f>IFERROR(__xludf.DUMMYFUNCTION("GOOGLETRANSLATE(B19391,""en"",""fr"")"),"Une femme dans une écharpe blanche éteint une lanterne.")</f>
        <v>Une femme dans une écharpe blanche éteint une lanterne.</v>
      </c>
    </row>
    <row r="19392">
      <c r="A19392" s="4" t="s">
        <v>24405</v>
      </c>
      <c r="B19392" s="4" t="s">
        <v>24406</v>
      </c>
      <c r="C19392" s="5" t="str">
        <f>IFERROR(__xludf.DUMMYFUNCTION("GOOGLETRANSLATE(B19392,""en"",""fr"")"),"Un homme est montré sur des barres parallèles qui leur font une routine.")</f>
        <v>Un homme est montré sur des barres parallèles qui leur font une routine.</v>
      </c>
    </row>
    <row r="19393">
      <c r="A19393" s="4" t="s">
        <v>24405</v>
      </c>
      <c r="B19393" s="4" t="s">
        <v>24407</v>
      </c>
      <c r="C19393" s="5" t="str">
        <f>IFERROR(__xludf.DUMMYFUNCTION("GOOGLETRANSLATE(B19393,""en"",""fr"")"),"Il est très concentré et se retourne et se balance d'avant en arrière.")</f>
        <v>Il est très concentré et se retourne et se balance d'avant en arrière.</v>
      </c>
    </row>
    <row r="19394">
      <c r="A19394" s="4" t="s">
        <v>24405</v>
      </c>
      <c r="B19394" s="4" t="s">
        <v>24408</v>
      </c>
      <c r="C19394" s="5" t="str">
        <f>IFERROR(__xludf.DUMMYFUNCTION("GOOGLETRANSLATE(B19394,""en"",""fr"")"),"L'athlète démonte ensuite les bars et atterrit sur ses pieds.")</f>
        <v>L'athlète démonte ensuite les bars et atterrit sur ses pieds.</v>
      </c>
    </row>
    <row r="19395">
      <c r="A19395" s="4" t="s">
        <v>24405</v>
      </c>
      <c r="B19395" s="6" t="s">
        <v>24409</v>
      </c>
      <c r="C19395" s="5" t="str">
        <f>IFERROR(__xludf.DUMMYFUNCTION("GOOGLETRANSLATE(B19395,""en"",""fr"")"),"Diverses plans de la même routine sont indiqués avec des pauses entre les deux et des notes que pour la bonne technique sont indiqués.")</f>
        <v>Diverses plans de la même routine sont indiqués avec des pauses entre les deux et des notes que pour la bonne technique sont indiqués.</v>
      </c>
    </row>
    <row r="19396">
      <c r="A19396" s="4" t="s">
        <v>24410</v>
      </c>
      <c r="B19396" s="4" t="s">
        <v>24411</v>
      </c>
      <c r="C19396" s="5" t="str">
        <f>IFERROR(__xludf.DUMMYFUNCTION("GOOGLETRANSLATE(B19396,""en"",""fr"")"),"Une femme est vue marchant sur une scène effectuant une routine de danse du ventre devant un public.")</f>
        <v>Une femme est vue marchant sur une scène effectuant une routine de danse du ventre devant un public.</v>
      </c>
    </row>
    <row r="19397">
      <c r="A19397" s="4" t="s">
        <v>24410</v>
      </c>
      <c r="B19397" s="4" t="s">
        <v>24412</v>
      </c>
      <c r="C19397" s="5" t="str">
        <f>IFERROR(__xludf.DUMMYFUNCTION("GOOGLETRANSLATE(B19397,""en"",""fr"")"),"La femme continue de danser autour de la scène et se termine avec sa pose.")</f>
        <v>La femme continue de danser autour de la scène et se termine avec sa pose.</v>
      </c>
    </row>
    <row r="19398">
      <c r="A19398" s="4" t="s">
        <v>24413</v>
      </c>
      <c r="B19398" s="4" t="s">
        <v>24414</v>
      </c>
      <c r="C19398" s="5" t="str">
        <f>IFERROR(__xludf.DUMMYFUNCTION("GOOGLETRANSLATE(B19398,""en"",""fr"")"),"La femme se tient devant un screamboard.")</f>
        <v>La femme se tient devant un screamboard.</v>
      </c>
    </row>
    <row r="19399">
      <c r="A19399" s="4" t="s">
        <v>24413</v>
      </c>
      <c r="B19399" s="6" t="s">
        <v>24415</v>
      </c>
      <c r="C19399" s="5" t="str">
        <f>IFERROR(__xludf.DUMMYFUNCTION("GOOGLETRANSLATE(B19399,""en"",""fr"")"),"L'homme cuit les carottes qui coupent les carottes et sautent les légumes dans une poêle et le servent dans des bols à la vinaigrette et au fromage tandis que la pople derrière lui le regarde cuisiner.")</f>
        <v>L'homme cuit les carottes qui coupent les carottes et sautent les légumes dans une poêle et le servent dans des bols à la vinaigrette et au fromage tandis que la pople derrière lui le regarde cuisiner.</v>
      </c>
    </row>
    <row r="19400">
      <c r="A19400" s="4" t="s">
        <v>24416</v>
      </c>
      <c r="B19400" s="6" t="s">
        <v>24417</v>
      </c>
      <c r="C19400" s="5" t="str">
        <f>IFERROR(__xludf.DUMMYFUNCTION("GOOGLETRANSLATE(B19400,""en"",""fr"")"),"Un petit groupe de personnes est vu descendre une rivière rugueuse devant les autres tandis que beaucoup veillent sur le côté.")</f>
        <v>Un petit groupe de personnes est vu descendre une rivière rugueuse devant les autres tandis que beaucoup veillent sur le côté.</v>
      </c>
    </row>
    <row r="19401">
      <c r="A19401" s="4" t="s">
        <v>24416</v>
      </c>
      <c r="B19401" s="4" t="s">
        <v>24418</v>
      </c>
      <c r="C19401" s="5" t="str">
        <f>IFERROR(__xludf.DUMMYFUNCTION("GOOGLETRANSLATE(B19401,""en"",""fr"")"),"Le groupe continue de pagayer et de rencontrer d'autres groupes en bas.")</f>
        <v>Le groupe continue de pagayer et de rencontrer d'autres groupes en bas.</v>
      </c>
    </row>
    <row r="19402">
      <c r="A19402" s="4" t="s">
        <v>24419</v>
      </c>
      <c r="B19402" s="4" t="s">
        <v>24420</v>
      </c>
      <c r="C19402" s="5" t="str">
        <f>IFERROR(__xludf.DUMMYFUNCTION("GOOGLETRANSLATE(B19402,""en"",""fr"")"),"Une jeune fille est vue assise sur un canapé à côté d'un adulte regardant leurs pieds.")</f>
        <v>Une jeune fille est vue assise sur un canapé à côté d'un adulte regardant leurs pieds.</v>
      </c>
    </row>
    <row r="19403">
      <c r="A19403" s="4" t="s">
        <v>24419</v>
      </c>
      <c r="B19403" s="4" t="s">
        <v>24421</v>
      </c>
      <c r="C19403" s="5" t="str">
        <f>IFERROR(__xludf.DUMMYFUNCTION("GOOGLETRANSLATE(B19403,""en"",""fr"")"),"La fille joue avec un fer jouet et déplace l'article de haut en bas sur une chemise.")</f>
        <v>La fille joue avec un fer jouet et déplace l'article de haut en bas sur une chemise.</v>
      </c>
    </row>
    <row r="19404">
      <c r="A19404" s="4" t="s">
        <v>24422</v>
      </c>
      <c r="B19404" s="4" t="s">
        <v>24423</v>
      </c>
      <c r="C19404" s="5" t="str">
        <f>IFERROR(__xludf.DUMMYFUNCTION("GOOGLETRANSLATE(B19404,""en"",""fr"")"),"Un homme allemand lance un disque en compétition.")</f>
        <v>Un homme allemand lance un disque en compétition.</v>
      </c>
    </row>
    <row r="19405">
      <c r="A19405" s="4" t="s">
        <v>24422</v>
      </c>
      <c r="B19405" s="4" t="s">
        <v>24424</v>
      </c>
      <c r="C19405" s="5" t="str">
        <f>IFERROR(__xludf.DUMMYFUNCTION("GOOGLETRANSLATE(B19405,""en"",""fr"")"),"Il laisse tomber le disque puis s'éloigne.")</f>
        <v>Il laisse tomber le disque puis s'éloigne.</v>
      </c>
    </row>
    <row r="19406">
      <c r="A19406" s="4" t="s">
        <v>24422</v>
      </c>
      <c r="B19406" s="4" t="s">
        <v>24425</v>
      </c>
      <c r="C19406" s="5" t="str">
        <f>IFERROR(__xludf.DUMMYFUNCTION("GOOGLETRANSLATE(B19406,""en"",""fr"")"),"Une rediffusion est montrée et il a l'air triste.")</f>
        <v>Une rediffusion est montrée et il a l'air triste.</v>
      </c>
    </row>
    <row r="19407">
      <c r="A19407" s="4" t="s">
        <v>24426</v>
      </c>
      <c r="B19407" s="4" t="s">
        <v>24427</v>
      </c>
      <c r="C19407" s="5" t="str">
        <f>IFERROR(__xludf.DUMMYFUNCTION("GOOGLETRANSLATE(B19407,""en"",""fr"")"),"Nous voyons un homme parler à deux autres hommes à l'extérieur d'un entrepôt.")</f>
        <v>Nous voyons un homme parler à deux autres hommes à l'extérieur d'un entrepôt.</v>
      </c>
    </row>
    <row r="19408">
      <c r="A19408" s="4" t="s">
        <v>24426</v>
      </c>
      <c r="B19408" s="4" t="s">
        <v>24428</v>
      </c>
      <c r="C19408" s="5" t="str">
        <f>IFERROR(__xludf.DUMMYFUNCTION("GOOGLETRANSLATE(B19408,""en"",""fr"")"),"À l'intérieur de l'entrepôt, nous voyons une boîte, les hommes traversent leurs planches à roulettes.")</f>
        <v>À l'intérieur de l'entrepôt, nous voyons une boîte, les hommes traversent leurs planches à roulettes.</v>
      </c>
    </row>
    <row r="19409">
      <c r="A19409" s="4" t="s">
        <v>24426</v>
      </c>
      <c r="B19409" s="4" t="s">
        <v>24429</v>
      </c>
      <c r="C19409" s="5" t="str">
        <f>IFERROR(__xludf.DUMMYFUNCTION("GOOGLETRANSLATE(B19409,""en"",""fr"")"),"L'homme tombe de son skateboard à plusieurs reprises.")</f>
        <v>L'homme tombe de son skateboard à plusieurs reprises.</v>
      </c>
    </row>
    <row r="19410">
      <c r="A19410" s="4" t="s">
        <v>24426</v>
      </c>
      <c r="B19410" s="4" t="s">
        <v>24430</v>
      </c>
      <c r="C19410" s="5" t="str">
        <f>IFERROR(__xludf.DUMMYFUNCTION("GOOGLETRANSLATE(B19410,""en"",""fr"")"),"Il retourne la planche à roulettes et nous le voyons au ralenti.")</f>
        <v>Il retourne la planche à roulettes et nous le voyons au ralenti.</v>
      </c>
    </row>
    <row r="19411">
      <c r="A19411" s="4" t="s">
        <v>24426</v>
      </c>
      <c r="B19411" s="4" t="s">
        <v>24431</v>
      </c>
      <c r="C19411" s="5" t="str">
        <f>IFERROR(__xludf.DUMMYFUNCTION("GOOGLETRANSLATE(B19411,""en"",""fr"")"),"L'homme obtient un chapeau et nous voyons l'écran de fin.")</f>
        <v>L'homme obtient un chapeau et nous voyons l'écran de fin.</v>
      </c>
    </row>
    <row r="19412">
      <c r="A19412" s="4" t="s">
        <v>24426</v>
      </c>
      <c r="B19412" s="4" t="s">
        <v>24432</v>
      </c>
      <c r="C19412" s="5" t="str">
        <f>IFERROR(__xludf.DUMMYFUNCTION("GOOGLETRANSLATE(B19412,""en"",""fr"")"),"Un homme saute sur un tas de boîtes et nous revoyons l'écran de fin.")</f>
        <v>Un homme saute sur un tas de boîtes et nous revoyons l'écran de fin.</v>
      </c>
    </row>
    <row r="19413">
      <c r="A19413" s="4" t="s">
        <v>24433</v>
      </c>
      <c r="B19413" s="4" t="s">
        <v>24434</v>
      </c>
      <c r="C19413" s="5" t="str">
        <f>IFERROR(__xludf.DUMMYFUNCTION("GOOGLETRANSLATE(B19413,""en"",""fr"")"),"Betty Heidler participe aux jeux olimpiques de la catégorie des marteau féminins.")</f>
        <v>Betty Heidler participe aux jeux olimpiques de la catégorie des marteau féminins.</v>
      </c>
    </row>
    <row r="19414">
      <c r="A19414" s="4" t="s">
        <v>24433</v>
      </c>
      <c r="B19414" s="4" t="s">
        <v>24435</v>
      </c>
      <c r="C19414" s="5" t="str">
        <f>IFERROR(__xludf.DUMMYFUNCTION("GOOGLETRANSLATE(B19414,""en"",""fr"")"),"Betty Haidler semble vraiment concentrée et déterminée à rentrer chez elle avec un prix.")</f>
        <v>Betty Haidler semble vraiment concentrée et déterminée à rentrer chez elle avec un prix.</v>
      </c>
    </row>
    <row r="19415">
      <c r="A19415" s="4" t="s">
        <v>24433</v>
      </c>
      <c r="B19415" s="4" t="s">
        <v>24436</v>
      </c>
      <c r="C19415" s="5" t="str">
        <f>IFERROR(__xludf.DUMMYFUNCTION("GOOGLETRANSLATE(B19415,""en"",""fr"")"),"Betty Heidler commence à tourner, puis avec tout l'élan, jeté le marteau très loin.")</f>
        <v>Betty Heidler commence à tourner, puis avec tout l'élan, jeté le marteau très loin.</v>
      </c>
    </row>
    <row r="19416">
      <c r="A19416" s="4" t="s">
        <v>24433</v>
      </c>
      <c r="B19416" s="4" t="s">
        <v>24437</v>
      </c>
      <c r="C19416" s="5" t="str">
        <f>IFERROR(__xludf.DUMMYFUNCTION("GOOGLETRANSLATE(B19416,""en"",""fr"")"),"Betty Heidler a classée au tour suivant alors que le tirage au sort a réussi.")</f>
        <v>Betty Heidler a classée au tour suivant alors que le tirage au sort a réussi.</v>
      </c>
    </row>
    <row r="19417">
      <c r="A19417" s="4" t="s">
        <v>24433</v>
      </c>
      <c r="B19417" s="6" t="s">
        <v>24438</v>
      </c>
      <c r="C19417" s="5" t="str">
        <f>IFERROR(__xludf.DUMMYFUNCTION("GOOGLETRANSLATE(B19417,""en"",""fr"")"),"Quelqu'un interviewe Betty Heidler et elle est vraiment heureuse de se qualifier pour les prochains tours du jeu.")</f>
        <v>Quelqu'un interviewe Betty Heidler et elle est vraiment heureuse de se qualifier pour les prochains tours du jeu.</v>
      </c>
    </row>
    <row r="19418">
      <c r="A19418" s="4" t="s">
        <v>24439</v>
      </c>
      <c r="B19418" s="4" t="s">
        <v>24440</v>
      </c>
      <c r="C19418" s="5" t="str">
        <f>IFERROR(__xludf.DUMMYFUNCTION("GOOGLETRANSLATE(B19418,""en"",""fr"")"),"Les gens s'entraînent sur une machine de fitness tirant une corde sur une tige et faisant des allers-retours.")</f>
        <v>Les gens s'entraînent sur une machine de fitness tirant une corde sur une tige et faisant des allers-retours.</v>
      </c>
    </row>
    <row r="19419">
      <c r="A19419" s="4" t="s">
        <v>24439</v>
      </c>
      <c r="B19419" s="4" t="s">
        <v>24441</v>
      </c>
      <c r="C19419" s="5" t="str">
        <f>IFERROR(__xludf.DUMMYFUNCTION("GOOGLETRANSLATE(B19419,""en"",""fr"")"),"Un homme plie une machine de fitness dans une salle de sport.")</f>
        <v>Un homme plie une machine de fitness dans une salle de sport.</v>
      </c>
    </row>
    <row r="19420">
      <c r="A19420" s="4" t="s">
        <v>24439</v>
      </c>
      <c r="B19420" s="4" t="s">
        <v>24442</v>
      </c>
      <c r="C19420" s="5" t="str">
        <f>IFERROR(__xludf.DUMMYFUNCTION("GOOGLETRANSLATE(B19420,""en"",""fr"")"),"Ensuite, un homme fait des entraînements dans une machine de fitness.")</f>
        <v>Ensuite, un homme fait des entraînements dans une machine de fitness.</v>
      </c>
    </row>
    <row r="19421">
      <c r="A19421" s="4" t="s">
        <v>24443</v>
      </c>
      <c r="B19421" s="6" t="s">
        <v>24444</v>
      </c>
      <c r="C19421" s="5" t="str">
        <f>IFERROR(__xludf.DUMMYFUNCTION("GOOGLETRANSLATE(B19421,""en"",""fr"")"),"Une femme en chemise bleue coupe le bois, lorsqu'elle a coupé le bois en deux, elle les a mis de côté puis elle prend une autre bûche et la coupée en deux.")</f>
        <v>Une femme en chemise bleue coupe le bois, lorsqu'elle a coupé le bois en deux, elle les a mis de côté puis elle prend une autre bûche et la coupée en deux.</v>
      </c>
    </row>
    <row r="19422">
      <c r="A19422" s="4" t="s">
        <v>24443</v>
      </c>
      <c r="B19422" s="6" t="s">
        <v>24445</v>
      </c>
      <c r="C19422" s="5" t="str">
        <f>IFERROR(__xludf.DUMMYFUNCTION("GOOGLETRANSLATE(B19422,""en"",""fr"")"),"La femme essaie de hacher le bois en deux mais elle ne sera pas coupée en deux, puis elle est tombée sur le sol et elle l'a remise sur la planche à couper, et elle continue de hacher le bois, après plusieurs tentatives, elle a finalement coupé le bois à m"&amp;"oitié.")</f>
        <v>La femme essaie de hacher le bois en deux mais elle ne sera pas coupée en deux, puis elle est tombée sur le sol et elle l'a remise sur la planche à couper, et elle continue de hacher le bois, après plusieurs tentatives, elle a finalement coupé le bois à moitié.</v>
      </c>
    </row>
    <row r="19423">
      <c r="A19423" s="4" t="s">
        <v>24446</v>
      </c>
      <c r="B19423" s="6" t="s">
        <v>24447</v>
      </c>
      <c r="C19423" s="5" t="str">
        <f>IFERROR(__xludf.DUMMYFUNCTION("GOOGLETRANSLATE(B19423,""en"",""fr"")"),"Diverses tables de pique-nique sont représentées sur un champ suivie d'un homme qui met en équipement et d'autres traversant la forêt.")</f>
        <v>Diverses tables de pique-nique sont représentées sur un champ suivie d'un homme qui met en équipement et d'autres traversant la forêt.</v>
      </c>
    </row>
    <row r="19424">
      <c r="A19424" s="4" t="s">
        <v>24446</v>
      </c>
      <c r="B19424" s="6" t="s">
        <v>24448</v>
      </c>
      <c r="C19424" s="5" t="str">
        <f>IFERROR(__xludf.DUMMYFUNCTION("GOOGLETRANSLATE(B19424,""en"",""fr"")"),"Plusieurs personnes sont vues jouer un match de paintball entre elles et se déplacer en permanence dans la forêt et levant un pistolet.")</f>
        <v>Plusieurs personnes sont vues jouer un match de paintball entre elles et se déplacer en permanence dans la forêt et levant un pistolet.</v>
      </c>
    </row>
    <row r="19425">
      <c r="A19425" s="4" t="s">
        <v>24446</v>
      </c>
      <c r="B19425" s="4" t="s">
        <v>24449</v>
      </c>
      <c r="C19425" s="5" t="str">
        <f>IFERROR(__xludf.DUMMYFUNCTION("GOOGLETRANSLATE(B19425,""en"",""fr"")"),"La personne traverse ensuite une zone en tenant son arme et en tirant lorsqu'une personne arrive.")</f>
        <v>La personne traverse ensuite une zone en tenant son arme et en tirant lorsqu'une personne arrive.</v>
      </c>
    </row>
    <row r="19426">
      <c r="A19426" s="4" t="s">
        <v>24450</v>
      </c>
      <c r="B19426" s="6" t="s">
        <v>24451</v>
      </c>
      <c r="C19426" s="5" t="str">
        <f>IFERROR(__xludf.DUMMYFUNCTION("GOOGLETRANSLATE(B19426,""en"",""fr"")"),"La vidéo mène à plusieurs plans de personnes qui coulent sur une longue piste et sautent dans une fosse de sable.")</f>
        <v>La vidéo mène à plusieurs plans de personnes qui coulent sur une longue piste et sautent dans une fosse de sable.</v>
      </c>
    </row>
    <row r="19427">
      <c r="A19427" s="4" t="s">
        <v>24450</v>
      </c>
      <c r="B19427" s="4" t="s">
        <v>24452</v>
      </c>
      <c r="C19427" s="5" t="str">
        <f>IFERROR(__xludf.DUMMYFUNCTION("GOOGLETRANSLATE(B19427,""en"",""fr"")"),"De plus en plus de femmes sont présentées sur la piste et atterrissent dans le puits de sable comme les autres regardent.")</f>
        <v>De plus en plus de femmes sont présentées sur la piste et atterrissent dans le puits de sable comme les autres regardent.</v>
      </c>
    </row>
    <row r="19428">
      <c r="A19428" s="4" t="s">
        <v>24453</v>
      </c>
      <c r="B19428" s="4" t="s">
        <v>24454</v>
      </c>
      <c r="C19428" s="5" t="str">
        <f>IFERROR(__xludf.DUMMYFUNCTION("GOOGLETRANSLATE(B19428,""en"",""fr"")"),"Un homme et deux enfants pagayent sur une rivière.")</f>
        <v>Un homme et deux enfants pagayent sur une rivière.</v>
      </c>
    </row>
    <row r="19429">
      <c r="A19429" s="4" t="s">
        <v>24453</v>
      </c>
      <c r="B19429" s="4" t="s">
        <v>24455</v>
      </c>
      <c r="C19429" s="5" t="str">
        <f>IFERROR(__xludf.DUMMYFUNCTION("GOOGLETRANSLATE(B19429,""en"",""fr"")"),"Deux canoës sont attachés ensemble.")</f>
        <v>Deux canoës sont attachés ensemble.</v>
      </c>
    </row>
    <row r="19430">
      <c r="A19430" s="4" t="s">
        <v>24453</v>
      </c>
      <c r="B19430" s="4" t="s">
        <v>24456</v>
      </c>
      <c r="C19430" s="5" t="str">
        <f>IFERROR(__xludf.DUMMYFUNCTION("GOOGLETRANSLATE(B19430,""en"",""fr"")"),"L'eau devient plus hopppose au fur et à mesure.")</f>
        <v>L'eau devient plus hopppose au fur et à mesure.</v>
      </c>
    </row>
    <row r="19431">
      <c r="A19431" s="4" t="s">
        <v>24453</v>
      </c>
      <c r="B19431" s="4" t="s">
        <v>24457</v>
      </c>
      <c r="C19431" s="5" t="str">
        <f>IFERROR(__xludf.DUMMYFUNCTION("GOOGLETRANSLATE(B19431,""en"",""fr"")"),"La rivière est bordée de nombreux arbres.")</f>
        <v>La rivière est bordée de nombreux arbres.</v>
      </c>
    </row>
    <row r="19432">
      <c r="A19432" s="4" t="s">
        <v>24458</v>
      </c>
      <c r="B19432" s="4" t="s">
        <v>1487</v>
      </c>
      <c r="C19432" s="5" t="str">
        <f>IFERROR(__xludf.DUMMYFUNCTION("GOOGLETRANSLATE(B19432,""en"",""fr"")"),"Nous voyons un écran de titre d'ouverture.")</f>
        <v>Nous voyons un écran de titre d'ouverture.</v>
      </c>
    </row>
    <row r="19433">
      <c r="A19433" s="4" t="s">
        <v>24458</v>
      </c>
      <c r="B19433" s="4" t="s">
        <v>24459</v>
      </c>
      <c r="C19433" s="5" t="str">
        <f>IFERROR(__xludf.DUMMYFUNCTION("GOOGLETRANSLATE(B19433,""en"",""fr"")"),"Un groupe d'hommes joue au foot-bable à l'extérieur.")</f>
        <v>Un groupe d'hommes joue au foot-bable à l'extérieur.</v>
      </c>
    </row>
    <row r="19434">
      <c r="A19434" s="4" t="s">
        <v>24458</v>
      </c>
      <c r="B19434" s="4" t="s">
        <v>24460</v>
      </c>
      <c r="C19434" s="5" t="str">
        <f>IFERROR(__xludf.DUMMYFUNCTION("GOOGLETRANSLATE(B19434,""en"",""fr"")"),"Les hommes à droite gagnent et se serrent la main et se sont accrochés.")</f>
        <v>Les hommes à droite gagnent et se serrent la main et se sont accrochés.</v>
      </c>
    </row>
    <row r="19435">
      <c r="A19435" s="4" t="s">
        <v>24458</v>
      </c>
      <c r="B19435" s="4" t="s">
        <v>24461</v>
      </c>
      <c r="C19435" s="5" t="str">
        <f>IFERROR(__xludf.DUMMYFUNCTION("GOOGLETRANSLATE(B19435,""en"",""fr"")"),"Un homme high fives qu'un enfant a tenu par une dame derrière eux.")</f>
        <v>Un homme high fives qu'un enfant a tenu par une dame derrière eux.</v>
      </c>
    </row>
    <row r="19436">
      <c r="A19436" s="4" t="s">
        <v>24458</v>
      </c>
      <c r="B19436" s="4" t="s">
        <v>2940</v>
      </c>
      <c r="C19436" s="5" t="str">
        <f>IFERROR(__xludf.DUMMYFUNCTION("GOOGLETRANSLATE(B19436,""en"",""fr"")"),"Nous voyons un écran de clôture.")</f>
        <v>Nous voyons un écran de clôture.</v>
      </c>
    </row>
    <row r="19437">
      <c r="A19437" s="4" t="s">
        <v>24462</v>
      </c>
      <c r="B19437" s="6" t="s">
        <v>24463</v>
      </c>
      <c r="C19437" s="5" t="str">
        <f>IFERROR(__xludf.DUMMYFUNCTION("GOOGLETRANSLATE(B19437,""en"",""fr"")"),"Un homme arborant une barbe et une moustache et porter une chemise blanche donne un tutoriel sur la sécurité de volleyball.")</f>
        <v>Un homme arborant une barbe et une moustache et porter une chemise blanche donne un tutoriel sur la sécurité de volleyball.</v>
      </c>
    </row>
    <row r="19438">
      <c r="A19438" s="4" t="s">
        <v>24462</v>
      </c>
      <c r="B19438" s="4" t="s">
        <v>24464</v>
      </c>
      <c r="C19438" s="5" t="str">
        <f>IFERROR(__xludf.DUMMYFUNCTION("GOOGLETRANSLATE(B19438,""en"",""fr"")"),"Il porte ensuite un sweat-shirt noir et montre comment faire des exercices d'étirement.")</f>
        <v>Il porte ensuite un sweat-shirt noir et montre comment faire des exercices d'étirement.</v>
      </c>
    </row>
    <row r="19439">
      <c r="A19439" s="4" t="s">
        <v>24462</v>
      </c>
      <c r="B19439" s="4" t="s">
        <v>24465</v>
      </c>
      <c r="C19439" s="5" t="str">
        <f>IFERROR(__xludf.DUMMYFUNCTION("GOOGLETRANSLATE(B19439,""en"",""fr"")"),"Il continue d'expliquer quel équipement porter en jouant et en se réchauffant pour le volleyball.")</f>
        <v>Il continue d'expliquer quel équipement porter en jouant et en se réchauffant pour le volleyball.</v>
      </c>
    </row>
    <row r="19440">
      <c r="A19440" s="4" t="s">
        <v>24462</v>
      </c>
      <c r="B19440" s="4" t="s">
        <v>24466</v>
      </c>
      <c r="C19440" s="5" t="str">
        <f>IFERROR(__xludf.DUMMYFUNCTION("GOOGLETRANSLATE(B19440,""en"",""fr"")"),"Il y a des athlètes qui jouent au volleyball pendant qu'il parle.")</f>
        <v>Il y a des athlètes qui jouent au volleyball pendant qu'il parle.</v>
      </c>
    </row>
    <row r="19441">
      <c r="A19441" s="4" t="s">
        <v>24462</v>
      </c>
      <c r="B19441" s="4" t="s">
        <v>24467</v>
      </c>
      <c r="C19441" s="5" t="str">
        <f>IFERROR(__xludf.DUMMYFUNCTION("GOOGLETRANSLATE(B19441,""en"",""fr"")"),"Il y a un jeu de volleyball montré où les joueurs sont dans un gymnase intérieur.")</f>
        <v>Il y a un jeu de volleyball montré où les joueurs sont dans un gymnase intérieur.</v>
      </c>
    </row>
    <row r="19442">
      <c r="A19442" s="4" t="s">
        <v>24468</v>
      </c>
      <c r="B19442" s="4" t="s">
        <v>24469</v>
      </c>
      <c r="C19442" s="5" t="str">
        <f>IFERROR(__xludf.DUMMYFUNCTION("GOOGLETRANSLATE(B19442,""en"",""fr"")"),"Nous voyons des hommes jouer au football dans le sable.")</f>
        <v>Nous voyons des hommes jouer au football dans le sable.</v>
      </c>
    </row>
    <row r="19443">
      <c r="A19443" s="4" t="s">
        <v>24468</v>
      </c>
      <c r="B19443" s="4" t="s">
        <v>24470</v>
      </c>
      <c r="C19443" s="5" t="str">
        <f>IFERROR(__xludf.DUMMYFUNCTION("GOOGLETRANSLATE(B19443,""en"",""fr"")"),"Le ballon entre et tout le monde court vers le ballon.")</f>
        <v>Le ballon entre et tout le monde court vers le ballon.</v>
      </c>
    </row>
    <row r="19444">
      <c r="A19444" s="4" t="s">
        <v>24468</v>
      </c>
      <c r="B19444" s="4" t="s">
        <v>24471</v>
      </c>
      <c r="C19444" s="5" t="str">
        <f>IFERROR(__xludf.DUMMYFUNCTION("GOOGLETRANSLATE(B19444,""en"",""fr"")"),"Un homme à droite donne le ballon dans le but.")</f>
        <v>Un homme à droite donne le ballon dans le but.</v>
      </c>
    </row>
    <row r="19445">
      <c r="A19445" s="4" t="s">
        <v>24468</v>
      </c>
      <c r="B19445" s="4" t="s">
        <v>24472</v>
      </c>
      <c r="C19445" s="5" t="str">
        <f>IFERROR(__xludf.DUMMYFUNCTION("GOOGLETRANSLATE(B19445,""en"",""fr"")"),"Les hommes en rouge se sont tous élevés.")</f>
        <v>Les hommes en rouge se sont tous élevés.</v>
      </c>
    </row>
    <row r="19446">
      <c r="A19446" s="4" t="s">
        <v>24473</v>
      </c>
      <c r="B19446" s="4" t="s">
        <v>24474</v>
      </c>
      <c r="C19446" s="5" t="str">
        <f>IFERROR(__xludf.DUMMYFUNCTION("GOOGLETRANSLATE(B19446,""en"",""fr"")"),"Une femme est vue en parlant à la caméra tout en se tenant à côté d'un cheval et en tenant une brosse.")</f>
        <v>Une femme est vue en parlant à la caméra tout en se tenant à côté d'un cheval et en tenant une brosse.</v>
      </c>
    </row>
    <row r="19447">
      <c r="A19447" s="4" t="s">
        <v>24473</v>
      </c>
      <c r="B19447" s="4" t="s">
        <v>24475</v>
      </c>
      <c r="C19447" s="5" t="str">
        <f>IFERROR(__xludf.DUMMYFUNCTION("GOOGLETRANSLATE(B19447,""en"",""fr"")"),"Elle commence à se brosser tout le long du cheval tout en parlant à la caméra.")</f>
        <v>Elle commence à se brosser tout le long du cheval tout en parlant à la caméra.</v>
      </c>
    </row>
    <row r="19448">
      <c r="A19448" s="4" t="s">
        <v>24473</v>
      </c>
      <c r="B19448" s="4" t="s">
        <v>24476</v>
      </c>
      <c r="C19448" s="5" t="str">
        <f>IFERROR(__xludf.DUMMYFUNCTION("GOOGLETRANSLATE(B19448,""en"",""fr"")"),"Elle s'arrête un instant pour se terminer en parlant à la caméra.")</f>
        <v>Elle s'arrête un instant pour se terminer en parlant à la caméra.</v>
      </c>
    </row>
    <row r="19449">
      <c r="A19449" s="4" t="s">
        <v>24477</v>
      </c>
      <c r="B19449" s="6" t="s">
        <v>24478</v>
      </c>
      <c r="C19449" s="5" t="str">
        <f>IFERROR(__xludf.DUMMYFUNCTION("GOOGLETRANSLATE(B19449,""en"",""fr"")"),"Une voiture est arrêtée à un feu rouge et il y a une vue d'une petite ville qui a de la neige sur le sol.")</f>
        <v>Une voiture est arrêtée à un feu rouge et il y a une vue d'une petite ville qui a de la neige sur le sol.</v>
      </c>
    </row>
    <row r="19450">
      <c r="A19450" s="4" t="s">
        <v>24477</v>
      </c>
      <c r="B19450" s="6" t="s">
        <v>24479</v>
      </c>
      <c r="C19450" s="5" t="str">
        <f>IFERROR(__xludf.DUMMYFUNCTION("GOOGLETRANSLATE(B19450,""en"",""fr"")"),"La lumière devient verte et la voiture conduit dans la rue et il n'y a personne qui marche sur le trottoir et un seul camion garé.")</f>
        <v>La lumière devient verte et la voiture conduit dans la rue et il n'y a personne qui marche sur le trottoir et un seul camion garé.</v>
      </c>
    </row>
    <row r="19451">
      <c r="A19451" s="4" t="s">
        <v>24477</v>
      </c>
      <c r="B19451" s="4" t="s">
        <v>24480</v>
      </c>
      <c r="C19451" s="5" t="str">
        <f>IFERROR(__xludf.DUMMYFUNCTION("GOOGLETRANSLATE(B19451,""en"",""fr"")"),"Sur le côté droit, il y a quelqu'un pelletant de la glace de la route et la voiture le dépasse.")</f>
        <v>Sur le côté droit, il y a quelqu'un pelletant de la glace de la route et la voiture le dépasse.</v>
      </c>
    </row>
    <row r="19452">
      <c r="A19452" s="4" t="s">
        <v>24481</v>
      </c>
      <c r="B19452" s="4" t="s">
        <v>24482</v>
      </c>
      <c r="C19452" s="5" t="str">
        <f>IFERROR(__xludf.DUMMYFUNCTION("GOOGLETRANSLATE(B19452,""en"",""fr"")"),"Un homme est à l'extérieur debout sur un outil en 4 étapes et glisse son coupe-haies vers la droite.")</f>
        <v>Un homme est à l'extérieur debout sur un outil en 4 étapes et glisse son coupe-haies vers la droite.</v>
      </c>
    </row>
    <row r="19453">
      <c r="A19453" s="4" t="s">
        <v>24481</v>
      </c>
      <c r="B19453" s="4" t="s">
        <v>24483</v>
      </c>
      <c r="C19453" s="5" t="str">
        <f>IFERROR(__xludf.DUMMYFUNCTION("GOOGLETRANSLATE(B19453,""en"",""fr"")"),"L'homme soulève alors les coupeurs et commence à couper davantage vers son côté gauche.")</f>
        <v>L'homme soulève alors les coupeurs et commence à couper davantage vers son côté gauche.</v>
      </c>
    </row>
    <row r="19454">
      <c r="A19454" s="4" t="s">
        <v>24481</v>
      </c>
      <c r="B19454" s="4" t="s">
        <v>24484</v>
      </c>
      <c r="C19454" s="5" t="str">
        <f>IFERROR(__xludf.DUMMYFUNCTION("GOOGLETRANSLATE(B19454,""en"",""fr"")"),"L'homme cesse de couper et commence à se retirer de l'échelle.")</f>
        <v>L'homme cesse de couper et commence à se retirer de l'échelle.</v>
      </c>
    </row>
    <row r="19455">
      <c r="A19455" s="4" t="s">
        <v>24485</v>
      </c>
      <c r="B19455" s="4" t="s">
        <v>24486</v>
      </c>
      <c r="C19455" s="5" t="str">
        <f>IFERROR(__xludf.DUMMYFUNCTION("GOOGLETRANSLATE(B19455,""en"",""fr"")"),"Une femme commence à tresser ses cheveux.")</f>
        <v>Une femme commence à tresser ses cheveux.</v>
      </c>
    </row>
    <row r="19456">
      <c r="A19456" s="4" t="s">
        <v>24485</v>
      </c>
      <c r="B19456" s="4" t="s">
        <v>24487</v>
      </c>
      <c r="C19456" s="5" t="str">
        <f>IFERROR(__xludf.DUMMYFUNCTION("GOOGLETRANSLATE(B19456,""en"",""fr"")"),"Les directions arrivent sur le côté de l'écran.")</f>
        <v>Les directions arrivent sur le côté de l'écran.</v>
      </c>
    </row>
    <row r="19457">
      <c r="A19457" s="4" t="s">
        <v>24485</v>
      </c>
      <c r="B19457" s="4" t="s">
        <v>24488</v>
      </c>
      <c r="C19457" s="5" t="str">
        <f>IFERROR(__xludf.DUMMYFUNCTION("GOOGLETRANSLATE(B19457,""en"",""fr"")"),"La femme se tourne sur le côté pour montrer sa tresse.")</f>
        <v>La femme se tourne sur le côté pour montrer sa tresse.</v>
      </c>
    </row>
    <row r="19458">
      <c r="A19458" s="4" t="s">
        <v>24489</v>
      </c>
      <c r="B19458" s="4" t="s">
        <v>24490</v>
      </c>
      <c r="C19458" s="5" t="str">
        <f>IFERROR(__xludf.DUMMYFUNCTION("GOOGLETRANSLATE(B19458,""en"",""fr"")"),"Deux équipes sont de chaque côté d'un terrain.")</f>
        <v>Deux équipes sont de chaque côté d'un terrain.</v>
      </c>
    </row>
    <row r="19459">
      <c r="A19459" s="4" t="s">
        <v>24489</v>
      </c>
      <c r="B19459" s="4" t="s">
        <v>24491</v>
      </c>
      <c r="C19459" s="5" t="str">
        <f>IFERROR(__xludf.DUMMYFUNCTION("GOOGLETRANSLATE(B19459,""en"",""fr"")"),"Ils tiennent une corde, se préparent à tirer.")</f>
        <v>Ils tiennent une corde, se préparent à tirer.</v>
      </c>
    </row>
    <row r="19460">
      <c r="A19460" s="4" t="s">
        <v>24489</v>
      </c>
      <c r="B19460" s="4" t="s">
        <v>24492</v>
      </c>
      <c r="C19460" s="5" t="str">
        <f>IFERROR(__xludf.DUMMYFUNCTION("GOOGLETRANSLATE(B19460,""en"",""fr"")"),"Les deux équipes commencent à tirer, essayant de gagner la compétition en tant que monnaie.")</f>
        <v>Les deux équipes commencent à tirer, essayant de gagner la compétition en tant que monnaie.</v>
      </c>
    </row>
    <row r="19461">
      <c r="A19461" s="4" t="s">
        <v>24489</v>
      </c>
      <c r="B19461" s="4" t="s">
        <v>24493</v>
      </c>
      <c r="C19461" s="5" t="str">
        <f>IFERROR(__xludf.DUMMYFUNCTION("GOOGLETRANSLATE(B19461,""en"",""fr"")"),"Le groupe jaune commence à être tiré en avant contre leur testament.")</f>
        <v>Le groupe jaune commence à être tiré en avant contre leur testament.</v>
      </c>
    </row>
    <row r="19462">
      <c r="A19462" s="4" t="s">
        <v>24494</v>
      </c>
      <c r="B19462" s="4" t="s">
        <v>24495</v>
      </c>
      <c r="C19462" s="5" t="str">
        <f>IFERROR(__xludf.DUMMYFUNCTION("GOOGLETRANSLATE(B19462,""en"",""fr"")"),"Le devant d'un bâtiment appelé Giant est vu.")</f>
        <v>Le devant d'un bâtiment appelé Giant est vu.</v>
      </c>
    </row>
    <row r="19463">
      <c r="A19463" s="4" t="s">
        <v>24494</v>
      </c>
      <c r="B19463" s="4" t="s">
        <v>24496</v>
      </c>
      <c r="C19463" s="5" t="str">
        <f>IFERROR(__xludf.DUMMYFUNCTION("GOOGLETRANSLATE(B19463,""en"",""fr"")"),"Les techniciens sont montrés à l'intérieur, travaillant sur des vélos.")</f>
        <v>Les techniciens sont montrés à l'intérieur, travaillant sur des vélos.</v>
      </c>
    </row>
    <row r="19464">
      <c r="A19464" s="4" t="s">
        <v>24494</v>
      </c>
      <c r="B19464" s="4" t="s">
        <v>24497</v>
      </c>
      <c r="C19464" s="5" t="str">
        <f>IFERROR(__xludf.DUMMYFUNCTION("GOOGLETRANSLATE(B19464,""en"",""fr"")"),"Ils travaillent en équipes, essayant de construire et de réparer.")</f>
        <v>Ils travaillent en équipes, essayant de construire et de réparer.</v>
      </c>
    </row>
    <row r="19465">
      <c r="A19465" s="4" t="s">
        <v>24498</v>
      </c>
      <c r="B19465" s="4" t="s">
        <v>24499</v>
      </c>
      <c r="C19465" s="5" t="str">
        <f>IFERROR(__xludf.DUMMYFUNCTION("GOOGLETRANSLATE(B19465,""en"",""fr"")"),"Deux hommes sont représentés sur le côté d'un toit de bâtiment.")</f>
        <v>Deux hommes sont représentés sur le côté d'un toit de bâtiment.</v>
      </c>
    </row>
    <row r="19466">
      <c r="A19466" s="4" t="s">
        <v>24498</v>
      </c>
      <c r="B19466" s="4" t="s">
        <v>24500</v>
      </c>
      <c r="C19466" s="5" t="str">
        <f>IFERROR(__xludf.DUMMYFUNCTION("GOOGLETRANSLATE(B19466,""en"",""fr"")"),"On se tourne sur le côté, en utilisant un équipement.")</f>
        <v>On se tourne sur le côté, en utilisant un équipement.</v>
      </c>
    </row>
    <row r="19467">
      <c r="A19467" s="4" t="s">
        <v>24498</v>
      </c>
      <c r="B19467" s="4" t="s">
        <v>24501</v>
      </c>
      <c r="C19467" s="5" t="str">
        <f>IFERROR(__xludf.DUMMYFUNCTION("GOOGLETRANSLATE(B19467,""en"",""fr"")"),"Ils semblent construire un toit.")</f>
        <v>Ils semblent construire un toit.</v>
      </c>
    </row>
    <row r="19468">
      <c r="A19468" s="4" t="s">
        <v>24502</v>
      </c>
      <c r="B19468" s="4" t="s">
        <v>24503</v>
      </c>
      <c r="C19468" s="5" t="str">
        <f>IFERROR(__xludf.DUMMYFUNCTION("GOOGLETRANSLATE(B19468,""en"",""fr"")"),"Un homme propage le paillis autour des plantes.")</f>
        <v>Un homme propage le paillis autour des plantes.</v>
      </c>
    </row>
    <row r="19469">
      <c r="A19469" s="4" t="s">
        <v>24502</v>
      </c>
      <c r="B19469" s="4" t="s">
        <v>24504</v>
      </c>
      <c r="C19469" s="5" t="str">
        <f>IFERROR(__xludf.DUMMYFUNCTION("GOOGLETRANSLATE(B19469,""en"",""fr"")"),"Un homme est assis à une table en lisant un journal.")</f>
        <v>Un homme est assis à une table en lisant un journal.</v>
      </c>
    </row>
    <row r="19470">
      <c r="A19470" s="4" t="s">
        <v>24502</v>
      </c>
      <c r="B19470" s="4" t="s">
        <v>24505</v>
      </c>
      <c r="C19470" s="5" t="str">
        <f>IFERROR(__xludf.DUMMYFUNCTION("GOOGLETRANSLATE(B19470,""en"",""fr"")"),"Une cour bien entretenue est montrée.")</f>
        <v>Une cour bien entretenue est montrée.</v>
      </c>
    </row>
    <row r="19471">
      <c r="A19471" s="4" t="s">
        <v>24506</v>
      </c>
      <c r="B19471" s="4" t="s">
        <v>24507</v>
      </c>
      <c r="C19471" s="5" t="str">
        <f>IFERROR(__xludf.DUMMYFUNCTION("GOOGLETRANSLATE(B19471,""en"",""fr"")"),"Un match de football est montré et un homme dans l'actualité parle d'un match de voleyball.")</f>
        <v>Un match de football est montré et un homme dans l'actualité parle d'un match de voleyball.</v>
      </c>
    </row>
    <row r="19472">
      <c r="A19472" s="4" t="s">
        <v>24506</v>
      </c>
      <c r="B19472" s="6" t="s">
        <v>24508</v>
      </c>
      <c r="C19472" s="5" t="str">
        <f>IFERROR(__xludf.DUMMYFUNCTION("GOOGLETRANSLATE(B19472,""en"",""fr"")"),"L'ensemble est présenté avec le match de voleyball et certaines femmes en bikini jouant au blanc, les spectateurs sont sur les notes qui applaudissent.")</f>
        <v>L'ensemble est présenté avec le match de voleyball et certaines femmes en bikini jouant au blanc, les spectateurs sont sur les notes qui applaudissent.</v>
      </c>
    </row>
    <row r="19473">
      <c r="A19473" s="4" t="s">
        <v>24506</v>
      </c>
      <c r="B19473" s="4" t="s">
        <v>24509</v>
      </c>
      <c r="C19473" s="5" t="str">
        <f>IFERROR(__xludf.DUMMYFUNCTION("GOOGLETRANSLATE(B19473,""en"",""fr"")"),"De retour au studio, trois commentateurs parlent.")</f>
        <v>De retour au studio, trois commentateurs parlent.</v>
      </c>
    </row>
    <row r="19474">
      <c r="A19474" s="4" t="s">
        <v>24510</v>
      </c>
      <c r="B19474" s="4" t="s">
        <v>24511</v>
      </c>
      <c r="C19474" s="5" t="str">
        <f>IFERROR(__xludf.DUMMYFUNCTION("GOOGLETRANSLATE(B19474,""en"",""fr"")"),"Un homme et une femme se tiennent près d'une table parlant à la caméra.")</f>
        <v>Un homme et une femme se tiennent près d'une table parlant à la caméra.</v>
      </c>
    </row>
    <row r="19475">
      <c r="A19475" s="4" t="s">
        <v>24510</v>
      </c>
      <c r="B19475" s="4" t="s">
        <v>24512</v>
      </c>
      <c r="C19475" s="5" t="str">
        <f>IFERROR(__xludf.DUMMYFUNCTION("GOOGLETRANSLATE(B19475,""en"",""fr"")"),"Une recette de purée de pommes de terre se trouve sur la table.")</f>
        <v>Une recette de purée de pommes de terre se trouve sur la table.</v>
      </c>
    </row>
    <row r="19476">
      <c r="A19476" s="4" t="s">
        <v>24510</v>
      </c>
      <c r="B19476" s="4" t="s">
        <v>24513</v>
      </c>
      <c r="C19476" s="5" t="str">
        <f>IFERROR(__xludf.DUMMYFUNCTION("GOOGLETRANSLATE(B19476,""en"",""fr"")"),"L'homme décolle et coupe les pommes de terre avant de les jeter dans un pot jaune.")</f>
        <v>L'homme décolle et coupe les pommes de terre avant de les jeter dans un pot jaune.</v>
      </c>
    </row>
    <row r="19477">
      <c r="A19477" s="4" t="s">
        <v>24510</v>
      </c>
      <c r="B19477" s="4" t="s">
        <v>24514</v>
      </c>
      <c r="C19477" s="5" t="str">
        <f>IFERROR(__xludf.DUMMYFUNCTION("GOOGLETRANSLATE(B19477,""en"",""fr"")"),"L'homme jette trois poignées de sel dans le pot jaune.")</f>
        <v>L'homme jette trois poignées de sel dans le pot jaune.</v>
      </c>
    </row>
    <row r="19478">
      <c r="A19478" s="4" t="s">
        <v>24510</v>
      </c>
      <c r="B19478" s="4" t="s">
        <v>24515</v>
      </c>
      <c r="C19478" s="5" t="str">
        <f>IFERROR(__xludf.DUMMYFUNCTION("GOOGLETRANSLATE(B19478,""en"",""fr"")"),"L'homme coupe de l'ail.")</f>
        <v>L'homme coupe de l'ail.</v>
      </c>
    </row>
    <row r="19479">
      <c r="A19479" s="4" t="s">
        <v>24510</v>
      </c>
      <c r="B19479" s="4" t="s">
        <v>24516</v>
      </c>
      <c r="C19479" s="5" t="str">
        <f>IFERROR(__xludf.DUMMYFUNCTION("GOOGLETRANSLATE(B19479,""en"",""fr"")"),"Dans le pot, l'homme lance l'ail avec deux feuilles.")</f>
        <v>Dans le pot, l'homme lance l'ail avec deux feuilles.</v>
      </c>
    </row>
    <row r="19480">
      <c r="A19480" s="4" t="s">
        <v>24510</v>
      </c>
      <c r="B19480" s="4" t="s">
        <v>24517</v>
      </c>
      <c r="C19480" s="5" t="str">
        <f>IFERROR(__xludf.DUMMYFUNCTION("GOOGLETRANSLATE(B19480,""en"",""fr"")"),"La femme rejoint l'homme à la table et elle coupe le beurre en deux.")</f>
        <v>La femme rejoint l'homme à la table et elle coupe le beurre en deux.</v>
      </c>
    </row>
    <row r="19481">
      <c r="A19481" s="4" t="s">
        <v>24510</v>
      </c>
      <c r="B19481" s="4" t="s">
        <v>24518</v>
      </c>
      <c r="C19481" s="5" t="str">
        <f>IFERROR(__xludf.DUMMYFUNCTION("GOOGLETRANSLATE(B19481,""en"",""fr"")"),"La femme jette le beurre dans une casserole.")</f>
        <v>La femme jette le beurre dans une casserole.</v>
      </c>
    </row>
    <row r="19482">
      <c r="A19482" s="4" t="s">
        <v>24510</v>
      </c>
      <c r="B19482" s="4" t="s">
        <v>24519</v>
      </c>
      <c r="C19482" s="5" t="str">
        <f>IFERROR(__xludf.DUMMYFUNCTION("GOOGLETRANSLATE(B19482,""en"",""fr"")"),"L'homme la parle brièvement et la femme continue de verser du lait dans la casserole.")</f>
        <v>L'homme la parle brièvement et la femme continue de verser du lait dans la casserole.</v>
      </c>
    </row>
    <row r="19483">
      <c r="A19483" s="4" t="s">
        <v>24510</v>
      </c>
      <c r="B19483" s="4" t="s">
        <v>24520</v>
      </c>
      <c r="C19483" s="5" t="str">
        <f>IFERROR(__xludf.DUMMYFUNCTION("GOOGLETRANSLATE(B19483,""en"",""fr"")"),"L'homme place le pot jaune et la casserole sur le poêle.")</f>
        <v>L'homme place le pot jaune et la casserole sur le poêle.</v>
      </c>
    </row>
    <row r="19484">
      <c r="A19484" s="4" t="s">
        <v>24510</v>
      </c>
      <c r="B19484" s="4" t="s">
        <v>24521</v>
      </c>
      <c r="C19484" s="5" t="str">
        <f>IFERROR(__xludf.DUMMYFUNCTION("GOOGLETRANSLATE(B19484,""en"",""fr"")"),"L'homme attrape le couvercle du pot et couvre le pot.")</f>
        <v>L'homme attrape le couvercle du pot et couvre le pot.</v>
      </c>
    </row>
    <row r="19485">
      <c r="A19485" s="4" t="s">
        <v>24510</v>
      </c>
      <c r="B19485" s="4" t="s">
        <v>24522</v>
      </c>
      <c r="C19485" s="5" t="str">
        <f>IFERROR(__xludf.DUMMYFUNCTION("GOOGLETRANSLATE(B19485,""en"",""fr"")"),"De retour à la table, l'homme retire le couvercle du pot et retire les feuilles.")</f>
        <v>De retour à la table, l'homme retire le couvercle du pot et retire les feuilles.</v>
      </c>
    </row>
    <row r="19486">
      <c r="A19486" s="4" t="s">
        <v>24510</v>
      </c>
      <c r="B19486" s="4" t="s">
        <v>24523</v>
      </c>
      <c r="C19486" s="5" t="str">
        <f>IFERROR(__xludf.DUMMYFUNCTION("GOOGLETRANSLATE(B19486,""en"",""fr"")"),"L'homme écrase les pommes de terre.")</f>
        <v>L'homme écrase les pommes de terre.</v>
      </c>
    </row>
    <row r="19487">
      <c r="A19487" s="4" t="s">
        <v>24510</v>
      </c>
      <c r="B19487" s="4" t="s">
        <v>24524</v>
      </c>
      <c r="C19487" s="5" t="str">
        <f>IFERROR(__xludf.DUMMYFUNCTION("GOOGLETRANSLATE(B19487,""en"",""fr"")"),"L'homme jette une pincée de sel sur les pommes de terre.")</f>
        <v>L'homme jette une pincée de sel sur les pommes de terre.</v>
      </c>
    </row>
    <row r="19488">
      <c r="A19488" s="4" t="s">
        <v>24510</v>
      </c>
      <c r="B19488" s="4" t="s">
        <v>24525</v>
      </c>
      <c r="C19488" s="5" t="str">
        <f>IFERROR(__xludf.DUMMYFUNCTION("GOOGLETRANSLATE(B19488,""en"",""fr"")"),"L'homme reprend d'écouter les pommes de terre.")</f>
        <v>L'homme reprend d'écouter les pommes de terre.</v>
      </c>
    </row>
    <row r="19489">
      <c r="A19489" s="4" t="s">
        <v>24510</v>
      </c>
      <c r="B19489" s="4" t="s">
        <v>24526</v>
      </c>
      <c r="C19489" s="5" t="str">
        <f>IFERROR(__xludf.DUMMYFUNCTION("GOOGLETRANSLATE(B19489,""en"",""fr"")"),"L'homme verse le lait de la casserole dans le pot.")</f>
        <v>L'homme verse le lait de la casserole dans le pot.</v>
      </c>
    </row>
    <row r="19490">
      <c r="A19490" s="4" t="s">
        <v>24510</v>
      </c>
      <c r="B19490" s="4" t="s">
        <v>24527</v>
      </c>
      <c r="C19490" s="5" t="str">
        <f>IFERROR(__xludf.DUMMYFUNCTION("GOOGLETRANSLATE(B19490,""en"",""fr"")"),"L'homme écrase un peu plus les pommes de terre.")</f>
        <v>L'homme écrase un peu plus les pommes de terre.</v>
      </c>
    </row>
    <row r="19491">
      <c r="A19491" s="4" t="s">
        <v>24510</v>
      </c>
      <c r="B19491" s="4" t="s">
        <v>24528</v>
      </c>
      <c r="C19491" s="5" t="str">
        <f>IFERROR(__xludf.DUMMYFUNCTION("GOOGLETRANSLATE(B19491,""en"",""fr"")"),"L'homme attrape du poivre et le jette sur les pommes de terre.")</f>
        <v>L'homme attrape du poivre et le jette sur les pommes de terre.</v>
      </c>
    </row>
    <row r="19492">
      <c r="A19492" s="4" t="s">
        <v>24510</v>
      </c>
      <c r="B19492" s="4" t="s">
        <v>24529</v>
      </c>
      <c r="C19492" s="5" t="str">
        <f>IFERROR(__xludf.DUMMYFUNCTION("GOOGLETRANSLATE(B19492,""en"",""fr"")"),"L'homme ajoute un peu plus de lait.")</f>
        <v>L'homme ajoute un peu plus de lait.</v>
      </c>
    </row>
    <row r="19493">
      <c r="A19493" s="4" t="s">
        <v>24510</v>
      </c>
      <c r="B19493" s="4" t="s">
        <v>24530</v>
      </c>
      <c r="C19493" s="5" t="str">
        <f>IFERROR(__xludf.DUMMYFUNCTION("GOOGLETRANSLATE(B19493,""en"",""fr"")"),"L'homme revient pour écraser les pommes de terre et les remuer car ils sont devenus doux.")</f>
        <v>L'homme revient pour écraser les pommes de terre et les remuer car ils sont devenus doux.</v>
      </c>
    </row>
    <row r="19494">
      <c r="A19494" s="4" t="s">
        <v>24510</v>
      </c>
      <c r="B19494" s="4" t="s">
        <v>24531</v>
      </c>
      <c r="C19494" s="5" t="str">
        <f>IFERROR(__xludf.DUMMYFUNCTION("GOOGLETRANSLATE(B19494,""en"",""fr"")"),"L'homme s'arrête pendant une seconde pour jeter de l'eau et reprend pour remuer les pommes de terre.")</f>
        <v>L'homme s'arrête pendant une seconde pour jeter de l'eau et reprend pour remuer les pommes de terre.</v>
      </c>
    </row>
    <row r="19495">
      <c r="A19495" s="4" t="s">
        <v>24510</v>
      </c>
      <c r="B19495" s="4" t="s">
        <v>24532</v>
      </c>
      <c r="C19495" s="5" t="str">
        <f>IFERROR(__xludf.DUMMYFUNCTION("GOOGLETRANSLATE(B19495,""en"",""fr"")"),"Le plat de pommes de terre terminé est laissé sur un comptoir.")</f>
        <v>Le plat de pommes de terre terminé est laissé sur un comptoir.</v>
      </c>
    </row>
    <row r="19496">
      <c r="A19496" s="4" t="s">
        <v>24533</v>
      </c>
      <c r="B19496" s="4" t="s">
        <v>24534</v>
      </c>
      <c r="C19496" s="5" t="str">
        <f>IFERROR(__xludf.DUMMYFUNCTION("GOOGLETRANSLATE(B19496,""en"",""fr"")"),"Un gros plan d'une planche avec montré avec plusieurs rondelles assises autour du côté.")</f>
        <v>Un gros plan d'une planche avec montré avec plusieurs rondelles assises autour du côté.</v>
      </c>
    </row>
    <row r="19497">
      <c r="A19497" s="4" t="s">
        <v>24533</v>
      </c>
      <c r="B19497" s="4" t="s">
        <v>24535</v>
      </c>
      <c r="C19497" s="5" t="str">
        <f>IFERROR(__xludf.DUMMYFUNCTION("GOOGLETRANSLATE(B19497,""en"",""fr"")"),"Soudain, une autre rondelle est poussée vers le bas et a frappé les autres pendant que les gens regardent.")</f>
        <v>Soudain, une autre rondelle est poussée vers le bas et a frappé les autres pendant que les gens regardent.</v>
      </c>
    </row>
    <row r="19498">
      <c r="A19498" s="4" t="s">
        <v>24536</v>
      </c>
      <c r="B19498" s="4" t="s">
        <v>24537</v>
      </c>
      <c r="C19498" s="5" t="str">
        <f>IFERROR(__xludf.DUMMYFUNCTION("GOOGLETRANSLATE(B19498,""en"",""fr"")"),"Deux hommes sont accroupis à côté d'une voiture et un tiers se dresse.")</f>
        <v>Deux hommes sont accroupis à côté d'une voiture et un tiers se dresse.</v>
      </c>
    </row>
    <row r="19499">
      <c r="A19499" s="4" t="s">
        <v>24536</v>
      </c>
      <c r="B19499" s="4" t="s">
        <v>24538</v>
      </c>
      <c r="C19499" s="5" t="str">
        <f>IFERROR(__xludf.DUMMYFUNCTION("GOOGLETRANSLATE(B19499,""en"",""fr"")"),"Ils retirent le pneu tandis qu'un autre homme prend des photos.")</f>
        <v>Ils retirent le pneu tandis qu'un autre homme prend des photos.</v>
      </c>
    </row>
    <row r="19500">
      <c r="A19500" s="4" t="s">
        <v>24536</v>
      </c>
      <c r="B19500" s="4" t="s">
        <v>24539</v>
      </c>
      <c r="C19500" s="5" t="str">
        <f>IFERROR(__xludf.DUMMYFUNCTION("GOOGLETRANSLATE(B19500,""en"",""fr"")"),"Les deux hommes changent le pneu, mettant une pièce de rechange.")</f>
        <v>Les deux hommes changent le pneu, mettant une pièce de rechange.</v>
      </c>
    </row>
    <row r="19501">
      <c r="A19501" s="4" t="s">
        <v>24540</v>
      </c>
      <c r="B19501" s="4" t="s">
        <v>24541</v>
      </c>
      <c r="C19501" s="5" t="str">
        <f>IFERROR(__xludf.DUMMYFUNCTION("GOOGLETRANSLATE(B19501,""en"",""fr"")"),"Une femme porte une balle lourde et se tient en cercle.")</f>
        <v>Une femme porte une balle lourde et se tient en cercle.</v>
      </c>
    </row>
    <row r="19502">
      <c r="A19502" s="4" t="s">
        <v>24540</v>
      </c>
      <c r="B19502" s="4" t="s">
        <v>24542</v>
      </c>
      <c r="C19502" s="5" t="str">
        <f>IFERROR(__xludf.DUMMYFUNCTION("GOOGLETRANSLATE(B19502,""en"",""fr"")"),"Ensuite, la femme tourne le poids.")</f>
        <v>Ensuite, la femme tourne le poids.</v>
      </c>
    </row>
    <row r="19503">
      <c r="A19503" s="4" t="s">
        <v>24540</v>
      </c>
      <c r="B19503" s="4" t="s">
        <v>24543</v>
      </c>
      <c r="C19503" s="5" t="str">
        <f>IFERROR(__xludf.DUMMYFUNCTION("GOOGLETRANSLATE(B19503,""en"",""fr"")"),"Ensuite, la femme jette le poids.")</f>
        <v>Ensuite, la femme jette le poids.</v>
      </c>
    </row>
    <row r="19504">
      <c r="A19504" s="4" t="s">
        <v>24544</v>
      </c>
      <c r="B19504" s="4" t="s">
        <v>24545</v>
      </c>
      <c r="C19504" s="5" t="str">
        <f>IFERROR(__xludf.DUMMYFUNCTION("GOOGLETRANSLATE(B19504,""en"",""fr"")"),"Les enfants sont sur le swing pendant qu'un enfant se tient et pousse un petit chien sur le swing.")</f>
        <v>Les enfants sont sur le swing pendant qu'un enfant se tient et pousse un petit chien sur le swing.</v>
      </c>
    </row>
    <row r="19505">
      <c r="A19505" s="4" t="s">
        <v>24544</v>
      </c>
      <c r="B19505" s="4" t="s">
        <v>24546</v>
      </c>
      <c r="C19505" s="5" t="str">
        <f>IFERROR(__xludf.DUMMYFUNCTION("GOOGLETRANSLATE(B19505,""en"",""fr"")"),"Trois motards roulent là-bas à vélo dans le parking passant dans la zone de balançoire.")</f>
        <v>Trois motards roulent là-bas à vélo dans le parking passant dans la zone de balançoire.</v>
      </c>
    </row>
    <row r="19506">
      <c r="A19506" s="4" t="s">
        <v>24544</v>
      </c>
      <c r="B19506" s="4" t="s">
        <v>24547</v>
      </c>
      <c r="C19506" s="5" t="str">
        <f>IFERROR(__xludf.DUMMYFUNCTION("GOOGLETRANSLATE(B19506,""en"",""fr"")"),"Une femme fait ensuite du jogging sur le trottoir en passant également la zone de swing.")</f>
        <v>Une femme fait ensuite du jogging sur le trottoir en passant également la zone de swing.</v>
      </c>
    </row>
    <row r="19507">
      <c r="A19507" s="4" t="s">
        <v>24548</v>
      </c>
      <c r="B19507" s="4" t="s">
        <v>24549</v>
      </c>
      <c r="C19507" s="5" t="str">
        <f>IFERROR(__xludf.DUMMYFUNCTION("GOOGLETRANSLATE(B19507,""en"",""fr"")"),"Deux jeunes hommes sont assis à un bureau derrière deux microphones et deux ordinateurs.")</f>
        <v>Deux jeunes hommes sont assis à un bureau derrière deux microphones et deux ordinateurs.</v>
      </c>
    </row>
    <row r="19508">
      <c r="A19508" s="4" t="s">
        <v>24548</v>
      </c>
      <c r="B19508" s="4" t="s">
        <v>24550</v>
      </c>
      <c r="C19508" s="5" t="str">
        <f>IFERROR(__xludf.DUMMYFUNCTION("GOOGLETRANSLATE(B19508,""en"",""fr"")"),"Un garçon part et les autres gars restent pour rassembler ses effets personnels.")</f>
        <v>Un garçon part et les autres gars restent pour rassembler ses effets personnels.</v>
      </c>
    </row>
    <row r="19509">
      <c r="A19509" s="4" t="s">
        <v>24548</v>
      </c>
      <c r="B19509" s="6" t="s">
        <v>24551</v>
      </c>
      <c r="C19509" s="5" t="str">
        <f>IFERROR(__xludf.DUMMYFUNCTION("GOOGLETRANSLATE(B19509,""en"",""fr"")"),"Alors qu'il fait ses valises, une jeune femme entre et commence à fermer l'équipement et à nettoyer autour de la station de radio.")</f>
        <v>Alors qu'il fait ses valises, une jeune femme entre et commence à fermer l'équipement et à nettoyer autour de la station de radio.</v>
      </c>
    </row>
    <row r="19510">
      <c r="A19510" s="4" t="s">
        <v>24548</v>
      </c>
      <c r="B19510" s="4" t="s">
        <v>24552</v>
      </c>
      <c r="C19510" s="5" t="str">
        <f>IFERROR(__xludf.DUMMYFUNCTION("GOOGLETRANSLATE(B19510,""en"",""fr"")"),"Une fois que tout est emballé, le garçon part et commence à souffler des baisers à la caméra.")</f>
        <v>Une fois que tout est emballé, le garçon part et commence à souffler des baisers à la caméra.</v>
      </c>
    </row>
    <row r="19511">
      <c r="A19511" s="4" t="s">
        <v>24553</v>
      </c>
      <c r="B19511" s="4" t="s">
        <v>24554</v>
      </c>
      <c r="C19511" s="5" t="str">
        <f>IFERROR(__xludf.DUMMYFUNCTION("GOOGLETRANSLATE(B19511,""en"",""fr"")"),"Un homme vêtu de noir promena dans une longue salle dans un palais.")</f>
        <v>Un homme vêtu de noir promena dans une longue salle dans un palais.</v>
      </c>
    </row>
    <row r="19512">
      <c r="A19512" s="4" t="s">
        <v>24553</v>
      </c>
      <c r="B19512" s="6" t="s">
        <v>24555</v>
      </c>
      <c r="C19512" s="5" t="str">
        <f>IFERROR(__xludf.DUMMYFUNCTION("GOOGLETRANSLATE(B19512,""en"",""fr"")"),"Deux hommes en exercice blanc sont vêtus d'étirement et se préparent pour un match d'escrime tandis qu'un entraîneur vêtu de noir avec un majordome à l'arrière se tient.")</f>
        <v>Deux hommes en exercice blanc sont vêtus d'étirement et se préparent pour un match d'escrime tandis qu'un entraîneur vêtu de noir avec un majordome à l'arrière se tient.</v>
      </c>
    </row>
    <row r="19513">
      <c r="A19513" s="4" t="s">
        <v>24553</v>
      </c>
      <c r="B19513" s="4" t="s">
        <v>24556</v>
      </c>
      <c r="C19513" s="5" t="str">
        <f>IFERROR(__xludf.DUMMYFUNCTION("GOOGLETRANSLATE(B19513,""en"",""fr"")"),"Les deux hommes vêtus de blanc ont mis leurs masques d'escrime et commencer un match d'escrime.")</f>
        <v>Les deux hommes vêtus de blanc ont mis leurs masques d'escrime et commencer un match d'escrime.</v>
      </c>
    </row>
    <row r="19514">
      <c r="A19514" s="4" t="s">
        <v>24553</v>
      </c>
      <c r="B19514" s="6" t="s">
        <v>24557</v>
      </c>
      <c r="C19514" s="5" t="str">
        <f>IFERROR(__xludf.DUMMYFUNCTION("GOOGLETRANSLATE(B19514,""en"",""fr"")"),"L'entraîneur vêtu de noir commence à critiquer les deux tireurs et tient les pointes des épées à la main.")</f>
        <v>L'entraîneur vêtu de noir commence à critiquer les deux tireurs et tient les pointes des épées à la main.</v>
      </c>
    </row>
    <row r="19515">
      <c r="A19515" s="4" t="s">
        <v>24553</v>
      </c>
      <c r="B19515" s="4" t="s">
        <v>24558</v>
      </c>
      <c r="C19515" s="5" t="str">
        <f>IFERROR(__xludf.DUMMYFUNCTION("GOOGLETRANSLATE(B19515,""en"",""fr"")"),"L'entraîneur se retourne et se rend au majordome et commence à converser.")</f>
        <v>L'entraîneur se retourne et se rend au majordome et commence à converser.</v>
      </c>
    </row>
    <row r="19516">
      <c r="A19516" s="4" t="s">
        <v>24559</v>
      </c>
      <c r="B19516" s="6" t="s">
        <v>24560</v>
      </c>
      <c r="C19516" s="5" t="str">
        <f>IFERROR(__xludf.DUMMYFUNCTION("GOOGLETRANSLATE(B19516,""en"",""fr"")"),"Un haltérophile se dresse sur une plate-forme en bois dans une salle de gym et soulève des cloches de bar lourdement pondérées au-dessus de sa tête, plusieurs fois alors qu'elle était entourée de spectateurs.")</f>
        <v>Un haltérophile se dresse sur une plate-forme en bois dans une salle de gym et soulève des cloches de bar lourdement pondérées au-dessus de sa tête, plusieurs fois alors qu'elle était entourée de spectateurs.</v>
      </c>
    </row>
    <row r="19517">
      <c r="A19517" s="4" t="s">
        <v>24559</v>
      </c>
      <c r="B19517" s="6" t="s">
        <v>24561</v>
      </c>
      <c r="C19517" s="5" t="str">
        <f>IFERROR(__xludf.DUMMYFUNCTION("GOOGLETRANSLATE(B19517,""en"",""fr"")"),"Un haltérophile soulève plus de trois cloches de bar au-dessus de sa tête accroupies sous le poids alors que les autres participants au gymnase regardent alors qu'il hisse le poids au-dessus de sa tête, puis permet à la cloche de tomber au sol.")</f>
        <v>Un haltérophile soulève plus de trois cloches de bar au-dessus de sa tête accroupies sous le poids alors que les autres participants au gymnase regardent alors qu'il hisse le poids au-dessus de sa tête, puis permet à la cloche de tomber au sol.</v>
      </c>
    </row>
    <row r="19518">
      <c r="A19518" s="4" t="s">
        <v>24559</v>
      </c>
      <c r="B19518" s="6" t="s">
        <v>24562</v>
      </c>
      <c r="C19518" s="5" t="str">
        <f>IFERROR(__xludf.DUMMYFUNCTION("GOOGLETRANSLATE(B19518,""en"",""fr"")"),"L'homme effectue plusieurs autres ascenseurs de la cloche se pliant d'abord sur les genoux, puis hissant la cloche sur les épaules avant de jeter le poids sur le sol.")</f>
        <v>L'homme effectue plusieurs autres ascenseurs de la cloche se pliant d'abord sur les genoux, puis hissant la cloche sur les épaules avant de jeter le poids sur le sol.</v>
      </c>
    </row>
    <row r="19519">
      <c r="A19519" s="4" t="s">
        <v>24559</v>
      </c>
      <c r="B19519" s="4" t="s">
        <v>24563</v>
      </c>
      <c r="C19519" s="5" t="str">
        <f>IFERROR(__xludf.DUMMYFUNCTION("GOOGLETRANSLATE(B19519,""en"",""fr"")"),"L'homme serre la main et embrasse les spectateurs lorsqu'il a fini par la démonstration.")</f>
        <v>L'homme serre la main et embrasse les spectateurs lorsqu'il a fini par la démonstration.</v>
      </c>
    </row>
    <row r="19520">
      <c r="A19520" s="4" t="s">
        <v>24564</v>
      </c>
      <c r="B19520" s="4" t="s">
        <v>24565</v>
      </c>
      <c r="C19520" s="5" t="str">
        <f>IFERROR(__xludf.DUMMYFUNCTION("GOOGLETRANSLATE(B19520,""en"",""fr"")"),"Une femme est assise sur une chaise avec une femme debout derrière elle.")</f>
        <v>Une femme est assise sur une chaise avec une femme debout derrière elle.</v>
      </c>
    </row>
    <row r="19521">
      <c r="A19521" s="4" t="s">
        <v>24564</v>
      </c>
      <c r="B19521" s="4" t="s">
        <v>24566</v>
      </c>
      <c r="C19521" s="5" t="str">
        <f>IFERROR(__xludf.DUMMYFUNCTION("GOOGLETRANSLATE(B19521,""en"",""fr"")"),"La femme commence à brosser les cheveux de la femme.")</f>
        <v>La femme commence à brosser les cheveux de la femme.</v>
      </c>
    </row>
    <row r="19522">
      <c r="A19522" s="4" t="s">
        <v>24564</v>
      </c>
      <c r="B19522" s="4" t="s">
        <v>24567</v>
      </c>
      <c r="C19522" s="5" t="str">
        <f>IFERROR(__xludf.DUMMYFUNCTION("GOOGLETRANSLATE(B19522,""en"",""fr"")"),"Elle commence à tresser les cheveux.")</f>
        <v>Elle commence à tresser les cheveux.</v>
      </c>
    </row>
    <row r="19523">
      <c r="A19523" s="4" t="s">
        <v>24568</v>
      </c>
      <c r="B19523" s="4" t="s">
        <v>24569</v>
      </c>
      <c r="C19523" s="5" t="str">
        <f>IFERROR(__xludf.DUMMYFUNCTION("GOOGLETRANSLATE(B19523,""en"",""fr"")"),"Il y a un groupe de dames dans une salle de sport vêtue de hauts d'entraînement et de collants.")</f>
        <v>Il y a un groupe de dames dans une salle de sport vêtue de hauts d'entraînement et de collants.</v>
      </c>
    </row>
    <row r="19524">
      <c r="A19524" s="4" t="s">
        <v>24568</v>
      </c>
      <c r="B19524" s="4" t="s">
        <v>24570</v>
      </c>
      <c r="C19524" s="5" t="str">
        <f>IFERROR(__xludf.DUMMYFUNCTION("GOOGLETRANSLATE(B19524,""en"",""fr"")"),"Ils participent tous à un cours d'aérobic structuré.")</f>
        <v>Ils participent tous à un cours d'aérobic structuré.</v>
      </c>
    </row>
    <row r="19525">
      <c r="A19525" s="4" t="s">
        <v>24568</v>
      </c>
      <c r="B19525" s="6" t="s">
        <v>24571</v>
      </c>
      <c r="C19525" s="5" t="str">
        <f>IFERROR(__xludf.DUMMYFUNCTION("GOOGLETRANSLATE(B19525,""en"",""fr"")"),"Ils coordonnent leurs étapes et synchronisent leurs mouvements alors qu'ils montent et hors de la plate-forme.")</f>
        <v>Ils coordonnent leurs étapes et synchronisent leurs mouvements alors qu'ils montent et hors de la plate-forme.</v>
      </c>
    </row>
    <row r="19526">
      <c r="A19526" s="4" t="s">
        <v>24568</v>
      </c>
      <c r="B19526" s="4" t="s">
        <v>24572</v>
      </c>
      <c r="C19526" s="5" t="str">
        <f>IFERROR(__xludf.DUMMYFUNCTION("GOOGLETRANSLATE(B19526,""en"",""fr"")"),"Ils dansent pendant qu'ils font de l'exercice à la musique.")</f>
        <v>Ils dansent pendant qu'ils font de l'exercice à la musique.</v>
      </c>
    </row>
    <row r="19527">
      <c r="A19527" s="4" t="s">
        <v>24568</v>
      </c>
      <c r="B19527" s="4" t="s">
        <v>24573</v>
      </c>
      <c r="C19527" s="5" t="str">
        <f>IFERROR(__xludf.DUMMYFUNCTION("GOOGLETRANSLATE(B19527,""en"",""fr"")"),"Une fois qu'ils ont terminé, ils s'arrêtent et soulevent en supprimant les plates-formes.")</f>
        <v>Une fois qu'ils ont terminé, ils s'arrêtent et soulevent en supprimant les plates-formes.</v>
      </c>
    </row>
    <row r="19528">
      <c r="A19528" s="4" t="s">
        <v>24574</v>
      </c>
      <c r="B19528" s="6" t="s">
        <v>24575</v>
      </c>
      <c r="C19528" s="5" t="str">
        <f>IFERROR(__xludf.DUMMYFUNCTION("GOOGLETRANSLATE(B19528,""en"",""fr"")"),"Un D pour Dot Com commence par un homme en blanc parlant à la caméra devant un fond blanc.")</f>
        <v>Un D pour Dot Com commence par un homme en blanc parlant à la caméra devant un fond blanc.</v>
      </c>
    </row>
    <row r="19529">
      <c r="A19529" s="4" t="s">
        <v>24574</v>
      </c>
      <c r="B19529" s="6" t="s">
        <v>24576</v>
      </c>
      <c r="C19529" s="5" t="str">
        <f>IFERROR(__xludf.DUMMYFUNCTION("GOOGLETRANSLATE(B19529,""en"",""fr"")"),"La vidéo montre ensuite une série de professionnels travaillant dur, puis coupe deux femmes qui courent sur la plage.")</f>
        <v>La vidéo montre ensuite une série de professionnels travaillant dur, puis coupe deux femmes qui courent sur la plage.</v>
      </c>
    </row>
    <row r="19530">
      <c r="A19530" s="4" t="s">
        <v>24574</v>
      </c>
      <c r="B19530" s="4" t="s">
        <v>24577</v>
      </c>
      <c r="C19530" s="5" t="str">
        <f>IFERROR(__xludf.DUMMYFUNCTION("GOOGLETRANSLATE(B19530,""en"",""fr"")"),"Une photo d'un cycliste est montrée, puis elle revient au même homme en blanc.")</f>
        <v>Une photo d'un cycliste est montrée, puis elle revient au même homme en blanc.</v>
      </c>
    </row>
    <row r="19531">
      <c r="A19531" s="4" t="s">
        <v>24574</v>
      </c>
      <c r="B19531" s="4" t="s">
        <v>24578</v>
      </c>
      <c r="C19531" s="5" t="str">
        <f>IFERROR(__xludf.DUMMYFUNCTION("GOOGLETRANSLATE(B19531,""en"",""fr"")"),"Une femme est montrée en cours d'exécution et l'homme continue de parler de conseils de fitness.")</f>
        <v>Une femme est montrée en cours d'exécution et l'homme continue de parler de conseils de fitness.</v>
      </c>
    </row>
    <row r="19532">
      <c r="A19532" s="4" t="s">
        <v>24579</v>
      </c>
      <c r="B19532" s="4" t="s">
        <v>24580</v>
      </c>
      <c r="C19532" s="5" t="str">
        <f>IFERROR(__xludf.DUMMYFUNCTION("GOOGLETRANSLATE(B19532,""en"",""fr"")"),"Un homme avec une chemise bleue est à l'extérieur qui monte un caisson d'escalier dans un bâtiment.")</f>
        <v>Un homme avec une chemise bleue est à l'extérieur qui monte un caisson d'escalier dans un bâtiment.</v>
      </c>
    </row>
    <row r="19533">
      <c r="A19533" s="4" t="s">
        <v>24579</v>
      </c>
      <c r="B19533" s="4" t="s">
        <v>24581</v>
      </c>
      <c r="C19533" s="5" t="str">
        <f>IFERROR(__xludf.DUMMYFUNCTION("GOOGLETRANSLATE(B19533,""en"",""fr"")"),"Alors qu'il entre, il descend une rangée de plusieurs vélos et installe une caméra.")</f>
        <v>Alors qu'il entre, il descend une rangée de plusieurs vélos et installe une caméra.</v>
      </c>
    </row>
    <row r="19534">
      <c r="A19534" s="4" t="s">
        <v>24579</v>
      </c>
      <c r="B19534" s="6" t="s">
        <v>24582</v>
      </c>
      <c r="C19534" s="5" t="str">
        <f>IFERROR(__xludf.DUMMYFUNCTION("GOOGLETRANSLATE(B19534,""en"",""fr"")"),"L'homme entre ensuite dans une autre pièce avec trois autres hommes et ils commencent à déballer et à assembler plusieurs vélos ensemble.")</f>
        <v>L'homme entre ensuite dans une autre pièce avec trois autres hommes et ils commencent à déballer et à assembler plusieurs vélos ensemble.</v>
      </c>
    </row>
    <row r="19535">
      <c r="A19535" s="4" t="s">
        <v>24579</v>
      </c>
      <c r="B19535" s="6" t="s">
        <v>24583</v>
      </c>
      <c r="C19535" s="5" t="str">
        <f>IFERROR(__xludf.DUMMYFUNCTION("GOOGLETRANSLATE(B19535,""en"",""fr"")"),"Une fois qu'ils sont sécurisés, les hommes les mettent sur eux, les testent et les touchent finaux.")</f>
        <v>Une fois qu'ils sont sécurisés, les hommes les mettent sur eux, les testent et les touchent finaux.</v>
      </c>
    </row>
    <row r="19536">
      <c r="A19536" s="4" t="s">
        <v>24579</v>
      </c>
      <c r="B19536" s="6" t="s">
        <v>24584</v>
      </c>
      <c r="C19536" s="5" t="str">
        <f>IFERROR(__xludf.DUMMYFUNCTION("GOOGLETRANSLATE(B19536,""en"",""fr"")"),"Les vélos sont enfin terminés et l'homme le soulève jusqu'à la caméra et commence à le monter sur le trottoir.")</f>
        <v>Les vélos sont enfin terminés et l'homme le soulève jusqu'à la caméra et commence à le monter sur le trottoir.</v>
      </c>
    </row>
    <row r="19537">
      <c r="A19537" s="4" t="s">
        <v>24585</v>
      </c>
      <c r="B19537" s="4" t="s">
        <v>24586</v>
      </c>
      <c r="C19537" s="5" t="str">
        <f>IFERROR(__xludf.DUMMYFUNCTION("GOOGLETRANSLATE(B19537,""en"",""fr"")"),"Un homme est vu monter sur un chameau qui a un chariot attaché à l'arrière avec deux passagers.")</f>
        <v>Un homme est vu monter sur un chameau qui a un chariot attaché à l'arrière avec deux passagers.</v>
      </c>
    </row>
    <row r="19538">
      <c r="A19538" s="4" t="s">
        <v>24585</v>
      </c>
      <c r="B19538" s="6" t="s">
        <v>24587</v>
      </c>
      <c r="C19538" s="5" t="str">
        <f>IFERROR(__xludf.DUMMYFUNCTION("GOOGLETRANSLATE(B19538,""en"",""fr"")"),"Les gens à l'arrière ont une conversation en parcourant plusieurs personnes en regardant sur la touche.")</f>
        <v>Les gens à l'arrière ont une conversation en parcourant plusieurs personnes en regardant sur la touche.</v>
      </c>
    </row>
    <row r="19539">
      <c r="A19539" s="4" t="s">
        <v>24585</v>
      </c>
      <c r="B19539" s="4" t="s">
        <v>24588</v>
      </c>
      <c r="C19539" s="5" t="str">
        <f>IFERROR(__xludf.DUMMYFUNCTION("GOOGLETRANSLATE(B19539,""en"",""fr"")"),"L'homme monte sur le chameau sourit et agite à la caméra.")</f>
        <v>L'homme monte sur le chameau sourit et agite à la caméra.</v>
      </c>
    </row>
    <row r="19540">
      <c r="A19540" s="4" t="s">
        <v>24589</v>
      </c>
      <c r="B19540" s="4" t="s">
        <v>24590</v>
      </c>
      <c r="C19540" s="5" t="str">
        <f>IFERROR(__xludf.DUMMYFUNCTION("GOOGLETRANSLATE(B19540,""en"",""fr"")"),"Un groupe d'athlètes est sur une piste à l'extérieur.")</f>
        <v>Un groupe d'athlètes est sur une piste à l'extérieur.</v>
      </c>
    </row>
    <row r="19541">
      <c r="A19541" s="4" t="s">
        <v>24589</v>
      </c>
      <c r="B19541" s="4" t="s">
        <v>24591</v>
      </c>
      <c r="C19541" s="5" t="str">
        <f>IFERROR(__xludf.DUMMYFUNCTION("GOOGLETRANSLATE(B19541,""en"",""fr"")"),"Un homme marche sur le chemin, puis court.")</f>
        <v>Un homme marche sur le chemin, puis court.</v>
      </c>
    </row>
    <row r="19542">
      <c r="A19542" s="4" t="s">
        <v>24589</v>
      </c>
      <c r="B19542" s="4" t="s">
        <v>24592</v>
      </c>
      <c r="C19542" s="5" t="str">
        <f>IFERROR(__xludf.DUMMYFUNCTION("GOOGLETRANSLATE(B19542,""en"",""fr"")"),"Il fait un saut géant dans un sable.")</f>
        <v>Il fait un saut géant dans un sable.</v>
      </c>
    </row>
    <row r="19543">
      <c r="A19543" s="4" t="s">
        <v>24593</v>
      </c>
      <c r="B19543" s="4" t="s">
        <v>24594</v>
      </c>
      <c r="C19543" s="5" t="str">
        <f>IFERROR(__xludf.DUMMYFUNCTION("GOOGLETRANSLATE(B19543,""en"",""fr"")"),"Un groupe de personnes glacées sur un lac couvert de glace par une journée couverte.")</f>
        <v>Un groupe de personnes glacées sur un lac couvert de glace par une journée couverte.</v>
      </c>
    </row>
    <row r="19544">
      <c r="A19544" s="4" t="s">
        <v>24593</v>
      </c>
      <c r="B19544" s="4" t="s">
        <v>24595</v>
      </c>
      <c r="C19544" s="5" t="str">
        <f>IFERROR(__xludf.DUMMYFUNCTION("GOOGLETRANSLATE(B19544,""en"",""fr"")"),"Un homme marche sur un lac couvert de neige et retire un poisson d'un trou de pêche.")</f>
        <v>Un homme marche sur un lac couvert de neige et retire un poisson d'un trou de pêche.</v>
      </c>
    </row>
    <row r="19545">
      <c r="A19545" s="4" t="s">
        <v>24593</v>
      </c>
      <c r="B19545" s="4" t="s">
        <v>24596</v>
      </c>
      <c r="C19545" s="5" t="str">
        <f>IFERROR(__xludf.DUMMYFUNCTION("GOOGLETRANSLATE(B19545,""en"",""fr"")"),"Une femme et un homme courent ensuite sur la glace et tirent un autre poisson d'un autre trou dans le lac.")</f>
        <v>Une femme et un homme courent ensuite sur la glace et tirent un autre poisson d'un autre trou dans le lac.</v>
      </c>
    </row>
    <row r="19546">
      <c r="A19546" s="4" t="s">
        <v>24593</v>
      </c>
      <c r="B19546" s="4" t="s">
        <v>24597</v>
      </c>
      <c r="C19546" s="5" t="str">
        <f>IFERROR(__xludf.DUMMYFUNCTION("GOOGLETRANSLATE(B19546,""en"",""fr"")"),"Un troisième poisson est retiré d'un autre trou dans la glace, puis jeté dans le trou.")</f>
        <v>Un troisième poisson est retiré d'un autre trou dans la glace, puis jeté dans le trou.</v>
      </c>
    </row>
    <row r="19547">
      <c r="A19547" s="4" t="s">
        <v>24598</v>
      </c>
      <c r="B19547" s="4" t="s">
        <v>24599</v>
      </c>
      <c r="C19547" s="5" t="str">
        <f>IFERROR(__xludf.DUMMYFUNCTION("GOOGLETRANSLATE(B19547,""en"",""fr"")"),"Un homme est assis dans une rue.")</f>
        <v>Un homme est assis dans une rue.</v>
      </c>
    </row>
    <row r="19548">
      <c r="A19548" s="4" t="s">
        <v>24598</v>
      </c>
      <c r="B19548" s="4" t="s">
        <v>24600</v>
      </c>
      <c r="C19548" s="5" t="str">
        <f>IFERROR(__xludf.DUMMYFUNCTION("GOOGLETRANSLATE(B19548,""en"",""fr"")"),"Il joue un instrument à côté d'un boîtier d'instruments ouvert.")</f>
        <v>Il joue un instrument à côté d'un boîtier d'instruments ouvert.</v>
      </c>
    </row>
    <row r="19549">
      <c r="A19549" s="4" t="s">
        <v>24598</v>
      </c>
      <c r="B19549" s="4" t="s">
        <v>24601</v>
      </c>
      <c r="C19549" s="5" t="str">
        <f>IFERROR(__xludf.DUMMYFUNCTION("GOOGLETRANSLATE(B19549,""en"",""fr"")"),"Les gens passent sur le trottoir devant lui.")</f>
        <v>Les gens passent sur le trottoir devant lui.</v>
      </c>
    </row>
    <row r="19550">
      <c r="A19550" s="4" t="s">
        <v>24602</v>
      </c>
      <c r="B19550" s="4" t="s">
        <v>24603</v>
      </c>
      <c r="C19550" s="5" t="str">
        <f>IFERROR(__xludf.DUMMYFUNCTION("GOOGLETRANSLATE(B19550,""en"",""fr"")"),"Un garçon regarde un semi-camion traverser le désert.")</f>
        <v>Un garçon regarde un semi-camion traverser le désert.</v>
      </c>
    </row>
    <row r="19551">
      <c r="A19551" s="4" t="s">
        <v>24602</v>
      </c>
      <c r="B19551" s="4" t="s">
        <v>24604</v>
      </c>
      <c r="C19551" s="5" t="str">
        <f>IFERROR(__xludf.DUMMYFUNCTION("GOOGLETRANSLATE(B19551,""en"",""fr"")"),"Un homme met son casque et pousse dans la rivière sur un kayak.")</f>
        <v>Un homme met son casque et pousse dans la rivière sur un kayak.</v>
      </c>
    </row>
    <row r="19552">
      <c r="A19552" s="4" t="s">
        <v>24602</v>
      </c>
      <c r="B19552" s="4" t="s">
        <v>24605</v>
      </c>
      <c r="C19552" s="5" t="str">
        <f>IFERROR(__xludf.DUMMYFUNCTION("GOOGLETRANSLATE(B19552,""en"",""fr"")"),"Un homme palette sur les rapides et en bas d'une rivière sur un kayak.")</f>
        <v>Un homme palette sur les rapides et en bas d'une rivière sur un kayak.</v>
      </c>
    </row>
    <row r="19553">
      <c r="A19553" s="4" t="s">
        <v>24602</v>
      </c>
      <c r="B19553" s="4" t="s">
        <v>24606</v>
      </c>
      <c r="C19553" s="5" t="str">
        <f>IFERROR(__xludf.DUMMYFUNCTION("GOOGLETRANSLATE(B19553,""en"",""fr"")"),"Un homme pêche une plage sur le rivage d'une rivière.")</f>
        <v>Un homme pêche une plage sur le rivage d'une rivière.</v>
      </c>
    </row>
    <row r="19554">
      <c r="A19554" s="4" t="s">
        <v>24602</v>
      </c>
      <c r="B19554" s="4" t="s">
        <v>24607</v>
      </c>
      <c r="C19554" s="5" t="str">
        <f>IFERROR(__xludf.DUMMYFUNCTION("GOOGLETRANSLATE(B19554,""en"",""fr"")"),"Un groupe prépare un pique-nique sur le rivage.")</f>
        <v>Un groupe prépare un pique-nique sur le rivage.</v>
      </c>
    </row>
    <row r="19555">
      <c r="A19555" s="4" t="s">
        <v>24602</v>
      </c>
      <c r="B19555" s="4" t="s">
        <v>24608</v>
      </c>
      <c r="C19555" s="5" t="str">
        <f>IFERROR(__xludf.DUMMYFUNCTION("GOOGLETRANSLATE(B19555,""en"",""fr"")"),"Un homme se retourne sur son kayak d'être retourné dans l'eau.")</f>
        <v>Un homme se retourne sur son kayak d'être retourné dans l'eau.</v>
      </c>
    </row>
    <row r="19556">
      <c r="A19556" s="4" t="s">
        <v>24609</v>
      </c>
      <c r="B19556" s="4" t="s">
        <v>24610</v>
      </c>
      <c r="C19556" s="5" t="str">
        <f>IFERROR(__xludf.DUMMYFUNCTION("GOOGLETRANSLATE(B19556,""en"",""fr"")"),"Un gars jette des fléchettes à travers la pièce.")</f>
        <v>Un gars jette des fléchettes à travers la pièce.</v>
      </c>
    </row>
    <row r="19557">
      <c r="A19557" s="4" t="s">
        <v>24609</v>
      </c>
      <c r="B19557" s="4" t="s">
        <v>24611</v>
      </c>
      <c r="C19557" s="5" t="str">
        <f>IFERROR(__xludf.DUMMYFUNCTION("GOOGLETRANSLATE(B19557,""en"",""fr"")"),"La vitesse du clip est accélérée.")</f>
        <v>La vitesse du clip est accélérée.</v>
      </c>
    </row>
    <row r="19558">
      <c r="A19558" s="4" t="s">
        <v>24612</v>
      </c>
      <c r="B19558" s="4" t="s">
        <v>24613</v>
      </c>
      <c r="C19558" s="5" t="str">
        <f>IFERROR(__xludf.DUMMYFUNCTION("GOOGLETRANSLATE(B19558,""en"",""fr"")"),"Un homme et une femme se tiennent en position de danse.")</f>
        <v>Un homme et une femme se tiennent en position de danse.</v>
      </c>
    </row>
    <row r="19559">
      <c r="A19559" s="4" t="s">
        <v>24612</v>
      </c>
      <c r="B19559" s="4" t="s">
        <v>24614</v>
      </c>
      <c r="C19559" s="5" t="str">
        <f>IFERROR(__xludf.DUMMYFUNCTION("GOOGLETRANSLATE(B19559,""en"",""fr"")"),"Ils se déplacent ensuite, montrant lentement différentes étapes.")</f>
        <v>Ils se déplacent ensuite, montrant lentement différentes étapes.</v>
      </c>
    </row>
    <row r="19560">
      <c r="A19560" s="4" t="s">
        <v>24612</v>
      </c>
      <c r="B19560" s="4" t="s">
        <v>24615</v>
      </c>
      <c r="C19560" s="5" t="str">
        <f>IFERROR(__xludf.DUMMYFUNCTION("GOOGLETRANSLATE(B19560,""en"",""fr"")"),"Ils continuent de danser, montrant comment effectuer différents mouvements.")</f>
        <v>Ils continuent de danser, montrant comment effectuer différents mouvements.</v>
      </c>
    </row>
    <row r="19561">
      <c r="A19561" s="4" t="s">
        <v>24616</v>
      </c>
      <c r="B19561" s="4" t="s">
        <v>24617</v>
      </c>
      <c r="C19561" s="5" t="str">
        <f>IFERROR(__xludf.DUMMYFUNCTION("GOOGLETRANSLATE(B19561,""en"",""fr"")"),"Un panneau de paletterie est assis contre un mur.")</f>
        <v>Un panneau de paletterie est assis contre un mur.</v>
      </c>
    </row>
    <row r="19562">
      <c r="A19562" s="4" t="s">
        <v>24616</v>
      </c>
      <c r="B19562" s="4" t="s">
        <v>24618</v>
      </c>
      <c r="C19562" s="5" t="str">
        <f>IFERROR(__xludf.DUMMYFUNCTION("GOOGLETRANSLATE(B19562,""en"",""fr"")"),"Quelqu'un jette une balle.")</f>
        <v>Quelqu'un jette une balle.</v>
      </c>
    </row>
    <row r="19563">
      <c r="A19563" s="4" t="s">
        <v>24616</v>
      </c>
      <c r="B19563" s="4" t="s">
        <v>24619</v>
      </c>
      <c r="C19563" s="5" t="str">
        <f>IFERROR(__xludf.DUMMYFUNCTION("GOOGLETRANSLATE(B19563,""en"",""fr"")"),"Une balle verte passe après elle.")</f>
        <v>Une balle verte passe après elle.</v>
      </c>
    </row>
    <row r="19564">
      <c r="A19564" s="4" t="s">
        <v>24620</v>
      </c>
      <c r="B19564" s="4" t="s">
        <v>24621</v>
      </c>
      <c r="C19564" s="5" t="str">
        <f>IFERROR(__xludf.DUMMYFUNCTION("GOOGLETRANSLATE(B19564,""en"",""fr"")"),"La fille tire sur la flèche.")</f>
        <v>La fille tire sur la flèche.</v>
      </c>
    </row>
    <row r="19565">
      <c r="A19565" s="4" t="s">
        <v>24620</v>
      </c>
      <c r="B19565" s="4" t="s">
        <v>24622</v>
      </c>
      <c r="C19565" s="5" t="str">
        <f>IFERROR(__xludf.DUMMYFUNCTION("GOOGLETRANSLATE(B19565,""en"",""fr"")"),"Cinq jeunes tirent des flèches.")</f>
        <v>Cinq jeunes tirent des flèches.</v>
      </c>
    </row>
    <row r="19566">
      <c r="A19566" s="4" t="s">
        <v>24620</v>
      </c>
      <c r="B19566" s="4" t="s">
        <v>24623</v>
      </c>
      <c r="C19566" s="5" t="str">
        <f>IFERROR(__xludf.DUMMYFUNCTION("GOOGLETRANSLATE(B19566,""en"",""fr"")"),"Les jeunes ont retiré les flèches des cartes cibles.")</f>
        <v>Les jeunes ont retiré les flèches des cartes cibles.</v>
      </c>
    </row>
    <row r="19567">
      <c r="A19567" s="4" t="s">
        <v>24624</v>
      </c>
      <c r="B19567" s="4" t="s">
        <v>24625</v>
      </c>
      <c r="C19567" s="5" t="str">
        <f>IFERROR(__xludf.DUMMYFUNCTION("GOOGLETRANSLATE(B19567,""en"",""fr"")"),"Une petite fille joue doucement les tambours tenant deux bâtons pendant qu'elle chante sur un microphone.")</f>
        <v>Une petite fille joue doucement les tambours tenant deux bâtons pendant qu'elle chante sur un microphone.</v>
      </c>
    </row>
    <row r="19568">
      <c r="A19568" s="4" t="s">
        <v>24624</v>
      </c>
      <c r="B19568" s="4" t="s">
        <v>24626</v>
      </c>
      <c r="C19568" s="5" t="str">
        <f>IFERROR(__xludf.DUMMYFUNCTION("GOOGLETRANSLATE(B19568,""en"",""fr"")"),"La, la fille joue plus vite les tambours.")</f>
        <v>La, la fille joue plus vite les tambours.</v>
      </c>
    </row>
    <row r="19569">
      <c r="A19569" s="4" t="s">
        <v>24627</v>
      </c>
      <c r="B19569" s="4" t="s">
        <v>24628</v>
      </c>
      <c r="C19569" s="5" t="str">
        <f>IFERROR(__xludf.DUMMYFUNCTION("GOOGLETRANSLATE(B19569,""en"",""fr"")"),"Une femme est allongée sur une chaise alors qu'un homme avec des gants fonctionne.")</f>
        <v>Une femme est allongée sur une chaise alors qu'un homme avec des gants fonctionne.</v>
      </c>
    </row>
    <row r="19570">
      <c r="A19570" s="4" t="s">
        <v>24627</v>
      </c>
      <c r="B19570" s="4" t="s">
        <v>24629</v>
      </c>
      <c r="C19570" s="5" t="str">
        <f>IFERROR(__xludf.DUMMYFUNCTION("GOOGLETRANSLATE(B19570,""en"",""fr"")"),"Il place des pinces sur différentes parties de son nez.")</f>
        <v>Il place des pinces sur différentes parties de son nez.</v>
      </c>
    </row>
    <row r="19571">
      <c r="A19571" s="4" t="s">
        <v>24627</v>
      </c>
      <c r="B19571" s="4" t="s">
        <v>24630</v>
      </c>
      <c r="C19571" s="5" t="str">
        <f>IFERROR(__xludf.DUMMYFUNCTION("GOOGLETRANSLATE(B19571,""en"",""fr"")"),"Il insère ensuite une tige avant de créer un perçage.")</f>
        <v>Il insère ensuite une tige avant de créer un perçage.</v>
      </c>
    </row>
    <row r="19572">
      <c r="A19572" s="4" t="s">
        <v>24631</v>
      </c>
      <c r="B19572" s="4" t="s">
        <v>24632</v>
      </c>
      <c r="C19572" s="5" t="str">
        <f>IFERROR(__xludf.DUMMYFUNCTION("GOOGLETRANSLATE(B19572,""en"",""fr"")"),"Une personne dans une veste verte se promène sur la neige.")</f>
        <v>Une personne dans une veste verte se promène sur la neige.</v>
      </c>
    </row>
    <row r="19573">
      <c r="A19573" s="4" t="s">
        <v>24631</v>
      </c>
      <c r="B19573" s="4" t="s">
        <v>24633</v>
      </c>
      <c r="C19573" s="5" t="str">
        <f>IFERROR(__xludf.DUMMYFUNCTION("GOOGLETRANSLATE(B19573,""en"",""fr"")"),"Une jeune fille est allongée dans un tube sur la neige.")</f>
        <v>Une jeune fille est allongée dans un tube sur la neige.</v>
      </c>
    </row>
    <row r="19574">
      <c r="A19574" s="4" t="s">
        <v>24631</v>
      </c>
      <c r="B19574" s="4" t="s">
        <v>24634</v>
      </c>
      <c r="C19574" s="5" t="str">
        <f>IFERROR(__xludf.DUMMYFUNCTION("GOOGLETRANSLATE(B19574,""en"",""fr"")"),"Elle est ensuite poussée dans la rampe.")</f>
        <v>Elle est ensuite poussée dans la rampe.</v>
      </c>
    </row>
    <row r="19575">
      <c r="A19575" s="4" t="s">
        <v>24631</v>
      </c>
      <c r="B19575" s="4" t="s">
        <v>24635</v>
      </c>
      <c r="C19575" s="5" t="str">
        <f>IFERROR(__xludf.DUMMYFUNCTION("GOOGLETRANSLATE(B19575,""en"",""fr"")"),"Finalement, elle s'arrête.")</f>
        <v>Finalement, elle s'arrête.</v>
      </c>
    </row>
    <row r="19576">
      <c r="A19576" s="4" t="s">
        <v>24636</v>
      </c>
      <c r="B19576" s="6" t="s">
        <v>24637</v>
      </c>
      <c r="C19576" s="5" t="str">
        <f>IFERROR(__xludf.DUMMYFUNCTION("GOOGLETRANSLATE(B19576,""en"",""fr"")"),"Un homme athlétique est vu debout devant une grande foule, puis descend la piste et saute par-dessus une poutre.")</f>
        <v>Un homme athlétique est vu debout devant une grande foule, puis descend la piste et saute par-dessus une poutre.</v>
      </c>
    </row>
    <row r="19577">
      <c r="A19577" s="4" t="s">
        <v>24636</v>
      </c>
      <c r="B19577" s="4" t="s">
        <v>24638</v>
      </c>
      <c r="C19577" s="5" t="str">
        <f>IFERROR(__xludf.DUMMYFUNCTION("GOOGLETRANSLATE(B19577,""en"",""fr"")"),"L'homme célèbre avec d'autres personnes et son même saut est montré plusieurs fois au ralenti.")</f>
        <v>L'homme célèbre avec d'autres personnes et son même saut est montré plusieurs fois au ralenti.</v>
      </c>
    </row>
    <row r="19578">
      <c r="A19578" s="4" t="s">
        <v>24639</v>
      </c>
      <c r="B19578" s="6" t="s">
        <v>24640</v>
      </c>
      <c r="C19578" s="5" t="str">
        <f>IFERROR(__xludf.DUMMYFUNCTION("GOOGLETRANSLATE(B19578,""en"",""fr"")"),"La vidéo mène à divers texte montré à travers l'écran suivi de pom-pom girls effectuant une routine.")</f>
        <v>La vidéo mène à divers texte montré à travers l'écran suivi de pom-pom girls effectuant une routine.</v>
      </c>
    </row>
    <row r="19579">
      <c r="A19579" s="4" t="s">
        <v>24639</v>
      </c>
      <c r="B19579" s="6" t="s">
        <v>24641</v>
      </c>
      <c r="C19579" s="5" t="str">
        <f>IFERROR(__xludf.DUMMYFUNCTION("GOOGLETRANSLATE(B19579,""en"",""fr"")"),"Plusieurs plans d'interprètes de pointe sont montrés en terminant des cascades impressionnantes et se déplacent sur une scène tandis que d'autres regardent.")</f>
        <v>Plusieurs plans d'interprètes de pointe sont montrés en terminant des cascades impressionnantes et se déplacent sur une scène tandis que d'autres regardent.</v>
      </c>
    </row>
    <row r="19580">
      <c r="A19580" s="4" t="s">
        <v>24642</v>
      </c>
      <c r="B19580" s="6" t="s">
        <v>24643</v>
      </c>
      <c r="C19580" s="5" t="str">
        <f>IFERROR(__xludf.DUMMYFUNCTION("GOOGLETRANSLATE(B19580,""en"",""fr"")"),"Les femmes participent à une compétition de gymnastique faisant des sauts en hauteur dans une salle de gym en toile avec beaucoup de gens rassemblés autour d'eux en les regardant.")</f>
        <v>Les femmes participent à une compétition de gymnastique faisant des sauts en hauteur dans une salle de gym en toile avec beaucoup de gens rassemblés autour d'eux en les regardant.</v>
      </c>
    </row>
    <row r="19581">
      <c r="A19581" s="4" t="s">
        <v>24642</v>
      </c>
      <c r="B19581" s="4" t="s">
        <v>24644</v>
      </c>
      <c r="C19581" s="5" t="str">
        <f>IFERROR(__xludf.DUMMYFUNCTION("GOOGLETRANSLATE(B19581,""en"",""fr"")"),"Les participants sont sur les médailles du podium.")</f>
        <v>Les participants sont sur les médailles du podium.</v>
      </c>
    </row>
    <row r="19582">
      <c r="A19582" s="4" t="s">
        <v>24645</v>
      </c>
      <c r="B19582" s="4" t="s">
        <v>24646</v>
      </c>
      <c r="C19582" s="5" t="str">
        <f>IFERROR(__xludf.DUMMYFUNCTION("GOOGLETRANSLATE(B19582,""en"",""fr"")"),"Un homme peint une clôture alors que l'homme à côté de lui fait la clôture.")</f>
        <v>Un homme peint une clôture alors que l'homme à côté de lui fait la clôture.</v>
      </c>
    </row>
    <row r="19583">
      <c r="A19583" s="4" t="s">
        <v>24645</v>
      </c>
      <c r="B19583" s="4" t="s">
        <v>24647</v>
      </c>
      <c r="C19583" s="5" t="str">
        <f>IFERROR(__xludf.DUMMYFUNCTION("GOOGLETRANSLATE(B19583,""en"",""fr"")"),"Tous deux passent en revue la clôture une deuxième fois.")</f>
        <v>Tous deux passent en revue la clôture une deuxième fois.</v>
      </c>
    </row>
    <row r="19584">
      <c r="A19584" s="4" t="s">
        <v>24645</v>
      </c>
      <c r="B19584" s="4" t="s">
        <v>24648</v>
      </c>
      <c r="C19584" s="5" t="str">
        <f>IFERROR(__xludf.DUMMYFUNCTION("GOOGLETRANSLATE(B19584,""en"",""fr"")"),"Ils le font une troisième fois.")</f>
        <v>Ils le font une troisième fois.</v>
      </c>
    </row>
    <row r="19585">
      <c r="A19585" s="4" t="s">
        <v>24645</v>
      </c>
      <c r="B19585" s="4" t="s">
        <v>24649</v>
      </c>
      <c r="C19585" s="5" t="str">
        <f>IFERROR(__xludf.DUMMYFUNCTION("GOOGLETRANSLATE(B19585,""en"",""fr"")"),"Et ils le font une quatrième fois.")</f>
        <v>Et ils le font une quatrième fois.</v>
      </c>
    </row>
    <row r="19586">
      <c r="A19586" s="4" t="s">
        <v>24645</v>
      </c>
      <c r="B19586" s="4" t="s">
        <v>24650</v>
      </c>
      <c r="C19586" s="5" t="str">
        <f>IFERROR(__xludf.DUMMYFUNCTION("GOOGLETRANSLATE(B19586,""en"",""fr"")"),"Ils le font une cinquième fois.")</f>
        <v>Ils le font une cinquième fois.</v>
      </c>
    </row>
    <row r="19587">
      <c r="A19587" s="4" t="s">
        <v>24651</v>
      </c>
      <c r="B19587" s="4" t="s">
        <v>24652</v>
      </c>
      <c r="C19587" s="5" t="str">
        <f>IFERROR(__xludf.DUMMYFUNCTION("GOOGLETRANSLATE(B19587,""en"",""fr"")"),"Un travailleur de la construction nommé Dave commence à vous montrer comment couler.")</f>
        <v>Un travailleur de la construction nommé Dave commence à vous montrer comment couler.</v>
      </c>
    </row>
    <row r="19588">
      <c r="A19588" s="4" t="s">
        <v>24651</v>
      </c>
      <c r="B19588" s="4" t="s">
        <v>24653</v>
      </c>
      <c r="C19588" s="5" t="str">
        <f>IFERROR(__xludf.DUMMYFUNCTION("GOOGLETRANSLATE(B19588,""en"",""fr"")"),"Il commence sur le mur et commence à expliquer ce qu'il fait et pourquoi il fait.")</f>
        <v>Il commence sur le mur et commence à expliquer ce qu'il fait et pourquoi il fait.</v>
      </c>
    </row>
    <row r="19589">
      <c r="A19589" s="4" t="s">
        <v>24651</v>
      </c>
      <c r="B19589" s="6" t="s">
        <v>24654</v>
      </c>
      <c r="C19589" s="5" t="str">
        <f>IFERROR(__xludf.DUMMYFUNCTION("GOOGLETRANSLATE(B19589,""en"",""fr"")"),"Une fois que le coulis commence à sécher, il vous informe que vous devez l'essuyer avec une éponge à plusieurs reprises.")</f>
        <v>Une fois que le coulis commence à sécher, il vous informe que vous devez l'essuyer avec une éponge à plusieurs reprises.</v>
      </c>
    </row>
    <row r="19590">
      <c r="A19590" s="4" t="s">
        <v>24651</v>
      </c>
      <c r="B19590" s="6" t="s">
        <v>24655</v>
      </c>
      <c r="C19590" s="5" t="str">
        <f>IFERROR(__xludf.DUMMYFUNCTION("GOOGLETRANSLATE(B19590,""en"",""fr"")"),"Avec une éponge plus fine, vous le passez à nouveau et le sortez tout en mouillant afin qu'il ne gâche pas la tuile et tout le travail que vous avez fait.")</f>
        <v>Avec une éponge plus fine, vous le passez à nouveau et le sortez tout en mouillant afin qu'il ne gâche pas la tuile et tout le travail que vous avez fait.</v>
      </c>
    </row>
    <row r="19591">
      <c r="A19591" s="4" t="s">
        <v>24656</v>
      </c>
      <c r="B19591" s="4" t="s">
        <v>24657</v>
      </c>
      <c r="C19591" s="5" t="str">
        <f>IFERROR(__xludf.DUMMYFUNCTION("GOOGLETRANSLATE(B19591,""en"",""fr"")"),"Un homme est vu portant des gants de boxe et frappant un sac au milieu d'une grande pièce.")</f>
        <v>Un homme est vu portant des gants de boxe et frappant un sac au milieu d'une grande pièce.</v>
      </c>
    </row>
    <row r="19592">
      <c r="A19592" s="4" t="s">
        <v>24656</v>
      </c>
      <c r="B19592" s="4" t="s">
        <v>24658</v>
      </c>
      <c r="C19592" s="5" t="str">
        <f>IFERROR(__xludf.DUMMYFUNCTION("GOOGLETRANSLATE(B19592,""en"",""fr"")"),"L'homme continue de frapper le sac tandis que plusieurs autres sont vus frapper des sacs en arrière-plan.")</f>
        <v>L'homme continue de frapper le sac tandis que plusieurs autres sont vus frapper des sacs en arrière-plan.</v>
      </c>
    </row>
    <row r="19593">
      <c r="A19593" s="4" t="s">
        <v>24656</v>
      </c>
      <c r="B19593" s="4" t="s">
        <v>24659</v>
      </c>
      <c r="C19593" s="5" t="str">
        <f>IFERROR(__xludf.DUMMYFUNCTION("GOOGLETRANSLATE(B19593,""en"",""fr"")"),"Il donne des coups de pied et frappe le sac et se termine en marchant vers la caméra.")</f>
        <v>Il donne des coups de pied et frappe le sac et se termine en marchant vers la caméra.</v>
      </c>
    </row>
    <row r="19594">
      <c r="A19594" s="4" t="s">
        <v>24660</v>
      </c>
      <c r="B19594" s="4" t="s">
        <v>24661</v>
      </c>
      <c r="C19594" s="5" t="str">
        <f>IFERROR(__xludf.DUMMYFUNCTION("GOOGLETRANSLATE(B19594,""en"",""fr"")"),"Un volleyball tourne sur un rebord.")</f>
        <v>Un volleyball tourne sur un rebord.</v>
      </c>
    </row>
    <row r="19595">
      <c r="A19595" s="4" t="s">
        <v>24660</v>
      </c>
      <c r="B19595" s="6" t="s">
        <v>24662</v>
      </c>
      <c r="C19595" s="5" t="str">
        <f>IFERROR(__xludf.DUMMYFUNCTION("GOOGLETRANSLATE(B19595,""en"",""fr"")"),"Nous voyons ensuite un jeu joué du tennis de table, les joueurs montrant la mécanique de la pagaie, du ballon et de la table pendant qu'ils jouent.")</f>
        <v>Nous voyons ensuite un jeu joué du tennis de table, les joueurs montrant la mécanique de la pagaie, du ballon et de la table pendant qu'ils jouent.</v>
      </c>
    </row>
    <row r="19596">
      <c r="A19596" s="4" t="s">
        <v>24663</v>
      </c>
      <c r="B19596" s="4" t="s">
        <v>24664</v>
      </c>
      <c r="C19596" s="5" t="str">
        <f>IFERROR(__xludf.DUMMYFUNCTION("GOOGLETRANSLATE(B19596,""en"",""fr"")"),"Un homme debout dans une cour et jouant à la cornemuse.")</f>
        <v>Un homme debout dans une cour et jouant à la cornemuse.</v>
      </c>
    </row>
    <row r="19597">
      <c r="A19597" s="4" t="s">
        <v>24663</v>
      </c>
      <c r="B19597" s="4" t="s">
        <v>24665</v>
      </c>
      <c r="C19597" s="5" t="str">
        <f>IFERROR(__xludf.DUMMYFUNCTION("GOOGLETRANSLATE(B19597,""en"",""fr"")"),"L'homme prend des respirations profondes et déplace les clés.")</f>
        <v>L'homme prend des respirations profondes et déplace les clés.</v>
      </c>
    </row>
    <row r="19598">
      <c r="A19598" s="4" t="s">
        <v>24666</v>
      </c>
      <c r="B19598" s="4" t="s">
        <v>24667</v>
      </c>
      <c r="C19598" s="5" t="str">
        <f>IFERROR(__xludf.DUMMYFUNCTION("GOOGLETRANSLATE(B19598,""en"",""fr"")"),"Deux individus jouent à la courge ensemble dans une cour intérieure.")</f>
        <v>Deux individus jouent à la courge ensemble dans une cour intérieure.</v>
      </c>
    </row>
    <row r="19599">
      <c r="A19599" s="4" t="s">
        <v>24666</v>
      </c>
      <c r="B19599" s="4" t="s">
        <v>24668</v>
      </c>
      <c r="C19599" s="5" t="str">
        <f>IFERROR(__xludf.DUMMYFUNCTION("GOOGLETRANSLATE(B19599,""en"",""fr"")"),"L'un des individus récupère le ballon et sert.")</f>
        <v>L'un des individus récupère le ballon et sert.</v>
      </c>
    </row>
    <row r="19600">
      <c r="A19600" s="4" t="s">
        <v>24666</v>
      </c>
      <c r="B19600" s="4" t="s">
        <v>24669</v>
      </c>
      <c r="C19600" s="5" t="str">
        <f>IFERROR(__xludf.DUMMYFUNCTION("GOOGLETRANSLATE(B19600,""en"",""fr"")"),"Le même individu récupère le ballon et sert à nouveau.")</f>
        <v>Le même individu récupère le ballon et sert à nouveau.</v>
      </c>
    </row>
    <row r="19601">
      <c r="A19601" s="4" t="s">
        <v>24670</v>
      </c>
      <c r="B19601" s="4" t="s">
        <v>24671</v>
      </c>
      <c r="C19601" s="5" t="str">
        <f>IFERROR(__xludf.DUMMYFUNCTION("GOOGLETRANSLATE(B19601,""en"",""fr"")"),"Les gens montent sur une colline dans une station de tubes.")</f>
        <v>Les gens montent sur une colline dans une station de tubes.</v>
      </c>
    </row>
    <row r="19602">
      <c r="A19602" s="4" t="s">
        <v>24670</v>
      </c>
      <c r="B19602" s="4" t="s">
        <v>24672</v>
      </c>
      <c r="C19602" s="5" t="str">
        <f>IFERROR(__xludf.DUMMYFUNCTION("GOOGLETRANSLATE(B19602,""en"",""fr"")"),"Une personne monte un tube en bas d'une colline.")</f>
        <v>Une personne monte un tube en bas d'une colline.</v>
      </c>
    </row>
    <row r="19603">
      <c r="A19603" s="4" t="s">
        <v>24670</v>
      </c>
      <c r="B19603" s="4" t="s">
        <v>24673</v>
      </c>
      <c r="C19603" s="5" t="str">
        <f>IFERROR(__xludf.DUMMYFUNCTION("GOOGLETRANSLATE(B19603,""en"",""fr"")"),"Nous regardons les gens monter sur la colline en tenant leurs tubes et en regardant les gens descendre la colline.")</f>
        <v>Nous regardons les gens monter sur la colline en tenant leurs tubes et en regardant les gens descendre la colline.</v>
      </c>
    </row>
    <row r="19604">
      <c r="A19604" s="4" t="s">
        <v>24670</v>
      </c>
      <c r="B19604" s="4" t="s">
        <v>24674</v>
      </c>
      <c r="C19604" s="5" t="str">
        <f>IFERROR(__xludf.DUMMYFUNCTION("GOOGLETRANSLATE(B19604,""en"",""fr"")"),"Nous regardons l'homme de la caméra descendre la colline.")</f>
        <v>Nous regardons l'homme de la caméra descendre la colline.</v>
      </c>
    </row>
    <row r="19605">
      <c r="A19605" s="4" t="s">
        <v>24670</v>
      </c>
      <c r="B19605" s="4" t="s">
        <v>3608</v>
      </c>
      <c r="C19605" s="5" t="str">
        <f>IFERROR(__xludf.DUMMYFUNCTION("GOOGLETRANSLATE(B19605,""en"",""fr"")"),"Nous voyons l'écran de fin.")</f>
        <v>Nous voyons l'écran de fin.</v>
      </c>
    </row>
    <row r="19606">
      <c r="A19606" s="4" t="s">
        <v>24675</v>
      </c>
      <c r="B19606" s="4" t="s">
        <v>24676</v>
      </c>
      <c r="C19606" s="5" t="str">
        <f>IFERROR(__xludf.DUMMYFUNCTION("GOOGLETRANSLATE(B19606,""en"",""fr"")"),"Une fille se tient près d'un comptoir avec divers aliments placés sur le comptoir.")</f>
        <v>Une fille se tient près d'un comptoir avec divers aliments placés sur le comptoir.</v>
      </c>
    </row>
    <row r="19607">
      <c r="A19607" s="4" t="s">
        <v>24675</v>
      </c>
      <c r="B19607" s="4" t="s">
        <v>24677</v>
      </c>
      <c r="C19607" s="5" t="str">
        <f>IFERROR(__xludf.DUMMYFUNCTION("GOOGLETRANSLATE(B19607,""en"",""fr"")"),"Elle accueille les ingrédients et instruit ce que vous aurez besoin pour faire un sandwich.")</f>
        <v>Elle accueille les ingrédients et instruit ce que vous aurez besoin pour faire un sandwich.</v>
      </c>
    </row>
    <row r="19608">
      <c r="A19608" s="4" t="s">
        <v>24675</v>
      </c>
      <c r="B19608" s="4" t="s">
        <v>24678</v>
      </c>
      <c r="C19608" s="5" t="str">
        <f>IFERROR(__xludf.DUMMYFUNCTION("GOOGLETRANSLATE(B19608,""en"",""fr"")"),"Elle commence à couper les légumes et à mettre la vinaigrette sur le pain.")</f>
        <v>Elle commence à couper les légumes et à mettre la vinaigrette sur le pain.</v>
      </c>
    </row>
    <row r="19609">
      <c r="A19609" s="4" t="s">
        <v>24675</v>
      </c>
      <c r="B19609" s="4" t="s">
        <v>24679</v>
      </c>
      <c r="C19609" s="5" t="str">
        <f>IFERROR(__xludf.DUMMYFUNCTION("GOOGLETRANSLATE(B19609,""en"",""fr"")"),"Elle se propage autour de la vinaigrette et met les autres ingrédients sur le sandwich pour terminer.")</f>
        <v>Elle se propage autour de la vinaigrette et met les autres ingrédients sur le sandwich pour terminer.</v>
      </c>
    </row>
    <row r="19610">
      <c r="A19610" s="4" t="s">
        <v>24680</v>
      </c>
      <c r="B19610" s="4" t="s">
        <v>24681</v>
      </c>
      <c r="C19610" s="5" t="str">
        <f>IFERROR(__xludf.DUMMYFUNCTION("GOOGLETRANSLATE(B19610,""en"",""fr"")"),"Nous voyons le titre traverser l'écran.")</f>
        <v>Nous voyons le titre traverser l'écran.</v>
      </c>
    </row>
    <row r="19611">
      <c r="A19611" s="4" t="s">
        <v>24680</v>
      </c>
      <c r="B19611" s="4" t="s">
        <v>24682</v>
      </c>
      <c r="C19611" s="5" t="str">
        <f>IFERROR(__xludf.DUMMYFUNCTION("GOOGLETRANSLATE(B19611,""en"",""fr"")"),"Nous voyons des fournitures de cuisson et des ingrédients.")</f>
        <v>Nous voyons des fournitures de cuisson et des ingrédients.</v>
      </c>
    </row>
    <row r="19612">
      <c r="A19612" s="4" t="s">
        <v>24680</v>
      </c>
      <c r="B19612" s="4" t="s">
        <v>24683</v>
      </c>
      <c r="C19612" s="5" t="str">
        <f>IFERROR(__xludf.DUMMYFUNCTION("GOOGLETRANSLATE(B19612,""en"",""fr"")"),"Quelqu'un remue de la pâte à biscuits et met des cookies sur une feuille.")</f>
        <v>Quelqu'un remue de la pâte à biscuits et met des cookies sur une feuille.</v>
      </c>
    </row>
    <row r="19613">
      <c r="A19613" s="4" t="s">
        <v>24680</v>
      </c>
      <c r="B19613" s="4" t="s">
        <v>24684</v>
      </c>
      <c r="C19613" s="5" t="str">
        <f>IFERROR(__xludf.DUMMYFUNCTION("GOOGLETRANSLATE(B19613,""en"",""fr"")"),"Les cookies entrent dans le four et cuireont pendant 9 minutes, et un nouveau lot est mis au four.")</f>
        <v>Les cookies entrent dans le four et cuireont pendant 9 minutes, et un nouveau lot est mis au four.</v>
      </c>
    </row>
    <row r="19614">
      <c r="A19614" s="4" t="s">
        <v>24680</v>
      </c>
      <c r="B19614" s="4" t="s">
        <v>24685</v>
      </c>
      <c r="C19614" s="5" t="str">
        <f>IFERROR(__xludf.DUMMYFUNCTION("GOOGLETRANSLATE(B19614,""en"",""fr"")"),"Les biscuits chauds sont placés sur une grille de refroidissement.")</f>
        <v>Les biscuits chauds sont placés sur une grille de refroidissement.</v>
      </c>
    </row>
    <row r="19615">
      <c r="A19615" s="4" t="s">
        <v>24680</v>
      </c>
      <c r="B19615" s="4" t="s">
        <v>24686</v>
      </c>
      <c r="C19615" s="5" t="str">
        <f>IFERROR(__xludf.DUMMYFUNCTION("GOOGLETRANSLATE(B19615,""en"",""fr"")"),"La personne se lave et Drys la plaque à pâtisserie en silicone.")</f>
        <v>La personne se lave et Drys la plaque à pâtisserie en silicone.</v>
      </c>
    </row>
    <row r="19616">
      <c r="A19616" s="4" t="s">
        <v>24680</v>
      </c>
      <c r="B19616" s="4" t="s">
        <v>24687</v>
      </c>
      <c r="C19616" s="5" t="str">
        <f>IFERROR(__xludf.DUMMYFUNCTION("GOOGLETRANSLATE(B19616,""en"",""fr"")"),"Ils roulent la plaque à pâtisserie et nous montrent les cookies de refroidissement finis.")</f>
        <v>Ils roulent la plaque à pâtisserie et nous montrent les cookies de refroidissement finis.</v>
      </c>
    </row>
    <row r="19617">
      <c r="A19617" s="4" t="s">
        <v>24688</v>
      </c>
      <c r="B19617" s="4" t="s">
        <v>24689</v>
      </c>
      <c r="C19617" s="5" t="str">
        <f>IFERROR(__xludf.DUMMYFUNCTION("GOOGLETRANSLATE(B19617,""en"",""fr"")"),"Un homme se tient sur un champ ouvert à l'extérieur.")</f>
        <v>Un homme se tient sur un champ ouvert à l'extérieur.</v>
      </c>
    </row>
    <row r="19618">
      <c r="A19618" s="4" t="s">
        <v>24688</v>
      </c>
      <c r="B19618" s="4" t="s">
        <v>24690</v>
      </c>
      <c r="C19618" s="5" t="str">
        <f>IFERROR(__xludf.DUMMYFUNCTION("GOOGLETRANSLATE(B19618,""en"",""fr"")"),"Il utilise un ensemble de tir à l'arc pour reculer et fléger sur un disque volant.")</f>
        <v>Il utilise un ensemble de tir à l'arc pour reculer et fléger sur un disque volant.</v>
      </c>
    </row>
    <row r="19619">
      <c r="A19619" s="4" t="s">
        <v>24688</v>
      </c>
      <c r="B19619" s="4" t="s">
        <v>24691</v>
      </c>
      <c r="C19619" s="5" t="str">
        <f>IFERROR(__xludf.DUMMYFUNCTION("GOOGLETRANSLATE(B19619,""en"",""fr"")"),"Il frappe les disques avec la flèche à chaque fois.")</f>
        <v>Il frappe les disques avec la flèche à chaque fois.</v>
      </c>
    </row>
    <row r="19620">
      <c r="A19620" s="4" t="s">
        <v>24692</v>
      </c>
      <c r="B19620" s="4" t="s">
        <v>24693</v>
      </c>
      <c r="C19620" s="5" t="str">
        <f>IFERROR(__xludf.DUMMYFUNCTION("GOOGLETRANSLATE(B19620,""en"",""fr"")"),"Une caméra est montrée assise sur le côté d'une piscine capturant la bulle en dessous.")</f>
        <v>Une caméra est montrée assise sur le côté d'une piscine capturant la bulle en dessous.</v>
      </c>
    </row>
    <row r="19621">
      <c r="A19621" s="4" t="s">
        <v>24692</v>
      </c>
      <c r="B19621" s="4" t="s">
        <v>24694</v>
      </c>
      <c r="C19621" s="5" t="str">
        <f>IFERROR(__xludf.DUMMYFUNCTION("GOOGLETRANSLATE(B19621,""en"",""fr"")"),"Plus de bulles sont montrées suivies par un homme qui sautait.")</f>
        <v>Plus de bulles sont montrées suivies par un homme qui sautait.</v>
      </c>
    </row>
    <row r="19622">
      <c r="A19622" s="4" t="s">
        <v>24692</v>
      </c>
      <c r="B19622" s="4" t="s">
        <v>24695</v>
      </c>
      <c r="C19622" s="5" t="str">
        <f>IFERROR(__xludf.DUMMYFUNCTION("GOOGLETRANSLATE(B19622,""en"",""fr"")"),"L'homme saute jusqu'à la piscine et la caméra capture ses mouvements.")</f>
        <v>L'homme saute jusqu'à la piscine et la caméra capture ses mouvements.</v>
      </c>
    </row>
    <row r="19623">
      <c r="A19623" s="4" t="s">
        <v>24696</v>
      </c>
      <c r="B19623" s="4" t="s">
        <v>24697</v>
      </c>
      <c r="C19623" s="5" t="str">
        <f>IFERROR(__xludf.DUMMYFUNCTION("GOOGLETRANSLATE(B19623,""en"",""fr"")"),"Une femme dans une chemise orange est assise sur une machine d'exercice.")</f>
        <v>Une femme dans une chemise orange est assise sur une machine d'exercice.</v>
      </c>
    </row>
    <row r="19624">
      <c r="A19624" s="4" t="s">
        <v>24696</v>
      </c>
      <c r="B19624" s="4" t="s">
        <v>6016</v>
      </c>
      <c r="C19624" s="5" t="str">
        <f>IFERROR(__xludf.DUMMYFUNCTION("GOOGLETRANSLATE(B19624,""en"",""fr"")"),"Elle commence à travailler sur la machine d'exercice.")</f>
        <v>Elle commence à travailler sur la machine d'exercice.</v>
      </c>
    </row>
    <row r="19625">
      <c r="A19625" s="4" t="s">
        <v>24696</v>
      </c>
      <c r="B19625" s="4" t="s">
        <v>24698</v>
      </c>
      <c r="C19625" s="5" t="str">
        <f>IFERROR(__xludf.DUMMYFUNCTION("GOOGLETRANSLATE(B19625,""en"",""fr"")"),"Les gens passent devant une fenêtre derrière elle.")</f>
        <v>Les gens passent devant une fenêtre derrière elle.</v>
      </c>
    </row>
    <row r="19626">
      <c r="A19626" s="4" t="s">
        <v>24699</v>
      </c>
      <c r="B19626" s="4" t="s">
        <v>24700</v>
      </c>
      <c r="C19626" s="5" t="str">
        <f>IFERROR(__xludf.DUMMYFUNCTION("GOOGLETRANSLATE(B19626,""en"",""fr"")"),"Un homme s'agenouille dans la saleté sur un bol en argent plein de savon.")</f>
        <v>Un homme s'agenouille dans la saleté sur un bol en argent plein de savon.</v>
      </c>
    </row>
    <row r="19627">
      <c r="A19627" s="4" t="s">
        <v>24699</v>
      </c>
      <c r="B19627" s="4" t="s">
        <v>24701</v>
      </c>
      <c r="C19627" s="5" t="str">
        <f>IFERROR(__xludf.DUMMYFUNCTION("GOOGLETRANSLATE(B19627,""en"",""fr"")"),"Dans le grand bol, il commence à déplacer une chemise blanche comme s'il la lave.")</f>
        <v>Dans le grand bol, il commence à déplacer une chemise blanche comme s'il la lave.</v>
      </c>
    </row>
    <row r="19628">
      <c r="A19628" s="4" t="s">
        <v>24699</v>
      </c>
      <c r="B19628" s="4" t="s">
        <v>24702</v>
      </c>
      <c r="C19628" s="5" t="str">
        <f>IFERROR(__xludf.DUMMYFUNCTION("GOOGLETRANSLATE(B19628,""en"",""fr"")"),"Enfin, il s'arrête et prend un tuyau pour finir de rincer l'eau.")</f>
        <v>Enfin, il s'arrête et prend un tuyau pour finir de rincer l'eau.</v>
      </c>
    </row>
    <row r="19629">
      <c r="A19629" s="4" t="s">
        <v>24703</v>
      </c>
      <c r="B19629" s="6" t="s">
        <v>24704</v>
      </c>
      <c r="C19629" s="5" t="str">
        <f>IFERROR(__xludf.DUMMYFUNCTION("GOOGLETRANSLATE(B19629,""en"",""fr"")"),"Une main de personne est vue en train de tourner un bouton suivi par son pied marchant sur un bouton et un homme tenant un fer.")</f>
        <v>Une main de personne est vue en train de tourner un bouton suivi par son pied marchant sur un bouton et un homme tenant un fer.</v>
      </c>
    </row>
    <row r="19630">
      <c r="A19630" s="4" t="s">
        <v>24703</v>
      </c>
      <c r="B19630" s="4" t="s">
        <v>24705</v>
      </c>
      <c r="C19630" s="5" t="str">
        <f>IFERROR(__xludf.DUMMYFUNCTION("GOOGLETRANSLATE(B19630,""en"",""fr"")"),"Il ajuste plus de paramètres lors du test du fer et commence à repasser une chemise sur une table.")</f>
        <v>Il ajuste plus de paramètres lors du test du fer et commence à repasser une chemise sur une table.</v>
      </c>
    </row>
    <row r="19631">
      <c r="A19631" s="4" t="s">
        <v>24703</v>
      </c>
      <c r="B19631" s="6" t="s">
        <v>24706</v>
      </c>
      <c r="C19631" s="5" t="str">
        <f>IFERROR(__xludf.DUMMYFUNCTION("GOOGLETRANSLATE(B19631,""en"",""fr"")"),"Les hommes continuent de basculer autour de la chemise et du fer et en en montrant la machine à repasser à la caméra.")</f>
        <v>Les hommes continuent de basculer autour de la chemise et du fer et en en montrant la machine à repasser à la caméra.</v>
      </c>
    </row>
    <row r="19632">
      <c r="A19632" s="4" t="s">
        <v>24707</v>
      </c>
      <c r="B19632" s="4" t="s">
        <v>24708</v>
      </c>
      <c r="C19632" s="5" t="str">
        <f>IFERROR(__xludf.DUMMYFUNCTION("GOOGLETRANSLATE(B19632,""en"",""fr"")"),"Un homme s'assoit derrière un ensemble de batterie.")</f>
        <v>Un homme s'assoit derrière un ensemble de batterie.</v>
      </c>
    </row>
    <row r="19633">
      <c r="A19633" s="4" t="s">
        <v>24707</v>
      </c>
      <c r="B19633" s="4" t="s">
        <v>24709</v>
      </c>
      <c r="C19633" s="5" t="str">
        <f>IFERROR(__xludf.DUMMYFUNCTION("GOOGLETRANSLATE(B19633,""en"",""fr"")"),"L'homme commence à jouer de la batterie.")</f>
        <v>L'homme commence à jouer de la batterie.</v>
      </c>
    </row>
    <row r="19634">
      <c r="A19634" s="4" t="s">
        <v>24707</v>
      </c>
      <c r="B19634" s="4" t="s">
        <v>24710</v>
      </c>
      <c r="C19634" s="5" t="str">
        <f>IFERROR(__xludf.DUMMYFUNCTION("GOOGLETRANSLATE(B19634,""en"",""fr"")"),"L'homme continue de jouer de la batterie.")</f>
        <v>L'homme continue de jouer de la batterie.</v>
      </c>
    </row>
    <row r="19635">
      <c r="A19635" s="4" t="s">
        <v>24711</v>
      </c>
      <c r="B19635" s="4" t="s">
        <v>24712</v>
      </c>
      <c r="C19635" s="5" t="str">
        <f>IFERROR(__xludf.DUMMYFUNCTION("GOOGLETRANSLATE(B19635,""en"",""fr"")"),"Deux filles sont vues debout sur un sol de gymnase devant une grande foule.")</f>
        <v>Deux filles sont vues debout sur un sol de gymnase devant une grande foule.</v>
      </c>
    </row>
    <row r="19636">
      <c r="A19636" s="4" t="s">
        <v>24711</v>
      </c>
      <c r="B19636" s="4" t="s">
        <v>24713</v>
      </c>
      <c r="C19636" s="5" t="str">
        <f>IFERROR(__xludf.DUMMYFUNCTION("GOOGLETRANSLATE(B19636,""en"",""fr"")"),"Les filles commencent alors à danser dans la région tout en faisant tournoyer des matraques dans leurs mains.")</f>
        <v>Les filles commencent alors à danser dans la région tout en faisant tournoyer des matraques dans leurs mains.</v>
      </c>
    </row>
    <row r="19637">
      <c r="A19637" s="4" t="s">
        <v>24711</v>
      </c>
      <c r="B19637" s="4" t="s">
        <v>24714</v>
      </c>
      <c r="C19637" s="5" t="str">
        <f>IFERROR(__xludf.DUMMYFUNCTION("GOOGLETRANSLATE(B19637,""en"",""fr"")"),"Ils continuent de se tourner autour des autres et de se terminer en tenant une pose.")</f>
        <v>Ils continuent de se tourner autour des autres et de se terminer en tenant une pose.</v>
      </c>
    </row>
    <row r="19638">
      <c r="A19638" s="4" t="s">
        <v>24715</v>
      </c>
      <c r="B19638" s="4" t="s">
        <v>24716</v>
      </c>
      <c r="C19638" s="5" t="str">
        <f>IFERROR(__xludf.DUMMYFUNCTION("GOOGLETRANSLATE(B19638,""en"",""fr"")"),"Il y a un homme qui skie sur une pente de montagne très raide.")</f>
        <v>Il y a un homme qui skie sur une pente de montagne très raide.</v>
      </c>
    </row>
    <row r="19639">
      <c r="A19639" s="4" t="s">
        <v>24715</v>
      </c>
      <c r="B19639" s="4" t="s">
        <v>24717</v>
      </c>
      <c r="C19639" s="5" t="str">
        <f>IFERROR(__xludf.DUMMYFUNCTION("GOOGLETRANSLATE(B19639,""en"",""fr"")"),"L'homme descend très rapidement et régulièrement alors qu'il était entièrement vêtu d'équipement de ski et de lunettes.")</f>
        <v>L'homme descend très rapidement et régulièrement alors qu'il était entièrement vêtu d'équipement de ski et de lunettes.</v>
      </c>
    </row>
    <row r="19640">
      <c r="A19640" s="4" t="s">
        <v>24715</v>
      </c>
      <c r="B19640" s="4" t="s">
        <v>24718</v>
      </c>
      <c r="C19640" s="5" t="str">
        <f>IFERROR(__xludf.DUMMYFUNCTION("GOOGLETRANSLATE(B19640,""en"",""fr"")"),"Il tombe ensuite au sol alors qu'il atteint le bas de la pente.")</f>
        <v>Il tombe ensuite au sol alors qu'il atteint le bas de la pente.</v>
      </c>
    </row>
    <row r="19641">
      <c r="A19641" s="4" t="s">
        <v>24715</v>
      </c>
      <c r="B19641" s="4" t="s">
        <v>24719</v>
      </c>
      <c r="C19641" s="5" t="str">
        <f>IFERROR(__xludf.DUMMYFUNCTION("GOOGLETRANSLATE(B19641,""en"",""fr"")"),"Il remonte et pousse la neige de ses vêtements.")</f>
        <v>Il remonte et pousse la neige de ses vêtements.</v>
      </c>
    </row>
    <row r="19642">
      <c r="A19642" s="4" t="s">
        <v>24715</v>
      </c>
      <c r="B19642" s="6" t="s">
        <v>24720</v>
      </c>
      <c r="C19642" s="5" t="str">
        <f>IFERROR(__xludf.DUMMYFUNCTION("GOOGLETRANSLATE(B19642,""en"",""fr"")"),"Il parle à une autre personne à travers un appareil mains libres attaché sur son manteau pour lui faire savoir qu'il va bien.")</f>
        <v>Il parle à une autre personne à travers un appareil mains libres attaché sur son manteau pour lui faire savoir qu'il va bien.</v>
      </c>
    </row>
    <row r="19643">
      <c r="A19643" s="4" t="s">
        <v>24721</v>
      </c>
      <c r="B19643" s="4" t="s">
        <v>24722</v>
      </c>
      <c r="C19643" s="5" t="str">
        <f>IFERROR(__xludf.DUMMYFUNCTION("GOOGLETRANSLATE(B19643,""en"",""fr"")"),"Une image d'une fille avec son vlog demandant aux gens de s'abonner.")</f>
        <v>Une image d'une fille avec son vlog demandant aux gens de s'abonner.</v>
      </c>
    </row>
    <row r="19644">
      <c r="A19644" s="4" t="s">
        <v>24721</v>
      </c>
      <c r="B19644" s="6" t="s">
        <v>24723</v>
      </c>
      <c r="C19644" s="5" t="str">
        <f>IFERROR(__xludf.DUMMYFUNCTION("GOOGLETRANSLATE(B19644,""en"",""fr"")"),"Une fille portant une hurante rouge avec son visage est assise sur un salon et lit des tweets et en parle.")</f>
        <v>Une fille portant une hurante rouge avec son visage est assise sur un salon et lit des tweets et en parle.</v>
      </c>
    </row>
    <row r="19645">
      <c r="A19645" s="4" t="s">
        <v>24721</v>
      </c>
      <c r="B19645" s="4" t="s">
        <v>24724</v>
      </c>
      <c r="C19645" s="5" t="str">
        <f>IFERROR(__xludf.DUMMYFUNCTION("GOOGLETRANSLATE(B19645,""en"",""fr"")"),"Girl tient une petite citrouille et un couteau et coupe la citrouille en parlant.")</f>
        <v>Girl tient une petite citrouille et un couteau et coupe la citrouille en parlant.</v>
      </c>
    </row>
    <row r="19646">
      <c r="A19646" s="4" t="s">
        <v>24721</v>
      </c>
      <c r="B19646" s="4" t="s">
        <v>24725</v>
      </c>
      <c r="C19646" s="5" t="str">
        <f>IFERROR(__xludf.DUMMYFUNCTION("GOOGLETRANSLATE(B19646,""en"",""fr"")"),"La pumkkin est en tranche en deux et est montrée à l'intérieur pendant que la fille Keps parle et lise des tweets.")</f>
        <v>La pumkkin est en tranche en deux et est montrée à l'intérieur pendant que la fille Keps parle et lise des tweets.</v>
      </c>
    </row>
    <row r="19647">
      <c r="A19647" s="4" t="s">
        <v>24726</v>
      </c>
      <c r="B19647" s="4" t="s">
        <v>24727</v>
      </c>
      <c r="C19647" s="5" t="str">
        <f>IFERROR(__xludf.DUMMYFUNCTION("GOOGLETRANSLATE(B19647,""en"",""fr"")"),"Une femme est vue dans le ventre danser sur une grande scène tandis que les gens la regardent sur le côté.")</f>
        <v>Une femme est vue dans le ventre danser sur une grande scène tandis que les gens la regardent sur le côté.</v>
      </c>
    </row>
    <row r="19648">
      <c r="A19648" s="4" t="s">
        <v>24726</v>
      </c>
      <c r="B19648" s="4" t="s">
        <v>24728</v>
      </c>
      <c r="C19648" s="5" t="str">
        <f>IFERROR(__xludf.DUMMYFUNCTION("GOOGLETRANSLATE(B19648,""en"",""fr"")"),"Elle déplace ses hanches tout autour pendant qu'un groupe joue des instruments derrière elle.")</f>
        <v>Elle déplace ses hanches tout autour pendant qu'un groupe joue des instruments derrière elle.</v>
      </c>
    </row>
    <row r="19649">
      <c r="A19649" s="4" t="s">
        <v>24726</v>
      </c>
      <c r="B19649" s="4" t="s">
        <v>24729</v>
      </c>
      <c r="C19649" s="5" t="str">
        <f>IFERROR(__xludf.DUMMYFUNCTION("GOOGLETRANSLATE(B19649,""en"",""fr"")"),"La femme continue de danser et se termine en tenant une pose et en retournant ses cheveux.")</f>
        <v>La femme continue de danser et se termine en tenant une pose et en retournant ses cheveux.</v>
      </c>
    </row>
    <row r="19650">
      <c r="A19650" s="4" t="s">
        <v>24730</v>
      </c>
      <c r="B19650" s="4" t="s">
        <v>24731</v>
      </c>
      <c r="C19650" s="5" t="str">
        <f>IFERROR(__xludf.DUMMYFUNCTION("GOOGLETRANSLATE(B19650,""en"",""fr"")"),"Un jeu de crosse d'être montré avec un grand groupe de personnes qui courent dans un champ.")</f>
        <v>Un jeu de crosse d'être montré avec un grand groupe de personnes qui courent dans un champ.</v>
      </c>
    </row>
    <row r="19651">
      <c r="A19651" s="4" t="s">
        <v>24730</v>
      </c>
      <c r="B19651" s="4" t="s">
        <v>24732</v>
      </c>
      <c r="C19651" s="5" t="str">
        <f>IFERROR(__xludf.DUMMYFUNCTION("GOOGLETRANSLATE(B19651,""en"",""fr"")"),"Plusieurs personnes regardent sur la touche pendant que le jeu continue et qu'un arbitre entre pour passer un appel.")</f>
        <v>Plusieurs personnes regardent sur la touche pendant que le jeu continue et qu'un arbitre entre pour passer un appel.</v>
      </c>
    </row>
    <row r="19652">
      <c r="A19652" s="4" t="s">
        <v>24733</v>
      </c>
      <c r="B19652" s="4" t="s">
        <v>24734</v>
      </c>
      <c r="C19652" s="5" t="str">
        <f>IFERROR(__xludf.DUMMYFUNCTION("GOOGLETRANSLATE(B19652,""en"",""fr"")"),"Une personne tient et caresse un chat sans poils.")</f>
        <v>Une personne tient et caresse un chat sans poils.</v>
      </c>
    </row>
    <row r="19653">
      <c r="A19653" s="4" t="s">
        <v>24733</v>
      </c>
      <c r="B19653" s="4" t="s">
        <v>24735</v>
      </c>
      <c r="C19653" s="5" t="str">
        <f>IFERROR(__xludf.DUMMYFUNCTION("GOOGLETRANSLATE(B19653,""en"",""fr"")"),"La personne nettoie et coupe les ongles des pattes avant du chat.")</f>
        <v>La personne nettoie et coupe les ongles des pattes avant du chat.</v>
      </c>
    </row>
    <row r="19654">
      <c r="A19654" s="4" t="s">
        <v>24736</v>
      </c>
      <c r="B19654" s="4" t="s">
        <v>24737</v>
      </c>
      <c r="C19654" s="5" t="str">
        <f>IFERROR(__xludf.DUMMYFUNCTION("GOOGLETRANSLATE(B19654,""en"",""fr"")"),"Un homme parle derrière un bar.")</f>
        <v>Un homme parle derrière un bar.</v>
      </c>
    </row>
    <row r="19655">
      <c r="A19655" s="4" t="s">
        <v>24736</v>
      </c>
      <c r="B19655" s="4" t="s">
        <v>24738</v>
      </c>
      <c r="C19655" s="5" t="str">
        <f>IFERROR(__xludf.DUMMYFUNCTION("GOOGLETRANSLATE(B19655,""en"",""fr"")"),"Il montre plusieurs sortes de bouteilles et de robinets.")</f>
        <v>Il montre plusieurs sortes de bouteilles et de robinets.</v>
      </c>
    </row>
    <row r="19656">
      <c r="A19656" s="4" t="s">
        <v>24736</v>
      </c>
      <c r="B19656" s="4" t="s">
        <v>24739</v>
      </c>
      <c r="C19656" s="5" t="str">
        <f>IFERROR(__xludf.DUMMYFUNCTION("GOOGLETRANSLATE(B19656,""en"",""fr"")"),"Il montre comment mélanger un verre qu'il sert à une femme.")</f>
        <v>Il montre comment mélanger un verre qu'il sert à une femme.</v>
      </c>
    </row>
    <row r="19657">
      <c r="A19657" s="4" t="s">
        <v>24740</v>
      </c>
      <c r="B19657" s="4" t="s">
        <v>24741</v>
      </c>
      <c r="C19657" s="5" t="str">
        <f>IFERROR(__xludf.DUMMYFUNCTION("GOOGLETRANSLATE(B19657,""en"",""fr"")"),"Une personne décolle des pommes de terre dans un évier, soudain un chat saute sur le banc pour regarder la femme.")</f>
        <v>Une personne décolle des pommes de terre dans un évier, soudain un chat saute sur le banc pour regarder la femme.</v>
      </c>
    </row>
    <row r="19658">
      <c r="A19658" s="4" t="s">
        <v>24740</v>
      </c>
      <c r="B19658" s="6" t="s">
        <v>24742</v>
      </c>
      <c r="C19658" s="5" t="str">
        <f>IFERROR(__xludf.DUMMYFUNCTION("GOOGLETRANSLATE(B19658,""en"",""fr"")"),"Le chat touche l'évier avec sa bouche et a l'intention de passer de l'autre côté de l'évier mais la femme l'empêche.")</f>
        <v>Le chat touche l'évier avec sa bouche et a l'intention de passer de l'autre côté de l'évier mais la femme l'empêche.</v>
      </c>
    </row>
    <row r="19659">
      <c r="A19659" s="4" t="s">
        <v>24740</v>
      </c>
      <c r="B19659" s="4" t="s">
        <v>24743</v>
      </c>
      <c r="C19659" s="5" t="str">
        <f>IFERROR(__xludf.DUMMYFUNCTION("GOOGLETRANSLATE(B19659,""en"",""fr"")"),"Ensuite, le chat boit de l'eau de l'évier et le chat continue de regarder la femme.")</f>
        <v>Ensuite, le chat boit de l'eau de l'évier et le chat continue de regarder la femme.</v>
      </c>
    </row>
    <row r="19660">
      <c r="A19660" s="4" t="s">
        <v>24740</v>
      </c>
      <c r="B19660" s="4" t="s">
        <v>24744</v>
      </c>
      <c r="C19660" s="5" t="str">
        <f>IFERROR(__xludf.DUMMYFUNCTION("GOOGLETRANSLATE(B19660,""en"",""fr"")"),"Après, le chat touche à l'écluteur de pommes de terre avec une jambe pendant que la personne continue de peler les pommes de terre.")</f>
        <v>Après, le chat touche à l'écluteur de pommes de terre avec une jambe pendant que la personne continue de peler les pommes de terre.</v>
      </c>
    </row>
    <row r="19661">
      <c r="A19661" s="4" t="s">
        <v>24745</v>
      </c>
      <c r="B19661" s="4" t="s">
        <v>24746</v>
      </c>
      <c r="C19661" s="5" t="str">
        <f>IFERROR(__xludf.DUMMYFUNCTION("GOOGLETRANSLATE(B19661,""en"",""fr"")"),"Une femme est allongée sur l'équipement dans une salle de sport.")</f>
        <v>Une femme est allongée sur l'équipement dans une salle de sport.</v>
      </c>
    </row>
    <row r="19662">
      <c r="A19662" s="4" t="s">
        <v>24745</v>
      </c>
      <c r="B19662" s="4" t="s">
        <v>24747</v>
      </c>
      <c r="C19662" s="5" t="str">
        <f>IFERROR(__xludf.DUMMYFUNCTION("GOOGLETRANSLATE(B19662,""en"",""fr"")"),"Elle a ses pieds attachés avec une chaîne à une machine.")</f>
        <v>Elle a ses pieds attachés avec une chaîne à une machine.</v>
      </c>
    </row>
    <row r="19663">
      <c r="A19663" s="4" t="s">
        <v>24745</v>
      </c>
      <c r="B19663" s="4" t="s">
        <v>24748</v>
      </c>
      <c r="C19663" s="5" t="str">
        <f>IFERROR(__xludf.DUMMYFUNCTION("GOOGLETRANSLATE(B19663,""en"",""fr"")"),"Elle tient la tête alors qu'elle tire ses pieds d'avant en arrière.")</f>
        <v>Elle tient la tête alors qu'elle tire ses pieds d'avant en arrière.</v>
      </c>
    </row>
    <row r="19664">
      <c r="A19664" s="4" t="s">
        <v>24749</v>
      </c>
      <c r="B19664" s="4" t="s">
        <v>24750</v>
      </c>
      <c r="C19664" s="5" t="str">
        <f>IFERROR(__xludf.DUMMYFUNCTION("GOOGLETRANSLATE(B19664,""en"",""fr"")"),"Un gars tient un tissu léger.")</f>
        <v>Un gars tient un tissu léger.</v>
      </c>
    </row>
    <row r="19665">
      <c r="A19665" s="4" t="s">
        <v>24749</v>
      </c>
      <c r="B19665" s="4" t="s">
        <v>24751</v>
      </c>
      <c r="C19665" s="5" t="str">
        <f>IFERROR(__xludf.DUMMYFUNCTION("GOOGLETRANSLATE(B19665,""en"",""fr"")"),"Un gars obtient un bassin blanc sous l'évier et le remplit d'eau dans un évier.")</f>
        <v>Un gars obtient un bassin blanc sous l'évier et le remplit d'eau dans un évier.</v>
      </c>
    </row>
    <row r="19666">
      <c r="A19666" s="4" t="s">
        <v>24749</v>
      </c>
      <c r="B19666" s="4" t="s">
        <v>24752</v>
      </c>
      <c r="C19666" s="5" t="str">
        <f>IFERROR(__xludf.DUMMYFUNCTION("GOOGLETRANSLATE(B19666,""en"",""fr"")"),"Le gars pose le tissu léger et ajoute du savon à vaisselle au bassin.")</f>
        <v>Le gars pose le tissu léger et ajoute du savon à vaisselle au bassin.</v>
      </c>
    </row>
    <row r="19667">
      <c r="A19667" s="4" t="s">
        <v>24749</v>
      </c>
      <c r="B19667" s="4" t="s">
        <v>24753</v>
      </c>
      <c r="C19667" s="5" t="str">
        <f>IFERROR(__xludf.DUMMYFUNCTION("GOOGLETRANSLATE(B19667,""en"",""fr"")"),"Le gars obtient un rack sous l'évier et le place sur le comptoir.")</f>
        <v>Le gars obtient un rack sous l'évier et le place sur le comptoir.</v>
      </c>
    </row>
    <row r="19668">
      <c r="A19668" s="4" t="s">
        <v>24749</v>
      </c>
      <c r="B19668" s="4" t="s">
        <v>24754</v>
      </c>
      <c r="C19668" s="5" t="str">
        <f>IFERROR(__xludf.DUMMYFUNCTION("GOOGLETRANSLATE(B19668,""en"",""fr"")"),"Le gars ajoute des ustensiles et un plat au bassin blanc et les lave avec un tapis rouge.")</f>
        <v>Le gars ajoute des ustensiles et un plat au bassin blanc et les lave avec un tapis rouge.</v>
      </c>
    </row>
    <row r="19669">
      <c r="A19669" s="4" t="s">
        <v>24749</v>
      </c>
      <c r="B19669" s="4" t="s">
        <v>24755</v>
      </c>
      <c r="C19669" s="5" t="str">
        <f>IFERROR(__xludf.DUMMYFUNCTION("GOOGLETRANSLATE(B19669,""en"",""fr"")"),"Un garçon regarde par derrière.")</f>
        <v>Un garçon regarde par derrière.</v>
      </c>
    </row>
    <row r="19670">
      <c r="A19670" s="4" t="s">
        <v>24749</v>
      </c>
      <c r="B19670" s="4" t="s">
        <v>24756</v>
      </c>
      <c r="C19670" s="5" t="str">
        <f>IFERROR(__xludf.DUMMYFUNCTION("GOOGLETRANSLATE(B19670,""en"",""fr"")"),"Le gars rince la vaisselle et les met dans un rack.")</f>
        <v>Le gars rince la vaisselle et les met dans un rack.</v>
      </c>
    </row>
    <row r="19671">
      <c r="A19671" s="4" t="s">
        <v>24749</v>
      </c>
      <c r="B19671" s="4" t="s">
        <v>24757</v>
      </c>
      <c r="C19671" s="5" t="str">
        <f>IFERROR(__xludf.DUMMYFUNCTION("GOOGLETRANSLATE(B19671,""en"",""fr"")"),"Le gars sèche le plat avec le tissu léger.")</f>
        <v>Le gars sèche le plat avec le tissu léger.</v>
      </c>
    </row>
    <row r="19672">
      <c r="A19672" s="4" t="s">
        <v>24758</v>
      </c>
      <c r="B19672" s="6" t="s">
        <v>24759</v>
      </c>
      <c r="C19672" s="5" t="str">
        <f>IFERROR(__xludf.DUMMYFUNCTION("GOOGLETRANSLATE(B19672,""en"",""fr"")"),"Un homme en chemise grise et un jean avec un casque orange coupe les haies, il se tient dans une échelle pour atteindre le haut de la haie et la couper, l'homme continue de couper la haie.")</f>
        <v>Un homme en chemise grise et un jean avec un casque orange coupe les haies, il se tient dans une échelle pour atteindre le haut de la haie et la couper, l'homme continue de couper la haie.</v>
      </c>
    </row>
    <row r="19673">
      <c r="A19673" s="4" t="s">
        <v>24758</v>
      </c>
      <c r="B19673" s="4" t="s">
        <v>24760</v>
      </c>
      <c r="C19673" s="5" t="str">
        <f>IFERROR(__xludf.DUMMYFUNCTION("GOOGLETRANSLATE(B19673,""en"",""fr"")"),"Un homme en chemise blanche et casque orange coupe les haies brûlées.")</f>
        <v>Un homme en chemise blanche et casque orange coupe les haies brûlées.</v>
      </c>
    </row>
    <row r="19674">
      <c r="A19674" s="4" t="s">
        <v>24761</v>
      </c>
      <c r="B19674" s="6" t="s">
        <v>24762</v>
      </c>
      <c r="C19674" s="5" t="str">
        <f>IFERROR(__xludf.DUMMYFUNCTION("GOOGLETRANSLATE(B19674,""en"",""fr"")"),"Une personne dans un costume blanc protecteur et des lunettes pulvérise une surface avec de la peinture violette à l'aide d'un pistolet dans une pièce avec des murs blancs et des planchers.")</f>
        <v>Une personne dans un costume blanc protecteur et des lunettes pulvérise une surface avec de la peinture violette à l'aide d'un pistolet dans une pièce avec des murs blancs et des planchers.</v>
      </c>
    </row>
    <row r="19675">
      <c r="A19675" s="4" t="s">
        <v>24761</v>
      </c>
      <c r="B19675" s="4" t="s">
        <v>24763</v>
      </c>
      <c r="C19675" s="5" t="str">
        <f>IFERROR(__xludf.DUMMYFUNCTION("GOOGLETRANSLATE(B19675,""en"",""fr"")"),"La personne tourne ensuite la surface autour d'une table de rotation et peint les côtés.")</f>
        <v>La personne tourne ensuite la surface autour d'une table de rotation et peint les côtés.</v>
      </c>
    </row>
    <row r="19676">
      <c r="A19676" s="4" t="s">
        <v>24761</v>
      </c>
      <c r="B19676" s="4" t="s">
        <v>24764</v>
      </c>
      <c r="C19676" s="5" t="str">
        <f>IFERROR(__xludf.DUMMYFUNCTION("GOOGLETRANSLATE(B19676,""en"",""fr"")"),"Le produit mat des finitions est montré, séché, dans la salle blanche ordinaire où la peinture s'est produite.")</f>
        <v>Le produit mat des finitions est montré, séché, dans la salle blanche ordinaire où la peinture s'est produite.</v>
      </c>
    </row>
    <row r="19677">
      <c r="A19677" s="4" t="s">
        <v>24765</v>
      </c>
      <c r="B19677" s="4" t="s">
        <v>24766</v>
      </c>
      <c r="C19677" s="5" t="str">
        <f>IFERROR(__xludf.DUMMYFUNCTION("GOOGLETRANSLATE(B19677,""en"",""fr"")"),"L'homme se tient dans une pièce en mélangeant du ciment sur un seau.")</f>
        <v>L'homme se tient dans une pièce en mélangeant du ciment sur un seau.</v>
      </c>
    </row>
    <row r="19678">
      <c r="A19678" s="4" t="s">
        <v>24765</v>
      </c>
      <c r="B19678" s="4" t="s">
        <v>24767</v>
      </c>
      <c r="C19678" s="5" t="str">
        <f>IFERROR(__xludf.DUMMYFUNCTION("GOOGLETRANSLATE(B19678,""en"",""fr"")"),"L'homme attrape le mélange et l'étale dans le sol et a mis des tuiles blanches.")</f>
        <v>L'homme attrape le mélange et l'étale dans le sol et a mis des tuiles blanches.</v>
      </c>
    </row>
    <row r="19679">
      <c r="A19679" s="4" t="s">
        <v>24765</v>
      </c>
      <c r="B19679" s="6" t="s">
        <v>24768</v>
      </c>
      <c r="C19679" s="5" t="str">
        <f>IFERROR(__xludf.DUMMYFUNCTION("GOOGLETRANSLATE(B19679,""en"",""fr"")"),"L'homme balaie à nouveau le sol et répandit le ciment pour mettre les carreaux dans la partie restante de la pièce.")</f>
        <v>L'homme balaie à nouveau le sol et répandit le ciment pour mettre les carreaux dans la partie restante de la pièce.</v>
      </c>
    </row>
    <row r="19680">
      <c r="A19680" s="4" t="s">
        <v>24769</v>
      </c>
      <c r="B19680" s="4" t="s">
        <v>24770</v>
      </c>
      <c r="C19680" s="5" t="str">
        <f>IFERROR(__xludf.DUMMYFUNCTION("GOOGLETRANSLATE(B19680,""en"",""fr"")"),"La vidéo commence par quatre photos d'abdomen humain contractuel.")</f>
        <v>La vidéo commence par quatre photos d'abdomen humain contractuel.</v>
      </c>
    </row>
    <row r="19681">
      <c r="A19681" s="4" t="s">
        <v>24769</v>
      </c>
      <c r="B19681" s="6" t="s">
        <v>24771</v>
      </c>
      <c r="C19681" s="5" t="str">
        <f>IFERROR(__xludf.DUMMYFUNCTION("GOOGLETRANSLATE(B19681,""en"",""fr"")"),"Il y a une jeune fille vêtue d'un débardeur bleu et d'un collant noir démontrant la bonne façon de faire des planches et des craquement.")</f>
        <v>Il y a une jeune fille vêtue d'un débardeur bleu et d'un collant noir démontrant la bonne façon de faire des planches et des craquement.</v>
      </c>
    </row>
    <row r="19682">
      <c r="A19682" s="4" t="s">
        <v>24769</v>
      </c>
      <c r="B19682" s="4" t="s">
        <v>24772</v>
      </c>
      <c r="C19682" s="5" t="str">
        <f>IFERROR(__xludf.DUMMYFUNCTION("GOOGLETRANSLATE(B19682,""en"",""fr"")"),"Elle est allongée sur un tapis de yoga bleu alors qu'elle craque.")</f>
        <v>Elle est allongée sur un tapis de yoga bleu alors qu'elle craque.</v>
      </c>
    </row>
    <row r="19683">
      <c r="A19683" s="4" t="s">
        <v>24769</v>
      </c>
      <c r="B19683" s="4" t="s">
        <v>24773</v>
      </c>
      <c r="C19683" s="5" t="str">
        <f>IFERROR(__xludf.DUMMYFUNCTION("GOOGLETRANSLATE(B19683,""en"",""fr"")"),"Ensuite, elle s'allonge sur son ventre en se levant sur ses coudes pour montrer comment faire des planches.")</f>
        <v>Ensuite, elle s'allonge sur son ventre en se levant sur ses coudes pour montrer comment faire des planches.</v>
      </c>
    </row>
    <row r="19684">
      <c r="A19684" s="4" t="s">
        <v>24774</v>
      </c>
      <c r="B19684" s="6" t="s">
        <v>24775</v>
      </c>
      <c r="C19684" s="5" t="str">
        <f>IFERROR(__xludf.DUMMYFUNCTION("GOOGLETRANSLATE(B19684,""en"",""fr"")"),"Un athlète en chemise noire donne des instructions pour un exercice d'entraînement tout en se tenant sur un grand terrain sportif.")</f>
        <v>Un athlète en chemise noire donne des instructions pour un exercice d'entraînement tout en se tenant sur un grand terrain sportif.</v>
      </c>
    </row>
    <row r="19685">
      <c r="A19685" s="4" t="s">
        <v>24774</v>
      </c>
      <c r="B19685" s="4" t="s">
        <v>24776</v>
      </c>
      <c r="C19685" s="5" t="str">
        <f>IFERROR(__xludf.DUMMYFUNCTION("GOOGLETRANSLATE(B19685,""en"",""fr"")"),"L'homme se prépare à un exercice et s'accroupit de haut en bas pour la pratique.")</f>
        <v>L'homme se prépare à un exercice et s'accroupit de haut en bas pour la pratique.</v>
      </c>
    </row>
    <row r="19686">
      <c r="A19686" s="4" t="s">
        <v>24774</v>
      </c>
      <c r="B19686" s="4" t="s">
        <v>24777</v>
      </c>
      <c r="C19686" s="5" t="str">
        <f>IFERROR(__xludf.DUMMYFUNCTION("GOOGLETRANSLATE(B19686,""en"",""fr"")"),"L'homme saute plusieurs fois et va plus loin à chaque saut.")</f>
        <v>L'homme saute plusieurs fois et va plus loin à chaque saut.</v>
      </c>
    </row>
    <row r="19687">
      <c r="A19687" s="4" t="s">
        <v>24774</v>
      </c>
      <c r="B19687" s="4" t="s">
        <v>24778</v>
      </c>
      <c r="C19687" s="5" t="str">
        <f>IFERROR(__xludf.DUMMYFUNCTION("GOOGLETRANSLATE(B19687,""en"",""fr"")"),"L'homme se penche et touche le sol tout en tordant.")</f>
        <v>L'homme se penche et touche le sol tout en tordant.</v>
      </c>
    </row>
    <row r="19688">
      <c r="A19688" s="4" t="s">
        <v>24774</v>
      </c>
      <c r="B19688" s="4" t="s">
        <v>24779</v>
      </c>
      <c r="C19688" s="5" t="str">
        <f>IFERROR(__xludf.DUMMYFUNCTION("GOOGLETRANSLATE(B19688,""en"",""fr"")"),"L'homme donne plus d'instructions sur une course d'entraînement tout en donnant des gestes de la main.")</f>
        <v>L'homme donne plus d'instructions sur une course d'entraînement tout en donnant des gestes de la main.</v>
      </c>
    </row>
    <row r="19689">
      <c r="A19689" s="4" t="s">
        <v>24774</v>
      </c>
      <c r="B19689" s="4" t="s">
        <v>24780</v>
      </c>
      <c r="C19689" s="5" t="str">
        <f>IFERROR(__xludf.DUMMYFUNCTION("GOOGLETRANSLATE(B19689,""en"",""fr"")"),"L'homme s'installe sur le bord d'une ligne et saute avec un pied, puis se répète.")</f>
        <v>L'homme s'installe sur le bord d'une ligne et saute avec un pied, puis se répète.</v>
      </c>
    </row>
    <row r="19690">
      <c r="A19690" s="4" t="s">
        <v>24774</v>
      </c>
      <c r="B19690" s="4" t="s">
        <v>24781</v>
      </c>
      <c r="C19690" s="5" t="str">
        <f>IFERROR(__xludf.DUMMYFUNCTION("GOOGLETRANSLATE(B19690,""en"",""fr"")"),"L'homme donne un jeu final d'instructions tout en respirant lourde.")</f>
        <v>L'homme donne un jeu final d'instructions tout en respirant lourde.</v>
      </c>
    </row>
    <row r="19691">
      <c r="A19691" s="4" t="s">
        <v>24774</v>
      </c>
      <c r="B19691" s="4" t="s">
        <v>24782</v>
      </c>
      <c r="C19691" s="5" t="str">
        <f>IFERROR(__xludf.DUMMYFUNCTION("GOOGLETRANSLATE(B19691,""en"",""fr"")"),"Un ensemble de texte est vu avec des informations.")</f>
        <v>Un ensemble de texte est vu avec des informations.</v>
      </c>
    </row>
    <row r="19692">
      <c r="A19692" s="4" t="s">
        <v>24783</v>
      </c>
      <c r="B19692" s="4" t="s">
        <v>24784</v>
      </c>
      <c r="C19692" s="5" t="str">
        <f>IFERROR(__xludf.DUMMYFUNCTION("GOOGLETRANSLATE(B19692,""en"",""fr"")"),"Un graphique de flèche est vu et le texte du titre.")</f>
        <v>Un graphique de flèche est vu et le texte du titre.</v>
      </c>
    </row>
    <row r="19693">
      <c r="A19693" s="4" t="s">
        <v>24783</v>
      </c>
      <c r="B19693" s="4" t="s">
        <v>24785</v>
      </c>
      <c r="C19693" s="5" t="str">
        <f>IFERROR(__xludf.DUMMYFUNCTION("GOOGLETRANSLATE(B19693,""en"",""fr"")"),"Une femme se tient sur une pièce sombre et éclairée tenant un accordéon et démontrant comment y jouer.")</f>
        <v>Une femme se tient sur une pièce sombre et éclairée tenant un accordéon et démontrant comment y jouer.</v>
      </c>
    </row>
    <row r="19694">
      <c r="A19694" s="4" t="s">
        <v>24783</v>
      </c>
      <c r="B19694" s="4" t="s">
        <v>24786</v>
      </c>
      <c r="C19694" s="5" t="str">
        <f>IFERROR(__xludf.DUMMYFUNCTION("GOOGLETRANSLATE(B19694,""en"",""fr"")"),"La femme commence à jouer une chanson en appuyant sur les clés.")</f>
        <v>La femme commence à jouer une chanson en appuyant sur les clés.</v>
      </c>
    </row>
    <row r="19695">
      <c r="A19695" s="4" t="s">
        <v>24783</v>
      </c>
      <c r="B19695" s="4" t="s">
        <v>24787</v>
      </c>
      <c r="C19695" s="5" t="str">
        <f>IFERROR(__xludf.DUMMYFUNCTION("GOOGLETRANSLATE(B19695,""en"",""fr"")"),"La femme s'arrête pour discuter puis joue plus de la chanson.")</f>
        <v>La femme s'arrête pour discuter puis joue plus de la chanson.</v>
      </c>
    </row>
    <row r="19696">
      <c r="A19696" s="4" t="s">
        <v>24783</v>
      </c>
      <c r="B19696" s="4" t="s">
        <v>24788</v>
      </c>
      <c r="C19696" s="5" t="str">
        <f>IFERROR(__xludf.DUMMYFUNCTION("GOOGLETRANSLATE(B19696,""en"",""fr"")"),"La femme termine et ferme l'accordéon.")</f>
        <v>La femme termine et ferme l'accordéon.</v>
      </c>
    </row>
    <row r="19697">
      <c r="A19697" s="4" t="s">
        <v>24789</v>
      </c>
      <c r="B19697" s="4" t="s">
        <v>24790</v>
      </c>
      <c r="C19697" s="5" t="str">
        <f>IFERROR(__xludf.DUMMYFUNCTION("GOOGLETRANSLATE(B19697,""en"",""fr"")"),"Une fille est nerveuse au bord d'une planche de division.")</f>
        <v>Une fille est nerveuse au bord d'une planche de division.</v>
      </c>
    </row>
    <row r="19698">
      <c r="A19698" s="4" t="s">
        <v>24789</v>
      </c>
      <c r="B19698" s="4" t="s">
        <v>24791</v>
      </c>
      <c r="C19698" s="5" t="str">
        <f>IFERROR(__xludf.DUMMYFUNCTION("GOOGLETRANSLATE(B19698,""en"",""fr"")"),"Elle tombe après s'être levée puis s'accroupir à nouveau.")</f>
        <v>Elle tombe après s'être levée puis s'accroupir à nouveau.</v>
      </c>
    </row>
    <row r="19699">
      <c r="A19699" s="4" t="s">
        <v>24792</v>
      </c>
      <c r="B19699" s="4" t="s">
        <v>24793</v>
      </c>
      <c r="C19699" s="5" t="str">
        <f>IFERROR(__xludf.DUMMYFUNCTION("GOOGLETRANSLATE(B19699,""en"",""fr"")"),"Une fanfare de marche dans la rue jouant des instruments tandis qu'une femme sur le devant tient un drapeau.")</f>
        <v>Une fanfare de marche dans la rue jouant des instruments tandis qu'une femme sur le devant tient un drapeau.</v>
      </c>
    </row>
    <row r="19700">
      <c r="A19700" s="4" t="s">
        <v>24792</v>
      </c>
      <c r="B19700" s="4" t="s">
        <v>24794</v>
      </c>
      <c r="C19700" s="5" t="str">
        <f>IFERROR(__xludf.DUMMYFUNCTION("GOOGLETRANSLATE(B19700,""en"",""fr"")"),"Un garçon à l'avant, le groupe tient un rouleau et se lève et tourne.")</f>
        <v>Un garçon à l'avant, le groupe tient un rouleau et se lève et tourne.</v>
      </c>
    </row>
    <row r="19701">
      <c r="A19701" s="4" t="s">
        <v>24792</v>
      </c>
      <c r="B19701" s="4" t="s">
        <v>24795</v>
      </c>
      <c r="C19701" s="5" t="str">
        <f>IFERROR(__xludf.DUMMYFUNCTION("GOOGLETRANSLATE(B19701,""en"",""fr"")"),"Ensuite, la bande arrive et passe un feu de circulation.")</f>
        <v>Ensuite, la bande arrive et passe un feu de circulation.</v>
      </c>
    </row>
    <row r="19702">
      <c r="A19702" s="4" t="s">
        <v>24796</v>
      </c>
      <c r="B19702" s="4" t="s">
        <v>24797</v>
      </c>
      <c r="C19702" s="5" t="str">
        <f>IFERROR(__xludf.DUMMYFUNCTION("GOOGLETRANSLATE(B19702,""en"",""fr"")"),"Deux personnes sont présentées à se promener avec un tapis sur leurs épaules et à marcher dans un bâtiment.")</f>
        <v>Deux personnes sont présentées à se promener avec un tapis sur leurs épaules et à marcher dans un bâtiment.</v>
      </c>
    </row>
    <row r="19703">
      <c r="A19703" s="4" t="s">
        <v>24796</v>
      </c>
      <c r="B19703" s="4" t="s">
        <v>24798</v>
      </c>
      <c r="C19703" s="5" t="str">
        <f>IFERROR(__xludf.DUMMYFUNCTION("GOOGLETRANSLATE(B19703,""en"",""fr"")"),"Ils ouvrent le tapis puis retirent du ruban à mesurer et marteler le tapis.")</f>
        <v>Ils ouvrent le tapis puis retirent du ruban à mesurer et marteler le tapis.</v>
      </c>
    </row>
    <row r="19704">
      <c r="A19704" s="4" t="s">
        <v>24796</v>
      </c>
      <c r="B19704" s="6" t="s">
        <v>24799</v>
      </c>
      <c r="C19704" s="5" t="str">
        <f>IFERROR(__xludf.DUMMYFUNCTION("GOOGLETRANSLATE(B19704,""en"",""fr"")"),"Ils mettent ensuite du plâtre sur tout le sol et présentent le produit fini du tapis en serrant la main avec les propriétaires et en souriant pour des photos.")</f>
        <v>Ils mettent ensuite du plâtre sur tout le sol et présentent le produit fini du tapis en serrant la main avec les propriétaires et en souriant pour des photos.</v>
      </c>
    </row>
    <row r="19705">
      <c r="A19705" s="4" t="s">
        <v>24800</v>
      </c>
      <c r="B19705" s="4" t="s">
        <v>24801</v>
      </c>
      <c r="C19705" s="5" t="str">
        <f>IFERROR(__xludf.DUMMYFUNCTION("GOOGLETRANSLATE(B19705,""en"",""fr"")"),"Un homme est vu parler à la caméra et mène sur lui en allongeant du papier peint sur le mur.")</f>
        <v>Un homme est vu parler à la caméra et mène sur lui en allongeant du papier peint sur le mur.</v>
      </c>
    </row>
    <row r="19706">
      <c r="A19706" s="4" t="s">
        <v>24800</v>
      </c>
      <c r="B19706" s="4" t="s">
        <v>24802</v>
      </c>
      <c r="C19706" s="5" t="str">
        <f>IFERROR(__xludf.DUMMYFUNCTION("GOOGLETRANSLATE(B19706,""en"",""fr"")"),"Il continue de parler à la caméra tout en diffusant du papier sur le mur.")</f>
        <v>Il continue de parler à la caméra tout en diffusant du papier sur le mur.</v>
      </c>
    </row>
    <row r="19707">
      <c r="A19707" s="4" t="s">
        <v>24803</v>
      </c>
      <c r="B19707" s="4" t="s">
        <v>24804</v>
      </c>
      <c r="C19707" s="5" t="str">
        <f>IFERROR(__xludf.DUMMYFUNCTION("GOOGLETRANSLATE(B19707,""en"",""fr"")"),"Une femme se lave le visage dans un évier.")</f>
        <v>Une femme se lave le visage dans un évier.</v>
      </c>
    </row>
    <row r="19708">
      <c r="A19708" s="4" t="s">
        <v>24803</v>
      </c>
      <c r="B19708" s="4" t="s">
        <v>24805</v>
      </c>
      <c r="C19708" s="5" t="str">
        <f>IFERROR(__xludf.DUMMYFUNCTION("GOOGLETRANSLATE(B19708,""en"",""fr"")"),"Elle a l'air dans un miroir devant elle.")</f>
        <v>Elle a l'air dans un miroir devant elle.</v>
      </c>
    </row>
    <row r="19709">
      <c r="A19709" s="4" t="s">
        <v>24803</v>
      </c>
      <c r="B19709" s="4" t="s">
        <v>24806</v>
      </c>
      <c r="C19709" s="5" t="str">
        <f>IFERROR(__xludf.DUMMYFUNCTION("GOOGLETRANSLATE(B19709,""en"",""fr"")"),"Elle continue d'essuyer son visage.")</f>
        <v>Elle continue d'essuyer son visage.</v>
      </c>
    </row>
    <row r="19710">
      <c r="A19710" s="4" t="s">
        <v>24807</v>
      </c>
      <c r="B19710" s="4" t="s">
        <v>24808</v>
      </c>
      <c r="C19710" s="5" t="str">
        <f>IFERROR(__xludf.DUMMYFUNCTION("GOOGLETRANSLATE(B19710,""en"",""fr"")"),"Un chien est assis sur un canapé orange.")</f>
        <v>Un chien est assis sur un canapé orange.</v>
      </c>
    </row>
    <row r="19711">
      <c r="A19711" s="4" t="s">
        <v>24807</v>
      </c>
      <c r="B19711" s="4" t="s">
        <v>24809</v>
      </c>
      <c r="C19711" s="5" t="str">
        <f>IFERROR(__xludf.DUMMYFUNCTION("GOOGLETRANSLATE(B19711,""en"",""fr"")"),"Un chien est assis dans une baignoire en train de se faire un bain.")</f>
        <v>Un chien est assis dans une baignoire en train de se faire un bain.</v>
      </c>
    </row>
    <row r="19712">
      <c r="A19712" s="4" t="s">
        <v>24807</v>
      </c>
      <c r="B19712" s="4" t="s">
        <v>24810</v>
      </c>
      <c r="C19712" s="5" t="str">
        <f>IFERROR(__xludf.DUMMYFUNCTION("GOOGLETRANSLATE(B19712,""en"",""fr"")"),"Une personne sèche le chien avec une serviette.")</f>
        <v>Une personne sèche le chien avec une serviette.</v>
      </c>
    </row>
    <row r="19713">
      <c r="A19713" s="4" t="s">
        <v>24807</v>
      </c>
      <c r="B19713" s="4" t="s">
        <v>24811</v>
      </c>
      <c r="C19713" s="5" t="str">
        <f>IFERROR(__xludf.DUMMYFUNCTION("GOOGLETRANSLATE(B19713,""en"",""fr"")"),"Le chien se séchait avec un sèche-cheveux.")</f>
        <v>Le chien se séchait avec un sèche-cheveux.</v>
      </c>
    </row>
    <row r="19714">
      <c r="A19714" s="4" t="s">
        <v>24812</v>
      </c>
      <c r="B19714" s="4" t="s">
        <v>24813</v>
      </c>
      <c r="C19714" s="5" t="str">
        <f>IFERROR(__xludf.DUMMYFUNCTION("GOOGLETRANSLATE(B19714,""en"",""fr"")"),"Le logo ""Weldy"" apparaît sur une photo d'outils de soudage.")</f>
        <v>Le logo "Weldy" apparaît sur une photo d'outils de soudage.</v>
      </c>
    </row>
    <row r="19715">
      <c r="A19715" s="4" t="s">
        <v>24812</v>
      </c>
      <c r="B19715" s="4" t="s">
        <v>24814</v>
      </c>
      <c r="C19715" s="5" t="str">
        <f>IFERROR(__xludf.DUMMYFUNCTION("GOOGLETRANSLATE(B19715,""en"",""fr"")"),"Les mots ""Energy 1600"" et l'adresse du site Web Weldy apparaît.")</f>
        <v>Les mots "Energy 1600" et l'adresse du site Web Weldy apparaît.</v>
      </c>
    </row>
    <row r="19716">
      <c r="A19716" s="4" t="s">
        <v>24812</v>
      </c>
      <c r="B19716" s="4" t="s">
        <v>24815</v>
      </c>
      <c r="C19716" s="5" t="str">
        <f>IFERROR(__xludf.DUMMYFUNCTION("GOOGLETRANSLATE(B19716,""en"",""fr"")"),"Un homme travaille sur un toit blanc avec l'un des outils Weldy.")</f>
        <v>Un homme travaille sur un toit blanc avec l'un des outils Weldy.</v>
      </c>
    </row>
    <row r="19717">
      <c r="A19717" s="4" t="s">
        <v>24812</v>
      </c>
      <c r="B19717" s="4" t="s">
        <v>24816</v>
      </c>
      <c r="C19717" s="5" t="str">
        <f>IFERROR(__xludf.DUMMYFUNCTION("GOOGLETRANSLATE(B19717,""en"",""fr"")"),"""Energy 1600"" et le site Web apparaît à nouveau à l'écran.")</f>
        <v>"Energy 1600" et le site Web apparaît à nouveau à l'écran.</v>
      </c>
    </row>
    <row r="19718">
      <c r="A19718" s="4" t="s">
        <v>24817</v>
      </c>
      <c r="B19718" s="4" t="s">
        <v>24818</v>
      </c>
      <c r="C19718" s="5" t="str">
        <f>IFERROR(__xludf.DUMMYFUNCTION("GOOGLETRANSLATE(B19718,""en"",""fr"")"),"Une femme est vue parler à la caméra tout en allumant un robinet.")</f>
        <v>Une femme est vue parler à la caméra tout en allumant un robinet.</v>
      </c>
    </row>
    <row r="19719">
      <c r="A19719" s="4" t="s">
        <v>24817</v>
      </c>
      <c r="B19719" s="4" t="s">
        <v>24819</v>
      </c>
      <c r="C19719" s="5" t="str">
        <f>IFERROR(__xludf.DUMMYFUNCTION("GOOGLETRANSLATE(B19719,""en"",""fr"")"),"Elle pompe ensuite du savon et se frotte les mains.")</f>
        <v>Elle pompe ensuite du savon et se frotte les mains.</v>
      </c>
    </row>
    <row r="19720">
      <c r="A19720" s="4" t="s">
        <v>24817</v>
      </c>
      <c r="B19720" s="6" t="s">
        <v>24820</v>
      </c>
      <c r="C19720" s="5" t="str">
        <f>IFERROR(__xludf.DUMMYFUNCTION("GOOGLETRANSLATE(B19720,""en"",""fr"")"),"Elle passe ses mains sous l'évier et se termine en séchant les mains et en sortant pour mettre un désanitizor à la main.")</f>
        <v>Elle passe ses mains sous l'évier et se termine en séchant les mains et en sortant pour mettre un désanitizor à la main.</v>
      </c>
    </row>
    <row r="19721">
      <c r="A19721" s="4" t="s">
        <v>24821</v>
      </c>
      <c r="B19721" s="4" t="s">
        <v>24822</v>
      </c>
      <c r="C19721" s="5" t="str">
        <f>IFERROR(__xludf.DUMMYFUNCTION("GOOGLETRANSLATE(B19721,""en"",""fr"")"),"Une femme utilise du vernis dans un récipient pour polir une chaussure noire.")</f>
        <v>Une femme utilise du vernis dans un récipient pour polir une chaussure noire.</v>
      </c>
    </row>
    <row r="19722">
      <c r="A19722" s="4" t="s">
        <v>24821</v>
      </c>
      <c r="B19722" s="4" t="s">
        <v>24823</v>
      </c>
      <c r="C19722" s="5" t="str">
        <f>IFERROR(__xludf.DUMMYFUNCTION("GOOGLETRANSLATE(B19722,""en"",""fr"")"),"Elle parle à la caméra pendant qu'elle travaille.")</f>
        <v>Elle parle à la caméra pendant qu'elle travaille.</v>
      </c>
    </row>
    <row r="19723">
      <c r="A19723" s="4" t="s">
        <v>24821</v>
      </c>
      <c r="B19723" s="4" t="s">
        <v>24824</v>
      </c>
      <c r="C19723" s="5" t="str">
        <f>IFERROR(__xludf.DUMMYFUNCTION("GOOGLETRANSLATE(B19723,""en"",""fr"")"),"Le vernis noir est montré dégoulinant sur ses jambes.")</f>
        <v>Le vernis noir est montré dégoulinant sur ses jambes.</v>
      </c>
    </row>
    <row r="19724">
      <c r="A19724" s="4" t="s">
        <v>24825</v>
      </c>
      <c r="B19724" s="4" t="s">
        <v>24826</v>
      </c>
      <c r="C19724" s="5" t="str">
        <f>IFERROR(__xludf.DUMMYFUNCTION("GOOGLETRANSLATE(B19724,""en"",""fr"")"),"Il y a un entraîneur de chien vêtu d'un sweat à capuche bleu jouant avec un chien noir et blanc dans un parc.")</f>
        <v>Il y a un entraîneur de chien vêtu d'un sweat à capuche bleu jouant avec un chien noir et blanc dans un parc.</v>
      </c>
    </row>
    <row r="19725">
      <c r="A19725" s="4" t="s">
        <v>24825</v>
      </c>
      <c r="B19725" s="4" t="s">
        <v>24827</v>
      </c>
      <c r="C19725" s="5" t="str">
        <f>IFERROR(__xludf.DUMMYFUNCTION("GOOGLETRANSLATE(B19725,""en"",""fr"")"),"Elle jette un frisbee au chien et fait le chien le récupérer pour elle.")</f>
        <v>Elle jette un frisbee au chien et fait le chien le récupérer pour elle.</v>
      </c>
    </row>
    <row r="19726">
      <c r="A19726" s="4" t="s">
        <v>24825</v>
      </c>
      <c r="B19726" s="4" t="s">
        <v>24828</v>
      </c>
      <c r="C19726" s="5" t="str">
        <f>IFERROR(__xludf.DUMMYFUNCTION("GOOGLETRANSLATE(B19726,""en"",""fr"")"),"Le chien court à chaque fois qu'elle jette le frisbee à distance et la récupére pour elle.")</f>
        <v>Le chien court à chaque fois qu'elle jette le frisbee à distance et la récupére pour elle.</v>
      </c>
    </row>
    <row r="19727">
      <c r="A19727" s="4" t="s">
        <v>24825</v>
      </c>
      <c r="B19727" s="4" t="s">
        <v>24829</v>
      </c>
      <c r="C19727" s="5" t="str">
        <f>IFERROR(__xludf.DUMMYFUNCTION("GOOGLETRANSLATE(B19727,""en"",""fr"")"),"Le DOH saute en haut pour attraper le frisbee de sa main.")</f>
        <v>Le DOH saute en haut pour attraper le frisbee de sa main.</v>
      </c>
    </row>
    <row r="19728">
      <c r="A19728" s="4" t="s">
        <v>24825</v>
      </c>
      <c r="B19728" s="4" t="s">
        <v>24830</v>
      </c>
      <c r="C19728" s="5" t="str">
        <f>IFERROR(__xludf.DUMMYFUNCTION("GOOGLETRANSLATE(B19728,""en"",""fr"")"),"Le chien saute même par-dessus la dame lorsqu'elle est allongée sur le sol.")</f>
        <v>Le chien saute même par-dessus la dame lorsqu'elle est allongée sur le sol.</v>
      </c>
    </row>
    <row r="19729">
      <c r="A19729" s="4" t="s">
        <v>24825</v>
      </c>
      <c r="B19729" s="4" t="s">
        <v>24831</v>
      </c>
      <c r="C19729" s="5" t="str">
        <f>IFERROR(__xludf.DUMMYFUNCTION("GOOGLETRANSLATE(B19729,""en"",""fr"")"),"Il continue de courir et de récupérer le frisbee pour la dame alors qu'elle lance plusieurs frisbee.")</f>
        <v>Il continue de courir et de récupérer le frisbee pour la dame alors qu'elle lance plusieurs frisbee.</v>
      </c>
    </row>
    <row r="19730">
      <c r="A19730" s="4" t="s">
        <v>24825</v>
      </c>
      <c r="B19730" s="4" t="s">
        <v>24832</v>
      </c>
      <c r="C19730" s="5" t="str">
        <f>IFERROR(__xludf.DUMMYFUNCTION("GOOGLETRANSLATE(B19730,""en"",""fr"")"),"La même dame porte maintenant une chemise orange et jette le frisbee au chien.")</f>
        <v>La même dame porte maintenant une chemise orange et jette le frisbee au chien.</v>
      </c>
    </row>
    <row r="19731">
      <c r="A19731" s="4" t="s">
        <v>24825</v>
      </c>
      <c r="B19731" s="4" t="s">
        <v>24833</v>
      </c>
      <c r="C19731" s="5" t="str">
        <f>IFERROR(__xludf.DUMMYFUNCTION("GOOGLETRANSLATE(B19731,""en"",""fr"")"),"Le chien continue de sauter et de prendre le frisbee dans sa bouche.")</f>
        <v>Le chien continue de sauter et de prendre le frisbee dans sa bouche.</v>
      </c>
    </row>
    <row r="19732">
      <c r="A19732" s="4" t="s">
        <v>24834</v>
      </c>
      <c r="B19732" s="4" t="s">
        <v>24835</v>
      </c>
      <c r="C19732" s="5" t="str">
        <f>IFERROR(__xludf.DUMMYFUNCTION("GOOGLETRANSLATE(B19732,""en"",""fr"")"),"Un jeune garçon se tient à l'extérieur en regardant une autre personne jouer des tuyaux de son sac.")</f>
        <v>Un jeune garçon se tient à l'extérieur en regardant une autre personne jouer des tuyaux de son sac.</v>
      </c>
    </row>
    <row r="19733">
      <c r="A19733" s="4" t="s">
        <v>24834</v>
      </c>
      <c r="B19733" s="4" t="s">
        <v>24836</v>
      </c>
      <c r="C19733" s="5" t="str">
        <f>IFERROR(__xludf.DUMMYFUNCTION("GOOGLETRANSLATE(B19733,""en"",""fr"")"),"Plusieurs personnes passent et une dame s'arrête et jette de l'argent dans le cas de la personne.")</f>
        <v>Plusieurs personnes passent et une dame s'arrête et jette de l'argent dans le cas de la personne.</v>
      </c>
    </row>
    <row r="19734">
      <c r="A19734" s="4" t="s">
        <v>24837</v>
      </c>
      <c r="B19734" s="4" t="s">
        <v>24838</v>
      </c>
      <c r="C19734" s="5" t="str">
        <f>IFERROR(__xludf.DUMMYFUNCTION("GOOGLETRANSLATE(B19734,""en"",""fr"")"),"Un homme est vu en avant et tenant un ensemble de poids tout en agrippant étroitement.")</f>
        <v>Un homme est vu en avant et tenant un ensemble de poids tout en agrippant étroitement.</v>
      </c>
    </row>
    <row r="19735">
      <c r="A19735" s="4" t="s">
        <v>24837</v>
      </c>
      <c r="B19735" s="4" t="s">
        <v>24839</v>
      </c>
      <c r="C19735" s="5" t="str">
        <f>IFERROR(__xludf.DUMMYFUNCTION("GOOGLETRANSLATE(B19735,""en"",""fr"")"),"L'homme soulève ensuite le poids sur son extrémité et le jette à la fin.")</f>
        <v>L'homme soulève ensuite le poids sur son extrémité et le jette à la fin.</v>
      </c>
    </row>
    <row r="19736">
      <c r="A19736" s="4" t="s">
        <v>24840</v>
      </c>
      <c r="B19736" s="4" t="s">
        <v>24841</v>
      </c>
      <c r="C19736" s="5" t="str">
        <f>IFERROR(__xludf.DUMMYFUNCTION("GOOGLETRANSLATE(B19736,""en"",""fr"")"),"Deux jeunes amis sont ensemble sur une plage de sable.")</f>
        <v>Deux jeunes amis sont ensemble sur une plage de sable.</v>
      </c>
    </row>
    <row r="19737">
      <c r="A19737" s="4" t="s">
        <v>24840</v>
      </c>
      <c r="B19737" s="4" t="s">
        <v>24842</v>
      </c>
      <c r="C19737" s="5" t="str">
        <f>IFERROR(__xludf.DUMMYFUNCTION("GOOGLETRANSLATE(B19737,""en"",""fr"")"),"D'abord, la fille à droite parle, puis son amie dans un t-shirt violet parle ensuite.")</f>
        <v>D'abord, la fille à droite parle, puis son amie dans un t-shirt violet parle ensuite.</v>
      </c>
    </row>
    <row r="19738">
      <c r="A19738" s="4" t="s">
        <v>24840</v>
      </c>
      <c r="B19738" s="6" t="s">
        <v>24843</v>
      </c>
      <c r="C19738" s="5" t="str">
        <f>IFERROR(__xludf.DUMMYFUNCTION("GOOGLETRANSLATE(B19738,""en"",""fr"")"),"Elle finit en se tournant vers son amie et ils se lèvent, saisissant les mains et sortent de la scène vers la droite.")</f>
        <v>Elle finit en se tournant vers son amie et ils se lèvent, saisissant les mains et sortent de la scène vers la droite.</v>
      </c>
    </row>
    <row r="19739">
      <c r="A19739" s="4" t="s">
        <v>24840</v>
      </c>
      <c r="B19739" s="6" t="s">
        <v>24844</v>
      </c>
      <c r="C19739" s="5" t="str">
        <f>IFERROR(__xludf.DUMMYFUNCTION("GOOGLETRANSLATE(B19739,""en"",""fr"")"),"Ensuite, nous les voyons à nouveau assis sur le sable face aux autres alors qu'ils commencent à construire quelque chose dans le sable.")</f>
        <v>Ensuite, nous les voyons à nouveau assis sur le sable face aux autres alors qu'ils commencent à construire quelque chose dans le sable.</v>
      </c>
    </row>
    <row r="19740">
      <c r="A19740" s="4" t="s">
        <v>24840</v>
      </c>
      <c r="B19740" s="4" t="s">
        <v>24845</v>
      </c>
      <c r="C19740" s="5" t="str">
        <f>IFERROR(__xludf.DUMMYFUNCTION("GOOGLETRANSLATE(B19740,""en"",""fr"")"),"L'objectif est déplacé vers une fille, qui parle et se termine en écrivant quelque chose dans le sable.")</f>
        <v>L'objectif est déplacé vers une fille, qui parle et se termine en écrivant quelque chose dans le sable.</v>
      </c>
    </row>
    <row r="19741">
      <c r="A19741" s="4" t="s">
        <v>24846</v>
      </c>
      <c r="B19741" s="4" t="s">
        <v>24847</v>
      </c>
      <c r="C19741" s="5" t="str">
        <f>IFERROR(__xludf.DUMMYFUNCTION("GOOGLETRANSLATE(B19741,""en"",""fr"")"),"Divers clips sont représentés de personnes qui roulent sur des vélos ainsi que de s'asseoir sur des vélos prêts à courir.")</f>
        <v>Divers clips sont représentés de personnes qui roulent sur des vélos ainsi que de s'asseoir sur des vélos prêts à courir.</v>
      </c>
    </row>
    <row r="19742">
      <c r="A19742" s="4" t="s">
        <v>24846</v>
      </c>
      <c r="B19742" s="4" t="s">
        <v>24848</v>
      </c>
      <c r="C19742" s="5" t="str">
        <f>IFERROR(__xludf.DUMMYFUNCTION("GOOGLETRANSLATE(B19742,""en"",""fr"")"),"Plusieurs clips sont illustrés à des gens de près ainsi que ceux qui roulent sur des vélos.")</f>
        <v>Plusieurs clips sont illustrés à des gens de près ainsi que ceux qui roulent sur des vélos.</v>
      </c>
    </row>
    <row r="19743">
      <c r="A19743" s="4" t="s">
        <v>24849</v>
      </c>
      <c r="B19743" s="4" t="s">
        <v>24850</v>
      </c>
      <c r="C19743" s="5" t="str">
        <f>IFERROR(__xludf.DUMMYFUNCTION("GOOGLETRANSLATE(B19743,""en"",""fr"")"),"Un homme met un bois droit sur une souche d'arbre.")</f>
        <v>Un homme met un bois droit sur une souche d'arbre.</v>
      </c>
    </row>
    <row r="19744">
      <c r="A19744" s="4" t="s">
        <v>24849</v>
      </c>
      <c r="B19744" s="4" t="s">
        <v>24851</v>
      </c>
      <c r="C19744" s="5" t="str">
        <f>IFERROR(__xludf.DUMMYFUNCTION("GOOGLETRANSLATE(B19744,""en"",""fr"")"),"Un gars divise le bois en moitiés.")</f>
        <v>Un gars divise le bois en moitiés.</v>
      </c>
    </row>
    <row r="19745">
      <c r="A19745" s="4" t="s">
        <v>24849</v>
      </c>
      <c r="B19745" s="4" t="s">
        <v>24852</v>
      </c>
      <c r="C19745" s="5" t="str">
        <f>IFERROR(__xludf.DUMMYFUNCTION("GOOGLETRANSLATE(B19745,""en"",""fr"")"),"Un gars essaie à plusieurs reprises de couper un bois.")</f>
        <v>Un gars essaie à plusieurs reprises de couper un bois.</v>
      </c>
    </row>
    <row r="19746">
      <c r="A19746" s="4" t="s">
        <v>24849</v>
      </c>
      <c r="B19746" s="4" t="s">
        <v>573</v>
      </c>
      <c r="C19746" s="5" t="str">
        <f>IFERROR(__xludf.DUMMYFUNCTION("GOOGLETRANSLATE(B19746,""en"",""fr"")"),"Les crédits de la vidéo sont affichés.")</f>
        <v>Les crédits de la vidéo sont affichés.</v>
      </c>
    </row>
    <row r="19747">
      <c r="A19747" s="4" t="s">
        <v>24853</v>
      </c>
      <c r="B19747" s="4" t="s">
        <v>24854</v>
      </c>
      <c r="C19747" s="5" t="str">
        <f>IFERROR(__xludf.DUMMYFUNCTION("GOOGLETRANSLATE(B19747,""en"",""fr"")"),"Une balle vole dans son air sur un terrain de baseball.")</f>
        <v>Une balle vole dans son air sur un terrain de baseball.</v>
      </c>
    </row>
    <row r="19748">
      <c r="A19748" s="4" t="s">
        <v>24853</v>
      </c>
      <c r="B19748" s="4" t="s">
        <v>24855</v>
      </c>
      <c r="C19748" s="5" t="str">
        <f>IFERROR(__xludf.DUMMYFUNCTION("GOOGLETRANSLATE(B19748,""en"",""fr"")"),"La personne avec la caméra décolle en cours d'exécution.")</f>
        <v>La personne avec la caméra décolle en cours d'exécution.</v>
      </c>
    </row>
    <row r="19749">
      <c r="A19749" s="4" t="s">
        <v>24853</v>
      </c>
      <c r="B19749" s="4" t="s">
        <v>24856</v>
      </c>
      <c r="C19749" s="5" t="str">
        <f>IFERROR(__xludf.DUMMYFUNCTION("GOOGLETRANSLATE(B19749,""en"",""fr"")"),"Le coureur s'arrête sur la base d'accueil et se retourne.")</f>
        <v>Le coureur s'arrête sur la base d'accueil et se retourne.</v>
      </c>
    </row>
    <row r="19750">
      <c r="A19750" s="4" t="s">
        <v>24853</v>
      </c>
      <c r="B19750" s="4" t="s">
        <v>24857</v>
      </c>
      <c r="C19750" s="5" t="str">
        <f>IFERROR(__xludf.DUMMYFUNCTION("GOOGLETRANSLATE(B19750,""en"",""fr"")"),"Nous voyons les gens à l'arrière du terrain.")</f>
        <v>Nous voyons les gens à l'arrière du terrain.</v>
      </c>
    </row>
    <row r="19751">
      <c r="A19751" s="4" t="s">
        <v>24858</v>
      </c>
      <c r="B19751" s="6" t="s">
        <v>24859</v>
      </c>
      <c r="C19751" s="5" t="str">
        <f>IFERROR(__xludf.DUMMYFUNCTION("GOOGLETRANSLATE(B19751,""en"",""fr"")"),"Un grand groupe de personnes est vue debout autour d'une piscine ainsi que des gens qui écrivent sur papier et se parlent.")</f>
        <v>Un grand groupe de personnes est vue debout autour d'une piscine ainsi que des gens qui écrivent sur papier et se parlent.</v>
      </c>
    </row>
    <row r="19752">
      <c r="A19752" s="4" t="s">
        <v>24858</v>
      </c>
      <c r="B19752" s="4" t="s">
        <v>24860</v>
      </c>
      <c r="C19752" s="5" t="str">
        <f>IFERROR(__xludf.DUMMYFUNCTION("GOOGLETRANSLATE(B19752,""en"",""fr"")"),"Plus de gens sont vus plonger sur une planche et sauter sur le côté.")</f>
        <v>Plus de gens sont vus plonger sur une planche et sauter sur le côté.</v>
      </c>
    </row>
    <row r="19753">
      <c r="A19753" s="4" t="s">
        <v>24858</v>
      </c>
      <c r="B19753" s="4" t="s">
        <v>24861</v>
      </c>
      <c r="C19753" s="5" t="str">
        <f>IFERROR(__xludf.DUMMYFUNCTION("GOOGLETRANSLATE(B19753,""en"",""fr"")"),"Plusieurs personnes sont vues regarder sur le côté alors que les enfants continuent de plonger.")</f>
        <v>Plusieurs personnes sont vues regarder sur le côté alors que les enfants continuent de plonger.</v>
      </c>
    </row>
    <row r="19754">
      <c r="A19754" s="4" t="s">
        <v>24862</v>
      </c>
      <c r="B19754" s="4" t="s">
        <v>24863</v>
      </c>
      <c r="C19754" s="5" t="str">
        <f>IFERROR(__xludf.DUMMYFUNCTION("GOOGLETRANSLATE(B19754,""en"",""fr"")"),"Un dessin d'avions et de machines est utilisé, puis des images d'hommes et d'une femme.")</f>
        <v>Un dessin d'avions et de machines est utilisé, puis des images d'hommes et d'une femme.</v>
      </c>
    </row>
    <row r="19755">
      <c r="A19755" s="4" t="s">
        <v>24862</v>
      </c>
      <c r="B19755" s="6" t="s">
        <v>24864</v>
      </c>
      <c r="C19755" s="5" t="str">
        <f>IFERROR(__xludf.DUMMYFUNCTION("GOOGLETRANSLATE(B19755,""en"",""fr"")"),"Un homme en chemise bleue brosse une peinture à un modèle d'avion, puis il peint une couleur différente pour faire ressembler l'avion à un camouflage.")</f>
        <v>Un homme en chemise bleue brosse une peinture à un modèle d'avion, puis il peint une couleur différente pour faire ressembler l'avion à un camouflage.</v>
      </c>
    </row>
    <row r="19756">
      <c r="A19756" s="4" t="s">
        <v>24865</v>
      </c>
      <c r="B19756" s="4" t="s">
        <v>24866</v>
      </c>
      <c r="C19756" s="5" t="str">
        <f>IFERROR(__xludf.DUMMYFUNCTION("GOOGLETRANSLATE(B19756,""en"",""fr"")"),"Un homme est assis à côté de plusieurs petits arbres.")</f>
        <v>Un homme est assis à côté de plusieurs petits arbres.</v>
      </c>
    </row>
    <row r="19757">
      <c r="A19757" s="4" t="s">
        <v>24865</v>
      </c>
      <c r="B19757" s="4" t="s">
        <v>24867</v>
      </c>
      <c r="C19757" s="5" t="str">
        <f>IFERROR(__xludf.DUMMYFUNCTION("GOOGLETRANSLATE(B19757,""en"",""fr"")"),"Il retire quelques feuilles des arbres.")</f>
        <v>Il retire quelques feuilles des arbres.</v>
      </c>
    </row>
    <row r="19758">
      <c r="A19758" s="4" t="s">
        <v>24865</v>
      </c>
      <c r="B19758" s="4" t="s">
        <v>24868</v>
      </c>
      <c r="C19758" s="5" t="str">
        <f>IFERROR(__xludf.DUMMYFUNCTION("GOOGLETRANSLATE(B19758,""en"",""fr"")"),"Il prend des ciseaux et coupe quelques feuilles de l'arbre.")</f>
        <v>Il prend des ciseaux et coupe quelques feuilles de l'arbre.</v>
      </c>
    </row>
    <row r="19759">
      <c r="A19759" s="4" t="s">
        <v>24869</v>
      </c>
      <c r="B19759" s="4" t="s">
        <v>24870</v>
      </c>
      <c r="C19759" s="5" t="str">
        <f>IFERROR(__xludf.DUMMYFUNCTION("GOOGLETRANSLATE(B19759,""en"",""fr"")"),"Un homme qui skie dans une rivière.")</f>
        <v>Un homme qui skie dans une rivière.</v>
      </c>
    </row>
    <row r="19760">
      <c r="A19760" s="4" t="s">
        <v>24869</v>
      </c>
      <c r="B19760" s="4" t="s">
        <v>24871</v>
      </c>
      <c r="C19760" s="5" t="str">
        <f>IFERROR(__xludf.DUMMYFUNCTION("GOOGLETRANSLATE(B19760,""en"",""fr"")"),"Un homme aux cheveux longs exploite un bateau et le bateau traîne un homme en skiant à l'eau sur l'eau.")</f>
        <v>Un homme aux cheveux longs exploite un bateau et le bateau traîne un homme en skiant à l'eau sur l'eau.</v>
      </c>
    </row>
    <row r="19761">
      <c r="A19761" s="4" t="s">
        <v>24869</v>
      </c>
      <c r="B19761" s="4" t="s">
        <v>14857</v>
      </c>
      <c r="C19761" s="5" t="str">
        <f>IFERROR(__xludf.DUMMYFUNCTION("GOOGLETRANSLATE(B19761,""en"",""fr"")"),"Un homme dans des lunettes parle de la caméra.")</f>
        <v>Un homme dans des lunettes parle de la caméra.</v>
      </c>
    </row>
    <row r="19762">
      <c r="A19762" s="4" t="s">
        <v>24869</v>
      </c>
      <c r="B19762" s="4" t="s">
        <v>24872</v>
      </c>
      <c r="C19762" s="5" t="str">
        <f>IFERROR(__xludf.DUMMYFUNCTION("GOOGLETRANSLATE(B19762,""en"",""fr"")"),"Un gars tenant une corde attachée à un bateau skiis.")</f>
        <v>Un gars tenant une corde attachée à un bateau skiis.</v>
      </c>
    </row>
    <row r="19763">
      <c r="A19763" s="4" t="s">
        <v>24869</v>
      </c>
      <c r="B19763" s="6" t="s">
        <v>24873</v>
      </c>
      <c r="C19763" s="5" t="str">
        <f>IFERROR(__xludf.DUMMYFUNCTION("GOOGLETRANSLATE(B19763,""en"",""fr"")"),"L'homme dans les lunettes apparaît à nouveau, parlant à la caméra et pointe un homme qui skiait sur l'eau sur la rivière.")</f>
        <v>L'homme dans les lunettes apparaît à nouveau, parlant à la caméra et pointe un homme qui skiait sur l'eau sur la rivière.</v>
      </c>
    </row>
    <row r="19764">
      <c r="A19764" s="4" t="s">
        <v>24869</v>
      </c>
      <c r="B19764" s="4" t="s">
        <v>24874</v>
      </c>
      <c r="C19764" s="5" t="str">
        <f>IFERROR(__xludf.DUMMYFUNCTION("GOOGLETRANSLATE(B19764,""en"",""fr"")"),"Le skiier nautique glisse d'avant en arrière sur l'eau de la rivière.")</f>
        <v>Le skiier nautique glisse d'avant en arrière sur l'eau de la rivière.</v>
      </c>
    </row>
    <row r="19765">
      <c r="A19765" s="4" t="s">
        <v>24869</v>
      </c>
      <c r="B19765" s="4" t="s">
        <v>24875</v>
      </c>
      <c r="C19765" s="5" t="str">
        <f>IFERROR(__xludf.DUMMYFUNCTION("GOOGLETRANSLATE(B19765,""en"",""fr"")"),"L'homme en verres parle des skiis nautiques.")</f>
        <v>L'homme en verres parle des skiis nautiques.</v>
      </c>
    </row>
    <row r="19766">
      <c r="A19766" s="4" t="s">
        <v>24876</v>
      </c>
      <c r="B19766" s="4" t="s">
        <v>24877</v>
      </c>
      <c r="C19766" s="5" t="str">
        <f>IFERROR(__xludf.DUMMYFUNCTION("GOOGLETRANSLATE(B19766,""en"",""fr"")"),"Un petit enfant est vu debout sur un trampoline et jetant une balle au loin.")</f>
        <v>Un petit enfant est vu debout sur un trampoline et jetant une balle au loin.</v>
      </c>
    </row>
    <row r="19767">
      <c r="A19767" s="4" t="s">
        <v>24876</v>
      </c>
      <c r="B19767" s="4" t="s">
        <v>24878</v>
      </c>
      <c r="C19767" s="5" t="str">
        <f>IFERROR(__xludf.DUMMYFUNCTION("GOOGLETRANSLATE(B19767,""en"",""fr"")"),"Plus d'enfants sont vus ramasser des balles et les jeter de l'autre côté.")</f>
        <v>Plus d'enfants sont vus ramasser des balles et les jeter de l'autre côté.</v>
      </c>
    </row>
    <row r="19768">
      <c r="A19768" s="4" t="s">
        <v>24876</v>
      </c>
      <c r="B19768" s="4" t="s">
        <v>24879</v>
      </c>
      <c r="C19768" s="5" t="str">
        <f>IFERROR(__xludf.DUMMYFUNCTION("GOOGLETRANSLATE(B19768,""en"",""fr"")"),"Plus d'enfants sont vus lancer des balles et jouer au Dodgeball les uns avec les autres.")</f>
        <v>Plus d'enfants sont vus lancer des balles et jouer au Dodgeball les uns avec les autres.</v>
      </c>
    </row>
    <row r="19769">
      <c r="A19769" s="4" t="s">
        <v>24880</v>
      </c>
      <c r="B19769" s="6" t="s">
        <v>24881</v>
      </c>
      <c r="C19769" s="5" t="str">
        <f>IFERROR(__xludf.DUMMYFUNCTION("GOOGLETRANSLATE(B19769,""en"",""fr"")"),"Divers plans sont illustrés à des plongeurs de plongée se déplaçant le long de l'eau ainsi que des personnes qui montent et conduisaient des bateaux.")</f>
        <v>Divers plans sont illustrés à des plongeurs de plongée se déplaçant le long de l'eau ainsi que des personnes qui montent et conduisaient des bateaux.</v>
      </c>
    </row>
    <row r="19770">
      <c r="A19770" s="4" t="s">
        <v>24880</v>
      </c>
      <c r="B19770" s="4" t="s">
        <v>24882</v>
      </c>
      <c r="C19770" s="5" t="str">
        <f>IFERROR(__xludf.DUMMYFUNCTION("GOOGLETRANSLATE(B19770,""en"",""fr"")"),"Plus de clips sont montrés des gens qui se préparent sur terre ainsi que de nager dans l'océan.")</f>
        <v>Plus de clips sont montrés des gens qui se préparent sur terre ainsi que de nager dans l'océan.</v>
      </c>
    </row>
    <row r="19771">
      <c r="A19771" s="4" t="s">
        <v>24883</v>
      </c>
      <c r="B19771" s="4" t="s">
        <v>24884</v>
      </c>
      <c r="C19771" s="5" t="str">
        <f>IFERROR(__xludf.DUMMYFUNCTION("GOOGLETRANSLATE(B19771,""en"",""fr"")"),"Un petit chien est vu debout dans la neige et une personne poussant la neige avec une pelle.")</f>
        <v>Un petit chien est vu debout dans la neige et une personne poussant la neige avec une pelle.</v>
      </c>
    </row>
    <row r="19772">
      <c r="A19772" s="4" t="s">
        <v>24883</v>
      </c>
      <c r="B19772" s="4" t="s">
        <v>24885</v>
      </c>
      <c r="C19772" s="5" t="str">
        <f>IFERROR(__xludf.DUMMYFUNCTION("GOOGLETRANSLATE(B19772,""en"",""fr"")"),"Le chien suit la personne à pelleter tout en mordant la pelle et en aboyant à l'homme de la caméra.")</f>
        <v>Le chien suit la personne à pelleter tout en mordant la pelle et en aboyant à l'homme de la caméra.</v>
      </c>
    </row>
    <row r="19773">
      <c r="A19773" s="4" t="s">
        <v>24886</v>
      </c>
      <c r="B19773" s="4" t="s">
        <v>24887</v>
      </c>
      <c r="C19773" s="5" t="str">
        <f>IFERROR(__xludf.DUMMYFUNCTION("GOOGLETRANSLATE(B19773,""en"",""fr"")"),"Les lettres RPM apparaissent à l'écran.")</f>
        <v>Les lettres RPM apparaissent à l'écran.</v>
      </c>
    </row>
    <row r="19774">
      <c r="A19774" s="4" t="s">
        <v>24886</v>
      </c>
      <c r="B19774" s="4" t="s">
        <v>24888</v>
      </c>
      <c r="C19774" s="5" t="str">
        <f>IFERROR(__xludf.DUMMYFUNCTION("GOOGLETRANSLATE(B19774,""en"",""fr"")"),"Une chambre est remplie de personnes qui font du vélo d'exercice.")</f>
        <v>Une chambre est remplie de personnes qui font du vélo d'exercice.</v>
      </c>
    </row>
    <row r="19775">
      <c r="A19775" s="4" t="s">
        <v>24886</v>
      </c>
      <c r="B19775" s="4" t="s">
        <v>24889</v>
      </c>
      <c r="C19775" s="5" t="str">
        <f>IFERROR(__xludf.DUMMYFUNCTION("GOOGLETRANSLATE(B19775,""en"",""fr"")"),"Ils vont aussi vite que possible, annonçant un gymnase de fitness.")</f>
        <v>Ils vont aussi vite que possible, annonçant un gymnase de fitness.</v>
      </c>
    </row>
    <row r="19776">
      <c r="A19776" s="4" t="s">
        <v>24890</v>
      </c>
      <c r="B19776" s="4" t="s">
        <v>24891</v>
      </c>
      <c r="C19776" s="5" t="str">
        <f>IFERROR(__xludf.DUMMYFUNCTION("GOOGLETRANSLATE(B19776,""en"",""fr"")"),"Les gens commencent à se battre à l'extérieur sur le terrain.")</f>
        <v>Les gens commencent à se battre à l'extérieur sur le terrain.</v>
      </c>
    </row>
    <row r="19777">
      <c r="A19777" s="4" t="s">
        <v>24890</v>
      </c>
      <c r="B19777" s="4" t="s">
        <v>24892</v>
      </c>
      <c r="C19777" s="5" t="str">
        <f>IFERROR(__xludf.DUMMYFUNCTION("GOOGLETRANSLATE(B19777,""en"",""fr"")"),"Ils frappent un homme sur le sol.")</f>
        <v>Ils frappent un homme sur le sol.</v>
      </c>
    </row>
    <row r="19778">
      <c r="A19778" s="4" t="s">
        <v>24890</v>
      </c>
      <c r="B19778" s="4" t="s">
        <v>24893</v>
      </c>
      <c r="C19778" s="5" t="str">
        <f>IFERROR(__xludf.DUMMYFUNCTION("GOOGLETRANSLATE(B19778,""en"",""fr"")"),"Ils le soulèvent en l'air et le claquent sur le sol.")</f>
        <v>Ils le soulèvent en l'air et le claquent sur le sol.</v>
      </c>
    </row>
    <row r="19779">
      <c r="A19779" s="4" t="s">
        <v>24894</v>
      </c>
      <c r="B19779" s="4" t="s">
        <v>24895</v>
      </c>
      <c r="C19779" s="5" t="str">
        <f>IFERROR(__xludf.DUMMYFUNCTION("GOOGLETRANSLATE(B19779,""en"",""fr"")"),"Un homme porte un casque de soudage et tient une tige.")</f>
        <v>Un homme porte un casque de soudage et tient une tige.</v>
      </c>
    </row>
    <row r="19780">
      <c r="A19780" s="4" t="s">
        <v>24894</v>
      </c>
      <c r="B19780" s="4" t="s">
        <v>24896</v>
      </c>
      <c r="C19780" s="5" t="str">
        <f>IFERROR(__xludf.DUMMYFUNCTION("GOOGLETRANSLATE(B19780,""en"",""fr"")"),"Ensuite, l'homme utilise la route pour maintenir un morceau de métal sur le sol.")</f>
        <v>Ensuite, l'homme utilise la route pour maintenir un morceau de métal sur le sol.</v>
      </c>
    </row>
    <row r="19781">
      <c r="A19781" s="4" t="s">
        <v>24897</v>
      </c>
      <c r="B19781" s="4" t="s">
        <v>24898</v>
      </c>
      <c r="C19781" s="5" t="str">
        <f>IFERROR(__xludf.DUMMYFUNCTION("GOOGLETRANSLATE(B19781,""en"",""fr"")"),"Il y a un double match de badminton pour les dames dans un tribunal intérieur.")</f>
        <v>Il y a un double match de badminton pour les dames dans un tribunal intérieur.</v>
      </c>
    </row>
    <row r="19782">
      <c r="A19782" s="4" t="s">
        <v>24897</v>
      </c>
      <c r="B19782" s="6" t="s">
        <v>24899</v>
      </c>
      <c r="C19782" s="5" t="str">
        <f>IFERROR(__xludf.DUMMYFUNCTION("GOOGLETRANSLATE(B19782,""en"",""fr"")"),"Il y a plusieurs spectateurs qui regardent le match alors que les partenaires de double ont frappé la navette avec leurs raquettes.")</f>
        <v>Il y a plusieurs spectateurs qui regardent le match alors que les partenaires de double ont frappé la navette avec leurs raquettes.</v>
      </c>
    </row>
    <row r="19783">
      <c r="A19783" s="4" t="s">
        <v>24897</v>
      </c>
      <c r="B19783" s="4" t="s">
        <v>24900</v>
      </c>
      <c r="C19783" s="5" t="str">
        <f>IFERROR(__xludf.DUMMYFUNCTION("GOOGLETRANSLATE(B19783,""en"",""fr"")"),"La foule encourage au fil du match et les joueurs ont frappé avec leurs raquettes d'avant en arrière.")</f>
        <v>La foule encourage au fil du match et les joueurs ont frappé avec leurs raquettes d'avant en arrière.</v>
      </c>
    </row>
    <row r="19784">
      <c r="A19784" s="4" t="s">
        <v>24901</v>
      </c>
      <c r="B19784" s="4" t="s">
        <v>24902</v>
      </c>
      <c r="C19784" s="5" t="str">
        <f>IFERROR(__xludf.DUMMYFUNCTION("GOOGLETRANSLATE(B19784,""en"",""fr"")"),"Un homme se lève, hurlant bruyamment alors qu'il soulève une haltère.")</f>
        <v>Un homme se lève, hurlant bruyamment alors qu'il soulève une haltère.</v>
      </c>
    </row>
    <row r="19785">
      <c r="A19785" s="4" t="s">
        <v>24901</v>
      </c>
      <c r="B19785" s="4" t="s">
        <v>24903</v>
      </c>
      <c r="C19785" s="5" t="str">
        <f>IFERROR(__xludf.DUMMYFUNCTION("GOOGLETRANSLATE(B19785,""en"",""fr"")"),"Il soulève un poids au-dessus de sa tête.")</f>
        <v>Il soulève un poids au-dessus de sa tête.</v>
      </c>
    </row>
    <row r="19786">
      <c r="A19786" s="4" t="s">
        <v>24901</v>
      </c>
      <c r="B19786" s="4" t="s">
        <v>24904</v>
      </c>
      <c r="C19786" s="5" t="str">
        <f>IFERROR(__xludf.DUMMYFUNCTION("GOOGLETRANSLATE(B19786,""en"",""fr"")"),"Un autre homme est montré soulevant un poids en tant que monnaie de foule.")</f>
        <v>Un autre homme est montré soulevant un poids en tant que monnaie de foule.</v>
      </c>
    </row>
    <row r="19787">
      <c r="A19787" s="4" t="s">
        <v>24901</v>
      </c>
      <c r="B19787" s="4" t="s">
        <v>24905</v>
      </c>
      <c r="C19787" s="5" t="str">
        <f>IFERROR(__xludf.DUMMYFUNCTION("GOOGLETRANSLATE(B19787,""en"",""fr"")"),"Plusieurs haltérophiles continuent de soulever des haltères.")</f>
        <v>Plusieurs haltérophiles continuent de soulever des haltères.</v>
      </c>
    </row>
    <row r="19788">
      <c r="A19788" s="4" t="s">
        <v>24901</v>
      </c>
      <c r="B19788" s="4" t="s">
        <v>24906</v>
      </c>
      <c r="C19788" s="5" t="str">
        <f>IFERROR(__xludf.DUMMYFUNCTION("GOOGLETRANSLATE(B19788,""en"",""fr"")"),"Un homme est montré allongé pendant qu'il est blessé.")</f>
        <v>Un homme est montré allongé pendant qu'il est blessé.</v>
      </c>
    </row>
    <row r="19789">
      <c r="A19789" s="4" t="s">
        <v>24907</v>
      </c>
      <c r="B19789" s="4" t="s">
        <v>24908</v>
      </c>
      <c r="C19789" s="5" t="str">
        <f>IFERROR(__xludf.DUMMYFUNCTION("GOOGLETRANSLATE(B19789,""en"",""fr"")"),"Deux hommes sont vus debout dans une pièce et commencent à frapper une balle tandis que d'autres regardent.")</f>
        <v>Deux hommes sont vus debout dans une pièce et commencent à frapper une balle tandis que d'autres regardent.</v>
      </c>
    </row>
    <row r="19790">
      <c r="A19790" s="4" t="s">
        <v>24907</v>
      </c>
      <c r="B19790" s="4" t="s">
        <v>24909</v>
      </c>
      <c r="C19790" s="5" t="str">
        <f>IFERROR(__xludf.DUMMYFUNCTION("GOOGLETRANSLATE(B19790,""en"",""fr"")"),"Plus d'hommes apparaissent dans la pièce et sont vus chasser autour d'une balle de tennis et la frapper.")</f>
        <v>Plus d'hommes apparaissent dans la pièce et sont vus chasser autour d'une balle de tennis et la frapper.</v>
      </c>
    </row>
    <row r="19791">
      <c r="A19791" s="4" t="s">
        <v>24910</v>
      </c>
      <c r="B19791" s="4" t="s">
        <v>24911</v>
      </c>
      <c r="C19791" s="5" t="str">
        <f>IFERROR(__xludf.DUMMYFUNCTION("GOOGLETRANSLATE(B19791,""en"",""fr"")"),"Le ciment est fabriqué dans le ciment mélangeur.")</f>
        <v>Le ciment est fabriqué dans le ciment mélangeur.</v>
      </c>
    </row>
    <row r="19792">
      <c r="A19792" s="4" t="s">
        <v>24910</v>
      </c>
      <c r="B19792" s="4" t="s">
        <v>24912</v>
      </c>
      <c r="C19792" s="5" t="str">
        <f>IFERROR(__xludf.DUMMYFUNCTION("GOOGLETRANSLATE(B19792,""en"",""fr"")"),"Trois hommes hispaniques jettent les bases de la piscine avec un pistolet en ciment.")</f>
        <v>Trois hommes hispaniques jettent les bases de la piscine avec un pistolet en ciment.</v>
      </c>
    </row>
    <row r="19793">
      <c r="A19793" s="4" t="s">
        <v>24910</v>
      </c>
      <c r="B19793" s="6" t="s">
        <v>24913</v>
      </c>
      <c r="C19793" s="5" t="str">
        <f>IFERROR(__xludf.DUMMYFUNCTION("GOOGLETRANSLATE(B19793,""en"",""fr"")"),"Un homme vêtu de blanc fait la finition en ciment alors que les autres hommes posent le ciment avec un pistolet.")</f>
        <v>Un homme vêtu de blanc fait la finition en ciment alors que les autres hommes posent le ciment avec un pistolet.</v>
      </c>
    </row>
    <row r="19794">
      <c r="A19794" s="4" t="s">
        <v>24910</v>
      </c>
      <c r="B19794" s="4" t="s">
        <v>24914</v>
      </c>
      <c r="C19794" s="5" t="str">
        <f>IFERROR(__xludf.DUMMYFUNCTION("GOOGLETRANSLATE(B19794,""en"",""fr"")"),"Une fois le ciment terminé, tous les hommes commencent à terminer.")</f>
        <v>Une fois le ciment terminé, tous les hommes commencent à terminer.</v>
      </c>
    </row>
    <row r="19795">
      <c r="A19795" s="4" t="s">
        <v>24915</v>
      </c>
      <c r="B19795" s="4" t="s">
        <v>24916</v>
      </c>
      <c r="C19795" s="5" t="str">
        <f>IFERROR(__xludf.DUMMYFUNCTION("GOOGLETRANSLATE(B19795,""en"",""fr"")"),"Les skieurs marchent et se tiennent sur des skis au bas de la colline à une station de ski.")</f>
        <v>Les skieurs marchent et se tiennent sur des skis au bas de la colline à une station de ski.</v>
      </c>
    </row>
    <row r="19796">
      <c r="A19796" s="4" t="s">
        <v>24915</v>
      </c>
      <c r="B19796" s="4" t="s">
        <v>24917</v>
      </c>
      <c r="C19796" s="5" t="str">
        <f>IFERROR(__xludf.DUMMYFUNCTION("GOOGLETRANSLATE(B19796,""en"",""fr"")"),"Les enfants roulent sur des tubes gonflables sur des voies sur une piste de ski.")</f>
        <v>Les enfants roulent sur des tubes gonflables sur des voies sur une piste de ski.</v>
      </c>
    </row>
    <row r="19797">
      <c r="A19797" s="4" t="s">
        <v>24915</v>
      </c>
      <c r="B19797" s="4" t="s">
        <v>24918</v>
      </c>
      <c r="C19797" s="5" t="str">
        <f>IFERROR(__xludf.DUMMYFUNCTION("GOOGLETRANSLATE(B19797,""en"",""fr"")"),"Les snowboarders et les skieurs descendent des courses de ski tandis que d'autres groupes sont assis sur le lifting de ski.")</f>
        <v>Les snowboarders et les skieurs descendent des courses de ski tandis que d'autres groupes sont assis sur le lifting de ski.</v>
      </c>
    </row>
    <row r="19798">
      <c r="A19798" s="4" t="s">
        <v>24915</v>
      </c>
      <c r="B19798" s="4" t="s">
        <v>24919</v>
      </c>
      <c r="C19798" s="5" t="str">
        <f>IFERROR(__xludf.DUMMYFUNCTION("GOOGLETRANSLATE(B19798,""en"",""fr"")"),"Un groupe est accroché à une corde de remorquage sur des tubes internes et lance des boules de neige.")</f>
        <v>Un groupe est accroché à une corde de remorquage sur des tubes internes et lance des boules de neige.</v>
      </c>
    </row>
    <row r="19799">
      <c r="A19799" s="4" t="s">
        <v>24920</v>
      </c>
      <c r="B19799" s="4" t="s">
        <v>24921</v>
      </c>
      <c r="C19799" s="5" t="str">
        <f>IFERROR(__xludf.DUMMYFUNCTION("GOOGLETRANSLATE(B19799,""en"",""fr"")"),"Un homme joue une chanson sur une guitare acoustique dans un studio.")</f>
        <v>Un homme joue une chanson sur une guitare acoustique dans un studio.</v>
      </c>
    </row>
    <row r="19800">
      <c r="A19800" s="4" t="s">
        <v>24920</v>
      </c>
      <c r="B19800" s="4" t="s">
        <v>24922</v>
      </c>
      <c r="C19800" s="5" t="str">
        <f>IFERROR(__xludf.DUMMYFUNCTION("GOOGLETRANSLATE(B19800,""en"",""fr"")"),"L'homme réinitialise ses mains et termine la chanson.")</f>
        <v>L'homme réinitialise ses mains et termine la chanson.</v>
      </c>
    </row>
    <row r="19801">
      <c r="A19801" s="4" t="s">
        <v>24923</v>
      </c>
      <c r="B19801" s="4" t="s">
        <v>24924</v>
      </c>
      <c r="C19801" s="5" t="str">
        <f>IFERROR(__xludf.DUMMYFUNCTION("GOOGLETRANSLATE(B19801,""en"",""fr"")"),"Une femme traverse un parking enneigé, à la recherche de sa voiture.")</f>
        <v>Une femme traverse un parking enneigé, à la recherche de sa voiture.</v>
      </c>
    </row>
    <row r="19802">
      <c r="A19802" s="4" t="s">
        <v>24923</v>
      </c>
      <c r="B19802" s="4" t="s">
        <v>24925</v>
      </c>
      <c r="C19802" s="5" t="str">
        <f>IFERROR(__xludf.DUMMYFUNCTION("GOOGLETRANSLATE(B19802,""en"",""fr"")"),"Elle est vue en utilisant une vadrouille pour tenter d'essuyer la neige de sa voiture.")</f>
        <v>Elle est vue en utilisant une vadrouille pour tenter d'essuyer la neige de sa voiture.</v>
      </c>
    </row>
    <row r="19803">
      <c r="A19803" s="4" t="s">
        <v>24923</v>
      </c>
      <c r="B19803" s="4" t="s">
        <v>24926</v>
      </c>
      <c r="C19803" s="5" t="str">
        <f>IFERROR(__xludf.DUMMYFUNCTION("GOOGLETRANSLATE(B19803,""en"",""fr"")"),"La neige commence à tomber alors qu'elle continue de nettoyer.")</f>
        <v>La neige commence à tomber alors qu'elle continue de nettoyer.</v>
      </c>
    </row>
    <row r="19804">
      <c r="A19804" s="4" t="s">
        <v>24927</v>
      </c>
      <c r="B19804" s="4" t="s">
        <v>24928</v>
      </c>
      <c r="C19804" s="5" t="str">
        <f>IFERROR(__xludf.DUMMYFUNCTION("GOOGLETRANSLATE(B19804,""en"",""fr"")"),"Un groupe de pom-pom girls se produit au milieu d'un terrain de basket tandis qu'un public regarde.")</f>
        <v>Un groupe de pom-pom girls se produit au milieu d'un terrain de basket tandis qu'un public regarde.</v>
      </c>
    </row>
    <row r="19805">
      <c r="A19805" s="4" t="s">
        <v>24927</v>
      </c>
      <c r="B19805" s="4" t="s">
        <v>24929</v>
      </c>
      <c r="C19805" s="5" t="str">
        <f>IFERROR(__xludf.DUMMYFUNCTION("GOOGLETRANSLATE(B19805,""en"",""fr"")"),"Un homme marche au bas du cadre.")</f>
        <v>Un homme marche au bas du cadre.</v>
      </c>
    </row>
    <row r="19806">
      <c r="A19806" s="4" t="s">
        <v>24927</v>
      </c>
      <c r="B19806" s="4" t="s">
        <v>24930</v>
      </c>
      <c r="C19806" s="5" t="str">
        <f>IFERROR(__xludf.DUMMYFUNCTION("GOOGLETRANSLATE(B19806,""en"",""fr"")"),"Les pom-pom girls se terminent et un groupe de pom-pom girls les remplacent.")</f>
        <v>Les pom-pom girls se terminent et un groupe de pom-pom girls les remplacent.</v>
      </c>
    </row>
    <row r="19807">
      <c r="A19807" s="4" t="s">
        <v>24931</v>
      </c>
      <c r="B19807" s="6" t="s">
        <v>24932</v>
      </c>
      <c r="C19807" s="5" t="str">
        <f>IFERROR(__xludf.DUMMYFUNCTION("GOOGLETRANSLATE(B19807,""en"",""fr"")"),"Un homme parle et se tient dans une cuisine avec une robe blanche et beaucoup de légumes colorés devant lui.")</f>
        <v>Un homme parle et se tient dans une cuisine avec une robe blanche et beaucoup de légumes colorés devant lui.</v>
      </c>
    </row>
    <row r="19808">
      <c r="A19808" s="4" t="s">
        <v>24931</v>
      </c>
      <c r="B19808" s="6" t="s">
        <v>24933</v>
      </c>
      <c r="C19808" s="5" t="str">
        <f>IFERROR(__xludf.DUMMYFUNCTION("GOOGLETRANSLATE(B19808,""en"",""fr"")"),"Maintenant, les légumes sont partis et l'homme ramasse maintenant quelque chose d'un petit bol sur une assiette blanche qui est assise sur une planche à découper en bois.")</f>
        <v>Maintenant, les légumes sont partis et l'homme ramasse maintenant quelque chose d'un petit bol sur une assiette blanche qui est assise sur une planche à découper en bois.</v>
      </c>
    </row>
    <row r="19809">
      <c r="A19809" s="4" t="s">
        <v>24931</v>
      </c>
      <c r="B19809" s="6" t="s">
        <v>24934</v>
      </c>
      <c r="C19809" s="5" t="str">
        <f>IFERROR(__xludf.DUMMYFUNCTION("GOOGLETRANSLATE(B19809,""en"",""fr"")"),"L'homme commence alors à briser le contenu de son ustensile puis de ses mains jusqu'à ce qu'ils soient en morceaux séparés.")</f>
        <v>L'homme commence alors à briser le contenu de son ustensile puis de ses mains jusqu'à ce qu'ils soient en morceaux séparés.</v>
      </c>
    </row>
    <row r="19810">
      <c r="A19810" s="4" t="s">
        <v>24935</v>
      </c>
      <c r="B19810" s="4" t="s">
        <v>24936</v>
      </c>
      <c r="C19810" s="5" t="str">
        <f>IFERROR(__xludf.DUMMYFUNCTION("GOOGLETRANSLATE(B19810,""en"",""fr"")"),"Un jeune homme en chemise noire frappe une petite balle contre le mur.")</f>
        <v>Un jeune homme en chemise noire frappe une petite balle contre le mur.</v>
      </c>
    </row>
    <row r="19811">
      <c r="A19811" s="4" t="s">
        <v>24935</v>
      </c>
      <c r="B19811" s="4" t="s">
        <v>24937</v>
      </c>
      <c r="C19811" s="5" t="str">
        <f>IFERROR(__xludf.DUMMYFUNCTION("GOOGLETRANSLATE(B19811,""en"",""fr"")"),"Un homme en chemise rouge lui remet le ballon avec sa raquette.")</f>
        <v>Un homme en chemise rouge lui remet le ballon avec sa raquette.</v>
      </c>
    </row>
    <row r="19812">
      <c r="A19812" s="4" t="s">
        <v>24935</v>
      </c>
      <c r="B19812" s="4" t="s">
        <v>24938</v>
      </c>
      <c r="C19812" s="5" t="str">
        <f>IFERROR(__xludf.DUMMYFUNCTION("GOOGLETRANSLATE(B19812,""en"",""fr"")"),"Le jeune homme frappe à nouveau le ballon contre le mur.")</f>
        <v>Le jeune homme frappe à nouveau le ballon contre le mur.</v>
      </c>
    </row>
    <row r="19813">
      <c r="A19813" s="4" t="s">
        <v>24935</v>
      </c>
      <c r="B19813" s="4" t="s">
        <v>24939</v>
      </c>
      <c r="C19813" s="5" t="str">
        <f>IFERROR(__xludf.DUMMYFUNCTION("GOOGLETRANSLATE(B19813,""en"",""fr"")"),"Un groupe d'hommes se promène en essayant de frapper le ballon.")</f>
        <v>Un groupe d'hommes se promène en essayant de frapper le ballon.</v>
      </c>
    </row>
    <row r="19814">
      <c r="A19814" s="4" t="s">
        <v>24935</v>
      </c>
      <c r="B19814" s="4" t="s">
        <v>24940</v>
      </c>
      <c r="C19814" s="5" t="str">
        <f>IFERROR(__xludf.DUMMYFUNCTION("GOOGLETRANSLATE(B19814,""en"",""fr"")"),"Le jeune homme dans la chemise noire remet le ballon à l'homme dans la chemise rouge.")</f>
        <v>Le jeune homme dans la chemise noire remet le ballon à l'homme dans la chemise rouge.</v>
      </c>
    </row>
    <row r="19815">
      <c r="A19815" s="4" t="s">
        <v>24935</v>
      </c>
      <c r="B19815" s="4" t="s">
        <v>24941</v>
      </c>
      <c r="C19815" s="5" t="str">
        <f>IFERROR(__xludf.DUMMYFUNCTION("GOOGLETRANSLATE(B19815,""en"",""fr"")"),"L'homme en chemise rouge frappe le ballon contre le mur.")</f>
        <v>L'homme en chemise rouge frappe le ballon contre le mur.</v>
      </c>
    </row>
    <row r="19816">
      <c r="A19816" s="4" t="s">
        <v>24935</v>
      </c>
      <c r="B19816" s="4" t="s">
        <v>24942</v>
      </c>
      <c r="C19816" s="5" t="str">
        <f>IFERROR(__xludf.DUMMYFUNCTION("GOOGLETRANSLATE(B19816,""en"",""fr"")"),"Le groupe d'hommes coule autour du terrain, balançant leurs raquettes et essayant d'attraper le ballon.")</f>
        <v>Le groupe d'hommes coule autour du terrain, balançant leurs raquettes et essayant d'attraper le ballon.</v>
      </c>
    </row>
    <row r="19817">
      <c r="A19817" s="4" t="s">
        <v>24943</v>
      </c>
      <c r="B19817" s="4" t="s">
        <v>24944</v>
      </c>
      <c r="C19817" s="5" t="str">
        <f>IFERROR(__xludf.DUMMYFUNCTION("GOOGLETRANSLATE(B19817,""en"",""fr"")"),"L'équipe portant un uniforme jaune court dans un champ.")</f>
        <v>L'équipe portant un uniforme jaune court dans un champ.</v>
      </c>
    </row>
    <row r="19818">
      <c r="A19818" s="4" t="s">
        <v>24943</v>
      </c>
      <c r="B19818" s="4" t="s">
        <v>24945</v>
      </c>
      <c r="C19818" s="5" t="str">
        <f>IFERROR(__xludf.DUMMYFUNCTION("GOOGLETRANSLATE(B19818,""en"",""fr"")"),"Les photographes se tiennent dans la prise de photos de l'équipe jaune et bleue.")</f>
        <v>Les photographes se tiennent dans la prise de photos de l'équipe jaune et bleue.</v>
      </c>
    </row>
    <row r="19819">
      <c r="A19819" s="4" t="s">
        <v>24943</v>
      </c>
      <c r="B19819" s="4" t="s">
        <v>24946</v>
      </c>
      <c r="C19819" s="5" t="str">
        <f>IFERROR(__xludf.DUMMYFUNCTION("GOOGLETRANSLATE(B19819,""en"",""fr"")"),"Les équipes commencent à PLA Lacrosse dans un grand champ herbeux Gren.")</f>
        <v>Les équipes commencent à PLA Lacrosse dans un grand champ herbeux Gren.</v>
      </c>
    </row>
    <row r="19820">
      <c r="A19820" s="4" t="s">
        <v>24947</v>
      </c>
      <c r="B19820" s="4" t="s">
        <v>24948</v>
      </c>
      <c r="C19820" s="5" t="str">
        <f>IFERROR(__xludf.DUMMYFUNCTION("GOOGLETRANSLATE(B19820,""en"",""fr"")"),"La dame prend un pinceau et des ciseaux.")</f>
        <v>La dame prend un pinceau et des ciseaux.</v>
      </c>
    </row>
    <row r="19821">
      <c r="A19821" s="4" t="s">
        <v>24947</v>
      </c>
      <c r="B19821" s="4" t="s">
        <v>24949</v>
      </c>
      <c r="C19821" s="5" t="str">
        <f>IFERROR(__xludf.DUMMYFUNCTION("GOOGLETRANSLATE(B19821,""en"",""fr"")"),"Elle balaie la base du stand.")</f>
        <v>Elle balaie la base du stand.</v>
      </c>
    </row>
    <row r="19822">
      <c r="A19822" s="4" t="s">
        <v>24947</v>
      </c>
      <c r="B19822" s="4" t="s">
        <v>24950</v>
      </c>
      <c r="C19822" s="5" t="str">
        <f>IFERROR(__xludf.DUMMYFUNCTION("GOOGLETRANSLATE(B19822,""en"",""fr"")"),"Elle brosse les jambes de la jambe droite des chiens.")</f>
        <v>Elle brosse les jambes de la jambe droite des chiens.</v>
      </c>
    </row>
    <row r="19823">
      <c r="A19823" s="4" t="s">
        <v>24947</v>
      </c>
      <c r="B19823" s="4" t="s">
        <v>24951</v>
      </c>
      <c r="C19823" s="5" t="str">
        <f>IFERROR(__xludf.DUMMYFUNCTION("GOOGLETRANSLATE(B19823,""en"",""fr"")"),"Elle coupe ensuite les cheveux sur cette patte.")</f>
        <v>Elle coupe ensuite les cheveux sur cette patte.</v>
      </c>
    </row>
    <row r="19824">
      <c r="A19824" s="4" t="s">
        <v>24947</v>
      </c>
      <c r="B19824" s="4" t="s">
        <v>24952</v>
      </c>
      <c r="C19824" s="5" t="str">
        <f>IFERROR(__xludf.DUMMYFUNCTION("GOOGLETRANSLATE(B19824,""en"",""fr"")"),"Elle frôle la fourrure vers le haut.")</f>
        <v>Elle frôle la fourrure vers le haut.</v>
      </c>
    </row>
    <row r="19825">
      <c r="A19825" s="4" t="s">
        <v>24947</v>
      </c>
      <c r="B19825" s="4" t="s">
        <v>24953</v>
      </c>
      <c r="C19825" s="5" t="str">
        <f>IFERROR(__xludf.DUMMYFUNCTION("GOOGLETRANSLATE(B19825,""en"",""fr"")"),"Elle coupe ensuite la fourrure sur la patte à nouveau.")</f>
        <v>Elle coupe ensuite la fourrure sur la patte à nouveau.</v>
      </c>
    </row>
    <row r="19826">
      <c r="A19826" s="4" t="s">
        <v>24947</v>
      </c>
      <c r="B19826" s="4" t="s">
        <v>24954</v>
      </c>
      <c r="C19826" s="5" t="str">
        <f>IFERROR(__xludf.DUMMYFUNCTION("GOOGLETRANSLATE(B19826,""en"",""fr"")"),"Elle se brosse à nouveau sa patte.")</f>
        <v>Elle se brosse à nouveau sa patte.</v>
      </c>
    </row>
    <row r="19827">
      <c r="A19827" s="4" t="s">
        <v>24947</v>
      </c>
      <c r="B19827" s="4" t="s">
        <v>24955</v>
      </c>
      <c r="C19827" s="5" t="str">
        <f>IFERROR(__xludf.DUMMYFUNCTION("GOOGLETRANSLATE(B19827,""en"",""fr"")"),"Elle coupe ensuite la fourrure sur la patte une autre fois.")</f>
        <v>Elle coupe ensuite la fourrure sur la patte une autre fois.</v>
      </c>
    </row>
    <row r="19828">
      <c r="A19828" s="4" t="s">
        <v>24947</v>
      </c>
      <c r="B19828" s="4" t="s">
        <v>24956</v>
      </c>
      <c r="C19828" s="5" t="str">
        <f>IFERROR(__xludf.DUMMYFUNCTION("GOOGLETRANSLATE(B19828,""en"",""fr"")"),"Elle peigne ensuite les cheveux coupés de la patte.")</f>
        <v>Elle peigne ensuite les cheveux coupés de la patte.</v>
      </c>
    </row>
    <row r="19829">
      <c r="A19829" s="4" t="s">
        <v>24947</v>
      </c>
      <c r="B19829" s="4" t="s">
        <v>24957</v>
      </c>
      <c r="C19829" s="5" t="str">
        <f>IFERROR(__xludf.DUMMYFUNCTION("GOOGLETRANSLATE(B19829,""en"",""fr"")"),"Elle coupe les cheveux à l'arrière de la patte.")</f>
        <v>Elle coupe les cheveux à l'arrière de la patte.</v>
      </c>
    </row>
    <row r="19830">
      <c r="A19830" s="4" t="s">
        <v>24947</v>
      </c>
      <c r="B19830" s="4" t="s">
        <v>24958</v>
      </c>
      <c r="C19830" s="5" t="str">
        <f>IFERROR(__xludf.DUMMYFUNCTION("GOOGLETRANSLATE(B19830,""en"",""fr"")"),"S'estomper au noir et les crédits se produisent.")</f>
        <v>S'estomper au noir et les crédits se produisent.</v>
      </c>
    </row>
    <row r="19831">
      <c r="A19831" s="4" t="s">
        <v>24959</v>
      </c>
      <c r="B19831" s="4" t="s">
        <v>24960</v>
      </c>
      <c r="C19831" s="5" t="str">
        <f>IFERROR(__xludf.DUMMYFUNCTION("GOOGLETRANSLATE(B19831,""en"",""fr"")"),"Une dame regarde derrière elle avec plaisir.")</f>
        <v>Une dame regarde derrière elle avec plaisir.</v>
      </c>
    </row>
    <row r="19832">
      <c r="A19832" s="4" t="s">
        <v>24959</v>
      </c>
      <c r="B19832" s="4" t="s">
        <v>24961</v>
      </c>
      <c r="C19832" s="5" t="str">
        <f>IFERROR(__xludf.DUMMYFUNCTION("GOOGLETRANSLATE(B19832,""en"",""fr"")"),"La dame joue un piano noir.")</f>
        <v>La dame joue un piano noir.</v>
      </c>
    </row>
    <row r="19833">
      <c r="A19833" s="4" t="s">
        <v>24959</v>
      </c>
      <c r="B19833" s="4" t="s">
        <v>24962</v>
      </c>
      <c r="C19833" s="5" t="str">
        <f>IFERROR(__xludf.DUMMYFUNCTION("GOOGLETRANSLATE(B19833,""en"",""fr"")"),"La dame regarde à ses côtés.")</f>
        <v>La dame regarde à ses côtés.</v>
      </c>
    </row>
    <row r="19834">
      <c r="A19834" s="4" t="s">
        <v>24963</v>
      </c>
      <c r="B19834" s="6" t="s">
        <v>24964</v>
      </c>
      <c r="C19834" s="5" t="str">
        <f>IFERROR(__xludf.DUMMYFUNCTION("GOOGLETRANSLATE(B19834,""en"",""fr"")"),"Les ongles zébrés colorés sont affichés et un écran coloré apparaît avec du texte coloré qui disent ""Acid Zebra Nail Art by ProfessionalDQ"", puis suivi de nombreux autres mots qui incluent une liste de fournitures nécessaires.")</f>
        <v>Les ongles zébrés colorés sont affichés et un écran coloré apparaît avec du texte coloré qui disent "Acid Zebra Nail Art by ProfessionalDQ", puis suivi de nombreux autres mots qui incluent une liste de fournitures nécessaires.</v>
      </c>
    </row>
    <row r="19835">
      <c r="A19835" s="4" t="s">
        <v>24963</v>
      </c>
      <c r="B19835" s="6" t="s">
        <v>24965</v>
      </c>
      <c r="C19835" s="5" t="str">
        <f>IFERROR(__xludf.DUMMYFUNCTION("GOOGLETRANSLATE(B19835,""en"",""fr"")"),"Un plan immobile de six couleurs massifs différentes de vernis à ongles est représentée et certaines sont des bouteilles arrondies et certaines sont des bouteilles carrées.")</f>
        <v>Un plan immobile de six couleurs massifs différentes de vernis à ongles est représentée et certaines sont des bouteilles arrondies et certaines sont des bouteilles carrées.</v>
      </c>
    </row>
    <row r="19836">
      <c r="A19836" s="4" t="s">
        <v>24963</v>
      </c>
      <c r="B19836" s="6" t="s">
        <v>24966</v>
      </c>
      <c r="C19836" s="5" t="str">
        <f>IFERROR(__xludf.DUMMYFUNCTION("GOOGLETRANSLATE(B19836,""en"",""fr"")"),"La démonstration commence et montre que quelqu'un peint éponge différentes couleurs sur un long clou peint en blanc.")</f>
        <v>La démonstration commence et montre que quelqu'un peint éponge différentes couleurs sur un long clou peint en blanc.</v>
      </c>
    </row>
    <row r="19837">
      <c r="A19837" s="4" t="s">
        <v>24963</v>
      </c>
      <c r="B19837" s="6" t="s">
        <v>24967</v>
      </c>
      <c r="C19837" s="5" t="str">
        <f>IFERROR(__xludf.DUMMYFUNCTION("GOOGLETRANSLATE(B19837,""en"",""fr"")"),"Un écran coloré apparaît brièvement avec du texte coloré et il a dit ""puis ajouté une couche de flocons d'étincelle"", montre la bouteille de vernis à ongles Sparkle, puis plus de texte apparaît sur un écran coloré.")</f>
        <v>Un écran coloré apparaît brièvement avec du texte coloré et il a dit "puis ajouté une couche de flocons d'étincelle", montre la bouteille de vernis à ongles Sparkle, puis plus de texte apparaît sur un écran coloré.</v>
      </c>
    </row>
    <row r="19838">
      <c r="A19838" s="4" t="s">
        <v>24963</v>
      </c>
      <c r="B19838" s="6" t="s">
        <v>24968</v>
      </c>
      <c r="C19838" s="5" t="str">
        <f>IFERROR(__xludf.DUMMYFUNCTION("GOOGLETRANSLATE(B19838,""en"",""fr"")"),"Une bouteille de peinture noire est représentée, puis la personne peint une fine ligne noire vers l'ongle scintillant et multicolore et les peint dans le motif des rayures zébrées.")</f>
        <v>Une bouteille de peinture noire est représentée, puis la personne peint une fine ligne noire vers l'ongle scintillant et multicolore et les peint dans le motif des rayures zébrées.</v>
      </c>
    </row>
    <row r="19839">
      <c r="A19839" s="4" t="s">
        <v>24963</v>
      </c>
      <c r="B19839" s="6" t="s">
        <v>24969</v>
      </c>
      <c r="C19839" s="5" t="str">
        <f>IFERROR(__xludf.DUMMYFUNCTION("GOOGLETRANSLATE(B19839,""en"",""fr"")"),"Un écran coloré avec un texte coloré apparaît et il a des instructions pour ""terminer avec la couche de finition et maintenant vous êtes un Nyan Zebra invincible !!"".")</f>
        <v>Un écran coloré avec un texte coloré apparaît et il a des instructions pour "terminer avec la couche de finition et maintenant vous êtes un Nyan Zebra invincible !!".</v>
      </c>
    </row>
    <row r="19840">
      <c r="A19840" s="4" t="s">
        <v>24963</v>
      </c>
      <c r="B19840" s="6" t="s">
        <v>24970</v>
      </c>
      <c r="C19840" s="5" t="str">
        <f>IFERROR(__xludf.DUMMYFUNCTION("GOOGLETRANSLATE(B19840,""en"",""fr"")"),"Les ongles finis sont modélisés et illustrés à différents angles et un écran coloré avec des lettres colorées apparaissent et il dit ""N'oubliez pas votre queue!"" Et puis cela montre la personne tenant un rose poilu et noir, longue queue.")</f>
        <v>Les ongles finis sont modélisés et illustrés à différents angles et un écran coloré avec des lettres colorées apparaissent et il dit "N'oubliez pas votre queue!" Et puis cela montre la personne tenant un rose poilu et noir, longue queue.</v>
      </c>
    </row>
    <row r="19841">
      <c r="A19841" s="4" t="s">
        <v>24963</v>
      </c>
      <c r="B19841" s="6" t="s">
        <v>24971</v>
      </c>
      <c r="C19841" s="5" t="str">
        <f>IFERROR(__xludf.DUMMYFUNCTION("GOOGLETRANSLATE(B19841,""en"",""fr"")"),"Un écran coloré avec du texte coloré apparaît et il dit ""Merci d'avoir regardé Swoosh!"" Et d'autres photos des ongles zébrés colorés finis sont affichés dans différentes positions et angles.")</f>
        <v>Un écran coloré avec du texte coloré apparaît et il dit "Merci d'avoir regardé Swoosh!" Et d'autres photos des ongles zébrés colorés finis sont affichés dans différentes positions et angles.</v>
      </c>
    </row>
    <row r="19842">
      <c r="A19842" s="4" t="s">
        <v>24972</v>
      </c>
      <c r="B19842" s="6" t="s">
        <v>24973</v>
      </c>
      <c r="C19842" s="5" t="str">
        <f>IFERROR(__xludf.DUMMYFUNCTION("GOOGLETRANSLATE(B19842,""en"",""fr"")"),"Le chameau est assis par terre, mais l'homme met ses lunettes pendant qu'il est assis sur le chameau alors qu'il soulève en faisant avancer l'homme un peu.")</f>
        <v>Le chameau est assis par terre, mais l'homme met ses lunettes pendant qu'il est assis sur le chameau alors qu'il soulève en faisant avancer l'homme un peu.</v>
      </c>
    </row>
    <row r="19843">
      <c r="A19843" s="4" t="s">
        <v>24972</v>
      </c>
      <c r="B19843" s="4" t="s">
        <v>24974</v>
      </c>
      <c r="C19843" s="5" t="str">
        <f>IFERROR(__xludf.DUMMYFUNCTION("GOOGLETRANSLATE(B19843,""en"",""fr"")"),"Ensuite, quelqu'un attrape la corde sur le chameau pour guider le chameau au bon endroit.")</f>
        <v>Ensuite, quelqu'un attrape la corde sur le chameau pour guider le chameau au bon endroit.</v>
      </c>
    </row>
    <row r="19844">
      <c r="A19844" s="4" t="s">
        <v>24972</v>
      </c>
      <c r="B19844" s="6" t="s">
        <v>24975</v>
      </c>
      <c r="C19844" s="5" t="str">
        <f>IFERROR(__xludf.DUMMYFUNCTION("GOOGLETRANSLATE(B19844,""en"",""fr"")"),"Enfin, l'homme tire le chameau sur lequel l'homme est assis tandis que les 2 autres chameaux marchent derrière le chameau à l'avant.")</f>
        <v>Enfin, l'homme tire le chameau sur lequel l'homme est assis tandis que les 2 autres chameaux marchent derrière le chameau à l'avant.</v>
      </c>
    </row>
    <row r="19845">
      <c r="A19845" s="4" t="s">
        <v>24976</v>
      </c>
      <c r="B19845" s="4" t="s">
        <v>24977</v>
      </c>
      <c r="C19845" s="5" t="str">
        <f>IFERROR(__xludf.DUMMYFUNCTION("GOOGLETRANSLATE(B19845,""en"",""fr"")"),"Les gens naviguent dans des canoës ramer avec une pagaie dans une rivière agitée.")</f>
        <v>Les gens naviguent dans des canoës ramer avec une pagaie dans une rivière agitée.</v>
      </c>
    </row>
    <row r="19846">
      <c r="A19846" s="4" t="s">
        <v>24976</v>
      </c>
      <c r="B19846" s="4" t="s">
        <v>24978</v>
      </c>
      <c r="C19846" s="5" t="str">
        <f>IFERROR(__xludf.DUMMYFUNCTION("GOOGLETRANSLATE(B19846,""en"",""fr"")"),"Deux hommes en canoë naviguent près de la rive de la rivière, mais naviguent ensuite dans la rivière.")</f>
        <v>Deux hommes en canoë naviguent près de la rive de la rivière, mais naviguent ensuite dans la rivière.</v>
      </c>
    </row>
    <row r="19847">
      <c r="A19847" s="4" t="s">
        <v>24976</v>
      </c>
      <c r="B19847" s="4" t="s">
        <v>24979</v>
      </c>
      <c r="C19847" s="5" t="str">
        <f>IFERROR(__xludf.DUMMYFUNCTION("GOOGLETRANSLATE(B19847,""en"",""fr"")"),"Les hommes tournent le canoë une passe près d'une arche du cours du canoë.")</f>
        <v>Les hommes tournent le canoë une passe près d'une arche du cours du canoë.</v>
      </c>
    </row>
    <row r="19848">
      <c r="A19848" s="4" t="s">
        <v>24976</v>
      </c>
      <c r="B19848" s="4" t="s">
        <v>24980</v>
      </c>
      <c r="C19848" s="5" t="str">
        <f>IFERROR(__xludf.DUMMYFUNCTION("GOOGLETRANSLATE(B19848,""en"",""fr"")"),"Les deux hommes traversent une personne seule dans un canoë.")</f>
        <v>Les deux hommes traversent une personne seule dans un canoë.</v>
      </c>
    </row>
    <row r="19849">
      <c r="A19849" s="4" t="s">
        <v>24976</v>
      </c>
      <c r="B19849" s="4" t="s">
        <v>24981</v>
      </c>
      <c r="C19849" s="5" t="str">
        <f>IFERROR(__xludf.DUMMYFUNCTION("GOOGLETRANSLATE(B19849,""en"",""fr"")"),"Les hommes continuent de naviguer sur la rivière en passant entre les arches.")</f>
        <v>Les hommes continuent de naviguer sur la rivière en passant entre les arches.</v>
      </c>
    </row>
    <row r="19850">
      <c r="A19850" s="4" t="s">
        <v>24976</v>
      </c>
      <c r="B19850" s="4" t="s">
        <v>24982</v>
      </c>
      <c r="C19850" s="5" t="str">
        <f>IFERROR(__xludf.DUMMYFUNCTION("GOOGLETRANSLATE(B19850,""en"",""fr"")"),"Les hommes en canoës sont à la frontière de la rivière.")</f>
        <v>Les hommes en canoës sont à la frontière de la rivière.</v>
      </c>
    </row>
    <row r="19851">
      <c r="A19851" s="4" t="s">
        <v>24976</v>
      </c>
      <c r="B19851" s="4" t="s">
        <v>24983</v>
      </c>
      <c r="C19851" s="5" t="str">
        <f>IFERROR(__xludf.DUMMYFUNCTION("GOOGLETRANSLATE(B19851,""en"",""fr"")"),"Après, continuez à naviguer directement dans la rivière.")</f>
        <v>Après, continuez à naviguer directement dans la rivière.</v>
      </c>
    </row>
    <row r="19852">
      <c r="A19852" s="4" t="s">
        <v>24984</v>
      </c>
      <c r="B19852" s="4" t="s">
        <v>24985</v>
      </c>
      <c r="C19852" s="5" t="str">
        <f>IFERROR(__xludf.DUMMYFUNCTION("GOOGLETRANSLATE(B19852,""en"",""fr"")"),"Un homme tient une canne à pêche sur un trou de pêche sur glace.")</f>
        <v>Un homme tient une canne à pêche sur un trou de pêche sur glace.</v>
      </c>
    </row>
    <row r="19853">
      <c r="A19853" s="4" t="s">
        <v>24984</v>
      </c>
      <c r="B19853" s="4" t="s">
        <v>24986</v>
      </c>
      <c r="C19853" s="5" t="str">
        <f>IFERROR(__xludf.DUMMYFUNCTION("GOOGLETRANSLATE(B19853,""en"",""fr"")"),"Il essaie doucement de s'arrêter puis délevra la ligne de pêche hors du trou.")</f>
        <v>Il essaie doucement de s'arrêter puis délevra la ligne de pêche hors du trou.</v>
      </c>
    </row>
    <row r="19854">
      <c r="A19854" s="4" t="s">
        <v>24984</v>
      </c>
      <c r="B19854" s="4" t="s">
        <v>24987</v>
      </c>
      <c r="C19854" s="5" t="str">
        <f>IFERROR(__xludf.DUMMYFUNCTION("GOOGLETRANSLATE(B19854,""en"",""fr"")"),"Il plonge et diminue tout en faisant une pause.")</f>
        <v>Il plonge et diminue tout en faisant une pause.</v>
      </c>
    </row>
    <row r="19855">
      <c r="A19855" s="4" t="s">
        <v>24984</v>
      </c>
      <c r="B19855" s="4" t="s">
        <v>24988</v>
      </c>
      <c r="C19855" s="5" t="str">
        <f>IFERROR(__xludf.DUMMYFUNCTION("GOOGLETRANSLATE(B19855,""en"",""fr"")"),"Il essaie de refuser la ligne.")</f>
        <v>Il essaie de refuser la ligne.</v>
      </c>
    </row>
    <row r="19856">
      <c r="A19856" s="4" t="s">
        <v>24984</v>
      </c>
      <c r="B19856" s="6" t="s">
        <v>24989</v>
      </c>
      <c r="C19856" s="5" t="str">
        <f>IFERROR(__xludf.DUMMYFUNCTION("GOOGLETRANSLATE(B19856,""en"",""fr"")"),"Il retire ses gants et se met à genoux et remonte alors qu'il essaie de sortir la ligne du trou à plusieurs reprises.")</f>
        <v>Il retire ses gants et se met à genoux et remonte alors qu'il essaie de sortir la ligne du trou à plusieurs reprises.</v>
      </c>
    </row>
    <row r="19857">
      <c r="A19857" s="4" t="s">
        <v>24984</v>
      </c>
      <c r="B19857" s="6" t="s">
        <v>24990</v>
      </c>
      <c r="C19857" s="5" t="str">
        <f>IFERROR(__xludf.DUMMYFUNCTION("GOOGLETRANSLATE(B19857,""en"",""fr"")"),"Il se déplace autour du trou et tire continuellement doucement la ligne de l'eau alors qu'un autre homme sort le poisson hors de l'eau.")</f>
        <v>Il se déplace autour du trou et tire continuellement doucement la ligne de l'eau alors qu'un autre homme sort le poisson hors de l'eau.</v>
      </c>
    </row>
    <row r="19858">
      <c r="A19858" s="4" t="s">
        <v>24991</v>
      </c>
      <c r="B19858" s="4" t="s">
        <v>24992</v>
      </c>
      <c r="C19858" s="5" t="str">
        <f>IFERROR(__xludf.DUMMYFUNCTION("GOOGLETRANSLATE(B19858,""en"",""fr"")"),"Une personne rasait sa barbe avec un rasoir électrique.")</f>
        <v>Une personne rasait sa barbe avec un rasoir électrique.</v>
      </c>
    </row>
    <row r="19859">
      <c r="A19859" s="4" t="s">
        <v>24991</v>
      </c>
      <c r="B19859" s="4" t="s">
        <v>24993</v>
      </c>
      <c r="C19859" s="5" t="str">
        <f>IFERROR(__xludf.DUMMYFUNCTION("GOOGLETRANSLATE(B19859,""en"",""fr"")"),"Ils bougent lentement le rasoir sur le menton.")</f>
        <v>Ils bougent lentement le rasoir sur le menton.</v>
      </c>
    </row>
    <row r="19860">
      <c r="A19860" s="4" t="s">
        <v>24991</v>
      </c>
      <c r="B19860" s="4" t="s">
        <v>1599</v>
      </c>
      <c r="C19860" s="5" t="str">
        <f>IFERROR(__xludf.DUMMYFUNCTION("GOOGLETRANSLATE(B19860,""en"",""fr"")"),"Les mots sont affichés à l'écran.")</f>
        <v>Les mots sont affichés à l'écran.</v>
      </c>
    </row>
    <row r="19861">
      <c r="A19861" s="4" t="s">
        <v>24994</v>
      </c>
      <c r="B19861" s="4" t="s">
        <v>24995</v>
      </c>
      <c r="C19861" s="5" t="str">
        <f>IFERROR(__xludf.DUMMYFUNCTION("GOOGLETRANSLATE(B19861,""en"",""fr"")"),"Une jeune fille montre assis sur un sol en parlant à la caméra et faisant semblant de repasser.")</f>
        <v>Une jeune fille montre assis sur un sol en parlant à la caméra et faisant semblant de repasser.</v>
      </c>
    </row>
    <row r="19862">
      <c r="A19862" s="4" t="s">
        <v>24994</v>
      </c>
      <c r="B19862" s="4" t="s">
        <v>24996</v>
      </c>
      <c r="C19862" s="5" t="str">
        <f>IFERROR(__xludf.DUMMYFUNCTION("GOOGLETRANSLATE(B19862,""en"",""fr"")"),"Elle prie la bouteille d'eau sur les vêtements et les fers en faisant cela à plusieurs reprises.")</f>
        <v>Elle prie la bouteille d'eau sur les vêtements et les fers en faisant cela à plusieurs reprises.</v>
      </c>
    </row>
    <row r="19863">
      <c r="A19863" s="4" t="s">
        <v>24994</v>
      </c>
      <c r="B19863" s="4" t="s">
        <v>24997</v>
      </c>
      <c r="C19863" s="5" t="str">
        <f>IFERROR(__xludf.DUMMYFUNCTION("GOOGLETRANSLATE(B19863,""en"",""fr"")"),"Elle retourne la chemise pour continuer à repasser et regarde au loin.")</f>
        <v>Elle retourne la chemise pour continuer à repasser et regarde au loin.</v>
      </c>
    </row>
    <row r="19864">
      <c r="A19864" s="4" t="s">
        <v>24998</v>
      </c>
      <c r="B19864" s="6" t="s">
        <v>24999</v>
      </c>
      <c r="C19864" s="5" t="str">
        <f>IFERROR(__xludf.DUMMYFUNCTION("GOOGLETRANSLATE(B19864,""en"",""fr"")"),"Deux enfants sont vus assis dans une baignoire avec un tenant un seau et la tenue souriante et riant.")</f>
        <v>Deux enfants sont vus assis dans une baignoire avec un tenant un seau et la tenue souriante et riant.</v>
      </c>
    </row>
    <row r="19865">
      <c r="A19865" s="4" t="s">
        <v>24998</v>
      </c>
      <c r="B19865" s="6" t="s">
        <v>25000</v>
      </c>
      <c r="C19865" s="5" t="str">
        <f>IFERROR(__xludf.DUMMYFUNCTION("GOOGLETRANSLATE(B19865,""en"",""fr"")"),"Le garçon verse le seau sur son visage et une main lui donne une serviette tandis que la fille éclabousse également son visage.")</f>
        <v>Le garçon verse le seau sur son visage et une main lui donne une serviette tandis que la fille éclabousse également son visage.</v>
      </c>
    </row>
    <row r="19866">
      <c r="A19866" s="4" t="s">
        <v>24998</v>
      </c>
      <c r="B19866" s="4" t="s">
        <v>25001</v>
      </c>
      <c r="C19866" s="5" t="str">
        <f>IFERROR(__xludf.DUMMYFUNCTION("GOOGLETRANSLATE(B19866,""en"",""fr"")"),"Les pulvérisations arrosaient à nouveau avec le seau et se frotte les yeux.")</f>
        <v>Les pulvérisations arrosaient à nouveau avec le seau et se frotte les yeux.</v>
      </c>
    </row>
    <row r="19867">
      <c r="A19867" s="4" t="s">
        <v>25002</v>
      </c>
      <c r="B19867" s="4" t="s">
        <v>25003</v>
      </c>
      <c r="C19867" s="5" t="str">
        <f>IFERROR(__xludf.DUMMYFUNCTION("GOOGLETRANSLATE(B19867,""en"",""fr"")"),"Un ornement d'or est représenté suspendu à un arbre de Noël.")</f>
        <v>Un ornement d'or est représenté suspendu à un arbre de Noël.</v>
      </c>
    </row>
    <row r="19868">
      <c r="A19868" s="4" t="s">
        <v>25002</v>
      </c>
      <c r="B19868" s="4" t="s">
        <v>25004</v>
      </c>
      <c r="C19868" s="5" t="str">
        <f>IFERROR(__xludf.DUMMYFUNCTION("GOOGLETRANSLATE(B19868,""en"",""fr"")"),"Deux femmes sont sur le sol, enveloppez des cadeaux.")</f>
        <v>Deux femmes sont sur le sol, enveloppez des cadeaux.</v>
      </c>
    </row>
    <row r="19869">
      <c r="A19869" s="4" t="s">
        <v>25002</v>
      </c>
      <c r="B19869" s="4" t="s">
        <v>25005</v>
      </c>
      <c r="C19869" s="5" t="str">
        <f>IFERROR(__xludf.DUMMYFUNCTION("GOOGLETRANSLATE(B19869,""en"",""fr"")"),"Ils ont coupé le papier et le coller autour des boîtes avant d'ajouter des arcs.")</f>
        <v>Ils ont coupé le papier et le coller autour des boîtes avant d'ajouter des arcs.</v>
      </c>
    </row>
    <row r="19870">
      <c r="A19870" s="4" t="s">
        <v>25002</v>
      </c>
      <c r="B19870" s="4" t="s">
        <v>25006</v>
      </c>
      <c r="C19870" s="5" t="str">
        <f>IFERROR(__xludf.DUMMYFUNCTION("GOOGLETRANSLATE(B19870,""en"",""fr"")"),"Nous voyons ensuite l'arbre terminé, orné d'un anneau de cadeaux enveloppés à la base.")</f>
        <v>Nous voyons ensuite l'arbre terminé, orné d'un anneau de cadeaux enveloppés à la base.</v>
      </c>
    </row>
    <row r="19871">
      <c r="A19871" s="4" t="s">
        <v>25007</v>
      </c>
      <c r="B19871" s="4" t="s">
        <v>25008</v>
      </c>
      <c r="C19871" s="5" t="str">
        <f>IFERROR(__xludf.DUMMYFUNCTION("GOOGLETRANSLATE(B19871,""en"",""fr"")"),"Un jeune garçon portant des lunettes de soleil est montré poussant une longue tondeuse à pelouse sur une pelouse.")</f>
        <v>Un jeune garçon portant des lunettes de soleil est montré poussant une longue tondeuse à pelouse sur une pelouse.</v>
      </c>
    </row>
    <row r="19872">
      <c r="A19872" s="4" t="s">
        <v>25007</v>
      </c>
      <c r="B19872" s="4" t="s">
        <v>25009</v>
      </c>
      <c r="C19872" s="5" t="str">
        <f>IFERROR(__xludf.DUMMYFUNCTION("GOOGLETRANSLATE(B19872,""en"",""fr"")"),"La caméra le suit continuellement alors qu'il recule et quatrième avec la tondeuse sur la pelouse.")</f>
        <v>La caméra le suit continuellement alors qu'il recule et quatrième avec la tondeuse sur la pelouse.</v>
      </c>
    </row>
    <row r="19873">
      <c r="A19873" s="4" t="s">
        <v>25007</v>
      </c>
      <c r="B19873" s="4" t="s">
        <v>25010</v>
      </c>
      <c r="C19873" s="5" t="str">
        <f>IFERROR(__xludf.DUMMYFUNCTION("GOOGLETRANSLATE(B19873,""en"",""fr"")"),"Enfin, une photo de lui dormant sur le canapé est montrée.")</f>
        <v>Enfin, une photo de lui dormant sur le canapé est montrée.</v>
      </c>
    </row>
    <row r="19874">
      <c r="A19874" s="4" t="s">
        <v>25011</v>
      </c>
      <c r="B19874" s="4" t="s">
        <v>25012</v>
      </c>
      <c r="C19874" s="5" t="str">
        <f>IFERROR(__xludf.DUMMYFUNCTION("GOOGLETRANSLATE(B19874,""en"",""fr"")"),"Une femme est vue en poussant une tondeuse à gazon le long de l'herbe haute tout en se remettant et quatrième.")</f>
        <v>Une femme est vue en poussant une tondeuse à gazon le long de l'herbe haute tout en se remettant et quatrième.</v>
      </c>
    </row>
    <row r="19875">
      <c r="A19875" s="4" t="s">
        <v>25011</v>
      </c>
      <c r="B19875" s="6" t="s">
        <v>25013</v>
      </c>
      <c r="C19875" s="5" t="str">
        <f>IFERROR(__xludf.DUMMYFUNCTION("GOOGLETRANSLATE(B19875,""en"",""fr"")"),"La femme continue de pousser la machine autour de la cour et lui tourne le dos vers la caméra pour tondre le dos.")</f>
        <v>La femme continue de pousser la machine autour de la cour et lui tourne le dos vers la caméra pour tondre le dos.</v>
      </c>
    </row>
    <row r="19876">
      <c r="A19876" s="4" t="s">
        <v>25014</v>
      </c>
      <c r="B19876" s="4" t="s">
        <v>25015</v>
      </c>
      <c r="C19876" s="5" t="str">
        <f>IFERROR(__xludf.DUMMYFUNCTION("GOOGLETRANSLATE(B19876,""en"",""fr"")"),"La femme dit quelques mots au début tandis que le danseur se tient silencieusement.")</f>
        <v>La femme dit quelques mots au début tandis que le danseur se tient silencieusement.</v>
      </c>
    </row>
    <row r="19877">
      <c r="A19877" s="4" t="s">
        <v>25014</v>
      </c>
      <c r="B19877" s="4" t="s">
        <v>25016</v>
      </c>
      <c r="C19877" s="5" t="str">
        <f>IFERROR(__xludf.DUMMYFUNCTION("GOOGLETRANSLATE(B19877,""en"",""fr"")"),"La danseuse s'assure d'abord que ses jambes sont positionnées correctement.")</f>
        <v>La danseuse s'assure d'abord que ses jambes sont positionnées correctement.</v>
      </c>
    </row>
    <row r="19878">
      <c r="A19878" s="4" t="s">
        <v>25014</v>
      </c>
      <c r="B19878" s="4" t="s">
        <v>25017</v>
      </c>
      <c r="C19878" s="5" t="str">
        <f>IFERROR(__xludf.DUMMYFUNCTION("GOOGLETRANSLATE(B19878,""en"",""fr"")"),"Ensuite, la danseuse de ballet apporte un pied dans un coupé.")</f>
        <v>Ensuite, la danseuse de ballet apporte un pied dans un coupé.</v>
      </c>
    </row>
    <row r="19879">
      <c r="A19879" s="4" t="s">
        <v>25014</v>
      </c>
      <c r="B19879" s="4" t="s">
        <v>25018</v>
      </c>
      <c r="C19879" s="5" t="str">
        <f>IFERROR(__xludf.DUMMYFUNCTION("GOOGLETRANSLATE(B19879,""en"",""fr"")"),"Ensuite, elle redresse les deux jambes et met une jambe à l'avant et la ramène.")</f>
        <v>Ensuite, elle redresse les deux jambes et met une jambe à l'avant et la ramène.</v>
      </c>
    </row>
    <row r="19880">
      <c r="A19880" s="4" t="s">
        <v>25014</v>
      </c>
      <c r="B19880" s="4" t="s">
        <v>25019</v>
      </c>
      <c r="C19880" s="5" t="str">
        <f>IFERROR(__xludf.DUMMYFUNCTION("GOOGLETRANSLATE(B19880,""en"",""fr"")"),"Elle répète ensuite ces 3 pas à nouveau.")</f>
        <v>Elle répète ensuite ces 3 pas à nouveau.</v>
      </c>
    </row>
    <row r="19881">
      <c r="A19881" s="4" t="s">
        <v>25020</v>
      </c>
      <c r="B19881" s="4" t="s">
        <v>25021</v>
      </c>
      <c r="C19881" s="5" t="str">
        <f>IFERROR(__xludf.DUMMYFUNCTION("GOOGLETRANSLATE(B19881,""en"",""fr"")"),"Une vieille dame tricote avec une aiguille rouge et une laine rouge.")</f>
        <v>Une vieille dame tricote avec une aiguille rouge et une laine rouge.</v>
      </c>
    </row>
    <row r="19882">
      <c r="A19882" s="4" t="s">
        <v>25020</v>
      </c>
      <c r="B19882" s="4" t="s">
        <v>25022</v>
      </c>
      <c r="C19882" s="5" t="str">
        <f>IFERROR(__xludf.DUMMYFUNCTION("GOOGLETRANSLATE(B19882,""en"",""fr"")"),"Une vieille dame cesse de tricoter et parle en continu.")</f>
        <v>Une vieille dame cesse de tricoter et parle en continu.</v>
      </c>
    </row>
    <row r="19883">
      <c r="A19883" s="4" t="s">
        <v>25020</v>
      </c>
      <c r="B19883" s="4" t="s">
        <v>25023</v>
      </c>
      <c r="C19883" s="5" t="str">
        <f>IFERROR(__xludf.DUMMYFUNCTION("GOOGLETRANSLATE(B19883,""en"",""fr"")"),"La vieille dame tricote à nouveau et examine sa création.")</f>
        <v>La vieille dame tricote à nouveau et examine sa création.</v>
      </c>
    </row>
    <row r="19884">
      <c r="A19884" s="4" t="s">
        <v>25024</v>
      </c>
      <c r="B19884" s="4" t="s">
        <v>25025</v>
      </c>
      <c r="C19884" s="5" t="str">
        <f>IFERROR(__xludf.DUMMYFUNCTION("GOOGLETRANSLATE(B19884,""en"",""fr"")"),"Une petite fille au traîneau dans un bateau gonflable tient à une ficelle à l'avant un homme, soudain elle tombe dans un creux.")</f>
        <v>Une petite fille au traîneau dans un bateau gonflable tient à une ficelle à l'avant un homme, soudain elle tombe dans un creux.</v>
      </c>
    </row>
    <row r="19885">
      <c r="A19885" s="4" t="s">
        <v>25024</v>
      </c>
      <c r="B19885" s="4" t="s">
        <v>25026</v>
      </c>
      <c r="C19885" s="5" t="str">
        <f>IFERROR(__xludf.DUMMYFUNCTION("GOOGLETRANSLATE(B19885,""en"",""fr"")"),"Les gens portent des bateaux à traîneau et la petite fille est dans un bateau de traîneau.")</f>
        <v>Les gens portent des bateaux à traîneau et la petite fille est dans un bateau de traîneau.</v>
      </c>
    </row>
    <row r="19886">
      <c r="A19886" s="4" t="s">
        <v>25024</v>
      </c>
      <c r="B19886" s="4" t="s">
        <v>25027</v>
      </c>
      <c r="C19886" s="5" t="str">
        <f>IFERROR(__xludf.DUMMYFUNCTION("GOOGLETRANSLATE(B19886,""en"",""fr"")"),"Après un groupe de personnes, le traîneau fait en bas de la colline jusqu'à rencontrer d'autres personnes.")</f>
        <v>Après un groupe de personnes, le traîneau fait en bas de la colline jusqu'à rencontrer d'autres personnes.</v>
      </c>
    </row>
    <row r="19887">
      <c r="A19887" s="4" t="s">
        <v>25028</v>
      </c>
      <c r="B19887" s="4" t="s">
        <v>25029</v>
      </c>
      <c r="C19887" s="5" t="str">
        <f>IFERROR(__xludf.DUMMYFUNCTION("GOOGLETRANSLATE(B19887,""en"",""fr"")"),"Une jeune fille applique un écran solaire sur son visage.")</f>
        <v>Une jeune fille applique un écran solaire sur son visage.</v>
      </c>
    </row>
    <row r="19888">
      <c r="A19888" s="4" t="s">
        <v>25028</v>
      </c>
      <c r="B19888" s="4" t="s">
        <v>25030</v>
      </c>
      <c r="C19888" s="5" t="str">
        <f>IFERROR(__xludf.DUMMYFUNCTION("GOOGLETRANSLATE(B19888,""en"",""fr"")"),"Une plage est bondée de gens tandis qu'un motoroboat accélère à travers l'eau.")</f>
        <v>Une plage est bondée de gens tandis qu'un motoroboat accélère à travers l'eau.</v>
      </c>
    </row>
    <row r="19889">
      <c r="A19889" s="4" t="s">
        <v>25028</v>
      </c>
      <c r="B19889" s="4" t="s">
        <v>25031</v>
      </c>
      <c r="C19889" s="5" t="str">
        <f>IFERROR(__xludf.DUMMYFUNCTION("GOOGLETRANSLATE(B19889,""en"",""fr"")"),"Un médecin de la clinique de Cleveland nommée Jennifer Lucas parle.")</f>
        <v>Un médecin de la clinique de Cleveland nommée Jennifer Lucas parle.</v>
      </c>
    </row>
    <row r="19890">
      <c r="A19890" s="4" t="s">
        <v>25028</v>
      </c>
      <c r="B19890" s="4" t="s">
        <v>25032</v>
      </c>
      <c r="C19890" s="5" t="str">
        <f>IFERROR(__xludf.DUMMYFUNCTION("GOOGLETRANSLATE(B19890,""en"",""fr"")"),"Les gens s'appliquent à l'extérieur.")</f>
        <v>Les gens s'appliquent à l'extérieur.</v>
      </c>
    </row>
    <row r="19891">
      <c r="A19891" s="4" t="s">
        <v>25033</v>
      </c>
      <c r="B19891" s="6" t="s">
        <v>25034</v>
      </c>
      <c r="C19891" s="5" t="str">
        <f>IFERROR(__xludf.DUMMYFUNCTION("GOOGLETRANSLATE(B19891,""en"",""fr"")"),"Une fille nomme Ashley vêtu de tous les violets se rapproche lentement, puis il se tourne vers la vue de la saleté de la saleté et des fleurs.")</f>
        <v>Une fille nomme Ashley vêtu de tous les violets se rapproche lentement, puis il se tourne vers la vue de la saleté de la saleté et des fleurs.</v>
      </c>
    </row>
    <row r="19892">
      <c r="A19892" s="4" t="s">
        <v>25033</v>
      </c>
      <c r="B19892" s="4" t="s">
        <v>25035</v>
      </c>
      <c r="C19892" s="5" t="str">
        <f>IFERROR(__xludf.DUMMYFUNCTION("GOOGLETRANSLATE(B19892,""en"",""fr"")"),"Ashley sort en s'habillant dans son équipement à moteur et sort lentement son vélo.")</f>
        <v>Ashley sort en s'habillant dans son équipement à moteur et sort lentement son vélo.</v>
      </c>
    </row>
    <row r="19893">
      <c r="A19893" s="4" t="s">
        <v>25033</v>
      </c>
      <c r="B19893" s="6" t="s">
        <v>25036</v>
      </c>
      <c r="C19893" s="5" t="str">
        <f>IFERROR(__xludf.DUMMYFUNCTION("GOOGLETRANSLATE(B19893,""en"",""fr"")"),"Elle sort et commence à rouler à travers la saleté, attrapant de l'air très haut après avoir frappé Little Mountain Hills.")</f>
        <v>Elle sort et commence à rouler à travers la saleté, attrapant de l'air très haut après avoir frappé Little Mountain Hills.</v>
      </c>
    </row>
    <row r="19894">
      <c r="A19894" s="4" t="s">
        <v>25033</v>
      </c>
      <c r="B19894" s="6" t="s">
        <v>25037</v>
      </c>
      <c r="C19894" s="5" t="str">
        <f>IFERROR(__xludf.DUMMYFUNCTION("GOOGLETRANSLATE(B19894,""en"",""fr"")"),"Elle parle en langue des signes avec un autre cavalier pendant un peu, mais avant de retourner, la saleté en rouler un peu plus.")</f>
        <v>Elle parle en langue des signes avec un autre cavalier pendant un peu, mais avant de retourner, la saleté en rouler un peu plus.</v>
      </c>
    </row>
    <row r="19895">
      <c r="A19895" s="4" t="s">
        <v>25038</v>
      </c>
      <c r="B19895" s="6" t="s">
        <v>25039</v>
      </c>
      <c r="C19895" s="5" t="str">
        <f>IFERROR(__xludf.DUMMYFUNCTION("GOOGLETRANSLATE(B19895,""en"",""fr"")"),"La femme est debout dans la cuisine en parlant à la caméra et en montrant des ingrédients qui sont au-dessus d'un comptoir.")</f>
        <v>La femme est debout dans la cuisine en parlant à la caméra et en montrant des ingrédients qui sont au-dessus d'un comptoir.</v>
      </c>
    </row>
    <row r="19896">
      <c r="A19896" s="4" t="s">
        <v>25038</v>
      </c>
      <c r="B19896" s="4" t="s">
        <v>25040</v>
      </c>
      <c r="C19896" s="5" t="str">
        <f>IFERROR(__xludf.DUMMYFUNCTION("GOOGLETRANSLATE(B19896,""en"",""fr"")"),"La femme tient un citron et la serre dans un pot d'eau en plastique et le mélange avec du sucre.")</f>
        <v>La femme tient un citron et la serre dans un pot d'eau en plastique et le mélange avec du sucre.</v>
      </c>
    </row>
    <row r="19897">
      <c r="A19897" s="4" t="s">
        <v>25038</v>
      </c>
      <c r="B19897" s="6" t="s">
        <v>25041</v>
      </c>
      <c r="C19897" s="5" t="str">
        <f>IFERROR(__xludf.DUMMYFUNCTION("GOOGLETRANSLATE(B19897,""en"",""fr"")"),"La femme tient un couteau et hache les citrons en petits morceaux et ajoute du soda au pot et aux citrons hachés ainsi que des fraises.")</f>
        <v>La femme tient un couteau et hache les citrons en petits morceaux et ajoute du soda au pot et aux citrons hachés ainsi que des fraises.</v>
      </c>
    </row>
    <row r="19898">
      <c r="A19898" s="4" t="s">
        <v>25042</v>
      </c>
      <c r="B19898" s="4" t="s">
        <v>25043</v>
      </c>
      <c r="C19898" s="5" t="str">
        <f>IFERROR(__xludf.DUMMYFUNCTION("GOOGLETRANSLATE(B19898,""en"",""fr"")"),"Une femme utilise un morceau de craie sur une toile.")</f>
        <v>Une femme utilise un morceau de craie sur une toile.</v>
      </c>
    </row>
    <row r="19899">
      <c r="A19899" s="4" t="s">
        <v>25042</v>
      </c>
      <c r="B19899" s="4" t="s">
        <v>25044</v>
      </c>
      <c r="C19899" s="5" t="str">
        <f>IFERROR(__xludf.DUMMYFUNCTION("GOOGLETRANSLATE(B19899,""en"",""fr"")"),"Elle utilise ensuite plusieurs couleurs de peinture pour créer une image.")</f>
        <v>Elle utilise ensuite plusieurs couleurs de peinture pour créer une image.</v>
      </c>
    </row>
    <row r="19900">
      <c r="A19900" s="4" t="s">
        <v>25042</v>
      </c>
      <c r="B19900" s="4" t="s">
        <v>25045</v>
      </c>
      <c r="C19900" s="5" t="str">
        <f>IFERROR(__xludf.DUMMYFUNCTION("GOOGLETRANSLATE(B19900,""en"",""fr"")"),"Quand elle a terminé, nous voyons une image naturelle d'une orange sur un comptoir.")</f>
        <v>Quand elle a terminé, nous voyons une image naturelle d'une orange sur un comptoir.</v>
      </c>
    </row>
    <row r="19901">
      <c r="A19901" s="4" t="s">
        <v>25046</v>
      </c>
      <c r="B19901" s="6" t="s">
        <v>25047</v>
      </c>
      <c r="C19901" s="5" t="str">
        <f>IFERROR(__xludf.DUMMYFUNCTION("GOOGLETRANSLATE(B19901,""en"",""fr"")"),"Un petit groupe de filles est vu se promener sur un tube de maintien du lac et mène à d'autres roulant dans des tubes.")</f>
        <v>Un petit groupe de filles est vu se promener sur un tube de maintien du lac et mène à d'autres roulant dans des tubes.</v>
      </c>
    </row>
    <row r="19902">
      <c r="A19902" s="4" t="s">
        <v>25046</v>
      </c>
      <c r="B19902" s="6" t="s">
        <v>25048</v>
      </c>
      <c r="C19902" s="5" t="str">
        <f>IFERROR(__xludf.DUMMYFUNCTION("GOOGLETRANSLATE(B19902,""en"",""fr"")"),"Les gens continuent de rouler le long de la rivière sur les tubes et la caméra se déroule autour du grand groupe.")</f>
        <v>Les gens continuent de rouler le long de la rivière sur les tubes et la caméra se déroule autour du grand groupe.</v>
      </c>
    </row>
    <row r="19903">
      <c r="A19903" s="4" t="s">
        <v>25046</v>
      </c>
      <c r="B19903" s="4" t="s">
        <v>25049</v>
      </c>
      <c r="C19903" s="5" t="str">
        <f>IFERROR(__xludf.DUMMYFUNCTION("GOOGLETRANSLATE(B19903,""en"",""fr"")"),"La marche à côté du rivage et se parlent, suivie des tubes raccrochés et le bus garé.")</f>
        <v>La marche à côté du rivage et se parlent, suivie des tubes raccrochés et le bus garé.</v>
      </c>
    </row>
    <row r="19904">
      <c r="A19904" s="4" t="s">
        <v>25050</v>
      </c>
      <c r="B19904" s="6" t="s">
        <v>25051</v>
      </c>
      <c r="C19904" s="5" t="str">
        <f>IFERROR(__xludf.DUMMYFUNCTION("GOOGLETRANSLATE(B19904,""en"",""fr"")"),"Une femme est vue en descendant un escalier et commence à effectuer une routine devant un large public.")</f>
        <v>Une femme est vue en descendant un escalier et commence à effectuer une routine devant un large public.</v>
      </c>
    </row>
    <row r="19905">
      <c r="A19905" s="4" t="s">
        <v>25050</v>
      </c>
      <c r="B19905" s="6" t="s">
        <v>25052</v>
      </c>
      <c r="C19905" s="5" t="str">
        <f>IFERROR(__xludf.DUMMYFUNCTION("GOOGLETRANSLATE(B19905,""en"",""fr"")"),"La femme continue de danser autour de la scène tandis qu'un groupe de personnes jouait des instruments derrière elle.")</f>
        <v>La femme continue de danser autour de la scène tandis qu'un groupe de personnes jouait des instruments derrière elle.</v>
      </c>
    </row>
    <row r="19906">
      <c r="A19906" s="4" t="s">
        <v>25053</v>
      </c>
      <c r="B19906" s="6" t="s">
        <v>25054</v>
      </c>
      <c r="C19906" s="5" t="str">
        <f>IFERROR(__xludf.DUMMYFUNCTION("GOOGLETRANSLATE(B19906,""en"",""fr"")"),"Les matériaux de nettoyage sont assis à côté d'un double évier, puis une personne met une bouteille avec du liquide bleu à côté des matériaux de nettoyage.")</f>
        <v>Les matériaux de nettoyage sont assis à côté d'un double évier, puis une personne met une bouteille avec du liquide bleu à côté des matériaux de nettoyage.</v>
      </c>
    </row>
    <row r="19907">
      <c r="A19907" s="4" t="s">
        <v>25053</v>
      </c>
      <c r="B19907" s="4" t="s">
        <v>25055</v>
      </c>
      <c r="C19907" s="5" t="str">
        <f>IFERROR(__xludf.DUMMYFUNCTION("GOOGLETRANSLATE(B19907,""en"",""fr"")"),"Après, la personne verse un peu de liquide bleu dans l'évier et frotte les éviers avec une éponge.")</f>
        <v>Après, la personne verse un peu de liquide bleu dans l'évier et frotte les éviers avec une éponge.</v>
      </c>
    </row>
    <row r="19908">
      <c r="A19908" s="4" t="s">
        <v>25053</v>
      </c>
      <c r="B19908" s="4" t="s">
        <v>25056</v>
      </c>
      <c r="C19908" s="5" t="str">
        <f>IFERROR(__xludf.DUMMYFUNCTION("GOOGLETRANSLATE(B19908,""en"",""fr"")"),"Après, la personne rince les éviers à l'eau et sèche avec un chiffon.")</f>
        <v>Après, la personne rince les éviers à l'eau et sèche avec un chiffon.</v>
      </c>
    </row>
    <row r="19909">
      <c r="A19909" s="4" t="s">
        <v>25057</v>
      </c>
      <c r="B19909" s="4" t="s">
        <v>25058</v>
      </c>
      <c r="C19909" s="5" t="str">
        <f>IFERROR(__xludf.DUMMYFUNCTION("GOOGLETRANSLATE(B19909,""en"",""fr"")"),"Un homme patine sur une patinoire avec une balayeuse comme les gens regardent.")</f>
        <v>Un homme patine sur une patinoire avec une balayeuse comme les gens regardent.</v>
      </c>
    </row>
    <row r="19910">
      <c r="A19910" s="4" t="s">
        <v>25057</v>
      </c>
      <c r="B19910" s="4" t="s">
        <v>25059</v>
      </c>
      <c r="C19910" s="5" t="str">
        <f>IFERROR(__xludf.DUMMYFUNCTION("GOOGLETRANSLATE(B19910,""en"",""fr"")"),"Il nettoie le sol alors que les gens essaient de lui parler.")</f>
        <v>Il nettoie le sol alors que les gens essaient de lui parler.</v>
      </c>
    </row>
    <row r="19911">
      <c r="A19911" s="4" t="s">
        <v>25057</v>
      </c>
      <c r="B19911" s="4" t="s">
        <v>25060</v>
      </c>
      <c r="C19911" s="5" t="str">
        <f>IFERROR(__xludf.DUMMYFUNCTION("GOOGLETRANSLATE(B19911,""en"",""fr"")"),"Un homme tombe et glisse, et un autre l'attrape dans un combat.")</f>
        <v>Un homme tombe et glisse, et un autre l'attrape dans un combat.</v>
      </c>
    </row>
    <row r="19912">
      <c r="A19912" s="4" t="s">
        <v>25061</v>
      </c>
      <c r="B19912" s="4" t="s">
        <v>25062</v>
      </c>
      <c r="C19912" s="5" t="str">
        <f>IFERROR(__xludf.DUMMYFUNCTION("GOOGLETRANSLATE(B19912,""en"",""fr"")"),"Plusieurs hommes se tiennent dans une arène de terre.")</f>
        <v>Plusieurs hommes se tiennent dans une arène de terre.</v>
      </c>
    </row>
    <row r="19913">
      <c r="A19913" s="4" t="s">
        <v>25061</v>
      </c>
      <c r="B19913" s="4" t="s">
        <v>25063</v>
      </c>
      <c r="C19913" s="5" t="str">
        <f>IFERROR(__xludf.DUMMYFUNCTION("GOOGLETRANSLATE(B19913,""en"",""fr"")"),"Plusieurs autres hommes s'assoient sur des chevaux.")</f>
        <v>Plusieurs autres hommes s'assoient sur des chevaux.</v>
      </c>
    </row>
    <row r="19914">
      <c r="A19914" s="4" t="s">
        <v>25061</v>
      </c>
      <c r="B19914" s="4" t="s">
        <v>25064</v>
      </c>
      <c r="C19914" s="5" t="str">
        <f>IFERROR(__xludf.DUMMYFUNCTION("GOOGLETRANSLATE(B19914,""en"",""fr"")"),"Une porte s'ouvre et un veau s'épuise de près suivi d'un homme sur un cheval.")</f>
        <v>Une porte s'ouvre et un veau s'épuise de près suivi d'un homme sur un cheval.</v>
      </c>
    </row>
    <row r="19915">
      <c r="A19915" s="4" t="s">
        <v>25061</v>
      </c>
      <c r="B19915" s="6" t="s">
        <v>25065</v>
      </c>
      <c r="C19915" s="5" t="str">
        <f>IFERROR(__xludf.DUMMYFUNCTION("GOOGLETRANSLATE(B19915,""en"",""fr"")"),"L'homme sur le cheval jette un lasso autour du cou du veau, tirant le veau pour atterrir sur son dos.")</f>
        <v>L'homme sur le cheval jette un lasso autour du cou du veau, tirant le veau pour atterrir sur son dos.</v>
      </c>
    </row>
    <row r="19916">
      <c r="A19916" s="4" t="s">
        <v>25061</v>
      </c>
      <c r="B19916" s="4" t="s">
        <v>25066</v>
      </c>
      <c r="C19916" s="5" t="str">
        <f>IFERROR(__xludf.DUMMYFUNCTION("GOOGLETRANSLATE(B19916,""en"",""fr"")"),"L'homme saute de son cheval et s'enfonce et attache le veau.")</f>
        <v>L'homme saute de son cheval et s'enfonce et attache le veau.</v>
      </c>
    </row>
    <row r="19917">
      <c r="A19917" s="4" t="s">
        <v>25061</v>
      </c>
      <c r="B19917" s="4" t="s">
        <v>25067</v>
      </c>
      <c r="C19917" s="5" t="str">
        <f>IFERROR(__xludf.DUMMYFUNCTION("GOOGLETRANSLATE(B19917,""en"",""fr"")"),"L'homme se lève et revient pour monter sur son cheval.")</f>
        <v>L'homme se lève et revient pour monter sur son cheval.</v>
      </c>
    </row>
    <row r="19918">
      <c r="A19918" s="4" t="s">
        <v>25061</v>
      </c>
      <c r="B19918" s="4" t="s">
        <v>25068</v>
      </c>
      <c r="C19918" s="5" t="str">
        <f>IFERROR(__xludf.DUMMYFUNCTION("GOOGLETRANSLATE(B19918,""en"",""fr"")"),"Plusieurs hommes courent pour libérer le veau alors qu'il se lève et s'enfuit.")</f>
        <v>Plusieurs hommes courent pour libérer le veau alors qu'il se lève et s'enfuit.</v>
      </c>
    </row>
    <row r="19919">
      <c r="A19919" s="4" t="s">
        <v>25069</v>
      </c>
      <c r="B19919" s="6" t="s">
        <v>25070</v>
      </c>
      <c r="C19919" s="5" t="str">
        <f>IFERROR(__xludf.DUMMYFUNCTION("GOOGLETRANSLATE(B19919,""en"",""fr"")"),"Un groupe de personnes nage dans une piscine intérieure avec d'autres nageurs debout sur le côté de la piscine.")</f>
        <v>Un groupe de personnes nage dans une piscine intérieure avec d'autres nageurs debout sur le côté de la piscine.</v>
      </c>
    </row>
    <row r="19920">
      <c r="A19920" s="4" t="s">
        <v>25069</v>
      </c>
      <c r="B19920" s="6" t="s">
        <v>25071</v>
      </c>
      <c r="C19920" s="5" t="str">
        <f>IFERROR(__xludf.DUMMYFUNCTION("GOOGLETRANSLATE(B19920,""en"",""fr"")"),"Les enfants sur la touche sautent de haut en bas avec des bonnets de natation et des maillots de bain en regardant les gens qui sont déjà dans la piscine nager.")</f>
        <v>Les enfants sur la touche sautent de haut en bas avec des bonnets de natation et des maillots de bain en regardant les gens qui sont déjà dans la piscine nager.</v>
      </c>
    </row>
    <row r="19921">
      <c r="A19921" s="4" t="s">
        <v>25069</v>
      </c>
      <c r="B19921" s="6" t="s">
        <v>25072</v>
      </c>
      <c r="C19921" s="5" t="str">
        <f>IFERROR(__xludf.DUMMYFUNCTION("GOOGLETRANSLATE(B19921,""en"",""fr"")"),"Une personne passe près de la caméra alors que la caméra tremblante se concentre sur les personnes qui sont déjà dans la piscine nageant.")</f>
        <v>Une personne passe près de la caméra alors que la caméra tremblante se concentre sur les personnes qui sont déjà dans la piscine nageant.</v>
      </c>
    </row>
    <row r="19922">
      <c r="A19922" s="4" t="s">
        <v>25073</v>
      </c>
      <c r="B19922" s="6" t="s">
        <v>25074</v>
      </c>
      <c r="C19922" s="5" t="str">
        <f>IFERROR(__xludf.DUMMYFUNCTION("GOOGLETRANSLATE(B19922,""en"",""fr"")"),"Deux personnes sont vues effectuer divers coups de pied et astuces les uns les autres tandis qu'un grand groupe de personnes regarde sur les côtés.")</f>
        <v>Deux personnes sont vues effectuer divers coups de pied et astuces les uns les autres tandis qu'un grand groupe de personnes regarde sur les côtés.</v>
      </c>
    </row>
    <row r="19923">
      <c r="A19923" s="4" t="s">
        <v>25073</v>
      </c>
      <c r="B19923" s="6" t="s">
        <v>25075</v>
      </c>
      <c r="C19923" s="5" t="str">
        <f>IFERROR(__xludf.DUMMYFUNCTION("GOOGLETRANSLATE(B19923,""en"",""fr"")"),"Plus continuent de se donner des coups de pied les uns aux autres au milieu du cercle tandis que d'autres regardent et réagissent sur le côté.")</f>
        <v>Plus continuent de se donner des coups de pied les uns aux autres au milieu du cercle tandis que d'autres regardent et réagissent sur le côté.</v>
      </c>
    </row>
    <row r="19924">
      <c r="A19924" s="4" t="s">
        <v>25076</v>
      </c>
      <c r="B19924" s="6" t="s">
        <v>25077</v>
      </c>
      <c r="C19924" s="5" t="str">
        <f>IFERROR(__xludf.DUMMYFUNCTION("GOOGLETRANSLATE(B19924,""en"",""fr"")"),"Un jeune homme portant un jean bleu et une chemise boutonnée à manches longues bleues et blanches se trouvent sur le sol, les jambes grandes ouvertes sur une planche qui a des chiffres dessus en forme triangulaire.")</f>
        <v>Un jeune homme portant un jean bleu et une chemise boutonnée à manches longues bleues et blanches se trouvent sur le sol, les jambes grandes ouvertes sur une planche qui a des chiffres dessus en forme triangulaire.</v>
      </c>
    </row>
    <row r="19925">
      <c r="A19925" s="4" t="s">
        <v>25076</v>
      </c>
      <c r="B19925" s="6" t="s">
        <v>25078</v>
      </c>
      <c r="C19925" s="5" t="str">
        <f>IFERROR(__xludf.DUMMYFUNCTION("GOOGLETRANSLATE(B19925,""en"",""fr"")"),"Il y a deux femmes âgées qui tiennent des bâtons, et elles s'apprêtent à frapper les disques à tous les niveaux dans l'entrejambe de l'homme tandis que 5 hommes se tiennent à côté de la planche à regarder et à grincer des dents.")</f>
        <v>Il y a deux femmes âgées qui tiennent des bâtons, et elles s'apprêtent à frapper les disques à tous les niveaux dans l'entrejambe de l'homme tandis que 5 hommes se tiennent à côté de la planche à regarder et à grincer des dents.</v>
      </c>
    </row>
    <row r="19926">
      <c r="A19926" s="4" t="s">
        <v>25076</v>
      </c>
      <c r="B19926" s="6" t="s">
        <v>25079</v>
      </c>
      <c r="C19926" s="5" t="str">
        <f>IFERROR(__xludf.DUMMYFUNCTION("GOOGLETRANSLATE(B19926,""en"",""fr"")"),"La femme pousse le disque à tous les niveaux et il frappe l'homme à l'entrejambe, la deuxième femme pousse le disque à travers le tableau et cela frappe très fort l'homme à l'entrejambe et les gars rient tous et grinçaient puis aident le gars.")</f>
        <v>La femme pousse le disque à tous les niveaux et il frappe l'homme à l'entrejambe, la deuxième femme pousse le disque à travers le tableau et cela frappe très fort l'homme à l'entrejambe et les gars rient tous et grinçaient puis aident le gars.</v>
      </c>
    </row>
    <row r="19927">
      <c r="A19927" s="4" t="s">
        <v>25080</v>
      </c>
      <c r="B19927" s="6" t="s">
        <v>25081</v>
      </c>
      <c r="C19927" s="5" t="str">
        <f>IFERROR(__xludf.DUMMYFUNCTION("GOOGLETRANSLATE(B19927,""en"",""fr"")"),"Une gymnaste se voit se frotter les mains et se dirige vers un ensemble de barres inégales et lève les mains.")</f>
        <v>Une gymnaste se voit se frotter les mains et se dirige vers un ensemble de barres inégales et lève les mains.</v>
      </c>
    </row>
    <row r="19928">
      <c r="A19928" s="4" t="s">
        <v>25080</v>
      </c>
      <c r="B19928" s="4" t="s">
        <v>25082</v>
      </c>
      <c r="C19928" s="5" t="str">
        <f>IFERROR(__xludf.DUMMYFUNCTION("GOOGLETRANSLATE(B19928,""en"",""fr"")"),"L'homme effectue une routine sur les barreaux tandis que des centaines de personnes regardent sur la touche.")</f>
        <v>L'homme effectue une routine sur les barreaux tandis que des centaines de personnes regardent sur la touche.</v>
      </c>
    </row>
    <row r="19929">
      <c r="A19929" s="4" t="s">
        <v>25080</v>
      </c>
      <c r="B19929" s="4" t="s">
        <v>25083</v>
      </c>
      <c r="C19929" s="5" t="str">
        <f>IFERROR(__xludf.DUMMYFUNCTION("GOOGLETRANSLATE(B19929,""en"",""fr"")"),"Il saute, agite ses bras dans les airs et se dirige vers le haut de son entraîneur par la suite.")</f>
        <v>Il saute, agite ses bras dans les airs et se dirige vers le haut de son entraîneur par la suite.</v>
      </c>
    </row>
    <row r="19930">
      <c r="A19930" s="4" t="s">
        <v>25084</v>
      </c>
      <c r="B19930" s="6" t="s">
        <v>25085</v>
      </c>
      <c r="C19930" s="5" t="str">
        <f>IFERROR(__xludf.DUMMYFUNCTION("GOOGLETRANSLATE(B19930,""en"",""fr"")"),"Un homme traverse une corde suspendue entre deux montagnes haut dans l'air en utilisant ses bras pour l'équilibre.")</f>
        <v>Un homme traverse une corde suspendue entre deux montagnes haut dans l'air en utilisant ses bras pour l'équilibre.</v>
      </c>
    </row>
    <row r="19931">
      <c r="A19931" s="4" t="s">
        <v>25084</v>
      </c>
      <c r="B19931" s="6" t="s">
        <v>25086</v>
      </c>
      <c r="C19931" s="5" t="str">
        <f>IFERROR(__xludf.DUMMYFUNCTION("GOOGLETRANSLATE(B19931,""en"",""fr"")"),"Un homme traverse une corde suspendue en l'air, perdant l'équilibre à un moment donné et tenant la corde avec ses mains et ses pieds enroulés autour de la corde.")</f>
        <v>Un homme traverse une corde suspendue en l'air, perdant l'équilibre à un moment donné et tenant la corde avec ses mains et ses pieds enroulés autour de la corde.</v>
      </c>
    </row>
    <row r="19932">
      <c r="A19932" s="4" t="s">
        <v>25084</v>
      </c>
      <c r="B19932" s="6" t="s">
        <v>25087</v>
      </c>
      <c r="C19932" s="5" t="str">
        <f>IFERROR(__xludf.DUMMYFUNCTION("GOOGLETRANSLATE(B19932,""en"",""fr"")"),"L'homme est alors capable de se hisser suffisamment sur la corde pour s'asseoir dessus avec la corde entre ses jambes.")</f>
        <v>L'homme est alors capable de se hisser suffisamment sur la corde pour s'asseoir dessus avec la corde entre ses jambes.</v>
      </c>
    </row>
    <row r="19933">
      <c r="A19933" s="4" t="s">
        <v>25088</v>
      </c>
      <c r="B19933" s="6" t="s">
        <v>25089</v>
      </c>
      <c r="C19933" s="5" t="str">
        <f>IFERROR(__xludf.DUMMYFUNCTION("GOOGLETRANSLATE(B19933,""en"",""fr"")"),"On voit une personne effectuer une astuce sur un snowboard suivie d'une femme qui parle à la caméra.")</f>
        <v>On voit une personne effectuer une astuce sur un snowboard suivie d'une femme qui parle à la caméra.</v>
      </c>
    </row>
    <row r="19934">
      <c r="A19934" s="4" t="s">
        <v>25088</v>
      </c>
      <c r="B19934" s="4" t="s">
        <v>25090</v>
      </c>
      <c r="C19934" s="5" t="str">
        <f>IFERROR(__xludf.DUMMYFUNCTION("GOOGLETRANSLATE(B19934,""en"",""fr"")"),"Plusieurs autres clips sont montrés des personnes qui roulent sur des snowboards et effectuent des astuces sur une planche.")</f>
        <v>Plusieurs autres clips sont montrés des personnes qui roulent sur des snowboards et effectuent des astuces sur une planche.</v>
      </c>
    </row>
    <row r="19935">
      <c r="A19935" s="4" t="s">
        <v>25088</v>
      </c>
      <c r="B19935" s="4" t="s">
        <v>25091</v>
      </c>
      <c r="C19935" s="5" t="str">
        <f>IFERROR(__xludf.DUMMYFUNCTION("GOOGLETRANSLATE(B19935,""en"",""fr"")"),"Plus de gens sont vus monter sur une planche et parler à la caméra.")</f>
        <v>Plus de gens sont vus monter sur une planche et parler à la caméra.</v>
      </c>
    </row>
    <row r="19936">
      <c r="A19936" s="4" t="s">
        <v>25092</v>
      </c>
      <c r="B19936" s="4" t="s">
        <v>25093</v>
      </c>
      <c r="C19936" s="5" t="str">
        <f>IFERROR(__xludf.DUMMYFUNCTION("GOOGLETRANSLATE(B19936,""en"",""fr"")"),"Une personne skie sur un rail de ski et tourne dans les airs, puis se tiendra sur la neige.")</f>
        <v>Une personne skie sur un rail de ski et tourne dans les airs, puis se tiendra sur la neige.</v>
      </c>
    </row>
    <row r="19937">
      <c r="A19937" s="4" t="s">
        <v>25092</v>
      </c>
      <c r="B19937" s="4" t="s">
        <v>25094</v>
      </c>
      <c r="C19937" s="5" t="str">
        <f>IFERROR(__xludf.DUMMYFUNCTION("GOOGLETRANSLATE(B19937,""en"",""fr"")"),"La personne skie sur une rampe et vole dans l'air très haut.")</f>
        <v>La personne skie sur une rampe et vole dans l'air très haut.</v>
      </c>
    </row>
    <row r="19938">
      <c r="A19938" s="4" t="s">
        <v>25092</v>
      </c>
      <c r="B19938" s="4" t="s">
        <v>25095</v>
      </c>
      <c r="C19938" s="5" t="str">
        <f>IFERROR(__xludf.DUMMYFUNCTION("GOOGLETRANSLATE(B19938,""en"",""fr"")"),"Ensuite, la personne skie sur les rails d'une maison qui tourne et atterrit puis atterrit dans la rue.")</f>
        <v>Ensuite, la personne skie sur les rails d'une maison qui tourne et atterrit puis atterrit dans la rue.</v>
      </c>
    </row>
    <row r="19939">
      <c r="A19939" s="4" t="s">
        <v>25092</v>
      </c>
      <c r="B19939" s="4" t="s">
        <v>25096</v>
      </c>
      <c r="C19939" s="5" t="str">
        <f>IFERROR(__xludf.DUMMYFUNCTION("GOOGLETRANSLATE(B19939,""en"",""fr"")"),"Ensuite, une personne skie sur la clôture d'un pont de marche et skie également dans les escaliers.")</f>
        <v>Ensuite, une personne skie sur la clôture d'un pont de marche et skie également dans les escaliers.</v>
      </c>
    </row>
    <row r="19940">
      <c r="A19940" s="4" t="s">
        <v>25097</v>
      </c>
      <c r="B19940" s="4" t="s">
        <v>25098</v>
      </c>
      <c r="C19940" s="5" t="str">
        <f>IFERROR(__xludf.DUMMYFUNCTION("GOOGLETRANSLATE(B19940,""en"",""fr"")"),"Un homme est vu épiller un ensemble de skis tout en regardant en arrière pour parler à la caméra.")</f>
        <v>Un homme est vu épiller un ensemble de skis tout en regardant en arrière pour parler à la caméra.</v>
      </c>
    </row>
    <row r="19941">
      <c r="A19941" s="4" t="s">
        <v>25097</v>
      </c>
      <c r="B19941" s="6" t="s">
        <v>25099</v>
      </c>
      <c r="C19941" s="5" t="str">
        <f>IFERROR(__xludf.DUMMYFUNCTION("GOOGLETRANSLATE(B19941,""en"",""fr"")"),"L'homme continue de déplacer ses bras de haut en bas des skis tout en levant les yeux pour parler à la caméra de temps en temps.")</f>
        <v>L'homme continue de déplacer ses bras de haut en bas des skis tout en levant les yeux pour parler à la caméra de temps en temps.</v>
      </c>
    </row>
    <row r="19942">
      <c r="A19942" s="4" t="s">
        <v>25100</v>
      </c>
      <c r="B19942" s="4" t="s">
        <v>25101</v>
      </c>
      <c r="C19942" s="5" t="str">
        <f>IFERROR(__xludf.DUMMYFUNCTION("GOOGLETRANSLATE(B19942,""en"",""fr"")"),"Jack-O-Lanterns de poivre sculpté sont préparés.")</f>
        <v>Jack-O-Lanterns de poivre sculpté sont préparés.</v>
      </c>
    </row>
    <row r="19943">
      <c r="A19943" s="4" t="s">
        <v>25100</v>
      </c>
      <c r="B19943" s="6" t="s">
        <v>25102</v>
      </c>
      <c r="C19943" s="5" t="str">
        <f>IFERROR(__xludf.DUMMYFUNCTION("GOOGLETRANSLATE(B19943,""en"",""fr"")"),"Une femme utilise un couteau pour se tailler le centre et les traits du visage d'un poivron, puis place dans un plat.")</f>
        <v>Une femme utilise un couteau pour se tailler le centre et les traits du visage d'un poivron, puis place dans un plat.</v>
      </c>
    </row>
    <row r="19944">
      <c r="A19944" s="4" t="s">
        <v>25100</v>
      </c>
      <c r="B19944" s="4" t="s">
        <v>25103</v>
      </c>
      <c r="C19944" s="5" t="str">
        <f>IFERROR(__xludf.DUMMYFUNCTION("GOOGLETRANSLATE(B19944,""en"",""fr"")"),"La femme ajoute des légumes hachés, de la salsa et des œufs dans un grand bol.")</f>
        <v>La femme ajoute des légumes hachés, de la salsa et des œufs dans un grand bol.</v>
      </c>
    </row>
    <row r="19945">
      <c r="A19945" s="4" t="s">
        <v>25100</v>
      </c>
      <c r="B19945" s="4" t="s">
        <v>25104</v>
      </c>
      <c r="C19945" s="5" t="str">
        <f>IFERROR(__xludf.DUMMYFUNCTION("GOOGLETRANSLATE(B19945,""en"",""fr"")"),"La femme utilise une spatule pour tout mélanger ensemble.")</f>
        <v>La femme utilise une spatule pour tout mélanger ensemble.</v>
      </c>
    </row>
    <row r="19946">
      <c r="A19946" s="4" t="s">
        <v>25100</v>
      </c>
      <c r="B19946" s="4" t="s">
        <v>25105</v>
      </c>
      <c r="C19946" s="5" t="str">
        <f>IFERROR(__xludf.DUMMYFUNCTION("GOOGLETRANSLATE(B19946,""en"",""fr"")"),"Une cuillère est utilisée pour ajouter des ingrédients dans les poivrons creux.")</f>
        <v>Une cuillère est utilisée pour ajouter des ingrédients dans les poivrons creux.</v>
      </c>
    </row>
    <row r="19947">
      <c r="A19947" s="4" t="s">
        <v>25100</v>
      </c>
      <c r="B19947" s="4" t="s">
        <v>25106</v>
      </c>
      <c r="C19947" s="5" t="str">
        <f>IFERROR(__xludf.DUMMYFUNCTION("GOOGLETRANSLATE(B19947,""en"",""fr"")"),"Le fromage est ajouté au sommet des poivrons et les sommets sont remis dessus.")</f>
        <v>Le fromage est ajouté au sommet des poivrons et les sommets sont remis dessus.</v>
      </c>
    </row>
    <row r="19948">
      <c r="A19948" s="4" t="s">
        <v>25100</v>
      </c>
      <c r="B19948" s="4" t="s">
        <v>25107</v>
      </c>
      <c r="C19948" s="5" t="str">
        <f>IFERROR(__xludf.DUMMYFUNCTION("GOOGLETRANSLATE(B19948,""en"",""fr"")"),"Les poivrons sont retirés du plat et mis sur une assiette.")</f>
        <v>Les poivrons sont retirés du plat et mis sur une assiette.</v>
      </c>
    </row>
    <row r="19949">
      <c r="A19949" s="4" t="s">
        <v>25100</v>
      </c>
      <c r="B19949" s="4" t="s">
        <v>25108</v>
      </c>
      <c r="C19949" s="5" t="str">
        <f>IFERROR(__xludf.DUMMYFUNCTION("GOOGLETRANSLATE(B19949,""en"",""fr"")"),"Les poivrons finis sont vus sur la planche à découper.")</f>
        <v>Les poivrons finis sont vus sur la planche à découper.</v>
      </c>
    </row>
    <row r="19950">
      <c r="A19950" s="4" t="s">
        <v>25100</v>
      </c>
      <c r="B19950" s="4" t="s">
        <v>25109</v>
      </c>
      <c r="C19950" s="5" t="str">
        <f>IFERROR(__xludf.DUMMYFUNCTION("GOOGLETRANSLATE(B19950,""en"",""fr"")"),"Une femme ajoute des ingrédients à un plat de casserole.")</f>
        <v>Une femme ajoute des ingrédients à un plat de casserole.</v>
      </c>
    </row>
    <row r="19951">
      <c r="A19951" s="4" t="s">
        <v>25110</v>
      </c>
      <c r="B19951" s="4" t="s">
        <v>25111</v>
      </c>
      <c r="C19951" s="5" t="str">
        <f>IFERROR(__xludf.DUMMYFUNCTION("GOOGLETRANSLATE(B19951,""en"",""fr"")"),"Les navires sont indiqués dans l'eau.")</f>
        <v>Les navires sont indiqués dans l'eau.</v>
      </c>
    </row>
    <row r="19952">
      <c r="A19952" s="4" t="s">
        <v>25110</v>
      </c>
      <c r="B19952" s="4" t="s">
        <v>25112</v>
      </c>
      <c r="C19952" s="5" t="str">
        <f>IFERROR(__xludf.DUMMYFUNCTION("GOOGLETRANSLATE(B19952,""en"",""fr"")"),"Les hommes marchent dans une rue.")</f>
        <v>Les hommes marchent dans une rue.</v>
      </c>
    </row>
    <row r="19953">
      <c r="A19953" s="4" t="s">
        <v>25110</v>
      </c>
      <c r="B19953" s="4" t="s">
        <v>25113</v>
      </c>
      <c r="C19953" s="5" t="str">
        <f>IFERROR(__xludf.DUMMYFUNCTION("GOOGLETRANSLATE(B19953,""en"",""fr"")"),"Un homme en chemise jaune monte sur un bateau.")</f>
        <v>Un homme en chemise jaune monte sur un bateau.</v>
      </c>
    </row>
    <row r="19954">
      <c r="A19954" s="4" t="s">
        <v>25110</v>
      </c>
      <c r="B19954" s="4" t="s">
        <v>25114</v>
      </c>
      <c r="C19954" s="5" t="str">
        <f>IFERROR(__xludf.DUMMYFUNCTION("GOOGLETRANSLATE(B19954,""en"",""fr"")"),"Les gens qui regardent les hommes du bateau applaudissent.")</f>
        <v>Les gens qui regardent les hommes du bateau applaudissent.</v>
      </c>
    </row>
    <row r="19955">
      <c r="A19955" s="4" t="s">
        <v>25115</v>
      </c>
      <c r="B19955" s="4" t="s">
        <v>25116</v>
      </c>
      <c r="C19955" s="5" t="str">
        <f>IFERROR(__xludf.DUMMYFUNCTION("GOOGLETRANSLATE(B19955,""en"",""fr"")"),"Une femme est assise, un homme est debout et une petite fille grimpe sur du matériel de jeu.")</f>
        <v>Une femme est assise, un homme est debout et une petite fille grimpe sur du matériel de jeu.</v>
      </c>
    </row>
    <row r="19956">
      <c r="A19956" s="4" t="s">
        <v>25115</v>
      </c>
      <c r="B19956" s="4" t="s">
        <v>25117</v>
      </c>
      <c r="C19956" s="5" t="str">
        <f>IFERROR(__xludf.DUMMYFUNCTION("GOOGLETRANSLATE(B19956,""en"",""fr"")"),"Elle tombe, suspendue aux bars de singe alors qu'elle prétend donner un coup de pied à l'homme.")</f>
        <v>Elle tombe, suspendue aux bars de singe alors qu'elle prétend donner un coup de pied à l'homme.</v>
      </c>
    </row>
    <row r="19957">
      <c r="A19957" s="4" t="s">
        <v>25115</v>
      </c>
      <c r="B19957" s="4" t="s">
        <v>25118</v>
      </c>
      <c r="C19957" s="5" t="str">
        <f>IFERROR(__xludf.DUMMYFUNCTION("GOOGLETRANSLATE(B19957,""en"",""fr"")"),"Elle se balance jusqu'au bout et atterrit dans les bras d'un autre homme.")</f>
        <v>Elle se balance jusqu'au bout et atterrit dans les bras d'un autre homme.</v>
      </c>
    </row>
    <row r="19958">
      <c r="A19958" s="4" t="s">
        <v>25119</v>
      </c>
      <c r="B19958" s="6" t="s">
        <v>25120</v>
      </c>
      <c r="C19958" s="5" t="str">
        <f>IFERROR(__xludf.DUMMYFUNCTION("GOOGLETRANSLATE(B19958,""en"",""fr"")"),"Trois personnes se tiennent à l'extérieur sous un très grand gazebo en béton et le mot blanc ""Maranhao"" est sur le côté droit de l'écran.")</f>
        <v>Trois personnes se tiennent à l'extérieur sous un très grand gazebo en béton et le mot blanc "Maranhao" est sur le côté droit de l'écran.</v>
      </c>
    </row>
    <row r="19959">
      <c r="A19959" s="4" t="s">
        <v>25119</v>
      </c>
      <c r="B19959" s="6" t="s">
        <v>25121</v>
      </c>
      <c r="C19959" s="5" t="str">
        <f>IFERROR(__xludf.DUMMYFUNCTION("GOOGLETRANSLATE(B19959,""en"",""fr"")"),"Un homme avec un instrument commence à marcher vers les trois personnes et il commence à ajuster son instrument.")</f>
        <v>Un homme avec un instrument commence à marcher vers les trois personnes et il commence à ajuster son instrument.</v>
      </c>
    </row>
    <row r="19960">
      <c r="A19960" s="4" t="s">
        <v>25119</v>
      </c>
      <c r="B19960" s="6" t="s">
        <v>25122</v>
      </c>
      <c r="C19960" s="5" t="str">
        <f>IFERROR(__xludf.DUMMYFUNCTION("GOOGLETRANSLATE(B19960,""en"",""fr"")"),"Deux des gens commencent à danser, la femme commence à chanter, puis tous les gens tiennent maintenant des instruments et sourient alors qu'ils commencent à jouer leurs instruments, dansant et chantent ensemble.")</f>
        <v>Deux des gens commencent à danser, la femme commence à chanter, puis tous les gens tiennent maintenant des instruments et sourient alors qu'ils commencent à jouer leurs instruments, dansant et chantent ensemble.</v>
      </c>
    </row>
    <row r="19961">
      <c r="A19961" s="4" t="s">
        <v>25123</v>
      </c>
      <c r="B19961" s="4" t="s">
        <v>25124</v>
      </c>
      <c r="C19961" s="5" t="str">
        <f>IFERROR(__xludf.DUMMYFUNCTION("GOOGLETRANSLATE(B19961,""en"",""fr"")"),"Cet homme montre un poids très lourd au début de la vidéo.")</f>
        <v>Cet homme montre un poids très lourd au début de la vidéo.</v>
      </c>
    </row>
    <row r="19962">
      <c r="A19962" s="4" t="s">
        <v>25123</v>
      </c>
      <c r="B19962" s="4" t="s">
        <v>25125</v>
      </c>
      <c r="C19962" s="5" t="str">
        <f>IFERROR(__xludf.DUMMYFUNCTION("GOOGLETRANSLATE(B19962,""en"",""fr"")"),"Ensuite, un autre homme fait la même chose et il le soulève avec succès.")</f>
        <v>Ensuite, un autre homme fait la même chose et il le soulève avec succès.</v>
      </c>
    </row>
    <row r="19963">
      <c r="A19963" s="4" t="s">
        <v>25123</v>
      </c>
      <c r="B19963" s="4" t="s">
        <v>25126</v>
      </c>
      <c r="C19963" s="5" t="str">
        <f>IFERROR(__xludf.DUMMYFUNCTION("GOOGLETRANSLATE(B19963,""en"",""fr"")"),"Quand il a terminé, quelqu'un monte sur scène et lui fait un câlin.")</f>
        <v>Quand il a terminé, quelqu'un monte sur scène et lui fait un câlin.</v>
      </c>
    </row>
    <row r="19964">
      <c r="A19964" s="4" t="s">
        <v>25123</v>
      </c>
      <c r="B19964" s="4" t="s">
        <v>25127</v>
      </c>
      <c r="C19964" s="5" t="str">
        <f>IFERROR(__xludf.DUMMYFUNCTION("GOOGLETRANSLATE(B19964,""en"",""fr"")"),"Il reçoit alors une médaille.")</f>
        <v>Il reçoit alors une médaille.</v>
      </c>
    </row>
    <row r="19965">
      <c r="A19965" s="4" t="s">
        <v>25128</v>
      </c>
      <c r="B19965" s="4" t="s">
        <v>25129</v>
      </c>
      <c r="C19965" s="5" t="str">
        <f>IFERROR(__xludf.DUMMYFUNCTION("GOOGLETRANSLATE(B19965,""en"",""fr"")"),"Nous voyons un gymnase rempli de gens qui regardent les gens sauter dans la corde.")</f>
        <v>Nous voyons un gymnase rempli de gens qui regardent les gens sauter dans la corde.</v>
      </c>
    </row>
    <row r="19966">
      <c r="A19966" s="4" t="s">
        <v>25128</v>
      </c>
      <c r="B19966" s="4" t="s">
        <v>25130</v>
      </c>
      <c r="C19966" s="5" t="str">
        <f>IFERROR(__xludf.DUMMYFUNCTION("GOOGLETRANSLATE(B19966,""en"",""fr"")"),"Nous voyons l'extérieur du bâtiment et un homme est interviewé avec des coups de coupe intérieure.")</f>
        <v>Nous voyons l'extérieur du bâtiment et un homme est interviewé avec des coups de coupe intérieure.</v>
      </c>
    </row>
    <row r="19967">
      <c r="A19967" s="4" t="s">
        <v>25128</v>
      </c>
      <c r="B19967" s="4" t="s">
        <v>25131</v>
      </c>
      <c r="C19967" s="5" t="str">
        <f>IFERROR(__xludf.DUMMYFUNCTION("GOOGLETRANSLATE(B19967,""en"",""fr"")"),"Nous regardons une fille interpréter voir des dames servant des collations et regardons une autre personne se produire.")</f>
        <v>Nous regardons une fille interpréter voir des dames servant des collations et regardons une autre personne se produire.</v>
      </c>
    </row>
    <row r="19968">
      <c r="A19968" s="4" t="s">
        <v>25128</v>
      </c>
      <c r="B19968" s="4" t="s">
        <v>25132</v>
      </c>
      <c r="C19968" s="5" t="str">
        <f>IFERROR(__xludf.DUMMYFUNCTION("GOOGLETRANSLATE(B19968,""en"",""fr"")"),"Nous voyons des filles interviewées à l'extérieur de la salle principale et des scènes de l'intérieur du gymnase.")</f>
        <v>Nous voyons des filles interviewées à l'extérieur de la salle principale et des scènes de l'intérieur du gymnase.</v>
      </c>
    </row>
    <row r="19969">
      <c r="A19969" s="4" t="s">
        <v>25128</v>
      </c>
      <c r="B19969" s="4" t="s">
        <v>25133</v>
      </c>
      <c r="C19969" s="5" t="str">
        <f>IFERROR(__xludf.DUMMYFUNCTION("GOOGLETRANSLATE(B19969,""en"",""fr"")"),"Nous voyons des gens sur les gradins et les enfants sauter.")</f>
        <v>Nous voyons des gens sur les gradins et les enfants sauter.</v>
      </c>
    </row>
    <row r="19970">
      <c r="A19970" s="4" t="s">
        <v>25128</v>
      </c>
      <c r="B19970" s="4" t="s">
        <v>25134</v>
      </c>
      <c r="C19970" s="5" t="str">
        <f>IFERROR(__xludf.DUMMYFUNCTION("GOOGLETRANSLATE(B19970,""en"",""fr"")"),"Nous voyons ensuite l'écran de fin bleu.")</f>
        <v>Nous voyons ensuite l'écran de fin bleu.</v>
      </c>
    </row>
    <row r="19971">
      <c r="A19971" s="4" t="s">
        <v>25135</v>
      </c>
      <c r="B19971" s="6" t="s">
        <v>25136</v>
      </c>
      <c r="C19971" s="5" t="str">
        <f>IFERROR(__xludf.DUMMYFUNCTION("GOOGLETRANSLATE(B19971,""en"",""fr"")"),"La femme se présente au début de la vidéo, puis différentes images sont affichées.")</f>
        <v>La femme se présente au début de la vidéo, puis différentes images sont affichées.</v>
      </c>
    </row>
    <row r="19972">
      <c r="A19972" s="4" t="s">
        <v>25135</v>
      </c>
      <c r="B19972" s="6" t="s">
        <v>25137</v>
      </c>
      <c r="C19972" s="5" t="str">
        <f>IFERROR(__xludf.DUMMYFUNCTION("GOOGLETRANSLATE(B19972,""en"",""fr"")"),"Elle parle également du plaisir que vous pouvez avoir à Chicago et de sa grande production de Being the Black Widow.")</f>
        <v>Elle parle également du plaisir que vous pouvez avoir à Chicago et de sa grande production de Being the Black Widow.</v>
      </c>
    </row>
    <row r="19973">
      <c r="A19973" s="4" t="s">
        <v>25138</v>
      </c>
      <c r="B19973" s="4" t="s">
        <v>25139</v>
      </c>
      <c r="C19973" s="5" t="str">
        <f>IFERROR(__xludf.DUMMYFUNCTION("GOOGLETRANSLATE(B19973,""en"",""fr"")"),"L'homme en chemise bleu foncé est agenouillé avec un genou.")</f>
        <v>L'homme en chemise bleu foncé est agenouillé avec un genou.</v>
      </c>
    </row>
    <row r="19974">
      <c r="A19974" s="4" t="s">
        <v>25138</v>
      </c>
      <c r="B19974" s="4" t="s">
        <v>25140</v>
      </c>
      <c r="C19974" s="5" t="str">
        <f>IFERROR(__xludf.DUMMYFUNCTION("GOOGLETRANSLATE(B19974,""en"",""fr"")"),"L'homme dribble la boule bleue.")</f>
        <v>L'homme dribble la boule bleue.</v>
      </c>
    </row>
    <row r="19975">
      <c r="A19975" s="4" t="s">
        <v>25138</v>
      </c>
      <c r="B19975" s="4" t="s">
        <v>25141</v>
      </c>
      <c r="C19975" s="5" t="str">
        <f>IFERROR(__xludf.DUMMYFUNCTION("GOOGLETRANSLATE(B19975,""en"",""fr"")"),"L'homme dribble le ballon de son côté.")</f>
        <v>L'homme dribble le ballon de son côté.</v>
      </c>
    </row>
    <row r="19976">
      <c r="A19976" s="4" t="s">
        <v>25142</v>
      </c>
      <c r="B19976" s="6" t="s">
        <v>25143</v>
      </c>
      <c r="C19976" s="5" t="str">
        <f>IFERROR(__xludf.DUMMYFUNCTION("GOOGLETRANSLATE(B19976,""en"",""fr"")"),"Plusieurs images sont présentées au début des anciens toits ainsi que de nouveaux toits et des personnes travaillant sur ces toits.")</f>
        <v>Plusieurs images sont présentées au début des anciens toits ainsi que de nouveaux toits et des personnes travaillant sur ces toits.</v>
      </c>
    </row>
    <row r="19977">
      <c r="A19977" s="4" t="s">
        <v>25142</v>
      </c>
      <c r="B19977" s="4" t="s">
        <v>25144</v>
      </c>
      <c r="C19977" s="5" t="str">
        <f>IFERROR(__xludf.DUMMYFUNCTION("GOOGLETRANSLATE(B19977,""en"",""fr"")"),"Plus de coups sont montrés des personnes pulvérisant les toits et détournant les yeux de la caméra.")</f>
        <v>Plus de coups sont montrés des personnes pulvérisant les toits et détournant les yeux de la caméra.</v>
      </c>
    </row>
    <row r="19978">
      <c r="A19978" s="4" t="s">
        <v>25145</v>
      </c>
      <c r="B19978" s="4" t="s">
        <v>25146</v>
      </c>
      <c r="C19978" s="5" t="str">
        <f>IFERROR(__xludf.DUMMYFUNCTION("GOOGLETRANSLATE(B19978,""en"",""fr"")"),"Une gymnaste se produit sur les barreaux pendant qu'une foule regarde.")</f>
        <v>Une gymnaste se produit sur les barreaux pendant qu'une foule regarde.</v>
      </c>
    </row>
    <row r="19979">
      <c r="A19979" s="4" t="s">
        <v>25145</v>
      </c>
      <c r="B19979" s="4" t="s">
        <v>25147</v>
      </c>
      <c r="C19979" s="5" t="str">
        <f>IFERROR(__xludf.DUMMYFUNCTION("GOOGLETRANSLATE(B19979,""en"",""fr"")"),"À la fin, la gymnaste se retourne autour des barres et saute sur le matelas.")</f>
        <v>À la fin, la gymnaste se retourne autour des barres et saute sur le matelas.</v>
      </c>
    </row>
    <row r="19980">
      <c r="A19980" s="4" t="s">
        <v>25148</v>
      </c>
      <c r="B19980" s="6" t="s">
        <v>25149</v>
      </c>
      <c r="C19980" s="5" t="str">
        <f>IFERROR(__xludf.DUMMYFUNCTION("GOOGLETRANSLATE(B19980,""en"",""fr"")"),"Une femme est vue assise sur scène tout en chantant dans un microphone et des gens assis derrière ses instruments en jouant.")</f>
        <v>Une femme est vue assise sur scène tout en chantant dans un microphone et des gens assis derrière ses instruments en jouant.</v>
      </c>
    </row>
    <row r="19981">
      <c r="A19981" s="4" t="s">
        <v>25148</v>
      </c>
      <c r="B19981" s="4" t="s">
        <v>25150</v>
      </c>
      <c r="C19981" s="5" t="str">
        <f>IFERROR(__xludf.DUMMYFUNCTION("GOOGLETRANSLATE(B19981,""en"",""fr"")"),"La fille continue de chanter avec le groupe et de se terminer en parlant au public.")</f>
        <v>La fille continue de chanter avec le groupe et de se terminer en parlant au public.</v>
      </c>
    </row>
    <row r="19982">
      <c r="A19982" s="4" t="s">
        <v>25151</v>
      </c>
      <c r="B19982" s="4" t="s">
        <v>25152</v>
      </c>
      <c r="C19982" s="5" t="str">
        <f>IFERROR(__xludf.DUMMYFUNCTION("GOOGLETRANSLATE(B19982,""en"",""fr"")"),"Une femme se tient à côté d'un cheval dans un champ.")</f>
        <v>Une femme se tient à côté d'un cheval dans un champ.</v>
      </c>
    </row>
    <row r="19983">
      <c r="A19983" s="4" t="s">
        <v>25151</v>
      </c>
      <c r="B19983" s="4" t="s">
        <v>25153</v>
      </c>
      <c r="C19983" s="5" t="str">
        <f>IFERROR(__xludf.DUMMYFUNCTION("GOOGLETRANSLATE(B19983,""en"",""fr"")"),"""HJCTV présente: le toilettage de votre cheval 101"" est superposé.")</f>
        <v>"HJCTV présente: le toilettage de votre cheval 101" est superposé.</v>
      </c>
    </row>
    <row r="19984">
      <c r="A19984" s="4" t="s">
        <v>25151</v>
      </c>
      <c r="B19984" s="4" t="s">
        <v>25154</v>
      </c>
      <c r="C19984" s="5" t="str">
        <f>IFERROR(__xludf.DUMMYFUNCTION("GOOGLETRANSLATE(B19984,""en"",""fr"")"),"Une femme se tient dans un stand avec un cheval avec une brosse de toilettage, elle commence à la brosser.")</f>
        <v>Une femme se tient dans un stand avec un cheval avec une brosse de toilettage, elle commence à la brosser.</v>
      </c>
    </row>
    <row r="19985">
      <c r="A19985" s="4" t="s">
        <v>25151</v>
      </c>
      <c r="B19985" s="4" t="s">
        <v>25155</v>
      </c>
      <c r="C19985" s="5" t="str">
        <f>IFERROR(__xludf.DUMMYFUNCTION("GOOGLETRANSLATE(B19985,""en"",""fr"")"),"Deux filles se tiennent à l'extérieur avec un autre cheval et la brossent.")</f>
        <v>Deux filles se tiennent à l'extérieur avec un autre cheval et la brossent.</v>
      </c>
    </row>
    <row r="19986">
      <c r="A19986" s="4" t="s">
        <v>25151</v>
      </c>
      <c r="B19986" s="4" t="s">
        <v>25156</v>
      </c>
      <c r="C19986" s="5" t="str">
        <f>IFERROR(__xludf.DUMMYFUNCTION("GOOGLETRANSLATE(B19986,""en"",""fr"")"),"La première femme revient avec un nouveau pinceau et permet aux enfants d'aider à brosser le cheval.")</f>
        <v>La première femme revient avec un nouveau pinceau et permet aux enfants d'aider à brosser le cheval.</v>
      </c>
    </row>
    <row r="19987">
      <c r="A19987" s="4" t="s">
        <v>25157</v>
      </c>
      <c r="B19987" s="4" t="s">
        <v>25158</v>
      </c>
      <c r="C19987" s="5" t="str">
        <f>IFERROR(__xludf.DUMMYFUNCTION("GOOGLETRANSLATE(B19987,""en"",""fr"")"),"Une personne tient une bague dans une petite boîte.")</f>
        <v>Une personne tient une bague dans une petite boîte.</v>
      </c>
    </row>
    <row r="19988">
      <c r="A19988" s="4" t="s">
        <v>25157</v>
      </c>
      <c r="B19988" s="4" t="s">
        <v>25159</v>
      </c>
      <c r="C19988" s="5" t="str">
        <f>IFERROR(__xludf.DUMMYFUNCTION("GOOGLETRANSLATE(B19988,""en"",""fr"")"),"Ensuite, l'homme enveloppe la boîte avec du papier cadeau.")</f>
        <v>Ensuite, l'homme enveloppe la boîte avec du papier cadeau.</v>
      </c>
    </row>
    <row r="19989">
      <c r="A19989" s="4" t="s">
        <v>25157</v>
      </c>
      <c r="B19989" s="4" t="s">
        <v>25160</v>
      </c>
      <c r="C19989" s="5" t="str">
        <f>IFERROR(__xludf.DUMMYFUNCTION("GOOGLETRANSLATE(B19989,""en"",""fr"")"),"Après, l'homme essaie de trouver la fin d'un rouleau de ruban adhésif, mais il ne peut pas le trouver.")</f>
        <v>Après, l'homme essaie de trouver la fin d'un rouleau de ruban adhésif, mais il ne peut pas le trouver.</v>
      </c>
    </row>
    <row r="19990">
      <c r="A19990" s="4" t="s">
        <v>25157</v>
      </c>
      <c r="B19990" s="4" t="s">
        <v>25161</v>
      </c>
      <c r="C19990" s="5" t="str">
        <f>IFERROR(__xludf.DUMMYFUNCTION("GOOGLETRANSLATE(B19990,""en"",""fr"")"),"L'homme coupe l'excédent de papier et mettait en place le cadeau.")</f>
        <v>L'homme coupe l'excédent de papier et mettait en place le cadeau.</v>
      </c>
    </row>
    <row r="19991">
      <c r="A19991" s="4" t="s">
        <v>25162</v>
      </c>
      <c r="B19991" s="6" t="s">
        <v>25163</v>
      </c>
      <c r="C19991" s="5" t="str">
        <f>IFERROR(__xludf.DUMMYFUNCTION("GOOGLETRANSLATE(B19991,""en"",""fr"")"),"Quatre hommes effectuent un coup de lutte en costume tout en se tenant sur une scène élevée et éclairée devant un public assis.")</f>
        <v>Quatre hommes effectuent un coup de lutte en costume tout en se tenant sur une scène élevée et éclairée devant un public assis.</v>
      </c>
    </row>
    <row r="19992">
      <c r="A19992" s="4" t="s">
        <v>25162</v>
      </c>
      <c r="B19992" s="4" t="s">
        <v>25164</v>
      </c>
      <c r="C19992" s="5" t="str">
        <f>IFERROR(__xludf.DUMMYFUNCTION("GOOGLETRANSLATE(B19992,""en"",""fr"")"),"Deux hommes en noir soulèvent un homme dans une tenue bleue brillante, en haut, sur leurs épaules.")</f>
        <v>Deux hommes en noir soulèvent un homme dans une tenue bleue brillante, en haut, sur leurs épaules.</v>
      </c>
    </row>
    <row r="19993">
      <c r="A19993" s="4" t="s">
        <v>25162</v>
      </c>
      <c r="B19993" s="6" t="s">
        <v>25165</v>
      </c>
      <c r="C19993" s="5" t="str">
        <f>IFERROR(__xludf.DUMMYFUNCTION("GOOGLETRANSLATE(B19993,""en"",""fr"")"),"Les deux hommes en noir placent l'homme dans les jambes de Blue autour du cou d'un autre homme, le plus grand homme de la scène, qui est également vêtu de noir.")</f>
        <v>Les deux hommes en noir placent l'homme dans les jambes de Blue autour du cou d'un autre homme, le plus grand homme de la scène, qui est également vêtu de noir.</v>
      </c>
    </row>
    <row r="19994">
      <c r="A19994" s="4" t="s">
        <v>25162</v>
      </c>
      <c r="B19994" s="6" t="s">
        <v>25166</v>
      </c>
      <c r="C19994" s="5" t="str">
        <f>IFERROR(__xludf.DUMMYFUNCTION("GOOGLETRANSLATE(B19994,""en"",""fr"")"),"Le grand homme en noir emmène alors l'homme en bleu et le claque sur la scène et sur une table à côté de la scène, à quel point l'homme atterrit avec une force qui brise la table en deux, ce qui fait tomber l'homme à l'homme plancher sous la table.")</f>
        <v>Le grand homme en noir emmène alors l'homme en bleu et le claque sur la scène et sur une table à côté de la scène, à quel point l'homme atterrit avec une force qui brise la table en deux, ce qui fait tomber l'homme à l'homme plancher sous la table.</v>
      </c>
    </row>
    <row r="19995">
      <c r="A19995" s="4" t="s">
        <v>25167</v>
      </c>
      <c r="B19995" s="6" t="s">
        <v>25168</v>
      </c>
      <c r="C19995" s="5" t="str">
        <f>IFERROR(__xludf.DUMMYFUNCTION("GOOGLETRANSLATE(B19995,""en"",""fr"")"),"Il y a deux équipes jouant au volley balle dans un stade intérieur devant un grand nombre de spectateurs.")</f>
        <v>Il y a deux équipes jouant au volley balle dans un stade intérieur devant un grand nombre de spectateurs.</v>
      </c>
    </row>
    <row r="19996">
      <c r="A19996" s="4" t="s">
        <v>25167</v>
      </c>
      <c r="B19996" s="4" t="s">
        <v>25169</v>
      </c>
      <c r="C19996" s="5" t="str">
        <f>IFERROR(__xludf.DUMMYFUNCTION("GOOGLETRANSLATE(B19996,""en"",""fr"")"),"L'équipe verte et jaune joue contre l'équipe rouge.")</f>
        <v>L'équipe verte et jaune joue contre l'équipe rouge.</v>
      </c>
    </row>
    <row r="19997">
      <c r="A19997" s="4" t="s">
        <v>25167</v>
      </c>
      <c r="B19997" s="4" t="s">
        <v>25170</v>
      </c>
      <c r="C19997" s="5" t="str">
        <f>IFERROR(__xludf.DUMMYFUNCTION("GOOGLETRANSLATE(B19997,""en"",""fr"")"),"Les joueurs plongent haut pour lancer le ballon à travers le filet à leur équipe adverse.")</f>
        <v>Les joueurs plongent haut pour lancer le ballon à travers le filet à leur équipe adverse.</v>
      </c>
    </row>
    <row r="19998">
      <c r="A19998" s="4" t="s">
        <v>25167</v>
      </c>
      <c r="B19998" s="4" t="s">
        <v>25171</v>
      </c>
      <c r="C19998" s="5" t="str">
        <f>IFERROR(__xludf.DUMMYFUNCTION("GOOGLETRANSLATE(B19998,""en"",""fr"")"),"Ensuite, l'équipe verte et jaune joue contre l'équipe bleue.")</f>
        <v>Ensuite, l'équipe verte et jaune joue contre l'équipe bleue.</v>
      </c>
    </row>
    <row r="19999">
      <c r="A19999" s="4" t="s">
        <v>25167</v>
      </c>
      <c r="B19999" s="4" t="s">
        <v>25172</v>
      </c>
      <c r="C19999" s="5" t="str">
        <f>IFERROR(__xludf.DUMMYFUNCTION("GOOGLETRANSLATE(B19999,""en"",""fr"")"),"L'équipe rouge est de retour pour jouer avec l'équipe verte et jaune.")</f>
        <v>L'équipe rouge est de retour pour jouer avec l'équipe verte et jaune.</v>
      </c>
    </row>
    <row r="20000">
      <c r="A20000" s="4" t="s">
        <v>25167</v>
      </c>
      <c r="B20000" s="4" t="s">
        <v>25173</v>
      </c>
      <c r="C20000" s="5" t="str">
        <f>IFERROR(__xludf.DUMMYFUNCTION("GOOGLETRANSLATE(B20000,""en"",""fr"")"),"Ensuite, l'équipe bleue revient pour jouer contre l'équipe verte et jaune.")</f>
        <v>Ensuite, l'équipe bleue revient pour jouer contre l'équipe verte et jaune.</v>
      </c>
    </row>
    <row r="20001">
      <c r="A20001" s="4" t="s">
        <v>25167</v>
      </c>
      <c r="B20001" s="6" t="s">
        <v>25174</v>
      </c>
      <c r="C20001" s="5" t="str">
        <f>IFERROR(__xludf.DUMMYFUNCTION("GOOGLETRANSLATE(B20001,""en"",""fr"")"),"Le jeu de volley Ball se poursuit alors que l'équipe rouge et l'équipe bleue jouent alternativement avec leurs adversaires.")</f>
        <v>Le jeu de volley Ball se poursuit alors que l'équipe rouge et l'équipe bleue jouent alternativement avec leurs adversaires.</v>
      </c>
    </row>
    <row r="20002">
      <c r="A20002" s="4" t="s">
        <v>25175</v>
      </c>
      <c r="B20002" s="4" t="s">
        <v>25176</v>
      </c>
      <c r="C20002" s="5" t="str">
        <f>IFERROR(__xludf.DUMMYFUNCTION("GOOGLETRANSLATE(B20002,""en"",""fr"")"),"Une caméra se déroule tout autour d'un équipement d'exercice suivi d'une femme qui roule dessus.")</f>
        <v>Une caméra se déroule tout autour d'un équipement d'exercice suivi d'une femme qui roule dessus.</v>
      </c>
    </row>
    <row r="20003">
      <c r="A20003" s="4" t="s">
        <v>25175</v>
      </c>
      <c r="B20003" s="4" t="s">
        <v>25177</v>
      </c>
      <c r="C20003" s="5" t="str">
        <f>IFERROR(__xludf.DUMMYFUNCTION("GOOGLETRANSLATE(B20003,""en"",""fr"")"),"On voit une personne ajustant les paramètres du vélo ainsi que la conduite et l'eau potable.")</f>
        <v>On voit une personne ajustant les paramètres du vélo ainsi que la conduite et l'eau potable.</v>
      </c>
    </row>
    <row r="20004">
      <c r="A20004" s="4" t="s">
        <v>25175</v>
      </c>
      <c r="B20004" s="6" t="s">
        <v>25178</v>
      </c>
      <c r="C20004" s="5" t="str">
        <f>IFERROR(__xludf.DUMMYFUNCTION("GOOGLETRANSLATE(B20004,""en"",""fr"")"),"D'autres tirs sont montrés de la femme ajustant la machine ainsi que de la dépasser et de continuer à rouler.")</f>
        <v>D'autres tirs sont montrés de la femme ajustant la machine ainsi que de la dépasser et de continuer à rouler.</v>
      </c>
    </row>
    <row r="20005">
      <c r="A20005" s="4" t="s">
        <v>25179</v>
      </c>
      <c r="B20005" s="6" t="s">
        <v>25180</v>
      </c>
      <c r="C20005" s="5" t="str">
        <f>IFERROR(__xludf.DUMMYFUNCTION("GOOGLETRANSLATE(B20005,""en"",""fr"")"),"Un petit groupe de personnes est vu nager dans une piscine et conduire à plusieurs clips de personnes jouant au jeu et célébrant.")</f>
        <v>Un petit groupe de personnes est vu nager dans une piscine et conduire à plusieurs clips de personnes jouant au jeu et célébrant.</v>
      </c>
    </row>
    <row r="20006">
      <c r="A20006" s="4" t="s">
        <v>25179</v>
      </c>
      <c r="B20006" s="6" t="s">
        <v>25181</v>
      </c>
      <c r="C20006" s="5" t="str">
        <f>IFERROR(__xludf.DUMMYFUNCTION("GOOGLETRANSLATE(B20006,""en"",""fr"")"),"Diverses personnes sont ensuite vues parler à la caméra suivie de plus de clips du jeu affichées et de personnes célébrant.")</f>
        <v>Diverses personnes sont ensuite vues parler à la caméra suivie de plus de clips du jeu affichées et de personnes célébrant.</v>
      </c>
    </row>
    <row r="20007">
      <c r="A20007" s="4" t="s">
        <v>25182</v>
      </c>
      <c r="B20007" s="4" t="s">
        <v>25183</v>
      </c>
      <c r="C20007" s="5" t="str">
        <f>IFERROR(__xludf.DUMMYFUNCTION("GOOGLETRANSLATE(B20007,""en"",""fr"")"),"Un athlète masculin afro-américain marche à se préparer à courir.")</f>
        <v>Un athlète masculin afro-américain marche à se préparer à courir.</v>
      </c>
    </row>
    <row r="20008">
      <c r="A20008" s="4" t="s">
        <v>25182</v>
      </c>
      <c r="B20008" s="6" t="s">
        <v>25184</v>
      </c>
      <c r="C20008" s="5" t="str">
        <f>IFERROR(__xludf.DUMMYFUNCTION("GOOGLETRANSLATE(B20008,""en"",""fr"")"),"Le mâle commence alors à courir d'un angle vers le tapis et fait un saut en hauteur qui dégage la barre.")</f>
        <v>Le mâle commence alors à courir d'un angle vers le tapis et fait un saut en hauteur qui dégage la barre.</v>
      </c>
    </row>
    <row r="20009">
      <c r="A20009" s="4" t="s">
        <v>25182</v>
      </c>
      <c r="B20009" s="4" t="s">
        <v>25185</v>
      </c>
      <c r="C20009" s="5" t="str">
        <f>IFERROR(__xludf.DUMMYFUNCTION("GOOGLETRANSLATE(B20009,""en"",""fr"")"),"Une rediffusion est montrée et la foule commence à encourager pour lui.")</f>
        <v>Une rediffusion est montrée et la foule commence à encourager pour lui.</v>
      </c>
    </row>
    <row r="20010">
      <c r="A20010" s="4" t="s">
        <v>25186</v>
      </c>
      <c r="B20010" s="6" t="s">
        <v>25187</v>
      </c>
      <c r="C20010" s="5" t="str">
        <f>IFERROR(__xludf.DUMMYFUNCTION("GOOGLETRANSLATE(B20010,""en"",""fr"")"),"Deux hommes, une femme et un tout-petit marchent sur la route, mais tous les adultes ont des chaussures de kangourou.")</f>
        <v>Deux hommes, une femme et un tout-petit marchent sur la route, mais tous les adultes ont des chaussures de kangourou.</v>
      </c>
    </row>
    <row r="20011">
      <c r="A20011" s="4" t="s">
        <v>25186</v>
      </c>
      <c r="B20011" s="6" t="s">
        <v>25188</v>
      </c>
      <c r="C20011" s="5" t="str">
        <f>IFERROR(__xludf.DUMMYFUNCTION("GOOGLETRANSLATE(B20011,""en"",""fr"")"),"Les gens continuent de marcher les passent et les deux mâles commencent à sauter extrêmement haut alors que la dame s'éloigne avec l'enfant.")</f>
        <v>Les gens continuent de marcher les passent et les deux mâles commencent à sauter extrêmement haut alors que la dame s'éloigne avec l'enfant.</v>
      </c>
    </row>
    <row r="20012">
      <c r="A20012" s="4" t="s">
        <v>25186</v>
      </c>
      <c r="B20012" s="6" t="s">
        <v>25189</v>
      </c>
      <c r="C20012" s="5" t="str">
        <f>IFERROR(__xludf.DUMMYFUNCTION("GOOGLETRANSLATE(B20012,""en"",""fr"")"),"Les quatre individus se déplacent ensuite devant un bâtiment et commencent à espérer, puis finalement à un ensemble de marches dans ce qui semble être une cour de cour.")</f>
        <v>Les quatre individus se déplacent ensuite devant un bâtiment et commencent à espérer, puis finalement à un ensemble de marches dans ce qui semble être une cour de cour.</v>
      </c>
    </row>
    <row r="20013">
      <c r="A20013" s="4" t="s">
        <v>25190</v>
      </c>
      <c r="B20013" s="4" t="s">
        <v>25191</v>
      </c>
      <c r="C20013" s="5" t="str">
        <f>IFERROR(__xludf.DUMMYFUNCTION("GOOGLETRANSLATE(B20013,""en"",""fr"")"),"Un homme est vu debout dans un garage et continue de jouer un ensemble de cornemuse.")</f>
        <v>Un homme est vu debout dans un garage et continue de jouer un ensemble de cornemuse.</v>
      </c>
    </row>
    <row r="20014">
      <c r="A20014" s="4" t="s">
        <v>25190</v>
      </c>
      <c r="B20014" s="6" t="s">
        <v>25192</v>
      </c>
      <c r="C20014" s="5" t="str">
        <f>IFERROR(__xludf.DUMMYFUNCTION("GOOGLETRANSLATE(B20014,""en"",""fr"")"),"L'homme continue de jouer de l'instrument tout en se déplaçant les mains et s'arrête à la fin pour éteindre la caméra.")</f>
        <v>L'homme continue de jouer de l'instrument tout en se déplaçant les mains et s'arrête à la fin pour éteindre la caméra.</v>
      </c>
    </row>
    <row r="20015">
      <c r="A20015" s="4" t="s">
        <v>25193</v>
      </c>
      <c r="B20015" s="4" t="s">
        <v>25194</v>
      </c>
      <c r="C20015" s="5" t="str">
        <f>IFERROR(__xludf.DUMMYFUNCTION("GOOGLETRANSLATE(B20015,""en"",""fr"")"),"Plusieurs paires de personnes sont dans le désert tenant un bâton de selfie alors qu'ils voyagent sur des chameaux.")</f>
        <v>Plusieurs paires de personnes sont dans le désert tenant un bâton de selfie alors qu'ils voyagent sur des chameaux.</v>
      </c>
    </row>
    <row r="20016">
      <c r="A20016" s="4" t="s">
        <v>25193</v>
      </c>
      <c r="B20016" s="4" t="s">
        <v>25195</v>
      </c>
      <c r="C20016" s="5" t="str">
        <f>IFERROR(__xludf.DUMMYFUNCTION("GOOGLETRANSLATE(B20016,""en"",""fr"")"),"Alors qu'ils continuent, certaines personnes viennent et commencent à filmer les gens avec leur propre appareil photo.")</f>
        <v>Alors qu'ils continuent, certaines personnes viennent et commencent à filmer les gens avec leur propre appareil photo.</v>
      </c>
    </row>
    <row r="20017">
      <c r="A20017" s="4" t="s">
        <v>25193</v>
      </c>
      <c r="B20017" s="6" t="s">
        <v>25196</v>
      </c>
      <c r="C20017" s="5" t="str">
        <f>IFERROR(__xludf.DUMMYFUNCTION("GOOGLETRANSLATE(B20017,""en"",""fr"")"),"Maintenant, une ligne de gens est dans le sable qui se tient juste en les regardant alors que les gens sur le chameau commencent à leur parler.")</f>
        <v>Maintenant, une ligne de gens est dans le sable qui se tient juste en les regardant alors que les gens sur le chameau commencent à leur parler.</v>
      </c>
    </row>
    <row r="20018">
      <c r="A20018" s="4" t="s">
        <v>25197</v>
      </c>
      <c r="B20018" s="6" t="s">
        <v>25198</v>
      </c>
      <c r="C20018" s="5" t="str">
        <f>IFERROR(__xludf.DUMMYFUNCTION("GOOGLETRANSLATE(B20018,""en"",""fr"")"),"Un écran blanc apparaît et des lettres vertes apparaissent au milieu de l'écran et lisent ""ehow"" et se transforment à un écran bleu qui a un grand mot blanc qui lit ""Santé"" sous un petit carré blanc qui contient le vert vert.")</f>
        <v>Un écran blanc apparaît et des lettres vertes apparaissent au milieu de l'écran et lisent "ehow" et se transforment à un écran bleu qui a un grand mot blanc qui lit "Santé" sous un petit carré blanc qui contient le vert vert.</v>
      </c>
    </row>
    <row r="20019">
      <c r="A20019" s="4" t="s">
        <v>25197</v>
      </c>
      <c r="B20019" s="6" t="s">
        <v>25199</v>
      </c>
      <c r="C20019" s="5" t="str">
        <f>IFERROR(__xludf.DUMMYFUNCTION("GOOGLETRANSLATE(B20019,""en"",""fr"")"),"Un homme portant des vêtements athlétiques se tient dans une salle de sport intérieure faisant des exercices de combat et quand il s'arrête pour parler, une bannière en bas à gauche dit que son nom est Steve Hess et il est un entraîneur personnel.")</f>
        <v>Un homme portant des vêtements athlétiques se tient dans une salle de sport intérieure faisant des exercices de combat et quand il s'arrête pour parler, une bannière en bas à gauche dit que son nom est Steve Hess et il est un entraîneur personnel.</v>
      </c>
    </row>
    <row r="20020">
      <c r="A20020" s="4" t="s">
        <v>25197</v>
      </c>
      <c r="B20020" s="6" t="s">
        <v>25200</v>
      </c>
      <c r="C20020" s="5" t="str">
        <f>IFERROR(__xludf.DUMMYFUNCTION("GOOGLETRANSLATE(B20020,""en"",""fr"")"),"Pendant que parole, l'homme fait également des mouvements de bras et de jambes et la caméra est zoom pour montrer tout son corps.")</f>
        <v>Pendant que parole, l'homme fait également des mouvements de bras et de jambes et la caméra est zoom pour montrer tout son corps.</v>
      </c>
    </row>
    <row r="20021">
      <c r="A20021" s="4" t="s">
        <v>25197</v>
      </c>
      <c r="B20021" s="6" t="s">
        <v>25201</v>
      </c>
      <c r="C20021" s="5" t="str">
        <f>IFERROR(__xludf.DUMMYFUNCTION("GOOGLETRANSLATE(B20021,""en"",""fr"")"),"Lorsque l'homme est terminé, le même écran bleu depuis le début apparaît et se termine par le même écran blanc avec le vert ehow écrit au milieu.")</f>
        <v>Lorsque l'homme est terminé, le même écran bleu depuis le début apparaît et se termine par le même écran blanc avec le vert ehow écrit au milieu.</v>
      </c>
    </row>
    <row r="20022">
      <c r="A20022" s="4" t="s">
        <v>25202</v>
      </c>
      <c r="B20022" s="4" t="s">
        <v>25203</v>
      </c>
      <c r="C20022" s="5" t="str">
        <f>IFERROR(__xludf.DUMMYFUNCTION("GOOGLETRANSLATE(B20022,""en"",""fr"")"),"Une personne est vue debout sur une paire de skis tandis que d'autres se déplacent dans une zone.")</f>
        <v>Une personne est vue debout sur une paire de skis tandis que d'autres se déplacent dans une zone.</v>
      </c>
    </row>
    <row r="20023">
      <c r="A20023" s="4" t="s">
        <v>25202</v>
      </c>
      <c r="B20023" s="4" t="s">
        <v>25204</v>
      </c>
      <c r="C20023" s="5" t="str">
        <f>IFERROR(__xludf.DUMMYFUNCTION("GOOGLETRANSLATE(B20023,""en"",""fr"")"),"Une personne est assise sur un tube tandis que d'autres marchent par derrière.")</f>
        <v>Une personne est assise sur un tube tandis que d'autres marchent par derrière.</v>
      </c>
    </row>
    <row r="20024">
      <c r="A20024" s="4" t="s">
        <v>25202</v>
      </c>
      <c r="B20024" s="4" t="s">
        <v>25205</v>
      </c>
      <c r="C20024" s="5" t="str">
        <f>IFERROR(__xludf.DUMMYFUNCTION("GOOGLETRANSLATE(B20024,""en"",""fr"")"),"Une personne frappe ensuite la personne dans le tube en bas de la colline.")</f>
        <v>Une personne frappe ensuite la personne dans le tube en bas de la colline.</v>
      </c>
    </row>
    <row r="20025">
      <c r="A20025" s="4" t="s">
        <v>25206</v>
      </c>
      <c r="B20025" s="6" t="s">
        <v>25207</v>
      </c>
      <c r="C20025" s="5" t="str">
        <f>IFERROR(__xludf.DUMMYFUNCTION("GOOGLETRANSLATE(B20025,""en"",""fr"")"),"Un homme se dirige vers un ensemble de barres inégales tandis qu'un homme se retourne derrière lui et commence à effectuer une routine de gymnastique.")</f>
        <v>Un homme se dirige vers un ensemble de barres inégales tandis qu'un homme se retourne derrière lui et commence à effectuer une routine de gymnastique.</v>
      </c>
    </row>
    <row r="20026">
      <c r="A20026" s="4" t="s">
        <v>25206</v>
      </c>
      <c r="B20026" s="6" t="s">
        <v>25208</v>
      </c>
      <c r="C20026" s="5" t="str">
        <f>IFERROR(__xludf.DUMMYFUNCTION("GOOGLETRANSLATE(B20026,""en"",""fr"")"),"L'homme se retourne et se tourne autour des barres et se termine en sautant et en agitant ses mains.")</f>
        <v>L'homme se retourne et se tourne autour des barres et se termine en sautant et en agitant ses mains.</v>
      </c>
    </row>
    <row r="20027">
      <c r="A20027" s="4" t="s">
        <v>25209</v>
      </c>
      <c r="B20027" s="4" t="s">
        <v>25210</v>
      </c>
      <c r="C20027" s="5" t="str">
        <f>IFERROR(__xludf.DUMMYFUNCTION("GOOGLETRANSLATE(B20027,""en"",""fr"")"),"Un homme est vu portant un tablier devant un lavabo empilé avec de nombreux plats.")</f>
        <v>Un homme est vu portant un tablier devant un lavabo empilé avec de nombreux plats.</v>
      </c>
    </row>
    <row r="20028">
      <c r="A20028" s="4" t="s">
        <v>25209</v>
      </c>
      <c r="B20028" s="4" t="s">
        <v>25211</v>
      </c>
      <c r="C20028" s="5" t="str">
        <f>IFERROR(__xludf.DUMMYFUNCTION("GOOGLETRANSLATE(B20028,""en"",""fr"")"),"L'homme commence à laver la vaisselle dans un mouvement rapide et à les jeter dans une pile.")</f>
        <v>L'homme commence à laver la vaisselle dans un mouvement rapide et à les jeter dans une pile.</v>
      </c>
    </row>
    <row r="20029">
      <c r="A20029" s="4" t="s">
        <v>25209</v>
      </c>
      <c r="B20029" s="4" t="s">
        <v>25212</v>
      </c>
      <c r="C20029" s="5" t="str">
        <f>IFERROR(__xludf.DUMMYFUNCTION("GOOGLETRANSLATE(B20029,""en"",""fr"")"),"L'homme continue de laver la vaisselle tout en regardant la caméra.")</f>
        <v>L'homme continue de laver la vaisselle tout en regardant la caméra.</v>
      </c>
    </row>
    <row r="20030">
      <c r="A20030" s="4" t="s">
        <v>25213</v>
      </c>
      <c r="B20030" s="4" t="s">
        <v>25214</v>
      </c>
      <c r="C20030" s="5" t="str">
        <f>IFERROR(__xludf.DUMMYFUNCTION("GOOGLETRANSLATE(B20030,""en"",""fr"")"),"Un homme est vu se plier avant un gros poids tout en regardant au loin.")</f>
        <v>Un homme est vu se plier avant un gros poids tout en regardant au loin.</v>
      </c>
    </row>
    <row r="20031">
      <c r="A20031" s="4" t="s">
        <v>25213</v>
      </c>
      <c r="B20031" s="4" t="s">
        <v>25215</v>
      </c>
      <c r="C20031" s="5" t="str">
        <f>IFERROR(__xludf.DUMMYFUNCTION("GOOGLETRANSLATE(B20031,""en"",""fr"")"),"Il prend ensuite le poids au-dessus de sa tête.")</f>
        <v>Il prend ensuite le poids au-dessus de sa tête.</v>
      </c>
    </row>
    <row r="20032">
      <c r="A20032" s="4" t="s">
        <v>25213</v>
      </c>
      <c r="B20032" s="4" t="s">
        <v>25216</v>
      </c>
      <c r="C20032" s="5" t="str">
        <f>IFERROR(__xludf.DUMMYFUNCTION("GOOGLETRANSLATE(B20032,""en"",""fr"")"),"Enfin, il jette le poids sur le sol.")</f>
        <v>Enfin, il jette le poids sur le sol.</v>
      </c>
    </row>
    <row r="20033">
      <c r="A20033" s="4" t="s">
        <v>25217</v>
      </c>
      <c r="B20033" s="4" t="s">
        <v>25218</v>
      </c>
      <c r="C20033" s="5" t="str">
        <f>IFERROR(__xludf.DUMMYFUNCTION("GOOGLETRANSLATE(B20033,""en"",""fr"")"),"Un bébé est assis dans une balançoire, se balançant doucement.")</f>
        <v>Un bébé est assis dans une balançoire, se balançant doucement.</v>
      </c>
    </row>
    <row r="20034">
      <c r="A20034" s="4" t="s">
        <v>25217</v>
      </c>
      <c r="B20034" s="4" t="s">
        <v>25219</v>
      </c>
      <c r="C20034" s="5" t="str">
        <f>IFERROR(__xludf.DUMMYFUNCTION("GOOGLETRANSLATE(B20034,""en"",""fr"")"),"Une petite fille est vue se balançant d'avant en arrière.")</f>
        <v>Une petite fille est vue se balançant d'avant en arrière.</v>
      </c>
    </row>
    <row r="20035">
      <c r="A20035" s="4" t="s">
        <v>25217</v>
      </c>
      <c r="B20035" s="4" t="s">
        <v>25220</v>
      </c>
      <c r="C20035" s="5" t="str">
        <f>IFERROR(__xludf.DUMMYFUNCTION("GOOGLETRANSLATE(B20035,""en"",""fr"")"),"Ensuite, un tout-petit et un bébé se regardent alors qu'ils continuent de se balancer légèrement.")</f>
        <v>Ensuite, un tout-petit et un bébé se regardent alors qu'ils continuent de se balancer légèrement.</v>
      </c>
    </row>
    <row r="20036">
      <c r="A20036" s="4" t="s">
        <v>25221</v>
      </c>
      <c r="B20036" s="4" t="s">
        <v>25222</v>
      </c>
      <c r="C20036" s="5" t="str">
        <f>IFERROR(__xludf.DUMMYFUNCTION("GOOGLETRANSLATE(B20036,""en"",""fr"")"),"Une femme se tient dans une pièce, entourée d'un équipement de yoga.")</f>
        <v>Une femme se tient dans une pièce, entourée d'un équipement de yoga.</v>
      </c>
    </row>
    <row r="20037">
      <c r="A20037" s="4" t="s">
        <v>25221</v>
      </c>
      <c r="B20037" s="4" t="s">
        <v>25223</v>
      </c>
      <c r="C20037" s="5" t="str">
        <f>IFERROR(__xludf.DUMMYFUNCTION("GOOGLETRANSLATE(B20037,""en"",""fr"")"),"Elle montre ensuite comment utiliser un stepper pour faire de l'exercice, monter et descendre, d'un côté à l'autre.")</f>
        <v>Elle montre ensuite comment utiliser un stepper pour faire de l'exercice, monter et descendre, d'un côté à l'autre.</v>
      </c>
    </row>
    <row r="20038">
      <c r="A20038" s="4" t="s">
        <v>25221</v>
      </c>
      <c r="B20038" s="4" t="s">
        <v>25224</v>
      </c>
      <c r="C20038" s="5" t="str">
        <f>IFERROR(__xludf.DUMMYFUNCTION("GOOGLETRANSLATE(B20038,""en"",""fr"")"),"Elle parle un peu plus longtemps de l'exercice.")</f>
        <v>Elle parle un peu plus longtemps de l'exercice.</v>
      </c>
    </row>
    <row r="20039">
      <c r="A20039" s="4" t="s">
        <v>25225</v>
      </c>
      <c r="B20039" s="4" t="s">
        <v>25226</v>
      </c>
      <c r="C20039" s="5" t="str">
        <f>IFERROR(__xludf.DUMMYFUNCTION("GOOGLETRANSLATE(B20039,""en"",""fr"")"),"Les hommes jouent à une balle murale dans une pièce les unes contre les autres.")</f>
        <v>Les hommes jouent à une balle murale dans une pièce les unes contre les autres.</v>
      </c>
    </row>
    <row r="20040">
      <c r="A20040" s="4" t="s">
        <v>25225</v>
      </c>
      <c r="B20040" s="4" t="s">
        <v>25227</v>
      </c>
      <c r="C20040" s="5" t="str">
        <f>IFERROR(__xludf.DUMMYFUNCTION("GOOGLETRANSLATE(B20040,""en"",""fr"")"),"Un homme dans une chemise rouge et des lunettes parle.")</f>
        <v>Un homme dans une chemise rouge et des lunettes parle.</v>
      </c>
    </row>
    <row r="20041">
      <c r="A20041" s="4" t="s">
        <v>25225</v>
      </c>
      <c r="B20041" s="4" t="s">
        <v>25228</v>
      </c>
      <c r="C20041" s="5" t="str">
        <f>IFERROR(__xludf.DUMMYFUNCTION("GOOGLETRANSLATE(B20041,""en"",""fr"")"),"Un homme en chemise noire parle à un homme en chemise rouge.")</f>
        <v>Un homme en chemise noire parle à un homme en chemise rouge.</v>
      </c>
    </row>
    <row r="20042">
      <c r="A20042" s="4" t="s">
        <v>25225</v>
      </c>
      <c r="B20042" s="4" t="s">
        <v>25229</v>
      </c>
      <c r="C20042" s="5" t="str">
        <f>IFERROR(__xludf.DUMMYFUNCTION("GOOGLETRANSLATE(B20042,""en"",""fr"")"),"Les papiers sont affichés à l'écran.")</f>
        <v>Les papiers sont affichés à l'écran.</v>
      </c>
    </row>
    <row r="20043">
      <c r="A20043" s="4" t="s">
        <v>25225</v>
      </c>
      <c r="B20043" s="4" t="s">
        <v>25230</v>
      </c>
      <c r="C20043" s="5" t="str">
        <f>IFERROR(__xludf.DUMMYFUNCTION("GOOGLETRANSLATE(B20043,""en"",""fr"")"),"L'homme continue de parler au microphone.")</f>
        <v>L'homme continue de parler au microphone.</v>
      </c>
    </row>
    <row r="20044">
      <c r="A20044" s="4" t="s">
        <v>25225</v>
      </c>
      <c r="B20044" s="4" t="s">
        <v>25231</v>
      </c>
      <c r="C20044" s="5" t="str">
        <f>IFERROR(__xludf.DUMMYFUNCTION("GOOGLETRANSLATE(B20044,""en"",""fr"")"),"Un homme en chemise noire parle.")</f>
        <v>Un homme en chemise noire parle.</v>
      </c>
    </row>
    <row r="20045">
      <c r="A20045" s="4" t="s">
        <v>25225</v>
      </c>
      <c r="B20045" s="4" t="s">
        <v>25232</v>
      </c>
      <c r="C20045" s="5" t="str">
        <f>IFERROR(__xludf.DUMMYFUNCTION("GOOGLETRANSLATE(B20045,""en"",""fr"")"),"Les hommes jouent plus de balle murale.")</f>
        <v>Les hommes jouent plus de balle murale.</v>
      </c>
    </row>
    <row r="20046">
      <c r="A20046" s="4" t="s">
        <v>25233</v>
      </c>
      <c r="B20046" s="4" t="s">
        <v>25234</v>
      </c>
      <c r="C20046" s="5" t="str">
        <f>IFERROR(__xludf.DUMMYFUNCTION("GOOGLETRANSLATE(B20046,""en"",""fr"")"),"Les gens sont sur des instruments en scène.")</f>
        <v>Les gens sont sur des instruments en scène.</v>
      </c>
    </row>
    <row r="20047">
      <c r="A20047" s="4" t="s">
        <v>25233</v>
      </c>
      <c r="B20047" s="4" t="s">
        <v>25235</v>
      </c>
      <c r="C20047" s="5" t="str">
        <f>IFERROR(__xludf.DUMMYFUNCTION("GOOGLETRANSLATE(B20047,""en"",""fr"")"),"Un homme en chemise noire joue un jeu de batterie.")</f>
        <v>Un homme en chemise noire joue un jeu de batterie.</v>
      </c>
    </row>
    <row r="20048">
      <c r="A20048" s="4" t="s">
        <v>25233</v>
      </c>
      <c r="B20048" s="4" t="s">
        <v>25236</v>
      </c>
      <c r="C20048" s="5" t="str">
        <f>IFERROR(__xludf.DUMMYFUNCTION("GOOGLETRANSLATE(B20048,""en"",""fr"")"),"Un homme en chemise verte joue une guitare à l'avant de la scène.")</f>
        <v>Un homme en chemise verte joue une guitare à l'avant de la scène.</v>
      </c>
    </row>
    <row r="20049">
      <c r="A20049" s="4" t="s">
        <v>25237</v>
      </c>
      <c r="B20049" s="4" t="s">
        <v>25238</v>
      </c>
      <c r="C20049" s="5" t="str">
        <f>IFERROR(__xludf.DUMMYFUNCTION("GOOGLETRANSLATE(B20049,""en"",""fr"")"),"Deux scientifiques jette des pierres dans l'eau en parlant.")</f>
        <v>Deux scientifiques jette des pierres dans l'eau en parlant.</v>
      </c>
    </row>
    <row r="20050">
      <c r="A20050" s="4" t="s">
        <v>25237</v>
      </c>
      <c r="B20050" s="4" t="s">
        <v>25239</v>
      </c>
      <c r="C20050" s="5" t="str">
        <f>IFERROR(__xludf.DUMMYFUNCTION("GOOGLETRANSLATE(B20050,""en"",""fr"")"),"Le scientifique écrit une formule sur une planche, puis les scientifiques courent et sautent dans l'eau.")</f>
        <v>Le scientifique écrit une formule sur une planche, puis les scientifiques courent et sautent dans l'eau.</v>
      </c>
    </row>
    <row r="20051">
      <c r="A20051" s="4" t="s">
        <v>25237</v>
      </c>
      <c r="B20051" s="4" t="s">
        <v>25240</v>
      </c>
      <c r="C20051" s="5" t="str">
        <f>IFERROR(__xludf.DUMMYFUNCTION("GOOGLETRANSLATE(B20051,""en"",""fr"")"),"Ensuite, les gens skient dans l'eau dans l'eau tirant par un bateau.")</f>
        <v>Ensuite, les gens skient dans l'eau dans l'eau tirant par un bateau.</v>
      </c>
    </row>
    <row r="20052">
      <c r="A20052" s="4" t="s">
        <v>25237</v>
      </c>
      <c r="B20052" s="4" t="s">
        <v>25241</v>
      </c>
      <c r="C20052" s="5" t="str">
        <f>IFERROR(__xludf.DUMMYFUNCTION("GOOGLETRANSLATE(B20052,""en"",""fr"")"),"Une femme skie nautique tandis que deux hommes expliquent les mouvements réalisés par la fille.")</f>
        <v>Une femme skie nautique tandis que deux hommes expliquent les mouvements réalisés par la fille.</v>
      </c>
    </row>
    <row r="20053">
      <c r="A20053" s="4" t="s">
        <v>25237</v>
      </c>
      <c r="B20053" s="6" t="s">
        <v>25242</v>
      </c>
      <c r="C20053" s="5" t="str">
        <f>IFERROR(__xludf.DUMMYFUNCTION("GOOGLETRANSLATE(B20053,""en"",""fr"")"),"Après, un ski nautique de l'homme tenant une corde de ciel d'eau à un poteau pendant qu'une personne regarde, puis il tombe dans l'eau.")</f>
        <v>Après, un ski nautique de l'homme tenant une corde de ciel d'eau à un poteau pendant qu'une personne regarde, puis il tombe dans l'eau.</v>
      </c>
    </row>
    <row r="20054">
      <c r="A20054" s="4" t="s">
        <v>25237</v>
      </c>
      <c r="B20054" s="4" t="s">
        <v>25243</v>
      </c>
      <c r="C20054" s="5" t="str">
        <f>IFERROR(__xludf.DUMMYFUNCTION("GOOGLETRANSLATE(B20054,""en"",""fr"")"),"Après, une personne skie nautique puis tombe dans l'eau.")</f>
        <v>Après, une personne skie nautique puis tombe dans l'eau.</v>
      </c>
    </row>
    <row r="20055">
      <c r="A20055" s="4" t="s">
        <v>25244</v>
      </c>
      <c r="B20055" s="6" t="s">
        <v>25245</v>
      </c>
      <c r="C20055" s="5" t="str">
        <f>IFERROR(__xludf.DUMMYFUNCTION("GOOGLETRANSLATE(B20055,""en"",""fr"")"),"Un nageur est montré en mettant ses lunettes et en écartant les mains avant de plonger dans une piscine.")</f>
        <v>Un nageur est montré en mettant ses lunettes et en écartant les mains avant de plonger dans une piscine.</v>
      </c>
    </row>
    <row r="20056">
      <c r="A20056" s="4" t="s">
        <v>25244</v>
      </c>
      <c r="B20056" s="4" t="s">
        <v>25246</v>
      </c>
      <c r="C20056" s="5" t="str">
        <f>IFERROR(__xludf.DUMMYFUNCTION("GOOGLETRANSLATE(B20056,""en"",""fr"")"),"Une vue latérale de l'homme est montrée car il fait le coup latéral sous l'eau.")</f>
        <v>Une vue latérale de l'homme est montrée car il fait le coup latéral sous l'eau.</v>
      </c>
    </row>
    <row r="20057">
      <c r="A20057" s="4" t="s">
        <v>25244</v>
      </c>
      <c r="B20057" s="6" t="s">
        <v>25247</v>
      </c>
      <c r="C20057" s="5" t="str">
        <f>IFERROR(__xludf.DUMMYFUNCTION("GOOGLETRANSLATE(B20057,""en"",""fr"")"),"Le mâle continue de nager et plusieurs de ses techniques sont mises en évidence, comme la façon dont sa main est menottée et la position de ses jambes.")</f>
        <v>Le mâle continue de nager et plusieurs de ses techniques sont mises en évidence, comme la façon dont sa main est menottée et la position de ses jambes.</v>
      </c>
    </row>
    <row r="20058">
      <c r="A20058" s="4" t="s">
        <v>25248</v>
      </c>
      <c r="B20058" s="4" t="s">
        <v>25249</v>
      </c>
      <c r="C20058" s="5" t="str">
        <f>IFERROR(__xludf.DUMMYFUNCTION("GOOGLETRANSLATE(B20058,""en"",""fr"")"),"Les crédits des clips sont affichés.")</f>
        <v>Les crédits des clips sont affichés.</v>
      </c>
    </row>
    <row r="20059">
      <c r="A20059" s="4" t="s">
        <v>25248</v>
      </c>
      <c r="B20059" s="4" t="s">
        <v>25250</v>
      </c>
      <c r="C20059" s="5" t="str">
        <f>IFERROR(__xludf.DUMMYFUNCTION("GOOGLETRANSLATE(B20059,""en"",""fr"")"),"Les gens en noir jouent le ballon sur un terrain.")</f>
        <v>Les gens en noir jouent le ballon sur un terrain.</v>
      </c>
    </row>
    <row r="20060">
      <c r="A20060" s="4" t="s">
        <v>25248</v>
      </c>
      <c r="B20060" s="4" t="s">
        <v>25251</v>
      </c>
      <c r="C20060" s="5" t="str">
        <f>IFERROR(__xludf.DUMMYFUNCTION("GOOGLETRANSLATE(B20060,""en"",""fr"")"),"Un gars plonge au sol pour empêcher Ball de le frapper.")</f>
        <v>Un gars plonge au sol pour empêcher Ball de le frapper.</v>
      </c>
    </row>
    <row r="20061">
      <c r="A20061" s="4" t="s">
        <v>25252</v>
      </c>
      <c r="B20061" s="4" t="s">
        <v>25253</v>
      </c>
      <c r="C20061" s="5" t="str">
        <f>IFERROR(__xludf.DUMMYFUNCTION("GOOGLETRANSLATE(B20061,""en"",""fr"")"),"Un homme est allongé dans son lit et regarde son téléphone.")</f>
        <v>Un homme est allongé dans son lit et regarde son téléphone.</v>
      </c>
    </row>
    <row r="20062">
      <c r="A20062" s="4" t="s">
        <v>25252</v>
      </c>
      <c r="B20062" s="4" t="s">
        <v>25254</v>
      </c>
      <c r="C20062" s="5" t="str">
        <f>IFERROR(__xludf.DUMMYFUNCTION("GOOGLETRANSLATE(B20062,""en"",""fr"")"),"Il court dans une pièce et s'habille.")</f>
        <v>Il court dans une pièce et s'habille.</v>
      </c>
    </row>
    <row r="20063">
      <c r="A20063" s="4" t="s">
        <v>25252</v>
      </c>
      <c r="B20063" s="4" t="s">
        <v>25255</v>
      </c>
      <c r="C20063" s="5" t="str">
        <f>IFERROR(__xludf.DUMMYFUNCTION("GOOGLETRANSLATE(B20063,""en"",""fr"")"),"Il s'assoit sur son lit et met des chaussures.")</f>
        <v>Il s'assoit sur son lit et met des chaussures.</v>
      </c>
    </row>
    <row r="20064">
      <c r="A20064" s="4" t="s">
        <v>25252</v>
      </c>
      <c r="B20064" s="4" t="s">
        <v>25256</v>
      </c>
      <c r="C20064" s="5" t="str">
        <f>IFERROR(__xludf.DUMMYFUNCTION("GOOGLETRANSLATE(B20064,""en"",""fr"")"),"Il se lève et court par la porte.")</f>
        <v>Il se lève et court par la porte.</v>
      </c>
    </row>
    <row r="20065">
      <c r="A20065" s="4" t="s">
        <v>25257</v>
      </c>
      <c r="B20065" s="4" t="s">
        <v>25258</v>
      </c>
      <c r="C20065" s="5" t="str">
        <f>IFERROR(__xludf.DUMMYFUNCTION("GOOGLETRANSLATE(B20065,""en"",""fr"")"),"Un écran noir apparaît avec des mots blancs qui lisent ""Comment peindre une porte lambrissée"".")</f>
        <v>Un écran noir apparaît avec des mots blancs qui lisent "Comment peindre une porte lambrissée".</v>
      </c>
    </row>
    <row r="20066">
      <c r="A20066" s="4" t="s">
        <v>25257</v>
      </c>
      <c r="B20066" s="6" t="s">
        <v>25259</v>
      </c>
      <c r="C20066" s="5" t="str">
        <f>IFERROR(__xludf.DUMMYFUNCTION("GOOGLETRANSLATE(B20066,""en"",""fr"")"),"Un homme apparaît alors devant une porte rouge qui se penche contre un mur qui a du plastique dessus, et il parle et touche la porte.")</f>
        <v>Un homme apparaît alors devant une porte rouge qui se penche contre un mur qui a du plastique dessus, et il parle et touche la porte.</v>
      </c>
    </row>
    <row r="20067">
      <c r="A20067" s="4" t="s">
        <v>25257</v>
      </c>
      <c r="B20067" s="6" t="s">
        <v>25260</v>
      </c>
      <c r="C20067" s="5" t="str">
        <f>IFERROR(__xludf.DUMMYFUNCTION("GOOGLETRANSLATE(B20067,""en"",""fr"")"),"L'homme attrape ensuite un pinceau et commence à peindre sur des peintures différentes parties de la porte tout en continuant à parler.")</f>
        <v>L'homme attrape ensuite un pinceau et commence à peindre sur des peintures différentes parties de la porte tout en continuant à parler.</v>
      </c>
    </row>
    <row r="20068">
      <c r="A20068" s="4" t="s">
        <v>25257</v>
      </c>
      <c r="B20068" s="4" t="s">
        <v>25261</v>
      </c>
      <c r="C20068" s="5" t="str">
        <f>IFERROR(__xludf.DUMMYFUNCTION("GOOGLETRANSLATE(B20068,""en"",""fr"")"),"L'homme cesse de peindre et commence à parler alors qu'il pointe quelques choses à la porte.")</f>
        <v>L'homme cesse de peindre et commence à parler alors qu'il pointe quelques choses à la porte.</v>
      </c>
    </row>
    <row r="20069">
      <c r="A20069" s="4" t="s">
        <v>25257</v>
      </c>
      <c r="B20069" s="6" t="s">
        <v>25262</v>
      </c>
      <c r="C20069" s="5" t="str">
        <f>IFERROR(__xludf.DUMMYFUNCTION("GOOGLETRANSLATE(B20069,""en"",""fr"")"),"Un écran noir apparaît avec des mots blancs qui incluent un site Web si quelqu'un veut plus d'informations.")</f>
        <v>Un écran noir apparaît avec des mots blancs qui incluent un site Web si quelqu'un veut plus d'informations.</v>
      </c>
    </row>
    <row r="20070">
      <c r="A20070" s="4" t="s">
        <v>25263</v>
      </c>
      <c r="B20070" s="4" t="s">
        <v>25264</v>
      </c>
      <c r="C20070" s="5" t="str">
        <f>IFERROR(__xludf.DUMMYFUNCTION("GOOGLETRANSLATE(B20070,""en"",""fr"")"),"Une femme est vue essuyant ses pieds et entrant dans une fosse de cercle.")</f>
        <v>Une femme est vue essuyant ses pieds et entrant dans une fosse de cercle.</v>
      </c>
    </row>
    <row r="20071">
      <c r="A20071" s="4" t="s">
        <v>25263</v>
      </c>
      <c r="B20071" s="4" t="s">
        <v>25265</v>
      </c>
      <c r="C20071" s="5" t="str">
        <f>IFERROR(__xludf.DUMMYFUNCTION("GOOGLETRANSLATE(B20071,""en"",""fr"")"),"La femme tourne ensuite et jette une discussion dans les airs pendant que la caméra la suit.")</f>
        <v>La femme tourne ensuite et jette une discussion dans les airs pendant que la caméra la suit.</v>
      </c>
    </row>
    <row r="20072">
      <c r="A20072" s="4" t="s">
        <v>25266</v>
      </c>
      <c r="B20072" s="4" t="s">
        <v>25267</v>
      </c>
      <c r="C20072" s="5" t="str">
        <f>IFERROR(__xludf.DUMMYFUNCTION("GOOGLETRANSLATE(B20072,""en"",""fr"")"),"Un plongeur professionnel nommé Pandelela Rinong s'apprête à plonger dans un concours.")</f>
        <v>Un plongeur professionnel nommé Pandelela Rinong s'apprête à plonger dans un concours.</v>
      </c>
    </row>
    <row r="20073">
      <c r="A20073" s="4" t="s">
        <v>25266</v>
      </c>
      <c r="B20073" s="4" t="s">
        <v>25268</v>
      </c>
      <c r="C20073" s="5" t="str">
        <f>IFERROR(__xludf.DUMMYFUNCTION("GOOGLETRANSLATE(B20073,""en"",""fr"")"),"Elle avance sur le plongeon et fait une plongée vers l'arrière dans la piscine à plusieurs pieds.")</f>
        <v>Elle avance sur le plongeon et fait une plongée vers l'arrière dans la piscine à plusieurs pieds.</v>
      </c>
    </row>
    <row r="20074">
      <c r="A20074" s="4" t="s">
        <v>25266</v>
      </c>
      <c r="B20074" s="4" t="s">
        <v>25269</v>
      </c>
      <c r="C20074" s="5" t="str">
        <f>IFERROR(__xludf.DUMMYFUNCTION("GOOGLETRANSLATE(B20074,""en"",""fr"")"),"Elle tord son corps alors qu'elle plonge dans la piscine.")</f>
        <v>Elle tord son corps alors qu'elle plonge dans la piscine.</v>
      </c>
    </row>
    <row r="20075">
      <c r="A20075" s="4" t="s">
        <v>25266</v>
      </c>
      <c r="B20075" s="4" t="s">
        <v>25270</v>
      </c>
      <c r="C20075" s="5" t="str">
        <f>IFERROR(__xludf.DUMMYFUNCTION("GOOGLETRANSLATE(B20075,""en"",""fr"")"),"Après avoir terminé, elle sourit et sort de la piscine.")</f>
        <v>Après avoir terminé, elle sourit et sort de la piscine.</v>
      </c>
    </row>
    <row r="20076">
      <c r="A20076" s="4" t="s">
        <v>25271</v>
      </c>
      <c r="B20076" s="4" t="s">
        <v>25272</v>
      </c>
      <c r="C20076" s="5" t="str">
        <f>IFERROR(__xludf.DUMMYFUNCTION("GOOGLETRANSLATE(B20076,""en"",""fr"")"),"Plusieurs joueurs à cheval jouent au cricket sur un terrain.")</f>
        <v>Plusieurs joueurs à cheval jouent au cricket sur un terrain.</v>
      </c>
    </row>
    <row r="20077">
      <c r="A20077" s="4" t="s">
        <v>25271</v>
      </c>
      <c r="B20077" s="4" t="s">
        <v>25273</v>
      </c>
      <c r="C20077" s="5" t="str">
        <f>IFERROR(__xludf.DUMMYFUNCTION("GOOGLETRANSLATE(B20077,""en"",""fr"")"),"Tous les joueurs montent leurs chevaux d'un côté du terrain.")</f>
        <v>Tous les joueurs montent leurs chevaux d'un côté du terrain.</v>
      </c>
    </row>
    <row r="20078">
      <c r="A20078" s="4" t="s">
        <v>25271</v>
      </c>
      <c r="B20078" s="4" t="s">
        <v>25274</v>
      </c>
      <c r="C20078" s="5" t="str">
        <f>IFERROR(__xludf.DUMMYFUNCTION("GOOGLETRANSLATE(B20078,""en"",""fr"")"),"Le trajet autour et autour de l'entrée pour essayer de frapper la balle de cricket.")</f>
        <v>Le trajet autour et autour de l'entrée pour essayer de frapper la balle de cricket.</v>
      </c>
    </row>
    <row r="20079">
      <c r="A20079" s="4" t="s">
        <v>25271</v>
      </c>
      <c r="B20079" s="4" t="s">
        <v>25275</v>
      </c>
      <c r="C20079" s="5" t="str">
        <f>IFERROR(__xludf.DUMMYFUNCTION("GOOGLETRANSLATE(B20079,""en"",""fr"")"),"Le ballon est frappé au milieu du champ loin de tous les joueurs.")</f>
        <v>Le ballon est frappé au milieu du champ loin de tous les joueurs.</v>
      </c>
    </row>
    <row r="20080">
      <c r="A20080" s="4" t="s">
        <v>25276</v>
      </c>
      <c r="B20080" s="4" t="s">
        <v>25277</v>
      </c>
      <c r="C20080" s="5" t="str">
        <f>IFERROR(__xludf.DUMMYFUNCTION("GOOGLETRANSLATE(B20080,""en"",""fr"")"),"Nous voyons un homme dans une allée nettoyer la neige de sa voiture.")</f>
        <v>Nous voyons un homme dans une allée nettoyer la neige de sa voiture.</v>
      </c>
    </row>
    <row r="20081">
      <c r="A20081" s="4" t="s">
        <v>25276</v>
      </c>
      <c r="B20081" s="4" t="s">
        <v>25278</v>
      </c>
      <c r="C20081" s="5" t="str">
        <f>IFERROR(__xludf.DUMMYFUNCTION("GOOGLETRANSLATE(B20081,""en"",""fr"")"),"L'homme nettoie la neige sous ses essuie-glaces.")</f>
        <v>L'homme nettoie la neige sous ses essuie-glaces.</v>
      </c>
    </row>
    <row r="20082">
      <c r="A20082" s="4" t="s">
        <v>25276</v>
      </c>
      <c r="B20082" s="4" t="s">
        <v>25279</v>
      </c>
      <c r="C20082" s="5" t="str">
        <f>IFERROR(__xludf.DUMMYFUNCTION("GOOGLETRANSLATE(B20082,""en"",""fr"")"),"Nous voyons le bâtiment derrière la voiture.")</f>
        <v>Nous voyons le bâtiment derrière la voiture.</v>
      </c>
    </row>
    <row r="20083">
      <c r="A20083" s="4" t="s">
        <v>25276</v>
      </c>
      <c r="B20083" s="4" t="s">
        <v>25280</v>
      </c>
      <c r="C20083" s="5" t="str">
        <f>IFERROR(__xludf.DUMMYFUNCTION("GOOGLETRANSLATE(B20083,""en"",""fr"")"),"Nous faisons un tour à 360 pour voir le parking.")</f>
        <v>Nous faisons un tour à 360 pour voir le parking.</v>
      </c>
    </row>
    <row r="20084">
      <c r="A20084" s="4" t="s">
        <v>25276</v>
      </c>
      <c r="B20084" s="4" t="s">
        <v>25281</v>
      </c>
      <c r="C20084" s="5" t="str">
        <f>IFERROR(__xludf.DUMMYFUNCTION("GOOGLETRANSLATE(B20084,""en"",""fr"")"),"L'homme ouvre les portes de sa voiture et entre.")</f>
        <v>L'homme ouvre les portes de sa voiture et entre.</v>
      </c>
    </row>
    <row r="20085">
      <c r="A20085" s="4" t="s">
        <v>25276</v>
      </c>
      <c r="B20085" s="4" t="s">
        <v>25282</v>
      </c>
      <c r="C20085" s="5" t="str">
        <f>IFERROR(__xludf.DUMMYFUNCTION("GOOGLETRANSLATE(B20085,""en"",""fr"")"),"L'homme recule et sort de la voiture.")</f>
        <v>L'homme recule et sort de la voiture.</v>
      </c>
    </row>
    <row r="20086">
      <c r="A20086" s="4" t="s">
        <v>25283</v>
      </c>
      <c r="B20086" s="6" t="s">
        <v>25284</v>
      </c>
      <c r="C20086" s="5" t="str">
        <f>IFERROR(__xludf.DUMMYFUNCTION("GOOGLETRANSLATE(B20086,""en"",""fr"")"),"Un groupe de personnes a vu courir autour d'un champ de sable jouant un match de football devant une grande foule.")</f>
        <v>Un groupe de personnes a vu courir autour d'un champ de sable jouant un match de football devant une grande foule.</v>
      </c>
    </row>
    <row r="20087">
      <c r="A20087" s="4" t="s">
        <v>25283</v>
      </c>
      <c r="B20087" s="4" t="s">
        <v>25285</v>
      </c>
      <c r="C20087" s="5" t="str">
        <f>IFERROR(__xludf.DUMMYFUNCTION("GOOGLETRANSLATE(B20087,""en"",""fr"")"),"Les gens continuent de lancer le ballon avec plusieurs autres balles qui sont également lancées.")</f>
        <v>Les gens continuent de lancer le ballon avec plusieurs autres balles qui sont également lancées.</v>
      </c>
    </row>
    <row r="20088">
      <c r="A20088" s="4" t="s">
        <v>25286</v>
      </c>
      <c r="B20088" s="6" t="s">
        <v>25287</v>
      </c>
      <c r="C20088" s="5" t="str">
        <f>IFERROR(__xludf.DUMMYFUNCTION("GOOGLETRANSLATE(B20088,""en"",""fr"")"),"Deux personnes sont vues assises sur un banc de ski en mettant de l'équipement et mène aux gens qui poussent une rondelle autour d'une patinoire de hockey.")</f>
        <v>Deux personnes sont vues assises sur un banc de ski en mettant de l'équipement et mène aux gens qui poussent une rondelle autour d'une patinoire de hockey.</v>
      </c>
    </row>
    <row r="20089">
      <c r="A20089" s="4" t="s">
        <v>25286</v>
      </c>
      <c r="B20089" s="4" t="s">
        <v>25288</v>
      </c>
      <c r="C20089" s="5" t="str">
        <f>IFERROR(__xludf.DUMMYFUNCTION("GOOGLETRANSLATE(B20089,""en"",""fr"")"),"Plusieurs tirs sont montrés des joueurs qui patinent autour de la glace et jouent au sport du hockey.")</f>
        <v>Plusieurs tirs sont montrés des joueurs qui patinent autour de la glace et jouent au sport du hockey.</v>
      </c>
    </row>
    <row r="20090">
      <c r="A20090" s="4" t="s">
        <v>25286</v>
      </c>
      <c r="B20090" s="4" t="s">
        <v>25289</v>
      </c>
      <c r="C20090" s="5" t="str">
        <f>IFERROR(__xludf.DUMMYFUNCTION("GOOGLETRANSLATE(B20090,""en"",""fr"")"),"À la fin, ils s'agenouillent tous les uns à côté des autres et patinent.")</f>
        <v>À la fin, ils s'agenouillent tous les uns à côté des autres et patinent.</v>
      </c>
    </row>
    <row r="20091">
      <c r="A20091" s="4" t="s">
        <v>25290</v>
      </c>
      <c r="B20091" s="4" t="s">
        <v>25291</v>
      </c>
      <c r="C20091" s="5" t="str">
        <f>IFERROR(__xludf.DUMMYFUNCTION("GOOGLETRANSLATE(B20091,""en"",""fr"")"),"Un homme est montré dans une église.")</f>
        <v>Un homme est montré dans une église.</v>
      </c>
    </row>
    <row r="20092">
      <c r="A20092" s="4" t="s">
        <v>25290</v>
      </c>
      <c r="B20092" s="4" t="s">
        <v>25292</v>
      </c>
      <c r="C20092" s="5" t="str">
        <f>IFERROR(__xludf.DUMMYFUNCTION("GOOGLETRANSLATE(B20092,""en"",""fr"")"),"Il joue un ensemble de cornemusettes tout en portant un kilt.")</f>
        <v>Il joue un ensemble de cornemusettes tout en portant un kilt.</v>
      </c>
    </row>
    <row r="20093">
      <c r="A20093" s="4" t="s">
        <v>25290</v>
      </c>
      <c r="B20093" s="4" t="s">
        <v>25293</v>
      </c>
      <c r="C20093" s="5" t="str">
        <f>IFERROR(__xludf.DUMMYFUNCTION("GOOGLETRANSLATE(B20093,""en"",""fr"")"),"Il continue de jouer, ne bougeant pas.")</f>
        <v>Il continue de jouer, ne bougeant pas.</v>
      </c>
    </row>
    <row r="20094">
      <c r="A20094" s="4" t="s">
        <v>25294</v>
      </c>
      <c r="B20094" s="4" t="s">
        <v>25295</v>
      </c>
      <c r="C20094" s="5" t="str">
        <f>IFERROR(__xludf.DUMMYFUNCTION("GOOGLETRANSLATE(B20094,""en"",""fr"")"),"Une femme en haut noir et short porte des gants de boxe.")</f>
        <v>Une femme en haut noir et short porte des gants de boxe.</v>
      </c>
    </row>
    <row r="20095">
      <c r="A20095" s="4" t="s">
        <v>25294</v>
      </c>
      <c r="B20095" s="4" t="s">
        <v>25296</v>
      </c>
      <c r="C20095" s="5" t="str">
        <f>IFERROR(__xludf.DUMMYFUNCTION("GOOGLETRANSLATE(B20095,""en"",""fr"")"),"Elle épargne avec un homme en noir.")</f>
        <v>Elle épargne avec un homme en noir.</v>
      </c>
    </row>
    <row r="20096">
      <c r="A20096" s="4" t="s">
        <v>25294</v>
      </c>
      <c r="B20096" s="4" t="s">
        <v>25297</v>
      </c>
      <c r="C20096" s="5" t="str">
        <f>IFERROR(__xludf.DUMMYFUNCTION("GOOGLETRANSLATE(B20096,""en"",""fr"")"),"Elle donne des coups de pied et lui frappe.")</f>
        <v>Elle donne des coups de pied et lui frappe.</v>
      </c>
    </row>
    <row r="20097">
      <c r="A20097" s="4" t="s">
        <v>25294</v>
      </c>
      <c r="B20097" s="4" t="s">
        <v>25298</v>
      </c>
      <c r="C20097" s="5" t="str">
        <f>IFERROR(__xludf.DUMMYFUNCTION("GOOGLETRANSLATE(B20097,""en"",""fr"")"),"Elle fait plusieurs exercices différents.")</f>
        <v>Elle fait plusieurs exercices différents.</v>
      </c>
    </row>
    <row r="20098">
      <c r="A20098" s="4" t="s">
        <v>25299</v>
      </c>
      <c r="B20098" s="4" t="s">
        <v>1251</v>
      </c>
      <c r="C20098" s="5" t="str">
        <f>IFERROR(__xludf.DUMMYFUNCTION("GOOGLETRANSLATE(B20098,""en"",""fr"")"),"Les crédits du clip sont affichés.")</f>
        <v>Les crédits du clip sont affichés.</v>
      </c>
    </row>
    <row r="20099">
      <c r="A20099" s="4" t="s">
        <v>25299</v>
      </c>
      <c r="B20099" s="4" t="s">
        <v>25300</v>
      </c>
      <c r="C20099" s="5" t="str">
        <f>IFERROR(__xludf.DUMMYFUNCTION("GOOGLETRANSLATE(B20099,""en"",""fr"")"),"Les joueurs jouent au croquet dans une pelouse.")</f>
        <v>Les joueurs jouent au croquet dans une pelouse.</v>
      </c>
    </row>
    <row r="20100">
      <c r="A20100" s="4" t="s">
        <v>25299</v>
      </c>
      <c r="B20100" s="4" t="s">
        <v>25301</v>
      </c>
      <c r="C20100" s="5" t="str">
        <f>IFERROR(__xludf.DUMMYFUNCTION("GOOGLETRANSLATE(B20100,""en"",""fr"")"),"Un gars joue un pipe de sac sur le champ de croquet.")</f>
        <v>Un gars joue un pipe de sac sur le champ de croquet.</v>
      </c>
    </row>
    <row r="20101">
      <c r="A20101" s="4" t="s">
        <v>25299</v>
      </c>
      <c r="B20101" s="4" t="s">
        <v>25302</v>
      </c>
      <c r="C20101" s="5" t="str">
        <f>IFERROR(__xludf.DUMMYFUNCTION("GOOGLETRANSLATE(B20101,""en"",""fr"")"),"Les joueurs se serrent la main pour démontrer l'esprit sportif.")</f>
        <v>Les joueurs se serrent la main pour démontrer l'esprit sportif.</v>
      </c>
    </row>
    <row r="20102">
      <c r="A20102" s="4" t="s">
        <v>25299</v>
      </c>
      <c r="B20102" s="4" t="s">
        <v>25303</v>
      </c>
      <c r="C20102" s="5" t="str">
        <f>IFERROR(__xludf.DUMMYFUNCTION("GOOGLETRANSLATE(B20102,""en"",""fr"")"),"Les joueurs portent un énorme chèque.")</f>
        <v>Les joueurs portent un énorme chèque.</v>
      </c>
    </row>
    <row r="20103">
      <c r="A20103" s="4" t="s">
        <v>25299</v>
      </c>
      <c r="B20103" s="4" t="s">
        <v>25304</v>
      </c>
      <c r="C20103" s="5" t="str">
        <f>IFERROR(__xludf.DUMMYFUNCTION("GOOGLETRANSLATE(B20103,""en"",""fr"")"),"Un gars sort d'une ligne et charge à la caméra.")</f>
        <v>Un gars sort d'une ligne et charge à la caméra.</v>
      </c>
    </row>
    <row r="20104">
      <c r="A20104" s="4" t="s">
        <v>25305</v>
      </c>
      <c r="B20104" s="4" t="s">
        <v>25306</v>
      </c>
      <c r="C20104" s="5" t="str">
        <f>IFERROR(__xludf.DUMMYFUNCTION("GOOGLETRANSLATE(B20104,""en"",""fr"")"),"Un homme tient un saxophone, puis il sort le cou et souffle l'embout buccal en parlant.")</f>
        <v>Un homme tient un saxophone, puis il sort le cou et souffle l'embout buccal en parlant.</v>
      </c>
    </row>
    <row r="20105">
      <c r="A20105" s="4" t="s">
        <v>25305</v>
      </c>
      <c r="B20105" s="4" t="s">
        <v>25307</v>
      </c>
      <c r="C20105" s="5" t="str">
        <f>IFERROR(__xludf.DUMMYFUNCTION("GOOGLETRANSLATE(B20105,""en"",""fr"")"),"Ensuite, l'homme met le cou dans le saxophone et montre les clés en parlant.")</f>
        <v>Ensuite, l'homme met le cou dans le saxophone et montre les clés en parlant.</v>
      </c>
    </row>
    <row r="20106">
      <c r="A20106" s="4" t="s">
        <v>25305</v>
      </c>
      <c r="B20106" s="4" t="s">
        <v>25308</v>
      </c>
      <c r="C20106" s="5" t="str">
        <f>IFERROR(__xludf.DUMMYFUNCTION("GOOGLETRANSLATE(B20106,""en"",""fr"")"),"Ensuite, l'homme joue le saxophone tout en expliquant.")</f>
        <v>Ensuite, l'homme joue le saxophone tout en expliquant.</v>
      </c>
    </row>
    <row r="20107">
      <c r="A20107" s="4" t="s">
        <v>25309</v>
      </c>
      <c r="B20107" s="4" t="s">
        <v>25310</v>
      </c>
      <c r="C20107" s="5" t="str">
        <f>IFERROR(__xludf.DUMMYFUNCTION("GOOGLETRANSLATE(B20107,""en"",""fr"")"),"Les gens sont dans un grand radeau jaune descendant une chute d'eau.")</f>
        <v>Les gens sont dans un grand radeau jaune descendant une chute d'eau.</v>
      </c>
    </row>
    <row r="20108">
      <c r="A20108" s="4" t="s">
        <v>25309</v>
      </c>
      <c r="B20108" s="4" t="s">
        <v>25311</v>
      </c>
      <c r="C20108" s="5" t="str">
        <f>IFERROR(__xludf.DUMMYFUNCTION("GOOGLETRANSLATE(B20108,""en"",""fr"")"),"Un homme dans un bateau descend la rivière.")</f>
        <v>Un homme dans un bateau descend la rivière.</v>
      </c>
    </row>
    <row r="20109">
      <c r="A20109" s="4" t="s">
        <v>25309</v>
      </c>
      <c r="B20109" s="4" t="s">
        <v>25312</v>
      </c>
      <c r="C20109" s="5" t="str">
        <f>IFERROR(__xludf.DUMMYFUNCTION("GOOGLETRANSLATE(B20109,""en"",""fr"")"),"Plusieurs photos de chevrons sont affichées à l'écran.")</f>
        <v>Plusieurs photos de chevrons sont affichées à l'écran.</v>
      </c>
    </row>
    <row r="20110">
      <c r="A20110" s="4" t="s">
        <v>25309</v>
      </c>
      <c r="B20110" s="4" t="s">
        <v>25313</v>
      </c>
      <c r="C20110" s="5" t="str">
        <f>IFERROR(__xludf.DUMMYFUNCTION("GOOGLETRANSLATE(B20110,""en"",""fr"")"),"Les chevrons descendent une colline agitée et frappent les rochers.")</f>
        <v>Les chevrons descendent une colline agitée et frappent les rochers.</v>
      </c>
    </row>
    <row r="20111">
      <c r="A20111" s="4" t="s">
        <v>25314</v>
      </c>
      <c r="B20111" s="4" t="s">
        <v>25315</v>
      </c>
      <c r="C20111" s="5" t="str">
        <f>IFERROR(__xludf.DUMMYFUNCTION("GOOGLETRANSLATE(B20111,""en"",""fr"")"),"Une chaussure est nettoyée avec une brosse à dents par un évier.")</f>
        <v>Une chaussure est nettoyée avec une brosse à dents par un évier.</v>
      </c>
    </row>
    <row r="20112">
      <c r="A20112" s="4" t="s">
        <v>25314</v>
      </c>
      <c r="B20112" s="4" t="s">
        <v>25316</v>
      </c>
      <c r="C20112" s="5" t="str">
        <f>IFERROR(__xludf.DUMMYFUNCTION("GOOGLETRANSLATE(B20112,""en"",""fr"")"),"Le comptoir est essuyé avec une serviette.")</f>
        <v>Le comptoir est essuyé avec une serviette.</v>
      </c>
    </row>
    <row r="20113">
      <c r="A20113" s="4" t="s">
        <v>25314</v>
      </c>
      <c r="B20113" s="4" t="s">
        <v>25317</v>
      </c>
      <c r="C20113" s="5" t="str">
        <f>IFERROR(__xludf.DUMMYFUNCTION("GOOGLETRANSLATE(B20113,""en"",""fr"")"),"La chaussure est plus nettoyée avec la brosse à dents et une serviette.")</f>
        <v>La chaussure est plus nettoyée avec la brosse à dents et une serviette.</v>
      </c>
    </row>
    <row r="20114">
      <c r="A20114" s="4" t="s">
        <v>25318</v>
      </c>
      <c r="B20114" s="4" t="s">
        <v>25319</v>
      </c>
      <c r="C20114" s="5" t="str">
        <f>IFERROR(__xludf.DUMMYFUNCTION("GOOGLETRANSLATE(B20114,""en"",""fr"")"),"Nous voyons un homme et un petit garçon tenant un arc et une flèche dans un champ.")</f>
        <v>Nous voyons un homme et un petit garçon tenant un arc et une flèche dans un champ.</v>
      </c>
    </row>
    <row r="20115">
      <c r="A20115" s="4" t="s">
        <v>25318</v>
      </c>
      <c r="B20115" s="4" t="s">
        <v>25320</v>
      </c>
      <c r="C20115" s="5" t="str">
        <f>IFERROR(__xludf.DUMMYFUNCTION("GOOGLETRANSLATE(B20115,""en"",""fr"")"),"Le garçon tire sur la flèche des étirements et tire plus de flèches.")</f>
        <v>Le garçon tire sur la flèche des étirements et tire plus de flèches.</v>
      </c>
    </row>
    <row r="20116">
      <c r="A20116" s="4" t="s">
        <v>25318</v>
      </c>
      <c r="B20116" s="4" t="s">
        <v>25321</v>
      </c>
      <c r="C20116" s="5" t="str">
        <f>IFERROR(__xludf.DUMMYFUNCTION("GOOGLETRANSLATE(B20116,""en"",""fr"")"),"Nous voyons l'homme tirer trois flèches et voir la cible.")</f>
        <v>Nous voyons l'homme tirer trois flèches et voir la cible.</v>
      </c>
    </row>
    <row r="20117">
      <c r="A20117" s="4" t="s">
        <v>25318</v>
      </c>
      <c r="B20117" s="4" t="s">
        <v>25322</v>
      </c>
      <c r="C20117" s="5" t="str">
        <f>IFERROR(__xludf.DUMMYFUNCTION("GOOGLETRANSLATE(B20117,""en"",""fr"")"),"Nous voyons le garçon alors qu'il essaie de tirer des ballons sur la cible et les manque tous.")</f>
        <v>Nous voyons le garçon alors qu'il essaie de tirer des ballons sur la cible et les manque tous.</v>
      </c>
    </row>
    <row r="20118">
      <c r="A20118" s="4" t="s">
        <v>25318</v>
      </c>
      <c r="B20118" s="4" t="s">
        <v>25323</v>
      </c>
      <c r="C20118" s="5" t="str">
        <f>IFERROR(__xludf.DUMMYFUNCTION("GOOGLETRANSLATE(B20118,""en"",""fr"")"),"Le garçon s'éloigne et nous voyons la dame tirer deux flèches et se tourner et embrasser sa main.")</f>
        <v>Le garçon s'éloigne et nous voyons la dame tirer deux flèches et se tourner et embrasser sa main.</v>
      </c>
    </row>
    <row r="20119">
      <c r="A20119" s="4" t="s">
        <v>25324</v>
      </c>
      <c r="B20119" s="4" t="s">
        <v>25325</v>
      </c>
      <c r="C20119" s="5" t="str">
        <f>IFERROR(__xludf.DUMMYFUNCTION("GOOGLETRANSLATE(B20119,""en"",""fr"")"),"Le texte bleu parle de la description de la vidéo.")</f>
        <v>Le texte bleu parle de la description de la vidéo.</v>
      </c>
    </row>
    <row r="20120">
      <c r="A20120" s="4" t="s">
        <v>25324</v>
      </c>
      <c r="B20120" s="4" t="s">
        <v>25326</v>
      </c>
      <c r="C20120" s="5" t="str">
        <f>IFERROR(__xludf.DUMMYFUNCTION("GOOGLETRANSLATE(B20120,""en"",""fr"")"),"Certains garçons sont montrés en train de réaliser des lay-balles, l'une après l'autre.")</f>
        <v>Certains garçons sont montrés en train de réaliser des lay-balles, l'une après l'autre.</v>
      </c>
    </row>
    <row r="20121">
      <c r="A20121" s="4" t="s">
        <v>25324</v>
      </c>
      <c r="B20121" s="4" t="s">
        <v>25327</v>
      </c>
      <c r="C20121" s="5" t="str">
        <f>IFERROR(__xludf.DUMMYFUNCTION("GOOGLETRANSLATE(B20121,""en"",""fr"")"),"Un garçon fait continuellement des layups jusqu'à la fin.")</f>
        <v>Un garçon fait continuellement des layups jusqu'à la fin.</v>
      </c>
    </row>
    <row r="20122">
      <c r="A20122" s="4" t="s">
        <v>25328</v>
      </c>
      <c r="B20122" s="4" t="s">
        <v>25329</v>
      </c>
      <c r="C20122" s="5" t="str">
        <f>IFERROR(__xludf.DUMMYFUNCTION("GOOGLETRANSLATE(B20122,""en"",""fr"")"),"Un homme ramasse une hache.")</f>
        <v>Un homme ramasse une hache.</v>
      </c>
    </row>
    <row r="20123">
      <c r="A20123" s="4" t="s">
        <v>25328</v>
      </c>
      <c r="B20123" s="4" t="s">
        <v>25330</v>
      </c>
      <c r="C20123" s="5" t="str">
        <f>IFERROR(__xludf.DUMMYFUNCTION("GOOGLETRANSLATE(B20123,""en"",""fr"")"),"Il le balance sur un morceau de bois sur une souche.")</f>
        <v>Il le balance sur un morceau de bois sur une souche.</v>
      </c>
    </row>
    <row r="20124">
      <c r="A20124" s="4" t="s">
        <v>25328</v>
      </c>
      <c r="B20124" s="4" t="s">
        <v>25331</v>
      </c>
      <c r="C20124" s="5" t="str">
        <f>IFERROR(__xludf.DUMMYFUNCTION("GOOGLETRANSLATE(B20124,""en"",""fr"")"),"Il en prend un autre et le coupe.")</f>
        <v>Il en prend un autre et le coupe.</v>
      </c>
    </row>
    <row r="20125">
      <c r="A20125" s="4" t="s">
        <v>25332</v>
      </c>
      <c r="B20125" s="4" t="s">
        <v>25333</v>
      </c>
      <c r="C20125" s="5" t="str">
        <f>IFERROR(__xludf.DUMMYFUNCTION("GOOGLETRANSLATE(B20125,""en"",""fr"")"),"Une personne met des tranches de citron sur deux verres de limonade avec de la glace.")</f>
        <v>Une personne met des tranches de citron sur deux verres de limonade avec de la glace.</v>
      </c>
    </row>
    <row r="20126">
      <c r="A20126" s="4" t="s">
        <v>25332</v>
      </c>
      <c r="B20126" s="4" t="s">
        <v>25334</v>
      </c>
      <c r="C20126" s="5" t="str">
        <f>IFERROR(__xludf.DUMMYFUNCTION("GOOGLETRANSLATE(B20126,""en"",""fr"")"),"Ensuite, la personne verse de l'eau et ajoute du sucre dans un pot pour faire du sirop.")</f>
        <v>Ensuite, la personne verse de l'eau et ajoute du sucre dans un pot pour faire du sirop.</v>
      </c>
    </row>
    <row r="20127">
      <c r="A20127" s="4" t="s">
        <v>25332</v>
      </c>
      <c r="B20127" s="6" t="s">
        <v>25335</v>
      </c>
      <c r="C20127" s="5" t="str">
        <f>IFERROR(__xludf.DUMMYFUNCTION("GOOGLETRANSLATE(B20127,""en"",""fr"")"),"La personne appuye fort sur un citron, puis coupe les lemmons et les presser à l'aide d'un presse-agrumes électrique.")</f>
        <v>La personne appuye fort sur un citron, puis coupe les lemmons et les presser à l'aide d'un presse-agrumes électrique.</v>
      </c>
    </row>
    <row r="20128">
      <c r="A20128" s="4" t="s">
        <v>25332</v>
      </c>
      <c r="B20128" s="6" t="s">
        <v>25336</v>
      </c>
      <c r="C20128" s="5" t="str">
        <f>IFERROR(__xludf.DUMMYFUNCTION("GOOGLETRANSLATE(B20128,""en"",""fr"")"),"Ensuite, la personne verse un verre d'eau dans un bocal, puis ajoute le sirop, le jus de citron, des tranches de citron et de glace.")</f>
        <v>Ensuite, la personne verse un verre d'eau dans un bocal, puis ajoute le sirop, le jus de citron, des tranches de citron et de glace.</v>
      </c>
    </row>
    <row r="20129">
      <c r="A20129" s="4" t="s">
        <v>25332</v>
      </c>
      <c r="B20129" s="4" t="s">
        <v>25337</v>
      </c>
      <c r="C20129" s="5" t="str">
        <f>IFERROR(__xludf.DUMMYFUNCTION("GOOGLETRANSLATE(B20129,""en"",""fr"")"),"Ensuite, la personne sert la limonade.")</f>
        <v>Ensuite, la personne sert la limonade.</v>
      </c>
    </row>
    <row r="20130">
      <c r="A20130" s="4" t="s">
        <v>25338</v>
      </c>
      <c r="B20130" s="4" t="s">
        <v>25339</v>
      </c>
      <c r="C20130" s="5" t="str">
        <f>IFERROR(__xludf.DUMMYFUNCTION("GOOGLETRANSLATE(B20130,""en"",""fr"")"),"Une gymnaste se tient devant une grande foule dans une arène et met ses mains.")</f>
        <v>Une gymnaste se tient devant une grande foule dans une arène et met ses mains.</v>
      </c>
    </row>
    <row r="20131">
      <c r="A20131" s="4" t="s">
        <v>25338</v>
      </c>
      <c r="B20131" s="4" t="s">
        <v>25340</v>
      </c>
      <c r="C20131" s="5" t="str">
        <f>IFERROR(__xludf.DUMMYFUNCTION("GOOGLETRANSLATE(B20131,""en"",""fr"")"),"Il commence sa routine qui implique de nombreux flips et rotations.")</f>
        <v>Il commence sa routine qui implique de nombreux flips et rotations.</v>
      </c>
    </row>
    <row r="20132">
      <c r="A20132" s="4" t="s">
        <v>25338</v>
      </c>
      <c r="B20132" s="4" t="s">
        <v>25341</v>
      </c>
      <c r="C20132" s="5" t="str">
        <f>IFERROR(__xludf.DUMMYFUNCTION("GOOGLETRANSLATE(B20132,""en"",""fr"")"),"La foule s'assoit silencieusement pendant qu'il fait cela.")</f>
        <v>La foule s'assoit silencieusement pendant qu'il fait cela.</v>
      </c>
    </row>
    <row r="20133">
      <c r="A20133" s="4" t="s">
        <v>25338</v>
      </c>
      <c r="B20133" s="4" t="s">
        <v>25342</v>
      </c>
      <c r="C20133" s="5" t="str">
        <f>IFERROR(__xludf.DUMMYFUNCTION("GOOGLETRANSLATE(B20133,""en"",""fr"")"),"Il fait une poignée et une série de rotations et de flips supplémentaires avant de démonter.")</f>
        <v>Il fait une poignée et une série de rotations et de flips supplémentaires avant de démonter.</v>
      </c>
    </row>
    <row r="20134">
      <c r="A20134" s="4" t="s">
        <v>25338</v>
      </c>
      <c r="B20134" s="4" t="s">
        <v>25343</v>
      </c>
      <c r="C20134" s="5" t="str">
        <f>IFERROR(__xludf.DUMMYFUNCTION("GOOGLETRANSLATE(B20134,""en"",""fr"")"),"Il applaudit alors que la foule l'encourage après la fin de sa routine.")</f>
        <v>Il applaudit alors que la foule l'encourage après la fin de sa routine.</v>
      </c>
    </row>
    <row r="20135">
      <c r="A20135" s="4" t="s">
        <v>25344</v>
      </c>
      <c r="B20135" s="4" t="s">
        <v>25345</v>
      </c>
      <c r="C20135" s="5" t="str">
        <f>IFERROR(__xludf.DUMMYFUNCTION("GOOGLETRANSLATE(B20135,""en"",""fr"")"),"Une personne plonge d'une planche dans une piscine.")</f>
        <v>Une personne plonge d'une planche dans une piscine.</v>
      </c>
    </row>
    <row r="20136">
      <c r="A20136" s="4" t="s">
        <v>25344</v>
      </c>
      <c r="B20136" s="4" t="s">
        <v>25346</v>
      </c>
      <c r="C20136" s="5" t="str">
        <f>IFERROR(__xludf.DUMMYFUNCTION("GOOGLETRANSLATE(B20136,""en"",""fr"")"),"Ils viennent de sous l'eau.")</f>
        <v>Ils viennent de sous l'eau.</v>
      </c>
    </row>
    <row r="20137">
      <c r="A20137" s="4" t="s">
        <v>25347</v>
      </c>
      <c r="B20137" s="4" t="s">
        <v>25348</v>
      </c>
      <c r="C20137" s="5" t="str">
        <f>IFERROR(__xludf.DUMMYFUNCTION("GOOGLETRANSLATE(B20137,""en"",""fr"")"),"L'homme se tient dans la rue en tenant une planche et en skateboard dans la rue.")</f>
        <v>L'homme se tient dans la rue en tenant une planche et en skateboard dans la rue.</v>
      </c>
    </row>
    <row r="20138">
      <c r="A20138" s="4" t="s">
        <v>25347</v>
      </c>
      <c r="B20138" s="4" t="s">
        <v>25349</v>
      </c>
      <c r="C20138" s="5" t="str">
        <f>IFERROR(__xludf.DUMMYFUNCTION("GOOGLETRANSLATE(B20138,""en"",""fr"")"),"L'homme marche dans une cour et fait des sauts et parle à un microphone.")</f>
        <v>L'homme marche dans une cour et fait des sauts et parle à un microphone.</v>
      </c>
    </row>
    <row r="20139">
      <c r="A20139" s="4" t="s">
        <v>25350</v>
      </c>
      <c r="B20139" s="4" t="s">
        <v>25351</v>
      </c>
      <c r="C20139" s="5" t="str">
        <f>IFERROR(__xludf.DUMMYFUNCTION("GOOGLETRANSLATE(B20139,""en"",""fr"")"),"Un homme est dehors portant une chemise Superman.")</f>
        <v>Un homme est dehors portant une chemise Superman.</v>
      </c>
    </row>
    <row r="20140">
      <c r="A20140" s="4" t="s">
        <v>25350</v>
      </c>
      <c r="B20140" s="4" t="s">
        <v>25352</v>
      </c>
      <c r="C20140" s="5" t="str">
        <f>IFERROR(__xludf.DUMMYFUNCTION("GOOGLETRANSLATE(B20140,""en"",""fr"")"),"Il tourne en rond, regardant autour de lui.")</f>
        <v>Il tourne en rond, regardant autour de lui.</v>
      </c>
    </row>
    <row r="20141">
      <c r="A20141" s="4" t="s">
        <v>25350</v>
      </c>
      <c r="B20141" s="4" t="s">
        <v>25353</v>
      </c>
      <c r="C20141" s="5" t="str">
        <f>IFERROR(__xludf.DUMMYFUNCTION("GOOGLETRANSLATE(B20141,""en"",""fr"")"),"Il trouve un vélo cassé et le répare pendant qu'un homme en colère lui crie dessus.")</f>
        <v>Il trouve un vélo cassé et le répare pendant qu'un homme en colère lui crie dessus.</v>
      </c>
    </row>
    <row r="20142">
      <c r="A20142" s="4" t="s">
        <v>25354</v>
      </c>
      <c r="B20142" s="4" t="s">
        <v>25355</v>
      </c>
      <c r="C20142" s="5" t="str">
        <f>IFERROR(__xludf.DUMMYFUNCTION("GOOGLETRANSLATE(B20142,""en"",""fr"")"),"Un homme est représenté par un mur et disposant un grand morceau de papier d'eau sur le mur.")</f>
        <v>Un homme est représenté par un mur et disposant un grand morceau de papier d'eau sur le mur.</v>
      </c>
    </row>
    <row r="20143">
      <c r="A20143" s="4" t="s">
        <v>25354</v>
      </c>
      <c r="B20143" s="4" t="s">
        <v>25356</v>
      </c>
      <c r="C20143" s="5" t="str">
        <f>IFERROR(__xludf.DUMMYFUNCTION("GOOGLETRANSLATE(B20143,""en"",""fr"")"),"Il continue de pousser le papier dans le mur et de le poncer par derrière.")</f>
        <v>Il continue de pousser le papier dans le mur et de le poncer par derrière.</v>
      </c>
    </row>
    <row r="20144">
      <c r="A20144" s="4" t="s">
        <v>25357</v>
      </c>
      <c r="B20144" s="4" t="s">
        <v>25358</v>
      </c>
      <c r="C20144" s="5" t="str">
        <f>IFERROR(__xludf.DUMMYFUNCTION("GOOGLETRANSLATE(B20144,""en"",""fr"")"),"Un homme pousse une table dans le sable.")</f>
        <v>Un homme pousse une table dans le sable.</v>
      </c>
    </row>
    <row r="20145">
      <c r="A20145" s="4" t="s">
        <v>25357</v>
      </c>
      <c r="B20145" s="4" t="s">
        <v>25359</v>
      </c>
      <c r="C20145" s="5" t="str">
        <f>IFERROR(__xludf.DUMMYFUNCTION("GOOGLETRANSLATE(B20145,""en"",""fr"")"),"Il est ensuite montré surfant sur le bas de la table dans l'océan, glissant sur une vague.")</f>
        <v>Il est ensuite montré surfant sur le bas de la table dans l'océan, glissant sur une vague.</v>
      </c>
    </row>
    <row r="20146">
      <c r="A20146" s="4" t="s">
        <v>25357</v>
      </c>
      <c r="B20146" s="4" t="s">
        <v>25360</v>
      </c>
      <c r="C20146" s="5" t="str">
        <f>IFERROR(__xludf.DUMMYFUNCTION("GOOGLETRANSLATE(B20146,""en"",""fr"")"),"Un autre angle est montré avec le surfeur surfant sans effort une vague sur une table.")</f>
        <v>Un autre angle est montré avec le surfeur surfant sans effort une vague sur une table.</v>
      </c>
    </row>
    <row r="20147">
      <c r="A20147" s="4" t="s">
        <v>25357</v>
      </c>
      <c r="B20147" s="4" t="s">
        <v>25361</v>
      </c>
      <c r="C20147" s="5" t="str">
        <f>IFERROR(__xludf.DUMMYFUNCTION("GOOGLETRANSLATE(B20147,""en"",""fr"")"),"Il s'écrase avec la vague.")</f>
        <v>Il s'écrase avec la vague.</v>
      </c>
    </row>
    <row r="20148">
      <c r="A20148" s="4" t="s">
        <v>25362</v>
      </c>
      <c r="B20148" s="4" t="s">
        <v>25363</v>
      </c>
      <c r="C20148" s="5" t="str">
        <f>IFERROR(__xludf.DUMMYFUNCTION("GOOGLETRANSLATE(B20148,""en"",""fr"")"),"Un homme portant des écouteurs est dans un studio, parlant dans un microphone.")</f>
        <v>Un homme portant des écouteurs est dans un studio, parlant dans un microphone.</v>
      </c>
    </row>
    <row r="20149">
      <c r="A20149" s="4" t="s">
        <v>25362</v>
      </c>
      <c r="B20149" s="4" t="s">
        <v>25364</v>
      </c>
      <c r="C20149" s="5" t="str">
        <f>IFERROR(__xludf.DUMMYFUNCTION("GOOGLETRANSLATE(B20149,""en"",""fr"")"),"D'autres hommes sont montrés, dont l'un commence à jouer un harmonica.")</f>
        <v>D'autres hommes sont montrés, dont l'un commence à jouer un harmonica.</v>
      </c>
    </row>
    <row r="20150">
      <c r="A20150" s="4" t="s">
        <v>25362</v>
      </c>
      <c r="B20150" s="4" t="s">
        <v>25365</v>
      </c>
      <c r="C20150" s="5" t="str">
        <f>IFERROR(__xludf.DUMMYFUNCTION("GOOGLETRANSLATE(B20150,""en"",""fr"")"),"Il arrête de jouer et dit quelque chose qui fait rire le DJ.")</f>
        <v>Il arrête de jouer et dit quelque chose qui fait rire le DJ.</v>
      </c>
    </row>
    <row r="20151">
      <c r="A20151" s="4" t="s">
        <v>25366</v>
      </c>
      <c r="B20151" s="4" t="s">
        <v>25367</v>
      </c>
      <c r="C20151" s="5" t="str">
        <f>IFERROR(__xludf.DUMMYFUNCTION("GOOGLETRANSLATE(B20151,""en"",""fr"")"),"Une machine tire un visage sur une citrouille.")</f>
        <v>Une machine tire un visage sur une citrouille.</v>
      </c>
    </row>
    <row r="20152">
      <c r="A20152" s="4" t="s">
        <v>25366</v>
      </c>
      <c r="B20152" s="4" t="s">
        <v>25368</v>
      </c>
      <c r="C20152" s="5" t="str">
        <f>IFERROR(__xludf.DUMMYFUNCTION("GOOGLETRANSLATE(B20152,""en"",""fr"")"),"Les lumières s'éteignent et il montre la citrouille sculptée allumée.")</f>
        <v>Les lumières s'éteignent et il montre la citrouille sculptée allumée.</v>
      </c>
    </row>
    <row r="20153">
      <c r="A20153" s="4" t="s">
        <v>25366</v>
      </c>
      <c r="B20153" s="4" t="s">
        <v>25369</v>
      </c>
      <c r="C20153" s="5" t="str">
        <f>IFERROR(__xludf.DUMMYFUNCTION("GOOGLETRANSLATE(B20153,""en"",""fr"")"),"Il montre la citrouille à la lumière.")</f>
        <v>Il montre la citrouille à la lumière.</v>
      </c>
    </row>
    <row r="20154">
      <c r="A20154" s="4" t="s">
        <v>25370</v>
      </c>
      <c r="B20154" s="4" t="s">
        <v>25371</v>
      </c>
      <c r="C20154" s="5" t="str">
        <f>IFERROR(__xludf.DUMMYFUNCTION("GOOGLETRANSLATE(B20154,""en"",""fr"")"),"Un grand semi-camion conduit sous la pluie.")</f>
        <v>Un grand semi-camion conduit sous la pluie.</v>
      </c>
    </row>
    <row r="20155">
      <c r="A20155" s="4" t="s">
        <v>25370</v>
      </c>
      <c r="B20155" s="4" t="s">
        <v>25372</v>
      </c>
      <c r="C20155" s="5" t="str">
        <f>IFERROR(__xludf.DUMMYFUNCTION("GOOGLETRANSLATE(B20155,""en"",""fr"")"),"Ensuite, nous voyons des garçons rouler sur des planches à roulettes à l'extérieur d'une maison.")</f>
        <v>Ensuite, nous voyons des garçons rouler sur des planches à roulettes à l'extérieur d'une maison.</v>
      </c>
    </row>
    <row r="20156">
      <c r="A20156" s="4" t="s">
        <v>25370</v>
      </c>
      <c r="B20156" s="4" t="s">
        <v>25373</v>
      </c>
      <c r="C20156" s="5" t="str">
        <f>IFERROR(__xludf.DUMMYFUNCTION("GOOGLETRANSLATE(B20156,""en"",""fr"")"),"Ils effectuent plusieurs cascades sur une planche dans l'allée.")</f>
        <v>Ils effectuent plusieurs cascades sur une planche dans l'allée.</v>
      </c>
    </row>
    <row r="20157">
      <c r="A20157" s="4" t="s">
        <v>25374</v>
      </c>
      <c r="B20157" s="4" t="s">
        <v>25375</v>
      </c>
      <c r="C20157" s="5" t="str">
        <f>IFERROR(__xludf.DUMMYFUNCTION("GOOGLETRANSLATE(B20157,""en"",""fr"")"),"Un vaulter à poteau repousse et se lance au-dessus du bar.")</f>
        <v>Un vaulter à poteau repousse et se lance au-dessus du bar.</v>
      </c>
    </row>
    <row r="20158">
      <c r="A20158" s="4" t="s">
        <v>25374</v>
      </c>
      <c r="B20158" s="6" t="s">
        <v>25376</v>
      </c>
      <c r="C20158" s="5" t="str">
        <f>IFERROR(__xludf.DUMMYFUNCTION("GOOGLETRANSLATE(B20158,""en"",""fr"")"),"Le Vaulter présente son défi à la caméra, qui est de faire plus de dix fois de suite en 20 minutes.")</f>
        <v>Le Vaulter présente son défi à la caméra, qui est de faire plus de dix fois de suite en 20 minutes.</v>
      </c>
    </row>
    <row r="20159">
      <c r="A20159" s="4" t="s">
        <v>25374</v>
      </c>
      <c r="B20159" s="4" t="s">
        <v>25377</v>
      </c>
      <c r="C20159" s="5" t="str">
        <f>IFERROR(__xludf.DUMMYFUNCTION("GOOGLETRANSLATE(B20159,""en"",""fr"")"),"Il se lance plus de 10 fois avec succès et passe facilement sous la limite de 20 minutes.")</f>
        <v>Il se lance plus de 10 fois avec succès et passe facilement sous la limite de 20 minutes.</v>
      </c>
    </row>
    <row r="20160">
      <c r="A20160" s="4" t="s">
        <v>25378</v>
      </c>
      <c r="B20160" s="4" t="s">
        <v>25379</v>
      </c>
      <c r="C20160" s="5" t="str">
        <f>IFERROR(__xludf.DUMMYFUNCTION("GOOGLETRANSLATE(B20160,""en"",""fr"")"),"Nous voyons un homme et une femme jouant des ciseaux de papier rock compétitifs coupés avec des scènes de la foule.")</f>
        <v>Nous voyons un homme et une femme jouant des ciseaux de papier rock compétitifs coupés avec des scènes de la foule.</v>
      </c>
    </row>
    <row r="20161">
      <c r="A20161" s="4" t="s">
        <v>25378</v>
      </c>
      <c r="B20161" s="4" t="s">
        <v>25380</v>
      </c>
      <c r="C20161" s="5" t="str">
        <f>IFERROR(__xludf.DUMMYFUNCTION("GOOGLETRANSLATE(B20161,""en"",""fr"")"),"Nous voyons un homme avec une moustache applaudir.")</f>
        <v>Nous voyons un homme avec une moustache applaudir.</v>
      </c>
    </row>
    <row r="20162">
      <c r="A20162" s="4" t="s">
        <v>25378</v>
      </c>
      <c r="B20162" s="4" t="s">
        <v>25381</v>
      </c>
      <c r="C20162" s="5" t="str">
        <f>IFERROR(__xludf.DUMMYFUNCTION("GOOGLETRANSLATE(B20162,""en"",""fr"")"),"La dame gagne et l'homme en costume lève la main.")</f>
        <v>La dame gagne et l'homme en costume lève la main.</v>
      </c>
    </row>
    <row r="20163">
      <c r="A20163" s="4" t="s">
        <v>25378</v>
      </c>
      <c r="B20163" s="4" t="s">
        <v>25382</v>
      </c>
      <c r="C20163" s="5" t="str">
        <f>IFERROR(__xludf.DUMMYFUNCTION("GOOGLETRANSLATE(B20163,""en"",""fr"")"),"L'homme et la femme se serrent la main.")</f>
        <v>L'homme et la femme se serrent la main.</v>
      </c>
    </row>
    <row r="20164">
      <c r="A20164" s="4" t="s">
        <v>25378</v>
      </c>
      <c r="B20164" s="4" t="s">
        <v>25383</v>
      </c>
      <c r="C20164" s="5" t="str">
        <f>IFERROR(__xludf.DUMMYFUNCTION("GOOGLETRANSLATE(B20164,""en"",""fr"")"),"L'homme dans le jeu secoue la tête alors qu'il se retourne.")</f>
        <v>L'homme dans le jeu secoue la tête alors qu'il se retourne.</v>
      </c>
    </row>
    <row r="20165">
      <c r="A20165" s="4" t="s">
        <v>25384</v>
      </c>
      <c r="B20165" s="4" t="s">
        <v>25385</v>
      </c>
      <c r="C20165" s="5" t="str">
        <f>IFERROR(__xludf.DUMMYFUNCTION("GOOGLETRANSLATE(B20165,""en"",""fr"")"),"Une femme entre dans une cour et retourne ses cheveux vers l'avant.")</f>
        <v>Une femme entre dans une cour et retourne ses cheveux vers l'avant.</v>
      </c>
    </row>
    <row r="20166">
      <c r="A20166" s="4" t="s">
        <v>25384</v>
      </c>
      <c r="B20166" s="4" t="s">
        <v>25386</v>
      </c>
      <c r="C20166" s="5" t="str">
        <f>IFERROR(__xludf.DUMMYFUNCTION("GOOGLETRANSLATE(B20166,""en"",""fr"")"),"Elle se brosse les cheveux pendant longtemps, les lissant et les lançant.")</f>
        <v>Elle se brosse les cheveux pendant longtemps, les lissant et les lançant.</v>
      </c>
    </row>
    <row r="20167">
      <c r="A20167" s="4" t="s">
        <v>25384</v>
      </c>
      <c r="B20167" s="4" t="s">
        <v>25387</v>
      </c>
      <c r="C20167" s="5" t="str">
        <f>IFERROR(__xludf.DUMMYFUNCTION("GOOGLETRANSLATE(B20167,""en"",""fr"")"),"Elle s'éloigne ensuite de la caméra, continuant à se brosser.")</f>
        <v>Elle s'éloigne ensuite de la caméra, continuant à se brosser.</v>
      </c>
    </row>
    <row r="20168">
      <c r="A20168" s="4" t="s">
        <v>25384</v>
      </c>
      <c r="B20168" s="4" t="s">
        <v>25388</v>
      </c>
      <c r="C20168" s="5" t="str">
        <f>IFERROR(__xludf.DUMMYFUNCTION("GOOGLETRANSLATE(B20168,""en"",""fr"")"),"Elle se tient debout, puis se penche pour brosser un peu plus.")</f>
        <v>Elle se tient debout, puis se penche pour brosser un peu plus.</v>
      </c>
    </row>
    <row r="20169">
      <c r="A20169" s="4" t="s">
        <v>25389</v>
      </c>
      <c r="B20169" s="4" t="s">
        <v>25390</v>
      </c>
      <c r="C20169" s="5" t="str">
        <f>IFERROR(__xludf.DUMMYFUNCTION("GOOGLETRANSLATE(B20169,""en"",""fr"")"),"Un cadre jaune avec des filles jouant à Lacross ouvre la vidéo.")</f>
        <v>Un cadre jaune avec des filles jouant à Lacross ouvre la vidéo.</v>
      </c>
    </row>
    <row r="20170">
      <c r="A20170" s="4" t="s">
        <v>25389</v>
      </c>
      <c r="B20170" s="4" t="s">
        <v>25391</v>
      </c>
      <c r="C20170" s="5" t="str">
        <f>IFERROR(__xludf.DUMMYFUNCTION("GOOGLETRANSLATE(B20170,""en"",""fr"")"),"Un jeu de filles Lacross se déroule à mesure que différentes diapositives sont montrées.")</f>
        <v>Un jeu de filles Lacross se déroule à mesure que différentes diapositives sont montrées.</v>
      </c>
    </row>
    <row r="20171">
      <c r="A20171" s="4" t="s">
        <v>25389</v>
      </c>
      <c r="B20171" s="4" t="s">
        <v>25392</v>
      </c>
      <c r="C20171" s="5" t="str">
        <f>IFERROR(__xludf.DUMMYFUNCTION("GOOGLETRANSLATE(B20171,""en"",""fr"")"),"Le match se termine par un tir de pénalité.")</f>
        <v>Le match se termine par un tir de pénalité.</v>
      </c>
    </row>
    <row r="20172">
      <c r="A20172" s="4" t="s">
        <v>25393</v>
      </c>
      <c r="B20172" s="4" t="s">
        <v>25394</v>
      </c>
      <c r="C20172" s="5" t="str">
        <f>IFERROR(__xludf.DUMMYFUNCTION("GOOGLETRANSLATE(B20172,""en"",""fr"")"),"Une personne dans un manteau noir pelle dans une allée.")</f>
        <v>Une personne dans un manteau noir pelle dans une allée.</v>
      </c>
    </row>
    <row r="20173">
      <c r="A20173" s="4" t="s">
        <v>25393</v>
      </c>
      <c r="B20173" s="4" t="s">
        <v>25395</v>
      </c>
      <c r="C20173" s="5" t="str">
        <f>IFERROR(__xludf.DUMMYFUNCTION("GOOGLETRANSLATE(B20173,""en"",""fr"")"),"Un homme est montré debout dans un garage.")</f>
        <v>Un homme est montré debout dans un garage.</v>
      </c>
    </row>
    <row r="20174">
      <c r="A20174" s="4" t="s">
        <v>25396</v>
      </c>
      <c r="B20174" s="4" t="s">
        <v>25397</v>
      </c>
      <c r="C20174" s="5" t="str">
        <f>IFERROR(__xludf.DUMMYFUNCTION("GOOGLETRANSLATE(B20174,""en"",""fr"")"),"Nous voyons un homme et des gens entrer dans un stade.")</f>
        <v>Nous voyons un homme et des gens entrer dans un stade.</v>
      </c>
    </row>
    <row r="20175">
      <c r="A20175" s="4" t="s">
        <v>25396</v>
      </c>
      <c r="B20175" s="4" t="s">
        <v>25398</v>
      </c>
      <c r="C20175" s="5" t="str">
        <f>IFERROR(__xludf.DUMMYFUNCTION("GOOGLETRANSLATE(B20175,""en"",""fr"")"),"Nous passons aux gens des équipes et aux militaires marchant dans une cour.")</f>
        <v>Nous passons aux gens des équipes et aux militaires marchant dans une cour.</v>
      </c>
    </row>
    <row r="20176">
      <c r="A20176" s="4" t="s">
        <v>25396</v>
      </c>
      <c r="B20176" s="4" t="s">
        <v>25399</v>
      </c>
      <c r="C20176" s="5" t="str">
        <f>IFERROR(__xludf.DUMMYFUNCTION("GOOGLETRANSLATE(B20176,""en"",""fr"")"),"Les gens jouent à un jeu avec des bâtons.")</f>
        <v>Les gens jouent à un jeu avec des bâtons.</v>
      </c>
    </row>
    <row r="20177">
      <c r="A20177" s="4" t="s">
        <v>25396</v>
      </c>
      <c r="B20177" s="4" t="s">
        <v>25400</v>
      </c>
      <c r="C20177" s="5" t="str">
        <f>IFERROR(__xludf.DUMMYFUNCTION("GOOGLETRANSLATE(B20177,""en"",""fr"")"),"Nous voyons un groupe de personnes dans une équipe debout en un cercle.")</f>
        <v>Nous voyons un groupe de personnes dans une équipe debout en un cercle.</v>
      </c>
    </row>
    <row r="20178">
      <c r="A20178" s="4" t="s">
        <v>25396</v>
      </c>
      <c r="B20178" s="4" t="s">
        <v>25401</v>
      </c>
      <c r="C20178" s="5" t="str">
        <f>IFERROR(__xludf.DUMMYFUNCTION("GOOGLETRANSLATE(B20178,""en"",""fr"")"),"Nous voyons un homme marcher dans la rue puis une personne assise sur le trottoir.")</f>
        <v>Nous voyons un homme marcher dans la rue puis une personne assise sur le trottoir.</v>
      </c>
    </row>
    <row r="20179">
      <c r="A20179" s="4" t="s">
        <v>25402</v>
      </c>
      <c r="B20179" s="4" t="s">
        <v>25403</v>
      </c>
      <c r="C20179" s="5" t="str">
        <f>IFERROR(__xludf.DUMMYFUNCTION("GOOGLETRANSLATE(B20179,""en"",""fr"")"),"Un homme se tient dans une pièce devant un miroir qui parle.")</f>
        <v>Un homme se tient dans une pièce devant un miroir qui parle.</v>
      </c>
    </row>
    <row r="20180">
      <c r="A20180" s="4" t="s">
        <v>25402</v>
      </c>
      <c r="B20180" s="4" t="s">
        <v>25404</v>
      </c>
      <c r="C20180" s="5" t="str">
        <f>IFERROR(__xludf.DUMMYFUNCTION("GOOGLETRANSLATE(B20180,""en"",""fr"")"),"Il se met à genoux et se tient sur sa tête.")</f>
        <v>Il se met à genoux et se tient sur sa tête.</v>
      </c>
    </row>
    <row r="20181">
      <c r="A20181" s="4" t="s">
        <v>25402</v>
      </c>
      <c r="B20181" s="4" t="s">
        <v>25405</v>
      </c>
      <c r="C20181" s="5" t="str">
        <f>IFERROR(__xludf.DUMMYFUNCTION("GOOGLETRANSLATE(B20181,""en"",""fr"")"),"Il se déplace en cercle sur sa tête et tourne.")</f>
        <v>Il se déplace en cercle sur sa tête et tourne.</v>
      </c>
    </row>
    <row r="20182">
      <c r="A20182" s="4" t="s">
        <v>25406</v>
      </c>
      <c r="B20182" s="4" t="s">
        <v>25407</v>
      </c>
      <c r="C20182" s="5" t="str">
        <f>IFERROR(__xludf.DUMMYFUNCTION("GOOGLETRANSLATE(B20182,""en"",""fr"")"),"Il y a des joueurs, l'un en jaune et l'autre en rouge en rouge dans un stade en plein air.")</f>
        <v>Il y a des joueurs, l'un en jaune et l'autre en rouge en rouge dans un stade en plein air.</v>
      </c>
    </row>
    <row r="20183">
      <c r="A20183" s="4" t="s">
        <v>25406</v>
      </c>
      <c r="B20183" s="4" t="s">
        <v>25408</v>
      </c>
      <c r="C20183" s="5" t="str">
        <f>IFERROR(__xludf.DUMMYFUNCTION("GOOGLETRANSLATE(B20183,""en"",""fr"")"),"Ils font partie d'une équipe qui joue dans le grand stade avec plusieurs spectateurs.")</f>
        <v>Ils font partie d'une équipe qui joue dans le grand stade avec plusieurs spectateurs.</v>
      </c>
    </row>
    <row r="20184">
      <c r="A20184" s="4" t="s">
        <v>25406</v>
      </c>
      <c r="B20184" s="4" t="s">
        <v>25409</v>
      </c>
      <c r="C20184" s="5" t="str">
        <f>IFERROR(__xludf.DUMMYFUNCTION("GOOGLETRANSLATE(B20184,""en"",""fr"")"),"La vidéo montre comment attraper le ballon et le récupérer avec le bâton.")</f>
        <v>La vidéo montre comment attraper le ballon et le récupérer avec le bâton.</v>
      </c>
    </row>
    <row r="20185">
      <c r="A20185" s="4" t="s">
        <v>25406</v>
      </c>
      <c r="B20185" s="4" t="s">
        <v>25410</v>
      </c>
      <c r="C20185" s="5" t="str">
        <f>IFERROR(__xludf.DUMMYFUNCTION("GOOGLETRANSLATE(B20185,""en"",""fr"")"),"Il montre également comment équilibrer le ballon sur le bâton pendant que le joueur fonctionne.")</f>
        <v>Il montre également comment équilibrer le ballon sur le bâton pendant que le joueur fonctionne.</v>
      </c>
    </row>
    <row r="20186">
      <c r="A20186" s="4" t="s">
        <v>25406</v>
      </c>
      <c r="B20186" s="6" t="s">
        <v>25411</v>
      </c>
      <c r="C20186" s="5" t="str">
        <f>IFERROR(__xludf.DUMMYFUNCTION("GOOGLETRANSLATE(B20186,""en"",""fr"")"),"Les joueurs montrent toutes les étapes du tutoriel où l'un du joueur tire courageusement le ballon pour un point.")</f>
        <v>Les joueurs montrent toutes les étapes du tutoriel où l'un du joueur tire courageusement le ballon pour un point.</v>
      </c>
    </row>
    <row r="20187">
      <c r="A20187" s="4" t="s">
        <v>25406</v>
      </c>
      <c r="B20187" s="4" t="s">
        <v>25412</v>
      </c>
      <c r="C20187" s="5" t="str">
        <f>IFERROR(__xludf.DUMMYFUNCTION("GOOGLETRANSLATE(B20187,""en"",""fr"")"),"Il y a un joueur en uniforme bleu et blanc tirant le ballon pour un point et marquant un but.")</f>
        <v>Il y a un joueur en uniforme bleu et blanc tirant le ballon pour un point et marquant un but.</v>
      </c>
    </row>
    <row r="20188">
      <c r="A20188" s="4" t="s">
        <v>25413</v>
      </c>
      <c r="B20188" s="4" t="s">
        <v>25414</v>
      </c>
      <c r="C20188" s="5" t="str">
        <f>IFERROR(__xludf.DUMMYFUNCTION("GOOGLETRANSLATE(B20188,""en"",""fr"")"),"Un homme franchit la ligne d'arrivée d'une course.")</f>
        <v>Un homme franchit la ligne d'arrivée d'une course.</v>
      </c>
    </row>
    <row r="20189">
      <c r="A20189" s="4" t="s">
        <v>25413</v>
      </c>
      <c r="B20189" s="4" t="s">
        <v>25415</v>
      </c>
      <c r="C20189" s="5" t="str">
        <f>IFERROR(__xludf.DUMMYFUNCTION("GOOGLETRANSLATE(B20189,""en"",""fr"")"),"Beaucoup de gens courent dans une course.")</f>
        <v>Beaucoup de gens courent dans une course.</v>
      </c>
    </row>
    <row r="20190">
      <c r="A20190" s="4" t="s">
        <v>25413</v>
      </c>
      <c r="B20190" s="4" t="s">
        <v>25416</v>
      </c>
      <c r="C20190" s="5" t="str">
        <f>IFERROR(__xludf.DUMMYFUNCTION("GOOGLETRANSLATE(B20190,""en"",""fr"")"),"Les gens courent sur un chemin de terre.")</f>
        <v>Les gens courent sur un chemin de terre.</v>
      </c>
    </row>
    <row r="20191">
      <c r="A20191" s="4" t="s">
        <v>25417</v>
      </c>
      <c r="B20191" s="6" t="s">
        <v>25418</v>
      </c>
      <c r="C20191" s="5" t="str">
        <f>IFERROR(__xludf.DUMMYFUNCTION("GOOGLETRANSLATE(B20191,""en"",""fr"")"),"Un groupe de quatre jeunes filles se tient les uns à côté de l'autre dans la salle de bain et ils chugent quelque chose.")</f>
        <v>Un groupe de quatre jeunes filles se tient les uns à côté de l'autre dans la salle de bain et ils chugent quelque chose.</v>
      </c>
    </row>
    <row r="20192">
      <c r="A20192" s="4" t="s">
        <v>25417</v>
      </c>
      <c r="B20192" s="4" t="s">
        <v>25419</v>
      </c>
      <c r="C20192" s="5" t="str">
        <f>IFERROR(__xludf.DUMMYFUNCTION("GOOGLETRANSLATE(B20192,""en"",""fr"")"),"Ils le brouillent dans leur bouche et presque tous ont leurs mains sur leur bouche.")</f>
        <v>Ils le brouillent dans leur bouche et presque tous ont leurs mains sur leur bouche.</v>
      </c>
    </row>
    <row r="20193">
      <c r="A20193" s="4" t="s">
        <v>25417</v>
      </c>
      <c r="B20193" s="4" t="s">
        <v>25420</v>
      </c>
      <c r="C20193" s="5" t="str">
        <f>IFERROR(__xludf.DUMMYFUNCTION("GOOGLETRANSLATE(B20193,""en"",""fr"")"),"L'un d'eux crache dans l'évier et les trois autres essaient de continuer.")</f>
        <v>L'un d'eux crache dans l'évier et les trois autres essaient de continuer.</v>
      </c>
    </row>
    <row r="20194">
      <c r="A20194" s="4" t="s">
        <v>25417</v>
      </c>
      <c r="B20194" s="4" t="s">
        <v>25421</v>
      </c>
      <c r="C20194" s="5" t="str">
        <f>IFERROR(__xludf.DUMMYFUNCTION("GOOGLETRANSLATE(B20194,""en"",""fr"")"),"Ils ont vraiment du mal et finalement ils crachent tous et une fille gagne.")</f>
        <v>Ils ont vraiment du mal et finalement ils crachent tous et une fille gagne.</v>
      </c>
    </row>
    <row r="20195">
      <c r="A20195" s="4" t="s">
        <v>25422</v>
      </c>
      <c r="B20195" s="4" t="s">
        <v>25423</v>
      </c>
      <c r="C20195" s="5" t="str">
        <f>IFERROR(__xludf.DUMMYFUNCTION("GOOGLETRANSLATE(B20195,""en"",""fr"")"),"Une femme a un bandana attaché autour de ses yeux.")</f>
        <v>Une femme a un bandana attaché autour de ses yeux.</v>
      </c>
    </row>
    <row r="20196">
      <c r="A20196" s="4" t="s">
        <v>25422</v>
      </c>
      <c r="B20196" s="4" t="s">
        <v>25424</v>
      </c>
      <c r="C20196" s="5" t="str">
        <f>IFERROR(__xludf.DUMMYFUNCTION("GOOGLETRANSLATE(B20196,""en"",""fr"")"),"Elle utilise un bâton pour se balancer sur une pinata.")</f>
        <v>Elle utilise un bâton pour se balancer sur une pinata.</v>
      </c>
    </row>
    <row r="20197">
      <c r="A20197" s="4" t="s">
        <v>25422</v>
      </c>
      <c r="B20197" s="4" t="s">
        <v>25425</v>
      </c>
      <c r="C20197" s="5" t="str">
        <f>IFERROR(__xludf.DUMMYFUNCTION("GOOGLETRANSLATE(B20197,""en"",""fr"")"),"Elle frappe la pinata plusieurs fois.")</f>
        <v>Elle frappe la pinata plusieurs fois.</v>
      </c>
    </row>
    <row r="20198">
      <c r="A20198" s="4" t="s">
        <v>25426</v>
      </c>
      <c r="B20198" s="4" t="s">
        <v>25427</v>
      </c>
      <c r="C20198" s="5" t="str">
        <f>IFERROR(__xludf.DUMMYFUNCTION("GOOGLETRANSLATE(B20198,""en"",""fr"")"),"Un homme se tient à l'extérieur d'un salon de tatouage et de perçage.")</f>
        <v>Un homme se tient à l'extérieur d'un salon de tatouage et de perçage.</v>
      </c>
    </row>
    <row r="20199">
      <c r="A20199" s="4" t="s">
        <v>25426</v>
      </c>
      <c r="B20199" s="4" t="s">
        <v>25428</v>
      </c>
      <c r="C20199" s="5" t="str">
        <f>IFERROR(__xludf.DUMMYFUNCTION("GOOGLETRANSLATE(B20199,""en"",""fr"")"),"Il se couche sur un banc tandis qu'un tatoueur travaille sur un tatouage sur le dos.")</f>
        <v>Il se couche sur un banc tandis qu'un tatoueur travaille sur un tatouage sur le dos.</v>
      </c>
    </row>
    <row r="20200">
      <c r="A20200" s="4" t="s">
        <v>25426</v>
      </c>
      <c r="B20200" s="4" t="s">
        <v>25429</v>
      </c>
      <c r="C20200" s="5" t="str">
        <f>IFERROR(__xludf.DUMMYFUNCTION("GOOGLETRANSLATE(B20200,""en"",""fr"")"),"Il montre un gros plan de son travail, qui dit Thuglife.")</f>
        <v>Il montre un gros plan de son travail, qui dit Thuglife.</v>
      </c>
    </row>
    <row r="20201">
      <c r="A20201" s="4" t="s">
        <v>25426</v>
      </c>
      <c r="B20201" s="4" t="s">
        <v>25430</v>
      </c>
      <c r="C20201" s="5" t="str">
        <f>IFERROR(__xludf.DUMMYFUNCTION("GOOGLETRANSLATE(B20201,""en"",""fr"")"),"L'homme regarde le travail dans le miroir.")</f>
        <v>L'homme regarde le travail dans le miroir.</v>
      </c>
    </row>
    <row r="20202">
      <c r="A20202" s="4" t="s">
        <v>25431</v>
      </c>
      <c r="B20202" s="4" t="s">
        <v>25432</v>
      </c>
      <c r="C20202" s="5" t="str">
        <f>IFERROR(__xludf.DUMMYFUNCTION("GOOGLETRANSLATE(B20202,""en"",""fr"")"),"Les artistes des arts martiaux effectuent des mouvements lents avec ses bras et ses jambes simultanément.")</f>
        <v>Les artistes des arts martiaux effectuent des mouvements lents avec ses bras et ses jambes simultanément.</v>
      </c>
    </row>
    <row r="20203">
      <c r="A20203" s="4" t="s">
        <v>25431</v>
      </c>
      <c r="B20203" s="4" t="s">
        <v>25433</v>
      </c>
      <c r="C20203" s="5" t="str">
        <f>IFERROR(__xludf.DUMMYFUNCTION("GOOGLETRANSLATE(B20203,""en"",""fr"")"),"Un homme parle de la caméra après que la femme ait terminé sa routine d'arts martiaux.")</f>
        <v>Un homme parle de la caméra après que la femme ait terminé sa routine d'arts martiaux.</v>
      </c>
    </row>
    <row r="20204">
      <c r="A20204" s="4" t="s">
        <v>25434</v>
      </c>
      <c r="B20204" s="4" t="s">
        <v>25435</v>
      </c>
      <c r="C20204" s="5" t="str">
        <f>IFERROR(__xludf.DUMMYFUNCTION("GOOGLETRANSLATE(B20204,""en"",""fr"")"),"Un homme se tient dans une porte qui parle.")</f>
        <v>Un homme se tient dans une porte qui parle.</v>
      </c>
    </row>
    <row r="20205">
      <c r="A20205" s="4" t="s">
        <v>25434</v>
      </c>
      <c r="B20205" s="4" t="s">
        <v>25436</v>
      </c>
      <c r="C20205" s="5" t="str">
        <f>IFERROR(__xludf.DUMMYFUNCTION("GOOGLETRANSLATE(B20205,""en"",""fr"")"),"L'homme grimpe une échelle et ajoute un morceau de papier peint au mur.")</f>
        <v>L'homme grimpe une échelle et ajoute un morceau de papier peint au mur.</v>
      </c>
    </row>
    <row r="20206">
      <c r="A20206" s="4" t="s">
        <v>25434</v>
      </c>
      <c r="B20206" s="4" t="s">
        <v>25437</v>
      </c>
      <c r="C20206" s="5" t="str">
        <f>IFERROR(__xludf.DUMMYFUNCTION("GOOGLETRANSLATE(B20206,""en"",""fr"")"),"L'homme utilise un outil avant de se tourner pour parler puis le lisse.")</f>
        <v>L'homme utilise un outil avant de se tourner pour parler puis le lisse.</v>
      </c>
    </row>
    <row r="20207">
      <c r="A20207" s="4" t="s">
        <v>25434</v>
      </c>
      <c r="B20207" s="4" t="s">
        <v>25438</v>
      </c>
      <c r="C20207" s="5" t="str">
        <f>IFERROR(__xludf.DUMMYFUNCTION("GOOGLETRANSLATE(B20207,""en"",""fr"")"),"L'homme parle et utilise un autre outil pour couper une pièce puis essuie le plafond.")</f>
        <v>L'homme parle et utilise un autre outil pour couper une pièce puis essuie le plafond.</v>
      </c>
    </row>
    <row r="20208">
      <c r="A20208" s="4" t="s">
        <v>25439</v>
      </c>
      <c r="B20208" s="4" t="s">
        <v>25440</v>
      </c>
      <c r="C20208" s="5" t="str">
        <f>IFERROR(__xludf.DUMMYFUNCTION("GOOGLETRANSLATE(B20208,""en"",""fr"")"),"Une femme se lève en tenant un violon contre elle-même.")</f>
        <v>Une femme se lève en tenant un violon contre elle-même.</v>
      </c>
    </row>
    <row r="20209">
      <c r="A20209" s="4" t="s">
        <v>25439</v>
      </c>
      <c r="B20209" s="4" t="s">
        <v>25441</v>
      </c>
      <c r="C20209" s="5" t="str">
        <f>IFERROR(__xludf.DUMMYFUNCTION("GOOGLETRANSLATE(B20209,""en"",""fr"")"),"La femme joue le violon.")</f>
        <v>La femme joue le violon.</v>
      </c>
    </row>
    <row r="20210">
      <c r="A20210" s="4" t="s">
        <v>25439</v>
      </c>
      <c r="B20210" s="4" t="s">
        <v>25442</v>
      </c>
      <c r="C20210" s="5" t="str">
        <f>IFERROR(__xludf.DUMMYFUNCTION("GOOGLETRANSLATE(B20210,""en"",""fr"")"),"La femme arrête de jouer du violon.")</f>
        <v>La femme arrête de jouer du violon.</v>
      </c>
    </row>
    <row r="20211">
      <c r="A20211" s="4" t="s">
        <v>25443</v>
      </c>
      <c r="B20211" s="4" t="s">
        <v>25444</v>
      </c>
      <c r="C20211" s="5" t="str">
        <f>IFERROR(__xludf.DUMMYFUNCTION("GOOGLETRANSLATE(B20211,""en"",""fr"")"),"Il y a un homme dans une chemise rouge et une chemise à carreaux, debout dans un parc.")</f>
        <v>Il y a un homme dans une chemise rouge et une chemise à carreaux, debout dans un parc.</v>
      </c>
    </row>
    <row r="20212">
      <c r="A20212" s="4" t="s">
        <v>25443</v>
      </c>
      <c r="B20212" s="4" t="s">
        <v>25445</v>
      </c>
      <c r="C20212" s="5" t="str">
        <f>IFERROR(__xludf.DUMMYFUNCTION("GOOGLETRANSLATE(B20212,""en"",""fr"")"),"Il jette un pneu en caoutchouc sur le sol.")</f>
        <v>Il jette un pneu en caoutchouc sur le sol.</v>
      </c>
    </row>
    <row r="20213">
      <c r="A20213" s="4" t="s">
        <v>25443</v>
      </c>
      <c r="B20213" s="4" t="s">
        <v>25446</v>
      </c>
      <c r="C20213" s="5" t="str">
        <f>IFERROR(__xludf.DUMMYFUNCTION("GOOGLETRANSLATE(B20213,""en"",""fr"")"),"Il se tient près d'un banc de parc avec une planche à roulettes à la main.")</f>
        <v>Il se tient près d'un banc de parc avec une planche à roulettes à la main.</v>
      </c>
    </row>
    <row r="20214">
      <c r="A20214" s="4" t="s">
        <v>25443</v>
      </c>
      <c r="B20214" s="4" t="s">
        <v>25447</v>
      </c>
      <c r="C20214" s="5" t="str">
        <f>IFERROR(__xludf.DUMMYFUNCTION("GOOGLETRANSLATE(B20214,""en"",""fr"")"),"Il montre comment faire des cascades sur la planche à roulettes en sautant sur le banc du parc.")</f>
        <v>Il montre comment faire des cascades sur la planche à roulettes en sautant sur le banc du parc.</v>
      </c>
    </row>
    <row r="20215">
      <c r="A20215" s="4" t="s">
        <v>25443</v>
      </c>
      <c r="B20215" s="4" t="s">
        <v>25448</v>
      </c>
      <c r="C20215" s="5" t="str">
        <f>IFERROR(__xludf.DUMMYFUNCTION("GOOGLETRANSLATE(B20215,""en"",""fr"")"),"Il répète le même coup encore et encore.")</f>
        <v>Il répète le même coup encore et encore.</v>
      </c>
    </row>
    <row r="20216">
      <c r="A20216" s="4" t="s">
        <v>25443</v>
      </c>
      <c r="B20216" s="4" t="s">
        <v>25449</v>
      </c>
      <c r="C20216" s="5" t="str">
        <f>IFERROR(__xludf.DUMMYFUNCTION("GOOGLETRANSLATE(B20216,""en"",""fr"")"),"Il tombe de la planche à roulettes à quelques reprises mais réussit la plupart du temps.")</f>
        <v>Il tombe de la planche à roulettes à quelques reprises mais réussit la plupart du temps.</v>
      </c>
    </row>
    <row r="20217">
      <c r="A20217" s="4" t="s">
        <v>25443</v>
      </c>
      <c r="B20217" s="4" t="s">
        <v>25450</v>
      </c>
      <c r="C20217" s="5" t="str">
        <f>IFERROR(__xludf.DUMMYFUNCTION("GOOGLETRANSLATE(B20217,""en"",""fr"")"),"Puis il tient la planche à roulettes dans sa main alors qu'il parle tout en pointant le banc.")</f>
        <v>Puis il tient la planche à roulettes dans sa main alors qu'il parle tout en pointant le banc.</v>
      </c>
    </row>
    <row r="20218">
      <c r="A20218" s="4" t="s">
        <v>25451</v>
      </c>
      <c r="B20218" s="4" t="s">
        <v>25452</v>
      </c>
      <c r="C20218" s="5" t="str">
        <f>IFERROR(__xludf.DUMMYFUNCTION("GOOGLETRANSLATE(B20218,""en"",""fr"")"),"Un logo ""EESA"" est affiché à l'écran.")</f>
        <v>Un logo "EESA" est affiché à l'écran.</v>
      </c>
    </row>
    <row r="20219">
      <c r="A20219" s="4" t="s">
        <v>25451</v>
      </c>
      <c r="B20219" s="4" t="s">
        <v>25453</v>
      </c>
      <c r="C20219" s="5" t="str">
        <f>IFERROR(__xludf.DUMMYFUNCTION("GOOGLETRANSLATE(B20219,""en"",""fr"")"),"Deux hommes portant du matériel de plongée sous-marine dans une piscine intérieure parlent à la caméra.")</f>
        <v>Deux hommes portant du matériel de plongée sous-marine dans une piscine intérieure parlent à la caméra.</v>
      </c>
    </row>
    <row r="20220">
      <c r="A20220" s="4" t="s">
        <v>25451</v>
      </c>
      <c r="B20220" s="6" t="s">
        <v>25454</v>
      </c>
      <c r="C20220" s="5" t="str">
        <f>IFERROR(__xludf.DUMMYFUNCTION("GOOGLETRANSLATE(B20220,""en"",""fr"")"),"La caméra suit l'un des hommes sous l'eau où de nombreux obstacles artificiels sont présents.")</f>
        <v>La caméra suit l'un des hommes sous l'eau où de nombreux obstacles artificiels sont présents.</v>
      </c>
    </row>
    <row r="20221">
      <c r="A20221" s="4" t="s">
        <v>25451</v>
      </c>
      <c r="B20221" s="4" t="s">
        <v>25455</v>
      </c>
      <c r="C20221" s="5" t="str">
        <f>IFERROR(__xludf.DUMMYFUNCTION("GOOGLETRANSLATE(B20221,""en"",""fr"")"),"D'autres hommes habillés comme des astronautes sont sous l'eau avec eux.")</f>
        <v>D'autres hommes habillés comme des astronautes sont sous l'eau avec eux.</v>
      </c>
    </row>
    <row r="20222">
      <c r="A20222" s="4" t="s">
        <v>25451</v>
      </c>
      <c r="B20222" s="4" t="s">
        <v>25456</v>
      </c>
      <c r="C20222" s="5" t="str">
        <f>IFERROR(__xludf.DUMMYFUNCTION("GOOGLETRANSLATE(B20222,""en"",""fr"")"),"Les plongeurs sous-marins agitent au revoir et aux crédits.")</f>
        <v>Les plongeurs sous-marins agitent au revoir et aux crédits.</v>
      </c>
    </row>
    <row r="20223">
      <c r="A20223" s="4" t="s">
        <v>25457</v>
      </c>
      <c r="B20223" s="4" t="s">
        <v>1487</v>
      </c>
      <c r="C20223" s="5" t="str">
        <f>IFERROR(__xludf.DUMMYFUNCTION("GOOGLETRANSLATE(B20223,""en"",""fr"")"),"Nous voyons un écran de titre d'ouverture.")</f>
        <v>Nous voyons un écran de titre d'ouverture.</v>
      </c>
    </row>
    <row r="20224">
      <c r="A20224" s="4" t="s">
        <v>25457</v>
      </c>
      <c r="B20224" s="4" t="s">
        <v>25458</v>
      </c>
      <c r="C20224" s="5" t="str">
        <f>IFERROR(__xludf.DUMMYFUNCTION("GOOGLETRANSLATE(B20224,""en"",""fr"")"),"Nous voyons des balles et de la pagaie et une table bleue, puis un homme parle et deux hommes jouant au tennis de table.")</f>
        <v>Nous voyons des balles et de la pagaie et une table bleue, puis un homme parle et deux hommes jouant au tennis de table.</v>
      </c>
    </row>
    <row r="20225">
      <c r="A20225" s="4" t="s">
        <v>25457</v>
      </c>
      <c r="B20225" s="4" t="s">
        <v>25459</v>
      </c>
      <c r="C20225" s="5" t="str">
        <f>IFERROR(__xludf.DUMMYFUNCTION("GOOGLETRANSLATE(B20225,""en"",""fr"")"),"Nous voyons un écran de titre pédagogique.")</f>
        <v>Nous voyons un écran de titre pédagogique.</v>
      </c>
    </row>
    <row r="20226">
      <c r="A20226" s="4" t="s">
        <v>25457</v>
      </c>
      <c r="B20226" s="4" t="s">
        <v>25460</v>
      </c>
      <c r="C20226" s="5" t="str">
        <f>IFERROR(__xludf.DUMMYFUNCTION("GOOGLETRANSLATE(B20226,""en"",""fr"")"),"L'homme démontre une balle et nous le voyons en jeu frapper le ballon.")</f>
        <v>L'homme démontre une balle et nous le voyons en jeu frapper le ballon.</v>
      </c>
    </row>
    <row r="20227">
      <c r="A20227" s="4" t="s">
        <v>25457</v>
      </c>
      <c r="B20227" s="4" t="s">
        <v>777</v>
      </c>
      <c r="C20227" s="5" t="str">
        <f>IFERROR(__xludf.DUMMYFUNCTION("GOOGLETRANSLATE(B20227,""en"",""fr"")"),"Nous voyons l'écran du titre de fin.")</f>
        <v>Nous voyons l'écran du titre de fin.</v>
      </c>
    </row>
    <row r="20228">
      <c r="A20228" s="4" t="s">
        <v>25461</v>
      </c>
      <c r="B20228" s="4" t="s">
        <v>25462</v>
      </c>
      <c r="C20228" s="5" t="str">
        <f>IFERROR(__xludf.DUMMYFUNCTION("GOOGLETRANSLATE(B20228,""en"",""fr"")"),"Plusieurs hommes soufflent de feuilles devant une maison.")</f>
        <v>Plusieurs hommes soufflent de feuilles devant une maison.</v>
      </c>
    </row>
    <row r="20229">
      <c r="A20229" s="4" t="s">
        <v>25461</v>
      </c>
      <c r="B20229" s="4" t="s">
        <v>25463</v>
      </c>
      <c r="C20229" s="5" t="str">
        <f>IFERROR(__xludf.DUMMYFUNCTION("GOOGLETRANSLATE(B20229,""en"",""fr"")"),"Un homme va tout dans la cour pour faire sauter les feuilles.")</f>
        <v>Un homme va tout dans la cour pour faire sauter les feuilles.</v>
      </c>
    </row>
    <row r="20230">
      <c r="A20230" s="4" t="s">
        <v>25461</v>
      </c>
      <c r="B20230" s="4" t="s">
        <v>25464</v>
      </c>
      <c r="C20230" s="5" t="str">
        <f>IFERROR(__xludf.DUMMYFUNCTION("GOOGLETRANSLATE(B20230,""en"",""fr"")"),"Il s'éclaircit devant la maison.")</f>
        <v>Il s'éclaircit devant la maison.</v>
      </c>
    </row>
    <row r="20231">
      <c r="A20231" s="4" t="s">
        <v>25461</v>
      </c>
      <c r="B20231" s="4" t="s">
        <v>25465</v>
      </c>
      <c r="C20231" s="5" t="str">
        <f>IFERROR(__xludf.DUMMYFUNCTION("GOOGLETRANSLATE(B20231,""en"",""fr"")"),"Il s'éclaircit également par le hangar.")</f>
        <v>Il s'éclaircit également par le hangar.</v>
      </c>
    </row>
    <row r="20232">
      <c r="A20232" s="4" t="s">
        <v>25461</v>
      </c>
      <c r="B20232" s="4" t="s">
        <v>25466</v>
      </c>
      <c r="C20232" s="5" t="str">
        <f>IFERROR(__xludf.DUMMYFUNCTION("GOOGLETRANSLATE(B20232,""en"",""fr"")"),"Un autre homme est montré errant dans la cour.")</f>
        <v>Un autre homme est montré errant dans la cour.</v>
      </c>
    </row>
    <row r="20233">
      <c r="A20233" s="4" t="s">
        <v>25467</v>
      </c>
      <c r="B20233" s="4" t="s">
        <v>25468</v>
      </c>
      <c r="C20233" s="5" t="str">
        <f>IFERROR(__xludf.DUMMYFUNCTION("GOOGLETRANSLATE(B20233,""en"",""fr"")"),"Nous voyons des hommes sur un terrain de crosse jouer à un jeu.")</f>
        <v>Nous voyons des hommes sur un terrain de crosse jouer à un jeu.</v>
      </c>
    </row>
    <row r="20234">
      <c r="A20234" s="4" t="s">
        <v>25467</v>
      </c>
      <c r="B20234" s="4" t="s">
        <v>25469</v>
      </c>
      <c r="C20234" s="5" t="str">
        <f>IFERROR(__xludf.DUMMYFUNCTION("GOOGLETRANSLATE(B20234,""en"",""fr"")"),"Un homme frappe le ballon et les hommes courent sur le terrain.")</f>
        <v>Un homme frappe le ballon et les hommes courent sur le terrain.</v>
      </c>
    </row>
    <row r="20235">
      <c r="A20235" s="4" t="s">
        <v>25467</v>
      </c>
      <c r="B20235" s="4" t="s">
        <v>25470</v>
      </c>
      <c r="C20235" s="5" t="str">
        <f>IFERROR(__xludf.DUMMYFUNCTION("GOOGLETRANSLATE(B20235,""en"",""fr"")"),"Nous voyons un homme en rouge courir sur l'écran et revenir en arrière.")</f>
        <v>Nous voyons un homme en rouge courir sur l'écran et revenir en arrière.</v>
      </c>
    </row>
    <row r="20236">
      <c r="A20236" s="4" t="s">
        <v>25471</v>
      </c>
      <c r="B20236" s="4" t="s">
        <v>25472</v>
      </c>
      <c r="C20236" s="5" t="str">
        <f>IFERROR(__xludf.DUMMYFUNCTION("GOOGLETRANSLATE(B20236,""en"",""fr"")"),"La femme est dans un gymnase faisant de l'exercice des jambes et des abdos.")</f>
        <v>La femme est dans un gymnase faisant de l'exercice des jambes et des abdos.</v>
      </c>
    </row>
    <row r="20237">
      <c r="A20237" s="4" t="s">
        <v>25471</v>
      </c>
      <c r="B20237" s="4" t="s">
        <v>25473</v>
      </c>
      <c r="C20237" s="5" t="str">
        <f>IFERROR(__xludf.DUMMYFUNCTION("GOOGLETRANSLATE(B20237,""en"",""fr"")"),"La femme est assise sur une terrasse en train de parler à la caméra.")</f>
        <v>La femme est assise sur une terrasse en train de parler à la caméra.</v>
      </c>
    </row>
    <row r="20238">
      <c r="A20238" s="4" t="s">
        <v>25471</v>
      </c>
      <c r="B20238" s="4" t="s">
        <v>25474</v>
      </c>
      <c r="C20238" s="5" t="str">
        <f>IFERROR(__xludf.DUMMYFUNCTION("GOOGLETRANSLATE(B20238,""en"",""fr"")"),"La femme marche dans un trottoir avec un petit chien blanc et entre dans une maison.")</f>
        <v>La femme marche dans un trottoir avec un petit chien blanc et entre dans une maison.</v>
      </c>
    </row>
    <row r="20239">
      <c r="A20239" s="4" t="s">
        <v>25471</v>
      </c>
      <c r="B20239" s="4" t="s">
        <v>25475</v>
      </c>
      <c r="C20239" s="5" t="str">
        <f>IFERROR(__xludf.DUMMYFUNCTION("GOOGLETRANSLATE(B20239,""en"",""fr"")"),"La femme est à nouveau sur la terrasse en train de parler à la caméra.")</f>
        <v>La femme est à nouveau sur la terrasse en train de parler à la caméra.</v>
      </c>
    </row>
    <row r="20240">
      <c r="A20240" s="4" t="s">
        <v>25476</v>
      </c>
      <c r="B20240" s="6" t="s">
        <v>25477</v>
      </c>
      <c r="C20240" s="5" t="str">
        <f>IFERROR(__xludf.DUMMYFUNCTION("GOOGLETRANSLATE(B20240,""en"",""fr"")"),"Une femme âgée est assise sur le canapé avec une jeune fille, lui montrant comment enfiler la cour sur un crochet à tricot.")</f>
        <v>Une femme âgée est assise sur le canapé avec une jeune fille, lui montrant comment enfiler la cour sur un crochet à tricot.</v>
      </c>
    </row>
    <row r="20241">
      <c r="A20241" s="4" t="s">
        <v>25476</v>
      </c>
      <c r="B20241" s="4" t="s">
        <v>25478</v>
      </c>
      <c r="C20241" s="5" t="str">
        <f>IFERROR(__xludf.DUMMYFUNCTION("GOOGLETRANSLATE(B20241,""en"",""fr"")"),"La fille sourit et rit alors qu'elle découvre comment le gérer.")</f>
        <v>La fille sourit et rit alors qu'elle découvre comment le gérer.</v>
      </c>
    </row>
    <row r="20242">
      <c r="A20242" s="4" t="s">
        <v>25479</v>
      </c>
      <c r="B20242" s="4" t="s">
        <v>25480</v>
      </c>
      <c r="C20242" s="5" t="str">
        <f>IFERROR(__xludf.DUMMYFUNCTION("GOOGLETRANSLATE(B20242,""en"",""fr"")"),"Un homme est assis dans une chaise de coiffure.")</f>
        <v>Un homme est assis dans une chaise de coiffure.</v>
      </c>
    </row>
    <row r="20243">
      <c r="A20243" s="4" t="s">
        <v>25479</v>
      </c>
      <c r="B20243" s="4" t="s">
        <v>25481</v>
      </c>
      <c r="C20243" s="5" t="str">
        <f>IFERROR(__xludf.DUMMYFUNCTION("GOOGLETRANSLATE(B20243,""en"",""fr"")"),"Le coiffeur commence à se raser la tête.")</f>
        <v>Le coiffeur commence à se raser la tête.</v>
      </c>
    </row>
    <row r="20244">
      <c r="A20244" s="4" t="s">
        <v>25479</v>
      </c>
      <c r="B20244" s="4" t="s">
        <v>25482</v>
      </c>
      <c r="C20244" s="5" t="str">
        <f>IFERROR(__xludf.DUMMYFUNCTION("GOOGLETRANSLATE(B20244,""en"",""fr"")"),"Il se rase des étoiles dans sa tête.")</f>
        <v>Il se rase des étoiles dans sa tête.</v>
      </c>
    </row>
    <row r="20245">
      <c r="A20245" s="4" t="s">
        <v>25479</v>
      </c>
      <c r="B20245" s="4" t="s">
        <v>25483</v>
      </c>
      <c r="C20245" s="5" t="str">
        <f>IFERROR(__xludf.DUMMYFUNCTION("GOOGLETRANSLATE(B20245,""en"",""fr"")"),"La conception est complexe.")</f>
        <v>La conception est complexe.</v>
      </c>
    </row>
    <row r="20246">
      <c r="A20246" s="4" t="s">
        <v>25484</v>
      </c>
      <c r="B20246" s="4" t="s">
        <v>25485</v>
      </c>
      <c r="C20246" s="5" t="str">
        <f>IFERROR(__xludf.DUMMYFUNCTION("GOOGLETRANSLATE(B20246,""en"",""fr"")"),"Les gens surfent dans les eaux agitées de l'océan tandis qu'un chat est assis sur un rocher.")</f>
        <v>Les gens surfent dans les eaux agitées de l'océan tandis qu'un chat est assis sur un rocher.</v>
      </c>
    </row>
    <row r="20247">
      <c r="A20247" s="4" t="s">
        <v>25484</v>
      </c>
      <c r="B20247" s="6" t="s">
        <v>25486</v>
      </c>
      <c r="C20247" s="5" t="str">
        <f>IFERROR(__xludf.DUMMYFUNCTION("GOOGLETRANSLATE(B20247,""en"",""fr"")"),"Une personne surfait sur une grande vague allant à droite, tandis que un autre surfeur se met dans une vague pour surfer et tomber, mais reprend la planche de surf.")</f>
        <v>Une personne surfait sur une grande vague allant à droite, tandis que un autre surfeur se met dans une vague pour surfer et tomber, mais reprend la planche de surf.</v>
      </c>
    </row>
    <row r="20248">
      <c r="A20248" s="4" t="s">
        <v>25484</v>
      </c>
      <c r="B20248" s="4" t="s">
        <v>25487</v>
      </c>
      <c r="C20248" s="5" t="str">
        <f>IFERROR(__xludf.DUMMYFUNCTION("GOOGLETRANSLATE(B20248,""en"",""fr"")"),"Un homme surfait sur une vague allant à gauche tandis que d'autres personnes surfent dans l'océan.")</f>
        <v>Un homme surfait sur une vague allant à gauche tandis que d'autres personnes surfent dans l'océan.</v>
      </c>
    </row>
    <row r="20249">
      <c r="A20249" s="4" t="s">
        <v>25484</v>
      </c>
      <c r="B20249" s="4" t="s">
        <v>25488</v>
      </c>
      <c r="C20249" s="5" t="str">
        <f>IFERROR(__xludf.DUMMYFUNCTION("GOOGLETRANSLATE(B20249,""en"",""fr"")"),"Soudain, un homme apparaît ramer un canoë.")</f>
        <v>Soudain, un homme apparaît ramer un canoë.</v>
      </c>
    </row>
    <row r="20250">
      <c r="A20250" s="4" t="s">
        <v>25489</v>
      </c>
      <c r="B20250" s="4" t="s">
        <v>25490</v>
      </c>
      <c r="C20250" s="5" t="str">
        <f>IFERROR(__xludf.DUMMYFUNCTION("GOOGLETRANSLATE(B20250,""en"",""fr"")"),"Un groupe d'hommes se tient debout.")</f>
        <v>Un groupe d'hommes se tient debout.</v>
      </c>
    </row>
    <row r="20251">
      <c r="A20251" s="4" t="s">
        <v>25489</v>
      </c>
      <c r="B20251" s="4" t="s">
        <v>25491</v>
      </c>
      <c r="C20251" s="5" t="str">
        <f>IFERROR(__xludf.DUMMYFUNCTION("GOOGLETRANSLATE(B20251,""en"",""fr"")"),"Ils lancent des fléchettes sur des cibles.")</f>
        <v>Ils lancent des fléchettes sur des cibles.</v>
      </c>
    </row>
    <row r="20252">
      <c r="A20252" s="4" t="s">
        <v>25489</v>
      </c>
      <c r="B20252" s="4" t="s">
        <v>25492</v>
      </c>
      <c r="C20252" s="5" t="str">
        <f>IFERROR(__xludf.DUMMYFUNCTION("GOOGLETRANSLATE(B20252,""en"",""fr"")"),"Les gens conversent en essayant de frapper leurs cibles.")</f>
        <v>Les gens conversent en essayant de frapper leurs cibles.</v>
      </c>
    </row>
    <row r="20253">
      <c r="A20253" s="4" t="s">
        <v>25493</v>
      </c>
      <c r="B20253" s="6" t="s">
        <v>25494</v>
      </c>
      <c r="C20253" s="5" t="str">
        <f>IFERROR(__xludf.DUMMYFUNCTION("GOOGLETRANSLATE(B20253,""en"",""fr"")"),"Un jeune enfant est vu laver divers plats dans un évier tout en portant des gants et en les faisant passer sous l'eau.")</f>
        <v>Un jeune enfant est vu laver divers plats dans un évier tout en portant des gants et en les faisant passer sous l'eau.</v>
      </c>
    </row>
    <row r="20254">
      <c r="A20254" s="4" t="s">
        <v>25493</v>
      </c>
      <c r="B20254" s="4" t="s">
        <v>25495</v>
      </c>
      <c r="C20254" s="5" t="str">
        <f>IFERROR(__xludf.DUMMYFUNCTION("GOOGLETRANSLATE(B20254,""en"",""fr"")"),"Le garçon continue de coller un bol sous l'eau pendant que la caméra se déroule autour de ses mouvements.")</f>
        <v>Le garçon continue de coller un bol sous l'eau pendant que la caméra se déroule autour de ses mouvements.</v>
      </c>
    </row>
    <row r="20255">
      <c r="A20255" s="4" t="s">
        <v>25496</v>
      </c>
      <c r="B20255" s="4" t="s">
        <v>25497</v>
      </c>
      <c r="C20255" s="5" t="str">
        <f>IFERROR(__xludf.DUMMYFUNCTION("GOOGLETRANSLATE(B20255,""en"",""fr"")"),"Une gymnaste est vue en levant le bras en l'air et en grimpant sur un faisceau de gymnastique.")</f>
        <v>Une gymnaste est vue en levant le bras en l'air et en grimpant sur un faisceau de gymnastique.</v>
      </c>
    </row>
    <row r="20256">
      <c r="A20256" s="4" t="s">
        <v>25496</v>
      </c>
      <c r="B20256" s="6" t="s">
        <v>25498</v>
      </c>
      <c r="C20256" s="5" t="str">
        <f>IFERROR(__xludf.DUMMYFUNCTION("GOOGLETRANSLATE(B20256,""en"",""fr"")"),"Il se tourne autour d'effectuer divers trucs sur le faisceau et se termine en sautant et en souriant au public applaudissant.")</f>
        <v>Il se tourne autour d'effectuer divers trucs sur le faisceau et se termine en sautant et en souriant au public applaudissant.</v>
      </c>
    </row>
    <row r="20257">
      <c r="A20257" s="4" t="s">
        <v>25499</v>
      </c>
      <c r="B20257" s="4" t="s">
        <v>25500</v>
      </c>
      <c r="C20257" s="5" t="str">
        <f>IFERROR(__xludf.DUMMYFUNCTION("GOOGLETRANSLATE(B20257,""en"",""fr"")"),"Une femme portant un costume d'ailes de papillons jouant à Beerpong.")</f>
        <v>Une femme portant un costume d'ailes de papillons jouant à Beerpong.</v>
      </c>
    </row>
    <row r="20258">
      <c r="A20258" s="4" t="s">
        <v>25499</v>
      </c>
      <c r="B20258" s="4" t="s">
        <v>25501</v>
      </c>
      <c r="C20258" s="5" t="str">
        <f>IFERROR(__xludf.DUMMYFUNCTION("GOOGLETRANSLATE(B20258,""en"",""fr"")"),"Une femme porte un costume catégorique se tient derrière la table.")</f>
        <v>Une femme porte un costume catégorique se tient derrière la table.</v>
      </c>
    </row>
    <row r="20259">
      <c r="A20259" s="4" t="s">
        <v>25499</v>
      </c>
      <c r="B20259" s="4" t="s">
        <v>25502</v>
      </c>
      <c r="C20259" s="5" t="str">
        <f>IFERROR(__xludf.DUMMYFUNCTION("GOOGLETRANSLATE(B20259,""en"",""fr"")"),"La femme est assise devant la table et danse lorsque la femme échoue au ballon.")</f>
        <v>La femme est assise devant la table et danse lorsque la femme échoue au ballon.</v>
      </c>
    </row>
    <row r="20260">
      <c r="A20260" s="4" t="s">
        <v>25503</v>
      </c>
      <c r="B20260" s="4" t="s">
        <v>25504</v>
      </c>
      <c r="C20260" s="5" t="str">
        <f>IFERROR(__xludf.DUMMYFUNCTION("GOOGLETRANSLATE(B20260,""en"",""fr"")"),"Un homme et une femme se tiennent dans une rue parlant à l'avant une fenêtre.")</f>
        <v>Un homme et une femme se tiennent dans une rue parlant à l'avant une fenêtre.</v>
      </c>
    </row>
    <row r="20261">
      <c r="A20261" s="4" t="s">
        <v>25503</v>
      </c>
      <c r="B20261" s="4" t="s">
        <v>25505</v>
      </c>
      <c r="C20261" s="5" t="str">
        <f>IFERROR(__xludf.DUMMYFUNCTION("GOOGLETRANSLATE(B20261,""en"",""fr"")"),"Une personne passe devant l'homme et la femme.")</f>
        <v>Une personne passe devant l'homme et la femme.</v>
      </c>
    </row>
    <row r="20262">
      <c r="A20262" s="4" t="s">
        <v>25503</v>
      </c>
      <c r="B20262" s="4" t="s">
        <v>25506</v>
      </c>
      <c r="C20262" s="5" t="str">
        <f>IFERROR(__xludf.DUMMYFUNCTION("GOOGLETRANSLATE(B20262,""en"",""fr"")"),"Les gens passent devant la femme et l'homme.")</f>
        <v>Les gens passent devant la femme et l'homme.</v>
      </c>
    </row>
    <row r="20263">
      <c r="A20263" s="4" t="s">
        <v>25507</v>
      </c>
      <c r="B20263" s="4" t="s">
        <v>25508</v>
      </c>
      <c r="C20263" s="5" t="str">
        <f>IFERROR(__xludf.DUMMYFUNCTION("GOOGLETRANSLATE(B20263,""en"",""fr"")"),"Nous voyons des gymnastes dans un gymnase les uns sur les autres.")</f>
        <v>Nous voyons des gymnastes dans un gymnase les uns sur les autres.</v>
      </c>
    </row>
    <row r="20264">
      <c r="A20264" s="4" t="s">
        <v>25507</v>
      </c>
      <c r="B20264" s="4" t="s">
        <v>25509</v>
      </c>
      <c r="C20264" s="5" t="str">
        <f>IFERROR(__xludf.DUMMYFUNCTION("GOOGLETRANSLATE(B20264,""en"",""fr"")"),"Ils commencent alors une danse aérobie.")</f>
        <v>Ils commencent alors une danse aérobie.</v>
      </c>
    </row>
    <row r="20265">
      <c r="A20265" s="4" t="s">
        <v>25507</v>
      </c>
      <c r="B20265" s="4" t="s">
        <v>25510</v>
      </c>
      <c r="C20265" s="5" t="str">
        <f>IFERROR(__xludf.DUMMYFUNCTION("GOOGLETRANSLATE(B20265,""en"",""fr"")"),"Les gens marchent jusqu'à leurs pas et marchent dessus.")</f>
        <v>Les gens marchent jusqu'à leurs pas et marchent dessus.</v>
      </c>
    </row>
    <row r="20266">
      <c r="A20266" s="4" t="s">
        <v>25507</v>
      </c>
      <c r="B20266" s="4" t="s">
        <v>25511</v>
      </c>
      <c r="C20266" s="5" t="str">
        <f>IFERROR(__xludf.DUMMYFUNCTION("GOOGLETRANSLATE(B20266,""en"",""fr"")"),"Le peuple déplace les marches au centre de la pièce.")</f>
        <v>Le peuple déplace les marches au centre de la pièce.</v>
      </c>
    </row>
    <row r="20267">
      <c r="A20267" s="4" t="s">
        <v>25507</v>
      </c>
      <c r="B20267" s="4" t="s">
        <v>25512</v>
      </c>
      <c r="C20267" s="5" t="str">
        <f>IFERROR(__xludf.DUMMYFUNCTION("GOOGLETRANSLATE(B20267,""en"",""fr"")"),"Une dame fait une scission sur le sol et ils finissent.")</f>
        <v>Une dame fait une scission sur le sol et ils finissent.</v>
      </c>
    </row>
    <row r="20268">
      <c r="A20268" s="4" t="s">
        <v>25507</v>
      </c>
      <c r="B20268" s="4" t="s">
        <v>25513</v>
      </c>
      <c r="C20268" s="5" t="str">
        <f>IFERROR(__xludf.DUMMYFUNCTION("GOOGLETRANSLATE(B20268,""en"",""fr"")"),"Le titre de fin apparaît à l'écran.")</f>
        <v>Le titre de fin apparaît à l'écran.</v>
      </c>
    </row>
    <row r="20269">
      <c r="A20269" s="4" t="s">
        <v>25514</v>
      </c>
      <c r="B20269" s="4" t="s">
        <v>25515</v>
      </c>
      <c r="C20269" s="5" t="str">
        <f>IFERROR(__xludf.DUMMYFUNCTION("GOOGLETRANSLATE(B20269,""en"",""fr"")"),"Il y a un mur de peintures, alors la scène s'estompe.")</f>
        <v>Il y a un mur de peintures, alors la scène s'estompe.</v>
      </c>
    </row>
    <row r="20270">
      <c r="A20270" s="4" t="s">
        <v>25514</v>
      </c>
      <c r="B20270" s="6" t="s">
        <v>25516</v>
      </c>
      <c r="C20270" s="5" t="str">
        <f>IFERROR(__xludf.DUMMYFUNCTION("GOOGLETRANSLATE(B20270,""en"",""fr"")"),"Les gens se tiennent sur un balcon sur la recherche d'un événement de football et l'écran indique la finale de la Wuzler Cup.")</f>
        <v>Les gens se tiennent sur un balcon sur la recherche d'un événement de football et l'écran indique la finale de la Wuzler Cup.</v>
      </c>
    </row>
    <row r="20271">
      <c r="A20271" s="4" t="s">
        <v>25514</v>
      </c>
      <c r="B20271" s="4" t="s">
        <v>25517</v>
      </c>
      <c r="C20271" s="5" t="str">
        <f>IFERROR(__xludf.DUMMYFUNCTION("GOOGLETRANSLATE(B20271,""en"",""fr"")"),"Deux rangées de personnes jouent au football de table.")</f>
        <v>Deux rangées de personnes jouent au football de table.</v>
      </c>
    </row>
    <row r="20272">
      <c r="A20272" s="4" t="s">
        <v>25514</v>
      </c>
      <c r="B20272" s="4" t="s">
        <v>25518</v>
      </c>
      <c r="C20272" s="5" t="str">
        <f>IFERROR(__xludf.DUMMYFUNCTION("GOOGLETRANSLATE(B20272,""en"",""fr"")"),"Le ballon a sauté de la table et une femme l'a remise en jeu et un but a été fait.")</f>
        <v>Le ballon a sauté de la table et une femme l'a remise en jeu et un but a été fait.</v>
      </c>
    </row>
    <row r="20273">
      <c r="A20273" s="4" t="s">
        <v>25514</v>
      </c>
      <c r="B20273" s="4" t="s">
        <v>25519</v>
      </c>
      <c r="C20273" s="5" t="str">
        <f>IFERROR(__xludf.DUMMYFUNCTION("GOOGLETRANSLATE(B20273,""en"",""fr"")"),"Il y a des pom-pom girls pour cet événement.")</f>
        <v>Il y a des pom-pom girls pour cet événement.</v>
      </c>
    </row>
    <row r="20274">
      <c r="A20274" s="4" t="s">
        <v>25514</v>
      </c>
      <c r="B20274" s="4" t="s">
        <v>25520</v>
      </c>
      <c r="C20274" s="5" t="str">
        <f>IFERROR(__xludf.DUMMYFUNCTION("GOOGLETRANSLATE(B20274,""en"",""fr"")"),"L'équipe rouge a gagné et montre ses tshirts.")</f>
        <v>L'équipe rouge a gagné et montre ses tshirts.</v>
      </c>
    </row>
    <row r="20275">
      <c r="A20275" s="4" t="s">
        <v>25514</v>
      </c>
      <c r="B20275" s="4" t="s">
        <v>25521</v>
      </c>
      <c r="C20275" s="5" t="str">
        <f>IFERROR(__xludf.DUMMYFUNCTION("GOOGLETRANSLATE(B20275,""en"",""fr"")"),"La scène passe à un rapport derrière un bureau.")</f>
        <v>La scène passe à un rapport derrière un bureau.</v>
      </c>
    </row>
    <row r="20276">
      <c r="A20276" s="4" t="s">
        <v>25522</v>
      </c>
      <c r="B20276" s="6" t="s">
        <v>25523</v>
      </c>
      <c r="C20276" s="5" t="str">
        <f>IFERROR(__xludf.DUMMYFUNCTION("GOOGLETRANSLATE(B20276,""en"",""fr"")"),"Un groupe de femmes portant des robes bleues danse sur une scène de synchronisation qu'elles sont tombées au sol et l'écran s'estompe en noir.")</f>
        <v>Un groupe de femmes portant des robes bleues danse sur une scène de synchronisation qu'elles sont tombées au sol et l'écran s'estompe en noir.</v>
      </c>
    </row>
    <row r="20277">
      <c r="A20277" s="4" t="s">
        <v>25522</v>
      </c>
      <c r="B20277" s="6" t="s">
        <v>25524</v>
      </c>
      <c r="C20277" s="5" t="str">
        <f>IFERROR(__xludf.DUMMYFUNCTION("GOOGLETRANSLATE(B20277,""en"",""fr"")"),"Une femme seule apparaît alors sur scène avec des mots blancs en bas à gauche qui disent ""Ballet d'Orient"", et un contexte d'effet spécial et elle commence à danser le ventre, puis d'autres femmes la rejoignent.")</f>
        <v>Une femme seule apparaît alors sur scène avec des mots blancs en bas à gauche qui disent "Ballet d'Orient", et un contexte d'effet spécial et elle commence à danser le ventre, puis d'autres femmes la rejoignent.</v>
      </c>
    </row>
    <row r="20278">
      <c r="A20278" s="4" t="s">
        <v>25522</v>
      </c>
      <c r="B20278" s="4" t="s">
        <v>25525</v>
      </c>
      <c r="C20278" s="5" t="str">
        <f>IFERROR(__xludf.DUMMYFUNCTION("GOOGLETRANSLATE(B20278,""en"",""fr"")"),"Le projecteur s'estompe lorsque la routine se termine et que l'écran s'estompe en noir.")</f>
        <v>Le projecteur s'estompe lorsque la routine se termine et que l'écran s'estompe en noir.</v>
      </c>
    </row>
    <row r="20279">
      <c r="A20279" s="4" t="s">
        <v>25526</v>
      </c>
      <c r="B20279" s="4" t="s">
        <v>25527</v>
      </c>
      <c r="C20279" s="5" t="str">
        <f>IFERROR(__xludf.DUMMYFUNCTION("GOOGLETRANSLATE(B20279,""en"",""fr"")"),"Un homme et une femme sont assis derrière un bureau à parler.")</f>
        <v>Un homme et une femme sont assis derrière un bureau à parler.</v>
      </c>
    </row>
    <row r="20280">
      <c r="A20280" s="4" t="s">
        <v>25526</v>
      </c>
      <c r="B20280" s="4" t="s">
        <v>25528</v>
      </c>
      <c r="C20280" s="5" t="str">
        <f>IFERROR(__xludf.DUMMYFUNCTION("GOOGLETRANSLATE(B20280,""en"",""fr"")"),"Un médecin effectue une intervention chirurgicale dans une pièce.")</f>
        <v>Un médecin effectue une intervention chirurgicale dans une pièce.</v>
      </c>
    </row>
    <row r="20281">
      <c r="A20281" s="4" t="s">
        <v>25526</v>
      </c>
      <c r="B20281" s="4" t="s">
        <v>25529</v>
      </c>
      <c r="C20281" s="5" t="str">
        <f>IFERROR(__xludf.DUMMYFUNCTION("GOOGLETRANSLATE(B20281,""en"",""fr"")"),"Une femme dans une chemise rouge se tient à un comptoir qui parle.")</f>
        <v>Une femme dans une chemise rouge se tient à un comptoir qui parle.</v>
      </c>
    </row>
    <row r="20282">
      <c r="A20282" s="4" t="s">
        <v>25526</v>
      </c>
      <c r="B20282" s="4" t="s">
        <v>25530</v>
      </c>
      <c r="C20282" s="5" t="str">
        <f>IFERROR(__xludf.DUMMYFUNCTION("GOOGLETRANSLATE(B20282,""en"",""fr"")"),"Une femme essuie sa bouche avec une serviette.")</f>
        <v>Une femme essuie sa bouche avec une serviette.</v>
      </c>
    </row>
    <row r="20283">
      <c r="A20283" s="4" t="s">
        <v>25531</v>
      </c>
      <c r="B20283" s="4" t="s">
        <v>25532</v>
      </c>
      <c r="C20283" s="5" t="str">
        <f>IFERROR(__xludf.DUMMYFUNCTION("GOOGLETRANSLATE(B20283,""en"",""fr"")"),"Une introduction mène à plusieurs plans d'un homme chevauchant une grande vague d'une planche de surf sous différents angles.")</f>
        <v>Une introduction mène à plusieurs plans d'un homme chevauchant une grande vague d'une planche de surf sous différents angles.</v>
      </c>
    </row>
    <row r="20284">
      <c r="A20284" s="4" t="s">
        <v>25531</v>
      </c>
      <c r="B20284" s="6" t="s">
        <v>25533</v>
      </c>
      <c r="C20284" s="5" t="str">
        <f>IFERROR(__xludf.DUMMYFUNCTION("GOOGLETRANSLATE(B20284,""en"",""fr"")"),"Un homme est ensuite interviewé par le caméraman et est montré à nouveau sur de grandes vagues dans l'océan.")</f>
        <v>Un homme est ensuite interviewé par le caméraman et est montré à nouveau sur de grandes vagues dans l'océan.</v>
      </c>
    </row>
    <row r="20285">
      <c r="A20285" s="4" t="s">
        <v>25531</v>
      </c>
      <c r="B20285" s="4" t="s">
        <v>25534</v>
      </c>
      <c r="C20285" s="5" t="str">
        <f>IFERROR(__xludf.DUMMYFUNCTION("GOOGLETRANSLATE(B20285,""en"",""fr"")"),"Un autre homme est interviewé par la caméra et montre ses compétences de surf sur sa planche.")</f>
        <v>Un autre homme est interviewé par la caméra et montre ses compétences de surf sur sa planche.</v>
      </c>
    </row>
    <row r="20286">
      <c r="A20286" s="4" t="s">
        <v>25535</v>
      </c>
      <c r="B20286" s="4" t="s">
        <v>25536</v>
      </c>
      <c r="C20286" s="5" t="str">
        <f>IFERROR(__xludf.DUMMYFUNCTION("GOOGLETRANSLATE(B20286,""en"",""fr"")"),"Un homme est à l'extérieur dans un court de tennis qui parle alors qu'il tient une raquette de tennis.")</f>
        <v>Un homme est à l'extérieur dans un court de tennis qui parle alors qu'il tient une raquette de tennis.</v>
      </c>
    </row>
    <row r="20287">
      <c r="A20287" s="4" t="s">
        <v>25535</v>
      </c>
      <c r="B20287" s="4" t="s">
        <v>25537</v>
      </c>
      <c r="C20287" s="5" t="str">
        <f>IFERROR(__xludf.DUMMYFUNCTION("GOOGLETRANSLATE(B20287,""en"",""fr"")"),"Il va sur le terrain et avec la raquette et une balle de sa poche et la frappe.")</f>
        <v>Il va sur le terrain et avec la raquette et une balle de sa poche et la frappe.</v>
      </c>
    </row>
    <row r="20288">
      <c r="A20288" s="4" t="s">
        <v>25535</v>
      </c>
      <c r="B20288" s="6" t="s">
        <v>25538</v>
      </c>
      <c r="C20288" s="5" t="str">
        <f>IFERROR(__xludf.DUMMYFUNCTION("GOOGLETRANSLATE(B20288,""en"",""fr"")"),"Il donne des informations très détaillées pendant un certain temps, le tennis semble être très bien qu'il sait.")</f>
        <v>Il donne des informations très détaillées pendant un certain temps, le tennis semble être très bien qu'il sait.</v>
      </c>
    </row>
    <row r="20289">
      <c r="A20289" s="4" t="s">
        <v>25535</v>
      </c>
      <c r="B20289" s="4" t="s">
        <v>25539</v>
      </c>
      <c r="C20289" s="5" t="str">
        <f>IFERROR(__xludf.DUMMYFUNCTION("GOOGLETRANSLATE(B20289,""en"",""fr"")"),"Il montre comment vous devriez frapper correctement le ballon et continue en parler un peu plus.")</f>
        <v>Il montre comment vous devriez frapper correctement le ballon et continue en parler un peu plus.</v>
      </c>
    </row>
    <row r="20290">
      <c r="A20290" s="4" t="s">
        <v>25540</v>
      </c>
      <c r="B20290" s="4" t="s">
        <v>25541</v>
      </c>
      <c r="C20290" s="5" t="str">
        <f>IFERROR(__xludf.DUMMYFUNCTION("GOOGLETRANSLATE(B20290,""en"",""fr"")"),"La femme est dans une offre de parler à un homme qui décore un arbre de Noël.")</f>
        <v>La femme est dans une offre de parler à un homme qui décore un arbre de Noël.</v>
      </c>
    </row>
    <row r="20291">
      <c r="A20291" s="4" t="s">
        <v>25540</v>
      </c>
      <c r="B20291" s="4" t="s">
        <v>25542</v>
      </c>
      <c r="C20291" s="5" t="str">
        <f>IFERROR(__xludf.DUMMYFUNCTION("GOOGLETRANSLATE(B20291,""en"",""fr"")"),"L'homme parle à celui qui se tenait près de l'arbre et lui donne une Barbie.")</f>
        <v>L'homme parle à celui qui se tenait près de l'arbre et lui donne une Barbie.</v>
      </c>
    </row>
    <row r="20292">
      <c r="A20292" s="4" t="s">
        <v>25540</v>
      </c>
      <c r="B20292" s="4" t="s">
        <v>25543</v>
      </c>
      <c r="C20292" s="5" t="str">
        <f>IFERROR(__xludf.DUMMYFUNCTION("GOOGLETRANSLATE(B20292,""en"",""fr"")"),"L'homme se rend chez une femme et commence à parler dans le coin de la pièce.")</f>
        <v>L'homme se rend chez une femme et commence à parler dans le coin de la pièce.</v>
      </c>
    </row>
    <row r="20293">
      <c r="A20293" s="4" t="s">
        <v>25540</v>
      </c>
      <c r="B20293" s="4" t="s">
        <v>25544</v>
      </c>
      <c r="C20293" s="5" t="str">
        <f>IFERROR(__xludf.DUMMYFUNCTION("GOOGLETRANSLATE(B20293,""en"",""fr"")"),"L'homme tient une balle à côté de l'arbre de Noël en mettant les balles.")</f>
        <v>L'homme tient une balle à côté de l'arbre de Noël en mettant les balles.</v>
      </c>
    </row>
    <row r="20294">
      <c r="A20294" s="4" t="s">
        <v>25545</v>
      </c>
      <c r="B20294" s="6" t="s">
        <v>25546</v>
      </c>
      <c r="C20294" s="5" t="str">
        <f>IFERROR(__xludf.DUMMYFUNCTION("GOOGLETRANSLATE(B20294,""en"",""fr"")"),"Un homme est montré en train de travailler sur plusieurs équipements d'exercices différents ainsi que l'ajustement des paramètres.")</f>
        <v>Un homme est montré en train de travailler sur plusieurs équipements d'exercices différents ainsi que l'ajustement des paramètres.</v>
      </c>
    </row>
    <row r="20295">
      <c r="A20295" s="4" t="s">
        <v>25545</v>
      </c>
      <c r="B20295" s="4" t="s">
        <v>25547</v>
      </c>
      <c r="C20295" s="5" t="str">
        <f>IFERROR(__xludf.DUMMYFUNCTION("GOOGLETRANSLATE(B20295,""en"",""fr"")"),"L'homme met un USB et continue de rouler sur les machines.")</f>
        <v>L'homme met un USB et continue de rouler sur les machines.</v>
      </c>
    </row>
    <row r="20296">
      <c r="A20296" s="4" t="s">
        <v>25545</v>
      </c>
      <c r="B20296" s="6" t="s">
        <v>25548</v>
      </c>
      <c r="C20296" s="5" t="str">
        <f>IFERROR(__xludf.DUMMYFUNCTION("GOOGLETRANSLATE(B20296,""en"",""fr"")"),"Il ajuste plus de paramètres et regarde la télévision lorsqu'il s'entraîne et des gros plans de ses pieds et du corps montré.")</f>
        <v>Il ajuste plus de paramètres et regarde la télévision lorsqu'il s'entraîne et des gros plans de ses pieds et du corps montré.</v>
      </c>
    </row>
    <row r="20297">
      <c r="A20297" s="4" t="s">
        <v>25549</v>
      </c>
      <c r="B20297" s="4" t="s">
        <v>25550</v>
      </c>
      <c r="C20297" s="5" t="str">
        <f>IFERROR(__xludf.DUMMYFUNCTION("GOOGLETRANSLATE(B20297,""en"",""fr"")"),"Un homme est vu vers la caméra wile tenant un rasoir.")</f>
        <v>Un homme est vu vers la caméra wile tenant un rasoir.</v>
      </c>
    </row>
    <row r="20298">
      <c r="A20298" s="4" t="s">
        <v>25549</v>
      </c>
      <c r="B20298" s="4" t="s">
        <v>25551</v>
      </c>
      <c r="C20298" s="5" t="str">
        <f>IFERROR(__xludf.DUMMYFUNCTION("GOOGLETRANSLATE(B20298,""en"",""fr"")"),"Il commence à se raser le visage tout en regardant dans le miroir.")</f>
        <v>Il commence à se raser le visage tout en regardant dans le miroir.</v>
      </c>
    </row>
    <row r="20299">
      <c r="A20299" s="4" t="s">
        <v>25549</v>
      </c>
      <c r="B20299" s="4" t="s">
        <v>25552</v>
      </c>
      <c r="C20299" s="5" t="str">
        <f>IFERROR(__xludf.DUMMYFUNCTION("GOOGLETRANSLATE(B20299,""en"",""fr"")"),"Il pointe le rasoir et continue de se raser le visage et de regarder la caméra.")</f>
        <v>Il pointe le rasoir et continue de se raser le visage et de regarder la caméra.</v>
      </c>
    </row>
    <row r="20300">
      <c r="A20300" s="4" t="s">
        <v>25553</v>
      </c>
      <c r="B20300" s="4" t="s">
        <v>25554</v>
      </c>
      <c r="C20300" s="5" t="str">
        <f>IFERROR(__xludf.DUMMYFUNCTION("GOOGLETRANSLATE(B20300,""en"",""fr"")"),"1 Un gars montre les outils pour couper les ongles de ses chats.")</f>
        <v>1 Un gars montre les outils pour couper les ongles de ses chats.</v>
      </c>
    </row>
    <row r="20301">
      <c r="A20301" s="4" t="s">
        <v>25553</v>
      </c>
      <c r="B20301" s="4" t="s">
        <v>25555</v>
      </c>
      <c r="C20301" s="5" t="str">
        <f>IFERROR(__xludf.DUMMYFUNCTION("GOOGLETRANSLATE(B20301,""en"",""fr"")"),"2 Le gars enroule le chat.")</f>
        <v>2 Le gars enroule le chat.</v>
      </c>
    </row>
    <row r="20302">
      <c r="A20302" s="4" t="s">
        <v>25553</v>
      </c>
      <c r="B20302" s="4" t="s">
        <v>25556</v>
      </c>
      <c r="C20302" s="5" t="str">
        <f>IFERROR(__xludf.DUMMYFUNCTION("GOOGLETRANSLATE(B20302,""en"",""fr"")"),"3 Le gars a coupé les ongles des chats et le chat essaie de le mordre plusieurs fois.")</f>
        <v>3 Le gars a coupé les ongles des chats et le chat essaie de le mordre plusieurs fois.</v>
      </c>
    </row>
    <row r="20303">
      <c r="A20303" s="4" t="s">
        <v>25553</v>
      </c>
      <c r="B20303" s="4" t="s">
        <v>25557</v>
      </c>
      <c r="C20303" s="5" t="str">
        <f>IFERROR(__xludf.DUMMYFUNCTION("GOOGLETRANSLATE(B20303,""en"",""fr"")"),"4 Le gars laisse partir le chat.")</f>
        <v>4 Le gars laisse partir le chat.</v>
      </c>
    </row>
    <row r="20304">
      <c r="A20304" s="4" t="s">
        <v>25558</v>
      </c>
      <c r="B20304" s="4" t="s">
        <v>25559</v>
      </c>
      <c r="C20304" s="5" t="str">
        <f>IFERROR(__xludf.DUMMYFUNCTION("GOOGLETRANSLATE(B20304,""en"",""fr"")"),"Un jeune homme boit six bouteilles de bière tandis qu'une personne se tient sur le devant, tenant un chronomètre.")</f>
        <v>Un jeune homme boit six bouteilles de bière tandis qu'une personne se tient sur le devant, tenant un chronomètre.</v>
      </c>
    </row>
    <row r="20305">
      <c r="A20305" s="4" t="s">
        <v>25558</v>
      </c>
      <c r="B20305" s="4" t="s">
        <v>25560</v>
      </c>
      <c r="C20305" s="5" t="str">
        <f>IFERROR(__xludf.DUMMYFUNCTION("GOOGLETRANSLATE(B20305,""en"",""fr"")"),"Ensuite, le jeune homme crache de la bière sur la personne qui tombe par terre.")</f>
        <v>Ensuite, le jeune homme crache de la bière sur la personne qui tombe par terre.</v>
      </c>
    </row>
    <row r="20306">
      <c r="A20306" s="4" t="s">
        <v>25558</v>
      </c>
      <c r="B20306" s="4" t="s">
        <v>25561</v>
      </c>
      <c r="C20306" s="5" t="str">
        <f>IFERROR(__xludf.DUMMYFUNCTION("GOOGLETRANSLATE(B20306,""en"",""fr"")"),"Après, la personne se tient de sable enlevant son pantalon et son t-shirt, puis il fouille sur l'herbe.")</f>
        <v>Après, la personne se tient de sable enlevant son pantalon et son t-shirt, puis il fouille sur l'herbe.</v>
      </c>
    </row>
    <row r="20307">
      <c r="A20307" s="4" t="s">
        <v>25562</v>
      </c>
      <c r="B20307" s="4" t="s">
        <v>25563</v>
      </c>
      <c r="C20307" s="5" t="str">
        <f>IFERROR(__xludf.DUMMYFUNCTION("GOOGLETRANSLATE(B20307,""en"",""fr"")"),"Un homme est vu allongé sur le sol tout en parlant à haute voix et en croisant les bras sur sa poitrine.")</f>
        <v>Un homme est vu allongé sur le sol tout en parlant à haute voix et en croisant les bras sur sa poitrine.</v>
      </c>
    </row>
    <row r="20308">
      <c r="A20308" s="4" t="s">
        <v>25562</v>
      </c>
      <c r="B20308" s="4" t="s">
        <v>25564</v>
      </c>
      <c r="C20308" s="5" t="str">
        <f>IFERROR(__xludf.DUMMYFUNCTION("GOOGLETRANSLATE(B20308,""en"",""fr"")"),"L'homme fait ensuite plusieurs craquements de diverses manières et se termine en parlant à la caméra.")</f>
        <v>L'homme fait ensuite plusieurs craquements de diverses manières et se termine en parlant à la caméra.</v>
      </c>
    </row>
    <row r="20309">
      <c r="A20309" s="4" t="s">
        <v>25565</v>
      </c>
      <c r="B20309" s="4" t="s">
        <v>25566</v>
      </c>
      <c r="C20309" s="5" t="str">
        <f>IFERROR(__xludf.DUMMYFUNCTION("GOOGLETRANSLATE(B20309,""en"",""fr"")"),"Un toit est réparé par PVC.")</f>
        <v>Un toit est réparé par PVC.</v>
      </c>
    </row>
    <row r="20310">
      <c r="A20310" s="4" t="s">
        <v>25565</v>
      </c>
      <c r="B20310" s="4" t="s">
        <v>25567</v>
      </c>
      <c r="C20310" s="5" t="str">
        <f>IFERROR(__xludf.DUMMYFUNCTION("GOOGLETRANSLATE(B20310,""en"",""fr"")"),"Le toit est nettoyé et le joint est à nouveau réalisé.")</f>
        <v>Le toit est nettoyé et le joint est à nouveau réalisé.</v>
      </c>
    </row>
    <row r="20311">
      <c r="A20311" s="4" t="s">
        <v>25568</v>
      </c>
      <c r="B20311" s="4" t="s">
        <v>25569</v>
      </c>
      <c r="C20311" s="5" t="str">
        <f>IFERROR(__xludf.DUMMYFUNCTION("GOOGLETRANSLATE(B20311,""en"",""fr"")"),"Le garçon tient ses paupières et ses lieux dans une lentille de contact.")</f>
        <v>Le garçon tient ses paupières et ses lieux dans une lentille de contact.</v>
      </c>
    </row>
    <row r="20312">
      <c r="A20312" s="4" t="s">
        <v>25568</v>
      </c>
      <c r="B20312" s="4" t="s">
        <v>25570</v>
      </c>
      <c r="C20312" s="5" t="str">
        <f>IFERROR(__xludf.DUMMYFUNCTION("GOOGLETRANSLATE(B20312,""en"",""fr"")"),"L'homme inclinait la tête en arrière et ferme les yeux pour ajuster l'objectif de contact.")</f>
        <v>L'homme inclinait la tête en arrière et ferme les yeux pour ajuster l'objectif de contact.</v>
      </c>
    </row>
    <row r="20313">
      <c r="A20313" s="4" t="s">
        <v>25568</v>
      </c>
      <c r="B20313" s="4" t="s">
        <v>25571</v>
      </c>
      <c r="C20313" s="5" t="str">
        <f>IFERROR(__xludf.DUMMYFUNCTION("GOOGLETRANSLATE(B20313,""en"",""fr"")"),"L'homme se frotte les yeux puis les ouvre largement pour montrer les contacts.")</f>
        <v>L'homme se frotte les yeux puis les ouvre largement pour montrer les contacts.</v>
      </c>
    </row>
    <row r="20314">
      <c r="A20314" s="4" t="s">
        <v>25572</v>
      </c>
      <c r="B20314" s="4" t="s">
        <v>25573</v>
      </c>
      <c r="C20314" s="5" t="str">
        <f>IFERROR(__xludf.DUMMYFUNCTION("GOOGLETRANSLATE(B20314,""en"",""fr"")"),"Les gens sont dans un gymnase pour faire de l'exercice quelques pompes et s'étirer.")</f>
        <v>Les gens sont dans un gymnase pour faire de l'exercice quelques pompes et s'étirer.</v>
      </c>
    </row>
    <row r="20315">
      <c r="A20315" s="4" t="s">
        <v>25572</v>
      </c>
      <c r="B20315" s="4" t="s">
        <v>25574</v>
      </c>
      <c r="C20315" s="5" t="str">
        <f>IFERROR(__xludf.DUMMYFUNCTION("GOOGLETRANSLATE(B20315,""en"",""fr"")"),"Les hommes commencent à régler le gymnase et apportent des tapis et des cordes à GE Gym.")</f>
        <v>Les hommes commencent à régler le gymnase et apportent des tapis et des cordes à GE Gym.</v>
      </c>
    </row>
    <row r="20316">
      <c r="A20316" s="4" t="s">
        <v>25572</v>
      </c>
      <c r="B20316" s="4" t="s">
        <v>25575</v>
      </c>
      <c r="C20316" s="5" t="str">
        <f>IFERROR(__xludf.DUMMYFUNCTION("GOOGLETRANSLATE(B20316,""en"",""fr"")"),"Les gens s'équilibrent sur les Srings du gymnase et sautent dans le lit élastique en cours de gym.")</f>
        <v>Les gens s'équilibrent sur les Srings du gymnase et sautent dans le lit élastique en cours de gym.</v>
      </c>
    </row>
    <row r="20317">
      <c r="A20317" s="4" t="s">
        <v>25572</v>
      </c>
      <c r="B20317" s="4" t="s">
        <v>25576</v>
      </c>
      <c r="C20317" s="5" t="str">
        <f>IFERROR(__xludf.DUMMYFUNCTION("GOOGLETRANSLATE(B20317,""en"",""fr"")"),"Les hommes et les femmes s'équilibrent sur la corde et font des astuces qui font des sauts.")</f>
        <v>Les hommes et les femmes s'équilibrent sur la corde et font des astuces qui font des sauts.</v>
      </c>
    </row>
    <row r="20318">
      <c r="A20318" s="4" t="s">
        <v>25577</v>
      </c>
      <c r="B20318" s="4" t="s">
        <v>25578</v>
      </c>
      <c r="C20318" s="5" t="str">
        <f>IFERROR(__xludf.DUMMYFUNCTION("GOOGLETRANSLATE(B20318,""en"",""fr"")"),"L'homme se tient titulaire d'une harmonique tout en jouant de la guitare et de sa lecture de la feuille musicale.")</f>
        <v>L'homme se tient titulaire d'une harmonique tout en jouant de la guitare et de sa lecture de la feuille musicale.</v>
      </c>
    </row>
    <row r="20319">
      <c r="A20319" s="4" t="s">
        <v>25577</v>
      </c>
      <c r="B20319" s="4" t="s">
        <v>25579</v>
      </c>
      <c r="C20319" s="5" t="str">
        <f>IFERROR(__xludf.DUMMYFUNCTION("GOOGLETRANSLATE(B20319,""en"",""fr"")"),"L'homme enseigne à jouer l'harmonica dans la clé de A et de parler et de jouer de la guitare.")</f>
        <v>L'homme enseigne à jouer l'harmonica dans la clé de A et de parler et de jouer de la guitare.</v>
      </c>
    </row>
    <row r="20320">
      <c r="A20320" s="4" t="s">
        <v>25580</v>
      </c>
      <c r="B20320" s="4" t="s">
        <v>25581</v>
      </c>
      <c r="C20320" s="5" t="str">
        <f>IFERROR(__xludf.DUMMYFUNCTION("GOOGLETRANSLATE(B20320,""en"",""fr"")"),"Plusieurs clips sont illustrés à des personnes roulant dans de l'eau sur des kayaks.")</f>
        <v>Plusieurs clips sont illustrés à des personnes roulant dans de l'eau sur des kayaks.</v>
      </c>
    </row>
    <row r="20321">
      <c r="A20321" s="4" t="s">
        <v>25580</v>
      </c>
      <c r="B20321" s="4" t="s">
        <v>25582</v>
      </c>
      <c r="C20321" s="5" t="str">
        <f>IFERROR(__xludf.DUMMYFUNCTION("GOOGLETRANSLATE(B20321,""en"",""fr"")"),"Les gens effectuent des flips dans l'eau pendant que le texte est montré.")</f>
        <v>Les gens effectuent des flips dans l'eau pendant que le texte est montré.</v>
      </c>
    </row>
    <row r="20322">
      <c r="A20322" s="4" t="s">
        <v>25580</v>
      </c>
      <c r="B20322" s="4" t="s">
        <v>25583</v>
      </c>
      <c r="C20322" s="5" t="str">
        <f>IFERROR(__xludf.DUMMYFUNCTION("GOOGLETRANSLATE(B20322,""en"",""fr"")"),"Plus de clips sont montrés des personnes qui roulent dans l'eau et font des flips dans les kayaks.")</f>
        <v>Plus de clips sont montrés des personnes qui roulent dans l'eau et font des flips dans les kayaks.</v>
      </c>
    </row>
    <row r="20323">
      <c r="A20323" s="4" t="s">
        <v>25584</v>
      </c>
      <c r="B20323" s="4" t="s">
        <v>25585</v>
      </c>
      <c r="C20323" s="5" t="str">
        <f>IFERROR(__xludf.DUMMYFUNCTION("GOOGLETRANSLATE(B20323,""en"",""fr"")"),"Un pompier est montré en marchant sur une corde serrée dans son équipement très lentement.")</f>
        <v>Un pompier est montré en marchant sur une corde serrée dans son équipement très lentement.</v>
      </c>
    </row>
    <row r="20324">
      <c r="A20324" s="4" t="s">
        <v>25584</v>
      </c>
      <c r="B20324" s="4" t="s">
        <v>25586</v>
      </c>
      <c r="C20324" s="5" t="str">
        <f>IFERROR(__xludf.DUMMYFUNCTION("GOOGLETRANSLATE(B20324,""en"",""fr"")"),"Il se déplace le long de la corde vers la fin et revient au début jusqu'à ce qu'il échoue.")</f>
        <v>Il se déplace le long de la corde vers la fin et revient au début jusqu'à ce qu'il échoue.</v>
      </c>
    </row>
    <row r="20325">
      <c r="A20325" s="4" t="s">
        <v>25587</v>
      </c>
      <c r="B20325" s="4" t="s">
        <v>21512</v>
      </c>
      <c r="C20325" s="5" t="str">
        <f>IFERROR(__xludf.DUMMYFUNCTION("GOOGLETRANSLATE(B20325,""en"",""fr"")"),"Un homme s'agenouille sur un tapis bleu.")</f>
        <v>Un homme s'agenouille sur un tapis bleu.</v>
      </c>
    </row>
    <row r="20326">
      <c r="A20326" s="4" t="s">
        <v>25587</v>
      </c>
      <c r="B20326" s="4" t="s">
        <v>25588</v>
      </c>
      <c r="C20326" s="5" t="str">
        <f>IFERROR(__xludf.DUMMYFUNCTION("GOOGLETRANSLATE(B20326,""en"",""fr"")"),"Un homme se lève derrière lui à parler.")</f>
        <v>Un homme se lève derrière lui à parler.</v>
      </c>
    </row>
    <row r="20327">
      <c r="A20327" s="4" t="s">
        <v>25587</v>
      </c>
      <c r="B20327" s="4" t="s">
        <v>25589</v>
      </c>
      <c r="C20327" s="5" t="str">
        <f>IFERROR(__xludf.DUMMYFUNCTION("GOOGLETRANSLATE(B20327,""en"",""fr"")"),"L'homme sur le tapis a une ceinture brune autour de sa taille.")</f>
        <v>L'homme sur le tapis a une ceinture brune autour de sa taille.</v>
      </c>
    </row>
    <row r="20328">
      <c r="A20328" s="4" t="s">
        <v>25590</v>
      </c>
      <c r="B20328" s="6" t="s">
        <v>25591</v>
      </c>
      <c r="C20328" s="5" t="str">
        <f>IFERROR(__xludf.DUMMYFUNCTION("GOOGLETRANSLATE(B20328,""en"",""fr"")"),"Deux personnes sont vues sortir d'un bâtiment et les amène à jouer au crochet les uns avec les autres.")</f>
        <v>Deux personnes sont vues sortir d'un bâtiment et les amène à jouer au crochet les uns avec les autres.</v>
      </c>
    </row>
    <row r="20329">
      <c r="A20329" s="4" t="s">
        <v>25590</v>
      </c>
      <c r="B20329" s="6" t="s">
        <v>25592</v>
      </c>
      <c r="C20329" s="5" t="str">
        <f>IFERROR(__xludf.DUMMYFUNCTION("GOOGLETRANSLATE(B20329,""en"",""fr"")"),"Les hommes continuent de frapper le ballon autour de la cour tout en parlant les uns aux autres et en mesurant le ballon.")</f>
        <v>Les hommes continuent de frapper le ballon autour de la cour tout en parlant les uns aux autres et en mesurant le ballon.</v>
      </c>
    </row>
    <row r="20330">
      <c r="A20330" s="4" t="s">
        <v>25590</v>
      </c>
      <c r="B20330" s="4" t="s">
        <v>25593</v>
      </c>
      <c r="C20330" s="5" t="str">
        <f>IFERROR(__xludf.DUMMYFUNCTION("GOOGLETRANSLATE(B20330,""en"",""fr"")"),"Les hommes continuent de jouer et un tendant son bras et se terminent en s'éloignant.")</f>
        <v>Les hommes continuent de jouer et un tendant son bras et se terminent en s'éloignant.</v>
      </c>
    </row>
    <row r="20331">
      <c r="A20331" s="4" t="s">
        <v>25594</v>
      </c>
      <c r="B20331" s="4" t="s">
        <v>25595</v>
      </c>
      <c r="C20331" s="5" t="str">
        <f>IFERROR(__xludf.DUMMYFUNCTION("GOOGLETRANSLATE(B20331,""en"",""fr"")"),"Un homme souffle un chuchlet devant une pièce remplie de gens.")</f>
        <v>Un homme souffle un chuchlet devant une pièce remplie de gens.</v>
      </c>
    </row>
    <row r="20332">
      <c r="A20332" s="4" t="s">
        <v>25594</v>
      </c>
      <c r="B20332" s="4" t="s">
        <v>25596</v>
      </c>
      <c r="C20332" s="5" t="str">
        <f>IFERROR(__xludf.DUMMYFUNCTION("GOOGLETRANSLATE(B20332,""en"",""fr"")"),"Ils jouent à Beer Pong avec plusieurs tasses en solo rouge, buvant entre les jeux.")</f>
        <v>Ils jouent à Beer Pong avec plusieurs tasses en solo rouge, buvant entre les jeux.</v>
      </c>
    </row>
    <row r="20333">
      <c r="A20333" s="4" t="s">
        <v>25594</v>
      </c>
      <c r="B20333" s="4" t="s">
        <v>25597</v>
      </c>
      <c r="C20333" s="5" t="str">
        <f>IFERROR(__xludf.DUMMYFUNCTION("GOOGLETRANSLATE(B20333,""en"",""fr"")"),"Une femme blonde regarde un homme gagner le match, serrant la femme à côté de lui.")</f>
        <v>Une femme blonde regarde un homme gagner le match, serrant la femme à côté de lui.</v>
      </c>
    </row>
    <row r="20334">
      <c r="A20334" s="4" t="s">
        <v>25598</v>
      </c>
      <c r="B20334" s="4" t="s">
        <v>25599</v>
      </c>
      <c r="C20334" s="5" t="str">
        <f>IFERROR(__xludf.DUMMYFUNCTION("GOOGLETRANSLATE(B20334,""en"",""fr"")"),"Un match de water-polo est montré et une personne marque des objectifs.")</f>
        <v>Un match de water-polo est montré et une personne marque des objectifs.</v>
      </c>
    </row>
    <row r="20335">
      <c r="A20335" s="4" t="s">
        <v>25598</v>
      </c>
      <c r="B20335" s="4" t="s">
        <v>25600</v>
      </c>
      <c r="C20335" s="5" t="str">
        <f>IFERROR(__xludf.DUMMYFUNCTION("GOOGLETRANSLATE(B20335,""en"",""fr"")"),"Ceci est une vidéo de recrutement.")</f>
        <v>Ceci est une vidéo de recrutement.</v>
      </c>
    </row>
    <row r="20336">
      <c r="A20336" s="4" t="s">
        <v>25601</v>
      </c>
      <c r="B20336" s="4" t="s">
        <v>25602</v>
      </c>
      <c r="C20336" s="5" t="str">
        <f>IFERROR(__xludf.DUMMYFUNCTION("GOOGLETRANSLATE(B20336,""en"",""fr"")"),"Une personne dans un t-shirt noir coupe les ongles sur les pattes avant d'un chat brun et bronzé.")</f>
        <v>Une personne dans un t-shirt noir coupe les ongles sur les pattes avant d'un chat brun et bronzé.</v>
      </c>
    </row>
    <row r="20337">
      <c r="A20337" s="4" t="s">
        <v>25601</v>
      </c>
      <c r="B20337" s="6" t="s">
        <v>25603</v>
      </c>
      <c r="C20337" s="5" t="str">
        <f>IFERROR(__xludf.DUMMYFUNCTION("GOOGLETRANSLATE(B20337,""en"",""fr"")"),"Un chat brun et bronzé est allongé sur un coussin blanc lorsqu'une personne marche en tenant une paire de coupe-ongles à manches rouges.")</f>
        <v>Un chat brun et bronzé est allongé sur un coussin blanc lorsqu'une personne marche en tenant une paire de coupe-ongles à manches rouges.</v>
      </c>
    </row>
    <row r="20338">
      <c r="A20338" s="4" t="s">
        <v>25601</v>
      </c>
      <c r="B20338" s="4" t="s">
        <v>25604</v>
      </c>
      <c r="C20338" s="5" t="str">
        <f>IFERROR(__xludf.DUMMYFUNCTION("GOOGLETRANSLATE(B20338,""en"",""fr"")"),"La personne coupe les pattes avant du chat pendant que le chat regarde.")</f>
        <v>La personne coupe les pattes avant du chat pendant que le chat regarde.</v>
      </c>
    </row>
    <row r="20339">
      <c r="A20339" s="4" t="s">
        <v>25601</v>
      </c>
      <c r="B20339" s="6" t="s">
        <v>25605</v>
      </c>
      <c r="C20339" s="5" t="str">
        <f>IFERROR(__xludf.DUMMYFUNCTION("GOOGLETRANSLATE(B20339,""en"",""fr"")"),"La personne finit de couper les ongles et les animaux de compagnie de la tête des chats et montre les tondeuses près de la caméra avant de s'éloigner.")</f>
        <v>La personne finit de couper les ongles et les animaux de compagnie de la tête des chats et montre les tondeuses près de la caméra avant de s'éloigner.</v>
      </c>
    </row>
    <row r="20340">
      <c r="A20340" s="4" t="s">
        <v>25606</v>
      </c>
      <c r="B20340" s="4" t="s">
        <v>25607</v>
      </c>
      <c r="C20340" s="5" t="str">
        <f>IFERROR(__xludf.DUMMYFUNCTION("GOOGLETRANSLATE(B20340,""en"",""fr"")"),"Deux garçons luttent dans une chambre.")</f>
        <v>Deux garçons luttent dans une chambre.</v>
      </c>
    </row>
    <row r="20341">
      <c r="A20341" s="4" t="s">
        <v>25606</v>
      </c>
      <c r="B20341" s="4" t="s">
        <v>25608</v>
      </c>
      <c r="C20341" s="5" t="str">
        <f>IFERROR(__xludf.DUMMYFUNCTION("GOOGLETRANSLATE(B20341,""en"",""fr"")"),"Un garçon est ramassé et jeté sur le lit.")</f>
        <v>Un garçon est ramassé et jeté sur le lit.</v>
      </c>
    </row>
    <row r="20342">
      <c r="A20342" s="4" t="s">
        <v>25606</v>
      </c>
      <c r="B20342" s="4" t="s">
        <v>25609</v>
      </c>
      <c r="C20342" s="5" t="str">
        <f>IFERROR(__xludf.DUMMYFUNCTION("GOOGLETRANSLATE(B20342,""en"",""fr"")"),"Le garçon éteint la caméra.")</f>
        <v>Le garçon éteint la caméra.</v>
      </c>
    </row>
    <row r="20343">
      <c r="A20343" s="4" t="s">
        <v>25610</v>
      </c>
      <c r="B20343" s="4" t="s">
        <v>25611</v>
      </c>
      <c r="C20343" s="5" t="str">
        <f>IFERROR(__xludf.DUMMYFUNCTION("GOOGLETRANSLATE(B20343,""en"",""fr"")"),"Un artiste perçant insère une barre dans le mamelon d'une femme.")</f>
        <v>Un artiste perçant insère une barre dans le mamelon d'une femme.</v>
      </c>
    </row>
    <row r="20344">
      <c r="A20344" s="4" t="s">
        <v>25610</v>
      </c>
      <c r="B20344" s="4" t="s">
        <v>25612</v>
      </c>
      <c r="C20344" s="5" t="str">
        <f>IFERROR(__xludf.DUMMYFUNCTION("GOOGLETRANSLATE(B20344,""en"",""fr"")"),"L'homme se visse sur le matériel jusqu'au bout du perçage.")</f>
        <v>L'homme se visse sur le matériel jusqu'au bout du perçage.</v>
      </c>
    </row>
    <row r="20345">
      <c r="A20345" s="4" t="s">
        <v>25610</v>
      </c>
      <c r="B20345" s="4" t="s">
        <v>25613</v>
      </c>
      <c r="C20345" s="5" t="str">
        <f>IFERROR(__xludf.DUMMYFUNCTION("GOOGLETRANSLATE(B20345,""en"",""fr"")"),"La femme portant un costume s'assoit et montre ses nouveaux piercings.")</f>
        <v>La femme portant un costume s'assoit et montre ses nouveaux piercings.</v>
      </c>
    </row>
    <row r="20346">
      <c r="A20346" s="4" t="s">
        <v>25614</v>
      </c>
      <c r="B20346" s="4" t="s">
        <v>25615</v>
      </c>
      <c r="C20346" s="5" t="str">
        <f>IFERROR(__xludf.DUMMYFUNCTION("GOOGLETRANSLATE(B20346,""en"",""fr"")"),"Une femme qui fume une cigarette parle à une autre de combien ils ont besoin de fumer.")</f>
        <v>Une femme qui fume une cigarette parle à une autre de combien ils ont besoin de fumer.</v>
      </c>
    </row>
    <row r="20347">
      <c r="A20347" s="4" t="s">
        <v>25614</v>
      </c>
      <c r="B20347" s="6" t="s">
        <v>25616</v>
      </c>
      <c r="C20347" s="5" t="str">
        <f>IFERROR(__xludf.DUMMYFUNCTION("GOOGLETRANSLATE(B20347,""en"",""fr"")"),"Ils continuent de parler de leur habitude de fumer et de ce qu'ils peuvent faire pour continuer à fumer s'ils le souhaitent.")</f>
        <v>Ils continuent de parler de leur habitude de fumer et de ce qu'ils peuvent faire pour continuer à fumer s'ils le souhaitent.</v>
      </c>
    </row>
    <row r="20348">
      <c r="A20348" s="4" t="s">
        <v>25617</v>
      </c>
      <c r="B20348" s="4" t="s">
        <v>25618</v>
      </c>
      <c r="C20348" s="5" t="str">
        <f>IFERROR(__xludf.DUMMYFUNCTION("GOOGLETRANSLATE(B20348,""en"",""fr"")"),"Un homme arrive sur l'écran pour présenter une vidéo sur lui qui coupe les arbres.")</f>
        <v>Un homme arrive sur l'écran pour présenter une vidéo sur lui qui coupe les arbres.</v>
      </c>
    </row>
    <row r="20349">
      <c r="A20349" s="4" t="s">
        <v>25617</v>
      </c>
      <c r="B20349" s="4" t="s">
        <v>25619</v>
      </c>
      <c r="C20349" s="5" t="str">
        <f>IFERROR(__xludf.DUMMYFUNCTION("GOOGLETRANSLATE(B20349,""en"",""fr"")"),"Il ramasse une scie à tailler et démarre le moteur.")</f>
        <v>Il ramasse une scie à tailler et démarre le moteur.</v>
      </c>
    </row>
    <row r="20350">
      <c r="A20350" s="4" t="s">
        <v>25617</v>
      </c>
      <c r="B20350" s="4" t="s">
        <v>25620</v>
      </c>
      <c r="C20350" s="5" t="str">
        <f>IFERROR(__xludf.DUMMYFUNCTION("GOOGLETRANSLATE(B20350,""en"",""fr"")"),"Il grimpe à l'échelle et commence à couper l'arbre.")</f>
        <v>Il grimpe à l'échelle et commence à couper l'arbre.</v>
      </c>
    </row>
    <row r="20351">
      <c r="A20351" s="4" t="s">
        <v>25617</v>
      </c>
      <c r="B20351" s="4" t="s">
        <v>25621</v>
      </c>
      <c r="C20351" s="5" t="str">
        <f>IFERROR(__xludf.DUMMYFUNCTION("GOOGLETRANSLATE(B20351,""en"",""fr"")"),"Il regarde la caméra et sourit.")</f>
        <v>Il regarde la caméra et sourit.</v>
      </c>
    </row>
    <row r="20352">
      <c r="A20352" s="4" t="s">
        <v>25622</v>
      </c>
      <c r="B20352" s="4" t="s">
        <v>25623</v>
      </c>
      <c r="C20352" s="5" t="str">
        <f>IFERROR(__xludf.DUMMYFUNCTION("GOOGLETRANSLATE(B20352,""en"",""fr"")"),"Une femme blonde portant une robe a deux coups côte à côte d'elle jouant un violon.")</f>
        <v>Une femme blonde portant une robe a deux coups côte à côte d'elle jouant un violon.</v>
      </c>
    </row>
    <row r="20353">
      <c r="A20353" s="4" t="s">
        <v>25622</v>
      </c>
      <c r="B20353" s="6" t="s">
        <v>25624</v>
      </c>
      <c r="C20353" s="5" t="str">
        <f>IFERROR(__xludf.DUMMYFUNCTION("GOOGLETRANSLATE(B20353,""en"",""fr"")"),"Elle joue deux mélodies différentes sur le violon et se termine ensemble en même temps, souriant à la caméra.")</f>
        <v>Elle joue deux mélodies différentes sur le violon et se termine ensemble en même temps, souriant à la caméra.</v>
      </c>
    </row>
    <row r="20354">
      <c r="A20354" s="4" t="s">
        <v>25625</v>
      </c>
      <c r="B20354" s="4" t="s">
        <v>25626</v>
      </c>
      <c r="C20354" s="5" t="str">
        <f>IFERROR(__xludf.DUMMYFUNCTION("GOOGLETRANSLATE(B20354,""en"",""fr"")"),"Un homme se tient à l'extérieur dans l'obscurité qui fumait une cigarette devant un garage vert.")</f>
        <v>Un homme se tient à l'extérieur dans l'obscurité qui fumait une cigarette devant un garage vert.</v>
      </c>
    </row>
    <row r="20355">
      <c r="A20355" s="4" t="s">
        <v>25625</v>
      </c>
      <c r="B20355" s="4" t="s">
        <v>25627</v>
      </c>
      <c r="C20355" s="5" t="str">
        <f>IFERROR(__xludf.DUMMYFUNCTION("GOOGLETRANSLATE(B20355,""en"",""fr"")"),"Après, une image d'un poumon est montrée et montre comment les cigarettes affectent vos organes.")</f>
        <v>Après, une image d'un poumon est montrée et montre comment les cigarettes affectent vos organes.</v>
      </c>
    </row>
    <row r="20356">
      <c r="A20356" s="4" t="s">
        <v>25628</v>
      </c>
      <c r="B20356" s="4" t="s">
        <v>25629</v>
      </c>
      <c r="C20356" s="5" t="str">
        <f>IFERROR(__xludf.DUMMYFUNCTION("GOOGLETRANSLATE(B20356,""en"",""fr"")"),"Une femme montre comment faire du tai-chi à l'extérieur sur l'herbe.")</f>
        <v>Une femme montre comment faire du tai-chi à l'extérieur sur l'herbe.</v>
      </c>
    </row>
    <row r="20357">
      <c r="A20357" s="4" t="s">
        <v>25628</v>
      </c>
      <c r="B20357" s="4" t="s">
        <v>25630</v>
      </c>
      <c r="C20357" s="5" t="str">
        <f>IFERROR(__xludf.DUMMYFUNCTION("GOOGLETRANSLATE(B20357,""en"",""fr"")"),"La même femme démontre le Tai Chi à l'intérieur sur une scène.")</f>
        <v>La même femme démontre le Tai Chi à l'intérieur sur une scène.</v>
      </c>
    </row>
    <row r="20358">
      <c r="A20358" s="4" t="s">
        <v>25628</v>
      </c>
      <c r="B20358" s="4" t="s">
        <v>25631</v>
      </c>
      <c r="C20358" s="5" t="str">
        <f>IFERROR(__xludf.DUMMYFUNCTION("GOOGLETRANSLATE(B20358,""en"",""fr"")"),"Une deuxième femme rejoint la première femme pour aider à démontrer.")</f>
        <v>Une deuxième femme rejoint la première femme pour aider à démontrer.</v>
      </c>
    </row>
    <row r="20359">
      <c r="A20359" s="4" t="s">
        <v>25632</v>
      </c>
      <c r="B20359" s="4" t="s">
        <v>25633</v>
      </c>
      <c r="C20359" s="5" t="str">
        <f>IFERROR(__xludf.DUMMYFUNCTION("GOOGLETRANSLATE(B20359,""en"",""fr"")"),"Il existe plusieurs guitares acoustiques de marque Seagull sont affichées dans un magasin.")</f>
        <v>Il existe plusieurs guitares acoustiques de marque Seagull sont affichées dans un magasin.</v>
      </c>
    </row>
    <row r="20360">
      <c r="A20360" s="4" t="s">
        <v>25632</v>
      </c>
      <c r="B20360" s="6" t="s">
        <v>25634</v>
      </c>
      <c r="C20360" s="5" t="str">
        <f>IFERROR(__xludf.DUMMYFUNCTION("GOOGLETRANSLATE(B20360,""en"",""fr"")"),"Un homme vêtu de noir, assis sur un tabouret joue de la guitare acoustique dans le magasin où les guitares sont affichées.")</f>
        <v>Un homme vêtu de noir, assis sur un tabouret joue de la guitare acoustique dans le magasin où les guitares sont affichées.</v>
      </c>
    </row>
    <row r="20361">
      <c r="A20361" s="4" t="s">
        <v>25632</v>
      </c>
      <c r="B20361" s="4" t="s">
        <v>25635</v>
      </c>
      <c r="C20361" s="5" t="str">
        <f>IFERROR(__xludf.DUMMYFUNCTION("GOOGLETRANSLATE(B20361,""en"",""fr"")"),"L'homme continue de jouer de la guitare.")</f>
        <v>L'homme continue de jouer de la guitare.</v>
      </c>
    </row>
    <row r="20362">
      <c r="A20362" s="4" t="s">
        <v>25636</v>
      </c>
      <c r="B20362" s="4" t="s">
        <v>25637</v>
      </c>
      <c r="C20362" s="5" t="str">
        <f>IFERROR(__xludf.DUMMYFUNCTION("GOOGLETRANSLATE(B20362,""en"",""fr"")"),"Plusieurs hommes se tiennent autour d'une pinata.")</f>
        <v>Plusieurs hommes se tiennent autour d'une pinata.</v>
      </c>
    </row>
    <row r="20363">
      <c r="A20363" s="4" t="s">
        <v>25636</v>
      </c>
      <c r="B20363" s="4" t="s">
        <v>25638</v>
      </c>
      <c r="C20363" s="5" t="str">
        <f>IFERROR(__xludf.DUMMYFUNCTION("GOOGLETRANSLATE(B20363,""en"",""fr"")"),"Un homme tourne un homme aux yeux bandés.")</f>
        <v>Un homme tourne un homme aux yeux bandés.</v>
      </c>
    </row>
    <row r="20364">
      <c r="A20364" s="4" t="s">
        <v>25636</v>
      </c>
      <c r="B20364" s="4" t="s">
        <v>25639</v>
      </c>
      <c r="C20364" s="5" t="str">
        <f>IFERROR(__xludf.DUMMYFUNCTION("GOOGLETRANSLATE(B20364,""en"",""fr"")"),"L'homme aux yeux bandés fait quelques balançoires à la Pinata.")</f>
        <v>L'homme aux yeux bandés fait quelques balançoires à la Pinata.</v>
      </c>
    </row>
    <row r="20365">
      <c r="A20365" s="4" t="s">
        <v>25636</v>
      </c>
      <c r="B20365" s="4" t="s">
        <v>25640</v>
      </c>
      <c r="C20365" s="5" t="str">
        <f>IFERROR(__xludf.DUMMYFUNCTION("GOOGLETRANSLATE(B20365,""en"",""fr"")"),"Une femme en chemise rouge rit.")</f>
        <v>Une femme en chemise rouge rit.</v>
      </c>
    </row>
    <row r="20366">
      <c r="A20366" s="4" t="s">
        <v>25641</v>
      </c>
      <c r="B20366" s="4" t="s">
        <v>25642</v>
      </c>
      <c r="C20366" s="5" t="str">
        <f>IFERROR(__xludf.DUMMYFUNCTION("GOOGLETRANSLATE(B20366,""en"",""fr"")"),"Une femme est vue allongée sur le canapé avec une autre fille assise au-dessus d'elle.")</f>
        <v>Une femme est vue allongée sur le canapé avec une autre fille assise au-dessus d'elle.</v>
      </c>
    </row>
    <row r="20367">
      <c r="A20367" s="4" t="s">
        <v>25641</v>
      </c>
      <c r="B20367" s="4" t="s">
        <v>25643</v>
      </c>
      <c r="C20367" s="5" t="str">
        <f>IFERROR(__xludf.DUMMYFUNCTION("GOOGLETRANSLATE(B20367,""en"",""fr"")"),"La fille est ensuite montrée en perçant le mamelon de la fille allongée.")</f>
        <v>La fille est ensuite montrée en perçant le mamelon de la fille allongée.</v>
      </c>
    </row>
    <row r="20368">
      <c r="A20368" s="4" t="s">
        <v>25641</v>
      </c>
      <c r="B20368" s="4" t="s">
        <v>25644</v>
      </c>
      <c r="C20368" s="5" t="str">
        <f>IFERROR(__xludf.DUMMYFUNCTION("GOOGLETRANSLATE(B20368,""en"",""fr"")"),"Elle termine le piercing et se termine en souriant à la caméra.")</f>
        <v>Elle termine le piercing et se termine en souriant à la caméra.</v>
      </c>
    </row>
    <row r="20369">
      <c r="A20369" s="4" t="s">
        <v>25645</v>
      </c>
      <c r="B20369" s="4" t="s">
        <v>25646</v>
      </c>
      <c r="C20369" s="5" t="str">
        <f>IFERROR(__xludf.DUMMYFUNCTION("GOOGLETRANSLATE(B20369,""en"",""fr"")"),"Un cow-boy monte sur un cheval dans une grande arène et balance sa corde.")</f>
        <v>Un cow-boy monte sur un cheval dans une grande arène et balance sa corde.</v>
      </c>
    </row>
    <row r="20370">
      <c r="A20370" s="4" t="s">
        <v>25645</v>
      </c>
      <c r="B20370" s="6" t="s">
        <v>25647</v>
      </c>
      <c r="C20370" s="5" t="str">
        <f>IFERROR(__xludf.DUMMYFUNCTION("GOOGLETRANSLATE(B20370,""en"",""fr"")"),"La vue change pour montrer un groupe d'hommes avec leurs chevaux et ils tiennent chacun leurs cordes et font diverses choses avec eux comme les attacher et les balancer.")</f>
        <v>La vue change pour montrer un groupe d'hommes avec leurs chevaux et ils tiennent chacun leurs cordes et font diverses choses avec eux comme les attacher et les balancer.</v>
      </c>
    </row>
    <row r="20371">
      <c r="A20371" s="4" t="s">
        <v>25645</v>
      </c>
      <c r="B20371" s="6" t="s">
        <v>25648</v>
      </c>
      <c r="C20371" s="5" t="str">
        <f>IFERROR(__xludf.DUMMYFUNCTION("GOOGLETRANSLATE(B20371,""en"",""fr"")"),"L'objectif passe à un homme qui parle dont le nom est Trevor Brazile et il clignote de lui, puis des clips de lui chevauchant son cheval dans différentes arènes car il se disputant également un petit veau.")</f>
        <v>L'objectif passe à un homme qui parle dont le nom est Trevor Brazile et il clignote de lui, puis des clips de lui chevauchant son cheval dans différentes arènes car il se disputant également un petit veau.</v>
      </c>
    </row>
    <row r="20372">
      <c r="A20372" s="4" t="s">
        <v>25645</v>
      </c>
      <c r="B20372" s="6" t="s">
        <v>25649</v>
      </c>
      <c r="C20372" s="5" t="str">
        <f>IFERROR(__xludf.DUMMYFUNCTION("GOOGLETRANSLATE(B20372,""en"",""fr"")"),"Un autre homme du nom de Stran Smith parle maintenant et des clips de lui chevauchant son cheval dans différentes arènes alors qu'il dispose également d'un mollet.")</f>
        <v>Un autre homme du nom de Stran Smith parle maintenant et des clips de lui chevauchant son cheval dans différentes arènes alors qu'il dispose également d'un mollet.</v>
      </c>
    </row>
    <row r="20373">
      <c r="A20373" s="4" t="s">
        <v>25645</v>
      </c>
      <c r="B20373" s="6" t="s">
        <v>25650</v>
      </c>
      <c r="C20373" s="5" t="str">
        <f>IFERROR(__xludf.DUMMYFUNCTION("GOOGLETRANSLATE(B20373,""en"",""fr"")"),"Des clips des deux hommes qui parlent et des clips d'entre eux chevauchant des chevaux et se disputant les veaux jouent et tournent entre les deux.")</f>
        <v>Des clips des deux hommes qui parlent et des clips d'entre eux chevauchant des chevaux et se disputant les veaux jouent et tournent entre les deux.</v>
      </c>
    </row>
    <row r="20374">
      <c r="A20374" s="4" t="s">
        <v>25645</v>
      </c>
      <c r="B20374" s="6" t="s">
        <v>25651</v>
      </c>
      <c r="C20374" s="5" t="str">
        <f>IFERROR(__xludf.DUMMYFUNCTION("GOOGLETRANSLATE(B20374,""en"",""fr"")"),"La vidéo outro commence et montre une bannière suspendue à l'arène qui lit ""Calgary Stampede"", une femme monte sur un cheval et tenant un drapeau rouge qui dit ""1912-2012 Calgary Stampede"", et un veau traverse un champ de saleté.")</f>
        <v>La vidéo outro commence et montre une bannière suspendue à l'arène qui lit "Calgary Stampede", une femme monte sur un cheval et tenant un drapeau rouge qui dit "1912-2012 Calgary Stampede", et un veau traverse un champ de saleté.</v>
      </c>
    </row>
    <row r="20375">
      <c r="A20375" s="4" t="s">
        <v>25652</v>
      </c>
      <c r="B20375" s="4" t="s">
        <v>25653</v>
      </c>
      <c r="C20375" s="5" t="str">
        <f>IFERROR(__xludf.DUMMYFUNCTION("GOOGLETRANSLATE(B20375,""en"",""fr"")"),"Une personne chante à l'avant une foule habillée sur des vêtements hip hop.")</f>
        <v>Une personne chante à l'avant une foule habillée sur des vêtements hip hop.</v>
      </c>
    </row>
    <row r="20376">
      <c r="A20376" s="4" t="s">
        <v>25652</v>
      </c>
      <c r="B20376" s="6" t="s">
        <v>25654</v>
      </c>
      <c r="C20376" s="5" t="str">
        <f>IFERROR(__xludf.DUMMYFUNCTION("GOOGLETRANSLATE(B20376,""en"",""fr"")"),"Un homme dance hip hop faisant des acrobaties se déplace avec ses mains et ses jambes sur le sol sur le devant une foule.")</f>
        <v>Un homme dance hip hop faisant des acrobaties se déplace avec ses mains et ses jambes sur le sol sur le devant une foule.</v>
      </c>
    </row>
    <row r="20377">
      <c r="A20377" s="4" t="s">
        <v>25652</v>
      </c>
      <c r="B20377" s="4" t="s">
        <v>25655</v>
      </c>
      <c r="C20377" s="5" t="str">
        <f>IFERROR(__xludf.DUMMYFUNCTION("GOOGLETRANSLATE(B20377,""en"",""fr"")"),"Les gens prennent des photos et filment l'homme qui est derrière l'homme.")</f>
        <v>Les gens prennent des photos et filment l'homme qui est derrière l'homme.</v>
      </c>
    </row>
    <row r="20378">
      <c r="A20378" s="4" t="s">
        <v>25656</v>
      </c>
      <c r="B20378" s="4" t="s">
        <v>25657</v>
      </c>
      <c r="C20378" s="5" t="str">
        <f>IFERROR(__xludf.DUMMYFUNCTION("GOOGLETRANSLATE(B20378,""en"",""fr"")"),"La femme est dans un grand champ vert tenant un frisbee jaune et joue avec un chien.")</f>
        <v>La femme est dans un grand champ vert tenant un frisbee jaune et joue avec un chien.</v>
      </c>
    </row>
    <row r="20379">
      <c r="A20379" s="4" t="s">
        <v>25656</v>
      </c>
      <c r="B20379" s="4" t="s">
        <v>25658</v>
      </c>
      <c r="C20379" s="5" t="str">
        <f>IFERROR(__xludf.DUMMYFUNCTION("GOOGLETRANSLATE(B20379,""en"",""fr"")"),"Beaucoup d'ACRS sont garés dans la rue derrière le champ Alrge.")</f>
        <v>Beaucoup d'ACRS sont garés dans la rue derrière le champ Alrge.</v>
      </c>
    </row>
    <row r="20380">
      <c r="A20380" s="4" t="s">
        <v>25656</v>
      </c>
      <c r="B20380" s="4" t="s">
        <v>25659</v>
      </c>
      <c r="C20380" s="5" t="str">
        <f>IFERROR(__xludf.DUMMYFUNCTION("GOOGLETRANSLATE(B20380,""en"",""fr"")"),"La femme jette le frisbee au chien.")</f>
        <v>La femme jette le frisbee au chien.</v>
      </c>
    </row>
    <row r="20381">
      <c r="A20381" s="4" t="s">
        <v>25660</v>
      </c>
      <c r="B20381" s="6" t="s">
        <v>25661</v>
      </c>
      <c r="C20381" s="5" t="str">
        <f>IFERROR(__xludf.DUMMYFUNCTION("GOOGLETRANSLATE(B20381,""en"",""fr"")"),"Une femme est vue en parlant à la caméra devant une grande barre d'exercice et commence à se tenir sur l'équipement tout en parlant et en utilisant ses mains.")</f>
        <v>Une femme est vue en parlant à la caméra devant une grande barre d'exercice et commence à se tenir sur l'équipement tout en parlant et en utilisant ses mains.</v>
      </c>
    </row>
    <row r="20382">
      <c r="A20382" s="4" t="s">
        <v>25660</v>
      </c>
      <c r="B20382" s="6" t="s">
        <v>25662</v>
      </c>
      <c r="C20382" s="5" t="str">
        <f>IFERROR(__xludf.DUMMYFUNCTION("GOOGLETRANSLATE(B20382,""en"",""fr"")"),"La femme continue de démontrer comment exécuter correctement les exercices tout en retirant ses bras et ses jambes en arrière et quatrième.")</f>
        <v>La femme continue de démontrer comment exécuter correctement les exercices tout en retirant ses bras et ses jambes en arrière et quatrième.</v>
      </c>
    </row>
    <row r="20383">
      <c r="A20383" s="4" t="s">
        <v>25663</v>
      </c>
      <c r="B20383" s="6" t="s">
        <v>25664</v>
      </c>
      <c r="C20383" s="5" t="str">
        <f>IFERROR(__xludf.DUMMYFUNCTION("GOOGLETRANSLATE(B20383,""en"",""fr"")"),"Il y a trois constructeurs de corps qui font de l'exercice et de l'entraînement dans une petite salle de sport avec des équipements d'haltérophilie.")</f>
        <v>Il y a trois constructeurs de corps qui font de l'exercice et de l'entraînement dans une petite salle de sport avec des équipements d'haltérophilie.</v>
      </c>
    </row>
    <row r="20384">
      <c r="A20384" s="4" t="s">
        <v>25663</v>
      </c>
      <c r="B20384" s="6" t="s">
        <v>25665</v>
      </c>
      <c r="C20384" s="5" t="str">
        <f>IFERROR(__xludf.DUMMYFUNCTION("GOOGLETRANSLATE(B20384,""en"",""fr"")"),"L'un des constructeurs de corps soulève la barre de poids plusieurs fois, puis le laisse tomber pendant que les deux autres constructeurs de corps le regardent.")</f>
        <v>L'un des constructeurs de corps soulève la barre de poids plusieurs fois, puis le laisse tomber pendant que les deux autres constructeurs de corps le regardent.</v>
      </c>
    </row>
    <row r="20385">
      <c r="A20385" s="4" t="s">
        <v>25663</v>
      </c>
      <c r="B20385" s="4" t="s">
        <v>25666</v>
      </c>
      <c r="C20385" s="5" t="str">
        <f>IFERROR(__xludf.DUMMYFUNCTION("GOOGLETRANSLATE(B20385,""en"",""fr"")"),"Puis il va et essuie sa sueur avec une serviette et soulève à nouveau la barre de poids et la laisse tomber.")</f>
        <v>Puis il va et essuie sa sueur avec une serviette et soulève à nouveau la barre de poids et la laisse tomber.</v>
      </c>
    </row>
    <row r="20386">
      <c r="A20386" s="4" t="s">
        <v>25663</v>
      </c>
      <c r="B20386" s="4" t="s">
        <v>25667</v>
      </c>
      <c r="C20386" s="5" t="str">
        <f>IFERROR(__xludf.DUMMYFUNCTION("GOOGLETRANSLATE(B20386,""en"",""fr"")"),"Il porte ensuite une ceinture abdominale et soulève à nouveau la barre de poids et la laisse tomber.")</f>
        <v>Il porte ensuite une ceinture abdominale et soulève à nouveau la barre de poids et la laisse tomber.</v>
      </c>
    </row>
    <row r="20387">
      <c r="A20387" s="4" t="s">
        <v>25663</v>
      </c>
      <c r="B20387" s="4" t="s">
        <v>25668</v>
      </c>
      <c r="C20387" s="5" t="str">
        <f>IFERROR(__xludf.DUMMYFUNCTION("GOOGLETRANSLATE(B20387,""en"",""fr"")"),"Il a du mal à soulever la barre de poids, le soulève légèrement puis le laisse tomber.")</f>
        <v>Il a du mal à soulever la barre de poids, le soulève légèrement puis le laisse tomber.</v>
      </c>
    </row>
    <row r="20388">
      <c r="A20388" s="4" t="s">
        <v>25669</v>
      </c>
      <c r="B20388" s="4" t="s">
        <v>25670</v>
      </c>
      <c r="C20388" s="5" t="str">
        <f>IFERROR(__xludf.DUMMYFUNCTION("GOOGLETRANSLATE(B20388,""en"",""fr"")"),"Un homme portant des écouteurs se tient derrière une paire de grands tambours.")</f>
        <v>Un homme portant des écouteurs se tient derrière une paire de grands tambours.</v>
      </c>
    </row>
    <row r="20389">
      <c r="A20389" s="4" t="s">
        <v>25669</v>
      </c>
      <c r="B20389" s="4" t="s">
        <v>25671</v>
      </c>
      <c r="C20389" s="5" t="str">
        <f>IFERROR(__xludf.DUMMYFUNCTION("GOOGLETRANSLATE(B20389,""en"",""fr"")"),"L'homme joue de la batterie avec ses paumes.")</f>
        <v>L'homme joue de la batterie avec ses paumes.</v>
      </c>
    </row>
    <row r="20390">
      <c r="A20390" s="4" t="s">
        <v>25669</v>
      </c>
      <c r="B20390" s="4" t="s">
        <v>25672</v>
      </c>
      <c r="C20390" s="5" t="str">
        <f>IFERROR(__xludf.DUMMYFUNCTION("GOOGLETRANSLATE(B20390,""en"",""fr"")"),"L'homme cesse de jouer de la batterie et se détourne.")</f>
        <v>L'homme cesse de jouer de la batterie et se détourne.</v>
      </c>
    </row>
    <row r="20391">
      <c r="A20391" s="4" t="s">
        <v>25673</v>
      </c>
      <c r="B20391" s="4" t="s">
        <v>25674</v>
      </c>
      <c r="C20391" s="5" t="str">
        <f>IFERROR(__xludf.DUMMYFUNCTION("GOOGLETRANSLATE(B20391,""en"",""fr"")"),"Un homme expose une écharpe et met des accessoires au milieu.")</f>
        <v>Un homme expose une écharpe et met des accessoires au milieu.</v>
      </c>
    </row>
    <row r="20392">
      <c r="A20392" s="4" t="s">
        <v>25673</v>
      </c>
      <c r="B20392" s="4" t="s">
        <v>25675</v>
      </c>
      <c r="C20392" s="5" t="str">
        <f>IFERROR(__xludf.DUMMYFUNCTION("GOOGLETRANSLATE(B20392,""en"",""fr"")"),"Il attache la fin et le plie en doubles nœuds.")</f>
        <v>Il attache la fin et le plie en doubles nœuds.</v>
      </c>
    </row>
    <row r="20393">
      <c r="A20393" s="4" t="s">
        <v>25673</v>
      </c>
      <c r="B20393" s="4" t="s">
        <v>25676</v>
      </c>
      <c r="C20393" s="5" t="str">
        <f>IFERROR(__xludf.DUMMYFUNCTION("GOOGLETRANSLATE(B20393,""en"",""fr"")"),"Il l'ouvre à nouveau et met autre chose au milieu.")</f>
        <v>Il l'ouvre à nouveau et met autre chose au milieu.</v>
      </c>
    </row>
    <row r="20394">
      <c r="A20394" s="4" t="s">
        <v>25673</v>
      </c>
      <c r="B20394" s="4" t="s">
        <v>25677</v>
      </c>
      <c r="C20394" s="5" t="str">
        <f>IFERROR(__xludf.DUMMYFUNCTION("GOOGLETRANSLATE(B20394,""en"",""fr"")"),"Puis le rassemble et il se ferme, il a fait un petit sac à partir d'un foulard.")</f>
        <v>Puis le rassemble et il se ferme, il a fait un petit sac à partir d'un foulard.</v>
      </c>
    </row>
    <row r="20395">
      <c r="A20395" s="4" t="s">
        <v>25678</v>
      </c>
      <c r="B20395" s="4" t="s">
        <v>25679</v>
      </c>
      <c r="C20395" s="5" t="str">
        <f>IFERROR(__xludf.DUMMYFUNCTION("GOOGLETRANSLATE(B20395,""en"",""fr"")"),"Une introduction arrive sur l'écran pour une vidéo sur la façon de jouer à la courge.")</f>
        <v>Une introduction arrive sur l'écran pour une vidéo sur la façon de jouer à la courge.</v>
      </c>
    </row>
    <row r="20396">
      <c r="A20396" s="4" t="s">
        <v>25678</v>
      </c>
      <c r="B20396" s="4" t="s">
        <v>25680</v>
      </c>
      <c r="C20396" s="5" t="str">
        <f>IFERROR(__xludf.DUMMYFUNCTION("GOOGLETRANSLATE(B20396,""en"",""fr"")"),"Deux hommes sont présentés sur un terrain de squash jouant à un jeu de squash.")</f>
        <v>Deux hommes sont présentés sur un terrain de squash jouant à un jeu de squash.</v>
      </c>
    </row>
    <row r="20397">
      <c r="A20397" s="4" t="s">
        <v>25678</v>
      </c>
      <c r="B20397" s="4" t="s">
        <v>25681</v>
      </c>
      <c r="C20397" s="5" t="str">
        <f>IFERROR(__xludf.DUMMYFUNCTION("GOOGLETRANSLATE(B20397,""en"",""fr"")"),"Le texte apparaît à l'écran montrant les choses dont vous aurez besoin pour le jeu.")</f>
        <v>Le texte apparaît à l'écran montrant les choses dont vous aurez besoin pour le jeu.</v>
      </c>
    </row>
    <row r="20398">
      <c r="A20398" s="4" t="s">
        <v>25678</v>
      </c>
      <c r="B20398" s="4" t="s">
        <v>25682</v>
      </c>
      <c r="C20398" s="5" t="str">
        <f>IFERROR(__xludf.DUMMYFUNCTION("GOOGLETRANSLATE(B20398,""en"",""fr"")"),"Une indication s'affiche à l'écran pour vous faire connaître les différentes lignes.")</f>
        <v>Une indication s'affiche à l'écran pour vous faire connaître les différentes lignes.</v>
      </c>
    </row>
    <row r="20399">
      <c r="A20399" s="4" t="s">
        <v>25678</v>
      </c>
      <c r="B20399" s="4" t="s">
        <v>25683</v>
      </c>
      <c r="C20399" s="5" t="str">
        <f>IFERROR(__xludf.DUMMYFUNCTION("GOOGLETRANSLATE(B20399,""en"",""fr"")"),"Des conseils pour le jeu apparaissent également à l'écran.")</f>
        <v>Des conseils pour le jeu apparaissent également à l'écran.</v>
      </c>
    </row>
    <row r="20400">
      <c r="A20400" s="4" t="s">
        <v>25678</v>
      </c>
      <c r="B20400" s="4" t="s">
        <v>25684</v>
      </c>
      <c r="C20400" s="5" t="str">
        <f>IFERROR(__xludf.DUMMYFUNCTION("GOOGLETRANSLATE(B20400,""en"",""fr"")"),"À la fin de la vidéo, une zone de texte apparaît avec un fait amusant sur la courge.")</f>
        <v>À la fin de la vidéo, une zone de texte apparaît avec un fait amusant sur la courge.</v>
      </c>
    </row>
    <row r="20401">
      <c r="A20401" s="4" t="s">
        <v>25685</v>
      </c>
      <c r="B20401" s="4" t="s">
        <v>25686</v>
      </c>
      <c r="C20401" s="5" t="str">
        <f>IFERROR(__xludf.DUMMYFUNCTION("GOOGLETRANSLATE(B20401,""en"",""fr"")"),"Un homme traverse un parking rebondissant avec des chaussures rebondissantes.")</f>
        <v>Un homme traverse un parking rebondissant avec des chaussures rebondissantes.</v>
      </c>
    </row>
    <row r="20402">
      <c r="A20402" s="4" t="s">
        <v>25685</v>
      </c>
      <c r="B20402" s="4" t="s">
        <v>25687</v>
      </c>
      <c r="C20402" s="5" t="str">
        <f>IFERROR(__xludf.DUMMYFUNCTION("GOOGLETRANSLATE(B20402,""en"",""fr"")"),"Il y a une voiture dans le lot de parie.")</f>
        <v>Il y a une voiture dans le lot de parie.</v>
      </c>
    </row>
    <row r="20403">
      <c r="A20403" s="4" t="s">
        <v>25688</v>
      </c>
      <c r="B20403" s="4" t="s">
        <v>25689</v>
      </c>
      <c r="C20403" s="5" t="str">
        <f>IFERROR(__xludf.DUMMYFUNCTION("GOOGLETRANSLATE(B20403,""en"",""fr"")"),"Plusieurs personnes sont à l'extérieur profitant de la plage.")</f>
        <v>Plusieurs personnes sont à l'extérieur profitant de la plage.</v>
      </c>
    </row>
    <row r="20404">
      <c r="A20404" s="4" t="s">
        <v>25688</v>
      </c>
      <c r="B20404" s="4" t="s">
        <v>25690</v>
      </c>
      <c r="C20404" s="5" t="str">
        <f>IFERROR(__xludf.DUMMYFUNCTION("GOOGLETRANSLATE(B20404,""en"",""fr"")"),"Cependant, au milieu du sable, il y a un groupe d'hommes qui jouent à une partie de beach volley.")</f>
        <v>Cependant, au milieu du sable, il y a un groupe d'hommes qui jouent à une partie de beach volley.</v>
      </c>
    </row>
    <row r="20405">
      <c r="A20405" s="4" t="s">
        <v>25688</v>
      </c>
      <c r="B20405" s="6" t="s">
        <v>25691</v>
      </c>
      <c r="C20405" s="5" t="str">
        <f>IFERROR(__xludf.DUMMYFUNCTION("GOOGLETRANSLATE(B20405,""en"",""fr"")"),"Après plusieurs coups sûrs, un homme décide de donner un coup de pied au ballon sur le filet et un autre homme décolle de l'autre côté et le s'attaque dans la saleté.")</f>
        <v>Après plusieurs coups sûrs, un homme décide de donner un coup de pied au ballon sur le filet et un autre homme décolle de l'autre côté et le s'attaque dans la saleté.</v>
      </c>
    </row>
    <row r="20406">
      <c r="A20406" s="4" t="s">
        <v>25692</v>
      </c>
      <c r="B20406" s="4" t="s">
        <v>25693</v>
      </c>
      <c r="C20406" s="5" t="str">
        <f>IFERROR(__xludf.DUMMYFUNCTION("GOOGLETRANSLATE(B20406,""en"",""fr"")"),"Un entraîneur donne des instructions aux garçons dans un terrain de basket.")</f>
        <v>Un entraîneur donne des instructions aux garçons dans un terrain de basket.</v>
      </c>
    </row>
    <row r="20407">
      <c r="A20407" s="4" t="s">
        <v>25692</v>
      </c>
      <c r="B20407" s="4" t="s">
        <v>25694</v>
      </c>
      <c r="C20407" s="5" t="str">
        <f>IFERROR(__xludf.DUMMYFUNCTION("GOOGLETRANSLATE(B20407,""en"",""fr"")"),"Ensuite, deux jeunes hommes montrent aux garçons comment passer et tirer le ballon dans le panier.")</f>
        <v>Ensuite, deux jeunes hommes montrent aux garçons comment passer et tirer le ballon dans le panier.</v>
      </c>
    </row>
    <row r="20408">
      <c r="A20408" s="4" t="s">
        <v>25692</v>
      </c>
      <c r="B20408" s="6" t="s">
        <v>25695</v>
      </c>
      <c r="C20408" s="5" t="str">
        <f>IFERROR(__xludf.DUMMYFUNCTION("GOOGLETRANSLATE(B20408,""en"",""fr"")"),"Après, le jeune homme aide les garçons à jeter le ballon dans le panier, tandis que par deux courent en passant le ballon pour tirer dans un panier.")</f>
        <v>Après, le jeune homme aide les garçons à jeter le ballon dans le panier, tandis que par deux courent en passant le ballon pour tirer dans un panier.</v>
      </c>
    </row>
    <row r="20409">
      <c r="A20409" s="4" t="s">
        <v>25692</v>
      </c>
      <c r="B20409" s="6" t="s">
        <v>25696</v>
      </c>
      <c r="C20409" s="5" t="str">
        <f>IFERROR(__xludf.DUMMYFUNCTION("GOOGLETRANSLATE(B20409,""en"",""fr"")"),"Ensuite, les garçons pratiquent la défense de basket-ball à tour de rôle tout en courant de l'autre côté du terrain.")</f>
        <v>Ensuite, les garçons pratiquent la défense de basket-ball à tour de rôle tout en courant de l'autre côté du terrain.</v>
      </c>
    </row>
    <row r="20410">
      <c r="A20410" s="4" t="s">
        <v>25697</v>
      </c>
      <c r="B20410" s="4" t="s">
        <v>25698</v>
      </c>
      <c r="C20410" s="5" t="str">
        <f>IFERROR(__xludf.DUMMYFUNCTION("GOOGLETRANSLATE(B20410,""en"",""fr"")"),"De vieux clips sont illustrés à un homme dessinant une image et deux enfants qui regardent.")</f>
        <v>De vieux clips sont illustrés à un homme dessinant une image et deux enfants qui regardent.</v>
      </c>
    </row>
    <row r="20411">
      <c r="A20411" s="4" t="s">
        <v>25697</v>
      </c>
      <c r="B20411" s="6" t="s">
        <v>25699</v>
      </c>
      <c r="C20411" s="5" t="str">
        <f>IFERROR(__xludf.DUMMYFUNCTION("GOOGLETRANSLATE(B20411,""en"",""fr"")"),"Les enfants sont ensuite montrés dans plusieurs clips effectuant des plongées sur une planche et marchent le long des côtés qui remontent au sommet.")</f>
        <v>Les enfants sont ensuite montrés dans plusieurs clips effectuant des plongées sur une planche et marchent le long des côtés qui remontent au sommet.</v>
      </c>
    </row>
    <row r="20412">
      <c r="A20412" s="4" t="s">
        <v>25700</v>
      </c>
      <c r="B20412" s="6" t="s">
        <v>25701</v>
      </c>
      <c r="C20412" s="5" t="str">
        <f>IFERROR(__xludf.DUMMYFUNCTION("GOOGLETRANSLATE(B20412,""en"",""fr"")"),"Une personne est vue passer un ballon de basket tout autour d'un terrain à d'autres et se terminer en tirant sur un panier.")</f>
        <v>Une personne est vue passer un ballon de basket tout autour d'un terrain à d'autres et se terminer en tirant sur un panier.</v>
      </c>
    </row>
    <row r="20413">
      <c r="A20413" s="4" t="s">
        <v>25700</v>
      </c>
      <c r="B20413" s="6" t="s">
        <v>25702</v>
      </c>
      <c r="C20413" s="5" t="str">
        <f>IFERROR(__xludf.DUMMYFUNCTION("GOOGLETRANSLATE(B20413,""en"",""fr"")"),"Le groupe continue de passer le ballon les uns aux autres en effectuant des exercices pendant que l'entraîneur instruit.")</f>
        <v>Le groupe continue de passer le ballon les uns aux autres en effectuant des exercices pendant que l'entraîneur instruit.</v>
      </c>
    </row>
    <row r="20414">
      <c r="A20414" s="4" t="s">
        <v>25703</v>
      </c>
      <c r="B20414" s="6" t="s">
        <v>25704</v>
      </c>
      <c r="C20414" s="5" t="str">
        <f>IFERROR(__xludf.DUMMYFUNCTION("GOOGLETRANSLATE(B20414,""en"",""fr"")"),"Un homme est vu parler à la caméra et diriger un clip de personnes qui roulent sur une colline enneigée sur des tubes.")</f>
        <v>Un homme est vu parler à la caméra et diriger un clip de personnes qui roulent sur une colline enneigée sur des tubes.</v>
      </c>
    </row>
    <row r="20415">
      <c r="A20415" s="4" t="s">
        <v>25703</v>
      </c>
      <c r="B20415" s="4" t="s">
        <v>25705</v>
      </c>
      <c r="C20415" s="5" t="str">
        <f>IFERROR(__xludf.DUMMYFUNCTION("GOOGLETRANSLATE(B20415,""en"",""fr"")"),"Plus de gens sont vus monter en bas de la colline tout en se pointant les uns contre les autres.")</f>
        <v>Plus de gens sont vus monter en bas de la colline tout en se pointant les uns contre les autres.</v>
      </c>
    </row>
    <row r="20416">
      <c r="A20416" s="4" t="s">
        <v>25703</v>
      </c>
      <c r="B20416" s="4" t="s">
        <v>25706</v>
      </c>
      <c r="C20416" s="5" t="str">
        <f>IFERROR(__xludf.DUMMYFUNCTION("GOOGLETRANSLATE(B20416,""en"",""fr"")"),"Le groupe continue de monter en bas de la colline tout en s'arrêtant pour parler à la caméra.")</f>
        <v>Le groupe continue de monter en bas de la colline tout en s'arrêtant pour parler à la caméra.</v>
      </c>
    </row>
    <row r="20417">
      <c r="A20417" s="4" t="s">
        <v>25707</v>
      </c>
      <c r="B20417" s="4" t="s">
        <v>25708</v>
      </c>
      <c r="C20417" s="5" t="str">
        <f>IFERROR(__xludf.DUMMYFUNCTION("GOOGLETRANSLATE(B20417,""en"",""fr"")"),"Plusieurs photos en noir et blanc sont présentées sur des personnes qui jouaient de la batterie.")</f>
        <v>Plusieurs photos en noir et blanc sont présentées sur des personnes qui jouaient de la batterie.</v>
      </c>
    </row>
    <row r="20418">
      <c r="A20418" s="4" t="s">
        <v>25707</v>
      </c>
      <c r="B20418" s="4" t="s">
        <v>25709</v>
      </c>
      <c r="C20418" s="5" t="str">
        <f>IFERROR(__xludf.DUMMYFUNCTION("GOOGLETRANSLATE(B20418,""en"",""fr"")"),"Un groupe de joueurs de tambour se rassemble, jouant dans une pièce.")</f>
        <v>Un groupe de joueurs de tambour se rassemble, jouant dans une pièce.</v>
      </c>
    </row>
    <row r="20419">
      <c r="A20419" s="4" t="s">
        <v>25707</v>
      </c>
      <c r="B20419" s="4" t="s">
        <v>25710</v>
      </c>
      <c r="C20419" s="5" t="str">
        <f>IFERROR(__xludf.DUMMYFUNCTION("GOOGLETRANSLATE(B20419,""en"",""fr"")"),"Leur jeu est entrecoupé d'images de partitions, puis revient à leur performance.")</f>
        <v>Leur jeu est entrecoupé d'images de partitions, puis revient à leur performance.</v>
      </c>
    </row>
    <row r="20420">
      <c r="A20420" s="4" t="s">
        <v>25711</v>
      </c>
      <c r="B20420" s="4" t="s">
        <v>25712</v>
      </c>
      <c r="C20420" s="5" t="str">
        <f>IFERROR(__xludf.DUMMYFUNCTION("GOOGLETRANSLATE(B20420,""en"",""fr"")"),"Les gymnastes courent, puis ont fait la roue de cartons et le battement en passant par la fin du tapis.")</f>
        <v>Les gymnastes courent, puis ont fait la roue de cartons et le battement en passant par la fin du tapis.</v>
      </c>
    </row>
    <row r="20421">
      <c r="A20421" s="4" t="s">
        <v>25711</v>
      </c>
      <c r="B20421" s="4" t="s">
        <v>25713</v>
      </c>
      <c r="C20421" s="5" t="str">
        <f>IFERROR(__xludf.DUMMYFUNCTION("GOOGLETRANSLATE(B20421,""en"",""fr"")"),"Le joueur a sauté et chariot haut.")</f>
        <v>Le joueur a sauté et chariot haut.</v>
      </c>
    </row>
    <row r="20422">
      <c r="A20422" s="4" t="s">
        <v>25711</v>
      </c>
      <c r="B20422" s="4" t="s">
        <v>25714</v>
      </c>
      <c r="C20422" s="5" t="str">
        <f>IFERROR(__xludf.DUMMYFUNCTION("GOOGLETRANSLATE(B20422,""en"",""fr"")"),"Le gymnaste masculin tourne dans les airs, puis il a atterri au bout du tapis.")</f>
        <v>Le gymnaste masculin tourne dans les airs, puis il a atterri au bout du tapis.</v>
      </c>
    </row>
    <row r="20423">
      <c r="A20423" s="4" t="s">
        <v>25715</v>
      </c>
      <c r="B20423" s="4" t="s">
        <v>25716</v>
      </c>
      <c r="C20423" s="5" t="str">
        <f>IFERROR(__xludf.DUMMYFUNCTION("GOOGLETRANSLATE(B20423,""en"",""fr"")"),"Plusieurs plans sont illustrés à des forêts qui mènent à une personne se préparant et roulant dans un kayak.")</f>
        <v>Plusieurs plans sont illustrés à des forêts qui mènent à une personne se préparant et roulant dans un kayak.</v>
      </c>
    </row>
    <row r="20424">
      <c r="A20424" s="4" t="s">
        <v>25715</v>
      </c>
      <c r="B20424" s="6" t="s">
        <v>25717</v>
      </c>
      <c r="C20424" s="5" t="str">
        <f>IFERROR(__xludf.DUMMYFUNCTION("GOOGLETRANSLATE(B20424,""en"",""fr"")"),"La personne se purse le long de la rivière Rough et montrant d'autres personnes qui roulent.")</f>
        <v>La personne se purse le long de la rivière Rough et montrant d'autres personnes qui roulent.</v>
      </c>
    </row>
    <row r="20425">
      <c r="A20425" s="4" t="s">
        <v>25715</v>
      </c>
      <c r="B20425" s="4" t="s">
        <v>25718</v>
      </c>
      <c r="C20425" s="5" t="str">
        <f>IFERROR(__xludf.DUMMYFUNCTION("GOOGLETRANSLATE(B20425,""en"",""fr"")"),"Ils passent devant des eaux agitées le long de la rivière et se terminent en s'asseyant les uns contre les autres.")</f>
        <v>Ils passent devant des eaux agitées le long de la rivière et se terminent en s'asseyant les uns contre les autres.</v>
      </c>
    </row>
    <row r="20426">
      <c r="A20426" s="4" t="s">
        <v>25719</v>
      </c>
      <c r="B20426" s="4" t="s">
        <v>25720</v>
      </c>
      <c r="C20426" s="5" t="str">
        <f>IFERROR(__xludf.DUMMYFUNCTION("GOOGLETRANSLATE(B20426,""en"",""fr"")"),"Une femme est vue dans une salle de bain.")</f>
        <v>Une femme est vue dans une salle de bain.</v>
      </c>
    </row>
    <row r="20427">
      <c r="A20427" s="4" t="s">
        <v>25719</v>
      </c>
      <c r="B20427" s="4" t="s">
        <v>25721</v>
      </c>
      <c r="C20427" s="5" t="str">
        <f>IFERROR(__xludf.DUMMYFUNCTION("GOOGLETRANSLATE(B20427,""en"",""fr"")"),"Elle utilise une sécheuse pour sécher ses cheveux.")</f>
        <v>Elle utilise une sécheuse pour sécher ses cheveux.</v>
      </c>
    </row>
    <row r="20428">
      <c r="A20428" s="4" t="s">
        <v>25719</v>
      </c>
      <c r="B20428" s="4" t="s">
        <v>25722</v>
      </c>
      <c r="C20428" s="5" t="str">
        <f>IFERROR(__xludf.DUMMYFUNCTION("GOOGLETRANSLATE(B20428,""en"",""fr"")"),"Elle utilise occasionnellement une brosse pour aider à accélérer le processus.")</f>
        <v>Elle utilise occasionnellement une brosse pour aider à accélérer le processus.</v>
      </c>
    </row>
    <row r="20429">
      <c r="A20429" s="4" t="s">
        <v>25723</v>
      </c>
      <c r="B20429" s="6" t="s">
        <v>25724</v>
      </c>
      <c r="C20429" s="5" t="str">
        <f>IFERROR(__xludf.DUMMYFUNCTION("GOOGLETRANSLATE(B20429,""en"",""fr"")"),"Un petit groupe de personnes est vu jouer à un jeu de volley-ball pendant que les gens regardent le long de la touche.")</f>
        <v>Un petit groupe de personnes est vu jouer à un jeu de volley-ball pendant que les gens regardent le long de la touche.</v>
      </c>
    </row>
    <row r="20430">
      <c r="A20430" s="4" t="s">
        <v>25723</v>
      </c>
      <c r="B20430" s="4" t="s">
        <v>25725</v>
      </c>
      <c r="C20430" s="5" t="str">
        <f>IFERROR(__xludf.DUMMYFUNCTION("GOOGLETRANSLATE(B20430,""en"",""fr"")"),"Les joueurs ont frappé le ballon plusieurs fois sur le filet ainsi que la poursuite du ballon.")</f>
        <v>Les joueurs ont frappé le ballon plusieurs fois sur le filet ainsi que la poursuite du ballon.</v>
      </c>
    </row>
    <row r="20431">
      <c r="A20431" s="4" t="s">
        <v>25723</v>
      </c>
      <c r="B20431" s="4" t="s">
        <v>25726</v>
      </c>
      <c r="C20431" s="5" t="str">
        <f>IFERROR(__xludf.DUMMYFUNCTION("GOOGLETRANSLATE(B20431,""en"",""fr"")"),"Le continu à jouer au jeu tandis que d'autres applaudissent et se sont élevés les uns les autres après.")</f>
        <v>Le continu à jouer au jeu tandis que d'autres applaudissent et se sont élevés les uns les autres après.</v>
      </c>
    </row>
    <row r="20432">
      <c r="A20432" s="4" t="s">
        <v>25727</v>
      </c>
      <c r="B20432" s="4" t="s">
        <v>25728</v>
      </c>
      <c r="C20432" s="5" t="str">
        <f>IFERROR(__xludf.DUMMYFUNCTION("GOOGLETRANSLATE(B20432,""en"",""fr"")"),"Un homme dans un casque marche sur une cour vers une structure métallique.")</f>
        <v>Un homme dans un casque marche sur une cour vers une structure métallique.</v>
      </c>
    </row>
    <row r="20433">
      <c r="A20433" s="4" t="s">
        <v>25727</v>
      </c>
      <c r="B20433" s="6" t="s">
        <v>25729</v>
      </c>
      <c r="C20433" s="5" t="str">
        <f>IFERROR(__xludf.DUMMYFUNCTION("GOOGLETRANSLATE(B20433,""en"",""fr"")"),"Il ajuste une échelle et la penche contre la structure, revient pour regarder et l'ajuste plusieurs fois.")</f>
        <v>Il ajuste une échelle et la penche contre la structure, revient pour regarder et l'ajuste plusieurs fois.</v>
      </c>
    </row>
    <row r="20434">
      <c r="A20434" s="4" t="s">
        <v>25727</v>
      </c>
      <c r="B20434" s="4" t="s">
        <v>25730</v>
      </c>
      <c r="C20434" s="5" t="str">
        <f>IFERROR(__xludf.DUMMYFUNCTION("GOOGLETRANSLATE(B20434,""en"",""fr"")"),"Lorsqu'il est satisfait, il resserre une sangle et attrape une deuxième échelle.")</f>
        <v>Lorsqu'il est satisfait, il resserre une sangle et attrape une deuxième échelle.</v>
      </c>
    </row>
    <row r="20435">
      <c r="A20435" s="4" t="s">
        <v>25727</v>
      </c>
      <c r="B20435" s="4" t="s">
        <v>25731</v>
      </c>
      <c r="C20435" s="5" t="str">
        <f>IFERROR(__xludf.DUMMYFUNCTION("GOOGLETRANSLATE(B20435,""en"",""fr"")"),"Il grimpe, emportant celui-ci avec lui.")</f>
        <v>Il grimpe, emportant celui-ci avec lui.</v>
      </c>
    </row>
    <row r="20436">
      <c r="A20436" s="4" t="s">
        <v>25732</v>
      </c>
      <c r="B20436" s="4" t="s">
        <v>25733</v>
      </c>
      <c r="C20436" s="5" t="str">
        <f>IFERROR(__xludf.DUMMYFUNCTION("GOOGLETRANSLATE(B20436,""en"",""fr"")"),"BMX attendant à la porte que la porte descend et que la course commence.")</f>
        <v>BMX attendant à la porte que la porte descend et que la course commence.</v>
      </c>
    </row>
    <row r="20437">
      <c r="A20437" s="4" t="s">
        <v>25732</v>
      </c>
      <c r="B20437" s="4" t="s">
        <v>25734</v>
      </c>
      <c r="C20437" s="5" t="str">
        <f>IFERROR(__xludf.DUMMYFUNCTION("GOOGLETRANSLATE(B20437,""en"",""fr"")"),"Ils décollent sur la piste qui se déroulent très vite très rapidement.")</f>
        <v>Ils décollent sur la piste qui se déroulent très vite très rapidement.</v>
      </c>
    </row>
    <row r="20438">
      <c r="A20438" s="4" t="s">
        <v>25732</v>
      </c>
      <c r="B20438" s="6" t="s">
        <v>25735</v>
      </c>
      <c r="C20438" s="5" t="str">
        <f>IFERROR(__xludf.DUMMYFUNCTION("GOOGLETRANSLATE(B20438,""en"",""fr"")"),"La Floride a plusieurs emplacements pour BMXing si vous aimez le faire et ne savez pas où aller, ils ont 1500 coureurs agréés et 30 équipes sponsorisées.")</f>
        <v>La Floride a plusieurs emplacements pour BMXing si vous aimez le faire et ne savez pas où aller, ils ont 1500 coureurs agréés et 30 équipes sponsorisées.</v>
      </c>
    </row>
    <row r="20439">
      <c r="A20439" s="4" t="s">
        <v>25732</v>
      </c>
      <c r="B20439" s="4" t="s">
        <v>25736</v>
      </c>
      <c r="C20439" s="5" t="str">
        <f>IFERROR(__xludf.DUMMYFUNCTION("GOOGLETRANSLATE(B20439,""en"",""fr"")"),"Ils ont même des vélos pour Mini Riders qui veulent être comme ceux de leur papa.")</f>
        <v>Ils ont même des vélos pour Mini Riders qui veulent être comme ceux de leur papa.</v>
      </c>
    </row>
    <row r="20440">
      <c r="A20440" s="4" t="s">
        <v>25737</v>
      </c>
      <c r="B20440" s="4" t="s">
        <v>25738</v>
      </c>
      <c r="C20440" s="5" t="str">
        <f>IFERROR(__xludf.DUMMYFUNCTION("GOOGLETRANSLATE(B20440,""en"",""fr"")"),"Différentes nuances de bouteilles de vernis à ongles sont visibles.")</f>
        <v>Différentes nuances de bouteilles de vernis à ongles sont visibles.</v>
      </c>
    </row>
    <row r="20441">
      <c r="A20441" s="4" t="s">
        <v>25737</v>
      </c>
      <c r="B20441" s="4" t="s">
        <v>25739</v>
      </c>
      <c r="C20441" s="5" t="str">
        <f>IFERROR(__xludf.DUMMYFUNCTION("GOOGLETRANSLATE(B20441,""en"",""fr"")"),"Des morceaux de cône sont enroulés autour des pointes des doigts autour des ongles.")</f>
        <v>Des morceaux de cône sont enroulés autour des pointes des doigts autour des ongles.</v>
      </c>
    </row>
    <row r="20442">
      <c r="A20442" s="4" t="s">
        <v>25737</v>
      </c>
      <c r="B20442" s="4" t="s">
        <v>25740</v>
      </c>
      <c r="C20442" s="5" t="str">
        <f>IFERROR(__xludf.DUMMYFUNCTION("GOOGLETRANSLATE(B20442,""en"",""fr"")"),"Différentes nuances de vernis à ongles sont appliquées sur un coussin en mousse puis tamponnés sur les ongles du doigt.")</f>
        <v>Différentes nuances de vernis à ongles sont appliquées sur un coussin en mousse puis tamponnés sur les ongles du doigt.</v>
      </c>
    </row>
    <row r="20443">
      <c r="A20443" s="4" t="s">
        <v>25737</v>
      </c>
      <c r="B20443" s="4" t="s">
        <v>25741</v>
      </c>
      <c r="C20443" s="5" t="str">
        <f>IFERROR(__xludf.DUMMYFUNCTION("GOOGLETRANSLATE(B20443,""en"",""fr"")"),"Un revêtement clair est un revêtement est appliqué sur les ongles.")</f>
        <v>Un revêtement clair est un revêtement est appliqué sur les ongles.</v>
      </c>
    </row>
    <row r="20444">
      <c r="A20444" s="4" t="s">
        <v>25737</v>
      </c>
      <c r="B20444" s="4" t="s">
        <v>25742</v>
      </c>
      <c r="C20444" s="5" t="str">
        <f>IFERROR(__xludf.DUMMYFUNCTION("GOOGLETRANSLATE(B20444,""en"",""fr"")"),"Le ruban est retiré et les bords sont nettoyés avec une solution de dissolvant de vernis à ongles.")</f>
        <v>Le ruban est retiré et les bords sont nettoyés avec une solution de dissolvant de vernis à ongles.</v>
      </c>
    </row>
    <row r="20445">
      <c r="A20445" s="4" t="s">
        <v>25743</v>
      </c>
      <c r="B20445" s="4" t="s">
        <v>25744</v>
      </c>
      <c r="C20445" s="5" t="str">
        <f>IFERROR(__xludf.DUMMYFUNCTION("GOOGLETRANSLATE(B20445,""en"",""fr"")"),"Une femme est assise dans une voiture pieds nus, essayant de conduire.")</f>
        <v>Une femme est assise dans une voiture pieds nus, essayant de conduire.</v>
      </c>
    </row>
    <row r="20446">
      <c r="A20446" s="4" t="s">
        <v>25743</v>
      </c>
      <c r="B20446" s="4" t="s">
        <v>25745</v>
      </c>
      <c r="C20446" s="5" t="str">
        <f>IFERROR(__xludf.DUMMYFUNCTION("GOOGLETRANSLATE(B20446,""en"",""fr"")"),"Elle allume une cigarette pendant qu'elle conduit.")</f>
        <v>Elle allume une cigarette pendant qu'elle conduit.</v>
      </c>
    </row>
    <row r="20447">
      <c r="A20447" s="4" t="s">
        <v>25746</v>
      </c>
      <c r="B20447" s="6" t="s">
        <v>25747</v>
      </c>
      <c r="C20447" s="5" t="str">
        <f>IFERROR(__xludf.DUMMYFUNCTION("GOOGLETRANSLATE(B20447,""en"",""fr"")"),"Un homme en chemise jaune et collants noirs, se dirigea vers le vélo, se penchez et dévissez la vis.")</f>
        <v>Un homme en chemise jaune et collants noirs, se dirigea vers le vélo, se penchez et dévissez la vis.</v>
      </c>
    </row>
    <row r="20448">
      <c r="A20448" s="4" t="s">
        <v>25746</v>
      </c>
      <c r="B20448" s="6" t="s">
        <v>25748</v>
      </c>
      <c r="C20448" s="5" t="str">
        <f>IFERROR(__xludf.DUMMYFUNCTION("GOOGLETRANSLATE(B20448,""en"",""fr"")"),"L'homme en chemise jaune a sorti ses outils de sa poche, il a enlevé la roue à vélo du vélo, sortira un outil jaune, l'insérez entre le caoutchouc et le métal, a retiré le caoutchouc à l'intérieur du pneu, a essayé de trouver le trou, J'ai pris un tissu c"&amp;"arré, essuyez le pneu, puis met l'autocollant, il a pompé le caoutchouc puis le remis dans le pneu.")</f>
        <v>L'homme en chemise jaune a sorti ses outils de sa poche, il a enlevé la roue à vélo du vélo, sortira un outil jaune, l'insérez entre le caoutchouc et le métal, a retiré le caoutchouc à l'intérieur du pneu, a essayé de trouver le trou, J'ai pris un tissu carré, essuyez le pneu, puis met l'autocollant, il a pompé le caoutchouc puis le remis dans le pneu.</v>
      </c>
    </row>
    <row r="20449">
      <c r="A20449" s="4" t="s">
        <v>25746</v>
      </c>
      <c r="B20449" s="4" t="s">
        <v>25749</v>
      </c>
      <c r="C20449" s="5" t="str">
        <f>IFERROR(__xludf.DUMMYFUNCTION("GOOGLETRANSLATE(B20449,""en"",""fr"")"),"La personne visit la roue au vélo.")</f>
        <v>La personne visit la roue au vélo.</v>
      </c>
    </row>
    <row r="20450">
      <c r="A20450" s="4" t="s">
        <v>25750</v>
      </c>
      <c r="B20450" s="4" t="s">
        <v>25751</v>
      </c>
      <c r="C20450" s="5" t="str">
        <f>IFERROR(__xludf.DUMMYFUNCTION("GOOGLETRANSLATE(B20450,""en"",""fr"")"),"Une personne tient les yeux ouverts.")</f>
        <v>Une personne tient les yeux ouverts.</v>
      </c>
    </row>
    <row r="20451">
      <c r="A20451" s="4" t="s">
        <v>25750</v>
      </c>
      <c r="B20451" s="4" t="s">
        <v>25752</v>
      </c>
      <c r="C20451" s="5" t="str">
        <f>IFERROR(__xludf.DUMMYFUNCTION("GOOGLETRANSLATE(B20451,""en"",""fr"")"),"Ils ont mis une lentille de contact dans l'œil.")</f>
        <v>Ils ont mis une lentille de contact dans l'œil.</v>
      </c>
    </row>
    <row r="20452">
      <c r="A20452" s="4" t="s">
        <v>25750</v>
      </c>
      <c r="B20452" s="4" t="s">
        <v>25753</v>
      </c>
      <c r="C20452" s="5" t="str">
        <f>IFERROR(__xludf.DUMMYFUNCTION("GOOGLETRANSLATE(B20452,""en"",""fr"")"),"Ils retirent ensuite l'objectif de contact de leur œil.")</f>
        <v>Ils retirent ensuite l'objectif de contact de leur œil.</v>
      </c>
    </row>
    <row r="20453">
      <c r="A20453" s="4" t="s">
        <v>25754</v>
      </c>
      <c r="B20453" s="4" t="s">
        <v>25755</v>
      </c>
      <c r="C20453" s="5" t="str">
        <f>IFERROR(__xludf.DUMMYFUNCTION("GOOGLETRANSLATE(B20453,""en"",""fr"")"),"Un petit enfant est vu assis sur un entraîneur ouvrant un cadeau.")</f>
        <v>Un petit enfant est vu assis sur un entraîneur ouvrant un cadeau.</v>
      </c>
    </row>
    <row r="20454">
      <c r="A20454" s="4" t="s">
        <v>25754</v>
      </c>
      <c r="B20454" s="4" t="s">
        <v>25756</v>
      </c>
      <c r="C20454" s="5" t="str">
        <f>IFERROR(__xludf.DUMMYFUNCTION("GOOGLETRANSLATE(B20454,""en"",""fr"")"),"La caméra se déroule tout autour d'elle pendant qu'elle ouvre le présent et sourit à la caméra.")</f>
        <v>La caméra se déroule tout autour d'elle pendant qu'elle ouvre le présent et sourit à la caméra.</v>
      </c>
    </row>
    <row r="20455">
      <c r="A20455" s="4" t="s">
        <v>25754</v>
      </c>
      <c r="B20455" s="4" t="s">
        <v>25757</v>
      </c>
      <c r="C20455" s="5" t="str">
        <f>IFERROR(__xludf.DUMMYFUNCTION("GOOGLETRANSLATE(B20455,""en"",""fr"")"),"Elle continue d'essayer d'ouvrir la boîte tout en regardant et en souriant.")</f>
        <v>Elle continue d'essayer d'ouvrir la boîte tout en regardant et en souriant.</v>
      </c>
    </row>
    <row r="20456">
      <c r="A20456" s="4" t="s">
        <v>25758</v>
      </c>
      <c r="B20456" s="4" t="s">
        <v>25759</v>
      </c>
      <c r="C20456" s="5" t="str">
        <f>IFERROR(__xludf.DUMMYFUNCTION("GOOGLETRANSLATE(B20456,""en"",""fr"")"),"Une femme et un homme portant des couleurs vertes assorties sur scène lors d'une représentation.")</f>
        <v>Une femme et un homme portant des couleurs vertes assorties sur scène lors d'une représentation.</v>
      </c>
    </row>
    <row r="20457">
      <c r="A20457" s="4" t="s">
        <v>25758</v>
      </c>
      <c r="B20457" s="4" t="s">
        <v>25760</v>
      </c>
      <c r="C20457" s="5" t="str">
        <f>IFERROR(__xludf.DUMMYFUNCTION("GOOGLETRANSLATE(B20457,""en"",""fr"")"),"L'homme tourne son partenaire pendant la danse.")</f>
        <v>L'homme tourne son partenaire pendant la danse.</v>
      </c>
    </row>
    <row r="20458">
      <c r="A20458" s="4" t="s">
        <v>25758</v>
      </c>
      <c r="B20458" s="4" t="s">
        <v>25761</v>
      </c>
      <c r="C20458" s="5" t="str">
        <f>IFERROR(__xludf.DUMMYFUNCTION("GOOGLETRANSLATE(B20458,""en"",""fr"")"),"Les danseurs se lancent là-haut en dansant.")</f>
        <v>Les danseurs se lancent là-haut en dansant.</v>
      </c>
    </row>
    <row r="20459">
      <c r="A20459" s="4" t="s">
        <v>25762</v>
      </c>
      <c r="B20459" s="4" t="s">
        <v>25763</v>
      </c>
      <c r="C20459" s="5" t="str">
        <f>IFERROR(__xludf.DUMMYFUNCTION("GOOGLETRANSLATE(B20459,""en"",""fr"")"),"Un garçon parle à la caméra.")</f>
        <v>Un garçon parle à la caméra.</v>
      </c>
    </row>
    <row r="20460">
      <c r="A20460" s="4" t="s">
        <v>25762</v>
      </c>
      <c r="B20460" s="4" t="s">
        <v>25764</v>
      </c>
      <c r="C20460" s="5" t="str">
        <f>IFERROR(__xludf.DUMMYFUNCTION("GOOGLETRANSLATE(B20460,""en"",""fr"")"),"Le garçon frotte un évier en métal avec une brosse.")</f>
        <v>Le garçon frotte un évier en métal avec une brosse.</v>
      </c>
    </row>
    <row r="20461">
      <c r="A20461" s="4" t="s">
        <v>25762</v>
      </c>
      <c r="B20461" s="4" t="s">
        <v>25765</v>
      </c>
      <c r="C20461" s="5" t="str">
        <f>IFERROR(__xludf.DUMMYFUNCTION("GOOGLETRANSLATE(B20461,""en"",""fr"")"),"Le garçon change son emprise sur la brosse.")</f>
        <v>Le garçon change son emprise sur la brosse.</v>
      </c>
    </row>
    <row r="20462">
      <c r="A20462" s="4" t="s">
        <v>25766</v>
      </c>
      <c r="B20462" s="4" t="s">
        <v>25767</v>
      </c>
      <c r="C20462" s="5" t="str">
        <f>IFERROR(__xludf.DUMMYFUNCTION("GOOGLETRANSLATE(B20462,""en"",""fr"")"),"Trois personnes s'assoient sur l'océan.")</f>
        <v>Trois personnes s'assoient sur l'océan.</v>
      </c>
    </row>
    <row r="20463">
      <c r="A20463" s="4" t="s">
        <v>25766</v>
      </c>
      <c r="B20463" s="4" t="s">
        <v>25768</v>
      </c>
      <c r="C20463" s="5" t="str">
        <f>IFERROR(__xludf.DUMMYFUNCTION("GOOGLETRANSLATE(B20463,""en"",""fr"")"),"Un homme surfer sur une petite vague, puis vole dans l'air et atterrit sur le rivage.")</f>
        <v>Un homme surfer sur une petite vague, puis vole dans l'air et atterrit sur le rivage.</v>
      </c>
    </row>
    <row r="20464">
      <c r="A20464" s="4" t="s">
        <v>25766</v>
      </c>
      <c r="B20464" s="4" t="s">
        <v>25769</v>
      </c>
      <c r="C20464" s="5" t="str">
        <f>IFERROR(__xludf.DUMMYFUNCTION("GOOGLETRANSLATE(B20464,""en"",""fr"")"),"Une personne prend une photo au surfeur.")</f>
        <v>Une personne prend une photo au surfeur.</v>
      </c>
    </row>
    <row r="20465">
      <c r="A20465" s="4" t="s">
        <v>25766</v>
      </c>
      <c r="B20465" s="6" t="s">
        <v>25770</v>
      </c>
      <c r="C20465" s="5" t="str">
        <f>IFERROR(__xludf.DUMMYFUNCTION("GOOGLETRANSLATE(B20465,""en"",""fr"")"),"L'homme continue de surfer, de tourner et de sauter, après avoir pris sa planche de surf et marche sur la plage.")</f>
        <v>L'homme continue de surfer, de tourner et de sauter, après avoir pris sa planche de surf et marche sur la plage.</v>
      </c>
    </row>
    <row r="20466">
      <c r="A20466" s="4" t="s">
        <v>25766</v>
      </c>
      <c r="B20466" s="4" t="s">
        <v>25771</v>
      </c>
      <c r="C20466" s="5" t="str">
        <f>IFERROR(__xludf.DUMMYFUNCTION("GOOGLETRANSLATE(B20466,""en"",""fr"")"),"Un surfeur se retourne dans une vague.")</f>
        <v>Un surfeur se retourne dans une vague.</v>
      </c>
    </row>
    <row r="20467">
      <c r="A20467" s="4" t="s">
        <v>25772</v>
      </c>
      <c r="B20467" s="4" t="s">
        <v>25773</v>
      </c>
      <c r="C20467" s="5" t="str">
        <f>IFERROR(__xludf.DUMMYFUNCTION("GOOGLETRANSLATE(B20467,""en"",""fr"")"),"Un surfeur est debout dans le courant de l'océan.")</f>
        <v>Un surfeur est debout dans le courant de l'océan.</v>
      </c>
    </row>
    <row r="20468">
      <c r="A20468" s="4" t="s">
        <v>25772</v>
      </c>
      <c r="B20468" s="4" t="s">
        <v>25774</v>
      </c>
      <c r="C20468" s="5" t="str">
        <f>IFERROR(__xludf.DUMMYFUNCTION("GOOGLETRANSLATE(B20468,""en"",""fr"")"),"Quelques autres surfeurs le rejoignent alors qu'ils surfent dans les vagues.")</f>
        <v>Quelques autres surfeurs le rejoignent alors qu'ils surfent dans les vagues.</v>
      </c>
    </row>
    <row r="20469">
      <c r="A20469" s="4" t="s">
        <v>25772</v>
      </c>
      <c r="B20469" s="4" t="s">
        <v>25775</v>
      </c>
      <c r="C20469" s="5" t="str">
        <f>IFERROR(__xludf.DUMMYFUNCTION("GOOGLETRANSLATE(B20469,""en"",""fr"")"),"Ils montent les vagues sur le rivage ensemble.")</f>
        <v>Ils montent les vagues sur le rivage ensemble.</v>
      </c>
    </row>
    <row r="20470">
      <c r="A20470" s="4" t="s">
        <v>25776</v>
      </c>
      <c r="B20470" s="4" t="s">
        <v>25777</v>
      </c>
      <c r="C20470" s="5" t="str">
        <f>IFERROR(__xludf.DUMMYFUNCTION("GOOGLETRANSLATE(B20470,""en"",""fr"")"),"Un homme est vu assis par terre et sautant en position debout.")</f>
        <v>Un homme est vu assis par terre et sautant en position debout.</v>
      </c>
    </row>
    <row r="20471">
      <c r="A20471" s="4" t="s">
        <v>25776</v>
      </c>
      <c r="B20471" s="4" t="s">
        <v>25778</v>
      </c>
      <c r="C20471" s="5" t="str">
        <f>IFERROR(__xludf.DUMMYFUNCTION("GOOGLETRANSLATE(B20471,""en"",""fr"")"),"Il retourne ensuite dans une position agenouillée et saute à nouveau sur ses pieds.")</f>
        <v>Il retourne ensuite dans une position agenouillée et saute à nouveau sur ses pieds.</v>
      </c>
    </row>
    <row r="20472">
      <c r="A20472" s="4" t="s">
        <v>25776</v>
      </c>
      <c r="B20472" s="4" t="s">
        <v>25779</v>
      </c>
      <c r="C20472" s="5" t="str">
        <f>IFERROR(__xludf.DUMMYFUNCTION("GOOGLETRANSLATE(B20472,""en"",""fr"")"),"Le même homme le fait deux fois de plus.")</f>
        <v>Le même homme le fait deux fois de plus.</v>
      </c>
    </row>
    <row r="20473">
      <c r="A20473" s="4" t="s">
        <v>25780</v>
      </c>
      <c r="B20473" s="4" t="s">
        <v>25781</v>
      </c>
      <c r="C20473" s="5" t="str">
        <f>IFERROR(__xludf.DUMMYFUNCTION("GOOGLETRANSLATE(B20473,""en"",""fr"")"),"Un écran d'intro noire apparaît et il a les mots super lavage au milieu.")</f>
        <v>Un écran d'intro noire apparaît et il a les mots super lavage au milieu.</v>
      </c>
    </row>
    <row r="20474">
      <c r="A20474" s="4" t="s">
        <v>25780</v>
      </c>
      <c r="B20474" s="6" t="s">
        <v>25782</v>
      </c>
      <c r="C20474" s="5" t="str">
        <f>IFERROR(__xludf.DUMMYFUNCTION("GOOGLETRANSLATE(B20474,""en"",""fr"")"),"Une voiture rouge et une voiture derrière elle se trouvent à un lavage de voiture et les deux sont travaillées par deux ensembles de personnes dans chaque voiture.")</f>
        <v>Une voiture rouge et une voiture derrière elle se trouvent à un lavage de voiture et les deux sont travaillées par deux ensembles de personnes dans chaque voiture.</v>
      </c>
    </row>
    <row r="20475">
      <c r="A20475" s="4" t="s">
        <v>25780</v>
      </c>
      <c r="B20475" s="6" t="s">
        <v>25783</v>
      </c>
      <c r="C20475" s="5" t="str">
        <f>IFERROR(__xludf.DUMMYFUNCTION("GOOGLETRANSLATE(B20475,""en"",""fr"")"),"Maintenant, il y a 3 voitures visibles et les mêmes hommes travaillent à laver la voiture rouge tandis qu'un autre homme commence à travailler sur la 3ème voiture qui se trouve sur le côté de la voiture rouge et toutes les voitures continuent de se laver.")</f>
        <v>Maintenant, il y a 3 voitures visibles et les mêmes hommes travaillent à laver la voiture rouge tandis qu'un autre homme commence à travailler sur la 3ème voiture qui se trouve sur le côté de la voiture rouge et toutes les voitures continuent de se laver.</v>
      </c>
    </row>
    <row r="20476">
      <c r="A20476" s="4" t="s">
        <v>25780</v>
      </c>
      <c r="B20476" s="4" t="s">
        <v>25784</v>
      </c>
      <c r="C20476" s="5" t="str">
        <f>IFERROR(__xludf.DUMMYFUNCTION("GOOGLETRANSLATE(B20476,""en"",""fr"")"),"La voiture rouge est garée à l'extérieur du bâtiment et elle est propre, sèche et très brillante.")</f>
        <v>La voiture rouge est garée à l'extérieur du bâtiment et elle est propre, sèche et très brillante.</v>
      </c>
    </row>
    <row r="20477">
      <c r="A20477" s="4" t="s">
        <v>25785</v>
      </c>
      <c r="B20477" s="4" t="s">
        <v>25786</v>
      </c>
      <c r="C20477" s="5" t="str">
        <f>IFERROR(__xludf.DUMMYFUNCTION("GOOGLETRANSLATE(B20477,""en"",""fr"")"),"Les gens conduisent une voiture dans une rue.")</f>
        <v>Les gens conduisent une voiture dans une rue.</v>
      </c>
    </row>
    <row r="20478">
      <c r="A20478" s="4" t="s">
        <v>25785</v>
      </c>
      <c r="B20478" s="4" t="s">
        <v>25787</v>
      </c>
      <c r="C20478" s="5" t="str">
        <f>IFERROR(__xludf.DUMMYFUNCTION("GOOGLETRANSLATE(B20478,""en"",""fr"")"),"Ils pagayent dans un bateau sur une rivière.")</f>
        <v>Ils pagayent dans un bateau sur une rivière.</v>
      </c>
    </row>
    <row r="20479">
      <c r="A20479" s="4" t="s">
        <v>25785</v>
      </c>
      <c r="B20479" s="4" t="s">
        <v>25788</v>
      </c>
      <c r="C20479" s="5" t="str">
        <f>IFERROR(__xludf.DUMMYFUNCTION("GOOGLETRANSLATE(B20479,""en"",""fr"")"),"Un homme se tient dans l'eau en tenant une rame.")</f>
        <v>Un homme se tient dans l'eau en tenant une rame.</v>
      </c>
    </row>
    <row r="20480">
      <c r="A20480" s="4" t="s">
        <v>25789</v>
      </c>
      <c r="B20480" s="6" t="s">
        <v>25790</v>
      </c>
      <c r="C20480" s="5" t="str">
        <f>IFERROR(__xludf.DUMMYFUNCTION("GOOGLETRANSLATE(B20480,""en"",""fr"")"),"Un chef en uniforme d'un chef blanc se dresse dans une cuisine commerciale vide et montre comment faire une omelette.")</f>
        <v>Un chef en uniforme d'un chef blanc se dresse dans une cuisine commerciale vide et montre comment faire une omelette.</v>
      </c>
    </row>
    <row r="20481">
      <c r="A20481" s="4" t="s">
        <v>25789</v>
      </c>
      <c r="B20481" s="6" t="s">
        <v>25791</v>
      </c>
      <c r="C20481" s="5" t="str">
        <f>IFERROR(__xludf.DUMMYFUNCTION("GOOGLETRANSLATE(B20481,""en"",""fr"")"),"Un chef se tient dans une cuisine parle à la caméra avant de prendre un œuf et de le verser dans une mini poêle noire.")</f>
        <v>Un chef se tient dans une cuisine parle à la caméra avant de prendre un œuf et de le verser dans une mini poêle noire.</v>
      </c>
    </row>
    <row r="20482">
      <c r="A20482" s="4" t="s">
        <v>25789</v>
      </c>
      <c r="B20482" s="4" t="s">
        <v>25792</v>
      </c>
      <c r="C20482" s="5" t="str">
        <f>IFERROR(__xludf.DUMMYFUNCTION("GOOGLETRANSLATE(B20482,""en"",""fr"")"),"Le chef manœuvre l'œuf sur le poêle avec une fourchette qui la pousse doucement.")</f>
        <v>Le chef manœuvre l'œuf sur le poêle avec une fourchette qui la pousse doucement.</v>
      </c>
    </row>
    <row r="20483">
      <c r="A20483" s="4" t="s">
        <v>25789</v>
      </c>
      <c r="B20483" s="6" t="s">
        <v>25793</v>
      </c>
      <c r="C20483" s="5" t="str">
        <f>IFERROR(__xludf.DUMMYFUNCTION("GOOGLETRANSLATE(B20483,""en"",""fr"")"),"Le chef pliez ensuite l'œuf en deux dans la poêle et les associe sur une assiette blanche avant de se tourner vers la caméra et de parler à nouveau.")</f>
        <v>Le chef pliez ensuite l'œuf en deux dans la poêle et les associe sur une assiette blanche avant de se tourner vers la caméra et de parler à nouveau.</v>
      </c>
    </row>
    <row r="20484">
      <c r="A20484" s="4" t="s">
        <v>25794</v>
      </c>
      <c r="B20484" s="4" t="s">
        <v>25795</v>
      </c>
      <c r="C20484" s="5" t="str">
        <f>IFERROR(__xludf.DUMMYFUNCTION("GOOGLETRANSLATE(B20484,""en"",""fr"")"),"Deux filles dansent et font virevolter des matraques sur un sol de gym.")</f>
        <v>Deux filles dansent et font virevolter des matraques sur un sol de gym.</v>
      </c>
    </row>
    <row r="20485">
      <c r="A20485" s="4" t="s">
        <v>25794</v>
      </c>
      <c r="B20485" s="4" t="s">
        <v>25796</v>
      </c>
      <c r="C20485" s="5" t="str">
        <f>IFERROR(__xludf.DUMMYFUNCTION("GOOGLETRANSLATE(B20485,""en"",""fr"")"),"L'une des filles part et l'autre fille continue de danser seule.")</f>
        <v>L'une des filles part et l'autre fille continue de danser seule.</v>
      </c>
    </row>
    <row r="20486">
      <c r="A20486" s="4" t="s">
        <v>25794</v>
      </c>
      <c r="B20486" s="4" t="s">
        <v>25797</v>
      </c>
      <c r="C20486" s="5" t="str">
        <f>IFERROR(__xludf.DUMMYFUNCTION("GOOGLETRANSLATE(B20486,""en"",""fr"")"),"Elle commence à jeter les matraques en l'air.")</f>
        <v>Elle commence à jeter les matraques en l'air.</v>
      </c>
    </row>
    <row r="20487">
      <c r="A20487" s="4" t="s">
        <v>25794</v>
      </c>
      <c r="B20487" s="4" t="s">
        <v>25798</v>
      </c>
      <c r="C20487" s="5" t="str">
        <f>IFERROR(__xludf.DUMMYFUNCTION("GOOGLETRANSLATE(B20487,""en"",""fr"")"),"La deuxième fille la rejoint à nouveau et ils finissent de danser.")</f>
        <v>La deuxième fille la rejoint à nouveau et ils finissent de danser.</v>
      </c>
    </row>
    <row r="20488">
      <c r="A20488" s="4" t="s">
        <v>25799</v>
      </c>
      <c r="B20488" s="4" t="s">
        <v>25800</v>
      </c>
      <c r="C20488" s="5" t="str">
        <f>IFERROR(__xludf.DUMMYFUNCTION("GOOGLETRANSLATE(B20488,""en"",""fr"")"),"Nous voyons un bébé et des enfants jouer.")</f>
        <v>Nous voyons un bébé et des enfants jouer.</v>
      </c>
    </row>
    <row r="20489">
      <c r="A20489" s="4" t="s">
        <v>25799</v>
      </c>
      <c r="B20489" s="4" t="s">
        <v>25801</v>
      </c>
      <c r="C20489" s="5" t="str">
        <f>IFERROR(__xludf.DUMMYFUNCTION("GOOGLETRANSLATE(B20489,""en"",""fr"")"),"Les enfants marchent sur des limons en rond.")</f>
        <v>Les enfants marchent sur des limons en rond.</v>
      </c>
    </row>
    <row r="20490">
      <c r="A20490" s="4" t="s">
        <v>25799</v>
      </c>
      <c r="B20490" s="4" t="s">
        <v>25802</v>
      </c>
      <c r="C20490" s="5" t="str">
        <f>IFERROR(__xludf.DUMMYFUNCTION("GOOGLETRANSLATE(B20490,""en"",""fr"")"),"Les enfants marchent sur leurs échasses.")</f>
        <v>Les enfants marchent sur leurs échasses.</v>
      </c>
    </row>
    <row r="20491">
      <c r="A20491" s="4" t="s">
        <v>25799</v>
      </c>
      <c r="B20491" s="4" t="s">
        <v>25803</v>
      </c>
      <c r="C20491" s="5" t="str">
        <f>IFERROR(__xludf.DUMMYFUNCTION("GOOGLETRANSLATE(B20491,""en"",""fr"")"),"Un homme aide une fille à marcher sur des fentes.")</f>
        <v>Un homme aide une fille à marcher sur des fentes.</v>
      </c>
    </row>
    <row r="20492">
      <c r="A20492" s="4" t="s">
        <v>25799</v>
      </c>
      <c r="B20492" s="4" t="s">
        <v>25804</v>
      </c>
      <c r="C20492" s="5" t="str">
        <f>IFERROR(__xludf.DUMMYFUNCTION("GOOGLETRANSLATE(B20492,""en"",""fr"")"),"Un enfant sur les échasses tombe à genoux.")</f>
        <v>Un enfant sur les échasses tombe à genoux.</v>
      </c>
    </row>
    <row r="20493">
      <c r="A20493" s="4" t="s">
        <v>25799</v>
      </c>
      <c r="B20493" s="4" t="s">
        <v>25805</v>
      </c>
      <c r="C20493" s="5" t="str">
        <f>IFERROR(__xludf.DUMMYFUNCTION("GOOGLETRANSLATE(B20493,""en"",""fr"")"),"Les enfants marchent en cercle sur leurs échasses.")</f>
        <v>Les enfants marchent en cercle sur leurs échasses.</v>
      </c>
    </row>
    <row r="20494">
      <c r="A20494" s="4" t="s">
        <v>25799</v>
      </c>
      <c r="B20494" s="4" t="s">
        <v>25806</v>
      </c>
      <c r="C20494" s="5" t="str">
        <f>IFERROR(__xludf.DUMMYFUNCTION("GOOGLETRANSLATE(B20494,""en"",""fr"")"),"Je vois un écran de clôture et il s'estompe en noir.")</f>
        <v>Je vois un écran de clôture et il s'estompe en noir.</v>
      </c>
    </row>
    <row r="20495">
      <c r="A20495" s="4" t="s">
        <v>25807</v>
      </c>
      <c r="B20495" s="4" t="s">
        <v>25808</v>
      </c>
      <c r="C20495" s="5" t="str">
        <f>IFERROR(__xludf.DUMMYFUNCTION("GOOGLETRANSLATE(B20495,""en"",""fr"")"),"Nous voyons un match de hockey intérieur.")</f>
        <v>Nous voyons un match de hockey intérieur.</v>
      </c>
    </row>
    <row r="20496">
      <c r="A20496" s="4" t="s">
        <v>25807</v>
      </c>
      <c r="B20496" s="4" t="s">
        <v>25809</v>
      </c>
      <c r="C20496" s="5" t="str">
        <f>IFERROR(__xludf.DUMMYFUNCTION("GOOGLETRANSLATE(B20496,""en"",""fr"")"),"Le gardien de but bloque un tir et une poignée de joueurs se battent sur la rondelle.")</f>
        <v>Le gardien de but bloque un tir et une poignée de joueurs se battent sur la rondelle.</v>
      </c>
    </row>
    <row r="20497">
      <c r="A20497" s="4" t="s">
        <v>25807</v>
      </c>
      <c r="B20497" s="4" t="s">
        <v>25810</v>
      </c>
      <c r="C20497" s="5" t="str">
        <f>IFERROR(__xludf.DUMMYFUNCTION("GOOGLETRANSLATE(B20497,""en"",""fr"")"),"La rondelle frappe l'arbitre et le renverse.")</f>
        <v>La rondelle frappe l'arbitre et le renverse.</v>
      </c>
    </row>
    <row r="20498">
      <c r="A20498" s="4" t="s">
        <v>25807</v>
      </c>
      <c r="B20498" s="4" t="s">
        <v>25811</v>
      </c>
      <c r="C20498" s="5" t="str">
        <f>IFERROR(__xludf.DUMMYFUNCTION("GOOGLETRANSLATE(B20498,""en"",""fr"")"),"Le gardien de but bloque un tir.")</f>
        <v>Le gardien de but bloque un tir.</v>
      </c>
    </row>
    <row r="20499">
      <c r="A20499" s="4" t="s">
        <v>25812</v>
      </c>
      <c r="B20499" s="4" t="s">
        <v>25813</v>
      </c>
      <c r="C20499" s="5" t="str">
        <f>IFERROR(__xludf.DUMMYFUNCTION("GOOGLETRANSLATE(B20499,""en"",""fr"")"),"Plusieurs enfants s'assoient le long d'une piscine.")</f>
        <v>Plusieurs enfants s'assoient le long d'une piscine.</v>
      </c>
    </row>
    <row r="20500">
      <c r="A20500" s="4" t="s">
        <v>25812</v>
      </c>
      <c r="B20500" s="4" t="s">
        <v>25814</v>
      </c>
      <c r="C20500" s="5" t="str">
        <f>IFERROR(__xludf.DUMMYFUNCTION("GOOGLETRANSLATE(B20500,""en"",""fr"")"),"Ils portent tous des nageoires.")</f>
        <v>Ils portent tous des nageoires.</v>
      </c>
    </row>
    <row r="20501">
      <c r="A20501" s="4" t="s">
        <v>25812</v>
      </c>
      <c r="B20501" s="4" t="s">
        <v>25815</v>
      </c>
      <c r="C20501" s="5" t="str">
        <f>IFERROR(__xludf.DUMMYFUNCTION("GOOGLETRANSLATE(B20501,""en"",""fr"")"),"Une fille est sous l'eau portant du matériel de plongée.")</f>
        <v>Une fille est sous l'eau portant du matériel de plongée.</v>
      </c>
    </row>
    <row r="20502">
      <c r="A20502" s="4" t="s">
        <v>25812</v>
      </c>
      <c r="B20502" s="4" t="s">
        <v>25816</v>
      </c>
      <c r="C20502" s="5" t="str">
        <f>IFERROR(__xludf.DUMMYFUNCTION("GOOGLETRANSLATE(B20502,""en"",""fr"")"),"Plusieurs enfants s'entraînent avec du matériel de plongée.")</f>
        <v>Plusieurs enfants s'entraînent avec du matériel de plongée.</v>
      </c>
    </row>
    <row r="20503">
      <c r="A20503" s="4" t="s">
        <v>25817</v>
      </c>
      <c r="B20503" s="6" t="s">
        <v>25818</v>
      </c>
      <c r="C20503" s="5" t="str">
        <f>IFERROR(__xludf.DUMMYFUNCTION("GOOGLETRANSLATE(B20503,""en"",""fr"")"),"Une femme dans un bureau tient une paire de tondeuses de toilettage tout en se tenant à côté d'un chien noir qui se tient sur une table à côté d'elle tout en étant attaché à un poteau en métal sur la table.")</f>
        <v>Une femme dans un bureau tient une paire de tondeuses de toilettage tout en se tenant à côté d'un chien noir qui se tient sur une table à côté d'elle tout en étant attaché à un poteau en métal sur la table.</v>
      </c>
    </row>
    <row r="20504">
      <c r="A20504" s="4" t="s">
        <v>25817</v>
      </c>
      <c r="B20504" s="4" t="s">
        <v>25819</v>
      </c>
      <c r="C20504" s="5" t="str">
        <f>IFERROR(__xludf.DUMMYFUNCTION("GOOGLETRANSLATE(B20504,""en"",""fr"")"),"La femme commence à préparer le visage des chiens avec les tondeuses.")</f>
        <v>La femme commence à préparer le visage des chiens avec les tondeuses.</v>
      </c>
    </row>
    <row r="20505">
      <c r="A20505" s="4" t="s">
        <v>25817</v>
      </c>
      <c r="B20505" s="4" t="s">
        <v>25820</v>
      </c>
      <c r="C20505" s="5" t="str">
        <f>IFERROR(__xludf.DUMMYFUNCTION("GOOGLETRANSLATE(B20505,""en"",""fr"")"),"La femme commence alors à se préparer sous les pattes avant des chiens.")</f>
        <v>La femme commence alors à se préparer sous les pattes avant des chiens.</v>
      </c>
    </row>
    <row r="20506">
      <c r="A20506" s="4" t="s">
        <v>25817</v>
      </c>
      <c r="B20506" s="6" t="s">
        <v>25821</v>
      </c>
      <c r="C20506" s="5" t="str">
        <f>IFERROR(__xludf.DUMMYFUNCTION("GOOGLETRANSLATE(B20506,""en"",""fr"")"),"Enfin, la femme prépare les jambes et la queue des chiens avant qu'un panneau publicitaire bleu et blanc ne fasse sauter.")</f>
        <v>Enfin, la femme prépare les jambes et la queue des chiens avant qu'un panneau publicitaire bleu et blanc ne fasse sauter.</v>
      </c>
    </row>
    <row r="20507">
      <c r="A20507" s="4" t="s">
        <v>25822</v>
      </c>
      <c r="B20507" s="6" t="s">
        <v>25823</v>
      </c>
      <c r="C20507" s="5" t="str">
        <f>IFERROR(__xludf.DUMMYFUNCTION("GOOGLETRANSLATE(B20507,""en"",""fr"")"),"Une fille attache un pli aveugle autour d'un autre tandis que plusieurs enfants sur le look et un adulte tient la fille en place.")</f>
        <v>Une fille attache un pli aveugle autour d'un autre tandis que plusieurs enfants sur le look et un adulte tient la fille en place.</v>
      </c>
    </row>
    <row r="20508">
      <c r="A20508" s="4" t="s">
        <v>25822</v>
      </c>
      <c r="B20508" s="4" t="s">
        <v>25824</v>
      </c>
      <c r="C20508" s="5" t="str">
        <f>IFERROR(__xludf.DUMMYFUNCTION("GOOGLETRANSLATE(B20508,""en"",""fr"")"),"La fille reçoit ensuite une batte et tente de casser une pinata.")</f>
        <v>La fille reçoit ensuite une batte et tente de casser une pinata.</v>
      </c>
    </row>
    <row r="20509">
      <c r="A20509" s="4" t="s">
        <v>25822</v>
      </c>
      <c r="B20509" s="4" t="s">
        <v>25825</v>
      </c>
      <c r="C20509" s="5" t="str">
        <f>IFERROR(__xludf.DUMMYFUNCTION("GOOGLETRANSLATE(B20509,""en"",""fr"")"),"La fille réussit à briser la pinata et les enfants sont très excités.")</f>
        <v>La fille réussit à briser la pinata et les enfants sont très excités.</v>
      </c>
    </row>
    <row r="20510">
      <c r="A20510" s="4" t="s">
        <v>25826</v>
      </c>
      <c r="B20510" s="4" t="s">
        <v>25827</v>
      </c>
      <c r="C20510" s="5" t="str">
        <f>IFERROR(__xludf.DUMMYFUNCTION("GOOGLETRANSLATE(B20510,""en"",""fr"")"),"Une caméra se déroule tout autour du ciel et montre un gros plan de cerf-volant.")</f>
        <v>Une caméra se déroule tout autour du ciel et montre un gros plan de cerf-volant.</v>
      </c>
    </row>
    <row r="20511">
      <c r="A20511" s="4" t="s">
        <v>25826</v>
      </c>
      <c r="B20511" s="4" t="s">
        <v>25828</v>
      </c>
      <c r="C20511" s="5" t="str">
        <f>IFERROR(__xludf.DUMMYFUNCTION("GOOGLETRANSLATE(B20511,""en"",""fr"")"),"Une personne est vue debout sur le sol et se remet au cerf-volant.")</f>
        <v>Une personne est vue debout sur le sol et se remet au cerf-volant.</v>
      </c>
    </row>
    <row r="20512">
      <c r="A20512" s="4" t="s">
        <v>25826</v>
      </c>
      <c r="B20512" s="4" t="s">
        <v>25829</v>
      </c>
      <c r="C20512" s="5" t="str">
        <f>IFERROR(__xludf.DUMMYFUNCTION("GOOGLETRANSLATE(B20512,""en"",""fr"")"),"Le cerf-volant continue de se déplacer en l'air pendant qu'une personne continue de le piloter.")</f>
        <v>Le cerf-volant continue de se déplacer en l'air pendant qu'une personne continue de le piloter.</v>
      </c>
    </row>
    <row r="20513">
      <c r="A20513" s="4" t="s">
        <v>25830</v>
      </c>
      <c r="B20513" s="4" t="s">
        <v>25831</v>
      </c>
      <c r="C20513" s="5" t="str">
        <f>IFERROR(__xludf.DUMMYFUNCTION("GOOGLETRANSLATE(B20513,""en"",""fr"")"),"Nous voyons un pneu de vélo et un homme interviewe BMX Bike Riders.")</f>
        <v>Nous voyons un pneu de vélo et un homme interviewe BMX Bike Riders.</v>
      </c>
    </row>
    <row r="20514">
      <c r="A20514" s="4" t="s">
        <v>25830</v>
      </c>
      <c r="B20514" s="4" t="s">
        <v>25832</v>
      </c>
      <c r="C20514" s="5" t="str">
        <f>IFERROR(__xludf.DUMMYFUNCTION("GOOGLETRANSLATE(B20514,""en"",""fr"")"),"Nous voyons les noms et les pays des coureurs.")</f>
        <v>Nous voyons les noms et les pays des coureurs.</v>
      </c>
    </row>
    <row r="20515">
      <c r="A20515" s="4" t="s">
        <v>25830</v>
      </c>
      <c r="B20515" s="4" t="s">
        <v>25833</v>
      </c>
      <c r="C20515" s="5" t="str">
        <f>IFERROR(__xludf.DUMMYFUNCTION("GOOGLETRANSLATE(B20515,""en"",""fr"")"),"Les hommes attendent puis décollent sur la piste.")</f>
        <v>Les hommes attendent puis décollent sur la piste.</v>
      </c>
    </row>
    <row r="20516">
      <c r="A20516" s="4" t="s">
        <v>25830</v>
      </c>
      <c r="B20516" s="4" t="s">
        <v>25834</v>
      </c>
      <c r="C20516" s="5" t="str">
        <f>IFERROR(__xludf.DUMMYFUNCTION("GOOGLETRANSLATE(B20516,""en"",""fr"")"),"Un homme tombe de son vélo et le vélo glisse.")</f>
        <v>Un homme tombe de son vélo et le vélo glisse.</v>
      </c>
    </row>
    <row r="20517">
      <c r="A20517" s="4" t="s">
        <v>25830</v>
      </c>
      <c r="B20517" s="4" t="s">
        <v>25835</v>
      </c>
      <c r="C20517" s="5" t="str">
        <f>IFERROR(__xludf.DUMMYFUNCTION("GOOGLETRANSLATE(B20517,""en"",""fr"")"),"Un autre homme tombe de son vélo et est presque écrasé.")</f>
        <v>Un autre homme tombe de son vélo et est presque écrasé.</v>
      </c>
    </row>
    <row r="20518">
      <c r="A20518" s="4" t="s">
        <v>25830</v>
      </c>
      <c r="B20518" s="4" t="s">
        <v>25836</v>
      </c>
      <c r="C20518" s="5" t="str">
        <f>IFERROR(__xludf.DUMMYFUNCTION("GOOGLETRANSLATE(B20518,""en"",""fr"")"),"L'homme interviewe deux hommes après la course et l'écran devient vert.")</f>
        <v>L'homme interviewe deux hommes après la course et l'écran devient vert.</v>
      </c>
    </row>
    <row r="20519">
      <c r="A20519" s="4" t="s">
        <v>25837</v>
      </c>
      <c r="B20519" s="4" t="s">
        <v>25838</v>
      </c>
      <c r="C20519" s="5" t="str">
        <f>IFERROR(__xludf.DUMMYFUNCTION("GOOGLETRANSLATE(B20519,""en"",""fr"")"),"Les gens s'entraînent sur des vélos dans un gymnase.")</f>
        <v>Les gens s'entraînent sur des vélos dans un gymnase.</v>
      </c>
    </row>
    <row r="20520">
      <c r="A20520" s="4" t="s">
        <v>25837</v>
      </c>
      <c r="B20520" s="4" t="s">
        <v>25839</v>
      </c>
      <c r="C20520" s="5" t="str">
        <f>IFERROR(__xludf.DUMMYFUNCTION("GOOGLETRANSLATE(B20520,""en"",""fr"")"),"Une femme à l'avant se lève et pédale sur le vélo.")</f>
        <v>Une femme à l'avant se lève et pédale sur le vélo.</v>
      </c>
    </row>
    <row r="20521">
      <c r="A20521" s="4" t="s">
        <v>25837</v>
      </c>
      <c r="B20521" s="4" t="s">
        <v>25840</v>
      </c>
      <c r="C20521" s="5" t="str">
        <f>IFERROR(__xludf.DUMMYFUNCTION("GOOGLETRANSLATE(B20521,""en"",""fr"")"),"Une bannière accrochée au mur est montrée.")</f>
        <v>Une bannière accrochée au mur est montrée.</v>
      </c>
    </row>
    <row r="20522">
      <c r="A20522" s="4" t="s">
        <v>25841</v>
      </c>
      <c r="B20522" s="4" t="s">
        <v>25842</v>
      </c>
      <c r="C20522" s="5" t="str">
        <f>IFERROR(__xludf.DUMMYFUNCTION("GOOGLETRANSLATE(B20522,""en"",""fr"")"),"Un homme en noir est assis et joue dans un piano tandis qu'un homme en rouge se tient près de la batterie.")</f>
        <v>Un homme en noir est assis et joue dans un piano tandis qu'un homme en rouge se tient près de la batterie.</v>
      </c>
    </row>
    <row r="20523">
      <c r="A20523" s="4" t="s">
        <v>25841</v>
      </c>
      <c r="B20523" s="4" t="s">
        <v>25843</v>
      </c>
      <c r="C20523" s="5" t="str">
        <f>IFERROR(__xludf.DUMMYFUNCTION("GOOGLETRANSLATE(B20523,""en"",""fr"")"),"Alors que l'homme en noir joue, l'homme en rouge roule un fil.")</f>
        <v>Alors que l'homme en noir joue, l'homme en rouge roule un fil.</v>
      </c>
    </row>
    <row r="20524">
      <c r="A20524" s="4" t="s">
        <v>25841</v>
      </c>
      <c r="B20524" s="4" t="s">
        <v>25844</v>
      </c>
      <c r="C20524" s="5" t="str">
        <f>IFERROR(__xludf.DUMMYFUNCTION("GOOGLETRANSLATE(B20524,""en"",""fr"")"),"L'homme en rouge commence à se balancer la tête au rythme de la musique de piano.")</f>
        <v>L'homme en rouge commence à se balancer la tête au rythme de la musique de piano.</v>
      </c>
    </row>
    <row r="20525">
      <c r="A20525" s="4" t="s">
        <v>25841</v>
      </c>
      <c r="B20525" s="4" t="s">
        <v>25845</v>
      </c>
      <c r="C20525" s="5" t="str">
        <f>IFERROR(__xludf.DUMMYFUNCTION("GOOGLETRANSLATE(B20525,""en"",""fr"")"),"L'homme place ensuite le fil.")</f>
        <v>L'homme place ensuite le fil.</v>
      </c>
    </row>
    <row r="20526">
      <c r="A20526" s="4" t="s">
        <v>25846</v>
      </c>
      <c r="B20526" s="4" t="s">
        <v>25847</v>
      </c>
      <c r="C20526" s="5" t="str">
        <f>IFERROR(__xludf.DUMMYFUNCTION("GOOGLETRANSLATE(B20526,""en"",""fr"")"),"Un bateau est vu rouler le long de l'eau avec des gens assis sur les côtés et regarder.")</f>
        <v>Un bateau est vu rouler le long de l'eau avec des gens assis sur les côtés et regarder.</v>
      </c>
    </row>
    <row r="20527">
      <c r="A20527" s="4" t="s">
        <v>25846</v>
      </c>
      <c r="B20527" s="6" t="s">
        <v>25848</v>
      </c>
      <c r="C20527" s="5" t="str">
        <f>IFERROR(__xludf.DUMMYFUNCTION("GOOGLETRANSLATE(B20527,""en"",""fr"")"),"Un jeune garçon est alors vu nager sous l'eau qui mène à des gens qui roulent sur le bateau et conduisent dans une ville.")</f>
        <v>Un jeune garçon est alors vu nager sous l'eau qui mène à des gens qui roulent sur le bateau et conduisent dans une ville.</v>
      </c>
    </row>
    <row r="20528">
      <c r="A20528" s="4" t="s">
        <v>25846</v>
      </c>
      <c r="B20528" s="4" t="s">
        <v>25849</v>
      </c>
      <c r="C20528" s="5" t="str">
        <f>IFERROR(__xludf.DUMMYFUNCTION("GOOGLETRANSLATE(B20528,""en"",""fr"")"),"La caméra continue de passer autour de la ville ainsi que la vie nocturne.")</f>
        <v>La caméra continue de passer autour de la ville ainsi que la vie nocturne.</v>
      </c>
    </row>
    <row r="20529">
      <c r="A20529" s="4" t="s">
        <v>25850</v>
      </c>
      <c r="B20529" s="4" t="s">
        <v>25851</v>
      </c>
      <c r="C20529" s="5" t="str">
        <f>IFERROR(__xludf.DUMMYFUNCTION("GOOGLETRANSLATE(B20529,""en"",""fr"")"),"La femme pratiquait des sauts dans une équipe de pom-pom girl.")</f>
        <v>La femme pratiquait des sauts dans une équipe de pom-pom girl.</v>
      </c>
    </row>
    <row r="20530">
      <c r="A20530" s="4" t="s">
        <v>25850</v>
      </c>
      <c r="B20530" s="4" t="s">
        <v>25852</v>
      </c>
      <c r="C20530" s="5" t="str">
        <f>IFERROR(__xludf.DUMMYFUNCTION("GOOGLETRANSLATE(B20530,""en"",""fr"")"),"La femme est allongée dans un lit et un homme l'aide.")</f>
        <v>La femme est allongée dans un lit et un homme l'aide.</v>
      </c>
    </row>
    <row r="20531">
      <c r="A20531" s="4" t="s">
        <v>25853</v>
      </c>
      <c r="B20531" s="6" t="s">
        <v>25854</v>
      </c>
      <c r="C20531" s="5" t="str">
        <f>IFERROR(__xludf.DUMMYFUNCTION("GOOGLETRANSLATE(B20531,""en"",""fr"")"),"Il y a deux personnes vêtues de chemises rouges et de shorts bleus jouant au ping-pong dans un grand stade avec beaucoup de spectateurs les regardant.")</f>
        <v>Il y a deux personnes vêtues de chemises rouges et de shorts bleus jouant au ping-pong dans un grand stade avec beaucoup de spectateurs les regardant.</v>
      </c>
    </row>
    <row r="20532">
      <c r="A20532" s="4" t="s">
        <v>25853</v>
      </c>
      <c r="B20532" s="4" t="s">
        <v>25855</v>
      </c>
      <c r="C20532" s="5" t="str">
        <f>IFERROR(__xludf.DUMMYFUNCTION("GOOGLETRANSLATE(B20532,""en"",""fr"")"),"Les joueurs jouent une longue partie de ping-pong alors qu'ils continuent de maintenir un grand rallye.")</f>
        <v>Les joueurs jouent une longue partie de ping-pong alors qu'ils continuent de maintenir un grand rallye.</v>
      </c>
    </row>
    <row r="20533">
      <c r="A20533" s="4" t="s">
        <v>25853</v>
      </c>
      <c r="B20533" s="6" t="s">
        <v>25856</v>
      </c>
      <c r="C20533" s="5" t="str">
        <f>IFERROR(__xludf.DUMMYFUNCTION("GOOGLETRANSLATE(B20533,""en"",""fr"")"),"Le joueur à droite coupe le ballon sur la table de ping-pong alors qu'il renvoie le ballon à son adversaire.")</f>
        <v>Le joueur à droite coupe le ballon sur la table de ping-pong alors qu'il renvoie le ballon à son adversaire.</v>
      </c>
    </row>
    <row r="20534">
      <c r="A20534" s="4" t="s">
        <v>25853</v>
      </c>
      <c r="B20534" s="4" t="s">
        <v>25857</v>
      </c>
      <c r="C20534" s="5" t="str">
        <f>IFERROR(__xludf.DUMMYFUNCTION("GOOGLETRANSLATE(B20534,""en"",""fr"")"),"L'adversaire parvient à retourner le ballon sans le manquer.")</f>
        <v>L'adversaire parvient à retourner le ballon sans le manquer.</v>
      </c>
    </row>
    <row r="20535">
      <c r="A20535" s="4" t="s">
        <v>25853</v>
      </c>
      <c r="B20535" s="6" t="s">
        <v>25858</v>
      </c>
      <c r="C20535" s="5" t="str">
        <f>IFERROR(__xludf.DUMMYFUNCTION("GOOGLETRANSLATE(B20535,""en"",""fr"")"),"Ils continuent de jouer un grand rallye alors que l'un des joueurs saute littéralement sur la table de ping-pong pour retourner le ballon.")</f>
        <v>Ils continuent de jouer un grand rallye alors que l'un des joueurs saute littéralement sur la table de ping-pong pour retourner le ballon.</v>
      </c>
    </row>
    <row r="20536">
      <c r="A20536" s="4" t="s">
        <v>25853</v>
      </c>
      <c r="B20536" s="4" t="s">
        <v>25859</v>
      </c>
      <c r="C20536" s="5" t="str">
        <f>IFERROR(__xludf.DUMMYFUNCTION("GOOGLETRANSLATE(B20536,""en"",""fr"")"),"L'autre joueur tombe sur le sol en essayant de frapper le ballon à son adversaire.")</f>
        <v>L'autre joueur tombe sur le sol en essayant de frapper le ballon à son adversaire.</v>
      </c>
    </row>
    <row r="20537">
      <c r="A20537" s="4" t="s">
        <v>25860</v>
      </c>
      <c r="B20537" s="4" t="s">
        <v>25861</v>
      </c>
      <c r="C20537" s="5" t="str">
        <f>IFERROR(__xludf.DUMMYFUNCTION("GOOGLETRANSLATE(B20537,""en"",""fr"")"),"Un homme est sur une corde dans les bois enneigés.")</f>
        <v>Un homme est sur une corde dans les bois enneigés.</v>
      </c>
    </row>
    <row r="20538">
      <c r="A20538" s="4" t="s">
        <v>25860</v>
      </c>
      <c r="B20538" s="4" t="s">
        <v>25862</v>
      </c>
      <c r="C20538" s="5" t="str">
        <f>IFERROR(__xludf.DUMMYFUNCTION("GOOGLETRANSLATE(B20538,""en"",""fr"")"),"Il se lance haut dans les airs, hors de la corde et revient.")</f>
        <v>Il se lance haut dans les airs, hors de la corde et revient.</v>
      </c>
    </row>
    <row r="20539">
      <c r="A20539" s="4" t="s">
        <v>25860</v>
      </c>
      <c r="B20539" s="4" t="s">
        <v>25863</v>
      </c>
      <c r="C20539" s="5" t="str">
        <f>IFERROR(__xludf.DUMMYFUNCTION("GOOGLETRANSLATE(B20539,""en"",""fr"")"),"Il poursuit cette action tout au long de la vidéo.")</f>
        <v>Il poursuit cette action tout au long de la vidéo.</v>
      </c>
    </row>
    <row r="20540">
      <c r="A20540" s="4" t="s">
        <v>25864</v>
      </c>
      <c r="B20540" s="4" t="s">
        <v>25865</v>
      </c>
      <c r="C20540" s="5" t="str">
        <f>IFERROR(__xludf.DUMMYFUNCTION("GOOGLETRANSLATE(B20540,""en"",""fr"")"),"Un adolescent court sur la plage.")</f>
        <v>Un adolescent court sur la plage.</v>
      </c>
    </row>
    <row r="20541">
      <c r="A20541" s="4" t="s">
        <v>25864</v>
      </c>
      <c r="B20541" s="4" t="s">
        <v>25866</v>
      </c>
      <c r="C20541" s="5" t="str">
        <f>IFERROR(__xludf.DUMMYFUNCTION("GOOGLETRANSLATE(B20541,""en"",""fr"")"),"Un chien le poursuit, essayant d'attraper son frisbee.")</f>
        <v>Un chien le poursuit, essayant d'attraper son frisbee.</v>
      </c>
    </row>
    <row r="20542">
      <c r="A20542" s="4" t="s">
        <v>25864</v>
      </c>
      <c r="B20542" s="4" t="s">
        <v>25867</v>
      </c>
      <c r="C20542" s="5" t="str">
        <f>IFERROR(__xludf.DUMMYFUNCTION("GOOGLETRANSLATE(B20542,""en"",""fr"")"),"Il lance le frisbee et le chien saute en l'air pour l'attraper.")</f>
        <v>Il lance le frisbee et le chien saute en l'air pour l'attraper.</v>
      </c>
    </row>
    <row r="20543">
      <c r="A20543" s="4" t="s">
        <v>25868</v>
      </c>
      <c r="B20543" s="4" t="s">
        <v>25869</v>
      </c>
      <c r="C20543" s="5" t="str">
        <f>IFERROR(__xludf.DUMMYFUNCTION("GOOGLETRANSLATE(B20543,""en"",""fr"")"),"Nous voyons un homme conduire un orchestre.")</f>
        <v>Nous voyons un homme conduire un orchestre.</v>
      </c>
    </row>
    <row r="20544">
      <c r="A20544" s="4" t="s">
        <v>25868</v>
      </c>
      <c r="B20544" s="4" t="s">
        <v>25870</v>
      </c>
      <c r="C20544" s="5" t="str">
        <f>IFERROR(__xludf.DUMMYFUNCTION("GOOGLETRANSLATE(B20544,""en"",""fr"")"),"Nous voyons une dame dans une robe bleue jouer devant les autres joueurs.")</f>
        <v>Nous voyons une dame dans une robe bleue jouer devant les autres joueurs.</v>
      </c>
    </row>
    <row r="20545">
      <c r="A20545" s="4" t="s">
        <v>25868</v>
      </c>
      <c r="B20545" s="4" t="s">
        <v>25871</v>
      </c>
      <c r="C20545" s="5" t="str">
        <f>IFERROR(__xludf.DUMMYFUNCTION("GOOGLETRANSLATE(B20545,""en"",""fr"")"),"Nous voyons la dame de l'arrière et nous voyons les autres joueurs.")</f>
        <v>Nous voyons la dame de l'arrière et nous voyons les autres joueurs.</v>
      </c>
    </row>
    <row r="20546">
      <c r="A20546" s="4" t="s">
        <v>25868</v>
      </c>
      <c r="B20546" s="4" t="s">
        <v>25872</v>
      </c>
      <c r="C20546" s="5" t="str">
        <f>IFERROR(__xludf.DUMMYFUNCTION("GOOGLETRANSLATE(B20546,""en"",""fr"")"),"Nous voyons une photo de tout l'orchestre.")</f>
        <v>Nous voyons une photo de tout l'orchestre.</v>
      </c>
    </row>
    <row r="20547">
      <c r="A20547" s="4" t="s">
        <v>25868</v>
      </c>
      <c r="B20547" s="4" t="s">
        <v>25873</v>
      </c>
      <c r="C20547" s="5" t="str">
        <f>IFERROR(__xludf.DUMMYFUNCTION("GOOGLETRANSLATE(B20547,""en"",""fr"")"),"Nous voyons les joueurs de Basoon jouer.")</f>
        <v>Nous voyons les joueurs de Basoon jouer.</v>
      </c>
    </row>
    <row r="20548">
      <c r="A20548" s="4" t="s">
        <v>25868</v>
      </c>
      <c r="B20548" s="4" t="s">
        <v>25874</v>
      </c>
      <c r="C20548" s="5" t="str">
        <f>IFERROR(__xludf.DUMMYFUNCTION("GOOGLETRANSLATE(B20548,""en"",""fr"")"),"Nous s'estompons en noir et la vidéo se termine.")</f>
        <v>Nous s'estompons en noir et la vidéo se termine.</v>
      </c>
    </row>
    <row r="20549">
      <c r="A20549" s="4" t="s">
        <v>25875</v>
      </c>
      <c r="B20549" s="6" t="s">
        <v>25876</v>
      </c>
      <c r="C20549" s="5" t="str">
        <f>IFERROR(__xludf.DUMMYFUNCTION("GOOGLETRANSLATE(B20549,""en"",""fr"")"),"Une photo d'un chien dans une baignoire et mène à des outils de maintien des mains et un chien errant autour d'une baignoire.")</f>
        <v>Une photo d'un chien dans une baignoire et mène à des outils de maintien des mains et un chien errant autour d'une baignoire.</v>
      </c>
    </row>
    <row r="20550">
      <c r="A20550" s="4" t="s">
        <v>25875</v>
      </c>
      <c r="B20550" s="4" t="s">
        <v>25877</v>
      </c>
      <c r="C20550" s="5" t="str">
        <f>IFERROR(__xludf.DUMMYFUNCTION("GOOGLETRANSLATE(B20550,""en"",""fr"")"),"La personne met le dentifrice sur une brosse et brosse les dents du chien en arrière et quatrième.")</f>
        <v>La personne met le dentifrice sur une brosse et brosse les dents du chien en arrière et quatrième.</v>
      </c>
    </row>
    <row r="20551">
      <c r="A20551" s="4" t="s">
        <v>25875</v>
      </c>
      <c r="B20551" s="4" t="s">
        <v>25878</v>
      </c>
      <c r="C20551" s="5" t="str">
        <f>IFERROR(__xludf.DUMMYFUNCTION("GOOGLETRANSLATE(B20551,""en"",""fr"")"),"Enfin, elle met du gel dans la bouche du chien et le chien est vu assis sur un lit en signe de la caméra.")</f>
        <v>Enfin, elle met du gel dans la bouche du chien et le chien est vu assis sur un lit en signe de la caméra.</v>
      </c>
    </row>
    <row r="20552">
      <c r="A20552" s="4" t="s">
        <v>25879</v>
      </c>
      <c r="B20552" s="6" t="s">
        <v>25880</v>
      </c>
      <c r="C20552" s="5" t="str">
        <f>IFERROR(__xludf.DUMMYFUNCTION("GOOGLETRANSLATE(B20552,""en"",""fr"")"),"Deux femmes sont vues jouer sur une scène avec l'une jouant une flûte et l'autre jouant du piano.")</f>
        <v>Deux femmes sont vues jouer sur une scène avec l'une jouant une flûte et l'autre jouant du piano.</v>
      </c>
    </row>
    <row r="20553">
      <c r="A20553" s="4" t="s">
        <v>25879</v>
      </c>
      <c r="B20553" s="6" t="s">
        <v>25881</v>
      </c>
      <c r="C20553" s="5" t="str">
        <f>IFERROR(__xludf.DUMMYFUNCTION("GOOGLETRANSLATE(B20553,""en"",""fr"")"),"Les femmes jouent une chanson tandis que la caméra zoome sur le joueur de flûte et elle s'inclinant et partant à la fin.")</f>
        <v>Les femmes jouent une chanson tandis que la caméra zoome sur le joueur de flûte et elle s'inclinant et partant à la fin.</v>
      </c>
    </row>
    <row r="20554">
      <c r="A20554" s="4" t="s">
        <v>25882</v>
      </c>
      <c r="B20554" s="6" t="s">
        <v>25883</v>
      </c>
      <c r="C20554" s="5" t="str">
        <f>IFERROR(__xludf.DUMMYFUNCTION("GOOGLETRANSLATE(B20554,""en"",""fr"")"),"Un homme nettoie une fenêtre à l'aide d'une raclette douce avec détergent tout en expliquant, puis l'homme prend un essuie-glace en acier pour nettoyer le détergent sur la fenêtre.")</f>
        <v>Un homme nettoie une fenêtre à l'aide d'une raclette douce avec détergent tout en expliquant, puis l'homme prend un essuie-glace en acier pour nettoyer le détergent sur la fenêtre.</v>
      </c>
    </row>
    <row r="20555">
      <c r="A20555" s="4" t="s">
        <v>25882</v>
      </c>
      <c r="B20555" s="4" t="s">
        <v>25884</v>
      </c>
      <c r="C20555" s="5" t="str">
        <f>IFERROR(__xludf.DUMMYFUNCTION("GOOGLETRANSLATE(B20555,""en"",""fr"")"),"Ensuite, l'homme applique plus de détergent avec la raclette douce, puis nettoie avec l'essuie-glace raide.")</f>
        <v>Ensuite, l'homme applique plus de détergent avec la raclette douce, puis nettoie avec l'essuie-glace raide.</v>
      </c>
    </row>
    <row r="20556">
      <c r="A20556" s="4" t="s">
        <v>25882</v>
      </c>
      <c r="B20556" s="6" t="s">
        <v>25885</v>
      </c>
      <c r="C20556" s="5" t="str">
        <f>IFERROR(__xludf.DUMMYFUNCTION("GOOGLETRANSLATE(B20556,""en"",""fr"")"),"Après, l'homme lave à nouveau la fenêtre à l'aide de la raclette douce et de l'acier essuyé tout en expliquant la procédure.")</f>
        <v>Après, l'homme lave à nouveau la fenêtre à l'aide de la raclette douce et de l'acier essuyé tout en expliquant la procédure.</v>
      </c>
    </row>
    <row r="20557">
      <c r="A20557" s="4" t="s">
        <v>25886</v>
      </c>
      <c r="B20557" s="4" t="s">
        <v>25887</v>
      </c>
      <c r="C20557" s="5" t="str">
        <f>IFERROR(__xludf.DUMMYFUNCTION("GOOGLETRANSLATE(B20557,""en"",""fr"")"),"Les motards font du vélo sur la rampe, tandis que sur la ligne de départ, le groupe de motards est positionné.")</f>
        <v>Les motards font du vélo sur la rampe, tandis que sur la ligne de départ, le groupe de motards est positionné.</v>
      </c>
    </row>
    <row r="20558">
      <c r="A20558" s="4" t="s">
        <v>25886</v>
      </c>
      <c r="B20558" s="4" t="s">
        <v>25888</v>
      </c>
      <c r="C20558" s="5" t="str">
        <f>IFERROR(__xludf.DUMMYFUNCTION("GOOGLETRANSLATE(B20558,""en"",""fr"")"),"La petite clôture a été déposée, les motards ont fait la course à vélo sur les grandes rampes.")</f>
        <v>La petite clôture a été déposée, les motards ont fait la course à vélo sur les grandes rampes.</v>
      </c>
    </row>
    <row r="20559">
      <c r="A20559" s="4" t="s">
        <v>25886</v>
      </c>
      <c r="B20559" s="4" t="s">
        <v>25889</v>
      </c>
      <c r="C20559" s="5" t="str">
        <f>IFERROR(__xludf.DUMMYFUNCTION("GOOGLETRANSLATE(B20559,""en"",""fr"")"),"Les spectateurs sont sur le côté des pistes.")</f>
        <v>Les spectateurs sont sur le côté des pistes.</v>
      </c>
    </row>
    <row r="20560">
      <c r="A20560" s="4" t="s">
        <v>25890</v>
      </c>
      <c r="B20560" s="4" t="s">
        <v>25891</v>
      </c>
      <c r="C20560" s="5" t="str">
        <f>IFERROR(__xludf.DUMMYFUNCTION("GOOGLETRANSLATE(B20560,""en"",""fr"")"),"Un homme tient un fer qui passe sur un tableau.")</f>
        <v>Un homme tient un fer qui passe sur un tableau.</v>
      </c>
    </row>
    <row r="20561">
      <c r="A20561" s="4" t="s">
        <v>25890</v>
      </c>
      <c r="B20561" s="4" t="s">
        <v>25892</v>
      </c>
      <c r="C20561" s="5" t="str">
        <f>IFERROR(__xludf.DUMMYFUNCTION("GOOGLETRANSLATE(B20561,""en"",""fr"")"),"Un homme de neige sur une colline tenant un bâton.")</f>
        <v>Un homme de neige sur une colline tenant un bâton.</v>
      </c>
    </row>
    <row r="20562">
      <c r="A20562" s="4" t="s">
        <v>25890</v>
      </c>
      <c r="B20562" s="4" t="s">
        <v>25893</v>
      </c>
      <c r="C20562" s="5" t="str">
        <f>IFERROR(__xludf.DUMMYFUNCTION("GOOGLETRANSLATE(B20562,""en"",""fr"")"),"La neige volant dans l'air atterrit sur le visage de l'homme, puis l'homme continue de snowboard.")</f>
        <v>La neige volant dans l'air atterrit sur le visage de l'homme, puis l'homme continue de snowboard.</v>
      </c>
    </row>
    <row r="20563">
      <c r="A20563" s="4" t="s">
        <v>25890</v>
      </c>
      <c r="B20563" s="4" t="s">
        <v>25894</v>
      </c>
      <c r="C20563" s="5" t="str">
        <f>IFERROR(__xludf.DUMMYFUNCTION("GOOGLETRANSLATE(B20563,""en"",""fr"")"),"Après, l'homme arrive à la station de ski.")</f>
        <v>Après, l'homme arrive à la station de ski.</v>
      </c>
    </row>
    <row r="20564">
      <c r="A20564" s="4" t="s">
        <v>25895</v>
      </c>
      <c r="B20564" s="4" t="s">
        <v>25896</v>
      </c>
      <c r="C20564" s="5" t="str">
        <f>IFERROR(__xludf.DUMMYFUNCTION("GOOGLETRANSLATE(B20564,""en"",""fr"")"),"Un homme est vu se plier devant un lourd ensemble de poids.")</f>
        <v>Un homme est vu se plier devant un lourd ensemble de poids.</v>
      </c>
    </row>
    <row r="20565">
      <c r="A20565" s="4" t="s">
        <v>25895</v>
      </c>
      <c r="B20565" s="4" t="s">
        <v>25897</v>
      </c>
      <c r="C20565" s="5" t="str">
        <f>IFERROR(__xludf.DUMMYFUNCTION("GOOGLETRANSLATE(B20565,""en"",""fr"")"),"L'homme se penche alors et soulève les poids sur sa tête.")</f>
        <v>L'homme se penche alors et soulève les poids sur sa tête.</v>
      </c>
    </row>
    <row r="20566">
      <c r="A20566" s="4" t="s">
        <v>25895</v>
      </c>
      <c r="B20566" s="4" t="s">
        <v>25898</v>
      </c>
      <c r="C20566" s="5" t="str">
        <f>IFERROR(__xludf.DUMMYFUNCTION("GOOGLETRANSLATE(B20566,""en"",""fr"")"),"Il continue de maintenir les poids et les jette à la fin en s'éloignant.")</f>
        <v>Il continue de maintenir les poids et les jette à la fin en s'éloignant.</v>
      </c>
    </row>
    <row r="20567">
      <c r="A20567" s="4" t="s">
        <v>25899</v>
      </c>
      <c r="B20567" s="4" t="s">
        <v>25900</v>
      </c>
      <c r="C20567" s="5" t="str">
        <f>IFERROR(__xludf.DUMMYFUNCTION("GOOGLETRANSLATE(B20567,""en"",""fr"")"),"Une femme se prépare pour un lancer de lancer du poids balançant ses bras sur un terrain sportif.")</f>
        <v>Une femme se prépare pour un lancer de lancer du poids balançant ses bras sur un terrain sportif.</v>
      </c>
    </row>
    <row r="20568">
      <c r="A20568" s="4" t="s">
        <v>25899</v>
      </c>
      <c r="B20568" s="4" t="s">
        <v>25901</v>
      </c>
      <c r="C20568" s="5" t="str">
        <f>IFERROR(__xludf.DUMMYFUNCTION("GOOGLETRANSLATE(B20568,""en"",""fr"")"),"L'athlète serpente ses épaules que fait tourner son corps en lançant un lancer du poids.")</f>
        <v>L'athlète serpente ses épaules que fait tourner son corps en lançant un lancer du poids.</v>
      </c>
    </row>
    <row r="20569">
      <c r="A20569" s="4" t="s">
        <v>25902</v>
      </c>
      <c r="B20569" s="4" t="s">
        <v>25903</v>
      </c>
      <c r="C20569" s="5" t="str">
        <f>IFERROR(__xludf.DUMMYFUNCTION("GOOGLETRANSLATE(B20569,""en"",""fr"")"),"Plusieurs jeunes hommes embarquent à bord d'un petit bateau motorisé par une journée très agréable et ensoleillée.")</f>
        <v>Plusieurs jeunes hommes embarquent à bord d'un petit bateau motorisé par une journée très agréable et ensoleillée.</v>
      </c>
    </row>
    <row r="20570">
      <c r="A20570" s="4" t="s">
        <v>25902</v>
      </c>
      <c r="B20570" s="4" t="s">
        <v>25904</v>
      </c>
      <c r="C20570" s="5" t="str">
        <f>IFERROR(__xludf.DUMMYFUNCTION("GOOGLETRANSLATE(B20570,""en"",""fr"")"),"Le bateau reculent lentement pour faire du ski nautique.")</f>
        <v>Le bateau reculent lentement pour faire du ski nautique.</v>
      </c>
    </row>
    <row r="20571">
      <c r="A20571" s="4" t="s">
        <v>25902</v>
      </c>
      <c r="B20571" s="4" t="s">
        <v>25905</v>
      </c>
      <c r="C20571" s="5" t="str">
        <f>IFERROR(__xludf.DUMMYFUNCTION("GOOGLETRANSLATE(B20571,""en"",""fr"")"),"Le bateau quitte le quai et ils sont partis.")</f>
        <v>Le bateau quitte le quai et ils sont partis.</v>
      </c>
    </row>
    <row r="20572">
      <c r="A20572" s="4" t="s">
        <v>25902</v>
      </c>
      <c r="B20572" s="4" t="s">
        <v>25906</v>
      </c>
      <c r="C20572" s="5" t="str">
        <f>IFERROR(__xludf.DUMMYFUNCTION("GOOGLETRANSLATE(B20572,""en"",""fr"")"),"Après avoir ramassé de la vitesse sur le bateau propulsé, leurs amis sautent et passent un bon moment.")</f>
        <v>Après avoir ramassé de la vitesse sur le bateau propulsé, leurs amis sautent et passent un bon moment.</v>
      </c>
    </row>
    <row r="20573">
      <c r="A20573" s="4" t="s">
        <v>25902</v>
      </c>
      <c r="B20573" s="4" t="s">
        <v>25907</v>
      </c>
      <c r="C20573" s="5" t="str">
        <f>IFERROR(__xludf.DUMMYFUNCTION("GOOGLETRANSLATE(B20573,""en"",""fr"")"),"Une ligne de corde est jetée pour qu'ils puissent s'arrêter et cela commence.")</f>
        <v>Une ligne de corde est jetée pour qu'ils puissent s'arrêter et cela commence.</v>
      </c>
    </row>
    <row r="20574">
      <c r="A20574" s="4" t="s">
        <v>25902</v>
      </c>
      <c r="B20574" s="4" t="s">
        <v>25908</v>
      </c>
      <c r="C20574" s="5" t="str">
        <f>IFERROR(__xludf.DUMMYFUNCTION("GOOGLETRANSLATE(B20574,""en"",""fr"")"),"Ils ramassent de la vitesse et une jeune femme skie sur l'eau à un rythme très rapide.")</f>
        <v>Ils ramassent de la vitesse et une jeune femme skie sur l'eau à un rythme très rapide.</v>
      </c>
    </row>
    <row r="20575">
      <c r="A20575" s="4" t="s">
        <v>25902</v>
      </c>
      <c r="B20575" s="4" t="s">
        <v>25909</v>
      </c>
      <c r="C20575" s="5" t="str">
        <f>IFERROR(__xludf.DUMMYFUNCTION("GOOGLETRANSLATE(B20575,""en"",""fr"")"),"Elle fait des allers-retours et d'un côté à l'autre au ralenti.")</f>
        <v>Elle fait des allers-retours et d'un côté à l'autre au ralenti.</v>
      </c>
    </row>
    <row r="20576">
      <c r="A20576" s="4" t="s">
        <v>25902</v>
      </c>
      <c r="B20576" s="4" t="s">
        <v>25910</v>
      </c>
      <c r="C20576" s="5" t="str">
        <f>IFERROR(__xludf.DUMMYFUNCTION("GOOGLETRANSLATE(B20576,""en"",""fr"")"),"Les amis regardent en arrière pour voir comment elle va.")</f>
        <v>Les amis regardent en arrière pour voir comment elle va.</v>
      </c>
    </row>
    <row r="20577">
      <c r="A20577" s="4" t="s">
        <v>25902</v>
      </c>
      <c r="B20577" s="4" t="s">
        <v>25911</v>
      </c>
      <c r="C20577" s="5" t="str">
        <f>IFERROR(__xludf.DUMMYFUNCTION("GOOGLETRANSLATE(B20577,""en"",""fr"")"),"Un jeune homme est montré en skiant sur l'eau et fait un excellent travail.")</f>
        <v>Un jeune homme est montré en skiant sur l'eau et fait un excellent travail.</v>
      </c>
    </row>
    <row r="20578">
      <c r="A20578" s="4" t="s">
        <v>25902</v>
      </c>
      <c r="B20578" s="4" t="s">
        <v>25912</v>
      </c>
      <c r="C20578" s="5" t="str">
        <f>IFERROR(__xludf.DUMMYFUNCTION("GOOGLETRANSLATE(B20578,""en"",""fr"")"),"Après avoir fini, il lâche la ligne et continue de skier sur l'eau, seulement pour retomber.")</f>
        <v>Après avoir fini, il lâche la ligne et continue de skier sur l'eau, seulement pour retomber.</v>
      </c>
    </row>
    <row r="20579">
      <c r="A20579" s="4" t="s">
        <v>25913</v>
      </c>
      <c r="B20579" s="4" t="s">
        <v>25914</v>
      </c>
      <c r="C20579" s="5" t="str">
        <f>IFERROR(__xludf.DUMMYFUNCTION("GOOGLETRANSLATE(B20579,""en"",""fr"")"),"Quelques femmes sont présentées dans une salle de sport.")</f>
        <v>Quelques femmes sont présentées dans une salle de sport.</v>
      </c>
    </row>
    <row r="20580">
      <c r="A20580" s="4" t="s">
        <v>25913</v>
      </c>
      <c r="B20580" s="4" t="s">
        <v>25915</v>
      </c>
      <c r="C20580" s="5" t="str">
        <f>IFERROR(__xludf.DUMMYFUNCTION("GOOGLETRANSLATE(B20580,""en"",""fr"")"),"Une femme parle à la caméra tandis qu'un autre montre des mouvements de danse.")</f>
        <v>Une femme parle à la caméra tandis qu'un autre montre des mouvements de danse.</v>
      </c>
    </row>
    <row r="20581">
      <c r="A20581" s="4" t="s">
        <v>25913</v>
      </c>
      <c r="B20581" s="4" t="s">
        <v>25916</v>
      </c>
      <c r="C20581" s="5" t="str">
        <f>IFERROR(__xludf.DUMMYFUNCTION("GOOGLETRANSLATE(B20581,""en"",""fr"")"),"Elle démontre différents mouvements et positions de ballet.")</f>
        <v>Elle démontre différents mouvements et positions de ballet.</v>
      </c>
    </row>
    <row r="20582">
      <c r="A20582" s="4" t="s">
        <v>25917</v>
      </c>
      <c r="B20582" s="4" t="s">
        <v>25918</v>
      </c>
      <c r="C20582" s="5" t="str">
        <f>IFERROR(__xludf.DUMMYFUNCTION("GOOGLETRANSLATE(B20582,""en"",""fr"")"),"Les gens raftent sur une rivière agitée.")</f>
        <v>Les gens raftent sur une rivière agitée.</v>
      </c>
    </row>
    <row r="20583">
      <c r="A20583" s="4" t="s">
        <v>25917</v>
      </c>
      <c r="B20583" s="4" t="s">
        <v>25919</v>
      </c>
      <c r="C20583" s="5" t="str">
        <f>IFERROR(__xludf.DUMMYFUNCTION("GOOGLETRANSLATE(B20583,""en"",""fr"")"),"Un radeau bleu descend une cascade élevée.")</f>
        <v>Un radeau bleu descend une cascade élevée.</v>
      </c>
    </row>
    <row r="20584">
      <c r="A20584" s="4" t="s">
        <v>25917</v>
      </c>
      <c r="B20584" s="4" t="s">
        <v>1599</v>
      </c>
      <c r="C20584" s="5" t="str">
        <f>IFERROR(__xludf.DUMMYFUNCTION("GOOGLETRANSLATE(B20584,""en"",""fr"")"),"Les mots sont affichés à l'écran.")</f>
        <v>Les mots sont affichés à l'écran.</v>
      </c>
    </row>
    <row r="20585">
      <c r="A20585" s="4" t="s">
        <v>25920</v>
      </c>
      <c r="B20585" s="4" t="s">
        <v>25921</v>
      </c>
      <c r="C20585" s="5" t="str">
        <f>IFERROR(__xludf.DUMMYFUNCTION("GOOGLETRANSLATE(B20585,""en"",""fr"")"),"Deux hommes tiennent une flûte tandis que l'un souffle et l'autre bouge ses mains.")</f>
        <v>Deux hommes tiennent une flûte tandis que l'un souffle et l'autre bouge ses mains.</v>
      </c>
    </row>
    <row r="20586">
      <c r="A20586" s="4" t="s">
        <v>25920</v>
      </c>
      <c r="B20586" s="4" t="s">
        <v>25922</v>
      </c>
      <c r="C20586" s="5" t="str">
        <f>IFERROR(__xludf.DUMMYFUNCTION("GOOGLETRANSLATE(B20586,""en"",""fr"")"),"Un orchestre montre derrière les hommes pendant qu'ils continuent de jouer sur le même instrument.")</f>
        <v>Un orchestre montre derrière les hommes pendant qu'ils continuent de jouer sur le même instrument.</v>
      </c>
    </row>
    <row r="20587">
      <c r="A20587" s="4" t="s">
        <v>25920</v>
      </c>
      <c r="B20587" s="4" t="s">
        <v>25923</v>
      </c>
      <c r="C20587" s="5" t="str">
        <f>IFERROR(__xludf.DUMMYFUNCTION("GOOGLETRANSLATE(B20587,""en"",""fr"")"),"Les hommes continuent de jouer jusqu'à la fin de la chanson et prennent un arc alors que le groupe applaudit.")</f>
        <v>Les hommes continuent de jouer jusqu'à la fin de la chanson et prennent un arc alors que le groupe applaudit.</v>
      </c>
    </row>
    <row r="20588">
      <c r="A20588" s="4" t="s">
        <v>25924</v>
      </c>
      <c r="B20588" s="4" t="s">
        <v>25925</v>
      </c>
      <c r="C20588" s="5" t="str">
        <f>IFERROR(__xludf.DUMMYFUNCTION("GOOGLETRANSLATE(B20588,""en"",""fr"")"),"Nous voyons l'écran de titre sur un fond rouge.")</f>
        <v>Nous voyons l'écran de titre sur un fond rouge.</v>
      </c>
    </row>
    <row r="20589">
      <c r="A20589" s="4" t="s">
        <v>25924</v>
      </c>
      <c r="B20589" s="4" t="s">
        <v>25926</v>
      </c>
      <c r="C20589" s="5" t="str">
        <f>IFERROR(__xludf.DUMMYFUNCTION("GOOGLETRANSLATE(B20589,""en"",""fr"")"),"Nous voyons des femmes jouer à la crosse.")</f>
        <v>Nous voyons des femmes jouer à la crosse.</v>
      </c>
    </row>
    <row r="20590">
      <c r="A20590" s="4" t="s">
        <v>25924</v>
      </c>
      <c r="B20590" s="4" t="s">
        <v>25927</v>
      </c>
      <c r="C20590" s="5" t="str">
        <f>IFERROR(__xludf.DUMMYFUNCTION("GOOGLETRANSLATE(B20590,""en"",""fr"")"),"Nous voyons les joueurs à travers le filet d'un but.")</f>
        <v>Nous voyons les joueurs à travers le filet d'un but.</v>
      </c>
    </row>
    <row r="20591">
      <c r="A20591" s="4" t="s">
        <v>25924</v>
      </c>
      <c r="B20591" s="4" t="s">
        <v>25928</v>
      </c>
      <c r="C20591" s="5" t="str">
        <f>IFERROR(__xludf.DUMMYFUNCTION("GOOGLETRANSLATE(B20591,""en"",""fr"")"),"Nous voyons une dame en rose parler à la caméra.")</f>
        <v>Nous voyons une dame en rose parler à la caméra.</v>
      </c>
    </row>
    <row r="20592">
      <c r="A20592" s="4" t="s">
        <v>25924</v>
      </c>
      <c r="B20592" s="4" t="s">
        <v>25929</v>
      </c>
      <c r="C20592" s="5" t="str">
        <f>IFERROR(__xludf.DUMMYFUNCTION("GOOGLETRANSLATE(B20592,""en"",""fr"")"),"Nous voyons ensuite une dame dans une chemise bleue parler.")</f>
        <v>Nous voyons ensuite une dame dans une chemise bleue parler.</v>
      </c>
    </row>
    <row r="20593">
      <c r="A20593" s="4" t="s">
        <v>25924</v>
      </c>
      <c r="B20593" s="4" t="s">
        <v>25930</v>
      </c>
      <c r="C20593" s="5" t="str">
        <f>IFERROR(__xludf.DUMMYFUNCTION("GOOGLETRANSLATE(B20593,""en"",""fr"")"),"Une dame dans un sac à dos parle à la caméra.")</f>
        <v>Une dame dans un sac à dos parle à la caméra.</v>
      </c>
    </row>
    <row r="20594">
      <c r="A20594" s="4" t="s">
        <v>25924</v>
      </c>
      <c r="B20594" s="4" t="s">
        <v>25931</v>
      </c>
      <c r="C20594" s="5" t="str">
        <f>IFERROR(__xludf.DUMMYFUNCTION("GOOGLETRANSLATE(B20594,""en"",""fr"")"),"Nous voyons ensuite l'écran de fin et le noir.")</f>
        <v>Nous voyons ensuite l'écran de fin et le noir.</v>
      </c>
    </row>
    <row r="20595">
      <c r="A20595" s="4" t="s">
        <v>25932</v>
      </c>
      <c r="B20595" s="4" t="s">
        <v>25933</v>
      </c>
      <c r="C20595" s="5" t="str">
        <f>IFERROR(__xludf.DUMMYFUNCTION("GOOGLETRANSLATE(B20595,""en"",""fr"")"),"Un logo ""Monkeysee Com"" apparaît à l'écran avec le slogan ""Voir comment les experts le font.")</f>
        <v>Un logo "Monkeysee Com" apparaît à l'écran avec le slogan "Voir comment les experts le font.</v>
      </c>
    </row>
    <row r="20596">
      <c r="A20596" s="4" t="s">
        <v>25932</v>
      </c>
      <c r="B20596" s="6" t="s">
        <v>25934</v>
      </c>
      <c r="C20596" s="5" t="str">
        <f>IFERROR(__xludf.DUMMYFUNCTION("GOOGLETRANSLATE(B20596,""en"",""fr"")"),"«Un jeune homme se tient au premier plan à parler tandis qu'une pom-pom girl se tient derrière lui pour effectuer des routines.")</f>
        <v>«Un jeune homme se tient au premier plan à parler tandis qu'une pom-pom girl se tient derrière lui pour effectuer des routines.</v>
      </c>
    </row>
    <row r="20597">
      <c r="A20597" s="4" t="s">
        <v>25932</v>
      </c>
      <c r="B20597" s="4" t="s">
        <v>25935</v>
      </c>
      <c r="C20597" s="5" t="str">
        <f>IFERROR(__xludf.DUMMYFUNCTION("GOOGLETRANSLATE(B20597,""en"",""fr"")"),"L'écran du droit d'auteur et du logo apparaît sur un écran noir.")</f>
        <v>L'écran du droit d'auteur et du logo apparaît sur un écran noir.</v>
      </c>
    </row>
    <row r="20598">
      <c r="A20598" s="4" t="s">
        <v>25936</v>
      </c>
      <c r="B20598" s="4" t="s">
        <v>25937</v>
      </c>
      <c r="C20598" s="5" t="str">
        <f>IFERROR(__xludf.DUMMYFUNCTION("GOOGLETRANSLATE(B20598,""en"",""fr"")"),"Un préposé de la boutique tient le cerceau Hula et montre comment le saisir.")</f>
        <v>Un préposé de la boutique tient le cerceau Hula et montre comment le saisir.</v>
      </c>
    </row>
    <row r="20599">
      <c r="A20599" s="4" t="s">
        <v>25936</v>
      </c>
      <c r="B20599" s="4" t="s">
        <v>25938</v>
      </c>
      <c r="C20599" s="5" t="str">
        <f>IFERROR(__xludf.DUMMYFUNCTION("GOOGLETRANSLATE(B20599,""en"",""fr"")"),"La femme laisse tomber le cerceau et la laisse tourner autour de son corps au sol.")</f>
        <v>La femme laisse tomber le cerceau et la laisse tourner autour de son corps au sol.</v>
      </c>
    </row>
    <row r="20600">
      <c r="A20600" s="4" t="s">
        <v>25936</v>
      </c>
      <c r="B20600" s="4" t="s">
        <v>25939</v>
      </c>
      <c r="C20600" s="5" t="str">
        <f>IFERROR(__xludf.DUMMYFUNCTION("GOOGLETRANSLATE(B20600,""en"",""fr"")"),"La femme laisse tomber le cerceau du hula et la laisse tourner autour de son corps puis l'attrape.")</f>
        <v>La femme laisse tomber le cerceau du hula et la laisse tourner autour de son corps puis l'attrape.</v>
      </c>
    </row>
    <row r="20601">
      <c r="A20601" s="4" t="s">
        <v>25936</v>
      </c>
      <c r="B20601" s="4" t="s">
        <v>25940</v>
      </c>
      <c r="C20601" s="5" t="str">
        <f>IFERROR(__xludf.DUMMYFUNCTION("GOOGLETRANSLATE(B20601,""en"",""fr"")"),"La femme s'entraîne à balancer le cerceau entre deux jambes.")</f>
        <v>La femme s'entraîne à balancer le cerceau entre deux jambes.</v>
      </c>
    </row>
    <row r="20602">
      <c r="A20602" s="4" t="s">
        <v>25936</v>
      </c>
      <c r="B20602" s="4" t="s">
        <v>25941</v>
      </c>
      <c r="C20602" s="5" t="str">
        <f>IFERROR(__xludf.DUMMYFUNCTION("GOOGLETRANSLATE(B20602,""en"",""fr"")"),"La femme attrape le cerceau en rotation alors qu'il tombe entre ses jambes.")</f>
        <v>La femme attrape le cerceau en rotation alors qu'il tombe entre ses jambes.</v>
      </c>
    </row>
    <row r="20603">
      <c r="A20603" s="4" t="s">
        <v>25936</v>
      </c>
      <c r="B20603" s="4" t="s">
        <v>25942</v>
      </c>
      <c r="C20603" s="5" t="str">
        <f>IFERROR(__xludf.DUMMYFUNCTION("GOOGLETRANSLATE(B20603,""en"",""fr"")"),"La femme tourne le cerceau vers le haut autour de son corps.")</f>
        <v>La femme tourne le cerceau vers le haut autour de son corps.</v>
      </c>
    </row>
    <row r="20604">
      <c r="A20604" s="4" t="s">
        <v>25943</v>
      </c>
      <c r="B20604" s="4" t="s">
        <v>25944</v>
      </c>
      <c r="C20604" s="5" t="str">
        <f>IFERROR(__xludf.DUMMYFUNCTION("GOOGLETRANSLATE(B20604,""en"",""fr"")"),"Un mec essuie un pneu de voiture.")</f>
        <v>Un mec essuie un pneu de voiture.</v>
      </c>
    </row>
    <row r="20605">
      <c r="A20605" s="4" t="s">
        <v>25943</v>
      </c>
      <c r="B20605" s="4" t="s">
        <v>25945</v>
      </c>
      <c r="C20605" s="5" t="str">
        <f>IFERROR(__xludf.DUMMYFUNCTION("GOOGLETRANSLATE(B20605,""en"",""fr"")"),"Une femme se promène du côté conducteur frottant légèrement un tissu noir sur la jointure du gars.")</f>
        <v>Une femme se promène du côté conducteur frottant légèrement un tissu noir sur la jointure du gars.</v>
      </c>
    </row>
    <row r="20606">
      <c r="A20606" s="4" t="s">
        <v>25943</v>
      </c>
      <c r="B20606" s="4" t="s">
        <v>25946</v>
      </c>
      <c r="C20606" s="5" t="str">
        <f>IFERROR(__xludf.DUMMYFUNCTION("GOOGLETRANSLATE(B20606,""en"",""fr"")"),"La femelle jette le tissu noir sur une voiture directement au-dessus du pneu que l'homme nettoie.")</f>
        <v>La femelle jette le tissu noir sur une voiture directement au-dessus du pneu que l'homme nettoie.</v>
      </c>
    </row>
    <row r="20607">
      <c r="A20607" s="4" t="s">
        <v>25943</v>
      </c>
      <c r="B20607" s="4" t="s">
        <v>25947</v>
      </c>
      <c r="C20607" s="5" t="str">
        <f>IFERROR(__xludf.DUMMYFUNCTION("GOOGLETRANSLATE(B20607,""en"",""fr"")"),"L'homme ramasse le tissu noir, laisse tomber le tapis sur le trottoir et l'utilise pour essuyer le pneu.")</f>
        <v>L'homme ramasse le tissu noir, laisse tomber le tapis sur le trottoir et l'utilise pour essuyer le pneu.</v>
      </c>
    </row>
    <row r="20608">
      <c r="A20608" s="4" t="s">
        <v>25948</v>
      </c>
      <c r="B20608" s="4" t="s">
        <v>25949</v>
      </c>
      <c r="C20608" s="5" t="str">
        <f>IFERROR(__xludf.DUMMYFUNCTION("GOOGLETRANSLATE(B20608,""en"",""fr"")"),"Une personne fait un arc à partir du ruban.")</f>
        <v>Une personne fait un arc à partir du ruban.</v>
      </c>
    </row>
    <row r="20609">
      <c r="A20609" s="4" t="s">
        <v>25948</v>
      </c>
      <c r="B20609" s="4" t="s">
        <v>25950</v>
      </c>
      <c r="C20609" s="5" t="str">
        <f>IFERROR(__xludf.DUMMYFUNCTION("GOOGLETRANSLATE(B20609,""en"",""fr"")"),"Ils attachent le ruban sur un paquet enveloppé.")</f>
        <v>Ils attachent le ruban sur un paquet enveloppé.</v>
      </c>
    </row>
    <row r="20610">
      <c r="A20610" s="4" t="s">
        <v>25948</v>
      </c>
      <c r="B20610" s="4" t="s">
        <v>25951</v>
      </c>
      <c r="C20610" s="5" t="str">
        <f>IFERROR(__xludf.DUMMYFUNCTION("GOOGLETRANSLATE(B20610,""en"",""fr"")"),"Ils enregistrent l'arc qu'ils ont fabriqués sur le paquet.")</f>
        <v>Ils enregistrent l'arc qu'ils ont fabriqués sur le paquet.</v>
      </c>
    </row>
    <row r="20611">
      <c r="A20611" s="4" t="s">
        <v>25952</v>
      </c>
      <c r="B20611" s="4" t="s">
        <v>25953</v>
      </c>
      <c r="C20611" s="5" t="str">
        <f>IFERROR(__xludf.DUMMYFUNCTION("GOOGLETRANSLATE(B20611,""en"",""fr"")"),"Un écran noir apparaît et les mots blancs lisent ""Nevena &amp; Goran Roddry-Go! El Mambo del Tra"".")</f>
        <v>Un écran noir apparaît et les mots blancs lisent "Nevena &amp; Goran Roddry-Go! El Mambo del Tra".</v>
      </c>
    </row>
    <row r="20612">
      <c r="A20612" s="4" t="s">
        <v>25952</v>
      </c>
      <c r="B20612" s="6" t="s">
        <v>25954</v>
      </c>
      <c r="C20612" s="5" t="str">
        <f>IFERROR(__xludf.DUMMYFUNCTION("GOOGLETRANSLATE(B20612,""en"",""fr"")"),"Un homme et une femme apparaissent à l'extérieur sur un pont en brique en béton et ils commencent à danser une routine à l'unisson qui incluent des mouvements de bras, des marches, des tours et divers autres mouvements de danse.")</f>
        <v>Un homme et une femme apparaissent à l'extérieur sur un pont en brique en béton et ils commencent à danser une routine à l'unisson qui incluent des mouvements de bras, des marches, des tours et divers autres mouvements de danse.</v>
      </c>
    </row>
    <row r="20613">
      <c r="A20613" s="4" t="s">
        <v>25952</v>
      </c>
      <c r="B20613" s="6" t="s">
        <v>25955</v>
      </c>
      <c r="C20613" s="5" t="str">
        <f>IFERROR(__xludf.DUMMYFUNCTION("GOOGLETRANSLATE(B20613,""en"",""fr"")"),"Ils arrêtent de danser et la femme se rapproche de la caméra et en chante pendant que l'homme derrière ses danses.")</f>
        <v>Ils arrêtent de danser et la femme se rapproche de la caméra et en chante pendant que l'homme derrière ses danses.</v>
      </c>
    </row>
    <row r="20614">
      <c r="A20614" s="4" t="s">
        <v>25952</v>
      </c>
      <c r="B20614" s="4" t="s">
        <v>25956</v>
      </c>
      <c r="C20614" s="5" t="str">
        <f>IFERROR(__xludf.DUMMYFUNCTION("GOOGLETRANSLATE(B20614,""en"",""fr"")"),"Elle arrête de chanter et ils rient et s'éloignent tous les deux.")</f>
        <v>Elle arrête de chanter et ils rient et s'éloignent tous les deux.</v>
      </c>
    </row>
    <row r="20615">
      <c r="A20615" s="4" t="s">
        <v>25957</v>
      </c>
      <c r="B20615" s="6" t="s">
        <v>25958</v>
      </c>
      <c r="C20615" s="5" t="str">
        <f>IFERROR(__xludf.DUMMYFUNCTION("GOOGLETRANSLATE(B20615,""en"",""fr"")"),"Une caméra enregistre une boutique avec deux personnes debout à l'intérieur, menant finalement à un groupe de personnes debout près de quais.")</f>
        <v>Une caméra enregistre une boutique avec deux personnes debout à l'intérieur, menant finalement à un groupe de personnes debout près de quais.</v>
      </c>
    </row>
    <row r="20616">
      <c r="A20616" s="4" t="s">
        <v>25957</v>
      </c>
      <c r="B20616" s="6" t="s">
        <v>25959</v>
      </c>
      <c r="C20616" s="5" t="str">
        <f>IFERROR(__xludf.DUMMYFUNCTION("GOOGLETRANSLATE(B20616,""en"",""fr"")"),"Un homme descend les quais tandis qu'un autre tient un seau et la caméra se met à une femme qui parle.")</f>
        <v>Un homme descend les quais tandis qu'un autre tient un seau et la caméra se met à une femme qui parle.</v>
      </c>
    </row>
    <row r="20617">
      <c r="A20617" s="4" t="s">
        <v>25957</v>
      </c>
      <c r="B20617" s="4" t="s">
        <v>25960</v>
      </c>
      <c r="C20617" s="5" t="str">
        <f>IFERROR(__xludf.DUMMYFUNCTION("GOOGLETRANSLATE(B20617,""en"",""fr"")"),"La femme met un gilet et des lunettes et descend dans un bateau.")</f>
        <v>La femme met un gilet et des lunettes et descend dans un bateau.</v>
      </c>
    </row>
    <row r="20618">
      <c r="A20618" s="4" t="s">
        <v>25957</v>
      </c>
      <c r="B20618" s="4" t="s">
        <v>25961</v>
      </c>
      <c r="C20618" s="5" t="str">
        <f>IFERROR(__xludf.DUMMYFUNCTION("GOOGLETRANSLATE(B20618,""en"",""fr"")"),"Elle parle à la caméra tout en ajustant ses lunettes et est conduite à l'eau avec un réservoir.")</f>
        <v>Elle parle à la caméra tout en ajustant ses lunettes et est conduite à l'eau avec un réservoir.</v>
      </c>
    </row>
    <row r="20619">
      <c r="A20619" s="4" t="s">
        <v>25957</v>
      </c>
      <c r="B20619" s="4" t="s">
        <v>25962</v>
      </c>
      <c r="C20619" s="5" t="str">
        <f>IFERROR(__xludf.DUMMYFUNCTION("GOOGLETRANSLATE(B20619,""en"",""fr"")"),"Elle saute dans l'eau avec l'homme et remonte dans le bateau en parlant à la caméra.")</f>
        <v>Elle saute dans l'eau avec l'homme et remonte dans le bateau en parlant à la caméra.</v>
      </c>
    </row>
    <row r="20620">
      <c r="A20620" s="4" t="s">
        <v>25963</v>
      </c>
      <c r="B20620" s="4" t="s">
        <v>25964</v>
      </c>
      <c r="C20620" s="5" t="str">
        <f>IFERROR(__xludf.DUMMYFUNCTION("GOOGLETRANSLATE(B20620,""en"",""fr"")"),"Une femme est dans une cuisine pour parler de la façon de faire de Lemede.")</f>
        <v>Une femme est dans une cuisine pour parler de la façon de faire de Lemede.</v>
      </c>
    </row>
    <row r="20621">
      <c r="A20621" s="4" t="s">
        <v>25963</v>
      </c>
      <c r="B20621" s="4" t="s">
        <v>25965</v>
      </c>
      <c r="C20621" s="5" t="str">
        <f>IFERROR(__xludf.DUMMYFUNCTION("GOOGLETRANSLATE(B20621,""en"",""fr"")"),"Elle présente divers ingrédients que vous devez avoir.")</f>
        <v>Elle présente divers ingrédients que vous devez avoir.</v>
      </c>
    </row>
    <row r="20622">
      <c r="A20622" s="4" t="s">
        <v>25963</v>
      </c>
      <c r="B20622" s="4" t="s">
        <v>25966</v>
      </c>
      <c r="C20622" s="5" t="str">
        <f>IFERROR(__xludf.DUMMYFUNCTION("GOOGLETRANSLATE(B20622,""en"",""fr"")"),"Elle mélange tous les jus ensemble dans un broyeur pour faire un mélange.")</f>
        <v>Elle mélange tous les jus ensemble dans un broyeur pour faire un mélange.</v>
      </c>
    </row>
    <row r="20623">
      <c r="A20623" s="4" t="s">
        <v>25963</v>
      </c>
      <c r="B20623" s="4" t="s">
        <v>25967</v>
      </c>
      <c r="C20623" s="5" t="str">
        <f>IFERROR(__xludf.DUMMYFUNCTION("GOOGLETRANSLATE(B20623,""en"",""fr"")"),"Elle verse ensuite le mélange dans un verre et boit le jus.")</f>
        <v>Elle verse ensuite le mélange dans un verre et boit le jus.</v>
      </c>
    </row>
    <row r="20624">
      <c r="A20624" s="4" t="s">
        <v>25968</v>
      </c>
      <c r="B20624" s="6" t="s">
        <v>25969</v>
      </c>
      <c r="C20624" s="5" t="str">
        <f>IFERROR(__xludf.DUMMYFUNCTION("GOOGLETRANSLATE(B20624,""en"",""fr"")"),"Plusieurs plans d'un public applaudissant sont affichés ainsi que de nombreux clips d'événements sportifs impressionnants qui se produisent.")</f>
        <v>Plusieurs plans d'un public applaudissant sont affichés ainsi que de nombreux clips d'événements sportifs impressionnants qui se produisent.</v>
      </c>
    </row>
    <row r="20625">
      <c r="A20625" s="4" t="s">
        <v>25968</v>
      </c>
      <c r="B20625" s="6" t="s">
        <v>25970</v>
      </c>
      <c r="C20625" s="5" t="str">
        <f>IFERROR(__xludf.DUMMYFUNCTION("GOOGLETRANSLATE(B20625,""en"",""fr"")"),"Les gens ont frappé les balles de volley et quatrième les unes avec les autres tout en montrant également des clips de personnes célébrant avec leurs coéquipiers.")</f>
        <v>Les gens ont frappé les balles de volley et quatrième les unes avec les autres tout en montrant également des clips de personnes célébrant avec leurs coéquipiers.</v>
      </c>
    </row>
    <row r="20626">
      <c r="A20626" s="4" t="s">
        <v>25971</v>
      </c>
      <c r="B20626" s="4" t="s">
        <v>25972</v>
      </c>
      <c r="C20626" s="5" t="str">
        <f>IFERROR(__xludf.DUMMYFUNCTION("GOOGLETRANSLATE(B20626,""en"",""fr"")"),"Une personne surfait sur un lac sur un lac.")</f>
        <v>Une personne surfait sur un lac sur un lac.</v>
      </c>
    </row>
    <row r="20627">
      <c r="A20627" s="4" t="s">
        <v>25971</v>
      </c>
      <c r="B20627" s="4" t="s">
        <v>25973</v>
      </c>
      <c r="C20627" s="5" t="str">
        <f>IFERROR(__xludf.DUMMYFUNCTION("GOOGLETRANSLATE(B20627,""en"",""fr"")"),"D'autres planches de planche passent derrière lui.")</f>
        <v>D'autres planches de planche passent derrière lui.</v>
      </c>
    </row>
    <row r="20628">
      <c r="A20628" s="4" t="s">
        <v>25974</v>
      </c>
      <c r="B20628" s="4" t="s">
        <v>25975</v>
      </c>
      <c r="C20628" s="5" t="str">
        <f>IFERROR(__xludf.DUMMYFUNCTION("GOOGLETRANSLATE(B20628,""en"",""fr"")"),"Une fille fait un tutoriel sur la façon d'emballer un sac.")</f>
        <v>Une fille fait un tutoriel sur la façon d'emballer un sac.</v>
      </c>
    </row>
    <row r="20629">
      <c r="A20629" s="4" t="s">
        <v>25974</v>
      </c>
      <c r="B20629" s="4" t="s">
        <v>25976</v>
      </c>
      <c r="C20629" s="5" t="str">
        <f>IFERROR(__xludf.DUMMYFUNCTION("GOOGLETRANSLATE(B20629,""en"",""fr"")"),"Elle donne ensuite des conseils de ballerine, en particulier sur la façon de traiter ses pieds à droite.")</f>
        <v>Elle donne ensuite des conseils de ballerine, en particulier sur la façon de traiter ses pieds à droite.</v>
      </c>
    </row>
    <row r="20630">
      <c r="A20630" s="4" t="s">
        <v>25977</v>
      </c>
      <c r="B20630" s="4" t="s">
        <v>25978</v>
      </c>
      <c r="C20630" s="5" t="str">
        <f>IFERROR(__xludf.DUMMYFUNCTION("GOOGLETRANSLATE(B20630,""en"",""fr"")"),"Un homme aîné est sur l'eau debout sur un jet ski.")</f>
        <v>Un homme aîné est sur l'eau debout sur un jet ski.</v>
      </c>
    </row>
    <row r="20631">
      <c r="A20631" s="4" t="s">
        <v>25977</v>
      </c>
      <c r="B20631" s="4" t="s">
        <v>25979</v>
      </c>
      <c r="C20631" s="5" t="str">
        <f>IFERROR(__xludf.DUMMYFUNCTION("GOOGLETRANSLATE(B20631,""en"",""fr"")"),"L'homme commence à faire du ski.")</f>
        <v>L'homme commence à faire du ski.</v>
      </c>
    </row>
    <row r="20632">
      <c r="A20632" s="4" t="s">
        <v>25977</v>
      </c>
      <c r="B20632" s="4" t="s">
        <v>25980</v>
      </c>
      <c r="C20632" s="5" t="str">
        <f>IFERROR(__xludf.DUMMYFUNCTION("GOOGLETRANSLATE(B20632,""en"",""fr"")"),"L'homme prend la main de la poignée.")</f>
        <v>L'homme prend la main de la poignée.</v>
      </c>
    </row>
    <row r="20633">
      <c r="A20633" s="4" t="s">
        <v>25977</v>
      </c>
      <c r="B20633" s="4" t="s">
        <v>25981</v>
      </c>
      <c r="C20633" s="5" t="str">
        <f>IFERROR(__xludf.DUMMYFUNCTION("GOOGLETRANSLATE(B20633,""en"",""fr"")"),"L'homme repose les deux mains sur la poignée et les jet-skis.")</f>
        <v>L'homme repose les deux mains sur la poignée et les jet-skis.</v>
      </c>
    </row>
    <row r="20634">
      <c r="A20634" s="4" t="s">
        <v>25982</v>
      </c>
      <c r="B20634" s="4" t="s">
        <v>25983</v>
      </c>
      <c r="C20634" s="5" t="str">
        <f>IFERROR(__xludf.DUMMYFUNCTION("GOOGLETRANSLATE(B20634,""en"",""fr"")"),"Un homme marchant très lentement vers une femme alors qu'elle se dirige lentement vers lui.")</f>
        <v>Un homme marchant très lentement vers une femme alors qu'elle se dirige lentement vers lui.</v>
      </c>
    </row>
    <row r="20635">
      <c r="A20635" s="4" t="s">
        <v>25982</v>
      </c>
      <c r="B20635" s="6" t="s">
        <v>25984</v>
      </c>
      <c r="C20635" s="5" t="str">
        <f>IFERROR(__xludf.DUMMYFUNCTION("GOOGLETRANSLATE(B20635,""en"",""fr"")"),"Ils se retrouvent et commencent leur danse, c'est très intense et très bien fait, ils fonctionnent très bien ensemble, quand ils ont fini, ils s'inclinent et se penchent les uns les autres pendant que le public les applaudit.")</f>
        <v>Ils se retrouvent et commencent leur danse, c'est très intense et très bien fait, ils fonctionnent très bien ensemble, quand ils ont fini, ils s'inclinent et se penchent les uns les autres pendant que le public les applaudit.</v>
      </c>
    </row>
    <row r="20636">
      <c r="A20636" s="4" t="s">
        <v>25982</v>
      </c>
      <c r="B20636" s="6" t="s">
        <v>25985</v>
      </c>
      <c r="C20636" s="5" t="str">
        <f>IFERROR(__xludf.DUMMYFUNCTION("GOOGLETRANSLATE(B20636,""en"",""fr"")"),"Ensuite, l'un des juges se lève et leur parle, les faisant sourire et être plus extatique.")</f>
        <v>Ensuite, l'un des juges se lève et leur parle, les faisant sourire et être plus extatique.</v>
      </c>
    </row>
    <row r="20637">
      <c r="A20637" s="4" t="s">
        <v>25982</v>
      </c>
      <c r="B20637" s="6" t="s">
        <v>25986</v>
      </c>
      <c r="C20637" s="5" t="str">
        <f>IFERROR(__xludf.DUMMYFUNCTION("GOOGLETRANSLATE(B20637,""en"",""fr"")"),"Une autre juge les critique et la danseuse de femme et les embrasse, puis le juge final leur dit ce qu'il pense de leur performance.")</f>
        <v>Une autre juge les critique et la danseuse de femme et les embrasse, puis le juge final leur dit ce qu'il pense de leur performance.</v>
      </c>
    </row>
    <row r="20638">
      <c r="A20638" s="4" t="s">
        <v>25987</v>
      </c>
      <c r="B20638" s="4" t="s">
        <v>25988</v>
      </c>
      <c r="C20638" s="5" t="str">
        <f>IFERROR(__xludf.DUMMYFUNCTION("GOOGLETRANSLATE(B20638,""en"",""fr"")"),"Une femme en chemise verte se tient dans une cuisine.")</f>
        <v>Une femme en chemise verte se tient dans une cuisine.</v>
      </c>
    </row>
    <row r="20639">
      <c r="A20639" s="4" t="s">
        <v>25987</v>
      </c>
      <c r="B20639" s="4" t="s">
        <v>25989</v>
      </c>
      <c r="C20639" s="5" t="str">
        <f>IFERROR(__xludf.DUMMYFUNCTION("GOOGLETRANSLATE(B20639,""en"",""fr"")"),"Elle se tient devant plusieurs ingrédients.")</f>
        <v>Elle se tient devant plusieurs ingrédients.</v>
      </c>
    </row>
    <row r="20640">
      <c r="A20640" s="4" t="s">
        <v>25987</v>
      </c>
      <c r="B20640" s="4" t="s">
        <v>25990</v>
      </c>
      <c r="C20640" s="5" t="str">
        <f>IFERROR(__xludf.DUMMYFUNCTION("GOOGLETRANSLATE(B20640,""en"",""fr"")"),"Elle coupe un citron en deux.")</f>
        <v>Elle coupe un citron en deux.</v>
      </c>
    </row>
    <row r="20641">
      <c r="A20641" s="4" t="s">
        <v>25987</v>
      </c>
      <c r="B20641" s="4" t="s">
        <v>25991</v>
      </c>
      <c r="C20641" s="5" t="str">
        <f>IFERROR(__xludf.DUMMYFUNCTION("GOOGLETRANSLATE(B20641,""en"",""fr"")"),"Elle rit beaucoup tout au long de la vidéo.")</f>
        <v>Elle rit beaucoup tout au long de la vidéo.</v>
      </c>
    </row>
    <row r="20642">
      <c r="A20642" s="4" t="s">
        <v>25992</v>
      </c>
      <c r="B20642" s="6" t="s">
        <v>25993</v>
      </c>
      <c r="C20642" s="5" t="str">
        <f>IFERROR(__xludf.DUMMYFUNCTION("GOOGLETRANSLATE(B20642,""en"",""fr"")"),"Un groupe de personnes dans des bonnets de natation joue au volleyball dans une piscine extérieure, entourée d'une éclaboussure de spectateurs et d'un tableau de bord numérique droit.")</f>
        <v>Un groupe de personnes dans des bonnets de natation joue au volleyball dans une piscine extérieure, entourée d'une éclaboussure de spectateurs et d'un tableau de bord numérique droit.</v>
      </c>
    </row>
    <row r="20643">
      <c r="A20643" s="4" t="s">
        <v>25992</v>
      </c>
      <c r="B20643" s="6" t="s">
        <v>25994</v>
      </c>
      <c r="C20643" s="5" t="str">
        <f>IFERROR(__xludf.DUMMYFUNCTION("GOOGLETRANSLATE(B20643,""en"",""fr"")"),"Une balle jaune vole dans le côté droit de la piscine et les gens de la piscine nagent et le déplacent sur le côté gauche de la piscine, tandis qu'un homme en tout blanc les suit du côté de la piscine sur une bordure de ciment surélevée.")</f>
        <v>Une balle jaune vole dans le côté droit de la piscine et les gens de la piscine nagent et le déplacent sur le côté gauche de la piscine, tandis qu'un homme en tout blanc les suit du côté de la piscine sur une bordure de ciment surélevée.</v>
      </c>
    </row>
    <row r="20644">
      <c r="A20644" s="4" t="s">
        <v>25992</v>
      </c>
      <c r="B20644" s="4" t="s">
        <v>25995</v>
      </c>
      <c r="C20644" s="5" t="str">
        <f>IFERROR(__xludf.DUMMYFUNCTION("GOOGLETRANSLATE(B20644,""en"",""fr"")"),"Une personne à l'avant augmente la balle jaune contre un but bleu et dépassant un bloqueur dans la piscine.")</f>
        <v>Une personne à l'avant augmente la balle jaune contre un but bleu et dépassant un bloqueur dans la piscine.</v>
      </c>
    </row>
    <row r="20645">
      <c r="A20645" s="4" t="s">
        <v>25992</v>
      </c>
      <c r="B20645" s="6" t="s">
        <v>25996</v>
      </c>
      <c r="C20645" s="5" t="str">
        <f>IFERROR(__xludf.DUMMYFUNCTION("GOOGLETRANSLATE(B20645,""en"",""fr"")"),"Une personne à l'extrême gauche de la piscine jette le ballon dans le côté droit de la piscine où tous les joueurs nagent pour le suivre.")</f>
        <v>Une personne à l'extrême gauche de la piscine jette le ballon dans le côté droit de la piscine où tous les joueurs nagent pour le suivre.</v>
      </c>
    </row>
    <row r="20646">
      <c r="A20646" s="4" t="s">
        <v>25997</v>
      </c>
      <c r="B20646" s="4" t="s">
        <v>25998</v>
      </c>
      <c r="C20646" s="5" t="str">
        <f>IFERROR(__xludf.DUMMYFUNCTION("GOOGLETRANSLATE(B20646,""en"",""fr"")"),"Un jeune garçon est vu regarder au loin ainsi qu'une fille.")</f>
        <v>Un jeune garçon est vu regarder au loin ainsi qu'une fille.</v>
      </c>
    </row>
    <row r="20647">
      <c r="A20647" s="4" t="s">
        <v>25997</v>
      </c>
      <c r="B20647" s="4" t="s">
        <v>25999</v>
      </c>
      <c r="C20647" s="5" t="str">
        <f>IFERROR(__xludf.DUMMYFUNCTION("GOOGLETRANSLATE(B20647,""en"",""fr"")"),"On voit des gens marcher à l'intérieur suivis par des clips de clôtures de personnes.")</f>
        <v>On voit des gens marcher à l'intérieur suivis par des clips de clôtures de personnes.</v>
      </c>
    </row>
    <row r="20648">
      <c r="A20648" s="4" t="s">
        <v>25997</v>
      </c>
      <c r="B20648" s="4" t="s">
        <v>26000</v>
      </c>
      <c r="C20648" s="5" t="str">
        <f>IFERROR(__xludf.DUMMYFUNCTION("GOOGLETRANSLATE(B20648,""en"",""fr"")"),"Plus de coups sont montrés des personnes qui pratiquaient et d'une fille qui se heurte à un homme plus âgé.")</f>
        <v>Plus de coups sont montrés des personnes qui pratiquaient et d'une fille qui se heurte à un homme plus âgé.</v>
      </c>
    </row>
    <row r="20649">
      <c r="A20649" s="4" t="s">
        <v>26001</v>
      </c>
      <c r="B20649" s="4" t="s">
        <v>26002</v>
      </c>
      <c r="C20649" s="5" t="str">
        <f>IFERROR(__xludf.DUMMYFUNCTION("GOOGLETRANSLATE(B20649,""en"",""fr"")"),"Un groupe d'enfants traîne par une table de pique-nique.")</f>
        <v>Un groupe d'enfants traîne par une table de pique-nique.</v>
      </c>
    </row>
    <row r="20650">
      <c r="A20650" s="4" t="s">
        <v>26001</v>
      </c>
      <c r="B20650" s="4" t="s">
        <v>26003</v>
      </c>
      <c r="C20650" s="5" t="str">
        <f>IFERROR(__xludf.DUMMYFUNCTION("GOOGLETRANSLATE(B20650,""en"",""fr"")"),"Une jeune fille décolle les pommes de terre.")</f>
        <v>Une jeune fille décolle les pommes de terre.</v>
      </c>
    </row>
    <row r="20651">
      <c r="A20651" s="4" t="s">
        <v>26001</v>
      </c>
      <c r="B20651" s="4" t="s">
        <v>26004</v>
      </c>
      <c r="C20651" s="5" t="str">
        <f>IFERROR(__xludf.DUMMYFUNCTION("GOOGLETRANSLATE(B20651,""en"",""fr"")"),"Un jeune garçon coupe les pommes de terre.")</f>
        <v>Un jeune garçon coupe les pommes de terre.</v>
      </c>
    </row>
    <row r="20652">
      <c r="A20652" s="4" t="s">
        <v>26005</v>
      </c>
      <c r="B20652" s="4" t="s">
        <v>26006</v>
      </c>
      <c r="C20652" s="5" t="str">
        <f>IFERROR(__xludf.DUMMYFUNCTION("GOOGLETRANSLATE(B20652,""en"",""fr"")"),"Une gymnaste masculine est dans une arène pleine de gens et attrape deux bars pour commencer sa routine.")</f>
        <v>Une gymnaste masculine est dans une arène pleine de gens et attrape deux bars pour commencer sa routine.</v>
      </c>
    </row>
    <row r="20653">
      <c r="A20653" s="4" t="s">
        <v>26005</v>
      </c>
      <c r="B20653" s="6" t="s">
        <v>26007</v>
      </c>
      <c r="C20653" s="5" t="str">
        <f>IFERROR(__xludf.DUMMYFUNCTION("GOOGLETRANSLATE(B20653,""en"",""fr"")"),"Après avoir été dans les barreaux, il fait plusieurs flips et se tourne avant de décrocher sa performance et de quitter le tapis.")</f>
        <v>Après avoir été dans les barreaux, il fait plusieurs flips et se tourne avant de décrocher sa performance et de quitter le tapis.</v>
      </c>
    </row>
    <row r="20654">
      <c r="A20654" s="4" t="s">
        <v>26008</v>
      </c>
      <c r="B20654" s="4" t="s">
        <v>26009</v>
      </c>
      <c r="C20654" s="5" t="str">
        <f>IFERROR(__xludf.DUMMYFUNCTION("GOOGLETRANSLATE(B20654,""en"",""fr"")"),"Un gros plan d'un chien est vu avec une personne tenant un rasoir.")</f>
        <v>Un gros plan d'un chien est vu avec une personne tenant un rasoir.</v>
      </c>
    </row>
    <row r="20655">
      <c r="A20655" s="4" t="s">
        <v>26008</v>
      </c>
      <c r="B20655" s="4" t="s">
        <v>26010</v>
      </c>
      <c r="C20655" s="5" t="str">
        <f>IFERROR(__xludf.DUMMYFUNCTION("GOOGLETRANSLATE(B20655,""en"",""fr"")"),"La personne tient ensuite le visage des chiens et commence à couper autour de ses yeux.")</f>
        <v>La personne tient ensuite le visage des chiens et commence à couper autour de ses yeux.</v>
      </c>
    </row>
    <row r="20656">
      <c r="A20656" s="4" t="s">
        <v>26008</v>
      </c>
      <c r="B20656" s="4" t="s">
        <v>26011</v>
      </c>
      <c r="C20656" s="5" t="str">
        <f>IFERROR(__xludf.DUMMYFUNCTION("GOOGLETRANSLATE(B20656,""en"",""fr"")"),"La personne continue de se raser et se termine en peignant son visage.")</f>
        <v>La personne continue de se raser et se termine en peignant son visage.</v>
      </c>
    </row>
    <row r="20657">
      <c r="A20657" s="4" t="s">
        <v>26012</v>
      </c>
      <c r="B20657" s="6" t="s">
        <v>26013</v>
      </c>
      <c r="C20657" s="5" t="str">
        <f>IFERROR(__xludf.DUMMYFUNCTION("GOOGLETRANSLATE(B20657,""en"",""fr"")"),"Une femme est vue en parlant à la caméra et mène à une femme qui court et interviewe d'autres coureurs.")</f>
        <v>Une femme est vue en parlant à la caméra et mène à une femme qui court et interviewe d'autres coureurs.</v>
      </c>
    </row>
    <row r="20658">
      <c r="A20658" s="4" t="s">
        <v>26012</v>
      </c>
      <c r="B20658" s="4" t="s">
        <v>26014</v>
      </c>
      <c r="C20658" s="5" t="str">
        <f>IFERROR(__xludf.DUMMYFUNCTION("GOOGLETRANSLATE(B20658,""en"",""fr"")"),"Elle interviewe deux jumeaux pendant la course et les nouvelles montrent d'autres coureurs de la région.")</f>
        <v>Elle interviewe deux jumeaux pendant la course et les nouvelles montrent d'autres coureurs de la région.</v>
      </c>
    </row>
    <row r="20659">
      <c r="A20659" s="4" t="s">
        <v>26015</v>
      </c>
      <c r="B20659" s="6" t="s">
        <v>26016</v>
      </c>
      <c r="C20659" s="5" t="str">
        <f>IFERROR(__xludf.DUMMYFUNCTION("GOOGLETRANSLATE(B20659,""en"",""fr"")"),"Un grand homme est vu se pencher sur ses genoux se déplaçant ses bras et regardant au loin.")</f>
        <v>Un grand homme est vu se pencher sur ses genoux se déplaçant ses bras et regardant au loin.</v>
      </c>
    </row>
    <row r="20660">
      <c r="A20660" s="4" t="s">
        <v>26015</v>
      </c>
      <c r="B20660" s="6" t="s">
        <v>26017</v>
      </c>
      <c r="C20660" s="5" t="str">
        <f>IFERROR(__xludf.DUMMYFUNCTION("GOOGLETRANSLATE(B20660,""en"",""fr"")"),"L'homme continue de se déplacer tout autour du tapis effectuant divers mouvements d'arts martiaux et se remettant et quatrième à la caméra.")</f>
        <v>L'homme continue de se déplacer tout autour du tapis effectuant divers mouvements d'arts martiaux et se remettant et quatrième à la caméra.</v>
      </c>
    </row>
    <row r="20661">
      <c r="A20661" s="4" t="s">
        <v>26018</v>
      </c>
      <c r="B20661" s="4" t="s">
        <v>26019</v>
      </c>
      <c r="C20661" s="5" t="str">
        <f>IFERROR(__xludf.DUMMYFUNCTION("GOOGLETRANSLATE(B20661,""en"",""fr"")"),"Les gens glissent sur une pente enneigée avec des pneus gonflés.")</f>
        <v>Les gens glissent sur une pente enneigée avec des pneus gonflés.</v>
      </c>
    </row>
    <row r="20662">
      <c r="A20662" s="4" t="s">
        <v>26018</v>
      </c>
      <c r="B20662" s="4" t="s">
        <v>26020</v>
      </c>
      <c r="C20662" s="5" t="str">
        <f>IFERROR(__xludf.DUMMYFUNCTION("GOOGLETRANSLATE(B20662,""en"",""fr"")"),"Un enfant se tient dans le pneu et saute de joie.")</f>
        <v>Un enfant se tient dans le pneu et saute de joie.</v>
      </c>
    </row>
    <row r="20663">
      <c r="A20663" s="4" t="s">
        <v>26018</v>
      </c>
      <c r="B20663" s="4" t="s">
        <v>26021</v>
      </c>
      <c r="C20663" s="5" t="str">
        <f>IFERROR(__xludf.DUMMYFUNCTION("GOOGLETRANSLATE(B20663,""en"",""fr"")"),"Un adulte se lève et tire les deux pneus.")</f>
        <v>Un adulte se lève et tire les deux pneus.</v>
      </c>
    </row>
    <row r="20664">
      <c r="A20664" s="4" t="s">
        <v>26022</v>
      </c>
      <c r="B20664" s="6" t="s">
        <v>26023</v>
      </c>
      <c r="C20664" s="5" t="str">
        <f>IFERROR(__xludf.DUMMYFUNCTION("GOOGLETRANSLATE(B20664,""en"",""fr"")"),"Un homme vêtu d'un costume camouflé se tient dans un grand champ herbeux avec d'autres personnes et il tire sur une corde que nous pouvons à peine voir.")</f>
        <v>Un homme vêtu d'un costume camouflé se tient dans un grand champ herbeux avec d'autres personnes et il tire sur une corde que nous pouvons à peine voir.</v>
      </c>
    </row>
    <row r="20665">
      <c r="A20665" s="4" t="s">
        <v>26022</v>
      </c>
      <c r="B20665" s="4" t="s">
        <v>26024</v>
      </c>
      <c r="C20665" s="5" t="str">
        <f>IFERROR(__xludf.DUMMYFUNCTION("GOOGLETRANSLATE(B20665,""en"",""fr"")"),"Il y a beaucoup d'autres personnes qui se déplacent sur le terrain en faisant leur propre truc.")</f>
        <v>Il y a beaucoup d'autres personnes qui se déplacent sur le terrain en faisant leur propre truc.</v>
      </c>
    </row>
    <row r="20666">
      <c r="A20666" s="4" t="s">
        <v>26022</v>
      </c>
      <c r="B20666" s="6" t="s">
        <v>26025</v>
      </c>
      <c r="C20666" s="5" t="str">
        <f>IFERROR(__xludf.DUMMYFUNCTION("GOOGLETRANSLATE(B20666,""en"",""fr"")"),"Les angles de caméra changent et lorsque nous obtenons un gros plan de l'homme, nous pouvons enfin voir la chaîne qu'il tire.")</f>
        <v>Les angles de caméra changent et lorsque nous obtenons un gros plan de l'homme, nous pouvons enfin voir la chaîne qu'il tire.</v>
      </c>
    </row>
    <row r="20667">
      <c r="A20667" s="4" t="s">
        <v>26026</v>
      </c>
      <c r="B20667" s="4" t="s">
        <v>26027</v>
      </c>
      <c r="C20667" s="5" t="str">
        <f>IFERROR(__xludf.DUMMYFUNCTION("GOOGLETRANSLATE(B20667,""en"",""fr"")"),"Une femme baigne deux chiots de couleur blanche dans une baignoire orange remplie d'eau.")</f>
        <v>Une femme baigne deux chiots de couleur blanche dans une baignoire orange remplie d'eau.</v>
      </c>
    </row>
    <row r="20668">
      <c r="A20668" s="4" t="s">
        <v>26026</v>
      </c>
      <c r="B20668" s="4" t="s">
        <v>26028</v>
      </c>
      <c r="C20668" s="5" t="str">
        <f>IFERROR(__xludf.DUMMYFUNCTION("GOOGLETRANSLATE(B20668,""en"",""fr"")"),"Elle est rejointe par un homme portant une montre-bracelet, qui aide la femme à baigner les deux chiots.")</f>
        <v>Elle est rejointe par un homme portant une montre-bracelet, qui aide la femme à baigner les deux chiots.</v>
      </c>
    </row>
    <row r="20669">
      <c r="A20669" s="4" t="s">
        <v>26026</v>
      </c>
      <c r="B20669" s="4" t="s">
        <v>26029</v>
      </c>
      <c r="C20669" s="5" t="str">
        <f>IFERROR(__xludf.DUMMYFUNCTION("GOOGLETRANSLATE(B20669,""en"",""fr"")"),"L'un des chiots essaie de sortir de la baignoire et l'homme le tient et le remet.")</f>
        <v>L'un des chiots essaie de sortir de la baignoire et l'homme le tient et le remet.</v>
      </c>
    </row>
    <row r="20670">
      <c r="A20670" s="4" t="s">
        <v>26026</v>
      </c>
      <c r="B20670" s="4" t="s">
        <v>26030</v>
      </c>
      <c r="C20670" s="5" t="str">
        <f>IFERROR(__xludf.DUMMYFUNCTION("GOOGLETRANSLATE(B20670,""en"",""fr"")"),"La femme continue de laver les chiots.")</f>
        <v>La femme continue de laver les chiots.</v>
      </c>
    </row>
    <row r="20671">
      <c r="A20671" s="4" t="s">
        <v>26031</v>
      </c>
      <c r="B20671" s="4" t="s">
        <v>26032</v>
      </c>
      <c r="C20671" s="5" t="str">
        <f>IFERROR(__xludf.DUMMYFUNCTION("GOOGLETRANSLATE(B20671,""en"",""fr"")"),"Un homme en chemise noire essuie la table avec un tissu blanc.")</f>
        <v>Un homme en chemise noire essuie la table avec un tissu blanc.</v>
      </c>
    </row>
    <row r="20672">
      <c r="A20672" s="4" t="s">
        <v>26031</v>
      </c>
      <c r="B20672" s="4" t="s">
        <v>26033</v>
      </c>
      <c r="C20672" s="5" t="str">
        <f>IFERROR(__xludf.DUMMYFUNCTION("GOOGLETRANSLATE(B20672,""en"",""fr"")"),"Les lumières blanches sont réfléchies sur la table.")</f>
        <v>Les lumières blanches sont réfléchies sur la table.</v>
      </c>
    </row>
    <row r="20673">
      <c r="A20673" s="4" t="s">
        <v>26031</v>
      </c>
      <c r="B20673" s="4" t="s">
        <v>26034</v>
      </c>
      <c r="C20673" s="5" t="str">
        <f>IFERROR(__xludf.DUMMYFUNCTION("GOOGLETRANSLATE(B20673,""en"",""fr"")"),"L'homme essuie le bord de la table avec un chiffon blanc.")</f>
        <v>L'homme essuie le bord de la table avec un chiffon blanc.</v>
      </c>
    </row>
    <row r="20674">
      <c r="A20674" s="4" t="s">
        <v>26035</v>
      </c>
      <c r="B20674" s="6" t="s">
        <v>26036</v>
      </c>
      <c r="C20674" s="5" t="str">
        <f>IFERROR(__xludf.DUMMYFUNCTION("GOOGLETRANSLATE(B20674,""en"",""fr"")"),"Une femme fait un tutoriel sur la façon de nettoyer un évier de cuisine avec du bicarbonate de soude, une brosse à dents et un chiffon en tissu.")</f>
        <v>Une femme fait un tutoriel sur la façon de nettoyer un évier de cuisine avec du bicarbonate de soude, une brosse à dents et un chiffon en tissu.</v>
      </c>
    </row>
    <row r="20675">
      <c r="A20675" s="4" t="s">
        <v>26035</v>
      </c>
      <c r="B20675" s="4" t="s">
        <v>26037</v>
      </c>
      <c r="C20675" s="5" t="str">
        <f>IFERROR(__xludf.DUMMYFUNCTION("GOOGLETRANSLATE(B20675,""en"",""fr"")"),"Elle prend d'abord du bicarbonate de soude sur le chiffon et le frotte sur l'évier.")</f>
        <v>Elle prend d'abord du bicarbonate de soude sur le chiffon et le frotte sur l'évier.</v>
      </c>
    </row>
    <row r="20676">
      <c r="A20676" s="4" t="s">
        <v>26035</v>
      </c>
      <c r="B20676" s="4" t="s">
        <v>26038</v>
      </c>
      <c r="C20676" s="5" t="str">
        <f>IFERROR(__xludf.DUMMYFUNCTION("GOOGLETRANSLATE(B20676,""en"",""fr"")"),"Ensuite, elle prend la brosse à dents et la trempe dans le bicarbonate de soude.")</f>
        <v>Ensuite, elle prend la brosse à dents et la trempe dans le bicarbonate de soude.</v>
      </c>
    </row>
    <row r="20677">
      <c r="A20677" s="4" t="s">
        <v>26035</v>
      </c>
      <c r="B20677" s="4" t="s">
        <v>26039</v>
      </c>
      <c r="C20677" s="5" t="str">
        <f>IFERROR(__xludf.DUMMYFUNCTION("GOOGLETRANSLATE(B20677,""en"",""fr"")"),"Elle brosse la brosse à dents sur les bords de l'évier pour le nettoyer.")</f>
        <v>Elle brosse la brosse à dents sur les bords de l'évier pour le nettoyer.</v>
      </c>
    </row>
    <row r="20678">
      <c r="A20678" s="4" t="s">
        <v>26035</v>
      </c>
      <c r="B20678" s="4" t="s">
        <v>26040</v>
      </c>
      <c r="C20678" s="5" t="str">
        <f>IFERROR(__xludf.DUMMYFUNCTION("GOOGLETRANSLATE(B20678,""en"",""fr"")"),"Elle allume le robinet et lave le bicarbonate de soude de l'évier.")</f>
        <v>Elle allume le robinet et lave le bicarbonate de soude de l'évier.</v>
      </c>
    </row>
    <row r="20679">
      <c r="A20679" s="4" t="s">
        <v>26035</v>
      </c>
      <c r="B20679" s="4" t="s">
        <v>26041</v>
      </c>
      <c r="C20679" s="5" t="str">
        <f>IFERROR(__xludf.DUMMYFUNCTION("GOOGLETRANSLATE(B20679,""en"",""fr"")"),"Ensuite, elle prend du vinaigre sur le chiffon de lavage et essuie l'évier avec.")</f>
        <v>Ensuite, elle prend du vinaigre sur le chiffon de lavage et essuie l'évier avec.</v>
      </c>
    </row>
    <row r="20680">
      <c r="A20680" s="4" t="s">
        <v>26042</v>
      </c>
      <c r="B20680" s="4" t="s">
        <v>26043</v>
      </c>
      <c r="C20680" s="5" t="str">
        <f>IFERROR(__xludf.DUMMYFUNCTION("GOOGLETRANSLATE(B20680,""en"",""fr"")"),"Girlwearnig, un corps violet est dans un poteau d'équilibre et fait un saut sur les stands.")</f>
        <v>Girlwearnig, un corps violet est dans un poteau d'équilibre et fait un saut sur les stands.</v>
      </c>
    </row>
    <row r="20681">
      <c r="A20681" s="4" t="s">
        <v>26042</v>
      </c>
      <c r="B20681" s="4" t="s">
        <v>26044</v>
      </c>
      <c r="C20681" s="5" t="str">
        <f>IFERROR(__xludf.DUMMYFUNCTION("GOOGLETRANSLATE(B20681,""en"",""fr"")"),"La fille fait de la gymnastique au-dessus de la poutre d'équilibre.")</f>
        <v>La fille fait de la gymnastique au-dessus de la poutre d'équilibre.</v>
      </c>
    </row>
    <row r="20682">
      <c r="A20682" s="4" t="s">
        <v>26042</v>
      </c>
      <c r="B20682" s="4" t="s">
        <v>26045</v>
      </c>
      <c r="C20682" s="5" t="str">
        <f>IFERROR(__xludf.DUMMYFUNCTION("GOOGLETRANSLATE(B20682,""en"",""fr"")"),"Les gens dans les tribunes autour du terrain regardent l'enfant faire de la gymnastique.")</f>
        <v>Les gens dans les tribunes autour du terrain regardent l'enfant faire de la gymnastique.</v>
      </c>
    </row>
    <row r="20683">
      <c r="A20683" s="4" t="s">
        <v>26042</v>
      </c>
      <c r="B20683" s="4" t="s">
        <v>26046</v>
      </c>
      <c r="C20683" s="5" t="str">
        <f>IFERROR(__xludf.DUMMYFUNCTION("GOOGLETRANSLATE(B20683,""en"",""fr"")"),"La fille fait un grand saut périlleux et atterrit sur le sol.")</f>
        <v>La fille fait un grand saut périlleux et atterrit sur le sol.</v>
      </c>
    </row>
    <row r="20684">
      <c r="A20684" s="4" t="s">
        <v>26047</v>
      </c>
      <c r="B20684" s="4" t="s">
        <v>26048</v>
      </c>
      <c r="C20684" s="5" t="str">
        <f>IFERROR(__xludf.DUMMYFUNCTION("GOOGLETRANSLATE(B20684,""en"",""fr"")"),"Un homme aux bras tatoués écoutait l'oreille de la jeune femme avec un tampon d'oreille.")</f>
        <v>Un homme aux bras tatoués écoutait l'oreille de la jeune femme avec un tampon d'oreille.</v>
      </c>
    </row>
    <row r="20685">
      <c r="A20685" s="4" t="s">
        <v>26047</v>
      </c>
      <c r="B20685" s="4" t="s">
        <v>26049</v>
      </c>
      <c r="C20685" s="5" t="str">
        <f>IFERROR(__xludf.DUMMYFUNCTION("GOOGLETRANSLATE(B20685,""en"",""fr"")"),"La dame se lève et se regarde dans le miroir.")</f>
        <v>La dame se lève et se regarde dans le miroir.</v>
      </c>
    </row>
    <row r="20686">
      <c r="A20686" s="4" t="s">
        <v>26047</v>
      </c>
      <c r="B20686" s="4" t="s">
        <v>26050</v>
      </c>
      <c r="C20686" s="5" t="str">
        <f>IFERROR(__xludf.DUMMYFUNCTION("GOOGLETRANSLATE(B20686,""en"",""fr"")"),"Elle se couche sur une chaise médicale noire et l'homme perce le tragus de son oreille avec des outils médicaux.")</f>
        <v>Elle se couche sur une chaise médicale noire et l'homme perce le tragus de son oreille avec des outils médicaux.</v>
      </c>
    </row>
    <row r="20687">
      <c r="A20687" s="4" t="s">
        <v>26047</v>
      </c>
      <c r="B20687" s="4" t="s">
        <v>26051</v>
      </c>
      <c r="C20687" s="5" t="str">
        <f>IFERROR(__xludf.DUMMYFUNCTION("GOOGLETRANSLATE(B20687,""en"",""fr"")"),"La dame se regarde et son nouveau perçage dans le miroir, sourit et donne deux pouces.")</f>
        <v>La dame se regarde et son nouveau perçage dans le miroir, sourit et donne deux pouces.</v>
      </c>
    </row>
    <row r="20688">
      <c r="A20688" s="4" t="s">
        <v>26047</v>
      </c>
      <c r="B20688" s="6" t="s">
        <v>26052</v>
      </c>
      <c r="C20688" s="5" t="str">
        <f>IFERROR(__xludf.DUMMYFUNCTION("GOOGLETRANSLATE(B20688,""en"",""fr"")"),"Les mots ""Si vous voulez savoir autre chose sur Piercing, commentez-moi ou envoyez-moi un message :) De nouvelles vidéos de beauté ainsi qu'une collection de maquillage seront bientôt en place Bveeees &lt;3"" apparaissent à l'écran.")</f>
        <v>Les mots "Si vous voulez savoir autre chose sur Piercing, commentez-moi ou envoyez-moi un message :) De nouvelles vidéos de beauté ainsi qu'une collection de maquillage seront bientôt en place Bveeees &lt;3" apparaissent à l'écran.</v>
      </c>
    </row>
    <row r="20689">
      <c r="A20689" s="4" t="s">
        <v>26053</v>
      </c>
      <c r="B20689" s="4" t="s">
        <v>26054</v>
      </c>
      <c r="C20689" s="5" t="str">
        <f>IFERROR(__xludf.DUMMYFUNCTION("GOOGLETRANSLATE(B20689,""en"",""fr"")"),"Un gymnaste se dirige vers une poutre, se préparant.")</f>
        <v>Un gymnaste se dirige vers une poutre, se préparant.</v>
      </c>
    </row>
    <row r="20690">
      <c r="A20690" s="4" t="s">
        <v>26053</v>
      </c>
      <c r="B20690" s="4" t="s">
        <v>26055</v>
      </c>
      <c r="C20690" s="5" t="str">
        <f>IFERROR(__xludf.DUMMYFUNCTION("GOOGLETRANSLATE(B20690,""en"",""fr"")"),"Il monte le faisceau, puis fait plusieurs actes autour d'elle, y compris la rotation et le retournement.")</f>
        <v>Il monte le faisceau, puis fait plusieurs actes autour d'elle, y compris la rotation et le retournement.</v>
      </c>
    </row>
    <row r="20691">
      <c r="A20691" s="4" t="s">
        <v>26053</v>
      </c>
      <c r="B20691" s="4" t="s">
        <v>26056</v>
      </c>
      <c r="C20691" s="5" t="str">
        <f>IFERROR(__xludf.DUMMYFUNCTION("GOOGLETRANSLATE(B20691,""en"",""fr"")"),"Il démonte et s'éloigne.")</f>
        <v>Il démonte et s'éloigne.</v>
      </c>
    </row>
    <row r="20692">
      <c r="A20692" s="4" t="s">
        <v>26057</v>
      </c>
      <c r="B20692" s="6" t="s">
        <v>26058</v>
      </c>
      <c r="C20692" s="5" t="str">
        <f>IFERROR(__xludf.DUMMYFUNCTION("GOOGLETRANSLATE(B20692,""en"",""fr"")"),"Une caméra capture un filet devant le ciel et montre deux personnes préparant des cordes pour le saut à l'élastique.")</f>
        <v>Une caméra capture un filet devant le ciel et montre deux personnes préparant des cordes pour le saut à l'élastique.</v>
      </c>
    </row>
    <row r="20693">
      <c r="A20693" s="4" t="s">
        <v>26057</v>
      </c>
      <c r="B20693" s="4" t="s">
        <v>26059</v>
      </c>
      <c r="C20693" s="5" t="str">
        <f>IFERROR(__xludf.DUMMYFUNCTION("GOOGLETRANSLATE(B20693,""en"",""fr"")"),"L'homme de la caméra saute du rebord et montre ses pieds tout en tournant.")</f>
        <v>L'homme de la caméra saute du rebord et montre ses pieds tout en tournant.</v>
      </c>
    </row>
    <row r="20694">
      <c r="A20694" s="4" t="s">
        <v>26057</v>
      </c>
      <c r="B20694" s="6" t="s">
        <v>26060</v>
      </c>
      <c r="C20694" s="5" t="str">
        <f>IFERROR(__xludf.DUMMYFUNCTION("GOOGLETRANSLATE(B20694,""en"",""fr"")"),"Un autre appareil photo a capturé son saut du fond et mène à plusieurs personnes en attendant en bas et en descendant.")</f>
        <v>Un autre appareil photo a capturé son saut du fond et mène à plusieurs personnes en attendant en bas et en descendant.</v>
      </c>
    </row>
    <row r="20695">
      <c r="A20695" s="4" t="s">
        <v>26061</v>
      </c>
      <c r="B20695" s="4" t="s">
        <v>26062</v>
      </c>
      <c r="C20695" s="5" t="str">
        <f>IFERROR(__xludf.DUMMYFUNCTION("GOOGLETRANSLATE(B20695,""en"",""fr"")"),"Un jeune garçon dans une veste bleue tire sur un tube de neige à beignet.")</f>
        <v>Un jeune garçon dans une veste bleue tire sur un tube de neige à beignet.</v>
      </c>
    </row>
    <row r="20696">
      <c r="A20696" s="4" t="s">
        <v>26061</v>
      </c>
      <c r="B20696" s="4" t="s">
        <v>26063</v>
      </c>
      <c r="C20696" s="5" t="str">
        <f>IFERROR(__xludf.DUMMYFUNCTION("GOOGLETRANSLATE(B20696,""en"",""fr"")"),"Deux jeunes enfants le regardent.")</f>
        <v>Deux jeunes enfants le regardent.</v>
      </c>
    </row>
    <row r="20697">
      <c r="A20697" s="4" t="s">
        <v>26061</v>
      </c>
      <c r="B20697" s="4" t="s">
        <v>26064</v>
      </c>
      <c r="C20697" s="5" t="str">
        <f>IFERROR(__xludf.DUMMYFUNCTION("GOOGLETRANSLATE(B20697,""en"",""fr"")"),"L'ensemble du groupe descend dans la neige.")</f>
        <v>L'ensemble du groupe descend dans la neige.</v>
      </c>
    </row>
    <row r="20698">
      <c r="A20698" s="4" t="s">
        <v>26065</v>
      </c>
      <c r="B20698" s="4" t="s">
        <v>26066</v>
      </c>
      <c r="C20698" s="5" t="str">
        <f>IFERROR(__xludf.DUMMYFUNCTION("GOOGLETRANSLATE(B20698,""en"",""fr"")"),"L'homme porte une combinaison de back-wetsurf dans un lac.")</f>
        <v>L'homme porte une combinaison de back-wetsurf dans un lac.</v>
      </c>
    </row>
    <row r="20699">
      <c r="A20699" s="4" t="s">
        <v>26065</v>
      </c>
      <c r="B20699" s="4" t="s">
        <v>26067</v>
      </c>
      <c r="C20699" s="5" t="str">
        <f>IFERROR(__xludf.DUMMYFUNCTION("GOOGLETRANSLATE(B20699,""en"",""fr"")"),"L'homme est la planche à voile dans un lac faisant des tours.")</f>
        <v>L'homme est la planche à voile dans un lac faisant des tours.</v>
      </c>
    </row>
    <row r="20700">
      <c r="A20700" s="4" t="s">
        <v>26065</v>
      </c>
      <c r="B20700" s="4" t="s">
        <v>26068</v>
      </c>
      <c r="C20700" s="5" t="str">
        <f>IFERROR(__xludf.DUMMYFUNCTION("GOOGLETRANSLATE(B20700,""en"",""fr"")"),"Le mâle de la planche à voile dit bonjour à la caméra.")</f>
        <v>Le mâle de la planche à voile dit bonjour à la caméra.</v>
      </c>
    </row>
    <row r="20701">
      <c r="A20701" s="4" t="s">
        <v>26069</v>
      </c>
      <c r="B20701" s="4" t="s">
        <v>26070</v>
      </c>
      <c r="C20701" s="5" t="str">
        <f>IFERROR(__xludf.DUMMYFUNCTION("GOOGLETRANSLATE(B20701,""en"",""fr"")"),"On voit un couple effectuant une routine de tango les uns avec les autres dans une petite pièce.")</f>
        <v>On voit un couple effectuant une routine de tango les uns avec les autres dans une petite pièce.</v>
      </c>
    </row>
    <row r="20702">
      <c r="A20702" s="4" t="s">
        <v>26069</v>
      </c>
      <c r="B20702" s="6" t="s">
        <v>26071</v>
      </c>
      <c r="C20702" s="5" t="str">
        <f>IFERROR(__xludf.DUMMYFUNCTION("GOOGLETRANSLATE(B20702,""en"",""fr"")"),"Les gens continuent de tourner et de danser tout autour de la pièce et se termine avec eux en s'arrêtant et en faisant face à la caméra.")</f>
        <v>Les gens continuent de tourner et de danser tout autour de la pièce et se termine avec eux en s'arrêtant et en faisant face à la caméra.</v>
      </c>
    </row>
    <row r="20703">
      <c r="A20703" s="4" t="s">
        <v>26072</v>
      </c>
      <c r="B20703" s="4" t="s">
        <v>26073</v>
      </c>
      <c r="C20703" s="5" t="str">
        <f>IFERROR(__xludf.DUMMYFUNCTION("GOOGLETRANSLATE(B20703,""en"",""fr"")"),"Un groupe se trouve sur une table de café et aime le café et les pâtisseries.")</f>
        <v>Un groupe se trouve sur une table de café et aime le café et les pâtisseries.</v>
      </c>
    </row>
    <row r="20704">
      <c r="A20704" s="4" t="s">
        <v>26072</v>
      </c>
      <c r="B20704" s="4" t="s">
        <v>26074</v>
      </c>
      <c r="C20704" s="5" t="str">
        <f>IFERROR(__xludf.DUMMYFUNCTION("GOOGLETRANSLATE(B20704,""en"",""fr"")"),"Les femmes se transmettent des condiments.")</f>
        <v>Les femmes se transmettent des condiments.</v>
      </c>
    </row>
    <row r="20705">
      <c r="A20705" s="4" t="s">
        <v>26072</v>
      </c>
      <c r="B20705" s="4" t="s">
        <v>26075</v>
      </c>
      <c r="C20705" s="5" t="str">
        <f>IFERROR(__xludf.DUMMYFUNCTION("GOOGLETRANSLATE(B20705,""en"",""fr"")"),"Un petit groupe se trouve sur un balcon et à parler.")</f>
        <v>Un petit groupe se trouve sur un balcon et à parler.</v>
      </c>
    </row>
    <row r="20706">
      <c r="A20706" s="4" t="s">
        <v>26076</v>
      </c>
      <c r="B20706" s="4" t="s">
        <v>26077</v>
      </c>
      <c r="C20706" s="5" t="str">
        <f>IFERROR(__xludf.DUMMYFUNCTION("GOOGLETRANSLATE(B20706,""en"",""fr"")"),"Un homme s'agenouille sur le sol.")</f>
        <v>Un homme s'agenouille sur le sol.</v>
      </c>
    </row>
    <row r="20707">
      <c r="A20707" s="4" t="s">
        <v>26076</v>
      </c>
      <c r="B20707" s="4" t="s">
        <v>26078</v>
      </c>
      <c r="C20707" s="5" t="str">
        <f>IFERROR(__xludf.DUMMYFUNCTION("GOOGLETRANSLATE(B20707,""en"",""fr"")"),"Il tire sur un cordon fixé au mur.")</f>
        <v>Il tire sur un cordon fixé au mur.</v>
      </c>
    </row>
    <row r="20708">
      <c r="A20708" s="4" t="s">
        <v>26076</v>
      </c>
      <c r="B20708" s="4" t="s">
        <v>26079</v>
      </c>
      <c r="C20708" s="5" t="str">
        <f>IFERROR(__xludf.DUMMYFUNCTION("GOOGLETRANSLATE(B20708,""en"",""fr"")"),"Il continue de tirer sur le cordon et de travailler.")</f>
        <v>Il continue de tirer sur le cordon et de travailler.</v>
      </c>
    </row>
    <row r="20709">
      <c r="A20709" s="4" t="s">
        <v>26080</v>
      </c>
      <c r="B20709" s="4" t="s">
        <v>26081</v>
      </c>
      <c r="C20709" s="5" t="str">
        <f>IFERROR(__xludf.DUMMYFUNCTION("GOOGLETRANSLATE(B20709,""en"",""fr"")"),"Un homme se dirige vers une haie portant une grande paire de coupe-haies.")</f>
        <v>Un homme se dirige vers une haie portant une grande paire de coupe-haies.</v>
      </c>
    </row>
    <row r="20710">
      <c r="A20710" s="4" t="s">
        <v>26080</v>
      </c>
      <c r="B20710" s="4" t="s">
        <v>26082</v>
      </c>
      <c r="C20710" s="5" t="str">
        <f>IFERROR(__xludf.DUMMYFUNCTION("GOOGLETRANSLATE(B20710,""en"",""fr"")"),"Il montre comment couper les haies bien, les descendre un peu à la fois.")</f>
        <v>Il montre comment couper les haies bien, les descendre un peu à la fois.</v>
      </c>
    </row>
    <row r="20711">
      <c r="A20711" s="4" t="s">
        <v>26080</v>
      </c>
      <c r="B20711" s="4" t="s">
        <v>26083</v>
      </c>
      <c r="C20711" s="5" t="str">
        <f>IFERROR(__xludf.DUMMYFUNCTION("GOOGLETRANSLATE(B20711,""en"",""fr"")"),"Il s'arrête, parlant à la caméra au fur et à mesure.")</f>
        <v>Il s'arrête, parlant à la caméra au fur et à mesure.</v>
      </c>
    </row>
    <row r="20712">
      <c r="A20712" s="4" t="s">
        <v>26084</v>
      </c>
      <c r="B20712" s="4" t="s">
        <v>26085</v>
      </c>
      <c r="C20712" s="5" t="str">
        <f>IFERROR(__xludf.DUMMYFUNCTION("GOOGLETRANSLATE(B20712,""en"",""fr"")"),"Nous voyons une petite fille tenant la laisse pour un gros chien.")</f>
        <v>Nous voyons une petite fille tenant la laisse pour un gros chien.</v>
      </c>
    </row>
    <row r="20713">
      <c r="A20713" s="4" t="s">
        <v>26084</v>
      </c>
      <c r="B20713" s="4" t="s">
        <v>26086</v>
      </c>
      <c r="C20713" s="5" t="str">
        <f>IFERROR(__xludf.DUMMYFUNCTION("GOOGLETRANSLATE(B20713,""en"",""fr"")"),"La petite fille tombe et laisse tomber la laisse.")</f>
        <v>La petite fille tombe et laisse tomber la laisse.</v>
      </c>
    </row>
    <row r="20714">
      <c r="A20714" s="4" t="s">
        <v>26084</v>
      </c>
      <c r="B20714" s="4" t="s">
        <v>26087</v>
      </c>
      <c r="C20714" s="5" t="str">
        <f>IFERROR(__xludf.DUMMYFUNCTION("GOOGLETRANSLATE(B20714,""en"",""fr"")"),"La petite fille suit ensuite le chien pour obtenir la laisse.")</f>
        <v>La petite fille suit ensuite le chien pour obtenir la laisse.</v>
      </c>
    </row>
    <row r="20715">
      <c r="A20715" s="4" t="s">
        <v>26084</v>
      </c>
      <c r="B20715" s="4" t="s">
        <v>26088</v>
      </c>
      <c r="C20715" s="5" t="str">
        <f>IFERROR(__xludf.DUMMYFUNCTION("GOOGLETRANSLATE(B20715,""en"",""fr"")"),"Elle obtient la laisse et marche sur le chien.")</f>
        <v>Elle obtient la laisse et marche sur le chien.</v>
      </c>
    </row>
    <row r="20716">
      <c r="A20716" s="4" t="s">
        <v>26089</v>
      </c>
      <c r="B20716" s="4" t="s">
        <v>26090</v>
      </c>
      <c r="C20716" s="5" t="str">
        <f>IFERROR(__xludf.DUMMYFUNCTION("GOOGLETRANSLATE(B20716,""en"",""fr"")"),"Une femme est vue debout devant Pinata et balançant une batte.")</f>
        <v>Une femme est vue debout devant Pinata et balançant une batte.</v>
      </c>
    </row>
    <row r="20717">
      <c r="A20717" s="4" t="s">
        <v>26089</v>
      </c>
      <c r="B20717" s="4" t="s">
        <v>26091</v>
      </c>
      <c r="C20717" s="5" t="str">
        <f>IFERROR(__xludf.DUMMYFUNCTION("GOOGLETRANSLATE(B20717,""en"",""fr"")"),"Les gens regardent sur le côté tandis que la femme continue de frapper l'objet.")</f>
        <v>Les gens regardent sur le côté tandis que la femme continue de frapper l'objet.</v>
      </c>
    </row>
    <row r="20718">
      <c r="A20718" s="4" t="s">
        <v>26089</v>
      </c>
      <c r="B20718" s="4" t="s">
        <v>26092</v>
      </c>
      <c r="C20718" s="5" t="str">
        <f>IFERROR(__xludf.DUMMYFUNCTION("GOOGLETRANSLATE(B20718,""en"",""fr"")"),"La femme se balance encore et encore et un homme entre dans le cadre pour le botter.")</f>
        <v>La femme se balance encore et encore et un homme entre dans le cadre pour le botter.</v>
      </c>
    </row>
    <row r="20719">
      <c r="A20719" s="4" t="s">
        <v>26093</v>
      </c>
      <c r="B20719" s="4" t="s">
        <v>26094</v>
      </c>
      <c r="C20719" s="5" t="str">
        <f>IFERROR(__xludf.DUMMYFUNCTION("GOOGLETRANSLATE(B20719,""en"",""fr"")"),"Un groupe d'enfants se tient à l'extérieur d'un bâtiment.")</f>
        <v>Un groupe d'enfants se tient à l'extérieur d'un bâtiment.</v>
      </c>
    </row>
    <row r="20720">
      <c r="A20720" s="4" t="s">
        <v>26093</v>
      </c>
      <c r="B20720" s="4" t="s">
        <v>26095</v>
      </c>
      <c r="C20720" s="5" t="str">
        <f>IFERROR(__xludf.DUMMYFUNCTION("GOOGLETRANSLATE(B20720,""en"",""fr"")"),"Les adultes les supervisent alors qu'un officier passe.")</f>
        <v>Les adultes les supervisent alors qu'un officier passe.</v>
      </c>
    </row>
    <row r="20721">
      <c r="A20721" s="4" t="s">
        <v>26093</v>
      </c>
      <c r="B20721" s="4" t="s">
        <v>26096</v>
      </c>
      <c r="C20721" s="5" t="str">
        <f>IFERROR(__xludf.DUMMYFUNCTION("GOOGLETRANSLATE(B20721,""en"",""fr"")"),"Les enfants effectuent divers exercices dirigés par les adultes.")</f>
        <v>Les enfants effectuent divers exercices dirigés par les adultes.</v>
      </c>
    </row>
    <row r="20722">
      <c r="A20722" s="4" t="s">
        <v>26097</v>
      </c>
      <c r="B20722" s="4" t="s">
        <v>26098</v>
      </c>
      <c r="C20722" s="5" t="str">
        <f>IFERROR(__xludf.DUMMYFUNCTION("GOOGLETRANSLATE(B20722,""en"",""fr"")"),"En 2009, un homme est montré assis à une table.")</f>
        <v>En 2009, un homme est montré assis à une table.</v>
      </c>
    </row>
    <row r="20723">
      <c r="A20723" s="4" t="s">
        <v>26097</v>
      </c>
      <c r="B20723" s="4" t="s">
        <v>26099</v>
      </c>
      <c r="C20723" s="5" t="str">
        <f>IFERROR(__xludf.DUMMYFUNCTION("GOOGLETRANSLATE(B20723,""en"",""fr"")"),"Il a deux cubes de Rubik devant lui.")</f>
        <v>Il a deux cubes de Rubik devant lui.</v>
      </c>
    </row>
    <row r="20724">
      <c r="A20724" s="4" t="s">
        <v>26097</v>
      </c>
      <c r="B20724" s="4" t="s">
        <v>26100</v>
      </c>
      <c r="C20724" s="5" t="str">
        <f>IFERROR(__xludf.DUMMYFUNCTION("GOOGLETRANSLATE(B20724,""en"",""fr"")"),"Au fil d'une minuterie, il résout le puzzle en utilisant une seule main.")</f>
        <v>Au fil d'une minuterie, il résout le puzzle en utilisant une seule main.</v>
      </c>
    </row>
    <row r="20725">
      <c r="A20725" s="4" t="s">
        <v>26097</v>
      </c>
      <c r="B20725" s="4" t="s">
        <v>26101</v>
      </c>
      <c r="C20725" s="5" t="str">
        <f>IFERROR(__xludf.DUMMYFUNCTION("GOOGLETRANSLATE(B20725,""en"",""fr"")"),"Il saute dans la victoire après seulement 17 secondes.")</f>
        <v>Il saute dans la victoire après seulement 17 secondes.</v>
      </c>
    </row>
    <row r="20726">
      <c r="A20726" s="4" t="s">
        <v>26102</v>
      </c>
      <c r="B20726" s="6" t="s">
        <v>26103</v>
      </c>
      <c r="C20726" s="5" t="str">
        <f>IFERROR(__xludf.DUMMYFUNCTION("GOOGLETRANSLATE(B20726,""en"",""fr"")"),"La personne monte dans les escaliers alors que les vagues les frappaient, les surfeurs surfent sur les vagues fortes.")</f>
        <v>La personne monte dans les escaliers alors que les vagues les frappaient, les surfeurs surfent sur les vagues fortes.</v>
      </c>
    </row>
    <row r="20727">
      <c r="A20727" s="4" t="s">
        <v>26102</v>
      </c>
      <c r="B20727" s="4" t="s">
        <v>26104</v>
      </c>
      <c r="C20727" s="5" t="str">
        <f>IFERROR(__xludf.DUMMYFUNCTION("GOOGLETRANSLATE(B20727,""en"",""fr"")"),"Deux personnes portant leurs planches de surf montent dans les escaliers.")</f>
        <v>Deux personnes portant leurs planches de surf montent dans les escaliers.</v>
      </c>
    </row>
    <row r="20728">
      <c r="A20728" s="4" t="s">
        <v>26102</v>
      </c>
      <c r="B20728" s="4" t="s">
        <v>26105</v>
      </c>
      <c r="C20728" s="5" t="str">
        <f>IFERROR(__xludf.DUMMYFUNCTION("GOOGLETRANSLATE(B20728,""en"",""fr"")"),"Les gens derrière la clôture regardent les surfeurs comme la course avant que la grande vague ne les frappe.")</f>
        <v>Les gens derrière la clôture regardent les surfeurs comme la course avant que la grande vague ne les frappe.</v>
      </c>
    </row>
    <row r="20729">
      <c r="A20729" s="4" t="s">
        <v>26106</v>
      </c>
      <c r="B20729" s="4" t="s">
        <v>26107</v>
      </c>
      <c r="C20729" s="5" t="str">
        <f>IFERROR(__xludf.DUMMYFUNCTION("GOOGLETRANSLATE(B20729,""en"",""fr"")"),"Un petit garçon portant des lunettes saute dans une piscine.")</f>
        <v>Un petit garçon portant des lunettes saute dans une piscine.</v>
      </c>
    </row>
    <row r="20730">
      <c r="A20730" s="4" t="s">
        <v>26106</v>
      </c>
      <c r="B20730" s="4" t="s">
        <v>26108</v>
      </c>
      <c r="C20730" s="5" t="str">
        <f>IFERROR(__xludf.DUMMYFUNCTION("GOOGLETRANSLATE(B20730,""en"",""fr"")"),"Il plonge jusqu'au fond et ramasse quelque chose du bas de la piscine.")</f>
        <v>Il plonge jusqu'au fond et ramasse quelque chose du bas de la piscine.</v>
      </c>
    </row>
    <row r="20731">
      <c r="A20731" s="4" t="s">
        <v>26106</v>
      </c>
      <c r="B20731" s="4" t="s">
        <v>26109</v>
      </c>
      <c r="C20731" s="5" t="str">
        <f>IFERROR(__xludf.DUMMYFUNCTION("GOOGLETRANSLATE(B20731,""en"",""fr"")"),"Il nage vers le haut et au-dessus de l'eau.")</f>
        <v>Il nage vers le haut et au-dessus de l'eau.</v>
      </c>
    </row>
    <row r="20732">
      <c r="A20732" s="4" t="s">
        <v>26110</v>
      </c>
      <c r="B20732" s="4" t="s">
        <v>26111</v>
      </c>
      <c r="C20732" s="5" t="str">
        <f>IFERROR(__xludf.DUMMYFUNCTION("GOOGLETRANSLATE(B20732,""en"",""fr"")"),"Une ligne de personnes ramasse une corde.")</f>
        <v>Une ligne de personnes ramasse une corde.</v>
      </c>
    </row>
    <row r="20733">
      <c r="A20733" s="4" t="s">
        <v>26110</v>
      </c>
      <c r="B20733" s="4" t="s">
        <v>26112</v>
      </c>
      <c r="C20733" s="5" t="str">
        <f>IFERROR(__xludf.DUMMYFUNCTION("GOOGLETRANSLATE(B20733,""en"",""fr"")"),"Ils commencent à jouer à un jeu de lutte contre la guerre.")</f>
        <v>Ils commencent à jouer à un jeu de lutte contre la guerre.</v>
      </c>
    </row>
    <row r="20734">
      <c r="A20734" s="4" t="s">
        <v>26110</v>
      </c>
      <c r="B20734" s="4" t="s">
        <v>26113</v>
      </c>
      <c r="C20734" s="5" t="str">
        <f>IFERROR(__xludf.DUMMYFUNCTION("GOOGLETRANSLATE(B20734,""en"",""fr"")"),"Un côté tombe et la foule applaudit.")</f>
        <v>Un côté tombe et la foule applaudit.</v>
      </c>
    </row>
    <row r="20735">
      <c r="A20735" s="4" t="s">
        <v>26114</v>
      </c>
      <c r="B20735" s="4" t="s">
        <v>26115</v>
      </c>
      <c r="C20735" s="5" t="str">
        <f>IFERROR(__xludf.DUMMYFUNCTION("GOOGLETRANSLATE(B20735,""en"",""fr"")"),"Un écran noir apparaît avec les mots, ""Ticas Grooming Purse"" avec leur URL.")</f>
        <v>Un écran noir apparaît avec les mots, "Ticas Grooming Purse" avec leur URL.</v>
      </c>
    </row>
    <row r="20736">
      <c r="A20736" s="4" t="s">
        <v>26114</v>
      </c>
      <c r="B20736" s="4" t="s">
        <v>26116</v>
      </c>
      <c r="C20736" s="5" t="str">
        <f>IFERROR(__xludf.DUMMYFUNCTION("GOOGLETRANSLATE(B20736,""en"",""fr"")"),"Un chien est ensuite montré suspendu à un poteau argenté avec deux sangles sur lui.")</f>
        <v>Un chien est ensuite montré suspendu à un poteau argenté avec deux sangles sur lui.</v>
      </c>
    </row>
    <row r="20737">
      <c r="A20737" s="4" t="s">
        <v>26114</v>
      </c>
      <c r="B20737" s="4" t="s">
        <v>26117</v>
      </c>
      <c r="C20737" s="5" t="str">
        <f>IFERROR(__xludf.DUMMYFUNCTION("GOOGLETRANSLATE(B20737,""en"",""fr"")"),"Un humain commence alors à saisir les pattes de chiens tandis que le petit chien essaie de la mordre.")</f>
        <v>Un humain commence alors à saisir les pattes de chiens tandis que le petit chien essaie de la mordre.</v>
      </c>
    </row>
    <row r="20738">
      <c r="A20738" s="4" t="s">
        <v>26114</v>
      </c>
      <c r="B20738" s="4" t="s">
        <v>26118</v>
      </c>
      <c r="C20738" s="5" t="str">
        <f>IFERROR(__xludf.DUMMYFUNCTION("GOOGLETRANSLATE(B20738,""en"",""fr"")"),"Le toilettage continue, puis le chien est finalement remis au sol.")</f>
        <v>Le toilettage continue, puis le chien est finalement remis au sol.</v>
      </c>
    </row>
    <row r="20739">
      <c r="A20739" s="4" t="s">
        <v>26119</v>
      </c>
      <c r="B20739" s="4" t="s">
        <v>26120</v>
      </c>
      <c r="C20739" s="5" t="str">
        <f>IFERROR(__xludf.DUMMYFUNCTION("GOOGLETRANSLATE(B20739,""en"",""fr"")"),"Un homme s'accroupi dans une grande salle ouverte à parler.")</f>
        <v>Un homme s'accroupi dans une grande salle ouverte à parler.</v>
      </c>
    </row>
    <row r="20740">
      <c r="A20740" s="4" t="s">
        <v>26119</v>
      </c>
      <c r="B20740" s="4" t="s">
        <v>26121</v>
      </c>
      <c r="C20740" s="5" t="str">
        <f>IFERROR(__xludf.DUMMYFUNCTION("GOOGLETRANSLATE(B20740,""en"",""fr"")"),"L'homme montre comment faire un mouvement de danse.")</f>
        <v>L'homme montre comment faire un mouvement de danse.</v>
      </c>
    </row>
    <row r="20741">
      <c r="A20741" s="4" t="s">
        <v>26119</v>
      </c>
      <c r="B20741" s="4" t="s">
        <v>26122</v>
      </c>
      <c r="C20741" s="5" t="str">
        <f>IFERROR(__xludf.DUMMYFUNCTION("GOOGLETRANSLATE(B20741,""en"",""fr"")"),"Il fait ensuite le mouvement plusieurs fois et saute sur ses pieds.")</f>
        <v>Il fait ensuite le mouvement plusieurs fois et saute sur ses pieds.</v>
      </c>
    </row>
    <row r="20742">
      <c r="A20742" s="4" t="s">
        <v>26123</v>
      </c>
      <c r="B20742" s="4" t="s">
        <v>26124</v>
      </c>
      <c r="C20742" s="5" t="str">
        <f>IFERROR(__xludf.DUMMYFUNCTION("GOOGLETRANSLATE(B20742,""en"",""fr"")"),"Les gens jouent à un jeu de badminton sur un terrain.")</f>
        <v>Les gens jouent à un jeu de badminton sur un terrain.</v>
      </c>
    </row>
    <row r="20743">
      <c r="A20743" s="4" t="s">
        <v>26123</v>
      </c>
      <c r="B20743" s="4" t="s">
        <v>26125</v>
      </c>
      <c r="C20743" s="5" t="str">
        <f>IFERROR(__xludf.DUMMYFUNCTION("GOOGLETRANSLATE(B20743,""en"",""fr"")"),"Les gens sont assis derrière eux à regarder le match.")</f>
        <v>Les gens sont assis derrière eux à regarder le match.</v>
      </c>
    </row>
    <row r="20744">
      <c r="A20744" s="4" t="s">
        <v>26123</v>
      </c>
      <c r="B20744" s="4" t="s">
        <v>26126</v>
      </c>
      <c r="C20744" s="5" t="str">
        <f>IFERROR(__xludf.DUMMYFUNCTION("GOOGLETRANSLATE(B20744,""en"",""fr"")"),"Une fille en chemise rose ramasse le ballon.")</f>
        <v>Une fille en chemise rose ramasse le ballon.</v>
      </c>
    </row>
    <row r="20745">
      <c r="A20745" s="4" t="s">
        <v>26127</v>
      </c>
      <c r="B20745" s="4" t="s">
        <v>26128</v>
      </c>
      <c r="C20745" s="5" t="str">
        <f>IFERROR(__xludf.DUMMYFUNCTION("GOOGLETRANSLATE(B20745,""en"",""fr"")"),"Un homme se prépare sur un quai pour faire du ski nautique.")</f>
        <v>Un homme se prépare sur un quai pour faire du ski nautique.</v>
      </c>
    </row>
    <row r="20746">
      <c r="A20746" s="4" t="s">
        <v>26127</v>
      </c>
      <c r="B20746" s="4" t="s">
        <v>26129</v>
      </c>
      <c r="C20746" s="5" t="str">
        <f>IFERROR(__xludf.DUMMYFUNCTION("GOOGLETRANSLATE(B20746,""en"",""fr"")"),"Il se lance dans l'eau alors que le bateau se glissait.")</f>
        <v>Il se lance dans l'eau alors que le bateau se glissait.</v>
      </c>
    </row>
    <row r="20747">
      <c r="A20747" s="4" t="s">
        <v>26127</v>
      </c>
      <c r="B20747" s="4" t="s">
        <v>26130</v>
      </c>
      <c r="C20747" s="5" t="str">
        <f>IFERROR(__xludf.DUMMYFUNCTION("GOOGLETRANSLATE(B20747,""en"",""fr"")"),"L'homme tient la corde tout en glissant dans l'eau, l'air très confiant et qualifié.")</f>
        <v>L'homme tient la corde tout en glissant dans l'eau, l'air très confiant et qualifié.</v>
      </c>
    </row>
    <row r="20748">
      <c r="A20748" s="4" t="s">
        <v>26127</v>
      </c>
      <c r="B20748" s="4" t="s">
        <v>26131</v>
      </c>
      <c r="C20748" s="5" t="str">
        <f>IFERROR(__xludf.DUMMYFUNCTION("GOOGLETRANSLATE(B20748,""en"",""fr"")"),"Le bateau est attaché sur le quai et l'homme est fini pour la journée.")</f>
        <v>Le bateau est attaché sur le quai et l'homme est fini pour la journée.</v>
      </c>
    </row>
    <row r="20749">
      <c r="A20749" s="4" t="s">
        <v>26132</v>
      </c>
      <c r="B20749" s="4" t="s">
        <v>26133</v>
      </c>
      <c r="C20749" s="5" t="str">
        <f>IFERROR(__xludf.DUMMYFUNCTION("GOOGLETRANSLATE(B20749,""en"",""fr"")"),"Un homme pointe et ramasse une boîte de pulvérisation sous pression pour l'afficher.")</f>
        <v>Un homme pointe et ramasse une boîte de pulvérisation sous pression pour l'afficher.</v>
      </c>
    </row>
    <row r="20750">
      <c r="A20750" s="4" t="s">
        <v>26132</v>
      </c>
      <c r="B20750" s="4" t="s">
        <v>26134</v>
      </c>
      <c r="C20750" s="5" t="str">
        <f>IFERROR(__xludf.DUMMYFUNCTION("GOOGLETRANSLATE(B20750,""en"",""fr"")"),"L'homme ramasse ensuite un rouleau de serviettes en papier.")</f>
        <v>L'homme ramasse ensuite un rouleau de serviettes en papier.</v>
      </c>
    </row>
    <row r="20751">
      <c r="A20751" s="4" t="s">
        <v>26132</v>
      </c>
      <c r="B20751" s="4" t="s">
        <v>26135</v>
      </c>
      <c r="C20751" s="5" t="str">
        <f>IFERROR(__xludf.DUMMYFUNCTION("GOOGLETRANSLATE(B20751,""en"",""fr"")"),"L'homme secoue le pulvérisation sous pression.")</f>
        <v>L'homme secoue le pulvérisation sous pression.</v>
      </c>
    </row>
    <row r="20752">
      <c r="A20752" s="4" t="s">
        <v>26132</v>
      </c>
      <c r="B20752" s="4" t="s">
        <v>26136</v>
      </c>
      <c r="C20752" s="5" t="str">
        <f>IFERROR(__xludf.DUMMYFUNCTION("GOOGLETRANSLATE(B20752,""en"",""fr"")"),"L'homme pulvérise la fenêtre où se trouve la tache et essuie la zone avec une serviette en papier.")</f>
        <v>L'homme pulvérise la fenêtre où se trouve la tache et essuie la zone avec une serviette en papier.</v>
      </c>
    </row>
    <row r="20753">
      <c r="A20753" s="4" t="s">
        <v>26132</v>
      </c>
      <c r="B20753" s="4" t="s">
        <v>26137</v>
      </c>
      <c r="C20753" s="5" t="str">
        <f>IFERROR(__xludf.DUMMYFUNCTION("GOOGLETRANSLATE(B20753,""en"",""fr"")"),"pulvérise le nettoyant en verre au milieu de la fenêtre à plusieurs endroits et les essuie.")</f>
        <v>pulvérise le nettoyant en verre au milieu de la fenêtre à plusieurs endroits et les essuie.</v>
      </c>
    </row>
    <row r="20754">
      <c r="A20754" s="4" t="s">
        <v>26138</v>
      </c>
      <c r="B20754" s="4" t="s">
        <v>26139</v>
      </c>
      <c r="C20754" s="5" t="str">
        <f>IFERROR(__xludf.DUMMYFUNCTION("GOOGLETRANSLATE(B20754,""en"",""fr"")"),"Une fille et un chien sont sur le swing.")</f>
        <v>Une fille et un chien sont sur le swing.</v>
      </c>
    </row>
    <row r="20755">
      <c r="A20755" s="4" t="s">
        <v>26138</v>
      </c>
      <c r="B20755" s="4" t="s">
        <v>26140</v>
      </c>
      <c r="C20755" s="5" t="str">
        <f>IFERROR(__xludf.DUMMYFUNCTION("GOOGLETRANSLATE(B20755,""en"",""fr"")"),"Ils se balancent de haut en bas.")</f>
        <v>Ils se balancent de haut en bas.</v>
      </c>
    </row>
    <row r="20756">
      <c r="A20756" s="4" t="s">
        <v>26138</v>
      </c>
      <c r="B20756" s="4" t="s">
        <v>26141</v>
      </c>
      <c r="C20756" s="5" t="str">
        <f>IFERROR(__xludf.DUMMYFUNCTION("GOOGLETRANSLATE(B20756,""en"",""fr"")"),"Ils se balancent de haut en bas.")</f>
        <v>Ils se balancent de haut en bas.</v>
      </c>
    </row>
    <row r="20757">
      <c r="A20757" s="4" t="s">
        <v>26142</v>
      </c>
      <c r="B20757" s="4" t="s">
        <v>26143</v>
      </c>
      <c r="C20757" s="5" t="str">
        <f>IFERROR(__xludf.DUMMYFUNCTION("GOOGLETRANSLATE(B20757,""en"",""fr"")"),"L'homme en casque bleu pagaye à travers le courant d'eau.")</f>
        <v>L'homme en casque bleu pagaye à travers le courant d'eau.</v>
      </c>
    </row>
    <row r="20758">
      <c r="A20758" s="4" t="s">
        <v>26142</v>
      </c>
      <c r="B20758" s="4" t="s">
        <v>26144</v>
      </c>
      <c r="C20758" s="5" t="str">
        <f>IFERROR(__xludf.DUMMYFUNCTION("GOOGLETRANSLATE(B20758,""en"",""fr"")"),"Deux radeaux sont coincés dans l'eau courante.")</f>
        <v>Deux radeaux sont coincés dans l'eau courante.</v>
      </c>
    </row>
    <row r="20759">
      <c r="A20759" s="4" t="s">
        <v>26142</v>
      </c>
      <c r="B20759" s="4" t="s">
        <v>26145</v>
      </c>
      <c r="C20759" s="5" t="str">
        <f>IFERROR(__xludf.DUMMYFUNCTION("GOOGLETRANSLATE(B20759,""en"",""fr"")"),"Les gens pagayent dans l'eau mais ils sont coincés à un seul endroit.")</f>
        <v>Les gens pagayent dans l'eau mais ils sont coincés à un seul endroit.</v>
      </c>
    </row>
    <row r="20760">
      <c r="A20760" s="4" t="s">
        <v>26146</v>
      </c>
      <c r="B20760" s="4" t="s">
        <v>26147</v>
      </c>
      <c r="C20760" s="5" t="str">
        <f>IFERROR(__xludf.DUMMYFUNCTION("GOOGLETRANSLATE(B20760,""en"",""fr"")"),"Un homme est montré en jouant un violon devant un jeu vidéo joué à la télévision.")</f>
        <v>Un homme est montré en jouant un violon devant un jeu vidéo joué à la télévision.</v>
      </c>
    </row>
    <row r="20761">
      <c r="A20761" s="4" t="s">
        <v>26146</v>
      </c>
      <c r="B20761" s="6" t="s">
        <v>26148</v>
      </c>
      <c r="C20761" s="5" t="str">
        <f>IFERROR(__xludf.DUMMYFUNCTION("GOOGLETRANSLATE(B20761,""en"",""fr"")"),"L'homme continue de jouer à l'instrument tandis que le téléviseur en arrière-plan montre un jeu joué.")</f>
        <v>L'homme continue de jouer à l'instrument tandis que le téléviseur en arrière-plan montre un jeu joué.</v>
      </c>
    </row>
    <row r="20762">
      <c r="A20762" s="4" t="s">
        <v>26149</v>
      </c>
      <c r="B20762" s="4" t="s">
        <v>26150</v>
      </c>
      <c r="C20762" s="5" t="str">
        <f>IFERROR(__xludf.DUMMYFUNCTION("GOOGLETRANSLATE(B20762,""en"",""fr"")"),"Un grand groupe de personnes est vue debout au fond d'une colline enneigée se parlant.")</f>
        <v>Un grand groupe de personnes est vue debout au fond d'une colline enneigée se parlant.</v>
      </c>
    </row>
    <row r="20763">
      <c r="A20763" s="4" t="s">
        <v>26149</v>
      </c>
      <c r="B20763" s="4" t="s">
        <v>26151</v>
      </c>
      <c r="C20763" s="5" t="str">
        <f>IFERROR(__xludf.DUMMYFUNCTION("GOOGLETRANSLATE(B20763,""en"",""fr"")"),"Les gens sont ensuite vus monter dans des tubes et descendre un sentier enneigé.")</f>
        <v>Les gens sont ensuite vus monter dans des tubes et descendre un sentier enneigé.</v>
      </c>
    </row>
    <row r="20764">
      <c r="A20764" s="4" t="s">
        <v>26149</v>
      </c>
      <c r="B20764" s="6" t="s">
        <v>26152</v>
      </c>
      <c r="C20764" s="5" t="str">
        <f>IFERROR(__xludf.DUMMYFUNCTION("GOOGLETRANSLATE(B20764,""en"",""fr"")"),"Plusieurs plans sont représentés de personnes qui roulent sur la montagne tout en regardant et en souriant à la caméra.")</f>
        <v>Plusieurs plans sont représentés de personnes qui roulent sur la montagne tout en regardant et en souriant à la caméra.</v>
      </c>
    </row>
    <row r="20765">
      <c r="A20765" s="4" t="s">
        <v>26153</v>
      </c>
      <c r="B20765" s="4" t="s">
        <v>26154</v>
      </c>
      <c r="C20765" s="5" t="str">
        <f>IFERROR(__xludf.DUMMYFUNCTION("GOOGLETRANSLATE(B20765,""en"",""fr"")"),"Un homme assis utilise un taille-creux pour aiguiser un grand couteau.")</f>
        <v>Un homme assis utilise un taille-creux pour aiguiser un grand couteau.</v>
      </c>
    </row>
    <row r="20766">
      <c r="A20766" s="4" t="s">
        <v>26153</v>
      </c>
      <c r="B20766" s="4" t="s">
        <v>26155</v>
      </c>
      <c r="C20766" s="5" t="str">
        <f>IFERROR(__xludf.DUMMYFUNCTION("GOOGLETRANSLATE(B20766,""en"",""fr"")"),"Il le gratte le long de la surface et le ventre du couteau, l'aiguisant.")</f>
        <v>Il le gratte le long de la surface et le ventre du couteau, l'aiguisant.</v>
      </c>
    </row>
    <row r="20767">
      <c r="A20767" s="4" t="s">
        <v>26156</v>
      </c>
      <c r="B20767" s="4" t="s">
        <v>26157</v>
      </c>
      <c r="C20767" s="5" t="str">
        <f>IFERROR(__xludf.DUMMYFUNCTION("GOOGLETRANSLATE(B20767,""en"",""fr"")"),"La personne roule d'un radeau unique bleu.")</f>
        <v>La personne roule d'un radeau unique bleu.</v>
      </c>
    </row>
    <row r="20768">
      <c r="A20768" s="4" t="s">
        <v>26156</v>
      </c>
      <c r="B20768" s="4" t="s">
        <v>26158</v>
      </c>
      <c r="C20768" s="5" t="str">
        <f>IFERROR(__xludf.DUMMYFUNCTION("GOOGLETRANSLATE(B20768,""en"",""fr"")"),"L'homme pagaye à travers le fort courant d'eau.")</f>
        <v>L'homme pagaye à travers le fort courant d'eau.</v>
      </c>
    </row>
    <row r="20769">
      <c r="A20769" s="4" t="s">
        <v>26156</v>
      </c>
      <c r="B20769" s="4" t="s">
        <v>26159</v>
      </c>
      <c r="C20769" s="5" t="str">
        <f>IFERROR(__xludf.DUMMYFUNCTION("GOOGLETRANSLATE(B20769,""en"",""fr"")"),"L'homme est tombé dans les petites chutes.")</f>
        <v>L'homme est tombé dans les petites chutes.</v>
      </c>
    </row>
    <row r="20770">
      <c r="A20770" s="4" t="s">
        <v>26160</v>
      </c>
      <c r="B20770" s="4" t="s">
        <v>26161</v>
      </c>
      <c r="C20770" s="5" t="str">
        <f>IFERROR(__xludf.DUMMYFUNCTION("GOOGLETRANSLATE(B20770,""en"",""fr"")"),"Une vidéo de ski de country arrière est montrée.")</f>
        <v>Une vidéo de ski de country arrière est montrée.</v>
      </c>
    </row>
    <row r="20771">
      <c r="A20771" s="4" t="s">
        <v>26160</v>
      </c>
      <c r="B20771" s="4" t="s">
        <v>26162</v>
      </c>
      <c r="C20771" s="5" t="str">
        <f>IFERROR(__xludf.DUMMYFUNCTION("GOOGLETRANSLATE(B20771,""en"",""fr"")"),"Le groupe prépare son équipement puis regarde sa yourte.")</f>
        <v>Le groupe prépare son équipement puis regarde sa yourte.</v>
      </c>
    </row>
    <row r="20772">
      <c r="A20772" s="4" t="s">
        <v>26160</v>
      </c>
      <c r="B20772" s="4" t="s">
        <v>26163</v>
      </c>
      <c r="C20772" s="5" t="str">
        <f>IFERROR(__xludf.DUMMYFUNCTION("GOOGLETRANSLATE(B20772,""en"",""fr"")"),"Ils montrent ensuite des vidéos de ski.")</f>
        <v>Ils montrent ensuite des vidéos de ski.</v>
      </c>
    </row>
    <row r="20773">
      <c r="A20773" s="4" t="s">
        <v>26164</v>
      </c>
      <c r="B20773" s="4" t="s">
        <v>26165</v>
      </c>
      <c r="C20773" s="5" t="str">
        <f>IFERROR(__xludf.DUMMYFUNCTION("GOOGLETRANSLATE(B20773,""en"",""fr"")"),"Un grand groupe de personnes est vue debout dans une pièce avec une femme à l'avant pour prendre un verre.")</f>
        <v>Un grand groupe de personnes est vue debout dans une pièce avec une femme à l'avant pour prendre un verre.</v>
      </c>
    </row>
    <row r="20774">
      <c r="A20774" s="4" t="s">
        <v>26164</v>
      </c>
      <c r="B20774" s="4" t="s">
        <v>26166</v>
      </c>
      <c r="C20774" s="5" t="str">
        <f>IFERROR(__xludf.DUMMYFUNCTION("GOOGLETRANSLATE(B20774,""en"",""fr"")"),"La femme met sa boisson et commence à conduire un groupe de personnes dansant.")</f>
        <v>La femme met sa boisson et commence à conduire un groupe de personnes dansant.</v>
      </c>
    </row>
    <row r="20775">
      <c r="A20775" s="4" t="s">
        <v>26164</v>
      </c>
      <c r="B20775" s="4" t="s">
        <v>26167</v>
      </c>
      <c r="C20775" s="5" t="str">
        <f>IFERROR(__xludf.DUMMYFUNCTION("GOOGLETRANSLATE(B20775,""en"",""fr"")"),"Le groupe continue de danser pendant que la caméra capture leurs mouvements.")</f>
        <v>Le groupe continue de danser pendant que la caméra capture leurs mouvements.</v>
      </c>
    </row>
    <row r="20776">
      <c r="A20776" s="4" t="s">
        <v>26168</v>
      </c>
      <c r="B20776" s="4" t="s">
        <v>26169</v>
      </c>
      <c r="C20776" s="5" t="str">
        <f>IFERROR(__xludf.DUMMYFUNCTION("GOOGLETRANSLATE(B20776,""en"",""fr"")"),"Une fille portant une veste de ski blanche longe la pente de ski en tirant un tube intérieur orange.")</f>
        <v>Une fille portant une veste de ski blanche longe la pente de ski en tirant un tube intérieur orange.</v>
      </c>
    </row>
    <row r="20777">
      <c r="A20777" s="4" t="s">
        <v>26168</v>
      </c>
      <c r="B20777" s="4" t="s">
        <v>26170</v>
      </c>
      <c r="C20777" s="5" t="str">
        <f>IFERROR(__xludf.DUMMYFUNCTION("GOOGLETRANSLATE(B20777,""en"",""fr"")"),"Un préposé des tubes aide un groupe d'enfants à charger sur leurs tubes intérieurs.")</f>
        <v>Un préposé des tubes aide un groupe d'enfants à charger sur leurs tubes intérieurs.</v>
      </c>
    </row>
    <row r="20778">
      <c r="A20778" s="4" t="s">
        <v>26168</v>
      </c>
      <c r="B20778" s="4" t="s">
        <v>26171</v>
      </c>
      <c r="C20778" s="5" t="str">
        <f>IFERROR(__xludf.DUMMYFUNCTION("GOOGLETRANSLATE(B20778,""en"",""fr"")"),"Les enfants glissent sur la pente ensemble dans leurs tubes intérieurs.")</f>
        <v>Les enfants glissent sur la pente ensemble dans leurs tubes intérieurs.</v>
      </c>
    </row>
    <row r="20779">
      <c r="A20779" s="4" t="s">
        <v>26168</v>
      </c>
      <c r="B20779" s="4" t="s">
        <v>26172</v>
      </c>
      <c r="C20779" s="5" t="str">
        <f>IFERROR(__xludf.DUMMYFUNCTION("GOOGLETRANSLATE(B20779,""en"",""fr"")"),"Les enfants remontent la pente du tube et glissent à nouveau sur leurs tubes intérieurs.")</f>
        <v>Les enfants remontent la pente du tube et glissent à nouveau sur leurs tubes intérieurs.</v>
      </c>
    </row>
    <row r="20780">
      <c r="A20780" s="4" t="s">
        <v>26173</v>
      </c>
      <c r="B20780" s="4" t="s">
        <v>26174</v>
      </c>
      <c r="C20780" s="5" t="str">
        <f>IFERROR(__xludf.DUMMYFUNCTION("GOOGLETRANSLATE(B20780,""en"",""fr"")"),"Un homme noir plus âgé est debout dans la cuisine en reprenant un t-shirt gris foncé.")</f>
        <v>Un homme noir plus âgé est debout dans la cuisine en reprenant un t-shirt gris foncé.</v>
      </c>
    </row>
    <row r="20781">
      <c r="A20781" s="4" t="s">
        <v>26173</v>
      </c>
      <c r="B20781" s="6" t="s">
        <v>26175</v>
      </c>
      <c r="C20781" s="5" t="str">
        <f>IFERROR(__xludf.DUMMYFUNCTION("GOOGLETRANSLATE(B20781,""en"",""fr"")"),"L'homme fait alors une pause et regarde la personne qui le filme et continue de mettre sa chemise.")</f>
        <v>L'homme fait alors une pause et regarde la personne qui le filme et continue de mettre sa chemise.</v>
      </c>
    </row>
    <row r="20782">
      <c r="A20782" s="4" t="s">
        <v>26176</v>
      </c>
      <c r="B20782" s="4" t="s">
        <v>26177</v>
      </c>
      <c r="C20782" s="5" t="str">
        <f>IFERROR(__xludf.DUMMYFUNCTION("GOOGLETRANSLATE(B20782,""en"",""fr"")"),"Un homme est vu avec des cheveux en désordre et regardant au loin.")</f>
        <v>Un homme est vu avec des cheveux en désordre et regardant au loin.</v>
      </c>
    </row>
    <row r="20783">
      <c r="A20783" s="4" t="s">
        <v>26176</v>
      </c>
      <c r="B20783" s="4" t="s">
        <v>26178</v>
      </c>
      <c r="C20783" s="5" t="str">
        <f>IFERROR(__xludf.DUMMYFUNCTION("GOOGLETRANSLATE(B20783,""en"",""fr"")"),"Il tient une tasse de café et se tourne vers la caméra.")</f>
        <v>Il tient une tasse de café et se tourne vers la caméra.</v>
      </c>
    </row>
    <row r="20784">
      <c r="A20784" s="4" t="s">
        <v>26176</v>
      </c>
      <c r="B20784" s="4" t="s">
        <v>26179</v>
      </c>
      <c r="C20784" s="5" t="str">
        <f>IFERROR(__xludf.DUMMYFUNCTION("GOOGLETRANSLATE(B20784,""en"",""fr"")"),"Il fait ensuite un grand sourire en regardant vers la caméra.")</f>
        <v>Il fait ensuite un grand sourire en regardant vers la caméra.</v>
      </c>
    </row>
    <row r="20785">
      <c r="A20785" s="4" t="s">
        <v>26180</v>
      </c>
      <c r="B20785" s="4" t="s">
        <v>26181</v>
      </c>
      <c r="C20785" s="5" t="str">
        <f>IFERROR(__xludf.DUMMYFUNCTION("GOOGLETRANSLATE(B20785,""en"",""fr"")"),"Une balle gonflable rebondit sur l'herbe alors que les enfants regardent jouer à un jeu.")</f>
        <v>Une balle gonflable rebondit sur l'herbe alors que les enfants regardent jouer à un jeu.</v>
      </c>
    </row>
    <row r="20786">
      <c r="A20786" s="4" t="s">
        <v>26180</v>
      </c>
      <c r="B20786" s="4" t="s">
        <v>26182</v>
      </c>
      <c r="C20786" s="5" t="str">
        <f>IFERROR(__xludf.DUMMYFUNCTION("GOOGLETRANSLATE(B20786,""en"",""fr"")"),"Un jeune garçon en chemise bleue et en jean récupère le ballon et court vers le groupe.")</f>
        <v>Un jeune garçon en chemise bleue et en jean récupère le ballon et court vers le groupe.</v>
      </c>
    </row>
    <row r="20787">
      <c r="A20787" s="4" t="s">
        <v>26183</v>
      </c>
      <c r="B20787" s="6" t="s">
        <v>26184</v>
      </c>
      <c r="C20787" s="5" t="str">
        <f>IFERROR(__xludf.DUMMYFUNCTION("GOOGLETRANSLATE(B20787,""en"",""fr"")"),"Cet homme est montré tenant une citrouille au début de la vidéo, puis il sculpte le dessus et obtient les graines et tout le reste de la citrouille.")</f>
        <v>Cet homme est montré tenant une citrouille au début de la vidéo, puis il sculpte le dessus et obtient les graines et tout le reste de la citrouille.</v>
      </c>
    </row>
    <row r="20788">
      <c r="A20788" s="4" t="s">
        <v>26183</v>
      </c>
      <c r="B20788" s="4" t="s">
        <v>26185</v>
      </c>
      <c r="C20788" s="5" t="str">
        <f>IFERROR(__xludf.DUMMYFUNCTION("GOOGLETRANSLATE(B20788,""en"",""fr"")"),"Quelqu'un donne à l'un des chiens de neige un morceau de la citrouille.")</f>
        <v>Quelqu'un donne à l'un des chiens de neige un morceau de la citrouille.</v>
      </c>
    </row>
    <row r="20789">
      <c r="A20789" s="4" t="s">
        <v>26183</v>
      </c>
      <c r="B20789" s="4" t="s">
        <v>26186</v>
      </c>
      <c r="C20789" s="5" t="str">
        <f>IFERROR(__xludf.DUMMYFUNCTION("GOOGLETRANSLATE(B20789,""en"",""fr"")"),"Puis il met le pochoir sur la citrouille et sculpte un chien de neige dans la citrouille.")</f>
        <v>Puis il met le pochoir sur la citrouille et sculpte un chien de neige dans la citrouille.</v>
      </c>
    </row>
    <row r="20790">
      <c r="A20790" s="4" t="s">
        <v>26187</v>
      </c>
      <c r="B20790" s="4" t="s">
        <v>26188</v>
      </c>
      <c r="C20790" s="5" t="str">
        <f>IFERROR(__xludf.DUMMYFUNCTION("GOOGLETRANSLATE(B20790,""en"",""fr"")"),"Une introduction arrive sur l'écran pour une entreprise de lin fine.")</f>
        <v>Une introduction arrive sur l'écran pour une entreprise de lin fine.</v>
      </c>
    </row>
    <row r="20791">
      <c r="A20791" s="4" t="s">
        <v>26187</v>
      </c>
      <c r="B20791" s="4" t="s">
        <v>26189</v>
      </c>
      <c r="C20791" s="5" t="str">
        <f>IFERROR(__xludf.DUMMYFUNCTION("GOOGLETRANSLATE(B20791,""en"",""fr"")"),"Une femme explique qu'elle décrira comment plier les serviettes en tissu.")</f>
        <v>Une femme explique qu'elle décrira comment plier les serviettes en tissu.</v>
      </c>
    </row>
    <row r="20792">
      <c r="A20792" s="4" t="s">
        <v>26187</v>
      </c>
      <c r="B20792" s="4" t="s">
        <v>26190</v>
      </c>
      <c r="C20792" s="5" t="str">
        <f>IFERROR(__xludf.DUMMYFUNCTION("GOOGLETRANSLATE(B20792,""en"",""fr"")"),"Elle commence par appuyer sur la serviette avec un fer chaud.")</f>
        <v>Elle commence par appuyer sur la serviette avec un fer chaud.</v>
      </c>
    </row>
    <row r="20793">
      <c r="A20793" s="4" t="s">
        <v>26187</v>
      </c>
      <c r="B20793" s="4" t="s">
        <v>26191</v>
      </c>
      <c r="C20793" s="5" t="str">
        <f>IFERROR(__xludf.DUMMYFUNCTION("GOOGLETRANSLATE(B20793,""en"",""fr"")"),"Elle plie la serviette et continue de le presser un peu plus.")</f>
        <v>Elle plie la serviette et continue de le presser un peu plus.</v>
      </c>
    </row>
    <row r="20794">
      <c r="A20794" s="4" t="s">
        <v>26187</v>
      </c>
      <c r="B20794" s="4" t="s">
        <v>4959</v>
      </c>
      <c r="C20794" s="5" t="str">
        <f>IFERROR(__xludf.DUMMYFUNCTION("GOOGLETRANSLATE(B20794,""en"",""fr"")"),"La vidéo se termine par les crédits de clôture.")</f>
        <v>La vidéo se termine par les crédits de clôture.</v>
      </c>
    </row>
    <row r="20795">
      <c r="A20795" s="4" t="s">
        <v>26192</v>
      </c>
      <c r="B20795" s="4" t="s">
        <v>26193</v>
      </c>
      <c r="C20795" s="5" t="str">
        <f>IFERROR(__xludf.DUMMYFUNCTION("GOOGLETRANSLATE(B20795,""en"",""fr"")"),"Un jeune garçon engendra la pelouse dans un quartier résidentiel de banlieue.")</f>
        <v>Un jeune garçon engendra la pelouse dans un quartier résidentiel de banlieue.</v>
      </c>
    </row>
    <row r="20796">
      <c r="A20796" s="4" t="s">
        <v>26192</v>
      </c>
      <c r="B20796" s="6" t="s">
        <v>26194</v>
      </c>
      <c r="C20796" s="5" t="str">
        <f>IFERROR(__xludf.DUMMYFUNCTION("GOOGLETRANSLATE(B20796,""en"",""fr"")"),"Un jeune garçon en t-shirt et en short manœuvre une pelouse se déplace d'avant en arrière à travers une petite parcelle de pelouse alors qu'il tond la pelouse.")</f>
        <v>Un jeune garçon en t-shirt et en short manœuvre une pelouse se déplace d'avant en arrière à travers une petite parcelle de pelouse alors qu'il tond la pelouse.</v>
      </c>
    </row>
    <row r="20797">
      <c r="A20797" s="4" t="s">
        <v>26192</v>
      </c>
      <c r="B20797" s="6" t="s">
        <v>26195</v>
      </c>
      <c r="C20797" s="5" t="str">
        <f>IFERROR(__xludf.DUMMYFUNCTION("GOOGLETRANSLATE(B20797,""en"",""fr"")"),"Le garçon parcourt ensuite la tondeuse sur un tronçon de pelouse plus long près du coin en face d'un panneau d'arrêt.")</f>
        <v>Le garçon parcourt ensuite la tondeuse sur un tronçon de pelouse plus long près du coin en face d'un panneau d'arrêt.</v>
      </c>
    </row>
    <row r="20798">
      <c r="A20798" s="4" t="s">
        <v>26196</v>
      </c>
      <c r="B20798" s="4" t="s">
        <v>26197</v>
      </c>
      <c r="C20798" s="5" t="str">
        <f>IFERROR(__xludf.DUMMYFUNCTION("GOOGLETRANSLATE(B20798,""en"",""fr"")"),"Un grand espace extérieur ouvert est illustré par une caméra en mouvement.")</f>
        <v>Un grand espace extérieur ouvert est illustré par une caméra en mouvement.</v>
      </c>
    </row>
    <row r="20799">
      <c r="A20799" s="4" t="s">
        <v>26196</v>
      </c>
      <c r="B20799" s="6" t="s">
        <v>26198</v>
      </c>
      <c r="C20799" s="5" t="str">
        <f>IFERROR(__xludf.DUMMYFUNCTION("GOOGLETRANSLATE(B20799,""en"",""fr"")"),"Un homme portant un casque est représenté sur une planche à roulettes avec une longue base de plan en bois dans divers endroits à l'extérieur.")</f>
        <v>Un homme portant un casque est représenté sur une planche à roulettes avec une longue base de plan en bois dans divers endroits à l'extérieur.</v>
      </c>
    </row>
    <row r="20800">
      <c r="A20800" s="4" t="s">
        <v>26196</v>
      </c>
      <c r="B20800" s="4" t="s">
        <v>26199</v>
      </c>
      <c r="C20800" s="5" t="str">
        <f>IFERROR(__xludf.DUMMYFUNCTION("GOOGLETRANSLATE(B20800,""en"",""fr"")"),"Un deuxième pilote rejoint le premier cavalier sur la planche à roulettes.")</f>
        <v>Un deuxième pilote rejoint le premier cavalier sur la planche à roulettes.</v>
      </c>
    </row>
    <row r="20801">
      <c r="A20801" s="4" t="s">
        <v>26196</v>
      </c>
      <c r="B20801" s="4" t="s">
        <v>26200</v>
      </c>
      <c r="C20801" s="5" t="str">
        <f>IFERROR(__xludf.DUMMYFUNCTION("GOOGLETRANSLATE(B20801,""en"",""fr"")"),"Un clip d'un homme ne portant pas de casque et conduisant une autre planche à roulettes est montré.")</f>
        <v>Un clip d'un homme ne portant pas de casque et conduisant une autre planche à roulettes est montré.</v>
      </c>
    </row>
    <row r="20802">
      <c r="A20802" s="4" t="s">
        <v>26196</v>
      </c>
      <c r="B20802" s="4" t="s">
        <v>26201</v>
      </c>
      <c r="C20802" s="5" t="str">
        <f>IFERROR(__xludf.DUMMYFUNCTION("GOOGLETRANSLATE(B20802,""en"",""fr"")"),"L'homme casté avec la planche comme skateboard est à nouveau illustré.")</f>
        <v>L'homme casté avec la planche comme skateboard est à nouveau illustré.</v>
      </c>
    </row>
    <row r="20803">
      <c r="A20803" s="4" t="s">
        <v>26196</v>
      </c>
      <c r="B20803" s="4" t="s">
        <v>26202</v>
      </c>
      <c r="C20803" s="5" t="str">
        <f>IFERROR(__xludf.DUMMYFUNCTION("GOOGLETRANSLATE(B20803,""en"",""fr"")"),"Plusieurs autres personnes conduisant d'autres planches à roulettes sont présentées.")</f>
        <v>Plusieurs autres personnes conduisant d'autres planches à roulettes sont présentées.</v>
      </c>
    </row>
    <row r="20804">
      <c r="A20804" s="4" t="s">
        <v>26196</v>
      </c>
      <c r="B20804" s="4" t="s">
        <v>26203</v>
      </c>
      <c r="C20804" s="5" t="str">
        <f>IFERROR(__xludf.DUMMYFUNCTION("GOOGLETRANSLATE(B20804,""en"",""fr"")"),"Le skateur d'origine est à nouveau illustré.")</f>
        <v>Le skateur d'origine est à nouveau illustré.</v>
      </c>
    </row>
    <row r="20805">
      <c r="A20805" s="4" t="s">
        <v>26204</v>
      </c>
      <c r="B20805" s="4" t="s">
        <v>26205</v>
      </c>
      <c r="C20805" s="5" t="str">
        <f>IFERROR(__xludf.DUMMYFUNCTION("GOOGLETRANSLATE(B20805,""en"",""fr"")"),"Un homme court sur un trottoir en béton avec des marches dans ses chaussures de kangourou.")</f>
        <v>Un homme court sur un trottoir en béton avec des marches dans ses chaussures de kangourou.</v>
      </c>
    </row>
    <row r="20806">
      <c r="A20806" s="4" t="s">
        <v>26204</v>
      </c>
      <c r="B20806" s="4" t="s">
        <v>26206</v>
      </c>
      <c r="C20806" s="5" t="str">
        <f>IFERROR(__xludf.DUMMYFUNCTION("GOOGLETRANSLATE(B20806,""en"",""fr"")"),"Plus de gens apparaissent et ils commencent eux aussi à sauter tout au long de la foule de personnes.")</f>
        <v>Plus de gens apparaissent et ils commencent eux aussi à sauter tout au long de la foule de personnes.</v>
      </c>
    </row>
    <row r="20807">
      <c r="A20807" s="4" t="s">
        <v>26207</v>
      </c>
      <c r="B20807" s="4" t="s">
        <v>26208</v>
      </c>
      <c r="C20807" s="5" t="str">
        <f>IFERROR(__xludf.DUMMYFUNCTION("GOOGLETRANSLATE(B20807,""en"",""fr"")"),"Il y a un homme démontrant comment utiliser un outil de réglage des mains.")</f>
        <v>Il y a un homme démontrant comment utiliser un outil de réglage des mains.</v>
      </c>
    </row>
    <row r="20808">
      <c r="A20808" s="4" t="s">
        <v>26207</v>
      </c>
      <c r="B20808" s="4" t="s">
        <v>26209</v>
      </c>
      <c r="C20808" s="5" t="str">
        <f>IFERROR(__xludf.DUMMYFUNCTION("GOOGLETRANSLATE(B20808,""en"",""fr"")"),"Il martèle les ongles dans un bar en bois.")</f>
        <v>Il martèle les ongles dans un bar en bois.</v>
      </c>
    </row>
    <row r="20809">
      <c r="A20809" s="4" t="s">
        <v>26207</v>
      </c>
      <c r="B20809" s="4" t="s">
        <v>26210</v>
      </c>
      <c r="C20809" s="5" t="str">
        <f>IFERROR(__xludf.DUMMYFUNCTION("GOOGLETRANSLATE(B20809,""en"",""fr"")"),"Il utilise l'outil pour aligner correctement les ongles avant de le marteler.")</f>
        <v>Il utilise l'outil pour aligner correctement les ongles avant de le marteler.</v>
      </c>
    </row>
    <row r="20810">
      <c r="A20810" s="4" t="s">
        <v>26207</v>
      </c>
      <c r="B20810" s="4" t="s">
        <v>26211</v>
      </c>
      <c r="C20810" s="5" t="str">
        <f>IFERROR(__xludf.DUMMYFUNCTION("GOOGLETRANSLATE(B20810,""en"",""fr"")"),"Il montre ensuite à quoi ressemblerait le processus de martèlement sans utiliser l'outil d'alignement.")</f>
        <v>Il montre ensuite à quoi ressemblerait le processus de martèlement sans utiliser l'outil d'alignement.</v>
      </c>
    </row>
    <row r="20811">
      <c r="A20811" s="4" t="s">
        <v>26207</v>
      </c>
      <c r="B20811" s="6" t="s">
        <v>26212</v>
      </c>
      <c r="C20811" s="5" t="str">
        <f>IFERROR(__xludf.DUMMYFUNCTION("GOOGLETRANSLATE(B20811,""en"",""fr"")"),"Ensuite, il utilise l'outil d'alignement pour afficher la différence WAT pour marteler un clou en bois lorsque l'outil est utilisé.")</f>
        <v>Ensuite, il utilise l'outil d'alignement pour afficher la différence WAT pour marteler un clou en bois lorsque l'outil est utilisé.</v>
      </c>
    </row>
    <row r="20812">
      <c r="A20812" s="4" t="s">
        <v>26213</v>
      </c>
      <c r="B20812" s="4" t="s">
        <v>26214</v>
      </c>
      <c r="C20812" s="5" t="str">
        <f>IFERROR(__xludf.DUMMYFUNCTION("GOOGLETRANSLATE(B20812,""en"",""fr"")"),"Un homme maigre, parle sur le bowling du téléphone et renverse toutes les épingles de bowling.")</f>
        <v>Un homme maigre, parle sur le bowling du téléphone et renverse toutes les épingles de bowling.</v>
      </c>
    </row>
    <row r="20813">
      <c r="A20813" s="4" t="s">
        <v>26213</v>
      </c>
      <c r="B20813" s="6" t="s">
        <v>26215</v>
      </c>
      <c r="C20813" s="5" t="str">
        <f>IFERROR(__xludf.DUMMYFUNCTION("GOOGLETRANSLATE(B20813,""en"",""fr"")"),"Ensuite, il doit passer par plusieurs obstacles pour faire basculer le ballon et il finit par le faire de toute façon.")</f>
        <v>Ensuite, il doit passer par plusieurs obstacles pour faire basculer le ballon et il finit par le faire de toute façon.</v>
      </c>
    </row>
    <row r="20814">
      <c r="A20814" s="4" t="s">
        <v>26213</v>
      </c>
      <c r="B20814" s="6" t="s">
        <v>26216</v>
      </c>
      <c r="C20814" s="5" t="str">
        <f>IFERROR(__xludf.DUMMYFUNCTION("GOOGLETRANSLATE(B20814,""en"",""fr"")"),"Certains d'entre eux incluent le bowling avec des épingles dans la voie, debout derrière un graphique, et même le faire les yeux couverts.")</f>
        <v>Certains d'entre eux incluent le bowling avec des épingles dans la voie, debout derrière un graphique, et même le faire les yeux couverts.</v>
      </c>
    </row>
    <row r="20815">
      <c r="A20815" s="4" t="s">
        <v>26217</v>
      </c>
      <c r="B20815" s="4" t="s">
        <v>26218</v>
      </c>
      <c r="C20815" s="5" t="str">
        <f>IFERROR(__xludf.DUMMYFUNCTION("GOOGLETRANSLATE(B20815,""en"",""fr"")"),"Un groupe de quatre garçons est à une table.")</f>
        <v>Un groupe de quatre garçons est à une table.</v>
      </c>
    </row>
    <row r="20816">
      <c r="A20816" s="4" t="s">
        <v>26217</v>
      </c>
      <c r="B20816" s="4" t="s">
        <v>26219</v>
      </c>
      <c r="C20816" s="5" t="str">
        <f>IFERROR(__xludf.DUMMYFUNCTION("GOOGLETRANSLATE(B20816,""en"",""fr"")"),"Comme le compte une minuterie, un garçon essaie de résoudre un Rubik's Cube.")</f>
        <v>Comme le compte une minuterie, un garçon essaie de résoudre un Rubik's Cube.</v>
      </c>
    </row>
    <row r="20817">
      <c r="A20817" s="4" t="s">
        <v>26217</v>
      </c>
      <c r="B20817" s="4" t="s">
        <v>26220</v>
      </c>
      <c r="C20817" s="5" t="str">
        <f>IFERROR(__xludf.DUMMYFUNCTION("GOOGLETRANSLATE(B20817,""en"",""fr"")"),"Il résout le cube et serre la main avec les autres garçons.")</f>
        <v>Il résout le cube et serre la main avec les autres garçons.</v>
      </c>
    </row>
    <row r="20818">
      <c r="A20818" s="4" t="s">
        <v>26221</v>
      </c>
      <c r="B20818" s="4" t="s">
        <v>26222</v>
      </c>
      <c r="C20818" s="5" t="str">
        <f>IFERROR(__xludf.DUMMYFUNCTION("GOOGLETRANSLATE(B20818,""en"",""fr"")"),"Un groupe danse sous un projecteur portant des robes et des chapeaux traditionnels de Chines.")</f>
        <v>Un groupe danse sous un projecteur portant des robes et des chapeaux traditionnels de Chines.</v>
      </c>
    </row>
    <row r="20819">
      <c r="A20819" s="4" t="s">
        <v>26221</v>
      </c>
      <c r="B20819" s="4" t="s">
        <v>26223</v>
      </c>
      <c r="C20819" s="5" t="str">
        <f>IFERROR(__xludf.DUMMYFUNCTION("GOOGLETRANSLATE(B20819,""en"",""fr"")"),"Les hommes prétendent tirer des cordes imaginaires.")</f>
        <v>Les hommes prétendent tirer des cordes imaginaires.</v>
      </c>
    </row>
    <row r="20820">
      <c r="A20820" s="4" t="s">
        <v>26221</v>
      </c>
      <c r="B20820" s="4" t="s">
        <v>26224</v>
      </c>
      <c r="C20820" s="5" t="str">
        <f>IFERROR(__xludf.DUMMYFUNCTION("GOOGLETRANSLATE(B20820,""en"",""fr"")"),"Les hommes s'accroupissent les uns après les autres et leur poussèrent des hanches.")</f>
        <v>Les hommes s'accroupissent les uns après les autres et leur poussèrent des hanches.</v>
      </c>
    </row>
    <row r="20821">
      <c r="A20821" s="4" t="s">
        <v>26221</v>
      </c>
      <c r="B20821" s="4" t="s">
        <v>26225</v>
      </c>
      <c r="C20821" s="5" t="str">
        <f>IFERROR(__xludf.DUMMYFUNCTION("GOOGLETRANSLATE(B20821,""en"",""fr"")"),"Les hommes se tiennent en arrière dans un cercle partiel et la danse.")</f>
        <v>Les hommes se tiennent en arrière dans un cercle partiel et la danse.</v>
      </c>
    </row>
    <row r="20822">
      <c r="A20822" s="4" t="s">
        <v>26221</v>
      </c>
      <c r="B20822" s="4" t="s">
        <v>26226</v>
      </c>
      <c r="C20822" s="5" t="str">
        <f>IFERROR(__xludf.DUMMYFUNCTION("GOOGLETRANSLATE(B20822,""en"",""fr"")"),"Les hommes tiennent là des bras comme une déesse hindoue.")</f>
        <v>Les hommes tiennent là des bras comme une déesse hindoue.</v>
      </c>
    </row>
    <row r="20823">
      <c r="A20823" s="4" t="s">
        <v>26227</v>
      </c>
      <c r="B20823" s="4" t="s">
        <v>26228</v>
      </c>
      <c r="C20823" s="5" t="str">
        <f>IFERROR(__xludf.DUMMYFUNCTION("GOOGLETRANSLATE(B20823,""en"",""fr"")"),"Une vue est vue d'un canyon profond avec un lifting au-dessus.")</f>
        <v>Une vue est vue d'un canyon profond avec un lifting au-dessus.</v>
      </c>
    </row>
    <row r="20824">
      <c r="A20824" s="4" t="s">
        <v>26227</v>
      </c>
      <c r="B20824" s="4" t="s">
        <v>26229</v>
      </c>
      <c r="C20824" s="5" t="str">
        <f>IFERROR(__xludf.DUMMYFUNCTION("GOOGLETRANSLATE(B20824,""en"",""fr"")"),"Un homme est vêtu d'équipement élastique par un autre homme.")</f>
        <v>Un homme est vêtu d'équipement élastique par un autre homme.</v>
      </c>
    </row>
    <row r="20825">
      <c r="A20825" s="4" t="s">
        <v>26227</v>
      </c>
      <c r="B20825" s="4" t="s">
        <v>26230</v>
      </c>
      <c r="C20825" s="5" t="str">
        <f>IFERROR(__xludf.DUMMYFUNCTION("GOOGLETRANSLATE(B20825,""en"",""fr"")"),"Il saute, puis se balance dans les eaux fines.")</f>
        <v>Il saute, puis se balance dans les eaux fines.</v>
      </c>
    </row>
    <row r="20826">
      <c r="A20826" s="4" t="s">
        <v>26231</v>
      </c>
      <c r="B20826" s="4" t="s">
        <v>26232</v>
      </c>
      <c r="C20826" s="5" t="str">
        <f>IFERROR(__xludf.DUMMYFUNCTION("GOOGLETRANSLATE(B20826,""en"",""fr"")"),"L'homme est dans un Kichen tenant une casserole sur poêle et prépare une omelette.")</f>
        <v>L'homme est dans un Kichen tenant une casserole sur poêle et prépare une omelette.</v>
      </c>
    </row>
    <row r="20827">
      <c r="A20827" s="4" t="s">
        <v>26231</v>
      </c>
      <c r="B20827" s="4" t="s">
        <v>26233</v>
      </c>
      <c r="C20827" s="5" t="str">
        <f>IFERROR(__xludf.DUMMYFUNCTION("GOOGLETRANSLATE(B20827,""en"",""fr"")"),"L'homme tient un sac et tient la poêle, attrape du fromage pour sac et pliez l'omelette.")</f>
        <v>L'homme tient un sac et tient la poêle, attrape du fromage pour sac et pliez l'omelette.</v>
      </c>
    </row>
    <row r="20828">
      <c r="A20828" s="4" t="s">
        <v>26234</v>
      </c>
      <c r="B20828" s="6" t="s">
        <v>26235</v>
      </c>
      <c r="C20828" s="5" t="str">
        <f>IFERROR(__xludf.DUMMYFUNCTION("GOOGLETRANSLATE(B20828,""en"",""fr"")"),"Un groupe de personnes est vu debout autour de l'arc et des flèches, puis la caméra de la caméra sur une longue ligne de personnes tirant des arcs.")</f>
        <v>Un groupe de personnes est vu debout autour de l'arc et des flèches, puis la caméra de la caméra sur une longue ligne de personnes tirant des arcs.</v>
      </c>
    </row>
    <row r="20829">
      <c r="A20829" s="4" t="s">
        <v>26234</v>
      </c>
      <c r="B20829" s="6" t="s">
        <v>26236</v>
      </c>
      <c r="C20829" s="5" t="str">
        <f>IFERROR(__xludf.DUMMYFUNCTION("GOOGLETRANSLATE(B20829,""en"",""fr"")"),"Un homme est ensuite vu parler à la caméra suivi de plusieurs plans de personnes aléatoires qui tirent les flèches vers une cible.")</f>
        <v>Un homme est ensuite vu parler à la caméra suivi de plusieurs plans de personnes aléatoires qui tirent les flèches vers une cible.</v>
      </c>
    </row>
    <row r="20830">
      <c r="A20830" s="4" t="s">
        <v>26234</v>
      </c>
      <c r="B20830" s="4" t="s">
        <v>26237</v>
      </c>
      <c r="C20830" s="5" t="str">
        <f>IFERROR(__xludf.DUMMYFUNCTION("GOOGLETRANSLATE(B20830,""en"",""fr"")"),"Beaucoup de gens regardent sur la touche et sont suivis par plus de photos de gens qui tirent des arcs.")</f>
        <v>Beaucoup de gens regardent sur la touche et sont suivis par plus de photos de gens qui tirent des arcs.</v>
      </c>
    </row>
    <row r="20831">
      <c r="A20831" s="4" t="s">
        <v>26238</v>
      </c>
      <c r="B20831" s="4" t="s">
        <v>26239</v>
      </c>
      <c r="C20831" s="5" t="str">
        <f>IFERROR(__xludf.DUMMYFUNCTION("GOOGLETRANSLATE(B20831,""en"",""fr"")"),"Un bol rouge contient une cuillère et du thon en morceaux.")</f>
        <v>Un bol rouge contient une cuillère et du thon en morceaux.</v>
      </c>
    </row>
    <row r="20832">
      <c r="A20832" s="4" t="s">
        <v>26238</v>
      </c>
      <c r="B20832" s="4" t="s">
        <v>26240</v>
      </c>
      <c r="C20832" s="5" t="str">
        <f>IFERROR(__xludf.DUMMYFUNCTION("GOOGLETRANSLATE(B20832,""en"",""fr"")"),"Quelqu'un verse de la mayonnaise dans le thon, ainsi que l'assaisonnement.")</f>
        <v>Quelqu'un verse de la mayonnaise dans le thon, ainsi que l'assaisonnement.</v>
      </c>
    </row>
    <row r="20833">
      <c r="A20833" s="4" t="s">
        <v>26238</v>
      </c>
      <c r="B20833" s="4" t="s">
        <v>26241</v>
      </c>
      <c r="C20833" s="5" t="str">
        <f>IFERROR(__xludf.DUMMYFUNCTION("GOOGLETRANSLATE(B20833,""en"",""fr"")"),"La substance est mélangée, puis étalée sur le pain pour faire un sandwich.")</f>
        <v>La substance est mélangée, puis étalée sur le pain pour faire un sandwich.</v>
      </c>
    </row>
    <row r="20834">
      <c r="A20834" s="4" t="s">
        <v>26242</v>
      </c>
      <c r="B20834" s="4" t="s">
        <v>26243</v>
      </c>
      <c r="C20834" s="5" t="str">
        <f>IFERROR(__xludf.DUMMYFUNCTION("GOOGLETRANSLATE(B20834,""en"",""fr"")"),"Un homme grimpe sur un mur à côté d'un rocher.")</f>
        <v>Un homme grimpe sur un mur à côté d'un rocher.</v>
      </c>
    </row>
    <row r="20835">
      <c r="A20835" s="4" t="s">
        <v>26242</v>
      </c>
      <c r="B20835" s="4" t="s">
        <v>26244</v>
      </c>
      <c r="C20835" s="5" t="str">
        <f>IFERROR(__xludf.DUMMYFUNCTION("GOOGLETRANSLATE(B20835,""en"",""fr"")"),"Il arrive au sommet et se libère pour tomber en bas.")</f>
        <v>Il arrive au sommet et se libère pour tomber en bas.</v>
      </c>
    </row>
    <row r="20836">
      <c r="A20836" s="4" t="s">
        <v>26245</v>
      </c>
      <c r="B20836" s="4" t="s">
        <v>26246</v>
      </c>
      <c r="C20836" s="5" t="str">
        <f>IFERROR(__xludf.DUMMYFUNCTION("GOOGLETRANSLATE(B20836,""en"",""fr"")"),"Une caméra se déroule autour d'un lac et mène à une personne qui grimpe dans un kayak.")</f>
        <v>Une caméra se déroule autour d'un lac et mène à une personne qui grimpe dans un kayak.</v>
      </c>
    </row>
    <row r="20837">
      <c r="A20837" s="4" t="s">
        <v>26245</v>
      </c>
      <c r="B20837" s="4" t="s">
        <v>26247</v>
      </c>
      <c r="C20837" s="5" t="str">
        <f>IFERROR(__xludf.DUMMYFUNCTION("GOOGLETRANSLATE(B20837,""en"",""fr"")"),"La personne commence alors à pagayer le long de l'eau tout en se déplaçant sous les ponts.")</f>
        <v>La personne commence alors à pagayer le long de l'eau tout en se déplaçant sous les ponts.</v>
      </c>
    </row>
    <row r="20838">
      <c r="A20838" s="4" t="s">
        <v>26245</v>
      </c>
      <c r="B20838" s="4" t="s">
        <v>26248</v>
      </c>
      <c r="C20838" s="5" t="str">
        <f>IFERROR(__xludf.DUMMYFUNCTION("GOOGLETRANSLATE(B20838,""en"",""fr"")"),"La personne continue de pagayer tout au long de l'eau et de regarder la caméra.")</f>
        <v>La personne continue de pagayer tout au long de l'eau et de regarder la caméra.</v>
      </c>
    </row>
    <row r="20839">
      <c r="A20839" s="4" t="s">
        <v>26249</v>
      </c>
      <c r="B20839" s="4" t="s">
        <v>26250</v>
      </c>
      <c r="C20839" s="5" t="str">
        <f>IFERROR(__xludf.DUMMYFUNCTION("GOOGLETRANSLATE(B20839,""en"",""fr"")"),"La femme pose dans une caméra dans une pièce blanche.")</f>
        <v>La femme pose dans une caméra dans une pièce blanche.</v>
      </c>
    </row>
    <row r="20840">
      <c r="A20840" s="4" t="s">
        <v>26249</v>
      </c>
      <c r="B20840" s="4" t="s">
        <v>26251</v>
      </c>
      <c r="C20840" s="5" t="str">
        <f>IFERROR(__xludf.DUMMYFUNCTION("GOOGLETRANSLATE(B20840,""en"",""fr"")"),"L'homme se tient derrière le wmoan coupant ses cheveux avec un ciseaux et le modèle pose.")</f>
        <v>L'homme se tient derrière le wmoan coupant ses cheveux avec un ciseaux et le modèle pose.</v>
      </c>
    </row>
    <row r="20841">
      <c r="A20841" s="4" t="s">
        <v>26252</v>
      </c>
      <c r="B20841" s="4" t="s">
        <v>26253</v>
      </c>
      <c r="C20841" s="5" t="str">
        <f>IFERROR(__xludf.DUMMYFUNCTION("GOOGLETRANSLATE(B20841,""en"",""fr"")"),"Une femme dans une tenue de danse du ventre danse déplacer son corps très stratégiquement.")</f>
        <v>Une femme dans une tenue de danse du ventre danse déplacer son corps très stratégiquement.</v>
      </c>
    </row>
    <row r="20842">
      <c r="A20842" s="4" t="s">
        <v>26252</v>
      </c>
      <c r="B20842" s="4" t="s">
        <v>26254</v>
      </c>
      <c r="C20842" s="5" t="str">
        <f>IFERROR(__xludf.DUMMYFUNCTION("GOOGLETRANSLATE(B20842,""en"",""fr"")"),"Elle a les mains dans les airs en se déplaçant alors qu'elle bouge ses hanches très rapidement.")</f>
        <v>Elle a les mains dans les airs en se déplaçant alors qu'elle bouge ses hanches très rapidement.</v>
      </c>
    </row>
    <row r="20843">
      <c r="A20843" s="4" t="s">
        <v>26252</v>
      </c>
      <c r="B20843" s="4" t="s">
        <v>26255</v>
      </c>
      <c r="C20843" s="5" t="str">
        <f>IFERROR(__xludf.DUMMYFUNCTION("GOOGLETRANSLATE(B20843,""en"",""fr"")"),"Elle parle de son amour pour la danse du ventre et tout ça.")</f>
        <v>Elle parle de son amour pour la danse du ventre et tout ça.</v>
      </c>
    </row>
    <row r="20844">
      <c r="A20844" s="4" t="s">
        <v>26252</v>
      </c>
      <c r="B20844" s="4" t="s">
        <v>26256</v>
      </c>
      <c r="C20844" s="5" t="str">
        <f>IFERROR(__xludf.DUMMYFUNCTION("GOOGLETRANSLATE(B20844,""en"",""fr"")"),"Ensuite, vous la voyez une autre tenue de danse du ventre violet dansant à l'extérieur.")</f>
        <v>Ensuite, vous la voyez une autre tenue de danse du ventre violet dansant à l'extérieur.</v>
      </c>
    </row>
    <row r="20845">
      <c r="A20845" s="4" t="s">
        <v>26257</v>
      </c>
      <c r="B20845" s="4" t="s">
        <v>26258</v>
      </c>
      <c r="C20845" s="5" t="str">
        <f>IFERROR(__xludf.DUMMYFUNCTION("GOOGLETRANSLATE(B20845,""en"",""fr"")"),"Un homme pelote une pomme de terre à l'aide d'un éplucheur vert.")</f>
        <v>Un homme pelote une pomme de terre à l'aide d'un éplucheur vert.</v>
      </c>
    </row>
    <row r="20846">
      <c r="A20846" s="4" t="s">
        <v>26257</v>
      </c>
      <c r="B20846" s="4" t="s">
        <v>26259</v>
      </c>
      <c r="C20846" s="5" t="str">
        <f>IFERROR(__xludf.DUMMYFUNCTION("GOOGLETRANSLATE(B20846,""en"",""fr"")"),"Il a décollé la partie médiane une fois de plus.")</f>
        <v>Il a décollé la partie médiane une fois de plus.</v>
      </c>
    </row>
    <row r="20847">
      <c r="A20847" s="4" t="s">
        <v>26257</v>
      </c>
      <c r="B20847" s="4" t="s">
        <v>26260</v>
      </c>
      <c r="C20847" s="5" t="str">
        <f>IFERROR(__xludf.DUMMYFUNCTION("GOOGLETRANSLATE(B20847,""en"",""fr"")"),"Jetez-le dans le conteneur.")</f>
        <v>Jetez-le dans le conteneur.</v>
      </c>
    </row>
    <row r="20848">
      <c r="A20848" s="4" t="s">
        <v>26261</v>
      </c>
      <c r="B20848" s="4" t="s">
        <v>26262</v>
      </c>
      <c r="C20848" s="5" t="str">
        <f>IFERROR(__xludf.DUMMYFUNCTION("GOOGLETRANSLATE(B20848,""en"",""fr"")"),"Une personne est vue en tenant un bâton suivi de plusieurs clips de personnes jetant un javelot.")</f>
        <v>Une personne est vue en tenant un bâton suivi de plusieurs clips de personnes jetant un javelot.</v>
      </c>
    </row>
    <row r="20849">
      <c r="A20849" s="4" t="s">
        <v>26261</v>
      </c>
      <c r="B20849" s="6" t="s">
        <v>26263</v>
      </c>
      <c r="C20849" s="5" t="str">
        <f>IFERROR(__xludf.DUMMYFUNCTION("GOOGLETRANSLATE(B20849,""en"",""fr"")"),"Plus de coups de feu sont montrés des athlètes lançant les grandes distances en javelot tout en criant à chaque fois après leur lancer.")</f>
        <v>Plus de coups de feu sont montrés des athlètes lançant les grandes distances en javelot tout en criant à chaque fois après leur lancer.</v>
      </c>
    </row>
    <row r="20850">
      <c r="A20850" s="4" t="s">
        <v>26264</v>
      </c>
      <c r="B20850" s="4" t="s">
        <v>26265</v>
      </c>
      <c r="C20850" s="5" t="str">
        <f>IFERROR(__xludf.DUMMYFUNCTION("GOOGLETRANSLATE(B20850,""en"",""fr"")"),"Un homme est assis sur une chaise.")</f>
        <v>Un homme est assis sur une chaise.</v>
      </c>
    </row>
    <row r="20851">
      <c r="A20851" s="4" t="s">
        <v>26264</v>
      </c>
      <c r="B20851" s="4" t="s">
        <v>26266</v>
      </c>
      <c r="C20851" s="5" t="str">
        <f>IFERROR(__xludf.DUMMYFUNCTION("GOOGLETRANSLATE(B20851,""en"",""fr"")"),"Il se fait tatouer sur son bras.")</f>
        <v>Il se fait tatouer sur son bras.</v>
      </c>
    </row>
    <row r="20852">
      <c r="A20852" s="4" t="s">
        <v>26264</v>
      </c>
      <c r="B20852" s="4" t="s">
        <v>26267</v>
      </c>
      <c r="C20852" s="5" t="str">
        <f>IFERROR(__xludf.DUMMYFUNCTION("GOOGLETRANSLATE(B20852,""en"",""fr"")"),"Un homme le regarde se faire tatouer.")</f>
        <v>Un homme le regarde se faire tatouer.</v>
      </c>
    </row>
    <row r="20853">
      <c r="A20853" s="4" t="s">
        <v>26264</v>
      </c>
      <c r="B20853" s="4" t="s">
        <v>26268</v>
      </c>
      <c r="C20853" s="5" t="str">
        <f>IFERROR(__xludf.DUMMYFUNCTION("GOOGLETRANSLATE(B20853,""en"",""fr"")"),"Il obtient son tatouage avec Saran Wrap.")</f>
        <v>Il obtient son tatouage avec Saran Wrap.</v>
      </c>
    </row>
    <row r="20854">
      <c r="A20854" s="4" t="s">
        <v>26269</v>
      </c>
      <c r="B20854" s="4" t="s">
        <v>26270</v>
      </c>
      <c r="C20854" s="5" t="str">
        <f>IFERROR(__xludf.DUMMYFUNCTION("GOOGLETRANSLATE(B20854,""en"",""fr"")"),"Une caméra s'éloigne d'une route et montre les pieds d'une personne se déplaçant.")</f>
        <v>Une caméra s'éloigne d'une route et montre les pieds d'une personne se déplaçant.</v>
      </c>
    </row>
    <row r="20855">
      <c r="A20855" s="4" t="s">
        <v>26269</v>
      </c>
      <c r="B20855" s="4" t="s">
        <v>26271</v>
      </c>
      <c r="C20855" s="5" t="str">
        <f>IFERROR(__xludf.DUMMYFUNCTION("GOOGLETRANSLATE(B20855,""en"",""fr"")"),"Plusieurs plans sont montrés des personnes qui attachent leurs chaussures, frappant un bouton et vérifiant une montre.")</f>
        <v>Plusieurs plans sont montrés des personnes qui attachent leurs chaussures, frappant un bouton et vérifiant une montre.</v>
      </c>
    </row>
    <row r="20856">
      <c r="A20856" s="4" t="s">
        <v>26269</v>
      </c>
      <c r="B20856" s="4" t="s">
        <v>26272</v>
      </c>
      <c r="C20856" s="5" t="str">
        <f>IFERROR(__xludf.DUMMYFUNCTION("GOOGLETRANSLATE(B20856,""en"",""fr"")"),"On voit alors des gens courir sur la route un à la fois suivi de bien d'autres suivants.")</f>
        <v>On voit alors des gens courir sur la route un à la fois suivi de bien d'autres suivants.</v>
      </c>
    </row>
    <row r="20857">
      <c r="A20857" s="4" t="s">
        <v>26273</v>
      </c>
      <c r="B20857" s="6" t="s">
        <v>26274</v>
      </c>
      <c r="C20857" s="5" t="str">
        <f>IFERROR(__xludf.DUMMYFUNCTION("GOOGLETRANSLATE(B20857,""en"",""fr"")"),"Plusieurs plans d'un casino sont montrés qui comprennent des gros plans de tables de poker et des personnes assises à une table en jouant.")</f>
        <v>Plusieurs plans d'un casino sont montrés qui comprennent des gros plans de tables de poker et des personnes assises à une table en jouant.</v>
      </c>
    </row>
    <row r="20858">
      <c r="A20858" s="4" t="s">
        <v>26273</v>
      </c>
      <c r="B20858" s="6" t="s">
        <v>26275</v>
      </c>
      <c r="C20858" s="5" t="str">
        <f>IFERROR(__xludf.DUMMYFUNCTION("GOOGLETRANSLATE(B20858,""en"",""fr"")"),"De nombreux plans sont présentés sur les cartes de concessionnaires tout en les retournant et le public réagissant.")</f>
        <v>De nombreux plans sont présentés sur les cartes de concessionnaires tout en les retournant et le public réagissant.</v>
      </c>
    </row>
    <row r="20859">
      <c r="A20859" s="4" t="s">
        <v>26276</v>
      </c>
      <c r="B20859" s="4" t="s">
        <v>26277</v>
      </c>
      <c r="C20859" s="5" t="str">
        <f>IFERROR(__xludf.DUMMYFUNCTION("GOOGLETRANSLATE(B20859,""en"",""fr"")"),"Une personne est du snowboard sur une montagne.")</f>
        <v>Une personne est du snowboard sur une montagne.</v>
      </c>
    </row>
    <row r="20860">
      <c r="A20860" s="4" t="s">
        <v>26276</v>
      </c>
      <c r="B20860" s="4" t="s">
        <v>26278</v>
      </c>
      <c r="C20860" s="5" t="str">
        <f>IFERROR(__xludf.DUMMYFUNCTION("GOOGLETRANSLATE(B20860,""en"",""fr"")"),"Il y a un montage de routes menant à une montagne et à un télésiège.")</f>
        <v>Il y a un montage de routes menant à une montagne et à un télésiège.</v>
      </c>
    </row>
    <row r="20861">
      <c r="A20861" s="4" t="s">
        <v>26276</v>
      </c>
      <c r="B20861" s="4" t="s">
        <v>26279</v>
      </c>
      <c r="C20861" s="5" t="str">
        <f>IFERROR(__xludf.DUMMYFUNCTION("GOOGLETRANSLATE(B20861,""en"",""fr"")"),"Les gens sautent sur des rampes et des demi-épipes.")</f>
        <v>Les gens sautent sur des rampes et des demi-épipes.</v>
      </c>
    </row>
    <row r="20862">
      <c r="A20862" s="4" t="s">
        <v>26280</v>
      </c>
      <c r="B20862" s="4" t="s">
        <v>26281</v>
      </c>
      <c r="C20862" s="5" t="str">
        <f>IFERROR(__xludf.DUMMYFUNCTION("GOOGLETRANSLATE(B20862,""en"",""fr"")"),"Une intro de texte mène à un lutteur qui claque un autre lutteur dans un anneau.")</f>
        <v>Une intro de texte mène à un lutteur qui claque un autre lutteur dans un anneau.</v>
      </c>
    </row>
    <row r="20863">
      <c r="A20863" s="4" t="s">
        <v>26280</v>
      </c>
      <c r="B20863" s="4" t="s">
        <v>26282</v>
      </c>
      <c r="C20863" s="5" t="str">
        <f>IFERROR(__xludf.DUMMYFUNCTION("GOOGLETRANSLATE(B20863,""en"",""fr"")"),"La vidéo continue avec plus de coups de l'homme épinglant des lutteurs.")</f>
        <v>La vidéo continue avec plus de coups de l'homme épinglant des lutteurs.</v>
      </c>
    </row>
    <row r="20864">
      <c r="A20864" s="4" t="s">
        <v>26280</v>
      </c>
      <c r="B20864" s="4" t="s">
        <v>26283</v>
      </c>
      <c r="C20864" s="5" t="str">
        <f>IFERROR(__xludf.DUMMYFUNCTION("GOOGLETRANSLATE(B20864,""en"",""fr"")"),"Plusieurs autres tirs sont affichés et se termine par une option d'abonnement.")</f>
        <v>Plusieurs autres tirs sont affichés et se termine par une option d'abonnement.</v>
      </c>
    </row>
    <row r="20865">
      <c r="A20865" s="4" t="s">
        <v>26284</v>
      </c>
      <c r="B20865" s="4" t="s">
        <v>26285</v>
      </c>
      <c r="C20865" s="5" t="str">
        <f>IFERROR(__xludf.DUMMYFUNCTION("GOOGLETRANSLATE(B20865,""en"",""fr"")"),"L'homme en chemise marron parle à la caméra.")</f>
        <v>L'homme en chemise marron parle à la caméra.</v>
      </c>
    </row>
    <row r="20866">
      <c r="A20866" s="4" t="s">
        <v>26284</v>
      </c>
      <c r="B20866" s="4" t="s">
        <v>26286</v>
      </c>
      <c r="C20866" s="5" t="str">
        <f>IFERROR(__xludf.DUMMYFUNCTION("GOOGLETRANSLATE(B20866,""en"",""fr"")"),"L'homme a placé un outil sur le tapis avec un long poteau.")</f>
        <v>L'homme a placé un outil sur le tapis avec un long poteau.</v>
      </c>
    </row>
    <row r="20867">
      <c r="A20867" s="4" t="s">
        <v>26284</v>
      </c>
      <c r="B20867" s="4" t="s">
        <v>26287</v>
      </c>
      <c r="C20867" s="5" t="str">
        <f>IFERROR(__xludf.DUMMYFUNCTION("GOOGLETRANSLATE(B20867,""en"",""fr"")"),"L'homme a utilisé la civière pour aplatir le tapis sur le sol.")</f>
        <v>L'homme a utilisé la civière pour aplatir le tapis sur le sol.</v>
      </c>
    </row>
    <row r="20868">
      <c r="A20868" s="4" t="s">
        <v>26288</v>
      </c>
      <c r="B20868" s="4" t="s">
        <v>26289</v>
      </c>
      <c r="C20868" s="5" t="str">
        <f>IFERROR(__xludf.DUMMYFUNCTION("GOOGLETRANSLATE(B20868,""en"",""fr"")"),"Nous voyons un magasin, des cartes et des gens dans un bus.")</f>
        <v>Nous voyons un magasin, des cartes et des gens dans un bus.</v>
      </c>
    </row>
    <row r="20869">
      <c r="A20869" s="4" t="s">
        <v>26288</v>
      </c>
      <c r="B20869" s="4" t="s">
        <v>26290</v>
      </c>
      <c r="C20869" s="5" t="str">
        <f>IFERROR(__xludf.DUMMYFUNCTION("GOOGLETRANSLATE(B20869,""en"",""fr"")"),"Nous voyons des gens à la plage.")</f>
        <v>Nous voyons des gens à la plage.</v>
      </c>
    </row>
    <row r="20870">
      <c r="A20870" s="4" t="s">
        <v>26288</v>
      </c>
      <c r="B20870" s="4" t="s">
        <v>26291</v>
      </c>
      <c r="C20870" s="5" t="str">
        <f>IFERROR(__xludf.DUMMYFUNCTION("GOOGLETRANSLATE(B20870,""en"",""fr"")"),"Nous voyons des gens dans le lac et dans les radeaux.")</f>
        <v>Nous voyons des gens dans le lac et dans les radeaux.</v>
      </c>
    </row>
    <row r="20871">
      <c r="A20871" s="4" t="s">
        <v>26288</v>
      </c>
      <c r="B20871" s="4" t="s">
        <v>26292</v>
      </c>
      <c r="C20871" s="5" t="str">
        <f>IFERROR(__xludf.DUMMYFUNCTION("GOOGLETRANSLATE(B20871,""en"",""fr"")"),"Nous voyons un chien sur le radeau.")</f>
        <v>Nous voyons un chien sur le radeau.</v>
      </c>
    </row>
    <row r="20872">
      <c r="A20872" s="4" t="s">
        <v>26288</v>
      </c>
      <c r="B20872" s="4" t="s">
        <v>26293</v>
      </c>
      <c r="C20872" s="5" t="str">
        <f>IFERROR(__xludf.DUMMYFUNCTION("GOOGLETRANSLATE(B20872,""en"",""fr"")"),"Nous voyons une personne pagayer d'un radeau.")</f>
        <v>Nous voyons une personne pagayer d'un radeau.</v>
      </c>
    </row>
    <row r="20873">
      <c r="A20873" s="4" t="s">
        <v>26288</v>
      </c>
      <c r="B20873" s="4" t="s">
        <v>26294</v>
      </c>
      <c r="C20873" s="5" t="str">
        <f>IFERROR(__xludf.DUMMYFUNCTION("GOOGLETRANSLATE(B20873,""en"",""fr"")"),"Nous voyons un chien nager dans la rivière.")</f>
        <v>Nous voyons un chien nager dans la rivière.</v>
      </c>
    </row>
    <row r="20874">
      <c r="A20874" s="4" t="s">
        <v>26288</v>
      </c>
      <c r="B20874" s="4" t="s">
        <v>26295</v>
      </c>
      <c r="C20874" s="5" t="str">
        <f>IFERROR(__xludf.DUMMYFUNCTION("GOOGLETRANSLATE(B20874,""en"",""fr"")"),"Nous voyons l'écran de fin en bleu.")</f>
        <v>Nous voyons l'écran de fin en bleu.</v>
      </c>
    </row>
    <row r="20875">
      <c r="A20875" s="4" t="s">
        <v>26296</v>
      </c>
      <c r="B20875" s="4" t="s">
        <v>26297</v>
      </c>
      <c r="C20875" s="5" t="str">
        <f>IFERROR(__xludf.DUMMYFUNCTION("GOOGLETRANSLATE(B20875,""en"",""fr"")"),"Un homme patine sur une patinoire et va faire un objectif.")</f>
        <v>Un homme patine sur une patinoire et va faire un objectif.</v>
      </c>
    </row>
    <row r="20876">
      <c r="A20876" s="4" t="s">
        <v>26296</v>
      </c>
      <c r="B20876" s="4" t="s">
        <v>26298</v>
      </c>
      <c r="C20876" s="5" t="str">
        <f>IFERROR(__xludf.DUMMYFUNCTION("GOOGLETRANSLATE(B20876,""en"",""fr"")"),"Il tire et fait un point et la foule applaudit.")</f>
        <v>Il tire et fait un point et la foule applaudit.</v>
      </c>
    </row>
    <row r="20877">
      <c r="A20877" s="4" t="s">
        <v>26296</v>
      </c>
      <c r="B20877" s="4" t="s">
        <v>26299</v>
      </c>
      <c r="C20877" s="5" t="str">
        <f>IFERROR(__xludf.DUMMYFUNCTION("GOOGLETRANSLATE(B20877,""en"",""fr"")"),"Il fait un autre point et la foule applaudit.")</f>
        <v>Il fait un autre point et la foule applaudit.</v>
      </c>
    </row>
    <row r="20878">
      <c r="A20878" s="4" t="s">
        <v>26296</v>
      </c>
      <c r="B20878" s="4" t="s">
        <v>26300</v>
      </c>
      <c r="C20878" s="5" t="str">
        <f>IFERROR(__xludf.DUMMYFUNCTION("GOOGLETRANSLATE(B20878,""en"",""fr"")"),"Une équipe de maillots jaunes se précipite sur la glace pour le féliciter.")</f>
        <v>Une équipe de maillots jaunes se précipite sur la glace pour le féliciter.</v>
      </c>
    </row>
    <row r="20879">
      <c r="A20879" s="4" t="s">
        <v>26296</v>
      </c>
      <c r="B20879" s="4" t="s">
        <v>26301</v>
      </c>
      <c r="C20879" s="5" t="str">
        <f>IFERROR(__xludf.DUMMYFUNCTION("GOOGLETRANSLATE(B20879,""en"",""fr"")"),"Ils sont alignés sur le terrain tandis qu'un homme en costume s'éloigne d'eux.")</f>
        <v>Ils sont alignés sur le terrain tandis qu'un homme en costume s'éloigne d'eux.</v>
      </c>
    </row>
    <row r="20880">
      <c r="A20880" s="4" t="s">
        <v>26296</v>
      </c>
      <c r="B20880" s="4" t="s">
        <v>26302</v>
      </c>
      <c r="C20880" s="5" t="str">
        <f>IFERROR(__xludf.DUMMYFUNCTION("GOOGLETRANSLATE(B20880,""en"",""fr"")"),"L'homme en costume s'arrête et parle à un autre homme.")</f>
        <v>L'homme en costume s'arrête et parle à un autre homme.</v>
      </c>
    </row>
    <row r="20881">
      <c r="A20881" s="4" t="s">
        <v>26296</v>
      </c>
      <c r="B20881" s="4" t="s">
        <v>26303</v>
      </c>
      <c r="C20881" s="5" t="str">
        <f>IFERROR(__xludf.DUMMYFUNCTION("GOOGLETRANSLATE(B20881,""en"",""fr"")"),"Il salue et revient vers les joueurs.")</f>
        <v>Il salue et revient vers les joueurs.</v>
      </c>
    </row>
    <row r="20882">
      <c r="A20882" s="4" t="s">
        <v>26296</v>
      </c>
      <c r="B20882" s="4" t="s">
        <v>26304</v>
      </c>
      <c r="C20882" s="5" t="str">
        <f>IFERROR(__xludf.DUMMYFUNCTION("GOOGLETRANSLATE(B20882,""en"",""fr"")"),"Les êtres d'équipe patinent vers les gens.")</f>
        <v>Les êtres d'équipe patinent vers les gens.</v>
      </c>
    </row>
    <row r="20883">
      <c r="A20883" s="4" t="s">
        <v>26296</v>
      </c>
      <c r="B20883" s="4" t="s">
        <v>26305</v>
      </c>
      <c r="C20883" s="5" t="str">
        <f>IFERROR(__xludf.DUMMYFUNCTION("GOOGLETRANSLATE(B20883,""en"",""fr"")"),"Ils patinent à travers la glace et un homme se tient sur les stands et maintient un trophée.")</f>
        <v>Ils patinent à travers la glace et un homme se tient sur les stands et maintient un trophée.</v>
      </c>
    </row>
    <row r="20884">
      <c r="A20884" s="4" t="s">
        <v>26306</v>
      </c>
      <c r="B20884" s="4" t="s">
        <v>26307</v>
      </c>
      <c r="C20884" s="5" t="str">
        <f>IFERROR(__xludf.DUMMYFUNCTION("GOOGLETRANSLATE(B20884,""en"",""fr"")"),"Un grand groupe de personnes danse par paires sur une piste de danse.")</f>
        <v>Un grand groupe de personnes danse par paires sur une piste de danse.</v>
      </c>
    </row>
    <row r="20885">
      <c r="A20885" s="4" t="s">
        <v>26306</v>
      </c>
      <c r="B20885" s="4" t="s">
        <v>26308</v>
      </c>
      <c r="C20885" s="5" t="str">
        <f>IFERROR(__xludf.DUMMYFUNCTION("GOOGLETRANSLATE(B20885,""en"",""fr"")"),"Les gens regardent des tables tout autour de la piste de danse.")</f>
        <v>Les gens regardent des tables tout autour de la piste de danse.</v>
      </c>
    </row>
    <row r="20886">
      <c r="A20886" s="4" t="s">
        <v>26306</v>
      </c>
      <c r="B20886" s="4" t="s">
        <v>26309</v>
      </c>
      <c r="C20886" s="5" t="str">
        <f>IFERROR(__xludf.DUMMYFUNCTION("GOOGLETRANSLATE(B20886,""en"",""fr"")"),"Un homme avec un microphone se tient sur la piste de danse.")</f>
        <v>Un homme avec un microphone se tient sur la piste de danse.</v>
      </c>
    </row>
    <row r="20887">
      <c r="A20887" s="4" t="s">
        <v>26310</v>
      </c>
      <c r="B20887" s="4" t="s">
        <v>26311</v>
      </c>
      <c r="C20887" s="5" t="str">
        <f>IFERROR(__xludf.DUMMYFUNCTION("GOOGLETRANSLATE(B20887,""en"",""fr"")"),"Un homme portant un chapeau est vu mettre des gants et démarrer une machine dans une grande herbe.")</f>
        <v>Un homme portant un chapeau est vu mettre des gants et démarrer une machine dans une grande herbe.</v>
      </c>
    </row>
    <row r="20888">
      <c r="A20888" s="4" t="s">
        <v>26310</v>
      </c>
      <c r="B20888" s="4" t="s">
        <v>26312</v>
      </c>
      <c r="C20888" s="5" t="str">
        <f>IFERROR(__xludf.DUMMYFUNCTION("GOOGLETRANSLATE(B20888,""en"",""fr"")"),"L'homme déplace ensuite la machine tout le long de l'herbe pour la couper.")</f>
        <v>L'homme déplace ensuite la machine tout le long de l'herbe pour la couper.</v>
      </c>
    </row>
    <row r="20889">
      <c r="A20889" s="4" t="s">
        <v>26310</v>
      </c>
      <c r="B20889" s="4" t="s">
        <v>26313</v>
      </c>
      <c r="C20889" s="5" t="str">
        <f>IFERROR(__xludf.DUMMYFUNCTION("GOOGLETRANSLATE(B20889,""en"",""fr"")"),"Il s'arrête un instant pour parler à la caméra et lève les mains.")</f>
        <v>Il s'arrête un instant pour parler à la caméra et lève les mains.</v>
      </c>
    </row>
    <row r="20890">
      <c r="A20890" s="4" t="s">
        <v>26314</v>
      </c>
      <c r="B20890" s="4" t="s">
        <v>26315</v>
      </c>
      <c r="C20890" s="5" t="str">
        <f>IFERROR(__xludf.DUMMYFUNCTION("GOOGLETRANSLATE(B20890,""en"",""fr"")"),"Un bâton est retenu du sol.")</f>
        <v>Un bâton est retenu du sol.</v>
      </c>
    </row>
    <row r="20891">
      <c r="A20891" s="4" t="s">
        <v>26314</v>
      </c>
      <c r="B20891" s="4" t="s">
        <v>26316</v>
      </c>
      <c r="C20891" s="5" t="str">
        <f>IFERROR(__xludf.DUMMYFUNCTION("GOOGLETRANSLATE(B20891,""en"",""fr"")"),"Un homme utilise la chauve-souris Croquette pour frapper une balle, puis la place au sol.")</f>
        <v>Un homme utilise la chauve-souris Croquette pour frapper une balle, puis la place au sol.</v>
      </c>
    </row>
    <row r="20892">
      <c r="A20892" s="4" t="s">
        <v>26317</v>
      </c>
      <c r="B20892" s="4" t="s">
        <v>26318</v>
      </c>
      <c r="C20892" s="5" t="str">
        <f>IFERROR(__xludf.DUMMYFUNCTION("GOOGLETRANSLATE(B20892,""en"",""fr"")"),"Une femme est assise par terre, parlant d'un aspirateur.")</f>
        <v>Une femme est assise par terre, parlant d'un aspirateur.</v>
      </c>
    </row>
    <row r="20893">
      <c r="A20893" s="4" t="s">
        <v>26317</v>
      </c>
      <c r="B20893" s="4" t="s">
        <v>26319</v>
      </c>
      <c r="C20893" s="5" t="str">
        <f>IFERROR(__xludf.DUMMYFUNCTION("GOOGLETRANSLATE(B20893,""en"",""fr"")"),"Elle montre comment appliquer de la poudre sur le tapis et l'aspirez.")</f>
        <v>Elle montre comment appliquer de la poudre sur le tapis et l'aspirez.</v>
      </c>
    </row>
    <row r="20894">
      <c r="A20894" s="4" t="s">
        <v>26317</v>
      </c>
      <c r="B20894" s="4" t="s">
        <v>26320</v>
      </c>
      <c r="C20894" s="5" t="str">
        <f>IFERROR(__xludf.DUMMYFUNCTION("GOOGLETRANSLATE(B20894,""en"",""fr"")"),"Elle montre ensuite comment nettoyer l'aspirateur et la mécanique de la machine.")</f>
        <v>Elle montre ensuite comment nettoyer l'aspirateur et la mécanique de la machine.</v>
      </c>
    </row>
    <row r="20895">
      <c r="A20895" s="4" t="s">
        <v>26321</v>
      </c>
      <c r="B20895" s="4" t="s">
        <v>26322</v>
      </c>
      <c r="C20895" s="5" t="str">
        <f>IFERROR(__xludf.DUMMYFUNCTION("GOOGLETRANSLATE(B20895,""en"",""fr"")"),"Un groupe de personnes est dans une maison.")</f>
        <v>Un groupe de personnes est dans une maison.</v>
      </c>
    </row>
    <row r="20896">
      <c r="A20896" s="4" t="s">
        <v>26321</v>
      </c>
      <c r="B20896" s="4" t="s">
        <v>26323</v>
      </c>
      <c r="C20896" s="5" t="str">
        <f>IFERROR(__xludf.DUMMYFUNCTION("GOOGLETRANSLATE(B20896,""en"",""fr"")"),"Un homme éponge le sol avec une vadrouille.")</f>
        <v>Un homme éponge le sol avec une vadrouille.</v>
      </c>
    </row>
    <row r="20897">
      <c r="A20897" s="4" t="s">
        <v>26321</v>
      </c>
      <c r="B20897" s="4" t="s">
        <v>26324</v>
      </c>
      <c r="C20897" s="5" t="str">
        <f>IFERROR(__xludf.DUMMYFUNCTION("GOOGLETRANSLATE(B20897,""en"",""fr"")"),"Un autre garçon tente de traverser là où il nettoie.")</f>
        <v>Un autre garçon tente de traverser là où il nettoie.</v>
      </c>
    </row>
    <row r="20898">
      <c r="A20898" s="4" t="s">
        <v>26321</v>
      </c>
      <c r="B20898" s="4" t="s">
        <v>26325</v>
      </c>
      <c r="C20898" s="5" t="str">
        <f>IFERROR(__xludf.DUMMYFUNCTION("GOOGLETRANSLATE(B20898,""en"",""fr"")"),"L'homme prend un verre de bière et se plaint à la caméra.")</f>
        <v>L'homme prend un verre de bière et se plaint à la caméra.</v>
      </c>
    </row>
    <row r="20899">
      <c r="A20899" s="4" t="s">
        <v>26321</v>
      </c>
      <c r="B20899" s="4" t="s">
        <v>26326</v>
      </c>
      <c r="C20899" s="5" t="str">
        <f>IFERROR(__xludf.DUMMYFUNCTION("GOOGLETRANSLATE(B20899,""en"",""fr"")"),"Il mousse dans la pièce entre les gens.")</f>
        <v>Il mousse dans la pièce entre les gens.</v>
      </c>
    </row>
    <row r="20900">
      <c r="A20900" s="4" t="s">
        <v>26321</v>
      </c>
      <c r="B20900" s="4" t="s">
        <v>26327</v>
      </c>
      <c r="C20900" s="5" t="str">
        <f>IFERROR(__xludf.DUMMYFUNCTION("GOOGLETRANSLATE(B20900,""en"",""fr"")"),"Il arrête de nettoyer et parle de la caméra.")</f>
        <v>Il arrête de nettoyer et parle de la caméra.</v>
      </c>
    </row>
    <row r="20901">
      <c r="A20901" s="4" t="s">
        <v>26328</v>
      </c>
      <c r="B20901" s="4" t="s">
        <v>26329</v>
      </c>
      <c r="C20901" s="5" t="str">
        <f>IFERROR(__xludf.DUMMYFUNCTION("GOOGLETRANSLATE(B20901,""en"",""fr"")"),"Un globe tourne avec l'écriture devant lui.")</f>
        <v>Un globe tourne avec l'écriture devant lui.</v>
      </c>
    </row>
    <row r="20902">
      <c r="A20902" s="4" t="s">
        <v>26328</v>
      </c>
      <c r="B20902" s="4" t="s">
        <v>26330</v>
      </c>
      <c r="C20902" s="5" t="str">
        <f>IFERROR(__xludf.DUMMYFUNCTION("GOOGLETRANSLATE(B20902,""en"",""fr"")"),"Un homme lance une boule de bowling dans diverses épingles.")</f>
        <v>Un homme lance une boule de bowling dans diverses épingles.</v>
      </c>
    </row>
    <row r="20903">
      <c r="A20903" s="4" t="s">
        <v>26328</v>
      </c>
      <c r="B20903" s="4" t="s">
        <v>26331</v>
      </c>
      <c r="C20903" s="5" t="str">
        <f>IFERROR(__xludf.DUMMYFUNCTION("GOOGLETRANSLATE(B20903,""en"",""fr"")"),"Il le fait rebondir du trampoline et renverse les épingles.")</f>
        <v>Il le fait rebondir du trampoline et renverse les épingles.</v>
      </c>
    </row>
    <row r="20904">
      <c r="A20904" s="4" t="s">
        <v>26328</v>
      </c>
      <c r="B20904" s="4" t="s">
        <v>26332</v>
      </c>
      <c r="C20904" s="5" t="str">
        <f>IFERROR(__xludf.DUMMYFUNCTION("GOOGLETRANSLATE(B20904,""en"",""fr"")"),"Le lance une balle de bowling sur un pont.")</f>
        <v>Le lance une balle de bowling sur un pont.</v>
      </c>
    </row>
    <row r="20905">
      <c r="A20905" s="4" t="s">
        <v>26328</v>
      </c>
      <c r="B20905" s="4" t="s">
        <v>26333</v>
      </c>
      <c r="C20905" s="5" t="str">
        <f>IFERROR(__xludf.DUMMYFUNCTION("GOOGLETRANSLATE(B20905,""en"",""fr"")"),"Une femme jette le ballon sur les épingles.")</f>
        <v>Une femme jette le ballon sur les épingles.</v>
      </c>
    </row>
    <row r="20906">
      <c r="A20906" s="4" t="s">
        <v>26328</v>
      </c>
      <c r="B20906" s="4" t="s">
        <v>26334</v>
      </c>
      <c r="C20906" s="5" t="str">
        <f>IFERROR(__xludf.DUMMYFUNCTION("GOOGLETRANSLATE(B20906,""en"",""fr"")"),"Un homme attrape la boule de bowling et la jette aux épingles.")</f>
        <v>Un homme attrape la boule de bowling et la jette aux épingles.</v>
      </c>
    </row>
    <row r="20907">
      <c r="A20907" s="4" t="s">
        <v>26328</v>
      </c>
      <c r="B20907" s="4" t="s">
        <v>26335</v>
      </c>
      <c r="C20907" s="5" t="str">
        <f>IFERROR(__xludf.DUMMYFUNCTION("GOOGLETRANSLATE(B20907,""en"",""fr"")"),"Un homme le fait rebondir sur une voiture et frappe les épingles.")</f>
        <v>Un homme le fait rebondir sur une voiture et frappe les épingles.</v>
      </c>
    </row>
    <row r="20908">
      <c r="A20908" s="4" t="s">
        <v>26328</v>
      </c>
      <c r="B20908" s="4" t="s">
        <v>26336</v>
      </c>
      <c r="C20908" s="5" t="str">
        <f>IFERROR(__xludf.DUMMYFUNCTION("GOOGLETRANSLATE(B20908,""en"",""fr"")"),"Une autre astuce de trampoline est montrée.")</f>
        <v>Une autre astuce de trampoline est montrée.</v>
      </c>
    </row>
    <row r="20909">
      <c r="A20909" s="4" t="s">
        <v>26328</v>
      </c>
      <c r="B20909" s="4" t="s">
        <v>26337</v>
      </c>
      <c r="C20909" s="5" t="str">
        <f>IFERROR(__xludf.DUMMYFUNCTION("GOOGLETRANSLATE(B20909,""en"",""fr"")"),"Un homme lance une boule de bowling sur une diapositive et une personne l'attrape en bas.")</f>
        <v>Un homme lance une boule de bowling sur une diapositive et une personne l'attrape en bas.</v>
      </c>
    </row>
    <row r="20910">
      <c r="A20910" s="4" t="s">
        <v>26328</v>
      </c>
      <c r="B20910" s="4" t="s">
        <v>26338</v>
      </c>
      <c r="C20910" s="5" t="str">
        <f>IFERROR(__xludf.DUMMYFUNCTION("GOOGLETRANSLATE(B20910,""en"",""fr"")"),"Un homme lance une balle de bowling sur une colline et il recule et frappe les épingles.")</f>
        <v>Un homme lance une balle de bowling sur une colline et il recule et frappe les épingles.</v>
      </c>
    </row>
    <row r="20911">
      <c r="A20911" s="4" t="s">
        <v>26328</v>
      </c>
      <c r="B20911" s="4" t="s">
        <v>26339</v>
      </c>
      <c r="C20911" s="5" t="str">
        <f>IFERROR(__xludf.DUMMYFUNCTION("GOOGLETRANSLATE(B20911,""en"",""fr"")"),"Deux hommes rebondissent sur les trampolines pour frapper des épingles.")</f>
        <v>Deux hommes rebondissent sur les trampolines pour frapper des épingles.</v>
      </c>
    </row>
    <row r="20912">
      <c r="A20912" s="4" t="s">
        <v>26328</v>
      </c>
      <c r="B20912" s="4" t="s">
        <v>26340</v>
      </c>
      <c r="C20912" s="5" t="str">
        <f>IFERROR(__xludf.DUMMYFUNCTION("GOOGLETRANSLATE(B20912,""en"",""fr"")"),"Une voiture télécommandée entraîne la boule de bowling pour frapper les épingles.")</f>
        <v>Une voiture télécommandée entraîne la boule de bowling pour frapper les épingles.</v>
      </c>
    </row>
    <row r="20913">
      <c r="A20913" s="4" t="s">
        <v>26328</v>
      </c>
      <c r="B20913" s="4" t="s">
        <v>26341</v>
      </c>
      <c r="C20913" s="5" t="str">
        <f>IFERROR(__xludf.DUMMYFUNCTION("GOOGLETRANSLATE(B20913,""en"",""fr"")"),"Deux hommes High Five après avoir abattu les épingles.")</f>
        <v>Deux hommes High Five après avoir abattu les épingles.</v>
      </c>
    </row>
    <row r="20914">
      <c r="A20914" s="4" t="s">
        <v>26328</v>
      </c>
      <c r="B20914" s="4" t="s">
        <v>26342</v>
      </c>
      <c r="C20914" s="5" t="str">
        <f>IFERROR(__xludf.DUMMYFUNCTION("GOOGLETRANSLATE(B20914,""en"",""fr"")"),"Un homme debout au-dessus d'un bâtiment jette une balle vers le bas et frappe les épingles.")</f>
        <v>Un homme debout au-dessus d'un bâtiment jette une balle vers le bas et frappe les épingles.</v>
      </c>
    </row>
    <row r="20915">
      <c r="A20915" s="4" t="s">
        <v>26343</v>
      </c>
      <c r="B20915" s="4" t="s">
        <v>26344</v>
      </c>
      <c r="C20915" s="5" t="str">
        <f>IFERROR(__xludf.DUMMYFUNCTION("GOOGLETRANSLATE(B20915,""en"",""fr"")"),"Deux danseurs dansent au centre du sol où il n'y a pas beaucoup de gens qui regardent.")</f>
        <v>Deux danseurs dansent au centre du sol où il n'y a pas beaucoup de gens qui regardent.</v>
      </c>
    </row>
    <row r="20916">
      <c r="A20916" s="4" t="s">
        <v>26343</v>
      </c>
      <c r="B20916" s="6" t="s">
        <v>26345</v>
      </c>
      <c r="C20916" s="5" t="str">
        <f>IFERROR(__xludf.DUMMYFUNCTION("GOOGLETRANSLATE(B20916,""en"",""fr"")"),"Ils portent tous les deux un décor noir et ils tournent les matraques de différentes manières et la musique joue.")</f>
        <v>Ils portent tous les deux un décor noir et ils tournent les matraques de différentes manières et la musique joue.</v>
      </c>
    </row>
    <row r="20917">
      <c r="A20917" s="4" t="s">
        <v>26343</v>
      </c>
      <c r="B20917" s="4" t="s">
        <v>26346</v>
      </c>
      <c r="C20917" s="5" t="str">
        <f>IFERROR(__xludf.DUMMYFUNCTION("GOOGLETRANSLATE(B20917,""en"",""fr"")"),"Beaucoup de gens applaudissent, certains sont debout et d'autres sont assis.")</f>
        <v>Beaucoup de gens applaudissent, certains sont debout et d'autres sont assis.</v>
      </c>
    </row>
    <row r="20918">
      <c r="A20918" s="4" t="s">
        <v>26347</v>
      </c>
      <c r="B20918" s="4" t="s">
        <v>26348</v>
      </c>
      <c r="C20918" s="5" t="str">
        <f>IFERROR(__xludf.DUMMYFUNCTION("GOOGLETRANSLATE(B20918,""en"",""fr"")"),"Deux garçons et deux filles concourent le pong de bière tandis que d'autres personnes regardent.")</f>
        <v>Deux garçons et deux filles concourent le pong de bière tandis que d'autres personnes regardent.</v>
      </c>
    </row>
    <row r="20919">
      <c r="A20919" s="4" t="s">
        <v>26347</v>
      </c>
      <c r="B20919" s="4" t="s">
        <v>26349</v>
      </c>
      <c r="C20919" s="5" t="str">
        <f>IFERROR(__xludf.DUMMYFUNCTION("GOOGLETRANSLATE(B20919,""en"",""fr"")"),"Presque toutes les balles lancées par les garçons atterrissent dans les tasses, une seule balle est manquée.")</f>
        <v>Presque toutes les balles lancées par les garçons atterrissent dans les tasses, une seule balle est manquée.</v>
      </c>
    </row>
    <row r="20920">
      <c r="A20920" s="4" t="s">
        <v>26347</v>
      </c>
      <c r="B20920" s="4" t="s">
        <v>26350</v>
      </c>
      <c r="C20920" s="5" t="str">
        <f>IFERROR(__xludf.DUMMYFUNCTION("GOOGLETRANSLATE(B20920,""en"",""fr"")"),"Les filles se parlent en regardant les garçons.")</f>
        <v>Les filles se parlent en regardant les garçons.</v>
      </c>
    </row>
    <row r="20921">
      <c r="A20921" s="4" t="s">
        <v>26351</v>
      </c>
      <c r="B20921" s="4" t="s">
        <v>26352</v>
      </c>
      <c r="C20921" s="5" t="str">
        <f>IFERROR(__xludf.DUMMYFUNCTION("GOOGLETRANSLATE(B20921,""en"",""fr"")"),"Un gars met des chaînes en tissu sur les chevilles d'une dame.")</f>
        <v>Un gars met des chaînes en tissu sur les chevilles d'une dame.</v>
      </c>
    </row>
    <row r="20922">
      <c r="A20922" s="4" t="s">
        <v>26351</v>
      </c>
      <c r="B20922" s="4" t="s">
        <v>26353</v>
      </c>
      <c r="C20922" s="5" t="str">
        <f>IFERROR(__xludf.DUMMYFUNCTION("GOOGLETRANSLATE(B20922,""en"",""fr"")"),"Le gars positionne la dame au bord.")</f>
        <v>Le gars positionne la dame au bord.</v>
      </c>
    </row>
    <row r="20923">
      <c r="A20923" s="4" t="s">
        <v>26351</v>
      </c>
      <c r="B20923" s="4" t="s">
        <v>26354</v>
      </c>
      <c r="C20923" s="5" t="str">
        <f>IFERROR(__xludf.DUMMYFUNCTION("GOOGLETRANSLATE(B20923,""en"",""fr"")"),"La dame élastique saute lorsque le gars enlève sa main.")</f>
        <v>La dame élastique saute lorsque le gars enlève sa main.</v>
      </c>
    </row>
    <row r="20924">
      <c r="A20924" s="4" t="s">
        <v>26355</v>
      </c>
      <c r="B20924" s="4" t="s">
        <v>26356</v>
      </c>
      <c r="C20924" s="5" t="str">
        <f>IFERROR(__xludf.DUMMYFUNCTION("GOOGLETRANSLATE(B20924,""en"",""fr"")"),"Une femme balaie devant une grange.")</f>
        <v>Une femme balaie devant une grange.</v>
      </c>
    </row>
    <row r="20925">
      <c r="A20925" s="4" t="s">
        <v>26355</v>
      </c>
      <c r="B20925" s="4" t="s">
        <v>26357</v>
      </c>
      <c r="C20925" s="5" t="str">
        <f>IFERROR(__xludf.DUMMYFUNCTION("GOOGLETRANSLATE(B20925,""en"",""fr"")"),"Les poulets sont sur le sol derrière elle.")</f>
        <v>Les poulets sont sur le sol derrière elle.</v>
      </c>
    </row>
    <row r="20926">
      <c r="A20926" s="4" t="s">
        <v>26355</v>
      </c>
      <c r="B20926" s="4" t="s">
        <v>26358</v>
      </c>
      <c r="C20926" s="5" t="str">
        <f>IFERROR(__xludf.DUMMYFUNCTION("GOOGLETRANSLATE(B20926,""en"",""fr"")"),"Elle pelle une saleté dans une brouette.")</f>
        <v>Elle pelle une saleté dans une brouette.</v>
      </c>
    </row>
    <row r="20927">
      <c r="A20927" s="4" t="s">
        <v>26355</v>
      </c>
      <c r="B20927" s="4" t="s">
        <v>26359</v>
      </c>
      <c r="C20927" s="5" t="str">
        <f>IFERROR(__xludf.DUMMYFUNCTION("GOOGLETRANSLATE(B20927,""en"",""fr"")"),"Les hommes balayent devant la grange.")</f>
        <v>Les hommes balayent devant la grange.</v>
      </c>
    </row>
    <row r="20928">
      <c r="A20928" s="4" t="s">
        <v>26355</v>
      </c>
      <c r="B20928" s="4" t="s">
        <v>26360</v>
      </c>
      <c r="C20928" s="5" t="str">
        <f>IFERROR(__xludf.DUMMYFUNCTION("GOOGLETRANSLATE(B20928,""en"",""fr"")"),"Une femme brosse un cheval avec une brosse.")</f>
        <v>Une femme brosse un cheval avec une brosse.</v>
      </c>
    </row>
    <row r="20929">
      <c r="A20929" s="4" t="s">
        <v>26361</v>
      </c>
      <c r="B20929" s="4" t="s">
        <v>26362</v>
      </c>
      <c r="C20929" s="5" t="str">
        <f>IFERROR(__xludf.DUMMYFUNCTION("GOOGLETRANSLATE(B20929,""en"",""fr"")"),"Un ensemble de couteaux repose sur des cônes de broches.")</f>
        <v>Un ensemble de couteaux repose sur des cônes de broches.</v>
      </c>
    </row>
    <row r="20930">
      <c r="A20930" s="4" t="s">
        <v>26361</v>
      </c>
      <c r="B20930" s="4" t="s">
        <v>26363</v>
      </c>
      <c r="C20930" s="5" t="str">
        <f>IFERROR(__xludf.DUMMYFUNCTION("GOOGLETRANSLATE(B20930,""en"",""fr"")"),"Un couteau de poche est pris dans une boîte en bois et maintenu avec une pince.")</f>
        <v>Un couteau de poche est pris dans une boîte en bois et maintenu avec une pince.</v>
      </c>
    </row>
    <row r="20931">
      <c r="A20931" s="4" t="s">
        <v>26361</v>
      </c>
      <c r="B20931" s="4" t="s">
        <v>26364</v>
      </c>
      <c r="C20931" s="5" t="str">
        <f>IFERROR(__xludf.DUMMYFUNCTION("GOOGLETRANSLATE(B20931,""en"",""fr"")"),"L'homme utilise des pierres aiguisées sur la lame du couteau.")</f>
        <v>L'homme utilise des pierres aiguisées sur la lame du couteau.</v>
      </c>
    </row>
    <row r="20932">
      <c r="A20932" s="4" t="s">
        <v>26361</v>
      </c>
      <c r="B20932" s="4" t="s">
        <v>26365</v>
      </c>
      <c r="C20932" s="5" t="str">
        <f>IFERROR(__xludf.DUMMYFUNCTION("GOOGLETRANSLATE(B20932,""en"",""fr"")"),"L'homme coupe des morceaux de papier pour montrer la netteté des couteaux.")</f>
        <v>L'homme coupe des morceaux de papier pour montrer la netteté des couteaux.</v>
      </c>
    </row>
    <row r="20933">
      <c r="A20933" s="4" t="s">
        <v>26361</v>
      </c>
      <c r="B20933" s="4" t="s">
        <v>26366</v>
      </c>
      <c r="C20933" s="5" t="str">
        <f>IFERROR(__xludf.DUMMYFUNCTION("GOOGLETRANSLATE(B20933,""en"",""fr"")"),"Un coup de feu immobile d'un foyer ouvert chaud est visible.")</f>
        <v>Un coup de feu immobile d'un foyer ouvert chaud est visible.</v>
      </c>
    </row>
    <row r="20934">
      <c r="A20934" s="4" t="s">
        <v>26367</v>
      </c>
      <c r="B20934" s="4" t="s">
        <v>26368</v>
      </c>
      <c r="C20934" s="5" t="str">
        <f>IFERROR(__xludf.DUMMYFUNCTION("GOOGLETRANSLATE(B20934,""en"",""fr"")"),"Un groupe de garçons s'alignent dans un terrain de baseball puis courent pour poursuivre le ballon.")</f>
        <v>Un groupe de garçons s'alignent dans un terrain de baseball puis courent pour poursuivre le ballon.</v>
      </c>
    </row>
    <row r="20935">
      <c r="A20935" s="4" t="s">
        <v>26367</v>
      </c>
      <c r="B20935" s="4" t="s">
        <v>26369</v>
      </c>
      <c r="C20935" s="5" t="str">
        <f>IFERROR(__xludf.DUMMYFUNCTION("GOOGLETRANSLATE(B20935,""en"",""fr"")"),"Une femme lance un coup de pied sur le terrain.")</f>
        <v>Une femme lance un coup de pied sur le terrain.</v>
      </c>
    </row>
    <row r="20936">
      <c r="A20936" s="4" t="s">
        <v>26367</v>
      </c>
      <c r="B20936" s="4" t="s">
        <v>26370</v>
      </c>
      <c r="C20936" s="5" t="str">
        <f>IFERROR(__xludf.DUMMYFUNCTION("GOOGLETRANSLATE(B20936,""en"",""fr"")"),"Le ballon est retourné sur le terrain par quelqu'un sur la touche.")</f>
        <v>Le ballon est retourné sur le terrain par quelqu'un sur la touche.</v>
      </c>
    </row>
    <row r="20937">
      <c r="A20937" s="4" t="s">
        <v>26367</v>
      </c>
      <c r="B20937" s="4" t="s">
        <v>26371</v>
      </c>
      <c r="C20937" s="5" t="str">
        <f>IFERROR(__xludf.DUMMYFUNCTION("GOOGLETRANSLATE(B20937,""en"",""fr"")"),"Un garçon court autour des bases sur le terrain.")</f>
        <v>Un garçon court autour des bases sur le terrain.</v>
      </c>
    </row>
    <row r="20938">
      <c r="A20938" s="4" t="s">
        <v>26367</v>
      </c>
      <c r="B20938" s="4" t="s">
        <v>26372</v>
      </c>
      <c r="C20938" s="5" t="str">
        <f>IFERROR(__xludf.DUMMYFUNCTION("GOOGLETRANSLATE(B20938,""en"",""fr"")"),"Le groupe de garçons pointe et signale aux autres joueurs sur le terrain.")</f>
        <v>Le groupe de garçons pointe et signale aux autres joueurs sur le terrain.</v>
      </c>
    </row>
    <row r="20939">
      <c r="A20939" s="4" t="s">
        <v>26367</v>
      </c>
      <c r="B20939" s="4" t="s">
        <v>26373</v>
      </c>
      <c r="C20939" s="5" t="str">
        <f>IFERROR(__xludf.DUMMYFUNCTION("GOOGLETRANSLATE(B20939,""en"",""fr"")"),"Un garçon donne un coup de pied au ballon et les autres joueurs courent autour des bases.")</f>
        <v>Un garçon donne un coup de pied au ballon et les autres joueurs courent autour des bases.</v>
      </c>
    </row>
    <row r="20940">
      <c r="A20940" s="4" t="s">
        <v>26374</v>
      </c>
      <c r="B20940" s="4" t="s">
        <v>26375</v>
      </c>
      <c r="C20940" s="5" t="str">
        <f>IFERROR(__xludf.DUMMYFUNCTION("GOOGLETRANSLATE(B20940,""en"",""fr"")"),"Il y a une grande salle de sport intérieure où un événement de gymnastique se déroule.")</f>
        <v>Il y a une grande salle de sport intérieure où un événement de gymnastique se déroule.</v>
      </c>
    </row>
    <row r="20941">
      <c r="A20941" s="4" t="s">
        <v>26374</v>
      </c>
      <c r="B20941" s="4" t="s">
        <v>26376</v>
      </c>
      <c r="C20941" s="5" t="str">
        <f>IFERROR(__xludf.DUMMYFUNCTION("GOOGLETRANSLATE(B20941,""en"",""fr"")"),"Il y a une gymnaste de filles qui se produit sur les barreaux.")</f>
        <v>Il y a une gymnaste de filles qui se produit sur les barreaux.</v>
      </c>
    </row>
    <row r="20942">
      <c r="A20942" s="4" t="s">
        <v>26374</v>
      </c>
      <c r="B20942" s="4" t="s">
        <v>26377</v>
      </c>
      <c r="C20942" s="5" t="str">
        <f>IFERROR(__xludf.DUMMYFUNCTION("GOOGLETRANSLATE(B20942,""en"",""fr"")"),"Il y a des spectateurs la regardant pendant qu'elle balance rapidement.")</f>
        <v>Il y a des spectateurs la regardant pendant qu'elle balance rapidement.</v>
      </c>
    </row>
    <row r="20943">
      <c r="A20943" s="4" t="s">
        <v>26374</v>
      </c>
      <c r="B20943" s="4" t="s">
        <v>26378</v>
      </c>
      <c r="C20943" s="5" t="str">
        <f>IFERROR(__xludf.DUMMYFUNCTION("GOOGLETRANSLATE(B20943,""en"",""fr"")"),"Elle descend des bars et est félicitée par son entraîneur.")</f>
        <v>Elle descend des bars et est félicitée par son entraîneur.</v>
      </c>
    </row>
    <row r="20944">
      <c r="A20944" s="4" t="s">
        <v>26374</v>
      </c>
      <c r="B20944" s="4" t="s">
        <v>26379</v>
      </c>
      <c r="C20944" s="5" t="str">
        <f>IFERROR(__xludf.DUMMYFUNCTION("GOOGLETRANSLATE(B20944,""en"",""fr"")"),"Les prix sont ensuite décernés aux gagnants de la compétition.")</f>
        <v>Les prix sont ensuite décernés aux gagnants de la compétition.</v>
      </c>
    </row>
    <row r="20945">
      <c r="A20945" s="4" t="s">
        <v>26374</v>
      </c>
      <c r="B20945" s="4" t="s">
        <v>26380</v>
      </c>
      <c r="C20945" s="5" t="str">
        <f>IFERROR(__xludf.DUMMYFUNCTION("GOOGLETRANSLATE(B20945,""en"",""fr"")"),"Les gagnants se tiennent sur scène pour recevoir leurs médailles de victoire.")</f>
        <v>Les gagnants se tiennent sur scène pour recevoir leurs médailles de victoire.</v>
      </c>
    </row>
    <row r="20946">
      <c r="A20946" s="4" t="s">
        <v>26374</v>
      </c>
      <c r="B20946" s="4" t="s">
        <v>26381</v>
      </c>
      <c r="C20946" s="5" t="str">
        <f>IFERROR(__xludf.DUMMYFUNCTION("GOOGLETRANSLATE(B20946,""en"",""fr"")"),"Le Score Board montre les noms de tous les gagnants.")</f>
        <v>Le Score Board montre les noms de tous les gagnants.</v>
      </c>
    </row>
    <row r="20947">
      <c r="A20947" s="4" t="s">
        <v>26382</v>
      </c>
      <c r="B20947" s="4" t="s">
        <v>26383</v>
      </c>
      <c r="C20947" s="5" t="str">
        <f>IFERROR(__xludf.DUMMYFUNCTION("GOOGLETRANSLATE(B20947,""en"",""fr"")"),"Plusieurs batailles de lutte différentes sont présentées avec de nombreux lutteurs différents présentés.")</f>
        <v>Plusieurs batailles de lutte différentes sont présentées avec de nombreux lutteurs différents présentés.</v>
      </c>
    </row>
    <row r="20948">
      <c r="A20948" s="4" t="s">
        <v>26382</v>
      </c>
      <c r="B20948" s="6" t="s">
        <v>26384</v>
      </c>
      <c r="C20948" s="5" t="str">
        <f>IFERROR(__xludf.DUMMYFUNCTION("GOOGLETRANSLATE(B20948,""en"",""fr"")"),"Un homme est hissé sur les épaules d'un autre homme et est ensuite jeté sur une table, qui se brise en deux avec la force de son poids.")</f>
        <v>Un homme est hissé sur les épaules d'un autre homme et est ensuite jeté sur une table, qui se brise en deux avec la force de son poids.</v>
      </c>
    </row>
    <row r="20949">
      <c r="A20949" s="4" t="s">
        <v>26382</v>
      </c>
      <c r="B20949" s="6" t="s">
        <v>26385</v>
      </c>
      <c r="C20949" s="5" t="str">
        <f>IFERROR(__xludf.DUMMYFUNCTION("GOOGLETRANSLATE(B20949,""en"",""fr"")"),"Plusieurs autres lutteurs sont lancés violemment sur les planchers d'anneau et les surfaces et tables plates, avec un homme aux cheveux sombres et long apparaissant plusieurs fois tout au long du clip hurlant d'une manière animée.")</f>
        <v>Plusieurs autres lutteurs sont lancés violemment sur les planchers d'anneau et les surfaces et tables plates, avec un homme aux cheveux sombres et long apparaissant plusieurs fois tout au long du clip hurlant d'une manière animée.</v>
      </c>
    </row>
    <row r="20950">
      <c r="A20950" s="4" t="s">
        <v>26382</v>
      </c>
      <c r="B20950" s="4" t="s">
        <v>26386</v>
      </c>
      <c r="C20950" s="5" t="str">
        <f>IFERROR(__xludf.DUMMYFUNCTION("GOOGLETRANSLATE(B20950,""en"",""fr"")"),"Un homme aux cheveux roux parle à une caméra vers la fin du clip.")</f>
        <v>Un homme aux cheveux roux parle à une caméra vers la fin du clip.</v>
      </c>
    </row>
    <row r="20951">
      <c r="A20951" s="4" t="s">
        <v>26387</v>
      </c>
      <c r="B20951" s="4" t="s">
        <v>26388</v>
      </c>
      <c r="C20951" s="5" t="str">
        <f>IFERROR(__xludf.DUMMYFUNCTION("GOOGLETRANSLATE(B20951,""en"",""fr"")"),"Deux hommes parlent sur le trottoir.")</f>
        <v>Deux hommes parlent sur le trottoir.</v>
      </c>
    </row>
    <row r="20952">
      <c r="A20952" s="4" t="s">
        <v>26387</v>
      </c>
      <c r="B20952" s="4" t="s">
        <v>26389</v>
      </c>
      <c r="C20952" s="5" t="str">
        <f>IFERROR(__xludf.DUMMYFUNCTION("GOOGLETRANSLATE(B20952,""en"",""fr"")"),"Un lifting de la fourche orange passe derrière eux.")</f>
        <v>Un lifting de la fourche orange passe derrière eux.</v>
      </c>
    </row>
    <row r="20953">
      <c r="A20953" s="4" t="s">
        <v>26387</v>
      </c>
      <c r="B20953" s="4" t="s">
        <v>26390</v>
      </c>
      <c r="C20953" s="5" t="str">
        <f>IFERROR(__xludf.DUMMYFUNCTION("GOOGLETRANSLATE(B20953,""en"",""fr"")"),"L'un des hommes brosse les cheveux des autres hommes.")</f>
        <v>L'un des hommes brosse les cheveux des autres hommes.</v>
      </c>
    </row>
    <row r="20954">
      <c r="A20954" s="4" t="s">
        <v>26387</v>
      </c>
      <c r="B20954" s="4" t="s">
        <v>26391</v>
      </c>
      <c r="C20954" s="5" t="str">
        <f>IFERROR(__xludf.DUMMYFUNCTION("GOOGLETRANSLATE(B20954,""en"",""fr"")"),"L'homme en chemise rouge joue avec ses cheveux.")</f>
        <v>L'homme en chemise rouge joue avec ses cheveux.</v>
      </c>
    </row>
    <row r="20955">
      <c r="A20955" s="4" t="s">
        <v>26392</v>
      </c>
      <c r="B20955" s="4" t="s">
        <v>26393</v>
      </c>
      <c r="C20955" s="5" t="str">
        <f>IFERROR(__xludf.DUMMYFUNCTION("GOOGLETRANSLATE(B20955,""en"",""fr"")"),"Un homme debout devant Orange Flowers parle.")</f>
        <v>Un homme debout devant Orange Flowers parle.</v>
      </c>
    </row>
    <row r="20956">
      <c r="A20956" s="4" t="s">
        <v>26392</v>
      </c>
      <c r="B20956" s="4" t="s">
        <v>26394</v>
      </c>
      <c r="C20956" s="5" t="str">
        <f>IFERROR(__xludf.DUMMYFUNCTION("GOOGLETRANSLATE(B20956,""en"",""fr"")"),"Un petit chien est allongé sur le sol.")</f>
        <v>Un petit chien est allongé sur le sol.</v>
      </c>
    </row>
    <row r="20957">
      <c r="A20957" s="4" t="s">
        <v>26392</v>
      </c>
      <c r="B20957" s="4" t="s">
        <v>26395</v>
      </c>
      <c r="C20957" s="5" t="str">
        <f>IFERROR(__xludf.DUMMYFUNCTION("GOOGLETRANSLATE(B20957,""en"",""fr"")"),"Une pomme de douche est montrée.")</f>
        <v>Une pomme de douche est montrée.</v>
      </c>
    </row>
    <row r="20958">
      <c r="A20958" s="4" t="s">
        <v>26392</v>
      </c>
      <c r="B20958" s="4" t="s">
        <v>26396</v>
      </c>
      <c r="C20958" s="5" t="str">
        <f>IFERROR(__xludf.DUMMYFUNCTION("GOOGLETRANSLATE(B20958,""en"",""fr"")"),"Une femme est assise sur un lit avec le chien.")</f>
        <v>Une femme est assise sur un lit avec le chien.</v>
      </c>
    </row>
    <row r="20959">
      <c r="A20959" s="4" t="s">
        <v>26392</v>
      </c>
      <c r="B20959" s="4" t="s">
        <v>26397</v>
      </c>
      <c r="C20959" s="5" t="str">
        <f>IFERROR(__xludf.DUMMYFUNCTION("GOOGLETRANSLATE(B20959,""en"",""fr"")"),"Elle et le chien sont sous la douche.")</f>
        <v>Elle et le chien sont sous la douche.</v>
      </c>
    </row>
    <row r="20960">
      <c r="A20960" s="4" t="s">
        <v>26392</v>
      </c>
      <c r="B20960" s="4" t="s">
        <v>26398</v>
      </c>
      <c r="C20960" s="5" t="str">
        <f>IFERROR(__xludf.DUMMYFUNCTION("GOOGLETRANSLATE(B20960,""en"",""fr"")"),"Elle pulvérise le chien avec de l'eau.")</f>
        <v>Elle pulvérise le chien avec de l'eau.</v>
      </c>
    </row>
    <row r="20961">
      <c r="A20961" s="4" t="s">
        <v>26392</v>
      </c>
      <c r="B20961" s="4" t="s">
        <v>26399</v>
      </c>
      <c r="C20961" s="5" t="str">
        <f>IFERROR(__xludf.DUMMYFUNCTION("GOOGLETRANSLATE(B20961,""en"",""fr"")"),"Une bouteille est maintenue pour être montrée.")</f>
        <v>Une bouteille est maintenue pour être montrée.</v>
      </c>
    </row>
    <row r="20962">
      <c r="A20962" s="4" t="s">
        <v>26392</v>
      </c>
      <c r="B20962" s="4" t="s">
        <v>26400</v>
      </c>
      <c r="C20962" s="5" t="str">
        <f>IFERROR(__xludf.DUMMYFUNCTION("GOOGLETRANSLATE(B20962,""en"",""fr"")"),"Elle sèche le chien avec une serviette blanche.")</f>
        <v>Elle sèche le chien avec une serviette blanche.</v>
      </c>
    </row>
    <row r="20963">
      <c r="A20963" s="4" t="s">
        <v>26392</v>
      </c>
      <c r="B20963" s="4" t="s">
        <v>26401</v>
      </c>
      <c r="C20963" s="5" t="str">
        <f>IFERROR(__xludf.DUMMYFUNCTION("GOOGLETRANSLATE(B20963,""en"",""fr"")"),"Un robot danse à l'écran.")</f>
        <v>Un robot danse à l'écran.</v>
      </c>
    </row>
    <row r="20964">
      <c r="A20964" s="4" t="s">
        <v>26402</v>
      </c>
      <c r="B20964" s="4" t="s">
        <v>26403</v>
      </c>
      <c r="C20964" s="5" t="str">
        <f>IFERROR(__xludf.DUMMYFUNCTION("GOOGLETRANSLATE(B20964,""en"",""fr"")"),"Une pelouse empilée de neige est montrée.")</f>
        <v>Une pelouse empilée de neige est montrée.</v>
      </c>
    </row>
    <row r="20965">
      <c r="A20965" s="4" t="s">
        <v>26402</v>
      </c>
      <c r="B20965" s="4" t="s">
        <v>26404</v>
      </c>
      <c r="C20965" s="5" t="str">
        <f>IFERROR(__xludf.DUMMYFUNCTION("GOOGLETRANSLATE(B20965,""en"",""fr"")"),"Un homme sur un tracteur tire un enfant sur un tube sur des monticules de neige encore et encore.")</f>
        <v>Un homme sur un tracteur tire un enfant sur un tube sur des monticules de neige encore et encore.</v>
      </c>
    </row>
    <row r="20966">
      <c r="A20966" s="4" t="s">
        <v>26402</v>
      </c>
      <c r="B20966" s="4" t="s">
        <v>26405</v>
      </c>
      <c r="C20966" s="5" t="str">
        <f>IFERROR(__xludf.DUMMYFUNCTION("GOOGLETRANSLATE(B20966,""en"",""fr"")"),"Il se termine avec le garçon de près et une autre céréale mangeante du haut d'un escalier.")</f>
        <v>Il se termine avec le garçon de près et une autre céréale mangeante du haut d'un escalier.</v>
      </c>
    </row>
    <row r="20967">
      <c r="A20967" s="4" t="s">
        <v>26406</v>
      </c>
      <c r="B20967" s="6" t="s">
        <v>26407</v>
      </c>
      <c r="C20967" s="5" t="str">
        <f>IFERROR(__xludf.DUMMYFUNCTION("GOOGLETRANSLATE(B20967,""en"",""fr"")"),"Un représentant du réseau GCN parle et montre comment utiliser des outils pour réparer les roues de vélo.")</f>
        <v>Un représentant du réseau GCN parle et montre comment utiliser des outils pour réparer les roues de vélo.</v>
      </c>
    </row>
    <row r="20968">
      <c r="A20968" s="4" t="s">
        <v>26406</v>
      </c>
      <c r="B20968" s="4" t="s">
        <v>26408</v>
      </c>
      <c r="C20968" s="5" t="str">
        <f>IFERROR(__xludf.DUMMYFUNCTION("GOOGLETRANSLATE(B20968,""en"",""fr"")"),"Il se tient près d'un vélo bleu surélevé avec plusieurs outils affichés sur un mur derrière lui.")</f>
        <v>Il se tient près d'un vélo bleu surélevé avec plusieurs outils affichés sur un mur derrière lui.</v>
      </c>
    </row>
    <row r="20969">
      <c r="A20969" s="4" t="s">
        <v>26406</v>
      </c>
      <c r="B20969" s="4" t="s">
        <v>26409</v>
      </c>
      <c r="C20969" s="5" t="str">
        <f>IFERROR(__xludf.DUMMYFUNCTION("GOOGLETRANSLATE(B20969,""en"",""fr"")"),"Il utilise une clé Allen pour tirer le pneu de vélo.")</f>
        <v>Il utilise une clé Allen pour tirer le pneu de vélo.</v>
      </c>
    </row>
    <row r="20970">
      <c r="A20970" s="4" t="s">
        <v>26406</v>
      </c>
      <c r="B20970" s="4" t="s">
        <v>26410</v>
      </c>
      <c r="C20970" s="5" t="str">
        <f>IFERROR(__xludf.DUMMYFUNCTION("GOOGLETRANSLATE(B20970,""en"",""fr"")"),"Il fait pivoter le pneu de vélo puis utilise la touche Allen pour régler les vis.")</f>
        <v>Il fait pivoter le pneu de vélo puis utilise la touche Allen pour régler les vis.</v>
      </c>
    </row>
    <row r="20971">
      <c r="A20971" s="4" t="s">
        <v>26406</v>
      </c>
      <c r="B20971" s="4" t="s">
        <v>26411</v>
      </c>
      <c r="C20971" s="5" t="str">
        <f>IFERROR(__xludf.DUMMYFUNCTION("GOOGLETRANSLATE(B20971,""en"",""fr"")"),"Puis il réinitialise les pistons de la roue pour les réaligner.")</f>
        <v>Puis il réinitialise les pistons de la roue pour les réaligner.</v>
      </c>
    </row>
    <row r="20972">
      <c r="A20972" s="4" t="s">
        <v>26406</v>
      </c>
      <c r="B20972" s="4" t="s">
        <v>26412</v>
      </c>
      <c r="C20972" s="5" t="str">
        <f>IFERROR(__xludf.DUMMYFUNCTION("GOOGLETRANSLATE(B20972,""en"",""fr"")"),"Puis il s'intègre précisément dans l'attachement dans la roue.")</f>
        <v>Puis il s'intègre précisément dans l'attachement dans la roue.</v>
      </c>
    </row>
    <row r="20973">
      <c r="A20973" s="4" t="s">
        <v>26413</v>
      </c>
      <c r="B20973" s="6" t="s">
        <v>26414</v>
      </c>
      <c r="C20973" s="5" t="str">
        <f>IFERROR(__xludf.DUMMYFUNCTION("GOOGLETRANSLATE(B20973,""en"",""fr"")"),"Une personne utilise un aspirateur, le nettoyage du tapis de débris dans une pièce qui les balaie d'avant en arrière.")</f>
        <v>Une personne utilise un aspirateur, le nettoyage du tapis de débris dans une pièce qui les balaie d'avant en arrière.</v>
      </c>
    </row>
    <row r="20974">
      <c r="A20974" s="4" t="s">
        <v>26413</v>
      </c>
      <c r="B20974" s="4" t="s">
        <v>26415</v>
      </c>
      <c r="C20974" s="5" t="str">
        <f>IFERROR(__xludf.DUMMYFUNCTION("GOOGLETRANSLATE(B20974,""en"",""fr"")"),"Le seau de collecte d'aspirateurs est déplacé afin d'atteindre une nouvelle zone de tapis.")</f>
        <v>Le seau de collecte d'aspirateurs est déplacé afin d'atteindre une nouvelle zone de tapis.</v>
      </c>
    </row>
    <row r="20975">
      <c r="A20975" s="4" t="s">
        <v>26413</v>
      </c>
      <c r="B20975" s="4" t="s">
        <v>26416</v>
      </c>
      <c r="C20975" s="5" t="str">
        <f>IFERROR(__xludf.DUMMYFUNCTION("GOOGLETRANSLATE(B20975,""en"",""fr"")"),"La personne aspire la zone du tapis autour du canapé.")</f>
        <v>La personne aspire la zone du tapis autour du canapé.</v>
      </c>
    </row>
    <row r="20976">
      <c r="A20976" s="4" t="s">
        <v>26413</v>
      </c>
      <c r="B20976" s="4" t="s">
        <v>26417</v>
      </c>
      <c r="C20976" s="5" t="str">
        <f>IFERROR(__xludf.DUMMYFUNCTION("GOOGLETRANSLATE(B20976,""en"",""fr"")"),"La personne soulève la tête du vide et examine les roues en dessous.")</f>
        <v>La personne soulève la tête du vide et examine les roues en dessous.</v>
      </c>
    </row>
    <row r="20977">
      <c r="A20977" s="4" t="s">
        <v>26418</v>
      </c>
      <c r="B20977" s="4" t="s">
        <v>26419</v>
      </c>
      <c r="C20977" s="5" t="str">
        <f>IFERROR(__xludf.DUMMYFUNCTION("GOOGLETRANSLATE(B20977,""en"",""fr"")"),"Une femme blonde court et fait un saut en hauteur à plusieurs reprises.")</f>
        <v>Une femme blonde court et fait un saut en hauteur à plusieurs reprises.</v>
      </c>
    </row>
    <row r="20978">
      <c r="A20978" s="4" t="s">
        <v>26418</v>
      </c>
      <c r="B20978" s="4" t="s">
        <v>26420</v>
      </c>
      <c r="C20978" s="5" t="str">
        <f>IFERROR(__xludf.DUMMYFUNCTION("GOOGLETRANSLATE(B20978,""en"",""fr"")"),"Une femme en blanc en arrière-plan fait un saut en hauteur.")</f>
        <v>Une femme en blanc en arrière-plan fait un saut en hauteur.</v>
      </c>
    </row>
    <row r="20979">
      <c r="A20979" s="4" t="s">
        <v>26418</v>
      </c>
      <c r="B20979" s="4" t="s">
        <v>26421</v>
      </c>
      <c r="C20979" s="5" t="str">
        <f>IFERROR(__xludf.DUMMYFUNCTION("GOOGLETRANSLATE(B20979,""en"",""fr"")"),"Une dame noire passe devant la caméra.")</f>
        <v>Une dame noire passe devant la caméra.</v>
      </c>
    </row>
    <row r="20980">
      <c r="A20980" s="4" t="s">
        <v>26418</v>
      </c>
      <c r="B20980" s="4" t="s">
        <v>26422</v>
      </c>
      <c r="C20980" s="5" t="str">
        <f>IFERROR(__xludf.DUMMYFUNCTION("GOOGLETRANSLATE(B20980,""en"",""fr"")"),"La dame noire apparaît à nouveau et ajuste quelque chose sur le sol.")</f>
        <v>La dame noire apparaît à nouveau et ajuste quelque chose sur le sol.</v>
      </c>
    </row>
    <row r="20981">
      <c r="A20981" s="4" t="s">
        <v>26418</v>
      </c>
      <c r="B20981" s="4" t="s">
        <v>26423</v>
      </c>
      <c r="C20981" s="5" t="str">
        <f>IFERROR(__xludf.DUMMYFUNCTION("GOOGLETRANSLATE(B20981,""en"",""fr"")"),"Un homme soulève un drapeau rouge.")</f>
        <v>Un homme soulève un drapeau rouge.</v>
      </c>
    </row>
    <row r="20982">
      <c r="A20982" s="4" t="s">
        <v>26424</v>
      </c>
      <c r="B20982" s="6" t="s">
        <v>26425</v>
      </c>
      <c r="C20982" s="5" t="str">
        <f>IFERROR(__xludf.DUMMYFUNCTION("GOOGLETRANSLATE(B20982,""en"",""fr"")"),"Une fille dans son uniforme de danse est debout avec sa mère qui parle en attendant que son tour arrive, quand c'est son tour qu'elle et son partenaire marchent sur scène.")</f>
        <v>Une fille dans son uniforme de danse est debout avec sa mère qui parle en attendant que son tour arrive, quand c'est son tour qu'elle et son partenaire marchent sur scène.</v>
      </c>
    </row>
    <row r="20983">
      <c r="A20983" s="4" t="s">
        <v>26424</v>
      </c>
      <c r="B20983" s="4" t="s">
        <v>26426</v>
      </c>
      <c r="C20983" s="5" t="str">
        <f>IFERROR(__xludf.DUMMYFUNCTION("GOOGLETRANSLATE(B20983,""en"",""fr"")"),"Ils commencent à faire leur routine avec leurs matraques.")</f>
        <v>Ils commencent à faire leur routine avec leurs matraques.</v>
      </c>
    </row>
    <row r="20984">
      <c r="A20984" s="4" t="s">
        <v>26424</v>
      </c>
      <c r="B20984" s="6" t="s">
        <v>26427</v>
      </c>
      <c r="C20984" s="5" t="str">
        <f>IFERROR(__xludf.DUMMYFUNCTION("GOOGLETRANSLATE(B20984,""en"",""fr"")"),"Ils travaillent bien ensemble et l'une des filles fait un flip tandis que l'autre fille la tient, ils continuent avec le reste de leur routine.")</f>
        <v>Ils travaillent bien ensemble et l'une des filles fait un flip tandis que l'autre fille la tient, ils continuent avec le reste de leur routine.</v>
      </c>
    </row>
    <row r="20985">
      <c r="A20985" s="4" t="s">
        <v>26424</v>
      </c>
      <c r="B20985" s="6" t="s">
        <v>26428</v>
      </c>
      <c r="C20985" s="5" t="str">
        <f>IFERROR(__xludf.DUMMYFUNCTION("GOOGLETRANSLATE(B20985,""en"",""fr"")"),"Ils mettent fin à leur routine, l'un d'eux à genoux et l'autre derrière elle et se lève et s'éloigne de la scène.")</f>
        <v>Ils mettent fin à leur routine, l'un d'eux à genoux et l'autre derrière elle et se lève et s'éloigne de la scène.</v>
      </c>
    </row>
    <row r="20986">
      <c r="A20986" s="4" t="s">
        <v>26429</v>
      </c>
      <c r="B20986" s="4" t="s">
        <v>26430</v>
      </c>
      <c r="C20986" s="5" t="str">
        <f>IFERROR(__xludf.DUMMYFUNCTION("GOOGLETRANSLATE(B20986,""en"",""fr"")"),"Une fille en costume bleu et brillant se tient sur un terrain tout en tenant deux matraques.")</f>
        <v>Une fille en costume bleu et brillant se tient sur un terrain tout en tenant deux matraques.</v>
      </c>
    </row>
    <row r="20987">
      <c r="A20987" s="4" t="s">
        <v>26429</v>
      </c>
      <c r="B20987" s="4" t="s">
        <v>26431</v>
      </c>
      <c r="C20987" s="5" t="str">
        <f>IFERROR(__xludf.DUMMYFUNCTION("GOOGLETRANSLATE(B20987,""en"",""fr"")"),"La fille commence sa routine de bâton et commence sa routine et tourbillonne les matraques et son corps.")</f>
        <v>La fille commence sa routine de bâton et commence sa routine et tourbillonne les matraques et son corps.</v>
      </c>
    </row>
    <row r="20988">
      <c r="A20988" s="4" t="s">
        <v>26429</v>
      </c>
      <c r="B20988" s="4" t="s">
        <v>26432</v>
      </c>
      <c r="C20988" s="5" t="str">
        <f>IFERROR(__xludf.DUMMYFUNCTION("GOOGLETRANSLATE(B20988,""en"",""fr"")"),"Les juges d'une table la regardent tout le temps pendant qu'ils écrivent également sur un morceau de papier.")</f>
        <v>Les juges d'une table la regardent tout le temps pendant qu'ils écrivent également sur un morceau de papier.</v>
      </c>
    </row>
    <row r="20989">
      <c r="A20989" s="4" t="s">
        <v>26429</v>
      </c>
      <c r="B20989" s="4" t="s">
        <v>26433</v>
      </c>
      <c r="C20989" s="5" t="str">
        <f>IFERROR(__xludf.DUMMYFUNCTION("GOOGLETRANSLATE(B20989,""en"",""fr"")"),"La fille laisse tomber son bâton, le ramasse puis continue sa routine.")</f>
        <v>La fille laisse tomber son bâton, le ramasse puis continue sa routine.</v>
      </c>
    </row>
    <row r="20990">
      <c r="A20990" s="4" t="s">
        <v>26434</v>
      </c>
      <c r="B20990" s="4" t="s">
        <v>26435</v>
      </c>
      <c r="C20990" s="5" t="str">
        <f>IFERROR(__xludf.DUMMYFUNCTION("GOOGLETRANSLATE(B20990,""en"",""fr"")"),"Un homme est une plongée sous-marine en eau profonde avec un certain type de machine comme s'il cherchait quelque chose.")</f>
        <v>Un homme est une plongée sous-marine en eau profonde avec un certain type de machine comme s'il cherchait quelque chose.</v>
      </c>
    </row>
    <row r="20991">
      <c r="A20991" s="4" t="s">
        <v>26434</v>
      </c>
      <c r="B20991" s="4" t="s">
        <v>26436</v>
      </c>
      <c r="C20991" s="5" t="str">
        <f>IFERROR(__xludf.DUMMYFUNCTION("GOOGLETRANSLATE(B20991,""en"",""fr"")"),"Au milieu, il commence à jouer avec un petit poisson avant de continuer sa recherche.")</f>
        <v>Au milieu, il commence à jouer avec un petit poisson avant de continuer sa recherche.</v>
      </c>
    </row>
    <row r="20992">
      <c r="A20992" s="4" t="s">
        <v>26434</v>
      </c>
      <c r="B20992" s="4" t="s">
        <v>26437</v>
      </c>
      <c r="C20992" s="5" t="str">
        <f>IFERROR(__xludf.DUMMYFUNCTION("GOOGLETRANSLATE(B20992,""en"",""fr"")"),"L'homme continue de voyager dans l'eau à un rythme lent mais il ne trouve rien.")</f>
        <v>L'homme continue de voyager dans l'eau à un rythme lent mais il ne trouve rien.</v>
      </c>
    </row>
    <row r="20993">
      <c r="A20993" s="4" t="s">
        <v>26438</v>
      </c>
      <c r="B20993" s="4" t="s">
        <v>26439</v>
      </c>
      <c r="C20993" s="5" t="str">
        <f>IFERROR(__xludf.DUMMYFUNCTION("GOOGLETRANSLATE(B20993,""en"",""fr"")"),"Deux danseurs participent à une danse de salon devant un groupe live et un public télévisé complet.")</f>
        <v>Deux danseurs participent à une danse de salon devant un groupe live et un public télévisé complet.</v>
      </c>
    </row>
    <row r="20994">
      <c r="A20994" s="4" t="s">
        <v>26438</v>
      </c>
      <c r="B20994" s="6" t="s">
        <v>26440</v>
      </c>
      <c r="C20994" s="5" t="str">
        <f>IFERROR(__xludf.DUMMYFUNCTION("GOOGLETRANSLATE(B20994,""en"",""fr"")"),"Une femme dans une tenue de salle de bal s'approche d'un homme dans une danse de salon, lorsque les deux se rencontrent, ils commencent à danser sur le sol en utilisant un jeu de jambes élaboré pendant la danse.")</f>
        <v>Une femme dans une tenue de salle de bal s'approche d'un homme dans une danse de salon, lorsque les deux se rencontrent, ils commencent à danser sur le sol en utilisant un jeu de jambes élaboré pendant la danse.</v>
      </c>
    </row>
    <row r="20995">
      <c r="A20995" s="4" t="s">
        <v>26438</v>
      </c>
      <c r="B20995" s="6" t="s">
        <v>26441</v>
      </c>
      <c r="C20995" s="5" t="str">
        <f>IFERROR(__xludf.DUMMYFUNCTION("GOOGLETRANSLATE(B20995,""en"",""fr"")"),"Un numéro de téléphone invitant les gens à appeler et à voter pour eux apparaît à l'écran avec le logo du réseau.")</f>
        <v>Un numéro de téléphone invitant les gens à appeler et à voter pour eux apparaît à l'écran avec le logo du réseau.</v>
      </c>
    </row>
    <row r="20996">
      <c r="A20996" s="4" t="s">
        <v>26438</v>
      </c>
      <c r="B20996" s="6" t="s">
        <v>26442</v>
      </c>
      <c r="C20996" s="5" t="str">
        <f>IFERROR(__xludf.DUMMYFUNCTION("GOOGLETRANSLATE(B20996,""en"",""fr"")"),"Les deux continuent de danser des diapositives d'exposition, des micros, un dernier baiser et des glissements sur la piste de danse alors que les gens du public applaudissent.")</f>
        <v>Les deux continuent de danser des diapositives d'exposition, des micros, un dernier baiser et des glissements sur la piste de danse alors que les gens du public applaudissent.</v>
      </c>
    </row>
    <row r="20997">
      <c r="A20997" s="4" t="s">
        <v>26443</v>
      </c>
      <c r="B20997" s="4" t="s">
        <v>26444</v>
      </c>
      <c r="C20997" s="5" t="str">
        <f>IFERROR(__xludf.DUMMYFUNCTION("GOOGLETRANSLATE(B20997,""en"",""fr"")"),"Un homme et une femme se tiennent l'un à l'autre alors que l'homme parle.")</f>
        <v>Un homme et une femme se tiennent l'un à l'autre alors que l'homme parle.</v>
      </c>
    </row>
    <row r="20998">
      <c r="A20998" s="4" t="s">
        <v>26443</v>
      </c>
      <c r="B20998" s="4" t="s">
        <v>26445</v>
      </c>
      <c r="C20998" s="5" t="str">
        <f>IFERROR(__xludf.DUMMYFUNCTION("GOOGLETRANSLATE(B20998,""en"",""fr"")"),"La femme se penche et soulève un bar.")</f>
        <v>La femme se penche et soulève un bar.</v>
      </c>
    </row>
    <row r="20999">
      <c r="A20999" s="4" t="s">
        <v>26443</v>
      </c>
      <c r="B20999" s="4" t="s">
        <v>26446</v>
      </c>
      <c r="C20999" s="5" t="str">
        <f>IFERROR(__xludf.DUMMYFUNCTION("GOOGLETRANSLATE(B20999,""en"",""fr"")"),"Elle fait de petits ascenseurs contre ses cuisses.")</f>
        <v>Elle fait de petits ascenseurs contre ses cuisses.</v>
      </c>
    </row>
    <row r="21000">
      <c r="A21000" s="4" t="s">
        <v>26443</v>
      </c>
      <c r="B21000" s="4" t="s">
        <v>26447</v>
      </c>
      <c r="C21000" s="5" t="str">
        <f>IFERROR(__xludf.DUMMYFUNCTION("GOOGLETRANSLATE(B21000,""en"",""fr"")"),"Elle continue les petits ascenseurs et ajoute une variance de grands ascenseurs.")</f>
        <v>Elle continue les petits ascenseurs et ajoute une variance de grands ascenseurs.</v>
      </c>
    </row>
    <row r="21001">
      <c r="A21001" s="4" t="s">
        <v>26443</v>
      </c>
      <c r="B21001" s="4" t="s">
        <v>26448</v>
      </c>
      <c r="C21001" s="5" t="str">
        <f>IFERROR(__xludf.DUMMYFUNCTION("GOOGLETRANSLATE(B21001,""en"",""fr"")"),"Elle soulève la barre au-dessus de sa tête et la ramène à sa cuisse pour continuer les petits ascenseurs.")</f>
        <v>Elle soulève la barre au-dessus de sa tête et la ramène à sa cuisse pour continuer les petits ascenseurs.</v>
      </c>
    </row>
    <row r="21002">
      <c r="A21002" s="4" t="s">
        <v>26443</v>
      </c>
      <c r="B21002" s="4" t="s">
        <v>26449</v>
      </c>
      <c r="C21002" s="5" t="str">
        <f>IFERROR(__xludf.DUMMYFUNCTION("GOOGLETRANSLATE(B21002,""en"",""fr"")"),"Elle ramène la barre sur sa tête et la laisse tomber au sol.")</f>
        <v>Elle ramène la barre sur sa tête et la laisse tomber au sol.</v>
      </c>
    </row>
    <row r="21003">
      <c r="A21003" s="4" t="s">
        <v>26450</v>
      </c>
      <c r="B21003" s="4" t="s">
        <v>26451</v>
      </c>
      <c r="C21003" s="5" t="str">
        <f>IFERROR(__xludf.DUMMYFUNCTION("GOOGLETRANSLATE(B21003,""en"",""fr"")"),"Un petit enfant est vu se balancer dans une pinata avec un grand groupe d'enfants derrière eux.")</f>
        <v>Un petit enfant est vu se balancer dans une pinata avec un grand groupe d'enfants derrière eux.</v>
      </c>
    </row>
    <row r="21004">
      <c r="A21004" s="4" t="s">
        <v>26450</v>
      </c>
      <c r="B21004" s="4" t="s">
        <v>26452</v>
      </c>
      <c r="C21004" s="5" t="str">
        <f>IFERROR(__xludf.DUMMYFUNCTION("GOOGLETRANSLATE(B21004,""en"",""fr"")"),"Plus d'enfants se lèvent pour prendre une balançoire à la Pinata alors que les parents se promènent dans les enfants.")</f>
        <v>Plus d'enfants se lèvent pour prendre une balançoire à la Pinata alors que les parents se promènent dans les enfants.</v>
      </c>
    </row>
    <row r="21005">
      <c r="A21005" s="4" t="s">
        <v>26450</v>
      </c>
      <c r="B21005" s="4" t="s">
        <v>26453</v>
      </c>
      <c r="C21005" s="5" t="str">
        <f>IFERROR(__xludf.DUMMYFUNCTION("GOOGLETRANSLATE(B21005,""en"",""fr"")"),"Une dernière fille tente de briser la pinata à la fin.")</f>
        <v>Une dernière fille tente de briser la pinata à la fin.</v>
      </c>
    </row>
    <row r="21006">
      <c r="A21006" s="4" t="s">
        <v>26454</v>
      </c>
      <c r="B21006" s="4" t="s">
        <v>26455</v>
      </c>
      <c r="C21006" s="5" t="str">
        <f>IFERROR(__xludf.DUMMYFUNCTION("GOOGLETRANSLATE(B21006,""en"",""fr"")"),"Les gens de la circulation dans une ville semblent irrités car un flic dirige la circulation.")</f>
        <v>Les gens de la circulation dans une ville semblent irrités car un flic dirige la circulation.</v>
      </c>
    </row>
    <row r="21007">
      <c r="A21007" s="4" t="s">
        <v>26454</v>
      </c>
      <c r="B21007" s="4" t="s">
        <v>26456</v>
      </c>
      <c r="C21007" s="5" t="str">
        <f>IFERROR(__xludf.DUMMYFUNCTION("GOOGLETRANSLATE(B21007,""en"",""fr"")"),"Un homme colle quelque chose dans ses oreilles.")</f>
        <v>Un homme colle quelque chose dans ses oreilles.</v>
      </c>
    </row>
    <row r="21008">
      <c r="A21008" s="4" t="s">
        <v>26454</v>
      </c>
      <c r="B21008" s="4" t="s">
        <v>26457</v>
      </c>
      <c r="C21008" s="5" t="str">
        <f>IFERROR(__xludf.DUMMYFUNCTION("GOOGLETRANSLATE(B21008,""en"",""fr"")"),"Un homme dans une chemise verte se moque d'un flic et des gens rient et applaudissent.")</f>
        <v>Un homme dans une chemise verte se moque d'un flic et des gens rient et applaudissent.</v>
      </c>
    </row>
    <row r="21009">
      <c r="A21009" s="4" t="s">
        <v>26454</v>
      </c>
      <c r="B21009" s="4" t="s">
        <v>26458</v>
      </c>
      <c r="C21009" s="5" t="str">
        <f>IFERROR(__xludf.DUMMYFUNCTION("GOOGLETRANSLATE(B21009,""en"",""fr"")"),"Le flic donne à l'homme un pepsi.")</f>
        <v>Le flic donne à l'homme un pepsi.</v>
      </c>
    </row>
    <row r="21010">
      <c r="A21010" s="4" t="s">
        <v>26454</v>
      </c>
      <c r="B21010" s="4" t="s">
        <v>26459</v>
      </c>
      <c r="C21010" s="5" t="str">
        <f>IFERROR(__xludf.DUMMYFUNCTION("GOOGLETRANSLATE(B21010,""en"",""fr"")"),"Nous voyons l'homme sur le champ de cricket lancer une balle.")</f>
        <v>Nous voyons l'homme sur le champ de cricket lancer une balle.</v>
      </c>
    </row>
    <row r="21011">
      <c r="A21011" s="4" t="s">
        <v>26454</v>
      </c>
      <c r="B21011" s="4" t="s">
        <v>26460</v>
      </c>
      <c r="C21011" s="5" t="str">
        <f>IFERROR(__xludf.DUMMYFUNCTION("GOOGLETRANSLATE(B21011,""en"",""fr"")"),"L'homme boit le pepsi et nous voyons l'écran de clôture.")</f>
        <v>L'homme boit le pepsi et nous voyons l'écran de clôture.</v>
      </c>
    </row>
    <row r="21012">
      <c r="A21012" s="4" t="s">
        <v>26461</v>
      </c>
      <c r="B21012" s="4" t="s">
        <v>26462</v>
      </c>
      <c r="C21012" s="5" t="str">
        <f>IFERROR(__xludf.DUMMYFUNCTION("GOOGLETRANSLATE(B21012,""en"",""fr"")"),"Un public applaudit alors qu'un couple apparaît sur scène.")</f>
        <v>Un public applaudit alors qu'un couple apparaît sur scène.</v>
      </c>
    </row>
    <row r="21013">
      <c r="A21013" s="4" t="s">
        <v>26461</v>
      </c>
      <c r="B21013" s="4" t="s">
        <v>26463</v>
      </c>
      <c r="C21013" s="5" t="str">
        <f>IFERROR(__xludf.DUMMYFUNCTION("GOOGLETRANSLATE(B21013,""en"",""fr"")"),"Ils dansent gracieusement, tournant et tournantent.")</f>
        <v>Ils dansent gracieusement, tournant et tournantent.</v>
      </c>
    </row>
    <row r="21014">
      <c r="A21014" s="4" t="s">
        <v>26461</v>
      </c>
      <c r="B21014" s="4" t="s">
        <v>26464</v>
      </c>
      <c r="C21014" s="5" t="str">
        <f>IFERROR(__xludf.DUMMYFUNCTION("GOOGLETRANSLATE(B21014,""en"",""fr"")"),"Le couple s'incline alors qu'ils terminent leur routine.")</f>
        <v>Le couple s'incline alors qu'ils terminent leur routine.</v>
      </c>
    </row>
    <row r="21015">
      <c r="A21015" s="4" t="s">
        <v>26465</v>
      </c>
      <c r="B21015" s="4" t="s">
        <v>26466</v>
      </c>
      <c r="C21015" s="5" t="str">
        <f>IFERROR(__xludf.DUMMYFUNCTION("GOOGLETRANSLATE(B21015,""en"",""fr"")"),"Un homme portant des lunettes est vu à la caméra dans un magasin de tatouage.")</f>
        <v>Un homme portant des lunettes est vu à la caméra dans un magasin de tatouage.</v>
      </c>
    </row>
    <row r="21016">
      <c r="A21016" s="4" t="s">
        <v>26465</v>
      </c>
      <c r="B21016" s="4" t="s">
        <v>26467</v>
      </c>
      <c r="C21016" s="5" t="str">
        <f>IFERROR(__xludf.DUMMYFUNCTION("GOOGLETRANSLATE(B21016,""en"",""fr"")"),"L'homme est allongé sur une table et agitant la caméra.")</f>
        <v>L'homme est allongé sur une table et agitant la caméra.</v>
      </c>
    </row>
    <row r="21017">
      <c r="A21017" s="4" t="s">
        <v>26465</v>
      </c>
      <c r="B21017" s="4" t="s">
        <v>26468</v>
      </c>
      <c r="C21017" s="5" t="str">
        <f>IFERROR(__xludf.DUMMYFUNCTION("GOOGLETRANSLATE(B21017,""en"",""fr"")"),"Il montre son contour et un homme commence à tatouer sa jambe.")</f>
        <v>Il montre son contour et un homme commence à tatouer sa jambe.</v>
      </c>
    </row>
    <row r="21018">
      <c r="A21018" s="4" t="s">
        <v>26469</v>
      </c>
      <c r="B21018" s="4" t="s">
        <v>26470</v>
      </c>
      <c r="C21018" s="5" t="str">
        <f>IFERROR(__xludf.DUMMYFUNCTION("GOOGLETRANSLATE(B21018,""en"",""fr"")"),"Une jeune fille est vue assise devant la caméra qui coule un pinceau dans ses cheveux longs.")</f>
        <v>Une jeune fille est vue assise devant la caméra qui coule un pinceau dans ses cheveux longs.</v>
      </c>
    </row>
    <row r="21019">
      <c r="A21019" s="4" t="s">
        <v>26469</v>
      </c>
      <c r="B21019" s="4" t="s">
        <v>26471</v>
      </c>
      <c r="C21019" s="5" t="str">
        <f>IFERROR(__xludf.DUMMYFUNCTION("GOOGLETRANSLATE(B21019,""en"",""fr"")"),"Elle saute soudainement et crie vers la caméra tout en souriant et en déposant le pinceau.")</f>
        <v>Elle saute soudainement et crie vers la caméra tout en souriant et en déposant le pinceau.</v>
      </c>
    </row>
    <row r="21020">
      <c r="A21020" s="4" t="s">
        <v>26472</v>
      </c>
      <c r="B21020" s="4" t="s">
        <v>26473</v>
      </c>
      <c r="C21020" s="5" t="str">
        <f>IFERROR(__xludf.DUMMYFUNCTION("GOOGLETRANSLATE(B21020,""en"",""fr"")"),"Une ville ensuite une rivière est affichée sur un écran.")</f>
        <v>Une ville ensuite une rivière est affichée sur un écran.</v>
      </c>
    </row>
    <row r="21021">
      <c r="A21021" s="4" t="s">
        <v>26472</v>
      </c>
      <c r="B21021" s="4" t="s">
        <v>26474</v>
      </c>
      <c r="C21021" s="5" t="str">
        <f>IFERROR(__xludf.DUMMYFUNCTION("GOOGLETRANSLATE(B21021,""en"",""fr"")"),"Les journalistes parlent dans un téléviseur où d'autres personnes travaillent.")</f>
        <v>Les journalistes parlent dans un téléviseur où d'autres personnes travaillent.</v>
      </c>
    </row>
    <row r="21022">
      <c r="A21022" s="4" t="s">
        <v>26472</v>
      </c>
      <c r="B21022" s="4" t="s">
        <v>26475</v>
      </c>
      <c r="C21022" s="5" t="str">
        <f>IFERROR(__xludf.DUMMYFUNCTION("GOOGLETRANSLATE(B21022,""en"",""fr"")"),"Un homme portant une chemise blanche nettoie son visage tout en regardant un miroir.")</f>
        <v>Un homme portant une chemise blanche nettoie son visage tout en regardant un miroir.</v>
      </c>
    </row>
    <row r="21023">
      <c r="A21023" s="4" t="s">
        <v>26476</v>
      </c>
      <c r="B21023" s="4" t="s">
        <v>26477</v>
      </c>
      <c r="C21023" s="5" t="str">
        <f>IFERROR(__xludf.DUMMYFUNCTION("GOOGLETRANSLATE(B21023,""en"",""fr"")"),"Un motard assis sur un vélo tourne le moteur.")</f>
        <v>Un motard assis sur un vélo tourne le moteur.</v>
      </c>
    </row>
    <row r="21024">
      <c r="A21024" s="4" t="s">
        <v>26476</v>
      </c>
      <c r="B21024" s="4" t="s">
        <v>26478</v>
      </c>
      <c r="C21024" s="5" t="str">
        <f>IFERROR(__xludf.DUMMYFUNCTION("GOOGLETRANSLATE(B21024,""en"",""fr"")"),"Un autre motard est montré assis sur un vélo, faisant un geste avec les deux bras.")</f>
        <v>Un autre motard est montré assis sur un vélo, faisant un geste avec les deux bras.</v>
      </c>
    </row>
    <row r="21025">
      <c r="A21025" s="4" t="s">
        <v>26476</v>
      </c>
      <c r="B21025" s="6" t="s">
        <v>26479</v>
      </c>
      <c r="C21025" s="5" t="str">
        <f>IFERROR(__xludf.DUMMYFUNCTION("GOOGLETRANSLATE(B21025,""en"",""fr"")"),"Des scènes de divers motos à motos à défaut sont montrées, avec une réaction occasionnelle et des coups de feu.")</f>
        <v>Des scènes de divers motos à motos à défaut sont montrées, avec une réaction occasionnelle et des coups de feu.</v>
      </c>
    </row>
    <row r="21026">
      <c r="A21026" s="4" t="s">
        <v>26480</v>
      </c>
      <c r="B21026" s="4" t="s">
        <v>1251</v>
      </c>
      <c r="C21026" s="5" t="str">
        <f>IFERROR(__xludf.DUMMYFUNCTION("GOOGLETRANSLATE(B21026,""en"",""fr"")"),"Les crédits du clip sont affichés.")</f>
        <v>Les crédits du clip sont affichés.</v>
      </c>
    </row>
    <row r="21027">
      <c r="A21027" s="4" t="s">
        <v>26480</v>
      </c>
      <c r="B21027" s="4" t="s">
        <v>26481</v>
      </c>
      <c r="C21027" s="5" t="str">
        <f>IFERROR(__xludf.DUMMYFUNCTION("GOOGLETRANSLATE(B21027,""en"",""fr"")"),"Une dame se tient à lever un disque métallique dans une main.")</f>
        <v>Une dame se tient à lever un disque métallique dans une main.</v>
      </c>
    </row>
    <row r="21028">
      <c r="A21028" s="4" t="s">
        <v>26480</v>
      </c>
      <c r="B21028" s="4" t="s">
        <v>26482</v>
      </c>
      <c r="C21028" s="5" t="str">
        <f>IFERROR(__xludf.DUMMYFUNCTION("GOOGLETRANSLATE(B21028,""en"",""fr"")"),"La dame tourne avec le disque et libère le disque.")</f>
        <v>La dame tourne avec le disque et libère le disque.</v>
      </c>
    </row>
    <row r="21029">
      <c r="A21029" s="4" t="s">
        <v>26480</v>
      </c>
      <c r="B21029" s="4" t="s">
        <v>26483</v>
      </c>
      <c r="C21029" s="5" t="str">
        <f>IFERROR(__xludf.DUMMYFUNCTION("GOOGLETRANSLATE(B21029,""en"",""fr"")"),"La dame place une serviette autour de son dos.")</f>
        <v>La dame place une serviette autour de son dos.</v>
      </c>
    </row>
    <row r="21030">
      <c r="A21030" s="4" t="s">
        <v>26484</v>
      </c>
      <c r="B21030" s="6" t="s">
        <v>26485</v>
      </c>
      <c r="C21030" s="5" t="str">
        <f>IFERROR(__xludf.DUMMYFUNCTION("GOOGLETRANSLATE(B21030,""en"",""fr"")"),"Entre les clips d'un homme sur un catamaran se déplaçant dans l'océan, les écrans noirs apparaissent et des moments différents avec des mots différents décrivant chaque mouvement du catamaran.")</f>
        <v>Entre les clips d'un homme sur un catamaran se déplaçant dans l'océan, les écrans noirs apparaissent et des moments différents avec des mots différents décrivant chaque mouvement du catamaran.</v>
      </c>
    </row>
    <row r="21031">
      <c r="A21031" s="4" t="s">
        <v>26484</v>
      </c>
      <c r="B21031" s="6" t="s">
        <v>26486</v>
      </c>
      <c r="C21031" s="5" t="str">
        <f>IFERROR(__xludf.DUMMYFUNCTION("GOOGLETRANSLATE(B21031,""en"",""fr"")"),"L'homme est maintenant debout sur le bateau et tire sur des cordes qui se déplacent sur le bateau, puis sont à nouveau affichées lorsque le bateau se déplace.")</f>
        <v>L'homme est maintenant debout sur le bateau et tire sur des cordes qui se déplacent sur le bateau, puis sont à nouveau affichées lorsque le bateau se déplace.</v>
      </c>
    </row>
    <row r="21032">
      <c r="A21032" s="4" t="s">
        <v>26484</v>
      </c>
      <c r="B21032" s="6" t="s">
        <v>26487</v>
      </c>
      <c r="C21032" s="5" t="str">
        <f>IFERROR(__xludf.DUMMYFUNCTION("GOOGLETRANSLATE(B21032,""en"",""fr"")"),"L'Undro apparaît et c'est un écran blanc avec une image du bateau et des mots ""Multihull Central"".")</f>
        <v>L'Undro apparaît et c'est un écran blanc avec une image du bateau et des mots "Multihull Central".</v>
      </c>
    </row>
    <row r="21033">
      <c r="A21033" s="4" t="s">
        <v>26488</v>
      </c>
      <c r="B21033" s="4" t="s">
        <v>26489</v>
      </c>
      <c r="C21033" s="5" t="str">
        <f>IFERROR(__xludf.DUMMYFUNCTION("GOOGLETRANSLATE(B21033,""en"",""fr"")"),"Une femme plie des serviettes sur une planche à repasser à la maison.")</f>
        <v>Une femme plie des serviettes sur une planche à repasser à la maison.</v>
      </c>
    </row>
    <row r="21034">
      <c r="A21034" s="4" t="s">
        <v>26488</v>
      </c>
      <c r="B21034" s="4" t="s">
        <v>26490</v>
      </c>
      <c r="C21034" s="5" t="str">
        <f>IFERROR(__xludf.DUMMYFUNCTION("GOOGLETRANSLATE(B21034,""en"",""fr"")"),"Différents articles de vêtements sont vus tels que des chemises, des chaussettes et des cravates.")</f>
        <v>Différents articles de vêtements sont vus tels que des chemises, des chaussettes et des cravates.</v>
      </c>
    </row>
    <row r="21035">
      <c r="A21035" s="4" t="s">
        <v>26488</v>
      </c>
      <c r="B21035" s="4" t="s">
        <v>26491</v>
      </c>
      <c r="C21035" s="5" t="str">
        <f>IFERROR(__xludf.DUMMYFUNCTION("GOOGLETRANSLATE(B21035,""en"",""fr"")"),"La femme ajoute une étiquette à un vêtement et les fers en place en place.")</f>
        <v>La femme ajoute une étiquette à un vêtement et les fers en place en place.</v>
      </c>
    </row>
    <row r="21036">
      <c r="A21036" s="4" t="s">
        <v>26488</v>
      </c>
      <c r="B21036" s="4" t="s">
        <v>26492</v>
      </c>
      <c r="C21036" s="5" t="str">
        <f>IFERROR(__xludf.DUMMYFUNCTION("GOOGLETRANSLATE(B21036,""en"",""fr"")"),"La balise est affichée de près.")</f>
        <v>La balise est affichée de près.</v>
      </c>
    </row>
    <row r="21037">
      <c r="A21037" s="4" t="s">
        <v>26493</v>
      </c>
      <c r="B21037" s="4" t="s">
        <v>26494</v>
      </c>
      <c r="C21037" s="5" t="str">
        <f>IFERROR(__xludf.DUMMYFUNCTION("GOOGLETRANSLATE(B21037,""en"",""fr"")"),"Il y a un homme vêtu d'une chemise bleue et d'un short bleu tirant des fléchettes dans une pièce qui a des murs beige.")</f>
        <v>Il y a un homme vêtu d'une chemise bleue et d'un short bleu tirant des fléchettes dans une pièce qui a des murs beige.</v>
      </c>
    </row>
    <row r="21038">
      <c r="A21038" s="4" t="s">
        <v>26493</v>
      </c>
      <c r="B21038" s="4" t="s">
        <v>26495</v>
      </c>
      <c r="C21038" s="5" t="str">
        <f>IFERROR(__xludf.DUMMYFUNCTION("GOOGLETRANSLATE(B21038,""en"",""fr"")"),"Il a deux fléchettes entre ses mains qu'il vise et tire sur une cible.")</f>
        <v>Il a deux fléchettes entre ses mains qu'il vise et tire sur une cible.</v>
      </c>
    </row>
    <row r="21039">
      <c r="A21039" s="4" t="s">
        <v>26496</v>
      </c>
      <c r="B21039" s="4" t="s">
        <v>26497</v>
      </c>
      <c r="C21039" s="5" t="str">
        <f>IFERROR(__xludf.DUMMYFUNCTION("GOOGLETRANSLATE(B21039,""en"",""fr"")"),"Une femme en chemise noire parle devant un arbre de Noël.")</f>
        <v>Une femme en chemise noire parle devant un arbre de Noël.</v>
      </c>
    </row>
    <row r="21040">
      <c r="A21040" s="4" t="s">
        <v>26496</v>
      </c>
      <c r="B21040" s="4" t="s">
        <v>26498</v>
      </c>
      <c r="C21040" s="5" t="str">
        <f>IFERROR(__xludf.DUMMYFUNCTION("GOOGLETRANSLATE(B21040,""en"",""fr"")"),"Elle commence à mettre des décorations sur l'arbre de Noël.")</f>
        <v>Elle commence à mettre des décorations sur l'arbre de Noël.</v>
      </c>
    </row>
    <row r="21041">
      <c r="A21041" s="4" t="s">
        <v>26496</v>
      </c>
      <c r="B21041" s="4" t="s">
        <v>26499</v>
      </c>
      <c r="C21041" s="5" t="str">
        <f>IFERROR(__xludf.DUMMYFUNCTION("GOOGLETRANSLATE(B21041,""en"",""fr"")"),"Elle place un arc d'or sur le dessus de l'arbre.")</f>
        <v>Elle place un arc d'or sur le dessus de l'arbre.</v>
      </c>
    </row>
    <row r="21042">
      <c r="A21042" s="4" t="s">
        <v>26496</v>
      </c>
      <c r="B21042" s="4" t="s">
        <v>26500</v>
      </c>
      <c r="C21042" s="5" t="str">
        <f>IFERROR(__xludf.DUMMYFUNCTION("GOOGLETRANSLATE(B21042,""en"",""fr"")"),"Trois femmes parlent devant l'arbre.")</f>
        <v>Trois femmes parlent devant l'arbre.</v>
      </c>
    </row>
    <row r="21043">
      <c r="A21043" s="4" t="s">
        <v>26501</v>
      </c>
      <c r="B21043" s="4" t="s">
        <v>26502</v>
      </c>
      <c r="C21043" s="5" t="str">
        <f>IFERROR(__xludf.DUMMYFUNCTION("GOOGLETRANSLATE(B21043,""en"",""fr"")"),"Plusieurs personnes se tiennent en dehors des voitures.")</f>
        <v>Plusieurs personnes se tiennent en dehors des voitures.</v>
      </c>
    </row>
    <row r="21044">
      <c r="A21044" s="4" t="s">
        <v>26501</v>
      </c>
      <c r="B21044" s="4" t="s">
        <v>26503</v>
      </c>
      <c r="C21044" s="5" t="str">
        <f>IFERROR(__xludf.DUMMYFUNCTION("GOOGLETRANSLATE(B21044,""en"",""fr"")"),"Ils montent dans une rivière sur des tubes.")</f>
        <v>Ils montent dans une rivière sur des tubes.</v>
      </c>
    </row>
    <row r="21045">
      <c r="A21045" s="4" t="s">
        <v>26501</v>
      </c>
      <c r="B21045" s="4" t="s">
        <v>26504</v>
      </c>
      <c r="C21045" s="5" t="str">
        <f>IFERROR(__xludf.DUMMYFUNCTION("GOOGLETRANSLATE(B21045,""en"",""fr"")"),"Ils flottent près d'un grand pont.")</f>
        <v>Ils flottent près d'un grand pont.</v>
      </c>
    </row>
    <row r="21046">
      <c r="A21046" s="4" t="s">
        <v>26501</v>
      </c>
      <c r="B21046" s="4" t="s">
        <v>26505</v>
      </c>
      <c r="C21046" s="5" t="str">
        <f>IFERROR(__xludf.DUMMYFUNCTION("GOOGLETRANSLATE(B21046,""en"",""fr"")"),"L'eau devient un peu agitée.")</f>
        <v>L'eau devient un peu agitée.</v>
      </c>
    </row>
    <row r="21047">
      <c r="A21047" s="4" t="s">
        <v>26506</v>
      </c>
      <c r="B21047" s="4" t="s">
        <v>26507</v>
      </c>
      <c r="C21047" s="5" t="str">
        <f>IFERROR(__xludf.DUMMYFUNCTION("GOOGLETRANSLATE(B21047,""en"",""fr"")"),"Un homme athlétique est vu debout prêt et court sur une longue piste dans une fosse de sable.")</f>
        <v>Un homme athlétique est vu debout prêt et court sur une longue piste dans une fosse de sable.</v>
      </c>
    </row>
    <row r="21048">
      <c r="A21048" s="4" t="s">
        <v>26506</v>
      </c>
      <c r="B21048" s="6" t="s">
        <v>26508</v>
      </c>
      <c r="C21048" s="5" t="str">
        <f>IFERROR(__xludf.DUMMYFUNCTION("GOOGLETRANSLATE(B21048,""en"",""fr"")"),"L'homme s'éloigne tout en regardant le public suivi d'un autre homme qui coule dans la fosse.")</f>
        <v>L'homme s'éloigne tout en regardant le public suivi d'un autre homme qui coule dans la fosse.</v>
      </c>
    </row>
    <row r="21049">
      <c r="A21049" s="4" t="s">
        <v>26506</v>
      </c>
      <c r="B21049" s="4" t="s">
        <v>26509</v>
      </c>
      <c r="C21049" s="5" t="str">
        <f>IFERROR(__xludf.DUMMYFUNCTION("GOOGLETRANSLATE(B21049,""en"",""fr"")"),"Plusieurs autres hommes en courant avec leur course se sont de nouveau montrés par la suite.")</f>
        <v>Plusieurs autres hommes en courant avec leur course se sont de nouveau montrés par la suite.</v>
      </c>
    </row>
    <row r="21050">
      <c r="A21050" s="4" t="s">
        <v>26510</v>
      </c>
      <c r="B21050" s="4" t="s">
        <v>26511</v>
      </c>
      <c r="C21050" s="5" t="str">
        <f>IFERROR(__xludf.DUMMYFUNCTION("GOOGLETRANSLATE(B21050,""en"",""fr"")"),"Une caméra que l'on a vue montrant l'extérieur d'une maison suivie d'une fille assise dans une baignoire.")</f>
        <v>Une caméra que l'on a vue montrant l'extérieur d'une maison suivie d'une fille assise dans une baignoire.</v>
      </c>
    </row>
    <row r="21051">
      <c r="A21051" s="4" t="s">
        <v>26510</v>
      </c>
      <c r="B21051" s="4" t="s">
        <v>26512</v>
      </c>
      <c r="C21051" s="5" t="str">
        <f>IFERROR(__xludf.DUMMYFUNCTION("GOOGLETRANSLATE(B21051,""en"",""fr"")"),"Elle regarde vers le miroir et a une amie lui donner une tasse en solo.")</f>
        <v>Elle regarde vers le miroir et a une amie lui donner une tasse en solo.</v>
      </c>
    </row>
    <row r="21052">
      <c r="A21052" s="4" t="s">
        <v>26510</v>
      </c>
      <c r="B21052" s="4" t="s">
        <v>26513</v>
      </c>
      <c r="C21052" s="5" t="str">
        <f>IFERROR(__xludf.DUMMYFUNCTION("GOOGLETRANSLATE(B21052,""en"",""fr"")"),"Elle court dans toute la maison à l'extérieur et montre un gros plan de la bouche.")</f>
        <v>Elle court dans toute la maison à l'extérieur et montre un gros plan de la bouche.</v>
      </c>
    </row>
    <row r="21053">
      <c r="A21053" s="4" t="s">
        <v>26514</v>
      </c>
      <c r="B21053" s="4" t="s">
        <v>26515</v>
      </c>
      <c r="C21053" s="5" t="str">
        <f>IFERROR(__xludf.DUMMYFUNCTION("GOOGLETRANSLATE(B21053,""en"",""fr"")"),"Une jeune femme explique comment mettre le maquillage sur le couvercle des yeux à l'aide d'une brosse.")</f>
        <v>Une jeune femme explique comment mettre le maquillage sur le couvercle des yeux à l'aide d'une brosse.</v>
      </c>
    </row>
    <row r="21054">
      <c r="A21054" s="4" t="s">
        <v>26514</v>
      </c>
      <c r="B21054" s="4" t="s">
        <v>26516</v>
      </c>
      <c r="C21054" s="5" t="str">
        <f>IFERROR(__xludf.DUMMYFUNCTION("GOOGLETRANSLATE(B21054,""en"",""fr"")"),"La jeune femme utilise un eye-liner pour peindre la bordure du couvercle supérieur.")</f>
        <v>La jeune femme utilise un eye-liner pour peindre la bordure du couvercle supérieur.</v>
      </c>
    </row>
    <row r="21055">
      <c r="A21055" s="4" t="s">
        <v>26514</v>
      </c>
      <c r="B21055" s="4" t="s">
        <v>26517</v>
      </c>
      <c r="C21055" s="5" t="str">
        <f>IFERROR(__xludf.DUMMYFUNCTION("GOOGLETRANSLATE(B21055,""en"",""fr"")"),"Ensuite, elle met du mascara sur ses cils et peint le couvercle inférieur.")</f>
        <v>Ensuite, elle met du mascara sur ses cils et peint le couvercle inférieur.</v>
      </c>
    </row>
    <row r="21056">
      <c r="A21056" s="4" t="s">
        <v>26514</v>
      </c>
      <c r="B21056" s="4" t="s">
        <v>26518</v>
      </c>
      <c r="C21056" s="5" t="str">
        <f>IFERROR(__xludf.DUMMYFUNCTION("GOOGLETRANSLATE(B21056,""en"",""fr"")"),"Après, elle se brosser la joue et a mis du rouge à lèvres sur les lèvres.")</f>
        <v>Après, elle se brosser la joue et a mis du rouge à lèvres sur les lèvres.</v>
      </c>
    </row>
    <row r="21057">
      <c r="A21057" s="4" t="s">
        <v>26519</v>
      </c>
      <c r="B21057" s="4" t="s">
        <v>26520</v>
      </c>
      <c r="C21057" s="5" t="str">
        <f>IFERROR(__xludf.DUMMYFUNCTION("GOOGLETRANSLATE(B21057,""en"",""fr"")"),"Une grande fanfare est vue debout au milieu d'une grande foule.")</f>
        <v>Une grande fanfare est vue debout au milieu d'une grande foule.</v>
      </c>
    </row>
    <row r="21058">
      <c r="A21058" s="4" t="s">
        <v>26519</v>
      </c>
      <c r="B21058" s="4" t="s">
        <v>26521</v>
      </c>
      <c r="C21058" s="5" t="str">
        <f>IFERROR(__xludf.DUMMYFUNCTION("GOOGLETRANSLATE(B21058,""en"",""fr"")"),"Le groupe commence alors à jouer les uns avec les autres dans le cercle.")</f>
        <v>Le groupe commence alors à jouer les uns avec les autres dans le cercle.</v>
      </c>
    </row>
    <row r="21059">
      <c r="A21059" s="4" t="s">
        <v>26519</v>
      </c>
      <c r="B21059" s="4" t="s">
        <v>26522</v>
      </c>
      <c r="C21059" s="5" t="str">
        <f>IFERROR(__xludf.DUMMYFUNCTION("GOOGLETRANSLATE(B21059,""en"",""fr"")"),"Les gens continuent de jouer les uns avec les autres pendant que les gens regardent sur les côtés.")</f>
        <v>Les gens continuent de jouer les uns avec les autres pendant que les gens regardent sur les côtés.</v>
      </c>
    </row>
    <row r="21060">
      <c r="A21060" s="4" t="s">
        <v>26523</v>
      </c>
      <c r="B21060" s="4" t="s">
        <v>26524</v>
      </c>
      <c r="C21060" s="5" t="str">
        <f>IFERROR(__xludf.DUMMYFUNCTION("GOOGLETRANSLATE(B21060,""en"",""fr"")"),"Une femme est vue en parlant à la caméra tandis qu'un groupe de personnes s'assoit dans des tubes autour d'elle.")</f>
        <v>Une femme est vue en parlant à la caméra tandis qu'un groupe de personnes s'assoit dans des tubes autour d'elle.</v>
      </c>
    </row>
    <row r="21061">
      <c r="A21061" s="4" t="s">
        <v>26523</v>
      </c>
      <c r="B21061" s="4" t="s">
        <v>26525</v>
      </c>
      <c r="C21061" s="5" t="str">
        <f>IFERROR(__xludf.DUMMYFUNCTION("GOOGLETRANSLATE(B21061,""en"",""fr"")"),"Les autres personnes sourient et agitent la caméra tout en montrant les autres tubes.")</f>
        <v>Les autres personnes sourient et agitent la caméra tout en montrant les autres tubes.</v>
      </c>
    </row>
    <row r="21062">
      <c r="A21062" s="4" t="s">
        <v>26523</v>
      </c>
      <c r="B21062" s="4" t="s">
        <v>26526</v>
      </c>
      <c r="C21062" s="5" t="str">
        <f>IFERROR(__xludf.DUMMYFUNCTION("GOOGLETRANSLATE(B21062,""en"",""fr"")"),"Les gens continuent de rouler dans l'eau pendant que la caméra se déroule tout autour de leurs mouvements.")</f>
        <v>Les gens continuent de rouler dans l'eau pendant que la caméra se déroule tout autour de leurs mouvements.</v>
      </c>
    </row>
    <row r="21063">
      <c r="A21063" s="4" t="s">
        <v>26527</v>
      </c>
      <c r="B21063" s="4" t="s">
        <v>26528</v>
      </c>
      <c r="C21063" s="5" t="str">
        <f>IFERROR(__xludf.DUMMYFUNCTION("GOOGLETRANSLATE(B21063,""en"",""fr"")"),"Cet homme est très rapide dans les rues dans les rues.")</f>
        <v>Cet homme est très rapide dans les rues dans les rues.</v>
      </c>
    </row>
    <row r="21064">
      <c r="A21064" s="4" t="s">
        <v>26527</v>
      </c>
      <c r="B21064" s="4" t="s">
        <v>26529</v>
      </c>
      <c r="C21064" s="5" t="str">
        <f>IFERROR(__xludf.DUMMYFUNCTION("GOOGLETRANSLATE(B21064,""en"",""fr"")"),"Il saute par-dessus une zone fermée et continue de patiner dans les rues.")</f>
        <v>Il saute par-dessus une zone fermée et continue de patiner dans les rues.</v>
      </c>
    </row>
    <row r="21065">
      <c r="A21065" s="4" t="s">
        <v>26527</v>
      </c>
      <c r="B21065" s="6" t="s">
        <v>26530</v>
      </c>
      <c r="C21065" s="5" t="str">
        <f>IFERROR(__xludf.DUMMYFUNCTION("GOOGLETRANSLATE(B21065,""en"",""fr"")"),"Il patine dans les rues de Paris avec un autre patineur, patinant toujours au-delà des gens et descendait dans le métro.")</f>
        <v>Il patine dans les rues de Paris avec un autre patineur, patinant toujours au-delà des gens et descendait dans le métro.</v>
      </c>
    </row>
    <row r="21066">
      <c r="A21066" s="4" t="s">
        <v>26527</v>
      </c>
      <c r="B21066" s="6" t="s">
        <v>26531</v>
      </c>
      <c r="C21066" s="5" t="str">
        <f>IFERROR(__xludf.DUMMYFUNCTION("GOOGLETRANSLATE(B21066,""en"",""fr"")"),"Il s'accroche à l'arrière de la moto de quelqu'un et l'utilise pour attraper la vitesse, puis continue de sortir du métro sur les trottoirs.")</f>
        <v>Il s'accroche à l'arrière de la moto de quelqu'un et l'utilise pour attraper la vitesse, puis continue de sortir du métro sur les trottoirs.</v>
      </c>
    </row>
    <row r="21067">
      <c r="A21067" s="4" t="s">
        <v>26532</v>
      </c>
      <c r="B21067" s="4" t="s">
        <v>26533</v>
      </c>
      <c r="C21067" s="5" t="str">
        <f>IFERROR(__xludf.DUMMYFUNCTION("GOOGLETRANSLATE(B21067,""en"",""fr"")"),"Une corde orange est attachée à un arbre et pendante dans le vent.")</f>
        <v>Une corde orange est attachée à un arbre et pendante dans le vent.</v>
      </c>
    </row>
    <row r="21068">
      <c r="A21068" s="4" t="s">
        <v>26532</v>
      </c>
      <c r="B21068" s="4" t="s">
        <v>26534</v>
      </c>
      <c r="C21068" s="5" t="str">
        <f>IFERROR(__xludf.DUMMYFUNCTION("GOOGLETRANSLATE(B21068,""en"",""fr"")"),"Un homme monte sur la corde et commence à le traverser.")</f>
        <v>Un homme monte sur la corde et commence à le traverser.</v>
      </c>
    </row>
    <row r="21069">
      <c r="A21069" s="4" t="s">
        <v>26532</v>
      </c>
      <c r="B21069" s="4" t="s">
        <v>26535</v>
      </c>
      <c r="C21069" s="5" t="str">
        <f>IFERROR(__xludf.DUMMYFUNCTION("GOOGLETRANSLATE(B21069,""en"",""fr"")"),"L'homme saute de la corde et commence au début à le traverser.")</f>
        <v>L'homme saute de la corde et commence au début à le traverser.</v>
      </c>
    </row>
    <row r="21070">
      <c r="A21070" s="4" t="s">
        <v>26532</v>
      </c>
      <c r="B21070" s="4" t="s">
        <v>26536</v>
      </c>
      <c r="C21070" s="5" t="str">
        <f>IFERROR(__xludf.DUMMYFUNCTION("GOOGLETRANSLATE(B21070,""en"",""fr"")"),"L'homme saute à nouveau et revient sur la corde et saute.")</f>
        <v>L'homme saute à nouveau et revient sur la corde et saute.</v>
      </c>
    </row>
    <row r="21071">
      <c r="A21071" s="4" t="s">
        <v>26532</v>
      </c>
      <c r="B21071" s="4" t="s">
        <v>26537</v>
      </c>
      <c r="C21071" s="5" t="str">
        <f>IFERROR(__xludf.DUMMYFUNCTION("GOOGLETRANSLATE(B21071,""en"",""fr"")"),"L'homme resserre la corde.")</f>
        <v>L'homme resserre la corde.</v>
      </c>
    </row>
    <row r="21072">
      <c r="A21072" s="4" t="s">
        <v>26532</v>
      </c>
      <c r="B21072" s="4" t="s">
        <v>26538</v>
      </c>
      <c r="C21072" s="5" t="str">
        <f>IFERROR(__xludf.DUMMYFUNCTION("GOOGLETRANSLATE(B21072,""en"",""fr"")"),"La caméra montre le sol.")</f>
        <v>La caméra montre le sol.</v>
      </c>
    </row>
    <row r="21073">
      <c r="A21073" s="4" t="s">
        <v>26539</v>
      </c>
      <c r="B21073" s="4" t="s">
        <v>26540</v>
      </c>
      <c r="C21073" s="5" t="str">
        <f>IFERROR(__xludf.DUMMYFUNCTION("GOOGLETRANSLATE(B21073,""en"",""fr"")"),"Il pleut à l'extérieur pendant qu'un homme est sur une tondeuse de pelouse tondre sa pelouse.")</f>
        <v>Il pleut à l'extérieur pendant qu'un homme est sur une tondeuse de pelouse tondre sa pelouse.</v>
      </c>
    </row>
    <row r="21074">
      <c r="A21074" s="4" t="s">
        <v>26539</v>
      </c>
      <c r="B21074" s="4" t="s">
        <v>26541</v>
      </c>
      <c r="C21074" s="5" t="str">
        <f>IFERROR(__xludf.DUMMYFUNCTION("GOOGLETRANSLATE(B21074,""en"",""fr"")"),"La caméra se concentre sur l'eau qui coule.")</f>
        <v>La caméra se concentre sur l'eau qui coule.</v>
      </c>
    </row>
    <row r="21075">
      <c r="A21075" s="4" t="s">
        <v>26539</v>
      </c>
      <c r="B21075" s="4" t="s">
        <v>26542</v>
      </c>
      <c r="C21075" s="5" t="str">
        <f>IFERROR(__xludf.DUMMYFUNCTION("GOOGLETRANSLATE(B21075,""en"",""fr"")"),"L'homme se réorganise sur la tondeuse.")</f>
        <v>L'homme se réorganise sur la tondeuse.</v>
      </c>
    </row>
    <row r="21076">
      <c r="A21076" s="4" t="s">
        <v>26539</v>
      </c>
      <c r="B21076" s="4" t="s">
        <v>26543</v>
      </c>
      <c r="C21076" s="5" t="str">
        <f>IFERROR(__xludf.DUMMYFUNCTION("GOOGLETRANSLATE(B21076,""en"",""fr"")"),"Il continue de tondre la pelouse.")</f>
        <v>Il continue de tondre la pelouse.</v>
      </c>
    </row>
    <row r="21077">
      <c r="A21077" s="4" t="s">
        <v>26539</v>
      </c>
      <c r="B21077" s="4" t="s">
        <v>26544</v>
      </c>
      <c r="C21077" s="5" t="str">
        <f>IFERROR(__xludf.DUMMYFUNCTION("GOOGLETRANSLATE(B21077,""en"",""fr"")"),"La caméra se concentre à nouveau sur l'eau courante.")</f>
        <v>La caméra se concentre à nouveau sur l'eau courante.</v>
      </c>
    </row>
    <row r="21078">
      <c r="A21078" s="4" t="s">
        <v>26539</v>
      </c>
      <c r="B21078" s="4" t="s">
        <v>4389</v>
      </c>
      <c r="C21078" s="5" t="str">
        <f>IFERROR(__xludf.DUMMYFUNCTION("GOOGLETRANSLATE(B21078,""en"",""fr"")"),"Cela revient à l'homme tondre.")</f>
        <v>Cela revient à l'homme tondre.</v>
      </c>
    </row>
    <row r="21079">
      <c r="A21079" s="4" t="s">
        <v>26539</v>
      </c>
      <c r="B21079" s="4" t="s">
        <v>26545</v>
      </c>
      <c r="C21079" s="5" t="str">
        <f>IFERROR(__xludf.DUMMYFUNCTION("GOOGLETRANSLATE(B21079,""en"",""fr"")"),"Revient ensuite à l'eau courante.")</f>
        <v>Revient ensuite à l'eau courante.</v>
      </c>
    </row>
    <row r="21080">
      <c r="A21080" s="4" t="s">
        <v>26546</v>
      </c>
      <c r="B21080" s="4" t="s">
        <v>26547</v>
      </c>
      <c r="C21080" s="5" t="str">
        <f>IFERROR(__xludf.DUMMYFUNCTION("GOOGLETRANSLATE(B21080,""en"",""fr"")"),"Nous voyons une femme frapper une pinata.")</f>
        <v>Nous voyons une femme frapper une pinata.</v>
      </c>
    </row>
    <row r="21081">
      <c r="A21081" s="4" t="s">
        <v>26546</v>
      </c>
      <c r="B21081" s="4" t="s">
        <v>26548</v>
      </c>
      <c r="C21081" s="5" t="str">
        <f>IFERROR(__xludf.DUMMYFUNCTION("GOOGLETRANSLATE(B21081,""en"",""fr"")"),"La dame s'arrête pour aligner son tir.")</f>
        <v>La dame s'arrête pour aligner son tir.</v>
      </c>
    </row>
    <row r="21082">
      <c r="A21082" s="4" t="s">
        <v>26546</v>
      </c>
      <c r="B21082" s="4" t="s">
        <v>26549</v>
      </c>
      <c r="C21082" s="5" t="str">
        <f>IFERROR(__xludf.DUMMYFUNCTION("GOOGLETRANSLATE(B21082,""en"",""fr"")"),"La dame tient la pinata alors qu'elle le frappe.")</f>
        <v>La dame tient la pinata alors qu'elle le frappe.</v>
      </c>
    </row>
    <row r="21083">
      <c r="A21083" s="4" t="s">
        <v>26546</v>
      </c>
      <c r="B21083" s="4" t="s">
        <v>26550</v>
      </c>
      <c r="C21083" s="5" t="str">
        <f>IFERROR(__xludf.DUMMYFUNCTION("GOOGLETRANSLATE(B21083,""en"",""fr"")"),"Un homme prend la batte des mains des dames.")</f>
        <v>Un homme prend la batte des mains des dames.</v>
      </c>
    </row>
    <row r="21084">
      <c r="A21084" s="4" t="s">
        <v>26551</v>
      </c>
      <c r="B21084" s="4" t="s">
        <v>26552</v>
      </c>
      <c r="C21084" s="5" t="str">
        <f>IFERROR(__xludf.DUMMYFUNCTION("GOOGLETRANSLATE(B21084,""en"",""fr"")"),"Un homme en blouse de laboratoire utilise un balai plus swiffer.")</f>
        <v>Un homme en blouse de laboratoire utilise un balai plus swiffer.</v>
      </c>
    </row>
    <row r="21085">
      <c r="A21085" s="4" t="s">
        <v>26551</v>
      </c>
      <c r="B21085" s="4" t="s">
        <v>26553</v>
      </c>
      <c r="C21085" s="5" t="str">
        <f>IFERROR(__xludf.DUMMYFUNCTION("GOOGLETRANSLATE(B21085,""en"",""fr"")"),"Il le ramène sur un sol avec une solution de nettoyage.")</f>
        <v>Il le ramène sur un sol avec une solution de nettoyage.</v>
      </c>
    </row>
    <row r="21086">
      <c r="A21086" s="4" t="s">
        <v>26551</v>
      </c>
      <c r="B21086" s="4" t="s">
        <v>26554</v>
      </c>
      <c r="C21086" s="5" t="str">
        <f>IFERROR(__xludf.DUMMYFUNCTION("GOOGLETRANSLATE(B21086,""en"",""fr"")"),"Le sol brille car il est propre sous ses pieds.")</f>
        <v>Le sol brille car il est propre sous ses pieds.</v>
      </c>
    </row>
    <row r="21087">
      <c r="A21087" s="4" t="s">
        <v>26555</v>
      </c>
      <c r="B21087" s="6" t="s">
        <v>26556</v>
      </c>
      <c r="C21087" s="5" t="str">
        <f>IFERROR(__xludf.DUMMYFUNCTION("GOOGLETRANSLATE(B21087,""en"",""fr"")"),"Un homme se tient avec un vélo sur un rack et montre ses différentes parties et fonctionnalités, y compris les roues.")</f>
        <v>Un homme se tient avec un vélo sur un rack et montre ses différentes parties et fonctionnalités, y compris les roues.</v>
      </c>
    </row>
    <row r="21088">
      <c r="A21088" s="4" t="s">
        <v>26555</v>
      </c>
      <c r="B21088" s="4" t="s">
        <v>26557</v>
      </c>
      <c r="C21088" s="5" t="str">
        <f>IFERROR(__xludf.DUMMYFUNCTION("GOOGLETRANSLATE(B21088,""en"",""fr"")"),"L'homme tourne la manivelle et la roue tourne sur le vélo.")</f>
        <v>L'homme tourne la manivelle et la roue tourne sur le vélo.</v>
      </c>
    </row>
    <row r="21089">
      <c r="A21089" s="4" t="s">
        <v>26555</v>
      </c>
      <c r="B21089" s="4" t="s">
        <v>26558</v>
      </c>
      <c r="C21089" s="5" t="str">
        <f>IFERROR(__xludf.DUMMYFUNCTION("GOOGLETRANSLATE(B21089,""en"",""fr"")"),"L'homme tourne la roue avant à la main.")</f>
        <v>L'homme tourne la roue avant à la main.</v>
      </c>
    </row>
    <row r="21090">
      <c r="A21090" s="4" t="s">
        <v>26555</v>
      </c>
      <c r="B21090" s="4" t="s">
        <v>26559</v>
      </c>
      <c r="C21090" s="5" t="str">
        <f>IFERROR(__xludf.DUMMYFUNCTION("GOOGLETRANSLATE(B21090,""en"",""fr"")"),"L'homme resserre une vis avec son outil à main.")</f>
        <v>L'homme resserre une vis avec son outil à main.</v>
      </c>
    </row>
    <row r="21091">
      <c r="A21091" s="4" t="s">
        <v>26560</v>
      </c>
      <c r="B21091" s="4" t="s">
        <v>26561</v>
      </c>
      <c r="C21091" s="5" t="str">
        <f>IFERROR(__xludf.DUMMYFUNCTION("GOOGLETRANSLATE(B21091,""en"",""fr"")"),"Un basket-ball est concentré sur la position sur une herbe.")</f>
        <v>Un basket-ball est concentré sur la position sur une herbe.</v>
      </c>
    </row>
    <row r="21092">
      <c r="A21092" s="4" t="s">
        <v>26560</v>
      </c>
      <c r="B21092" s="6" t="s">
        <v>26562</v>
      </c>
      <c r="C21092" s="5" t="str">
        <f>IFERROR(__xludf.DUMMYFUNCTION("GOOGLETRANSLATE(B21092,""en"",""fr"")"),"Ensuite, il se déroule et une petite fille se tient au début d'une marelle écrite en craie, et un homme se tient à la fin et il lance un morceau de craie à sa place, il se brise, il saute pour le ramasser, elle cueille Montez l'autre pièce et le retourne "&amp;"dans le conteneur de craie sur le côté.")</f>
        <v>Ensuite, il se déroule et une petite fille se tient au début d'une marelle écrite en craie, et un homme se tient à la fin et il lance un morceau de craie à sa place, il se brise, il saute pour le ramasser, elle cueille Montez l'autre pièce et le retourne dans le conteneur de craie sur le côté.</v>
      </c>
    </row>
    <row r="21093">
      <c r="A21093" s="4" t="s">
        <v>26560</v>
      </c>
      <c r="B21093" s="6" t="s">
        <v>26563</v>
      </c>
      <c r="C21093" s="5" t="str">
        <f>IFERROR(__xludf.DUMMYFUNCTION("GOOGLETRANSLATE(B21093,""en"",""fr"")"),"La fille revient au début de la marelle et prend son tour, et ils font des allers-retours et jouent à tour de rôle en sautant de haut en bas dans la marelle.")</f>
        <v>La fille revient au début de la marelle et prend son tour, et ils font des allers-retours et jouent à tour de rôle en sautant de haut en bas dans la marelle.</v>
      </c>
    </row>
    <row r="21094">
      <c r="A21094" s="4" t="s">
        <v>26564</v>
      </c>
      <c r="B21094" s="6" t="s">
        <v>26565</v>
      </c>
      <c r="C21094" s="5" t="str">
        <f>IFERROR(__xludf.DUMMYFUNCTION("GOOGLETRANSLATE(B21094,""en"",""fr"")"),"À la plage, plusieurs filets de volleyball de différentes couleurs sont installés, tandis que les gens sont debout ou assis sur le côté des filets.")</f>
        <v>À la plage, plusieurs filets de volleyball de différentes couleurs sont installés, tandis que les gens sont debout ou assis sur le côté des filets.</v>
      </c>
    </row>
    <row r="21095">
      <c r="A21095" s="4" t="s">
        <v>26564</v>
      </c>
      <c r="B21095" s="6" t="s">
        <v>26566</v>
      </c>
      <c r="C21095" s="5" t="str">
        <f>IFERROR(__xludf.DUMMYFUNCTION("GOOGLETRANSLATE(B21095,""en"",""fr"")"),"Différentes équipes, avec une combinaison d'hommes et de femmes, ont joué les balles de beach-volley dans les filets qui leur sont attribués.")</f>
        <v>Différentes équipes, avec une combinaison d'hommes et de femmes, ont joué les balles de beach-volley dans les filets qui leur sont attribués.</v>
      </c>
    </row>
    <row r="21096">
      <c r="A21096" s="4" t="s">
        <v>26567</v>
      </c>
      <c r="B21096" s="4" t="s">
        <v>26568</v>
      </c>
      <c r="C21096" s="5" t="str">
        <f>IFERROR(__xludf.DUMMYFUNCTION("GOOGLETRANSLATE(B21096,""en"",""fr"")"),"Les gens s'entraînent sur des vélos d'exercice.")</f>
        <v>Les gens s'entraînent sur des vélos d'exercice.</v>
      </c>
    </row>
    <row r="21097">
      <c r="A21097" s="4" t="s">
        <v>26567</v>
      </c>
      <c r="B21097" s="4" t="s">
        <v>26569</v>
      </c>
      <c r="C21097" s="5" t="str">
        <f>IFERROR(__xludf.DUMMYFUNCTION("GOOGLETRANSLATE(B21097,""en"",""fr"")"),"Un homme en chemise bleue se tient devant eux qui courent.")</f>
        <v>Un homme en chemise bleue se tient devant eux qui courent.</v>
      </c>
    </row>
    <row r="21098">
      <c r="A21098" s="4" t="s">
        <v>26570</v>
      </c>
      <c r="B21098" s="4" t="s">
        <v>26571</v>
      </c>
      <c r="C21098" s="5" t="str">
        <f>IFERROR(__xludf.DUMMYFUNCTION("GOOGLETRANSLATE(B21098,""en"",""fr"")"),"Un journaliste parle dans un téléviseur, puis un journaliste parle dans un parc, puis une carte de Londres est montrée.")</f>
        <v>Un journaliste parle dans un téléviseur, puis un journaliste parle dans un parc, puis une carte de Londres est montrée.</v>
      </c>
    </row>
    <row r="21099">
      <c r="A21099" s="4" t="s">
        <v>26570</v>
      </c>
      <c r="B21099" s="4" t="s">
        <v>26572</v>
      </c>
      <c r="C21099" s="5" t="str">
        <f>IFERROR(__xludf.DUMMYFUNCTION("GOOGLETRANSLATE(B21099,""en"",""fr"")"),"Un homme montre un sac avec une cigarette, puis il est le plus proche des papiers.")</f>
        <v>Un homme montre un sac avec une cigarette, puis il est le plus proche des papiers.</v>
      </c>
    </row>
    <row r="21100">
      <c r="A21100" s="4" t="s">
        <v>26570</v>
      </c>
      <c r="B21100" s="4" t="s">
        <v>26573</v>
      </c>
      <c r="C21100" s="5" t="str">
        <f>IFERROR(__xludf.DUMMYFUNCTION("GOOGLETRANSLATE(B21100,""en"",""fr"")"),"Après, l'homme est dans une arrière-cour expliquant le journaliste.")</f>
        <v>Après, l'homme est dans une arrière-cour expliquant le journaliste.</v>
      </c>
    </row>
    <row r="21101">
      <c r="A21101" s="4" t="s">
        <v>26570</v>
      </c>
      <c r="B21101" s="4" t="s">
        <v>26574</v>
      </c>
      <c r="C21101" s="5" t="str">
        <f>IFERROR(__xludf.DUMMYFUNCTION("GOOGLETRANSLATE(B21101,""en"",""fr"")"),"Les gens sont dans un parc à pied, une personne avec un animal de compagnie et une mère avec un enfant.")</f>
        <v>Les gens sont dans un parc à pied, une personne avec un animal de compagnie et une mère avec un enfant.</v>
      </c>
    </row>
    <row r="21102">
      <c r="A21102" s="4" t="s">
        <v>26570</v>
      </c>
      <c r="B21102" s="4" t="s">
        <v>26575</v>
      </c>
      <c r="C21102" s="5" t="str">
        <f>IFERROR(__xludf.DUMMYFUNCTION("GOOGLETRANSLATE(B21102,""en"",""fr"")"),"Un homme et une femme parlent avec le journaliste.")</f>
        <v>Un homme et une femme parlent avec le journaliste.</v>
      </c>
    </row>
    <row r="21103">
      <c r="A21103" s="4" t="s">
        <v>26576</v>
      </c>
      <c r="B21103" s="4" t="s">
        <v>26577</v>
      </c>
      <c r="C21103" s="5" t="str">
        <f>IFERROR(__xludf.DUMMYFUNCTION("GOOGLETRANSLATE(B21103,""en"",""fr"")"),"Les individus jouent au croquet, avec la caméra ne montrant que leurs jambes inférieures et les balles et les maillets.")</f>
        <v>Les individus jouent au croquet, avec la caméra ne montrant que leurs jambes inférieures et les balles et les maillets.</v>
      </c>
    </row>
    <row r="21104">
      <c r="A21104" s="4" t="s">
        <v>26576</v>
      </c>
      <c r="B21104" s="4" t="s">
        <v>26578</v>
      </c>
      <c r="C21104" s="5" t="str">
        <f>IFERROR(__xludf.DUMMYFUNCTION("GOOGLETRANSLATE(B21104,""en"",""fr"")"),"Un groupe de personnes dans les costumes de sorcières se tiendra alors que l'on parle.")</f>
        <v>Un groupe de personnes dans les costumes de sorcières se tiendra alors que l'on parle.</v>
      </c>
    </row>
    <row r="21105">
      <c r="A21105" s="4" t="s">
        <v>26576</v>
      </c>
      <c r="B21105" s="4" t="s">
        <v>26579</v>
      </c>
      <c r="C21105" s="5" t="str">
        <f>IFERROR(__xludf.DUMMYFUNCTION("GOOGLETRANSLATE(B21105,""en"",""fr"")"),"Plus de petites vidéos de personnes jouant au croquet sont présentées.")</f>
        <v>Plus de petites vidéos de personnes jouant au croquet sont présentées.</v>
      </c>
    </row>
    <row r="21106">
      <c r="A21106" s="4" t="s">
        <v>26576</v>
      </c>
      <c r="B21106" s="4" t="s">
        <v>26580</v>
      </c>
      <c r="C21106" s="5" t="str">
        <f>IFERROR(__xludf.DUMMYFUNCTION("GOOGLETRANSLATE(B21106,""en"",""fr"")"),"Le groupe de personnes en costumes de sorcières est à nouveau montré.")</f>
        <v>Le groupe de personnes en costumes de sorcières est à nouveau montré.</v>
      </c>
    </row>
    <row r="21107">
      <c r="A21107" s="4" t="s">
        <v>26576</v>
      </c>
      <c r="B21107" s="4" t="s">
        <v>26581</v>
      </c>
      <c r="C21107" s="5" t="str">
        <f>IFERROR(__xludf.DUMMYFUNCTION("GOOGLETRANSLATE(B21107,""en"",""fr"")"),"Une série d'équipes de croquet est montrée, certaines d'entre elles portant des costumes.")</f>
        <v>Une série d'équipes de croquet est montrée, certaines d'entre elles portant des costumes.</v>
      </c>
    </row>
    <row r="21108">
      <c r="A21108" s="4" t="s">
        <v>26576</v>
      </c>
      <c r="B21108" s="4" t="s">
        <v>26582</v>
      </c>
      <c r="C21108" s="5" t="str">
        <f>IFERROR(__xludf.DUMMYFUNCTION("GOOGLETRANSLATE(B21108,""en"",""fr"")"),"Le groupe de personnes en costumes de sorcières est à nouveau montré.")</f>
        <v>Le groupe de personnes en costumes de sorcières est à nouveau montré.</v>
      </c>
    </row>
    <row r="21109">
      <c r="A21109" s="4" t="s">
        <v>26576</v>
      </c>
      <c r="B21109" s="4" t="s">
        <v>26583</v>
      </c>
      <c r="C21109" s="5" t="str">
        <f>IFERROR(__xludf.DUMMYFUNCTION("GOOGLETRANSLATE(B21109,""en"",""fr"")"),"Pourtant, plus de petites vidéos de personnes jouant au croquet sont présentées.")</f>
        <v>Pourtant, plus de petites vidéos de personnes jouant au croquet sont présentées.</v>
      </c>
    </row>
    <row r="21110">
      <c r="A21110" s="4" t="s">
        <v>26576</v>
      </c>
      <c r="B21110" s="4" t="s">
        <v>26584</v>
      </c>
      <c r="C21110" s="5" t="str">
        <f>IFERROR(__xludf.DUMMYFUNCTION("GOOGLETRANSLATE(B21110,""en"",""fr"")"),"Et l'écran du titre de fin est affiché.")</f>
        <v>Et l'écran du titre de fin est affiché.</v>
      </c>
    </row>
    <row r="21111">
      <c r="A21111" s="4" t="s">
        <v>26585</v>
      </c>
      <c r="B21111" s="4" t="s">
        <v>22735</v>
      </c>
      <c r="C21111" s="5" t="str">
        <f>IFERROR(__xludf.DUMMYFUNCTION("GOOGLETRANSLATE(B21111,""en"",""fr"")"),"Un homme se tient derrière un bar.")</f>
        <v>Un homme se tient derrière un bar.</v>
      </c>
    </row>
    <row r="21112">
      <c r="A21112" s="4" t="s">
        <v>26585</v>
      </c>
      <c r="B21112" s="4" t="s">
        <v>26586</v>
      </c>
      <c r="C21112" s="5" t="str">
        <f>IFERROR(__xludf.DUMMYFUNCTION("GOOGLETRANSLATE(B21112,""en"",""fr"")"),"Il commence à couper les fruits et à le mettre dans le verre.")</f>
        <v>Il commence à couper les fruits et à le mettre dans le verre.</v>
      </c>
    </row>
    <row r="21113">
      <c r="A21113" s="4" t="s">
        <v>26585</v>
      </c>
      <c r="B21113" s="4" t="s">
        <v>26587</v>
      </c>
      <c r="C21113" s="5" t="str">
        <f>IFERROR(__xludf.DUMMYFUNCTION("GOOGLETRANSLATE(B21113,""en"",""fr"")"),"Il commence à écraser le fruit avec un bâton.")</f>
        <v>Il commence à écraser le fruit avec un bâton.</v>
      </c>
    </row>
    <row r="21114">
      <c r="A21114" s="4" t="s">
        <v>26585</v>
      </c>
      <c r="B21114" s="4" t="s">
        <v>26588</v>
      </c>
      <c r="C21114" s="5" t="str">
        <f>IFERROR(__xludf.DUMMYFUNCTION("GOOGLETRANSLATE(B21114,""en"",""fr"")"),"Il ajoute de la glace au verre et verse de l'alcool.")</f>
        <v>Il ajoute de la glace au verre et verse de l'alcool.</v>
      </c>
    </row>
    <row r="21115">
      <c r="A21115" s="4" t="s">
        <v>26585</v>
      </c>
      <c r="B21115" s="4" t="s">
        <v>26589</v>
      </c>
      <c r="C21115" s="5" t="str">
        <f>IFERROR(__xludf.DUMMYFUNCTION("GOOGLETRANSLATE(B21115,""en"",""fr"")"),"Il secoue la boisson et la verse dans un grand verre.")</f>
        <v>Il secoue la boisson et la verse dans un grand verre.</v>
      </c>
    </row>
    <row r="21116">
      <c r="A21116" s="4" t="s">
        <v>26585</v>
      </c>
      <c r="B21116" s="4" t="s">
        <v>26590</v>
      </c>
      <c r="C21116" s="5" t="str">
        <f>IFERROR(__xludf.DUMMYFUNCTION("GOOGLETRANSLATE(B21116,""en"",""fr"")"),"Il ajoute du liquide et le remue avec une paille.")</f>
        <v>Il ajoute du liquide et le remue avec une paille.</v>
      </c>
    </row>
    <row r="21117">
      <c r="A21117" s="4" t="s">
        <v>26591</v>
      </c>
      <c r="B21117" s="4" t="s">
        <v>1251</v>
      </c>
      <c r="C21117" s="5" t="str">
        <f>IFERROR(__xludf.DUMMYFUNCTION("GOOGLETRANSLATE(B21117,""en"",""fr"")"),"Les crédits du clip sont affichés.")</f>
        <v>Les crédits du clip sont affichés.</v>
      </c>
    </row>
    <row r="21118">
      <c r="A21118" s="4" t="s">
        <v>26591</v>
      </c>
      <c r="B21118" s="4" t="s">
        <v>26592</v>
      </c>
      <c r="C21118" s="5" t="str">
        <f>IFERROR(__xludf.DUMMYFUNCTION("GOOGLETRANSLATE(B21118,""en"",""fr"")"),"Un homme coupe le buisson sur la pelouse avec un coupeur électrique.")</f>
        <v>Un homme coupe le buisson sur la pelouse avec un coupeur électrique.</v>
      </c>
    </row>
    <row r="21119">
      <c r="A21119" s="4" t="s">
        <v>26591</v>
      </c>
      <c r="B21119" s="4" t="s">
        <v>573</v>
      </c>
      <c r="C21119" s="5" t="str">
        <f>IFERROR(__xludf.DUMMYFUNCTION("GOOGLETRANSLATE(B21119,""en"",""fr"")"),"Les crédits de la vidéo sont affichés.")</f>
        <v>Les crédits de la vidéo sont affichés.</v>
      </c>
    </row>
    <row r="21120">
      <c r="A21120" s="4" t="s">
        <v>26593</v>
      </c>
      <c r="B21120" s="4" t="s">
        <v>26594</v>
      </c>
      <c r="C21120" s="5" t="str">
        <f>IFERROR(__xludf.DUMMYFUNCTION("GOOGLETRANSLATE(B21120,""en"",""fr"")"),"Une personne allume un bouton d'un appareil avec une longue route à côté d'une boîte en bois.")</f>
        <v>Une personne allume un bouton d'un appareil avec une longue route à côté d'une boîte en bois.</v>
      </c>
    </row>
    <row r="21121">
      <c r="A21121" s="4" t="s">
        <v>26593</v>
      </c>
      <c r="B21121" s="4" t="s">
        <v>26595</v>
      </c>
      <c r="C21121" s="5" t="str">
        <f>IFERROR(__xludf.DUMMYFUNCTION("GOOGLETRANSLATE(B21121,""en"",""fr"")"),"Ensuite, l'homme a mis la tige dans un trou et des étincelles sortent, après la fin de l'homme, des étincelles.")</f>
        <v>Ensuite, l'homme a mis la tige dans un trou et des étincelles sortent, après la fin de l'homme, des étincelles.</v>
      </c>
    </row>
    <row r="21122">
      <c r="A21122" s="4" t="s">
        <v>26596</v>
      </c>
      <c r="B21122" s="4" t="s">
        <v>26597</v>
      </c>
      <c r="C21122" s="5" t="str">
        <f>IFERROR(__xludf.DUMMYFUNCTION("GOOGLETRANSLATE(B21122,""en"",""fr"")"),"Une personne est vue monter sur un cheval dans une fosse coulant dans un bébé veau.")</f>
        <v>Une personne est vue monter sur un cheval dans une fosse coulant dans un bébé veau.</v>
      </c>
    </row>
    <row r="21123">
      <c r="A21123" s="4" t="s">
        <v>26596</v>
      </c>
      <c r="B21123" s="4" t="s">
        <v>26598</v>
      </c>
      <c r="C21123" s="5" t="str">
        <f>IFERROR(__xludf.DUMMYFUNCTION("GOOGLETRANSLATE(B21123,""en"",""fr"")"),"L'homme corde le veau et saute du cheval pour l'attacher puis revient au cheval.")</f>
        <v>L'homme corde le veau et saute du cheval pour l'attacher puis revient au cheval.</v>
      </c>
    </row>
    <row r="21124">
      <c r="A21124" s="4" t="s">
        <v>26599</v>
      </c>
      <c r="B21124" s="4" t="s">
        <v>26600</v>
      </c>
      <c r="C21124" s="5" t="str">
        <f>IFERROR(__xludf.DUMMYFUNCTION("GOOGLETRANSLATE(B21124,""en"",""fr"")"),"Un homme est vu dans l'océan sur une planche de surf.")</f>
        <v>Un homme est vu dans l'océan sur une planche de surf.</v>
      </c>
    </row>
    <row r="21125">
      <c r="A21125" s="4" t="s">
        <v>26599</v>
      </c>
      <c r="B21125" s="4" t="s">
        <v>26601</v>
      </c>
      <c r="C21125" s="5" t="str">
        <f>IFERROR(__xludf.DUMMYFUNCTION("GOOGLETRANSLATE(B21125,""en"",""fr"")"),"L'homme glisse vers une vague à venir.")</f>
        <v>L'homme glisse vers une vague à venir.</v>
      </c>
    </row>
    <row r="21126">
      <c r="A21126" s="4" t="s">
        <v>26599</v>
      </c>
      <c r="B21126" s="4" t="s">
        <v>26602</v>
      </c>
      <c r="C21126" s="5" t="str">
        <f>IFERROR(__xludf.DUMMYFUNCTION("GOOGLETRANSLATE(B21126,""en"",""fr"")"),"L'homme saute ensuite par-dessus la vague.")</f>
        <v>L'homme saute ensuite par-dessus la vague.</v>
      </c>
    </row>
    <row r="21127">
      <c r="A21127" s="4" t="s">
        <v>26599</v>
      </c>
      <c r="B21127" s="4" t="s">
        <v>26603</v>
      </c>
      <c r="C21127" s="5" t="str">
        <f>IFERROR(__xludf.DUMMYFUNCTION("GOOGLETRANSLATE(B21127,""en"",""fr"")"),"L'homme monte ensuite à l'intérieur d'une nouvelle vague.")</f>
        <v>L'homme monte ensuite à l'intérieur d'une nouvelle vague.</v>
      </c>
    </row>
    <row r="21128">
      <c r="A21128" s="4" t="s">
        <v>26604</v>
      </c>
      <c r="B21128" s="6" t="s">
        <v>26605</v>
      </c>
      <c r="C21128" s="5" t="str">
        <f>IFERROR(__xludf.DUMMYFUNCTION("GOOGLETRANSLATE(B21128,""en"",""fr"")"),"Une belle jeune femme tenant un violon à la main commence à se déplacer d'avant en arrière contre les cordes avec l'arc pour jouer une chanson qu'elle a pratiquée.")</f>
        <v>Une belle jeune femme tenant un violon à la main commence à se déplacer d'avant en arrière contre les cordes avec l'arc pour jouer une chanson qu'elle a pratiquée.</v>
      </c>
    </row>
    <row r="21129">
      <c r="A21129" s="4" t="s">
        <v>26604</v>
      </c>
      <c r="B21129" s="6" t="s">
        <v>26606</v>
      </c>
      <c r="C21129" s="5" t="str">
        <f>IFERROR(__xludf.DUMMYFUNCTION("GOOGLETRANSLATE(B21129,""en"",""fr"")"),"La femme joliment habillée en noir avec des manches blanches continue de jouer et souriant par intermittence tout en tenant éloquemment des accords et des notes dans le coin de la pièce à côté d'un piano dansant d'avant en arrière pendant qu'elle joue.")</f>
        <v>La femme joliment habillée en noir avec des manches blanches continue de jouer et souriant par intermittence tout en tenant éloquemment des accords et des notes dans le coin de la pièce à côté d'un piano dansant d'avant en arrière pendant qu'elle joue.</v>
      </c>
    </row>
    <row r="21130">
      <c r="A21130" s="4" t="s">
        <v>26604</v>
      </c>
      <c r="B21130" s="6" t="s">
        <v>26607</v>
      </c>
      <c r="C21130" s="5" t="str">
        <f>IFERROR(__xludf.DUMMYFUNCTION("GOOGLETRANSLATE(B21130,""en"",""fr"")"),"La femme cesse de jouer et sourit une fois de plus avant de sortir de la caméra en train de mettre le violon et de mettre fin à la chanson.")</f>
        <v>La femme cesse de jouer et sourit une fois de plus avant de sortir de la caméra en train de mettre le violon et de mettre fin à la chanson.</v>
      </c>
    </row>
    <row r="21131">
      <c r="A21131" s="4" t="s">
        <v>26608</v>
      </c>
      <c r="B21131" s="4" t="s">
        <v>26609</v>
      </c>
      <c r="C21131" s="5" t="str">
        <f>IFERROR(__xludf.DUMMYFUNCTION("GOOGLETRANSLATE(B21131,""en"",""fr"")"),"Une personne fait naviguer par un autre bateau dans l'eau.")</f>
        <v>Une personne fait naviguer par un autre bateau dans l'eau.</v>
      </c>
    </row>
    <row r="21132">
      <c r="A21132" s="4" t="s">
        <v>26608</v>
      </c>
      <c r="B21132" s="4" t="s">
        <v>26610</v>
      </c>
      <c r="C21132" s="5" t="str">
        <f>IFERROR(__xludf.DUMMYFUNCTION("GOOGLETRANSLATE(B21132,""en"",""fr"")"),"Plusieurs scènes sont présentées sur des gens naviguant sur les bateaux.")</f>
        <v>Plusieurs scènes sont présentées sur des gens naviguant sur les bateaux.</v>
      </c>
    </row>
    <row r="21133">
      <c r="A21133" s="4" t="s">
        <v>26608</v>
      </c>
      <c r="B21133" s="4" t="s">
        <v>26611</v>
      </c>
      <c r="C21133" s="5" t="str">
        <f>IFERROR(__xludf.DUMMYFUNCTION("GOOGLETRANSLATE(B21133,""en"",""fr"")"),"Un homme se tient debout et parle à la caméra.")</f>
        <v>Un homme se tient debout et parle à la caméra.</v>
      </c>
    </row>
    <row r="21134">
      <c r="A21134" s="4" t="s">
        <v>26612</v>
      </c>
      <c r="B21134" s="4" t="s">
        <v>26613</v>
      </c>
      <c r="C21134" s="5" t="str">
        <f>IFERROR(__xludf.DUMMYFUNCTION("GOOGLETRANSLATE(B21134,""en"",""fr"")"),"Un homme se tient sur le métal tacose un grand bord droit sur un plafond pour aplatir le plâtre.")</f>
        <v>Un homme se tient sur le métal tacose un grand bord droit sur un plafond pour aplatir le plâtre.</v>
      </c>
    </row>
    <row r="21135">
      <c r="A21135" s="4" t="s">
        <v>26612</v>
      </c>
      <c r="B21135" s="4" t="s">
        <v>26614</v>
      </c>
      <c r="C21135" s="5" t="str">
        <f>IFERROR(__xludf.DUMMYFUNCTION("GOOGLETRANSLATE(B21135,""en"",""fr"")"),"L'homme atteint le côté le plus proche, puis se retourne pour continuer.")</f>
        <v>L'homme atteint le côté le plus proche, puis se retourne pour continuer.</v>
      </c>
    </row>
    <row r="21136">
      <c r="A21136" s="4" t="s">
        <v>26612</v>
      </c>
      <c r="B21136" s="4" t="s">
        <v>26615</v>
      </c>
      <c r="C21136" s="5" t="str">
        <f>IFERROR(__xludf.DUMMYFUNCTION("GOOGLETRANSLATE(B21136,""en"",""fr"")"),"L'homme atteint l'autre côté de la pièce et se retourne pour continuer.")</f>
        <v>L'homme atteint l'autre côté de la pièce et se retourne pour continuer.</v>
      </c>
    </row>
    <row r="21137">
      <c r="A21137" s="4" t="s">
        <v>26612</v>
      </c>
      <c r="B21137" s="4" t="s">
        <v>26616</v>
      </c>
      <c r="C21137" s="5" t="str">
        <f>IFERROR(__xludf.DUMMYFUNCTION("GOOGLETRANSLATE(B21137,""en"",""fr"")"),"L'homme termine et abaisse l'outil de bord droit souriant.")</f>
        <v>L'homme termine et abaisse l'outil de bord droit souriant.</v>
      </c>
    </row>
    <row r="21138">
      <c r="A21138" s="4" t="s">
        <v>26617</v>
      </c>
      <c r="B21138" s="4" t="s">
        <v>26618</v>
      </c>
      <c r="C21138" s="5" t="str">
        <f>IFERROR(__xludf.DUMMYFUNCTION("GOOGLETRANSLATE(B21138,""en"",""fr"")"),"Nous voyons un demi-gâteau sur une forme avec une main de personne pointant vers les choses.")</f>
        <v>Nous voyons un demi-gâteau sur une forme avec une main de personne pointant vers les choses.</v>
      </c>
    </row>
    <row r="21139">
      <c r="A21139" s="4" t="s">
        <v>26617</v>
      </c>
      <c r="B21139" s="4" t="s">
        <v>26619</v>
      </c>
      <c r="C21139" s="5" t="str">
        <f>IFERROR(__xludf.DUMMYFUNCTION("GOOGLETRANSLATE(B21139,""en"",""fr"")"),"Nous voyons que la personne tourne le gâteau avec le carton au-dessus.")</f>
        <v>Nous voyons que la personne tourne le gâteau avec le carton au-dessus.</v>
      </c>
    </row>
    <row r="21140">
      <c r="A21140" s="4" t="s">
        <v>26617</v>
      </c>
      <c r="B21140" s="4" t="s">
        <v>26620</v>
      </c>
      <c r="C21140" s="5" t="str">
        <f>IFERROR(__xludf.DUMMYFUNCTION("GOOGLETRANSLATE(B21140,""en"",""fr"")"),"Une personne gratte le papier ciré sur le gâteau.")</f>
        <v>Une personne gratte le papier ciré sur le gâteau.</v>
      </c>
    </row>
    <row r="21141">
      <c r="A21141" s="4" t="s">
        <v>26617</v>
      </c>
      <c r="B21141" s="4" t="s">
        <v>26621</v>
      </c>
      <c r="C21141" s="5" t="str">
        <f>IFERROR(__xludf.DUMMYFUNCTION("GOOGLETRANSLATE(B21141,""en"",""fr"")"),"Nous voyons un globe entier recouvert de chocolat.")</f>
        <v>Nous voyons un globe entier recouvert de chocolat.</v>
      </c>
    </row>
    <row r="21142">
      <c r="A21142" s="4" t="s">
        <v>26622</v>
      </c>
      <c r="B21142" s="4" t="s">
        <v>26623</v>
      </c>
      <c r="C21142" s="5" t="str">
        <f>IFERROR(__xludf.DUMMYFUNCTION("GOOGLETRANSLATE(B21142,""en"",""fr"")"),"L'homme fouille la glace de son pare-brise.")</f>
        <v>L'homme fouille la glace de son pare-brise.</v>
      </c>
    </row>
    <row r="21143">
      <c r="A21143" s="4" t="s">
        <v>26622</v>
      </c>
      <c r="B21143" s="4" t="s">
        <v>26624</v>
      </c>
      <c r="C21143" s="5" t="str">
        <f>IFERROR(__xludf.DUMMYFUNCTION("GOOGLETRANSLATE(B21143,""en"",""fr"")"),"L'homme en noir met un morceau de carton sur son pare-brise.")</f>
        <v>L'homme en noir met un morceau de carton sur son pare-brise.</v>
      </c>
    </row>
    <row r="21144">
      <c r="A21144" s="4" t="s">
        <v>26622</v>
      </c>
      <c r="B21144" s="4" t="s">
        <v>26625</v>
      </c>
      <c r="C21144" s="5" t="str">
        <f>IFERROR(__xludf.DUMMYFUNCTION("GOOGLETRANSLATE(B21144,""en"",""fr"")"),"L'homme verse un mélange d'eau chaude sur son pare-brise froid.")</f>
        <v>L'homme verse un mélange d'eau chaude sur son pare-brise froid.</v>
      </c>
    </row>
    <row r="21145">
      <c r="A21145" s="4" t="s">
        <v>26626</v>
      </c>
      <c r="B21145" s="4" t="s">
        <v>26627</v>
      </c>
      <c r="C21145" s="5" t="str">
        <f>IFERROR(__xludf.DUMMYFUNCTION("GOOGLETRANSLATE(B21145,""en"",""fr"")"),"Deux femmes sont vues assises dans un parc avec l'une derrière les autres.")</f>
        <v>Deux femmes sont vues assises dans un parc avec l'une derrière les autres.</v>
      </c>
    </row>
    <row r="21146">
      <c r="A21146" s="4" t="s">
        <v>26626</v>
      </c>
      <c r="B21146" s="4" t="s">
        <v>26628</v>
      </c>
      <c r="C21146" s="5" t="str">
        <f>IFERROR(__xludf.DUMMYFUNCTION("GOOGLETRANSLATE(B21146,""en"",""fr"")"),"Une fille commence à tresser les cheveux d'un autre en étant assis derrière.")</f>
        <v>Une fille commence à tresser les cheveux d'un autre en étant assis derrière.</v>
      </c>
    </row>
    <row r="21147">
      <c r="A21147" s="4" t="s">
        <v>26626</v>
      </c>
      <c r="B21147" s="4" t="s">
        <v>26629</v>
      </c>
      <c r="C21147" s="5" t="str">
        <f>IFERROR(__xludf.DUMMYFUNCTION("GOOGLETRANSLATE(B21147,""en"",""fr"")"),"La fille termine les cheveux tandis que l'autre regarde la caméra.")</f>
        <v>La fille termine les cheveux tandis que l'autre regarde la caméra.</v>
      </c>
    </row>
    <row r="21148">
      <c r="A21148" s="4" t="s">
        <v>26630</v>
      </c>
      <c r="B21148" s="4" t="s">
        <v>26631</v>
      </c>
      <c r="C21148" s="5" t="str">
        <f>IFERROR(__xludf.DUMMYFUNCTION("GOOGLETRANSLATE(B21148,""en"",""fr"")"),"Les athlètes jettent un javelot sur le terrain lors d'une compétition dans un stade.")</f>
        <v>Les athlètes jettent un javelot sur le terrain lors d'une compétition dans un stade.</v>
      </c>
    </row>
    <row r="21149">
      <c r="A21149" s="4" t="s">
        <v>26630</v>
      </c>
      <c r="B21149" s="4" t="s">
        <v>26632</v>
      </c>
      <c r="C21149" s="5" t="str">
        <f>IFERROR(__xludf.DUMMYFUNCTION("GOOGLETRANSLATE(B21149,""en"",""fr"")"),"L'athlète n'est pas satisfait de son lancer et lui frappe les jambes de frustration.")</f>
        <v>L'athlète n'est pas satisfait de son lancer et lui frappe les jambes de frustration.</v>
      </c>
    </row>
    <row r="21150">
      <c r="A21150" s="4" t="s">
        <v>26630</v>
      </c>
      <c r="B21150" s="6" t="s">
        <v>26633</v>
      </c>
      <c r="C21150" s="5" t="str">
        <f>IFERROR(__xludf.DUMMYFUNCTION("GOOGLETRANSLATE(B21150,""en"",""fr"")"),"L'athlète est modérément satisfait de son lancer et applaudit ses mains en s'éloignant et hoche la tête.")</f>
        <v>L'athlète est modérément satisfait de son lancer et applaudit ses mains en s'éloignant et hoche la tête.</v>
      </c>
    </row>
    <row r="21151">
      <c r="A21151" s="4" t="s">
        <v>26630</v>
      </c>
      <c r="B21151" s="4" t="s">
        <v>26634</v>
      </c>
      <c r="C21151" s="5" t="str">
        <f>IFERROR(__xludf.DUMMYFUNCTION("GOOGLETRANSLATE(B21151,""en"",""fr"")"),"Un tableau de bord est vu avec les résultats de la compétition.")</f>
        <v>Un tableau de bord est vu avec les résultats de la compétition.</v>
      </c>
    </row>
    <row r="21152">
      <c r="A21152" s="4" t="s">
        <v>26635</v>
      </c>
      <c r="B21152" s="4" t="s">
        <v>26636</v>
      </c>
      <c r="C21152" s="5" t="str">
        <f>IFERROR(__xludf.DUMMYFUNCTION("GOOGLETRANSLATE(B21152,""en"",""fr"")"),"Une personne utilise une vadrouille pour éponger le sol.")</f>
        <v>Une personne utilise une vadrouille pour éponger le sol.</v>
      </c>
    </row>
    <row r="21153">
      <c r="A21153" s="4" t="s">
        <v>26635</v>
      </c>
      <c r="B21153" s="4" t="s">
        <v>26637</v>
      </c>
      <c r="C21153" s="5" t="str">
        <f>IFERROR(__xludf.DUMMYFUNCTION("GOOGLETRANSLATE(B21153,""en"",""fr"")"),"Un petit chien poursuit la vadrouille.")</f>
        <v>Un petit chien poursuit la vadrouille.</v>
      </c>
    </row>
    <row r="21154">
      <c r="A21154" s="4" t="s">
        <v>26635</v>
      </c>
      <c r="B21154" s="4" t="s">
        <v>26638</v>
      </c>
      <c r="C21154" s="5" t="str">
        <f>IFERROR(__xludf.DUMMYFUNCTION("GOOGLETRANSLATE(B21154,""en"",""fr"")"),"Ils continuent de nettoyer le chien sur la vadrouille.")</f>
        <v>Ils continuent de nettoyer le chien sur la vadrouille.</v>
      </c>
    </row>
    <row r="21155">
      <c r="A21155" s="4" t="s">
        <v>26639</v>
      </c>
      <c r="B21155" s="4" t="s">
        <v>26640</v>
      </c>
      <c r="C21155" s="5" t="str">
        <f>IFERROR(__xludf.DUMMYFUNCTION("GOOGLETRANSLATE(B21155,""en"",""fr"")"),"Un jouet ours portant une salopette rouge et blanc verse une tasse de café dans une tasse de café jaune.")</f>
        <v>Un jouet ours portant une salopette rouge et blanc verse une tasse de café dans une tasse de café jaune.</v>
      </c>
    </row>
    <row r="21156">
      <c r="A21156" s="4" t="s">
        <v>26639</v>
      </c>
      <c r="B21156" s="4" t="s">
        <v>26641</v>
      </c>
      <c r="C21156" s="5" t="str">
        <f>IFERROR(__xludf.DUMMYFUNCTION("GOOGLETRANSLATE(B21156,""en"",""fr"")"),"L'homme de la caméra zoome sur l'ours jouet d'une vue latérale à une vue de devant.")</f>
        <v>L'homme de la caméra zoome sur l'ours jouet d'une vue latérale à une vue de devant.</v>
      </c>
    </row>
    <row r="21157">
      <c r="A21157" s="4" t="s">
        <v>26639</v>
      </c>
      <c r="B21157" s="4" t="s">
        <v>26642</v>
      </c>
      <c r="C21157" s="5" t="str">
        <f>IFERROR(__xludf.DUMMYFUNCTION("GOOGLETRANSLATE(B21157,""en"",""fr"")"),"Le caméra se déroule et se déplace vers une vue latérale de l'ours jouet et zoomez.")</f>
        <v>Le caméra se déroule et se déplace vers une vue latérale de l'ours jouet et zoomez.</v>
      </c>
    </row>
    <row r="21158">
      <c r="A21158" s="4" t="s">
        <v>26643</v>
      </c>
      <c r="B21158" s="4" t="s">
        <v>26644</v>
      </c>
      <c r="C21158" s="5" t="str">
        <f>IFERROR(__xludf.DUMMYFUNCTION("GOOGLETRANSLATE(B21158,""en"",""fr"")"),"Il y a une fille portant une chemise brune Cheers faisant une démonstration sur la façon de peindre ses ongles.")</f>
        <v>Il y a une fille portant une chemise brune Cheers faisant une démonstration sur la façon de peindre ses ongles.</v>
      </c>
    </row>
    <row r="21159">
      <c r="A21159" s="4" t="s">
        <v>26643</v>
      </c>
      <c r="B21159" s="4" t="s">
        <v>26645</v>
      </c>
      <c r="C21159" s="5" t="str">
        <f>IFERROR(__xludf.DUMMYFUNCTION("GOOGLETRANSLATE(B21159,""en"",""fr"")"),"Elle montre une bouteille de vernis à ongles magenta qu'elle a déjà utilisé sur ses ongles.")</f>
        <v>Elle montre une bouteille de vernis à ongles magenta qu'elle a déjà utilisé sur ses ongles.</v>
      </c>
    </row>
    <row r="21160">
      <c r="A21160" s="4" t="s">
        <v>26643</v>
      </c>
      <c r="B21160" s="6" t="s">
        <v>26646</v>
      </c>
      <c r="C21160" s="5" t="str">
        <f>IFERROR(__xludf.DUMMYFUNCTION("GOOGLETRANSLATE(B21160,""en"",""fr"")"),"Ensuite, elle prend une bande de strass qu'elle place méticuleusement et colle sur ses ongles peints.")</f>
        <v>Ensuite, elle prend une bande de strass qu'elle place méticuleusement et colle sur ses ongles peints.</v>
      </c>
    </row>
    <row r="21161">
      <c r="A21161" s="4" t="s">
        <v>26643</v>
      </c>
      <c r="B21161" s="6" t="s">
        <v>26647</v>
      </c>
      <c r="C21161" s="5" t="str">
        <f>IFERROR(__xludf.DUMMYFUNCTION("GOOGLETRANSLATE(B21161,""en"",""fr"")"),"Ensuite, elle enrobe ses ongles et les strass avec une couche de vernis neutre pour sécuriser les strass.")</f>
        <v>Ensuite, elle enrobe ses ongles et les strass avec une couche de vernis neutre pour sécuriser les strass.</v>
      </c>
    </row>
    <row r="21162">
      <c r="A21162" s="4" t="s">
        <v>26643</v>
      </c>
      <c r="B21162" s="4" t="s">
        <v>26648</v>
      </c>
      <c r="C21162" s="5" t="str">
        <f>IFERROR(__xludf.DUMMYFUNCTION("GOOGLETRANSLATE(B21162,""en"",""fr"")"),"Elle parle dans la caméra alors que deux garçons se tiennent derrière elle en essayant de participer au tutoriel vidéo.")</f>
        <v>Elle parle dans la caméra alors que deux garçons se tiennent derrière elle en essayant de participer au tutoriel vidéo.</v>
      </c>
    </row>
    <row r="21163">
      <c r="A21163" s="4" t="s">
        <v>26649</v>
      </c>
      <c r="B21163" s="4" t="s">
        <v>1487</v>
      </c>
      <c r="C21163" s="5" t="str">
        <f>IFERROR(__xludf.DUMMYFUNCTION("GOOGLETRANSLATE(B21163,""en"",""fr"")"),"Nous voyons un écran de titre d'ouverture.")</f>
        <v>Nous voyons un écran de titre d'ouverture.</v>
      </c>
    </row>
    <row r="21164">
      <c r="A21164" s="4" t="s">
        <v>26649</v>
      </c>
      <c r="B21164" s="4" t="s">
        <v>26650</v>
      </c>
      <c r="C21164" s="5" t="str">
        <f>IFERROR(__xludf.DUMMYFUNCTION("GOOGLETRANSLATE(B21164,""en"",""fr"")"),"Nous voyons un homme dans une chemise orange tournoyer et tourner pour jeter le marteau sur 80 km.")</f>
        <v>Nous voyons un homme dans une chemise orange tournoyer et tourner pour jeter le marteau sur 80 km.</v>
      </c>
    </row>
    <row r="21165">
      <c r="A21165" s="4" t="s">
        <v>26649</v>
      </c>
      <c r="B21165" s="4" t="s">
        <v>26651</v>
      </c>
      <c r="C21165" s="5" t="str">
        <f>IFERROR(__xludf.DUMMYFUNCTION("GOOGLETRANSLATE(B21165,""en"",""fr"")"),"Ensuite, nous voyons un homme dans un jet de chemise bleu 73 km.")</f>
        <v>Ensuite, nous voyons un homme dans un jet de chemise bleu 73 km.</v>
      </c>
    </row>
    <row r="21166">
      <c r="A21166" s="4" t="s">
        <v>26649</v>
      </c>
      <c r="B21166" s="4" t="s">
        <v>26652</v>
      </c>
      <c r="C21166" s="5" t="str">
        <f>IFERROR(__xludf.DUMMYFUNCTION("GOOGLETRANSLATE(B21166,""en"",""fr"")"),"Nous voyons un homme dans un jet de chemise blanc 75 km.")</f>
        <v>Nous voyons un homme dans un jet de chemise blanc 75 km.</v>
      </c>
    </row>
    <row r="21167">
      <c r="A21167" s="4" t="s">
        <v>26649</v>
      </c>
      <c r="B21167" s="4" t="s">
        <v>26653</v>
      </c>
      <c r="C21167" s="5" t="str">
        <f>IFERROR(__xludf.DUMMYFUNCTION("GOOGLETRANSLATE(B21167,""en"",""fr"")"),"L'homme en orange recommence et lance 81 km.")</f>
        <v>L'homme en orange recommence et lance 81 km.</v>
      </c>
    </row>
    <row r="21168">
      <c r="A21168" s="4" t="s">
        <v>26654</v>
      </c>
      <c r="B21168" s="4" t="s">
        <v>26655</v>
      </c>
      <c r="C21168" s="5" t="str">
        <f>IFERROR(__xludf.DUMMYFUNCTION("GOOGLETRANSLATE(B21168,""en"",""fr"")"),"Une jeune fille qui donne un tutoriel de maquillage.")</f>
        <v>Une jeune fille qui donne un tutoriel de maquillage.</v>
      </c>
    </row>
    <row r="21169">
      <c r="A21169" s="4" t="s">
        <v>26654</v>
      </c>
      <c r="B21169" s="4" t="s">
        <v>26656</v>
      </c>
      <c r="C21169" s="5" t="str">
        <f>IFERROR(__xludf.DUMMYFUNCTION("GOOGLETRANSLATE(B21169,""en"",""fr"")"),"Elle commence par le fard à paupières.")</f>
        <v>Elle commence par le fard à paupières.</v>
      </c>
    </row>
    <row r="21170">
      <c r="A21170" s="4" t="s">
        <v>26654</v>
      </c>
      <c r="B21170" s="4" t="s">
        <v>26657</v>
      </c>
      <c r="C21170" s="5" t="str">
        <f>IFERROR(__xludf.DUMMYFUNCTION("GOOGLETRANSLATE(B21170,""en"",""fr"")"),"Elle est un peu distraite et commence à parler à quelqu'un d'autre dans la pièce.")</f>
        <v>Elle est un peu distraite et commence à parler à quelqu'un d'autre dans la pièce.</v>
      </c>
    </row>
    <row r="21171">
      <c r="A21171" s="4" t="s">
        <v>26654</v>
      </c>
      <c r="B21171" s="4" t="s">
        <v>26658</v>
      </c>
      <c r="C21171" s="5" t="str">
        <f>IFERROR(__xludf.DUMMYFUNCTION("GOOGLETRANSLATE(B21171,""en"",""fr"")"),"Elle finit ensuite son autre œil et rit un peu.")</f>
        <v>Elle finit ensuite son autre œil et rit un peu.</v>
      </c>
    </row>
    <row r="21172">
      <c r="A21172" s="4" t="s">
        <v>26659</v>
      </c>
      <c r="B21172" s="4" t="s">
        <v>26660</v>
      </c>
      <c r="C21172" s="5" t="str">
        <f>IFERROR(__xludf.DUMMYFUNCTION("GOOGLETRANSLATE(B21172,""en"",""fr"")"),"Une personne est vue allongée sur un long fil et se dirige vers la fin.")</f>
        <v>Une personne est vue allongée sur un long fil et se dirige vers la fin.</v>
      </c>
    </row>
    <row r="21173">
      <c r="A21173" s="4" t="s">
        <v>26659</v>
      </c>
      <c r="B21173" s="4" t="s">
        <v>26661</v>
      </c>
      <c r="C21173" s="5" t="str">
        <f>IFERROR(__xludf.DUMMYFUNCTION("GOOGLETRANSLATE(B21173,""en"",""fr"")"),"Il tente de traverser à nouveau la corde mais échoue et se fait mal.")</f>
        <v>Il tente de traverser à nouveau la corde mais échoue et se fait mal.</v>
      </c>
    </row>
    <row r="21174">
      <c r="A21174" s="4" t="s">
        <v>26659</v>
      </c>
      <c r="B21174" s="4" t="s">
        <v>26662</v>
      </c>
      <c r="C21174" s="5" t="str">
        <f>IFERROR(__xludf.DUMMYFUNCTION("GOOGLETRANSLATE(B21174,""en"",""fr"")"),"Plusieurs autres hommes sont vus regarder des côtés quand on glisse de nouveau à travers.")</f>
        <v>Plusieurs autres hommes sont vus regarder des côtés quand on glisse de nouveau à travers.</v>
      </c>
    </row>
    <row r="21175">
      <c r="A21175" s="4" t="s">
        <v>26659</v>
      </c>
      <c r="B21175" s="6" t="s">
        <v>26663</v>
      </c>
      <c r="C21175" s="5" t="str">
        <f>IFERROR(__xludf.DUMMYFUNCTION("GOOGLETRANSLATE(B21175,""en"",""fr"")"),"Un autre homme est vu faire un retournement sur un rocher et plus de coups de feu marchant et sautant sur la chaîne sont montrés.")</f>
        <v>Un autre homme est vu faire un retournement sur un rocher et plus de coups de feu marchant et sautant sur la chaîne sont montrés.</v>
      </c>
    </row>
    <row r="21176">
      <c r="A21176" s="4" t="s">
        <v>26664</v>
      </c>
      <c r="B21176" s="4" t="s">
        <v>26665</v>
      </c>
      <c r="C21176" s="5" t="str">
        <f>IFERROR(__xludf.DUMMYFUNCTION("GOOGLETRANSLATE(B21176,""en"",""fr"")"),"Plusieurs hommes et femmes sont à l'extérieur dans des barres de singe adultes argentées qui grimpent sur elle.")</f>
        <v>Plusieurs hommes et femmes sont à l'extérieur dans des barres de singe adultes argentées qui grimpent sur elle.</v>
      </c>
    </row>
    <row r="21177">
      <c r="A21177" s="4" t="s">
        <v>26664</v>
      </c>
      <c r="B21177" s="4" t="s">
        <v>26666</v>
      </c>
      <c r="C21177" s="5" t="str">
        <f>IFERROR(__xludf.DUMMYFUNCTION("GOOGLETRANSLATE(B21177,""en"",""fr"")"),"Après avoir terminé tous, les gens descendent et reculent pour faire un autre set sur les barres de singe.")</f>
        <v>Après avoir terminé tous, les gens descendent et reculent pour faire un autre set sur les barres de singe.</v>
      </c>
    </row>
    <row r="21178">
      <c r="A21178" s="4" t="s">
        <v>26664</v>
      </c>
      <c r="B21178" s="6" t="s">
        <v>26667</v>
      </c>
      <c r="C21178" s="5" t="str">
        <f>IFERROR(__xludf.DUMMYFUNCTION("GOOGLETRANSLATE(B21178,""en"",""fr"")"),"Au loin, plus de gens viennent du sentier et un jeune garçon est montré traversant les barreaux avant qu'un groupe d'images d'entre eux faisant différentes activités ne soit montré.")</f>
        <v>Au loin, plus de gens viennent du sentier et un jeune garçon est montré traversant les barreaux avant qu'un groupe d'images d'entre eux faisant différentes activités ne soit montré.</v>
      </c>
    </row>
    <row r="21179">
      <c r="A21179" s="4" t="s">
        <v>26668</v>
      </c>
      <c r="B21179" s="4" t="s">
        <v>26669</v>
      </c>
      <c r="C21179" s="5" t="str">
        <f>IFERROR(__xludf.DUMMYFUNCTION("GOOGLETRANSLATE(B21179,""en"",""fr"")"),"Une personne met une lentille de contact dans son œil droit.")</f>
        <v>Une personne met une lentille de contact dans son œil droit.</v>
      </c>
    </row>
    <row r="21180">
      <c r="A21180" s="4" t="s">
        <v>26668</v>
      </c>
      <c r="B21180" s="4" t="s">
        <v>26670</v>
      </c>
      <c r="C21180" s="5" t="str">
        <f>IFERROR(__xludf.DUMMYFUNCTION("GOOGLETRANSLATE(B21180,""en"",""fr"")"),"Ensuite, la personne met une lentille de contact dans l'œil gauche.")</f>
        <v>Ensuite, la personne met une lentille de contact dans l'œil gauche.</v>
      </c>
    </row>
    <row r="21181">
      <c r="A21181" s="4" t="s">
        <v>26671</v>
      </c>
      <c r="B21181" s="4" t="s">
        <v>26672</v>
      </c>
      <c r="C21181" s="5" t="str">
        <f>IFERROR(__xludf.DUMMYFUNCTION("GOOGLETRANSLATE(B21181,""en"",""fr"")"),"Un homme se tient devant un autre homme tandis que quelqu'un ajuste la table entre eux.")</f>
        <v>Un homme se tient devant un autre homme tandis que quelqu'un ajuste la table entre eux.</v>
      </c>
    </row>
    <row r="21182">
      <c r="A21182" s="4" t="s">
        <v>26671</v>
      </c>
      <c r="B21182" s="4" t="s">
        <v>26673</v>
      </c>
      <c r="C21182" s="5" t="str">
        <f>IFERROR(__xludf.DUMMYFUNCTION("GOOGLETRANSLATE(B21182,""en"",""fr"")"),"Les hommes verrouillent les bras et commencent à s'arrêter.")</f>
        <v>Les hommes verrouillent les bras et commencent à s'arrêter.</v>
      </c>
    </row>
    <row r="21183">
      <c r="A21183" s="4" t="s">
        <v>26671</v>
      </c>
      <c r="B21183" s="4" t="s">
        <v>26674</v>
      </c>
      <c r="C21183" s="5" t="str">
        <f>IFERROR(__xludf.DUMMYFUNCTION("GOOGLETRANSLATE(B21183,""en"",""fr"")"),"Ils poussent et tirent fort, essayant de gagner.")</f>
        <v>Ils poussent et tirent fort, essayant de gagner.</v>
      </c>
    </row>
    <row r="21184">
      <c r="A21184" s="4" t="s">
        <v>26671</v>
      </c>
      <c r="B21184" s="4" t="s">
        <v>26675</v>
      </c>
      <c r="C21184" s="5" t="str">
        <f>IFERROR(__xludf.DUMMYFUNCTION("GOOGLETRANSLATE(B21184,""en"",""fr"")"),"Ils commencent soudainement à se frapper, éclatant dans un combat.")</f>
        <v>Ils commencent soudainement à se frapper, éclatant dans un combat.</v>
      </c>
    </row>
    <row r="21185">
      <c r="A21185" s="4" t="s">
        <v>26671</v>
      </c>
      <c r="B21185" s="4" t="s">
        <v>26676</v>
      </c>
      <c r="C21185" s="5" t="str">
        <f>IFERROR(__xludf.DUMMYFUNCTION("GOOGLETRANSLATE(B21185,""en"",""fr"")"),"On commence à tomber après un coup de poing.")</f>
        <v>On commence à tomber après un coup de poing.</v>
      </c>
    </row>
    <row r="21186">
      <c r="A21186" s="4" t="s">
        <v>26677</v>
      </c>
      <c r="B21186" s="4" t="s">
        <v>26678</v>
      </c>
      <c r="C21186" s="5" t="str">
        <f>IFERROR(__xludf.DUMMYFUNCTION("GOOGLETRANSLATE(B21186,""en"",""fr"")"),"Un écran d'introduction blanc apparaît et des lettres rouges dans une langue étrangère apparaissent clignoter sur l'écran.")</f>
        <v>Un écran d'introduction blanc apparaît et des lettres rouges dans une langue étrangère apparaissent clignoter sur l'écran.</v>
      </c>
    </row>
    <row r="21187">
      <c r="A21187" s="4" t="s">
        <v>26677</v>
      </c>
      <c r="B21187" s="6" t="s">
        <v>26679</v>
      </c>
      <c r="C21187" s="5" t="str">
        <f>IFERROR(__xludf.DUMMYFUNCTION("GOOGLETRANSLATE(B21187,""en"",""fr"")"),"Un bol blanc rempli d'eau et 3 pommes de terre apparaissent dans un bol, et les glaçons sont dans un autre bol blanc.")</f>
        <v>Un bol blanc rempli d'eau et 3 pommes de terre apparaissent dans un bol, et les glaçons sont dans un autre bol blanc.</v>
      </c>
    </row>
    <row r="21188">
      <c r="A21188" s="4" t="s">
        <v>26677</v>
      </c>
      <c r="B21188" s="6" t="s">
        <v>26680</v>
      </c>
      <c r="C21188" s="5" t="str">
        <f>IFERROR(__xludf.DUMMYFUNCTION("GOOGLETRANSLATE(B21188,""en"",""fr"")"),"Une main attrape ensuite la pomme de terre supérieure, le bol de glaçons et verse les cubes dans un plus grand bol blanc qui contient déjà de l'eau.")</f>
        <v>Une main attrape ensuite la pomme de terre supérieure, le bol de glaçons et verse les cubes dans un plus grand bol blanc qui contient déjà de l'eau.</v>
      </c>
    </row>
    <row r="21189">
      <c r="A21189" s="4" t="s">
        <v>26677</v>
      </c>
      <c r="B21189" s="6" t="s">
        <v>26681</v>
      </c>
      <c r="C21189" s="5" t="str">
        <f>IFERROR(__xludf.DUMMYFUNCTION("GOOGLETRANSLATE(B21189,""en"",""fr"")"),"Les deux mains déposent maintenant la pomme de terre dans le plus grand bol avec les glaçons et l'eau et les doigts commencent à décoller toute la peau sous l'eau et lorsque tous les pelures sont partis, la pomme de terre est placée sur une assiette blanc"&amp;"he propre.")</f>
        <v>Les deux mains déposent maintenant la pomme de terre dans le plus grand bol avec les glaçons et l'eau et les doigts commencent à décoller toute la peau sous l'eau et lorsque tous les pelures sont partis, la pomme de terre est placée sur une assiette blanche propre.</v>
      </c>
    </row>
    <row r="21190">
      <c r="A21190" s="4" t="s">
        <v>26677</v>
      </c>
      <c r="B21190" s="4" t="s">
        <v>26682</v>
      </c>
      <c r="C21190" s="5" t="str">
        <f>IFERROR(__xludf.DUMMYFUNCTION("GOOGLETRANSLATE(B21190,""en"",""fr"")"),"L'écran outro blanc apparaît et des lettres rouges plus étrangères apparaissent.")</f>
        <v>L'écran outro blanc apparaît et des lettres rouges plus étrangères apparaissent.</v>
      </c>
    </row>
    <row r="21191">
      <c r="A21191" s="4" t="s">
        <v>26683</v>
      </c>
      <c r="B21191" s="4" t="s">
        <v>26684</v>
      </c>
      <c r="C21191" s="5" t="str">
        <f>IFERROR(__xludf.DUMMYFUNCTION("GOOGLETRANSLATE(B21191,""en"",""fr"")"),"Nous voyons le titre nous présenter Jesse.")</f>
        <v>Nous voyons le titre nous présenter Jesse.</v>
      </c>
    </row>
    <row r="21192">
      <c r="A21192" s="4" t="s">
        <v>26683</v>
      </c>
      <c r="B21192" s="4" t="s">
        <v>26685</v>
      </c>
      <c r="C21192" s="5" t="str">
        <f>IFERROR(__xludf.DUMMYFUNCTION("GOOGLETRANSLATE(B21192,""en"",""fr"")"),"Jesse le chien court et attrape Frisbee.")</f>
        <v>Jesse le chien court et attrape Frisbee.</v>
      </c>
    </row>
    <row r="21193">
      <c r="A21193" s="4" t="s">
        <v>26683</v>
      </c>
      <c r="B21193" s="4" t="s">
        <v>26686</v>
      </c>
      <c r="C21193" s="5" t="str">
        <f>IFERROR(__xludf.DUMMYFUNCTION("GOOGLETRANSLATE(B21193,""en"",""fr"")"),"Nous voyons Jesse se rapprocher de la caméra.")</f>
        <v>Nous voyons Jesse se rapprocher de la caméra.</v>
      </c>
    </row>
    <row r="21194">
      <c r="A21194" s="4" t="s">
        <v>26683</v>
      </c>
      <c r="B21194" s="4" t="s">
        <v>26687</v>
      </c>
      <c r="C21194" s="5" t="str">
        <f>IFERROR(__xludf.DUMMYFUNCTION("GOOGLETRANSLATE(B21194,""en"",""fr"")"),"Jesse court en attrapant le frisbee que la dame lance.")</f>
        <v>Jesse court en attrapant le frisbee que la dame lance.</v>
      </c>
    </row>
    <row r="21195">
      <c r="A21195" s="4" t="s">
        <v>26683</v>
      </c>
      <c r="B21195" s="4" t="s">
        <v>26688</v>
      </c>
      <c r="C21195" s="5" t="str">
        <f>IFERROR(__xludf.DUMMYFUNCTION("GOOGLETRANSLATE(B21195,""en"",""fr"")"),"Nous voyons cinq coups encore de Jesse sautant dans les airs.")</f>
        <v>Nous voyons cinq coups encore de Jesse sautant dans les airs.</v>
      </c>
    </row>
    <row r="21196">
      <c r="A21196" s="4" t="s">
        <v>26683</v>
      </c>
      <c r="B21196" s="4" t="s">
        <v>26689</v>
      </c>
      <c r="C21196" s="5" t="str">
        <f>IFERROR(__xludf.DUMMYFUNCTION("GOOGLETRANSLATE(B21196,""en"",""fr"")"),"Jesse continue de courir avec son frisbee.")</f>
        <v>Jesse continue de courir avec son frisbee.</v>
      </c>
    </row>
    <row r="21197">
      <c r="A21197" s="4" t="s">
        <v>26683</v>
      </c>
      <c r="B21197" s="4" t="s">
        <v>26690</v>
      </c>
      <c r="C21197" s="5" t="str">
        <f>IFERROR(__xludf.DUMMYFUNCTION("GOOGLETRANSLATE(B21197,""en"",""fr"")"),"Nous voyons les crédits de fin sur un écran noir.")</f>
        <v>Nous voyons les crédits de fin sur un écran noir.</v>
      </c>
    </row>
    <row r="21198">
      <c r="A21198" s="4" t="s">
        <v>26691</v>
      </c>
      <c r="B21198" s="4" t="s">
        <v>26692</v>
      </c>
      <c r="C21198" s="5" t="str">
        <f>IFERROR(__xludf.DUMMYFUNCTION("GOOGLETRANSLATE(B21198,""en"",""fr"")"),"Une femme est montrée se préparant à soulever une haltère dans l'air.")</f>
        <v>Une femme est montrée se préparant à soulever une haltère dans l'air.</v>
      </c>
    </row>
    <row r="21199">
      <c r="A21199" s="4" t="s">
        <v>26691</v>
      </c>
      <c r="B21199" s="4" t="s">
        <v>26693</v>
      </c>
      <c r="C21199" s="5" t="str">
        <f>IFERROR(__xludf.DUMMYFUNCTION("GOOGLETRANSLATE(B21199,""en"",""fr"")"),"Elle le soulève en l'air et au-dessus de sa tête.")</f>
        <v>Elle le soulève en l'air et au-dessus de sa tête.</v>
      </c>
    </row>
    <row r="21200">
      <c r="A21200" s="4" t="s">
        <v>26691</v>
      </c>
      <c r="B21200" s="4" t="s">
        <v>26694</v>
      </c>
      <c r="C21200" s="5" t="str">
        <f>IFERROR(__xludf.DUMMYFUNCTION("GOOGLETRANSLATE(B21200,""en"",""fr"")"),"Elle laisse tomber l'haltère au sol.")</f>
        <v>Elle laisse tomber l'haltère au sol.</v>
      </c>
    </row>
    <row r="21201">
      <c r="A21201" s="4" t="s">
        <v>26691</v>
      </c>
      <c r="B21201" s="4" t="s">
        <v>26695</v>
      </c>
      <c r="C21201" s="5" t="str">
        <f>IFERROR(__xludf.DUMMYFUNCTION("GOOGLETRANSLATE(B21201,""en"",""fr"")"),"Elle s'incline pour la foule et leur fait un baiser.")</f>
        <v>Elle s'incline pour la foule et leur fait un baiser.</v>
      </c>
    </row>
    <row r="21202">
      <c r="A21202" s="4" t="s">
        <v>26691</v>
      </c>
      <c r="B21202" s="4" t="s">
        <v>26696</v>
      </c>
      <c r="C21202" s="5" t="str">
        <f>IFERROR(__xludf.DUMMYFUNCTION("GOOGLETRANSLATE(B21202,""en"",""fr"")"),"Elle sort ensuite de la scène.")</f>
        <v>Elle sort ensuite de la scène.</v>
      </c>
    </row>
    <row r="21203">
      <c r="A21203" s="4" t="s">
        <v>26697</v>
      </c>
      <c r="B21203" s="6" t="s">
        <v>26698</v>
      </c>
      <c r="C21203" s="5" t="str">
        <f>IFERROR(__xludf.DUMMYFUNCTION("GOOGLETRANSLATE(B21203,""en"",""fr"")"),"Un homme en tricot noir parle à la caméra tout en se tenant devant une table avec des articles dessus et devant un camion jaune avec une étoile noire sur la porte.")</f>
        <v>Un homme en tricot noir parle à la caméra tout en se tenant devant une table avec des articles dessus et devant un camion jaune avec une étoile noire sur la porte.</v>
      </c>
    </row>
    <row r="21204">
      <c r="A21204" s="4" t="s">
        <v>26697</v>
      </c>
      <c r="B21204" s="6" t="s">
        <v>26699</v>
      </c>
      <c r="C21204" s="5" t="str">
        <f>IFERROR(__xludf.DUMMYFUNCTION("GOOGLETRANSLATE(B21204,""en"",""fr"")"),"L'homme ramasse un paquet orange sur la table et plus tard un paquet jaune plus petit et un appareil orange, tout en parlant.")</f>
        <v>L'homme ramasse un paquet orange sur la table et plus tard un paquet jaune plus petit et un appareil orange, tout en parlant.</v>
      </c>
    </row>
    <row r="21205">
      <c r="A21205" s="4" t="s">
        <v>26697</v>
      </c>
      <c r="B21205" s="6" t="s">
        <v>26700</v>
      </c>
      <c r="C21205" s="5" t="str">
        <f>IFERROR(__xludf.DUMMYFUNCTION("GOOGLETRANSLATE(B21205,""en"",""fr"")"),"L'homme place ensuite le paquet jaune et le dispositif orange sur la table les uns à côté des autres sur une table métallique.")</f>
        <v>L'homme place ensuite le paquet jaune et le dispositif orange sur la table les uns à côté des autres sur une table métallique.</v>
      </c>
    </row>
    <row r="21206">
      <c r="A21206" s="4" t="s">
        <v>26697</v>
      </c>
      <c r="B21206" s="6" t="s">
        <v>26701</v>
      </c>
      <c r="C21206" s="5" t="str">
        <f>IFERROR(__xludf.DUMMYFUNCTION("GOOGLETRANSLATE(B21206,""en"",""fr"")"),"L'homme prend ensuite une plaque métallique, le met à l'envers et déclenche un feu dessus en utilisant les matériaux du paquet, avant de revenir pour parler à nouveau à la caméra.")</f>
        <v>L'homme prend ensuite une plaque métallique, le met à l'envers et déclenche un feu dessus en utilisant les matériaux du paquet, avant de revenir pour parler à nouveau à la caméra.</v>
      </c>
    </row>
    <row r="21207">
      <c r="A21207" s="4" t="s">
        <v>26702</v>
      </c>
      <c r="B21207" s="4" t="s">
        <v>26703</v>
      </c>
      <c r="C21207" s="5" t="str">
        <f>IFERROR(__xludf.DUMMYFUNCTION("GOOGLETRANSLATE(B21207,""en"",""fr"")"),"Une personne ramasse un pinceau et une boîte de vernis sur une pelouse extérieure.")</f>
        <v>Une personne ramasse un pinceau et une boîte de vernis sur une pelouse extérieure.</v>
      </c>
    </row>
    <row r="21208">
      <c r="A21208" s="4" t="s">
        <v>26702</v>
      </c>
      <c r="B21208" s="4" t="s">
        <v>26704</v>
      </c>
      <c r="C21208" s="5" t="str">
        <f>IFERROR(__xludf.DUMMYFUNCTION("GOOGLETRANSLATE(B21208,""en"",""fr"")"),"La personne peint un manteau diverses planches appuyées contre un mur extérieur de la maison.")</f>
        <v>La personne peint un manteau diverses planches appuyées contre un mur extérieur de la maison.</v>
      </c>
    </row>
    <row r="21209">
      <c r="A21209" s="4" t="s">
        <v>26705</v>
      </c>
      <c r="B21209" s="4" t="s">
        <v>26706</v>
      </c>
      <c r="C21209" s="5" t="str">
        <f>IFERROR(__xludf.DUMMYFUNCTION("GOOGLETRANSLATE(B21209,""en"",""fr"")"),"Une grande chute d'eau est montrée.")</f>
        <v>Une grande chute d'eau est montrée.</v>
      </c>
    </row>
    <row r="21210">
      <c r="A21210" s="4" t="s">
        <v>26705</v>
      </c>
      <c r="B21210" s="4" t="s">
        <v>26707</v>
      </c>
      <c r="C21210" s="5" t="str">
        <f>IFERROR(__xludf.DUMMYFUNCTION("GOOGLETRANSLATE(B21210,""en"",""fr"")"),"Une personne va sur la chute d'eau dans un kayak vert.")</f>
        <v>Une personne va sur la chute d'eau dans un kayak vert.</v>
      </c>
    </row>
    <row r="21211">
      <c r="A21211" s="4" t="s">
        <v>26705</v>
      </c>
      <c r="B21211" s="4" t="s">
        <v>26708</v>
      </c>
      <c r="C21211" s="5" t="str">
        <f>IFERROR(__xludf.DUMMYFUNCTION("GOOGLETRANSLATE(B21211,""en"",""fr"")"),"Les gens se tiennent sur les rochers au-dessus de l'eau.")</f>
        <v>Les gens se tiennent sur les rochers au-dessus de l'eau.</v>
      </c>
    </row>
    <row r="21212">
      <c r="A21212" s="4" t="s">
        <v>26709</v>
      </c>
      <c r="B21212" s="4" t="s">
        <v>26710</v>
      </c>
      <c r="C21212" s="5" t="str">
        <f>IFERROR(__xludf.DUMMYFUNCTION("GOOGLETRANSLATE(B21212,""en"",""fr"")"),"Une personne met de la nourriture dans un bol.")</f>
        <v>Une personne met de la nourriture dans un bol.</v>
      </c>
    </row>
    <row r="21213">
      <c r="A21213" s="4" t="s">
        <v>26709</v>
      </c>
      <c r="B21213" s="4" t="s">
        <v>26711</v>
      </c>
      <c r="C21213" s="5" t="str">
        <f>IFERROR(__xludf.DUMMYFUNCTION("GOOGLETRANSLATE(B21213,""en"",""fr"")"),"Ils cassent une noix et mettent cela dans le bol.")</f>
        <v>Ils cassent une noix et mettent cela dans le bol.</v>
      </c>
    </row>
    <row r="21214">
      <c r="A21214" s="4" t="s">
        <v>26709</v>
      </c>
      <c r="B21214" s="4" t="s">
        <v>26712</v>
      </c>
      <c r="C21214" s="5" t="str">
        <f>IFERROR(__xludf.DUMMYFUNCTION("GOOGLETRANSLATE(B21214,""en"",""fr"")"),"Ils cassent une autre noix sur un plateau noir.")</f>
        <v>Ils cassent une autre noix sur un plateau noir.</v>
      </c>
    </row>
    <row r="21215">
      <c r="A21215" s="4" t="s">
        <v>26713</v>
      </c>
      <c r="B21215" s="6" t="s">
        <v>26714</v>
      </c>
      <c r="C21215" s="5" t="str">
        <f>IFERROR(__xludf.DUMMYFUNCTION("GOOGLETRANSLATE(B21215,""en"",""fr"")"),"La femme s'agenouille dans le sol en parlant à la caméra tenant une glissière de pliage et l'ouvre dans le salon.")</f>
        <v>La femme s'agenouille dans le sol en parlant à la caméra tenant une glissière de pliage et l'ouvre dans le salon.</v>
      </c>
    </row>
    <row r="21216">
      <c r="A21216" s="4" t="s">
        <v>26713</v>
      </c>
      <c r="B21216" s="4" t="s">
        <v>26715</v>
      </c>
      <c r="C21216" s="5" t="str">
        <f>IFERROR(__xludf.DUMMYFUNCTION("GOOGLETRANSLATE(B21216,""en"",""fr"")"),"Le chien marche derrière la femme.")</f>
        <v>Le chien marche derrière la femme.</v>
      </c>
    </row>
    <row r="21217">
      <c r="A21217" s="4" t="s">
        <v>26713</v>
      </c>
      <c r="B21217" s="4" t="s">
        <v>26716</v>
      </c>
      <c r="C21217" s="5" t="str">
        <f>IFERROR(__xludf.DUMMYFUNCTION("GOOGLETRANSLATE(B21217,""en"",""fr"")"),"Bébé se dirige vers la femme et monte vers le toboggan.")</f>
        <v>Bébé se dirige vers la femme et monte vers le toboggan.</v>
      </c>
    </row>
    <row r="21218">
      <c r="A21218" s="4" t="s">
        <v>26717</v>
      </c>
      <c r="B21218" s="6" t="s">
        <v>26718</v>
      </c>
      <c r="C21218" s="5" t="str">
        <f>IFERROR(__xludf.DUMMYFUNCTION("GOOGLETRANSLATE(B21218,""en"",""fr"")"),"Trois filles sont vues debout derrière un comptoir parlant à la caméra avec un beurre répandant une casserole.")</f>
        <v>Trois filles sont vues debout derrière un comptoir parlant à la caméra avec un beurre répandant une casserole.</v>
      </c>
    </row>
    <row r="21219">
      <c r="A21219" s="4" t="s">
        <v>26717</v>
      </c>
      <c r="B21219" s="6" t="s">
        <v>26719</v>
      </c>
      <c r="C21219" s="5" t="str">
        <f>IFERROR(__xludf.DUMMYFUNCTION("GOOGLETRANSLATE(B21219,""en"",""fr"")"),"Un autre mélange les ingrédients dans un bol avec l'aide d'une autre fille et les filles lèchent la cuillère utilisée par la suite.")</f>
        <v>Un autre mélange les ingrédients dans un bol avec l'aide d'une autre fille et les filles lèchent la cuillère utilisée par la suite.</v>
      </c>
    </row>
    <row r="21220">
      <c r="A21220" s="4" t="s">
        <v>26717</v>
      </c>
      <c r="B21220" s="4" t="s">
        <v>26720</v>
      </c>
      <c r="C21220" s="5" t="str">
        <f>IFERROR(__xludf.DUMMYFUNCTION("GOOGLETRANSLATE(B21220,""en"",""fr"")"),"Ils versent le mélange dans une casserole, le mettent au four, puis le retirent sous peu après.")</f>
        <v>Ils versent le mélange dans une casserole, le mettent au four, puis le retirent sous peu après.</v>
      </c>
    </row>
    <row r="21221">
      <c r="A21221" s="4" t="s">
        <v>26717</v>
      </c>
      <c r="B21221" s="6" t="s">
        <v>26721</v>
      </c>
      <c r="C21221" s="5" t="str">
        <f>IFERROR(__xludf.DUMMYFUNCTION("GOOGLETRANSLATE(B21221,""en"",""fr"")"),"Le glaçage est ensuite vu partout dans le gâteau et la fille la propage et servait des morceaux sur une assiette, suivis par eux en mangeant dans un salon.")</f>
        <v>Le glaçage est ensuite vu partout dans le gâteau et la fille la propage et servait des morceaux sur une assiette, suivis par eux en mangeant dans un salon.</v>
      </c>
    </row>
    <row r="21222">
      <c r="A21222" s="4" t="s">
        <v>26722</v>
      </c>
      <c r="B21222" s="4" t="s">
        <v>26723</v>
      </c>
      <c r="C21222" s="5" t="str">
        <f>IFERROR(__xludf.DUMMYFUNCTION("GOOGLETRANSLATE(B21222,""en"",""fr"")"),"Une grande machine d'exercice est montrée.")</f>
        <v>Une grande machine d'exercice est montrée.</v>
      </c>
    </row>
    <row r="21223">
      <c r="A21223" s="4" t="s">
        <v>26722</v>
      </c>
      <c r="B21223" s="4" t="s">
        <v>26724</v>
      </c>
      <c r="C21223" s="5" t="str">
        <f>IFERROR(__xludf.DUMMYFUNCTION("GOOGLETRANSLATE(B21223,""en"",""fr"")"),"Un homme s'assoit et commence à travailler sur la machine d'exercice.")</f>
        <v>Un homme s'assoit et commence à travailler sur la machine d'exercice.</v>
      </c>
    </row>
    <row r="21224">
      <c r="A21224" s="4" t="s">
        <v>26725</v>
      </c>
      <c r="B21224" s="6" t="s">
        <v>26726</v>
      </c>
      <c r="C21224" s="5" t="str">
        <f>IFERROR(__xludf.DUMMYFUNCTION("GOOGLETRANSLATE(B21224,""en"",""fr"")"),"Une voiture est vue assise à l'intérieur d'un lavage de voiture sur une caméra de sécurité avec des chiffons se déplaçant de haut en bas du véhicule.")</f>
        <v>Une voiture est vue assise à l'intérieur d'un lavage de voiture sur une caméra de sécurité avec des chiffons se déplaçant de haut en bas du véhicule.</v>
      </c>
    </row>
    <row r="21225">
      <c r="A21225" s="4" t="s">
        <v>26725</v>
      </c>
      <c r="B21225" s="6" t="s">
        <v>26727</v>
      </c>
      <c r="C21225" s="5" t="str">
        <f>IFERROR(__xludf.DUMMYFUNCTION("GOOGLETRANSLATE(B21225,""en"",""fr"")"),"Un homme ouvre ensuite sa porte qui est suivi par la machine qui enlevant la porte et la voiture s'enfonçant.")</f>
        <v>Un homme ouvre ensuite sa porte qui est suivi par la machine qui enlevant la porte et la voiture s'enfonçant.</v>
      </c>
    </row>
    <row r="21226">
      <c r="A21226" s="4" t="s">
        <v>26728</v>
      </c>
      <c r="B21226" s="4" t="s">
        <v>26729</v>
      </c>
      <c r="C21226" s="5" t="str">
        <f>IFERROR(__xludf.DUMMYFUNCTION("GOOGLETRANSLATE(B21226,""en"",""fr"")"),"Les gens conduisent à jouer aux tampres.")</f>
        <v>Les gens conduisent à jouer aux tampres.</v>
      </c>
    </row>
    <row r="21227">
      <c r="A21227" s="4" t="s">
        <v>26728</v>
      </c>
      <c r="B21227" s="4" t="s">
        <v>26730</v>
      </c>
      <c r="C21227" s="5" t="str">
        <f>IFERROR(__xludf.DUMMYFUNCTION("GOOGLETRANSLATE(B21227,""en"",""fr"")"),"Un homme doit aider à décoller les voitures.")</f>
        <v>Un homme doit aider à décoller les voitures.</v>
      </c>
    </row>
    <row r="21228">
      <c r="A21228" s="4" t="s">
        <v>26731</v>
      </c>
      <c r="B21228" s="4" t="s">
        <v>26732</v>
      </c>
      <c r="C21228" s="5" t="str">
        <f>IFERROR(__xludf.DUMMYFUNCTION("GOOGLETRANSLATE(B21228,""en"",""fr"")"),"Deux personnes cuisinent dans des casseroles sur le four.")</f>
        <v>Deux personnes cuisinent dans des casseroles sur le four.</v>
      </c>
    </row>
    <row r="21229">
      <c r="A21229" s="4" t="s">
        <v>26731</v>
      </c>
      <c r="B21229" s="4" t="s">
        <v>26733</v>
      </c>
      <c r="C21229" s="5" t="str">
        <f>IFERROR(__xludf.DUMMYFUNCTION("GOOGLETRANSLATE(B21229,""en"",""fr"")"),"Deux assiettes de nourriture sont sur le comptoir.")</f>
        <v>Deux assiettes de nourriture sont sur le comptoir.</v>
      </c>
    </row>
    <row r="21230">
      <c r="A21230" s="4" t="s">
        <v>26731</v>
      </c>
      <c r="B21230" s="4" t="s">
        <v>13650</v>
      </c>
      <c r="C21230" s="5" t="str">
        <f>IFERROR(__xludf.DUMMYFUNCTION("GOOGLETRANSLATE(B21230,""en"",""fr"")"),"Les mots viennent sur l'écran.")</f>
        <v>Les mots viennent sur l'écran.</v>
      </c>
    </row>
    <row r="21231">
      <c r="A21231" s="4" t="s">
        <v>26734</v>
      </c>
      <c r="B21231" s="4" t="s">
        <v>26735</v>
      </c>
      <c r="C21231" s="5" t="str">
        <f>IFERROR(__xludf.DUMMYFUNCTION("GOOGLETRANSLATE(B21231,""en"",""fr"")"),"Un homme est d'abord vu parler à la caméra avec des questions textuelles qui lui étaient posées.")</f>
        <v>Un homme est d'abord vu parler à la caméra avec des questions textuelles qui lui étaient posées.</v>
      </c>
    </row>
    <row r="21232">
      <c r="A21232" s="4" t="s">
        <v>26734</v>
      </c>
      <c r="B21232" s="4" t="s">
        <v>26736</v>
      </c>
      <c r="C21232" s="5" t="str">
        <f>IFERROR(__xludf.DUMMYFUNCTION("GOOGLETRANSLATE(B21232,""en"",""fr"")"),"Il est alors vu mettre un nettoyant sur ses dents et prendre un peu de nourriture.")</f>
        <v>Il est alors vu mettre un nettoyant sur ses dents et prendre un peu de nourriture.</v>
      </c>
    </row>
    <row r="21233">
      <c r="A21233" s="4" t="s">
        <v>26734</v>
      </c>
      <c r="B21233" s="4" t="s">
        <v>26737</v>
      </c>
      <c r="C21233" s="5" t="str">
        <f>IFERROR(__xludf.DUMMYFUNCTION("GOOGLETRANSLATE(B21233,""en"",""fr"")"),"Il continue de parler à la caméra tout en mangeant parfois de la nourriture.")</f>
        <v>Il continue de parler à la caméra tout en mangeant parfois de la nourriture.</v>
      </c>
    </row>
    <row r="21234">
      <c r="A21234" s="4" t="s">
        <v>26738</v>
      </c>
      <c r="B21234" s="4" t="s">
        <v>26739</v>
      </c>
      <c r="C21234" s="5" t="str">
        <f>IFERROR(__xludf.DUMMYFUNCTION("GOOGLETRANSLATE(B21234,""en"",""fr"")"),"Il y a un homme dans une chemise rouge et un chapeau marron soufflant des feuilles de son entrée avec un souffleur de feuilles.")</f>
        <v>Il y a un homme dans une chemise rouge et un chapeau marron soufflant des feuilles de son entrée avec un souffleur de feuilles.</v>
      </c>
    </row>
    <row r="21235">
      <c r="A21235" s="4" t="s">
        <v>26738</v>
      </c>
      <c r="B21235" s="4" t="s">
        <v>26740</v>
      </c>
      <c r="C21235" s="5" t="str">
        <f>IFERROR(__xludf.DUMMYFUNCTION("GOOGLETRANSLATE(B21235,""en"",""fr"")"),"Il commence par souffler les feuilles de près de la pelouse avant.")</f>
        <v>Il commence par souffler les feuilles de près de la pelouse avant.</v>
      </c>
    </row>
    <row r="21236">
      <c r="A21236" s="4" t="s">
        <v>26738</v>
      </c>
      <c r="B21236" s="4" t="s">
        <v>26741</v>
      </c>
      <c r="C21236" s="5" t="str">
        <f>IFERROR(__xludf.DUMMYFUNCTION("GOOGLETRANSLATE(B21236,""en"",""fr"")"),"Puis il se déplace vers l'endroit où sa camionnette blanche est garée.")</f>
        <v>Puis il se déplace vers l'endroit où sa camionnette blanche est garée.</v>
      </c>
    </row>
    <row r="21237">
      <c r="A21237" s="4" t="s">
        <v>26738</v>
      </c>
      <c r="B21237" s="4" t="s">
        <v>26742</v>
      </c>
      <c r="C21237" s="5" t="str">
        <f>IFERROR(__xludf.DUMMYFUNCTION("GOOGLETRANSLATE(B21237,""en"",""fr"")"),"Il se promène tout autour de l'allée et souffle les feuilles, s'assurant qu'il couvre toute l'allée.")</f>
        <v>Il se promène tout autour de l'allée et souffle les feuilles, s'assurant qu'il couvre toute l'allée.</v>
      </c>
    </row>
    <row r="21238">
      <c r="A21238" s="4" t="s">
        <v>26738</v>
      </c>
      <c r="B21238" s="6" t="s">
        <v>26743</v>
      </c>
      <c r="C21238" s="5" t="str">
        <f>IFERROR(__xludf.DUMMYFUNCTION("GOOGLETRANSLATE(B21238,""en"",""fr"")"),"Puis il se dirige vers le coin du garage et souffle un gros tas de feuilles qui se trouve là en tas.")</f>
        <v>Puis il se dirige vers le coin du garage et souffle un gros tas de feuilles qui se trouve là en tas.</v>
      </c>
    </row>
    <row r="21239">
      <c r="A21239" s="4" t="s">
        <v>26744</v>
      </c>
      <c r="B21239" s="4" t="s">
        <v>26745</v>
      </c>
      <c r="C21239" s="5" t="str">
        <f>IFERROR(__xludf.DUMMYFUNCTION("GOOGLETRANSLATE(B21239,""en"",""fr"")"),"Un athlète d'athlétisme descend sur le chemin.")</f>
        <v>Un athlète d'athlétisme descend sur le chemin.</v>
      </c>
    </row>
    <row r="21240">
      <c r="A21240" s="4" t="s">
        <v>26744</v>
      </c>
      <c r="B21240" s="4" t="s">
        <v>26746</v>
      </c>
      <c r="C21240" s="5" t="str">
        <f>IFERROR(__xludf.DUMMYFUNCTION("GOOGLETRANSLATE(B21240,""en"",""fr"")"),"Une participante se prépare à courir.")</f>
        <v>Une participante se prépare à courir.</v>
      </c>
    </row>
    <row r="21241">
      <c r="A21241" s="4" t="s">
        <v>26744</v>
      </c>
      <c r="B21241" s="4" t="s">
        <v>26747</v>
      </c>
      <c r="C21241" s="5" t="str">
        <f>IFERROR(__xludf.DUMMYFUNCTION("GOOGLETRANSLATE(B21241,""en"",""fr"")"),"Elle court avec un javelot sur son épaule, le jetant aussi loin qu'elle le peut.")</f>
        <v>Elle court avec un javelot sur son épaule, le jetant aussi loin qu'elle le peut.</v>
      </c>
    </row>
    <row r="21242">
      <c r="A21242" s="4" t="s">
        <v>26744</v>
      </c>
      <c r="B21242" s="4" t="s">
        <v>26748</v>
      </c>
      <c r="C21242" s="5" t="str">
        <f>IFERROR(__xludf.DUMMYFUNCTION("GOOGLETRANSLATE(B21242,""en"",""fr"")"),"Elle s'enfuit ensuite de l'endroit sur la piste.")</f>
        <v>Elle s'enfuit ensuite de l'endroit sur la piste.</v>
      </c>
    </row>
    <row r="21243">
      <c r="A21243" s="4" t="s">
        <v>26749</v>
      </c>
      <c r="B21243" s="6" t="s">
        <v>26750</v>
      </c>
      <c r="C21243" s="5" t="str">
        <f>IFERROR(__xludf.DUMMYFUNCTION("GOOGLETRANSLATE(B21243,""en"",""fr"")"),"Plusieurs personnes surfent avec des pagaies dans l'eau de l'océan naviguant des vagues rugueuses alors que les spectateurs regardent des bateaux et des kayaks.")</f>
        <v>Plusieurs personnes surfent avec des pagaies dans l'eau de l'océan naviguant des vagues rugueuses alors que les spectateurs regardent des bateaux et des kayaks.</v>
      </c>
    </row>
    <row r="21244">
      <c r="A21244" s="4" t="s">
        <v>26749</v>
      </c>
      <c r="B21244" s="6" t="s">
        <v>26751</v>
      </c>
      <c r="C21244" s="5" t="str">
        <f>IFERROR(__xludf.DUMMYFUNCTION("GOOGLETRANSLATE(B21244,""en"",""fr"")"),"Un homme rameuse sur une planche de surf dans un plan d'eau, quand il commence à surfer sur les vagues de l'océan à l'aide de la pagaie pour naviguer et guider la planche de surf.")</f>
        <v>Un homme rameuse sur une planche de surf dans un plan d'eau, quand il commence à surfer sur les vagues de l'océan à l'aide de la pagaie pour naviguer et guider la planche de surf.</v>
      </c>
    </row>
    <row r="21245">
      <c r="A21245" s="4" t="s">
        <v>26749</v>
      </c>
      <c r="B21245" s="6" t="s">
        <v>26752</v>
      </c>
      <c r="C21245" s="5" t="str">
        <f>IFERROR(__xludf.DUMMYFUNCTION("GOOGLETRANSLATE(B21245,""en"",""fr"")"),"Un autre homme est montré dans une tenue rouge effectuant le même exploit avec la pagaie avec un autre homme dans une chemise verte.")</f>
        <v>Un autre homme est montré dans une tenue rouge effectuant le même exploit avec la pagaie avec un autre homme dans une chemise verte.</v>
      </c>
    </row>
    <row r="21246">
      <c r="A21246" s="4" t="s">
        <v>26749</v>
      </c>
      <c r="B21246" s="6" t="s">
        <v>26753</v>
      </c>
      <c r="C21246" s="5" t="str">
        <f>IFERROR(__xludf.DUMMYFUNCTION("GOOGLETRANSLATE(B21246,""en"",""fr"")"),"Un autre homme est paddle surfboard dans un type d'eau bleu clair avant que la scène ne passe à nouveau à plusieurs autres personnes naviguant de grandes vagues grossières avec planche de surf et pagaies.")</f>
        <v>Un autre homme est paddle surfboard dans un type d'eau bleu clair avant que la scène ne passe à nouveau à plusieurs autres personnes naviguant de grandes vagues grossières avec planche de surf et pagaies.</v>
      </c>
    </row>
    <row r="21247">
      <c r="A21247" s="4" t="s">
        <v>26754</v>
      </c>
      <c r="B21247" s="6" t="s">
        <v>26755</v>
      </c>
      <c r="C21247" s="5" t="str">
        <f>IFERROR(__xludf.DUMMYFUNCTION("GOOGLETRANSLATE(B21247,""en"",""fr"")"),"Un grand groupe de personnes est assis pendant que deux hommes font ressortir une table et un homme et une femme se tiennent dessus.")</f>
        <v>Un grand groupe de personnes est assis pendant que deux hommes font ressortir une table et un homme et une femme se tiennent dessus.</v>
      </c>
    </row>
    <row r="21248">
      <c r="A21248" s="4" t="s">
        <v>26754</v>
      </c>
      <c r="B21248" s="6" t="s">
        <v>26756</v>
      </c>
      <c r="C21248" s="5" t="str">
        <f>IFERROR(__xludf.DUMMYFUNCTION("GOOGLETRANSLATE(B21248,""en"",""fr"")"),"L'homme et la femme parlent à la foule et effectuent une routine de tango tout en se tenant sur la table tout le temps.")</f>
        <v>L'homme et la femme parlent à la foule et effectuent une routine de tango tout en se tenant sur la table tout le temps.</v>
      </c>
    </row>
    <row r="21249">
      <c r="A21249" s="4" t="s">
        <v>26754</v>
      </c>
      <c r="B21249" s="4" t="s">
        <v>26757</v>
      </c>
      <c r="C21249" s="5" t="str">
        <f>IFERROR(__xludf.DUMMYFUNCTION("GOOGLETRANSLATE(B21249,""en"",""fr"")"),"Les gens quittent la table et s'inclinent devant le public applaudissant et la caméra qui se pose.")</f>
        <v>Les gens quittent la table et s'inclinent devant le public applaudissant et la caméra qui se pose.</v>
      </c>
    </row>
    <row r="21250">
      <c r="A21250" s="4" t="s">
        <v>26758</v>
      </c>
      <c r="B21250" s="4" t="s">
        <v>26759</v>
      </c>
      <c r="C21250" s="5" t="str">
        <f>IFERROR(__xludf.DUMMYFUNCTION("GOOGLETRANSLATE(B21250,""en"",""fr"")"),"Divers texte indiqué conduit à plusieurs clips de personnes se balançant sur des barres inégales.")</f>
        <v>Divers texte indiqué conduit à plusieurs clips de personnes se balançant sur des barres inégales.</v>
      </c>
    </row>
    <row r="21251">
      <c r="A21251" s="4" t="s">
        <v>26758</v>
      </c>
      <c r="B21251" s="4" t="s">
        <v>26760</v>
      </c>
      <c r="C21251" s="5" t="str">
        <f>IFERROR(__xludf.DUMMYFUNCTION("GOOGLETRANSLATE(B21251,""en"",""fr"")"),"De plus en plus de gymnastes sont montrés en sautant d'une poutre et sur des barres inégales.")</f>
        <v>De plus en plus de gymnastes sont montrés en sautant d'une poutre et sur des barres inégales.</v>
      </c>
    </row>
    <row r="21252">
      <c r="A21252" s="4" t="s">
        <v>26758</v>
      </c>
      <c r="B21252" s="4" t="s">
        <v>26761</v>
      </c>
      <c r="C21252" s="5" t="str">
        <f>IFERROR(__xludf.DUMMYFUNCTION("GOOGLETRANSLATE(B21252,""en"",""fr"")"),"Plusieurs femmes sont présentées dos à dos en effectuant ces astuces.")</f>
        <v>Plusieurs femmes sont présentées dos à dos en effectuant ces astuces.</v>
      </c>
    </row>
    <row r="21253">
      <c r="A21253" s="4" t="s">
        <v>26762</v>
      </c>
      <c r="B21253" s="6" t="s">
        <v>26763</v>
      </c>
      <c r="C21253" s="5" t="str">
        <f>IFERROR(__xludf.DUMMYFUNCTION("GOOGLETRANSLATE(B21253,""en"",""fr"")"),"Une danseuse de ballet féminine est dans une salle de studio seule portant un justaucorps violet avec une jupe attachée.")</f>
        <v>Une danseuse de ballet féminine est dans une salle de studio seule portant un justaucorps violet avec une jupe attachée.</v>
      </c>
    </row>
    <row r="21254">
      <c r="A21254" s="4" t="s">
        <v>26762</v>
      </c>
      <c r="B21254" s="6" t="s">
        <v>26764</v>
      </c>
      <c r="C21254" s="5" t="str">
        <f>IFERROR(__xludf.DUMMYFUNCTION("GOOGLETRANSLATE(B21254,""en"",""fr"")"),"Elle commence à danser gracieusement dans la pièce en faisant une série de tours et de coups de pied tout en étant sur le bout de ses orteils.")</f>
        <v>Elle commence à danser gracieusement dans la pièce en faisant une série de tours et de coups de pied tout en étant sur le bout de ses orteils.</v>
      </c>
    </row>
    <row r="21255">
      <c r="A21255" s="4" t="s">
        <v>26762</v>
      </c>
      <c r="B21255" s="4" t="s">
        <v>26765</v>
      </c>
      <c r="C21255" s="5" t="str">
        <f>IFERROR(__xludf.DUMMYFUNCTION("GOOGLETRANSLATE(B21255,""en"",""fr"")"),"Enfin, elle commence à faire une série de minuscules marches en arrière et se termine dans la position dans laquelle elle a commencé.")</f>
        <v>Enfin, elle commence à faire une série de minuscules marches en arrière et se termine dans la position dans laquelle elle a commencé.</v>
      </c>
    </row>
    <row r="21256">
      <c r="A21256" s="4" t="s">
        <v>26766</v>
      </c>
      <c r="B21256" s="4" t="s">
        <v>26767</v>
      </c>
      <c r="C21256" s="5" t="str">
        <f>IFERROR(__xludf.DUMMYFUNCTION("GOOGLETRANSLATE(B21256,""en"",""fr"")"),"Un homme sur le côté de la rue tambour sur un véritable ensemble de batterie.")</f>
        <v>Un homme sur le côté de la rue tambour sur un véritable ensemble de batterie.</v>
      </c>
    </row>
    <row r="21257">
      <c r="A21257" s="4" t="s">
        <v>26766</v>
      </c>
      <c r="B21257" s="4" t="s">
        <v>26768</v>
      </c>
      <c r="C21257" s="5" t="str">
        <f>IFERROR(__xludf.DUMMYFUNCTION("GOOGLETRANSLATE(B21257,""en"",""fr"")"),"Les gens se tiennent en attendant un regard.")</f>
        <v>Les gens se tiennent en attendant un regard.</v>
      </c>
    </row>
    <row r="21258">
      <c r="A21258" s="4" t="s">
        <v>26766</v>
      </c>
      <c r="B21258" s="4" t="s">
        <v>26769</v>
      </c>
      <c r="C21258" s="5" t="str">
        <f>IFERROR(__xludf.DUMMYFUNCTION("GOOGLETRANSLATE(B21258,""en"",""fr"")"),"Les voitures passent et il continue de tambour comme si c'était normal.")</f>
        <v>Les voitures passent et il continue de tambour comme si c'était normal.</v>
      </c>
    </row>
    <row r="21259">
      <c r="A21259" s="4" t="s">
        <v>26766</v>
      </c>
      <c r="B21259" s="4" t="s">
        <v>26770</v>
      </c>
      <c r="C21259" s="5" t="str">
        <f>IFERROR(__xludf.DUMMYFUNCTION("GOOGLETRANSLATE(B21259,""en"",""fr"")"),"Il se bloque en utilisant les cymbales et tout.")</f>
        <v>Il se bloque en utilisant les cymbales et tout.</v>
      </c>
    </row>
    <row r="21260">
      <c r="A21260" s="4" t="s">
        <v>26771</v>
      </c>
      <c r="B21260" s="4" t="s">
        <v>26772</v>
      </c>
      <c r="C21260" s="5" t="str">
        <f>IFERROR(__xludf.DUMMYFUNCTION("GOOGLETRANSLATE(B21260,""en"",""fr"")"),"Une femme coiffe les cheveux d'un mannequin.")</f>
        <v>Une femme coiffe les cheveux d'un mannequin.</v>
      </c>
    </row>
    <row r="21261">
      <c r="A21261" s="4" t="s">
        <v>26771</v>
      </c>
      <c r="B21261" s="4" t="s">
        <v>26773</v>
      </c>
      <c r="C21261" s="5" t="str">
        <f>IFERROR(__xludf.DUMMYFUNCTION("GOOGLETRANSLATE(B21261,""en"",""fr"")"),"Elle roule les cheveux en bigoudis au-dessus de la tête du mannequin.")</f>
        <v>Elle roule les cheveux en bigoudis au-dessus de la tête du mannequin.</v>
      </c>
    </row>
    <row r="21262">
      <c r="A21262" s="4" t="s">
        <v>26771</v>
      </c>
      <c r="B21262" s="4" t="s">
        <v>26774</v>
      </c>
      <c r="C21262" s="5" t="str">
        <f>IFERROR(__xludf.DUMMYFUNCTION("GOOGLETRANSLATE(B21262,""en"",""fr"")"),"Elle retire les bigoudis des cheveux et les styles.")</f>
        <v>Elle retire les bigoudis des cheveux et les styles.</v>
      </c>
    </row>
    <row r="21263">
      <c r="A21263" s="4" t="s">
        <v>26775</v>
      </c>
      <c r="B21263" s="4" t="s">
        <v>26776</v>
      </c>
      <c r="C21263" s="5" t="str">
        <f>IFERROR(__xludf.DUMMYFUNCTION("GOOGLETRANSLATE(B21263,""en"",""fr"")"),"Les bandes de film semblent traverser l'écran.")</f>
        <v>Les bandes de film semblent traverser l'écran.</v>
      </c>
    </row>
    <row r="21264">
      <c r="A21264" s="4" t="s">
        <v>26775</v>
      </c>
      <c r="B21264" s="4" t="s">
        <v>26777</v>
      </c>
      <c r="C21264" s="5" t="str">
        <f>IFERROR(__xludf.DUMMYFUNCTION("GOOGLETRANSLATE(B21264,""en"",""fr"")"),"Un homme utilise un poteau télescopique au côté d'un bâtiment.")</f>
        <v>Un homme utilise un poteau télescopique au côté d'un bâtiment.</v>
      </c>
    </row>
    <row r="21265">
      <c r="A21265" s="4" t="s">
        <v>26775</v>
      </c>
      <c r="B21265" s="4" t="s">
        <v>26778</v>
      </c>
      <c r="C21265" s="5" t="str">
        <f>IFERROR(__xludf.DUMMYFUNCTION("GOOGLETRANSLATE(B21265,""en"",""fr"")"),"Il l'étire vers le haut, puis nettoie le côté du bâtiment avec.")</f>
        <v>Il l'étire vers le haut, puis nettoie le côté du bâtiment avec.</v>
      </c>
    </row>
    <row r="21266">
      <c r="A21266" s="4" t="s">
        <v>26775</v>
      </c>
      <c r="B21266" s="4" t="s">
        <v>26779</v>
      </c>
      <c r="C21266" s="5" t="str">
        <f>IFERROR(__xludf.DUMMYFUNCTION("GOOGLETRANSLATE(B21266,""en"",""fr"")"),"Il l'utilise pour nettoyer les fenêtres qui sont les plus élevées.")</f>
        <v>Il l'utilise pour nettoyer les fenêtres qui sont les plus élevées.</v>
      </c>
    </row>
    <row r="21267">
      <c r="A21267" s="4" t="s">
        <v>26780</v>
      </c>
      <c r="B21267" s="4" t="s">
        <v>26781</v>
      </c>
      <c r="C21267" s="5" t="str">
        <f>IFERROR(__xludf.DUMMYFUNCTION("GOOGLETRANSLATE(B21267,""en"",""fr"")"),"L'homme en veste rouge skie sur la pente.")</f>
        <v>L'homme en veste rouge skie sur la pente.</v>
      </c>
    </row>
    <row r="21268">
      <c r="A21268" s="4" t="s">
        <v>26780</v>
      </c>
      <c r="B21268" s="4" t="s">
        <v>26782</v>
      </c>
      <c r="C21268" s="5" t="str">
        <f>IFERROR(__xludf.DUMMYFUNCTION("GOOGLETRANSLATE(B21268,""en"",""fr"")"),"L'homme dans le ski sur la pente avec les genoux se plient.")</f>
        <v>L'homme dans le ski sur la pente avec les genoux se plient.</v>
      </c>
    </row>
    <row r="21269">
      <c r="A21269" s="4" t="s">
        <v>26780</v>
      </c>
      <c r="B21269" s="4" t="s">
        <v>26783</v>
      </c>
      <c r="C21269" s="5" t="str">
        <f>IFERROR(__xludf.DUMMYFUNCTION("GOOGLETRANSLATE(B21269,""en"",""fr"")"),"L'homme skie sur la montagne.")</f>
        <v>L'homme skie sur la montagne.</v>
      </c>
    </row>
    <row r="21270">
      <c r="A21270" s="4" t="s">
        <v>26784</v>
      </c>
      <c r="B21270" s="4" t="s">
        <v>26785</v>
      </c>
      <c r="C21270" s="5" t="str">
        <f>IFERROR(__xludf.DUMMYFUNCTION("GOOGLETRANSLATE(B21270,""en"",""fr"")"),"Nous voyons une personne assise devant une chaussure tenant une boîte avec pinceau.")</f>
        <v>Nous voyons une personne assise devant une chaussure tenant une boîte avec pinceau.</v>
      </c>
    </row>
    <row r="21271">
      <c r="A21271" s="4" t="s">
        <v>26784</v>
      </c>
      <c r="B21271" s="4" t="s">
        <v>26786</v>
      </c>
      <c r="C21271" s="5" t="str">
        <f>IFERROR(__xludf.DUMMYFUNCTION("GOOGLETRANSLATE(B21271,""en"",""fr"")"),"L'homme enlève le haut et pulvérise les chaussures.")</f>
        <v>L'homme enlève le haut et pulvérise les chaussures.</v>
      </c>
    </row>
    <row r="21272">
      <c r="A21272" s="4" t="s">
        <v>26784</v>
      </c>
      <c r="B21272" s="4" t="s">
        <v>26787</v>
      </c>
      <c r="C21272" s="5" t="str">
        <f>IFERROR(__xludf.DUMMYFUNCTION("GOOGLETRANSLATE(B21272,""en"",""fr"")"),"L'homme utilise le pinceau sur la chaussure pour frotter la chaussure.")</f>
        <v>L'homme utilise le pinceau sur la chaussure pour frotter la chaussure.</v>
      </c>
    </row>
    <row r="21273">
      <c r="A21273" s="4" t="s">
        <v>26784</v>
      </c>
      <c r="B21273" s="4" t="s">
        <v>26788</v>
      </c>
      <c r="C21273" s="5" t="str">
        <f>IFERROR(__xludf.DUMMYFUNCTION("GOOGLETRANSLATE(B21273,""en"",""fr"")"),"L'homme remet le dessus sur la boîte.")</f>
        <v>L'homme remet le dessus sur la boîte.</v>
      </c>
    </row>
    <row r="21274">
      <c r="A21274" s="4" t="s">
        <v>26784</v>
      </c>
      <c r="B21274" s="4" t="s">
        <v>26789</v>
      </c>
      <c r="C21274" s="5" t="str">
        <f>IFERROR(__xludf.DUMMYFUNCTION("GOOGLETRANSLATE(B21274,""en"",""fr"")"),"L'homme se lève et attrape la caméra.")</f>
        <v>L'homme se lève et attrape la caméra.</v>
      </c>
    </row>
    <row r="21275">
      <c r="A21275" s="4" t="s">
        <v>26790</v>
      </c>
      <c r="B21275" s="4" t="s">
        <v>26791</v>
      </c>
      <c r="C21275" s="5" t="str">
        <f>IFERROR(__xludf.DUMMYFUNCTION("GOOGLETRANSLATE(B21275,""en"",""fr"")"),"Les gens volent des cerfs-volants sur l'herbe.")</f>
        <v>Les gens volent des cerfs-volants sur l'herbe.</v>
      </c>
    </row>
    <row r="21276">
      <c r="A21276" s="4" t="s">
        <v>26790</v>
      </c>
      <c r="B21276" s="4" t="s">
        <v>26792</v>
      </c>
      <c r="C21276" s="5" t="str">
        <f>IFERROR(__xludf.DUMMYFUNCTION("GOOGLETRANSLATE(B21276,""en"",""fr"")"),"Les cerfs-volants sont représentés dans le ciel.")</f>
        <v>Les cerfs-volants sont représentés dans le ciel.</v>
      </c>
    </row>
    <row r="21277">
      <c r="A21277" s="4" t="s">
        <v>26790</v>
      </c>
      <c r="B21277" s="4" t="s">
        <v>26793</v>
      </c>
      <c r="C21277" s="5" t="str">
        <f>IFERROR(__xludf.DUMMYFUNCTION("GOOGLETRANSLATE(B21277,""en"",""fr"")"),"Une femme tient un parapluie violet.")</f>
        <v>Une femme tient un parapluie violet.</v>
      </c>
    </row>
    <row r="21278">
      <c r="A21278" s="4" t="s">
        <v>26790</v>
      </c>
      <c r="B21278" s="4" t="s">
        <v>26794</v>
      </c>
      <c r="C21278" s="5" t="str">
        <f>IFERROR(__xludf.DUMMYFUNCTION("GOOGLETRANSLATE(B21278,""en"",""fr"")"),"Les gens se promènent dans un parc.")</f>
        <v>Les gens se promènent dans un parc.</v>
      </c>
    </row>
    <row r="21279">
      <c r="A21279" s="4" t="s">
        <v>26795</v>
      </c>
      <c r="B21279" s="4" t="s">
        <v>26796</v>
      </c>
      <c r="C21279" s="5" t="str">
        <f>IFERROR(__xludf.DUMMYFUNCTION("GOOGLETRANSLATE(B21279,""en"",""fr"")"),"Une assiette blanche est assise sur une table blanche dans une cuisine.")</f>
        <v>Une assiette blanche est assise sur une table blanche dans une cuisine.</v>
      </c>
    </row>
    <row r="21280">
      <c r="A21280" s="4" t="s">
        <v>26795</v>
      </c>
      <c r="B21280" s="4" t="s">
        <v>26797</v>
      </c>
      <c r="C21280" s="5" t="str">
        <f>IFERROR(__xludf.DUMMYFUNCTION("GOOGLETRANSLATE(B21280,""en"",""fr"")"),"Un enfant place les tranches de dinde sur deux morceaux de pain blanc, puis ajoute une tranche de fromage.")</f>
        <v>Un enfant place les tranches de dinde sur deux morceaux de pain blanc, puis ajoute une tranche de fromage.</v>
      </c>
    </row>
    <row r="21281">
      <c r="A21281" s="4" t="s">
        <v>26795</v>
      </c>
      <c r="B21281" s="4" t="s">
        <v>26798</v>
      </c>
      <c r="C21281" s="5" t="str">
        <f>IFERROR(__xludf.DUMMYFUNCTION("GOOGLETRANSLATE(B21281,""en"",""fr"")"),"Enfin, elle ajoute une couche de fouet miracle.")</f>
        <v>Enfin, elle ajoute une couche de fouet miracle.</v>
      </c>
    </row>
    <row r="21282">
      <c r="A21282" s="4" t="s">
        <v>26795</v>
      </c>
      <c r="B21282" s="4" t="s">
        <v>26799</v>
      </c>
      <c r="C21282" s="5" t="str">
        <f>IFERROR(__xludf.DUMMYFUNCTION("GOOGLETRANSLATE(B21282,""en"",""fr"")"),"Elle se penche en avant, prenant une grande bouchée de sandwich.")</f>
        <v>Elle se penche en avant, prenant une grande bouchée de sandwich.</v>
      </c>
    </row>
    <row r="21283">
      <c r="A21283" s="4" t="s">
        <v>26800</v>
      </c>
      <c r="B21283" s="4" t="s">
        <v>26801</v>
      </c>
      <c r="C21283" s="5" t="str">
        <f>IFERROR(__xludf.DUMMYFUNCTION("GOOGLETRANSLATE(B21283,""en"",""fr"")"),"Deux femmes sont sur un terrain avec des cordes de saut.")</f>
        <v>Deux femmes sont sur un terrain avec des cordes de saut.</v>
      </c>
    </row>
    <row r="21284">
      <c r="A21284" s="4" t="s">
        <v>26800</v>
      </c>
      <c r="B21284" s="4" t="s">
        <v>26802</v>
      </c>
      <c r="C21284" s="5" t="str">
        <f>IFERROR(__xludf.DUMMYFUNCTION("GOOGLETRANSLATE(B21284,""en"",""fr"")"),"Ils font plusieurs cascades tout en sautant les cordes.")</f>
        <v>Ils font plusieurs cascades tout en sautant les cordes.</v>
      </c>
    </row>
    <row r="21285">
      <c r="A21285" s="4" t="s">
        <v>26800</v>
      </c>
      <c r="B21285" s="4" t="s">
        <v>26803</v>
      </c>
      <c r="C21285" s="5" t="str">
        <f>IFERROR(__xludf.DUMMYFUNCTION("GOOGLETRANSLATE(B21285,""en"",""fr"")"),"Ils se retournent en avant, en arrière et sur le côté à l'unisson.")</f>
        <v>Ils se retournent en avant, en arrière et sur le côté à l'unisson.</v>
      </c>
    </row>
    <row r="21286">
      <c r="A21286" s="4" t="s">
        <v>26804</v>
      </c>
      <c r="B21286" s="6" t="s">
        <v>26805</v>
      </c>
      <c r="C21286" s="5" t="str">
        <f>IFERROR(__xludf.DUMMYFUNCTION("GOOGLETRANSLATE(B21286,""en"",""fr"")"),"Une gymnaste est vue assise devant une poutre et commence à effectuer une routine avec une autre personne attachée à sa moitié inférieure.")</f>
        <v>Une gymnaste est vue assise devant une poutre et commence à effectuer une routine avec une autre personne attachée à sa moitié inférieure.</v>
      </c>
    </row>
    <row r="21287">
      <c r="A21287" s="4" t="s">
        <v>26804</v>
      </c>
      <c r="B21287" s="4" t="s">
        <v>26806</v>
      </c>
      <c r="C21287" s="5" t="str">
        <f>IFERROR(__xludf.DUMMYFUNCTION("GOOGLETRANSLATE(B21287,""en"",""fr"")"),"Les deux présentent une gymnaste sur un bar et se terminent avec eux sautant avec les bras.")</f>
        <v>Les deux présentent une gymnaste sur un bar et se terminent avec eux sautant avec les bras.</v>
      </c>
    </row>
    <row r="21288">
      <c r="A21288" s="4" t="s">
        <v>26807</v>
      </c>
      <c r="B21288" s="4" t="s">
        <v>26808</v>
      </c>
      <c r="C21288" s="5" t="str">
        <f>IFERROR(__xludf.DUMMYFUNCTION("GOOGLETRANSLATE(B21288,""en"",""fr"")"),"Un styliste masculin parle alors qu'il lisse les cheveux d'une femme.")</f>
        <v>Un styliste masculin parle alors qu'il lisse les cheveux d'une femme.</v>
      </c>
    </row>
    <row r="21289">
      <c r="A21289" s="4" t="s">
        <v>26807</v>
      </c>
      <c r="B21289" s="4" t="s">
        <v>26809</v>
      </c>
      <c r="C21289" s="5" t="str">
        <f>IFERROR(__xludf.DUMMYFUNCTION("GOOGLETRANSLATE(B21289,""en"",""fr"")"),"Il montre ensuite comment couper et coiffer ses cheveux, le couper au fur et à mesure.")</f>
        <v>Il montre ensuite comment couper et coiffer ses cheveux, le couper au fur et à mesure.</v>
      </c>
    </row>
    <row r="21290">
      <c r="A21290" s="4" t="s">
        <v>26807</v>
      </c>
      <c r="B21290" s="4" t="s">
        <v>26810</v>
      </c>
      <c r="C21290" s="5" t="str">
        <f>IFERROR(__xludf.DUMMYFUNCTION("GOOGLETRANSLATE(B21290,""en"",""fr"")"),"Quand il a fini, il souffle les cheveux et lui donne son style final.")</f>
        <v>Quand il a fini, il souffle les cheveux et lui donne son style final.</v>
      </c>
    </row>
    <row r="21291">
      <c r="A21291" s="4" t="s">
        <v>26811</v>
      </c>
      <c r="B21291" s="4" t="s">
        <v>26812</v>
      </c>
      <c r="C21291" s="5" t="str">
        <f>IFERROR(__xludf.DUMMYFUNCTION("GOOGLETRANSLATE(B21291,""en"",""fr"")"),"Nous voyons le doigt devant la caméra.")</f>
        <v>Nous voyons le doigt devant la caméra.</v>
      </c>
    </row>
    <row r="21292">
      <c r="A21292" s="4" t="s">
        <v>26811</v>
      </c>
      <c r="B21292" s="4" t="s">
        <v>26813</v>
      </c>
      <c r="C21292" s="5" t="str">
        <f>IFERROR(__xludf.DUMMYFUNCTION("GOOGLETRANSLATE(B21292,""en"",""fr"")"),"Un homme en vert marche à un court de squash.")</f>
        <v>Un homme en vert marche à un court de squash.</v>
      </c>
    </row>
    <row r="21293">
      <c r="A21293" s="4" t="s">
        <v>26811</v>
      </c>
      <c r="B21293" s="4" t="s">
        <v>26814</v>
      </c>
      <c r="C21293" s="5" t="str">
        <f>IFERROR(__xludf.DUMMYFUNCTION("GOOGLETRANSLATE(B21293,""en"",""fr"")"),"La lumière s'éteint et la pièce est sombre.")</f>
        <v>La lumière s'éteint et la pièce est sombre.</v>
      </c>
    </row>
    <row r="21294">
      <c r="A21294" s="4" t="s">
        <v>26811</v>
      </c>
      <c r="B21294" s="4" t="s">
        <v>26815</v>
      </c>
      <c r="C21294" s="5" t="str">
        <f>IFERROR(__xludf.DUMMYFUNCTION("GOOGLETRANSLATE(B21294,""en"",""fr"")"),"L'homme en vert se dirige vers le milieu du terrain et frappe le ballon d'avant en arrière.")</f>
        <v>L'homme en vert se dirige vers le milieu du terrain et frappe le ballon d'avant en arrière.</v>
      </c>
    </row>
    <row r="21295">
      <c r="A21295" s="4" t="s">
        <v>26811</v>
      </c>
      <c r="B21295" s="4" t="s">
        <v>26816</v>
      </c>
      <c r="C21295" s="5" t="str">
        <f>IFERROR(__xludf.DUMMYFUNCTION("GOOGLETRANSLATE(B21295,""en"",""fr"")"),"L'homme finit et marche vers la caméra.")</f>
        <v>L'homme finit et marche vers la caméra.</v>
      </c>
    </row>
    <row r="21296">
      <c r="A21296" s="4" t="s">
        <v>26817</v>
      </c>
      <c r="B21296" s="4" t="s">
        <v>26818</v>
      </c>
      <c r="C21296" s="5" t="str">
        <f>IFERROR(__xludf.DUMMYFUNCTION("GOOGLETRANSLATE(B21296,""en"",""fr"")"),"Un jeune enfant est vu assis sur le sol attrapant de la crème glacée avec ses mains.")</f>
        <v>Un jeune enfant est vu assis sur le sol attrapant de la crème glacée avec ses mains.</v>
      </c>
    </row>
    <row r="21297">
      <c r="A21297" s="4" t="s">
        <v>26817</v>
      </c>
      <c r="B21297" s="4" t="s">
        <v>26819</v>
      </c>
      <c r="C21297" s="5" t="str">
        <f>IFERROR(__xludf.DUMMYFUNCTION("GOOGLETRANSLATE(B21297,""en"",""fr"")"),"L'enfant attrape ensuite une cuillère et continue d'utiliser ses mains pour manger.")</f>
        <v>L'enfant attrape ensuite une cuillère et continue d'utiliser ses mains pour manger.</v>
      </c>
    </row>
    <row r="21298">
      <c r="A21298" s="4" t="s">
        <v>26820</v>
      </c>
      <c r="B21298" s="4" t="s">
        <v>26821</v>
      </c>
      <c r="C21298" s="5" t="str">
        <f>IFERROR(__xludf.DUMMYFUNCTION("GOOGLETRANSLATE(B21298,""en"",""fr"")"),"Une femme est vue en parlant à la caméra et mène à son hôce un pot de miel.")</f>
        <v>Une femme est vue en parlant à la caméra et mène à son hôce un pot de miel.</v>
      </c>
    </row>
    <row r="21299">
      <c r="A21299" s="4" t="s">
        <v>26820</v>
      </c>
      <c r="B21299" s="4" t="s">
        <v>26822</v>
      </c>
      <c r="C21299" s="5" t="str">
        <f>IFERROR(__xludf.DUMMYFUNCTION("GOOGLETRANSLATE(B21299,""en"",""fr"")"),"Elle continue de parler et mène à son miel à frotter sur son visage.")</f>
        <v>Elle continue de parler et mène à son miel à frotter sur son visage.</v>
      </c>
    </row>
    <row r="21300">
      <c r="A21300" s="4" t="s">
        <v>26820</v>
      </c>
      <c r="B21300" s="4" t="s">
        <v>26823</v>
      </c>
      <c r="C21300" s="5" t="str">
        <f>IFERROR(__xludf.DUMMYFUNCTION("GOOGLETRANSLATE(B21300,""en"",""fr"")"),"Elle sèche le masque et continue de parler en souriant à la caméra.")</f>
        <v>Elle sèche le masque et continue de parler en souriant à la caméra.</v>
      </c>
    </row>
    <row r="21301">
      <c r="A21301" s="4" t="s">
        <v>26824</v>
      </c>
      <c r="B21301" s="4" t="s">
        <v>26825</v>
      </c>
      <c r="C21301" s="5" t="str">
        <f>IFERROR(__xludf.DUMMYFUNCTION("GOOGLETRANSLATE(B21301,""en"",""fr"")"),"Une vue est montrée d'un homme enlever une pagaie d'une clôture.")</f>
        <v>Une vue est montrée d'un homme enlever une pagaie d'une clôture.</v>
      </c>
    </row>
    <row r="21302">
      <c r="A21302" s="4" t="s">
        <v>26824</v>
      </c>
      <c r="B21302" s="4" t="s">
        <v>26826</v>
      </c>
      <c r="C21302" s="5" t="str">
        <f>IFERROR(__xludf.DUMMYFUNCTION("GOOGLETRANSLATE(B21302,""en"",""fr"")"),"Nous voyons son visage pendant qu'il parle, avant de faire des kayaks dans un ruisseau très mince dans les eaux ouvertes.")</f>
        <v>Nous voyons son visage pendant qu'il parle, avant de faire des kayaks dans un ruisseau très mince dans les eaux ouvertes.</v>
      </c>
    </row>
    <row r="21303">
      <c r="A21303" s="4" t="s">
        <v>26824</v>
      </c>
      <c r="B21303" s="4" t="s">
        <v>26827</v>
      </c>
      <c r="C21303" s="5" t="str">
        <f>IFERROR(__xludf.DUMMYFUNCTION("GOOGLETRANSLATE(B21303,""en"",""fr"")"),"Il utilise son téléphone alors qu'une autre personne arrive, puis vide d'autres autres en train de tirer le passage.")</f>
        <v>Il utilise son téléphone alors qu'une autre personne arrive, puis vide d'autres autres en train de tirer le passage.</v>
      </c>
    </row>
    <row r="21304">
      <c r="A21304" s="4" t="s">
        <v>26828</v>
      </c>
      <c r="B21304" s="4" t="s">
        <v>26829</v>
      </c>
      <c r="C21304" s="5" t="str">
        <f>IFERROR(__xludf.DUMMYFUNCTION("GOOGLETRANSLATE(B21304,""en"",""fr"")"),"Les gens font du vélo de rotation dans une salle de sport.")</f>
        <v>Les gens font du vélo de rotation dans une salle de sport.</v>
      </c>
    </row>
    <row r="21305">
      <c r="A21305" s="4" t="s">
        <v>26828</v>
      </c>
      <c r="B21305" s="4" t="s">
        <v>26830</v>
      </c>
      <c r="C21305" s="5" t="str">
        <f>IFERROR(__xludf.DUMMYFUNCTION("GOOGLETRANSLATE(B21305,""en"",""fr"")"),"Deux femmes s'entraînent sur des vélos d'exercice.")</f>
        <v>Deux femmes s'entraînent sur des vélos d'exercice.</v>
      </c>
    </row>
    <row r="21306">
      <c r="A21306" s="4" t="s">
        <v>26828</v>
      </c>
      <c r="B21306" s="4" t="s">
        <v>26831</v>
      </c>
      <c r="C21306" s="5" t="str">
        <f>IFERROR(__xludf.DUMMYFUNCTION("GOOGLETRANSLATE(B21306,""en"",""fr"")"),"Les mots jaunes viennent à l'écran.")</f>
        <v>Les mots jaunes viennent à l'écran.</v>
      </c>
    </row>
    <row r="21307">
      <c r="A21307" s="4" t="s">
        <v>26832</v>
      </c>
      <c r="B21307" s="6" t="s">
        <v>26833</v>
      </c>
      <c r="C21307" s="5" t="str">
        <f>IFERROR(__xludf.DUMMYFUNCTION("GOOGLETRANSLATE(B21307,""en"",""fr"")"),"Un compte à rebours du texte est montré qui mène à des clips de lutteurs de sumo effectuant des lancers impressionnants.")</f>
        <v>Un compte à rebours du texte est montré qui mène à des clips de lutteurs de sumo effectuant des lancers impressionnants.</v>
      </c>
    </row>
    <row r="21308">
      <c r="A21308" s="4" t="s">
        <v>26832</v>
      </c>
      <c r="B21308" s="6" t="s">
        <v>26834</v>
      </c>
      <c r="C21308" s="5" t="str">
        <f>IFERROR(__xludf.DUMMYFUNCTION("GOOGLETRANSLATE(B21308,""en"",""fr"")"),"La vidéo continue de compter à la baisse alors que davantage de coups de feu sont montrés de lutteurs de sumo se battant et des gens qui regardent sur le côté.")</f>
        <v>La vidéo continue de compter à la baisse alors que davantage de coups de feu sont montrés de lutteurs de sumo se battant et des gens qui regardent sur le côté.</v>
      </c>
    </row>
    <row r="21309">
      <c r="A21309" s="4" t="s">
        <v>26835</v>
      </c>
      <c r="B21309" s="4" t="s">
        <v>26836</v>
      </c>
      <c r="C21309" s="5" t="str">
        <f>IFERROR(__xludf.DUMMYFUNCTION("GOOGLETRANSLATE(B21309,""en"",""fr"")"),"Une personne dans un magasin de meubles parle de meubles populaires fabriqués à partir de bois récupéré.")</f>
        <v>Une personne dans un magasin de meubles parle de meubles populaires fabriqués à partir de bois récupéré.</v>
      </c>
    </row>
    <row r="21310">
      <c r="A21310" s="4" t="s">
        <v>26835</v>
      </c>
      <c r="B21310" s="4" t="s">
        <v>26837</v>
      </c>
      <c r="C21310" s="5" t="str">
        <f>IFERROR(__xludf.DUMMYFUNCTION("GOOGLETRANSLATE(B21310,""en"",""fr"")"),"Il montre des meubles rustiques, contemporains et traditionnels qui se trouvent dans son magasin.")</f>
        <v>Il montre des meubles rustiques, contemporains et traditionnels qui se trouvent dans son magasin.</v>
      </c>
    </row>
    <row r="21311">
      <c r="A21311" s="4" t="s">
        <v>26835</v>
      </c>
      <c r="B21311" s="4" t="s">
        <v>26838</v>
      </c>
      <c r="C21311" s="5" t="str">
        <f>IFERROR(__xludf.DUMMYFUNCTION("GOOGLETRANSLATE(B21311,""en"",""fr"")"),"Il montre le bois récupéré de haute qualité et les différents meubles en fabriqués.")</f>
        <v>Il montre le bois récupéré de haute qualité et les différents meubles en fabriqués.</v>
      </c>
    </row>
    <row r="21312">
      <c r="A21312" s="4" t="s">
        <v>26839</v>
      </c>
      <c r="B21312" s="4" t="s">
        <v>26840</v>
      </c>
      <c r="C21312" s="5" t="str">
        <f>IFERROR(__xludf.DUMMYFUNCTION("GOOGLETRANSLATE(B21312,""en"",""fr"")"),"Nous voyons un titre dans le coin supérieur gauche.")</f>
        <v>Nous voyons un titre dans le coin supérieur gauche.</v>
      </c>
    </row>
    <row r="21313">
      <c r="A21313" s="4" t="s">
        <v>26839</v>
      </c>
      <c r="B21313" s="4" t="s">
        <v>539</v>
      </c>
      <c r="C21313" s="5" t="str">
        <f>IFERROR(__xludf.DUMMYFUNCTION("GOOGLETRANSLATE(B21313,""en"",""fr"")"),"Un homme parle à la caméra.")</f>
        <v>Un homme parle à la caméra.</v>
      </c>
    </row>
    <row r="21314">
      <c r="A21314" s="4" t="s">
        <v>26839</v>
      </c>
      <c r="B21314" s="4" t="s">
        <v>26841</v>
      </c>
      <c r="C21314" s="5" t="str">
        <f>IFERROR(__xludf.DUMMYFUNCTION("GOOGLETRANSLATE(B21314,""en"",""fr"")"),"L'homme perd les armoires et les essuie et les peint.")</f>
        <v>L'homme perd les armoires et les essuie et les peint.</v>
      </c>
    </row>
    <row r="21315">
      <c r="A21315" s="4" t="s">
        <v>26839</v>
      </c>
      <c r="B21315" s="4" t="s">
        <v>26842</v>
      </c>
      <c r="C21315" s="5" t="str">
        <f>IFERROR(__xludf.DUMMYFUNCTION("GOOGLETRANSLATE(B21315,""en"",""fr"")"),"Les armoires sèchent et l'homme les essuie.")</f>
        <v>Les armoires sèchent et l'homme les essuie.</v>
      </c>
    </row>
    <row r="21316">
      <c r="A21316" s="4" t="s">
        <v>26839</v>
      </c>
      <c r="B21316" s="4" t="s">
        <v>26843</v>
      </c>
      <c r="C21316" s="5" t="str">
        <f>IFERROR(__xludf.DUMMYFUNCTION("GOOGLETRANSLATE(B21316,""en"",""fr"")"),"Nous voyons une personne appliquer un produit sur la peinture.")</f>
        <v>Nous voyons une personne appliquer un produit sur la peinture.</v>
      </c>
    </row>
    <row r="21317">
      <c r="A21317" s="4" t="s">
        <v>26839</v>
      </c>
      <c r="B21317" s="4" t="s">
        <v>26844</v>
      </c>
      <c r="C21317" s="5" t="str">
        <f>IFERROR(__xludf.DUMMYFUNCTION("GOOGLETRANSLATE(B21317,""en"",""fr"")"),"Nous voyons les visages de l'armoire remis sur les armoires.")</f>
        <v>Nous voyons les visages de l'armoire remis sur les armoires.</v>
      </c>
    </row>
    <row r="21318">
      <c r="A21318" s="4" t="s">
        <v>26839</v>
      </c>
      <c r="B21318" s="4" t="s">
        <v>26690</v>
      </c>
      <c r="C21318" s="5" t="str">
        <f>IFERROR(__xludf.DUMMYFUNCTION("GOOGLETRANSLATE(B21318,""en"",""fr"")"),"Nous voyons les crédits de fin sur un écran noir.")</f>
        <v>Nous voyons les crédits de fin sur un écran noir.</v>
      </c>
    </row>
    <row r="21319">
      <c r="A21319" s="4" t="s">
        <v>26845</v>
      </c>
      <c r="B21319" s="4" t="s">
        <v>26846</v>
      </c>
      <c r="C21319" s="5" t="str">
        <f>IFERROR(__xludf.DUMMYFUNCTION("GOOGLETRANSLATE(B21319,""en"",""fr"")"),"Santa Cruz Nomad Bike Company montre comment installer un vélo.")</f>
        <v>Santa Cruz Nomad Bike Company montre comment installer un vélo.</v>
      </c>
    </row>
    <row r="21320">
      <c r="A21320" s="4" t="s">
        <v>26845</v>
      </c>
      <c r="B21320" s="4" t="s">
        <v>26847</v>
      </c>
      <c r="C21320" s="5" t="str">
        <f>IFERROR(__xludf.DUMMYFUNCTION("GOOGLETRANSLATE(B21320,""en"",""fr"")"),"Le représentant de l'entreprise rassemble les pièces de vélo pièce par pièce.")</f>
        <v>Le représentant de l'entreprise rassemble les pièces de vélo pièce par pièce.</v>
      </c>
    </row>
    <row r="21321">
      <c r="A21321" s="4" t="s">
        <v>26845</v>
      </c>
      <c r="B21321" s="4" t="s">
        <v>26848</v>
      </c>
      <c r="C21321" s="5" t="str">
        <f>IFERROR(__xludf.DUMMYFUNCTION("GOOGLETRANSLATE(B21321,""en"",""fr"")"),"Il commence par le corps principal et va ensuite attacher les roues, la poignée et les pédales.")</f>
        <v>Il commence par le corps principal et va ensuite attacher les roues, la poignée et les pédales.</v>
      </c>
    </row>
    <row r="21322">
      <c r="A21322" s="4" t="s">
        <v>26845</v>
      </c>
      <c r="B21322" s="4" t="s">
        <v>26849</v>
      </c>
      <c r="C21322" s="5" t="str">
        <f>IFERROR(__xludf.DUMMYFUNCTION("GOOGLETRANSLATE(B21322,""en"",""fr"")"),"Puis il va de l'avant et attache les pneus en caoutchouc.")</f>
        <v>Puis il va de l'avant et attache les pneus en caoutchouc.</v>
      </c>
    </row>
    <row r="21323">
      <c r="A21323" s="4" t="s">
        <v>26845</v>
      </c>
      <c r="B21323" s="4" t="s">
        <v>26850</v>
      </c>
      <c r="C21323" s="5" t="str">
        <f>IFERROR(__xludf.DUMMYFUNCTION("GOOGLETRANSLATE(B21323,""en"",""fr"")"),"Après cela, il répare les poignées du vélo avec des dessus en caoutchouc noir.")</f>
        <v>Après cela, il répare les poignées du vélo avec des dessus en caoutchouc noir.</v>
      </c>
    </row>
    <row r="21324">
      <c r="A21324" s="4" t="s">
        <v>26845</v>
      </c>
      <c r="B21324" s="4" t="s">
        <v>26851</v>
      </c>
      <c r="C21324" s="5" t="str">
        <f>IFERROR(__xludf.DUMMYFUNCTION("GOOGLETRANSLATE(B21324,""en"",""fr"")"),"Il renforce enfin toutes les pièces et s'assure que le vélo est prêt à l'emploi.")</f>
        <v>Il renforce enfin toutes les pièces et s'assure que le vélo est prêt à l'emploi.</v>
      </c>
    </row>
    <row r="21325">
      <c r="A21325" s="4" t="s">
        <v>26845</v>
      </c>
      <c r="B21325" s="4" t="s">
        <v>26852</v>
      </c>
      <c r="C21325" s="5" t="str">
        <f>IFERROR(__xludf.DUMMYFUNCTION("GOOGLETRANSLATE(B21325,""en"",""fr"")"),"Quand il a terminé, il monte sur le vélo et le fait.")</f>
        <v>Quand il a terminé, il monte sur le vélo et le fait.</v>
      </c>
    </row>
    <row r="21326">
      <c r="A21326" s="4" t="s">
        <v>26853</v>
      </c>
      <c r="B21326" s="4" t="s">
        <v>26854</v>
      </c>
      <c r="C21326" s="5" t="str">
        <f>IFERROR(__xludf.DUMMYFUNCTION("GOOGLETRANSLATE(B21326,""en"",""fr"")"),"Une personne est vue assise devant un bureau tenant une guitare dans ses mains.")</f>
        <v>Une personne est vue assise devant un bureau tenant une guitare dans ses mains.</v>
      </c>
    </row>
    <row r="21327">
      <c r="A21327" s="4" t="s">
        <v>26853</v>
      </c>
      <c r="B21327" s="4" t="s">
        <v>26855</v>
      </c>
      <c r="C21327" s="5" t="str">
        <f>IFERROR(__xludf.DUMMYFUNCTION("GOOGLETRANSLATE(B21327,""en"",""fr"")"),"L'homme commence alors à jouer à l'instrument en se déplaçant les mains de haut en bas.")</f>
        <v>L'homme commence alors à jouer à l'instrument en se déplaçant les mains de haut en bas.</v>
      </c>
    </row>
    <row r="21328">
      <c r="A21328" s="4" t="s">
        <v>26853</v>
      </c>
      <c r="B21328" s="4" t="s">
        <v>26856</v>
      </c>
      <c r="C21328" s="5" t="str">
        <f>IFERROR(__xludf.DUMMYFUNCTION("GOOGLETRANSLATE(B21328,""en"",""fr"")"),"La personne continue de jouer sur la guitare et de regarder au loin.")</f>
        <v>La personne continue de jouer sur la guitare et de regarder au loin.</v>
      </c>
    </row>
    <row r="21329">
      <c r="A21329" s="4" t="s">
        <v>26857</v>
      </c>
      <c r="B21329" s="6" t="s">
        <v>26858</v>
      </c>
      <c r="C21329" s="5" t="str">
        <f>IFERROR(__xludf.DUMMYFUNCTION("GOOGLETRANSLATE(B21329,""en"",""fr"")"),"Une personne est vue descendre sur une colline enneigée suivie d'un homme travaillant sur une machine et tirant du papier.")</f>
        <v>Une personne est vue descendre sur une colline enneigée suivie d'un homme travaillant sur une machine et tirant du papier.</v>
      </c>
    </row>
    <row r="21330">
      <c r="A21330" s="4" t="s">
        <v>26857</v>
      </c>
      <c r="B21330" s="4" t="s">
        <v>26859</v>
      </c>
      <c r="C21330" s="5" t="str">
        <f>IFERROR(__xludf.DUMMYFUNCTION("GOOGLETRANSLATE(B21330,""en"",""fr"")"),"La caméra zoome sur la machine et l'homme prend un ski et fait passer le ski sur la machine.")</f>
        <v>La caméra zoome sur la machine et l'homme prend un ski et fait passer le ski sur la machine.</v>
      </c>
    </row>
    <row r="21331">
      <c r="A21331" s="4" t="s">
        <v>26857</v>
      </c>
      <c r="B21331" s="4" t="s">
        <v>26860</v>
      </c>
      <c r="C21331" s="5" t="str">
        <f>IFERROR(__xludf.DUMMYFUNCTION("GOOGLETRANSLATE(B21331,""en"",""fr"")"),"Il montre le ski tout en continuant à les utiliser sur la machine et à montrer à quoi ils ressemblent.")</f>
        <v>Il montre le ski tout en continuant à les utiliser sur la machine et à montrer à quoi ils ressemblent.</v>
      </c>
    </row>
    <row r="21332">
      <c r="A21332" s="4" t="s">
        <v>26861</v>
      </c>
      <c r="B21332" s="4" t="s">
        <v>26862</v>
      </c>
      <c r="C21332" s="5" t="str">
        <f>IFERROR(__xludf.DUMMYFUNCTION("GOOGLETRANSLATE(B21332,""en"",""fr"")"),"La vidéo s'ouvre avec un segment d'introduction pour une course BMX.")</f>
        <v>La vidéo s'ouvre avec un segment d'introduction pour une course BMX.</v>
      </c>
    </row>
    <row r="21333">
      <c r="A21333" s="4" t="s">
        <v>26861</v>
      </c>
      <c r="B21333" s="4" t="s">
        <v>26863</v>
      </c>
      <c r="C21333" s="5" t="str">
        <f>IFERROR(__xludf.DUMMYFUNCTION("GOOGLETRANSLATE(B21333,""en"",""fr"")"),"Les coureurs sont montrés à la porte pour se préparer pour la course.")</f>
        <v>Les coureurs sont montrés à la porte pour se préparer pour la course.</v>
      </c>
    </row>
    <row r="21334">
      <c r="A21334" s="4" t="s">
        <v>26861</v>
      </c>
      <c r="B21334" s="4" t="s">
        <v>26864</v>
      </c>
      <c r="C21334" s="5" t="str">
        <f>IFERROR(__xludf.DUMMYFUNCTION("GOOGLETRANSLATE(B21334,""en"",""fr"")"),"Plusieurs coureurs sont introduits avec leurs noms montrés à l'écran.")</f>
        <v>Plusieurs coureurs sont introduits avec leurs noms montrés à l'écran.</v>
      </c>
    </row>
    <row r="21335">
      <c r="A21335" s="4" t="s">
        <v>26861</v>
      </c>
      <c r="B21335" s="4" t="s">
        <v>26865</v>
      </c>
      <c r="C21335" s="5" t="str">
        <f>IFERROR(__xludf.DUMMYFUNCTION("GOOGLETRANSLATE(B21335,""en"",""fr"")"),"La course commence et les coureurs courent autour de la piste.")</f>
        <v>La course commence et les coureurs courent autour de la piste.</v>
      </c>
    </row>
    <row r="21336">
      <c r="A21336" s="4" t="s">
        <v>26866</v>
      </c>
      <c r="B21336" s="6" t="s">
        <v>26867</v>
      </c>
      <c r="C21336" s="5" t="str">
        <f>IFERROR(__xludf.DUMMYFUNCTION("GOOGLETRANSLATE(B21336,""en"",""fr"")"),"La vidéo commence par l'événement annuel de vélo BMX où plusieurs participants sont rassemblés pour commencer leur événement compétitif.")</f>
        <v>La vidéo commence par l'événement annuel de vélo BMX où plusieurs participants sont rassemblés pour commencer leur événement compétitif.</v>
      </c>
    </row>
    <row r="21337">
      <c r="A21337" s="4" t="s">
        <v>26866</v>
      </c>
      <c r="B21337" s="4" t="s">
        <v>26868</v>
      </c>
      <c r="C21337" s="5" t="str">
        <f>IFERROR(__xludf.DUMMYFUNCTION("GOOGLETRANSLATE(B21337,""en"",""fr"")"),"Plusieurs motards commencent à faire du vélo sur leurs vélos sur des pentes incurvées dans l'arène en plein air.")</f>
        <v>Plusieurs motards commencent à faire du vélo sur leurs vélos sur des pentes incurvées dans l'arène en plein air.</v>
      </c>
    </row>
    <row r="21338">
      <c r="A21338" s="4" t="s">
        <v>26866</v>
      </c>
      <c r="B21338" s="4" t="s">
        <v>26869</v>
      </c>
      <c r="C21338" s="5" t="str">
        <f>IFERROR(__xludf.DUMMYFUNCTION("GOOGLETRANSLATE(B21338,""en"",""fr"")"),"Les motards passent en revue les pentes cahoteuses et vallonnées dans leurs engrenages et leurs casques.")</f>
        <v>Les motards passent en revue les pentes cahoteuses et vallonnées dans leurs engrenages et leurs casques.</v>
      </c>
    </row>
    <row r="21339">
      <c r="A21339" s="4" t="s">
        <v>26866</v>
      </c>
      <c r="B21339" s="4" t="s">
        <v>26870</v>
      </c>
      <c r="C21339" s="5" t="str">
        <f>IFERROR(__xludf.DUMMYFUNCTION("GOOGLETRANSLATE(B21339,""en"",""fr"")"),"Il y a plusieurs motards qui commencent une course du haut de la pente de vélo.")</f>
        <v>Il y a plusieurs motards qui commencent une course du haut de la pente de vélo.</v>
      </c>
    </row>
    <row r="21340">
      <c r="A21340" s="4" t="s">
        <v>26866</v>
      </c>
      <c r="B21340" s="6" t="s">
        <v>26871</v>
      </c>
      <c r="C21340" s="5" t="str">
        <f>IFERROR(__xludf.DUMMYFUNCTION("GOOGLETRANSLATE(B21340,""en"",""fr"")"),"Ils montrent leurs cascades et leurs compétences alors qu'ils accélèrent dans l'évolution des obstacles de l'arène de vélo.")</f>
        <v>Ils montrent leurs cascades et leurs compétences alors qu'ils accélèrent dans l'évolution des obstacles de l'arène de vélo.</v>
      </c>
    </row>
    <row r="21341">
      <c r="A21341" s="4" t="s">
        <v>26872</v>
      </c>
      <c r="B21341" s="6" t="s">
        <v>26873</v>
      </c>
      <c r="C21341" s="5" t="str">
        <f>IFERROR(__xludf.DUMMYFUNCTION("GOOGLETRANSLATE(B21341,""en"",""fr"")"),"Deux vidéos côte à côte sont présentées d'un homme au ralenti jouant Frisbee et faisant des tours avec un chien.")</f>
        <v>Deux vidéos côte à côte sont présentées d'un homme au ralenti jouant Frisbee et faisant des tours avec un chien.</v>
      </c>
    </row>
    <row r="21342">
      <c r="A21342" s="4" t="s">
        <v>26872</v>
      </c>
      <c r="B21342" s="6" t="s">
        <v>26874</v>
      </c>
      <c r="C21342" s="5" t="str">
        <f>IFERROR(__xludf.DUMMYFUNCTION("GOOGLETRANSLATE(B21342,""en"",""fr"")"),"Le même homme est montré à nouveau effectuer divers trucs avec son chien qui sont montrés en temps réel ainsi qu'au ralenti.")</f>
        <v>Le même homme est montré à nouveau effectuer divers trucs avec son chien qui sont montrés en temps réel ainsi qu'au ralenti.</v>
      </c>
    </row>
    <row r="21343">
      <c r="A21343" s="4" t="s">
        <v>26875</v>
      </c>
      <c r="B21343" s="4" t="s">
        <v>26876</v>
      </c>
      <c r="C21343" s="5" t="str">
        <f>IFERROR(__xludf.DUMMYFUNCTION("GOOGLETRANSLATE(B21343,""en"",""fr"")"),"Les gens sont dans un bateau tandis qu'une personne est attachée au dos et à l'eau.")</f>
        <v>Les gens sont dans un bateau tandis qu'une personne est attachée au dos et à l'eau.</v>
      </c>
    </row>
    <row r="21344">
      <c r="A21344" s="4" t="s">
        <v>26875</v>
      </c>
      <c r="B21344" s="6" t="s">
        <v>26877</v>
      </c>
      <c r="C21344" s="5" t="str">
        <f>IFERROR(__xludf.DUMMYFUNCTION("GOOGLETRANSLATE(B21344,""en"",""fr"")"),"Alors qu'une grande touche d'eau vole dans l'air les mots blancs apparaissent au milieu de l'écran qui disent ""Wipeout Bay of Plenty"".")</f>
        <v>Alors qu'une grande touche d'eau vole dans l'air les mots blancs apparaissent au milieu de l'écran qui disent "Wipeout Bay of Plenty".</v>
      </c>
    </row>
    <row r="21345">
      <c r="A21345" s="4" t="s">
        <v>26875</v>
      </c>
      <c r="B21345" s="6" t="s">
        <v>26878</v>
      </c>
      <c r="C21345" s="5" t="str">
        <f>IFERROR(__xludf.DUMMYFUNCTION("GOOGLETRANSLATE(B21345,""en"",""fr"")"),"La personne est montrée sous différents angles, puis tombe dur dans l'eau plusieurs fois.")</f>
        <v>La personne est montrée sous différents angles, puis tombe dur dans l'eau plusieurs fois.</v>
      </c>
    </row>
    <row r="21346">
      <c r="A21346" s="4" t="s">
        <v>26879</v>
      </c>
      <c r="B21346" s="4" t="s">
        <v>26880</v>
      </c>
      <c r="C21346" s="5" t="str">
        <f>IFERROR(__xludf.DUMMYFUNCTION("GOOGLETRANSLATE(B21346,""en"",""fr"")"),"On voit une jeune fille se brosser les cheveux ainsi que la pulvérisation de produit dans ses cheveux.")</f>
        <v>On voit une jeune fille se brosser les cheveux ainsi que la pulvérisation de produit dans ses cheveux.</v>
      </c>
    </row>
    <row r="21347">
      <c r="A21347" s="4" t="s">
        <v>26879</v>
      </c>
      <c r="B21347" s="4" t="s">
        <v>26881</v>
      </c>
      <c r="C21347" s="5" t="str">
        <f>IFERROR(__xludf.DUMMYFUNCTION("GOOGLETRANSLATE(B21347,""en"",""fr"")"),"Elle prend ses cheveux en parties et commence à tresser ses cheveux.")</f>
        <v>Elle prend ses cheveux en parties et commence à tresser ses cheveux.</v>
      </c>
    </row>
    <row r="21348">
      <c r="A21348" s="4" t="s">
        <v>26879</v>
      </c>
      <c r="B21348" s="4" t="s">
        <v>26882</v>
      </c>
      <c r="C21348" s="5" t="str">
        <f>IFERROR(__xludf.DUMMYFUNCTION("GOOGLETRANSLATE(B21348,""en"",""fr"")"),"Elle finit de tresser ses cheveux et se termine par une photo de la tresse.")</f>
        <v>Elle finit de tresser ses cheveux et se termine par une photo de la tresse.</v>
      </c>
    </row>
    <row r="21349">
      <c r="A21349" s="4" t="s">
        <v>26883</v>
      </c>
      <c r="B21349" s="4" t="s">
        <v>26884</v>
      </c>
      <c r="C21349" s="5" t="str">
        <f>IFERROR(__xludf.DUMMYFUNCTION("GOOGLETRANSLATE(B21349,""en"",""fr"")"),"Un feu de camp est entouré de pierres.")</f>
        <v>Un feu de camp est entouré de pierres.</v>
      </c>
    </row>
    <row r="21350">
      <c r="A21350" s="4" t="s">
        <v>26883</v>
      </c>
      <c r="B21350" s="4" t="s">
        <v>26885</v>
      </c>
      <c r="C21350" s="5" t="str">
        <f>IFERROR(__xludf.DUMMYFUNCTION("GOOGLETRANSLATE(B21350,""en"",""fr"")"),"Une personne ajoute des feuilles dorées au feu de camp.")</f>
        <v>Une personne ajoute des feuilles dorées au feu de camp.</v>
      </c>
    </row>
    <row r="21351">
      <c r="A21351" s="4" t="s">
        <v>26883</v>
      </c>
      <c r="B21351" s="4" t="s">
        <v>26886</v>
      </c>
      <c r="C21351" s="5" t="str">
        <f>IFERROR(__xludf.DUMMYFUNCTION("GOOGLETRANSLATE(B21351,""en"",""fr"")"),"Une personne utilise un bâton pour déplacer les feuilles à l'intérieur du feu.")</f>
        <v>Une personne utilise un bâton pour déplacer les feuilles à l'intérieur du feu.</v>
      </c>
    </row>
    <row r="21352">
      <c r="A21352" s="4" t="s">
        <v>26883</v>
      </c>
      <c r="B21352" s="4" t="s">
        <v>26887</v>
      </c>
      <c r="C21352" s="5" t="str">
        <f>IFERROR(__xludf.DUMMYFUNCTION("GOOGLETRANSLATE(B21352,""en"",""fr"")"),"Une personne s'éloigne du feu.")</f>
        <v>Une personne s'éloigne du feu.</v>
      </c>
    </row>
    <row r="21353">
      <c r="A21353" s="4" t="s">
        <v>26883</v>
      </c>
      <c r="B21353" s="4" t="s">
        <v>26888</v>
      </c>
      <c r="C21353" s="5" t="str">
        <f>IFERROR(__xludf.DUMMYFUNCTION("GOOGLETRANSLATE(B21353,""en"",""fr"")"),"Une personne avance vers le feu.")</f>
        <v>Une personne avance vers le feu.</v>
      </c>
    </row>
    <row r="21354">
      <c r="A21354" s="4" t="s">
        <v>26889</v>
      </c>
      <c r="B21354" s="4" t="s">
        <v>26890</v>
      </c>
      <c r="C21354" s="5" t="str">
        <f>IFERROR(__xludf.DUMMYFUNCTION("GOOGLETRANSLATE(B21354,""en"",""fr"")"),"Deux personnes se battent sur le terrain.")</f>
        <v>Deux personnes se battent sur le terrain.</v>
      </c>
    </row>
    <row r="21355">
      <c r="A21355" s="4" t="s">
        <v>26889</v>
      </c>
      <c r="B21355" s="4" t="s">
        <v>26891</v>
      </c>
      <c r="C21355" s="5" t="str">
        <f>IFERROR(__xludf.DUMMYFUNCTION("GOOGLETRANSLATE(B21355,""en"",""fr"")"),"Les gens sont assis autour d'eux en regardant.")</f>
        <v>Les gens sont assis autour d'eux en regardant.</v>
      </c>
    </row>
    <row r="21356">
      <c r="A21356" s="4" t="s">
        <v>26889</v>
      </c>
      <c r="B21356" s="4" t="s">
        <v>26892</v>
      </c>
      <c r="C21356" s="5" t="str">
        <f>IFERROR(__xludf.DUMMYFUNCTION("GOOGLETRANSLATE(B21356,""en"",""fr"")"),"Les gens sont assis sur des chaises jouant de la batterie.")</f>
        <v>Les gens sont assis sur des chaises jouant de la batterie.</v>
      </c>
    </row>
    <row r="21357">
      <c r="A21357" s="4" t="s">
        <v>26893</v>
      </c>
      <c r="B21357" s="4" t="s">
        <v>26894</v>
      </c>
      <c r="C21357" s="5" t="str">
        <f>IFERROR(__xludf.DUMMYFUNCTION("GOOGLETRANSLATE(B21357,""en"",""fr"")"),"Une personne fait une planche à voile sur une planche verte de lime dans un plan d'eau.")</f>
        <v>Une personne fait une planche à voile sur une planche verte de lime dans un plan d'eau.</v>
      </c>
    </row>
    <row r="21358">
      <c r="A21358" s="4" t="s">
        <v>26893</v>
      </c>
      <c r="B21358" s="4" t="s">
        <v>26895</v>
      </c>
      <c r="C21358" s="5" t="str">
        <f>IFERROR(__xludf.DUMMYFUNCTION("GOOGLETRANSLATE(B21358,""en"",""fr"")"),"La personne fait quelques tours.")</f>
        <v>La personne fait quelques tours.</v>
      </c>
    </row>
    <row r="21359">
      <c r="A21359" s="4" t="s">
        <v>26896</v>
      </c>
      <c r="B21359" s="4" t="s">
        <v>26897</v>
      </c>
      <c r="C21359" s="5" t="str">
        <f>IFERROR(__xludf.DUMMYFUNCTION("GOOGLETRANSLATE(B21359,""en"",""fr"")"),"Un grand homme fait derrière les presses d'épaule du cou.")</f>
        <v>Un grand homme fait derrière les presses d'épaule du cou.</v>
      </c>
    </row>
    <row r="21360">
      <c r="A21360" s="4" t="s">
        <v>26896</v>
      </c>
      <c r="B21360" s="4" t="s">
        <v>26898</v>
      </c>
      <c r="C21360" s="5" t="str">
        <f>IFERROR(__xludf.DUMMYFUNCTION("GOOGLETRANSLATE(B21360,""en"",""fr"")"),"Il retient son souffle en les faisant puis il se lève et commence à marcher.")</f>
        <v>Il retient son souffle en les faisant puis il se lève et commence à marcher.</v>
      </c>
    </row>
    <row r="21361">
      <c r="A21361" s="4" t="s">
        <v>26896</v>
      </c>
      <c r="B21361" s="4" t="s">
        <v>26899</v>
      </c>
      <c r="C21361" s="5" t="str">
        <f>IFERROR(__xludf.DUMMYFUNCTION("GOOGLETRANSLATE(B21361,""en"",""fr"")"),"Il revient sur le banc et fait à nouveau quelques autres pf. L'épaule appuie à nouveau.")</f>
        <v>Il revient sur le banc et fait à nouveau quelques autres pf. L'épaule appuie à nouveau.</v>
      </c>
    </row>
    <row r="21362">
      <c r="A21362" s="4" t="s">
        <v>26896</v>
      </c>
      <c r="B21362" s="4" t="s">
        <v>26900</v>
      </c>
      <c r="C21362" s="5" t="str">
        <f>IFERROR(__xludf.DUMMYFUNCTION("GOOGLETRANSLATE(B21362,""en"",""fr"")"),"Ensuite, il sort et s'entraîne à tourner et à lancer.")</f>
        <v>Ensuite, il sort et s'entraîne à tourner et à lancer.</v>
      </c>
    </row>
    <row r="21363">
      <c r="A21363" s="4" t="s">
        <v>26901</v>
      </c>
      <c r="B21363" s="4" t="s">
        <v>26902</v>
      </c>
      <c r="C21363" s="5" t="str">
        <f>IFERROR(__xludf.DUMMYFUNCTION("GOOGLETRANSLATE(B21363,""en"",""fr"")"),"Un garçon se tient à l'extérieur au-dessus de la pêche à la glace d'un petit trou dans la glace.")</f>
        <v>Un garçon se tient à l'extérieur au-dessus de la pêche à la glace d'un petit trou dans la glace.</v>
      </c>
    </row>
    <row r="21364">
      <c r="A21364" s="4" t="s">
        <v>26901</v>
      </c>
      <c r="B21364" s="4" t="s">
        <v>26903</v>
      </c>
      <c r="C21364" s="5" t="str">
        <f>IFERROR(__xludf.DUMMYFUNCTION("GOOGLETRANSLATE(B21364,""en"",""fr"")"),"Le garçon a du mal à sortir le poisson et quelqu'un vient et le retire pour lui.")</f>
        <v>Le garçon a du mal à sortir le poisson et quelqu'un vient et le retire pour lui.</v>
      </c>
    </row>
    <row r="21365">
      <c r="A21365" s="4" t="s">
        <v>26901</v>
      </c>
      <c r="B21365" s="4" t="s">
        <v>26904</v>
      </c>
      <c r="C21365" s="5" t="str">
        <f>IFERROR(__xludf.DUMMYFUNCTION("GOOGLETRANSLATE(B21365,""en"",""fr"")"),"Maintenant, il y a quatre hommes visibles et ils commencent tous à pêcher de l'étang de glace.")</f>
        <v>Maintenant, il y a quatre hommes visibles et ils commencent tous à pêcher de l'étang de glace.</v>
      </c>
    </row>
    <row r="21366">
      <c r="A21366" s="4" t="s">
        <v>26901</v>
      </c>
      <c r="B21366" s="4" t="s">
        <v>26905</v>
      </c>
      <c r="C21366" s="5" t="str">
        <f>IFERROR(__xludf.DUMMYFUNCTION("GOOGLETRANSLATE(B21366,""en"",""fr"")"),"Finalement, un homme attrape une chaise et commence à pêcher et à retirer son poisson de sa ligne.")</f>
        <v>Finalement, un homme attrape une chaise et commence à pêcher et à retirer son poisson de sa ligne.</v>
      </c>
    </row>
    <row r="21367">
      <c r="A21367" s="4" t="s">
        <v>26906</v>
      </c>
      <c r="B21367" s="6" t="s">
        <v>26907</v>
      </c>
      <c r="C21367" s="5" t="str">
        <f>IFERROR(__xludf.DUMMYFUNCTION("GOOGLETRANSLATE(B21367,""en"",""fr"")"),"Une intro mène à un groupe de pom-pom girls effectuant plusieurs mouvements en équipe et en filles interviewées à la caméra.")</f>
        <v>Une intro mène à un groupe de pom-pom girls effectuant plusieurs mouvements en équipe et en filles interviewées à la caméra.</v>
      </c>
    </row>
    <row r="21368">
      <c r="A21368" s="4" t="s">
        <v>26906</v>
      </c>
      <c r="B21368" s="6" t="s">
        <v>26908</v>
      </c>
      <c r="C21368" s="5" t="str">
        <f>IFERROR(__xludf.DUMMYFUNCTION("GOOGLETRANSLATE(B21368,""en"",""fr"")"),"Ils effectuent une routine affichée par plusieurs vidéos et photos et continuent de montrer diverses astuces dans les coulisses et sur scène.")</f>
        <v>Ils effectuent une routine affichée par plusieurs vidéos et photos et continuent de montrer diverses astuces dans les coulisses et sur scène.</v>
      </c>
    </row>
    <row r="21369">
      <c r="A21369" s="4" t="s">
        <v>26906</v>
      </c>
      <c r="B21369" s="6" t="s">
        <v>26909</v>
      </c>
      <c r="C21369" s="5" t="str">
        <f>IFERROR(__xludf.DUMMYFUNCTION("GOOGLETRANSLATE(B21369,""en"",""fr"")"),"Les filles se parlent en arrière avec leur entraîneur et de nombreuses personnes interagissent avec elles dans le public.")</f>
        <v>Les filles se parlent en arrière avec leur entraîneur et de nombreuses personnes interagissent avec elles dans le public.</v>
      </c>
    </row>
    <row r="21370">
      <c r="A21370" s="4" t="s">
        <v>26910</v>
      </c>
      <c r="B21370" s="4" t="s">
        <v>26911</v>
      </c>
      <c r="C21370" s="5" t="str">
        <f>IFERROR(__xludf.DUMMYFUNCTION("GOOGLETRANSLATE(B21370,""en"",""fr"")"),"Une personne est vue rouler sur des lames à rouleaux et effectuer une mouture sur un bar.")</f>
        <v>Une personne est vue rouler sur des lames à rouleaux et effectuer une mouture sur un bar.</v>
      </c>
    </row>
    <row r="21371">
      <c r="A21371" s="4" t="s">
        <v>26910</v>
      </c>
      <c r="B21371" s="6" t="s">
        <v>26912</v>
      </c>
      <c r="C21371" s="5" t="str">
        <f>IFERROR(__xludf.DUMMYFUNCTION("GOOGLETRANSLATE(B21371,""en"",""fr"")"),"Plusieurs autres clips sont illustrés à la personne effectuant des mounts avec des lames à rouleaux ainsi que d'autres flips et astuces.")</f>
        <v>Plusieurs autres clips sont illustrés à la personne effectuant des mounts avec des lames à rouleaux ainsi que d'autres flips et astuces.</v>
      </c>
    </row>
    <row r="21372">
      <c r="A21372" s="4" t="s">
        <v>26913</v>
      </c>
      <c r="B21372" s="4" t="s">
        <v>26914</v>
      </c>
      <c r="C21372" s="5" t="str">
        <f>IFERROR(__xludf.DUMMYFUNCTION("GOOGLETRANSLATE(B21372,""en"",""fr"")"),"La femme tient un sèche-cheveux et meurt un petit cheveux pour enfants.")</f>
        <v>La femme tient un sèche-cheveux et meurt un petit cheveux pour enfants.</v>
      </c>
    </row>
    <row r="21373">
      <c r="A21373" s="4" t="s">
        <v>26913</v>
      </c>
      <c r="B21373" s="4" t="s">
        <v>26915</v>
      </c>
      <c r="C21373" s="5" t="str">
        <f>IFERROR(__xludf.DUMMYFUNCTION("GOOGLETRANSLATE(B21373,""en"",""fr"")"),"Le petit gamin à l'arrière se tient debout et rit.")</f>
        <v>Le petit gamin à l'arrière se tient debout et rit.</v>
      </c>
    </row>
    <row r="21374">
      <c r="A21374" s="4" t="s">
        <v>26916</v>
      </c>
      <c r="B21374" s="4" t="s">
        <v>26917</v>
      </c>
      <c r="C21374" s="5" t="str">
        <f>IFERROR(__xludf.DUMMYFUNCTION("GOOGLETRANSLATE(B21374,""en"",""fr"")"),"L'homme se tient dans une pièce en ouvrant les stores.")</f>
        <v>L'homme se tient dans une pièce en ouvrant les stores.</v>
      </c>
    </row>
    <row r="21375">
      <c r="A21375" s="4" t="s">
        <v>26916</v>
      </c>
      <c r="B21375" s="4" t="s">
        <v>26918</v>
      </c>
      <c r="C21375" s="5" t="str">
        <f>IFERROR(__xludf.DUMMYFUNCTION("GOOGLETRANSLATE(B21375,""en"",""fr"")"),"Les hommes patinent sur des trottoirs au bord de la rue avec beaucoup de gens autour.")</f>
        <v>Les hommes patinent sur des trottoirs au bord de la rue avec beaucoup de gens autour.</v>
      </c>
    </row>
    <row r="21376">
      <c r="A21376" s="4" t="s">
        <v>26919</v>
      </c>
      <c r="B21376" s="4" t="s">
        <v>26920</v>
      </c>
      <c r="C21376" s="5" t="str">
        <f>IFERROR(__xludf.DUMMYFUNCTION("GOOGLETRANSLATE(B21376,""en"",""fr"")"),"Un jeune enfant est vu en utilisant un elliptique tout en regardant une vidéo informatique devant elle.")</f>
        <v>Un jeune enfant est vu en utilisant un elliptique tout en regardant une vidéo informatique devant elle.</v>
      </c>
    </row>
    <row r="21377">
      <c r="A21377" s="4" t="s">
        <v>26919</v>
      </c>
      <c r="B21377" s="6" t="s">
        <v>26921</v>
      </c>
      <c r="C21377" s="5" t="str">
        <f>IFERROR(__xludf.DUMMYFUNCTION("GOOGLETRANSLATE(B21377,""en"",""fr"")"),"La fille contrôle les mouvements sur la vidéo à l'aide de la machine tandis que la caméra zoome vers l'intérieur et hors de la zone.")</f>
        <v>La fille contrôle les mouvements sur la vidéo à l'aide de la machine tandis que la caméra zoome vers l'intérieur et hors de la zone.</v>
      </c>
    </row>
    <row r="21378">
      <c r="A21378" s="4" t="s">
        <v>26922</v>
      </c>
      <c r="B21378" s="4" t="s">
        <v>26923</v>
      </c>
      <c r="C21378" s="5" t="str">
        <f>IFERROR(__xludf.DUMMYFUNCTION("GOOGLETRANSLATE(B21378,""en"",""fr"")"),"Les gens courent sur une scène.")</f>
        <v>Les gens courent sur une scène.</v>
      </c>
    </row>
    <row r="21379">
      <c r="A21379" s="4" t="s">
        <v>26922</v>
      </c>
      <c r="B21379" s="4" t="s">
        <v>26924</v>
      </c>
      <c r="C21379" s="5" t="str">
        <f>IFERROR(__xludf.DUMMYFUNCTION("GOOGLETRANSLATE(B21379,""en"",""fr"")"),"Ils commencent à danser et à travailler sur scène.")</f>
        <v>Ils commencent à danser et à travailler sur scène.</v>
      </c>
    </row>
    <row r="21380">
      <c r="A21380" s="4" t="s">
        <v>26922</v>
      </c>
      <c r="B21380" s="4" t="s">
        <v>26925</v>
      </c>
      <c r="C21380" s="5" t="str">
        <f>IFERROR(__xludf.DUMMYFUNCTION("GOOGLETRANSLATE(B21380,""en"",""fr"")"),"Un public les regarde jouer.")</f>
        <v>Un public les regarde jouer.</v>
      </c>
    </row>
    <row r="21381">
      <c r="A21381" s="4" t="s">
        <v>26926</v>
      </c>
      <c r="B21381" s="4" t="s">
        <v>26927</v>
      </c>
      <c r="C21381" s="5" t="str">
        <f>IFERROR(__xludf.DUMMYFUNCTION("GOOGLETRANSLATE(B21381,""en"",""fr"")"),"Un homme portant un pull violet montre comment utiliser des cisaillements de jardin.")</f>
        <v>Un homme portant un pull violet montre comment utiliser des cisaillements de jardin.</v>
      </c>
    </row>
    <row r="21382">
      <c r="A21382" s="4" t="s">
        <v>26926</v>
      </c>
      <c r="B21382" s="4" t="s">
        <v>26928</v>
      </c>
      <c r="C21382" s="5" t="str">
        <f>IFERROR(__xludf.DUMMYFUNCTION("GOOGLETRANSLATE(B21382,""en"",""fr"")"),"Il coupe les haies et les buissons dans la cour.")</f>
        <v>Il coupe les haies et les buissons dans la cour.</v>
      </c>
    </row>
    <row r="21383">
      <c r="A21383" s="4" t="s">
        <v>26926</v>
      </c>
      <c r="B21383" s="4" t="s">
        <v>26929</v>
      </c>
      <c r="C21383" s="5" t="str">
        <f>IFERROR(__xludf.DUMMYFUNCTION("GOOGLETRANSLATE(B21383,""en"",""fr"")"),"Il montre comment les cisaillements peuvent être utilisés efficacement dans des endroits difficiles à atteindre.")</f>
        <v>Il montre comment les cisaillements peuvent être utilisés efficacement dans des endroits difficiles à atteindre.</v>
      </c>
    </row>
    <row r="21384">
      <c r="A21384" s="4" t="s">
        <v>26930</v>
      </c>
      <c r="B21384" s="4" t="s">
        <v>26931</v>
      </c>
      <c r="C21384" s="5" t="str">
        <f>IFERROR(__xludf.DUMMYFUNCTION("GOOGLETRANSLATE(B21384,""en"",""fr"")"),"Un rouleau de bardeaux est montré allongé sur un toit.")</f>
        <v>Un rouleau de bardeaux est montré allongé sur un toit.</v>
      </c>
    </row>
    <row r="21385">
      <c r="A21385" s="4" t="s">
        <v>26930</v>
      </c>
      <c r="B21385" s="4" t="s">
        <v>26932</v>
      </c>
      <c r="C21385" s="5" t="str">
        <f>IFERROR(__xludf.DUMMYFUNCTION("GOOGLETRANSLATE(B21385,""en"",""fr"")"),"Un homme tient une feuille de bardeaux.")</f>
        <v>Un homme tient une feuille de bardeaux.</v>
      </c>
    </row>
    <row r="21386">
      <c r="A21386" s="4" t="s">
        <v>26930</v>
      </c>
      <c r="B21386" s="4" t="s">
        <v>26933</v>
      </c>
      <c r="C21386" s="5" t="str">
        <f>IFERROR(__xludf.DUMMYFUNCTION("GOOGLETRANSLATE(B21386,""en"",""fr"")"),"Il utilise des pinces pour éliminer les bardeaux endommagés avant de les remplacer par de nouveaux.")</f>
        <v>Il utilise des pinces pour éliminer les bardeaux endommagés avant de les remplacer par de nouveaux.</v>
      </c>
    </row>
    <row r="21387">
      <c r="A21387" s="4" t="s">
        <v>26934</v>
      </c>
      <c r="B21387" s="4" t="s">
        <v>26935</v>
      </c>
      <c r="C21387" s="5" t="str">
        <f>IFERROR(__xludf.DUMMYFUNCTION("GOOGLETRANSLATE(B21387,""en"",""fr"")"),"Trois hommes appliquent du plâtre au plafond d'une pièce inachevée pendant qu'un autre homme regarde.")</f>
        <v>Trois hommes appliquent du plâtre au plafond d'une pièce inachevée pendant qu'un autre homme regarde.</v>
      </c>
    </row>
    <row r="21388">
      <c r="A21388" s="4" t="s">
        <v>26934</v>
      </c>
      <c r="B21388" s="4" t="s">
        <v>26936</v>
      </c>
      <c r="C21388" s="5" t="str">
        <f>IFERROR(__xludf.DUMMYFUNCTION("GOOGLETRANSLATE(B21388,""en"",""fr"")"),"L'un des hommes grimpe une échelle pour atteindre le plafond.")</f>
        <v>L'un des hommes grimpe une échelle pour atteindre le plafond.</v>
      </c>
    </row>
    <row r="21389">
      <c r="A21389" s="4" t="s">
        <v>26934</v>
      </c>
      <c r="B21389" s="4" t="s">
        <v>26937</v>
      </c>
      <c r="C21389" s="5" t="str">
        <f>IFERROR(__xludf.DUMMYFUNCTION("GOOGLETRANSLATE(B21389,""en"",""fr"")"),"Un homme joue une courte danse.")</f>
        <v>Un homme joue une courte danse.</v>
      </c>
    </row>
    <row r="21390">
      <c r="A21390" s="4" t="s">
        <v>26934</v>
      </c>
      <c r="B21390" s="6" t="s">
        <v>26938</v>
      </c>
      <c r="C21390" s="5" t="str">
        <f>IFERROR(__xludf.DUMMYFUNCTION("GOOGLETRANSLATE(B21390,""en"",""fr"")"),"La caméra se déplace pour révéler que l'homme dansant et un autre des hommes utilise des échasses pour atteindre le plafond.")</f>
        <v>La caméra se déplace pour révéler que l'homme dansant et un autre des hommes utilise des échasses pour atteindre le plafond.</v>
      </c>
    </row>
    <row r="21391">
      <c r="A21391" s="4" t="s">
        <v>26939</v>
      </c>
      <c r="B21391" s="4" t="s">
        <v>26940</v>
      </c>
      <c r="C21391" s="5" t="str">
        <f>IFERROR(__xludf.DUMMYFUNCTION("GOOGLETRANSLATE(B21391,""en"",""fr"")"),"Nous voyons un écran de titre pour la vidéo.")</f>
        <v>Nous voyons un écran de titre pour la vidéo.</v>
      </c>
    </row>
    <row r="21392">
      <c r="A21392" s="4" t="s">
        <v>26939</v>
      </c>
      <c r="B21392" s="4" t="s">
        <v>26941</v>
      </c>
      <c r="C21392" s="5" t="str">
        <f>IFERROR(__xludf.DUMMYFUNCTION("GOOGLETRANSLATE(B21392,""en"",""fr"")"),"Nous voyons ensuite les petits garçons jouer au football dans quelques gymnases.")</f>
        <v>Nous voyons ensuite les petits garçons jouer au football dans quelques gymnases.</v>
      </c>
    </row>
    <row r="21393">
      <c r="A21393" s="4" t="s">
        <v>26939</v>
      </c>
      <c r="B21393" s="4" t="s">
        <v>26942</v>
      </c>
      <c r="C21393" s="5" t="str">
        <f>IFERROR(__xludf.DUMMYFUNCTION("GOOGLETRANSLATE(B21393,""en"",""fr"")"),"Nous regardons le garçon dans la chemise blanche marquer un but.")</f>
        <v>Nous regardons le garçon dans la chemise blanche marquer un but.</v>
      </c>
    </row>
    <row r="21394">
      <c r="A21394" s="4" t="s">
        <v>26939</v>
      </c>
      <c r="B21394" s="4" t="s">
        <v>26943</v>
      </c>
      <c r="C21394" s="5" t="str">
        <f>IFERROR(__xludf.DUMMYFUNCTION("GOOGLETRANSLATE(B21394,""en"",""fr"")"),"Nous voyons un garçon frapper un but et le gardien de but atteint pour arrêter le ballon mais manque.")</f>
        <v>Nous voyons un garçon frapper un but et le gardien de but atteint pour arrêter le ballon mais manque.</v>
      </c>
    </row>
    <row r="21395">
      <c r="A21395" s="4" t="s">
        <v>26939</v>
      </c>
      <c r="B21395" s="4" t="s">
        <v>26944</v>
      </c>
      <c r="C21395" s="5" t="str">
        <f>IFERROR(__xludf.DUMMYFUNCTION("GOOGLETRANSLATE(B21395,""en"",""fr"")"),"Nous voyons le garçon en blanc marquer un but et ses coéquipiers le servent dans ses bras.")</f>
        <v>Nous voyons le garçon en blanc marquer un but et ses coéquipiers le servent dans ses bras.</v>
      </c>
    </row>
    <row r="21396">
      <c r="A21396" s="4" t="s">
        <v>26939</v>
      </c>
      <c r="B21396" s="4" t="s">
        <v>26945</v>
      </c>
      <c r="C21396" s="5" t="str">
        <f>IFERROR(__xludf.DUMMYFUNCTION("GOOGLETRANSLATE(B21396,""en"",""fr"")"),"3:10 Les scores du numéro 10 blanc et un coéquipier lui donnent un high cinq.")</f>
        <v>3:10 Les scores du numéro 10 blanc et un coéquipier lui donnent un high cinq.</v>
      </c>
    </row>
    <row r="21397">
      <c r="A21397" s="4" t="s">
        <v>26946</v>
      </c>
      <c r="B21397" s="4" t="s">
        <v>26947</v>
      </c>
      <c r="C21397" s="5" t="str">
        <f>IFERROR(__xludf.DUMMYFUNCTION("GOOGLETRANSLATE(B21397,""en"",""fr"")"),"Une femme est montrée, jouant avec ses cheveux.")</f>
        <v>Une femme est montrée, jouant avec ses cheveux.</v>
      </c>
    </row>
    <row r="21398">
      <c r="A21398" s="4" t="s">
        <v>26946</v>
      </c>
      <c r="B21398" s="4" t="s">
        <v>26948</v>
      </c>
      <c r="C21398" s="5" t="str">
        <f>IFERROR(__xludf.DUMMYFUNCTION("GOOGLETRANSLATE(B21398,""en"",""fr"")"),"Un artiste salon apparaît et ses outils sont présentés sur une table.")</f>
        <v>Un artiste salon apparaît et ses outils sont présentés sur une table.</v>
      </c>
    </row>
    <row r="21399">
      <c r="A21399" s="4" t="s">
        <v>26946</v>
      </c>
      <c r="B21399" s="6" t="s">
        <v>26949</v>
      </c>
      <c r="C21399" s="5" t="str">
        <f>IFERROR(__xludf.DUMMYFUNCTION("GOOGLETRANSLATE(B21399,""en"",""fr"")"),"La femme souffle ses cheveux sèche avant de poser et est montré étape par étape, créant des boucles dans ses cheveux avec ses outils.")</f>
        <v>La femme souffle ses cheveux sèche avant de poser et est montré étape par étape, créant des boucles dans ses cheveux avec ses outils.</v>
      </c>
    </row>
    <row r="21400">
      <c r="A21400" s="4" t="s">
        <v>26946</v>
      </c>
      <c r="B21400" s="4" t="s">
        <v>26950</v>
      </c>
      <c r="C21400" s="5" t="str">
        <f>IFERROR(__xludf.DUMMYFUNCTION("GOOGLETRANSLATE(B21400,""en"",""fr"")"),"Elle s'adapte et brosse ses cheveux, puis montre le résultat final.")</f>
        <v>Elle s'adapte et brosse ses cheveux, puis montre le résultat final.</v>
      </c>
    </row>
    <row r="21401">
      <c r="A21401" s="4" t="s">
        <v>26951</v>
      </c>
      <c r="B21401" s="4" t="s">
        <v>26952</v>
      </c>
      <c r="C21401" s="5" t="str">
        <f>IFERROR(__xludf.DUMMYFUNCTION("GOOGLETRANSLATE(B21401,""en"",""fr"")"),"Un homme utilise un souffleur de feuilles pour souffler les feuilles de l'herbe.")</f>
        <v>Un homme utilise un souffleur de feuilles pour souffler les feuilles de l'herbe.</v>
      </c>
    </row>
    <row r="21402">
      <c r="A21402" s="4" t="s">
        <v>26951</v>
      </c>
      <c r="B21402" s="4" t="s">
        <v>26953</v>
      </c>
      <c r="C21402" s="5" t="str">
        <f>IFERROR(__xludf.DUMMYFUNCTION("GOOGLETRANSLATE(B21402,""en"",""fr"")"),"Une voiture passe sur la route à une vitesse décente.")</f>
        <v>Une voiture passe sur la route à une vitesse décente.</v>
      </c>
    </row>
    <row r="21403">
      <c r="A21403" s="4" t="s">
        <v>26951</v>
      </c>
      <c r="B21403" s="4" t="s">
        <v>26954</v>
      </c>
      <c r="C21403" s="5" t="str">
        <f>IFERROR(__xludf.DUMMYFUNCTION("GOOGLETRANSLATE(B21403,""en"",""fr"")"),"Il continue de souffler les feuilles sans réfléchir.")</f>
        <v>Il continue de souffler les feuilles sans réfléchir.</v>
      </c>
    </row>
    <row r="21404">
      <c r="A21404" s="4" t="s">
        <v>26951</v>
      </c>
      <c r="B21404" s="4" t="s">
        <v>26955</v>
      </c>
      <c r="C21404" s="5" t="str">
        <f>IFERROR(__xludf.DUMMYFUNCTION("GOOGLETRANSLATE(B21404,""en"",""fr"")"),"Les feuilles tombent toutes sur la route, ce qui rend l'herbe tellement meilleure.")</f>
        <v>Les feuilles tombent toutes sur la route, ce qui rend l'herbe tellement meilleure.</v>
      </c>
    </row>
    <row r="21405">
      <c r="A21405" s="4" t="s">
        <v>26956</v>
      </c>
      <c r="B21405" s="4" t="s">
        <v>26957</v>
      </c>
      <c r="C21405" s="5" t="str">
        <f>IFERROR(__xludf.DUMMYFUNCTION("GOOGLETRANSLATE(B21405,""en"",""fr"")"),"Plusieurs personnes sont vues rouler sur une planche de surf avec des cerfs-volants sur le dessus.")</f>
        <v>Plusieurs personnes sont vues rouler sur une planche de surf avec des cerfs-volants sur le dessus.</v>
      </c>
    </row>
    <row r="21406">
      <c r="A21406" s="4" t="s">
        <v>26956</v>
      </c>
      <c r="B21406" s="4" t="s">
        <v>26958</v>
      </c>
      <c r="C21406" s="5" t="str">
        <f>IFERROR(__xludf.DUMMYFUNCTION("GOOGLETRANSLATE(B21406,""en"",""fr"")"),"Ils continuent de rouler et un petit enfant est vu de près.")</f>
        <v>Ils continuent de rouler et un petit enfant est vu de près.</v>
      </c>
    </row>
    <row r="21407">
      <c r="A21407" s="4" t="s">
        <v>26956</v>
      </c>
      <c r="B21407" s="4" t="s">
        <v>26959</v>
      </c>
      <c r="C21407" s="5" t="str">
        <f>IFERROR(__xludf.DUMMYFUNCTION("GOOGLETRANSLATE(B21407,""en"",""fr"")"),"Plus de coups sont montrés d'eux qui roulent les uns autour des autres et montent le long de l'eau.")</f>
        <v>Plus de coups sont montrés d'eux qui roulent les uns autour des autres et montent le long de l'eau.</v>
      </c>
    </row>
    <row r="21408">
      <c r="A21408" s="4" t="s">
        <v>26960</v>
      </c>
      <c r="B21408" s="4" t="s">
        <v>26961</v>
      </c>
      <c r="C21408" s="5" t="str">
        <f>IFERROR(__xludf.DUMMYFUNCTION("GOOGLETRANSLATE(B21408,""en"",""fr"")"),"Une personne est vue en train de se préparer tout en parlant à la caméra et mène à lui faire des pompes.")</f>
        <v>Une personne est vue en train de se préparer tout en parlant à la caméra et mène à lui faire des pompes.</v>
      </c>
    </row>
    <row r="21409">
      <c r="A21409" s="4" t="s">
        <v>26960</v>
      </c>
      <c r="B21409" s="6" t="s">
        <v>26962</v>
      </c>
      <c r="C21409" s="5" t="str">
        <f>IFERROR(__xludf.DUMMYFUNCTION("GOOGLETRANSLATE(B21409,""en"",""fr"")"),"L'homme descend dans un couloir avec une femme en cours d'introduction et mène dans les deux jouant au ping-pong.")</f>
        <v>L'homme descend dans un couloir avec une femme en cours d'introduction et mène dans les deux jouant au ping-pong.</v>
      </c>
    </row>
    <row r="21410">
      <c r="A21410" s="4" t="s">
        <v>26960</v>
      </c>
      <c r="B21410" s="6" t="s">
        <v>26963</v>
      </c>
      <c r="C21410" s="5" t="str">
        <f>IFERROR(__xludf.DUMMYFUNCTION("GOOGLETRANSLATE(B21410,""en"",""fr"")"),"Les deux continuent de jouer et mène à l'homme en tenant un ballon de basket et la femme a choqué.")</f>
        <v>Les deux continuent de jouer et mène à l'homme en tenant un ballon de basket et la femme a choqué.</v>
      </c>
    </row>
    <row r="21411">
      <c r="A21411" s="4" t="s">
        <v>26964</v>
      </c>
      <c r="B21411" s="6" t="s">
        <v>26965</v>
      </c>
      <c r="C21411" s="5" t="str">
        <f>IFERROR(__xludf.DUMMYFUNCTION("GOOGLETRANSLATE(B21411,""en"",""fr"")"),"À l'extérieur dans un seau, il y a du bois et quelqu'un sort et commence à souffler quelque chose dessus.")</f>
        <v>À l'extérieur dans un seau, il y a du bois et quelqu'un sort et commence à souffler quelque chose dessus.</v>
      </c>
    </row>
    <row r="21412">
      <c r="A21412" s="4" t="s">
        <v>26964</v>
      </c>
      <c r="B21412" s="4" t="s">
        <v>26966</v>
      </c>
      <c r="C21412" s="5" t="str">
        <f>IFERROR(__xludf.DUMMYFUNCTION("GOOGLETRANSLATE(B21412,""en"",""fr"")"),"Il y souffle avec une sorte d'engin de feu qui ressemble à un outil de jardinage.")</f>
        <v>Il y souffle avec une sorte d'engin de feu qui ressemble à un outil de jardinage.</v>
      </c>
    </row>
    <row r="21413">
      <c r="A21413" s="4" t="s">
        <v>26964</v>
      </c>
      <c r="B21413" s="4" t="s">
        <v>26967</v>
      </c>
      <c r="C21413" s="5" t="str">
        <f>IFERROR(__xludf.DUMMYFUNCTION("GOOGLETRANSLATE(B21413,""en"",""fr"")"),"Il attrape bien et les bois brûlent rapidement.")</f>
        <v>Il attrape bien et les bois brûlent rapidement.</v>
      </c>
    </row>
    <row r="21414">
      <c r="A21414" s="4" t="s">
        <v>26964</v>
      </c>
      <c r="B21414" s="4" t="s">
        <v>26968</v>
      </c>
      <c r="C21414" s="5" t="str">
        <f>IFERROR(__xludf.DUMMYFUNCTION("GOOGLETRANSLATE(B21414,""en"",""fr"")"),"Le feu meurt un peu mais brûle toujours.")</f>
        <v>Le feu meurt un peu mais brûle toujours.</v>
      </c>
    </row>
    <row r="21415">
      <c r="A21415" s="4" t="s">
        <v>26969</v>
      </c>
      <c r="B21415" s="6" t="s">
        <v>26970</v>
      </c>
      <c r="C21415" s="5" t="str">
        <f>IFERROR(__xludf.DUMMYFUNCTION("GOOGLETRANSLATE(B21415,""en"",""fr"")"),"Une femme montre comment créer une coiffure tressée en utilisant une jeune femme comme modèle pour le style dans un tutoriel Hands on.")</f>
        <v>Une femme montre comment créer une coiffure tressée en utilisant une jeune femme comme modèle pour le style dans un tutoriel Hands on.</v>
      </c>
    </row>
    <row r="21416">
      <c r="A21416" s="4" t="s">
        <v>26969</v>
      </c>
      <c r="B21416" s="6" t="s">
        <v>26971</v>
      </c>
      <c r="C21416" s="5" t="str">
        <f>IFERROR(__xludf.DUMMYFUNCTION("GOOGLETRANSLATE(B21416,""en"",""fr"")"),"Le coiffeur commence par séparer les cheveux en quatre sections avec un peigne avant de tresser chaque section et d'écraser une épingle à cheveux aux extrémités de chaque tresse.")</f>
        <v>Le coiffeur commence par séparer les cheveux en quatre sections avec un peigne avant de tresser chaque section et d'écraser une épingle à cheveux aux extrémités de chaque tresse.</v>
      </c>
    </row>
    <row r="21417">
      <c r="A21417" s="4" t="s">
        <v>26969</v>
      </c>
      <c r="B21417" s="4" t="s">
        <v>26972</v>
      </c>
      <c r="C21417" s="5" t="str">
        <f>IFERROR(__xludf.DUMMYFUNCTION("GOOGLETRANSLATE(B21417,""en"",""fr"")"),"La femme tire ensuite chaque tresse sur le devant de la cheveux des modèles.")</f>
        <v>La femme tire ensuite chaque tresse sur le devant de la cheveux des modèles.</v>
      </c>
    </row>
    <row r="21418">
      <c r="A21418" s="4" t="s">
        <v>26969</v>
      </c>
      <c r="B21418" s="6" t="s">
        <v>26973</v>
      </c>
      <c r="C21418" s="5" t="str">
        <f>IFERROR(__xludf.DUMMYFUNCTION("GOOGLETRANSLATE(B21418,""en"",""fr"")"),"Le modèle présente le look alors qu'il était assis sur la chaise et la caméra capture sa coiffure sous différents angles et l'image de trois femmes sur un canapé avec un ballon d'hélium à la mouche apparaît.")</f>
        <v>Le modèle présente le look alors qu'il était assis sur la chaise et la caméra capture sa coiffure sous différents angles et l'image de trois femmes sur un canapé avec un ballon d'hélium à la mouche apparaît.</v>
      </c>
    </row>
    <row r="21419">
      <c r="A21419" s="4" t="s">
        <v>26974</v>
      </c>
      <c r="B21419" s="4" t="s">
        <v>26975</v>
      </c>
      <c r="C21419" s="5" t="str">
        <f>IFERROR(__xludf.DUMMYFUNCTION("GOOGLETRANSLATE(B21419,""en"",""fr"")"),"Une femme porte une robe blanche et une ceinture noire.")</f>
        <v>Une femme porte une robe blanche et une ceinture noire.</v>
      </c>
    </row>
    <row r="21420">
      <c r="A21420" s="4" t="s">
        <v>26974</v>
      </c>
      <c r="B21420" s="4" t="s">
        <v>26976</v>
      </c>
      <c r="C21420" s="5" t="str">
        <f>IFERROR(__xludf.DUMMYFUNCTION("GOOGLETRANSLATE(B21420,""en"",""fr"")"),"Elle fait du karaté dans sa chambre.")</f>
        <v>Elle fait du karaté dans sa chambre.</v>
      </c>
    </row>
    <row r="21421">
      <c r="A21421" s="4" t="s">
        <v>26974</v>
      </c>
      <c r="B21421" s="4" t="s">
        <v>26977</v>
      </c>
      <c r="C21421" s="5" t="str">
        <f>IFERROR(__xludf.DUMMYFUNCTION("GOOGLETRANSLATE(B21421,""en"",""fr"")"),"Elle donne des coups de pied plusieurs fois.")</f>
        <v>Elle donne des coups de pied plusieurs fois.</v>
      </c>
    </row>
    <row r="21422">
      <c r="A21422" s="4" t="s">
        <v>26974</v>
      </c>
      <c r="B21422" s="4" t="s">
        <v>26978</v>
      </c>
      <c r="C21422" s="5" t="str">
        <f>IFERROR(__xludf.DUMMYFUNCTION("GOOGLETRANSLATE(B21422,""en"",""fr"")"),"Elle finit et se tient debout avec ses bras à ses côtés et les arcs.")</f>
        <v>Elle finit et se tient debout avec ses bras à ses côtés et les arcs.</v>
      </c>
    </row>
    <row r="21423">
      <c r="A21423" s="4" t="s">
        <v>26979</v>
      </c>
      <c r="B21423" s="4" t="s">
        <v>26980</v>
      </c>
      <c r="C21423" s="5" t="str">
        <f>IFERROR(__xludf.DUMMYFUNCTION("GOOGLETRANSLATE(B21423,""en"",""fr"")"),"Un homme dans une blouse de laboratoire blanc parle à la caméra et montrant divers outils dans un laboratoire.")</f>
        <v>Un homme dans une blouse de laboratoire blanc parle à la caméra et montrant divers outils dans un laboratoire.</v>
      </c>
    </row>
    <row r="21424">
      <c r="A21424" s="4" t="s">
        <v>26979</v>
      </c>
      <c r="B21424" s="4" t="s">
        <v>26981</v>
      </c>
      <c r="C21424" s="5" t="str">
        <f>IFERROR(__xludf.DUMMYFUNCTION("GOOGLETRANSLATE(B21424,""en"",""fr"")"),"Des serviettes sont vues assises dans un évier et l'homme montre les outils de lavage des mains appropriés.")</f>
        <v>Des serviettes sont vues assises dans un évier et l'homme montre les outils de lavage des mains appropriés.</v>
      </c>
    </row>
    <row r="21425">
      <c r="A21425" s="4" t="s">
        <v>26979</v>
      </c>
      <c r="B21425" s="4" t="s">
        <v>26982</v>
      </c>
      <c r="C21425" s="5" t="str">
        <f>IFERROR(__xludf.DUMMYFUNCTION("GOOGLETRANSLATE(B21425,""en"",""fr"")"),"Il met ses mains sous l'évier avec du savon et se lave à fond la main.")</f>
        <v>Il met ses mains sous l'évier avec du savon et se lave à fond la main.</v>
      </c>
    </row>
    <row r="21426">
      <c r="A21426" s="4" t="s">
        <v>26979</v>
      </c>
      <c r="B21426" s="4" t="s">
        <v>26983</v>
      </c>
      <c r="C21426" s="5" t="str">
        <f>IFERROR(__xludf.DUMMYFUNCTION("GOOGLETRANSLATE(B21426,""en"",""fr"")"),"Il sèche ses mains et continue de parler à la caméra comment pourquoi cela est important.")</f>
        <v>Il sèche ses mains et continue de parler à la caméra comment pourquoi cela est important.</v>
      </c>
    </row>
    <row r="21427">
      <c r="A21427" s="4" t="s">
        <v>26984</v>
      </c>
      <c r="B21427" s="4" t="s">
        <v>26985</v>
      </c>
      <c r="C21427" s="5" t="str">
        <f>IFERROR(__xludf.DUMMYFUNCTION("GOOGLETRANSLATE(B21427,""en"",""fr"")"),"Nous voyons des infirmières donner des coups de feu aux enfants.")</f>
        <v>Nous voyons des infirmières donner des coups de feu aux enfants.</v>
      </c>
    </row>
    <row r="21428">
      <c r="A21428" s="4" t="s">
        <v>26984</v>
      </c>
      <c r="B21428" s="4" t="s">
        <v>26986</v>
      </c>
      <c r="C21428" s="5" t="str">
        <f>IFERROR(__xludf.DUMMYFUNCTION("GOOGLETRANSLATE(B21428,""en"",""fr"")"),"Nous voyons un laboratoire avec un scientifique.")</f>
        <v>Nous voyons un laboratoire avec un scientifique.</v>
      </c>
    </row>
    <row r="21429">
      <c r="A21429" s="4" t="s">
        <v>26984</v>
      </c>
      <c r="B21429" s="4" t="s">
        <v>26987</v>
      </c>
      <c r="C21429" s="5" t="str">
        <f>IFERROR(__xludf.DUMMYFUNCTION("GOOGLETRANSLATE(B21429,""en"",""fr"")"),"Nous voyons une personne dans une IRM et nous voyons un médecin examiner les résultats.")</f>
        <v>Nous voyons une personne dans une IRM et nous voyons un médecin examiner les résultats.</v>
      </c>
    </row>
    <row r="21430">
      <c r="A21430" s="4" t="s">
        <v>26984</v>
      </c>
      <c r="B21430" s="4" t="s">
        <v>26988</v>
      </c>
      <c r="C21430" s="5" t="str">
        <f>IFERROR(__xludf.DUMMYFUNCTION("GOOGLETRANSLATE(B21430,""en"",""fr"")"),"Le café est versé dans une tasse blanche.")</f>
        <v>Le café est versé dans une tasse blanche.</v>
      </c>
    </row>
    <row r="21431">
      <c r="A21431" s="4" t="s">
        <v>26984</v>
      </c>
      <c r="B21431" s="4" t="s">
        <v>26989</v>
      </c>
      <c r="C21431" s="5" t="str">
        <f>IFERROR(__xludf.DUMMYFUNCTION("GOOGLETRANSLATE(B21431,""en"",""fr"")"),"Les grains de café se déversent les uns sur les autres.")</f>
        <v>Les grains de café se déversent les uns sur les autres.</v>
      </c>
    </row>
    <row r="21432">
      <c r="A21432" s="4" t="s">
        <v>26984</v>
      </c>
      <c r="B21432" s="4" t="s">
        <v>26990</v>
      </c>
      <c r="C21432" s="5" t="str">
        <f>IFERROR(__xludf.DUMMYFUNCTION("GOOGLETRANSLATE(B21432,""en"",""fr"")"),"Nous voyons des gens faire du café dans un café.")</f>
        <v>Nous voyons des gens faire du café dans un café.</v>
      </c>
    </row>
    <row r="21433">
      <c r="A21433" s="4" t="s">
        <v>26991</v>
      </c>
      <c r="B21433" s="4" t="s">
        <v>21372</v>
      </c>
      <c r="C21433" s="5" t="str">
        <f>IFERROR(__xludf.DUMMYFUNCTION("GOOGLETRANSLATE(B21433,""en"",""fr"")"),"Une femme en chemise noire parle à la caméra.")</f>
        <v>Une femme en chemise noire parle à la caméra.</v>
      </c>
    </row>
    <row r="21434">
      <c r="A21434" s="4" t="s">
        <v>26991</v>
      </c>
      <c r="B21434" s="6" t="s">
        <v>26992</v>
      </c>
      <c r="C21434" s="5" t="str">
        <f>IFERROR(__xludf.DUMMYFUNCTION("GOOGLETRANSLATE(B21434,""en"",""fr"")"),"La scène passe à un tas de jeunes portant des morceaux de bois dans une zone ouverte à l'extérieur.")</f>
        <v>La scène passe à un tas de jeunes portant des morceaux de bois dans une zone ouverte à l'extérieur.</v>
      </c>
    </row>
    <row r="21435">
      <c r="A21435" s="4" t="s">
        <v>26991</v>
      </c>
      <c r="B21435" s="4" t="s">
        <v>26993</v>
      </c>
      <c r="C21435" s="5" t="str">
        <f>IFERROR(__xludf.DUMMYFUNCTION("GOOGLETRANSLATE(B21435,""en"",""fr"")"),"Ils commencent à tenter de couper le bois, mais ont du mal à sortir la hache au début.")</f>
        <v>Ils commencent à tenter de couper le bois, mais ont du mal à sortir la hache au début.</v>
      </c>
    </row>
    <row r="21436">
      <c r="A21436" s="4" t="s">
        <v>26991</v>
      </c>
      <c r="B21436" s="4" t="s">
        <v>26994</v>
      </c>
      <c r="C21436" s="5" t="str">
        <f>IFERROR(__xludf.DUMMYFUNCTION("GOOGLETRANSLATE(B21436,""en"",""fr"")"),"Une femme sort enfin la hache et commence à couper le bois.")</f>
        <v>Une femme sort enfin la hache et commence à couper le bois.</v>
      </c>
    </row>
    <row r="21437">
      <c r="A21437" s="4" t="s">
        <v>26991</v>
      </c>
      <c r="B21437" s="6" t="s">
        <v>26995</v>
      </c>
      <c r="C21437" s="5" t="str">
        <f>IFERROR(__xludf.DUMMYFUNCTION("GOOGLETRANSLATE(B21437,""en"",""fr"")"),"La caméra se déroule vers les spectateurs en tant que femme dans un bandana à couper le souffle le bois et prend un nœud.")</f>
        <v>La caméra se déroule vers les spectateurs en tant que femme dans un bandana à couper le souffle le bois et prend un nœud.</v>
      </c>
    </row>
    <row r="21438">
      <c r="A21438" s="4" t="s">
        <v>26991</v>
      </c>
      <c r="B21438" s="4" t="s">
        <v>26996</v>
      </c>
      <c r="C21438" s="5" t="str">
        <f>IFERROR(__xludf.DUMMYFUNCTION("GOOGLETRANSLATE(B21438,""en"",""fr"")"),"La scène revient à la femme au début de la vidéo.")</f>
        <v>La scène revient à la femme au début de la vidéo.</v>
      </c>
    </row>
    <row r="21439">
      <c r="A21439" s="4" t="s">
        <v>26991</v>
      </c>
      <c r="B21439" s="4" t="s">
        <v>26997</v>
      </c>
      <c r="C21439" s="5" t="str">
        <f>IFERROR(__xludf.DUMMYFUNCTION("GOOGLETRANSLATE(B21439,""en"",""fr"")"),"La vidéo se termine avec les femmes autour du bois surpris à mesure que quelque chose tombe.")</f>
        <v>La vidéo se termine avec les femmes autour du bois surpris à mesure que quelque chose tombe.</v>
      </c>
    </row>
    <row r="21440">
      <c r="A21440" s="4" t="s">
        <v>26998</v>
      </c>
      <c r="B21440" s="4" t="s">
        <v>26999</v>
      </c>
      <c r="C21440" s="5" t="str">
        <f>IFERROR(__xludf.DUMMYFUNCTION("GOOGLETRANSLATE(B21440,""en"",""fr"")"),"Une personne met des lunettes de sécurité et marche dans une porte dans une cour.")</f>
        <v>Une personne met des lunettes de sécurité et marche dans une porte dans une cour.</v>
      </c>
    </row>
    <row r="21441">
      <c r="A21441" s="4" t="s">
        <v>26998</v>
      </c>
      <c r="B21441" s="4" t="s">
        <v>27000</v>
      </c>
      <c r="C21441" s="5" t="str">
        <f>IFERROR(__xludf.DUMMYFUNCTION("GOOGLETRANSLATE(B21441,""en"",""fr"")"),"La personne souffle les feuilles d'une allée à l'aide d'un ventilateur électrique.")</f>
        <v>La personne souffle les feuilles d'une allée à l'aide d'un ventilateur électrique.</v>
      </c>
    </row>
    <row r="21442">
      <c r="A21442" s="4" t="s">
        <v>26998</v>
      </c>
      <c r="B21442" s="4" t="s">
        <v>27001</v>
      </c>
      <c r="C21442" s="5" t="str">
        <f>IFERROR(__xludf.DUMMYFUNCTION("GOOGLETRANSLATE(B21442,""en"",""fr"")"),"La personne souffle les feuilles d'une zone d'herbe à l'aide du ventilateur.")</f>
        <v>La personne souffle les feuilles d'une zone d'herbe à l'aide du ventilateur.</v>
      </c>
    </row>
    <row r="21443">
      <c r="A21443" s="4" t="s">
        <v>26998</v>
      </c>
      <c r="B21443" s="4" t="s">
        <v>27002</v>
      </c>
      <c r="C21443" s="5" t="str">
        <f>IFERROR(__xludf.DUMMYFUNCTION("GOOGLETRANSLATE(B21443,""en"",""fr"")"),"Le ventilateur est vu de près avec différents pièces jointes et paramètres présentés.")</f>
        <v>Le ventilateur est vu de près avec différents pièces jointes et paramètres présentés.</v>
      </c>
    </row>
    <row r="21444">
      <c r="A21444" s="4" t="s">
        <v>27003</v>
      </c>
      <c r="B21444" s="4" t="s">
        <v>27004</v>
      </c>
      <c r="C21444" s="5" t="str">
        <f>IFERROR(__xludf.DUMMYFUNCTION("GOOGLETRANSLATE(B21444,""en"",""fr"")"),"Un homme monte sur un carré dessiné dans la plage et fait tourner le corps d'avant en arrière.")</f>
        <v>Un homme monte sur un carré dessiné dans la plage et fait tourner le corps d'avant en arrière.</v>
      </c>
    </row>
    <row r="21445">
      <c r="A21445" s="4" t="s">
        <v>27003</v>
      </c>
      <c r="B21445" s="4" t="s">
        <v>27005</v>
      </c>
      <c r="C21445" s="5" t="str">
        <f>IFERROR(__xludf.DUMMYFUNCTION("GOOGLETRANSLATE(B21445,""en"",""fr"")"),"Ensuite, l'homme monte sur le triangle et fait des mouvements de la main, après que l'homme ait articulé les mains.")</f>
        <v>Ensuite, l'homme monte sur le triangle et fait des mouvements de la main, après que l'homme ait articulé les mains.</v>
      </c>
    </row>
    <row r="21446">
      <c r="A21446" s="4" t="s">
        <v>27006</v>
      </c>
      <c r="B21446" s="4" t="s">
        <v>27007</v>
      </c>
      <c r="C21446" s="5" t="str">
        <f>IFERROR(__xludf.DUMMYFUNCTION("GOOGLETRANSLATE(B21446,""en"",""fr"")"),"Un homme portant un tablier rit sur une table.")</f>
        <v>Un homme portant un tablier rit sur une table.</v>
      </c>
    </row>
    <row r="21447">
      <c r="A21447" s="4" t="s">
        <v>27006</v>
      </c>
      <c r="B21447" s="4" t="s">
        <v>27008</v>
      </c>
      <c r="C21447" s="5" t="str">
        <f>IFERROR(__xludf.DUMMYFUNCTION("GOOGLETRANSLATE(B21447,""en"",""fr"")"),"Il est montré avec un grand bol et plusieurs œufs fissurés.")</f>
        <v>Il est montré avec un grand bol et plusieurs œufs fissurés.</v>
      </c>
    </row>
    <row r="21448">
      <c r="A21448" s="4" t="s">
        <v>27006</v>
      </c>
      <c r="B21448" s="4" t="s">
        <v>27009</v>
      </c>
      <c r="C21448" s="5" t="str">
        <f>IFERROR(__xludf.DUMMYFUNCTION("GOOGLETRANSLATE(B21448,""en"",""fr"")"),"Il parle à un groupe de personnes sur ce qu'il faut faire avec les œufs.")</f>
        <v>Il parle à un groupe de personnes sur ce qu'il faut faire avec les œufs.</v>
      </c>
    </row>
    <row r="21449">
      <c r="A21449" s="4" t="s">
        <v>27006</v>
      </c>
      <c r="B21449" s="4" t="s">
        <v>27010</v>
      </c>
      <c r="C21449" s="5" t="str">
        <f>IFERROR(__xludf.DUMMYFUNCTION("GOOGLETRANSLATE(B21449,""en"",""fr"")"),"Il crée une omelette, puis la plaque.")</f>
        <v>Il crée une omelette, puis la plaque.</v>
      </c>
    </row>
    <row r="21450">
      <c r="A21450" s="4" t="s">
        <v>27011</v>
      </c>
      <c r="B21450" s="4" t="s">
        <v>27012</v>
      </c>
      <c r="C21450" s="5" t="str">
        <f>IFERROR(__xludf.DUMMYFUNCTION("GOOGLETRANSLATE(B21450,""en"",""fr"")"),"Un groupe d'hommes joue au volleyball sur la plage, 3 d'un côté et 2 de l'autre côté.")</f>
        <v>Un groupe d'hommes joue au volleyball sur la plage, 3 d'un côté et 2 de l'autre côté.</v>
      </c>
    </row>
    <row r="21451">
      <c r="A21451" s="4" t="s">
        <v>27011</v>
      </c>
      <c r="B21451" s="4" t="s">
        <v>27013</v>
      </c>
      <c r="C21451" s="5" t="str">
        <f>IFERROR(__xludf.DUMMYFUNCTION("GOOGLETRANSLATE(B21451,""en"",""fr"")"),"Une équipe tente de servir et elle s'écrase dans le filet.")</f>
        <v>Une équipe tente de servir et elle s'écrase dans le filet.</v>
      </c>
    </row>
    <row r="21452">
      <c r="A21452" s="4" t="s">
        <v>27011</v>
      </c>
      <c r="B21452" s="6" t="s">
        <v>27014</v>
      </c>
      <c r="C21452" s="5" t="str">
        <f>IFERROR(__xludf.DUMMYFUNCTION("GOOGLETRANSLATE(B21452,""en"",""fr"")"),"L'autre équipe (en désavantage numérique) envoie son propre service, un simple lob, mais l'équipe adverse élimine son retour hors des limites.")</f>
        <v>L'autre équipe (en désavantage numérique) envoie son propre service, un simple lob, mais l'équipe adverse élimine son retour hors des limites.</v>
      </c>
    </row>
    <row r="21453">
      <c r="A21453" s="4" t="s">
        <v>27015</v>
      </c>
      <c r="B21453" s="4" t="s">
        <v>27016</v>
      </c>
      <c r="C21453" s="5" t="str">
        <f>IFERROR(__xludf.DUMMYFUNCTION("GOOGLETRANSLATE(B21453,""en"",""fr"")"),"Les gens roulent dans un carnaval.")</f>
        <v>Les gens roulent dans un carnaval.</v>
      </c>
    </row>
    <row r="21454">
      <c r="A21454" s="4" t="s">
        <v>27015</v>
      </c>
      <c r="B21454" s="4" t="s">
        <v>27017</v>
      </c>
      <c r="C21454" s="5" t="str">
        <f>IFERROR(__xludf.DUMMYFUNCTION("GOOGLETRANSLATE(B21454,""en"",""fr"")"),"Un vieil homme chevauche une petite voiture pare-chocs.")</f>
        <v>Un vieil homme chevauche une petite voiture pare-chocs.</v>
      </c>
    </row>
    <row r="21455">
      <c r="A21455" s="4" t="s">
        <v>27015</v>
      </c>
      <c r="B21455" s="4" t="s">
        <v>27018</v>
      </c>
      <c r="C21455" s="5" t="str">
        <f>IFERROR(__xludf.DUMMYFUNCTION("GOOGLETRANSLATE(B21455,""en"",""fr"")"),"Plusieurs personnes sont coincées avec d'autres voitures tamponneuses.")</f>
        <v>Plusieurs personnes sont coincées avec d'autres voitures tamponneuses.</v>
      </c>
    </row>
    <row r="21456">
      <c r="A21456" s="4" t="s">
        <v>27015</v>
      </c>
      <c r="B21456" s="4" t="s">
        <v>27019</v>
      </c>
      <c r="C21456" s="5" t="str">
        <f>IFERROR(__xludf.DUMMYFUNCTION("GOOGLETRANSLATE(B21456,""en"",""fr"")"),"Il y a beaucoup de gens dans le carnaval.")</f>
        <v>Il y a beaucoup de gens dans le carnaval.</v>
      </c>
    </row>
    <row r="21457">
      <c r="A21457" s="4" t="s">
        <v>27020</v>
      </c>
      <c r="B21457" s="4" t="s">
        <v>27021</v>
      </c>
      <c r="C21457" s="5" t="str">
        <f>IFERROR(__xludf.DUMMYFUNCTION("GOOGLETRANSLATE(B21457,""en"",""fr"")"),"Une fille et un homme pratiquent la boxe dans un gymnase.")</f>
        <v>Une fille et un homme pratiquent la boxe dans un gymnase.</v>
      </c>
    </row>
    <row r="21458">
      <c r="A21458" s="4" t="s">
        <v>27020</v>
      </c>
      <c r="B21458" s="4" t="s">
        <v>27022</v>
      </c>
      <c r="C21458" s="5" t="str">
        <f>IFERROR(__xludf.DUMMYFUNCTION("GOOGLETRANSLATE(B21458,""en"",""fr"")"),"Il y a un sac de punch qui se balance en arrière-plan.")</f>
        <v>Il y a un sac de punch qui se balance en arrière-plan.</v>
      </c>
    </row>
    <row r="21459">
      <c r="A21459" s="4" t="s">
        <v>27020</v>
      </c>
      <c r="B21459" s="4" t="s">
        <v>27023</v>
      </c>
      <c r="C21459" s="5" t="str">
        <f>IFERROR(__xludf.DUMMYFUNCTION("GOOGLETRANSLATE(B21459,""en"",""fr"")"),"La fille et l'homme se déplacent sur le sol se balançant l'un sur l'autre.")</f>
        <v>La fille et l'homme se déplacent sur le sol se balançant l'un sur l'autre.</v>
      </c>
    </row>
    <row r="21460">
      <c r="A21460" s="4" t="s">
        <v>27024</v>
      </c>
      <c r="B21460" s="4" t="s">
        <v>27025</v>
      </c>
      <c r="C21460" s="5" t="str">
        <f>IFERROR(__xludf.DUMMYFUNCTION("GOOGLETRANSLATE(B21460,""en"",""fr"")"),"Les enfants pratiquent la gymnastique dans une pièce.")</f>
        <v>Les enfants pratiquent la gymnastique dans une pièce.</v>
      </c>
    </row>
    <row r="21461">
      <c r="A21461" s="4" t="s">
        <v>27024</v>
      </c>
      <c r="B21461" s="4" t="s">
        <v>27026</v>
      </c>
      <c r="C21461" s="5" t="str">
        <f>IFERROR(__xludf.DUMMYFUNCTION("GOOGLETRANSLATE(B21461,""en"",""fr"")"),"Une femme aide un enfant à faire un flip.")</f>
        <v>Une femme aide un enfant à faire un flip.</v>
      </c>
    </row>
    <row r="21462">
      <c r="A21462" s="4" t="s">
        <v>27024</v>
      </c>
      <c r="B21462" s="4" t="s">
        <v>27027</v>
      </c>
      <c r="C21462" s="5" t="str">
        <f>IFERROR(__xludf.DUMMYFUNCTION("GOOGLETRANSLATE(B21462,""en"",""fr"")"),"Certains enfants lancent un mur.")</f>
        <v>Certains enfants lancent un mur.</v>
      </c>
    </row>
    <row r="21463">
      <c r="A21463" s="4" t="s">
        <v>27024</v>
      </c>
      <c r="B21463" s="4" t="s">
        <v>27028</v>
      </c>
      <c r="C21463" s="5" t="str">
        <f>IFERROR(__xludf.DUMMYFUNCTION("GOOGLETRANSLATE(B21463,""en"",""fr"")"),"Certains autres enfants font plus de flips.")</f>
        <v>Certains autres enfants font plus de flips.</v>
      </c>
    </row>
    <row r="21464">
      <c r="A21464" s="4" t="s">
        <v>27029</v>
      </c>
      <c r="B21464" s="4" t="s">
        <v>27030</v>
      </c>
      <c r="C21464" s="5" t="str">
        <f>IFERROR(__xludf.DUMMYFUNCTION("GOOGLETRANSLATE(B21464,""en"",""fr"")"),"Un homme portant un chapeau parle sur une scène.")</f>
        <v>Un homme portant un chapeau parle sur une scène.</v>
      </c>
    </row>
    <row r="21465">
      <c r="A21465" s="4" t="s">
        <v>27029</v>
      </c>
      <c r="B21465" s="4" t="s">
        <v>27031</v>
      </c>
      <c r="C21465" s="5" t="str">
        <f>IFERROR(__xludf.DUMMYFUNCTION("GOOGLETRANSLATE(B21465,""en"",""fr"")"),"Une femme entre et elle commence à danser.")</f>
        <v>Une femme entre et elle commence à danser.</v>
      </c>
    </row>
    <row r="21466">
      <c r="A21466" s="4" t="s">
        <v>27029</v>
      </c>
      <c r="B21466" s="4" t="s">
        <v>27032</v>
      </c>
      <c r="C21466" s="5" t="str">
        <f>IFERROR(__xludf.DUMMYFUNCTION("GOOGLETRANSLATE(B21466,""en"",""fr"")"),"La femme allume un cerceau en feu, dansant avec le cerceau.")</f>
        <v>La femme allume un cerceau en feu, dansant avec le cerceau.</v>
      </c>
    </row>
    <row r="21467">
      <c r="A21467" s="4" t="s">
        <v>27033</v>
      </c>
      <c r="B21467" s="4" t="s">
        <v>27034</v>
      </c>
      <c r="C21467" s="5" t="str">
        <f>IFERROR(__xludf.DUMMYFUNCTION("GOOGLETRANSLATE(B21467,""en"",""fr"")"),"Un garçon rassemble un cube Rubix et le laisse tomber avec enthousiasme.")</f>
        <v>Un garçon rassemble un cube Rubix et le laisse tomber avec enthousiasme.</v>
      </c>
    </row>
    <row r="21468">
      <c r="A21468" s="4" t="s">
        <v>27033</v>
      </c>
      <c r="B21468" s="4" t="s">
        <v>27035</v>
      </c>
      <c r="C21468" s="5" t="str">
        <f>IFERROR(__xludf.DUMMYFUNCTION("GOOGLETRANSLATE(B21468,""en"",""fr"")"),"Il saute et applotte ses mains si heureuse à ce sujet.")</f>
        <v>Il saute et applotte ses mains si heureuse à ce sujet.</v>
      </c>
    </row>
    <row r="21469">
      <c r="A21469" s="4" t="s">
        <v>27033</v>
      </c>
      <c r="B21469" s="4" t="s">
        <v>27036</v>
      </c>
      <c r="C21469" s="5" t="str">
        <f>IFERROR(__xludf.DUMMYFUNCTION("GOOGLETRANSLATE(B21469,""en"",""fr"")"),"Un autre garçon le fait avec seulement ses pieds.")</f>
        <v>Un autre garçon le fait avec seulement ses pieds.</v>
      </c>
    </row>
    <row r="21470">
      <c r="A21470" s="4" t="s">
        <v>27033</v>
      </c>
      <c r="B21470" s="4" t="s">
        <v>27037</v>
      </c>
      <c r="C21470" s="5" t="str">
        <f>IFERROR(__xludf.DUMMYFUNCTION("GOOGLETRANSLATE(B21470,""en"",""fr"")"),"C'est une compétition, le public regarde les personnes en compétition sont chronométrées.")</f>
        <v>C'est une compétition, le public regarde les personnes en compétition sont chronométrées.</v>
      </c>
    </row>
    <row r="21471">
      <c r="A21471" s="4" t="s">
        <v>27038</v>
      </c>
      <c r="B21471" s="6" t="s">
        <v>27039</v>
      </c>
      <c r="C21471" s="5" t="str">
        <f>IFERROR(__xludf.DUMMYFUNCTION("GOOGLETRANSLATE(B21471,""en"",""fr"")"),"Les écrans commencent à apparaître avec des mots blancs sur eux décrivant des événements qui sont sur le point de se produire.")</f>
        <v>Les écrans commencent à apparaître avec des mots blancs sur eux décrivant des événements qui sont sur le point de se produire.</v>
      </c>
    </row>
    <row r="21472">
      <c r="A21472" s="4" t="s">
        <v>27038</v>
      </c>
      <c r="B21472" s="4" t="s">
        <v>27040</v>
      </c>
      <c r="C21472" s="5" t="str">
        <f>IFERROR(__xludf.DUMMYFUNCTION("GOOGLETRANSLATE(B21472,""en"",""fr"")"),"Une image immobile est ensuite montrée avant qu'un gars tente de faire plusieurs sauts de saut à la perche.")</f>
        <v>Une image immobile est ensuite montrée avant qu'un gars tente de faire plusieurs sauts de saut à la perche.</v>
      </c>
    </row>
    <row r="21473">
      <c r="A21473" s="4" t="s">
        <v>27038</v>
      </c>
      <c r="B21473" s="4" t="s">
        <v>27041</v>
      </c>
      <c r="C21473" s="5" t="str">
        <f>IFERROR(__xludf.DUMMYFUNCTION("GOOGLETRANSLATE(B21473,""en"",""fr"")"),"Un autre écran noir apparaît et une personne différente essaie de faire le saut mais il frappe également le poteau.")</f>
        <v>Un autre écran noir apparaît et une personne différente essaie de faire le saut mais il frappe également le poteau.</v>
      </c>
    </row>
    <row r="21474">
      <c r="A21474" s="4" t="s">
        <v>27038</v>
      </c>
      <c r="B21474" s="4" t="s">
        <v>27042</v>
      </c>
      <c r="C21474" s="5" t="str">
        <f>IFERROR(__xludf.DUMMYFUNCTION("GOOGLETRANSLATE(B21474,""en"",""fr"")"),"Une fois qu'il a terminé, un homme différent tente de le faire, mais il ne réussit pas non plus.")</f>
        <v>Une fois qu'il a terminé, un homme différent tente de le faire, mais il ne réussit pas non plus.</v>
      </c>
    </row>
    <row r="21475">
      <c r="A21475" s="4" t="s">
        <v>27043</v>
      </c>
      <c r="B21475" s="4" t="s">
        <v>27044</v>
      </c>
      <c r="C21475" s="5" t="str">
        <f>IFERROR(__xludf.DUMMYFUNCTION("GOOGLETRANSLATE(B21475,""en"",""fr"")"),"Une femme parle à la caméra tout en se tenant sur un fond blanc.")</f>
        <v>Une femme parle à la caméra tout en se tenant sur un fond blanc.</v>
      </c>
    </row>
    <row r="21476">
      <c r="A21476" s="4" t="s">
        <v>27043</v>
      </c>
      <c r="B21476" s="4" t="s">
        <v>27045</v>
      </c>
      <c r="C21476" s="5" t="str">
        <f>IFERROR(__xludf.DUMMYFUNCTION("GOOGLETRANSLATE(B21476,""en"",""fr"")"),"Elle tient un cerceau pendant qu'elle parle.")</f>
        <v>Elle tient un cerceau pendant qu'elle parle.</v>
      </c>
    </row>
    <row r="21477">
      <c r="A21477" s="4" t="s">
        <v>27043</v>
      </c>
      <c r="B21477" s="6" t="s">
        <v>27046</v>
      </c>
      <c r="C21477" s="5" t="str">
        <f>IFERROR(__xludf.DUMMYFUNCTION("GOOGLETRANSLATE(B21477,""en"",""fr"")"),"Elle montre ensuite comment utiliser le cerceau du hula tout en faisant des exercices et des pose de yoga, insérant parfois des parties de son corps dans le cerceau.")</f>
        <v>Elle montre ensuite comment utiliser le cerceau du hula tout en faisant des exercices et des pose de yoga, insérant parfois des parties de son corps dans le cerceau.</v>
      </c>
    </row>
    <row r="21478">
      <c r="A21478" s="4" t="s">
        <v>27047</v>
      </c>
      <c r="B21478" s="4" t="s">
        <v>27048</v>
      </c>
      <c r="C21478" s="5" t="str">
        <f>IFERROR(__xludf.DUMMYFUNCTION("GOOGLETRANSLATE(B21478,""en"",""fr"")"),"Les gens passent devant la caméra.")</f>
        <v>Les gens passent devant la caméra.</v>
      </c>
    </row>
    <row r="21479">
      <c r="A21479" s="4" t="s">
        <v>27047</v>
      </c>
      <c r="B21479" s="6" t="s">
        <v>27049</v>
      </c>
      <c r="C21479" s="5" t="str">
        <f>IFERROR(__xludf.DUMMYFUNCTION("GOOGLETRANSLATE(B21479,""en"",""fr"")"),"La caméra zoome pour montrer aux gens qui nagent dans la piscine et certains jouent au volleyball dans la piscine.")</f>
        <v>La caméra zoome pour montrer aux gens qui nagent dans la piscine et certains jouent au volleyball dans la piscine.</v>
      </c>
    </row>
    <row r="21480">
      <c r="A21480" s="4" t="s">
        <v>27047</v>
      </c>
      <c r="B21480" s="4" t="s">
        <v>27050</v>
      </c>
      <c r="C21480" s="5" t="str">
        <f>IFERROR(__xludf.DUMMYFUNCTION("GOOGLETRANSLATE(B21480,""en"",""fr"")"),"Une personne sort de la piscine et s'éloigne.")</f>
        <v>Une personne sort de la piscine et s'éloigne.</v>
      </c>
    </row>
    <row r="21481">
      <c r="A21481" s="4" t="s">
        <v>27047</v>
      </c>
      <c r="B21481" s="4" t="s">
        <v>27051</v>
      </c>
      <c r="C21481" s="5" t="str">
        <f>IFERROR(__xludf.DUMMYFUNCTION("GOOGLETRANSLATE(B21481,""en"",""fr"")"),"Une personne lance le ballon sur le visage de quelqu'un.")</f>
        <v>Une personne lance le ballon sur le visage de quelqu'un.</v>
      </c>
    </row>
    <row r="21482">
      <c r="A21482" s="4" t="s">
        <v>27047</v>
      </c>
      <c r="B21482" s="4" t="s">
        <v>27052</v>
      </c>
      <c r="C21482" s="5" t="str">
        <f>IFERROR(__xludf.DUMMYFUNCTION("GOOGLETRANSLATE(B21482,""en"",""fr"")"),"Les gens jettent les balles jusqu'à présent qu'ils sortent de la piscine.")</f>
        <v>Les gens jettent les balles jusqu'à présent qu'ils sortent de la piscine.</v>
      </c>
    </row>
    <row r="21483">
      <c r="A21483" s="4" t="s">
        <v>27053</v>
      </c>
      <c r="B21483" s="4" t="s">
        <v>27054</v>
      </c>
      <c r="C21483" s="5" t="str">
        <f>IFERROR(__xludf.DUMMYFUNCTION("GOOGLETRANSLATE(B21483,""en"",""fr"")"),"Une intro commence intitulée comment couper l'herbe.")</f>
        <v>Une intro commence intitulée comment couper l'herbe.</v>
      </c>
    </row>
    <row r="21484">
      <c r="A21484" s="4" t="s">
        <v>27053</v>
      </c>
      <c r="B21484" s="4" t="s">
        <v>27055</v>
      </c>
      <c r="C21484" s="5" t="str">
        <f>IFERROR(__xludf.DUMMYFUNCTION("GOOGLETRANSLATE(B21484,""en"",""fr"")"),"Un homme sort avec une tenue drôle et montrant la caméra avec une tondeuse à gazon.")</f>
        <v>Un homme sort avec une tenue drôle et montrant la caméra avec une tondeuse à gazon.</v>
      </c>
    </row>
    <row r="21485">
      <c r="A21485" s="4" t="s">
        <v>27053</v>
      </c>
      <c r="B21485" s="4" t="s">
        <v>27056</v>
      </c>
      <c r="C21485" s="5" t="str">
        <f>IFERROR(__xludf.DUMMYFUNCTION("GOOGLETRANSLATE(B21485,""en"",""fr"")"),"L'homme se promène ensuite et souffle les feuilles avec toujours la tenue drôle.")</f>
        <v>L'homme se promène ensuite et souffle les feuilles avec toujours la tenue drôle.</v>
      </c>
    </row>
    <row r="21486">
      <c r="A21486" s="4" t="s">
        <v>27057</v>
      </c>
      <c r="B21486" s="6" t="s">
        <v>27058</v>
      </c>
      <c r="C21486" s="5" t="str">
        <f>IFERROR(__xludf.DUMMYFUNCTION("GOOGLETRANSLATE(B21486,""en"",""fr"")"),"Une femme en uniforme de karaté blanc fait une démonstration d'une routine sur le tapis pour les juges pendant l'événement.")</f>
        <v>Une femme en uniforme de karaté blanc fait une démonstration d'une routine sur le tapis pour les juges pendant l'événement.</v>
      </c>
    </row>
    <row r="21487">
      <c r="A21487" s="4" t="s">
        <v>27057</v>
      </c>
      <c r="B21487" s="4" t="s">
        <v>27059</v>
      </c>
      <c r="C21487" s="5" t="str">
        <f>IFERROR(__xludf.DUMMYFUNCTION("GOOGLETRANSLATE(B21487,""en"",""fr"")"),"La femme s'incline et quitte le tapis.")</f>
        <v>La femme s'incline et quitte le tapis.</v>
      </c>
    </row>
    <row r="21488">
      <c r="A21488" s="4" t="s">
        <v>27057</v>
      </c>
      <c r="B21488" s="4" t="s">
        <v>27060</v>
      </c>
      <c r="C21488" s="5" t="str">
        <f>IFERROR(__xludf.DUMMYFUNCTION("GOOGLETRANSLATE(B21488,""en"",""fr"")"),"Une femme en uniforme noir serre la main de juges.")</f>
        <v>Une femme en uniforme noir serre la main de juges.</v>
      </c>
    </row>
    <row r="21489">
      <c r="A21489" s="4" t="s">
        <v>27057</v>
      </c>
      <c r="B21489" s="4" t="s">
        <v>27061</v>
      </c>
      <c r="C21489" s="5" t="str">
        <f>IFERROR(__xludf.DUMMYFUNCTION("GOOGLETRANSLATE(B21489,""en"",""fr"")"),"Une femme en uniforme blanche s'approche et salue les juges se serrant la main.")</f>
        <v>Une femme en uniforme blanche s'approche et salue les juges se serrant la main.</v>
      </c>
    </row>
    <row r="21490">
      <c r="A21490" s="4" t="s">
        <v>27062</v>
      </c>
      <c r="B21490" s="6" t="s">
        <v>27063</v>
      </c>
      <c r="C21490" s="5" t="str">
        <f>IFERROR(__xludf.DUMMYFUNCTION("GOOGLETRANSLATE(B21490,""en"",""fr"")"),"Il y a des gens qui volent des cerfs-volants collectivement dans un immense parking où plusieurs voitures et mini camionnettes sont garées.")</f>
        <v>Il y a des gens qui volent des cerfs-volants collectivement dans un immense parking où plusieurs voitures et mini camionnettes sont garées.</v>
      </c>
    </row>
    <row r="21491">
      <c r="A21491" s="4" t="s">
        <v>27062</v>
      </c>
      <c r="B21491" s="6" t="s">
        <v>27064</v>
      </c>
      <c r="C21491" s="5" t="str">
        <f>IFERROR(__xludf.DUMMYFUNCTION("GOOGLETRANSLATE(B21491,""en"",""fr"")"),"Il y a un homme dans une chemise à rayures bleues debout avec un autre homme dans une chemise brune, se préparant tous les deux à piloter leur cerf-volant orange.")</f>
        <v>Il y a un homme dans une chemise à rayures bleues debout avec un autre homme dans une chemise brune, se préparant tous les deux à piloter leur cerf-volant orange.</v>
      </c>
    </row>
    <row r="21492">
      <c r="A21492" s="4" t="s">
        <v>27062</v>
      </c>
      <c r="B21492" s="4" t="s">
        <v>27065</v>
      </c>
      <c r="C21492" s="5" t="str">
        <f>IFERROR(__xludf.DUMMYFUNCTION("GOOGLETRANSLATE(B21492,""en"",""fr"")"),"Ils retirent les cordes de la bobine et commencent à piloter le cerf-volant.")</f>
        <v>Ils retirent les cordes de la bobine et commencent à piloter le cerf-volant.</v>
      </c>
    </row>
    <row r="21493">
      <c r="A21493" s="4" t="s">
        <v>27066</v>
      </c>
      <c r="B21493" s="4" t="s">
        <v>27067</v>
      </c>
      <c r="C21493" s="5" t="str">
        <f>IFERROR(__xludf.DUMMYFUNCTION("GOOGLETRANSLATE(B21493,""en"",""fr"")"),"Deux garçons polissent des chaussures avec des pinceaux.")</f>
        <v>Deux garçons polissent des chaussures avec des pinceaux.</v>
      </c>
    </row>
    <row r="21494">
      <c r="A21494" s="4" t="s">
        <v>27066</v>
      </c>
      <c r="B21494" s="4" t="s">
        <v>27068</v>
      </c>
      <c r="C21494" s="5" t="str">
        <f>IFERROR(__xludf.DUMMYFUNCTION("GOOGLETRANSLATE(B21494,""en"",""fr"")"),"Ensuite, un garçon prend une chaussure pour jouer.")</f>
        <v>Ensuite, un garçon prend une chaussure pour jouer.</v>
      </c>
    </row>
    <row r="21495">
      <c r="A21495" s="4" t="s">
        <v>27066</v>
      </c>
      <c r="B21495" s="4" t="s">
        <v>27069</v>
      </c>
      <c r="C21495" s="5" t="str">
        <f>IFERROR(__xludf.DUMMYFUNCTION("GOOGLETRANSLATE(B21495,""en"",""fr"")"),"Un petit garçon a mis sa jambe dans une grosse chaussure et un poli avec une brosse.")</f>
        <v>Un petit garçon a mis sa jambe dans une grosse chaussure et un poli avec une brosse.</v>
      </c>
    </row>
    <row r="21496">
      <c r="A21496" s="4" t="s">
        <v>27066</v>
      </c>
      <c r="B21496" s="4" t="s">
        <v>27070</v>
      </c>
      <c r="C21496" s="5" t="str">
        <f>IFERROR(__xludf.DUMMYFUNCTION("GOOGLETRANSLATE(B21496,""en"",""fr"")"),"Ensuite, l'autre garçon a mis sa main dans la chaussure pour le polir.")</f>
        <v>Ensuite, l'autre garçon a mis sa main dans la chaussure pour le polir.</v>
      </c>
    </row>
    <row r="21497">
      <c r="A21497" s="4" t="s">
        <v>27071</v>
      </c>
      <c r="B21497" s="4" t="s">
        <v>27072</v>
      </c>
      <c r="C21497" s="5" t="str">
        <f>IFERROR(__xludf.DUMMYFUNCTION("GOOGLETRANSLATE(B21497,""en"",""fr"")"),"Deux hommes sont sur un terrain de racquetball intérieur.")</f>
        <v>Deux hommes sont sur un terrain de racquetball intérieur.</v>
      </c>
    </row>
    <row r="21498">
      <c r="A21498" s="4" t="s">
        <v>27071</v>
      </c>
      <c r="B21498" s="4" t="s">
        <v>2779</v>
      </c>
      <c r="C21498" s="5" t="str">
        <f>IFERROR(__xludf.DUMMYFUNCTION("GOOGLETRANSLATE(B21498,""en"",""fr"")"),"Ils ont frappé le ballon d'avant en arrière contre le mur.")</f>
        <v>Ils ont frappé le ballon d'avant en arrière contre le mur.</v>
      </c>
    </row>
    <row r="21499">
      <c r="A21499" s="4" t="s">
        <v>27071</v>
      </c>
      <c r="B21499" s="4" t="s">
        <v>27073</v>
      </c>
      <c r="C21499" s="5" t="str">
        <f>IFERROR(__xludf.DUMMYFUNCTION("GOOGLETRANSLATE(B21499,""en"",""fr"")"),"Ils ramassent le ballon et continuent de participer.")</f>
        <v>Ils ramassent le ballon et continuent de participer.</v>
      </c>
    </row>
    <row r="21500">
      <c r="A21500" s="4" t="s">
        <v>27074</v>
      </c>
      <c r="B21500" s="4" t="s">
        <v>27075</v>
      </c>
      <c r="C21500" s="5" t="str">
        <f>IFERROR(__xludf.DUMMYFUNCTION("GOOGLETRANSLATE(B21500,""en"",""fr"")"),"L'homme portant des shorts noirs court sur une piste de course et fait un lancer de javelot.")</f>
        <v>L'homme portant des shorts noirs court sur une piste de course et fait un lancer de javelot.</v>
      </c>
    </row>
    <row r="21501">
      <c r="A21501" s="4" t="s">
        <v>27074</v>
      </c>
      <c r="B21501" s="4" t="s">
        <v>27076</v>
      </c>
      <c r="C21501" s="5" t="str">
        <f>IFERROR(__xludf.DUMMYFUNCTION("GOOGLETRANSLATE(B21501,""en"",""fr"")"),"Les hommes sont assis sur un côté de la piste de course.")</f>
        <v>Les hommes sont assis sur un côté de la piste de course.</v>
      </c>
    </row>
    <row r="21502">
      <c r="A21502" s="4" t="s">
        <v>27074</v>
      </c>
      <c r="B21502" s="4" t="s">
        <v>27077</v>
      </c>
      <c r="C21502" s="5" t="str">
        <f>IFERROR(__xludf.DUMMYFUNCTION("GOOGLETRANSLATE(B21502,""en"",""fr"")"),"L'homme se tient dans un diamant poussiéreux derrière le filet vert.")</f>
        <v>L'homme se tient dans un diamant poussiéreux derrière le filet vert.</v>
      </c>
    </row>
    <row r="21503">
      <c r="A21503" s="4" t="s">
        <v>27074</v>
      </c>
      <c r="B21503" s="4" t="s">
        <v>27078</v>
      </c>
      <c r="C21503" s="5" t="str">
        <f>IFERROR(__xludf.DUMMYFUNCTION("GOOGLETRANSLATE(B21503,""en"",""fr"")"),"Les hommes se tiennent à côté d'un filet vert regardant le jet de javelot.")</f>
        <v>Les hommes se tiennent à côté d'un filet vert regardant le jet de javelot.</v>
      </c>
    </row>
    <row r="21504">
      <c r="A21504" s="4" t="s">
        <v>27074</v>
      </c>
      <c r="B21504" s="4" t="s">
        <v>27079</v>
      </c>
      <c r="C21504" s="5" t="str">
        <f>IFERROR(__xludf.DUMMYFUNCTION("GOOGLETRANSLATE(B21504,""en"",""fr"")"),"Les arbitres portant des chemises vertes se tiennent sur le terrain.")</f>
        <v>Les arbitres portant des chemises vertes se tiennent sur le terrain.</v>
      </c>
    </row>
    <row r="21505">
      <c r="A21505" s="4" t="s">
        <v>27080</v>
      </c>
      <c r="B21505" s="4" t="s">
        <v>27081</v>
      </c>
      <c r="C21505" s="5" t="str">
        <f>IFERROR(__xludf.DUMMYFUNCTION("GOOGLETRANSLATE(B21505,""en"",""fr"")"),"La femme est dans une cuisine en train de parler à la caméra et de montrer comment préparer des cookies.")</f>
        <v>La femme est dans une cuisine en train de parler à la caméra et de montrer comment préparer des cookies.</v>
      </c>
    </row>
    <row r="21506">
      <c r="A21506" s="4" t="s">
        <v>27080</v>
      </c>
      <c r="B21506" s="6" t="s">
        <v>27082</v>
      </c>
      <c r="C21506" s="5" t="str">
        <f>IFERROR(__xludf.DUMMYFUNCTION("GOOGLETRANSLATE(B21506,""en"",""fr"")"),"La femme mélange les ingrédients dans une aide de cuisine et fait des balles et les put dans une casserole et sur le four.")</f>
        <v>La femme mélange les ingrédients dans une aide de cuisine et fait des balles et les put dans une casserole et sur le four.</v>
      </c>
    </row>
    <row r="21507">
      <c r="A21507" s="4" t="s">
        <v>27083</v>
      </c>
      <c r="B21507" s="4" t="s">
        <v>27084</v>
      </c>
      <c r="C21507" s="5" t="str">
        <f>IFERROR(__xludf.DUMMYFUNCTION("GOOGLETRANSLATE(B21507,""en"",""fr"")"),"Une femme est vue regarder au loin en fumant une cigarette.")</f>
        <v>Une femme est vue regarder au loin en fumant une cigarette.</v>
      </c>
    </row>
    <row r="21508">
      <c r="A21508" s="4" t="s">
        <v>27083</v>
      </c>
      <c r="B21508" s="4" t="s">
        <v>27085</v>
      </c>
      <c r="C21508" s="5" t="str">
        <f>IFERROR(__xludf.DUMMYFUNCTION("GOOGLETRANSLATE(B21508,""en"",""fr"")"),"Elle parle à quelqu'un hors du cadre tout en prenant des bouffées de sa cigarette.")</f>
        <v>Elle parle à quelqu'un hors du cadre tout en prenant des bouffées de sa cigarette.</v>
      </c>
    </row>
    <row r="21509">
      <c r="A21509" s="4" t="s">
        <v>27083</v>
      </c>
      <c r="B21509" s="4" t="s">
        <v>27086</v>
      </c>
      <c r="C21509" s="5" t="str">
        <f>IFERROR(__xludf.DUMMYFUNCTION("GOOGLETRANSLATE(B21509,""en"",""fr"")"),"Elle continue de fumer pendant que la caméra capture ses mouvements.")</f>
        <v>Elle continue de fumer pendant que la caméra capture ses mouvements.</v>
      </c>
    </row>
    <row r="21510">
      <c r="A21510" s="4" t="s">
        <v>27087</v>
      </c>
      <c r="B21510" s="6" t="s">
        <v>27088</v>
      </c>
      <c r="C21510" s="5" t="str">
        <f>IFERROR(__xludf.DUMMYFUNCTION("GOOGLETRANSLATE(B21510,""en"",""fr"")"),"Une femme est vue en train de faire tourner deux cerceaux autour de ses mains tout en regardant la caméra et en parlant.")</f>
        <v>Une femme est vue en train de faire tourner deux cerceaux autour de ses mains tout en regardant la caméra et en parlant.</v>
      </c>
    </row>
    <row r="21511">
      <c r="A21511" s="4" t="s">
        <v>27087</v>
      </c>
      <c r="B21511" s="4" t="s">
        <v>27089</v>
      </c>
      <c r="C21511" s="5" t="str">
        <f>IFERROR(__xludf.DUMMYFUNCTION("GOOGLETRANSLATE(B21511,""en"",""fr"")"),"Elle continue de tourner autour des cerceaux tout en s'arrêtant entre les deux pour les tenir et parler.")</f>
        <v>Elle continue de tourner autour des cerceaux tout en s'arrêtant entre les deux pour les tenir et parler.</v>
      </c>
    </row>
    <row r="21512">
      <c r="A21512" s="4" t="s">
        <v>27090</v>
      </c>
      <c r="B21512" s="4" t="s">
        <v>27091</v>
      </c>
      <c r="C21512" s="5" t="str">
        <f>IFERROR(__xludf.DUMMYFUNCTION("GOOGLETRANSLATE(B21512,""en"",""fr"")"),"Un groupe de spectateurs est rassemblé dans un gymnase.")</f>
        <v>Un groupe de spectateurs est rassemblé dans un gymnase.</v>
      </c>
    </row>
    <row r="21513">
      <c r="A21513" s="4" t="s">
        <v>27090</v>
      </c>
      <c r="B21513" s="4" t="s">
        <v>27092</v>
      </c>
      <c r="C21513" s="5" t="str">
        <f>IFERROR(__xludf.DUMMYFUNCTION("GOOGLETRANSLATE(B21513,""en"",""fr"")"),"Un homme et ses coéquipiers poussent une rondelle.")</f>
        <v>Un homme et ses coéquipiers poussent une rondelle.</v>
      </c>
    </row>
    <row r="21514">
      <c r="A21514" s="4" t="s">
        <v>27090</v>
      </c>
      <c r="B21514" s="4" t="s">
        <v>27093</v>
      </c>
      <c r="C21514" s="5" t="str">
        <f>IFERROR(__xludf.DUMMYFUNCTION("GOOGLETRANSLATE(B21514,""en"",""fr"")"),"Ils sont engagés dans un jeu de curling sur la glace.")</f>
        <v>Ils sont engagés dans un jeu de curling sur la glace.</v>
      </c>
    </row>
    <row r="21515">
      <c r="A21515" s="4" t="s">
        <v>27094</v>
      </c>
      <c r="B21515" s="6" t="s">
        <v>27095</v>
      </c>
      <c r="C21515" s="5" t="str">
        <f>IFERROR(__xludf.DUMMYFUNCTION("GOOGLETRANSLATE(B21515,""en"",""fr"")"),"La caméra zoome sur plusieurs joueurs et mène à un petit groupe de personnes jouant le football les unes contre les autres.")</f>
        <v>La caméra zoome sur plusieurs joueurs et mène à un petit groupe de personnes jouant le football les unes contre les autres.</v>
      </c>
    </row>
    <row r="21516">
      <c r="A21516" s="4" t="s">
        <v>27094</v>
      </c>
      <c r="B21516" s="6" t="s">
        <v>27096</v>
      </c>
      <c r="C21516" s="5" t="str">
        <f>IFERROR(__xludf.DUMMYFUNCTION("GOOGLETRANSLATE(B21516,""en"",""fr"")"),"Les entraîneurs et les membres du public réagissent alors qu'ils regardent le match et les joueurs continuent de donner un coup de pied dans le ballon sur le terrain.")</f>
        <v>Les entraîneurs et les membres du public réagissent alors qu'ils regardent le match et les joueurs continuent de donner un coup de pied dans le ballon sur le terrain.</v>
      </c>
    </row>
    <row r="21517">
      <c r="A21517" s="4" t="s">
        <v>27097</v>
      </c>
      <c r="B21517" s="4" t="s">
        <v>27098</v>
      </c>
      <c r="C21517" s="5" t="str">
        <f>IFERROR(__xludf.DUMMYFUNCTION("GOOGLETRANSLATE(B21517,""en"",""fr"")"),"Un petit groupe de personnes est vu debout de chaque côté d'une corde qui lève les mains.")</f>
        <v>Un petit groupe de personnes est vu debout de chaque côté d'une corde qui lève les mains.</v>
      </c>
    </row>
    <row r="21518">
      <c r="A21518" s="4" t="s">
        <v>27097</v>
      </c>
      <c r="B21518" s="4" t="s">
        <v>27099</v>
      </c>
      <c r="C21518" s="5" t="str">
        <f>IFERROR(__xludf.DUMMYFUNCTION("GOOGLETRANSLATE(B21518,""en"",""fr"")"),"Les hommes saisissent ensuite la corde et se tirent les uns contre les autres.")</f>
        <v>Les hommes saisissent ensuite la corde et se tirent les uns contre les autres.</v>
      </c>
    </row>
    <row r="21519">
      <c r="A21519" s="4" t="s">
        <v>27097</v>
      </c>
      <c r="B21519" s="4" t="s">
        <v>27100</v>
      </c>
      <c r="C21519" s="5" t="str">
        <f>IFERROR(__xludf.DUMMYFUNCTION("GOOGLETRANSLATE(B21519,""en"",""fr"")"),"Les hommes regardent sur le côté une équipe gagne.")</f>
        <v>Les hommes regardent sur le côté une équipe gagne.</v>
      </c>
    </row>
    <row r="21520">
      <c r="A21520" s="4" t="s">
        <v>27101</v>
      </c>
      <c r="B21520" s="4" t="s">
        <v>27102</v>
      </c>
      <c r="C21520" s="5" t="str">
        <f>IFERROR(__xludf.DUMMYFUNCTION("GOOGLETRANSLATE(B21520,""en"",""fr"")"),"Un grand groupe de personnes est vue debout autour d'un gymnase intérieur les uns des autres.")</f>
        <v>Un grand groupe de personnes est vue debout autour d'un gymnase intérieur les uns des autres.</v>
      </c>
    </row>
    <row r="21521">
      <c r="A21521" s="4" t="s">
        <v>27101</v>
      </c>
      <c r="B21521" s="4" t="s">
        <v>27103</v>
      </c>
      <c r="C21521" s="5" t="str">
        <f>IFERROR(__xludf.DUMMYFUNCTION("GOOGLETRANSLATE(B21521,""en"",""fr"")"),"Le groupe commence alors à danser les uns avec les autres effectuant les mêmes mouvements.")</f>
        <v>Le groupe commence alors à danser les uns avec les autres effectuant les mêmes mouvements.</v>
      </c>
    </row>
    <row r="21522">
      <c r="A21522" s="4" t="s">
        <v>27101</v>
      </c>
      <c r="B21522" s="4" t="s">
        <v>27104</v>
      </c>
      <c r="C21522" s="5" t="str">
        <f>IFERROR(__xludf.DUMMYFUNCTION("GOOGLETRANSLATE(B21522,""en"",""fr"")"),"Les gens continuent de danser dans la pièce pendant que la caméra enregistre leurs mouvements.")</f>
        <v>Les gens continuent de danser dans la pièce pendant que la caméra enregistre leurs mouvements.</v>
      </c>
    </row>
    <row r="21523">
      <c r="A21523" s="4" t="s">
        <v>27105</v>
      </c>
      <c r="B21523" s="4" t="s">
        <v>539</v>
      </c>
      <c r="C21523" s="5" t="str">
        <f>IFERROR(__xludf.DUMMYFUNCTION("GOOGLETRANSLATE(B21523,""en"",""fr"")"),"Un homme parle à la caméra.")</f>
        <v>Un homme parle à la caméra.</v>
      </c>
    </row>
    <row r="21524">
      <c r="A21524" s="4" t="s">
        <v>27105</v>
      </c>
      <c r="B21524" s="4" t="s">
        <v>27106</v>
      </c>
      <c r="C21524" s="5" t="str">
        <f>IFERROR(__xludf.DUMMYFUNCTION("GOOGLETRANSLATE(B21524,""en"",""fr"")"),"Plusieurs membres de l'équipe des matchs de volleyball sont interviewés.")</f>
        <v>Plusieurs membres de l'équipe des matchs de volleyball sont interviewés.</v>
      </c>
    </row>
    <row r="21525">
      <c r="A21525" s="4" t="s">
        <v>27105</v>
      </c>
      <c r="B21525" s="4" t="s">
        <v>27107</v>
      </c>
      <c r="C21525" s="5" t="str">
        <f>IFERROR(__xludf.DUMMYFUNCTION("GOOGLETRANSLATE(B21525,""en"",""fr"")"),"Ils sont montrés en jouant sur la plage, donnant un coup de pied au ballon.")</f>
        <v>Ils sont montrés en jouant sur la plage, donnant un coup de pied au ballon.</v>
      </c>
    </row>
    <row r="21526">
      <c r="A21526" s="4" t="s">
        <v>27108</v>
      </c>
      <c r="B21526" s="4" t="s">
        <v>27109</v>
      </c>
      <c r="C21526" s="5" t="str">
        <f>IFERROR(__xludf.DUMMYFUNCTION("GOOGLETRANSLATE(B21526,""en"",""fr"")"),"Un homme est en compétition pour résoudre un cube de puzzle.")</f>
        <v>Un homme est en compétition pour résoudre un cube de puzzle.</v>
      </c>
    </row>
    <row r="21527">
      <c r="A21527" s="4" t="s">
        <v>27108</v>
      </c>
      <c r="B21527" s="4" t="s">
        <v>27110</v>
      </c>
      <c r="C21527" s="5" t="str">
        <f>IFERROR(__xludf.DUMMYFUNCTION("GOOGLETRANSLATE(B21527,""en"",""fr"")"),"Une personne passe derrière l'homme.")</f>
        <v>Une personne passe derrière l'homme.</v>
      </c>
    </row>
    <row r="21528">
      <c r="A21528" s="4" t="s">
        <v>27108</v>
      </c>
      <c r="B21528" s="4" t="s">
        <v>27111</v>
      </c>
      <c r="C21528" s="5" t="str">
        <f>IFERROR(__xludf.DUMMYFUNCTION("GOOGLETRANSLATE(B21528,""en"",""fr"")"),"Une main étend une feuille à l'avant le joueur.")</f>
        <v>Une main étend une feuille à l'avant le joueur.</v>
      </c>
    </row>
    <row r="21529">
      <c r="A21529" s="4" t="s">
        <v>27108</v>
      </c>
      <c r="B21529" s="4" t="s">
        <v>27112</v>
      </c>
      <c r="C21529" s="5" t="str">
        <f>IFERROR(__xludf.DUMMYFUNCTION("GOOGLETRANSLATE(B21529,""en"",""fr"")"),"Après avoir terminé, l'homme met ses lunettes.")</f>
        <v>Après avoir terminé, l'homme met ses lunettes.</v>
      </c>
    </row>
    <row r="21530">
      <c r="A21530" s="4" t="s">
        <v>27113</v>
      </c>
      <c r="B21530" s="4" t="s">
        <v>6958</v>
      </c>
      <c r="C21530" s="5" t="str">
        <f>IFERROR(__xludf.DUMMYFUNCTION("GOOGLETRANSLATE(B21530,""en"",""fr"")"),"Nous voyons un écran d'ouverture blanc.")</f>
        <v>Nous voyons un écran d'ouverture blanc.</v>
      </c>
    </row>
    <row r="21531">
      <c r="A21531" s="4" t="s">
        <v>27113</v>
      </c>
      <c r="B21531" s="4" t="s">
        <v>27114</v>
      </c>
      <c r="C21531" s="5" t="str">
        <f>IFERROR(__xludf.DUMMYFUNCTION("GOOGLETRANSLATE(B21531,""en"",""fr"")"),"Nous voyons deux hommes assis puis secouant la tête.")</f>
        <v>Nous voyons deux hommes assis puis secouant la tête.</v>
      </c>
    </row>
    <row r="21532">
      <c r="A21532" s="4" t="s">
        <v>27113</v>
      </c>
      <c r="B21532" s="4" t="s">
        <v>27115</v>
      </c>
      <c r="C21532" s="5" t="str">
        <f>IFERROR(__xludf.DUMMYFUNCTION("GOOGLETRANSLATE(B21532,""en"",""fr"")"),"Nous voyons des outils et des conseils pour le croquet.")</f>
        <v>Nous voyons des outils et des conseils pour le croquet.</v>
      </c>
    </row>
    <row r="21533">
      <c r="A21533" s="4" t="s">
        <v>27113</v>
      </c>
      <c r="B21533" s="4" t="s">
        <v>27116</v>
      </c>
      <c r="C21533" s="5" t="str">
        <f>IFERROR(__xludf.DUMMYFUNCTION("GOOGLETRANSLATE(B21533,""en"",""fr"")"),"Les deux hommes discutent du jeu.")</f>
        <v>Les deux hommes discutent du jeu.</v>
      </c>
    </row>
    <row r="21534">
      <c r="A21534" s="4" t="s">
        <v>27113</v>
      </c>
      <c r="B21534" s="4" t="s">
        <v>27117</v>
      </c>
      <c r="C21534" s="5" t="str">
        <f>IFERROR(__xludf.DUMMYFUNCTION("GOOGLETRANSLATE(B21534,""en"",""fr"")"),"Nous voyons les hommes jouer au croquet.")</f>
        <v>Nous voyons les hommes jouer au croquet.</v>
      </c>
    </row>
    <row r="21535">
      <c r="A21535" s="4" t="s">
        <v>27113</v>
      </c>
      <c r="B21535" s="4" t="s">
        <v>27118</v>
      </c>
      <c r="C21535" s="5" t="str">
        <f>IFERROR(__xludf.DUMMYFUNCTION("GOOGLETRANSLATE(B21535,""en"",""fr"")"),"Nous voyons un diagramme à l'écran.")</f>
        <v>Nous voyons un diagramme à l'écran.</v>
      </c>
    </row>
    <row r="21536">
      <c r="A21536" s="4" t="s">
        <v>27113</v>
      </c>
      <c r="B21536" s="4" t="s">
        <v>27119</v>
      </c>
      <c r="C21536" s="5" t="str">
        <f>IFERROR(__xludf.DUMMYFUNCTION("GOOGLETRANSLATE(B21536,""en"",""fr"")"),"L'homme a le pied sur une boule rouge.")</f>
        <v>L'homme a le pied sur une boule rouge.</v>
      </c>
    </row>
    <row r="21537">
      <c r="A21537" s="4" t="s">
        <v>27113</v>
      </c>
      <c r="B21537" s="4" t="s">
        <v>27120</v>
      </c>
      <c r="C21537" s="5" t="str">
        <f>IFERROR(__xludf.DUMMYFUNCTION("GOOGLETRANSLATE(B21537,""en"",""fr"")"),"Nous voyons un homme rire et danser tandis qu'un autre est bouleversé.")</f>
        <v>Nous voyons un homme rire et danser tandis qu'un autre est bouleversé.</v>
      </c>
    </row>
    <row r="21538">
      <c r="A21538" s="4" t="s">
        <v>27113</v>
      </c>
      <c r="B21538" s="4" t="s">
        <v>777</v>
      </c>
      <c r="C21538" s="5" t="str">
        <f>IFERROR(__xludf.DUMMYFUNCTION("GOOGLETRANSLATE(B21538,""en"",""fr"")"),"Nous voyons l'écran du titre de fin.")</f>
        <v>Nous voyons l'écran du titre de fin.</v>
      </c>
    </row>
    <row r="21539">
      <c r="A21539" s="4" t="s">
        <v>27121</v>
      </c>
      <c r="B21539" s="4" t="s">
        <v>27122</v>
      </c>
      <c r="C21539" s="5" t="str">
        <f>IFERROR(__xludf.DUMMYFUNCTION("GOOGLETRANSLATE(B21539,""en"",""fr"")"),"Un homme est vu assis dans un kayak tout en parlant à la caméra et en tenant une pagaie.")</f>
        <v>Un homme est vu assis dans un kayak tout en parlant à la caméra et en tenant une pagaie.</v>
      </c>
    </row>
    <row r="21540">
      <c r="A21540" s="4" t="s">
        <v>27121</v>
      </c>
      <c r="B21540" s="4" t="s">
        <v>27123</v>
      </c>
      <c r="C21540" s="5" t="str">
        <f>IFERROR(__xludf.DUMMYFUNCTION("GOOGLETRANSLATE(B21540,""en"",""fr"")"),"L'homme se déplace ensuite sur le kayak tout en démontrant comment se déplacer correctement.")</f>
        <v>L'homme se déplace ensuite sur le kayak tout en démontrant comment se déplacer correctement.</v>
      </c>
    </row>
    <row r="21541">
      <c r="A21541" s="4" t="s">
        <v>27121</v>
      </c>
      <c r="B21541" s="4" t="s">
        <v>27124</v>
      </c>
      <c r="C21541" s="5" t="str">
        <f>IFERROR(__xludf.DUMMYFUNCTION("GOOGLETRANSLATE(B21541,""en"",""fr"")"),"Il continue de tourner tout en regardant la caméra.")</f>
        <v>Il continue de tourner tout en regardant la caméra.</v>
      </c>
    </row>
    <row r="21542">
      <c r="A21542" s="4" t="s">
        <v>27125</v>
      </c>
      <c r="B21542" s="4" t="s">
        <v>27126</v>
      </c>
      <c r="C21542" s="5" t="str">
        <f>IFERROR(__xludf.DUMMYFUNCTION("GOOGLETRANSLATE(B21542,""en"",""fr"")"),"Un homme en lunettes de soleil se tient devant un bâtiment.")</f>
        <v>Un homme en lunettes de soleil se tient devant un bâtiment.</v>
      </c>
    </row>
    <row r="21543">
      <c r="A21543" s="4" t="s">
        <v>27125</v>
      </c>
      <c r="B21543" s="6" t="s">
        <v>27127</v>
      </c>
      <c r="C21543" s="5" t="str">
        <f>IFERROR(__xludf.DUMMYFUNCTION("GOOGLETRANSLATE(B21543,""en"",""fr"")"),"Il est ensuite vu à l'intérieur d'un ascenseur, agissant étrangement alors qu'il frappe l'air avec différentes personnes chevauchant.")</f>
        <v>Il est ensuite vu à l'intérieur d'un ascenseur, agissant étrangement alors qu'il frappe l'air avec différentes personnes chevauchant.</v>
      </c>
    </row>
    <row r="21544">
      <c r="A21544" s="4" t="s">
        <v>27125</v>
      </c>
      <c r="B21544" s="4" t="s">
        <v>27128</v>
      </c>
      <c r="C21544" s="5" t="str">
        <f>IFERROR(__xludf.DUMMYFUNCTION("GOOGLETRANSLATE(B21544,""en"",""fr"")"),"Il essaie intentionnellement de les effrayer et de les inquiéter.")</f>
        <v>Il essaie intentionnellement de les effrayer et de les inquiéter.</v>
      </c>
    </row>
    <row r="21545">
      <c r="A21545" s="4" t="s">
        <v>27129</v>
      </c>
      <c r="B21545" s="4" t="s">
        <v>27130</v>
      </c>
      <c r="C21545" s="5" t="str">
        <f>IFERROR(__xludf.DUMMYFUNCTION("GOOGLETRANSLATE(B21545,""en"",""fr"")"),"Quatre filles sont montrées en train de regarder dans la caméra.")</f>
        <v>Quatre filles sont montrées en train de regarder dans la caméra.</v>
      </c>
    </row>
    <row r="21546">
      <c r="A21546" s="4" t="s">
        <v>27129</v>
      </c>
      <c r="B21546" s="4" t="s">
        <v>27131</v>
      </c>
      <c r="C21546" s="5" t="str">
        <f>IFERROR(__xludf.DUMMYFUNCTION("GOOGLETRANSLATE(B21546,""en"",""fr"")"),"Une fille à l'avant commence à agiter une bouteille de rince-bouche.")</f>
        <v>Une fille à l'avant commence à agiter une bouteille de rince-bouche.</v>
      </c>
    </row>
    <row r="21547">
      <c r="A21547" s="4" t="s">
        <v>27129</v>
      </c>
      <c r="B21547" s="4" t="s">
        <v>27132</v>
      </c>
      <c r="C21547" s="5" t="str">
        <f>IFERROR(__xludf.DUMMYFUNCTION("GOOGLETRANSLATE(B21547,""en"",""fr"")"),"La fille prend alors une tasse de rince-bouche et la boit.")</f>
        <v>La fille prend alors une tasse de rince-bouche et la boit.</v>
      </c>
    </row>
    <row r="21548">
      <c r="A21548" s="4" t="s">
        <v>27129</v>
      </c>
      <c r="B21548" s="4" t="s">
        <v>27133</v>
      </c>
      <c r="C21548" s="5" t="str">
        <f>IFERROR(__xludf.DUMMYFUNCTION("GOOGLETRANSLATE(B21548,""en"",""fr"")"),"La tasse de rince-bouche est passée jusqu'à ce que toutes les filles en boivent.")</f>
        <v>La tasse de rince-bouche est passée jusqu'à ce que toutes les filles en boivent.</v>
      </c>
    </row>
    <row r="21549">
      <c r="A21549" s="4" t="s">
        <v>27134</v>
      </c>
      <c r="B21549" s="4" t="s">
        <v>27135</v>
      </c>
      <c r="C21549" s="5" t="str">
        <f>IFERROR(__xludf.DUMMYFUNCTION("GOOGLETRANSLATE(B21549,""en"",""fr"")"),"Plusieurs personnes commencent à entrer dans une pièce avec des chaussures de kangourou et à rebondir.")</f>
        <v>Plusieurs personnes commencent à entrer dans une pièce avec des chaussures de kangourou et à rebondir.</v>
      </c>
    </row>
    <row r="21550">
      <c r="A21550" s="4" t="s">
        <v>27134</v>
      </c>
      <c r="B21550" s="6" t="s">
        <v>27136</v>
      </c>
      <c r="C21550" s="5" t="str">
        <f>IFERROR(__xludf.DUMMYFUNCTION("GOOGLETRANSLATE(B21550,""en"",""fr"")"),"Sur le côté gauche de la pièce, il y a une barre sur deux poteaux qui mesure environ cinq pieds de haut pour que chaque personne se retire.")</f>
        <v>Sur le côté gauche de la pièce, il y a une barre sur deux poteaux qui mesure environ cinq pieds de haut pour que chaque personne se retire.</v>
      </c>
    </row>
    <row r="21551">
      <c r="A21551" s="4" t="s">
        <v>27137</v>
      </c>
      <c r="B21551" s="4" t="s">
        <v>27138</v>
      </c>
      <c r="C21551" s="5" t="str">
        <f>IFERROR(__xludf.DUMMYFUNCTION("GOOGLETRANSLATE(B21551,""en"",""fr"")"),"Les skieurs montent sur un lifting de ski.")</f>
        <v>Les skieurs montent sur un lifting de ski.</v>
      </c>
    </row>
    <row r="21552">
      <c r="A21552" s="4" t="s">
        <v>27137</v>
      </c>
      <c r="B21552" s="4" t="s">
        <v>27139</v>
      </c>
      <c r="C21552" s="5" t="str">
        <f>IFERROR(__xludf.DUMMYFUNCTION("GOOGLETRANSLATE(B21552,""en"",""fr"")"),"Un homme en skis jaunes sur une pente.")</f>
        <v>Un homme en skis jaunes sur une pente.</v>
      </c>
    </row>
    <row r="21553">
      <c r="A21553" s="4" t="s">
        <v>27137</v>
      </c>
      <c r="B21553" s="4" t="s">
        <v>27140</v>
      </c>
      <c r="C21553" s="5" t="str">
        <f>IFERROR(__xludf.DUMMYFUNCTION("GOOGLETRANSLATE(B21553,""en"",""fr"")"),"Plusieurs astuces sont réalisées par les skieurs.")</f>
        <v>Plusieurs astuces sont réalisées par les skieurs.</v>
      </c>
    </row>
    <row r="21554">
      <c r="A21554" s="4" t="s">
        <v>27137</v>
      </c>
      <c r="B21554" s="4" t="s">
        <v>27141</v>
      </c>
      <c r="C21554" s="5" t="str">
        <f>IFERROR(__xludf.DUMMYFUNCTION("GOOGLETRANSLATE(B21554,""en"",""fr"")"),"Ils sautent par-dessus plusieurs rampes.")</f>
        <v>Ils sautent par-dessus plusieurs rampes.</v>
      </c>
    </row>
    <row r="21555">
      <c r="A21555" s="4" t="s">
        <v>27142</v>
      </c>
      <c r="B21555" s="6" t="s">
        <v>27143</v>
      </c>
      <c r="C21555" s="5" t="str">
        <f>IFERROR(__xludf.DUMMYFUNCTION("GOOGLETRANSLATE(B21555,""en"",""fr"")"),"Le lituanien Zinaida Sendriute lance le disque 64 mètres pour conduire pour son troisième lancer, agitant vers la caméra alors qu'elle s'éloigne.")</f>
        <v>Le lituanien Zinaida Sendriute lance le disque 64 mètres pour conduire pour son troisième lancer, agitant vers la caméra alors qu'elle s'éloigne.</v>
      </c>
    </row>
    <row r="21556">
      <c r="A21556" s="4" t="s">
        <v>27142</v>
      </c>
      <c r="B21556" s="4" t="s">
        <v>27144</v>
      </c>
      <c r="C21556" s="5" t="str">
        <f>IFERROR(__xludf.DUMMYFUNCTION("GOOGLETRANSLATE(B21556,""en"",""fr"")"),"Cuban Yarelis Barrios est le suivant et déclenche un puissant lancer de 67 mètres avec un cri tonitruant.")</f>
        <v>Cuban Yarelis Barrios est le suivant et déclenche un puissant lancer de 67 mètres avec un cri tonitruant.</v>
      </c>
    </row>
    <row r="21557">
      <c r="A21557" s="4" t="s">
        <v>27142</v>
      </c>
      <c r="B21557" s="6" t="s">
        <v>27145</v>
      </c>
      <c r="C21557" s="5" t="str">
        <f>IFERROR(__xludf.DUMMYFUNCTION("GOOGLETRANSLATE(B21557,""en"",""fr"")"),"Croate Sandra Perkovic sur les distances des deux lanceurs précédents avec un lancer de 69 mètres pour réclamer la tête.")</f>
        <v>Croate Sandra Perkovic sur les distances des deux lanceurs précédents avec un lancer de 69 mètres pour réclamer la tête.</v>
      </c>
    </row>
    <row r="21558">
      <c r="A21558" s="4" t="s">
        <v>27146</v>
      </c>
      <c r="B21558" s="4" t="s">
        <v>27147</v>
      </c>
      <c r="C21558" s="5" t="str">
        <f>IFERROR(__xludf.DUMMYFUNCTION("GOOGLETRANSLATE(B21558,""en"",""fr"")"),"Un homme athlétique est vu se diriger vers un cercle et jeter un objet au loin.")</f>
        <v>Un homme athlétique est vu se diriger vers un cercle et jeter un objet au loin.</v>
      </c>
    </row>
    <row r="21559">
      <c r="A21559" s="4" t="s">
        <v>27146</v>
      </c>
      <c r="B21559" s="4" t="s">
        <v>27148</v>
      </c>
      <c r="C21559" s="5" t="str">
        <f>IFERROR(__xludf.DUMMYFUNCTION("GOOGLETRANSLATE(B21559,""en"",""fr"")"),"Son lancer est à nouveau montré tandis que d'autres mesurent son lancer sur le côté.")</f>
        <v>Son lancer est à nouveau montré tandis que d'autres mesurent son lancer sur le côté.</v>
      </c>
    </row>
    <row r="21560">
      <c r="A21560" s="4" t="s">
        <v>27146</v>
      </c>
      <c r="B21560" s="4" t="s">
        <v>27149</v>
      </c>
      <c r="C21560" s="5" t="str">
        <f>IFERROR(__xludf.DUMMYFUNCTION("GOOGLETRANSLATE(B21560,""en"",""fr"")"),"L'homme attrape un drapeau et se promène dans l'arène.")</f>
        <v>L'homme attrape un drapeau et se promène dans l'arène.</v>
      </c>
    </row>
    <row r="21561">
      <c r="A21561" s="4" t="s">
        <v>27150</v>
      </c>
      <c r="B21561" s="4" t="s">
        <v>27151</v>
      </c>
      <c r="C21561" s="5" t="str">
        <f>IFERROR(__xludf.DUMMYFUNCTION("GOOGLETRANSLATE(B21561,""en"",""fr"")"),"Un grand écran est montré suivi d'un groupe jouant sur scène.")</f>
        <v>Un grand écran est montré suivi d'un groupe jouant sur scène.</v>
      </c>
    </row>
    <row r="21562">
      <c r="A21562" s="4" t="s">
        <v>27150</v>
      </c>
      <c r="B21562" s="4" t="s">
        <v>27152</v>
      </c>
      <c r="C21562" s="5" t="str">
        <f>IFERROR(__xludf.DUMMYFUNCTION("GOOGLETRANSLATE(B21562,""en"",""fr"")"),"Un homme portant un costume de Mickey et jouant de la batterie.")</f>
        <v>Un homme portant un costume de Mickey et jouant de la batterie.</v>
      </c>
    </row>
    <row r="21563">
      <c r="A21563" s="4" t="s">
        <v>27150</v>
      </c>
      <c r="B21563" s="4" t="s">
        <v>27153</v>
      </c>
      <c r="C21563" s="5" t="str">
        <f>IFERROR(__xludf.DUMMYFUNCTION("GOOGLETRANSLATE(B21563,""en"",""fr"")"),"L'homme continue de jouer de la batterie et se termine avec la fermeture du rideau.")</f>
        <v>L'homme continue de jouer de la batterie et se termine avec la fermeture du rideau.</v>
      </c>
    </row>
    <row r="21564">
      <c r="A21564" s="4" t="s">
        <v>27154</v>
      </c>
      <c r="B21564" s="4" t="s">
        <v>27155</v>
      </c>
      <c r="C21564" s="5" t="str">
        <f>IFERROR(__xludf.DUMMYFUNCTION("GOOGLETRANSLATE(B21564,""en"",""fr"")"),"Nous voyons une citrouille sculptée et un écran de titre.")</f>
        <v>Nous voyons une citrouille sculptée et un écran de titre.</v>
      </c>
    </row>
    <row r="21565">
      <c r="A21565" s="4" t="s">
        <v>27154</v>
      </c>
      <c r="B21565" s="4" t="s">
        <v>27156</v>
      </c>
      <c r="C21565" s="5" t="str">
        <f>IFERROR(__xludf.DUMMYFUNCTION("GOOGLETRANSLATE(B21565,""en"",""fr"")"),"Un homme tire un visage sur une citrouille.")</f>
        <v>Un homme tire un visage sur une citrouille.</v>
      </c>
    </row>
    <row r="21566">
      <c r="A21566" s="4" t="s">
        <v>27154</v>
      </c>
      <c r="B21566" s="4" t="s">
        <v>27157</v>
      </c>
      <c r="C21566" s="5" t="str">
        <f>IFERROR(__xludf.DUMMYFUNCTION("GOOGLETRANSLATE(B21566,""en"",""fr"")"),"Un homme sculpte ensuite une citrouille en un vieil homme grondant.")</f>
        <v>Un homme sculpte ensuite une citrouille en un vieil homme grondant.</v>
      </c>
    </row>
    <row r="21567">
      <c r="A21567" s="4" t="s">
        <v>27154</v>
      </c>
      <c r="B21567" s="4" t="s">
        <v>27158</v>
      </c>
      <c r="C21567" s="5" t="str">
        <f>IFERROR(__xludf.DUMMYFUNCTION("GOOGLETRANSLATE(B21567,""en"",""fr"")"),"L'homme prend une image de la citrouille avec un téléphone.")</f>
        <v>L'homme prend une image de la citrouille avec un téléphone.</v>
      </c>
    </row>
    <row r="21568">
      <c r="A21568" s="4" t="s">
        <v>27154</v>
      </c>
      <c r="B21568" s="4" t="s">
        <v>27159</v>
      </c>
      <c r="C21568" s="5" t="str">
        <f>IFERROR(__xludf.DUMMYFUNCTION("GOOGLETRANSLATE(B21568,""en"",""fr"")"),"L'homme inclinait la citrouille dans la lumière.")</f>
        <v>L'homme inclinait la citrouille dans la lumière.</v>
      </c>
    </row>
    <row r="21569">
      <c r="A21569" s="4" t="s">
        <v>27154</v>
      </c>
      <c r="B21569" s="4" t="s">
        <v>27160</v>
      </c>
      <c r="C21569" s="5" t="str">
        <f>IFERROR(__xludf.DUMMYFUNCTION("GOOGLETRANSLATE(B21569,""en"",""fr"")"),"Nous voyons encore des photos de la citrouille sculptée.")</f>
        <v>Nous voyons encore des photos de la citrouille sculptée.</v>
      </c>
    </row>
    <row r="21570">
      <c r="A21570" s="4" t="s">
        <v>27154</v>
      </c>
      <c r="B21570" s="4" t="s">
        <v>27161</v>
      </c>
      <c r="C21570" s="5" t="str">
        <f>IFERROR(__xludf.DUMMYFUNCTION("GOOGLETRANSLATE(B21570,""en"",""fr"")"),"Nous voyons l'écran de fin avec un site Web.")</f>
        <v>Nous voyons l'écran de fin avec un site Web.</v>
      </c>
    </row>
    <row r="21571">
      <c r="A21571" s="4" t="s">
        <v>27162</v>
      </c>
      <c r="B21571" s="6" t="s">
        <v>27163</v>
      </c>
      <c r="C21571" s="5" t="str">
        <f>IFERROR(__xludf.DUMMYFUNCTION("GOOGLETRANSLATE(B21571,""en"",""fr"")"),"Un homme est vu debout sur une échelle et travaillant sur un toit pendant que la caméra capture ses mouvements.")</f>
        <v>Un homme est vu debout sur une échelle et travaillant sur un toit pendant que la caméra capture ses mouvements.</v>
      </c>
    </row>
    <row r="21572">
      <c r="A21572" s="4" t="s">
        <v>27162</v>
      </c>
      <c r="B21572" s="4" t="s">
        <v>27164</v>
      </c>
      <c r="C21572" s="5" t="str">
        <f>IFERROR(__xludf.DUMMYFUNCTION("GOOGLETRANSLATE(B21572,""en"",""fr"")"),"L'homme pulvérise ensuite le toit et recule et quatrième.")</f>
        <v>L'homme pulvérise ensuite le toit et recule et quatrième.</v>
      </c>
    </row>
    <row r="21573">
      <c r="A21573" s="4" t="s">
        <v>27165</v>
      </c>
      <c r="B21573" s="4" t="s">
        <v>27166</v>
      </c>
      <c r="C21573" s="5" t="str">
        <f>IFERROR(__xludf.DUMMYFUNCTION("GOOGLETRANSLATE(B21573,""en"",""fr"")"),"Un jeune garçon est assis devant un tambour.")</f>
        <v>Un jeune garçon est assis devant un tambour.</v>
      </c>
    </row>
    <row r="21574">
      <c r="A21574" s="4" t="s">
        <v>27165</v>
      </c>
      <c r="B21574" s="4" t="s">
        <v>27167</v>
      </c>
      <c r="C21574" s="5" t="str">
        <f>IFERROR(__xludf.DUMMYFUNCTION("GOOGLETRANSLATE(B21574,""en"",""fr"")"),"Il joue rapidement la batterie devant lui.")</f>
        <v>Il joue rapidement la batterie devant lui.</v>
      </c>
    </row>
    <row r="21575">
      <c r="A21575" s="4" t="s">
        <v>27165</v>
      </c>
      <c r="B21575" s="4" t="s">
        <v>27168</v>
      </c>
      <c r="C21575" s="5" t="str">
        <f>IFERROR(__xludf.DUMMYFUNCTION("GOOGLETRANSLATE(B21575,""en"",""fr"")"),"Il frappe également les cymbales plusieurs fois.")</f>
        <v>Il frappe également les cymbales plusieurs fois.</v>
      </c>
    </row>
    <row r="21576">
      <c r="A21576" s="4" t="s">
        <v>27169</v>
      </c>
      <c r="B21576" s="4" t="s">
        <v>27170</v>
      </c>
      <c r="C21576" s="5" t="str">
        <f>IFERROR(__xludf.DUMMYFUNCTION("GOOGLETRANSLATE(B21576,""en"",""fr"")"),"Nous voyons une dame dans un costume de danse.")</f>
        <v>Nous voyons une dame dans un costume de danse.</v>
      </c>
    </row>
    <row r="21577">
      <c r="A21577" s="4" t="s">
        <v>27169</v>
      </c>
      <c r="B21577" s="4" t="s">
        <v>27171</v>
      </c>
      <c r="C21577" s="5" t="str">
        <f>IFERROR(__xludf.DUMMYFUNCTION("GOOGLETRANSLATE(B21577,""en"",""fr"")"),"Elle pointe ses hanches et sa taille.")</f>
        <v>Elle pointe ses hanches et sa taille.</v>
      </c>
    </row>
    <row r="21578">
      <c r="A21578" s="4" t="s">
        <v>27169</v>
      </c>
      <c r="B21578" s="4" t="s">
        <v>27172</v>
      </c>
      <c r="C21578" s="5" t="str">
        <f>IFERROR(__xludf.DUMMYFUNCTION("GOOGLETRANSLATE(B21578,""en"",""fr"")"),"Elle commence à danser lentement.")</f>
        <v>Elle commence à danser lentement.</v>
      </c>
    </row>
    <row r="21579">
      <c r="A21579" s="4" t="s">
        <v>27169</v>
      </c>
      <c r="B21579" s="4" t="s">
        <v>27173</v>
      </c>
      <c r="C21579" s="5" t="str">
        <f>IFERROR(__xludf.DUMMYFUNCTION("GOOGLETRANSLATE(B21579,""en"",""fr"")"),"Elle ramasse la vitesse et tourne ses mains.")</f>
        <v>Elle ramasse la vitesse et tourne ses mains.</v>
      </c>
    </row>
    <row r="21580">
      <c r="A21580" s="4" t="s">
        <v>27169</v>
      </c>
      <c r="B21580" s="4" t="s">
        <v>27174</v>
      </c>
      <c r="C21580" s="5" t="str">
        <f>IFERROR(__xludf.DUMMYFUNCTION("GOOGLETRANSLATE(B21580,""en"",""fr"")"),"Elle va plus lentement puis redevient vite.")</f>
        <v>Elle va plus lentement puis redevient vite.</v>
      </c>
    </row>
    <row r="21581">
      <c r="A21581" s="4" t="s">
        <v>27169</v>
      </c>
      <c r="B21581" s="4" t="s">
        <v>27175</v>
      </c>
      <c r="C21581" s="5" t="str">
        <f>IFERROR(__xludf.DUMMYFUNCTION("GOOGLETRANSLATE(B21581,""en"",""fr"")"),"La dame termine sa danse, s'arrête et ses arcs.")</f>
        <v>La dame termine sa danse, s'arrête et ses arcs.</v>
      </c>
    </row>
    <row r="21582">
      <c r="A21582" s="4" t="s">
        <v>27176</v>
      </c>
      <c r="B21582" s="4" t="s">
        <v>27177</v>
      </c>
      <c r="C21582" s="5" t="str">
        <f>IFERROR(__xludf.DUMMYFUNCTION("GOOGLETRANSLATE(B21582,""en"",""fr"")"),"Un homme se tient près d'un bureau en parlant avec des entraîneurs de quelque chose.")</f>
        <v>Un homme se tient près d'un bureau en parlant avec des entraîneurs de quelque chose.</v>
      </c>
    </row>
    <row r="21583">
      <c r="A21583" s="4" t="s">
        <v>27176</v>
      </c>
      <c r="B21583" s="4" t="s">
        <v>27178</v>
      </c>
      <c r="C21583" s="5" t="str">
        <f>IFERROR(__xludf.DUMMYFUNCTION("GOOGLETRANSLATE(B21583,""en"",""fr"")"),"Il commence à marcher en arrière et à se préparer à commencer à courir.")</f>
        <v>Il commence à marcher en arrière et à se préparer à commencer à courir.</v>
      </c>
    </row>
    <row r="21584">
      <c r="A21584" s="4" t="s">
        <v>27176</v>
      </c>
      <c r="B21584" s="4" t="s">
        <v>27179</v>
      </c>
      <c r="C21584" s="5" t="str">
        <f>IFERROR(__xludf.DUMMYFUNCTION("GOOGLETRANSLATE(B21584,""en"",""fr"")"),"Il commence à courir et augmente la vitesse assez rapidement.")</f>
        <v>Il commence à courir et augmente la vitesse assez rapidement.</v>
      </c>
    </row>
    <row r="21585">
      <c r="A21585" s="4" t="s">
        <v>27176</v>
      </c>
      <c r="B21585" s="4" t="s">
        <v>27180</v>
      </c>
      <c r="C21585" s="5" t="str">
        <f>IFERROR(__xludf.DUMMYFUNCTION("GOOGLETRANSLATE(B21585,""en"",""fr"")"),"Il atterrit dans le sable et quand il a fini et l'homme vient derrière lui pour lisser le sable.")</f>
        <v>Il atterrit dans le sable et quand il a fini et l'homme vient derrière lui pour lisser le sable.</v>
      </c>
    </row>
    <row r="21586">
      <c r="A21586" s="4" t="s">
        <v>27181</v>
      </c>
      <c r="B21586" s="4" t="s">
        <v>27182</v>
      </c>
      <c r="C21586" s="5" t="str">
        <f>IFERROR(__xludf.DUMMYFUNCTION("GOOGLETRANSLATE(B21586,""en"",""fr"")"),"Une caméra montre un jeune enfant marchant dans un ensemble de jeux avec un chien errant dans le dos.")</f>
        <v>Une caméra montre un jeune enfant marchant dans un ensemble de jeux avec un chien errant dans le dos.</v>
      </c>
    </row>
    <row r="21587">
      <c r="A21587" s="4" t="s">
        <v>27181</v>
      </c>
      <c r="B21587" s="4" t="s">
        <v>27183</v>
      </c>
      <c r="C21587" s="5" t="str">
        <f>IFERROR(__xludf.DUMMYFUNCTION("GOOGLETRANSLATE(B21587,""en"",""fr"")"),"L'enfant grimpe un escalier et glisse sur une diapositive.")</f>
        <v>L'enfant grimpe un escalier et glisse sur une diapositive.</v>
      </c>
    </row>
    <row r="21588">
      <c r="A21588" s="4" t="s">
        <v>27184</v>
      </c>
      <c r="B21588" s="4" t="s">
        <v>27185</v>
      </c>
      <c r="C21588" s="5" t="str">
        <f>IFERROR(__xludf.DUMMYFUNCTION("GOOGLETRANSLATE(B21588,""en"",""fr"")"),"Un jeune homme est vu pagayer d'un canoë sur une rivière.")</f>
        <v>Un jeune homme est vu pagayer d'un canoë sur une rivière.</v>
      </c>
    </row>
    <row r="21589">
      <c r="A21589" s="4" t="s">
        <v>27184</v>
      </c>
      <c r="B21589" s="4" t="s">
        <v>27186</v>
      </c>
      <c r="C21589" s="5" t="str">
        <f>IFERROR(__xludf.DUMMYFUNCTION("GOOGLETRANSLATE(B21589,""en"",""fr"")"),"Il parle à la caméra à l'approche.")</f>
        <v>Il parle à la caméra à l'approche.</v>
      </c>
    </row>
    <row r="21590">
      <c r="A21590" s="4" t="s">
        <v>27184</v>
      </c>
      <c r="B21590" s="4" t="s">
        <v>27187</v>
      </c>
      <c r="C21590" s="5" t="str">
        <f>IFERROR(__xludf.DUMMYFUNCTION("GOOGLETRANSLATE(B21590,""en"",""fr"")"),"Il sort, continuant à parler de canoë.")</f>
        <v>Il sort, continuant à parler de canoë.</v>
      </c>
    </row>
    <row r="21591">
      <c r="A21591" s="4" t="s">
        <v>27188</v>
      </c>
      <c r="B21591" s="4" t="s">
        <v>27189</v>
      </c>
      <c r="C21591" s="5" t="str">
        <f>IFERROR(__xludf.DUMMYFUNCTION("GOOGLETRANSLATE(B21591,""en"",""fr"")"),"Une femme est vue en train de déplacer un cerceau près de près de la caméra.")</f>
        <v>Une femme est vue en train de déplacer un cerceau près de près de la caméra.</v>
      </c>
    </row>
    <row r="21592">
      <c r="A21592" s="4" t="s">
        <v>27188</v>
      </c>
      <c r="B21592" s="4" t="s">
        <v>27190</v>
      </c>
      <c r="C21592" s="5" t="str">
        <f>IFERROR(__xludf.DUMMYFUNCTION("GOOGLETRANSLATE(B21592,""en"",""fr"")"),"La fille parle ensuite à la caméra et mène à son tournant un cerceau.")</f>
        <v>La fille parle ensuite à la caméra et mène à son tournant un cerceau.</v>
      </c>
    </row>
    <row r="21593">
      <c r="A21593" s="4" t="s">
        <v>27188</v>
      </c>
      <c r="B21593" s="6" t="s">
        <v>27191</v>
      </c>
      <c r="C21593" s="5" t="str">
        <f>IFERROR(__xludf.DUMMYFUNCTION("GOOGLETRANSLATE(B21593,""en"",""fr"")"),"La femme continue de parler à la caméra tout en faisant tourner le cerceau et en montrant comment effectuer des mouvements appropriés.")</f>
        <v>La femme continue de parler à la caméra tout en faisant tourner le cerceau et en montrant comment effectuer des mouvements appropriés.</v>
      </c>
    </row>
    <row r="21594">
      <c r="A21594" s="4" t="s">
        <v>27192</v>
      </c>
      <c r="B21594" s="4" t="s">
        <v>27193</v>
      </c>
      <c r="C21594" s="5" t="str">
        <f>IFERROR(__xludf.DUMMYFUNCTION("GOOGLETRANSLATE(B21594,""en"",""fr"")"),"Plusieurs hommes dressés dans un équipement de crosse courent sur un champ.")</f>
        <v>Plusieurs hommes dressés dans un équipement de crosse courent sur un champ.</v>
      </c>
    </row>
    <row r="21595">
      <c r="A21595" s="4" t="s">
        <v>27192</v>
      </c>
      <c r="B21595" s="6" t="s">
        <v>27194</v>
      </c>
      <c r="C21595" s="5" t="str">
        <f>IFERROR(__xludf.DUMMYFUNCTION("GOOGLETRANSLATE(B21595,""en"",""fr"")"),"Les équipes adverses sont présentées dans plusieurs clips, se battant et frappant le ballon dans les buts de l'autre.")</f>
        <v>Les équipes adverses sont présentées dans plusieurs clips, se battant et frappant le ballon dans les buts de l'autre.</v>
      </c>
    </row>
    <row r="21596">
      <c r="A21596" s="4" t="s">
        <v>27195</v>
      </c>
      <c r="B21596" s="4" t="s">
        <v>27196</v>
      </c>
      <c r="C21596" s="5" t="str">
        <f>IFERROR(__xludf.DUMMYFUNCTION("GOOGLETRANSLATE(B21596,""en"",""fr"")"),"Plusieurs clips sont illustrés à des personnes soulevant des poids lourds et en sautant sur une piste.")</f>
        <v>Plusieurs clips sont illustrés à des personnes soulevant des poids lourds et en sautant sur une piste.</v>
      </c>
    </row>
    <row r="21597">
      <c r="A21597" s="4" t="s">
        <v>27195</v>
      </c>
      <c r="B21597" s="6" t="s">
        <v>27197</v>
      </c>
      <c r="C21597" s="5" t="str">
        <f>IFERROR(__xludf.DUMMYFUNCTION("GOOGLETRANSLATE(B21597,""en"",""fr"")"),"On voit des gens sauter par-dessus les pôles, s'accroupir avec des poids, ainsi que effectuer divers autres exercices.")</f>
        <v>On voit des gens sauter par-dessus les pôles, s'accroupir avec des poids, ainsi que effectuer divers autres exercices.</v>
      </c>
    </row>
    <row r="21598">
      <c r="A21598" s="4" t="s">
        <v>27195</v>
      </c>
      <c r="B21598" s="4" t="s">
        <v>27198</v>
      </c>
      <c r="C21598" s="5" t="str">
        <f>IFERROR(__xludf.DUMMYFUNCTION("GOOGLETRANSLATE(B21598,""en"",""fr"")"),"En fin de compte, plus de gens sont vus sauter par-dessus un poteau.")</f>
        <v>En fin de compte, plus de gens sont vus sauter par-dessus un poteau.</v>
      </c>
    </row>
    <row r="21599">
      <c r="A21599" s="4" t="s">
        <v>27199</v>
      </c>
      <c r="B21599" s="4" t="s">
        <v>27200</v>
      </c>
      <c r="C21599" s="5" t="str">
        <f>IFERROR(__xludf.DUMMYFUNCTION("GOOGLETRANSLATE(B21599,""en"",""fr"")"),"Plusieurs hommes de différents endroits sont à l'extérieur sur un grand terrain en jouant au cricket.")</f>
        <v>Plusieurs hommes de différents endroits sont à l'extérieur sur un grand terrain en jouant au cricket.</v>
      </c>
    </row>
    <row r="21600">
      <c r="A21600" s="4" t="s">
        <v>27199</v>
      </c>
      <c r="B21600" s="6" t="s">
        <v>27201</v>
      </c>
      <c r="C21600" s="5" t="str">
        <f>IFERROR(__xludf.DUMMYFUNCTION("GOOGLETRANSLATE(B21600,""en"",""fr"")"),"Les hommes viennent au milieu du terrain et se tiennent autour d'un petit rectangle et commencent à frapper le ballon extrêmement loin.")</f>
        <v>Les hommes viennent au milieu du terrain et se tiennent autour d'un petit rectangle et commencent à frapper le ballon extrêmement loin.</v>
      </c>
    </row>
    <row r="21601">
      <c r="A21601" s="4" t="s">
        <v>27199</v>
      </c>
      <c r="B21601" s="6" t="s">
        <v>27202</v>
      </c>
      <c r="C21601" s="5" t="str">
        <f>IFERROR(__xludf.DUMMYFUNCTION("GOOGLETRANSLATE(B21601,""en"",""fr"")"),"Alors que le ballon va au champ extérieur, les coéquipiers commencent à sauter de haut en bas et à applaudir leur équipe.")</f>
        <v>Alors que le ballon va au champ extérieur, les coéquipiers commencent à sauter de haut en bas et à applaudir leur équipe.</v>
      </c>
    </row>
    <row r="21602">
      <c r="A21602" s="4" t="s">
        <v>27199</v>
      </c>
      <c r="B21602" s="4" t="s">
        <v>27203</v>
      </c>
      <c r="C21602" s="5" t="str">
        <f>IFERROR(__xludf.DUMMYFUNCTION("GOOGLETRANSLATE(B21602,""en"",""fr"")"),"Enfin, un homme est montré en tenant un grand prix d'argent.")</f>
        <v>Enfin, un homme est montré en tenant un grand prix d'argent.</v>
      </c>
    </row>
    <row r="21603">
      <c r="A21603" s="4" t="s">
        <v>27204</v>
      </c>
      <c r="B21603" s="4" t="s">
        <v>27205</v>
      </c>
      <c r="C21603" s="5" t="str">
        <f>IFERROR(__xludf.DUMMYFUNCTION("GOOGLETRANSLATE(B21603,""en"",""fr"")"),"Un homme tire un ballon de basket dans un cerceau.")</f>
        <v>Un homme tire un ballon de basket dans un cerceau.</v>
      </c>
    </row>
    <row r="21604">
      <c r="A21604" s="4" t="s">
        <v>27204</v>
      </c>
      <c r="B21604" s="4" t="s">
        <v>27206</v>
      </c>
      <c r="C21604" s="5" t="str">
        <f>IFERROR(__xludf.DUMMYFUNCTION("GOOGLETRANSLATE(B21604,""en"",""fr"")"),"Un autre homme commence à tirer un ballon de basket dans le cerceau.")</f>
        <v>Un autre homme commence à tirer un ballon de basket dans le cerceau.</v>
      </c>
    </row>
    <row r="21605">
      <c r="A21605" s="4" t="s">
        <v>27204</v>
      </c>
      <c r="B21605" s="4" t="s">
        <v>27207</v>
      </c>
      <c r="C21605" s="5" t="str">
        <f>IFERROR(__xludf.DUMMYFUNCTION("GOOGLETRANSLATE(B21605,""en"",""fr"")"),"Le premier homme regarde le deuxième homme.")</f>
        <v>Le premier homme regarde le deuxième homme.</v>
      </c>
    </row>
    <row r="21606">
      <c r="A21606" s="4" t="s">
        <v>27208</v>
      </c>
      <c r="B21606" s="4" t="s">
        <v>27209</v>
      </c>
      <c r="C21606" s="5" t="str">
        <f>IFERROR(__xludf.DUMMYFUNCTION("GOOGLETRANSLATE(B21606,""en"",""fr"")"),"Nous voyons des enfants jouer à Dodge Ball dans un parc de trampoline.")</f>
        <v>Nous voyons des enfants jouer à Dodge Ball dans un parc de trampoline.</v>
      </c>
    </row>
    <row r="21607">
      <c r="A21607" s="4" t="s">
        <v>27208</v>
      </c>
      <c r="B21607" s="4" t="s">
        <v>27210</v>
      </c>
      <c r="C21607" s="5" t="str">
        <f>IFERROR(__xludf.DUMMYFUNCTION("GOOGLETRANSLATE(B21607,""en"",""fr"")"),"Nous voyons un garçon frapper avec le ballon et le jeter en arrière.")</f>
        <v>Nous voyons un garçon frapper avec le ballon et le jeter en arrière.</v>
      </c>
    </row>
    <row r="21608">
      <c r="A21608" s="4" t="s">
        <v>27208</v>
      </c>
      <c r="B21608" s="4" t="s">
        <v>27211</v>
      </c>
      <c r="C21608" s="5" t="str">
        <f>IFERROR(__xludf.DUMMYFUNCTION("GOOGLETRANSLATE(B21608,""en"",""fr"")"),"Nous voyons un garçon en vert jeter le ballon dur.")</f>
        <v>Nous voyons un garçon en vert jeter le ballon dur.</v>
      </c>
    </row>
    <row r="21609">
      <c r="A21609" s="4" t="s">
        <v>27208</v>
      </c>
      <c r="B21609" s="4" t="s">
        <v>27212</v>
      </c>
      <c r="C21609" s="5" t="str">
        <f>IFERROR(__xludf.DUMMYFUNCTION("GOOGLETRANSLATE(B21609,""en"",""fr"")"),"Le garçon en chemise rayée rejoint le jeu et le garçon en rouge est sorti.")</f>
        <v>Le garçon en chemise rayée rejoint le jeu et le garçon en rouge est sorti.</v>
      </c>
    </row>
    <row r="21610">
      <c r="A21610" s="4" t="s">
        <v>27208</v>
      </c>
      <c r="B21610" s="4" t="s">
        <v>27213</v>
      </c>
      <c r="C21610" s="5" t="str">
        <f>IFERROR(__xludf.DUMMYFUNCTION("GOOGLETRANSLATE(B21610,""en"",""fr"")"),"Une fille passe devant la caméra en agitant sa main.")</f>
        <v>Une fille passe devant la caméra en agitant sa main.</v>
      </c>
    </row>
    <row r="21611">
      <c r="A21611" s="4" t="s">
        <v>27208</v>
      </c>
      <c r="B21611" s="4" t="s">
        <v>27214</v>
      </c>
      <c r="C21611" s="5" t="str">
        <f>IFERROR(__xludf.DUMMYFUNCTION("GOOGLETRANSLATE(B21611,""en"",""fr"")"),"Un garçon en chemise jaune se dirige vers la caméra.")</f>
        <v>Un garçon en chemise jaune se dirige vers la caméra.</v>
      </c>
    </row>
    <row r="21612">
      <c r="A21612" s="4" t="s">
        <v>27215</v>
      </c>
      <c r="B21612" s="4" t="s">
        <v>27216</v>
      </c>
      <c r="C21612" s="5" t="str">
        <f>IFERROR(__xludf.DUMMYFUNCTION("GOOGLETRANSLATE(B21612,""en"",""fr"")"),"Les vieilles vidéos sont présentées sur des rencontres sur piste.")</f>
        <v>Les vieilles vidéos sont présentées sur des rencontres sur piste.</v>
      </c>
    </row>
    <row r="21613">
      <c r="A21613" s="4" t="s">
        <v>27215</v>
      </c>
      <c r="B21613" s="4" t="s">
        <v>27217</v>
      </c>
      <c r="C21613" s="5" t="str">
        <f>IFERROR(__xludf.DUMMYFUNCTION("GOOGLETRANSLATE(B21613,""en"",""fr"")"),"Un homme est montré plusieurs fois alors qu'il lance un disque.")</f>
        <v>Un homme est montré plusieurs fois alors qu'il lance un disque.</v>
      </c>
    </row>
    <row r="21614">
      <c r="A21614" s="4" t="s">
        <v>27215</v>
      </c>
      <c r="B21614" s="4" t="s">
        <v>27218</v>
      </c>
      <c r="C21614" s="5" t="str">
        <f>IFERROR(__xludf.DUMMYFUNCTION("GOOGLETRANSLATE(B21614,""en"",""fr"")"),"Il tourne en rond, puis jette le disque aussi loin que possible.")</f>
        <v>Il tourne en rond, puis jette le disque aussi loin que possible.</v>
      </c>
    </row>
    <row r="21615">
      <c r="A21615" s="4" t="s">
        <v>27219</v>
      </c>
      <c r="B21615" s="4" t="s">
        <v>27220</v>
      </c>
      <c r="C21615" s="5" t="str">
        <f>IFERROR(__xludf.DUMMYFUNCTION("GOOGLETRANSLATE(B21615,""en"",""fr"")"),"Les gymnastes font des routines tumultueuses avec des flips et des tours sur un tapis à l'intérieur d'une salle de sport.")</f>
        <v>Les gymnastes font des routines tumultueuses avec des flips et des tours sur un tapis à l'intérieur d'une salle de sport.</v>
      </c>
    </row>
    <row r="21616">
      <c r="A21616" s="4" t="s">
        <v>27219</v>
      </c>
      <c r="B21616" s="4" t="s">
        <v>27221</v>
      </c>
      <c r="C21616" s="5" t="str">
        <f>IFERROR(__xludf.DUMMYFUNCTION("GOOGLETRANSLATE(B21616,""en"",""fr"")"),"Les hommes se balancent à la main dans le cadre de sa routine de culbutage.")</f>
        <v>Les hommes se balancent à la main dans le cadre de sa routine de culbutage.</v>
      </c>
    </row>
    <row r="21617">
      <c r="A21617" s="4" t="s">
        <v>27219</v>
      </c>
      <c r="B21617" s="4" t="s">
        <v>27222</v>
      </c>
      <c r="C21617" s="5" t="str">
        <f>IFERROR(__xludf.DUMMYFUNCTION("GOOGLETRANSLATE(B21617,""en"",""fr"")"),"L'homme tombe par terre en se balançant sur les anneaux.")</f>
        <v>L'homme tombe par terre en se balançant sur les anneaux.</v>
      </c>
    </row>
    <row r="21618">
      <c r="A21618" s="4" t="s">
        <v>27219</v>
      </c>
      <c r="B21618" s="4" t="s">
        <v>27223</v>
      </c>
      <c r="C21618" s="5" t="str">
        <f>IFERROR(__xludf.DUMMYFUNCTION("GOOGLETRANSLATE(B21618,""en"",""fr"")"),"La gymnaste joue un peu en se battant l'oreille et en attendant qu'une autre personne efface le tapis.")</f>
        <v>La gymnaste joue un peu en se battant l'oreille et en attendant qu'une autre personne efface le tapis.</v>
      </c>
    </row>
    <row r="21619">
      <c r="A21619" s="4" t="s">
        <v>27224</v>
      </c>
      <c r="B21619" s="4" t="s">
        <v>27225</v>
      </c>
      <c r="C21619" s="5" t="str">
        <f>IFERROR(__xludf.DUMMYFUNCTION("GOOGLETRANSLATE(B21619,""en"",""fr"")"),"Un petit garçon est à l'intérieur d'une salle de garage.")</f>
        <v>Un petit garçon est à l'intérieur d'une salle de garage.</v>
      </c>
    </row>
    <row r="21620">
      <c r="A21620" s="4" t="s">
        <v>27224</v>
      </c>
      <c r="B21620" s="4" t="s">
        <v>27226</v>
      </c>
      <c r="C21620" s="5" t="str">
        <f>IFERROR(__xludf.DUMMYFUNCTION("GOOGLETRANSLATE(B21620,""en"",""fr"")"),"Il joue un grand jeu de tambour tout en portant des écouteurs.")</f>
        <v>Il joue un grand jeu de tambour tout en portant des écouteurs.</v>
      </c>
    </row>
    <row r="21621">
      <c r="A21621" s="4" t="s">
        <v>27224</v>
      </c>
      <c r="B21621" s="4" t="s">
        <v>27227</v>
      </c>
      <c r="C21621" s="5" t="str">
        <f>IFERROR(__xludf.DUMMYFUNCTION("GOOGLETRANSLATE(B21621,""en"",""fr"")"),"Il frappe fort les cymbales et les tambours avec les bâtons.")</f>
        <v>Il frappe fort les cymbales et les tambours avec les bâtons.</v>
      </c>
    </row>
    <row r="21622">
      <c r="A21622" s="4" t="s">
        <v>27228</v>
      </c>
      <c r="B21622" s="4" t="s">
        <v>27229</v>
      </c>
      <c r="C21622" s="5" t="str">
        <f>IFERROR(__xludf.DUMMYFUNCTION("GOOGLETRANSLATE(B21622,""en"",""fr"")"),"Une introduction mène à plusieurs plans de skateurs roulant sur des rails dans une grande ville.")</f>
        <v>Une introduction mène à plusieurs plans de skateurs roulant sur des rails dans une grande ville.</v>
      </c>
    </row>
    <row r="21623">
      <c r="A21623" s="4" t="s">
        <v>27228</v>
      </c>
      <c r="B21623" s="4" t="s">
        <v>27230</v>
      </c>
      <c r="C21623" s="5" t="str">
        <f>IFERROR(__xludf.DUMMYFUNCTION("GOOGLETRANSLATE(B21623,""en"",""fr"")"),"La caméra suit de près ces frontières alors qu'ils effectuent des astuces dans les escaliers et sur les bancs.")</f>
        <v>La caméra suit de près ces frontières alors qu'ils effectuent des astuces dans les escaliers et sur les bancs.</v>
      </c>
    </row>
    <row r="21624">
      <c r="A21624" s="4" t="s">
        <v>27228</v>
      </c>
      <c r="B21624" s="6" t="s">
        <v>27231</v>
      </c>
      <c r="C21624" s="5" t="str">
        <f>IFERROR(__xludf.DUMMYFUNCTION("GOOGLETRANSLATE(B21624,""en"",""fr"")"),"Les hommes continuent de patiner et se termine par une police souriante et donnant un coup de pouce à la caméra.")</f>
        <v>Les hommes continuent de patiner et se termine par une police souriante et donnant un coup de pouce à la caméra.</v>
      </c>
    </row>
    <row r="21625">
      <c r="A21625" s="4" t="s">
        <v>27232</v>
      </c>
      <c r="B21625" s="4" t="s">
        <v>27233</v>
      </c>
      <c r="C21625" s="5" t="str">
        <f>IFERROR(__xludf.DUMMYFUNCTION("GOOGLETRANSLATE(B21625,""en"",""fr"")"),"Un graphique de production est affiché avec un lien pour plus de médias.")</f>
        <v>Un graphique de production est affiché avec un lien pour plus de médias.</v>
      </c>
    </row>
    <row r="21626">
      <c r="A21626" s="4" t="s">
        <v>27232</v>
      </c>
      <c r="B21626" s="4" t="s">
        <v>27234</v>
      </c>
      <c r="C21626" s="5" t="str">
        <f>IFERROR(__xludf.DUMMYFUNCTION("GOOGLETRANSLATE(B21626,""en"",""fr"")"),"Cela s'estompe en un homme qui commence à jouer du saxophone dans son salon jusqu'à un microphone.")</f>
        <v>Cela s'estompe en un homme qui commence à jouer du saxophone dans son salon jusqu'à un microphone.</v>
      </c>
    </row>
    <row r="21627">
      <c r="A21627" s="4" t="s">
        <v>27232</v>
      </c>
      <c r="B21627" s="4" t="s">
        <v>27235</v>
      </c>
      <c r="C21627" s="5" t="str">
        <f>IFERROR(__xludf.DUMMYFUNCTION("GOOGLETRANSLATE(B21627,""en"",""fr"")"),"L'homme porte maintenant des lunettes de soleil en jouant, groove vers la musique.")</f>
        <v>L'homme porte maintenant des lunettes de soleil en jouant, groove vers la musique.</v>
      </c>
    </row>
    <row r="21628">
      <c r="A21628" s="4" t="s">
        <v>27232</v>
      </c>
      <c r="B21628" s="4" t="s">
        <v>27236</v>
      </c>
      <c r="C21628" s="5" t="str">
        <f>IFERROR(__xludf.DUMMYFUNCTION("GOOGLETRANSLATE(B21628,""en"",""fr"")"),"L'homme est montré sans les lunettes de soleil.")</f>
        <v>L'homme est montré sans les lunettes de soleil.</v>
      </c>
    </row>
    <row r="21629">
      <c r="A21629" s="4" t="s">
        <v>27232</v>
      </c>
      <c r="B21629" s="4" t="s">
        <v>27237</v>
      </c>
      <c r="C21629" s="5" t="str">
        <f>IFERROR(__xludf.DUMMYFUNCTION("GOOGLETRANSLATE(B21629,""en"",""fr"")"),"Une autre fenêtre affichant l'interprète est montrée dans le coin de la vidéo.")</f>
        <v>Une autre fenêtre affichant l'interprète est montrée dans le coin de la vidéo.</v>
      </c>
    </row>
    <row r="21630">
      <c r="A21630" s="4" t="s">
        <v>27238</v>
      </c>
      <c r="B21630" s="4" t="s">
        <v>27239</v>
      </c>
      <c r="C21630" s="5" t="str">
        <f>IFERROR(__xludf.DUMMYFUNCTION("GOOGLETRANSLATE(B21630,""en"",""fr"")"),"Un groupe de jeunes hommes est assis à des tables lors d'une compétition Rubiks Cube.")</f>
        <v>Un groupe de jeunes hommes est assis à des tables lors d'une compétition Rubiks Cube.</v>
      </c>
    </row>
    <row r="21631">
      <c r="A21631" s="4" t="s">
        <v>27238</v>
      </c>
      <c r="B21631" s="6" t="s">
        <v>27240</v>
      </c>
      <c r="C21631" s="5" t="str">
        <f>IFERROR(__xludf.DUMMYFUNCTION("GOOGLETRANSLATE(B21631,""en"",""fr"")"),"Un officiel retire un glissement de papier d'un cube Rubiks assis devant un jeune homme à la fin d'une table, après quoi le concurrent résout le cube et célèbre en lui frappant les mains sur la table.")</f>
        <v>Un officiel retire un glissement de papier d'un cube Rubiks assis devant un jeune homme à la fin d'une table, après quoi le concurrent résout le cube et célèbre en lui frappant les mains sur la table.</v>
      </c>
    </row>
    <row r="21632">
      <c r="A21632" s="4" t="s">
        <v>27238</v>
      </c>
      <c r="B21632" s="4" t="s">
        <v>27241</v>
      </c>
      <c r="C21632" s="5" t="str">
        <f>IFERROR(__xludf.DUMMYFUNCTION("GOOGLETRANSLATE(B21632,""en"",""fr"")"),"Un officiel soulève une tasse pour révéler un cube Rubiks que le même homme résout ensuite.")</f>
        <v>Un officiel soulève une tasse pour révéler un cube Rubiks que le même homme résout ensuite.</v>
      </c>
    </row>
    <row r="21633">
      <c r="A21633" s="4" t="s">
        <v>27238</v>
      </c>
      <c r="B21633" s="6" t="s">
        <v>27242</v>
      </c>
      <c r="C21633" s="5" t="str">
        <f>IFERROR(__xludf.DUMMYFUNCTION("GOOGLETRANSLATE(B21633,""en"",""fr"")"),"Un jeune homme portant une chemise beige résout un cube et presse ses mains vers son visage avant de se lever.")</f>
        <v>Un jeune homme portant une chemise beige résout un cube et presse ses mains vers son visage avant de se lever.</v>
      </c>
    </row>
    <row r="21634">
      <c r="A21634" s="4" t="s">
        <v>27238</v>
      </c>
      <c r="B21634" s="6" t="s">
        <v>27243</v>
      </c>
      <c r="C21634" s="5" t="str">
        <f>IFERROR(__xludf.DUMMYFUNCTION("GOOGLETRANSLATE(B21634,""en"",""fr"")"),"Un officiel retire un morceau de papier sur un cube alors que le jeune homme du sweat-shirt noir résout un autre cube.")</f>
        <v>Un officiel retire un morceau de papier sur un cube alors que le jeune homme du sweat-shirt noir résout un autre cube.</v>
      </c>
    </row>
    <row r="21635">
      <c r="A21635" s="4" t="s">
        <v>27238</v>
      </c>
      <c r="B21635" s="4" t="s">
        <v>27244</v>
      </c>
      <c r="C21635" s="5" t="str">
        <f>IFERROR(__xludf.DUMMYFUNCTION("GOOGLETRANSLATE(B21635,""en"",""fr"")"),"Le jeune homme résout deux autres cubes devant un fonctionnaire avant de se déplacer pour se lever.")</f>
        <v>Le jeune homme résout deux autres cubes devant un fonctionnaire avant de se déplacer pour se lever.</v>
      </c>
    </row>
    <row r="21636">
      <c r="A21636" s="4" t="s">
        <v>27245</v>
      </c>
      <c r="B21636" s="4" t="s">
        <v>27246</v>
      </c>
      <c r="C21636" s="5" t="str">
        <f>IFERROR(__xludf.DUMMYFUNCTION("GOOGLETRANSLATE(B21636,""en"",""fr"")"),"Une grande arène de balle de peinture est représentée avec un groupe de personnes qui se tiennent sur le côté.")</f>
        <v>Une grande arène de balle de peinture est représentée avec un groupe de personnes qui se tiennent sur le côté.</v>
      </c>
    </row>
    <row r="21637">
      <c r="A21637" s="4" t="s">
        <v>27245</v>
      </c>
      <c r="B21637" s="4" t="s">
        <v>27247</v>
      </c>
      <c r="C21637" s="5" t="str">
        <f>IFERROR(__xludf.DUMMYFUNCTION("GOOGLETRANSLATE(B21637,""en"",""fr"")"),"Les gens commencent alors à courir autour du parcours en tirant sur des armes à feu.")</f>
        <v>Les gens commencent alors à courir autour du parcours en tirant sur des armes à feu.</v>
      </c>
    </row>
    <row r="21638">
      <c r="A21638" s="4" t="s">
        <v>27245</v>
      </c>
      <c r="B21638" s="4" t="s">
        <v>27248</v>
      </c>
      <c r="C21638" s="5" t="str">
        <f>IFERROR(__xludf.DUMMYFUNCTION("GOOGLETRANSLATE(B21638,""en"",""fr"")"),"Les gens continuent de courir et m'arrêtent la fin pour se parler.")</f>
        <v>Les gens continuent de courir et m'arrêtent la fin pour se parler.</v>
      </c>
    </row>
    <row r="21639">
      <c r="A21639" s="4" t="s">
        <v>27249</v>
      </c>
      <c r="B21639" s="4" t="s">
        <v>27250</v>
      </c>
      <c r="C21639" s="5" t="str">
        <f>IFERROR(__xludf.DUMMYFUNCTION("GOOGLETRANSLATE(B21639,""en"",""fr"")"),"Certains enfants en classe sont sur le point de commencer la lutte des bras, ils mettent leurs bras en place pour commencer.")</f>
        <v>Certains enfants en classe sont sur le point de commencer la lutte des bras, ils mettent leurs bras en place pour commencer.</v>
      </c>
    </row>
    <row r="21640">
      <c r="A21640" s="4" t="s">
        <v>27249</v>
      </c>
      <c r="B21640" s="4" t="s">
        <v>27251</v>
      </c>
      <c r="C21640" s="5" t="str">
        <f>IFERROR(__xludf.DUMMYFUNCTION("GOOGLETRANSLATE(B21640,""en"",""fr"")"),"L'autre enfant sur le côté se sent sur l'un des muscles des lutteurs.")</f>
        <v>L'autre enfant sur le côté se sent sur l'un des muscles des lutteurs.</v>
      </c>
    </row>
    <row r="21641">
      <c r="A21641" s="4" t="s">
        <v>27249</v>
      </c>
      <c r="B21641" s="4" t="s">
        <v>27252</v>
      </c>
      <c r="C21641" s="5" t="str">
        <f>IFERROR(__xludf.DUMMYFUNCTION("GOOGLETRANSLATE(B21641,""en"",""fr"")"),"Il écrit les choses en gardant le score et quoi non.")</f>
        <v>Il écrit les choses en gardant le score et quoi non.</v>
      </c>
    </row>
    <row r="21642">
      <c r="A21642" s="4" t="s">
        <v>27249</v>
      </c>
      <c r="B21642" s="4" t="s">
        <v>27253</v>
      </c>
      <c r="C21642" s="5" t="str">
        <f>IFERROR(__xludf.DUMMYFUNCTION("GOOGLETRANSLATE(B21642,""en"",""fr"")"),"Le lutteur de bras féminin gagne en faisant tomber le bras des autres gars.")</f>
        <v>Le lutteur de bras féminin gagne en faisant tomber le bras des autres gars.</v>
      </c>
    </row>
    <row r="21643">
      <c r="A21643" s="4" t="s">
        <v>27254</v>
      </c>
      <c r="B21643" s="6" t="s">
        <v>27255</v>
      </c>
      <c r="C21643" s="5" t="str">
        <f>IFERROR(__xludf.DUMMYFUNCTION("GOOGLETRANSLATE(B21643,""en"",""fr"")"),"Un homme coupe un mur de feuillage à l'extérieur, tout en portant des shorts et une paire d'écouteurs d'annulation de bruit avec un outil motorisé de coupe d'arbre.")</f>
        <v>Un homme coupe un mur de feuillage à l'extérieur, tout en portant des shorts et une paire d'écouteurs d'annulation de bruit avec un outil motorisé de coupe d'arbre.</v>
      </c>
    </row>
    <row r="21644">
      <c r="A21644" s="4" t="s">
        <v>27254</v>
      </c>
      <c r="B21644" s="6" t="s">
        <v>27256</v>
      </c>
      <c r="C21644" s="5" t="str">
        <f>IFERROR(__xludf.DUMMYFUNCTION("GOOGLETRANSLATE(B21644,""en"",""fr"")"),"L'homme fait une pause puis grimpe une échelle et utilise l'outil avec un bras étendu pour couper le haut du mur du haut de l'échelle.")</f>
        <v>L'homme fait une pause puis grimpe une échelle et utilise l'outil avec un bras étendu pour couper le haut du mur du haut de l'échelle.</v>
      </c>
    </row>
    <row r="21645">
      <c r="A21645" s="4" t="s">
        <v>27254</v>
      </c>
      <c r="B21645" s="4" t="s">
        <v>27257</v>
      </c>
      <c r="C21645" s="5" t="str">
        <f>IFERROR(__xludf.DUMMYFUNCTION("GOOGLETRANSLATE(B21645,""en"",""fr"")"),"L'homme déplace ensuite l'échelle sur la longueur du mur pour continuer à couper le feuillage.")</f>
        <v>L'homme déplace ensuite l'échelle sur la longueur du mur pour continuer à couper le feuillage.</v>
      </c>
    </row>
    <row r="21646">
      <c r="A21646" s="4" t="s">
        <v>27258</v>
      </c>
      <c r="B21646" s="6" t="s">
        <v>27259</v>
      </c>
      <c r="C21646" s="5" t="str">
        <f>IFERROR(__xludf.DUMMYFUNCTION("GOOGLETRANSLATE(B21646,""en"",""fr"")"),"Un homme est vu parler à la caméra tenant un volleyball et mène à des coups de feu en frappant le ballon.")</f>
        <v>Un homme est vu parler à la caméra tenant un volleyball et mène à des coups de feu en frappant le ballon.</v>
      </c>
    </row>
    <row r="21647">
      <c r="A21647" s="4" t="s">
        <v>27258</v>
      </c>
      <c r="B21647" s="4" t="s">
        <v>27260</v>
      </c>
      <c r="C21647" s="5" t="str">
        <f>IFERROR(__xludf.DUMMYFUNCTION("GOOGLETRANSLATE(B21647,""en"",""fr"")"),"Il continue de parler à la caméra tout en tenant le ballon et en regardant au loin.")</f>
        <v>Il continue de parler à la caméra tout en tenant le ballon et en regardant au loin.</v>
      </c>
    </row>
    <row r="21648">
      <c r="A21648" s="4" t="s">
        <v>27261</v>
      </c>
      <c r="B21648" s="4" t="s">
        <v>27262</v>
      </c>
      <c r="C21648" s="5" t="str">
        <f>IFERROR(__xludf.DUMMYFUNCTION("GOOGLETRANSLATE(B21648,""en"",""fr"")"),"Une personne est montrée sur des skis roulant derrière un bateau sur l'eau effectuant diverses tours.")</f>
        <v>Une personne est montrée sur des skis roulant derrière un bateau sur l'eau effectuant diverses tours.</v>
      </c>
    </row>
    <row r="21649">
      <c r="A21649" s="4" t="s">
        <v>27261</v>
      </c>
      <c r="B21649" s="4" t="s">
        <v>27263</v>
      </c>
      <c r="C21649" s="5" t="str">
        <f>IFERROR(__xludf.DUMMYFUNCTION("GOOGLETRANSLATE(B21649,""en"",""fr"")"),"L'homme continue de faire plusieurs astuces différentes sur les skis et le bateau se déplaçant beaucoup plus rapidement.")</f>
        <v>L'homme continue de faire plusieurs astuces différentes sur les skis et le bateau se déplaçant beaucoup plus rapidement.</v>
      </c>
    </row>
    <row r="21650">
      <c r="A21650" s="4" t="s">
        <v>27264</v>
      </c>
      <c r="B21650" s="4" t="s">
        <v>27265</v>
      </c>
      <c r="C21650" s="5" t="str">
        <f>IFERROR(__xludf.DUMMYFUNCTION("GOOGLETRANSLATE(B21650,""en"",""fr"")"),"Une personne est vue rouler sur une tondeuse à gazon coupant l'herbe dans un grand champ.")</f>
        <v>Une personne est vue rouler sur une tondeuse à gazon coupant l'herbe dans un grand champ.</v>
      </c>
    </row>
    <row r="21651">
      <c r="A21651" s="4" t="s">
        <v>27264</v>
      </c>
      <c r="B21651" s="4" t="s">
        <v>27266</v>
      </c>
      <c r="C21651" s="5" t="str">
        <f>IFERROR(__xludf.DUMMYFUNCTION("GOOGLETRANSLATE(B21651,""en"",""fr"")"),"Le jeune garçon se rapproche de la caméra tout en conduisant et en coupant l'herbe.")</f>
        <v>Le jeune garçon se rapproche de la caméra tout en conduisant et en coupant l'herbe.</v>
      </c>
    </row>
    <row r="21652">
      <c r="A21652" s="4" t="s">
        <v>27267</v>
      </c>
      <c r="B21652" s="4" t="s">
        <v>27268</v>
      </c>
      <c r="C21652" s="5" t="str">
        <f>IFERROR(__xludf.DUMMYFUNCTION("GOOGLETRANSLATE(B21652,""en"",""fr"")"),"Deux danses de salle de bal sont représentées effectuant une routine dans un grand auditorium.")</f>
        <v>Deux danses de salle de bal sont représentées effectuant une routine dans un grand auditorium.</v>
      </c>
    </row>
    <row r="21653">
      <c r="A21653" s="4" t="s">
        <v>27267</v>
      </c>
      <c r="B21653" s="4" t="s">
        <v>27269</v>
      </c>
      <c r="C21653" s="5" t="str">
        <f>IFERROR(__xludf.DUMMYFUNCTION("GOOGLETRANSLATE(B21653,""en"",""fr"")"),"Le couple tourne plusieurs fois tandis que le public les applaudit bruyamment.")</f>
        <v>Le couple tourne plusieurs fois tandis que le public les applaudit bruyamment.</v>
      </c>
    </row>
    <row r="21654">
      <c r="A21654" s="4" t="s">
        <v>27267</v>
      </c>
      <c r="B21654" s="6" t="s">
        <v>27270</v>
      </c>
      <c r="C21654" s="5" t="str">
        <f>IFERROR(__xludf.DUMMYFUNCTION("GOOGLETRANSLATE(B21654,""en"",""fr"")"),"Ils continuent d'effectuer leur routine de danse et plusieurs personnes sur le look à l'aide de téléphones et de caméras.")</f>
        <v>Ils continuent d'effectuer leur routine de danse et plusieurs personnes sur le look à l'aide de téléphones et de caméras.</v>
      </c>
    </row>
    <row r="21655">
      <c r="A21655" s="4" t="s">
        <v>27267</v>
      </c>
      <c r="B21655" s="4" t="s">
        <v>27271</v>
      </c>
      <c r="C21655" s="5" t="str">
        <f>IFERROR(__xludf.DUMMYFUNCTION("GOOGLETRANSLATE(B21655,""en"",""fr"")"),"Le couple fait un dernier tour et finit par prendre un arc.")</f>
        <v>Le couple fait un dernier tour et finit par prendre un arc.</v>
      </c>
    </row>
    <row r="21656">
      <c r="A21656" s="4" t="s">
        <v>27272</v>
      </c>
      <c r="B21656" s="4" t="s">
        <v>27273</v>
      </c>
      <c r="C21656" s="5" t="str">
        <f>IFERROR(__xludf.DUMMYFUNCTION("GOOGLETRANSLATE(B21656,""en"",""fr"")"),"Un homme est montré tondre sa pelouse avec une tondeuse à pousser.")</f>
        <v>Un homme est montré tondre sa pelouse avec une tondeuse à pousser.</v>
      </c>
    </row>
    <row r="21657">
      <c r="A21657" s="4" t="s">
        <v>27272</v>
      </c>
      <c r="B21657" s="4" t="s">
        <v>27274</v>
      </c>
      <c r="C21657" s="5" t="str">
        <f>IFERROR(__xludf.DUMMYFUNCTION("GOOGLETRANSLATE(B21657,""en"",""fr"")"),"Il se retourne et fait des allers-retours, laissant des marques sur la pelouse.")</f>
        <v>Il se retourne et fait des allers-retours, laissant des marques sur la pelouse.</v>
      </c>
    </row>
    <row r="21658">
      <c r="A21658" s="4" t="s">
        <v>27272</v>
      </c>
      <c r="B21658" s="4" t="s">
        <v>27275</v>
      </c>
      <c r="C21658" s="5" t="str">
        <f>IFERROR(__xludf.DUMMYFUNCTION("GOOGLETRANSLATE(B21658,""en"",""fr"")"),"Un homme parle dans le coin de l'écran du processus.")</f>
        <v>Un homme parle dans le coin de l'écran du processus.</v>
      </c>
    </row>
    <row r="21659">
      <c r="A21659" s="4" t="s">
        <v>27276</v>
      </c>
      <c r="B21659" s="4" t="s">
        <v>27277</v>
      </c>
      <c r="C21659" s="5" t="str">
        <f>IFERROR(__xludf.DUMMYFUNCTION("GOOGLETRANSLATE(B21659,""en"",""fr"")"),"Un logo olympique est vu avec les 5 anneaux.")</f>
        <v>Un logo olympique est vu avec les 5 anneaux.</v>
      </c>
    </row>
    <row r="21660">
      <c r="A21660" s="4" t="s">
        <v>27276</v>
      </c>
      <c r="B21660" s="4" t="s">
        <v>27278</v>
      </c>
      <c r="C21660" s="5" t="str">
        <f>IFERROR(__xludf.DUMMYFUNCTION("GOOGLETRANSLATE(B21660,""en"",""fr"")"),"Un jeune garçon portant une chemise rayée dans un gymnase soulève une barre de poids au-dessus de sa tête.")</f>
        <v>Un jeune garçon portant une chemise rayée dans un gymnase soulève une barre de poids au-dessus de sa tête.</v>
      </c>
    </row>
    <row r="21661">
      <c r="A21661" s="4" t="s">
        <v>27276</v>
      </c>
      <c r="B21661" s="4" t="s">
        <v>27279</v>
      </c>
      <c r="C21661" s="5" t="str">
        <f>IFERROR(__xludf.DUMMYFUNCTION("GOOGLETRANSLATE(B21661,""en"",""fr"")"),"Un jeune homme en short bleu soulève une barre de poids au-dessus de sa tête dans un gymnase bondé.")</f>
        <v>Un jeune homme en short bleu soulève une barre de poids au-dessus de sa tête dans un gymnase bondé.</v>
      </c>
    </row>
    <row r="21662">
      <c r="A21662" s="4" t="s">
        <v>27276</v>
      </c>
      <c r="B21662" s="4" t="s">
        <v>27280</v>
      </c>
      <c r="C21662" s="5" t="str">
        <f>IFERROR(__xludf.DUMMYFUNCTION("GOOGLETRANSLATE(B21662,""en"",""fr"")"),"Les athlètes professionnels des compétitions soulèvent de grandes barres fortement pondérées au-dessus pour juger.")</f>
        <v>Les athlètes professionnels des compétitions soulèvent de grandes barres fortement pondérées au-dessus pour juger.</v>
      </c>
    </row>
    <row r="21663">
      <c r="A21663" s="4" t="s">
        <v>27281</v>
      </c>
      <c r="B21663" s="4" t="s">
        <v>27282</v>
      </c>
      <c r="C21663" s="5" t="str">
        <f>IFERROR(__xludf.DUMMYFUNCTION("GOOGLETRANSLATE(B21663,""en"",""fr"")"),"Un homme se tient seul dans le gymnase et commence à parler à la caméra.")</f>
        <v>Un homme se tient seul dans le gymnase et commence à parler à la caméra.</v>
      </c>
    </row>
    <row r="21664">
      <c r="A21664" s="4" t="s">
        <v>27281</v>
      </c>
      <c r="B21664" s="4" t="s">
        <v>27283</v>
      </c>
      <c r="C21664" s="5" t="str">
        <f>IFERROR(__xludf.DUMMYFUNCTION("GOOGLETRANSLATE(B21664,""en"",""fr"")"),"Il met ensuite son poing et commence la boxe d'ombre alors qu'il se déplace dans la pièce.")</f>
        <v>Il met ensuite son poing et commence la boxe d'ombre alors qu'il se déplace dans la pièce.</v>
      </c>
    </row>
    <row r="21665">
      <c r="A21665" s="4" t="s">
        <v>27281</v>
      </c>
      <c r="B21665" s="4" t="s">
        <v>27284</v>
      </c>
      <c r="C21665" s="5" t="str">
        <f>IFERROR(__xludf.DUMMYFUNCTION("GOOGLETRANSLATE(B21665,""en"",""fr"")"),"Ensuite, il ajoute ses pieds et commence à botter l'air et se tordit comme si quelqu'un le frappait.")</f>
        <v>Ensuite, il ajoute ses pieds et commence à botter l'air et se tordit comme si quelqu'un le frappait.</v>
      </c>
    </row>
    <row r="21666">
      <c r="A21666" s="4" t="s">
        <v>27281</v>
      </c>
      <c r="B21666" s="4" t="s">
        <v>27285</v>
      </c>
      <c r="C21666" s="5" t="str">
        <f>IFERROR(__xludf.DUMMYFUNCTION("GOOGLETRANSLATE(B21666,""en"",""fr"")"),"Enfin, il revient à l'écran légèrement à bout de souffle pour mettre fin à la vidéo.")</f>
        <v>Enfin, il revient à l'écran légèrement à bout de souffle pour mettre fin à la vidéo.</v>
      </c>
    </row>
    <row r="21667">
      <c r="A21667" s="4" t="s">
        <v>27286</v>
      </c>
      <c r="B21667" s="6" t="s">
        <v>27287</v>
      </c>
      <c r="C21667" s="5" t="str">
        <f>IFERROR(__xludf.DUMMYFUNCTION("GOOGLETRANSLATE(B21667,""en"",""fr"")"),"Un petit groupe de personnes est vue assise dans la voiture de pare-chocs et commence à se écraser les unes aux autres.")</f>
        <v>Un petit groupe de personnes est vue assise dans la voiture de pare-chocs et commence à se écraser les unes aux autres.</v>
      </c>
    </row>
    <row r="21668">
      <c r="A21668" s="4" t="s">
        <v>27286</v>
      </c>
      <c r="B21668" s="6" t="s">
        <v>27288</v>
      </c>
      <c r="C21668" s="5" t="str">
        <f>IFERROR(__xludf.DUMMYFUNCTION("GOOGLETRANSLATE(B21668,""en"",""fr"")"),"La caméra suit une femme qu'il ne semble pas déplacer la voiture et d'autres sur le côté lui enseignent comment conduire à mesure que d'autres s'écrasent en elle.")</f>
        <v>La caméra suit une femme qu'il ne semble pas déplacer la voiture et d'autres sur le côté lui enseignent comment conduire à mesure que d'autres s'écrasent en elle.</v>
      </c>
    </row>
    <row r="21669">
      <c r="A21669" s="4" t="s">
        <v>27289</v>
      </c>
      <c r="B21669" s="6" t="s">
        <v>27290</v>
      </c>
      <c r="C21669" s="5" t="str">
        <f>IFERROR(__xludf.DUMMYFUNCTION("GOOGLETRANSLATE(B21669,""en"",""fr"")"),"Un homme est vu parler à la caméra devant une grande piscine tout en utilisant ses mains avec enthousiasme.")</f>
        <v>Un homme est vu parler à la caméra devant une grande piscine tout en utilisant ses mains avec enthousiasme.</v>
      </c>
    </row>
    <row r="21670">
      <c r="A21670" s="4" t="s">
        <v>27289</v>
      </c>
      <c r="B21670" s="6" t="s">
        <v>27291</v>
      </c>
      <c r="C21670" s="5" t="str">
        <f>IFERROR(__xludf.DUMMYFUNCTION("GOOGLETRANSLATE(B21670,""en"",""fr"")"),"L'homme continue de parler tout en utilisant ses mains et ses casseroles à l'homme nageant autour de la piscine et retourne pour parler.")</f>
        <v>L'homme continue de parler tout en utilisant ses mains et ses casseroles à l'homme nageant autour de la piscine et retourne pour parler.</v>
      </c>
    </row>
    <row r="21671">
      <c r="A21671" s="4" t="s">
        <v>27292</v>
      </c>
      <c r="B21671" s="4" t="s">
        <v>27293</v>
      </c>
      <c r="C21671" s="5" t="str">
        <f>IFERROR(__xludf.DUMMYFUNCTION("GOOGLETRANSLATE(B21671,""en"",""fr"")"),"Nous voyons une arène de l'extérieur des portes.")</f>
        <v>Nous voyons une arène de l'extérieur des portes.</v>
      </c>
    </row>
    <row r="21672">
      <c r="A21672" s="4" t="s">
        <v>27292</v>
      </c>
      <c r="B21672" s="4" t="s">
        <v>27294</v>
      </c>
      <c r="C21672" s="5" t="str">
        <f>IFERROR(__xludf.DUMMYFUNCTION("GOOGLETRANSLATE(B21672,""en"",""fr"")"),"Nous voyons des gens sur le trampoline effectuer des flips dans l'arène.")</f>
        <v>Nous voyons des gens sur le trampoline effectuer des flips dans l'arène.</v>
      </c>
    </row>
    <row r="21673">
      <c r="A21673" s="4" t="s">
        <v>27292</v>
      </c>
      <c r="B21673" s="4" t="s">
        <v>27295</v>
      </c>
      <c r="C21673" s="5" t="str">
        <f>IFERROR(__xludf.DUMMYFUNCTION("GOOGLETRANSLATE(B21673,""en"",""fr"")"),"Nous voyons une personne tomber presque après se retourner.")</f>
        <v>Nous voyons une personne tomber presque après se retourner.</v>
      </c>
    </row>
    <row r="21674">
      <c r="A21674" s="4" t="s">
        <v>27292</v>
      </c>
      <c r="B21674" s="4" t="s">
        <v>27296</v>
      </c>
      <c r="C21674" s="5" t="str">
        <f>IFERROR(__xludf.DUMMYFUNCTION("GOOGLETRANSLATE(B21674,""en"",""fr"")"),"La personne atterrit et tombe presque.")</f>
        <v>La personne atterrit et tombe presque.</v>
      </c>
    </row>
    <row r="21675">
      <c r="A21675" s="4" t="s">
        <v>27292</v>
      </c>
      <c r="B21675" s="4" t="s">
        <v>27297</v>
      </c>
      <c r="C21675" s="5" t="str">
        <f>IFERROR(__xludf.DUMMYFUNCTION("GOOGLETRANSLATE(B21675,""en"",""fr"")"),"Une personne se retourne plusieurs fois sur une bande sur le sol.")</f>
        <v>Une personne se retourne plusieurs fois sur une bande sur le sol.</v>
      </c>
    </row>
    <row r="21676">
      <c r="A21676" s="4" t="s">
        <v>27292</v>
      </c>
      <c r="B21676" s="4" t="s">
        <v>27298</v>
      </c>
      <c r="C21676" s="5" t="str">
        <f>IFERROR(__xludf.DUMMYFUNCTION("GOOGLETRANSLATE(B21676,""en"",""fr"")"),"Nous voyons un homme sauter et atterrir sur le trampoline au ralenti.")</f>
        <v>Nous voyons un homme sauter et atterrir sur le trampoline au ralenti.</v>
      </c>
    </row>
    <row r="21677">
      <c r="A21677" s="4" t="s">
        <v>27292</v>
      </c>
      <c r="B21677" s="4" t="s">
        <v>11124</v>
      </c>
      <c r="C21677" s="5" t="str">
        <f>IFERROR(__xludf.DUMMYFUNCTION("GOOGLETRANSLATE(B21677,""en"",""fr"")"),"Nous voyons les écrans de titre de fin.")</f>
        <v>Nous voyons les écrans de titre de fin.</v>
      </c>
    </row>
    <row r="21678">
      <c r="A21678" s="4" t="s">
        <v>27299</v>
      </c>
      <c r="B21678" s="4" t="s">
        <v>27300</v>
      </c>
      <c r="C21678" s="5" t="str">
        <f>IFERROR(__xludf.DUMMYFUNCTION("GOOGLETRANSLATE(B21678,""en"",""fr"")"),"Nous voyons un écran d'ouverture animé.")</f>
        <v>Nous voyons un écran d'ouverture animé.</v>
      </c>
    </row>
    <row r="21679">
      <c r="A21679" s="4" t="s">
        <v>27299</v>
      </c>
      <c r="B21679" s="4" t="s">
        <v>27301</v>
      </c>
      <c r="C21679" s="5" t="str">
        <f>IFERROR(__xludf.DUMMYFUNCTION("GOOGLETRANSLATE(B21679,""en"",""fr"")"),"Un homme conduit puis sort de sa voiture.")</f>
        <v>Un homme conduit puis sort de sa voiture.</v>
      </c>
    </row>
    <row r="21680">
      <c r="A21680" s="4" t="s">
        <v>27299</v>
      </c>
      <c r="B21680" s="4" t="s">
        <v>27302</v>
      </c>
      <c r="C21680" s="5" t="str">
        <f>IFERROR(__xludf.DUMMYFUNCTION("GOOGLETRANSLATE(B21680,""en"",""fr"")"),"Nous voyons un homme à rouler sur une place et un skate park.")</f>
        <v>Nous voyons un homme à rouler sur une place et un skate park.</v>
      </c>
    </row>
    <row r="21681">
      <c r="A21681" s="4" t="s">
        <v>27299</v>
      </c>
      <c r="B21681" s="4" t="s">
        <v>27303</v>
      </c>
      <c r="C21681" s="5" t="str">
        <f>IFERROR(__xludf.DUMMYFUNCTION("GOOGLETRANSLATE(B21681,""en"",""fr"")"),"Nous voyons les pieds de l'homme dans les lames puis le visage d'un homme.")</f>
        <v>Nous voyons les pieds de l'homme dans les lames puis le visage d'un homme.</v>
      </c>
    </row>
    <row r="21682">
      <c r="A21682" s="4" t="s">
        <v>27299</v>
      </c>
      <c r="B21682" s="4" t="s">
        <v>27304</v>
      </c>
      <c r="C21682" s="5" t="str">
        <f>IFERROR(__xludf.DUMMYFUNCTION("GOOGLETRANSLATE(B21682,""en"",""fr"")"),"Nous voyons l'homme debout sur un trottoir élevé puis patiner sur la balustrade.")</f>
        <v>Nous voyons l'homme debout sur un trottoir élevé puis patiner sur la balustrade.</v>
      </c>
    </row>
    <row r="21683">
      <c r="A21683" s="4" t="s">
        <v>27299</v>
      </c>
      <c r="B21683" s="4" t="s">
        <v>27305</v>
      </c>
      <c r="C21683" s="5" t="str">
        <f>IFERROR(__xludf.DUMMYFUNCTION("GOOGLETRANSLATE(B21683,""en"",""fr"")"),"Nous voyons l'homme patiner sur un banc puis mettre des lunettes de soleil.")</f>
        <v>Nous voyons l'homme patiner sur un banc puis mettre des lunettes de soleil.</v>
      </c>
    </row>
    <row r="21684">
      <c r="A21684" s="4" t="s">
        <v>27299</v>
      </c>
      <c r="B21684" s="4" t="s">
        <v>27306</v>
      </c>
      <c r="C21684" s="5" t="str">
        <f>IFERROR(__xludf.DUMMYFUNCTION("GOOGLETRANSLATE(B21684,""en"",""fr"")"),"Nous voyons l'homme tourner et cliquer sur un bouton et une voiture explose.")</f>
        <v>Nous voyons l'homme tourner et cliquer sur un bouton et une voiture explose.</v>
      </c>
    </row>
    <row r="21685">
      <c r="A21685" s="4" t="s">
        <v>27299</v>
      </c>
      <c r="B21685" s="4" t="s">
        <v>5107</v>
      </c>
      <c r="C21685" s="5" t="str">
        <f>IFERROR(__xludf.DUMMYFUNCTION("GOOGLETRANSLATE(B21685,""en"",""fr"")"),"Nous voyons ensuite l'écran du titre de fin.")</f>
        <v>Nous voyons ensuite l'écran du titre de fin.</v>
      </c>
    </row>
    <row r="21686">
      <c r="A21686" s="4" t="s">
        <v>27307</v>
      </c>
      <c r="B21686" s="4" t="s">
        <v>27308</v>
      </c>
      <c r="C21686" s="5" t="str">
        <f>IFERROR(__xludf.DUMMYFUNCTION("GOOGLETRANSLATE(B21686,""en"",""fr"")"),"Un homme dessert une balle de tennis sur le terrain.")</f>
        <v>Un homme dessert une balle de tennis sur le terrain.</v>
      </c>
    </row>
    <row r="21687">
      <c r="A21687" s="4" t="s">
        <v>27307</v>
      </c>
      <c r="B21687" s="4" t="s">
        <v>27309</v>
      </c>
      <c r="C21687" s="5" t="str">
        <f>IFERROR(__xludf.DUMMYFUNCTION("GOOGLETRANSLATE(B21687,""en"",""fr"")"),"L'homme se tourne pour parler à la caméra.")</f>
        <v>L'homme se tourne pour parler à la caméra.</v>
      </c>
    </row>
    <row r="21688">
      <c r="A21688" s="4" t="s">
        <v>27310</v>
      </c>
      <c r="B21688" s="6" t="s">
        <v>27311</v>
      </c>
      <c r="C21688" s="5" t="str">
        <f>IFERROR(__xludf.DUMMYFUNCTION("GOOGLETRANSLATE(B21688,""en"",""fr"")"),"Un lutteur, debout au sommet d'une échelle, avec un autre homme sur l'échelle avec lui, mais devant lui, saute de l'échelle du sommet et emmène l'autre personne avec lui.")</f>
        <v>Un lutteur, debout au sommet d'une échelle, avec un autre homme sur l'échelle avec lui, mais devant lui, saute de l'échelle du sommet et emmène l'autre personne avec lui.</v>
      </c>
    </row>
    <row r="21689">
      <c r="A21689" s="4" t="s">
        <v>27310</v>
      </c>
      <c r="B21689" s="6" t="s">
        <v>27312</v>
      </c>
      <c r="C21689" s="5" t="str">
        <f>IFERROR(__xludf.DUMMYFUNCTION("GOOGLETRANSLATE(B21689,""en"",""fr"")"),"Un homme dans un costume de lutte se dresse au sommet d'une échelle au milieu d'une bague avec un arbitre et des gens dans le public.")</f>
        <v>Un homme dans un costume de lutte se dresse au sommet d'une échelle au milieu d'une bague avec un arbitre et des gens dans le public.</v>
      </c>
    </row>
    <row r="21690">
      <c r="A21690" s="4" t="s">
        <v>27310</v>
      </c>
      <c r="B21690" s="6" t="s">
        <v>27313</v>
      </c>
      <c r="C21690" s="5" t="str">
        <f>IFERROR(__xludf.DUMMYFUNCTION("GOOGLETRANSLATE(B21690,""en"",""fr"")"),"L'homme saute de l'échelle tandis que les gens du public applaudissent pour lui et que l'autre homme tombe également.")</f>
        <v>L'homme saute de l'échelle tandis que les gens du public applaudissent pour lui et que l'autre homme tombe également.</v>
      </c>
    </row>
    <row r="21691">
      <c r="A21691" s="4" t="s">
        <v>27314</v>
      </c>
      <c r="B21691" s="4" t="s">
        <v>27315</v>
      </c>
      <c r="C21691" s="5" t="str">
        <f>IFERROR(__xludf.DUMMYFUNCTION("GOOGLETRANSLATE(B21691,""en"",""fr"")"),"Les gens naviguent dans une rivière rocheuse sur des bateaux individuels gonflables.")</f>
        <v>Les gens naviguent dans une rivière rocheuse sur des bateaux individuels gonflables.</v>
      </c>
    </row>
    <row r="21692">
      <c r="A21692" s="4" t="s">
        <v>27314</v>
      </c>
      <c r="B21692" s="4" t="s">
        <v>27316</v>
      </c>
      <c r="C21692" s="5" t="str">
        <f>IFERROR(__xludf.DUMMYFUNCTION("GOOGLETRANSLATE(B21692,""en"",""fr"")"),"Les bateaux passent avec difficulté entre les rochers.")</f>
        <v>Les bateaux passent avec difficulté entre les rochers.</v>
      </c>
    </row>
    <row r="21693">
      <c r="A21693" s="4" t="s">
        <v>27314</v>
      </c>
      <c r="B21693" s="4" t="s">
        <v>27317</v>
      </c>
      <c r="C21693" s="5" t="str">
        <f>IFERROR(__xludf.DUMMYFUNCTION("GOOGLETRANSLATE(B21693,""en"",""fr"")"),"Ensuite, les gens entrent dans des eaux plus troublées.")</f>
        <v>Ensuite, les gens entrent dans des eaux plus troublées.</v>
      </c>
    </row>
    <row r="21694">
      <c r="A21694" s="4" t="s">
        <v>27318</v>
      </c>
      <c r="B21694" s="4" t="s">
        <v>27319</v>
      </c>
      <c r="C21694" s="5" t="str">
        <f>IFERROR(__xludf.DUMMYFUNCTION("GOOGLETRANSLATE(B21694,""en"",""fr"")"),"Les enfants sont debout dans l'ouverture d'un dessin animé.")</f>
        <v>Les enfants sont debout dans l'ouverture d'un dessin animé.</v>
      </c>
    </row>
    <row r="21695">
      <c r="A21695" s="4" t="s">
        <v>27318</v>
      </c>
      <c r="B21695" s="4" t="s">
        <v>27320</v>
      </c>
      <c r="C21695" s="5" t="str">
        <f>IFERROR(__xludf.DUMMYFUNCTION("GOOGLETRANSLATE(B21695,""en"",""fr"")"),"La femme parle devant un micropone devant un grand public.")</f>
        <v>La femme parle devant un micropone devant un grand public.</v>
      </c>
    </row>
    <row r="21696">
      <c r="A21696" s="4" t="s">
        <v>27318</v>
      </c>
      <c r="B21696" s="4" t="s">
        <v>27321</v>
      </c>
      <c r="C21696" s="5" t="str">
        <f>IFERROR(__xludf.DUMMYFUNCTION("GOOGLETRANSLATE(B21696,""en"",""fr"")"),"Les Mmen sont au milieu d'une arène dans un grand stade qui se bat entre eux.")</f>
        <v>Les Mmen sont au milieu d'une arène dans un grand stade qui se bat entre eux.</v>
      </c>
    </row>
    <row r="21697">
      <c r="A21697" s="4" t="s">
        <v>27322</v>
      </c>
      <c r="B21697" s="4" t="s">
        <v>27323</v>
      </c>
      <c r="C21697" s="5" t="str">
        <f>IFERROR(__xludf.DUMMYFUNCTION("GOOGLETRANSLATE(B21697,""en"",""fr"")"),"Un homme monte sur la scène pour rejoindre un groupe.")</f>
        <v>Un homme monte sur la scène pour rejoindre un groupe.</v>
      </c>
    </row>
    <row r="21698">
      <c r="A21698" s="4" t="s">
        <v>27322</v>
      </c>
      <c r="B21698" s="4" t="s">
        <v>27324</v>
      </c>
      <c r="C21698" s="5" t="str">
        <f>IFERROR(__xludf.DUMMYFUNCTION("GOOGLETRANSLATE(B21698,""en"",""fr"")"),"Un homme joue à l'avant d'un groupe avec une harmonique.")</f>
        <v>Un homme joue à l'avant d'un groupe avec une harmonique.</v>
      </c>
    </row>
    <row r="21699">
      <c r="A21699" s="4" t="s">
        <v>27322</v>
      </c>
      <c r="B21699" s="4" t="s">
        <v>27325</v>
      </c>
      <c r="C21699" s="5" t="str">
        <f>IFERROR(__xludf.DUMMYFUNCTION("GOOGLETRANSLATE(B21699,""en"",""fr"")"),"Le claviériste joue un solo fougueux pendant la chanson.")</f>
        <v>Le claviériste joue un solo fougueux pendant la chanson.</v>
      </c>
    </row>
    <row r="21700">
      <c r="A21700" s="4" t="s">
        <v>27322</v>
      </c>
      <c r="B21700" s="4" t="s">
        <v>27326</v>
      </c>
      <c r="C21700" s="5" t="str">
        <f>IFERROR(__xludf.DUMMYFUNCTION("GOOGLETRANSLATE(B21700,""en"",""fr"")"),"L'homme félicite et donne un high cinq au claviériste à la fin de la chanson.")</f>
        <v>L'homme félicite et donne un high cinq au claviériste à la fin de la chanson.</v>
      </c>
    </row>
    <row r="21701">
      <c r="A21701" s="4" t="s">
        <v>27327</v>
      </c>
      <c r="B21701" s="4" t="s">
        <v>27328</v>
      </c>
      <c r="C21701" s="5" t="str">
        <f>IFERROR(__xludf.DUMMYFUNCTION("GOOGLETRANSLATE(B21701,""en"",""fr"")"),"Un homme en kakis bronzé et une chemise boutonnée balaie un sol avec un large balai.")</f>
        <v>Un homme en kakis bronzé et une chemise boutonnée balaie un sol avec un large balai.</v>
      </c>
    </row>
    <row r="21702">
      <c r="A21702" s="4" t="s">
        <v>27327</v>
      </c>
      <c r="B21702" s="6" t="s">
        <v>27329</v>
      </c>
      <c r="C21702" s="5" t="str">
        <f>IFERROR(__xludf.DUMMYFUNCTION("GOOGLETRANSLATE(B21702,""en"",""fr"")"),"Un homme marche et balaie un sol en marchant à gauche de la pièce en poussant le large balai devant lui.")</f>
        <v>Un homme marche et balaie un sol en marchant à gauche de la pièce en poussant le large balai devant lui.</v>
      </c>
    </row>
    <row r="21703">
      <c r="A21703" s="4" t="s">
        <v>27327</v>
      </c>
      <c r="B21703" s="4" t="s">
        <v>27330</v>
      </c>
      <c r="C21703" s="5" t="str">
        <f>IFERROR(__xludf.DUMMYFUNCTION("GOOGLETRANSLATE(B21703,""en"",""fr"")"),"L'homme se dirige ensuite vers le côté droit de la pièce avec le même large balai.")</f>
        <v>L'homme se dirige ensuite vers le côté droit de la pièce avec le même large balai.</v>
      </c>
    </row>
    <row r="21704">
      <c r="A21704" s="4" t="s">
        <v>27327</v>
      </c>
      <c r="B21704" s="6" t="s">
        <v>27331</v>
      </c>
      <c r="C21704" s="5" t="str">
        <f>IFERROR(__xludf.DUMMYFUNCTION("GOOGLETRANSLATE(B21704,""en"",""fr"")"),"L'homme termine ensuite le balayage, lleans le balai dans le coin de la pièce et se tient contre le mur devant une fenêtre.")</f>
        <v>L'homme termine ensuite le balayage, lleans le balai dans le coin de la pièce et se tient contre le mur devant une fenêtre.</v>
      </c>
    </row>
    <row r="21705">
      <c r="A21705" s="4" t="s">
        <v>27332</v>
      </c>
      <c r="B21705" s="6" t="s">
        <v>27333</v>
      </c>
      <c r="C21705" s="5" t="str">
        <f>IFERROR(__xludf.DUMMYFUNCTION("GOOGLETRANSLATE(B21705,""en"",""fr"")"),"Un jeune enfant est vu debout prêt à tenir un poteau, puis court sur une longue piste et lance le poteau.")</f>
        <v>Un jeune enfant est vu debout prêt à tenir un poteau, puis court sur une longue piste et lance le poteau.</v>
      </c>
    </row>
    <row r="21706">
      <c r="A21706" s="4" t="s">
        <v>27332</v>
      </c>
      <c r="B21706" s="6" t="s">
        <v>27334</v>
      </c>
      <c r="C21706" s="5" t="str">
        <f>IFERROR(__xludf.DUMMYFUNCTION("GOOGLETRANSLATE(B21706,""en"",""fr"")"),"Il revient sur la piste quand une autre personne est vue couler et jeter le bâton.")</f>
        <v>Il revient sur la piste quand une autre personne est vue couler et jeter le bâton.</v>
      </c>
    </row>
    <row r="21707">
      <c r="A21707" s="4" t="s">
        <v>27332</v>
      </c>
      <c r="B21707" s="4" t="s">
        <v>27335</v>
      </c>
      <c r="C21707" s="5" t="str">
        <f>IFERROR(__xludf.DUMMYFUNCTION("GOOGLETRANSLATE(B21707,""en"",""fr"")"),"Enfin, un dernier garçon monte sur la piste pour lancer le javelot, puis revient aux autres.")</f>
        <v>Enfin, un dernier garçon monte sur la piste pour lancer le javelot, puis revient aux autres.</v>
      </c>
    </row>
    <row r="21708">
      <c r="A21708" s="4" t="s">
        <v>27336</v>
      </c>
      <c r="B21708" s="4" t="s">
        <v>27337</v>
      </c>
      <c r="C21708" s="5" t="str">
        <f>IFERROR(__xludf.DUMMYFUNCTION("GOOGLETRANSLATE(B21708,""en"",""fr"")"),"Une intro avec du texte est montrée sur l'écran suivie de deux personnages de dessins animés.")</f>
        <v>Une intro avec du texte est montrée sur l'écran suivie de deux personnages de dessins animés.</v>
      </c>
    </row>
    <row r="21709">
      <c r="A21709" s="4" t="s">
        <v>27336</v>
      </c>
      <c r="B21709" s="4" t="s">
        <v>27338</v>
      </c>
      <c r="C21709" s="5" t="str">
        <f>IFERROR(__xludf.DUMMYFUNCTION("GOOGLETRANSLATE(B21709,""en"",""fr"")"),"Les personnages se parlent et les conduisent en jouant à un jeu.")</f>
        <v>Les personnages se parlent et les conduisent en jouant à un jeu.</v>
      </c>
    </row>
    <row r="21710">
      <c r="A21710" s="4" t="s">
        <v>27336</v>
      </c>
      <c r="B21710" s="4" t="s">
        <v>27339</v>
      </c>
      <c r="C21710" s="5" t="str">
        <f>IFERROR(__xludf.DUMMYFUNCTION("GOOGLETRANSLATE(B21710,""en"",""fr"")"),"Un personnage perd le jeu puis disparaît.")</f>
        <v>Un personnage perd le jeu puis disparaît.</v>
      </c>
    </row>
    <row r="21711">
      <c r="A21711" s="4" t="s">
        <v>27340</v>
      </c>
      <c r="B21711" s="4" t="s">
        <v>27341</v>
      </c>
      <c r="C21711" s="5" t="str">
        <f>IFERROR(__xludf.DUMMYFUNCTION("GOOGLETRANSLATE(B21711,""en"",""fr"")"),"Nous voyons un jeune homme parler dans un studio de nouvelles.")</f>
        <v>Nous voyons un jeune homme parler dans un studio de nouvelles.</v>
      </c>
    </row>
    <row r="21712">
      <c r="A21712" s="4" t="s">
        <v>27340</v>
      </c>
      <c r="B21712" s="4" t="s">
        <v>27342</v>
      </c>
      <c r="C21712" s="5" t="str">
        <f>IFERROR(__xludf.DUMMYFUNCTION("GOOGLETRANSLATE(B21712,""en"",""fr"")"),"Nous voyons un homme faire du vélo stationnaire et voyons une photo de l'homme tenant un gâteau.")</f>
        <v>Nous voyons un homme faire du vélo stationnaire et voyons une photo de l'homme tenant un gâteau.</v>
      </c>
    </row>
    <row r="21713">
      <c r="A21713" s="4" t="s">
        <v>27340</v>
      </c>
      <c r="B21713" s="4" t="s">
        <v>27343</v>
      </c>
      <c r="C21713" s="5" t="str">
        <f>IFERROR(__xludf.DUMMYFUNCTION("GOOGLETRANSLATE(B21713,""en"",""fr"")"),"Nous voyons l'homme interviewé coupé avec des scènes de l'homme s'entraîner.")</f>
        <v>Nous voyons l'homme interviewé coupé avec des scènes de l'homme s'entraîner.</v>
      </c>
    </row>
    <row r="21714">
      <c r="A21714" s="4" t="s">
        <v>27340</v>
      </c>
      <c r="B21714" s="6" t="s">
        <v>27344</v>
      </c>
      <c r="C21714" s="5" t="str">
        <f>IFERROR(__xludf.DUMMYFUNCTION("GOOGLETRANSLATE(B21714,""en"",""fr"")"),"Nous voyons l'homme à l'image tenant à nouveau le gâteau et voyons l'homme dans la chemise qui ne s'adapte plus et est trop grand.")</f>
        <v>Nous voyons l'homme à l'image tenant à nouveau le gâteau et voyons l'homme dans la chemise qui ne s'adapte plus et est trop grand.</v>
      </c>
    </row>
    <row r="21715">
      <c r="A21715" s="4" t="s">
        <v>27340</v>
      </c>
      <c r="B21715" s="4" t="s">
        <v>27345</v>
      </c>
      <c r="C21715" s="5" t="str">
        <f>IFERROR(__xludf.DUMMYFUNCTION("GOOGLETRANSLATE(B21715,""en"",""fr"")"),"Nous voyons l'homme s'entraîner à nouveau.")</f>
        <v>Nous voyons l'homme s'entraîner à nouveau.</v>
      </c>
    </row>
    <row r="21716">
      <c r="A21716" s="4" t="s">
        <v>27340</v>
      </c>
      <c r="B21716" s="4" t="s">
        <v>27346</v>
      </c>
      <c r="C21716" s="5" t="str">
        <f>IFERROR(__xludf.DUMMYFUNCTION("GOOGLETRANSLATE(B21716,""en"",""fr"")"),"Nous voyons trois nouvelles dans le studio.")</f>
        <v>Nous voyons trois nouvelles dans le studio.</v>
      </c>
    </row>
    <row r="21717">
      <c r="A21717" s="4" t="s">
        <v>27347</v>
      </c>
      <c r="B21717" s="6" t="s">
        <v>27348</v>
      </c>
      <c r="C21717" s="5" t="str">
        <f>IFERROR(__xludf.DUMMYFUNCTION("GOOGLETRANSLATE(B21717,""en"",""fr"")"),"Un instructeur de Pilates sur les patins explique comment attacher vos protecteurs à risque et montre que vous avez besoin de tampons de genoux pour protéger vos genoux.")</f>
        <v>Un instructeur de Pilates sur les patins explique comment attacher vos protecteurs à risque et montre que vous avez besoin de tampons de genoux pour protéger vos genoux.</v>
      </c>
    </row>
    <row r="21718">
      <c r="A21718" s="4" t="s">
        <v>27347</v>
      </c>
      <c r="B21718" s="6" t="s">
        <v>27349</v>
      </c>
      <c r="C21718" s="5" t="str">
        <f>IFERROR(__xludf.DUMMYFUNCTION("GOOGLETRANSLATE(B21718,""en"",""fr"")"),"La dame explique ensuite le mouvement des patins et comment utiliser les pauses qui se trouvent à l'arrière des patins.")</f>
        <v>La dame explique ensuite le mouvement des patins et comment utiliser les pauses qui se trouvent à l'arrière des patins.</v>
      </c>
    </row>
    <row r="21719">
      <c r="A21719" s="4" t="s">
        <v>27347</v>
      </c>
      <c r="B21719" s="4" t="s">
        <v>27350</v>
      </c>
      <c r="C21719" s="5" t="str">
        <f>IFERROR(__xludf.DUMMYFUNCTION("GOOGLETRANSLATE(B21719,""en"",""fr"")"),"Enfin, la dame vous montre la bonne façon de patiner pour vous amuser.")</f>
        <v>Enfin, la dame vous montre la bonne façon de patiner pour vous amuser.</v>
      </c>
    </row>
    <row r="21720">
      <c r="A21720" s="4" t="s">
        <v>27351</v>
      </c>
      <c r="B21720" s="4" t="s">
        <v>27352</v>
      </c>
      <c r="C21720" s="5" t="str">
        <f>IFERROR(__xludf.DUMMYFUNCTION("GOOGLETRANSLATE(B21720,""en"",""fr"")"),"Les enfants sont assis dans des voitures tamponneuses.")</f>
        <v>Les enfants sont assis dans des voitures tamponneuses.</v>
      </c>
    </row>
    <row r="21721">
      <c r="A21721" s="4" t="s">
        <v>27351</v>
      </c>
      <c r="B21721" s="4" t="s">
        <v>27353</v>
      </c>
      <c r="C21721" s="5" t="str">
        <f>IFERROR(__xludf.DUMMYFUNCTION("GOOGLETRANSLATE(B21721,""en"",""fr"")"),"Ils commencent à s'écraser.")</f>
        <v>Ils commencent à s'écraser.</v>
      </c>
    </row>
    <row r="21722">
      <c r="A21722" s="4" t="s">
        <v>27351</v>
      </c>
      <c r="B21722" s="4" t="s">
        <v>27354</v>
      </c>
      <c r="C21722" s="5" t="str">
        <f>IFERROR(__xludf.DUMMYFUNCTION("GOOGLETRANSLATE(B21722,""en"",""fr"")"),"Ils s'arrêtent et commencent à sortir de leurs voitures.")</f>
        <v>Ils s'arrêtent et commencent à sortir de leurs voitures.</v>
      </c>
    </row>
    <row r="21723">
      <c r="A21723" s="4" t="s">
        <v>27355</v>
      </c>
      <c r="B21723" s="4" t="s">
        <v>27356</v>
      </c>
      <c r="C21723" s="5" t="str">
        <f>IFERROR(__xludf.DUMMYFUNCTION("GOOGLETRANSLATE(B21723,""en"",""fr"")"),"Un jeune homme fort se tient dans un grand champ vert ouvert se préparant à lancer un lancer du poids.")</f>
        <v>Un jeune homme fort se tient dans un grand champ vert ouvert se préparant à lancer un lancer du poids.</v>
      </c>
    </row>
    <row r="21724">
      <c r="A21724" s="4" t="s">
        <v>27355</v>
      </c>
      <c r="B21724" s="6" t="s">
        <v>27357</v>
      </c>
      <c r="C21724" s="5" t="str">
        <f>IFERROR(__xludf.DUMMYFUNCTION("GOOGLETRANSLATE(B21724,""en"",""fr"")"),"Une fois qu'il lance le ballon, un homme court pour marquer la distance et il se dirige vers la tente et retire la bande de son poignet.")</f>
        <v>Une fois qu'il lance le ballon, un homme court pour marquer la distance et il se dirige vers la tente et retire la bande de son poignet.</v>
      </c>
    </row>
    <row r="21725">
      <c r="A21725" s="4" t="s">
        <v>27355</v>
      </c>
      <c r="B21725" s="6" t="s">
        <v>27358</v>
      </c>
      <c r="C21725" s="5" t="str">
        <f>IFERROR(__xludf.DUMMYFUNCTION("GOOGLETRANSLATE(B21725,""en"",""fr"")"),"Un autre homme qui est légèrement plus court et plus grand s'approche du cercle et fait la même chose suivi d'une autre personne.")</f>
        <v>Un autre homme qui est légèrement plus court et plus grand s'approche du cercle et fait la même chose suivi d'une autre personne.</v>
      </c>
    </row>
    <row r="21726">
      <c r="A21726" s="4" t="s">
        <v>27355</v>
      </c>
      <c r="B21726" s="4" t="s">
        <v>27359</v>
      </c>
      <c r="C21726" s="5" t="str">
        <f>IFERROR(__xludf.DUMMYFUNCTION("GOOGLETRANSLATE(B21726,""en"",""fr"")"),"Les trois hommes sont terminés et les scores sont présentés.")</f>
        <v>Les trois hommes sont terminés et les scores sont présentés.</v>
      </c>
    </row>
    <row r="21727">
      <c r="A21727" s="4" t="s">
        <v>27360</v>
      </c>
      <c r="B21727" s="4" t="s">
        <v>27361</v>
      </c>
      <c r="C21727" s="5" t="str">
        <f>IFERROR(__xludf.DUMMYFUNCTION("GOOGLETRANSLATE(B21727,""en"",""fr"")"),"Trois hommes discutent du sujet de la lecture du water-polo avec des kayaks.")</f>
        <v>Trois hommes discutent du sujet de la lecture du water-polo avec des kayaks.</v>
      </c>
    </row>
    <row r="21728">
      <c r="A21728" s="4" t="s">
        <v>27360</v>
      </c>
      <c r="B21728" s="4" t="s">
        <v>27362</v>
      </c>
      <c r="C21728" s="5" t="str">
        <f>IFERROR(__xludf.DUMMYFUNCTION("GOOGLETRANSLATE(B21728,""en"",""fr"")"),"La scène change pour montrer une démonstration de water-polo avec des kayaks.")</f>
        <v>La scène change pour montrer une démonstration de water-polo avec des kayaks.</v>
      </c>
    </row>
    <row r="21729">
      <c r="A21729" s="4" t="s">
        <v>27360</v>
      </c>
      <c r="B21729" s="6" t="s">
        <v>27363</v>
      </c>
      <c r="C21729" s="5" t="str">
        <f>IFERROR(__xludf.DUMMYFUNCTION("GOOGLETRANSLATE(B21729,""en"",""fr"")"),"Deux bateaux s'écrasent alors que deux hommes essaient de se frayer un chemin vers le ballon, les hommes commentent la scène, ils ont l'air gravement blessés.")</f>
        <v>Deux bateaux s'écrasent alors que deux hommes essaient de se frayer un chemin vers le ballon, les hommes commentent la scène, ils ont l'air gravement blessés.</v>
      </c>
    </row>
    <row r="21730">
      <c r="A21730" s="4" t="s">
        <v>27360</v>
      </c>
      <c r="B21730" s="6" t="s">
        <v>27364</v>
      </c>
      <c r="C21730" s="5" t="str">
        <f>IFERROR(__xludf.DUMMYFUNCTION("GOOGLETRANSLATE(B21730,""en"",""fr"")"),"L'affichage revient aux hommes parlant du water-polo, ils sont très intrigués et choqués.")</f>
        <v>L'affichage revient aux hommes parlant du water-polo, ils sont très intrigués et choqués.</v>
      </c>
    </row>
    <row r="21731">
      <c r="A21731" s="4" t="s">
        <v>27360</v>
      </c>
      <c r="B21731" s="4" t="s">
        <v>27365</v>
      </c>
      <c r="C21731" s="5" t="str">
        <f>IFERROR(__xludf.DUMMYFUNCTION("GOOGLETRANSLATE(B21731,""en"",""fr"")"),"La scène revient à l'accident de water-polo, la bannière du spectacle conclut la vidéo.")</f>
        <v>La scène revient à l'accident de water-polo, la bannière du spectacle conclut la vidéo.</v>
      </c>
    </row>
    <row r="21732">
      <c r="A21732" s="4" t="s">
        <v>27366</v>
      </c>
      <c r="B21732" s="4" t="s">
        <v>27367</v>
      </c>
      <c r="C21732" s="5" t="str">
        <f>IFERROR(__xludf.DUMMYFUNCTION("GOOGLETRANSLATE(B21732,""en"",""fr"")"),"Une femme joue la batterie et chante sur scène.")</f>
        <v>Une femme joue la batterie et chante sur scène.</v>
      </c>
    </row>
    <row r="21733">
      <c r="A21733" s="4" t="s">
        <v>27366</v>
      </c>
      <c r="B21733" s="4" t="s">
        <v>27368</v>
      </c>
      <c r="C21733" s="5" t="str">
        <f>IFERROR(__xludf.DUMMYFUNCTION("GOOGLETRANSLATE(B21733,""en"",""fr"")"),"La caméra recule sur la scène.")</f>
        <v>La caméra recule sur la scène.</v>
      </c>
    </row>
    <row r="21734">
      <c r="A21734" s="4" t="s">
        <v>27366</v>
      </c>
      <c r="B21734" s="4" t="s">
        <v>27369</v>
      </c>
      <c r="C21734" s="5" t="str">
        <f>IFERROR(__xludf.DUMMYFUNCTION("GOOGLETRANSLATE(B21734,""en"",""fr"")"),"La femme finit et se lève.")</f>
        <v>La femme finit et se lève.</v>
      </c>
    </row>
    <row r="21735">
      <c r="A21735" s="4" t="s">
        <v>27370</v>
      </c>
      <c r="B21735" s="4" t="s">
        <v>27371</v>
      </c>
      <c r="C21735" s="5" t="str">
        <f>IFERROR(__xludf.DUMMYFUNCTION("GOOGLETRANSLATE(B21735,""en"",""fr"")"),"Nous voyons un écran de titre vert.")</f>
        <v>Nous voyons un écran de titre vert.</v>
      </c>
    </row>
    <row r="21736">
      <c r="A21736" s="4" t="s">
        <v>27370</v>
      </c>
      <c r="B21736" s="4" t="s">
        <v>27372</v>
      </c>
      <c r="C21736" s="5" t="str">
        <f>IFERROR(__xludf.DUMMYFUNCTION("GOOGLETRANSLATE(B21736,""en"",""fr"")"),"Une dame dans une salle de bain parle à la caméra.")</f>
        <v>Une dame dans une salle de bain parle à la caméra.</v>
      </c>
    </row>
    <row r="21737">
      <c r="A21737" s="4" t="s">
        <v>27370</v>
      </c>
      <c r="B21737" s="6" t="s">
        <v>27373</v>
      </c>
      <c r="C21737" s="5" t="str">
        <f>IFERROR(__xludf.DUMMYFUNCTION("GOOGLETRANSLATE(B21737,""en"",""fr"")"),"Nous la voyons verser du bicarbonate de soude et du vinaigre sur son évier, le drain de l'évier et les discussions et bouge ses mains pendant que la solution mousse.")</f>
        <v>Nous la voyons verser du bicarbonate de soude et du vinaigre sur son évier, le drain de l'évier et les discussions et bouge ses mains pendant que la solution mousse.</v>
      </c>
    </row>
    <row r="21738">
      <c r="A21738" s="4" t="s">
        <v>27370</v>
      </c>
      <c r="B21738" s="4" t="s">
        <v>27374</v>
      </c>
      <c r="C21738" s="5" t="str">
        <f>IFERROR(__xludf.DUMMYFUNCTION("GOOGLETRANSLATE(B21738,""en"",""fr"")"),"La dame allume l'eau pour rincer la solution dans le drain.")</f>
        <v>La dame allume l'eau pour rincer la solution dans le drain.</v>
      </c>
    </row>
    <row r="21739">
      <c r="A21739" s="4" t="s">
        <v>27375</v>
      </c>
      <c r="B21739" s="6" t="s">
        <v>27376</v>
      </c>
      <c r="C21739" s="5" t="str">
        <f>IFERROR(__xludf.DUMMYFUNCTION("GOOGLETRANSLATE(B21739,""en"",""fr"")"),"Une publicité de nettoyage de vitres montre que tous les matériaux et techniques doivent nettoyer une fenêtre de maison.")</f>
        <v>Une publicité de nettoyage de vitres montre que tous les matériaux et techniques doivent nettoyer une fenêtre de maison.</v>
      </c>
    </row>
    <row r="21740">
      <c r="A21740" s="4" t="s">
        <v>27375</v>
      </c>
      <c r="B21740" s="6" t="s">
        <v>27377</v>
      </c>
      <c r="C21740" s="5" t="str">
        <f>IFERROR(__xludf.DUMMYFUNCTION("GOOGLETRANSLATE(B21740,""en"",""fr"")"),"La publicité commence par un gros plan dans une maison de deux étages et l'intérieur de la maison, y compris une ligne de grandes fenêtres.")</f>
        <v>La publicité commence par un gros plan dans une maison de deux étages et l'intérieur de la maison, y compris une ligne de grandes fenêtres.</v>
      </c>
    </row>
    <row r="21741">
      <c r="A21741" s="4" t="s">
        <v>27375</v>
      </c>
      <c r="B21741" s="6" t="s">
        <v>27378</v>
      </c>
      <c r="C21741" s="5" t="str">
        <f>IFERROR(__xludf.DUMMYFUNCTION("GOOGLETRANSLATE(B21741,""en"",""fr"")"),"Des images d'une personne nettoyant une fenêtre, du savon, un seau et une éponge sont montrées avec un tableau noir avec des ingrédients nécessaires pour nettoyer une fenêtre.")</f>
        <v>Des images d'une personne nettoyant une fenêtre, du savon, un seau et une éponge sont montrées avec un tableau noir avec des ingrédients nécessaires pour nettoyer une fenêtre.</v>
      </c>
    </row>
    <row r="21742">
      <c r="A21742" s="4" t="s">
        <v>27375</v>
      </c>
      <c r="B21742" s="6" t="s">
        <v>27379</v>
      </c>
      <c r="C21742" s="5" t="str">
        <f>IFERROR(__xludf.DUMMYFUNCTION("GOOGLETRANSLATE(B21742,""en"",""fr"")"),"Une personne nettoie une fenêtre en utilisant tous les outils, y compris la suppression des écrans pour les nettoyer et le retrait des autocollants sur les fenêtres.")</f>
        <v>Une personne nettoie une fenêtre en utilisant tous les outils, y compris la suppression des écrans pour les nettoyer et le retrait des autocollants sur les fenêtres.</v>
      </c>
    </row>
    <row r="21743">
      <c r="A21743" s="4" t="s">
        <v>27380</v>
      </c>
      <c r="B21743" s="4" t="s">
        <v>27381</v>
      </c>
      <c r="C21743" s="5" t="str">
        <f>IFERROR(__xludf.DUMMYFUNCTION("GOOGLETRANSLATE(B21743,""en"",""fr"")"),"Un homme parle alors qu'il se tient dans une cuisine.")</f>
        <v>Un homme parle alors qu'il se tient dans une cuisine.</v>
      </c>
    </row>
    <row r="21744">
      <c r="A21744" s="4" t="s">
        <v>27380</v>
      </c>
      <c r="B21744" s="6" t="s">
        <v>27382</v>
      </c>
      <c r="C21744" s="5" t="str">
        <f>IFERROR(__xludf.DUMMYFUNCTION("GOOGLETRANSLATE(B21744,""en"",""fr"")"),"L'homme bouille le lait et ajoute de la vanille fraîche et verse la solution dans un bol avec d'autres ingrédients.")</f>
        <v>L'homme bouille le lait et ajoute de la vanille fraîche et verse la solution dans un bol avec d'autres ingrédients.</v>
      </c>
    </row>
    <row r="21745">
      <c r="A21745" s="4" t="s">
        <v>27380</v>
      </c>
      <c r="B21745" s="4" t="s">
        <v>27383</v>
      </c>
      <c r="C21745" s="5" t="str">
        <f>IFERROR(__xludf.DUMMYFUNCTION("GOOGLETRANSLATE(B21745,""en"",""fr"")"),"L'homme fait cuire la crème pâtissière et se déverse dans un bol et gèle pour faire de la crème glacée.")</f>
        <v>L'homme fait cuire la crème pâtissière et se déverse dans un bol et gèle pour faire de la crème glacée.</v>
      </c>
    </row>
    <row r="21746">
      <c r="A21746" s="4" t="s">
        <v>27380</v>
      </c>
      <c r="B21746" s="4" t="s">
        <v>27384</v>
      </c>
      <c r="C21746" s="5" t="str">
        <f>IFERROR(__xludf.DUMMYFUNCTION("GOOGLETRANSLATE(B21746,""en"",""fr"")"),"L'homme coupe et cuit du rubarbe dans du sucre sur le poêle.")</f>
        <v>L'homme coupe et cuit du rubarbe dans du sucre sur le poêle.</v>
      </c>
    </row>
    <row r="21747">
      <c r="A21747" s="4" t="s">
        <v>27380</v>
      </c>
      <c r="B21747" s="4" t="s">
        <v>27385</v>
      </c>
      <c r="C21747" s="5" t="str">
        <f>IFERROR(__xludf.DUMMYFUNCTION("GOOGLETRANSLATE(B21747,""en"",""fr"")"),"Il mange la glace sur le rubarbe cuit.")</f>
        <v>Il mange la glace sur le rubarbe cuit.</v>
      </c>
    </row>
    <row r="21748">
      <c r="A21748" s="4" t="s">
        <v>27380</v>
      </c>
      <c r="B21748" s="4" t="s">
        <v>27386</v>
      </c>
      <c r="C21748" s="5" t="str">
        <f>IFERROR(__xludf.DUMMYFUNCTION("GOOGLETRANSLATE(B21748,""en"",""fr"")"),"Nous voyons un coup de Londres et nous sommes disparus.")</f>
        <v>Nous voyons un coup de Londres et nous sommes disparus.</v>
      </c>
    </row>
    <row r="21749">
      <c r="A21749" s="4" t="s">
        <v>27387</v>
      </c>
      <c r="B21749" s="4" t="s">
        <v>27388</v>
      </c>
      <c r="C21749" s="5" t="str">
        <f>IFERROR(__xludf.DUMMYFUNCTION("GOOGLETRANSLATE(B21749,""en"",""fr"")"),"Plusieurs clips sont illustrés à diverses personnes se clôturant les uns avec les autres.")</f>
        <v>Plusieurs clips sont illustrés à diverses personnes se clôturant les uns avec les autres.</v>
      </c>
    </row>
    <row r="21750">
      <c r="A21750" s="4" t="s">
        <v>27387</v>
      </c>
      <c r="B21750" s="4" t="s">
        <v>27389</v>
      </c>
      <c r="C21750" s="5" t="str">
        <f>IFERROR(__xludf.DUMMYFUNCTION("GOOGLETRANSLATE(B21750,""en"",""fr"")"),"Les gens continuent de revenir en arrière et quatrième tandis que la caméra zoome sur les gens qui jouent.")</f>
        <v>Les gens continuent de revenir en arrière et quatrième tandis que la caméra zoome sur les gens qui jouent.</v>
      </c>
    </row>
    <row r="21751">
      <c r="A21751" s="4" t="s">
        <v>27390</v>
      </c>
      <c r="B21751" s="6" t="s">
        <v>27391</v>
      </c>
      <c r="C21751" s="5" t="str">
        <f>IFERROR(__xludf.DUMMYFUNCTION("GOOGLETRANSLATE(B21751,""en"",""fr"")"),"Une personne est dans le panier de la grue sur un toit d'une grange, tandis qu'un homme se tient sur le camion tenant une corde.")</f>
        <v>Une personne est dans le panier de la grue sur un toit d'une grange, tandis qu'un homme se tient sur le camion tenant une corde.</v>
      </c>
    </row>
    <row r="21752">
      <c r="A21752" s="4" t="s">
        <v>27390</v>
      </c>
      <c r="B21752" s="4" t="s">
        <v>27392</v>
      </c>
      <c r="C21752" s="5" t="str">
        <f>IFERROR(__xludf.DUMMYFUNCTION("GOOGLETRANSLATE(B21752,""en"",""fr"")"),"La fumée s'approche d'une table.")</f>
        <v>La fumée s'approche d'une table.</v>
      </c>
    </row>
    <row r="21753">
      <c r="A21753" s="4" t="s">
        <v>27390</v>
      </c>
      <c r="B21753" s="6" t="s">
        <v>27393</v>
      </c>
      <c r="C21753" s="5" t="str">
        <f>IFERROR(__xludf.DUMMYFUNCTION("GOOGLETRANSLATE(B21753,""en"",""fr"")"),"Les gens se tiennent à l'avant de la grange, en regardant également deux femmes et deux enfants sur la grange.")</f>
        <v>Les gens se tiennent à l'avant de la grange, en regardant également deux femmes et deux enfants sur la grange.</v>
      </c>
    </row>
    <row r="21754">
      <c r="A21754" s="4" t="s">
        <v>27394</v>
      </c>
      <c r="B21754" s="6" t="s">
        <v>27395</v>
      </c>
      <c r="C21754" s="5" t="str">
        <f>IFERROR(__xludf.DUMMYFUNCTION("GOOGLETRANSLATE(B21754,""en"",""fr"")"),"Divers plans sont illustrés à des montagnes enneigées qui font la transition entre les plans de personnes skiant et snowboard sur la montagne.")</f>
        <v>Divers plans sont illustrés à des montagnes enneigées qui font la transition entre les plans de personnes skiant et snowboard sur la montagne.</v>
      </c>
    </row>
    <row r="21755">
      <c r="A21755" s="4" t="s">
        <v>27394</v>
      </c>
      <c r="B21755" s="6" t="s">
        <v>27396</v>
      </c>
      <c r="C21755" s="5" t="str">
        <f>IFERROR(__xludf.DUMMYFUNCTION("GOOGLETRANSLATE(B21755,""en"",""fr"")"),"Les gens sont vus effectuer divers flips et astuces sur la montagne tandis que la caméra les capture sous de nombreux angles ainsi que la montagne.")</f>
        <v>Les gens sont vus effectuer divers flips et astuces sur la montagne tandis que la caméra les capture sous de nombreux angles ainsi que la montagne.</v>
      </c>
    </row>
    <row r="21756">
      <c r="A21756" s="4" t="s">
        <v>27397</v>
      </c>
      <c r="B21756" s="4" t="s">
        <v>27398</v>
      </c>
      <c r="C21756" s="5" t="str">
        <f>IFERROR(__xludf.DUMMYFUNCTION("GOOGLETRANSLATE(B21756,""en"",""fr"")"),"Nous entrons dans une pièce et voyons un garçon mettre une chemise sur une planche à repasser.")</f>
        <v>Nous entrons dans une pièce et voyons un garçon mettre une chemise sur une planche à repasser.</v>
      </c>
    </row>
    <row r="21757">
      <c r="A21757" s="4" t="s">
        <v>27397</v>
      </c>
      <c r="B21757" s="4" t="s">
        <v>27399</v>
      </c>
      <c r="C21757" s="5" t="str">
        <f>IFERROR(__xludf.DUMMYFUNCTION("GOOGLETRANSLATE(B21757,""en"",""fr"")"),"Le garçon commence à repasser le débardeur avec un fer non débranché.")</f>
        <v>Le garçon commence à repasser le débardeur avec un fer non débranché.</v>
      </c>
    </row>
    <row r="21758">
      <c r="A21758" s="4" t="s">
        <v>27397</v>
      </c>
      <c r="B21758" s="4" t="s">
        <v>27400</v>
      </c>
      <c r="C21758" s="5" t="str">
        <f>IFERROR(__xludf.DUMMYFUNCTION("GOOGLETRANSLATE(B21758,""en"",""fr"")"),"Le petit garçon repousse une chemise grise et se trouve le fer sur la planche à côté.")</f>
        <v>Le petit garçon repousse une chemise grise et se trouve le fer sur la planche à côté.</v>
      </c>
    </row>
    <row r="21759">
      <c r="A21759" s="4" t="s">
        <v>27397</v>
      </c>
      <c r="B21759" s="4" t="s">
        <v>27401</v>
      </c>
      <c r="C21759" s="5" t="str">
        <f>IFERROR(__xludf.DUMMYFUNCTION("GOOGLETRANSLATE(B21759,""en"",""fr"")"),"Le petit garçon s'éloigne en souriant.")</f>
        <v>Le petit garçon s'éloigne en souriant.</v>
      </c>
    </row>
    <row r="21760">
      <c r="A21760" s="4" t="s">
        <v>27397</v>
      </c>
      <c r="B21760" s="4" t="s">
        <v>27402</v>
      </c>
      <c r="C21760" s="5" t="str">
        <f>IFERROR(__xludf.DUMMYFUNCTION("GOOGLETRANSLATE(B21760,""en"",""fr"")"),"Le garçon montre deux doigts et se promène dans la pièce avec le fer.")</f>
        <v>Le garçon montre deux doigts et se promène dans la pièce avec le fer.</v>
      </c>
    </row>
    <row r="21761">
      <c r="A21761" s="4" t="s">
        <v>27403</v>
      </c>
      <c r="B21761" s="4" t="s">
        <v>27404</v>
      </c>
      <c r="C21761" s="5" t="str">
        <f>IFERROR(__xludf.DUMMYFUNCTION("GOOGLETRANSLATE(B21761,""en"",""fr"")"),"Un homme dans une veste parle devant la maison alors que les hommes se tiennent sur le toit.")</f>
        <v>Un homme dans une veste parle devant la maison alors que les hommes se tiennent sur le toit.</v>
      </c>
    </row>
    <row r="21762">
      <c r="A21762" s="4" t="s">
        <v>27403</v>
      </c>
      <c r="B21762" s="4" t="s">
        <v>27405</v>
      </c>
      <c r="C21762" s="5" t="str">
        <f>IFERROR(__xludf.DUMMYFUNCTION("GOOGLETRANSLATE(B21762,""en"",""fr"")"),"Un homme jette les bardeaux du toit en arrière-plan.")</f>
        <v>Un homme jette les bardeaux du toit en arrière-plan.</v>
      </c>
    </row>
    <row r="21763">
      <c r="A21763" s="4" t="s">
        <v>27403</v>
      </c>
      <c r="B21763" s="4" t="s">
        <v>27406</v>
      </c>
      <c r="C21763" s="5" t="str">
        <f>IFERROR(__xludf.DUMMYFUNCTION("GOOGLETRANSLATE(B21763,""en"",""fr"")"),"Les hommes continuent de jeter les bardeaux du toit.")</f>
        <v>Les hommes continuent de jeter les bardeaux du toit.</v>
      </c>
    </row>
    <row r="21764">
      <c r="A21764" s="4" t="s">
        <v>27403</v>
      </c>
      <c r="B21764" s="4" t="s">
        <v>27407</v>
      </c>
      <c r="C21764" s="5" t="str">
        <f>IFERROR(__xludf.DUMMYFUNCTION("GOOGLETRANSLATE(B21764,""en"",""fr"")"),"L'homme tenant la caméra tourne et grimpe l'échelle et se tient sur le toit.")</f>
        <v>L'homme tenant la caméra tourne et grimpe l'échelle et se tient sur le toit.</v>
      </c>
    </row>
    <row r="21765">
      <c r="A21765" s="4" t="s">
        <v>27403</v>
      </c>
      <c r="B21765" s="4" t="s">
        <v>27408</v>
      </c>
      <c r="C21765" s="5" t="str">
        <f>IFERROR(__xludf.DUMMYFUNCTION("GOOGLETRANSLATE(B21765,""en"",""fr"")"),"L'homme tourne la caméra sur lui-même et continue de parler.")</f>
        <v>L'homme tourne la caméra sur lui-même et continue de parler.</v>
      </c>
    </row>
    <row r="21766">
      <c r="A21766" s="4" t="s">
        <v>27409</v>
      </c>
      <c r="B21766" s="4" t="s">
        <v>27410</v>
      </c>
      <c r="C21766" s="5" t="str">
        <f>IFERROR(__xludf.DUMMYFUNCTION("GOOGLETRANSLATE(B21766,""en"",""fr"")"),"Un groupe d'amis est assis sur des traîneaux au sommet de la colline.")</f>
        <v>Un groupe d'amis est assis sur des traîneaux au sommet de la colline.</v>
      </c>
    </row>
    <row r="21767">
      <c r="A21767" s="4" t="s">
        <v>27409</v>
      </c>
      <c r="B21767" s="4" t="s">
        <v>27411</v>
      </c>
      <c r="C21767" s="5" t="str">
        <f>IFERROR(__xludf.DUMMYFUNCTION("GOOGLETRANSLATE(B21767,""en"",""fr"")"),"Les deux amis sont poussés en bas de la colline et ils glissent vers le bas.")</f>
        <v>Les deux amis sont poussés en bas de la colline et ils glissent vers le bas.</v>
      </c>
    </row>
    <row r="21768">
      <c r="A21768" s="4" t="s">
        <v>27409</v>
      </c>
      <c r="B21768" s="4" t="s">
        <v>27412</v>
      </c>
      <c r="C21768" s="5" t="str">
        <f>IFERROR(__xludf.DUMMYFUNCTION("GOOGLETRANSLATE(B21768,""en"",""fr"")"),"Les deux amis sont arrêtés par des tapis en caoutchouc au fond de la colline.")</f>
        <v>Les deux amis sont arrêtés par des tapis en caoutchouc au fond de la colline.</v>
      </c>
    </row>
    <row r="21769">
      <c r="A21769" s="4" t="s">
        <v>27413</v>
      </c>
      <c r="B21769" s="4" t="s">
        <v>27414</v>
      </c>
      <c r="C21769" s="5" t="str">
        <f>IFERROR(__xludf.DUMMYFUNCTION("GOOGLETRANSLATE(B21769,""en"",""fr"")"),"Un Aurora Borealis est vu sur un paysage du Nord.")</f>
        <v>Un Aurora Borealis est vu sur un paysage du Nord.</v>
      </c>
    </row>
    <row r="21770">
      <c r="A21770" s="4" t="s">
        <v>27413</v>
      </c>
      <c r="B21770" s="4" t="s">
        <v>27415</v>
      </c>
      <c r="C21770" s="5" t="str">
        <f>IFERROR(__xludf.DUMMYFUNCTION("GOOGLETRANSLATE(B21770,""en"",""fr"")"),"Un homme pelle de la neige de son porche avec une pelle de neige.")</f>
        <v>Un homme pelle de la neige de son porche avec une pelle de neige.</v>
      </c>
    </row>
    <row r="21771">
      <c r="A21771" s="4" t="s">
        <v>27413</v>
      </c>
      <c r="B21771" s="4" t="s">
        <v>27416</v>
      </c>
      <c r="C21771" s="5" t="str">
        <f>IFERROR(__xludf.DUMMYFUNCTION("GOOGLETRANSLATE(B21771,""en"",""fr"")"),"L'homme pelle de la neige d'un carter d'escalier avec une pelle de neige.")</f>
        <v>L'homme pelle de la neige d'un carter d'escalier avec une pelle de neige.</v>
      </c>
    </row>
    <row r="21772">
      <c r="A21772" s="4" t="s">
        <v>27413</v>
      </c>
      <c r="B21772" s="4" t="s">
        <v>27417</v>
      </c>
      <c r="C21772" s="5" t="str">
        <f>IFERROR(__xludf.DUMMYFUNCTION("GOOGLETRANSLATE(B21772,""en"",""fr"")"),"L'homme termine le travail et montre ses muscles.")</f>
        <v>L'homme termine le travail et montre ses muscles.</v>
      </c>
    </row>
    <row r="21773">
      <c r="A21773" s="4" t="s">
        <v>27418</v>
      </c>
      <c r="B21773" s="4" t="s">
        <v>27419</v>
      </c>
      <c r="C21773" s="5" t="str">
        <f>IFERROR(__xludf.DUMMYFUNCTION("GOOGLETRANSLATE(B21773,""en"",""fr"")"),"Une petite fille traverse les bars de singe.")</f>
        <v>Une petite fille traverse les bars de singe.</v>
      </c>
    </row>
    <row r="21774">
      <c r="A21774" s="4" t="s">
        <v>27418</v>
      </c>
      <c r="B21774" s="4" t="s">
        <v>27420</v>
      </c>
      <c r="C21774" s="5" t="str">
        <f>IFERROR(__xludf.DUMMYFUNCTION("GOOGLETRANSLATE(B21774,""en"",""fr"")"),"Une femme l'aide à se tenir sous elle.")</f>
        <v>Une femme l'aide à se tenir sous elle.</v>
      </c>
    </row>
    <row r="21775">
      <c r="A21775" s="4" t="s">
        <v>27418</v>
      </c>
      <c r="B21775" s="4" t="s">
        <v>27421</v>
      </c>
      <c r="C21775" s="5" t="str">
        <f>IFERROR(__xludf.DUMMYFUNCTION("GOOGLETRANSLATE(B21775,""en"",""fr"")"),"La fille tombe et la femme l'attrape.")</f>
        <v>La fille tombe et la femme l'attrape.</v>
      </c>
    </row>
    <row r="21776">
      <c r="A21776" s="4" t="s">
        <v>27422</v>
      </c>
      <c r="B21776" s="4" t="s">
        <v>27423</v>
      </c>
      <c r="C21776" s="5" t="str">
        <f>IFERROR(__xludf.DUMMYFUNCTION("GOOGLETRANSLATE(B21776,""en"",""fr"")"),"Un athlète est vu debout en cercle et se tournant autour et autour.")</f>
        <v>Un athlète est vu debout en cercle et se tournant autour et autour.</v>
      </c>
    </row>
    <row r="21777">
      <c r="A21777" s="4" t="s">
        <v>27422</v>
      </c>
      <c r="B21777" s="4" t="s">
        <v>27424</v>
      </c>
      <c r="C21777" s="5" t="str">
        <f>IFERROR(__xludf.DUMMYFUNCTION("GOOGLETRANSLATE(B21777,""en"",""fr"")"),"Elle jette un objet au loin et est à nouveau représentée au ralenti.")</f>
        <v>Elle jette un objet au loin et est à nouveau représentée au ralenti.</v>
      </c>
    </row>
    <row r="21778">
      <c r="A21778" s="4" t="s">
        <v>27422</v>
      </c>
      <c r="B21778" s="4" t="s">
        <v>27425</v>
      </c>
      <c r="C21778" s="5" t="str">
        <f>IFERROR(__xludf.DUMMYFUNCTION("GOOGLETRANSLATE(B21778,""en"",""fr"")"),"Elle revient en applaudissant et d'autres tiennent un drapeau.")</f>
        <v>Elle revient en applaudissant et d'autres tiennent un drapeau.</v>
      </c>
    </row>
    <row r="21779">
      <c r="A21779" s="4" t="s">
        <v>27426</v>
      </c>
      <c r="B21779" s="6" t="s">
        <v>27427</v>
      </c>
      <c r="C21779" s="5" t="str">
        <f>IFERROR(__xludf.DUMMYFUNCTION("GOOGLETRANSLATE(B21779,""en"",""fr"")"),"Deux chevilles blanches sont représentées dans le mur avec un lit rouge sur le côté et quelqu'un le frappant avec un grand bloc de bois.")</f>
        <v>Deux chevilles blanches sont représentées dans le mur avec un lit rouge sur le côté et quelqu'un le frappant avec un grand bloc de bois.</v>
      </c>
    </row>
    <row r="21780">
      <c r="A21780" s="4" t="s">
        <v>27426</v>
      </c>
      <c r="B21780" s="4" t="s">
        <v>27428</v>
      </c>
      <c r="C21780" s="5" t="str">
        <f>IFERROR(__xludf.DUMMYFUNCTION("GOOGLETRANSLATE(B21780,""en"",""fr"")"),"Un autre angle est montré et la personne prend 21 coups de feu aux balles.")</f>
        <v>Un autre angle est montré et la personne prend 21 coups de feu aux balles.</v>
      </c>
    </row>
    <row r="21781">
      <c r="A21781" s="4" t="s">
        <v>27426</v>
      </c>
      <c r="B21781" s="6" t="s">
        <v>27429</v>
      </c>
      <c r="C21781" s="5" t="str">
        <f>IFERROR(__xludf.DUMMYFUNCTION("GOOGLETRANSLATE(B21781,""en"",""fr"")"),"Pour le 22e coup, un homme se tient dans un grand champ de chevilles blanches et commence à frapper les trois balles en même temps dans différentes directions.")</f>
        <v>Pour le 22e coup, un homme se tient dans un grand champ de chevilles blanches et commence à frapper les trois balles en même temps dans différentes directions.</v>
      </c>
    </row>
    <row r="21782">
      <c r="A21782" s="4" t="s">
        <v>27430</v>
      </c>
      <c r="B21782" s="6" t="s">
        <v>27431</v>
      </c>
      <c r="C21782" s="5" t="str">
        <f>IFERROR(__xludf.DUMMYFUNCTION("GOOGLETRANSLATE(B21782,""en"",""fr"")"),"Une femme nettoie le tapis et le sol avec un vide, après que l'aspirateur ait ramassé la saleté du tapis.")</f>
        <v>Une femme nettoie le tapis et le sol avec un vide, après que l'aspirateur ait ramassé la saleté du tapis.</v>
      </c>
    </row>
    <row r="21783">
      <c r="A21783" s="4" t="s">
        <v>27430</v>
      </c>
      <c r="B21783" s="6" t="s">
        <v>27432</v>
      </c>
      <c r="C21783" s="5" t="str">
        <f>IFERROR(__xludf.DUMMYFUNCTION("GOOGLETRANSLATE(B21783,""en"",""fr"")"),"Ensuite, la femme sort la cartouche de l'aspirateur et continue de nettoyer le sol, le mur, le canapé et le sol.")</f>
        <v>Ensuite, la femme sort la cartouche de l'aspirateur et continue de nettoyer le sol, le mur, le canapé et le sol.</v>
      </c>
    </row>
    <row r="21784">
      <c r="A21784" s="4" t="s">
        <v>27430</v>
      </c>
      <c r="B21784" s="4" t="s">
        <v>27433</v>
      </c>
      <c r="C21784" s="5" t="str">
        <f>IFERROR(__xludf.DUMMYFUNCTION("GOOGLETRANSLATE(B21784,""en"",""fr"")"),"Après, la femme nettoie les cadres de l'image et ramasse les cheveux dans un oreiller.")</f>
        <v>Après, la femme nettoie les cadres de l'image et ramasse les cheveux dans un oreiller.</v>
      </c>
    </row>
    <row r="21785">
      <c r="A21785" s="4" t="s">
        <v>27430</v>
      </c>
      <c r="B21785" s="4" t="s">
        <v>27434</v>
      </c>
      <c r="C21785" s="5" t="str">
        <f>IFERROR(__xludf.DUMMYFUNCTION("GOOGLETRANSLATE(B21785,""en"",""fr"")"),"Ensuite, la femme rembobine le fil de la cartouche et laisse tomber la poubelle dans la poubelle.")</f>
        <v>Ensuite, la femme rembobine le fil de la cartouche et laisse tomber la poubelle dans la poubelle.</v>
      </c>
    </row>
    <row r="21786">
      <c r="A21786" s="4" t="s">
        <v>27435</v>
      </c>
      <c r="B21786" s="6" t="s">
        <v>27436</v>
      </c>
      <c r="C21786" s="5" t="str">
        <f>IFERROR(__xludf.DUMMYFUNCTION("GOOGLETRANSLATE(B21786,""en"",""fr"")"),"Un homme est vu assis à plusieurs tables et éplucher des pommes de terre tandis que la caméra regarde autour d'un mouvement rapide.")</f>
        <v>Un homme est vu assis à plusieurs tables et éplucher des pommes de terre tandis que la caméra regarde autour d'un mouvement rapide.</v>
      </c>
    </row>
    <row r="21787">
      <c r="A21787" s="4" t="s">
        <v>27435</v>
      </c>
      <c r="B21787" s="6" t="s">
        <v>27437</v>
      </c>
      <c r="C21787" s="5" t="str">
        <f>IFERROR(__xludf.DUMMYFUNCTION("GOOGLETRANSLATE(B21787,""en"",""fr"")"),"Une autre personne est vue en train de peler des pommes de terre et l'homme revient vers la table pour continuer à se décoller.")</f>
        <v>Une autre personne est vue en train de peler des pommes de terre et l'homme revient vers la table pour continuer à se décoller.</v>
      </c>
    </row>
    <row r="21788">
      <c r="A21788" s="4" t="s">
        <v>27438</v>
      </c>
      <c r="B21788" s="4" t="s">
        <v>27439</v>
      </c>
      <c r="C21788" s="5" t="str">
        <f>IFERROR(__xludf.DUMMYFUNCTION("GOOGLETRANSLATE(B21788,""en"",""fr"")"),"Deux hommes se filment dans un match de lutte de bras que quelqu'un leur a demandé de faire.")</f>
        <v>Deux hommes se filment dans un match de lutte de bras que quelqu'un leur a demandé de faire.</v>
      </c>
    </row>
    <row r="21789">
      <c r="A21789" s="4" t="s">
        <v>27438</v>
      </c>
      <c r="B21789" s="6" t="s">
        <v>27440</v>
      </c>
      <c r="C21789" s="5" t="str">
        <f>IFERROR(__xludf.DUMMYFUNCTION("GOOGLETRANSLATE(B21789,""en"",""fr"")"),"Deux hommes sont assis dans une pièce côte à côte tandis qu'un homme lit un ordinateur portable, puis ils se saisissent tous les deux pour faire bouger ce qui est sur le point de se passer.")</f>
        <v>Deux hommes sont assis dans une pièce côte à côte tandis qu'un homme lit un ordinateur portable, puis ils se saisissent tous les deux pour faire bouger ce qui est sur le point de se passer.</v>
      </c>
    </row>
    <row r="21790">
      <c r="A21790" s="4" t="s">
        <v>27438</v>
      </c>
      <c r="B21790" s="4" t="s">
        <v>27441</v>
      </c>
      <c r="C21790" s="5" t="str">
        <f>IFERROR(__xludf.DUMMYFUNCTION("GOOGLETRANSLATE(B21790,""en"",""fr"")"),"Un homme installe la caméra pour filmer le match.")</f>
        <v>Un homme installe la caméra pour filmer le match.</v>
      </c>
    </row>
    <row r="21791">
      <c r="A21791" s="4" t="s">
        <v>27438</v>
      </c>
      <c r="B21791" s="4" t="s">
        <v>27442</v>
      </c>
      <c r="C21791" s="5" t="str">
        <f>IFERROR(__xludf.DUMMYFUNCTION("GOOGLETRANSLATE(B21791,""en"",""fr"")"),"Les hommes se préparent au coin d'une table, saisissez les mains puis comptent à partir de trois.")</f>
        <v>Les hommes se préparent au coin d'une table, saisissez les mains puis comptent à partir de trois.</v>
      </c>
    </row>
    <row r="21792">
      <c r="A21792" s="4" t="s">
        <v>27438</v>
      </c>
      <c r="B21792" s="4" t="s">
        <v>27443</v>
      </c>
      <c r="C21792" s="5" t="str">
        <f>IFERROR(__xludf.DUMMYFUNCTION("GOOGLETRANSLATE(B21792,""en"",""fr"")"),"Les deux hommes se luttent alors que les blagues font des blagues et rient en le faisant.")</f>
        <v>Les deux hommes se luttent alors que les blagues font des blagues et rient en le faisant.</v>
      </c>
    </row>
    <row r="21793">
      <c r="A21793" s="4" t="s">
        <v>27438</v>
      </c>
      <c r="B21793" s="4" t="s">
        <v>27444</v>
      </c>
      <c r="C21793" s="5" t="str">
        <f>IFERROR(__xludf.DUMMYFUNCTION("GOOGLETRANSLATE(B21793,""en"",""fr"")"),"Un homme abandonne et les deux hommes parlent et rit du match.")</f>
        <v>Un homme abandonne et les deux hommes parlent et rit du match.</v>
      </c>
    </row>
    <row r="21794">
      <c r="A21794" s="4" t="s">
        <v>27438</v>
      </c>
      <c r="B21794" s="4" t="s">
        <v>27445</v>
      </c>
      <c r="C21794" s="5" t="str">
        <f>IFERROR(__xludf.DUMMYFUNCTION("GOOGLETRANSLATE(B21794,""en"",""fr"")"),"Un homme grogne et lance ses mains dans la victoire.")</f>
        <v>Un homme grogne et lance ses mains dans la victoire.</v>
      </c>
    </row>
    <row r="21795">
      <c r="A21795" s="4" t="s">
        <v>27446</v>
      </c>
      <c r="B21795" s="4" t="s">
        <v>27447</v>
      </c>
      <c r="C21795" s="5" t="str">
        <f>IFERROR(__xludf.DUMMYFUNCTION("GOOGLETRANSLATE(B21795,""en"",""fr"")"),"Une jeune fille est vue se déplacer rapidement autour d'un cheval brossant ses côtés.")</f>
        <v>Une jeune fille est vue se déplacer rapidement autour d'un cheval brossant ses côtés.</v>
      </c>
    </row>
    <row r="21796">
      <c r="A21796" s="4" t="s">
        <v>27446</v>
      </c>
      <c r="B21796" s="4" t="s">
        <v>27448</v>
      </c>
      <c r="C21796" s="5" t="str">
        <f>IFERROR(__xludf.DUMMYFUNCTION("GOOGLETRANSLATE(B21796,""en"",""fr"")"),"Elle se brosse sur tout le cheval tandis qu'un autre cheval entre dans et hors du cadre.")</f>
        <v>Elle se brosse sur tout le cheval tandis qu'un autre cheval entre dans et hors du cadre.</v>
      </c>
    </row>
    <row r="21797">
      <c r="A21797" s="4" t="s">
        <v>27446</v>
      </c>
      <c r="B21797" s="4" t="s">
        <v>27449</v>
      </c>
      <c r="C21797" s="5" t="str">
        <f>IFERROR(__xludf.DUMMYFUNCTION("GOOGLETRANSLATE(B21797,""en"",""fr"")"),"Elle continue de brosser le cheval pendant que la caméra capture ses mouvements.")</f>
        <v>Elle continue de brosser le cheval pendant que la caméra capture ses mouvements.</v>
      </c>
    </row>
    <row r="21798">
      <c r="A21798" s="4" t="s">
        <v>27450</v>
      </c>
      <c r="B21798" s="6" t="s">
        <v>27451</v>
      </c>
      <c r="C21798" s="5" t="str">
        <f>IFERROR(__xludf.DUMMYFUNCTION("GOOGLETRANSLATE(B21798,""en"",""fr"")"),"Les femmes se tiennent dans un terrain en bois dans un gymnase couvert jouant au voleyball tandis que le public est en teraces en regardant le match.")</f>
        <v>Les femmes se tiennent dans un terrain en bois dans un gymnase couvert jouant au voleyball tandis que le public est en teraces en regardant le match.</v>
      </c>
    </row>
    <row r="21799">
      <c r="A21799" s="4" t="s">
        <v>27450</v>
      </c>
      <c r="B21799" s="4" t="s">
        <v>27452</v>
      </c>
      <c r="C21799" s="5" t="str">
        <f>IFERROR(__xludf.DUMMYFUNCTION("GOOGLETRANSLATE(B21799,""en"",""fr"")"),"Le ballon frappe une femme pour l'équipe rouge et les gens courent vers elle.")</f>
        <v>Le ballon frappe une femme pour l'équipe rouge et les gens courent vers elle.</v>
      </c>
    </row>
    <row r="21800">
      <c r="A21800" s="4" t="s">
        <v>27453</v>
      </c>
      <c r="B21800" s="4" t="s">
        <v>4683</v>
      </c>
      <c r="C21800" s="5" t="str">
        <f>IFERROR(__xludf.DUMMYFUNCTION("GOOGLETRANSLATE(B21800,""en"",""fr"")"),"Les gens se tiennent dans une piscine.")</f>
        <v>Les gens se tiennent dans une piscine.</v>
      </c>
    </row>
    <row r="21801">
      <c r="A21801" s="4" t="s">
        <v>27453</v>
      </c>
      <c r="B21801" s="4" t="s">
        <v>27454</v>
      </c>
      <c r="C21801" s="5" t="str">
        <f>IFERROR(__xludf.DUMMYFUNCTION("GOOGLETRANSLATE(B21801,""en"",""fr"")"),"Ils jouent à un jeu de water-polo.")</f>
        <v>Ils jouent à un jeu de water-polo.</v>
      </c>
    </row>
    <row r="21802">
      <c r="A21802" s="4" t="s">
        <v>27453</v>
      </c>
      <c r="B21802" s="4" t="s">
        <v>27455</v>
      </c>
      <c r="C21802" s="5" t="str">
        <f>IFERROR(__xludf.DUMMYFUNCTION("GOOGLETRANSLATE(B21802,""en"",""fr"")"),"Une femme jette le ballon dans le filet et elle est prise par le gardien de but.")</f>
        <v>Une femme jette le ballon dans le filet et elle est prise par le gardien de but.</v>
      </c>
    </row>
    <row r="21803">
      <c r="A21803" s="4" t="s">
        <v>27456</v>
      </c>
      <c r="B21803" s="4" t="s">
        <v>27457</v>
      </c>
      <c r="C21803" s="5" t="str">
        <f>IFERROR(__xludf.DUMMYFUNCTION("GOOGLETRANSLATE(B21803,""en"",""fr"")"),"Un homme est à l'extérieur dans le bien avec une hache qui tente de couper un arbre.")</f>
        <v>Un homme est à l'extérieur dans le bien avec une hache qui tente de couper un arbre.</v>
      </c>
    </row>
    <row r="21804">
      <c r="A21804" s="4" t="s">
        <v>27456</v>
      </c>
      <c r="B21804" s="4" t="s">
        <v>27458</v>
      </c>
      <c r="C21804" s="5" t="str">
        <f>IFERROR(__xludf.DUMMYFUNCTION("GOOGLETRANSLATE(B21804,""en"",""fr"")"),"Enfin, l'arbre descend et l'homme commence à frapper l'arbre avec la hache.")</f>
        <v>Enfin, l'arbre descend et l'homme commence à frapper l'arbre avec la hache.</v>
      </c>
    </row>
    <row r="21805">
      <c r="A21805" s="4" t="s">
        <v>27459</v>
      </c>
      <c r="B21805" s="4" t="s">
        <v>27460</v>
      </c>
      <c r="C21805" s="5" t="str">
        <f>IFERROR(__xludf.DUMMYFUNCTION("GOOGLETRANSLATE(B21805,""en"",""fr"")"),"BMX Biker descendant sur une piste pratiquant dans sa voie lui-même.")</f>
        <v>BMX Biker descendant sur une piste pratiquant dans sa voie lui-même.</v>
      </c>
    </row>
    <row r="21806">
      <c r="A21806" s="4" t="s">
        <v>27459</v>
      </c>
      <c r="B21806" s="6" t="s">
        <v>27461</v>
      </c>
      <c r="C21806" s="5" t="str">
        <f>IFERROR(__xludf.DUMMYFUNCTION("GOOGLETRANSLATE(B21806,""en"",""fr"")"),"Ensuite, il y a aussi un autre motard, ils courent probablement, ils vont très vite sur la piste en tournant et en frappant des bosses hautes qui les font monter en haut dans les airs.")</f>
        <v>Ensuite, il y a aussi un autre motard, ils courent probablement, ils vont très vite sur la piste en tournant et en frappant des bosses hautes qui les font monter en haut dans les airs.</v>
      </c>
    </row>
    <row r="21807">
      <c r="A21807" s="4" t="s">
        <v>27459</v>
      </c>
      <c r="B21807" s="4" t="s">
        <v>27462</v>
      </c>
      <c r="C21807" s="5" t="str">
        <f>IFERROR(__xludf.DUMMYFUNCTION("GOOGLETRANSLATE(B21807,""en"",""fr"")"),"La piste s'ouvre à nouveau et ils commencent une autre course.")</f>
        <v>La piste s'ouvre à nouveau et ils commencent une autre course.</v>
      </c>
    </row>
    <row r="21808">
      <c r="A21808" s="4" t="s">
        <v>27459</v>
      </c>
      <c r="B21808" s="6" t="s">
        <v>27463</v>
      </c>
      <c r="C21808" s="5" t="str">
        <f>IFERROR(__xludf.DUMMYFUNCTION("GOOGLETRANSLATE(B21808,""en"",""fr"")"),"Deux motards dansent avant de revenir sur leurs vélos pour revenir sur la piste pour une autre petite course.")</f>
        <v>Deux motards dansent avant de revenir sur leurs vélos pour revenir sur la piste pour une autre petite course.</v>
      </c>
    </row>
    <row r="21809">
      <c r="A21809" s="4" t="s">
        <v>27464</v>
      </c>
      <c r="B21809" s="4" t="s">
        <v>27465</v>
      </c>
      <c r="C21809" s="5" t="str">
        <f>IFERROR(__xludf.DUMMYFUNCTION("GOOGLETRANSLATE(B21809,""en"",""fr"")"),"Un homme est sous un camping-car essayant de réparer la roue alors qu'un homme se tient à l'extérieur en aidant.")</f>
        <v>Un homme est sous un camping-car essayant de réparer la roue alors qu'un homme se tient à l'extérieur en aidant.</v>
      </c>
    </row>
    <row r="21810">
      <c r="A21810" s="4" t="s">
        <v>27464</v>
      </c>
      <c r="B21810" s="4" t="s">
        <v>27466</v>
      </c>
      <c r="C21810" s="5" t="str">
        <f>IFERROR(__xludf.DUMMYFUNCTION("GOOGLETRANSLATE(B21810,""en"",""fr"")"),"La roue est ensuite enlevée et l'autre groupe de personnes se croise pour trouver le problème.")</f>
        <v>La roue est ensuite enlevée et l'autre groupe de personnes se croise pour trouver le problème.</v>
      </c>
    </row>
    <row r="21811">
      <c r="A21811" s="4" t="s">
        <v>27464</v>
      </c>
      <c r="B21811" s="4" t="s">
        <v>27467</v>
      </c>
      <c r="C21811" s="5" t="str">
        <f>IFERROR(__xludf.DUMMYFUNCTION("GOOGLETRANSLATE(B21811,""en"",""fr"")"),"Pendant qu'ils parlent, l'homme reste sous le VR et commence à sourire alors qu'il tient la plate-forme.")</f>
        <v>Pendant qu'ils parlent, l'homme reste sous le VR et commence à sourire alors qu'il tient la plate-forme.</v>
      </c>
    </row>
    <row r="21812">
      <c r="A21812" s="4" t="s">
        <v>27468</v>
      </c>
      <c r="B21812" s="4" t="s">
        <v>27469</v>
      </c>
      <c r="C21812" s="5" t="str">
        <f>IFERROR(__xludf.DUMMYFUNCTION("GOOGLETRANSLATE(B21812,""en"",""fr"")"),"Un homme sert une balle pour jouer à la courge avec un partenaire.")</f>
        <v>Un homme sert une balle pour jouer à la courge avec un partenaire.</v>
      </c>
    </row>
    <row r="21813">
      <c r="A21813" s="4" t="s">
        <v>27468</v>
      </c>
      <c r="B21813" s="4" t="s">
        <v>27470</v>
      </c>
      <c r="C21813" s="5" t="str">
        <f>IFERROR(__xludf.DUMMYFUNCTION("GOOGLETRANSLATE(B21813,""en"",""fr"")"),"Les hommes ont frappé le ballon au mur.")</f>
        <v>Les hommes ont frappé le ballon au mur.</v>
      </c>
    </row>
    <row r="21814">
      <c r="A21814" s="4" t="s">
        <v>27468</v>
      </c>
      <c r="B21814" s="4" t="s">
        <v>27471</v>
      </c>
      <c r="C21814" s="5" t="str">
        <f>IFERROR(__xludf.DUMMYFUNCTION("GOOGLETRANSLATE(B21814,""en"",""fr"")"),"L'homme rebondisse sur le sol.")</f>
        <v>L'homme rebondisse sur le sol.</v>
      </c>
    </row>
    <row r="21815">
      <c r="A21815" s="4" t="s">
        <v>27472</v>
      </c>
      <c r="B21815" s="4" t="s">
        <v>27473</v>
      </c>
      <c r="C21815" s="5" t="str">
        <f>IFERROR(__xludf.DUMMYFUNCTION("GOOGLETRANSLATE(B21815,""en"",""fr"")"),"Un homme tenant un javelot coule sur une piste.")</f>
        <v>Un homme tenant un javelot coule sur une piste.</v>
      </c>
    </row>
    <row r="21816">
      <c r="A21816" s="4" t="s">
        <v>27472</v>
      </c>
      <c r="B21816" s="4" t="s">
        <v>27474</v>
      </c>
      <c r="C21816" s="5" t="str">
        <f>IFERROR(__xludf.DUMMYFUNCTION("GOOGLETRANSLATE(B21816,""en"",""fr"")"),"L'homme lance le javelot.")</f>
        <v>L'homme lance le javelot.</v>
      </c>
    </row>
    <row r="21817">
      <c r="A21817" s="4" t="s">
        <v>27472</v>
      </c>
      <c r="B21817" s="4" t="s">
        <v>27475</v>
      </c>
      <c r="C21817" s="5" t="str">
        <f>IFERROR(__xludf.DUMMYFUNCTION("GOOGLETRANSLATE(B21817,""en"",""fr"")"),"L'homme tombe au sol.")</f>
        <v>L'homme tombe au sol.</v>
      </c>
    </row>
    <row r="21818">
      <c r="A21818" s="4" t="s">
        <v>27472</v>
      </c>
      <c r="B21818" s="4" t="s">
        <v>27476</v>
      </c>
      <c r="C21818" s="5" t="str">
        <f>IFERROR(__xludf.DUMMYFUNCTION("GOOGLETRANSLATE(B21818,""en"",""fr"")"),"Nous voyons le javelot voler dans les airs.")</f>
        <v>Nous voyons le javelot voler dans les airs.</v>
      </c>
    </row>
    <row r="21819">
      <c r="A21819" s="4" t="s">
        <v>27472</v>
      </c>
      <c r="B21819" s="4" t="s">
        <v>27477</v>
      </c>
      <c r="C21819" s="5" t="str">
        <f>IFERROR(__xludf.DUMMYFUNCTION("GOOGLETRANSLATE(B21819,""en"",""fr"")"),"Nous voyons des gens courir pour mesurer la distance du javelot.")</f>
        <v>Nous voyons des gens courir pour mesurer la distance du javelot.</v>
      </c>
    </row>
    <row r="21820">
      <c r="A21820" s="4" t="s">
        <v>27472</v>
      </c>
      <c r="B21820" s="4" t="s">
        <v>27478</v>
      </c>
      <c r="C21820" s="5" t="str">
        <f>IFERROR(__xludf.DUMMYFUNCTION("GOOGLETRANSLATE(B21820,""en"",""fr"")"),"L'homme pompe ses bras et nous voyons des gens heureux dans la foule.")</f>
        <v>L'homme pompe ses bras et nous voyons des gens heureux dans la foule.</v>
      </c>
    </row>
    <row r="21821">
      <c r="A21821" s="4" t="s">
        <v>27472</v>
      </c>
      <c r="B21821" s="4" t="s">
        <v>27479</v>
      </c>
      <c r="C21821" s="5" t="str">
        <f>IFERROR(__xludf.DUMMYFUNCTION("GOOGLETRANSLATE(B21821,""en"",""fr"")"),"Nous voyons ensuite une réponse du tirage au sort de l'homme.")</f>
        <v>Nous voyons ensuite une réponse du tirage au sort de l'homme.</v>
      </c>
    </row>
    <row r="21822">
      <c r="A21822" s="4" t="s">
        <v>27480</v>
      </c>
      <c r="B21822" s="4" t="s">
        <v>27481</v>
      </c>
      <c r="C21822" s="5" t="str">
        <f>IFERROR(__xludf.DUMMYFUNCTION("GOOGLETRANSLATE(B21822,""en"",""fr"")"),"Un groupe de Twirlers de Baton pratiquait leur routine pour une compétition à venir.")</f>
        <v>Un groupe de Twirlers de Baton pratiquait leur routine pour une compétition à venir.</v>
      </c>
    </row>
    <row r="21823">
      <c r="A21823" s="4" t="s">
        <v>27480</v>
      </c>
      <c r="B21823" s="4" t="s">
        <v>27482</v>
      </c>
      <c r="C21823" s="5" t="str">
        <f>IFERROR(__xludf.DUMMYFUNCTION("GOOGLETRANSLATE(B21823,""en"",""fr"")"),"L'annonceur des nouvelles commente les événements.")</f>
        <v>L'annonceur des nouvelles commente les événements.</v>
      </c>
    </row>
    <row r="21824">
      <c r="A21824" s="4" t="s">
        <v>27480</v>
      </c>
      <c r="B21824" s="4" t="s">
        <v>27483</v>
      </c>
      <c r="C21824" s="5" t="str">
        <f>IFERROR(__xludf.DUMMYFUNCTION("GOOGLETRANSLATE(B21824,""en"",""fr"")"),"L'entraîneur est ensuite interviewé en déclarant sur quoi les filles travaillent.")</f>
        <v>L'entraîneur est ensuite interviewé en déclarant sur quoi les filles travaillent.</v>
      </c>
    </row>
    <row r="21825">
      <c r="A21825" s="4" t="s">
        <v>27480</v>
      </c>
      <c r="B21825" s="4" t="s">
        <v>27484</v>
      </c>
      <c r="C21825" s="5" t="str">
        <f>IFERROR(__xludf.DUMMYFUNCTION("GOOGLETRANSLATE(B21825,""en"",""fr"")"),"Plusieurs tourbillons sont interviewés pour leur point de vue sur les raisons pour lesquelles ils travaillent si dur.")</f>
        <v>Plusieurs tourbillons sont interviewés pour leur point de vue sur les raisons pour lesquelles ils travaillent si dur.</v>
      </c>
    </row>
    <row r="21826">
      <c r="A21826" s="4" t="s">
        <v>27480</v>
      </c>
      <c r="B21826" s="4" t="s">
        <v>27485</v>
      </c>
      <c r="C21826" s="5" t="str">
        <f>IFERROR(__xludf.DUMMYFUNCTION("GOOGLETRANSLATE(B21826,""en"",""fr"")"),"L'entraîneur déclare ce qu'elle aime dans le processus et ce qui est le plus important.")</f>
        <v>L'entraîneur déclare ce qu'elle aime dans le processus et ce qui est le plus important.</v>
      </c>
    </row>
    <row r="21827">
      <c r="A21827" s="4" t="s">
        <v>27480</v>
      </c>
      <c r="B21827" s="4" t="s">
        <v>27486</v>
      </c>
      <c r="C21827" s="5" t="str">
        <f>IFERROR(__xludf.DUMMYFUNCTION("GOOGLETRANSLATE(B21827,""en"",""fr"")"),"Le commentateur annonce où le concours sera utile et indique son nom.")</f>
        <v>Le commentateur annonce où le concours sera utile et indique son nom.</v>
      </c>
    </row>
    <row r="21828">
      <c r="A21828" s="4" t="s">
        <v>27487</v>
      </c>
      <c r="B21828" s="4" t="s">
        <v>27488</v>
      </c>
      <c r="C21828" s="5" t="str">
        <f>IFERROR(__xludf.DUMMYFUNCTION("GOOGLETRANSLATE(B21828,""en"",""fr"")"),"Trois personnes marchent sur un pont sur un lagon.")</f>
        <v>Trois personnes marchent sur un pont sur un lagon.</v>
      </c>
    </row>
    <row r="21829">
      <c r="A21829" s="4" t="s">
        <v>27487</v>
      </c>
      <c r="B21829" s="4" t="s">
        <v>27489</v>
      </c>
      <c r="C21829" s="5" t="str">
        <f>IFERROR(__xludf.DUMMYFUNCTION("GOOGLETRANSLATE(B21829,""en"",""fr"")"),"Nous voyons un homme sur un bateau et une dame qui met en équipe de plongée.")</f>
        <v>Nous voyons un homme sur un bateau et une dame qui met en équipe de plongée.</v>
      </c>
    </row>
    <row r="21830">
      <c r="A21830" s="4" t="s">
        <v>27487</v>
      </c>
      <c r="B21830" s="4" t="s">
        <v>27490</v>
      </c>
      <c r="C21830" s="5" t="str">
        <f>IFERROR(__xludf.DUMMYFUNCTION("GOOGLETRANSLATE(B21830,""en"",""fr"")"),"L'homme et la femme sont sous l'eau en regardant la vie marine.")</f>
        <v>L'homme et la femme sont sous l'eau en regardant la vie marine.</v>
      </c>
    </row>
    <row r="21831">
      <c r="A21831" s="4" t="s">
        <v>27487</v>
      </c>
      <c r="B21831" s="4" t="s">
        <v>27491</v>
      </c>
      <c r="C21831" s="5" t="str">
        <f>IFERROR(__xludf.DUMMYFUNCTION("GOOGLETRANSLATE(B21831,""en"",""fr"")"),"Nous voyons un homme tenant un animal sous-marin qu'il tend à une dame.")</f>
        <v>Nous voyons un homme tenant un animal sous-marin qu'il tend à une dame.</v>
      </c>
    </row>
    <row r="21832">
      <c r="A21832" s="4" t="s">
        <v>27487</v>
      </c>
      <c r="B21832" s="4" t="s">
        <v>27492</v>
      </c>
      <c r="C21832" s="5" t="str">
        <f>IFERROR(__xludf.DUMMYFUNCTION("GOOGLETRANSLATE(B21832,""en"",""fr"")"),"Nous voyons un homme et une dame sur un patio tropical parler et rire.")</f>
        <v>Nous voyons un homme et une dame sur un patio tropical parler et rire.</v>
      </c>
    </row>
    <row r="21833">
      <c r="A21833" s="4" t="s">
        <v>27493</v>
      </c>
      <c r="B21833" s="4" t="s">
        <v>27494</v>
      </c>
      <c r="C21833" s="5" t="str">
        <f>IFERROR(__xludf.DUMMYFUNCTION("GOOGLETRANSLATE(B21833,""en"",""fr"")"),"Une femme est vue se pencher en avant en étant assise sur un lit et tenant une brosse dans ses mains.")</f>
        <v>Une femme est vue se pencher en avant en étant assise sur un lit et tenant une brosse dans ses mains.</v>
      </c>
    </row>
    <row r="21834">
      <c r="A21834" s="4" t="s">
        <v>27493</v>
      </c>
      <c r="B21834" s="4" t="s">
        <v>27495</v>
      </c>
      <c r="C21834" s="5" t="str">
        <f>IFERROR(__xludf.DUMMYFUNCTION("GOOGLETRANSLATE(B21834,""en"",""fr"")"),"Elle passe ensuite la brosse dans ses cheveux encore et encore.")</f>
        <v>Elle passe ensuite la brosse dans ses cheveux encore et encore.</v>
      </c>
    </row>
    <row r="21835">
      <c r="A21835" s="4" t="s">
        <v>27493</v>
      </c>
      <c r="B21835" s="4" t="s">
        <v>27496</v>
      </c>
      <c r="C21835" s="5" t="str">
        <f>IFERROR(__xludf.DUMMYFUNCTION("GOOGLETRANSLATE(B21835,""en"",""fr"")"),"Elle continue de passer le pinceau dans ses cheveux et se termine en souriant à la caméra.")</f>
        <v>Elle continue de passer le pinceau dans ses cheveux et se termine en souriant à la caméra.</v>
      </c>
    </row>
    <row r="21836">
      <c r="A21836" s="4" t="s">
        <v>27497</v>
      </c>
      <c r="B21836" s="4" t="s">
        <v>1487</v>
      </c>
      <c r="C21836" s="5" t="str">
        <f>IFERROR(__xludf.DUMMYFUNCTION("GOOGLETRANSLATE(B21836,""en"",""fr"")"),"Nous voyons un écran de titre d'ouverture.")</f>
        <v>Nous voyons un écran de titre d'ouverture.</v>
      </c>
    </row>
    <row r="21837">
      <c r="A21837" s="4" t="s">
        <v>27497</v>
      </c>
      <c r="B21837" s="4" t="s">
        <v>27498</v>
      </c>
      <c r="C21837" s="5" t="str">
        <f>IFERROR(__xludf.DUMMYFUNCTION("GOOGLETRANSLATE(B21837,""en"",""fr"")"),"Nous voyons une dame dans un manteau de chef dans une cuisine parler.")</f>
        <v>Nous voyons une dame dans un manteau de chef dans une cuisine parler.</v>
      </c>
    </row>
    <row r="21838">
      <c r="A21838" s="4" t="s">
        <v>27497</v>
      </c>
      <c r="B21838" s="4" t="s">
        <v>27499</v>
      </c>
      <c r="C21838" s="5" t="str">
        <f>IFERROR(__xludf.DUMMYFUNCTION("GOOGLETRANSLATE(B21838,""en"",""fr"")"),"Une dame aiguise un couteau sur une tige.")</f>
        <v>Une dame aiguise un couteau sur une tige.</v>
      </c>
    </row>
    <row r="21839">
      <c r="A21839" s="4" t="s">
        <v>27497</v>
      </c>
      <c r="B21839" s="4" t="s">
        <v>27500</v>
      </c>
      <c r="C21839" s="5" t="str">
        <f>IFERROR(__xludf.DUMMYFUNCTION("GOOGLETRANSLATE(B21839,""en"",""fr"")"),"La dame met de l'eau sur un bloc de tailleur noir.")</f>
        <v>La dame met de l'eau sur un bloc de tailleur noir.</v>
      </c>
    </row>
    <row r="21840">
      <c r="A21840" s="4" t="s">
        <v>27497</v>
      </c>
      <c r="B21840" s="4" t="s">
        <v>27501</v>
      </c>
      <c r="C21840" s="5" t="str">
        <f>IFERROR(__xludf.DUMMYFUNCTION("GOOGLETRANSLATE(B21840,""en"",""fr"")"),"La dame aiguise alors le couteau.")</f>
        <v>La dame aiguise alors le couteau.</v>
      </c>
    </row>
    <row r="21841">
      <c r="A21841" s="4" t="s">
        <v>27497</v>
      </c>
      <c r="B21841" s="4" t="s">
        <v>27502</v>
      </c>
      <c r="C21841" s="5" t="str">
        <f>IFERROR(__xludf.DUMMYFUNCTION("GOOGLETRANSLATE(B21841,""en"",""fr"")"),"Elle revient ensuite sur la tige.")</f>
        <v>Elle revient ensuite sur la tige.</v>
      </c>
    </row>
    <row r="21842">
      <c r="A21842" s="4" t="s">
        <v>27497</v>
      </c>
      <c r="B21842" s="4" t="s">
        <v>27503</v>
      </c>
      <c r="C21842" s="5" t="str">
        <f>IFERROR(__xludf.DUMMYFUNCTION("GOOGLETRANSLATE(B21842,""en"",""fr"")"),"Puis revenez au bloc noir.")</f>
        <v>Puis revenez au bloc noir.</v>
      </c>
    </row>
    <row r="21843">
      <c r="A21843" s="4" t="s">
        <v>27497</v>
      </c>
      <c r="B21843" s="4" t="s">
        <v>27504</v>
      </c>
      <c r="C21843" s="5" t="str">
        <f>IFERROR(__xludf.DUMMYFUNCTION("GOOGLETRANSLATE(B21843,""en"",""fr"")"),"Nous voyons un écran de titre de clôture.")</f>
        <v>Nous voyons un écran de titre de clôture.</v>
      </c>
    </row>
    <row r="21844">
      <c r="A21844" s="4" t="s">
        <v>27505</v>
      </c>
      <c r="B21844" s="4" t="s">
        <v>27506</v>
      </c>
      <c r="C21844" s="5" t="str">
        <f>IFERROR(__xludf.DUMMYFUNCTION("GOOGLETRANSLATE(B21844,""en"",""fr"")"),"Un enfant est debout sur un tabouret remplissant une tasse d'eau dans l'évier.")</f>
        <v>Un enfant est debout sur un tabouret remplissant une tasse d'eau dans l'évier.</v>
      </c>
    </row>
    <row r="21845">
      <c r="A21845" s="4" t="s">
        <v>27505</v>
      </c>
      <c r="B21845" s="4" t="s">
        <v>27507</v>
      </c>
      <c r="C21845" s="5" t="str">
        <f>IFERROR(__xludf.DUMMYFUNCTION("GOOGLETRANSLATE(B21845,""en"",""fr"")"),"L'enfant met des gants violets.")</f>
        <v>L'enfant met des gants violets.</v>
      </c>
    </row>
    <row r="21846">
      <c r="A21846" s="4" t="s">
        <v>27505</v>
      </c>
      <c r="B21846" s="4" t="s">
        <v>27508</v>
      </c>
      <c r="C21846" s="5" t="str">
        <f>IFERROR(__xludf.DUMMYFUNCTION("GOOGLETRANSLATE(B21846,""en"",""fr"")"),"Ils enlèvent les gants et les mettent dans l'évier.")</f>
        <v>Ils enlèvent les gants et les mettent dans l'évier.</v>
      </c>
    </row>
    <row r="21847">
      <c r="A21847" s="4" t="s">
        <v>27509</v>
      </c>
      <c r="B21847" s="4" t="s">
        <v>27510</v>
      </c>
      <c r="C21847" s="5" t="str">
        <f>IFERROR(__xludf.DUMMYFUNCTION("GOOGLETRANSLATE(B21847,""en"",""fr"")"),"Un homme tremble ses orteils alors qu'il était assis dans une pièce pieds nus.")</f>
        <v>Un homme tremble ses orteils alors qu'il était assis dans une pièce pieds nus.</v>
      </c>
    </row>
    <row r="21848">
      <c r="A21848" s="4" t="s">
        <v>27509</v>
      </c>
      <c r="B21848" s="4" t="s">
        <v>27511</v>
      </c>
      <c r="C21848" s="5" t="str">
        <f>IFERROR(__xludf.DUMMYFUNCTION("GOOGLETRANSLATE(B21848,""en"",""fr"")"),"L'homme met ses chaussures et attache les lacets.")</f>
        <v>L'homme met ses chaussures et attache les lacets.</v>
      </c>
    </row>
    <row r="21849">
      <c r="A21849" s="4" t="s">
        <v>27509</v>
      </c>
      <c r="B21849" s="4" t="s">
        <v>27512</v>
      </c>
      <c r="C21849" s="5" t="str">
        <f>IFERROR(__xludf.DUMMYFUNCTION("GOOGLETRANSLATE(B21849,""en"",""fr"")"),"L'homme danse ses pieds en s'asseyant.")</f>
        <v>L'homme danse ses pieds en s'asseyant.</v>
      </c>
    </row>
    <row r="21850">
      <c r="A21850" s="4" t="s">
        <v>27513</v>
      </c>
      <c r="B21850" s="4" t="s">
        <v>27514</v>
      </c>
      <c r="C21850" s="5" t="str">
        <f>IFERROR(__xludf.DUMMYFUNCTION("GOOGLETRANSLATE(B21850,""en"",""fr"")"),"Trois hommes présentent une vidéo pédagogique pour Slikhaar Studios.")</f>
        <v>Trois hommes présentent une vidéo pédagogique pour Slikhaar Studios.</v>
      </c>
    </row>
    <row r="21851">
      <c r="A21851" s="4" t="s">
        <v>27513</v>
      </c>
      <c r="B21851" s="4" t="s">
        <v>27515</v>
      </c>
      <c r="C21851" s="5" t="str">
        <f>IFERROR(__xludf.DUMMYFUNCTION("GOOGLETRANSLATE(B21851,""en"",""fr"")"),"L'homme au centre montre une coiffure sur la personne portant la chemise bleue.")</f>
        <v>L'homme au centre montre une coiffure sur la personne portant la chemise bleue.</v>
      </c>
    </row>
    <row r="21852">
      <c r="A21852" s="4" t="s">
        <v>27513</v>
      </c>
      <c r="B21852" s="4" t="s">
        <v>27516</v>
      </c>
      <c r="C21852" s="5" t="str">
        <f>IFERROR(__xludf.DUMMYFUNCTION("GOOGLETRANSLATE(B21852,""en"",""fr"")"),"L'homme dans la chemise bleue se trouve sur la chaise à côté de l'évier.")</f>
        <v>L'homme dans la chemise bleue se trouve sur la chaise à côté de l'évier.</v>
      </c>
    </row>
    <row r="21853">
      <c r="A21853" s="4" t="s">
        <v>27513</v>
      </c>
      <c r="B21853" s="4" t="s">
        <v>27517</v>
      </c>
      <c r="C21853" s="5" t="str">
        <f>IFERROR(__xludf.DUMMYFUNCTION("GOOGLETRANSLATE(B21853,""en"",""fr"")"),"L'autre homme commence à se laver les cheveux.")</f>
        <v>L'autre homme commence à se laver les cheveux.</v>
      </c>
    </row>
    <row r="21854">
      <c r="A21854" s="4" t="s">
        <v>27513</v>
      </c>
      <c r="B21854" s="4" t="s">
        <v>27518</v>
      </c>
      <c r="C21854" s="5" t="str">
        <f>IFERROR(__xludf.DUMMYFUNCTION("GOOGLETRANSLATE(B21854,""en"",""fr"")"),"Il frotte dans le shampooing puis le lave.")</f>
        <v>Il frotte dans le shampooing puis le lave.</v>
      </c>
    </row>
    <row r="21855">
      <c r="A21855" s="4" t="s">
        <v>27513</v>
      </c>
      <c r="B21855" s="4" t="s">
        <v>27519</v>
      </c>
      <c r="C21855" s="5" t="str">
        <f>IFERROR(__xludf.DUMMYFUNCTION("GOOGLETRANSLATE(B21855,""en"",""fr"")"),"Il le peigne ensuite et sèche ses cheveux après l'avoir stylé avec du gel.")</f>
        <v>Il le peigne ensuite et sèche ses cheveux après l'avoir stylé avec du gel.</v>
      </c>
    </row>
    <row r="21856">
      <c r="A21856" s="4" t="s">
        <v>27513</v>
      </c>
      <c r="B21856" s="4" t="s">
        <v>27520</v>
      </c>
      <c r="C21856" s="5" t="str">
        <f>IFERROR(__xludf.DUMMYFUNCTION("GOOGLETRANSLATE(B21856,""en"",""fr"")"),"Il utilise une tondeuse électrique pour préparer les brûlures et les temples.")</f>
        <v>Il utilise une tondeuse électrique pour préparer les brûlures et les temples.</v>
      </c>
    </row>
    <row r="21857">
      <c r="A21857" s="4" t="s">
        <v>27513</v>
      </c>
      <c r="B21857" s="4" t="s">
        <v>27521</v>
      </c>
      <c r="C21857" s="5" t="str">
        <f>IFERROR(__xludf.DUMMYFUNCTION("GOOGLETRANSLATE(B21857,""en"",""fr"")"),"Il coupe également le dos et les côtés de sa tête avec les tondeuses.")</f>
        <v>Il coupe également le dos et les côtés de sa tête avec les tondeuses.</v>
      </c>
    </row>
    <row r="21858">
      <c r="A21858" s="4" t="s">
        <v>27513</v>
      </c>
      <c r="B21858" s="4" t="s">
        <v>27522</v>
      </c>
      <c r="C21858" s="5" t="str">
        <f>IFERROR(__xludf.DUMMYFUNCTION("GOOGLETRANSLATE(B21858,""en"",""fr"")"),"Il utilise des ciseaux pour couper les cheveux et lui donner un look fini.")</f>
        <v>Il utilise des ciseaux pour couper les cheveux et lui donner un look fini.</v>
      </c>
    </row>
    <row r="21859">
      <c r="A21859" s="4" t="s">
        <v>27513</v>
      </c>
      <c r="B21859" s="4" t="s">
        <v>27523</v>
      </c>
      <c r="C21859" s="5" t="str">
        <f>IFERROR(__xludf.DUMMYFUNCTION("GOOGLETRANSLATE(B21859,""en"",""fr"")"),"Le modèle utilise du gel capillaire pour coiffer ses cheveux après la coupe de cheveux.")</f>
        <v>Le modèle utilise du gel capillaire pour coiffer ses cheveux après la coupe de cheveux.</v>
      </c>
    </row>
    <row r="21860">
      <c r="A21860" s="4" t="s">
        <v>27513</v>
      </c>
      <c r="B21860" s="6" t="s">
        <v>27524</v>
      </c>
      <c r="C21860" s="5" t="str">
        <f>IFERROR(__xludf.DUMMYFUNCTION("GOOGLETRANSLATE(B21860,""en"",""fr"")"),"L'hôte de l'émission explique ensuite comment les cheveux ont été coupés et coiffés et donne des informations sur son site Web.")</f>
        <v>L'hôte de l'émission explique ensuite comment les cheveux ont été coupés et coiffés et donne des informations sur son site Web.</v>
      </c>
    </row>
    <row r="21861">
      <c r="A21861" s="4" t="s">
        <v>27525</v>
      </c>
      <c r="B21861" s="4" t="s">
        <v>27526</v>
      </c>
      <c r="C21861" s="5" t="str">
        <f>IFERROR(__xludf.DUMMYFUNCTION("GOOGLETRANSLATE(B21861,""en"",""fr"")"),"Une femme est représentée devant un entraîneur elliptique, parlant.")</f>
        <v>Une femme est représentée devant un entraîneur elliptique, parlant.</v>
      </c>
    </row>
    <row r="21862">
      <c r="A21862" s="4" t="s">
        <v>27525</v>
      </c>
      <c r="B21862" s="4" t="s">
        <v>27527</v>
      </c>
      <c r="C21862" s="5" t="str">
        <f>IFERROR(__xludf.DUMMYFUNCTION("GOOGLETRANSLATE(B21862,""en"",""fr"")"),"Elle feuillette un livret avant de se diriger vers l'entraîneur.")</f>
        <v>Elle feuillette un livret avant de se diriger vers l'entraîneur.</v>
      </c>
    </row>
    <row r="21863">
      <c r="A21863" s="4" t="s">
        <v>27525</v>
      </c>
      <c r="B21863" s="4" t="s">
        <v>27528</v>
      </c>
      <c r="C21863" s="5" t="str">
        <f>IFERROR(__xludf.DUMMYFUNCTION("GOOGLETRANSLATE(B21863,""en"",""fr"")"),"Elle commence à montrer comment préparer l'entraîneur à utiliser.")</f>
        <v>Elle commence à montrer comment préparer l'entraîneur à utiliser.</v>
      </c>
    </row>
    <row r="21864">
      <c r="A21864" s="4" t="s">
        <v>27525</v>
      </c>
      <c r="B21864" s="4" t="s">
        <v>27529</v>
      </c>
      <c r="C21864" s="5" t="str">
        <f>IFERROR(__xludf.DUMMYFUNCTION("GOOGLETRANSLATE(B21864,""en"",""fr"")"),"Elle grimpe sur l'entraîneur et montre comment elle est utilisée en pédalant avec ses pieds.")</f>
        <v>Elle grimpe sur l'entraîneur et montre comment elle est utilisée en pédalant avec ses pieds.</v>
      </c>
    </row>
    <row r="21865">
      <c r="A21865" s="4" t="s">
        <v>27525</v>
      </c>
      <c r="B21865" s="4" t="s">
        <v>27530</v>
      </c>
      <c r="C21865" s="5" t="str">
        <f>IFERROR(__xludf.DUMMYFUNCTION("GOOGLETRANSLATE(B21865,""en"",""fr"")"),"Un gros plan de l'écran d'affichage est ensuite affiché.")</f>
        <v>Un gros plan de l'écran d'affichage est ensuite affiché.</v>
      </c>
    </row>
    <row r="21866">
      <c r="A21866" s="4" t="s">
        <v>27525</v>
      </c>
      <c r="B21866" s="4" t="s">
        <v>27531</v>
      </c>
      <c r="C21866" s="5" t="str">
        <f>IFERROR(__xludf.DUMMYFUNCTION("GOOGLETRANSLATE(B21866,""en"",""fr"")"),"L'entraîneur est plié pour montrer le compactage et la facilité de stockage.")</f>
        <v>L'entraîneur est plié pour montrer le compactage et la facilité de stockage.</v>
      </c>
    </row>
    <row r="21867">
      <c r="A21867" s="4" t="s">
        <v>27532</v>
      </c>
      <c r="B21867" s="4" t="s">
        <v>27533</v>
      </c>
      <c r="C21867" s="5" t="str">
        <f>IFERROR(__xludf.DUMMYFUNCTION("GOOGLETRANSLATE(B21867,""en"",""fr"")"),"Un lapin gris se tient sur un lit sur une serviette noire mangeant quelque chose dans sa main.")</f>
        <v>Un lapin gris se tient sur un lit sur une serviette noire mangeant quelque chose dans sa main.</v>
      </c>
    </row>
    <row r="21868">
      <c r="A21868" s="4" t="s">
        <v>27532</v>
      </c>
      <c r="B21868" s="4" t="s">
        <v>27534</v>
      </c>
      <c r="C21868" s="5" t="str">
        <f>IFERROR(__xludf.DUMMYFUNCTION("GOOGLETRANSLATE(B21868,""en"",""fr"")"),"Alors qu'il mange, le lapin commence à attraper ses oreilles et secoue la tête.")</f>
        <v>Alors qu'il mange, le lapin commence à attraper ses oreilles et secoue la tête.</v>
      </c>
    </row>
    <row r="21869">
      <c r="A21869" s="4" t="s">
        <v>27532</v>
      </c>
      <c r="B21869" s="4" t="s">
        <v>27535</v>
      </c>
      <c r="C21869" s="5" t="str">
        <f>IFERROR(__xludf.DUMMYFUNCTION("GOOGLETRANSLATE(B21869,""en"",""fr"")"),"Se débattant plus, le lapin se penche et continue de manger quelque chose avant de regarder à l'extérieur.")</f>
        <v>Se débattant plus, le lapin se penche et continue de manger quelque chose avant de regarder à l'extérieur.</v>
      </c>
    </row>
    <row r="21870">
      <c r="A21870" s="4" t="s">
        <v>27536</v>
      </c>
      <c r="B21870" s="6" t="s">
        <v>27537</v>
      </c>
      <c r="C21870" s="5" t="str">
        <f>IFERROR(__xludf.DUMMYFUNCTION("GOOGLETRANSLATE(B21870,""en"",""fr"")"),"Un jeune enfant est vu assis devant une table de football quand on lui tend le ballon et elle le met dans le match.")</f>
        <v>Un jeune enfant est vu assis devant une table de football quand on lui tend le ballon et elle le met dans le match.</v>
      </c>
    </row>
    <row r="21871">
      <c r="A21871" s="4" t="s">
        <v>27536</v>
      </c>
      <c r="B21871" s="6" t="s">
        <v>27538</v>
      </c>
      <c r="C21871" s="5" t="str">
        <f>IFERROR(__xludf.DUMMYFUNCTION("GOOGLETRANSLATE(B21871,""en"",""fr"")"),"L'homme aide ensuite la fille à jouer sur la table en déplaçant les pôles tout autour et en poussant les gens.")</f>
        <v>L'homme aide ensuite la fille à jouer sur la table en déplaçant les pôles tout autour et en poussant les gens.</v>
      </c>
    </row>
    <row r="21872">
      <c r="A21872" s="4" t="s">
        <v>27539</v>
      </c>
      <c r="B21872" s="4" t="s">
        <v>27540</v>
      </c>
      <c r="C21872" s="5" t="str">
        <f>IFERROR(__xludf.DUMMYFUNCTION("GOOGLETRANSLATE(B21872,""en"",""fr"")"),"Les athlètes coulent une piste et jettent un javelots sur le terrain.")</f>
        <v>Les athlètes coulent une piste et jettent un javelots sur le terrain.</v>
      </c>
    </row>
    <row r="21873">
      <c r="A21873" s="4" t="s">
        <v>27539</v>
      </c>
      <c r="B21873" s="4" t="s">
        <v>27541</v>
      </c>
      <c r="C21873" s="5" t="str">
        <f>IFERROR(__xludf.DUMMYFUNCTION("GOOGLETRANSLATE(B21873,""en"",""fr"")"),"Un arbitre s'épuise pour vérifier la position du javelot.")</f>
        <v>Un arbitre s'épuise pour vérifier la position du javelot.</v>
      </c>
    </row>
    <row r="21874">
      <c r="A21874" s="4" t="s">
        <v>27539</v>
      </c>
      <c r="B21874" s="4" t="s">
        <v>27542</v>
      </c>
      <c r="C21874" s="5" t="str">
        <f>IFERROR(__xludf.DUMMYFUNCTION("GOOGLETRANSLATE(B21874,""en"",""fr"")"),"Un tableau de direction montre des dizaines d'athlètes.")</f>
        <v>Un tableau de direction montre des dizaines d'athlètes.</v>
      </c>
    </row>
    <row r="21875">
      <c r="A21875" s="4" t="s">
        <v>27543</v>
      </c>
      <c r="B21875" s="4" t="s">
        <v>27544</v>
      </c>
      <c r="C21875" s="5" t="str">
        <f>IFERROR(__xludf.DUMMYFUNCTION("GOOGLETRANSLATE(B21875,""en"",""fr"")"),"Un joueur de hockey sur le terrain dribble une balle sur le terrain entre ses jambes.")</f>
        <v>Un joueur de hockey sur le terrain dribble une balle sur le terrain entre ses jambes.</v>
      </c>
    </row>
    <row r="21876">
      <c r="A21876" s="4" t="s">
        <v>27543</v>
      </c>
      <c r="B21876" s="4" t="s">
        <v>27545</v>
      </c>
      <c r="C21876" s="5" t="str">
        <f>IFERROR(__xludf.DUMMYFUNCTION("GOOGLETRANSLATE(B21876,""en"",""fr"")"),"Le jeu de hockey sur le terrain dribble le ballon d'avant en arrière devant lui.")</f>
        <v>Le jeu de hockey sur le terrain dribble le ballon d'avant en arrière devant lui.</v>
      </c>
    </row>
    <row r="21877">
      <c r="A21877" s="4" t="s">
        <v>27543</v>
      </c>
      <c r="B21877" s="4" t="s">
        <v>27546</v>
      </c>
      <c r="C21877" s="5" t="str">
        <f>IFERROR(__xludf.DUMMYFUNCTION("GOOGLETRANSLATE(B21877,""en"",""fr"")"),"Le joueur de hockey sur le terrain frappe tout en jonglant avec le ballon en l'air et équilibre son bâton.")</f>
        <v>Le joueur de hockey sur le terrain frappe tout en jonglant avec le ballon en l'air et équilibre son bâton.</v>
      </c>
    </row>
    <row r="21878">
      <c r="A21878" s="4" t="s">
        <v>27543</v>
      </c>
      <c r="B21878" s="4" t="s">
        <v>27547</v>
      </c>
      <c r="C21878" s="5" t="str">
        <f>IFERROR(__xludf.DUMMYFUNCTION("GOOGLETRANSLATE(B21878,""en"",""fr"")"),"Les joueurs dribblent à travers un ensemble de cônes et prennent des tirs sur le but.")</f>
        <v>Les joueurs dribblent à travers un ensemble de cônes et prennent des tirs sur le but.</v>
      </c>
    </row>
    <row r="21879">
      <c r="A21879" s="4" t="s">
        <v>27548</v>
      </c>
      <c r="B21879" s="4" t="s">
        <v>27549</v>
      </c>
      <c r="C21879" s="5" t="str">
        <f>IFERROR(__xludf.DUMMYFUNCTION("GOOGLETRANSLATE(B21879,""en"",""fr"")"),"Les gens conduisent une voiture avec des radeaux à l'arrière.")</f>
        <v>Les gens conduisent une voiture avec des radeaux à l'arrière.</v>
      </c>
    </row>
    <row r="21880">
      <c r="A21880" s="4" t="s">
        <v>27548</v>
      </c>
      <c r="B21880" s="4" t="s">
        <v>27550</v>
      </c>
      <c r="C21880" s="5" t="str">
        <f>IFERROR(__xludf.DUMMYFUNCTION("GOOGLETRANSLATE(B21880,""en"",""fr"")"),"Ils pénètrent dans les radeaux et raftent sur une rivière.")</f>
        <v>Ils pénètrent dans les radeaux et raftent sur une rivière.</v>
      </c>
    </row>
    <row r="21881">
      <c r="A21881" s="4" t="s">
        <v>27548</v>
      </c>
      <c r="B21881" s="4" t="s">
        <v>27551</v>
      </c>
      <c r="C21881" s="5" t="str">
        <f>IFERROR(__xludf.DUMMYFUNCTION("GOOGLETRANSLATE(B21881,""en"",""fr"")"),"Ils vont dans un stand de hot-dogs et prennent de la nourriture.")</f>
        <v>Ils vont dans un stand de hot-dogs et prennent de la nourriture.</v>
      </c>
    </row>
    <row r="21882">
      <c r="A21882" s="4" t="s">
        <v>27548</v>
      </c>
      <c r="B21882" s="4" t="s">
        <v>27552</v>
      </c>
      <c r="C21882" s="5" t="str">
        <f>IFERROR(__xludf.DUMMYFUNCTION("GOOGLETRANSLATE(B21882,""en"",""fr"")"),"Ils continuent de rafter sur la rivière.")</f>
        <v>Ils continuent de rafter sur la rivière.</v>
      </c>
    </row>
    <row r="21883">
      <c r="A21883" s="4" t="s">
        <v>27553</v>
      </c>
      <c r="B21883" s="6" t="s">
        <v>27554</v>
      </c>
      <c r="C21883" s="5" t="str">
        <f>IFERROR(__xludf.DUMMYFUNCTION("GOOGLETRANSLATE(B21883,""en"",""fr"")"),"Un homme se présente à l'écran portant un uniforme d'arts martiaux montrant aux gens comment faire un coup de pied latéral.")</f>
        <v>Un homme se présente à l'écran portant un uniforme d'arts martiaux montrant aux gens comment faire un coup de pied latéral.</v>
      </c>
    </row>
    <row r="21884">
      <c r="A21884" s="4" t="s">
        <v>27553</v>
      </c>
      <c r="B21884" s="4" t="s">
        <v>27555</v>
      </c>
      <c r="C21884" s="5" t="str">
        <f>IFERROR(__xludf.DUMMYFUNCTION("GOOGLETRANSLATE(B21884,""en"",""fr"")"),"Il se balance d'un côté à l'autre pour montrer comment contrôler votre équilibre.")</f>
        <v>Il se balance d'un côté à l'autre pour montrer comment contrôler votre équilibre.</v>
      </c>
    </row>
    <row r="21885">
      <c r="A21885" s="4" t="s">
        <v>27553</v>
      </c>
      <c r="B21885" s="4" t="s">
        <v>27556</v>
      </c>
      <c r="C21885" s="5" t="str">
        <f>IFERROR(__xludf.DUMMYFUNCTION("GOOGLETRANSLATE(B21885,""en"",""fr"")"),"Il soulève les genoux, un après avoir alterné de gauche à droite pour montrer comment commencer le coup de pied.")</f>
        <v>Il soulève les genoux, un après avoir alterné de gauche à droite pour montrer comment commencer le coup de pied.</v>
      </c>
    </row>
    <row r="21886">
      <c r="A21886" s="4" t="s">
        <v>27553</v>
      </c>
      <c r="B21886" s="4" t="s">
        <v>27557</v>
      </c>
      <c r="C21886" s="5" t="str">
        <f>IFERROR(__xludf.DUMMYFUNCTION("GOOGLETRANSLATE(B21886,""en"",""fr"")"),"Il continue de montrer comment terminer le coup de pied latéral avec un suivi.")</f>
        <v>Il continue de montrer comment terminer le coup de pied latéral avec un suivi.</v>
      </c>
    </row>
    <row r="21887">
      <c r="A21887" s="4" t="s">
        <v>27553</v>
      </c>
      <c r="B21887" s="4" t="s">
        <v>27558</v>
      </c>
      <c r="C21887" s="5" t="str">
        <f>IFERROR(__xludf.DUMMYFUNCTION("GOOGLETRANSLATE(B21887,""en"",""fr"")"),"Puis il montre comment faire le coup de pied sous plusieurs angles.")</f>
        <v>Puis il montre comment faire le coup de pied sous plusieurs angles.</v>
      </c>
    </row>
    <row r="21888">
      <c r="A21888" s="4" t="s">
        <v>27559</v>
      </c>
      <c r="B21888" s="4" t="s">
        <v>27560</v>
      </c>
      <c r="C21888" s="5" t="str">
        <f>IFERROR(__xludf.DUMMYFUNCTION("GOOGLETRANSLATE(B21888,""en"",""fr"")"),"Nous voyons un écran blanc d'ouverture.")</f>
        <v>Nous voyons un écran blanc d'ouverture.</v>
      </c>
    </row>
    <row r="21889">
      <c r="A21889" s="4" t="s">
        <v>27559</v>
      </c>
      <c r="B21889" s="4" t="s">
        <v>27561</v>
      </c>
      <c r="C21889" s="5" t="str">
        <f>IFERROR(__xludf.DUMMYFUNCTION("GOOGLETRANSLATE(B21889,""en"",""fr"")"),"Nous voyons ensuite un homme pousser un frein à vélo et le régler.")</f>
        <v>Nous voyons ensuite un homme pousser un frein à vélo et le régler.</v>
      </c>
    </row>
    <row r="21890">
      <c r="A21890" s="4" t="s">
        <v>27559</v>
      </c>
      <c r="B21890" s="4" t="s">
        <v>27562</v>
      </c>
      <c r="C21890" s="5" t="str">
        <f>IFERROR(__xludf.DUMMYFUNCTION("GOOGLETRANSLATE(B21890,""en"",""fr"")"),"L'homme tire un cordon sur le vélo près du pneu.")</f>
        <v>L'homme tire un cordon sur le vélo près du pneu.</v>
      </c>
    </row>
    <row r="21891">
      <c r="A21891" s="4" t="s">
        <v>27559</v>
      </c>
      <c r="B21891" s="4" t="s">
        <v>27563</v>
      </c>
      <c r="C21891" s="5" t="str">
        <f>IFERROR(__xludf.DUMMYFUNCTION("GOOGLETRANSLATE(B21891,""en"",""fr"")"),"Les hommes ajustent ensuite le levier de cuisson à nouveau.")</f>
        <v>Les hommes ajustent ensuite le levier de cuisson à nouveau.</v>
      </c>
    </row>
    <row r="21892">
      <c r="A21892" s="4" t="s">
        <v>27559</v>
      </c>
      <c r="B21892" s="4" t="s">
        <v>27564</v>
      </c>
      <c r="C21892" s="5" t="str">
        <f>IFERROR(__xludf.DUMMYFUNCTION("GOOGLETRANSLATE(B21892,""en"",""fr"")"),"Nous voyons ensuite l'homme parler à la caméra.")</f>
        <v>Nous voyons ensuite l'homme parler à la caméra.</v>
      </c>
    </row>
    <row r="21893">
      <c r="A21893" s="4" t="s">
        <v>27559</v>
      </c>
      <c r="B21893" s="4" t="s">
        <v>777</v>
      </c>
      <c r="C21893" s="5" t="str">
        <f>IFERROR(__xludf.DUMMYFUNCTION("GOOGLETRANSLATE(B21893,""en"",""fr"")"),"Nous voyons l'écran du titre de fin.")</f>
        <v>Nous voyons l'écran du titre de fin.</v>
      </c>
    </row>
    <row r="21894">
      <c r="A21894" s="4" t="s">
        <v>27565</v>
      </c>
      <c r="B21894" s="4" t="s">
        <v>27566</v>
      </c>
      <c r="C21894" s="5" t="str">
        <f>IFERROR(__xludf.DUMMYFUNCTION("GOOGLETRANSLATE(B21894,""en"",""fr"")"),"La femme qui est assise sur une chaise tient une tasse dans la bouche du chien pour que le brouillard puisse lécher la tasse.")</f>
        <v>La femme qui est assise sur une chaise tient une tasse dans la bouche du chien pour que le brouillard puisse lécher la tasse.</v>
      </c>
    </row>
    <row r="21895">
      <c r="A21895" s="4" t="s">
        <v>27565</v>
      </c>
      <c r="B21895" s="4" t="s">
        <v>27567</v>
      </c>
      <c r="C21895" s="5" t="str">
        <f>IFERROR(__xludf.DUMMYFUNCTION("GOOGLETRANSLATE(B21895,""en"",""fr"")"),"Black Dog se tient dans une oom vivant à lécher l'eau d'une tasse.")</f>
        <v>Black Dog se tient dans une oom vivant à lécher l'eau d'une tasse.</v>
      </c>
    </row>
    <row r="21896">
      <c r="A21896" s="4" t="s">
        <v>27565</v>
      </c>
      <c r="B21896" s="4" t="s">
        <v>27568</v>
      </c>
      <c r="C21896" s="5" t="str">
        <f>IFERROR(__xludf.DUMMYFUNCTION("GOOGLETRANSLATE(B21896,""en"",""fr"")"),"Une femme est debout dans une vie avec un chien noir dans un tapis blanc.")</f>
        <v>Une femme est debout dans une vie avec un chien noir dans un tapis blanc.</v>
      </c>
    </row>
    <row r="21897">
      <c r="A21897" s="4" t="s">
        <v>27569</v>
      </c>
      <c r="B21897" s="4" t="s">
        <v>27570</v>
      </c>
      <c r="C21897" s="5" t="str">
        <f>IFERROR(__xludf.DUMMYFUNCTION("GOOGLETRANSLATE(B21897,""en"",""fr"")"),"Un garçon se balance à travers les barres de singe dans un parc.")</f>
        <v>Un garçon se balance à travers les barres de singe dans un parc.</v>
      </c>
    </row>
    <row r="21898">
      <c r="A21898" s="4" t="s">
        <v>27569</v>
      </c>
      <c r="B21898" s="4" t="s">
        <v>27571</v>
      </c>
      <c r="C21898" s="5" t="str">
        <f>IFERROR(__xludf.DUMMYFUNCTION("GOOGLETRANSLATE(B21898,""en"",""fr"")"),"Un homme fait quelque chose derrière lui.")</f>
        <v>Un homme fait quelque chose derrière lui.</v>
      </c>
    </row>
    <row r="21899">
      <c r="A21899" s="4" t="s">
        <v>27569</v>
      </c>
      <c r="B21899" s="4" t="s">
        <v>27572</v>
      </c>
      <c r="C21899" s="5" t="str">
        <f>IFERROR(__xludf.DUMMYFUNCTION("GOOGLETRANSLATE(B21899,""en"",""fr"")"),"Le garçon fait son chemin tout au long du chemin.")</f>
        <v>Le garçon fait son chemin tout au long du chemin.</v>
      </c>
    </row>
    <row r="21900">
      <c r="A21900" s="4" t="s">
        <v>27573</v>
      </c>
      <c r="B21900" s="4" t="s">
        <v>27574</v>
      </c>
      <c r="C21900" s="5" t="str">
        <f>IFERROR(__xludf.DUMMYFUNCTION("GOOGLETRANSLATE(B21900,""en"",""fr"")"),"Un grand groupe de personnes se voit se déplacer ensemble dans un grand gymnase.")</f>
        <v>Un grand groupe de personnes se voit se déplacer ensemble dans un grand gymnase.</v>
      </c>
    </row>
    <row r="21901">
      <c r="A21901" s="4" t="s">
        <v>27573</v>
      </c>
      <c r="B21901" s="4" t="s">
        <v>27575</v>
      </c>
      <c r="C21901" s="5" t="str">
        <f>IFERROR(__xludf.DUMMYFUNCTION("GOOGLETRANSLATE(B21901,""en"",""fr"")"),"Les gens se déplacent de haut en bas sur un faisceau en train de donner des coups de pied dans les jambes et se déplacent.")</f>
        <v>Les gens se déplacent de haut en bas sur un faisceau en train de donner des coups de pied dans les jambes et se déplacent.</v>
      </c>
    </row>
    <row r="21902">
      <c r="A21902" s="4" t="s">
        <v>27573</v>
      </c>
      <c r="B21902" s="4" t="s">
        <v>27576</v>
      </c>
      <c r="C21902" s="5" t="str">
        <f>IFERROR(__xludf.DUMMYFUNCTION("GOOGLETRANSLATE(B21902,""en"",""fr"")"),"Les gens continuent de se déplacer tout autour de la planche pendant que la caméra capture leurs mouvements.")</f>
        <v>Les gens continuent de se déplacer tout autour de la planche pendant que la caméra capture leurs mouvements.</v>
      </c>
    </row>
    <row r="21903">
      <c r="A21903" s="4" t="s">
        <v>27577</v>
      </c>
      <c r="B21903" s="6" t="s">
        <v>27578</v>
      </c>
      <c r="C21903" s="5" t="str">
        <f>IFERROR(__xludf.DUMMYFUNCTION("GOOGLETRANSLATE(B21903,""en"",""fr"")"),"Il y a beaucoup de gens dans une zone judiciaire ouverte et ils semblent être pour la plupart des personnes âgées qui jouent une sorte de sport.")</f>
        <v>Il y a beaucoup de gens dans une zone judiciaire ouverte et ils semblent être pour la plupart des personnes âgées qui jouent une sorte de sport.</v>
      </c>
    </row>
    <row r="21904">
      <c r="A21904" s="4" t="s">
        <v>27577</v>
      </c>
      <c r="B21904" s="6" t="s">
        <v>27579</v>
      </c>
      <c r="C21904" s="5" t="str">
        <f>IFERROR(__xludf.DUMMYFUNCTION("GOOGLETRANSLATE(B21904,""en"",""fr"")"),"Un homme et une femme commencent à traverser le terrain ensemble et ils s'arrêtent pour regarder un homme avec un bâton qui frappe quelque chose sur le terrain en utilisant son bâton.")</f>
        <v>Un homme et une femme commencent à traverser le terrain ensemble et ils s'arrêtent pour regarder un homme avec un bâton qui frappe quelque chose sur le terrain en utilisant son bâton.</v>
      </c>
    </row>
    <row r="21905">
      <c r="A21905" s="4" t="s">
        <v>27577</v>
      </c>
      <c r="B21905" s="6" t="s">
        <v>27580</v>
      </c>
      <c r="C21905" s="5" t="str">
        <f>IFERROR(__xludf.DUMMYFUNCTION("GOOGLETRANSLATE(B21905,""en"",""fr"")"),"Un autre homme se dirige ensuite vers le tribunal pour prendre son tour tandis que l'homme qui vient de tourner s'éloigner de son chemin.")</f>
        <v>Un autre homme se dirige ensuite vers le tribunal pour prendre son tour tandis que l'homme qui vient de tourner s'éloigner de son chemin.</v>
      </c>
    </row>
    <row r="21906">
      <c r="A21906" s="4" t="s">
        <v>27581</v>
      </c>
      <c r="B21906" s="4" t="s">
        <v>27582</v>
      </c>
      <c r="C21906" s="5" t="str">
        <f>IFERROR(__xludf.DUMMYFUNCTION("GOOGLETRANSLATE(B21906,""en"",""fr"")"),"Un homme met un équipement de sécurité de soudage.")</f>
        <v>Un homme met un équipement de sécurité de soudage.</v>
      </c>
    </row>
    <row r="21907">
      <c r="A21907" s="4" t="s">
        <v>27581</v>
      </c>
      <c r="B21907" s="4" t="s">
        <v>27583</v>
      </c>
      <c r="C21907" s="5" t="str">
        <f>IFERROR(__xludf.DUMMYFUNCTION("GOOGLETRANSLATE(B21907,""en"",""fr"")"),"L'homme commence à souder quelque chose sur une table en métal.")</f>
        <v>L'homme commence à souder quelque chose sur une table en métal.</v>
      </c>
    </row>
    <row r="21908">
      <c r="A21908" s="4" t="s">
        <v>27581</v>
      </c>
      <c r="B21908" s="4" t="s">
        <v>27584</v>
      </c>
      <c r="C21908" s="5" t="str">
        <f>IFERROR(__xludf.DUMMYFUNCTION("GOOGLETRANSLATE(B21908,""en"",""fr"")"),"Il cesse de souder, soulève son masque facial et ajuste les choses dans la table.")</f>
        <v>Il cesse de souder, soulève son masque facial et ajuste les choses dans la table.</v>
      </c>
    </row>
    <row r="21909">
      <c r="A21909" s="4" t="s">
        <v>27581</v>
      </c>
      <c r="B21909" s="4" t="s">
        <v>27585</v>
      </c>
      <c r="C21909" s="5" t="str">
        <f>IFERROR(__xludf.DUMMYFUNCTION("GOOGLETRANSLATE(B21909,""en"",""fr"")"),"Il abaisse ensuite son masque facial et recommence à souder.")</f>
        <v>Il abaisse ensuite son masque facial et recommence à souder.</v>
      </c>
    </row>
    <row r="21910">
      <c r="A21910" s="4" t="s">
        <v>27581</v>
      </c>
      <c r="B21910" s="4" t="s">
        <v>27586</v>
      </c>
      <c r="C21910" s="5" t="str">
        <f>IFERROR(__xludf.DUMMYFUNCTION("GOOGLETRANSLATE(B21910,""en"",""fr"")"),"Il s'arrête et soulève à nouveau son masque.")</f>
        <v>Il s'arrête et soulève à nouveau son masque.</v>
      </c>
    </row>
    <row r="21911">
      <c r="A21911" s="4" t="s">
        <v>27581</v>
      </c>
      <c r="B21911" s="4" t="s">
        <v>27587</v>
      </c>
      <c r="C21911" s="5" t="str">
        <f>IFERROR(__xludf.DUMMYFUNCTION("GOOGLETRANSLATE(B21911,""en"",""fr"")"),"Il utilise un outil pour frapper quelque chose sur la table avant de le poncer.")</f>
        <v>Il utilise un outil pour frapper quelque chose sur la table avant de le poncer.</v>
      </c>
    </row>
    <row r="21912">
      <c r="A21912" s="4" t="s">
        <v>27581</v>
      </c>
      <c r="B21912" s="4" t="s">
        <v>27588</v>
      </c>
      <c r="C21912" s="5" t="str">
        <f>IFERROR(__xludf.DUMMYFUNCTION("GOOGLETRANSLATE(B21912,""en"",""fr"")"),"L'homme retire ses gants en marchant vers la caméra.")</f>
        <v>L'homme retire ses gants en marchant vers la caméra.</v>
      </c>
    </row>
    <row r="21913">
      <c r="A21913" s="4" t="s">
        <v>27581</v>
      </c>
      <c r="B21913" s="4" t="s">
        <v>27589</v>
      </c>
      <c r="C21913" s="5" t="str">
        <f>IFERROR(__xludf.DUMMYFUNCTION("GOOGLETRANSLATE(B21913,""en"",""fr"")"),"Il amène la caméra à la table pour montrer le travail qu'il a fait.")</f>
        <v>Il amène la caméra à la table pour montrer le travail qu'il a fait.</v>
      </c>
    </row>
    <row r="21914">
      <c r="A21914" s="4" t="s">
        <v>27590</v>
      </c>
      <c r="B21914" s="4" t="s">
        <v>27591</v>
      </c>
      <c r="C21914" s="5" t="str">
        <f>IFERROR(__xludf.DUMMYFUNCTION("GOOGLETRANSLATE(B21914,""en"",""fr"")"),"Une femme verse des ingrédients dans un mélangeur.")</f>
        <v>Une femme verse des ingrédients dans un mélangeur.</v>
      </c>
    </row>
    <row r="21915">
      <c r="A21915" s="4" t="s">
        <v>27590</v>
      </c>
      <c r="B21915" s="4" t="s">
        <v>27592</v>
      </c>
      <c r="C21915" s="5" t="str">
        <f>IFERROR(__xludf.DUMMYFUNCTION("GOOGLETRANSLATE(B21915,""en"",""fr"")"),"Elle fait ensuite la pâte en boules et les met sur une plaque à biscuits.")</f>
        <v>Elle fait ensuite la pâte en boules et les met sur une plaque à biscuits.</v>
      </c>
    </row>
    <row r="21916">
      <c r="A21916" s="4" t="s">
        <v>27590</v>
      </c>
      <c r="B21916" s="4" t="s">
        <v>27593</v>
      </c>
      <c r="C21916" s="5" t="str">
        <f>IFERROR(__xludf.DUMMYFUNCTION("GOOGLETRANSLATE(B21916,""en"",""fr"")"),"Elle les place dans le four.")</f>
        <v>Elle les place dans le four.</v>
      </c>
    </row>
    <row r="21917">
      <c r="A21917" s="4" t="s">
        <v>27594</v>
      </c>
      <c r="B21917" s="6" t="s">
        <v>27595</v>
      </c>
      <c r="C21917" s="5" t="str">
        <f>IFERROR(__xludf.DUMMYFUNCTION("GOOGLETRANSLATE(B21917,""en"",""fr"")"),"Un homme est assis par terre et a un skate sur un pied et une jambe prothétique pour l'autre.")</f>
        <v>Un homme est assis par terre et a un skate sur un pied et une jambe prothétique pour l'autre.</v>
      </c>
    </row>
    <row r="21918">
      <c r="A21918" s="4" t="s">
        <v>27594</v>
      </c>
      <c r="B21918" s="4" t="s">
        <v>27596</v>
      </c>
      <c r="C21918" s="5" t="str">
        <f>IFERROR(__xludf.DUMMYFUNCTION("GOOGLETRANSLATE(B21918,""en"",""fr"")"),"L'homme met ensuite la lame à rouleaux sur sa prothèse, puis suit avec l'autre pied.")</f>
        <v>L'homme met ensuite la lame à rouleaux sur sa prothèse, puis suit avec l'autre pied.</v>
      </c>
    </row>
    <row r="21919">
      <c r="A21919" s="4" t="s">
        <v>27594</v>
      </c>
      <c r="B21919" s="4" t="s">
        <v>27597</v>
      </c>
      <c r="C21919" s="5" t="str">
        <f>IFERROR(__xludf.DUMMYFUNCTION("GOOGLETRANSLATE(B21919,""en"",""fr"")"),"Une fois qu'ils sont tous les deux, il se précipite vers l'herbe et quelqu'un l'a assisté alors qu'il se lève.")</f>
        <v>Une fois qu'ils sont tous les deux, il se précipite vers l'herbe et quelqu'un l'a assisté alors qu'il se lève.</v>
      </c>
    </row>
    <row r="21920">
      <c r="A21920" s="4" t="s">
        <v>27594</v>
      </c>
      <c r="B21920" s="6" t="s">
        <v>27598</v>
      </c>
      <c r="C21920" s="5" t="str">
        <f>IFERROR(__xludf.DUMMYFUNCTION("GOOGLETRANSLATE(B21920,""en"",""fr"")"),"Après qu'il soit stable, il se lève et se met en plein essor sur le trottoir avant de revenir et de s'asseoir sur le trottoir.")</f>
        <v>Après qu'il soit stable, il se lève et se met en plein essor sur le trottoir avant de revenir et de s'asseoir sur le trottoir.</v>
      </c>
    </row>
    <row r="21921">
      <c r="A21921" s="4" t="s">
        <v>27599</v>
      </c>
      <c r="B21921" s="6" t="s">
        <v>27600</v>
      </c>
      <c r="C21921" s="5" t="str">
        <f>IFERROR(__xludf.DUMMYFUNCTION("GOOGLETRANSLATE(B21921,""en"",""fr"")"),"Plusieurs éléments sont vus disposés sur une table suivie d'une personne présentant chaque élément à la caméra.")</f>
        <v>Plusieurs éléments sont vus disposés sur une table suivie d'une personne présentant chaque élément à la caméra.</v>
      </c>
    </row>
    <row r="21922">
      <c r="A21922" s="4" t="s">
        <v>27599</v>
      </c>
      <c r="B21922" s="4" t="s">
        <v>27601</v>
      </c>
      <c r="C21922" s="5" t="str">
        <f>IFERROR(__xludf.DUMMYFUNCTION("GOOGLETRANSLATE(B21922,""en"",""fr"")"),"La personne plonge une brosse dans l'eau suivie d'un nettoyeur et frottant un chiffon sur la brosse.")</f>
        <v>La personne plonge une brosse dans l'eau suivie d'un nettoyeur et frottant un chiffon sur la brosse.</v>
      </c>
    </row>
    <row r="21923">
      <c r="A21923" s="4" t="s">
        <v>27599</v>
      </c>
      <c r="B21923" s="4" t="s">
        <v>27602</v>
      </c>
      <c r="C21923" s="5" t="str">
        <f>IFERROR(__xludf.DUMMYFUNCTION("GOOGLETRANSLATE(B21923,""en"",""fr"")"),"La personne frotte les chaussures avec la brosse et essuie le côté avec un chiffon.")</f>
        <v>La personne frotte les chaussures avec la brosse et essuie le côté avec un chiffon.</v>
      </c>
    </row>
    <row r="21924">
      <c r="A21924" s="4" t="s">
        <v>27599</v>
      </c>
      <c r="B21924" s="4" t="s">
        <v>27603</v>
      </c>
      <c r="C21924" s="5" t="str">
        <f>IFERROR(__xludf.DUMMYFUNCTION("GOOGLETRANSLATE(B21924,""en"",""fr"")"),"Il attend un certain temps et frotte à nouveau les chaussures et les présente.")</f>
        <v>Il attend un certain temps et frotte à nouveau les chaussures et les présente.</v>
      </c>
    </row>
    <row r="21925">
      <c r="A21925" s="4" t="s">
        <v>27604</v>
      </c>
      <c r="B21925" s="4" t="s">
        <v>27605</v>
      </c>
      <c r="C21925" s="5" t="str">
        <f>IFERROR(__xludf.DUMMYFUNCTION("GOOGLETRANSLATE(B21925,""en"",""fr"")"),"L'homme marche dans un casino en regardant la pople et les machines.")</f>
        <v>L'homme marche dans un casino en regardant la pople et les machines.</v>
      </c>
    </row>
    <row r="21926">
      <c r="A21926" s="4" t="s">
        <v>27604</v>
      </c>
      <c r="B21926" s="4" t="s">
        <v>27606</v>
      </c>
      <c r="C21926" s="5" t="str">
        <f>IFERROR(__xludf.DUMMYFUNCTION("GOOGLETRANSLATE(B21926,""en"",""fr"")"),"La femme est assise dans une table Jack Black et parle aux hommes.")</f>
        <v>La femme est assise dans une table Jack Black et parle aux hommes.</v>
      </c>
    </row>
    <row r="21927">
      <c r="A21927" s="4" t="s">
        <v>27604</v>
      </c>
      <c r="B21927" s="4" t="s">
        <v>27607</v>
      </c>
      <c r="C21927" s="5" t="str">
        <f>IFERROR(__xludf.DUMMYFUNCTION("GOOGLETRANSLATE(B21927,""en"",""fr"")"),"La femme sourit et étire son bras derrière son dos.")</f>
        <v>La femme sourit et étire son bras derrière son dos.</v>
      </c>
    </row>
    <row r="21928">
      <c r="A21928" s="4" t="s">
        <v>27604</v>
      </c>
      <c r="B21928" s="4" t="s">
        <v>27608</v>
      </c>
      <c r="C21928" s="5" t="str">
        <f>IFERROR(__xludf.DUMMYFUNCTION("GOOGLETRANSLATE(B21928,""en"",""fr"")"),"L'homme est assis dans une table et commence à jouer à Black Jack dans un casino.")</f>
        <v>L'homme est assis dans une table et commence à jouer à Black Jack dans un casino.</v>
      </c>
    </row>
    <row r="21929">
      <c r="A21929" s="4" t="s">
        <v>27609</v>
      </c>
      <c r="B21929" s="4" t="s">
        <v>27610</v>
      </c>
      <c r="C21929" s="5" t="str">
        <f>IFERROR(__xludf.DUMMYFUNCTION("GOOGLETRANSLATE(B21929,""en"",""fr"")"),"Un contremaître porte des gants de couleur bleue avant de commencer à souder du métal.")</f>
        <v>Un contremaître porte des gants de couleur bleue avant de commencer à souder du métal.</v>
      </c>
    </row>
    <row r="21930">
      <c r="A21930" s="4" t="s">
        <v>27609</v>
      </c>
      <c r="B21930" s="4" t="s">
        <v>27611</v>
      </c>
      <c r="C21930" s="5" t="str">
        <f>IFERROR(__xludf.DUMMYFUNCTION("GOOGLETRANSLATE(B21930,""en"",""fr"")"),"Il continue de souder le métal avec sa torche et son équipement de protection.")</f>
        <v>Il continue de souder le métal avec sa torche et son équipement de protection.</v>
      </c>
    </row>
    <row r="21931">
      <c r="A21931" s="4" t="s">
        <v>27609</v>
      </c>
      <c r="B21931" s="4" t="s">
        <v>27612</v>
      </c>
      <c r="C21931" s="5" t="str">
        <f>IFERROR(__xludf.DUMMYFUNCTION("GOOGLETRANSLATE(B21931,""en"",""fr"")"),"Il soulève le métal pendant très longtemps.")</f>
        <v>Il soulève le métal pendant très longtemps.</v>
      </c>
    </row>
    <row r="21932">
      <c r="A21932" s="4" t="s">
        <v>27609</v>
      </c>
      <c r="B21932" s="4" t="s">
        <v>27613</v>
      </c>
      <c r="C21932" s="5" t="str">
        <f>IFERROR(__xludf.DUMMYFUNCTION("GOOGLETRANSLATE(B21932,""en"",""fr"")"),"Ensuite, éteint la torche de soudage et range l'équipement.")</f>
        <v>Ensuite, éteint la torche de soudage et range l'équipement.</v>
      </c>
    </row>
    <row r="21933">
      <c r="A21933" s="4" t="s">
        <v>27614</v>
      </c>
      <c r="B21933" s="6" t="s">
        <v>27615</v>
      </c>
      <c r="C21933" s="5" t="str">
        <f>IFERROR(__xludf.DUMMYFUNCTION("GOOGLETRANSLATE(B21933,""en"",""fr"")"),"Un jeune homme dans un sweat à capuche brun et un pantalon cargo se tient sur une route dans une zone boisée, instruisant les téléspectateurs alors qu'il tient le bout d'une planche à roulettes.")</f>
        <v>Un jeune homme dans un sweat à capuche brun et un pantalon cargo se tient sur une route dans une zone boisée, instruisant les téléspectateurs alors qu'il tient le bout d'une planche à roulettes.</v>
      </c>
    </row>
    <row r="21934">
      <c r="A21934" s="4" t="s">
        <v>27614</v>
      </c>
      <c r="B21934" s="6" t="s">
        <v>27616</v>
      </c>
      <c r="C21934" s="5" t="str">
        <f>IFERROR(__xludf.DUMMYFUNCTION("GOOGLETRANSLATE(B21934,""en"",""fr"")"),"Après avoir démontré une position sur la planche, il le ramasse et revient à plusieurs mètres, et place la planche à roulettes sur le sol, la mordant avec un pied à l'extrémité.")</f>
        <v>Après avoir démontré une position sur la planche, il le ramasse et revient à plusieurs mètres, et place la planche à roulettes sur le sol, la mordant avec un pied à l'extrémité.</v>
      </c>
    </row>
    <row r="21935">
      <c r="A21935" s="4" t="s">
        <v>27614</v>
      </c>
      <c r="B21935" s="4" t="s">
        <v>27617</v>
      </c>
      <c r="C21935" s="5" t="str">
        <f>IFERROR(__xludf.DUMMYFUNCTION("GOOGLETRANSLATE(B21935,""en"",""fr"")"),"Il le met à plat et commence à patiner en avant sur la planche.")</f>
        <v>Il le met à plat et commence à patiner en avant sur la planche.</v>
      </c>
    </row>
    <row r="21936">
      <c r="A21936" s="4" t="s">
        <v>27614</v>
      </c>
      <c r="B21936" s="6" t="s">
        <v>27618</v>
      </c>
      <c r="C21936" s="5" t="str">
        <f>IFERROR(__xludf.DUMMYFUNCTION("GOOGLETRANSLATE(B21936,""en"",""fr"")"),"Il se retourne sur le plateau, faisant un mouvement délicat, puis revient à l'endroit où il a commencé à patiner.")</f>
        <v>Il se retourne sur le plateau, faisant un mouvement délicat, puis revient à l'endroit où il a commencé à patiner.</v>
      </c>
    </row>
    <row r="21937">
      <c r="A21937" s="4" t="s">
        <v>27614</v>
      </c>
      <c r="B21937" s="6" t="s">
        <v>27619</v>
      </c>
      <c r="C21937" s="5" t="str">
        <f>IFERROR(__xludf.DUMMYFUNCTION("GOOGLETRANSLATE(B21937,""en"",""fr"")"),"60 Après avoir parlé un peu plus longtemps et en faisant un geste vers le conseil d'administration, il répète à nouveau le déménagement, en retournant à nouveau à l'endroit où il est parti.")</f>
        <v>60 Après avoir parlé un peu plus longtemps et en faisant un geste vers le conseil d'administration, il répète à nouveau le déménagement, en retournant à nouveau à l'endroit où il est parti.</v>
      </c>
    </row>
    <row r="21938">
      <c r="A21938" s="4" t="s">
        <v>27620</v>
      </c>
      <c r="B21938" s="4" t="s">
        <v>27621</v>
      </c>
      <c r="C21938" s="5" t="str">
        <f>IFERROR(__xludf.DUMMYFUNCTION("GOOGLETRANSLATE(B21938,""en"",""fr"")"),"Une fille fait des flips sur un tapis bleu.")</f>
        <v>Une fille fait des flips sur un tapis bleu.</v>
      </c>
    </row>
    <row r="21939">
      <c r="A21939" s="4" t="s">
        <v>27620</v>
      </c>
      <c r="B21939" s="4" t="s">
        <v>27622</v>
      </c>
      <c r="C21939" s="5" t="str">
        <f>IFERROR(__xludf.DUMMYFUNCTION("GOOGLETRANSLATE(B21939,""en"",""fr"")"),"Une fille fait les divisions dans l'air.")</f>
        <v>Une fille fait les divisions dans l'air.</v>
      </c>
    </row>
    <row r="21940">
      <c r="A21940" s="4" t="s">
        <v>27620</v>
      </c>
      <c r="B21940" s="4" t="s">
        <v>27623</v>
      </c>
      <c r="C21940" s="5" t="str">
        <f>IFERROR(__xludf.DUMMYFUNCTION("GOOGLETRANSLATE(B21940,""en"",""fr"")"),"Les gens s'allongent sur le tapis à côté d'elle.")</f>
        <v>Les gens s'allongent sur le tapis à côté d'elle.</v>
      </c>
    </row>
    <row r="21941">
      <c r="A21941" s="4" t="s">
        <v>27620</v>
      </c>
      <c r="B21941" s="4" t="s">
        <v>27624</v>
      </c>
      <c r="C21941" s="5" t="str">
        <f>IFERROR(__xludf.DUMMYFUNCTION("GOOGLETRANSLATE(B21941,""en"",""fr"")"),"Elle fait plusieurs flips sur un trampoline.")</f>
        <v>Elle fait plusieurs flips sur un trampoline.</v>
      </c>
    </row>
    <row r="21942">
      <c r="A21942" s="4" t="s">
        <v>27625</v>
      </c>
      <c r="B21942" s="4" t="s">
        <v>27626</v>
      </c>
      <c r="C21942" s="5" t="str">
        <f>IFERROR(__xludf.DUMMYFUNCTION("GOOGLETRANSLATE(B21942,""en"",""fr"")"),"Nous voyons un panneau central de fitness.")</f>
        <v>Nous voyons un panneau central de fitness.</v>
      </c>
    </row>
    <row r="21943">
      <c r="A21943" s="4" t="s">
        <v>27625</v>
      </c>
      <c r="B21943" s="4" t="s">
        <v>27627</v>
      </c>
      <c r="C21943" s="5" t="str">
        <f>IFERROR(__xludf.DUMMYFUNCTION("GOOGLETRANSLATE(B21943,""en"",""fr"")"),"Nous voyons ensuite un homme parler à la caméra et s'asseoir et s'allonger sur une balle d'exercice.")</f>
        <v>Nous voyons ensuite un homme parler à la caméra et s'asseoir et s'allonger sur une balle d'exercice.</v>
      </c>
    </row>
    <row r="21944">
      <c r="A21944" s="4" t="s">
        <v>27625</v>
      </c>
      <c r="B21944" s="4" t="s">
        <v>27628</v>
      </c>
      <c r="C21944" s="5" t="str">
        <f>IFERROR(__xludf.DUMMYFUNCTION("GOOGLETRANSLATE(B21944,""en"",""fr"")"),"L'homme se produit assis pendant le ballon et parle.")</f>
        <v>L'homme se produit assis pendant le ballon et parle.</v>
      </c>
    </row>
    <row r="21945">
      <c r="A21945" s="4" t="s">
        <v>27625</v>
      </c>
      <c r="B21945" s="4" t="s">
        <v>27629</v>
      </c>
      <c r="C21945" s="5" t="str">
        <f>IFERROR(__xludf.DUMMYFUNCTION("GOOGLETRANSLATE(B21945,""en"",""fr"")"),"L'homme s'assoit et parle à la caméra.")</f>
        <v>L'homme s'assoit et parle à la caméra.</v>
      </c>
    </row>
    <row r="21946">
      <c r="A21946" s="4" t="s">
        <v>27625</v>
      </c>
      <c r="B21946" s="4" t="s">
        <v>27630</v>
      </c>
      <c r="C21946" s="5" t="str">
        <f>IFERROR(__xludf.DUMMYFUNCTION("GOOGLETRANSLATE(B21946,""en"",""fr"")"),"L'écran de fin est vu sur fond noir.")</f>
        <v>L'écran de fin est vu sur fond noir.</v>
      </c>
    </row>
    <row r="21947">
      <c r="A21947" s="4" t="s">
        <v>27631</v>
      </c>
      <c r="B21947" s="4" t="s">
        <v>27632</v>
      </c>
      <c r="C21947" s="5" t="str">
        <f>IFERROR(__xludf.DUMMYFUNCTION("GOOGLETRANSLATE(B21947,""en"",""fr"")"),"Les ingrédients sont préparés et versés dans un grand bol à mélanger.")</f>
        <v>Les ingrédients sont préparés et versés dans un grand bol à mélanger.</v>
      </c>
    </row>
    <row r="21948">
      <c r="A21948" s="4" t="s">
        <v>27631</v>
      </c>
      <c r="B21948" s="4" t="s">
        <v>27633</v>
      </c>
      <c r="C21948" s="5" t="str">
        <f>IFERROR(__xludf.DUMMYFUNCTION("GOOGLETRANSLATE(B21948,""en"",""fr"")"),"Une femme lave un bol dans un évier de cuisine avec une éponge.")</f>
        <v>Une femme lave un bol dans un évier de cuisine avec une éponge.</v>
      </c>
    </row>
    <row r="21949">
      <c r="A21949" s="4" t="s">
        <v>27631</v>
      </c>
      <c r="B21949" s="4" t="s">
        <v>27634</v>
      </c>
      <c r="C21949" s="5" t="str">
        <f>IFERROR(__xludf.DUMMYFUNCTION("GOOGLETRANSLATE(B21949,""en"",""fr"")"),"La femme sent le bol pour s'assurer qu'il est propre.")</f>
        <v>La femme sent le bol pour s'assurer qu'il est propre.</v>
      </c>
    </row>
    <row r="21950">
      <c r="A21950" s="4" t="s">
        <v>27631</v>
      </c>
      <c r="B21950" s="4" t="s">
        <v>27635</v>
      </c>
      <c r="C21950" s="5" t="str">
        <f>IFERROR(__xludf.DUMMYFUNCTION("GOOGLETRANSLATE(B21950,""en"",""fr"")"),"La femme place le bol dans un lave-vaisselle et montre le placement approprié.")</f>
        <v>La femme place le bol dans un lave-vaisselle et montre le placement approprié.</v>
      </c>
    </row>
    <row r="21951">
      <c r="A21951" s="4" t="s">
        <v>27631</v>
      </c>
      <c r="B21951" s="4" t="s">
        <v>27636</v>
      </c>
      <c r="C21951" s="5" t="str">
        <f>IFERROR(__xludf.DUMMYFUNCTION("GOOGLETRANSLATE(B21951,""en"",""fr"")"),"Une femme lave une assiette dans un évier de cuisine avec une éponge.")</f>
        <v>Une femme lave une assiette dans un évier de cuisine avec une éponge.</v>
      </c>
    </row>
    <row r="21952">
      <c r="A21952" s="4" t="s">
        <v>27631</v>
      </c>
      <c r="B21952" s="4" t="s">
        <v>27637</v>
      </c>
      <c r="C21952" s="5" t="str">
        <f>IFERROR(__xludf.DUMMYFUNCTION("GOOGLETRANSLATE(B21952,""en"",""fr"")"),"La femme sent l'assiette pour s'assurer qu'elle est propre.")</f>
        <v>La femme sent l'assiette pour s'assurer qu'elle est propre.</v>
      </c>
    </row>
    <row r="21953">
      <c r="A21953" s="4" t="s">
        <v>27631</v>
      </c>
      <c r="B21953" s="4" t="s">
        <v>27638</v>
      </c>
      <c r="C21953" s="5" t="str">
        <f>IFERROR(__xludf.DUMMYFUNCTION("GOOGLETRANSLATE(B21953,""en"",""fr"")"),"La femme place l'assiette dans un lave-vaisselle et montre le placement approprié.")</f>
        <v>La femme place l'assiette dans un lave-vaisselle et montre le placement approprié.</v>
      </c>
    </row>
    <row r="21954">
      <c r="A21954" s="4" t="s">
        <v>27631</v>
      </c>
      <c r="B21954" s="4" t="s">
        <v>27639</v>
      </c>
      <c r="C21954" s="5" t="str">
        <f>IFERROR(__xludf.DUMMYFUNCTION("GOOGLETRANSLATE(B21954,""en"",""fr"")"),"Une femme lave des tasses en verre dans un évier de cuisine avec une éponge.")</f>
        <v>Une femme lave des tasses en verre dans un évier de cuisine avec une éponge.</v>
      </c>
    </row>
    <row r="21955">
      <c r="A21955" s="4" t="s">
        <v>27631</v>
      </c>
      <c r="B21955" s="4" t="s">
        <v>27640</v>
      </c>
      <c r="C21955" s="5" t="str">
        <f>IFERROR(__xludf.DUMMYFUNCTION("GOOGLETRANSLATE(B21955,""en"",""fr"")"),"La femme sent les tasses en verre pour s'assurer qu'ils sont propres.")</f>
        <v>La femme sent les tasses en verre pour s'assurer qu'ils sont propres.</v>
      </c>
    </row>
    <row r="21956">
      <c r="A21956" s="4" t="s">
        <v>27631</v>
      </c>
      <c r="B21956" s="4" t="s">
        <v>27641</v>
      </c>
      <c r="C21956" s="5" t="str">
        <f>IFERROR(__xludf.DUMMYFUNCTION("GOOGLETRANSLATE(B21956,""en"",""fr"")"),"La femme place les tasses en verre dans un lave-vaisselle et montre le placement approprié.")</f>
        <v>La femme place les tasses en verre dans un lave-vaisselle et montre le placement approprié.</v>
      </c>
    </row>
    <row r="21957">
      <c r="A21957" s="4" t="s">
        <v>27631</v>
      </c>
      <c r="B21957" s="4" t="s">
        <v>27642</v>
      </c>
      <c r="C21957" s="5" t="str">
        <f>IFERROR(__xludf.DUMMYFUNCTION("GOOGLETRANSLATE(B21957,""en"",""fr"")"),"Les crédits finaux sont vus pour le film.")</f>
        <v>Les crédits finaux sont vus pour le film.</v>
      </c>
    </row>
    <row r="21958">
      <c r="A21958" s="4" t="s">
        <v>27643</v>
      </c>
      <c r="B21958" s="4" t="s">
        <v>27644</v>
      </c>
      <c r="C21958" s="5" t="str">
        <f>IFERROR(__xludf.DUMMYFUNCTION("GOOGLETRANSLATE(B21958,""en"",""fr"")"),"Une introduction apparaît à l'écran pour une vidéo sur le galop le long de la plage.")</f>
        <v>Une introduction apparaît à l'écran pour une vidéo sur le galop le long de la plage.</v>
      </c>
    </row>
    <row r="21959">
      <c r="A21959" s="4" t="s">
        <v>27643</v>
      </c>
      <c r="B21959" s="4" t="s">
        <v>27645</v>
      </c>
      <c r="C21959" s="5" t="str">
        <f>IFERROR(__xludf.DUMMYFUNCTION("GOOGLETRANSLATE(B21959,""en"",""fr"")"),"Plusieurs images sont présentées par des personnes montées à cheval le long de la plage.")</f>
        <v>Plusieurs images sont présentées par des personnes montées à cheval le long de la plage.</v>
      </c>
    </row>
    <row r="21960">
      <c r="A21960" s="4" t="s">
        <v>27643</v>
      </c>
      <c r="B21960" s="4" t="s">
        <v>27646</v>
      </c>
      <c r="C21960" s="5" t="str">
        <f>IFERROR(__xludf.DUMMYFUNCTION("GOOGLETRANSLATE(B21960,""en"",""fr"")"),"Les images se transforment en une vidéo de plusieurs personnes qui longent les dunes de sable.")</f>
        <v>Les images se transforment en une vidéo de plusieurs personnes qui longent les dunes de sable.</v>
      </c>
    </row>
    <row r="21961">
      <c r="A21961" s="4" t="s">
        <v>27643</v>
      </c>
      <c r="B21961" s="4" t="s">
        <v>27647</v>
      </c>
      <c r="C21961" s="5" t="str">
        <f>IFERROR(__xludf.DUMMYFUNCTION("GOOGLETRANSLATE(B21961,""en"",""fr"")"),"La vidéo alterne ensuite entre les images et la vidéo de personnes appréciant la balade de la plage.")</f>
        <v>La vidéo alterne ensuite entre les images et la vidéo de personnes appréciant la balade de la plage.</v>
      </c>
    </row>
    <row r="21962">
      <c r="A21962" s="4" t="s">
        <v>27643</v>
      </c>
      <c r="B21962" s="4" t="s">
        <v>27648</v>
      </c>
      <c r="C21962" s="5" t="str">
        <f>IFERROR(__xludf.DUMMYFUNCTION("GOOGLETRANSLATE(B21962,""en"",""fr"")"),"La vidéo se termine par du texte affiché montrant plus d'informations sur le voyage.")</f>
        <v>La vidéo se termine par du texte affiché montrant plus d'informations sur le voyage.</v>
      </c>
    </row>
    <row r="21963">
      <c r="A21963" s="4" t="s">
        <v>27649</v>
      </c>
      <c r="B21963" s="6" t="s">
        <v>27650</v>
      </c>
      <c r="C21963" s="5" t="str">
        <f>IFERROR(__xludf.DUMMYFUNCTION("GOOGLETRANSLATE(B21963,""en"",""fr"")"),"Une femme montre comment faire une boisson mélangée dans un bar à un comptoir de bar devant un comptoir rempli d'alcool.")</f>
        <v>Une femme montre comment faire une boisson mélangée dans un bar à un comptoir de bar devant un comptoir rempli d'alcool.</v>
      </c>
    </row>
    <row r="21964">
      <c r="A21964" s="4" t="s">
        <v>27649</v>
      </c>
      <c r="B21964" s="6" t="s">
        <v>27651</v>
      </c>
      <c r="C21964" s="5" t="str">
        <f>IFERROR(__xludf.DUMMYFUNCTION("GOOGLETRANSLATE(B21964,""en"",""fr"")"),"La femme commence par parler à la caméra et retirer une bouteille d'alcool à côté d'un pot Mason préparé avec une tranche de citron et de menthe.")</f>
        <v>La femme commence par parler à la caméra et retirer une bouteille d'alcool à côté d'un pot Mason préparé avec une tranche de citron et de menthe.</v>
      </c>
    </row>
    <row r="21965">
      <c r="A21965" s="4" t="s">
        <v>27649</v>
      </c>
      <c r="B21965" s="6" t="s">
        <v>27652</v>
      </c>
      <c r="C21965" s="5" t="str">
        <f>IFERROR(__xludf.DUMMYFUNCTION("GOOGLETRANSLATE(B21965,""en"",""fr"")"),"La femme verse de la glace dans le verre et quelques coups d'alcool, puis verse de la limonade dans le verre avec un brin de menthe et un coin de citron sur le bord.")</f>
        <v>La femme verse de la glace dans le verre et quelques coups d'alcool, puis verse de la limonade dans le verre avec un brin de menthe et un coin de citron sur le bord.</v>
      </c>
    </row>
    <row r="21966">
      <c r="A21966" s="4" t="s">
        <v>27649</v>
      </c>
      <c r="B21966" s="4" t="s">
        <v>27653</v>
      </c>
      <c r="C21966" s="5" t="str">
        <f>IFERROR(__xludf.DUMMYFUNCTION("GOOGLETRANSLATE(B21966,""en"",""fr"")"),"La femme prend une gorgée de la boisson avant que la scène ne se fasse.")</f>
        <v>La femme prend une gorgée de la boisson avant que la scène ne se fasse.</v>
      </c>
    </row>
    <row r="21967">
      <c r="A21967" s="4" t="s">
        <v>27654</v>
      </c>
      <c r="B21967" s="4" t="s">
        <v>27655</v>
      </c>
      <c r="C21967" s="5" t="str">
        <f>IFERROR(__xludf.DUMMYFUNCTION("GOOGLETRANSLATE(B21967,""en"",""fr"")"),"Un homme est dehors dans sa cour.")</f>
        <v>Un homme est dehors dans sa cour.</v>
      </c>
    </row>
    <row r="21968">
      <c r="A21968" s="4" t="s">
        <v>27654</v>
      </c>
      <c r="B21968" s="4" t="s">
        <v>27656</v>
      </c>
      <c r="C21968" s="5" t="str">
        <f>IFERROR(__xludf.DUMMYFUNCTION("GOOGLETRANSLATE(B21968,""en"",""fr"")"),"Il utilise une laveuse de pression pour laver les feuilles de sa pelouse.")</f>
        <v>Il utilise une laveuse de pression pour laver les feuilles de sa pelouse.</v>
      </c>
    </row>
    <row r="21969">
      <c r="A21969" s="4" t="s">
        <v>27654</v>
      </c>
      <c r="B21969" s="4" t="s">
        <v>27657</v>
      </c>
      <c r="C21969" s="5" t="str">
        <f>IFERROR(__xludf.DUMMYFUNCTION("GOOGLETRANSLATE(B21969,""en"",""fr"")"),"Il les pulvérise de haut en bas, les poussant vers le bas.")</f>
        <v>Il les pulvérise de haut en bas, les poussant vers le bas.</v>
      </c>
    </row>
    <row r="21970">
      <c r="A21970" s="4" t="s">
        <v>27658</v>
      </c>
      <c r="B21970" s="4" t="s">
        <v>27659</v>
      </c>
      <c r="C21970" s="5" t="str">
        <f>IFERROR(__xludf.DUMMYFUNCTION("GOOGLETRANSLATE(B21970,""en"",""fr"")"),"Un homme remplit un pot d'eau et ajoute du sel et de l'huile, puis bouillir l'eau en parlant.")</f>
        <v>Un homme remplit un pot d'eau et ajoute du sel et de l'huile, puis bouillir l'eau en parlant.</v>
      </c>
    </row>
    <row r="21971">
      <c r="A21971" s="4" t="s">
        <v>27658</v>
      </c>
      <c r="B21971" s="4" t="s">
        <v>27660</v>
      </c>
      <c r="C21971" s="5" t="str">
        <f>IFERROR(__xludf.DUMMYFUNCTION("GOOGLETRANSLATE(B21971,""en"",""fr"")"),"Ensuite, l'homme met les spaghettis dans le pot de bowling.")</f>
        <v>Ensuite, l'homme met les spaghettis dans le pot de bowling.</v>
      </c>
    </row>
    <row r="21972">
      <c r="A21972" s="4" t="s">
        <v>27658</v>
      </c>
      <c r="B21972" s="4" t="s">
        <v>27661</v>
      </c>
      <c r="C21972" s="5" t="str">
        <f>IFERROR(__xludf.DUMMYFUNCTION("GOOGLETRANSLATE(B21972,""en"",""fr"")"),"Après, l'homme a goûté les spaghettis et l'écouter.")</f>
        <v>Après, l'homme a goûté les spaghettis et l'écouter.</v>
      </c>
    </row>
    <row r="21973">
      <c r="A21973" s="4" t="s">
        <v>27658</v>
      </c>
      <c r="B21973" s="4" t="s">
        <v>27662</v>
      </c>
      <c r="C21973" s="5" t="str">
        <f>IFERROR(__xludf.DUMMYFUNCTION("GOOGLETRANSLATE(B21973,""en"",""fr"")"),"Ensuite, l'homme ajoute du fromage râpé et de l'huile sur les spaghettis.")</f>
        <v>Ensuite, l'homme ajoute du fromage râpé et de l'huile sur les spaghettis.</v>
      </c>
    </row>
    <row r="21974">
      <c r="A21974" s="4" t="s">
        <v>27663</v>
      </c>
      <c r="B21974" s="4" t="s">
        <v>27664</v>
      </c>
      <c r="C21974" s="5" t="str">
        <f>IFERROR(__xludf.DUMMYFUNCTION("GOOGLETRANSLATE(B21974,""en"",""fr"")"),"Il y a 3 hommes et 1 femme.")</f>
        <v>Il y a 3 hommes et 1 femme.</v>
      </c>
    </row>
    <row r="21975">
      <c r="A21975" s="4" t="s">
        <v>27663</v>
      </c>
      <c r="B21975" s="6" t="s">
        <v>27665</v>
      </c>
      <c r="C21975" s="5" t="str">
        <f>IFERROR(__xludf.DUMMYFUNCTION("GOOGLETRANSLATE(B21975,""en"",""fr"")"),"Chacun d'eux montre et vous dit sa façon de bowling pour gagner des grèves et obtenir des scores parfaits sur le tableau de bord élevé.")</f>
        <v>Chacun d'eux montre et vous dit sa façon de bowling pour gagner des grèves et obtenir des scores parfaits sur le tableau de bord élevé.</v>
      </c>
    </row>
    <row r="21976">
      <c r="A21976" s="4" t="s">
        <v>27666</v>
      </c>
      <c r="B21976" s="4" t="s">
        <v>27667</v>
      </c>
      <c r="C21976" s="5" t="str">
        <f>IFERROR(__xludf.DUMMYFUNCTION("GOOGLETRANSLATE(B21976,""en"",""fr"")"),"Nous voyons le titre de Kyla Ross sur les barres parallèles.")</f>
        <v>Nous voyons le titre de Kyla Ross sur les barres parallèles.</v>
      </c>
    </row>
    <row r="21977">
      <c r="A21977" s="4" t="s">
        <v>27666</v>
      </c>
      <c r="B21977" s="4" t="s">
        <v>27668</v>
      </c>
      <c r="C21977" s="5" t="str">
        <f>IFERROR(__xludf.DUMMYFUNCTION("GOOGLETRANSLATE(B21977,""en"",""fr"")"),"Les filles se lèvent, puis baissent les bras.")</f>
        <v>Les filles se lèvent, puis baissent les bras.</v>
      </c>
    </row>
    <row r="21978">
      <c r="A21978" s="4" t="s">
        <v>27666</v>
      </c>
      <c r="B21978" s="4" t="s">
        <v>27669</v>
      </c>
      <c r="C21978" s="5" t="str">
        <f>IFERROR(__xludf.DUMMYFUNCTION("GOOGLETRANSLATE(B21978,""en"",""fr"")"),"Kyla saute ensuite sur la barre courte.")</f>
        <v>Kyla saute ensuite sur la barre courte.</v>
      </c>
    </row>
    <row r="21979">
      <c r="A21979" s="4" t="s">
        <v>27666</v>
      </c>
      <c r="B21979" s="4" t="s">
        <v>27670</v>
      </c>
      <c r="C21979" s="5" t="str">
        <f>IFERROR(__xludf.DUMMYFUNCTION("GOOGLETRANSLATE(B21979,""en"",""fr"")"),"Elle transfère vers le grand bar, puis remonte à la courte.")</f>
        <v>Elle transfère vers le grand bar, puis remonte à la courte.</v>
      </c>
    </row>
    <row r="21980">
      <c r="A21980" s="4" t="s">
        <v>27666</v>
      </c>
      <c r="B21980" s="4" t="s">
        <v>27671</v>
      </c>
      <c r="C21980" s="5" t="str">
        <f>IFERROR(__xludf.DUMMYFUNCTION("GOOGLETRANSLATE(B21980,""en"",""fr"")"),"Elle tourne vers la grande et tourne.")</f>
        <v>Elle tourne vers la grande et tourne.</v>
      </c>
    </row>
    <row r="21981">
      <c r="A21981" s="4" t="s">
        <v>27666</v>
      </c>
      <c r="B21981" s="4" t="s">
        <v>27672</v>
      </c>
      <c r="C21981" s="5" t="str">
        <f>IFERROR(__xludf.DUMMYFUNCTION("GOOGLETRANSLATE(B21981,""en"",""fr"")"),"Elle se retourne vers la barre courte, puis retourne vers le grand et les flips.")</f>
        <v>Elle se retourne vers la barre courte, puis retourne vers le grand et les flips.</v>
      </c>
    </row>
    <row r="21982">
      <c r="A21982" s="4" t="s">
        <v>27666</v>
      </c>
      <c r="B21982" s="4" t="s">
        <v>27673</v>
      </c>
      <c r="C21982" s="5" t="str">
        <f>IFERROR(__xludf.DUMMYFUNCTION("GOOGLETRANSLATE(B21982,""en"",""fr"")"),"Elle démonte et embrasse son entraîneur.")</f>
        <v>Elle démonte et embrasse son entraîneur.</v>
      </c>
    </row>
    <row r="21983">
      <c r="A21983" s="4" t="s">
        <v>27666</v>
      </c>
      <c r="B21983" s="4" t="s">
        <v>27674</v>
      </c>
      <c r="C21983" s="5" t="str">
        <f>IFERROR(__xludf.DUMMYFUNCTION("GOOGLETRANSLATE(B21983,""en"",""fr"")"),"Nous voyons son score final sur un écran noir.")</f>
        <v>Nous voyons son score final sur un écran noir.</v>
      </c>
    </row>
    <row r="21984">
      <c r="A21984" s="4" t="s">
        <v>27675</v>
      </c>
      <c r="B21984" s="4" t="s">
        <v>27676</v>
      </c>
      <c r="C21984" s="5" t="str">
        <f>IFERROR(__xludf.DUMMYFUNCTION("GOOGLETRANSLATE(B21984,""en"",""fr"")"),"Une femme dans un débardeur blanc fait du vélo d'exercice dans une pièce.")</f>
        <v>Une femme dans un débardeur blanc fait du vélo d'exercice dans une pièce.</v>
      </c>
    </row>
    <row r="21985">
      <c r="A21985" s="4" t="s">
        <v>27675</v>
      </c>
      <c r="B21985" s="4" t="s">
        <v>27677</v>
      </c>
      <c r="C21985" s="5" t="str">
        <f>IFERROR(__xludf.DUMMYFUNCTION("GOOGLETRANSLATE(B21985,""en"",""fr"")"),"Elle fait des pompes sur un tapis noir.")</f>
        <v>Elle fait des pompes sur un tapis noir.</v>
      </c>
    </row>
    <row r="21986">
      <c r="A21986" s="4" t="s">
        <v>27675</v>
      </c>
      <c r="B21986" s="4" t="s">
        <v>27678</v>
      </c>
      <c r="C21986" s="5" t="str">
        <f>IFERROR(__xludf.DUMMYFUNCTION("GOOGLETRANSLATE(B21986,""en"",""fr"")"),"Elle est de retour à faire du vélo d'exercice.")</f>
        <v>Elle est de retour à faire du vélo d'exercice.</v>
      </c>
    </row>
    <row r="21987">
      <c r="A21987" s="4" t="s">
        <v>27675</v>
      </c>
      <c r="B21987" s="4" t="s">
        <v>27679</v>
      </c>
      <c r="C21987" s="5" t="str">
        <f>IFERROR(__xludf.DUMMYFUNCTION("GOOGLETRANSLATE(B21987,""en"",""fr"")"),"Elle soulève des poids de haut en bas à ses côtés.")</f>
        <v>Elle soulève des poids de haut en bas à ses côtés.</v>
      </c>
    </row>
    <row r="21988">
      <c r="A21988" s="4" t="s">
        <v>27675</v>
      </c>
      <c r="B21988" s="4" t="s">
        <v>27680</v>
      </c>
      <c r="C21988" s="5" t="str">
        <f>IFERROR(__xludf.DUMMYFUNCTION("GOOGLETRANSLATE(B21988,""en"",""fr"")"),"Elle roule à nouveau sur le vélo d'exercice.")</f>
        <v>Elle roule à nouveau sur le vélo d'exercice.</v>
      </c>
    </row>
    <row r="21989">
      <c r="A21989" s="4" t="s">
        <v>27681</v>
      </c>
      <c r="B21989" s="4" t="s">
        <v>27682</v>
      </c>
      <c r="C21989" s="5" t="str">
        <f>IFERROR(__xludf.DUMMYFUNCTION("GOOGLETRANSLATE(B21989,""en"",""fr"")"),"Un homme montre comment cuisiner un ami Bologne Sandwich dans sa cuisine.")</f>
        <v>Un homme montre comment cuisiner un ami Bologne Sandwich dans sa cuisine.</v>
      </c>
    </row>
    <row r="21990">
      <c r="A21990" s="4" t="s">
        <v>27681</v>
      </c>
      <c r="B21990" s="4" t="s">
        <v>27683</v>
      </c>
      <c r="C21990" s="5" t="str">
        <f>IFERROR(__xludf.DUMMYFUNCTION("GOOGLETRANSLATE(B21990,""en"",""fr"")"),"Il prend deux tranches de pain à sandwich et les met dans le grille-pain.")</f>
        <v>Il prend deux tranches de pain à sandwich et les met dans le grille-pain.</v>
      </c>
    </row>
    <row r="21991">
      <c r="A21991" s="4" t="s">
        <v>27681</v>
      </c>
      <c r="B21991" s="4" t="s">
        <v>27684</v>
      </c>
      <c r="C21991" s="5" t="str">
        <f>IFERROR(__xludf.DUMMYFUNCTION("GOOGLETRANSLATE(B21991,""en"",""fr"")"),"Puis il prend un peu de beurre et de bologne dans une poêle et le fait frire.")</f>
        <v>Puis il prend un peu de beurre et de bologne dans une poêle et le fait frire.</v>
      </c>
    </row>
    <row r="21992">
      <c r="A21992" s="4" t="s">
        <v>27681</v>
      </c>
      <c r="B21992" s="4" t="s">
        <v>27685</v>
      </c>
      <c r="C21992" s="5" t="str">
        <f>IFERROR(__xludf.DUMMYFUNCTION("GOOGLETRANSLATE(B21992,""en"",""fr"")"),"Il retourne la bologne pour le faire frire des deux côtés.")</f>
        <v>Il retourne la bologne pour le faire frire des deux côtés.</v>
      </c>
    </row>
    <row r="21993">
      <c r="A21993" s="4" t="s">
        <v>27681</v>
      </c>
      <c r="B21993" s="4" t="s">
        <v>27686</v>
      </c>
      <c r="C21993" s="5" t="str">
        <f>IFERROR(__xludf.DUMMYFUNCTION("GOOGLETRANSLATE(B21993,""en"",""fr"")"),"Puis il prend deux tranches de fromage américain.")</f>
        <v>Puis il prend deux tranches de fromage américain.</v>
      </c>
    </row>
    <row r="21994">
      <c r="A21994" s="4" t="s">
        <v>27681</v>
      </c>
      <c r="B21994" s="4" t="s">
        <v>27687</v>
      </c>
      <c r="C21994" s="5" t="str">
        <f>IFERROR(__xludf.DUMMYFUNCTION("GOOGLETRANSLATE(B21994,""en"",""fr"")"),"Il sort la bologne de la casserole et la place sur le toast avec les tranches de fromage.")</f>
        <v>Il sort la bologne de la casserole et la place sur le toast avec les tranches de fromage.</v>
      </c>
    </row>
    <row r="21995">
      <c r="A21995" s="4" t="s">
        <v>27681</v>
      </c>
      <c r="B21995" s="4" t="s">
        <v>27688</v>
      </c>
      <c r="C21995" s="5" t="str">
        <f>IFERROR(__xludf.DUMMYFUNCTION("GOOGLETRANSLATE(B21995,""en"",""fr"")"),"Il montre le sandwich fini avec la bologne et le fromage.")</f>
        <v>Il montre le sandwich fini avec la bologne et le fromage.</v>
      </c>
    </row>
    <row r="21996">
      <c r="A21996" s="4" t="s">
        <v>27689</v>
      </c>
      <c r="B21996" s="4" t="s">
        <v>27690</v>
      </c>
      <c r="C21996" s="5" t="str">
        <f>IFERROR(__xludf.DUMMYFUNCTION("GOOGLETRANSLATE(B21996,""en"",""fr"")"),"Un homme est assis sur une machine de poids et saisit des barres de poignée.")</f>
        <v>Un homme est assis sur une machine de poids et saisit des barres de poignée.</v>
      </c>
    </row>
    <row r="21997">
      <c r="A21997" s="4" t="s">
        <v>27689</v>
      </c>
      <c r="B21997" s="4" t="s">
        <v>27691</v>
      </c>
      <c r="C21997" s="5" t="str">
        <f>IFERROR(__xludf.DUMMYFUNCTION("GOOGLETRANSLATE(B21997,""en"",""fr"")"),"Il tire le guidon en arrière et quatrième alors que le siège sur lequel il se déplace se déplace en continu.")</f>
        <v>Il tire le guidon en arrière et quatrième alors que le siège sur lequel il se déplace se déplace en continu.</v>
      </c>
    </row>
    <row r="21998">
      <c r="A21998" s="4" t="s">
        <v>27689</v>
      </c>
      <c r="B21998" s="4" t="s">
        <v>27692</v>
      </c>
      <c r="C21998" s="5" t="str">
        <f>IFERROR(__xludf.DUMMYFUNCTION("GOOGLETRANSLATE(B21998,""en"",""fr"")"),"Il exécute cet ensemble plusieurs fois et finit par faire une pause pour laisser la fin de l'instruction.")</f>
        <v>Il exécute cet ensemble plusieurs fois et finit par faire une pause pour laisser la fin de l'instruction.</v>
      </c>
    </row>
    <row r="21999">
      <c r="A21999" s="4" t="s">
        <v>27693</v>
      </c>
      <c r="B21999" s="6" t="s">
        <v>27694</v>
      </c>
      <c r="C21999" s="5" t="str">
        <f>IFERROR(__xludf.DUMMYFUNCTION("GOOGLETRANSLATE(B21999,""en"",""fr"")"),"Un homme chauve en chemise grise se tient sur le terrain de jeu, il se dirigea vers les barreaux de singe et commença à se tirer de haut en bas, il se dirigea vers un pôle inférieur et commença à se relever pendant que ses jambes sont étirées.")</f>
        <v>Un homme chauve en chemise grise se tient sur le terrain de jeu, il se dirigea vers les barreaux de singe et commença à se tirer de haut en bas, il se dirigea vers un pôle inférieur et commença à se relever pendant que ses jambes sont étirées.</v>
      </c>
    </row>
    <row r="22000">
      <c r="A22000" s="4" t="s">
        <v>27693</v>
      </c>
      <c r="B22000" s="6" t="s">
        <v>27695</v>
      </c>
      <c r="C22000" s="5" t="str">
        <f>IFERROR(__xludf.DUMMYFUNCTION("GOOGLETRANSLATE(B22000,""en"",""fr"")"),"Il est retourné au bar à singe et s'est tiré de haut en bas, ses jambes sont des mouvements d'un côté à l'autre, puis de le tirer de haut en bas.")</f>
        <v>Il est retourné au bar à singe et s'est tiré de haut en bas, ses jambes sont des mouvements d'un côté à l'autre, puis de le tirer de haut en bas.</v>
      </c>
    </row>
    <row r="22001">
      <c r="A22001" s="4" t="s">
        <v>27696</v>
      </c>
      <c r="B22001" s="4" t="s">
        <v>27697</v>
      </c>
      <c r="C22001" s="5" t="str">
        <f>IFERROR(__xludf.DUMMYFUNCTION("GOOGLETRANSLATE(B22001,""en"",""fr"")"),"Une femme parle tout en tenant un saxophone.")</f>
        <v>Une femme parle tout en tenant un saxophone.</v>
      </c>
    </row>
    <row r="22002">
      <c r="A22002" s="4" t="s">
        <v>27696</v>
      </c>
      <c r="B22002" s="4" t="s">
        <v>27698</v>
      </c>
      <c r="C22002" s="5" t="str">
        <f>IFERROR(__xludf.DUMMYFUNCTION("GOOGLETRANSLATE(B22002,""en"",""fr"")"),"Elle commence à jouer du saxophone.")</f>
        <v>Elle commence à jouer du saxophone.</v>
      </c>
    </row>
    <row r="22003">
      <c r="A22003" s="4" t="s">
        <v>27699</v>
      </c>
      <c r="B22003" s="4" t="s">
        <v>1251</v>
      </c>
      <c r="C22003" s="5" t="str">
        <f>IFERROR(__xludf.DUMMYFUNCTION("GOOGLETRANSLATE(B22003,""en"",""fr"")"),"Les crédits du clip sont affichés.")</f>
        <v>Les crédits du clip sont affichés.</v>
      </c>
    </row>
    <row r="22004">
      <c r="A22004" s="4" t="s">
        <v>27699</v>
      </c>
      <c r="B22004" s="4" t="s">
        <v>27700</v>
      </c>
      <c r="C22004" s="5" t="str">
        <f>IFERROR(__xludf.DUMMYFUNCTION("GOOGLETRANSLATE(B22004,""en"",""fr"")"),"Un gars lève une balle en métal au-dessus de sa tête, tourne avec une balle en métal et libère la balle en métal.")</f>
        <v>Un gars lève une balle en métal au-dessus de sa tête, tourne avec une balle en métal et libère la balle en métal.</v>
      </c>
    </row>
    <row r="22005">
      <c r="A22005" s="4" t="s">
        <v>27699</v>
      </c>
      <c r="B22005" s="4" t="s">
        <v>27701</v>
      </c>
      <c r="C22005" s="5" t="str">
        <f>IFERROR(__xludf.DUMMYFUNCTION("GOOGLETRANSLATE(B22005,""en"",""fr"")"),"Un gars applaudit après avoir relâché la balle métallique.")</f>
        <v>Un gars applaudit après avoir relâché la balle métallique.</v>
      </c>
    </row>
    <row r="22006">
      <c r="A22006" s="4" t="s">
        <v>27699</v>
      </c>
      <c r="B22006" s="4" t="s">
        <v>27702</v>
      </c>
      <c r="C22006" s="5" t="str">
        <f>IFERROR(__xludf.DUMMYFUNCTION("GOOGLETRANSLATE(B22006,""en"",""fr"")"),"Le tableau du score est affiché.")</f>
        <v>Le tableau du score est affiché.</v>
      </c>
    </row>
    <row r="22007">
      <c r="A22007" s="4" t="s">
        <v>27703</v>
      </c>
      <c r="B22007" s="4" t="s">
        <v>27704</v>
      </c>
      <c r="C22007" s="5" t="str">
        <f>IFERROR(__xludf.DUMMYFUNCTION("GOOGLETRANSLATE(B22007,""en"",""fr"")"),"Un petit garçon roule dans une voiture à boire un verre et joue avec son téléphone.")</f>
        <v>Un petit garçon roule dans une voiture à boire un verre et joue avec son téléphone.</v>
      </c>
    </row>
    <row r="22008">
      <c r="A22008" s="4" t="s">
        <v>27703</v>
      </c>
      <c r="B22008" s="4" t="s">
        <v>27705</v>
      </c>
      <c r="C22008" s="5" t="str">
        <f>IFERROR(__xludf.DUMMYFUNCTION("GOOGLETRANSLATE(B22008,""en"",""fr"")"),"Il commence à avoir une conversation avec un homme plus âgé qui l'enregistre dans la voiture.")</f>
        <v>Il commence à avoir une conversation avec un homme plus âgé qui l'enregistre dans la voiture.</v>
      </c>
    </row>
    <row r="22009">
      <c r="A22009" s="4" t="s">
        <v>27706</v>
      </c>
      <c r="B22009" s="4" t="s">
        <v>27707</v>
      </c>
      <c r="C22009" s="5" t="str">
        <f>IFERROR(__xludf.DUMMYFUNCTION("GOOGLETRANSLATE(B22009,""en"",""fr"")"),"Un homme court sur un stade professionnel et lance une balle sur une pâte.")</f>
        <v>Un homme court sur un stade professionnel et lance une balle sur une pâte.</v>
      </c>
    </row>
    <row r="22010">
      <c r="A22010" s="4" t="s">
        <v>27706</v>
      </c>
      <c r="B22010" s="4" t="s">
        <v>27708</v>
      </c>
      <c r="C22010" s="5" t="str">
        <f>IFERROR(__xludf.DUMMYFUNCTION("GOOGLETRANSLATE(B22010,""en"",""fr"")"),"Deux femmes qui regardent le jeu applaudir après que le frappeur ait frappé le ballon avec sa planche.")</f>
        <v>Deux femmes qui regardent le jeu applaudir après que le frappeur ait frappé le ballon avec sa planche.</v>
      </c>
    </row>
    <row r="22011">
      <c r="A22011" s="4" t="s">
        <v>27706</v>
      </c>
      <c r="B22011" s="4" t="s">
        <v>27709</v>
      </c>
      <c r="C22011" s="5" t="str">
        <f>IFERROR(__xludf.DUMMYFUNCTION("GOOGLETRANSLATE(B22011,""en"",""fr"")"),"L'une des femmes expose sa poitrine nue à la caméra, une barre noire est superposée.")</f>
        <v>L'une des femmes expose sa poitrine nue à la caméra, une barre noire est superposée.</v>
      </c>
    </row>
    <row r="22012">
      <c r="A22012" s="4" t="s">
        <v>27706</v>
      </c>
      <c r="B22012" s="4" t="s">
        <v>27710</v>
      </c>
      <c r="C22012" s="5" t="str">
        <f>IFERROR(__xludf.DUMMYFUNCTION("GOOGLETRANSLATE(B22012,""en"",""fr"")"),"La caméra revient à l'action sur le terrain.")</f>
        <v>La caméra revient à l'action sur le terrain.</v>
      </c>
    </row>
    <row r="22013">
      <c r="A22013" s="4" t="s">
        <v>27711</v>
      </c>
      <c r="B22013" s="4" t="s">
        <v>27712</v>
      </c>
      <c r="C22013" s="5" t="str">
        <f>IFERROR(__xludf.DUMMYFUNCTION("GOOGLETRANSLATE(B22013,""en"",""fr"")"),"Une rodea Clodden en terre est montrée, car un homme sur un cheval est libéré d'une porte.")</f>
        <v>Une rodea Clodden en terre est montrée, car un homme sur un cheval est libéré d'une porte.</v>
      </c>
    </row>
    <row r="22014">
      <c r="A22014" s="4" t="s">
        <v>27711</v>
      </c>
      <c r="B22014" s="4" t="s">
        <v>27713</v>
      </c>
      <c r="C22014" s="5" t="str">
        <f>IFERROR(__xludf.DUMMYFUNCTION("GOOGLETRANSLATE(B22014,""en"",""fr"")"),"Il corde un veau, démonté pour le lier.")</f>
        <v>Il corde un veau, démonté pour le lier.</v>
      </c>
    </row>
    <row r="22015">
      <c r="A22015" s="4" t="s">
        <v>27711</v>
      </c>
      <c r="B22015" s="4" t="s">
        <v>27714</v>
      </c>
      <c r="C22015" s="5" t="str">
        <f>IFERROR(__xludf.DUMMYFUNCTION("GOOGLETRANSLATE(B22015,""en"",""fr"")"),"Un autre homme monte momentanément à l'écran.")</f>
        <v>Un autre homme monte momentanément à l'écran.</v>
      </c>
    </row>
    <row r="22016">
      <c r="A22016" s="4" t="s">
        <v>27715</v>
      </c>
      <c r="B22016" s="4" t="s">
        <v>27716</v>
      </c>
      <c r="C22016" s="5" t="str">
        <f>IFERROR(__xludf.DUMMYFUNCTION("GOOGLETRANSLATE(B22016,""en"",""fr"")"),"Un homme est vu debout dans une salle de bain avec une femme et en regardant en arrière pour parler à la caméra.")</f>
        <v>Un homme est vu debout dans une salle de bain avec une femme et en regardant en arrière pour parler à la caméra.</v>
      </c>
    </row>
    <row r="22017">
      <c r="A22017" s="4" t="s">
        <v>27715</v>
      </c>
      <c r="B22017" s="6" t="s">
        <v>27717</v>
      </c>
      <c r="C22017" s="5" t="str">
        <f>IFERROR(__xludf.DUMMYFUNCTION("GOOGLETRANSLATE(B22017,""en"",""fr"")"),"L'homme se déplace alors tout autour de la salle de bain tout en continuant à parler et la caméra zoome.")</f>
        <v>L'homme se déplace alors tout autour de la salle de bain tout en continuant à parler et la caméra zoome.</v>
      </c>
    </row>
    <row r="22018">
      <c r="A22018" s="4" t="s">
        <v>27718</v>
      </c>
      <c r="B22018" s="4" t="s">
        <v>27719</v>
      </c>
      <c r="C22018" s="5" t="str">
        <f>IFERROR(__xludf.DUMMYFUNCTION("GOOGLETRANSLATE(B22018,""en"",""fr"")"),"Un homme est vu parler à la caméra tout en se tenant devant l'équipement d'exercice.")</f>
        <v>Un homme est vu parler à la caméra tout en se tenant devant l'équipement d'exercice.</v>
      </c>
    </row>
    <row r="22019">
      <c r="A22019" s="4" t="s">
        <v>27718</v>
      </c>
      <c r="B22019" s="4" t="s">
        <v>27720</v>
      </c>
      <c r="C22019" s="5" t="str">
        <f>IFERROR(__xludf.DUMMYFUNCTION("GOOGLETRANSLATE(B22019,""en"",""fr"")"),"Il continue de parler et mène à des clips des pieds d'une personne se déplaçant sur la machine.")</f>
        <v>Il continue de parler et mène à des clips des pieds d'une personne se déplaçant sur la machine.</v>
      </c>
    </row>
    <row r="22020">
      <c r="A22020" s="4" t="s">
        <v>27718</v>
      </c>
      <c r="B22020" s="4" t="s">
        <v>27721</v>
      </c>
      <c r="C22020" s="5" t="str">
        <f>IFERROR(__xludf.DUMMYFUNCTION("GOOGLETRANSLATE(B22020,""en"",""fr"")"),"L'homme utilise la machine en continu tout en pointant son corps et en montrant ses jambes.")</f>
        <v>L'homme utilise la machine en continu tout en pointant son corps et en montrant ses jambes.</v>
      </c>
    </row>
    <row r="22021">
      <c r="A22021" s="4" t="s">
        <v>27722</v>
      </c>
      <c r="B22021" s="6" t="s">
        <v>27723</v>
      </c>
      <c r="C22021" s="5" t="str">
        <f>IFERROR(__xludf.DUMMYFUNCTION("GOOGLETRANSLATE(B22021,""en"",""fr"")"),"Un ensemble de bottes noires est représentée sur une petite table avec une huile de bouteille et un chiffon devant une femme.")</f>
        <v>Un ensemble de bottes noires est représentée sur une petite table avec une huile de bouteille et un chiffon devant une femme.</v>
      </c>
    </row>
    <row r="22022">
      <c r="A22022" s="4" t="s">
        <v>27722</v>
      </c>
      <c r="B22022" s="4" t="s">
        <v>27724</v>
      </c>
      <c r="C22022" s="5" t="str">
        <f>IFERROR(__xludf.DUMMYFUNCTION("GOOGLETRANSLATE(B22022,""en"",""fr"")"),"La femme attrape ensuite le chiffon et y met de l'huile d'olive et commence à polir les bottes.")</f>
        <v>La femme attrape ensuite le chiffon et y met de l'huile d'olive et commence à polir les bottes.</v>
      </c>
    </row>
    <row r="22023">
      <c r="A22023" s="4" t="s">
        <v>27722</v>
      </c>
      <c r="B22023" s="4" t="s">
        <v>27725</v>
      </c>
      <c r="C22023" s="5" t="str">
        <f>IFERROR(__xludf.DUMMYFUNCTION("GOOGLETRANSLATE(B22023,""en"",""fr"")"),"Elle s'arrête ensuite avec les chiffons et commence à parler.")</f>
        <v>Elle s'arrête ensuite avec les chiffons et commence à parler.</v>
      </c>
    </row>
    <row r="22024">
      <c r="A22024" s="4" t="s">
        <v>27726</v>
      </c>
      <c r="B22024" s="4" t="s">
        <v>27727</v>
      </c>
      <c r="C22024" s="5" t="str">
        <f>IFERROR(__xludf.DUMMYFUNCTION("GOOGLETRANSLATE(B22024,""en"",""fr"")"),"Une personne est vue entrer dans le cadre et commence à jouer sur un ensemble de batterie de Bongo.")</f>
        <v>Une personne est vue entrer dans le cadre et commence à jouer sur un ensemble de batterie de Bongo.</v>
      </c>
    </row>
    <row r="22025">
      <c r="A22025" s="4" t="s">
        <v>27726</v>
      </c>
      <c r="B22025" s="6" t="s">
        <v>27728</v>
      </c>
      <c r="C22025" s="5" t="str">
        <f>IFERROR(__xludf.DUMMYFUNCTION("GOOGLETRANSLATE(B22025,""en"",""fr"")"),"L'homme continue de jouer sur la batterie pendant que la caméra ne bouge pas et se termine avec lui les frappant une fois et s'éloignait.")</f>
        <v>L'homme continue de jouer sur la batterie pendant que la caméra ne bouge pas et se termine avec lui les frappant une fois et s'éloignait.</v>
      </c>
    </row>
    <row r="22026">
      <c r="A22026" s="4" t="s">
        <v>27729</v>
      </c>
      <c r="B22026" s="4" t="s">
        <v>27730</v>
      </c>
      <c r="C22026" s="5" t="str">
        <f>IFERROR(__xludf.DUMMYFUNCTION("GOOGLETRANSLATE(B22026,""en"",""fr"")"),"Un jeune garçon roller pales d'une rampe et sur une autre rampe.")</f>
        <v>Un jeune garçon roller pales d'une rampe et sur une autre rampe.</v>
      </c>
    </row>
    <row r="22027">
      <c r="A22027" s="4" t="s">
        <v>27729</v>
      </c>
      <c r="B22027" s="4" t="s">
        <v>27731</v>
      </c>
      <c r="C22027" s="5" t="str">
        <f>IFERROR(__xludf.DUMMYFUNCTION("GOOGLETRANSLATE(B22027,""en"",""fr"")"),"Le garçon accélère sur une rampe et saute, atterrissant sur le ciment.")</f>
        <v>Le garçon accélère sur une rampe et saute, atterrissant sur le ciment.</v>
      </c>
    </row>
    <row r="22028">
      <c r="A22028" s="4" t="s">
        <v>27729</v>
      </c>
      <c r="B22028" s="4" t="s">
        <v>27732</v>
      </c>
      <c r="C22028" s="5" t="str">
        <f>IFERROR(__xludf.DUMMYFUNCTION("GOOGLETRANSLATE(B22028,""en"",""fr"")"),"Plus tard, le garçon roller pales sur une autre rampe.")</f>
        <v>Plus tard, le garçon roller pales sur une autre rampe.</v>
      </c>
    </row>
    <row r="22029">
      <c r="A22029" s="4" t="s">
        <v>27729</v>
      </c>
      <c r="B22029" s="4" t="s">
        <v>27733</v>
      </c>
      <c r="C22029" s="5" t="str">
        <f>IFERROR(__xludf.DUMMYFUNCTION("GOOGLETRANSLATE(B22029,""en"",""fr"")"),"Le jeune garçon est vu dans une autre tenue, interprétant des tours à la fin de sa rouleau.")</f>
        <v>Le jeune garçon est vu dans une autre tenue, interprétant des tours à la fin de sa rouleau.</v>
      </c>
    </row>
    <row r="22030">
      <c r="A22030" s="4" t="s">
        <v>27729</v>
      </c>
      <c r="B22030" s="4" t="s">
        <v>27734</v>
      </c>
      <c r="C22030" s="5" t="str">
        <f>IFERROR(__xludf.DUMMYFUNCTION("GOOGLETRANSLATE(B22030,""en"",""fr"")"),"Les lames à rouleaux de garçon sillonnent le style croix autour de certains cônes orange.")</f>
        <v>Les lames à rouleaux de garçon sillonnent le style croix autour de certains cônes orange.</v>
      </c>
    </row>
    <row r="22031">
      <c r="A22031" s="4" t="s">
        <v>27729</v>
      </c>
      <c r="B22031" s="4" t="s">
        <v>27735</v>
      </c>
      <c r="C22031" s="5" t="str">
        <f>IFERROR(__xludf.DUMMYFUNCTION("GOOGLETRANSLATE(B22031,""en"",""fr"")"),"Le garçon le refait à nouveau, cette fois en tissant dans et hors des cônes.")</f>
        <v>Le garçon le refait à nouveau, cette fois en tissant dans et hors des cônes.</v>
      </c>
    </row>
    <row r="22032">
      <c r="A22032" s="4" t="s">
        <v>27736</v>
      </c>
      <c r="B22032" s="4" t="s">
        <v>27737</v>
      </c>
      <c r="C22032" s="5" t="str">
        <f>IFERROR(__xludf.DUMMYFUNCTION("GOOGLETRANSLATE(B22032,""en"",""fr"")"),"Un homme utilise un outil de soudage sur un tas de métaux aléatoires à l'intérieur.")</f>
        <v>Un homme utilise un outil de soudage sur un tas de métaux aléatoires à l'intérieur.</v>
      </c>
    </row>
    <row r="22033">
      <c r="A22033" s="4" t="s">
        <v>27736</v>
      </c>
      <c r="B22033" s="4" t="s">
        <v>27738</v>
      </c>
      <c r="C22033" s="5" t="str">
        <f>IFERROR(__xludf.DUMMYFUNCTION("GOOGLETRANSLATE(B22033,""en"",""fr"")"),"Un autre homme tient un bouclier pour se protéger.")</f>
        <v>Un autre homme tient un bouclier pour se protéger.</v>
      </c>
    </row>
    <row r="22034">
      <c r="A22034" s="4" t="s">
        <v>27736</v>
      </c>
      <c r="B22034" s="4" t="s">
        <v>27739</v>
      </c>
      <c r="C22034" s="5" t="str">
        <f>IFERROR(__xludf.DUMMYFUNCTION("GOOGLETRANSLATE(B22034,""en"",""fr"")"),"L'homme tient un bouclier sur son visage alors qu'il soulève.")</f>
        <v>L'homme tient un bouclier sur son visage alors qu'il soulève.</v>
      </c>
    </row>
    <row r="22035">
      <c r="A22035" s="4" t="s">
        <v>27740</v>
      </c>
      <c r="B22035" s="6" t="s">
        <v>27741</v>
      </c>
      <c r="C22035" s="5" t="str">
        <f>IFERROR(__xludf.DUMMYFUNCTION("GOOGLETRANSLATE(B22035,""en"",""fr"")"),"Un homme montre comment utiliser un collier de chien spécial et un harnais sur un chien en utilisant à la fois un chien jouet en peluche et de vrais chiens.")</f>
        <v>Un homme montre comment utiliser un collier de chien spécial et un harnais sur un chien en utilisant à la fois un chien jouet en peluche et de vrais chiens.</v>
      </c>
    </row>
    <row r="22036">
      <c r="A22036" s="4" t="s">
        <v>27740</v>
      </c>
      <c r="B22036" s="6" t="s">
        <v>27742</v>
      </c>
      <c r="C22036" s="5" t="str">
        <f>IFERROR(__xludf.DUMMYFUNCTION("GOOGLETRANSLATE(B22036,""en"",""fr"")"),"Un homme debout devant une clôture en bois tient un chien en peluche avec un col / harnais rouge et tient le chien tout en parlant et en montrant des caractéristiques du harnais de col.")</f>
        <v>Un homme debout devant une clôture en bois tient un chien en peluche avec un col / harnais rouge et tient le chien tout en parlant et en montrant des caractéristiques du harnais de col.</v>
      </c>
    </row>
    <row r="22037">
      <c r="A22037" s="4" t="s">
        <v>27740</v>
      </c>
      <c r="B22037" s="6" t="s">
        <v>27743</v>
      </c>
      <c r="C22037" s="5" t="str">
        <f>IFERROR(__xludf.DUMMYFUNCTION("GOOGLETRANSLATE(B22037,""en"",""fr"")"),"Deux mains sont présentées en tenant le collier rouge par lui-même et en démontrant les caractéristiques du harnais de col avec des graphiques encore pour accompagner la vitrine à main.")</f>
        <v>Deux mains sont présentées en tenant le collier rouge par lui-même et en démontrant les caractéristiques du harnais de col avec des graphiques encore pour accompagner la vitrine à main.</v>
      </c>
    </row>
    <row r="22038">
      <c r="A22038" s="4" t="s">
        <v>27740</v>
      </c>
      <c r="B22038" s="6" t="s">
        <v>27744</v>
      </c>
      <c r="C22038" s="5" t="str">
        <f>IFERROR(__xludf.DUMMYFUNCTION("GOOGLETRANSLATE(B22038,""en"",""fr"")"),"L'homme se tient, maintenant, avec un vrai chien et montre comment mettre le harnais sur le vrai chien, puis recommence à démontrer avec le chien en peluche avant de finir enfin avec la carie, le vrai, le chien, le chien comme un Labrador Black Labrador R"&amp;"etriever se promène dans le dernier coup.")</f>
        <v>L'homme se tient, maintenant, avec un vrai chien et montre comment mettre le harnais sur le vrai chien, puis recommence à démontrer avec le chien en peluche avant de finir enfin avec la carie, le vrai, le chien, le chien comme un Labrador Black Labrador Retriever se promène dans le dernier coup.</v>
      </c>
    </row>
    <row r="22039">
      <c r="A22039" s="4" t="s">
        <v>27745</v>
      </c>
      <c r="B22039" s="4" t="s">
        <v>27746</v>
      </c>
      <c r="C22039" s="5" t="str">
        <f>IFERROR(__xludf.DUMMYFUNCTION("GOOGLETRANSLATE(B22039,""en"",""fr"")"),"Une caméra zoome dans une cour qui contient un Volkswagon et d'autres éléments divers.")</f>
        <v>Une caméra zoome dans une cour qui contient un Volkswagon et d'autres éléments divers.</v>
      </c>
    </row>
    <row r="22040">
      <c r="A22040" s="4" t="s">
        <v>27745</v>
      </c>
      <c r="B22040" s="4" t="s">
        <v>27747</v>
      </c>
      <c r="C22040" s="5" t="str">
        <f>IFERROR(__xludf.DUMMYFUNCTION("GOOGLETRANSLATE(B22040,""en"",""fr"")"),"Un homme est montré assemblé des skis à un rythme rapide.")</f>
        <v>Un homme est montré assemblé des skis à un rythme rapide.</v>
      </c>
    </row>
    <row r="22041">
      <c r="A22041" s="4" t="s">
        <v>27745</v>
      </c>
      <c r="B22041" s="4" t="s">
        <v>27748</v>
      </c>
      <c r="C22041" s="5" t="str">
        <f>IFERROR(__xludf.DUMMYFUNCTION("GOOGLETRANSLATE(B22041,""en"",""fr"")"),"L'homme finit les skis et laisse son chapeau sur les skis.")</f>
        <v>L'homme finit les skis et laisse son chapeau sur les skis.</v>
      </c>
    </row>
    <row r="22042">
      <c r="A22042" s="4" t="s">
        <v>27749</v>
      </c>
      <c r="B22042" s="4" t="s">
        <v>27750</v>
      </c>
      <c r="C22042" s="5" t="str">
        <f>IFERROR(__xludf.DUMMYFUNCTION("GOOGLETRANSLATE(B22042,""en"",""fr"")"),"Une vue sous-marine de l'eau bleue apparaît à l'extrémité profonde de la piscine.")</f>
        <v>Une vue sous-marine de l'eau bleue apparaît à l'extrémité profonde de la piscine.</v>
      </c>
    </row>
    <row r="22043">
      <c r="A22043" s="4" t="s">
        <v>27749</v>
      </c>
      <c r="B22043" s="4" t="s">
        <v>27751</v>
      </c>
      <c r="C22043" s="5" t="str">
        <f>IFERROR(__xludf.DUMMYFUNCTION("GOOGLETRANSLATE(B22043,""en"",""fr"")"),"Au ralenti, quelqu'un éclabousse dans l'eau.")</f>
        <v>Au ralenti, quelqu'un éclabousse dans l'eau.</v>
      </c>
    </row>
    <row r="22044">
      <c r="A22044" s="4" t="s">
        <v>27749</v>
      </c>
      <c r="B22044" s="4" t="s">
        <v>27752</v>
      </c>
      <c r="C22044" s="5" t="str">
        <f>IFERROR(__xludf.DUMMYFUNCTION("GOOGLETRANSLATE(B22044,""en"",""fr"")"),"Divers clips d'hommes semblent faire différentes plongées dans la piscine et de différentes hauteurs.")</f>
        <v>Divers clips d'hommes semblent faire différentes plongées dans la piscine et de différentes hauteurs.</v>
      </c>
    </row>
    <row r="22045">
      <c r="A22045" s="4" t="s">
        <v>27749</v>
      </c>
      <c r="B22045" s="6" t="s">
        <v>27753</v>
      </c>
      <c r="C22045" s="5" t="str">
        <f>IFERROR(__xludf.DUMMYFUNCTION("GOOGLETRANSLATE(B22045,""en"",""fr"")"),"Un homme entre dans les pieds d'eau en premier, atterrit au fond de la piscine profonde, puis tombe pour faire une poussée et ensuite se lève rapidement.")</f>
        <v>Un homme entre dans les pieds d'eau en premier, atterrit au fond de la piscine profonde, puis tombe pour faire une poussée et ensuite se lève rapidement.</v>
      </c>
    </row>
    <row r="22046">
      <c r="A22046" s="4" t="s">
        <v>27749</v>
      </c>
      <c r="B22046" s="6" t="s">
        <v>27754</v>
      </c>
      <c r="C22046" s="5" t="str">
        <f>IFERROR(__xludf.DUMMYFUNCTION("GOOGLETRANSLATE(B22046,""en"",""fr"")"),"Un gars saute sur la plongée, mais au lieu de plonger, il perd sa place et tombe dans l'eau.")</f>
        <v>Un gars saute sur la plongée, mais au lieu de plonger, il perd sa place et tombe dans l'eau.</v>
      </c>
    </row>
    <row r="22047">
      <c r="A22047" s="4" t="s">
        <v>27749</v>
      </c>
      <c r="B22047" s="4" t="s">
        <v>27755</v>
      </c>
      <c r="C22047" s="5" t="str">
        <f>IFERROR(__xludf.DUMMYFUNCTION("GOOGLETRANSLATE(B22047,""en"",""fr"")"),"Un garçon se tient sur un mur en appuyant sur un bouton et parle dans une interphone puis s'arrête et rit.")</f>
        <v>Un garçon se tient sur un mur en appuyant sur un bouton et parle dans une interphone puis s'arrête et rit.</v>
      </c>
    </row>
    <row r="22048">
      <c r="A22048" s="4" t="s">
        <v>27756</v>
      </c>
      <c r="B22048" s="4" t="s">
        <v>27757</v>
      </c>
      <c r="C22048" s="5" t="str">
        <f>IFERROR(__xludf.DUMMYFUNCTION("GOOGLETRANSLATE(B22048,""en"",""fr"")"),"Un homme et une femme dansent sur un toit d'un bâtiment dans une ville.")</f>
        <v>Un homme et une femme dansent sur un toit d'un bâtiment dans une ville.</v>
      </c>
    </row>
    <row r="22049">
      <c r="A22049" s="4" t="s">
        <v>27756</v>
      </c>
      <c r="B22049" s="4" t="s">
        <v>27758</v>
      </c>
      <c r="C22049" s="5" t="str">
        <f>IFERROR(__xludf.DUMMYFUNCTION("GOOGLETRANSLATE(B22049,""en"",""fr"")"),"Il soulève la femme en l'air.")</f>
        <v>Il soulève la femme en l'air.</v>
      </c>
    </row>
    <row r="22050">
      <c r="A22050" s="4" t="s">
        <v>27756</v>
      </c>
      <c r="B22050" s="4" t="s">
        <v>27759</v>
      </c>
      <c r="C22050" s="5" t="str">
        <f>IFERROR(__xludf.DUMMYFUNCTION("GOOGLETRANSLATE(B22050,""en"",""fr"")"),"La caméra se met jusqu'à un grand bâtiment en arrière-plan.")</f>
        <v>La caméra se met jusqu'à un grand bâtiment en arrière-plan.</v>
      </c>
    </row>
    <row r="22051">
      <c r="A22051" s="4" t="s">
        <v>27760</v>
      </c>
      <c r="B22051" s="4" t="s">
        <v>27761</v>
      </c>
      <c r="C22051" s="5" t="str">
        <f>IFERROR(__xludf.DUMMYFUNCTION("GOOGLETRANSLATE(B22051,""en"",""fr"")"),"Une introduction mène à un danseur de ventre effectuant une routine devant un miroir.")</f>
        <v>Une introduction mène à un danseur de ventre effectuant une routine devant un miroir.</v>
      </c>
    </row>
    <row r="22052">
      <c r="A22052" s="4" t="s">
        <v>27760</v>
      </c>
      <c r="B22052" s="6" t="s">
        <v>27762</v>
      </c>
      <c r="C22052" s="5" t="str">
        <f>IFERROR(__xludf.DUMMYFUNCTION("GOOGLETRANSLATE(B22052,""en"",""fr"")"),"Elle continue de danser tout en se déplaçant tout autour du sol en fouettant ses cheveux et en saisissant sa jupe.")</f>
        <v>Elle continue de danser tout en se déplaçant tout autour du sol en fouettant ses cheveux et en saisissant sa jupe.</v>
      </c>
    </row>
    <row r="22053">
      <c r="A22053" s="4" t="s">
        <v>27760</v>
      </c>
      <c r="B22053" s="4" t="s">
        <v>27763</v>
      </c>
      <c r="C22053" s="5" t="str">
        <f>IFERROR(__xludf.DUMMYFUNCTION("GOOGLETRANSLATE(B22053,""en"",""fr"")"),"Elle finit en s'asseyant par terre et en regardant dans le miroir.")</f>
        <v>Elle finit en s'asseyant par terre et en regardant dans le miroir.</v>
      </c>
    </row>
    <row r="22054">
      <c r="A22054" s="4" t="s">
        <v>27764</v>
      </c>
      <c r="B22054" s="4" t="s">
        <v>27765</v>
      </c>
      <c r="C22054" s="5" t="str">
        <f>IFERROR(__xludf.DUMMYFUNCTION("GOOGLETRANSLATE(B22054,""en"",""fr"")"),"Une femme est vue parler à la caméra tout en tenant un accordéon.")</f>
        <v>Une femme est vue parler à la caméra tout en tenant un accordéon.</v>
      </c>
    </row>
    <row r="22055">
      <c r="A22055" s="4" t="s">
        <v>27764</v>
      </c>
      <c r="B22055" s="4" t="s">
        <v>27766</v>
      </c>
      <c r="C22055" s="5" t="str">
        <f>IFERROR(__xludf.DUMMYFUNCTION("GOOGLETRANSLATE(B22055,""en"",""fr"")"),"Elle commence à déplacer lentement l'instrument tout en regardant vers la caméra.")</f>
        <v>Elle commence à déplacer lentement l'instrument tout en regardant vers la caméra.</v>
      </c>
    </row>
    <row r="22056">
      <c r="A22056" s="4" t="s">
        <v>27764</v>
      </c>
      <c r="B22056" s="4" t="s">
        <v>27767</v>
      </c>
      <c r="C22056" s="5" t="str">
        <f>IFERROR(__xludf.DUMMYFUNCTION("GOOGLETRANSLATE(B22056,""en"",""fr"")"),"Elle continue de jouer de l'accordéon tout en parlant et en détournant les yeux.")</f>
        <v>Elle continue de jouer de l'accordéon tout en parlant et en détournant les yeux.</v>
      </c>
    </row>
    <row r="22057">
      <c r="A22057" s="4" t="s">
        <v>27768</v>
      </c>
      <c r="B22057" s="4" t="s">
        <v>27769</v>
      </c>
      <c r="C22057" s="5" t="str">
        <f>IFERROR(__xludf.DUMMYFUNCTION("GOOGLETRANSLATE(B22057,""en"",""fr"")"),"Un jeune adolescent se tient à l'extérieur de la maison avec une boule de tennis et une raquette.")</f>
        <v>Un jeune adolescent se tient à l'extérieur de la maison avec une boule de tennis et une raquette.</v>
      </c>
    </row>
    <row r="22058">
      <c r="A22058" s="4" t="s">
        <v>27768</v>
      </c>
      <c r="B22058" s="4" t="s">
        <v>27770</v>
      </c>
      <c r="C22058" s="5" t="str">
        <f>IFERROR(__xludf.DUMMYFUNCTION("GOOGLETRANSLATE(B22058,""en"",""fr"")"),"Il se rend au court de tennis et commence à parler du jeu du tennis.")</f>
        <v>Il se rend au court de tennis et commence à parler du jeu du tennis.</v>
      </c>
    </row>
    <row r="22059">
      <c r="A22059" s="4" t="s">
        <v>27768</v>
      </c>
      <c r="B22059" s="6" t="s">
        <v>27771</v>
      </c>
      <c r="C22059" s="5" t="str">
        <f>IFERROR(__xludf.DUMMYFUNCTION("GOOGLETRANSLATE(B22059,""en"",""fr"")"),"Il fait quelques étirements un peu mais puis se prépare à frapper le ballon de l'autre côté du terrain.")</f>
        <v>Il fait quelques étirements un peu mais puis se prépare à frapper le ballon de l'autre côté du terrain.</v>
      </c>
    </row>
    <row r="22060">
      <c r="A22060" s="4" t="s">
        <v>27768</v>
      </c>
      <c r="B22060" s="4" t="s">
        <v>27772</v>
      </c>
      <c r="C22060" s="5" t="str">
        <f>IFERROR(__xludf.DUMMYFUNCTION("GOOGLETRANSLATE(B22060,""en"",""fr"")"),"Il en parle sur le terrain, puis il part pour rentrer chez lui.")</f>
        <v>Il en parle sur le terrain, puis il part pour rentrer chez lui.</v>
      </c>
    </row>
    <row r="22061">
      <c r="A22061" s="4" t="s">
        <v>27773</v>
      </c>
      <c r="B22061" s="4" t="s">
        <v>27774</v>
      </c>
      <c r="C22061" s="5" t="str">
        <f>IFERROR(__xludf.DUMMYFUNCTION("GOOGLETRANSLATE(B22061,""en"",""fr"")"),"Une scène de dunes de sable menant à un littoral de plage.")</f>
        <v>Une scène de dunes de sable menant à un littoral de plage.</v>
      </c>
    </row>
    <row r="22062">
      <c r="A22062" s="4" t="s">
        <v>27773</v>
      </c>
      <c r="B22062" s="4" t="s">
        <v>27775</v>
      </c>
      <c r="C22062" s="5" t="str">
        <f>IFERROR(__xludf.DUMMYFUNCTION("GOOGLETRANSLATE(B22062,""en"",""fr"")"),"Une fille en chemisier bleu marche et pose dans le sable.")</f>
        <v>Une fille en chemisier bleu marche et pose dans le sable.</v>
      </c>
    </row>
    <row r="22063">
      <c r="A22063" s="4" t="s">
        <v>27773</v>
      </c>
      <c r="B22063" s="4" t="s">
        <v>27776</v>
      </c>
      <c r="C22063" s="5" t="str">
        <f>IFERROR(__xludf.DUMMYFUNCTION("GOOGLETRANSLATE(B22063,""en"",""fr"")"),"Un homme portant un chapeau de safari mène un groupe de chameaux avec des coureurs dans un seul fichier.")</f>
        <v>Un homme portant un chapeau de safari mène un groupe de chameaux avec des coureurs dans un seul fichier.</v>
      </c>
    </row>
    <row r="22064">
      <c r="A22064" s="4" t="s">
        <v>27773</v>
      </c>
      <c r="B22064" s="4" t="s">
        <v>27777</v>
      </c>
      <c r="C22064" s="5" t="str">
        <f>IFERROR(__xludf.DUMMYFUNCTION("GOOGLETRANSLATE(B22064,""en"",""fr"")"),"La caméra pans un gros plan des chameaux allongés dans le sable avec leurs selles de conduite.")</f>
        <v>La caméra pans un gros plan des chameaux allongés dans le sable avec leurs selles de conduite.</v>
      </c>
    </row>
    <row r="22065">
      <c r="A22065" s="4" t="s">
        <v>27773</v>
      </c>
      <c r="B22065" s="4" t="s">
        <v>27778</v>
      </c>
      <c r="C22065" s="5" t="str">
        <f>IFERROR(__xludf.DUMMYFUNCTION("GOOGLETRANSLATE(B22065,""en"",""fr"")"),"Un cavalier capture la vue des dunes de sable menant à l'océan.")</f>
        <v>Un cavalier capture la vue des dunes de sable menant à l'océan.</v>
      </c>
    </row>
    <row r="22066">
      <c r="A22066" s="4" t="s">
        <v>27773</v>
      </c>
      <c r="B22066" s="4" t="s">
        <v>27779</v>
      </c>
      <c r="C22066" s="5" t="str">
        <f>IFERROR(__xludf.DUMMYFUNCTION("GOOGLETRANSLATE(B22066,""en"",""fr"")"),"La caravane de chameau arrive dans un camp sur la plage.")</f>
        <v>La caravane de chameau arrive dans un camp sur la plage.</v>
      </c>
    </row>
    <row r="22067">
      <c r="A22067" s="4" t="s">
        <v>27780</v>
      </c>
      <c r="B22067" s="4" t="s">
        <v>27781</v>
      </c>
      <c r="C22067" s="5" t="str">
        <f>IFERROR(__xludf.DUMMYFUNCTION("GOOGLETRANSLATE(B22067,""en"",""fr"")"),"Un garçon pulvérise la crème dans sa main d'une boîte dans sa salle de bain.")</f>
        <v>Un garçon pulvérise la crème dans sa main d'une boîte dans sa salle de bain.</v>
      </c>
    </row>
    <row r="22068">
      <c r="A22068" s="4" t="s">
        <v>27780</v>
      </c>
      <c r="B22068" s="4" t="s">
        <v>27782</v>
      </c>
      <c r="C22068" s="5" t="str">
        <f>IFERROR(__xludf.DUMMYFUNCTION("GOOGLETRANSLATE(B22068,""en"",""fr"")"),"Le garçon applique la crème à raser sur son visage.")</f>
        <v>Le garçon applique la crème à raser sur son visage.</v>
      </c>
    </row>
    <row r="22069">
      <c r="A22069" s="4" t="s">
        <v>27780</v>
      </c>
      <c r="B22069" s="4" t="s">
        <v>27783</v>
      </c>
      <c r="C22069" s="5" t="str">
        <f>IFERROR(__xludf.DUMMYFUNCTION("GOOGLETRANSLATE(B22069,""en"",""fr"")"),"Un homme a un rasage de la crème sur son visage et lit une étiquette sur une boîte sous pression et en discute.")</f>
        <v>Un homme a un rasage de la crème sur son visage et lit une étiquette sur une boîte sous pression et en discute.</v>
      </c>
    </row>
    <row r="22070">
      <c r="A22070" s="4" t="s">
        <v>27780</v>
      </c>
      <c r="B22070" s="4" t="s">
        <v>27784</v>
      </c>
      <c r="C22070" s="5" t="str">
        <f>IFERROR(__xludf.DUMMYFUNCTION("GOOGLETRANSLATE(B22070,""en"",""fr"")"),"Un homme frotte son visage lisse.")</f>
        <v>Un homme frotte son visage lisse.</v>
      </c>
    </row>
    <row r="22071">
      <c r="A22071" s="4" t="s">
        <v>27780</v>
      </c>
      <c r="B22071" s="4" t="s">
        <v>27785</v>
      </c>
      <c r="C22071" s="5" t="str">
        <f>IFERROR(__xludf.DUMMYFUNCTION("GOOGLETRANSLATE(B22071,""en"",""fr"")"),"L'homme tient une boîte d'huile métallique.")</f>
        <v>L'homme tient une boîte d'huile métallique.</v>
      </c>
    </row>
    <row r="22072">
      <c r="A22072" s="4" t="s">
        <v>27780</v>
      </c>
      <c r="B22072" s="4" t="s">
        <v>27786</v>
      </c>
      <c r="C22072" s="5" t="str">
        <f>IFERROR(__xludf.DUMMYFUNCTION("GOOGLETRANSLATE(B22072,""en"",""fr"")"),"L'homme applique un compte-gouttes de médicaments avec un liquide à un rasoir et montre comment l'utiliser.")</f>
        <v>L'homme applique un compte-gouttes de médicaments avec un liquide à un rasoir et montre comment l'utiliser.</v>
      </c>
    </row>
    <row r="22073">
      <c r="A22073" s="4" t="s">
        <v>27787</v>
      </c>
      <c r="B22073" s="6" t="s">
        <v>27788</v>
      </c>
      <c r="C22073" s="5" t="str">
        <f>IFERROR(__xludf.DUMMYFUNCTION("GOOGLETRANSLATE(B22073,""en"",""fr"")"),"Une personne est vue mettre ses mains dans un évier plein d'eau sale et presser son visage contre l'eau.")</f>
        <v>Une personne est vue mettre ses mains dans un évier plein d'eau sale et presser son visage contre l'eau.</v>
      </c>
    </row>
    <row r="22074">
      <c r="A22074" s="4" t="s">
        <v>27787</v>
      </c>
      <c r="B22074" s="4" t="s">
        <v>27789</v>
      </c>
      <c r="C22074" s="5" t="str">
        <f>IFERROR(__xludf.DUMMYFUNCTION("GOOGLETRANSLATE(B22074,""en"",""fr"")"),"L'homme continue d'essuyer la boue de son visage alors que la boue coule dans l'évier.")</f>
        <v>L'homme continue d'essuyer la boue de son visage alors que la boue coule dans l'évier.</v>
      </c>
    </row>
    <row r="22075">
      <c r="A22075" s="4" t="s">
        <v>27790</v>
      </c>
      <c r="B22075" s="4" t="s">
        <v>27791</v>
      </c>
      <c r="C22075" s="5" t="str">
        <f>IFERROR(__xludf.DUMMYFUNCTION("GOOGLETRANSLATE(B22075,""en"",""fr"")"),"Elmo de Sesame Street présente comment brosser les dents avec le chanteur Bruno Mars.")</f>
        <v>Elmo de Sesame Street présente comment brosser les dents avec le chanteur Bruno Mars.</v>
      </c>
    </row>
    <row r="22076">
      <c r="A22076" s="4" t="s">
        <v>27790</v>
      </c>
      <c r="B22076" s="6" t="s">
        <v>27792</v>
      </c>
      <c r="C22076" s="5" t="str">
        <f>IFERROR(__xludf.DUMMYFUNCTION("GOOGLETRANSLATE(B22076,""en"",""fr"")"),"Elmo sort une brosse à dents et commence à danser tandis que Bruno Mars semble se brosser les dents sur le miroir.")</f>
        <v>Elmo sort une brosse à dents et commence à danser tandis que Bruno Mars semble se brosser les dents sur le miroir.</v>
      </c>
    </row>
    <row r="22077">
      <c r="A22077" s="4" t="s">
        <v>27790</v>
      </c>
      <c r="B22077" s="6" t="s">
        <v>27793</v>
      </c>
      <c r="C22077" s="5" t="str">
        <f>IFERROR(__xludf.DUMMYFUNCTION("GOOGLETRANSLATE(B22077,""en"",""fr"")"),"Elmo chante alors que Bruno Mars continue de se brosser les dents et les lumières multicolores sur le scintillement du miroir.")</f>
        <v>Elmo chante alors que Bruno Mars continue de se brosser les dents et les lumières multicolores sur le scintillement du miroir.</v>
      </c>
    </row>
    <row r="22078">
      <c r="A22078" s="4" t="s">
        <v>27790</v>
      </c>
      <c r="B22078" s="6" t="s">
        <v>27794</v>
      </c>
      <c r="C22078" s="5" t="str">
        <f>IFERROR(__xludf.DUMMYFUNCTION("GOOGLETRANSLATE(B22078,""en"",""fr"")"),"Elmo et Bruno Mars continuent de danser alors qu'ils enseignent aux petits enfants l'importance de brosser les dents.")</f>
        <v>Elmo et Bruno Mars continuent de danser alors qu'ils enseignent aux petits enfants l'importance de brosser les dents.</v>
      </c>
    </row>
    <row r="22079">
      <c r="A22079" s="4" t="s">
        <v>27795</v>
      </c>
      <c r="B22079" s="6" t="s">
        <v>27796</v>
      </c>
      <c r="C22079" s="5" t="str">
        <f>IFERROR(__xludf.DUMMYFUNCTION("GOOGLETRANSLATE(B22079,""en"",""fr"")"),"Un petit enfant est vu debout avec ses mains sur ses hanches et entre sauter dans un contour Scotch.")</f>
        <v>Un petit enfant est vu debout avec ses mains sur ses hanches et entre sauter dans un contour Scotch.</v>
      </c>
    </row>
    <row r="22080">
      <c r="A22080" s="4" t="s">
        <v>27795</v>
      </c>
      <c r="B22080" s="4" t="s">
        <v>27797</v>
      </c>
      <c r="C22080" s="5" t="str">
        <f>IFERROR(__xludf.DUMMYFUNCTION("GOOGLETRANSLATE(B22080,""en"",""fr"")"),"Elle saute tout le long et parle à la caméra à la fin.")</f>
        <v>Elle saute tout le long et parle à la caméra à la fin.</v>
      </c>
    </row>
    <row r="22081">
      <c r="A22081" s="4" t="s">
        <v>27798</v>
      </c>
      <c r="B22081" s="4" t="s">
        <v>27799</v>
      </c>
      <c r="C22081" s="5" t="str">
        <f>IFERROR(__xludf.DUMMYFUNCTION("GOOGLETRANSLATE(B22081,""en"",""fr"")"),"Deux équipes sur les chevaux roulent sur un terrain.")</f>
        <v>Deux équipes sur les chevaux roulent sur un terrain.</v>
      </c>
    </row>
    <row r="22082">
      <c r="A22082" s="4" t="s">
        <v>27798</v>
      </c>
      <c r="B22082" s="4" t="s">
        <v>27800</v>
      </c>
      <c r="C22082" s="5" t="str">
        <f>IFERROR(__xludf.DUMMYFUNCTION("GOOGLETRANSLATE(B22082,""en"",""fr"")"),"À l'aide de chauves-souris de cricket, ils ont frappé une balle d'avant en arrière.")</f>
        <v>À l'aide de chauves-souris de cricket, ils ont frappé une balle d'avant en arrière.</v>
      </c>
    </row>
    <row r="22083">
      <c r="A22083" s="4" t="s">
        <v>27798</v>
      </c>
      <c r="B22083" s="4" t="s">
        <v>27801</v>
      </c>
      <c r="C22083" s="5" t="str">
        <f>IFERROR(__xludf.DUMMYFUNCTION("GOOGLETRANSLATE(B22083,""en"",""fr"")"),"Une équipe fait enfin un objectif.")</f>
        <v>Une équipe fait enfin un objectif.</v>
      </c>
    </row>
    <row r="22084">
      <c r="A22084" s="4" t="s">
        <v>27798</v>
      </c>
      <c r="B22084" s="4" t="s">
        <v>27802</v>
      </c>
      <c r="C22084" s="5" t="str">
        <f>IFERROR(__xludf.DUMMYFUNCTION("GOOGLETRANSLATE(B22084,""en"",""fr"")"),"L'équipe de notation roule ensuite dans la victoire.")</f>
        <v>L'équipe de notation roule ensuite dans la victoire.</v>
      </c>
    </row>
    <row r="22085">
      <c r="A22085" s="4" t="s">
        <v>27803</v>
      </c>
      <c r="B22085" s="4" t="s">
        <v>27804</v>
      </c>
      <c r="C22085" s="5" t="str">
        <f>IFERROR(__xludf.DUMMYFUNCTION("GOOGLETRANSLATE(B22085,""en"",""fr"")"),"Un homme indique certains produits pour l'utilisation de skis à épilation.")</f>
        <v>Un homme indique certains produits pour l'utilisation de skis à épilation.</v>
      </c>
    </row>
    <row r="22086">
      <c r="A22086" s="4" t="s">
        <v>27803</v>
      </c>
      <c r="B22086" s="4" t="s">
        <v>27805</v>
      </c>
      <c r="C22086" s="5" t="str">
        <f>IFERROR(__xludf.DUMMYFUNCTION("GOOGLETRANSLATE(B22086,""en"",""fr"")"),"L'homme nettoie le ski avec une serviette.")</f>
        <v>L'homme nettoie le ski avec une serviette.</v>
      </c>
    </row>
    <row r="22087">
      <c r="A22087" s="4" t="s">
        <v>27803</v>
      </c>
      <c r="B22087" s="6" t="s">
        <v>27806</v>
      </c>
      <c r="C22087" s="5" t="str">
        <f>IFERROR(__xludf.DUMMYFUNCTION("GOOGLETRANSLATE(B22087,""en"",""fr"")"),"L'homme attrape l'un des produits et le frotte partout sur le ski, laissant le produit s'asseoir là pendant un certain temps.")</f>
        <v>L'homme attrape l'un des produits et le frotte partout sur le ski, laissant le produit s'asseoir là pendant un certain temps.</v>
      </c>
    </row>
    <row r="22088">
      <c r="A22088" s="4" t="s">
        <v>27803</v>
      </c>
      <c r="B22088" s="4" t="s">
        <v>27807</v>
      </c>
      <c r="C22088" s="5" t="str">
        <f>IFERROR(__xludf.DUMMYFUNCTION("GOOGLETRANSLATE(B22088,""en"",""fr"")"),"Après un certain temps, l'homme attrape un autre produit et le frotte partout sur le ski.")</f>
        <v>Après un certain temps, l'homme attrape un autre produit et le frotte partout sur le ski.</v>
      </c>
    </row>
    <row r="22089">
      <c r="A22089" s="4" t="s">
        <v>27808</v>
      </c>
      <c r="B22089" s="4" t="s">
        <v>27809</v>
      </c>
      <c r="C22089" s="5" t="str">
        <f>IFERROR(__xludf.DUMMYFUNCTION("GOOGLETRANSLATE(B22089,""en"",""fr"")"),"Une femme est une tige dans une base.")</f>
        <v>Une femme est une tige dans une base.</v>
      </c>
    </row>
    <row r="22090">
      <c r="A22090" s="4" t="s">
        <v>27808</v>
      </c>
      <c r="B22090" s="4" t="s">
        <v>27810</v>
      </c>
      <c r="C22090" s="5" t="str">
        <f>IFERROR(__xludf.DUMMYFUNCTION("GOOGLETRANSLATE(B22090,""en"",""fr"")"),"Elle met ensuite une jupe sur la tige sur le sol.")</f>
        <v>Elle met ensuite une jupe sur la tige sur le sol.</v>
      </c>
    </row>
    <row r="22091">
      <c r="A22091" s="4" t="s">
        <v>27808</v>
      </c>
      <c r="B22091" s="4" t="s">
        <v>27811</v>
      </c>
      <c r="C22091" s="5" t="str">
        <f>IFERROR(__xludf.DUMMYFUNCTION("GOOGLETRANSLATE(B22091,""en"",""fr"")"),"Elle met un faux arbre de Noël sur la tige.")</f>
        <v>Elle met un faux arbre de Noël sur la tige.</v>
      </c>
    </row>
    <row r="22092">
      <c r="A22092" s="4" t="s">
        <v>27808</v>
      </c>
      <c r="B22092" s="4" t="s">
        <v>27812</v>
      </c>
      <c r="C22092" s="5" t="str">
        <f>IFERROR(__xludf.DUMMYFUNCTION("GOOGLETRANSLATE(B22092,""en"",""fr"")"),"Un gros plan de l'arc de l'arbre de Noël est montré.")</f>
        <v>Un gros plan de l'arc de l'arbre de Noël est montré.</v>
      </c>
    </row>
    <row r="22093">
      <c r="A22093" s="4" t="s">
        <v>27808</v>
      </c>
      <c r="B22093" s="4" t="s">
        <v>27813</v>
      </c>
      <c r="C22093" s="5" t="str">
        <f>IFERROR(__xludf.DUMMYFUNCTION("GOOGLETRANSLATE(B22093,""en"",""fr"")"),"Elle répare l'arc sur l'arbre.")</f>
        <v>Elle répare l'arc sur l'arbre.</v>
      </c>
    </row>
    <row r="22094">
      <c r="A22094" s="4" t="s">
        <v>27814</v>
      </c>
      <c r="B22094" s="4" t="s">
        <v>27815</v>
      </c>
      <c r="C22094" s="5" t="str">
        <f>IFERROR(__xludf.DUMMYFUNCTION("GOOGLETRANSLATE(B22094,""en"",""fr"")"),"Un mur blanc à l'intérieur d'une pièce est montré.")</f>
        <v>Un mur blanc à l'intérieur d'une pièce est montré.</v>
      </c>
    </row>
    <row r="22095">
      <c r="A22095" s="4" t="s">
        <v>27814</v>
      </c>
      <c r="B22095" s="4" t="s">
        <v>27816</v>
      </c>
      <c r="C22095" s="5" t="str">
        <f>IFERROR(__xludf.DUMMYFUNCTION("GOOGLETRANSLATE(B22095,""en"",""fr"")"),"Une main tenant un match éclairé allume une bougie.")</f>
        <v>Une main tenant un match éclairé allume une bougie.</v>
      </c>
    </row>
    <row r="22096">
      <c r="A22096" s="4" t="s">
        <v>27814</v>
      </c>
      <c r="B22096" s="4" t="s">
        <v>27817</v>
      </c>
      <c r="C22096" s="5" t="str">
        <f>IFERROR(__xludf.DUMMYFUNCTION("GOOGLETRANSLATE(B22096,""en"",""fr"")"),"Un homme met la bougie à côté d'un évier et commence à laver la vaisselle.")</f>
        <v>Un homme met la bougie à côté d'un évier et commence à laver la vaisselle.</v>
      </c>
    </row>
    <row r="22097">
      <c r="A22097" s="4" t="s">
        <v>27818</v>
      </c>
      <c r="B22097" s="4" t="s">
        <v>27819</v>
      </c>
      <c r="C22097" s="5" t="str">
        <f>IFERROR(__xludf.DUMMYFUNCTION("GOOGLETRANSLATE(B22097,""en"",""fr"")"),"Un gros plan de personnes qui balaie des personnes est montrée suivie par des gens qui se promènent dans une arène.")</f>
        <v>Un gros plan de personnes qui balaie des personnes est montrée suivie par des gens qui se promènent dans une arène.</v>
      </c>
    </row>
    <row r="22098">
      <c r="A22098" s="4" t="s">
        <v>27818</v>
      </c>
      <c r="B22098" s="4" t="s">
        <v>27820</v>
      </c>
      <c r="C22098" s="5" t="str">
        <f>IFERROR(__xludf.DUMMYFUNCTION("GOOGLETRANSLATE(B22098,""en"",""fr"")"),"Deux lutteurs se penchent puis se penchent et se promènent un peu autour de la fosse suivi par la lutte.")</f>
        <v>Deux lutteurs se penchent puis se penchent et se promènent un peu autour de la fosse suivi par la lutte.</v>
      </c>
    </row>
    <row r="22099">
      <c r="A22099" s="4" t="s">
        <v>27818</v>
      </c>
      <c r="B22099" s="4" t="s">
        <v>27821</v>
      </c>
      <c r="C22099" s="5" t="str">
        <f>IFERROR(__xludf.DUMMYFUNCTION("GOOGLETRANSLATE(B22099,""en"",""fr"")"),"Un homme jette l'autre et mène à des clips de la ville.")</f>
        <v>Un homme jette l'autre et mène à des clips de la ville.</v>
      </c>
    </row>
    <row r="22100">
      <c r="A22100" s="4" t="s">
        <v>27822</v>
      </c>
      <c r="B22100" s="6" t="s">
        <v>27823</v>
      </c>
      <c r="C22100" s="5" t="str">
        <f>IFERROR(__xludf.DUMMYFUNCTION("GOOGLETRANSLATE(B22100,""en"",""fr"")"),"Une personne est vue en train de monter un traîneau sur une colline, suivie de plusieurs personnes grimpant sur la colline et redescendez à nouveau.")</f>
        <v>Une personne est vue en train de monter un traîneau sur une colline, suivie de plusieurs personnes grimpant sur la colline et redescendez à nouveau.</v>
      </c>
    </row>
    <row r="22101">
      <c r="A22101" s="4" t="s">
        <v>27822</v>
      </c>
      <c r="B22101" s="6" t="s">
        <v>27824</v>
      </c>
      <c r="C22101" s="5" t="str">
        <f>IFERROR(__xludf.DUMMYFUNCTION("GOOGLETRANSLATE(B22101,""en"",""fr"")"),"Un adulte et un enfant descendent alors que la personne sort l'enfant du traîneau, suivi de plus de personnes qui descendent et realaient.")</f>
        <v>Un adulte et un enfant descendent alors que la personne sort l'enfant du traîneau, suivi de plus de personnes qui descendent et realaient.</v>
      </c>
    </row>
    <row r="22102">
      <c r="A22102" s="4" t="s">
        <v>27825</v>
      </c>
      <c r="B22102" s="4" t="s">
        <v>27826</v>
      </c>
      <c r="C22102" s="5" t="str">
        <f>IFERROR(__xludf.DUMMYFUNCTION("GOOGLETRANSLATE(B22102,""en"",""fr"")"),"Un tout-petit peint ses lèvres avec un rouge à lèvres.")</f>
        <v>Un tout-petit peint ses lèvres avec un rouge à lèvres.</v>
      </c>
    </row>
    <row r="22103">
      <c r="A22103" s="4" t="s">
        <v>27825</v>
      </c>
      <c r="B22103" s="4" t="s">
        <v>27827</v>
      </c>
      <c r="C22103" s="5" t="str">
        <f>IFERROR(__xludf.DUMMYFUNCTION("GOOGLETRANSLATE(B22103,""en"",""fr"")"),"Ensuite, le tout-petit s'applique au maquillage sur ses paupières sur un miroir bleu.")</f>
        <v>Ensuite, le tout-petit s'applique au maquillage sur ses paupières sur un miroir bleu.</v>
      </c>
    </row>
    <row r="22104">
      <c r="A22104" s="4" t="s">
        <v>27825</v>
      </c>
      <c r="B22104" s="4" t="s">
        <v>27828</v>
      </c>
      <c r="C22104" s="5" t="str">
        <f>IFERROR(__xludf.DUMMYFUNCTION("GOOGLETRANSLATE(B22104,""en"",""fr"")"),"Ensuite, le Toddle prend plus de maquillage d'une palette pour continuer à s'appliquer sur ses paupières.")</f>
        <v>Ensuite, le Toddle prend plus de maquillage d'une palette pour continuer à s'appliquer sur ses paupières.</v>
      </c>
    </row>
    <row r="22105">
      <c r="A22105" s="4" t="s">
        <v>27829</v>
      </c>
      <c r="B22105" s="4" t="s">
        <v>27830</v>
      </c>
      <c r="C22105" s="5" t="str">
        <f>IFERROR(__xludf.DUMMYFUNCTION("GOOGLETRANSLATE(B22105,""en"",""fr"")"),"Un homme traverse une ligne de mou.")</f>
        <v>Un homme traverse une ligne de mou.</v>
      </c>
    </row>
    <row r="22106">
      <c r="A22106" s="4" t="s">
        <v>27829</v>
      </c>
      <c r="B22106" s="4" t="s">
        <v>27831</v>
      </c>
      <c r="C22106" s="5" t="str">
        <f>IFERROR(__xludf.DUMMYFUNCTION("GOOGLETRANSLATE(B22106,""en"",""fr"")"),"Il met quelque chose dans le coffre d'une voiture.")</f>
        <v>Il met quelque chose dans le coffre d'une voiture.</v>
      </c>
    </row>
    <row r="22107">
      <c r="A22107" s="4" t="s">
        <v>27829</v>
      </c>
      <c r="B22107" s="4" t="s">
        <v>27832</v>
      </c>
      <c r="C22107" s="5" t="str">
        <f>IFERROR(__xludf.DUMMYFUNCTION("GOOGLETRANSLATE(B22107,""en"",""fr"")"),"Il traverse la ligne lâche de l'autre côté.")</f>
        <v>Il traverse la ligne lâche de l'autre côté.</v>
      </c>
    </row>
    <row r="22108">
      <c r="A22108" s="4" t="s">
        <v>27833</v>
      </c>
      <c r="B22108" s="4" t="s">
        <v>27834</v>
      </c>
      <c r="C22108" s="5" t="str">
        <f>IFERROR(__xludf.DUMMYFUNCTION("GOOGLETRANSLATE(B22108,""en"",""fr"")"),"Un gros plan d'une tondeuse à gazon est vu avec des chaussures d'une personne qui marchaient derrière.")</f>
        <v>Un gros plan d'une tondeuse à gazon est vu avec des chaussures d'une personne qui marchaient derrière.</v>
      </c>
    </row>
    <row r="22109">
      <c r="A22109" s="4" t="s">
        <v>27833</v>
      </c>
      <c r="B22109" s="4" t="s">
        <v>27835</v>
      </c>
      <c r="C22109" s="5" t="str">
        <f>IFERROR(__xludf.DUMMYFUNCTION("GOOGLETRANSLATE(B22109,""en"",""fr"")"),"Une caméra se fait passer dans un trou de terre et montre un homme le plaçant à côté d'un arbre.")</f>
        <v>Une caméra se fait passer dans un trou de terre et montre un homme le plaçant à côté d'un arbre.</v>
      </c>
    </row>
    <row r="22110">
      <c r="A22110" s="4" t="s">
        <v>27833</v>
      </c>
      <c r="B22110" s="4" t="s">
        <v>27836</v>
      </c>
      <c r="C22110" s="5" t="str">
        <f>IFERROR(__xludf.DUMMYFUNCTION("GOOGLETRANSLATE(B22110,""en"",""fr"")"),"La caméra se déroule autour de l'arbre et montre l'homme qui vérifie la saleté.")</f>
        <v>La caméra se déroule autour de l'arbre et montre l'homme qui vérifie la saleté.</v>
      </c>
    </row>
    <row r="22111">
      <c r="A22111" s="4" t="s">
        <v>27837</v>
      </c>
      <c r="B22111" s="4" t="s">
        <v>27838</v>
      </c>
      <c r="C22111" s="5" t="str">
        <f>IFERROR(__xludf.DUMMYFUNCTION("GOOGLETRANSLATE(B22111,""en"",""fr"")"),"Un homme assis dans un kayak se poussant autour de l'eau tourbillonnante en utilisant ses pagaies pour obtenir du soutien.")</f>
        <v>Un homme assis dans un kayak se poussant autour de l'eau tourbillonnante en utilisant ses pagaies pour obtenir du soutien.</v>
      </c>
    </row>
    <row r="22112">
      <c r="A22112" s="4" t="s">
        <v>27837</v>
      </c>
      <c r="B22112" s="4" t="s">
        <v>27839</v>
      </c>
      <c r="C22112" s="5" t="str">
        <f>IFERROR(__xludf.DUMMYFUNCTION("GOOGLETRANSLATE(B22112,""en"",""fr"")"),"L'homme se retourne plusieurs fois dans l'eau qui tente de se libérer et il finit par le faire.")</f>
        <v>L'homme se retourne plusieurs fois dans l'eau qui tente de se libérer et il finit par le faire.</v>
      </c>
    </row>
    <row r="22113">
      <c r="A22113" s="4" t="s">
        <v>27840</v>
      </c>
      <c r="B22113" s="6" t="s">
        <v>27841</v>
      </c>
      <c r="C22113" s="5" t="str">
        <f>IFERROR(__xludf.DUMMYFUNCTION("GOOGLETRANSLATE(B22113,""en"",""fr"")"),"Un homme parle dans la caméra, tandis qu'un autre homme avec un foulard est derrière lui, puis ils sont allés dans le bâtiment et se sont assis sur deux canapés, une femme est venue leur donner de l'eau.")</f>
        <v>Un homme parle dans la caméra, tandis qu'un autre homme avec un foulard est derrière lui, puis ils sont allés dans le bâtiment et se sont assis sur deux canapés, une femme est venue leur donner de l'eau.</v>
      </c>
    </row>
    <row r="22114">
      <c r="A22114" s="4" t="s">
        <v>27840</v>
      </c>
      <c r="B22114" s="6" t="s">
        <v>27842</v>
      </c>
      <c r="C22114" s="5" t="str">
        <f>IFERROR(__xludf.DUMMYFUNCTION("GOOGLETRANSLATE(B22114,""en"",""fr"")"),"L'homme en pull a vérifié son téléphone puis a deux raquettes dans le sac, en a remis un au gars, le gars debout a rebondi le ballon sur la raquette.")</f>
        <v>L'homme en pull a vérifié son téléphone puis a deux raquettes dans le sac, en a remis un au gars, le gars debout a rebondi le ballon sur la raquette.</v>
      </c>
    </row>
    <row r="22115">
      <c r="A22115" s="4" t="s">
        <v>27840</v>
      </c>
      <c r="B22115" s="4" t="s">
        <v>27843</v>
      </c>
      <c r="C22115" s="5" t="str">
        <f>IFERROR(__xludf.DUMMYFUNCTION("GOOGLETRANSLATE(B22115,""en"",""fr"")"),"Les deux hommes ont commencé à jouer au tennis pendant qu'ils sont assis.")</f>
        <v>Les deux hommes ont commencé à jouer au tennis pendant qu'ils sont assis.</v>
      </c>
    </row>
    <row r="22116">
      <c r="A22116" s="4" t="s">
        <v>27840</v>
      </c>
      <c r="B22116" s="6" t="s">
        <v>27844</v>
      </c>
      <c r="C22116" s="5" t="str">
        <f>IFERROR(__xludf.DUMMYFUNCTION("GOOGLETRANSLATE(B22116,""en"",""fr"")"),"Ensuite, ils ont déplacé les canapés et ont commencé à jouer sur le mur, puis jouent dans la zone où les gens travaillaient.")</f>
        <v>Ensuite, ils ont déplacé les canapés et ont commencé à jouer sur le mur, puis jouent dans la zone où les gens travaillaient.</v>
      </c>
    </row>
    <row r="22117">
      <c r="A22117" s="4" t="s">
        <v>27840</v>
      </c>
      <c r="B22117" s="6" t="s">
        <v>27845</v>
      </c>
      <c r="C22117" s="5" t="str">
        <f>IFERROR(__xludf.DUMMYFUNCTION("GOOGLETRANSLATE(B22117,""en"",""fr"")"),"Un homme chauve est descendu dans les escaliers et est allé aux deux hommes qui jouaient au tennis sur le mur.")</f>
        <v>Un homme chauve est descendu dans les escaliers et est allé aux deux hommes qui jouaient au tennis sur le mur.</v>
      </c>
    </row>
    <row r="22118">
      <c r="A22118" s="4" t="s">
        <v>27846</v>
      </c>
      <c r="B22118" s="4" t="s">
        <v>27847</v>
      </c>
      <c r="C22118" s="5" t="str">
        <f>IFERROR(__xludf.DUMMYFUNCTION("GOOGLETRANSLATE(B22118,""en"",""fr"")"),"Une femme est vue en train de travailler avec un homme et l'amène à parler à la caméra.")</f>
        <v>Une femme est vue en train de travailler avec un homme et l'amène à parler à la caméra.</v>
      </c>
    </row>
    <row r="22119">
      <c r="A22119" s="4" t="s">
        <v>27846</v>
      </c>
      <c r="B22119" s="6" t="s">
        <v>27848</v>
      </c>
      <c r="C22119" s="5" t="str">
        <f>IFERROR(__xludf.DUMMYFUNCTION("GOOGLETRANSLATE(B22119,""en"",""fr"")"),"Elle recule ensuite et quatrième sur une planche déplaçant ses jambes et continuant à parler à la caméra.")</f>
        <v>Elle recule ensuite et quatrième sur une planche déplaçant ses jambes et continuant à parler à la caméra.</v>
      </c>
    </row>
    <row r="22120">
      <c r="A22120" s="4" t="s">
        <v>27846</v>
      </c>
      <c r="B22120" s="4" t="s">
        <v>27849</v>
      </c>
      <c r="C22120" s="5" t="str">
        <f>IFERROR(__xludf.DUMMYFUNCTION("GOOGLETRANSLATE(B22120,""en"",""fr"")"),"Elle saute ensuite autour de la caméra et se mordit et se termine en parlant toujours à la caméra.")</f>
        <v>Elle saute ensuite autour de la caméra et se mordit et se termine en parlant toujours à la caméra.</v>
      </c>
    </row>
    <row r="22121">
      <c r="A22121" s="4" t="s">
        <v>27850</v>
      </c>
      <c r="B22121" s="4" t="s">
        <v>27851</v>
      </c>
      <c r="C22121" s="5" t="str">
        <f>IFERROR(__xludf.DUMMYFUNCTION("GOOGLETRANSLATE(B22121,""en"",""fr"")"),"Une femme soufflant des baisers à la caméra, puis insérant ses lentilles de contact.")</f>
        <v>Une femme soufflant des baisers à la caméra, puis insérant ses lentilles de contact.</v>
      </c>
    </row>
    <row r="22122">
      <c r="A22122" s="4" t="s">
        <v>27850</v>
      </c>
      <c r="B22122" s="4" t="s">
        <v>27852</v>
      </c>
      <c r="C22122" s="5" t="str">
        <f>IFERROR(__xludf.DUMMYFUNCTION("GOOGLETRANSLATE(B22122,""en"",""fr"")"),"Elle commence à mettre un ombre à paupières sur ses paupières et à la frotter.")</f>
        <v>Elle commence à mettre un ombre à paupières sur ses paupières et à la frotter.</v>
      </c>
    </row>
    <row r="22123">
      <c r="A22123" s="4" t="s">
        <v>27850</v>
      </c>
      <c r="B22123" s="4" t="s">
        <v>27853</v>
      </c>
      <c r="C22123" s="5" t="str">
        <f>IFERROR(__xludf.DUMMYFUNCTION("GOOGLETRANSLATE(B22123,""en"",""fr"")"),"Elle ajoute des extensions de cils sur ses yeux.")</f>
        <v>Elle ajoute des extensions de cils sur ses yeux.</v>
      </c>
    </row>
    <row r="22124">
      <c r="A22124" s="4" t="s">
        <v>27850</v>
      </c>
      <c r="B22124" s="4" t="s">
        <v>27854</v>
      </c>
      <c r="C22124" s="5" t="str">
        <f>IFERROR(__xludf.DUMMYFUNCTION("GOOGLETRANSLATE(B22124,""en"",""fr"")"),"Ensuite, elle commence à contourner tout son visage entier peu en tapant en le tapant au fur et à mesure.")</f>
        <v>Ensuite, elle commence à contourner tout son visage entier peu en tapant en le tapant au fur et à mesure.</v>
      </c>
    </row>
    <row r="22125">
      <c r="A22125" s="4" t="s">
        <v>27855</v>
      </c>
      <c r="B22125" s="4" t="s">
        <v>27856</v>
      </c>
      <c r="C22125" s="5" t="str">
        <f>IFERROR(__xludf.DUMMYFUNCTION("GOOGLETRANSLATE(B22125,""en"",""fr"")"),"Un groupe de pom-pom girls interprète en faisant une tour, puis les pom-pom girls sautent.")</f>
        <v>Un groupe de pom-pom girls interprète en faisant une tour, puis les pom-pom girls sautent.</v>
      </c>
    </row>
    <row r="22126">
      <c r="A22126" s="4" t="s">
        <v>27855</v>
      </c>
      <c r="B22126" s="4" t="s">
        <v>27857</v>
      </c>
      <c r="C22126" s="5" t="str">
        <f>IFERROR(__xludf.DUMMYFUNCTION("GOOGLETRANSLATE(B22126,""en"",""fr"")"),"Après, les pom-pom girls sautent, retournent et font des roues.")</f>
        <v>Après, les pom-pom girls sautent, retournent et font des roues.</v>
      </c>
    </row>
    <row r="22127">
      <c r="A22127" s="4" t="s">
        <v>27855</v>
      </c>
      <c r="B22127" s="4" t="s">
        <v>27858</v>
      </c>
      <c r="C22127" s="5" t="str">
        <f>IFERROR(__xludf.DUMMYFUNCTION("GOOGLETRANSLATE(B22127,""en"",""fr"")"),"Ensuite, les pom-pom girls forment des tours humaines et dansent ensemble.")</f>
        <v>Ensuite, les pom-pom girls forment des tours humaines et dansent ensemble.</v>
      </c>
    </row>
    <row r="22128">
      <c r="A22128" s="4" t="s">
        <v>27859</v>
      </c>
      <c r="B22128" s="4" t="s">
        <v>27860</v>
      </c>
      <c r="C22128" s="5" t="str">
        <f>IFERROR(__xludf.DUMMYFUNCTION("GOOGLETRANSLATE(B22128,""en"",""fr"")"),"Une femme s'entraîne sur une machine elliptique.")</f>
        <v>Une femme s'entraîne sur une machine elliptique.</v>
      </c>
    </row>
    <row r="22129">
      <c r="A22129" s="4" t="s">
        <v>27859</v>
      </c>
      <c r="B22129" s="4" t="s">
        <v>27861</v>
      </c>
      <c r="C22129" s="5" t="str">
        <f>IFERROR(__xludf.DUMMYFUNCTION("GOOGLETRANSLATE(B22129,""en"",""fr"")"),"La femme est assise sur un canapé en talons.")</f>
        <v>La femme est assise sur un canapé en talons.</v>
      </c>
    </row>
    <row r="22130">
      <c r="A22130" s="4" t="s">
        <v>27859</v>
      </c>
      <c r="B22130" s="4" t="s">
        <v>27862</v>
      </c>
      <c r="C22130" s="5" t="str">
        <f>IFERROR(__xludf.DUMMYFUNCTION("GOOGLETRANSLATE(B22130,""en"",""fr"")"),"Elle continue de travailler sur la machine.")</f>
        <v>Elle continue de travailler sur la machine.</v>
      </c>
    </row>
    <row r="22131">
      <c r="A22131" s="4" t="s">
        <v>27863</v>
      </c>
      <c r="B22131" s="4" t="s">
        <v>27864</v>
      </c>
      <c r="C22131" s="5" t="str">
        <f>IFERROR(__xludf.DUMMYFUNCTION("GOOGLETRANSLATE(B22131,""en"",""fr"")"),"Une fille est assise dans le sable.")</f>
        <v>Une fille est assise dans le sable.</v>
      </c>
    </row>
    <row r="22132">
      <c r="A22132" s="4" t="s">
        <v>27863</v>
      </c>
      <c r="B22132" s="4" t="s">
        <v>27865</v>
      </c>
      <c r="C22132" s="5" t="str">
        <f>IFERROR(__xludf.DUMMYFUNCTION("GOOGLETRANSLATE(B22132,""en"",""fr"")"),"Elle met du sable dans un seau bleu devant elle.")</f>
        <v>Elle met du sable dans un seau bleu devant elle.</v>
      </c>
    </row>
    <row r="22133">
      <c r="A22133" s="4" t="s">
        <v>27863</v>
      </c>
      <c r="B22133" s="4" t="s">
        <v>27866</v>
      </c>
      <c r="C22133" s="5" t="str">
        <f>IFERROR(__xludf.DUMMYFUNCTION("GOOGLETRANSLATE(B22133,""en"",""fr"")"),"Deux personnes marchent le long de la plage devant elle.")</f>
        <v>Deux personnes marchent le long de la plage devant elle.</v>
      </c>
    </row>
    <row r="22134">
      <c r="A22134" s="4" t="s">
        <v>27867</v>
      </c>
      <c r="B22134" s="4" t="s">
        <v>27868</v>
      </c>
      <c r="C22134" s="5" t="str">
        <f>IFERROR(__xludf.DUMMYFUNCTION("GOOGLETRANSLATE(B22134,""en"",""fr"")"),"Un homme entre dans une pièce et pose sa main sur une échelle en parlant.")</f>
        <v>Un homme entre dans une pièce et pose sa main sur une échelle en parlant.</v>
      </c>
    </row>
    <row r="22135">
      <c r="A22135" s="4" t="s">
        <v>27867</v>
      </c>
      <c r="B22135" s="4" t="s">
        <v>27869</v>
      </c>
      <c r="C22135" s="5" t="str">
        <f>IFERROR(__xludf.DUMMYFUNCTION("GOOGLETRANSLATE(B22135,""en"",""fr"")"),"Nous voyons un homme mettre des carreaux orange sur un sol.")</f>
        <v>Nous voyons un homme mettre des carreaux orange sur un sol.</v>
      </c>
    </row>
    <row r="22136">
      <c r="A22136" s="4" t="s">
        <v>27867</v>
      </c>
      <c r="B22136" s="4" t="s">
        <v>27870</v>
      </c>
      <c r="C22136" s="5" t="str">
        <f>IFERROR(__xludf.DUMMYFUNCTION("GOOGLETRANSLATE(B22136,""en"",""fr"")"),"Nous voyons un homme carreler une douche.")</f>
        <v>Nous voyons un homme carreler une douche.</v>
      </c>
    </row>
    <row r="22137">
      <c r="A22137" s="4" t="s">
        <v>27867</v>
      </c>
      <c r="B22137" s="4" t="s">
        <v>27871</v>
      </c>
      <c r="C22137" s="5" t="str">
        <f>IFERROR(__xludf.DUMMYFUNCTION("GOOGLETRANSLATE(B22137,""en"",""fr"")"),"Nous voyons l'homme remettre les carreaux sur un étage.")</f>
        <v>Nous voyons l'homme remettre les carreaux sur un étage.</v>
      </c>
    </row>
    <row r="22138">
      <c r="A22138" s="4" t="s">
        <v>27867</v>
      </c>
      <c r="B22138" s="4" t="s">
        <v>27872</v>
      </c>
      <c r="C22138" s="5" t="str">
        <f>IFERROR(__xludf.DUMMYFUNCTION("GOOGLETRANSLATE(B22138,""en"",""fr"")"),"Nous retournons à l'homme parlant près de l'échelle et un site Web apparaît à l'écran.")</f>
        <v>Nous retournons à l'homme parlant près de l'échelle et un site Web apparaît à l'écran.</v>
      </c>
    </row>
    <row r="22139">
      <c r="A22139" s="4" t="s">
        <v>27873</v>
      </c>
      <c r="B22139" s="4" t="s">
        <v>27874</v>
      </c>
      <c r="C22139" s="5" t="str">
        <f>IFERROR(__xludf.DUMMYFUNCTION("GOOGLETRANSLATE(B22139,""en"",""fr"")"),"Un journaliste dans un costume parle.")</f>
        <v>Un journaliste dans un costume parle.</v>
      </c>
    </row>
    <row r="22140">
      <c r="A22140" s="4" t="s">
        <v>27873</v>
      </c>
      <c r="B22140" s="4" t="s">
        <v>27875</v>
      </c>
      <c r="C22140" s="5" t="str">
        <f>IFERROR(__xludf.DUMMYFUNCTION("GOOGLETRANSLATE(B22140,""en"",""fr"")"),"Les femmes plus âgées sont derrière des couvertures de couture de machines à coudre.")</f>
        <v>Les femmes plus âgées sont derrière des couvertures de couture de machines à coudre.</v>
      </c>
    </row>
    <row r="22141">
      <c r="A22141" s="4" t="s">
        <v>27876</v>
      </c>
      <c r="B22141" s="6" t="s">
        <v>27877</v>
      </c>
      <c r="C22141" s="5" t="str">
        <f>IFERROR(__xludf.DUMMYFUNCTION("GOOGLETRANSLATE(B22141,""en"",""fr"")"),"Quelques personnes sont assis dans le style indien avec un gilet de vie sur le fait de regarder un homme à l'intérieur d'un bateau à flotter.")</f>
        <v>Quelques personnes sont assis dans le style indien avec un gilet de vie sur le fait de regarder un homme à l'intérieur d'un bateau à flotter.</v>
      </c>
    </row>
    <row r="22142">
      <c r="A22142" s="4" t="s">
        <v>27876</v>
      </c>
      <c r="B22142" s="4" t="s">
        <v>27878</v>
      </c>
      <c r="C22142" s="5" t="str">
        <f>IFERROR(__xludf.DUMMYFUNCTION("GOOGLETRANSLATE(B22142,""en"",""fr"")"),"Ils obtiennent le bateau avec des pagaies et quelques autres à côté d'eux dans un kayak.")</f>
        <v>Ils obtiennent le bateau avec des pagaies et quelques autres à côté d'eux dans un kayak.</v>
      </c>
    </row>
    <row r="22143">
      <c r="A22143" s="4" t="s">
        <v>27876</v>
      </c>
      <c r="B22143" s="4" t="s">
        <v>27879</v>
      </c>
      <c r="C22143" s="5" t="str">
        <f>IFERROR(__xludf.DUMMYFUNCTION("GOOGLETRANSLATE(B22143,""en"",""fr"")"),"Ils utilisent la pagaie pour essayer de contrôler le bateau, mais sont éclaboussés par l'eau très brune.")</f>
        <v>Ils utilisent la pagaie pour essayer de contrôler le bateau, mais sont éclaboussés par l'eau très brune.</v>
      </c>
    </row>
    <row r="22144">
      <c r="A22144" s="4" t="s">
        <v>27876</v>
      </c>
      <c r="B22144" s="6" t="s">
        <v>27880</v>
      </c>
      <c r="C22144" s="5" t="str">
        <f>IFERROR(__xludf.DUMMYFUNCTION("GOOGLETRANSLATE(B22144,""en"",""fr"")"),"Un autre petit bateau vient et se heurte, ils pagayent jusqu'à ce qu'ils soient sur le point de se remettre à la terre.")</f>
        <v>Un autre petit bateau vient et se heurte, ils pagayent jusqu'à ce qu'ils soient sur le point de se remettre à la terre.</v>
      </c>
    </row>
    <row r="22145">
      <c r="A22145" s="4" t="s">
        <v>27881</v>
      </c>
      <c r="B22145" s="4" t="s">
        <v>27882</v>
      </c>
      <c r="C22145" s="5" t="str">
        <f>IFERROR(__xludf.DUMMYFUNCTION("GOOGLETRANSLATE(B22145,""en"",""fr"")"),"Deux cookies sont indiqués sur une assiette.")</f>
        <v>Deux cookies sont indiqués sur une assiette.</v>
      </c>
    </row>
    <row r="22146">
      <c r="A22146" s="4" t="s">
        <v>27881</v>
      </c>
      <c r="B22146" s="4" t="s">
        <v>27883</v>
      </c>
      <c r="C22146" s="5" t="str">
        <f>IFERROR(__xludf.DUMMYFUNCTION("GOOGLETRANSLATE(B22146,""en"",""fr"")"),"Les ingrédients sont mélangés dans un bol un à la fois, ajoutant des œufs, du sucre et du beurre.")</f>
        <v>Les ingrédients sont mélangés dans un bol un à la fois, ajoutant des œufs, du sucre et du beurre.</v>
      </c>
    </row>
    <row r="22147">
      <c r="A22147" s="4" t="s">
        <v>27881</v>
      </c>
      <c r="B22147" s="4" t="s">
        <v>27884</v>
      </c>
      <c r="C22147" s="5" t="str">
        <f>IFERROR(__xludf.DUMMYFUNCTION("GOOGLETRANSLATE(B22147,""en"",""fr"")"),"Les cookies sont coupés de la pâte.")</f>
        <v>Les cookies sont coupés de la pâte.</v>
      </c>
    </row>
    <row r="22148">
      <c r="A22148" s="4" t="s">
        <v>27881</v>
      </c>
      <c r="B22148" s="4" t="s">
        <v>27885</v>
      </c>
      <c r="C22148" s="5" t="str">
        <f>IFERROR(__xludf.DUMMYFUNCTION("GOOGLETRANSLATE(B22148,""en"",""fr"")"),"Ils sont ensuite cuits et assemblés.")</f>
        <v>Ils sont ensuite cuits et assemblés.</v>
      </c>
    </row>
    <row r="22149">
      <c r="A22149" s="4" t="s">
        <v>27886</v>
      </c>
      <c r="B22149" s="4" t="s">
        <v>27887</v>
      </c>
      <c r="C22149" s="5" t="str">
        <f>IFERROR(__xludf.DUMMYFUNCTION("GOOGLETRANSLATE(B22149,""en"",""fr"")"),"Les gens sont habillés en jouant au ping-pong.")</f>
        <v>Les gens sont habillés en jouant au ping-pong.</v>
      </c>
    </row>
    <row r="22150">
      <c r="A22150" s="4" t="s">
        <v>27886</v>
      </c>
      <c r="B22150" s="4" t="s">
        <v>27888</v>
      </c>
      <c r="C22150" s="5" t="str">
        <f>IFERROR(__xludf.DUMMYFUNCTION("GOOGLETRANSLATE(B22150,""en"",""fr"")"),"Les gens se tiennent à côté de la table.")</f>
        <v>Les gens se tiennent à côté de la table.</v>
      </c>
    </row>
    <row r="22151">
      <c r="A22151" s="4" t="s">
        <v>27886</v>
      </c>
      <c r="B22151" s="4" t="s">
        <v>27889</v>
      </c>
      <c r="C22151" s="5" t="str">
        <f>IFERROR(__xludf.DUMMYFUNCTION("GOOGLETRANSLATE(B22151,""en"",""fr"")"),"Ils continuent de jouer et deux des hommes de cinq hommes.")</f>
        <v>Ils continuent de jouer et deux des hommes de cinq hommes.</v>
      </c>
    </row>
    <row r="22152">
      <c r="A22152" s="4" t="s">
        <v>27890</v>
      </c>
      <c r="B22152" s="4" t="s">
        <v>27891</v>
      </c>
      <c r="C22152" s="5" t="str">
        <f>IFERROR(__xludf.DUMMYFUNCTION("GOOGLETRANSLATE(B22152,""en"",""fr"")"),"Une personne est vue rouler sur un vélo dans une rue avec un chien attaché à côté de lui.")</f>
        <v>Une personne est vue rouler sur un vélo dans une rue avec un chien attaché à côté de lui.</v>
      </c>
    </row>
    <row r="22153">
      <c r="A22153" s="4" t="s">
        <v>27890</v>
      </c>
      <c r="B22153" s="4" t="s">
        <v>27892</v>
      </c>
      <c r="C22153" s="5" t="str">
        <f>IFERROR(__xludf.DUMMYFUNCTION("GOOGLETRANSLATE(B22153,""en"",""fr"")"),"La caméra est montrée sous différents angles, l'homme conduisant le vélo avec le chien.")</f>
        <v>La caméra est montrée sous différents angles, l'homme conduisant le vélo avec le chien.</v>
      </c>
    </row>
    <row r="22154">
      <c r="A22154" s="4" t="s">
        <v>27890</v>
      </c>
      <c r="B22154" s="4" t="s">
        <v>27893</v>
      </c>
      <c r="C22154" s="5" t="str">
        <f>IFERROR(__xludf.DUMMYFUNCTION("GOOGLETRANSLATE(B22154,""en"",""fr"")"),"L'homme continue de rouler avec le chien.")</f>
        <v>L'homme continue de rouler avec le chien.</v>
      </c>
    </row>
    <row r="22155">
      <c r="A22155" s="4" t="s">
        <v>27894</v>
      </c>
      <c r="B22155" s="4" t="s">
        <v>27895</v>
      </c>
      <c r="C22155" s="5" t="str">
        <f>IFERROR(__xludf.DUMMYFUNCTION("GOOGLETRANSLATE(B22155,""en"",""fr"")"),"Un homme avec un sifflet tient le milieu de la corde.")</f>
        <v>Un homme avec un sifflet tient le milieu de la corde.</v>
      </c>
    </row>
    <row r="22156">
      <c r="A22156" s="4" t="s">
        <v>27894</v>
      </c>
      <c r="B22156" s="4" t="s">
        <v>27896</v>
      </c>
      <c r="C22156" s="5" t="str">
        <f>IFERROR(__xludf.DUMMYFUNCTION("GOOGLETRANSLATE(B22156,""en"",""fr"")"),"Deux hommes sont à chaque extrémité de la corde tirant dans leur propre direction sur la boue.")</f>
        <v>Deux hommes sont à chaque extrémité de la corde tirant dans leur propre direction sur la boue.</v>
      </c>
    </row>
    <row r="22157">
      <c r="A22157" s="4" t="s">
        <v>27894</v>
      </c>
      <c r="B22157" s="4" t="s">
        <v>27897</v>
      </c>
      <c r="C22157" s="5" t="str">
        <f>IFERROR(__xludf.DUMMYFUNCTION("GOOGLETRANSLATE(B22157,""en"",""fr"")"),"La corde rouge se penche vers l'homme en bleu alors qu'il s'assoit presque sur le sol.")</f>
        <v>La corde rouge se penche vers l'homme en bleu alors qu'il s'assoit presque sur le sol.</v>
      </c>
    </row>
    <row r="22158">
      <c r="A22158" s="4" t="s">
        <v>27894</v>
      </c>
      <c r="B22158" s="4" t="s">
        <v>27898</v>
      </c>
      <c r="C22158" s="5" t="str">
        <f>IFERROR(__xludf.DUMMYFUNCTION("GOOGLETRANSLATE(B22158,""en"",""fr"")"),"L'arbitre est à genoux en observant.")</f>
        <v>L'arbitre est à genoux en observant.</v>
      </c>
    </row>
    <row r="22159">
      <c r="A22159" s="4" t="s">
        <v>27894</v>
      </c>
      <c r="B22159" s="4" t="s">
        <v>27899</v>
      </c>
      <c r="C22159" s="5" t="str">
        <f>IFERROR(__xludf.DUMMYFUNCTION("GOOGLETRANSLATE(B22159,""en"",""fr"")"),"Le concurrent prend des respirations courtes alors qu'il regarde.")</f>
        <v>Le concurrent prend des respirations courtes alors qu'il regarde.</v>
      </c>
    </row>
    <row r="22160">
      <c r="A22160" s="4" t="s">
        <v>27894</v>
      </c>
      <c r="B22160" s="4" t="s">
        <v>27900</v>
      </c>
      <c r="C22160" s="5" t="str">
        <f>IFERROR(__xludf.DUMMYFUNCTION("GOOGLETRANSLATE(B22160,""en"",""fr"")"),"Un homme avec une barbe donne un clin d'œil et sourit.")</f>
        <v>Un homme avec une barbe donne un clin d'œil et sourit.</v>
      </c>
    </row>
    <row r="22161">
      <c r="A22161" s="4" t="s">
        <v>27894</v>
      </c>
      <c r="B22161" s="4" t="s">
        <v>27901</v>
      </c>
      <c r="C22161" s="5" t="str">
        <f>IFERROR(__xludf.DUMMYFUNCTION("GOOGLETRANSLATE(B22161,""en"",""fr"")"),"Chaque homme continue de tirer alors qu'ils se penchent en arrière dans la boue.")</f>
        <v>Chaque homme continue de tirer alors qu'ils se penchent en arrière dans la boue.</v>
      </c>
    </row>
    <row r="22162">
      <c r="A22162" s="4" t="s">
        <v>27894</v>
      </c>
      <c r="B22162" s="4" t="s">
        <v>27902</v>
      </c>
      <c r="C22162" s="5" t="str">
        <f>IFERROR(__xludf.DUMMYFUNCTION("GOOGLETRANSLATE(B22162,""en"",""fr"")"),"Il montre que 6 minutes se sont écoulées alors qu'ils continuent de tirer.")</f>
        <v>Il montre que 6 minutes se sont écoulées alors qu'ils continuent de tirer.</v>
      </c>
    </row>
    <row r="22163">
      <c r="A22163" s="4" t="s">
        <v>27894</v>
      </c>
      <c r="B22163" s="4" t="s">
        <v>27903</v>
      </c>
      <c r="C22163" s="5" t="str">
        <f>IFERROR(__xludf.DUMMYFUNCTION("GOOGLETRANSLATE(B22163,""en"",""fr"")"),"Il montre 8 minutes et 30 secondes se sont écoulées.")</f>
        <v>Il montre 8 minutes et 30 secondes se sont écoulées.</v>
      </c>
    </row>
    <row r="22164">
      <c r="A22164" s="4" t="s">
        <v>27894</v>
      </c>
      <c r="B22164" s="4" t="s">
        <v>27904</v>
      </c>
      <c r="C22164" s="5" t="str">
        <f>IFERROR(__xludf.DUMMYFUNCTION("GOOGLETRANSLATE(B22164,""en"",""fr"")"),"L'homme en rouge se lève et court en arrière en tirant l'autre homme à travers la ligne.")</f>
        <v>L'homme en rouge se lève et court en arrière en tirant l'autre homme à travers la ligne.</v>
      </c>
    </row>
    <row r="22165">
      <c r="A22165" s="4" t="s">
        <v>27894</v>
      </c>
      <c r="B22165" s="4" t="s">
        <v>27905</v>
      </c>
      <c r="C22165" s="5" t="str">
        <f>IFERROR(__xludf.DUMMYFUNCTION("GOOGLETRANSLATE(B22165,""en"",""fr"")"),"Les deux hommes se serrent la main et s'étreignent et s'éloignent.")</f>
        <v>Les deux hommes se serrent la main et s'étreignent et s'éloignent.</v>
      </c>
    </row>
    <row r="22166">
      <c r="A22166" s="4" t="s">
        <v>27894</v>
      </c>
      <c r="B22166" s="4" t="s">
        <v>27906</v>
      </c>
      <c r="C22166" s="5" t="str">
        <f>IFERROR(__xludf.DUMMYFUNCTION("GOOGLETRANSLATE(B22166,""en"",""fr"")"),"L'homme en bleu met ses bras autour de deux hommes et s'éloigne.")</f>
        <v>L'homme en bleu met ses bras autour de deux hommes et s'éloigne.</v>
      </c>
    </row>
    <row r="22167">
      <c r="A22167" s="4" t="s">
        <v>27907</v>
      </c>
      <c r="B22167" s="4" t="s">
        <v>27908</v>
      </c>
      <c r="C22167" s="5" t="str">
        <f>IFERROR(__xludf.DUMMYFUNCTION("GOOGLETRANSLATE(B22167,""en"",""fr"")"),"Les gens se tiennent sur une colline de neige.")</f>
        <v>Les gens se tiennent sur une colline de neige.</v>
      </c>
    </row>
    <row r="22168">
      <c r="A22168" s="4" t="s">
        <v>27907</v>
      </c>
      <c r="B22168" s="4" t="s">
        <v>4423</v>
      </c>
      <c r="C22168" s="5" t="str">
        <f>IFERROR(__xludf.DUMMYFUNCTION("GOOGLETRANSLATE(B22168,""en"",""fr"")"),"Les gens sont du snowboard sur une colline de neige.")</f>
        <v>Les gens sont du snowboard sur une colline de neige.</v>
      </c>
    </row>
    <row r="22169">
      <c r="A22169" s="4" t="s">
        <v>27907</v>
      </c>
      <c r="B22169" s="4" t="s">
        <v>27909</v>
      </c>
      <c r="C22169" s="5" t="str">
        <f>IFERROR(__xludf.DUMMYFUNCTION("GOOGLETRANSLATE(B22169,""en"",""fr"")"),"Les gens skient sur une colline.")</f>
        <v>Les gens skient sur une colline.</v>
      </c>
    </row>
    <row r="22170">
      <c r="A22170" s="4" t="s">
        <v>27907</v>
      </c>
      <c r="B22170" s="4" t="s">
        <v>27910</v>
      </c>
      <c r="C22170" s="5" t="str">
        <f>IFERROR(__xludf.DUMMYFUNCTION("GOOGLETRANSLATE(B22170,""en"",""fr"")"),"Les skiers s'arrêtent en bas et parlent.")</f>
        <v>Les skiers s'arrêtent en bas et parlent.</v>
      </c>
    </row>
    <row r="22171">
      <c r="A22171" s="4" t="s">
        <v>27911</v>
      </c>
      <c r="B22171" s="6" t="s">
        <v>27912</v>
      </c>
      <c r="C22171" s="5" t="str">
        <f>IFERROR(__xludf.DUMMYFUNCTION("GOOGLETRANSLATE(B22171,""en"",""fr"")"),"Un groupe d'hommes est tiré sur un hot-dog gonflable qui fait un virage rapide, ce qui leur fait tomber.")</f>
        <v>Un groupe d'hommes est tiré sur un hot-dog gonflable qui fait un virage rapide, ce qui leur fait tomber.</v>
      </c>
    </row>
    <row r="22172">
      <c r="A22172" s="4" t="s">
        <v>27911</v>
      </c>
      <c r="B22172" s="4" t="s">
        <v>27913</v>
      </c>
      <c r="C22172" s="5" t="str">
        <f>IFERROR(__xludf.DUMMYFUNCTION("GOOGLETRANSLATE(B22172,""en"",""fr"")"),"Les personnes sur les skis nautiques et les tubes internes ont des accidents comiques tout en étant tirés dans l'eau.")</f>
        <v>Les personnes sur les skis nautiques et les tubes internes ont des accidents comiques tout en étant tirés dans l'eau.</v>
      </c>
    </row>
    <row r="22173">
      <c r="A22173" s="4" t="s">
        <v>27911</v>
      </c>
      <c r="B22173" s="4" t="s">
        <v>27914</v>
      </c>
      <c r="C22173" s="5" t="str">
        <f>IFERROR(__xludf.DUMMYFUNCTION("GOOGLETRANSLATE(B22173,""en"",""fr"")"),"Un garçon sur des skis tient une corde de remorqueur sur un quai et est tiré en tombant dans l'eau.")</f>
        <v>Un garçon sur des skis tient une corde de remorqueur sur un quai et est tiré en tombant dans l'eau.</v>
      </c>
    </row>
    <row r="22174">
      <c r="A22174" s="4" t="s">
        <v>27911</v>
      </c>
      <c r="B22174" s="6" t="s">
        <v>27915</v>
      </c>
      <c r="C22174" s="5" t="str">
        <f>IFERROR(__xludf.DUMMYFUNCTION("GOOGLETRANSLATE(B22174,""en"",""fr"")"),"Un grand groupe sur les tubes inter-est tiré sur des cordes de remorqueur dans l'eau, puis frappez une grande vague et retournez dans l'air.")</f>
        <v>Un grand groupe sur les tubes inter-est tiré sur des cordes de remorqueur dans l'eau, puis frappez une grande vague et retournez dans l'air.</v>
      </c>
    </row>
    <row r="22175">
      <c r="A22175" s="4" t="s">
        <v>27911</v>
      </c>
      <c r="B22175" s="4" t="s">
        <v>27916</v>
      </c>
      <c r="C22175" s="5" t="str">
        <f>IFERROR(__xludf.DUMMYFUNCTION("GOOGLETRANSLATE(B22175,""en"",""fr"")"),"Un homme sur un bateau saute le navire après un article avec le bateau toujours en mouvement.")</f>
        <v>Un homme sur un bateau saute le navire après un article avec le bateau toujours en mouvement.</v>
      </c>
    </row>
    <row r="22176">
      <c r="A22176" s="4" t="s">
        <v>27917</v>
      </c>
      <c r="B22176" s="4" t="s">
        <v>27918</v>
      </c>
      <c r="C22176" s="5" t="str">
        <f>IFERROR(__xludf.DUMMYFUNCTION("GOOGLETRANSLATE(B22176,""en"",""fr"")"),"Un homme se repose dans l'eau de l'océan alors qu'il tient un bar.")</f>
        <v>Un homme se repose dans l'eau de l'océan alors qu'il tient un bar.</v>
      </c>
    </row>
    <row r="22177">
      <c r="A22177" s="4" t="s">
        <v>27917</v>
      </c>
      <c r="B22177" s="4" t="s">
        <v>27919</v>
      </c>
      <c r="C22177" s="5" t="str">
        <f>IFERROR(__xludf.DUMMYFUNCTION("GOOGLETRANSLATE(B22177,""en"",""fr"")"),"Il est de la drogue par un bateau rempli de gens.")</f>
        <v>Il est de la drogue par un bateau rempli de gens.</v>
      </c>
    </row>
    <row r="22178">
      <c r="A22178" s="4" t="s">
        <v>27917</v>
      </c>
      <c r="B22178" s="4" t="s">
        <v>27920</v>
      </c>
      <c r="C22178" s="5" t="str">
        <f>IFERROR(__xludf.DUMMYFUNCTION("GOOGLETRANSLATE(B22178,""en"",""fr"")"),"Il gagne son équilibre et est rapidement du ski nautique derrière le bateau.")</f>
        <v>Il gagne son équilibre et est rapidement du ski nautique derrière le bateau.</v>
      </c>
    </row>
    <row r="22179">
      <c r="A22179" s="4" t="s">
        <v>27921</v>
      </c>
      <c r="B22179" s="6" t="s">
        <v>27922</v>
      </c>
      <c r="C22179" s="5" t="str">
        <f>IFERROR(__xludf.DUMMYFUNCTION("GOOGLETRANSLATE(B22179,""en"",""fr"")"),"Plusieurs personnes sont capturées en décorant un arbre de Noël dans un salon dans une vidéo rapide en avant, Speed ​​Motion.")</f>
        <v>Plusieurs personnes sont capturées en décorant un arbre de Noël dans un salon dans une vidéo rapide en avant, Speed ​​Motion.</v>
      </c>
    </row>
    <row r="22180">
      <c r="A22180" s="4" t="s">
        <v>27921</v>
      </c>
      <c r="B22180" s="4" t="s">
        <v>27923</v>
      </c>
      <c r="C22180" s="5" t="str">
        <f>IFERROR(__xludf.DUMMYFUNCTION("GOOGLETRANSLATE(B22180,""en"",""fr"")"),"Un arbre de Noël est non décoré dans un salon.")</f>
        <v>Un arbre de Noël est non décoré dans un salon.</v>
      </c>
    </row>
    <row r="22181">
      <c r="A22181" s="4" t="s">
        <v>27921</v>
      </c>
      <c r="B22181" s="4" t="s">
        <v>27924</v>
      </c>
      <c r="C22181" s="5" t="str">
        <f>IFERROR(__xludf.DUMMYFUNCTION("GOOGLETRANSLATE(B22181,""en"",""fr"")"),"Deux personnes décorent l'arbre avec un cordon léger.")</f>
        <v>Deux personnes décorent l'arbre avec un cordon léger.</v>
      </c>
    </row>
    <row r="22182">
      <c r="A22182" s="4" t="s">
        <v>27921</v>
      </c>
      <c r="B22182" s="4" t="s">
        <v>27925</v>
      </c>
      <c r="C22182" s="5" t="str">
        <f>IFERROR(__xludf.DUMMYFUNCTION("GOOGLETRANSLATE(B22182,""en"",""fr"")"),"Trois personnes décorent l'arbre avec des boules bleues et argentées.")</f>
        <v>Trois personnes décorent l'arbre avec des boules bleues et argentées.</v>
      </c>
    </row>
    <row r="22183">
      <c r="A22183" s="4" t="s">
        <v>27921</v>
      </c>
      <c r="B22183" s="6" t="s">
        <v>27926</v>
      </c>
      <c r="C22183" s="5" t="str">
        <f>IFERROR(__xludf.DUMMYFUNCTION("GOOGLETRANSLATE(B22183,""en"",""fr"")"),"Les lumières des arbres sont allumées et des cadeaux enveloppés sont placés sous l'arbre alors que les gens commencent à s'asseoir sous l'arbre et qu'un chien passe avec désinvolture près de l'arbre.")</f>
        <v>Les lumières des arbres sont allumées et des cadeaux enveloppés sont placés sous l'arbre alors que les gens commencent à s'asseoir sous l'arbre et qu'un chien passe avec désinvolture près de l'arbre.</v>
      </c>
    </row>
    <row r="22184">
      <c r="A22184" s="4" t="s">
        <v>27927</v>
      </c>
      <c r="B22184" s="4" t="s">
        <v>1251</v>
      </c>
      <c r="C22184" s="5" t="str">
        <f>IFERROR(__xludf.DUMMYFUNCTION("GOOGLETRANSLATE(B22184,""en"",""fr"")"),"Les crédits du clip sont affichés.")</f>
        <v>Les crédits du clip sont affichés.</v>
      </c>
    </row>
    <row r="22185">
      <c r="A22185" s="4" t="s">
        <v>27927</v>
      </c>
      <c r="B22185" s="4" t="s">
        <v>27928</v>
      </c>
      <c r="C22185" s="5" t="str">
        <f>IFERROR(__xludf.DUMMYFUNCTION("GOOGLETRANSLATE(B22185,""en"",""fr"")"),"Un gars est debout, fait un geste et enseigne dans une salle de sport.")</f>
        <v>Un gars est debout, fait un geste et enseigne dans une salle de sport.</v>
      </c>
    </row>
    <row r="22186">
      <c r="A22186" s="4" t="s">
        <v>27927</v>
      </c>
      <c r="B22186" s="4" t="s">
        <v>27929</v>
      </c>
      <c r="C22186" s="5" t="str">
        <f>IFERROR(__xludf.DUMMYFUNCTION("GOOGLETRANSLATE(B22186,""en"",""fr"")"),"Un homme démontre un coup de gymnastique sur une plate-forme à main.")</f>
        <v>Un homme démontre un coup de gymnastique sur une plate-forme à main.</v>
      </c>
    </row>
    <row r="22187">
      <c r="A22187" s="4" t="s">
        <v>27927</v>
      </c>
      <c r="B22187" s="4" t="s">
        <v>27930</v>
      </c>
      <c r="C22187" s="5" t="str">
        <f>IFERROR(__xludf.DUMMYFUNCTION("GOOGLETRANSLATE(B22187,""en"",""fr"")"),"L'homme pose les mains étendues dans les airs.")</f>
        <v>L'homme pose les mains étendues dans les airs.</v>
      </c>
    </row>
    <row r="22188">
      <c r="A22188" s="4" t="s">
        <v>27927</v>
      </c>
      <c r="B22188" s="4" t="s">
        <v>573</v>
      </c>
      <c r="C22188" s="5" t="str">
        <f>IFERROR(__xludf.DUMMYFUNCTION("GOOGLETRANSLATE(B22188,""en"",""fr"")"),"Les crédits de la vidéo sont affichés.")</f>
        <v>Les crédits de la vidéo sont affichés.</v>
      </c>
    </row>
    <row r="22189">
      <c r="A22189" s="4" t="s">
        <v>27931</v>
      </c>
      <c r="B22189" s="4" t="s">
        <v>27932</v>
      </c>
      <c r="C22189" s="5" t="str">
        <f>IFERROR(__xludf.DUMMYFUNCTION("GOOGLETRANSLATE(B22189,""en"",""fr"")"),"Il y a un homme vêtu d'un pull noir jouant du violon dans une église.")</f>
        <v>Il y a un homme vêtu d'un pull noir jouant du violon dans une église.</v>
      </c>
    </row>
    <row r="22190">
      <c r="A22190" s="4" t="s">
        <v>27931</v>
      </c>
      <c r="B22190" s="4" t="s">
        <v>27933</v>
      </c>
      <c r="C22190" s="5" t="str">
        <f>IFERROR(__xludf.DUMMYFUNCTION("GOOGLETRANSLATE(B22190,""en"",""fr"")"),"Il y a une femme debout à côté de lui, également habillée sur le noir tenant un violon dans ses mains.")</f>
        <v>Il y a une femme debout à côté de lui, également habillée sur le noir tenant un violon dans ses mains.</v>
      </c>
    </row>
    <row r="22191">
      <c r="A22191" s="4" t="s">
        <v>27931</v>
      </c>
      <c r="B22191" s="4" t="s">
        <v>27934</v>
      </c>
      <c r="C22191" s="5" t="str">
        <f>IFERROR(__xludf.DUMMYFUNCTION("GOOGLETRANSLATE(B22191,""en"",""fr"")"),"Il y a une statue de Jésus-Christ juste derrière eux.")</f>
        <v>Il y a une statue de Jésus-Christ juste derrière eux.</v>
      </c>
    </row>
    <row r="22192">
      <c r="A22192" s="4" t="s">
        <v>27931</v>
      </c>
      <c r="B22192" s="4" t="s">
        <v>27935</v>
      </c>
      <c r="C22192" s="5" t="str">
        <f>IFERROR(__xludf.DUMMYFUNCTION("GOOGLETRANSLATE(B22192,""en"",""fr"")"),"Après que l'homme ait cessé de jouer du violon, la femme se joint et commence à jouer son violon.")</f>
        <v>Après que l'homme ait cessé de jouer du violon, la femme se joint et commence à jouer son violon.</v>
      </c>
    </row>
    <row r="22193">
      <c r="A22193" s="4" t="s">
        <v>27931</v>
      </c>
      <c r="B22193" s="4" t="s">
        <v>27936</v>
      </c>
      <c r="C22193" s="5" t="str">
        <f>IFERROR(__xludf.DUMMYFUNCTION("GOOGLETRANSLATE(B22193,""en"",""fr"")"),"Il y a quelques personnes assises au premier rang, en regardant la femme jouer.")</f>
        <v>Il y a quelques personnes assises au premier rang, en regardant la femme jouer.</v>
      </c>
    </row>
    <row r="22194">
      <c r="A22194" s="4" t="s">
        <v>27937</v>
      </c>
      <c r="B22194" s="4" t="s">
        <v>27938</v>
      </c>
      <c r="C22194" s="5" t="str">
        <f>IFERROR(__xludf.DUMMYFUNCTION("GOOGLETRANSLATE(B22194,""en"",""fr"")"),"Un groupe d'hommes sur les ânes jouent une forme de polo sur un champ de saleté.")</f>
        <v>Un groupe d'hommes sur les ânes jouent une forme de polo sur un champ de saleté.</v>
      </c>
    </row>
    <row r="22195">
      <c r="A22195" s="4" t="s">
        <v>27937</v>
      </c>
      <c r="B22195" s="4" t="s">
        <v>27939</v>
      </c>
      <c r="C22195" s="5" t="str">
        <f>IFERROR(__xludf.DUMMYFUNCTION("GOOGLETRANSLATE(B22195,""en"",""fr"")"),"La caméra se met aux gens qui regardent le match.")</f>
        <v>La caméra se met aux gens qui regardent le match.</v>
      </c>
    </row>
    <row r="22196">
      <c r="A22196" s="4" t="s">
        <v>27937</v>
      </c>
      <c r="B22196" s="4" t="s">
        <v>27940</v>
      </c>
      <c r="C22196" s="5" t="str">
        <f>IFERROR(__xludf.DUMMYFUNCTION("GOOGLETRANSLATE(B22196,""en"",""fr"")"),"La caméra revient aux gens qui chevauchent les ânes.")</f>
        <v>La caméra revient aux gens qui chevauchent les ânes.</v>
      </c>
    </row>
    <row r="22197">
      <c r="A22197" s="4" t="s">
        <v>27941</v>
      </c>
      <c r="B22197" s="4" t="s">
        <v>27942</v>
      </c>
      <c r="C22197" s="5" t="str">
        <f>IFERROR(__xludf.DUMMYFUNCTION("GOOGLETRANSLATE(B22197,""en"",""fr"")"),"Un gros plan d'une planche de score est montré suivi par un homme soulevant un ensemble lourd de poids.")</f>
        <v>Un gros plan d'une planche de score est montré suivi par un homme soulevant un ensemble lourd de poids.</v>
      </c>
    </row>
    <row r="22198">
      <c r="A22198" s="4" t="s">
        <v>27941</v>
      </c>
      <c r="B22198" s="4" t="s">
        <v>27943</v>
      </c>
      <c r="C22198" s="5" t="str">
        <f>IFERROR(__xludf.DUMMYFUNCTION("GOOGLETRANSLATE(B22198,""en"",""fr"")"),"L'homme le soulève au-dessus de sa tête et son score il est montré par la suite.")</f>
        <v>L'homme le soulève au-dessus de sa tête et son score il est montré par la suite.</v>
      </c>
    </row>
    <row r="22199">
      <c r="A22199" s="4" t="s">
        <v>27941</v>
      </c>
      <c r="B22199" s="4" t="s">
        <v>27944</v>
      </c>
      <c r="C22199" s="5" t="str">
        <f>IFERROR(__xludf.DUMMYFUNCTION("GOOGLETRANSLATE(B22199,""en"",""fr"")"),"Il le fait plusieurs fois.")</f>
        <v>Il le fait plusieurs fois.</v>
      </c>
    </row>
    <row r="22200">
      <c r="A22200" s="4" t="s">
        <v>27945</v>
      </c>
      <c r="B22200" s="4" t="s">
        <v>27946</v>
      </c>
      <c r="C22200" s="5" t="str">
        <f>IFERROR(__xludf.DUMMYFUNCTION("GOOGLETRANSLATE(B22200,""en"",""fr"")"),"Plusieurs chiens sont dans un parc.")</f>
        <v>Plusieurs chiens sont dans un parc.</v>
      </c>
    </row>
    <row r="22201">
      <c r="A22201" s="4" t="s">
        <v>27945</v>
      </c>
      <c r="B22201" s="4" t="s">
        <v>27947</v>
      </c>
      <c r="C22201" s="5" t="str">
        <f>IFERROR(__xludf.DUMMYFUNCTION("GOOGLETRANSLATE(B22201,""en"",""fr"")"),"Leurs propriétaires parlent du.")</f>
        <v>Leurs propriétaires parlent du.</v>
      </c>
    </row>
    <row r="22202">
      <c r="A22202" s="4" t="s">
        <v>27945</v>
      </c>
      <c r="B22202" s="4" t="s">
        <v>27948</v>
      </c>
      <c r="C22202" s="5" t="str">
        <f>IFERROR(__xludf.DUMMYFUNCTION("GOOGLETRANSLATE(B22202,""en"",""fr"")"),"Plusieurs vendeurs sont mis en place dans des tentes.")</f>
        <v>Plusieurs vendeurs sont mis en place dans des tentes.</v>
      </c>
    </row>
    <row r="22203">
      <c r="A22203" s="4" t="s">
        <v>27945</v>
      </c>
      <c r="B22203" s="4" t="s">
        <v>27949</v>
      </c>
      <c r="C22203" s="5" t="str">
        <f>IFERROR(__xludf.DUMMYFUNCTION("GOOGLETRANSLATE(B22203,""en"",""fr"")"),"Les propriétaires marchent sur les chiens.")</f>
        <v>Les propriétaires marchent sur les chiens.</v>
      </c>
    </row>
    <row r="22204">
      <c r="A22204" s="4" t="s">
        <v>27950</v>
      </c>
      <c r="B22204" s="4" t="s">
        <v>27951</v>
      </c>
      <c r="C22204" s="5" t="str">
        <f>IFERROR(__xludf.DUMMYFUNCTION("GOOGLETRANSLATE(B22204,""en"",""fr"")"),"Un homme est assis derrière un ordinateur portable.")</f>
        <v>Un homme est assis derrière un ordinateur portable.</v>
      </c>
    </row>
    <row r="22205">
      <c r="A22205" s="4" t="s">
        <v>27950</v>
      </c>
      <c r="B22205" s="4" t="s">
        <v>27952</v>
      </c>
      <c r="C22205" s="5" t="str">
        <f>IFERROR(__xludf.DUMMYFUNCTION("GOOGLETRANSLATE(B22205,""en"",""fr"")"),"Il prend un contact de son œil.")</f>
        <v>Il prend un contact de son œil.</v>
      </c>
    </row>
    <row r="22206">
      <c r="A22206" s="4" t="s">
        <v>27950</v>
      </c>
      <c r="B22206" s="4" t="s">
        <v>27953</v>
      </c>
      <c r="C22206" s="5" t="str">
        <f>IFERROR(__xludf.DUMMYFUNCTION("GOOGLETRANSLATE(B22206,""en"",""fr"")"),"Il se frotte l'œil avant de le remettre.")</f>
        <v>Il se frotte l'œil avant de le remettre.</v>
      </c>
    </row>
    <row r="22207">
      <c r="A22207" s="4" t="s">
        <v>27954</v>
      </c>
      <c r="B22207" s="4" t="s">
        <v>27955</v>
      </c>
      <c r="C22207" s="5" t="str">
        <f>IFERROR(__xludf.DUMMYFUNCTION("GOOGLETRANSLATE(B22207,""en"",""fr"")"),"Un groupe de personnes apprend à faire du rollerblade.")</f>
        <v>Un groupe de personnes apprend à faire du rollerblade.</v>
      </c>
    </row>
    <row r="22208">
      <c r="A22208" s="4" t="s">
        <v>27954</v>
      </c>
      <c r="B22208" s="4" t="s">
        <v>27956</v>
      </c>
      <c r="C22208" s="5" t="str">
        <f>IFERROR(__xludf.DUMMYFUNCTION("GOOGLETRANSLATE(B22208,""en"",""fr"")"),"Certains aimables vont en groupes, mais généralement ils sont lents et maladroits.")</f>
        <v>Certains aimables vont en groupes, mais généralement ils sont lents et maladroits.</v>
      </c>
    </row>
    <row r="22209">
      <c r="A22209" s="4" t="s">
        <v>27957</v>
      </c>
      <c r="B22209" s="4" t="s">
        <v>27958</v>
      </c>
      <c r="C22209" s="5" t="str">
        <f>IFERROR(__xludf.DUMMYFUNCTION("GOOGLETRANSLATE(B22209,""en"",""fr"")"),"Une femme est montrée en train de parler dans sa cuisine.")</f>
        <v>Une femme est montrée en train de parler dans sa cuisine.</v>
      </c>
    </row>
    <row r="22210">
      <c r="A22210" s="4" t="s">
        <v>27957</v>
      </c>
      <c r="B22210" s="4" t="s">
        <v>27959</v>
      </c>
      <c r="C22210" s="5" t="str">
        <f>IFERROR(__xludf.DUMMYFUNCTION("GOOGLETRANSLATE(B22210,""en"",""fr"")"),"Elle remplit un bol de beurre, de farine et de sucre et ajoute des œufs.")</f>
        <v>Elle remplit un bol de beurre, de farine et de sucre et ajoute des œufs.</v>
      </c>
    </row>
    <row r="22211">
      <c r="A22211" s="4" t="s">
        <v>27957</v>
      </c>
      <c r="B22211" s="4" t="s">
        <v>27960</v>
      </c>
      <c r="C22211" s="5" t="str">
        <f>IFERROR(__xludf.DUMMYFUNCTION("GOOGLETRANSLATE(B22211,""en"",""fr"")"),"Elle crée une pâte, puis fait et cuit un lot de cookies.")</f>
        <v>Elle crée une pâte, puis fait et cuit un lot de cookies.</v>
      </c>
    </row>
    <row r="22212">
      <c r="A22212" s="4" t="s">
        <v>27961</v>
      </c>
      <c r="B22212" s="4" t="s">
        <v>27962</v>
      </c>
      <c r="C22212" s="5" t="str">
        <f>IFERROR(__xludf.DUMMYFUNCTION("GOOGLETRANSLATE(B22212,""en"",""fr"")"),"Une fille traverse les bars de singe.")</f>
        <v>Une fille traverse les bars de singe.</v>
      </c>
    </row>
    <row r="22213">
      <c r="A22213" s="4" t="s">
        <v>27961</v>
      </c>
      <c r="B22213" s="4" t="s">
        <v>27963</v>
      </c>
      <c r="C22213" s="5" t="str">
        <f>IFERROR(__xludf.DUMMYFUNCTION("GOOGLETRANSLATE(B22213,""en"",""fr"")"),"Une fille en chemise jaune se tient sur le sol en regardant.")</f>
        <v>Une fille en chemise jaune se tient sur le sol en regardant.</v>
      </c>
    </row>
    <row r="22214">
      <c r="A22214" s="4" t="s">
        <v>27961</v>
      </c>
      <c r="B22214" s="4" t="s">
        <v>27964</v>
      </c>
      <c r="C22214" s="5" t="str">
        <f>IFERROR(__xludf.DUMMYFUNCTION("GOOGLETRANSLATE(B22214,""en"",""fr"")"),"Une fille sur une chemise bleue se tient sur une aire de jeux.")</f>
        <v>Une fille sur une chemise bleue se tient sur une aire de jeux.</v>
      </c>
    </row>
    <row r="22215">
      <c r="A22215" s="4" t="s">
        <v>27965</v>
      </c>
      <c r="B22215" s="4" t="s">
        <v>27966</v>
      </c>
      <c r="C22215" s="5" t="str">
        <f>IFERROR(__xludf.DUMMYFUNCTION("GOOGLETRANSLATE(B22215,""en"",""fr"")"),"Une femme est vue assise dans un canoë lorsqu'un homme la pousse et monte à l'arrière.")</f>
        <v>Une femme est vue assise dans un canoë lorsqu'un homme la pousse et monte à l'arrière.</v>
      </c>
    </row>
    <row r="22216">
      <c r="A22216" s="4" t="s">
        <v>27965</v>
      </c>
      <c r="B22216" s="4" t="s">
        <v>27967</v>
      </c>
      <c r="C22216" s="5" t="str">
        <f>IFERROR(__xludf.DUMMYFUNCTION("GOOGLETRANSLATE(B22216,""en"",""fr"")"),"L'homme est vu rouler et regarder son environnement pendant que l'homme derrière des pagaies.")</f>
        <v>L'homme est vu rouler et regarder son environnement pendant que l'homme derrière des pagaies.</v>
      </c>
    </row>
    <row r="22217">
      <c r="A22217" s="4" t="s">
        <v>27965</v>
      </c>
      <c r="B22217" s="4" t="s">
        <v>27968</v>
      </c>
      <c r="C22217" s="5" t="str">
        <f>IFERROR(__xludf.DUMMYFUNCTION("GOOGLETRANSLATE(B22217,""en"",""fr"")"),"La femme continue de s'asseoir et de regarder autour d'elle les arbres et les vues.")</f>
        <v>La femme continue de s'asseoir et de regarder autour d'elle les arbres et les vues.</v>
      </c>
    </row>
    <row r="22218">
      <c r="A22218" s="4" t="s">
        <v>27969</v>
      </c>
      <c r="B22218" s="4" t="s">
        <v>27970</v>
      </c>
      <c r="C22218" s="5" t="str">
        <f>IFERROR(__xludf.DUMMYFUNCTION("GOOGLETRANSLATE(B22218,""en"",""fr"")"),"Un homme se fait percer l'oreille par un autre individu qui n'a que ses mains dans le cadre.")</f>
        <v>Un homme se fait percer l'oreille par un autre individu qui n'a que ses mains dans le cadre.</v>
      </c>
    </row>
    <row r="22219">
      <c r="A22219" s="4" t="s">
        <v>27969</v>
      </c>
      <c r="B22219" s="4" t="s">
        <v>27971</v>
      </c>
      <c r="C22219" s="5" t="str">
        <f>IFERROR(__xludf.DUMMYFUNCTION("GOOGLETRANSLATE(B22219,""en"",""fr"")"),"Le deuxième individu pousse un chariot derrière le premier individu.")</f>
        <v>Le deuxième individu pousse un chariot derrière le premier individu.</v>
      </c>
    </row>
    <row r="22220">
      <c r="A22220" s="4" t="s">
        <v>27969</v>
      </c>
      <c r="B22220" s="4" t="s">
        <v>27972</v>
      </c>
      <c r="C22220" s="5" t="str">
        <f>IFERROR(__xludf.DUMMYFUNCTION("GOOGLETRANSLATE(B22220,""en"",""fr"")"),"La caméra se concentre sur le premier individu.")</f>
        <v>La caméra se concentre sur le premier individu.</v>
      </c>
    </row>
    <row r="22221">
      <c r="A22221" s="4" t="s">
        <v>27969</v>
      </c>
      <c r="B22221" s="4" t="s">
        <v>27973</v>
      </c>
      <c r="C22221" s="5" t="str">
        <f>IFERROR(__xludf.DUMMYFUNCTION("GOOGLETRANSLATE(B22221,""en"",""fr"")"),"Le deuxième individu perce l'autre oreille du premier homme.")</f>
        <v>Le deuxième individu perce l'autre oreille du premier homme.</v>
      </c>
    </row>
    <row r="22222">
      <c r="A22222" s="4" t="s">
        <v>27974</v>
      </c>
      <c r="B22222" s="4" t="s">
        <v>1487</v>
      </c>
      <c r="C22222" s="5" t="str">
        <f>IFERROR(__xludf.DUMMYFUNCTION("GOOGLETRANSLATE(B22222,""en"",""fr"")"),"Nous voyons un écran de titre d'ouverture.")</f>
        <v>Nous voyons un écran de titre d'ouverture.</v>
      </c>
    </row>
    <row r="22223">
      <c r="A22223" s="4" t="s">
        <v>27974</v>
      </c>
      <c r="B22223" s="4" t="s">
        <v>27975</v>
      </c>
      <c r="C22223" s="5" t="str">
        <f>IFERROR(__xludf.DUMMYFUNCTION("GOOGLETRANSLATE(B22223,""en"",""fr"")"),"Nous voyons une dame laver les vêtements à la main à l'extérieur.")</f>
        <v>Nous voyons une dame laver les vêtements à la main à l'extérieur.</v>
      </c>
    </row>
    <row r="22224">
      <c r="A22224" s="4" t="s">
        <v>27974</v>
      </c>
      <c r="B22224" s="4" t="s">
        <v>27976</v>
      </c>
      <c r="C22224" s="5" t="str">
        <f>IFERROR(__xludf.DUMMYFUNCTION("GOOGLETRANSLATE(B22224,""en"",""fr"")"),"La dame verse de l'eau sur les vêtements d'un bol.")</f>
        <v>La dame verse de l'eau sur les vêtements d'un bol.</v>
      </c>
    </row>
    <row r="22225">
      <c r="A22225" s="4" t="s">
        <v>27974</v>
      </c>
      <c r="B22225" s="4" t="s">
        <v>27977</v>
      </c>
      <c r="C22225" s="5" t="str">
        <f>IFERROR(__xludf.DUMMYFUNCTION("GOOGLETRANSLATE(B22225,""en"",""fr"")"),"La dame repousse ses cheveux.")</f>
        <v>La dame repousse ses cheveux.</v>
      </c>
    </row>
    <row r="22226">
      <c r="A22226" s="4" t="s">
        <v>27974</v>
      </c>
      <c r="B22226" s="4" t="s">
        <v>27978</v>
      </c>
      <c r="C22226" s="5" t="str">
        <f>IFERROR(__xludf.DUMMYFUNCTION("GOOGLETRANSLATE(B22226,""en"",""fr"")"),"La dame verse plus d'eau sur les vêtements.")</f>
        <v>La dame verse plus d'eau sur les vêtements.</v>
      </c>
    </row>
    <row r="22227">
      <c r="A22227" s="4" t="s">
        <v>27974</v>
      </c>
      <c r="B22227" s="4" t="s">
        <v>2892</v>
      </c>
      <c r="C22227" s="5" t="str">
        <f>IFERROR(__xludf.DUMMYFUNCTION("GOOGLETRANSLATE(B22227,""en"",""fr"")"),"Nous voyons l'écran de titre de clôture.")</f>
        <v>Nous voyons l'écran de titre de clôture.</v>
      </c>
    </row>
    <row r="22228">
      <c r="A22228" s="4" t="s">
        <v>27979</v>
      </c>
      <c r="B22228" s="4" t="s">
        <v>27980</v>
      </c>
      <c r="C22228" s="5" t="str">
        <f>IFERROR(__xludf.DUMMYFUNCTION("GOOGLETRANSLATE(B22228,""en"",""fr"")"),"Un homme est à l'extérieur de gratter la glace des fenêtres de sa voiture.")</f>
        <v>Un homme est à l'extérieur de gratter la glace des fenêtres de sa voiture.</v>
      </c>
    </row>
    <row r="22229">
      <c r="A22229" s="4" t="s">
        <v>27979</v>
      </c>
      <c r="B22229" s="4" t="s">
        <v>27981</v>
      </c>
      <c r="C22229" s="5" t="str">
        <f>IFERROR(__xludf.DUMMYFUNCTION("GOOGLETRANSLATE(B22229,""en"",""fr"")"),"Une fois terminé, il met l'outil à l'arrière de son siège et monte dans la voiture.")</f>
        <v>Une fois terminé, il met l'outil à l'arrière de son siège et monte dans la voiture.</v>
      </c>
    </row>
    <row r="22230">
      <c r="A22230" s="4" t="s">
        <v>27982</v>
      </c>
      <c r="B22230" s="4" t="s">
        <v>27983</v>
      </c>
      <c r="C22230" s="5" t="str">
        <f>IFERROR(__xludf.DUMMYFUNCTION("GOOGLETRANSLATE(B22230,""en"",""fr"")"),"Une personne est vue en train de boire un verre, suivi par lui parlant à d'autres sur une montagne.")</f>
        <v>Une personne est vue en train de boire un verre, suivi par lui parlant à d'autres sur une montagne.</v>
      </c>
    </row>
    <row r="22231">
      <c r="A22231" s="4" t="s">
        <v>27982</v>
      </c>
      <c r="B22231" s="4" t="s">
        <v>27984</v>
      </c>
      <c r="C22231" s="5" t="str">
        <f>IFERROR(__xludf.DUMMYFUNCTION("GOOGLETRANSLATE(B22231,""en"",""fr"")"),"Plus de coups sont montrés de l'homme en train de boire un verre et de parler aux autres.")</f>
        <v>Plus de coups sont montrés de l'homme en train de boire un verre et de parler aux autres.</v>
      </c>
    </row>
    <row r="22232">
      <c r="A22232" s="4" t="s">
        <v>27982</v>
      </c>
      <c r="B22232" s="4" t="s">
        <v>27985</v>
      </c>
      <c r="C22232" s="5" t="str">
        <f>IFERROR(__xludf.DUMMYFUNCTION("GOOGLETRANSLATE(B22232,""en"",""fr"")"),"L'homme a une autre boisson et joue une piscine suivie d'une photo d'eux.")</f>
        <v>L'homme a une autre boisson et joue une piscine suivie d'une photo d'eux.</v>
      </c>
    </row>
    <row r="22233">
      <c r="A22233" s="4" t="s">
        <v>27986</v>
      </c>
      <c r="B22233" s="4" t="s">
        <v>27987</v>
      </c>
      <c r="C22233" s="5" t="str">
        <f>IFERROR(__xludf.DUMMYFUNCTION("GOOGLETRANSLATE(B22233,""en"",""fr"")"),"Une dame est assise et joue du piano.")</f>
        <v>Une dame est assise et joue du piano.</v>
      </c>
    </row>
    <row r="22234">
      <c r="A22234" s="4" t="s">
        <v>27986</v>
      </c>
      <c r="B22234" s="4" t="s">
        <v>27988</v>
      </c>
      <c r="C22234" s="5" t="str">
        <f>IFERROR(__xludf.DUMMYFUNCTION("GOOGLETRANSLATE(B22234,""en"",""fr"")"),"Un gars est debout et joue un saxophone.")</f>
        <v>Un gars est debout et joue un saxophone.</v>
      </c>
    </row>
    <row r="22235">
      <c r="A22235" s="4" t="s">
        <v>27986</v>
      </c>
      <c r="B22235" s="4" t="s">
        <v>27989</v>
      </c>
      <c r="C22235" s="5" t="str">
        <f>IFERROR(__xludf.DUMMYFUNCTION("GOOGLETRANSLATE(B22235,""en"",""fr"")"),"La dame et le gars se produisent sur la même scène, ensemble.")</f>
        <v>La dame et le gars se produisent sur la même scène, ensemble.</v>
      </c>
    </row>
    <row r="22236">
      <c r="A22236" s="4" t="s">
        <v>27986</v>
      </c>
      <c r="B22236" s="4" t="s">
        <v>27990</v>
      </c>
      <c r="C22236" s="5" t="str">
        <f>IFERROR(__xludf.DUMMYFUNCTION("GOOGLETRANSLATE(B22236,""en"",""fr"")"),"La dame et le gars cessent de jouer.")</f>
        <v>La dame et le gars cessent de jouer.</v>
      </c>
    </row>
    <row r="22237">
      <c r="A22237" s="4" t="s">
        <v>27991</v>
      </c>
      <c r="B22237" s="4" t="s">
        <v>27992</v>
      </c>
      <c r="C22237" s="5" t="str">
        <f>IFERROR(__xludf.DUMMYFUNCTION("GOOGLETRANSLATE(B22237,""en"",""fr"")"),"Un homme et un petit garçon jouent à un badminton dans une cour intérieure.")</f>
        <v>Un homme et un petit garçon jouent à un badminton dans une cour intérieure.</v>
      </c>
    </row>
    <row r="22238">
      <c r="A22238" s="4" t="s">
        <v>27991</v>
      </c>
      <c r="B22238" s="4" t="s">
        <v>27993</v>
      </c>
      <c r="C22238" s="5" t="str">
        <f>IFERROR(__xludf.DUMMYFUNCTION("GOOGLETRANSLATE(B22238,""en"",""fr"")"),"Le petit garçon sert et renvoie bien le ballon.")</f>
        <v>Le petit garçon sert et renvoie bien le ballon.</v>
      </c>
    </row>
    <row r="22239">
      <c r="A22239" s="4" t="s">
        <v>27991</v>
      </c>
      <c r="B22239" s="6" t="s">
        <v>27994</v>
      </c>
      <c r="C22239" s="5" t="str">
        <f>IFERROR(__xludf.DUMMYFUNCTION("GOOGLETRANSLATE(B22239,""en"",""fr"")"),"Le petit garçon manque une balle qui se termine dans le filet, puis l'homme récupère le ballon et ils continuent de jouer.")</f>
        <v>Le petit garçon manque une balle qui se termine dans le filet, puis l'homme récupère le ballon et ils continuent de jouer.</v>
      </c>
    </row>
    <row r="22240">
      <c r="A22240" s="4" t="s">
        <v>27995</v>
      </c>
      <c r="B22240" s="4" t="s">
        <v>27996</v>
      </c>
      <c r="C22240" s="5" t="str">
        <f>IFERROR(__xludf.DUMMYFUNCTION("GOOGLETRANSLATE(B22240,""en"",""fr"")"),"Deux jeunes motocyclistes sont assis sur les vélos et agitent sur un sentier de terre.")</f>
        <v>Deux jeunes motocyclistes sont assis sur les vélos et agitent sur un sentier de terre.</v>
      </c>
    </row>
    <row r="22241">
      <c r="A22241" s="4" t="s">
        <v>27995</v>
      </c>
      <c r="B22241" s="4" t="s">
        <v>27997</v>
      </c>
      <c r="C22241" s="5" t="str">
        <f>IFERROR(__xludf.DUMMYFUNCTION("GOOGLETRANSLATE(B22241,""en"",""fr"")"),"Les garçons montent leurs vélos sur les sauts sur les sentiers.")</f>
        <v>Les garçons montent leurs vélos sur les sauts sur les sentiers.</v>
      </c>
    </row>
    <row r="22242">
      <c r="A22242" s="4" t="s">
        <v>27995</v>
      </c>
      <c r="B22242" s="4" t="s">
        <v>27998</v>
      </c>
      <c r="C22242" s="5" t="str">
        <f>IFERROR(__xludf.DUMMYFUNCTION("GOOGLETRANSLATE(B22242,""en"",""fr"")"),"Un jeune cavalier saute une rampe et serre le guidon avec ses pieds.")</f>
        <v>Un jeune cavalier saute une rampe et serre le guidon avec ses pieds.</v>
      </c>
    </row>
    <row r="22243">
      <c r="A22243" s="4" t="s">
        <v>27995</v>
      </c>
      <c r="B22243" s="4" t="s">
        <v>27999</v>
      </c>
      <c r="C22243" s="5" t="str">
        <f>IFERROR(__xludf.DUMMYFUNCTION("GOOGLETRANSLATE(B22243,""en"",""fr"")"),"Le garçon guérit les clics et donne des coups de pied sur le côté de la moto dans les airs.")</f>
        <v>Le garçon guérit les clics et donne des coups de pied sur le côté de la moto dans les airs.</v>
      </c>
    </row>
    <row r="22244">
      <c r="A22244" s="4" t="s">
        <v>28000</v>
      </c>
      <c r="B22244" s="6" t="s">
        <v>28001</v>
      </c>
      <c r="C22244" s="5" t="str">
        <f>IFERROR(__xludf.DUMMYFUNCTION("GOOGLETRANSLATE(B22244,""en"",""fr"")"),"Une jeune fille aux cheveux bouclés en désordre est debout devant l'évier pour nettoyer un plat avec une éponge bleue.")</f>
        <v>Une jeune fille aux cheveux bouclés en désordre est debout devant l'évier pour nettoyer un plat avec une éponge bleue.</v>
      </c>
    </row>
    <row r="22245">
      <c r="A22245" s="4" t="s">
        <v>28000</v>
      </c>
      <c r="B22245" s="4" t="s">
        <v>28002</v>
      </c>
      <c r="C22245" s="5" t="str">
        <f>IFERROR(__xludf.DUMMYFUNCTION("GOOGLETRANSLATE(B22245,""en"",""fr"")"),"Elle rince ensuite le haut de l'assiette et le tend à quelqu'un debout derrière elle.")</f>
        <v>Elle rince ensuite le haut de l'assiette et le tend à quelqu'un debout derrière elle.</v>
      </c>
    </row>
    <row r="22246">
      <c r="A22246" s="4" t="s">
        <v>28000</v>
      </c>
      <c r="B22246" s="6" t="s">
        <v>28003</v>
      </c>
      <c r="C22246" s="5" t="str">
        <f>IFERROR(__xludf.DUMMYFUNCTION("GOOGLETRANSLATE(B22246,""en"",""fr"")"),"Alors qu'elle attrape le plat suivant, quelqu'un vient et met un autre plat dans l'évier alors qu'elle continue de jeter de l'eau dans et hors du récipient.")</f>
        <v>Alors qu'elle attrape le plat suivant, quelqu'un vient et met un autre plat dans l'évier alors qu'elle continue de jeter de l'eau dans et hors du récipient.</v>
      </c>
    </row>
    <row r="22247">
      <c r="A22247" s="4" t="s">
        <v>28004</v>
      </c>
      <c r="B22247" s="4" t="s">
        <v>28005</v>
      </c>
      <c r="C22247" s="5" t="str">
        <f>IFERROR(__xludf.DUMMYFUNCTION("GOOGLETRANSLATE(B22247,""en"",""fr"")"),"Un homme est assis à jouer d'un saxophone.")</f>
        <v>Un homme est assis à jouer d'un saxophone.</v>
      </c>
    </row>
    <row r="22248">
      <c r="A22248" s="4" t="s">
        <v>28004</v>
      </c>
      <c r="B22248" s="4" t="s">
        <v>28006</v>
      </c>
      <c r="C22248" s="5" t="str">
        <f>IFERROR(__xludf.DUMMYFUNCTION("GOOGLETRANSLATE(B22248,""en"",""fr"")"),"Il arrête de jouer du saxophone et des pourparlers.")</f>
        <v>Il arrête de jouer du saxophone et des pourparlers.</v>
      </c>
    </row>
    <row r="22249">
      <c r="A22249" s="4" t="s">
        <v>28004</v>
      </c>
      <c r="B22249" s="4" t="s">
        <v>28007</v>
      </c>
      <c r="C22249" s="5" t="str">
        <f>IFERROR(__xludf.DUMMYFUNCTION("GOOGLETRANSLATE(B22249,""en"",""fr"")"),"Il se lève et continue de jouer du saxophone.")</f>
        <v>Il se lève et continue de jouer du saxophone.</v>
      </c>
    </row>
    <row r="22250">
      <c r="A22250" s="4" t="s">
        <v>28008</v>
      </c>
      <c r="B22250" s="6" t="s">
        <v>28009</v>
      </c>
      <c r="C22250" s="5" t="str">
        <f>IFERROR(__xludf.DUMMYFUNCTION("GOOGLETRANSLATE(B22250,""en"",""fr"")"),"Une intro colorée avec beaucoup de mots clignotants clignote sur l'écran avec un logo et une bannière avec une langue étrangère écrite dessus.")</f>
        <v>Une intro colorée avec beaucoup de mots clignotants clignote sur l'écran avec un logo et une bannière avec une langue étrangère écrite dessus.</v>
      </c>
    </row>
    <row r="22251">
      <c r="A22251" s="4" t="s">
        <v>28008</v>
      </c>
      <c r="B22251" s="6" t="s">
        <v>28010</v>
      </c>
      <c r="C22251" s="5" t="str">
        <f>IFERROR(__xludf.DUMMYFUNCTION("GOOGLETRANSLATE(B22251,""en"",""fr"")"),"Une femme vêtue d'une robe et d'une écharpe orange et rouge se tient debout et parle qu'elle ait du papier blanc dans ses mains.")</f>
        <v>Une femme vêtue d'une robe et d'une écharpe orange et rouge se tient debout et parle qu'elle ait du papier blanc dans ses mains.</v>
      </c>
    </row>
    <row r="22252">
      <c r="A22252" s="4" t="s">
        <v>28008</v>
      </c>
      <c r="B22252" s="6" t="s">
        <v>28011</v>
      </c>
      <c r="C22252" s="5" t="str">
        <f>IFERROR(__xludf.DUMMYFUNCTION("GOOGLETRANSLATE(B22252,""en"",""fr"")"),"La femme n'est plus montrée et il y a diverses images qui clignotent qui semblent concerner le lavage de vitesse de vitesse.")</f>
        <v>La femme n'est plus montrée et il y a diverses images qui clignotent qui semblent concerner le lavage de vitesse de vitesse.</v>
      </c>
    </row>
    <row r="22253">
      <c r="A22253" s="4" t="s">
        <v>28008</v>
      </c>
      <c r="B22253" s="6" t="s">
        <v>28012</v>
      </c>
      <c r="C22253" s="5" t="str">
        <f>IFERROR(__xludf.DUMMYFUNCTION("GOOGLETRANSLATE(B22253,""en"",""fr"")"),"Quelques courts clips vidéo commencent et ils se déroulent tous dans la société de lavage de Speed ​​Car où les voitures conduisent, les produits sont affichés, un homme lave une voiture et diverses personnes parlent ensemble ou seule.")</f>
        <v>Quelques courts clips vidéo commencent et ils se déroulent tous dans la société de lavage de Speed ​​Car où les voitures conduisent, les produits sont affichés, un homme lave une voiture et diverses personnes parlent ensemble ou seule.</v>
      </c>
    </row>
    <row r="22254">
      <c r="A22254" s="4" t="s">
        <v>28008</v>
      </c>
      <c r="B22254" s="6" t="s">
        <v>28013</v>
      </c>
      <c r="C22254" s="5" t="str">
        <f>IFERROR(__xludf.DUMMYFUNCTION("GOOGLETRANSLATE(B22254,""en"",""fr"")"),"La femme d'avant qui est vêtue d'une robe orange et rouge apparaît à nouveau et tient toujours le livre blanc pendant qu'elle parle.")</f>
        <v>La femme d'avant qui est vêtue d'une robe orange et rouge apparaît à nouveau et tient toujours le livre blanc pendant qu'elle parle.</v>
      </c>
    </row>
    <row r="22255">
      <c r="A22255" s="4" t="s">
        <v>28008</v>
      </c>
      <c r="B22255" s="4" t="s">
        <v>28014</v>
      </c>
      <c r="C22255" s="5" t="str">
        <f>IFERROR(__xludf.DUMMYFUNCTION("GOOGLETRANSLATE(B22255,""en"",""fr"")"),"Des mots clignotants apparaissent après que la femme parle et continue jusqu'à la fin.")</f>
        <v>Des mots clignotants apparaissent après que la femme parle et continue jusqu'à la fin.</v>
      </c>
    </row>
    <row r="22256">
      <c r="A22256" s="4" t="s">
        <v>28015</v>
      </c>
      <c r="B22256" s="4" t="s">
        <v>28016</v>
      </c>
      <c r="C22256" s="5" t="str">
        <f>IFERROR(__xludf.DUMMYFUNCTION("GOOGLETRANSLATE(B22256,""en"",""fr"")"),"Une jetée est montrée sur une plage, avec des gens qui marchent à côté.")</f>
        <v>Une jetée est montrée sur une plage, avec des gens qui marchent à côté.</v>
      </c>
    </row>
    <row r="22257">
      <c r="A22257" s="4" t="s">
        <v>28015</v>
      </c>
      <c r="B22257" s="4" t="s">
        <v>28017</v>
      </c>
      <c r="C22257" s="5" t="str">
        <f>IFERROR(__xludf.DUMMYFUNCTION("GOOGLETRANSLATE(B22257,""en"",""fr"")"),"De nombreuses images sont présentées d'une femme attachant une paire de patins.")</f>
        <v>De nombreuses images sont présentées d'une femme attachant une paire de patins.</v>
      </c>
    </row>
    <row r="22258">
      <c r="A22258" s="4" t="s">
        <v>28015</v>
      </c>
      <c r="B22258" s="4" t="s">
        <v>28018</v>
      </c>
      <c r="C22258" s="5" t="str">
        <f>IFERROR(__xludf.DUMMYFUNCTION("GOOGLETRANSLATE(B22258,""en"",""fr"")"),"Elle patine et nous voyons des vélos, des gens qui les chevauchent, des palmiers et des roues Ferris.")</f>
        <v>Elle patine et nous voyons des vélos, des gens qui les chevauchent, des palmiers et des roues Ferris.</v>
      </c>
    </row>
    <row r="22259">
      <c r="A22259" s="4" t="s">
        <v>28015</v>
      </c>
      <c r="B22259" s="4" t="s">
        <v>28019</v>
      </c>
      <c r="C22259" s="5" t="str">
        <f>IFERROR(__xludf.DUMMYFUNCTION("GOOGLETRANSLATE(B22259,""en"",""fr"")"),"Nous suivons la femme alors qu'elle patine aux côtés de planches de surf et d'autres personnes.")</f>
        <v>Nous suivons la femme alors qu'elle patine aux côtés de planches de surf et d'autres personnes.</v>
      </c>
    </row>
    <row r="22260">
      <c r="A22260" s="4" t="s">
        <v>28020</v>
      </c>
      <c r="B22260" s="4" t="s">
        <v>28021</v>
      </c>
      <c r="C22260" s="5" t="str">
        <f>IFERROR(__xludf.DUMMYFUNCTION("GOOGLETRANSLATE(B22260,""en"",""fr"")"),"Un homme et une femme dansent dans un restaurant plein de gens.")</f>
        <v>Un homme et une femme dansent dans un restaurant plein de gens.</v>
      </c>
    </row>
    <row r="22261">
      <c r="A22261" s="4" t="s">
        <v>28020</v>
      </c>
      <c r="B22261" s="6" t="s">
        <v>28022</v>
      </c>
      <c r="C22261" s="5" t="str">
        <f>IFERROR(__xludf.DUMMYFUNCTION("GOOGLETRANSLATE(B22261,""en"",""fr"")"),"La femme s'approche d'un jeune homme et touche son visage, puis l'homme se met en colère et pousse la femme qui se termine sur ses bras et continue de danser.")</f>
        <v>La femme s'approche d'un jeune homme et touche son visage, puis l'homme se met en colère et pousse la femme qui se termine sur ses bras et continue de danser.</v>
      </c>
    </row>
    <row r="22262">
      <c r="A22262" s="4" t="s">
        <v>28020</v>
      </c>
      <c r="B22262" s="4" t="s">
        <v>28023</v>
      </c>
      <c r="C22262" s="5" t="str">
        <f>IFERROR(__xludf.DUMMYFUNCTION("GOOGLETRANSLATE(B22262,""en"",""fr"")"),"Un feu apparaît sur le sol.")</f>
        <v>Un feu apparaît sur le sol.</v>
      </c>
    </row>
    <row r="22263">
      <c r="A22263" s="4" t="s">
        <v>28020</v>
      </c>
      <c r="B22263" s="4" t="s">
        <v>28024</v>
      </c>
      <c r="C22263" s="5" t="str">
        <f>IFERROR(__xludf.DUMMYFUNCTION("GOOGLETRANSLATE(B22263,""en"",""fr"")"),"Un homme met deux bâtons de pain sur le nez pendant qu'une femme regarde avec surprise.")</f>
        <v>Un homme met deux bâtons de pain sur le nez pendant qu'une femme regarde avec surprise.</v>
      </c>
    </row>
    <row r="22264">
      <c r="A22264" s="4" t="s">
        <v>28020</v>
      </c>
      <c r="B22264" s="6" t="s">
        <v>28025</v>
      </c>
      <c r="C22264" s="5" t="str">
        <f>IFERROR(__xludf.DUMMYFUNCTION("GOOGLETRANSLATE(B22264,""en"",""fr"")"),"L'homme aide une femme à éclairer une cigarette, puis il se retourne et prend en tant que tissu de table rouge pour faire des tours, l'homme et la femme continuent de danser jusqu'à ce qu'ils s'embrassent pendant que le liquide sort des bouteilles et appa"&amp;"raît la lune à la fin.")</f>
        <v>L'homme aide une femme à éclairer une cigarette, puis il se retourne et prend en tant que tissu de table rouge pour faire des tours, l'homme et la femme continuent de danser jusqu'à ce qu'ils s'embrassent pendant que le liquide sort des bouteilles et apparaît la lune à la fin.</v>
      </c>
    </row>
    <row r="22265">
      <c r="A22265" s="4" t="s">
        <v>28026</v>
      </c>
      <c r="B22265" s="4" t="s">
        <v>28027</v>
      </c>
      <c r="C22265" s="5" t="str">
        <f>IFERROR(__xludf.DUMMYFUNCTION("GOOGLETRANSLATE(B22265,""en"",""fr"")"),"Une petite fille essuie de l'eau sur tout le visage.")</f>
        <v>Une petite fille essuie de l'eau sur tout le visage.</v>
      </c>
    </row>
    <row r="22266">
      <c r="A22266" s="4" t="s">
        <v>28026</v>
      </c>
      <c r="B22266" s="4" t="s">
        <v>28028</v>
      </c>
      <c r="C22266" s="5" t="str">
        <f>IFERROR(__xludf.DUMMYFUNCTION("GOOGLETRANSLATE(B22266,""en"",""fr"")"),"Elle regarde la caméra et sourit alors qu'elle continue de se laver le visage.")</f>
        <v>Elle regarde la caméra et sourit alors qu'elle continue de se laver le visage.</v>
      </c>
    </row>
    <row r="22267">
      <c r="A22267" s="4" t="s">
        <v>28026</v>
      </c>
      <c r="B22267" s="4" t="s">
        <v>28029</v>
      </c>
      <c r="C22267" s="5" t="str">
        <f>IFERROR(__xludf.DUMMYFUNCTION("GOOGLETRANSLATE(B22267,""en"",""fr"")"),"Elle ressort légèrement sa langue à la caméra.")</f>
        <v>Elle ressort légèrement sa langue à la caméra.</v>
      </c>
    </row>
    <row r="22268">
      <c r="A22268" s="4" t="s">
        <v>28030</v>
      </c>
      <c r="B22268" s="6" t="s">
        <v>28031</v>
      </c>
      <c r="C22268" s="5" t="str">
        <f>IFERROR(__xludf.DUMMYFUNCTION("GOOGLETRANSLATE(B22268,""en"",""fr"")"),"Les gens s'amusent à jouer avec des pistolets de balle de peinture de manière intéressante, certains roulent dans des voitures et d'autres sont sur le terrain en tirant sur des boules de peinture.")</f>
        <v>Les gens s'amusent à jouer avec des pistolets de balle de peinture de manière intéressante, certains roulent dans des voitures et d'autres sont sur le terrain en tirant sur des boules de peinture.</v>
      </c>
    </row>
    <row r="22269">
      <c r="A22269" s="4" t="s">
        <v>28030</v>
      </c>
      <c r="B22269" s="4" t="s">
        <v>28032</v>
      </c>
      <c r="C22269" s="5" t="str">
        <f>IFERROR(__xludf.DUMMYFUNCTION("GOOGLETRANSLATE(B22269,""en"",""fr"")"),"Il y a des gens sur des motos ainsi que dans les airs dans les parachutes qui ont une grande journée de plaisir.")</f>
        <v>Il y a des gens sur des motos ainsi que dans les airs dans les parachutes qui ont une grande journée de plaisir.</v>
      </c>
    </row>
    <row r="22270">
      <c r="A22270" s="4" t="s">
        <v>28030</v>
      </c>
      <c r="B22270" s="4" t="s">
        <v>28033</v>
      </c>
      <c r="C22270" s="5" t="str">
        <f>IFERROR(__xludf.DUMMYFUNCTION("GOOGLETRANSLATE(B22270,""en"",""fr"")"),"Un gars semble avoir un lance-roquettes à balle de peinture et tire un gars avec.")</f>
        <v>Un gars semble avoir un lance-roquettes à balle de peinture et tire un gars avec.</v>
      </c>
    </row>
    <row r="22271">
      <c r="A22271" s="4" t="s">
        <v>28030</v>
      </c>
      <c r="B22271" s="4" t="s">
        <v>28034</v>
      </c>
      <c r="C22271" s="5" t="str">
        <f>IFERROR(__xludf.DUMMYFUNCTION("GOOGLETRANSLATE(B22271,""en"",""fr"")"),"Il y a aussi des gens sur les planches à patinage automobile.")</f>
        <v>Il y a aussi des gens sur les planches à patinage automobile.</v>
      </c>
    </row>
    <row r="22272">
      <c r="A22272" s="4" t="s">
        <v>28030</v>
      </c>
      <c r="B22272" s="6" t="s">
        <v>28035</v>
      </c>
      <c r="C22272" s="5" t="str">
        <f>IFERROR(__xludf.DUMMYFUNCTION("GOOGLETRANSLATE(B22272,""en"",""fr"")"),"Ils montrent qu'un groupe de personnes a atteint le sommet d'une petite colline pour planter le drapeau et beaucoup de coéquipiers ont été vaincus.")</f>
        <v>Ils montrent qu'un groupe de personnes a atteint le sommet d'une petite colline pour planter le drapeau et beaucoup de coéquipiers ont été vaincus.</v>
      </c>
    </row>
    <row r="22273">
      <c r="A22273" s="4" t="s">
        <v>28036</v>
      </c>
      <c r="B22273" s="6" t="s">
        <v>28037</v>
      </c>
      <c r="C22273" s="5" t="str">
        <f>IFERROR(__xludf.DUMMYFUNCTION("GOOGLETRANSLATE(B22273,""en"",""fr"")"),"Deux filles vêtues d'une chemise rouge et de Black Spanx se penchent sur la préparation d'un jeu de volley.")</f>
        <v>Deux filles vêtues d'une chemise rouge et de Black Spanx se penchent sur la préparation d'un jeu de volley.</v>
      </c>
    </row>
    <row r="22274">
      <c r="A22274" s="4" t="s">
        <v>28036</v>
      </c>
      <c r="B22274" s="4" t="s">
        <v>28038</v>
      </c>
      <c r="C22274" s="5" t="str">
        <f>IFERROR(__xludf.DUMMYFUNCTION("GOOGLETRANSLATE(B22274,""en"",""fr"")"),"L'autre équipe est montrée de l'autre côté du filet et sert le ballon.")</f>
        <v>L'autre équipe est montrée de l'autre côté du filet et sert le ballon.</v>
      </c>
    </row>
    <row r="22275">
      <c r="A22275" s="4" t="s">
        <v>28036</v>
      </c>
      <c r="B22275" s="4" t="s">
        <v>28039</v>
      </c>
      <c r="C22275" s="5" t="str">
        <f>IFERROR(__xludf.DUMMYFUNCTION("GOOGLETRANSLATE(B22275,""en"",""fr"")"),"Les deux filles commencent à jouer, frappe le ballon et la fille applaudit alors qu'elles gagnent un point.")</f>
        <v>Les deux filles commencent à jouer, frappe le ballon et la fille applaudit alors qu'elles gagnent un point.</v>
      </c>
    </row>
    <row r="22276">
      <c r="A22276" s="4" t="s">
        <v>28040</v>
      </c>
      <c r="B22276" s="6" t="s">
        <v>28041</v>
      </c>
      <c r="C22276" s="5" t="str">
        <f>IFERROR(__xludf.DUMMYFUNCTION("GOOGLETRANSLATE(B22276,""en"",""fr"")"),"Il y a beaucoup d'équipes différentes ramer très rapidement dans un très grand plan d'eau qui est à l'extérieur, entouré de nombreux arbres et de nombreux bâtiments.")</f>
        <v>Il y a beaucoup d'équipes différentes ramer très rapidement dans un très grand plan d'eau qui est à l'extérieur, entouré de nombreux arbres et de nombreux bâtiments.</v>
      </c>
    </row>
    <row r="22277">
      <c r="A22277" s="4" t="s">
        <v>28040</v>
      </c>
      <c r="B22277" s="6" t="s">
        <v>28042</v>
      </c>
      <c r="C22277" s="5" t="str">
        <f>IFERROR(__xludf.DUMMYFUNCTION("GOOGLETRANSLATE(B22277,""en"",""fr"")"),"Maintenant, l'accent est mis sur les canoës qui n'ont qu'une seule femme et ils courent sur un autre comme les équipes, mais elles sont seules et ils ont des chiffres derrière eux.")</f>
        <v>Maintenant, l'accent est mis sur les canoës qui n'ont qu'une seule femme et ils courent sur un autre comme les équipes, mais elles sont seules et ils ont des chiffres derrière eux.</v>
      </c>
    </row>
    <row r="22278">
      <c r="A22278" s="4" t="s">
        <v>28040</v>
      </c>
      <c r="B22278" s="6" t="s">
        <v>28043</v>
      </c>
      <c r="C22278" s="5" t="str">
        <f>IFERROR(__xludf.DUMMYFUNCTION("GOOGLETRANSLATE(B22278,""en"",""fr"")"),"Maintenant, ils montrent des canoës avec deux hommes de course et ils ramenaient également très rapidement, puis des équipes de 4 hommes commencent à courir.")</f>
        <v>Maintenant, ils montrent des canoës avec deux hommes de course et ils ramenaient également très rapidement, puis des équipes de 4 hommes commencent à courir.</v>
      </c>
    </row>
    <row r="22279">
      <c r="A22279" s="4" t="s">
        <v>28040</v>
      </c>
      <c r="B22279" s="6" t="s">
        <v>28044</v>
      </c>
      <c r="C22279" s="5" t="str">
        <f>IFERROR(__xludf.DUMMYFUNCTION("GOOGLETRANSLATE(B22279,""en"",""fr"")"),"Quand ils ont fini de courir, on leur montre maintenant un homme et une femme qui place des médailles sur des rubans autour des hommes et des femmes qui se dirigent vers lui.")</f>
        <v>Quand ils ont fini de courir, on leur montre maintenant un homme et une femme qui place des médailles sur des rubans autour des hommes et des femmes qui se dirigent vers lui.</v>
      </c>
    </row>
    <row r="22280">
      <c r="A22280" s="4" t="s">
        <v>28040</v>
      </c>
      <c r="B22280" s="4" t="s">
        <v>28045</v>
      </c>
      <c r="C22280" s="5" t="str">
        <f>IFERROR(__xludf.DUMMYFUNCTION("GOOGLETRANSLATE(B22280,""en"",""fr"")"),"Lorsque les médailles ont toutes été remises, la liste des gagnants commence à s'afficher sur différents écrans.")</f>
        <v>Lorsque les médailles ont toutes été remises, la liste des gagnants commence à s'afficher sur différents écrans.</v>
      </c>
    </row>
    <row r="22281">
      <c r="A22281" s="4" t="s">
        <v>28046</v>
      </c>
      <c r="B22281" s="4" t="s">
        <v>28047</v>
      </c>
      <c r="C22281" s="5" t="str">
        <f>IFERROR(__xludf.DUMMYFUNCTION("GOOGLETRANSLATE(B22281,""en"",""fr"")"),"Deux personnes skient sur une pente de montagne très froide et enneigée pendant l'hiver.")</f>
        <v>Deux personnes skient sur une pente de montagne très froide et enneigée pendant l'hiver.</v>
      </c>
    </row>
    <row r="22282">
      <c r="A22282" s="4" t="s">
        <v>28046</v>
      </c>
      <c r="B22282" s="4" t="s">
        <v>28048</v>
      </c>
      <c r="C22282" s="5" t="str">
        <f>IFERROR(__xludf.DUMMYFUNCTION("GOOGLETRANSLATE(B22282,""en"",""fr"")"),"Aller à gauche et à droite et commencer à accumuler plus de vitesse au fur et à mesure.")</f>
        <v>Aller à gauche et à droite et commencer à accumuler plus de vitesse au fur et à mesure.</v>
      </c>
    </row>
    <row r="22283">
      <c r="A22283" s="4" t="s">
        <v>28046</v>
      </c>
      <c r="B22283" s="6" t="s">
        <v>28049</v>
      </c>
      <c r="C22283" s="5" t="str">
        <f>IFERROR(__xludf.DUMMYFUNCTION("GOOGLETRANSLATE(B22283,""en"",""fr"")"),"L'un d'eux tombe et se déplaçant toujours sur la pente finit par courir dans un autre skieur, ce qui le fait tomber également.")</f>
        <v>L'un d'eux tombe et se déplaçant toujours sur la pente finit par courir dans un autre skieur, ce qui le fait tomber également.</v>
      </c>
    </row>
    <row r="22284">
      <c r="A22284" s="4" t="s">
        <v>28046</v>
      </c>
      <c r="B22284" s="4" t="s">
        <v>28050</v>
      </c>
      <c r="C22284" s="5" t="str">
        <f>IFERROR(__xludf.DUMMYFUNCTION("GOOGLETRANSLATE(B22284,""en"",""fr"")"),"Ils essaient de saisir les mains et ils finissent enfin.")</f>
        <v>Ils essaient de saisir les mains et ils finissent enfin.</v>
      </c>
    </row>
    <row r="22285">
      <c r="A22285" s="4" t="s">
        <v>28051</v>
      </c>
      <c r="B22285" s="4" t="s">
        <v>28052</v>
      </c>
      <c r="C22285" s="5" t="str">
        <f>IFERROR(__xludf.DUMMYFUNCTION("GOOGLETRANSLATE(B22285,""en"",""fr"")"),"Nous voyons l'écriture verte sur un écran de titre noir.")</f>
        <v>Nous voyons l'écriture verte sur un écran de titre noir.</v>
      </c>
    </row>
    <row r="22286">
      <c r="A22286" s="4" t="s">
        <v>28051</v>
      </c>
      <c r="B22286" s="6" t="s">
        <v>28053</v>
      </c>
      <c r="C22286" s="5" t="str">
        <f>IFERROR(__xludf.DUMMYFUNCTION("GOOGLETRANSLATE(B22286,""en"",""fr"")"),"Une dame dans un soutien-gorge en noir et blanc en dentelle se trouve dans une pièce noire sous des lumières lumineuses qui fument une cigarette.")</f>
        <v>Une dame dans un soutien-gorge en noir et blanc en dentelle se trouve dans une pièce noire sous des lumières lumineuses qui fument une cigarette.</v>
      </c>
    </row>
    <row r="22287">
      <c r="A22287" s="4" t="s">
        <v>28051</v>
      </c>
      <c r="B22287" s="4" t="s">
        <v>27977</v>
      </c>
      <c r="C22287" s="5" t="str">
        <f>IFERROR(__xludf.DUMMYFUNCTION("GOOGLETRANSLATE(B22287,""en"",""fr"")"),"La dame repousse ses cheveux.")</f>
        <v>La dame repousse ses cheveux.</v>
      </c>
    </row>
    <row r="22288">
      <c r="A22288" s="4" t="s">
        <v>28051</v>
      </c>
      <c r="B22288" s="4" t="s">
        <v>28054</v>
      </c>
      <c r="C22288" s="5" t="str">
        <f>IFERROR(__xludf.DUMMYFUNCTION("GOOGLETRANSLATE(B22288,""en"",""fr"")"),"La dame ajuste sa position sur la chaise et regarde les yeux.")</f>
        <v>La dame ajuste sa position sur la chaise et regarde les yeux.</v>
      </c>
    </row>
    <row r="22289">
      <c r="A22289" s="4" t="s">
        <v>28051</v>
      </c>
      <c r="B22289" s="4" t="s">
        <v>5107</v>
      </c>
      <c r="C22289" s="5" t="str">
        <f>IFERROR(__xludf.DUMMYFUNCTION("GOOGLETRANSLATE(B22289,""en"",""fr"")"),"Nous voyons ensuite l'écran du titre de fin.")</f>
        <v>Nous voyons ensuite l'écran du titre de fin.</v>
      </c>
    </row>
    <row r="22290">
      <c r="A22290" s="4" t="s">
        <v>28055</v>
      </c>
      <c r="B22290" s="4" t="s">
        <v>28056</v>
      </c>
      <c r="C22290" s="5" t="str">
        <f>IFERROR(__xludf.DUMMYFUNCTION("GOOGLETRANSLATE(B22290,""en"",""fr"")"),"Une personne portant un masque joue l'accordéon.")</f>
        <v>Une personne portant un masque joue l'accordéon.</v>
      </c>
    </row>
    <row r="22291">
      <c r="A22291" s="4" t="s">
        <v>28055</v>
      </c>
      <c r="B22291" s="4" t="s">
        <v>28057</v>
      </c>
      <c r="C22291" s="5" t="str">
        <f>IFERROR(__xludf.DUMMYFUNCTION("GOOGLETRANSLATE(B22291,""en"",""fr"")"),"Une femme fait signe à la personne avec la caméra.")</f>
        <v>Une femme fait signe à la personne avec la caméra.</v>
      </c>
    </row>
    <row r="22292">
      <c r="A22292" s="4" t="s">
        <v>28058</v>
      </c>
      <c r="B22292" s="4" t="s">
        <v>28059</v>
      </c>
      <c r="C22292" s="5" t="str">
        <f>IFERROR(__xludf.DUMMYFUNCTION("GOOGLETRANSLATE(B22292,""en"",""fr"")"),"Un gros plan de neige est montré qui mène à un homme jouant de la batterie.")</f>
        <v>Un gros plan de neige est montré qui mène à un homme jouant de la batterie.</v>
      </c>
    </row>
    <row r="22293">
      <c r="A22293" s="4" t="s">
        <v>28058</v>
      </c>
      <c r="B22293" s="4" t="s">
        <v>28060</v>
      </c>
      <c r="C22293" s="5" t="str">
        <f>IFERROR(__xludf.DUMMYFUNCTION("GOOGLETRANSLATE(B22293,""en"",""fr"")"),"L'homme se penche sur un ensemble de tambours dans la neige pendant que la caméra se déroule.")</f>
        <v>L'homme se penche sur un ensemble de tambours dans la neige pendant que la caméra se déroule.</v>
      </c>
    </row>
    <row r="22294">
      <c r="A22294" s="4" t="s">
        <v>28058</v>
      </c>
      <c r="B22294" s="4" t="s">
        <v>28061</v>
      </c>
      <c r="C22294" s="5" t="str">
        <f>IFERROR(__xludf.DUMMYFUNCTION("GOOGLETRANSLATE(B22294,""en"",""fr"")"),"L'homme joue toujours la batterie et s'arrête pour s'éloigner et regarder la caméra.")</f>
        <v>L'homme joue toujours la batterie et s'arrête pour s'éloigner et regarder la caméra.</v>
      </c>
    </row>
    <row r="22295">
      <c r="A22295" s="4" t="s">
        <v>28062</v>
      </c>
      <c r="B22295" s="4" t="s">
        <v>28063</v>
      </c>
      <c r="C22295" s="5" t="str">
        <f>IFERROR(__xludf.DUMMYFUNCTION("GOOGLETRANSLATE(B22295,""en"",""fr"")"),"Un homme peint une pièce.")</f>
        <v>Un homme peint une pièce.</v>
      </c>
    </row>
    <row r="22296">
      <c r="A22296" s="4" t="s">
        <v>28062</v>
      </c>
      <c r="B22296" s="4" t="s">
        <v>28064</v>
      </c>
      <c r="C22296" s="5" t="str">
        <f>IFERROR(__xludf.DUMMYFUNCTION("GOOGLETRANSLATE(B22296,""en"",""fr"")"),"Il se tient sur de nombreuses échelles pour atteindre les murs.")</f>
        <v>Il se tient sur de nombreuses échelles pour atteindre les murs.</v>
      </c>
    </row>
    <row r="22297">
      <c r="A22297" s="4" t="s">
        <v>28062</v>
      </c>
      <c r="B22297" s="4" t="s">
        <v>28065</v>
      </c>
      <c r="C22297" s="5" t="str">
        <f>IFERROR(__xludf.DUMMYFUNCTION("GOOGLETRANSLATE(B22297,""en"",""fr"")"),"Il pose devant une cheminée.")</f>
        <v>Il pose devant une cheminée.</v>
      </c>
    </row>
    <row r="22298">
      <c r="A22298" s="4" t="s">
        <v>28066</v>
      </c>
      <c r="B22298" s="6" t="s">
        <v>28067</v>
      </c>
      <c r="C22298" s="5" t="str">
        <f>IFERROR(__xludf.DUMMYFUNCTION("GOOGLETRANSLATE(B22298,""en"",""fr"")"),"Une caméra capture plusieurs plans de sites ainsi que des personnes debout à l'extérieur de boire et de célébrer.")</f>
        <v>Une caméra capture plusieurs plans de sites ainsi que des personnes debout à l'extérieur de boire et de célébrer.</v>
      </c>
    </row>
    <row r="22299">
      <c r="A22299" s="4" t="s">
        <v>28066</v>
      </c>
      <c r="B22299" s="4" t="s">
        <v>28068</v>
      </c>
      <c r="C22299" s="5" t="str">
        <f>IFERROR(__xludf.DUMMYFUNCTION("GOOGLETRANSLATE(B22299,""en"",""fr"")"),"Un homme sort une mauvaise herbe et un drone vole au loin.")</f>
        <v>Un homme sort une mauvaise herbe et un drone vole au loin.</v>
      </c>
    </row>
    <row r="22300">
      <c r="A22300" s="4" t="s">
        <v>28066</v>
      </c>
      <c r="B22300" s="6" t="s">
        <v>28069</v>
      </c>
      <c r="C22300" s="5" t="str">
        <f>IFERROR(__xludf.DUMMYFUNCTION("GOOGLETRANSLATE(B22300,""en"",""fr"")"),"Les gens tentent de frapper le drone et sont ensuite vus rouler sur une voiturette de golf autour d'autres personnes.")</f>
        <v>Les gens tentent de frapper le drone et sont ensuite vus rouler sur une voiturette de golf autour d'autres personnes.</v>
      </c>
    </row>
    <row r="22301">
      <c r="A22301" s="4" t="s">
        <v>28066</v>
      </c>
      <c r="B22301" s="6" t="s">
        <v>28070</v>
      </c>
      <c r="C22301" s="5" t="str">
        <f>IFERROR(__xludf.DUMMYFUNCTION("GOOGLETRANSLATE(B22301,""en"",""fr"")"),"Un homme se présente dans un costume de guérilla et le drone vole sur des gens qui jouent à des jeux et roulant.")</f>
        <v>Un homme se présente dans un costume de guérilla et le drone vole sur des gens qui jouent à des jeux et roulant.</v>
      </c>
    </row>
    <row r="22302">
      <c r="A22302" s="4" t="s">
        <v>28071</v>
      </c>
      <c r="B22302" s="6" t="s">
        <v>28072</v>
      </c>
      <c r="C22302" s="5" t="str">
        <f>IFERROR(__xludf.DUMMYFUNCTION("GOOGLETRANSLATE(B22302,""en"",""fr"")"),"Une fille en haut blanc et en jean bleu brosse la fourrure du cheval d'un côté, puis elle s'est déplacée de l'autre côté, puis s'est brossé la jambe.")</f>
        <v>Une fille en haut blanc et en jean bleu brosse la fourrure du cheval d'un côté, puis elle s'est déplacée de l'autre côté, puis s'est brossé la jambe.</v>
      </c>
    </row>
    <row r="22303">
      <c r="A22303" s="4" t="s">
        <v>28071</v>
      </c>
      <c r="B22303" s="6" t="s">
        <v>28073</v>
      </c>
      <c r="C22303" s="5" t="str">
        <f>IFERROR(__xludf.DUMMYFUNCTION("GOOGLETRANSLATE(B22303,""en"",""fr"")"),"La dame a ramassé une bouteille noire et a vaporisé le corps du cheval, puis a brossé la saleté des chaussures de cheval, puis a été poli sur les pieds du cheval.")</f>
        <v>La dame a ramassé une bouteille noire et a vaporisé le corps du cheval, puis a brossé la saleté des chaussures de cheval, puis a été poli sur les pieds du cheval.</v>
      </c>
    </row>
    <row r="22304">
      <c r="A22304" s="4" t="s">
        <v>28074</v>
      </c>
      <c r="B22304" s="4" t="s">
        <v>28075</v>
      </c>
      <c r="C22304" s="5" t="str">
        <f>IFERROR(__xludf.DUMMYFUNCTION("GOOGLETRANSLATE(B22304,""en"",""fr"")"),"Un jeune garçon arrange une chemise sur le sol.")</f>
        <v>Un jeune garçon arrange une chemise sur le sol.</v>
      </c>
    </row>
    <row r="22305">
      <c r="A22305" s="4" t="s">
        <v>28074</v>
      </c>
      <c r="B22305" s="4" t="s">
        <v>28076</v>
      </c>
      <c r="C22305" s="5" t="str">
        <f>IFERROR(__xludf.DUMMYFUNCTION("GOOGLETRANSLATE(B22305,""en"",""fr"")"),"Il attrape et fera du fer et flèle la chemise.")</f>
        <v>Il attrape et fera du fer et flèle la chemise.</v>
      </c>
    </row>
    <row r="22306">
      <c r="A22306" s="4" t="s">
        <v>28074</v>
      </c>
      <c r="B22306" s="4" t="s">
        <v>28077</v>
      </c>
      <c r="C22306" s="5" t="str">
        <f>IFERROR(__xludf.DUMMYFUNCTION("GOOGLETRANSLATE(B22306,""en"",""fr"")"),"Il place le fer et regarde autour de la pièce.")</f>
        <v>Il place le fer et regarde autour de la pièce.</v>
      </c>
    </row>
    <row r="22307">
      <c r="A22307" s="4" t="s">
        <v>28078</v>
      </c>
      <c r="B22307" s="4" t="s">
        <v>28079</v>
      </c>
      <c r="C22307" s="5" t="str">
        <f>IFERROR(__xludf.DUMMYFUNCTION("GOOGLETRANSLATE(B22307,""en"",""fr"")"),"Un jeune homme se tient dans une pièce sombre en tenant deux Maraca et en parlant à la caméra.")</f>
        <v>Un jeune homme se tient dans une pièce sombre en tenant deux Maraca et en parlant à la caméra.</v>
      </c>
    </row>
    <row r="22308">
      <c r="A22308" s="4" t="s">
        <v>28078</v>
      </c>
      <c r="B22308" s="4" t="s">
        <v>28080</v>
      </c>
      <c r="C22308" s="5" t="str">
        <f>IFERROR(__xludf.DUMMYFUNCTION("GOOGLETRANSLATE(B22308,""en"",""fr"")"),"Un autre homme entre en grondant et finit par enlever leurs chemises.")</f>
        <v>Un autre homme entre en grondant et finit par enlever leurs chemises.</v>
      </c>
    </row>
    <row r="22309">
      <c r="A22309" s="4" t="s">
        <v>28078</v>
      </c>
      <c r="B22309" s="4" t="s">
        <v>28081</v>
      </c>
      <c r="C22309" s="5" t="str">
        <f>IFERROR(__xludf.DUMMYFUNCTION("GOOGLETRANSLATE(B22309,""en"",""fr"")"),"Ils marchent jusqu'à la salle de bain et frottent la crème à raser sur leurs jambes.")</f>
        <v>Ils marchent jusqu'à la salle de bain et frottent la crème à raser sur leurs jambes.</v>
      </c>
    </row>
    <row r="22310">
      <c r="A22310" s="4" t="s">
        <v>28078</v>
      </c>
      <c r="B22310" s="4" t="s">
        <v>28082</v>
      </c>
      <c r="C22310" s="5" t="str">
        <f>IFERROR(__xludf.DUMMYFUNCTION("GOOGLETRANSLATE(B22310,""en"",""fr"")"),"Ils commencent à se raser les jambes et à tenir un rasoir souriant à la caméra.")</f>
        <v>Ils commencent à se raser les jambes et à tenir un rasoir souriant à la caméra.</v>
      </c>
    </row>
    <row r="22311">
      <c r="A22311" s="4" t="s">
        <v>28083</v>
      </c>
      <c r="B22311" s="4" t="s">
        <v>28084</v>
      </c>
      <c r="C22311" s="5" t="str">
        <f>IFERROR(__xludf.DUMMYFUNCTION("GOOGLETRANSLATE(B22311,""en"",""fr"")"),"Un homme marche à l'extérieur branche sa tondeuse de pelouse et se prépare à tondre.")</f>
        <v>Un homme marche à l'extérieur branche sa tondeuse de pelouse et se prépare à tondre.</v>
      </c>
    </row>
    <row r="22312">
      <c r="A22312" s="4" t="s">
        <v>28083</v>
      </c>
      <c r="B22312" s="4" t="s">
        <v>28085</v>
      </c>
      <c r="C22312" s="5" t="str">
        <f>IFERROR(__xludf.DUMMYFUNCTION("GOOGLETRANSLATE(B22312,""en"",""fr"")"),"Il commence à tondre sa pelouse en passant par l'herbe avec désinvolture.")</f>
        <v>Il commence à tondre sa pelouse en passant par l'herbe avec désinvolture.</v>
      </c>
    </row>
    <row r="22313">
      <c r="A22313" s="4" t="s">
        <v>28083</v>
      </c>
      <c r="B22313" s="4" t="s">
        <v>28086</v>
      </c>
      <c r="C22313" s="5" t="str">
        <f>IFERROR(__xludf.DUMMYFUNCTION("GOOGLETRANSLATE(B22313,""en"",""fr"")"),"Son chien sort et commence à le suivre un peu de temps qu'il est plus proche de la maison.")</f>
        <v>Son chien sort et commence à le suivre un peu de temps qu'il est plus proche de la maison.</v>
      </c>
    </row>
    <row r="22314">
      <c r="A22314" s="4" t="s">
        <v>28083</v>
      </c>
      <c r="B22314" s="6" t="s">
        <v>28087</v>
      </c>
      <c r="C22314" s="5" t="str">
        <f>IFERROR(__xludf.DUMMYFUNCTION("GOOGLETRANSLATE(B22314,""en"",""fr"")"),"La cour commence lentement à être vraiment très agréable, une fois qu'il est complètement fini, la cour a fière allure, belle et lisse.")</f>
        <v>La cour commence lentement à être vraiment très agréable, une fois qu'il est complètement fini, la cour a fière allure, belle et lisse.</v>
      </c>
    </row>
    <row r="22315">
      <c r="A22315" s="4" t="s">
        <v>28088</v>
      </c>
      <c r="B22315" s="4" t="s">
        <v>28089</v>
      </c>
      <c r="C22315" s="5" t="str">
        <f>IFERROR(__xludf.DUMMYFUNCTION("GOOGLETRANSLATE(B22315,""en"",""fr"")"),"Un homme se tient dans une cuisine à parler.")</f>
        <v>Un homme se tient dans une cuisine à parler.</v>
      </c>
    </row>
    <row r="22316">
      <c r="A22316" s="4" t="s">
        <v>28088</v>
      </c>
      <c r="B22316" s="4" t="s">
        <v>28090</v>
      </c>
      <c r="C22316" s="5" t="str">
        <f>IFERROR(__xludf.DUMMYFUNCTION("GOOGLETRANSLATE(B22316,""en"",""fr"")"),"Il utilise un vide pour nettoyer le sol.")</f>
        <v>Il utilise un vide pour nettoyer le sol.</v>
      </c>
    </row>
    <row r="22317">
      <c r="A22317" s="4" t="s">
        <v>28088</v>
      </c>
      <c r="B22317" s="4" t="s">
        <v>28091</v>
      </c>
      <c r="C22317" s="5" t="str">
        <f>IFERROR(__xludf.DUMMYFUNCTION("GOOGLETRANSLATE(B22317,""en"",""fr"")"),"Il retire le filtre du vide.")</f>
        <v>Il retire le filtre du vide.</v>
      </c>
    </row>
    <row r="22318">
      <c r="A22318" s="4" t="s">
        <v>28088</v>
      </c>
      <c r="B22318" s="4" t="s">
        <v>28092</v>
      </c>
      <c r="C22318" s="5" t="str">
        <f>IFERROR(__xludf.DUMMYFUNCTION("GOOGLETRANSLATE(B22318,""en"",""fr"")"),"Il en parle plus après cela.")</f>
        <v>Il en parle plus après cela.</v>
      </c>
    </row>
    <row r="22319">
      <c r="A22319" s="4" t="s">
        <v>28093</v>
      </c>
      <c r="B22319" s="4" t="s">
        <v>28094</v>
      </c>
      <c r="C22319" s="5" t="str">
        <f>IFERROR(__xludf.DUMMYFUNCTION("GOOGLETRANSLATE(B22319,""en"",""fr"")"),"Un homme d'âge moyen parle tout en tenant une vadrouille.")</f>
        <v>Un homme d'âge moyen parle tout en tenant une vadrouille.</v>
      </c>
    </row>
    <row r="22320">
      <c r="A22320" s="4" t="s">
        <v>28093</v>
      </c>
      <c r="B22320" s="4" t="s">
        <v>28095</v>
      </c>
      <c r="C22320" s="5" t="str">
        <f>IFERROR(__xludf.DUMMYFUNCTION("GOOGLETRANSLATE(B22320,""en"",""fr"")"),"L'homme jette une vadrouille sur le sol et met la vadrouille dessus en ramassant le coussin.")</f>
        <v>L'homme jette une vadrouille sur le sol et met la vadrouille dessus en ramassant le coussin.</v>
      </c>
    </row>
    <row r="22321">
      <c r="A22321" s="4" t="s">
        <v>28093</v>
      </c>
      <c r="B22321" s="4" t="s">
        <v>28096</v>
      </c>
      <c r="C22321" s="5" t="str">
        <f>IFERROR(__xludf.DUMMYFUNCTION("GOOGLETRANSLATE(B22321,""en"",""fr"")"),"L'homme fait le tour de la pièce en train de nettoyer le sol.")</f>
        <v>L'homme fait le tour de la pièce en train de nettoyer le sol.</v>
      </c>
    </row>
    <row r="22322">
      <c r="A22322" s="4" t="s">
        <v>28093</v>
      </c>
      <c r="B22322" s="4" t="s">
        <v>28097</v>
      </c>
      <c r="C22322" s="5" t="str">
        <f>IFERROR(__xludf.DUMMYFUNCTION("GOOGLETRANSLATE(B22322,""en"",""fr"")"),"Le même homme se tient dans une cuisine.")</f>
        <v>Le même homme se tient dans une cuisine.</v>
      </c>
    </row>
    <row r="22323">
      <c r="A22323" s="4" t="s">
        <v>28093</v>
      </c>
      <c r="B22323" s="4" t="s">
        <v>28098</v>
      </c>
      <c r="C22323" s="5" t="str">
        <f>IFERROR(__xludf.DUMMYFUNCTION("GOOGLETRANSLATE(B22323,""en"",""fr"")"),"L'homme passe de l'eau sur le coussin de vadrouille puis le tortille.")</f>
        <v>L'homme passe de l'eau sur le coussin de vadrouille puis le tortille.</v>
      </c>
    </row>
    <row r="22324">
      <c r="A22324" s="4" t="s">
        <v>28093</v>
      </c>
      <c r="B22324" s="4" t="s">
        <v>28099</v>
      </c>
      <c r="C22324" s="5" t="str">
        <f>IFERROR(__xludf.DUMMYFUNCTION("GOOGLETRANSLATE(B22324,""en"",""fr"")"),"L'homme jette à nouveau la vadrouille sur le sol et la ramasse avec la vadrouille.")</f>
        <v>L'homme jette à nouveau la vadrouille sur le sol et la ramasse avec la vadrouille.</v>
      </c>
    </row>
    <row r="22325">
      <c r="A22325" s="4" t="s">
        <v>28093</v>
      </c>
      <c r="B22325" s="4" t="s">
        <v>28100</v>
      </c>
      <c r="C22325" s="5" t="str">
        <f>IFERROR(__xludf.DUMMYFUNCTION("GOOGLETRANSLATE(B22325,""en"",""fr"")"),"L'homme émousse le sol en parcourant les meubles.")</f>
        <v>L'homme émousse le sol en parcourant les meubles.</v>
      </c>
    </row>
    <row r="22326">
      <c r="A22326" s="4" t="s">
        <v>28101</v>
      </c>
      <c r="B22326" s="4" t="s">
        <v>28102</v>
      </c>
      <c r="C22326" s="5" t="str">
        <f>IFERROR(__xludf.DUMMYFUNCTION("GOOGLETRANSLATE(B22326,""en"",""fr"")"),"Un homme âgé utilise un entraîneur elliptique à l'intérieur d'un gymnase.")</f>
        <v>Un homme âgé utilise un entraîneur elliptique à l'intérieur d'un gymnase.</v>
      </c>
    </row>
    <row r="22327">
      <c r="A22327" s="4" t="s">
        <v>28101</v>
      </c>
      <c r="B22327" s="4" t="s">
        <v>28103</v>
      </c>
      <c r="C22327" s="5" t="str">
        <f>IFERROR(__xludf.DUMMYFUNCTION("GOOGLETRANSLATE(B22327,""en"",""fr"")"),"Il pédale et pousse d'avant en arrière alors qu'il parle à la personne avec la caméra.")</f>
        <v>Il pédale et pousse d'avant en arrière alors qu'il parle à la personne avec la caméra.</v>
      </c>
    </row>
    <row r="22328">
      <c r="A22328" s="4" t="s">
        <v>28104</v>
      </c>
      <c r="B22328" s="4" t="s">
        <v>28105</v>
      </c>
      <c r="C22328" s="5" t="str">
        <f>IFERROR(__xludf.DUMMYFUNCTION("GOOGLETRANSLATE(B22328,""en"",""fr"")"),"Un groupe flotte paresseusement sur les intertibes dans une rivière.")</f>
        <v>Un groupe flotte paresseusement sur les intertibes dans une rivière.</v>
      </c>
    </row>
    <row r="22329">
      <c r="A22329" s="4" t="s">
        <v>28104</v>
      </c>
      <c r="B22329" s="4" t="s">
        <v>28106</v>
      </c>
      <c r="C22329" s="5" t="str">
        <f>IFERROR(__xludf.DUMMYFUNCTION("GOOGLETRANSLATE(B22329,""en"",""fr"")"),"Les gens se tiennent la main pour qu'ils restent ensemble.")</f>
        <v>Les gens se tiennent la main pour qu'ils restent ensemble.</v>
      </c>
    </row>
    <row r="22330">
      <c r="A22330" s="4" t="s">
        <v>28104</v>
      </c>
      <c r="B22330" s="4" t="s">
        <v>28107</v>
      </c>
      <c r="C22330" s="5" t="str">
        <f>IFERROR(__xludf.DUMMYFUNCTION("GOOGLETRANSLATE(B22330,""en"",""fr"")"),"Ils flottent dans l'eau sous la pluie, à travers les rapides.")</f>
        <v>Ils flottent dans l'eau sous la pluie, à travers les rapides.</v>
      </c>
    </row>
    <row r="22331">
      <c r="A22331" s="4" t="s">
        <v>28108</v>
      </c>
      <c r="B22331" s="4" t="s">
        <v>4448</v>
      </c>
      <c r="C22331" s="5" t="str">
        <f>IFERROR(__xludf.DUMMYFUNCTION("GOOGLETRANSLATE(B22331,""en"",""fr"")"),"Nous voyons l'écran du titre d'ouverture.")</f>
        <v>Nous voyons l'écran du titre d'ouverture.</v>
      </c>
    </row>
    <row r="22332">
      <c r="A22332" s="4" t="s">
        <v>28108</v>
      </c>
      <c r="B22332" s="4" t="s">
        <v>28109</v>
      </c>
      <c r="C22332" s="5" t="str">
        <f>IFERROR(__xludf.DUMMYFUNCTION("GOOGLETRANSLATE(B22332,""en"",""fr"")"),"Nous voyons l'océan et une île dans l'eau.")</f>
        <v>Nous voyons l'océan et une île dans l'eau.</v>
      </c>
    </row>
    <row r="22333">
      <c r="A22333" s="4" t="s">
        <v>28108</v>
      </c>
      <c r="B22333" s="4" t="s">
        <v>28110</v>
      </c>
      <c r="C22333" s="5" t="str">
        <f>IFERROR(__xludf.DUMMYFUNCTION("GOOGLETRANSLATE(B22333,""en"",""fr"")"),"Nous voyons une personne kitesurf dans l'eau.")</f>
        <v>Nous voyons une personne kitesurf dans l'eau.</v>
      </c>
    </row>
    <row r="22334">
      <c r="A22334" s="4" t="s">
        <v>28108</v>
      </c>
      <c r="B22334" s="4" t="s">
        <v>28111</v>
      </c>
      <c r="C22334" s="5" t="str">
        <f>IFERROR(__xludf.DUMMYFUNCTION("GOOGLETRANSLATE(B22334,""en"",""fr"")"),"Nous voyons ensuite deux personnes kitesurf.")</f>
        <v>Nous voyons ensuite deux personnes kitesurf.</v>
      </c>
    </row>
    <row r="22335">
      <c r="A22335" s="4" t="s">
        <v>28108</v>
      </c>
      <c r="B22335" s="4" t="s">
        <v>28112</v>
      </c>
      <c r="C22335" s="5" t="str">
        <f>IFERROR(__xludf.DUMMYFUNCTION("GOOGLETRANSLATE(B22335,""en"",""fr"")"),"Nous retournons à une seule personne surfer.")</f>
        <v>Nous retournons à une seule personne surfer.</v>
      </c>
    </row>
    <row r="22336">
      <c r="A22336" s="4" t="s">
        <v>28108</v>
      </c>
      <c r="B22336" s="4" t="s">
        <v>28113</v>
      </c>
      <c r="C22336" s="5" t="str">
        <f>IFERROR(__xludf.DUMMYFUNCTION("GOOGLETRANSLATE(B22336,""en"",""fr"")"),"Nous voyons l'île d'en haut.")</f>
        <v>Nous voyons l'île d'en haut.</v>
      </c>
    </row>
    <row r="22337">
      <c r="A22337" s="4" t="s">
        <v>28108</v>
      </c>
      <c r="B22337" s="4" t="s">
        <v>28114</v>
      </c>
      <c r="C22337" s="5" t="str">
        <f>IFERROR(__xludf.DUMMYFUNCTION("GOOGLETRANSLATE(B22337,""en"",""fr"")"),"Nous retournons au surfeur dans l'eau.")</f>
        <v>Nous retournons au surfeur dans l'eau.</v>
      </c>
    </row>
    <row r="22338">
      <c r="A22338" s="4" t="s">
        <v>28108</v>
      </c>
      <c r="B22338" s="4" t="s">
        <v>10150</v>
      </c>
      <c r="C22338" s="5" t="str">
        <f>IFERROR(__xludf.DUMMYFUNCTION("GOOGLETRANSLATE(B22338,""en"",""fr"")"),"Nous voyons ensuite l'écran de titre de clôture.")</f>
        <v>Nous voyons ensuite l'écran de titre de clôture.</v>
      </c>
    </row>
    <row r="22339">
      <c r="A22339" s="4" t="s">
        <v>28115</v>
      </c>
      <c r="B22339" s="4" t="s">
        <v>28116</v>
      </c>
      <c r="C22339" s="5" t="str">
        <f>IFERROR(__xludf.DUMMYFUNCTION("GOOGLETRANSLATE(B22339,""en"",""fr"")"),"Un homme sort d'une maison pendant qu'un chien le suit.")</f>
        <v>Un homme sort d'une maison pendant qu'un chien le suit.</v>
      </c>
    </row>
    <row r="22340">
      <c r="A22340" s="4" t="s">
        <v>28115</v>
      </c>
      <c r="B22340" s="4" t="s">
        <v>28117</v>
      </c>
      <c r="C22340" s="5" t="str">
        <f>IFERROR(__xludf.DUMMYFUNCTION("GOOGLETRANSLATE(B22340,""en"",""fr"")"),"Ensuite, un tout-petit sort de la maison, se tiendra à la frontière de la piscine et tombe dans l'eau.")</f>
        <v>Ensuite, un tout-petit sort de la maison, se tiendra à la frontière de la piscine et tombe dans l'eau.</v>
      </c>
    </row>
    <row r="22341">
      <c r="A22341" s="4" t="s">
        <v>28115</v>
      </c>
      <c r="B22341" s="4" t="s">
        <v>28118</v>
      </c>
      <c r="C22341" s="5" t="str">
        <f>IFERROR(__xludf.DUMMYFUNCTION("GOOGLETRANSLATE(B22341,""en"",""fr"")"),"Le bébé flotte face vers le haut, puis un homme vient prendre le bébé.")</f>
        <v>Le bébé flotte face vers le haut, puis un homme vient prendre le bébé.</v>
      </c>
    </row>
    <row r="22342">
      <c r="A22342" s="4" t="s">
        <v>28115</v>
      </c>
      <c r="B22342" s="6" t="s">
        <v>28119</v>
      </c>
      <c r="C22342" s="5" t="str">
        <f>IFERROR(__xludf.DUMMYFUNCTION("GOOGLETRANSLATE(B22342,""en"",""fr"")"),"Une femme met un bébé dans la piscine et le bébé nage rapidement pour atteindre la frontière de la piscine.")</f>
        <v>Une femme met un bébé dans la piscine et le bébé nage rapidement pour atteindre la frontière de la piscine.</v>
      </c>
    </row>
    <row r="22343">
      <c r="A22343" s="4" t="s">
        <v>28115</v>
      </c>
      <c r="B22343" s="4" t="s">
        <v>28120</v>
      </c>
      <c r="C22343" s="5" t="str">
        <f>IFERROR(__xludf.DUMMYFUNCTION("GOOGLETRANSLATE(B22343,""en"",""fr"")"),"Une femme met le bébé dans la piscine qui balance et flotte.")</f>
        <v>Une femme met le bébé dans la piscine qui balance et flotte.</v>
      </c>
    </row>
    <row r="22344">
      <c r="A22344" s="4" t="s">
        <v>28121</v>
      </c>
      <c r="B22344" s="4" t="s">
        <v>28122</v>
      </c>
      <c r="C22344" s="5" t="str">
        <f>IFERROR(__xludf.DUMMYFUNCTION("GOOGLETRANSLATE(B22344,""en"",""fr"")"),"Deux femmes sont devant une caméra, la femme de la chemise rouge parle.")</f>
        <v>Deux femmes sont devant une caméra, la femme de la chemise rouge parle.</v>
      </c>
    </row>
    <row r="22345">
      <c r="A22345" s="4" t="s">
        <v>28121</v>
      </c>
      <c r="B22345" s="4" t="s">
        <v>28123</v>
      </c>
      <c r="C22345" s="5" t="str">
        <f>IFERROR(__xludf.DUMMYFUNCTION("GOOGLETRANSLATE(B22345,""en"",""fr"")"),"Les femmes mettent toutes les deux quelque chose d'une tasse dans la bouche.")</f>
        <v>Les femmes mettent toutes les deux quelque chose d'une tasse dans la bouche.</v>
      </c>
    </row>
    <row r="22346">
      <c r="A22346" s="4" t="s">
        <v>28121</v>
      </c>
      <c r="B22346" s="4" t="s">
        <v>28124</v>
      </c>
      <c r="C22346" s="5" t="str">
        <f>IFERROR(__xludf.DUMMYFUNCTION("GOOGLETRANSLATE(B22346,""en"",""fr"")"),"La femme en rouge commence à danser.")</f>
        <v>La femme en rouge commence à danser.</v>
      </c>
    </row>
    <row r="22347">
      <c r="A22347" s="4" t="s">
        <v>28121</v>
      </c>
      <c r="B22347" s="4" t="s">
        <v>28125</v>
      </c>
      <c r="C22347" s="5" t="str">
        <f>IFERROR(__xludf.DUMMYFUNCTION("GOOGLETRANSLATE(B22347,""en"",""fr"")"),"La femme en noir fait un visage à la caméra.")</f>
        <v>La femme en noir fait un visage à la caméra.</v>
      </c>
    </row>
    <row r="22348">
      <c r="A22348" s="4" t="s">
        <v>28121</v>
      </c>
      <c r="B22348" s="4" t="s">
        <v>28126</v>
      </c>
      <c r="C22348" s="5" t="str">
        <f>IFERROR(__xludf.DUMMYFUNCTION("GOOGLETRANSLATE(B22348,""en"",""fr"")"),"Les deux filles se penchent un peu devant la caméra.")</f>
        <v>Les deux filles se penchent un peu devant la caméra.</v>
      </c>
    </row>
    <row r="22349">
      <c r="A22349" s="4" t="s">
        <v>28121</v>
      </c>
      <c r="B22349" s="4" t="s">
        <v>28127</v>
      </c>
      <c r="C22349" s="5" t="str">
        <f>IFERROR(__xludf.DUMMYFUNCTION("GOOGLETRANSLATE(B22349,""en"",""fr"")"),"La femme en rouge cesse de danser et commence à rire et la femme en noir le fait également.")</f>
        <v>La femme en rouge cesse de danser et commence à rire et la femme en noir le fait également.</v>
      </c>
    </row>
    <row r="22350">
      <c r="A22350" s="4" t="s">
        <v>28121</v>
      </c>
      <c r="B22350" s="4" t="s">
        <v>28128</v>
      </c>
      <c r="C22350" s="5" t="str">
        <f>IFERROR(__xludf.DUMMYFUNCTION("GOOGLETRANSLATE(B22350,""en"",""fr"")"),"Il semble que les deux femmes avalent ou crachent tout ce qui était dans leur bouche.")</f>
        <v>Il semble que les deux femmes avalent ou crachent tout ce qui était dans leur bouche.</v>
      </c>
    </row>
    <row r="22351">
      <c r="A22351" s="4" t="s">
        <v>28129</v>
      </c>
      <c r="B22351" s="4" t="s">
        <v>28130</v>
      </c>
      <c r="C22351" s="5" t="str">
        <f>IFERROR(__xludf.DUMMYFUNCTION("GOOGLETRANSLATE(B22351,""en"",""fr"")"),"Un jeune enfant est vu parler à la caméra tout en portant des mits de four et en tenant un bâton.")</f>
        <v>Un jeune enfant est vu parler à la caméra tout en portant des mits de four et en tenant un bâton.</v>
      </c>
    </row>
    <row r="22352">
      <c r="A22352" s="4" t="s">
        <v>28129</v>
      </c>
      <c r="B22352" s="4" t="s">
        <v>28131</v>
      </c>
      <c r="C22352" s="5" t="str">
        <f>IFERROR(__xludf.DUMMYFUNCTION("GOOGLETRANSLATE(B22352,""en"",""fr"")"),"Le garçon s'ouvre alors et porte le four et retire une assiette de biscuits.")</f>
        <v>Le garçon s'ouvre alors et porte le four et retire une assiette de biscuits.</v>
      </c>
    </row>
    <row r="22353">
      <c r="A22353" s="4" t="s">
        <v>28129</v>
      </c>
      <c r="B22353" s="4" t="s">
        <v>28132</v>
      </c>
      <c r="C22353" s="5" t="str">
        <f>IFERROR(__xludf.DUMMYFUNCTION("GOOGLETRANSLATE(B22353,""en"",""fr"")"),"Il utilise le bâton pour repousser le rack et ferme le four pendant les vagues vers la caméra.")</f>
        <v>Il utilise le bâton pour repousser le rack et ferme le four pendant les vagues vers la caméra.</v>
      </c>
    </row>
    <row r="22354">
      <c r="A22354" s="4" t="s">
        <v>28133</v>
      </c>
      <c r="B22354" s="4" t="s">
        <v>28134</v>
      </c>
      <c r="C22354" s="5" t="str">
        <f>IFERROR(__xludf.DUMMYFUNCTION("GOOGLETRANSLATE(B22354,""en"",""fr"")"),"Un homme en chemise jaune a ses mains derrière sa tête.")</f>
        <v>Un homme en chemise jaune a ses mains derrière sa tête.</v>
      </c>
    </row>
    <row r="22355">
      <c r="A22355" s="4" t="s">
        <v>28133</v>
      </c>
      <c r="B22355" s="4" t="s">
        <v>28135</v>
      </c>
      <c r="C22355" s="5" t="str">
        <f>IFERROR(__xludf.DUMMYFUNCTION("GOOGLETRANSLATE(B22355,""en"",""fr"")"),"Il coule sur une piste et lance un javelot.")</f>
        <v>Il coule sur une piste et lance un javelot.</v>
      </c>
    </row>
    <row r="22356">
      <c r="A22356" s="4" t="s">
        <v>28133</v>
      </c>
      <c r="B22356" s="4" t="s">
        <v>28136</v>
      </c>
      <c r="C22356" s="5" t="str">
        <f>IFERROR(__xludf.DUMMYFUNCTION("GOOGLETRANSLATE(B22356,""en"",""fr"")"),"Il trébuche et tombe en avant.")</f>
        <v>Il trébuche et tombe en avant.</v>
      </c>
    </row>
    <row r="22357">
      <c r="A22357" s="4" t="s">
        <v>28133</v>
      </c>
      <c r="B22357" s="4" t="s">
        <v>28137</v>
      </c>
      <c r="C22357" s="5" t="str">
        <f>IFERROR(__xludf.DUMMYFUNCTION("GOOGLETRANSLATE(B22357,""en"",""fr"")"),"Une photo du terrain est des spectacles avec de nombreuses personnes qui marchent dessus.")</f>
        <v>Une photo du terrain est des spectacles avec de nombreuses personnes qui marchent dessus.</v>
      </c>
    </row>
    <row r="22358">
      <c r="A22358" s="4" t="s">
        <v>28138</v>
      </c>
      <c r="B22358" s="4" t="s">
        <v>28139</v>
      </c>
      <c r="C22358" s="5" t="str">
        <f>IFERROR(__xludf.DUMMYFUNCTION("GOOGLETRANSLATE(B22358,""en"",""fr"")"),"Les gymnastes s'étendent et se préparent à une routine.")</f>
        <v>Les gymnastes s'étendent et se préparent à une routine.</v>
      </c>
    </row>
    <row r="22359">
      <c r="A22359" s="4" t="s">
        <v>28138</v>
      </c>
      <c r="B22359" s="4" t="s">
        <v>28140</v>
      </c>
      <c r="C22359" s="5" t="str">
        <f>IFERROR(__xludf.DUMMYFUNCTION("GOOGLETRANSLATE(B22359,""en"",""fr"")"),"Ils font un tas de choses avec leurs chemises.")</f>
        <v>Ils font un tas de choses avec leurs chemises.</v>
      </c>
    </row>
    <row r="22360">
      <c r="A22360" s="4" t="s">
        <v>28141</v>
      </c>
      <c r="B22360" s="4" t="s">
        <v>28142</v>
      </c>
      <c r="C22360" s="5" t="str">
        <f>IFERROR(__xludf.DUMMYFUNCTION("GOOGLETRANSLATE(B22360,""en"",""fr"")"),"Deux lutteurs sont vus des penchés dans un anneau avec l'un coulant vers l'autre.")</f>
        <v>Deux lutteurs sont vus des penchés dans un anneau avec l'un coulant vers l'autre.</v>
      </c>
    </row>
    <row r="22361">
      <c r="A22361" s="4" t="s">
        <v>28141</v>
      </c>
      <c r="B22361" s="4" t="s">
        <v>28143</v>
      </c>
      <c r="C22361" s="5" t="str">
        <f>IFERROR(__xludf.DUMMYFUNCTION("GOOGLETRANSLATE(B22361,""en"",""fr"")"),"Un lutteur attrape l'autre et le retourne par-dessus ses épaules, puis un arbitre frappe le côté pour taper.")</f>
        <v>Un lutteur attrape l'autre et le retourne par-dessus ses épaules, puis un arbitre frappe le côté pour taper.</v>
      </c>
    </row>
    <row r="22362">
      <c r="A22362" s="4" t="s">
        <v>28144</v>
      </c>
      <c r="B22362" s="4" t="s">
        <v>28145</v>
      </c>
      <c r="C22362" s="5" t="str">
        <f>IFERROR(__xludf.DUMMYFUNCTION("GOOGLETRANSLATE(B22362,""en"",""fr"")"),"Une femme est assise sur un tapis sur le sol.")</f>
        <v>Une femme est assise sur un tapis sur le sol.</v>
      </c>
    </row>
    <row r="22363">
      <c r="A22363" s="4" t="s">
        <v>28144</v>
      </c>
      <c r="B22363" s="4" t="s">
        <v>28146</v>
      </c>
      <c r="C22363" s="5" t="str">
        <f>IFERROR(__xludf.DUMMYFUNCTION("GOOGLETRANSLATE(B22363,""en"",""fr"")"),"Un homme parle de la façon d'utiliser un bowflex.")</f>
        <v>Un homme parle de la façon d'utiliser un bowflex.</v>
      </c>
    </row>
    <row r="22364">
      <c r="A22364" s="4" t="s">
        <v>28144</v>
      </c>
      <c r="B22364" s="4" t="s">
        <v>28147</v>
      </c>
      <c r="C22364" s="5" t="str">
        <f>IFERROR(__xludf.DUMMYFUNCTION("GOOGLETRANSLATE(B22364,""en"",""fr"")"),"Elle se couche, faisant des reposs alors qu'il continue de parler.")</f>
        <v>Elle se couche, faisant des reposs alors qu'il continue de parler.</v>
      </c>
    </row>
    <row r="22365">
      <c r="A22365" s="4" t="s">
        <v>28148</v>
      </c>
      <c r="B22365" s="4" t="s">
        <v>28149</v>
      </c>
      <c r="C22365" s="5" t="str">
        <f>IFERROR(__xludf.DUMMYFUNCTION("GOOGLETRANSLATE(B22365,""en"",""fr"")"),"Une télévision à écran plat est assise sur un stand montrant l'émission de télévision RAW.")</f>
        <v>Une télévision à écran plat est assise sur un stand montrant l'émission de télévision RAW.</v>
      </c>
    </row>
    <row r="22366">
      <c r="A22366" s="4" t="s">
        <v>28148</v>
      </c>
      <c r="B22366" s="4" t="s">
        <v>28150</v>
      </c>
      <c r="C22366" s="5" t="str">
        <f>IFERROR(__xludf.DUMMYFUNCTION("GOOGLETRANSLATE(B22366,""en"",""fr"")"),"Dans l'émission, deux hommes se débattent chacun sur le sol.")</f>
        <v>Dans l'émission, deux hommes se débattent chacun sur le sol.</v>
      </c>
    </row>
    <row r="22367">
      <c r="A22367" s="4" t="s">
        <v>28148</v>
      </c>
      <c r="B22367" s="4" t="s">
        <v>28151</v>
      </c>
      <c r="C22367" s="5" t="str">
        <f>IFERROR(__xludf.DUMMYFUNCTION("GOOGLETRANSLATE(B22367,""en"",""fr"")"),"Le gros homme ramasse alors le gars maigre, le laisse tomber et se tient sur lui.")</f>
        <v>Le gros homme ramasse alors le gars maigre, le laisse tomber et se tient sur lui.</v>
      </c>
    </row>
    <row r="22368">
      <c r="A22368" s="4" t="s">
        <v>28152</v>
      </c>
      <c r="B22368" s="4" t="s">
        <v>28153</v>
      </c>
      <c r="C22368" s="5" t="str">
        <f>IFERROR(__xludf.DUMMYFUNCTION("GOOGLETRANSLATE(B22368,""en"",""fr"")"),"Une personne tient un chien couvert de mousse et tient une bouteille de shampooing dans une cour.")</f>
        <v>Une personne tient un chien couvert de mousse et tient une bouteille de shampooing dans une cour.</v>
      </c>
    </row>
    <row r="22369">
      <c r="A22369" s="4" t="s">
        <v>28152</v>
      </c>
      <c r="B22369" s="4" t="s">
        <v>28154</v>
      </c>
      <c r="C22369" s="5" t="str">
        <f>IFERROR(__xludf.DUMMYFUNCTION("GOOGLETRANSLATE(B22369,""en"",""fr"")"),"Nous voyons la personne se tenir à côté du chien et le laver avec le shampooing.")</f>
        <v>Nous voyons la personne se tenir à côté du chien et le laver avec le shampooing.</v>
      </c>
    </row>
    <row r="22370">
      <c r="A22370" s="4" t="s">
        <v>28152</v>
      </c>
      <c r="B22370" s="4" t="s">
        <v>28155</v>
      </c>
      <c r="C22370" s="5" t="str">
        <f>IFERROR(__xludf.DUMMYFUNCTION("GOOGLETRANSLATE(B22370,""en"",""fr"")"),"Une personne agite la main devant le chien.")</f>
        <v>Une personne agite la main devant le chien.</v>
      </c>
    </row>
    <row r="22371">
      <c r="A22371" s="4" t="s">
        <v>28152</v>
      </c>
      <c r="B22371" s="4" t="s">
        <v>28156</v>
      </c>
      <c r="C22371" s="5" t="str">
        <f>IFERROR(__xludf.DUMMYFUNCTION("GOOGLETRANSLATE(B22371,""en"",""fr"")"),"La caméra se pavanée et nous voyons un autre chien allongé sur le sol.")</f>
        <v>La caméra se pavanée et nous voyons un autre chien allongé sur le sol.</v>
      </c>
    </row>
    <row r="22372">
      <c r="A22372" s="4" t="s">
        <v>28157</v>
      </c>
      <c r="B22372" s="6" t="s">
        <v>28158</v>
      </c>
      <c r="C22372" s="5" t="str">
        <f>IFERROR(__xludf.DUMMYFUNCTION("GOOGLETRANSLATE(B22372,""en"",""fr"")"),"Un écran blanc apparaît avec une image d'un globe et une bannière autour de lui avec des mots jaunes qui disent ""Abada-Capoeira"" et est suivi avec divers écrans blancs qui ont une écriture noire sur chaque écran individuel.")</f>
        <v>Un écran blanc apparaît avec une image d'un globe et une bannière autour de lui avec des mots jaunes qui disent "Abada-Capoeira" et est suivi avec divers écrans blancs qui ont une écriture noire sur chaque écran individuel.</v>
      </c>
    </row>
    <row r="22373">
      <c r="A22373" s="4" t="s">
        <v>28157</v>
      </c>
      <c r="B22373" s="6" t="s">
        <v>28159</v>
      </c>
      <c r="C22373" s="5" t="str">
        <f>IFERROR(__xludf.DUMMYFUNCTION("GOOGLETRANSLATE(B22373,""en"",""fr"")"),"Les gens qui incluent des enfants et des adultes sont rassemblés dans une pièce et regardent un film projeté sur un grand mur.")</f>
        <v>Les gens qui incluent des enfants et des adultes sont rassemblés dans une pièce et regardent un film projeté sur un grand mur.</v>
      </c>
    </row>
    <row r="22374">
      <c r="A22374" s="4" t="s">
        <v>28157</v>
      </c>
      <c r="B22374" s="6" t="s">
        <v>28160</v>
      </c>
      <c r="C22374" s="5" t="str">
        <f>IFERROR(__xludf.DUMMYFUNCTION("GOOGLETRANSLATE(B22374,""en"",""fr"")"),"Maintenant, il y a des gens vêtus de blanc et qui sont dans une pièce avec des tapis bleus sur le sol et différentes personnes, y compris les adultes et les enfants .")</f>
        <v>Maintenant, il y a des gens vêtus de blanc et qui sont dans une pièce avec des tapis bleus sur le sol et différentes personnes, y compris les adultes et les enfants .</v>
      </c>
    </row>
    <row r="22375">
      <c r="A22375" s="4" t="s">
        <v>28157</v>
      </c>
      <c r="B22375" s="6" t="s">
        <v>28161</v>
      </c>
      <c r="C22375" s="5" t="str">
        <f>IFERROR(__xludf.DUMMYFUNCTION("GOOGLETRANSLATE(B22375,""en"",""fr"")"),"Quand ils ont fini de danser, beaucoup d'enfants s'accumulent sur et autour d'un homme adulte et ils prennent une photo de groupe.")</f>
        <v>Quand ils ont fini de danser, beaucoup d'enfants s'accumulent sur et autour d'un homme adulte et ils prennent une photo de groupe.</v>
      </c>
    </row>
    <row r="22376">
      <c r="A22376" s="4" t="s">
        <v>28157</v>
      </c>
      <c r="B22376" s="4" t="s">
        <v>28162</v>
      </c>
      <c r="C22376" s="5" t="str">
        <f>IFERROR(__xludf.DUMMYFUNCTION("GOOGLETRANSLATE(B22376,""en"",""fr"")"),"Outro apparaît et c'est le globe, les écrans blancs avec des mots noirs sur chacun, puis les logos.")</f>
        <v>Outro apparaît et c'est le globe, les écrans blancs avec des mots noirs sur chacun, puis les logos.</v>
      </c>
    </row>
    <row r="22377">
      <c r="A22377" s="4" t="s">
        <v>28163</v>
      </c>
      <c r="B22377" s="4" t="s">
        <v>28164</v>
      </c>
      <c r="C22377" s="5" t="str">
        <f>IFERROR(__xludf.DUMMYFUNCTION("GOOGLETRANSLATE(B22377,""en"",""fr"")"),"Deux tout-petits soeurs entrent dans une cuisine, puis un tout-petit lave la vaisselle dans l'évier.")</f>
        <v>Deux tout-petits soeurs entrent dans une cuisine, puis un tout-petit lave la vaisselle dans l'évier.</v>
      </c>
    </row>
    <row r="22378">
      <c r="A22378" s="4" t="s">
        <v>28163</v>
      </c>
      <c r="B22378" s="4" t="s">
        <v>28165</v>
      </c>
      <c r="C22378" s="5" t="str">
        <f>IFERROR(__xludf.DUMMYFUNCTION("GOOGLETRANSLATE(B22378,""en"",""fr"")"),"La mère met des plats sur l'évier et ouvre le lave-vaisselle.")</f>
        <v>La mère met des plats sur l'évier et ouvre le lave-vaisselle.</v>
      </c>
    </row>
    <row r="22379">
      <c r="A22379" s="4" t="s">
        <v>28163</v>
      </c>
      <c r="B22379" s="6" t="s">
        <v>28166</v>
      </c>
      <c r="C22379" s="5" t="str">
        <f>IFERROR(__xludf.DUMMYFUNCTION("GOOGLETRANSLATE(B22379,""en"",""fr"")"),"La sœur pour tout-petits aide au lave-vaisselle puis grimpe la chaise haute et aide à laver la vaisselle et le tout-petit charge le lave-vaisselle.")</f>
        <v>La sœur pour tout-petits aide au lave-vaisselle puis grimpe la chaise haute et aide à laver la vaisselle et le tout-petit charge le lave-vaisselle.</v>
      </c>
    </row>
    <row r="22380">
      <c r="A22380" s="4" t="s">
        <v>28163</v>
      </c>
      <c r="B22380" s="4" t="s">
        <v>28167</v>
      </c>
      <c r="C22380" s="5" t="str">
        <f>IFERROR(__xludf.DUMMYFUNCTION("GOOGLETRANSLATE(B22380,""en"",""fr"")"),"La mère se tient près du réfrigérateur à boire du thé et à envoyer des SMS.")</f>
        <v>La mère se tient près du réfrigérateur à boire du thé et à envoyer des SMS.</v>
      </c>
    </row>
    <row r="22381">
      <c r="A22381" s="4" t="s">
        <v>28163</v>
      </c>
      <c r="B22381" s="4" t="s">
        <v>28168</v>
      </c>
      <c r="C22381" s="5" t="str">
        <f>IFERROR(__xludf.DUMMYFUNCTION("GOOGLETRANSLATE(B22381,""en"",""fr"")"),"Le tout-petit sœur descend la chaise et quitte la cuisine.")</f>
        <v>Le tout-petit sœur descend la chaise et quitte la cuisine.</v>
      </c>
    </row>
    <row r="22382">
      <c r="A22382" s="4" t="s">
        <v>28163</v>
      </c>
      <c r="B22382" s="4" t="s">
        <v>28169</v>
      </c>
      <c r="C22382" s="5" t="str">
        <f>IFERROR(__xludf.DUMMYFUNCTION("GOOGLETRANSLATE(B22382,""en"",""fr"")"),"Ensuite, le tout-petit descend sur la chaise, puis elle se ferme et allume le lave-vaisselle.")</f>
        <v>Ensuite, le tout-petit descend sur la chaise, puis elle se ferme et allume le lave-vaisselle.</v>
      </c>
    </row>
    <row r="22383">
      <c r="A22383" s="4" t="s">
        <v>28170</v>
      </c>
      <c r="B22383" s="4" t="s">
        <v>28171</v>
      </c>
      <c r="C22383" s="5" t="str">
        <f>IFERROR(__xludf.DUMMYFUNCTION("GOOGLETRANSLATE(B22383,""en"",""fr"")"),"Une corde est enfilée entre deux arbres.")</f>
        <v>Une corde est enfilée entre deux arbres.</v>
      </c>
    </row>
    <row r="22384">
      <c r="A22384" s="4" t="s">
        <v>28170</v>
      </c>
      <c r="B22384" s="4" t="s">
        <v>28172</v>
      </c>
      <c r="C22384" s="5" t="str">
        <f>IFERROR(__xludf.DUMMYFUNCTION("GOOGLETRANSLATE(B22384,""en"",""fr"")"),"Un homme marche sur la corde.")</f>
        <v>Un homme marche sur la corde.</v>
      </c>
    </row>
    <row r="22385">
      <c r="A22385" s="4" t="s">
        <v>28170</v>
      </c>
      <c r="B22385" s="4" t="s">
        <v>28173</v>
      </c>
      <c r="C22385" s="5" t="str">
        <f>IFERROR(__xludf.DUMMYFUNCTION("GOOGLETRANSLATE(B22385,""en"",""fr"")"),"Il tombe plusieurs fois de la corde.")</f>
        <v>Il tombe plusieurs fois de la corde.</v>
      </c>
    </row>
    <row r="22386">
      <c r="A22386" s="4" t="s">
        <v>28170</v>
      </c>
      <c r="B22386" s="4" t="s">
        <v>28174</v>
      </c>
      <c r="C22386" s="5" t="str">
        <f>IFERROR(__xludf.DUMMYFUNCTION("GOOGLETRANSLATE(B22386,""en"",""fr"")"),"Finalement, il est capable d'équilibrer et de faire des allers-retours.")</f>
        <v>Finalement, il est capable d'équilibrer et de faire des allers-retours.</v>
      </c>
    </row>
    <row r="22387">
      <c r="A22387" s="4" t="s">
        <v>28175</v>
      </c>
      <c r="B22387" s="4" t="s">
        <v>28176</v>
      </c>
      <c r="C22387" s="5" t="str">
        <f>IFERROR(__xludf.DUMMYFUNCTION("GOOGLETRANSLATE(B22387,""en"",""fr"")"),"Un petit garçon lance des fléchettes sur une planche.")</f>
        <v>Un petit garçon lance des fléchettes sur une planche.</v>
      </c>
    </row>
    <row r="22388">
      <c r="A22388" s="4" t="s">
        <v>28175</v>
      </c>
      <c r="B22388" s="4" t="s">
        <v>28177</v>
      </c>
      <c r="C22388" s="5" t="str">
        <f>IFERROR(__xludf.DUMMYFUNCTION("GOOGLETRANSLATE(B22388,""en"",""fr"")"),"Il se dirige vers la cible, regardant où les fléchettes ont frappé.")</f>
        <v>Il se dirige vers la cible, regardant où les fléchettes ont frappé.</v>
      </c>
    </row>
    <row r="22389">
      <c r="A22389" s="4" t="s">
        <v>28178</v>
      </c>
      <c r="B22389" s="6" t="s">
        <v>28179</v>
      </c>
      <c r="C22389" s="5" t="str">
        <f>IFERROR(__xludf.DUMMYFUNCTION("GOOGLETRANSLATE(B22389,""en"",""fr"")"),"Une fille se tient dans une pièce en sortant plusieurs flèches de son sac et en utilisant sa flèche pour les libérer.")</f>
        <v>Une fille se tient dans une pièce en sortant plusieurs flèches de son sac et en utilisant sa flèche pour les libérer.</v>
      </c>
    </row>
    <row r="22390">
      <c r="A22390" s="4" t="s">
        <v>28178</v>
      </c>
      <c r="B22390" s="4" t="s">
        <v>28180</v>
      </c>
      <c r="C22390" s="5" t="str">
        <f>IFERROR(__xludf.DUMMYFUNCTION("GOOGLETRANSLATE(B22390,""en"",""fr"")"),"Elle se déplace ensuite dans le gymnase, prend une profonde inspiration et continue de partir.")</f>
        <v>Elle se déplace ensuite dans le gymnase, prend une profonde inspiration et continue de partir.</v>
      </c>
    </row>
    <row r="22391">
      <c r="A22391" s="4" t="s">
        <v>28178</v>
      </c>
      <c r="B22391" s="6" t="s">
        <v>28181</v>
      </c>
      <c r="C22391" s="5" t="str">
        <f>IFERROR(__xludf.DUMMYFUNCTION("GOOGLETRANSLATE(B22391,""en"",""fr"")"),"Après qu'elle se déplace à nouveau, deux tapis sont montrés suspendus au mur et elle continue de viser sa cible jusqu'à ce que tous ses arcs soient partis.")</f>
        <v>Après qu'elle se déplace à nouveau, deux tapis sont montrés suspendus au mur et elle continue de viser sa cible jusqu'à ce que tous ses arcs soient partis.</v>
      </c>
    </row>
    <row r="22392">
      <c r="A22392" s="4" t="s">
        <v>28182</v>
      </c>
      <c r="B22392" s="4" t="s">
        <v>28183</v>
      </c>
      <c r="C22392" s="5" t="str">
        <f>IFERROR(__xludf.DUMMYFUNCTION("GOOGLETRANSLATE(B22392,""en"",""fr"")"),"Une fille marche sur un tapis, s'inclinant devant les juges.")</f>
        <v>Une fille marche sur un tapis, s'inclinant devant les juges.</v>
      </c>
    </row>
    <row r="22393">
      <c r="A22393" s="4" t="s">
        <v>28182</v>
      </c>
      <c r="B22393" s="4" t="s">
        <v>28184</v>
      </c>
      <c r="C22393" s="5" t="str">
        <f>IFERROR(__xludf.DUMMYFUNCTION("GOOGLETRANSLATE(B22393,""en"",""fr"")"),"Elle effectue plusieurs mouvements d'arts martiaux à l'aide d'un grand bâton en bois.")</f>
        <v>Elle effectue plusieurs mouvements d'arts martiaux à l'aide d'un grand bâton en bois.</v>
      </c>
    </row>
    <row r="22394">
      <c r="A22394" s="4" t="s">
        <v>28182</v>
      </c>
      <c r="B22394" s="4" t="s">
        <v>28185</v>
      </c>
      <c r="C22394" s="5" t="str">
        <f>IFERROR(__xludf.DUMMYFUNCTION("GOOGLETRANSLATE(B22394,""en"",""fr"")"),"Quand elle a fini, un homme siffle.")</f>
        <v>Quand elle a fini, un homme siffle.</v>
      </c>
    </row>
    <row r="22395">
      <c r="A22395" s="4" t="s">
        <v>28186</v>
      </c>
      <c r="B22395" s="6" t="s">
        <v>28187</v>
      </c>
      <c r="C22395" s="5" t="str">
        <f>IFERROR(__xludf.DUMMYFUNCTION("GOOGLETRANSLATE(B22395,""en"",""fr"")"),"Une femme est montrée en parlant à la caméra tenant un vide et suivie par son aspirateur dans son sol à un rythme rapide.")</f>
        <v>Une femme est montrée en parlant à la caméra tenant un vide et suivie par son aspirateur dans son sol à un rythme rapide.</v>
      </c>
    </row>
    <row r="22396">
      <c r="A22396" s="4" t="s">
        <v>28186</v>
      </c>
      <c r="B22396" s="6" t="s">
        <v>28188</v>
      </c>
      <c r="C22396" s="5" t="str">
        <f>IFERROR(__xludf.DUMMYFUNCTION("GOOGLETRANSLATE(B22396,""en"",""fr"")"),"Elle s'aspire tout autour de la zone tout en parlant à la caméra et en faisant finalement passer à un gros plan de l'aspirateur.")</f>
        <v>Elle s'aspire tout autour de la zone tout en parlant à la caméra et en faisant finalement passer à un gros plan de l'aspirateur.</v>
      </c>
    </row>
    <row r="22397">
      <c r="A22397" s="4" t="s">
        <v>28189</v>
      </c>
      <c r="B22397" s="4" t="s">
        <v>28190</v>
      </c>
      <c r="C22397" s="5" t="str">
        <f>IFERROR(__xludf.DUMMYFUNCTION("GOOGLETRANSLATE(B22397,""en"",""fr"")"),"Il y a des hommes qui jouent des fléchettes dans un sous-sol où deux planches de fléchettes sont accrochées au mur.")</f>
        <v>Il y a des hommes qui jouent des fléchettes dans un sous-sol où deux planches de fléchettes sont accrochées au mur.</v>
      </c>
    </row>
    <row r="22398">
      <c r="A22398" s="4" t="s">
        <v>28189</v>
      </c>
      <c r="B22398" s="6" t="s">
        <v>28191</v>
      </c>
      <c r="C22398" s="5" t="str">
        <f>IFERROR(__xludf.DUMMYFUNCTION("GOOGLETRANSLATE(B22398,""en"",""fr"")"),"L'un des hommes portant une chemise verte vise la planche de fléchette avec une fléchette pour frapper l'œil du taureau sur une planche.")</f>
        <v>L'un des hommes portant une chemise verte vise la planche de fléchette avec une fléchette pour frapper l'œil du taureau sur une planche.</v>
      </c>
    </row>
    <row r="22399">
      <c r="A22399" s="4" t="s">
        <v>28189</v>
      </c>
      <c r="B22399" s="4" t="s">
        <v>28192</v>
      </c>
      <c r="C22399" s="5" t="str">
        <f>IFERROR(__xludf.DUMMYFUNCTION("GOOGLETRANSLATE(B22399,""en"",""fr"")"),"Un autre homme frappe également la fléchette sur l'autre planche de fléchettes.")</f>
        <v>Un autre homme frappe également la fléchette sur l'autre planche de fléchettes.</v>
      </c>
    </row>
    <row r="22400">
      <c r="A22400" s="4" t="s">
        <v>28189</v>
      </c>
      <c r="B22400" s="4" t="s">
        <v>28193</v>
      </c>
      <c r="C22400" s="5" t="str">
        <f>IFERROR(__xludf.DUMMYFUNCTION("GOOGLETRANSLATE(B22400,""en"",""fr"")"),"L'homme en vert tire une autre fléchette, puis va le retirer de la planche de fléchettes.")</f>
        <v>L'homme en vert tire une autre fléchette, puis va le retirer de la planche de fléchettes.</v>
      </c>
    </row>
    <row r="22401">
      <c r="A22401" s="4" t="s">
        <v>28194</v>
      </c>
      <c r="B22401" s="4" t="s">
        <v>28195</v>
      </c>
      <c r="C22401" s="5" t="str">
        <f>IFERROR(__xludf.DUMMYFUNCTION("GOOGLETRANSLATE(B22401,""en"",""fr"")"),"Un groupe de personnes est rassemblé dans une pièce.")</f>
        <v>Un groupe de personnes est rassemblé dans une pièce.</v>
      </c>
    </row>
    <row r="22402">
      <c r="A22402" s="4" t="s">
        <v>28194</v>
      </c>
      <c r="B22402" s="4" t="s">
        <v>28196</v>
      </c>
      <c r="C22402" s="5" t="str">
        <f>IFERROR(__xludf.DUMMYFUNCTION("GOOGLETRANSLATE(B22402,""en"",""fr"")"),"Ils reviennent et avancent ensemble.")</f>
        <v>Ils reviennent et avancent ensemble.</v>
      </c>
    </row>
    <row r="22403">
      <c r="A22403" s="4" t="s">
        <v>28194</v>
      </c>
      <c r="B22403" s="4" t="s">
        <v>28197</v>
      </c>
      <c r="C22403" s="5" t="str">
        <f>IFERROR(__xludf.DUMMYFUNCTION("GOOGLETRANSLATE(B22403,""en"",""fr"")"),"Ils dansent comme une forme d'aérobic.")</f>
        <v>Ils dansent comme une forme d'aérobic.</v>
      </c>
    </row>
    <row r="22404">
      <c r="A22404" s="4" t="s">
        <v>28198</v>
      </c>
      <c r="B22404" s="6" t="s">
        <v>28199</v>
      </c>
      <c r="C22404" s="5" t="str">
        <f>IFERROR(__xludf.DUMMYFUNCTION("GOOGLETRANSLATE(B22404,""en"",""fr"")"),"Plusieurs plans de personnes menant autour des chevaux sont représentés et on attache un cheval au poteau et secoue un rasoir.")</f>
        <v>Plusieurs plans de personnes menant autour des chevaux sont représentés et on attache un cheval au poteau et secoue un rasoir.</v>
      </c>
    </row>
    <row r="22405">
      <c r="A22405" s="4" t="s">
        <v>28198</v>
      </c>
      <c r="B22405" s="6" t="s">
        <v>28200</v>
      </c>
      <c r="C22405" s="5" t="str">
        <f>IFERROR(__xludf.DUMMYFUNCTION("GOOGLETRANSLATE(B22405,""en"",""fr"")"),"La femme coupe ensuite la crinière des chevaux et frotte le manteau des chevaux pendant que la caméra se déroule.")</f>
        <v>La femme coupe ensuite la crinière des chevaux et frotte le manteau des chevaux pendant que la caméra se déroule.</v>
      </c>
    </row>
    <row r="22406">
      <c r="A22406" s="4" t="s">
        <v>28198</v>
      </c>
      <c r="B22406" s="4" t="s">
        <v>28201</v>
      </c>
      <c r="C22406" s="5" t="str">
        <f>IFERROR(__xludf.DUMMYFUNCTION("GOOGLETRANSLATE(B22406,""en"",""fr"")"),"La femme détache le cheval et finit en parlant à la caméra.")</f>
        <v>La femme détache le cheval et finit en parlant à la caméra.</v>
      </c>
    </row>
    <row r="22407">
      <c r="A22407" s="4" t="s">
        <v>28202</v>
      </c>
      <c r="B22407" s="6" t="s">
        <v>28203</v>
      </c>
      <c r="C22407" s="5" t="str">
        <f>IFERROR(__xludf.DUMMYFUNCTION("GOOGLETRANSLATE(B22407,""en"",""fr"")"),"Un petit bec d'eau est présenté à l'extérieur entre la forêt et les rochers et crée de petites vagues.")</f>
        <v>Un petit bec d'eau est présenté à l'extérieur entre la forêt et les rochers et crée de petites vagues.</v>
      </c>
    </row>
    <row r="22408">
      <c r="A22408" s="4" t="s">
        <v>28202</v>
      </c>
      <c r="B22408" s="4" t="s">
        <v>28204</v>
      </c>
      <c r="C22408" s="5" t="str">
        <f>IFERROR(__xludf.DUMMYFUNCTION("GOOGLETRANSLATE(B22408,""en"",""fr"")"),"Tout d'un coup, une personne descend le kayak d'eau.")</f>
        <v>Tout d'un coup, une personne descend le kayak d'eau.</v>
      </c>
    </row>
    <row r="22409">
      <c r="A22409" s="4" t="s">
        <v>28202</v>
      </c>
      <c r="B22409" s="6" t="s">
        <v>28205</v>
      </c>
      <c r="C22409" s="5" t="str">
        <f>IFERROR(__xludf.DUMMYFUNCTION("GOOGLETRANSLATE(B22409,""en"",""fr"")"),"Une fois qu'il a atteint le fond, le kayaker se tourne et les vagues continuent de se laver les rochers.")</f>
        <v>Une fois qu'il a atteint le fond, le kayaker se tourne et les vagues continuent de se laver les rochers.</v>
      </c>
    </row>
    <row r="22410">
      <c r="A22410" s="4" t="s">
        <v>28206</v>
      </c>
      <c r="B22410" s="4" t="s">
        <v>28207</v>
      </c>
      <c r="C22410" s="5" t="str">
        <f>IFERROR(__xludf.DUMMYFUNCTION("GOOGLETRANSLATE(B22410,""en"",""fr"")"),"Un jeu de football de table est vu sans des joueurs construits à partir de blocs de type LEGO.")</f>
        <v>Un jeu de football de table est vu sans des joueurs construits à partir de blocs de type LEGO.</v>
      </c>
    </row>
    <row r="22411">
      <c r="A22411" s="4" t="s">
        <v>28206</v>
      </c>
      <c r="B22411" s="4" t="s">
        <v>28208</v>
      </c>
      <c r="C22411" s="5" t="str">
        <f>IFERROR(__xludf.DUMMYFUNCTION("GOOGLETRANSLATE(B22411,""en"",""fr"")"),"Une balle est distribuée à partir d'une enceinte.")</f>
        <v>Une balle est distribuée à partir d'une enceinte.</v>
      </c>
    </row>
    <row r="22412">
      <c r="A22412" s="4" t="s">
        <v>28206</v>
      </c>
      <c r="B22412" s="4" t="s">
        <v>28209</v>
      </c>
      <c r="C22412" s="5" t="str">
        <f>IFERROR(__xludf.DUMMYFUNCTION("GOOGLETRANSLATE(B22412,""en"",""fr"")"),"Deux garçons jouent à un jeu de soccer de table.")</f>
        <v>Deux garçons jouent à un jeu de soccer de table.</v>
      </c>
    </row>
    <row r="22413">
      <c r="A22413" s="4" t="s">
        <v>28206</v>
      </c>
      <c r="B22413" s="4" t="s">
        <v>28210</v>
      </c>
      <c r="C22413" s="5" t="str">
        <f>IFERROR(__xludf.DUMMYFUNCTION("GOOGLETRANSLATE(B22413,""en"",""fr"")"),"Un garçon marque un but et le ballon est récupéré de la fente.")</f>
        <v>Un garçon marque un but et le ballon est récupéré de la fente.</v>
      </c>
    </row>
    <row r="22414">
      <c r="A22414" s="4" t="s">
        <v>28206</v>
      </c>
      <c r="B22414" s="4" t="s">
        <v>28211</v>
      </c>
      <c r="C22414" s="5" t="str">
        <f>IFERROR(__xludf.DUMMYFUNCTION("GOOGLETRANSLATE(B22414,""en"",""fr"")"),"Une balle tombe dans une goulotte carrée.")</f>
        <v>Une balle tombe dans une goulotte carrée.</v>
      </c>
    </row>
    <row r="22415">
      <c r="A22415" s="4" t="s">
        <v>28212</v>
      </c>
      <c r="B22415" s="4" t="s">
        <v>28213</v>
      </c>
      <c r="C22415" s="5" t="str">
        <f>IFERROR(__xludf.DUMMYFUNCTION("GOOGLETRANSLATE(B22415,""en"",""fr"")"),"Une femme en rouge s'entraîne pour sauter dans le sable, elle court un peu et saute à nouveau dans le sable.")</f>
        <v>Une femme en rouge s'entraîne pour sauter dans le sable, elle court un peu et saute à nouveau dans le sable.</v>
      </c>
    </row>
    <row r="22416">
      <c r="A22416" s="4" t="s">
        <v>28212</v>
      </c>
      <c r="B22416" s="4" t="s">
        <v>28214</v>
      </c>
      <c r="C22416" s="5" t="str">
        <f>IFERROR(__xludf.DUMMYFUNCTION("GOOGLETRANSLATE(B22416,""en"",""fr"")"),"Ensuite, elle commence à essayer plus loin, sprintant et sautant dans le sable.")</f>
        <v>Ensuite, elle commence à essayer plus loin, sprintant et sautant dans le sable.</v>
      </c>
    </row>
    <row r="22417">
      <c r="A22417" s="4" t="s">
        <v>28212</v>
      </c>
      <c r="B22417" s="4" t="s">
        <v>28215</v>
      </c>
      <c r="C22417" s="5" t="str">
        <f>IFERROR(__xludf.DUMMYFUNCTION("GOOGLETRANSLATE(B22417,""en"",""fr"")"),"Elle commence à sauter par-dessus les petites stands, puis un autre homme se joint à s'entraîner avec elle.")</f>
        <v>Elle commence à sauter par-dessus les petites stands, puis un autre homme se joint à s'entraîner avec elle.</v>
      </c>
    </row>
    <row r="22418">
      <c r="A22418" s="4" t="s">
        <v>28212</v>
      </c>
      <c r="B22418" s="4" t="s">
        <v>28216</v>
      </c>
      <c r="C22418" s="5" t="str">
        <f>IFERROR(__xludf.DUMMYFUNCTION("GOOGLETRANSLATE(B22418,""en"",""fr"")"),"Ensuite, une vraie course commence et tout le monde court.")</f>
        <v>Ensuite, une vraie course commence et tout le monde court.</v>
      </c>
    </row>
    <row r="22419">
      <c r="A22419" s="4" t="s">
        <v>28217</v>
      </c>
      <c r="B22419" s="4" t="s">
        <v>27016</v>
      </c>
      <c r="C22419" s="5" t="str">
        <f>IFERROR(__xludf.DUMMYFUNCTION("GOOGLETRANSLATE(B22419,""en"",""fr"")"),"Les gens roulent dans un carnaval.")</f>
        <v>Les gens roulent dans un carnaval.</v>
      </c>
    </row>
    <row r="22420">
      <c r="A22420" s="4" t="s">
        <v>28217</v>
      </c>
      <c r="B22420" s="4" t="s">
        <v>28218</v>
      </c>
      <c r="C22420" s="5" t="str">
        <f>IFERROR(__xludf.DUMMYFUNCTION("GOOGLETRANSLATE(B22420,""en"",""fr"")"),"Une adolescente portant une coupe rouge est frappée par d'autres voitures.")</f>
        <v>Une adolescente portant une coupe rouge est frappée par d'autres voitures.</v>
      </c>
    </row>
    <row r="22421">
      <c r="A22421" s="4" t="s">
        <v>28217</v>
      </c>
      <c r="B22421" s="4" t="s">
        <v>28219</v>
      </c>
      <c r="C22421" s="5" t="str">
        <f>IFERROR(__xludf.DUMMYFUNCTION("GOOGLETRANSLATE(B22421,""en"",""fr"")"),"Les gens tournent autour et continuent de rouler et de se cogner.")</f>
        <v>Les gens tournent autour et continuent de rouler et de se cogner.</v>
      </c>
    </row>
    <row r="22422">
      <c r="A22422" s="4" t="s">
        <v>28217</v>
      </c>
      <c r="B22422" s="4" t="s">
        <v>28220</v>
      </c>
      <c r="C22422" s="5" t="str">
        <f>IFERROR(__xludf.DUMMYFUNCTION("GOOGLETRANSLATE(B22422,""en"",""fr"")"),"Ensuite, les gens tournent sans frapper puis continuent de rouler et de cogner des voitures.")</f>
        <v>Ensuite, les gens tournent sans frapper puis continuent de rouler et de cogner des voitures.</v>
      </c>
    </row>
    <row r="22423">
      <c r="A22423" s="4" t="s">
        <v>28217</v>
      </c>
      <c r="B22423" s="4" t="s">
        <v>28221</v>
      </c>
      <c r="C22423" s="5" t="str">
        <f>IFERROR(__xludf.DUMMYFUNCTION("GOOGLETRANSLATE(B22423,""en"",""fr"")"),"Un garçon portant une chemise blanche tourne et se fait frapper par plusieurs voitures.")</f>
        <v>Un garçon portant une chemise blanche tourne et se fait frapper par plusieurs voitures.</v>
      </c>
    </row>
    <row r="22424">
      <c r="A22424" s="4" t="s">
        <v>28222</v>
      </c>
      <c r="B22424" s="4" t="s">
        <v>22365</v>
      </c>
      <c r="C22424" s="5" t="str">
        <f>IFERROR(__xludf.DUMMYFUNCTION("GOOGLETRANSLATE(B22424,""en"",""fr"")"),"Une introduction arrive sur l'écran pour une vidéo sur la façon de skier.")</f>
        <v>Une introduction arrive sur l'écran pour une vidéo sur la façon de skier.</v>
      </c>
    </row>
    <row r="22425">
      <c r="A22425" s="4" t="s">
        <v>28222</v>
      </c>
      <c r="B22425" s="6" t="s">
        <v>28223</v>
      </c>
      <c r="C22425" s="5" t="str">
        <f>IFERROR(__xludf.DUMMYFUNCTION("GOOGLETRANSLATE(B22425,""en"",""fr"")"),"Un homme présente les vidéos avec les sujets qu'il couvrira ainsi que l'équipement qui sera nécessaire pour skier.")</f>
        <v>Un homme présente les vidéos avec les sujets qu'il couvrira ainsi que l'équipement qui sera nécessaire pour skier.</v>
      </c>
    </row>
    <row r="22426">
      <c r="A22426" s="4" t="s">
        <v>28222</v>
      </c>
      <c r="B22426" s="6" t="s">
        <v>28224</v>
      </c>
      <c r="C22426" s="5" t="str">
        <f>IFERROR(__xludf.DUMMYFUNCTION("GOOGLETRANSLATE(B22426,""en"",""fr"")"),"Tout au long de la vidéo, plusieurs personnes montrent des concepts clés de la leçon de ski.")</f>
        <v>Tout au long de la vidéo, plusieurs personnes montrent des concepts clés de la leçon de ski.</v>
      </c>
    </row>
    <row r="22427">
      <c r="A22427" s="4" t="s">
        <v>28222</v>
      </c>
      <c r="B22427" s="4" t="s">
        <v>28225</v>
      </c>
      <c r="C22427" s="5" t="str">
        <f>IFERROR(__xludf.DUMMYFUNCTION("GOOGLETRANSLATE(B22427,""en"",""fr"")"),"La vidéo se termine par les crédits de clôture pour le segment.")</f>
        <v>La vidéo se termine par les crédits de clôture pour le segment.</v>
      </c>
    </row>
    <row r="22428">
      <c r="A22428" s="4" t="s">
        <v>28226</v>
      </c>
      <c r="B22428" s="4" t="s">
        <v>28227</v>
      </c>
      <c r="C22428" s="5" t="str">
        <f>IFERROR(__xludf.DUMMYFUNCTION("GOOGLETRANSLATE(B22428,""en"",""fr"")"),"Une femme est vue en tenant une pose sur une scène et mène à un autre homme marchant sur scène.")</f>
        <v>Une femme est vue en tenant une pose sur une scène et mène à un autre homme marchant sur scène.</v>
      </c>
    </row>
    <row r="22429">
      <c r="A22429" s="4" t="s">
        <v>28226</v>
      </c>
      <c r="B22429" s="6" t="s">
        <v>28228</v>
      </c>
      <c r="C22429" s="5" t="str">
        <f>IFERROR(__xludf.DUMMYFUNCTION("GOOGLETRANSLATE(B22429,""en"",""fr"")"),"L'homme et la femme interprètent ensuite une routine de danse autour de la scène tout en se regardant.")</f>
        <v>L'homme et la femme interprètent ensuite une routine de danse autour de la scène tout en se regardant.</v>
      </c>
    </row>
    <row r="22430">
      <c r="A22430" s="4" t="s">
        <v>28226</v>
      </c>
      <c r="B22430" s="4" t="s">
        <v>28229</v>
      </c>
      <c r="C22430" s="5" t="str">
        <f>IFERROR(__xludf.DUMMYFUNCTION("GOOGLETRANSLATE(B22430,""en"",""fr"")"),"Les deux continuent de danser et se terminent avec un arc et le public applaudir.")</f>
        <v>Les deux continuent de danser et se terminent avec un arc et le public applaudir.</v>
      </c>
    </row>
    <row r="22431">
      <c r="A22431" s="4" t="s">
        <v>28230</v>
      </c>
      <c r="B22431" s="4" t="s">
        <v>28231</v>
      </c>
      <c r="C22431" s="5" t="str">
        <f>IFERROR(__xludf.DUMMYFUNCTION("GOOGLETRANSLATE(B22431,""en"",""fr"")"),"Un gros plan d'une planche de fléchette est vu qui mène à des fléchettes apparaissant.")</f>
        <v>Un gros plan d'une planche de fléchette est vu qui mène à des fléchettes apparaissant.</v>
      </c>
    </row>
    <row r="22432">
      <c r="A22432" s="4" t="s">
        <v>28230</v>
      </c>
      <c r="B22432" s="4" t="s">
        <v>28232</v>
      </c>
      <c r="C22432" s="5" t="str">
        <f>IFERROR(__xludf.DUMMYFUNCTION("GOOGLETRANSLATE(B22432,""en"",""fr"")"),"La main d'une personne enlève les fléchettes et plus de fléchettes sont montrées en frappant le tableau.")</f>
        <v>La main d'une personne enlève les fléchettes et plus de fléchettes sont montrées en frappant le tableau.</v>
      </c>
    </row>
    <row r="22433">
      <c r="A22433" s="4" t="s">
        <v>28230</v>
      </c>
      <c r="B22433" s="4" t="s">
        <v>28233</v>
      </c>
      <c r="C22433" s="5" t="str">
        <f>IFERROR(__xludf.DUMMYFUNCTION("GOOGLETRANSLATE(B22433,""en"",""fr"")"),"Cela se produit plusieurs fois pendant que la caméra capture ses mouvements.")</f>
        <v>Cela se produit plusieurs fois pendant que la caméra capture ses mouvements.</v>
      </c>
    </row>
    <row r="22434">
      <c r="A22434" s="4" t="s">
        <v>28234</v>
      </c>
      <c r="B22434" s="4" t="s">
        <v>28235</v>
      </c>
      <c r="C22434" s="5" t="str">
        <f>IFERROR(__xludf.DUMMYFUNCTION("GOOGLETRANSLATE(B22434,""en"",""fr"")"),"Il y a deux hommes qui jouent au ballon foos avec deux jeunes garçons dans un salon.")</f>
        <v>Il y a deux hommes qui jouent au ballon foos avec deux jeunes garçons dans un salon.</v>
      </c>
    </row>
    <row r="22435">
      <c r="A22435" s="4" t="s">
        <v>28234</v>
      </c>
      <c r="B22435" s="4" t="s">
        <v>28236</v>
      </c>
      <c r="C22435" s="5" t="str">
        <f>IFERROR(__xludf.DUMMYFUNCTION("GOOGLETRANSLATE(B22435,""en"",""fr"")"),"Il y a un grand arbre de Noël décoré derrière eux.")</f>
        <v>Il y a un grand arbre de Noël décoré derrière eux.</v>
      </c>
    </row>
    <row r="22436">
      <c r="A22436" s="4" t="s">
        <v>28234</v>
      </c>
      <c r="B22436" s="4" t="s">
        <v>28237</v>
      </c>
      <c r="C22436" s="5" t="str">
        <f>IFERROR(__xludf.DUMMYFUNCTION("GOOGLETRANSLATE(B22436,""en"",""fr"")"),"Il y a une femme assise dans le salon avec une petite fille.")</f>
        <v>Il y a une femme assise dans le salon avec une petite fille.</v>
      </c>
    </row>
    <row r="22437">
      <c r="A22437" s="4" t="s">
        <v>28234</v>
      </c>
      <c r="B22437" s="4" t="s">
        <v>28238</v>
      </c>
      <c r="C22437" s="5" t="str">
        <f>IFERROR(__xludf.DUMMYFUNCTION("GOOGLETRANSLATE(B22437,""en"",""fr"")"),"Les garçons jouent au ballon FOOS avec les hommes.")</f>
        <v>Les garçons jouent au ballon FOOS avec les hommes.</v>
      </c>
    </row>
    <row r="22438">
      <c r="A22438" s="4" t="s">
        <v>28234</v>
      </c>
      <c r="B22438" s="4" t="s">
        <v>28239</v>
      </c>
      <c r="C22438" s="5" t="str">
        <f>IFERROR(__xludf.DUMMYFUNCTION("GOOGLETRANSLATE(B22438,""en"",""fr"")"),"Ils rient et s'amusent alors qu'ils continuent de jouer.")</f>
        <v>Ils rient et s'amusent alors qu'ils continuent de jouer.</v>
      </c>
    </row>
    <row r="22439">
      <c r="A22439" s="4" t="s">
        <v>28240</v>
      </c>
      <c r="B22439" s="4" t="s">
        <v>28241</v>
      </c>
      <c r="C22439" s="5" t="str">
        <f>IFERROR(__xludf.DUMMYFUNCTION("GOOGLETRANSLATE(B22439,""en"",""fr"")"),"Une grande arène est vue avec une personne passant et pointant vers la caméra.")</f>
        <v>Une grande arène est vue avec une personne passant et pointant vers la caméra.</v>
      </c>
    </row>
    <row r="22440">
      <c r="A22440" s="4" t="s">
        <v>28240</v>
      </c>
      <c r="B22440" s="4" t="s">
        <v>28242</v>
      </c>
      <c r="C22440" s="5" t="str">
        <f>IFERROR(__xludf.DUMMYFUNCTION("GOOGLETRANSLATE(B22440,""en"",""fr"")"),"Plusieurs coups de feu sont montrés de l'athlète jouant au football et mène à lui debout.")</f>
        <v>Plusieurs coups de feu sont montrés de l'athlète jouant au football et mène à lui debout.</v>
      </c>
    </row>
    <row r="22441">
      <c r="A22441" s="4" t="s">
        <v>28240</v>
      </c>
      <c r="B22441" s="4" t="s">
        <v>28243</v>
      </c>
      <c r="C22441" s="5" t="str">
        <f>IFERROR(__xludf.DUMMYFUNCTION("GOOGLETRANSLATE(B22441,""en"",""fr"")"),"L'homme coule ensuite sur le terrain et le long saute dans une fosse de sable et son saut est à nouveau illustré.")</f>
        <v>L'homme coule ensuite sur le terrain et le long saute dans une fosse de sable et son saut est à nouveau illustré.</v>
      </c>
    </row>
    <row r="22442">
      <c r="A22442" s="4" t="s">
        <v>28244</v>
      </c>
      <c r="B22442" s="6" t="s">
        <v>28245</v>
      </c>
      <c r="C22442" s="5" t="str">
        <f>IFERROR(__xludf.DUMMYFUNCTION("GOOGLETRANSLATE(B22442,""en"",""fr"")"),"Un homme est vu tenant un couteau bien aiguisé dans ses mains tandis que la caméra zoome et l'homme pointe vers deux boîtes.")</f>
        <v>Un homme est vu tenant un couteau bien aiguisé dans ses mains tandis que la caméra zoome et l'homme pointe vers deux boîtes.</v>
      </c>
    </row>
    <row r="22443">
      <c r="A22443" s="4" t="s">
        <v>28244</v>
      </c>
      <c r="B22443" s="4" t="s">
        <v>28246</v>
      </c>
      <c r="C22443" s="5" t="str">
        <f>IFERROR(__xludf.DUMMYFUNCTION("GOOGLETRANSLATE(B22443,""en"",""fr"")"),"Il glisse ensuite le couteau le long des boîtes et montre le couteau aiguisé à la caméra.")</f>
        <v>Il glisse ensuite le couteau le long des boîtes et montre le couteau aiguisé à la caméra.</v>
      </c>
    </row>
    <row r="22444">
      <c r="A22444" s="4" t="s">
        <v>28244</v>
      </c>
      <c r="B22444" s="4" t="s">
        <v>28247</v>
      </c>
      <c r="C22444" s="5" t="str">
        <f>IFERROR(__xludf.DUMMYFUNCTION("GOOGLETRANSLATE(B22444,""en"",""fr"")"),"Il se termine en tenant le couteau et en souriant à la caméra.")</f>
        <v>Il se termine en tenant le couteau et en souriant à la caméra.</v>
      </c>
    </row>
    <row r="22445">
      <c r="A22445" s="4" t="s">
        <v>28248</v>
      </c>
      <c r="B22445" s="4" t="s">
        <v>28249</v>
      </c>
      <c r="C22445" s="5" t="str">
        <f>IFERROR(__xludf.DUMMYFUNCTION("GOOGLETRANSLATE(B22445,""en"",""fr"")"),"Un homme est vu regarder au loin et l'amène en parlant à la caméra.")</f>
        <v>Un homme est vu regarder au loin et l'amène en parlant à la caméra.</v>
      </c>
    </row>
    <row r="22446">
      <c r="A22446" s="4" t="s">
        <v>28248</v>
      </c>
      <c r="B22446" s="4" t="s">
        <v>28250</v>
      </c>
      <c r="C22446" s="5" t="str">
        <f>IFERROR(__xludf.DUMMYFUNCTION("GOOGLETRANSLATE(B22446,""en"",""fr"")"),"L'homme continue de parler à la caméra, puis marche derrière un ensemble de tambours.")</f>
        <v>L'homme continue de parler à la caméra, puis marche derrière un ensemble de tambours.</v>
      </c>
    </row>
    <row r="22447">
      <c r="A22447" s="4" t="s">
        <v>28248</v>
      </c>
      <c r="B22447" s="4" t="s">
        <v>28251</v>
      </c>
      <c r="C22447" s="5" t="str">
        <f>IFERROR(__xludf.DUMMYFUNCTION("GOOGLETRANSLATE(B22447,""en"",""fr"")"),"L'homme joue en permanence la batterie et se termine en parlant à la caméra.")</f>
        <v>L'homme joue en permanence la batterie et se termine en parlant à la caméra.</v>
      </c>
    </row>
    <row r="22448">
      <c r="A22448" s="4" t="s">
        <v>28252</v>
      </c>
      <c r="B22448" s="4" t="s">
        <v>28253</v>
      </c>
      <c r="C22448" s="5" t="str">
        <f>IFERROR(__xludf.DUMMYFUNCTION("GOOGLETRANSLATE(B22448,""en"",""fr"")"),"Une jeune fille est montrée en arrière et quatrième sur un swingset et souriant dans la caméra.")</f>
        <v>Une jeune fille est montrée en arrière et quatrième sur un swingset et souriant dans la caméra.</v>
      </c>
    </row>
    <row r="22449">
      <c r="A22449" s="4" t="s">
        <v>28252</v>
      </c>
      <c r="B22449" s="4" t="s">
        <v>28254</v>
      </c>
      <c r="C22449" s="5" t="str">
        <f>IFERROR(__xludf.DUMMYFUNCTION("GOOGLETRANSLATE(B22449,""en"",""fr"")"),"Elle continue de revenir en arrière et quatrième tandis que la caméra la capture en hurlant à la caméra.")</f>
        <v>Elle continue de revenir en arrière et quatrième tandis que la caméra la capture en hurlant à la caméra.</v>
      </c>
    </row>
    <row r="22450">
      <c r="A22450" s="4" t="s">
        <v>28255</v>
      </c>
      <c r="B22450" s="4" t="s">
        <v>28256</v>
      </c>
      <c r="C22450" s="5" t="str">
        <f>IFERROR(__xludf.DUMMYFUNCTION("GOOGLETRANSLATE(B22450,""en"",""fr"")"),"Une personne tranche et moulue et hachage du persil.")</f>
        <v>Une personne tranche et moulue et hachage du persil.</v>
      </c>
    </row>
    <row r="22451">
      <c r="A22451" s="4" t="s">
        <v>28255</v>
      </c>
      <c r="B22451" s="4" t="s">
        <v>28257</v>
      </c>
      <c r="C22451" s="5" t="str">
        <f>IFERROR(__xludf.DUMMYFUNCTION("GOOGLETRANSLATE(B22451,""en"",""fr"")"),"Ensuite, la personne ajoute l'ail dans l'huile chaude dans une casserole.")</f>
        <v>Ensuite, la personne ajoute l'ail dans l'huile chaude dans une casserole.</v>
      </c>
    </row>
    <row r="22452">
      <c r="A22452" s="4" t="s">
        <v>28255</v>
      </c>
      <c r="B22452" s="6" t="s">
        <v>28258</v>
      </c>
      <c r="C22452" s="5" t="str">
        <f>IFERROR(__xludf.DUMMYFUNCTION("GOOGLETRANSLATE(B22452,""en"",""fr"")"),"La personne cuit et draine les pâtes, puis mettez les pâtes dans le pot et ajoute du bouillon de poulet, l'ail cuit, le persil, le sel, le poivre et le fromage sur le dessus.")</f>
        <v>La personne cuit et draine les pâtes, puis mettez les pâtes dans le pot et ajoute du bouillon de poulet, l'ail cuit, le persil, le sel, le poivre et le fromage sur le dessus.</v>
      </c>
    </row>
    <row r="22453">
      <c r="A22453" s="4" t="s">
        <v>28255</v>
      </c>
      <c r="B22453" s="4" t="s">
        <v>28259</v>
      </c>
      <c r="C22453" s="5" t="str">
        <f>IFERROR(__xludf.DUMMYFUNCTION("GOOGLETRANSLATE(B22453,""en"",""fr"")"),"Ensuite, la personne fait du poulet frit, puis sert les pâtes avec le poulet.")</f>
        <v>Ensuite, la personne fait du poulet frit, puis sert les pâtes avec le poulet.</v>
      </c>
    </row>
    <row r="22454">
      <c r="A22454" s="4" t="s">
        <v>28260</v>
      </c>
      <c r="B22454" s="4" t="s">
        <v>28261</v>
      </c>
      <c r="C22454" s="5" t="str">
        <f>IFERROR(__xludf.DUMMYFUNCTION("GOOGLETRANSLATE(B22454,""en"",""fr"")"),"Différentes personnes aiment avoir une tasse de thé ensemble.")</f>
        <v>Différentes personnes aiment avoir une tasse de thé ensemble.</v>
      </c>
    </row>
    <row r="22455">
      <c r="A22455" s="4" t="s">
        <v>28260</v>
      </c>
      <c r="B22455" s="4" t="s">
        <v>28262</v>
      </c>
      <c r="C22455" s="5" t="str">
        <f>IFERROR(__xludf.DUMMYFUNCTION("GOOGLETRANSLATE(B22455,""en"",""fr"")"),"Une femme mélange le retenue d'une casserole graissée puis ajoute un beurre jaune dans un bol.")</f>
        <v>Une femme mélange le retenue d'une casserole graissée puis ajoute un beurre jaune dans un bol.</v>
      </c>
    </row>
    <row r="22456">
      <c r="A22456" s="4" t="s">
        <v>28260</v>
      </c>
      <c r="B22456" s="4" t="s">
        <v>28263</v>
      </c>
      <c r="C22456" s="5" t="str">
        <f>IFERROR(__xludf.DUMMYFUNCTION("GOOGLETRANSLATE(B22456,""en"",""fr"")"),"La farine est ajoutée au bol et tout est mélangé.")</f>
        <v>La farine est ajoutée au bol et tout est mélangé.</v>
      </c>
    </row>
    <row r="22457">
      <c r="A22457" s="4" t="s">
        <v>28260</v>
      </c>
      <c r="B22457" s="4" t="s">
        <v>28264</v>
      </c>
      <c r="C22457" s="5" t="str">
        <f>IFERROR(__xludf.DUMMYFUNCTION("GOOGLETRANSLATE(B22457,""en"",""fr"")"),"Des œufs sont ajoutés au mélange et mélangés avec un mélangeur.")</f>
        <v>Des œufs sont ajoutés au mélange et mélangés avec un mélangeur.</v>
      </c>
    </row>
    <row r="22458">
      <c r="A22458" s="4" t="s">
        <v>28260</v>
      </c>
      <c r="B22458" s="4" t="s">
        <v>28265</v>
      </c>
      <c r="C22458" s="5" t="str">
        <f>IFERROR(__xludf.DUMMYFUNCTION("GOOGLETRANSLATE(B22458,""en"",""fr"")"),"La femme ajoute des extraits liquides ainsi que de la farine en poudre supplémentaire au plat.")</f>
        <v>La femme ajoute des extraits liquides ainsi que de la farine en poudre supplémentaire au plat.</v>
      </c>
    </row>
    <row r="22459">
      <c r="A22459" s="4" t="s">
        <v>28260</v>
      </c>
      <c r="B22459" s="4" t="s">
        <v>28266</v>
      </c>
      <c r="C22459" s="5" t="str">
        <f>IFERROR(__xludf.DUMMYFUNCTION("GOOGLETRANSLATE(B22459,""en"",""fr"")"),"La femme ajoute des fruits en cubes au mélange et le remue avec une spatule.")</f>
        <v>La femme ajoute des fruits en cubes au mélange et le remue avec une spatule.</v>
      </c>
    </row>
    <row r="22460">
      <c r="A22460" s="4" t="s">
        <v>28260</v>
      </c>
      <c r="B22460" s="4" t="s">
        <v>28267</v>
      </c>
      <c r="C22460" s="5" t="str">
        <f>IFERROR(__xludf.DUMMYFUNCTION("GOOGLETRANSLATE(B22460,""en"",""fr"")"),"L'hôte verse les ingrédients dans une casserole puis les fait cuire dans un four.")</f>
        <v>L'hôte verse les ingrédients dans une casserole puis les fait cuire dans un four.</v>
      </c>
    </row>
    <row r="22461">
      <c r="A22461" s="4" t="s">
        <v>28260</v>
      </c>
      <c r="B22461" s="4" t="s">
        <v>28268</v>
      </c>
      <c r="C22461" s="5" t="str">
        <f>IFERROR(__xludf.DUMMYFUNCTION("GOOGLETRANSLATE(B22461,""en"",""fr"")"),"Les femmes profitent ensemble d'une bouchée du plat.")</f>
        <v>Les femmes profitent ensemble d'une bouchée du plat.</v>
      </c>
    </row>
    <row r="22462">
      <c r="A22462" s="4" t="s">
        <v>28260</v>
      </c>
      <c r="B22462" s="4" t="s">
        <v>28269</v>
      </c>
      <c r="C22462" s="5" t="str">
        <f>IFERROR(__xludf.DUMMYFUNCTION("GOOGLETRANSLATE(B22462,""en"",""fr"")"),"L'hôte verse une tasse de thé à déguster.")</f>
        <v>L'hôte verse une tasse de thé à déguster.</v>
      </c>
    </row>
    <row r="22463">
      <c r="A22463" s="4" t="s">
        <v>28270</v>
      </c>
      <c r="B22463" s="4" t="s">
        <v>28271</v>
      </c>
      <c r="C22463" s="5" t="str">
        <f>IFERROR(__xludf.DUMMYFUNCTION("GOOGLETRANSLATE(B22463,""en"",""fr"")"),"Une femme se frotte très bien la main.")</f>
        <v>Une femme se frotte très bien la main.</v>
      </c>
    </row>
    <row r="22464">
      <c r="A22464" s="4" t="s">
        <v>28270</v>
      </c>
      <c r="B22464" s="4" t="s">
        <v>28272</v>
      </c>
      <c r="C22464" s="5" t="str">
        <f>IFERROR(__xludf.DUMMYFUNCTION("GOOGLETRANSLATE(B22464,""en"",""fr"")"),"Ensuite, la femme se rincera les mains avec de l'eau.")</f>
        <v>Ensuite, la femme se rincera les mains avec de l'eau.</v>
      </c>
    </row>
    <row r="22465">
      <c r="A22465" s="4" t="s">
        <v>28273</v>
      </c>
      <c r="B22465" s="4" t="s">
        <v>28274</v>
      </c>
      <c r="C22465" s="5" t="str">
        <f>IFERROR(__xludf.DUMMYFUNCTION("GOOGLETRANSLATE(B22465,""en"",""fr"")"),"Les gens jouent au hockey sur une patinoire de glace.")</f>
        <v>Les gens jouent au hockey sur une patinoire de glace.</v>
      </c>
    </row>
    <row r="22466">
      <c r="A22466" s="4" t="s">
        <v>28273</v>
      </c>
      <c r="B22466" s="4" t="s">
        <v>28275</v>
      </c>
      <c r="C22466" s="5" t="str">
        <f>IFERROR(__xludf.DUMMYFUNCTION("GOOGLETRANSLATE(B22466,""en"",""fr"")"),"Un arbitre patine au peuple.")</f>
        <v>Un arbitre patine au peuple.</v>
      </c>
    </row>
    <row r="22467">
      <c r="A22467" s="4" t="s">
        <v>28273</v>
      </c>
      <c r="B22467" s="4" t="s">
        <v>28276</v>
      </c>
      <c r="C22467" s="5" t="str">
        <f>IFERROR(__xludf.DUMMYFUNCTION("GOOGLETRANSLATE(B22467,""en"",""fr"")"),"Ils continuent de jouer au Hockey.")</f>
        <v>Ils continuent de jouer au Hockey.</v>
      </c>
    </row>
    <row r="22468">
      <c r="A22468" s="4" t="s">
        <v>28277</v>
      </c>
      <c r="B22468" s="4" t="s">
        <v>28278</v>
      </c>
      <c r="C22468" s="5" t="str">
        <f>IFERROR(__xludf.DUMMYFUNCTION("GOOGLETRANSLATE(B22468,""en"",""fr"")"),"Deux garçons sont dans la cour en jouant au ballon.")</f>
        <v>Deux garçons sont dans la cour en jouant au ballon.</v>
      </c>
    </row>
    <row r="22469">
      <c r="A22469" s="4" t="s">
        <v>28277</v>
      </c>
      <c r="B22469" s="4" t="s">
        <v>28279</v>
      </c>
      <c r="C22469" s="5" t="str">
        <f>IFERROR(__xludf.DUMMYFUNCTION("GOOGLETRANSLATE(B22469,""en"",""fr"")"),"L'un se tient devant le filet et passe à l'autre avec des bâtons de crosse.")</f>
        <v>L'un se tient devant le filet et passe à l'autre avec des bâtons de crosse.</v>
      </c>
    </row>
    <row r="22470">
      <c r="A22470" s="4" t="s">
        <v>28277</v>
      </c>
      <c r="B22470" s="4" t="s">
        <v>28280</v>
      </c>
      <c r="C22470" s="5" t="str">
        <f>IFERROR(__xludf.DUMMYFUNCTION("GOOGLETRANSLATE(B22470,""en"",""fr"")"),"Les garçons continuent de passer le bain de balle et le quatrième l'un à l'autre.")</f>
        <v>Les garçons continuent de passer le bain de balle et le quatrième l'un à l'autre.</v>
      </c>
    </row>
    <row r="22471">
      <c r="A22471" s="4" t="s">
        <v>28277</v>
      </c>
      <c r="B22471" s="4" t="s">
        <v>28281</v>
      </c>
      <c r="C22471" s="5" t="str">
        <f>IFERROR(__xludf.DUMMYFUNCTION("GOOGLETRANSLATE(B22471,""en"",""fr"")"),"Un garçon jette le ballon sur la route tandis que l'autre court après.")</f>
        <v>Un garçon jette le ballon sur la route tandis que l'autre court après.</v>
      </c>
    </row>
    <row r="22472">
      <c r="A22472" s="4" t="s">
        <v>28277</v>
      </c>
      <c r="B22472" s="4" t="s">
        <v>28282</v>
      </c>
      <c r="C22472" s="5" t="str">
        <f>IFERROR(__xludf.DUMMYFUNCTION("GOOGLETRANSLATE(B22472,""en"",""fr"")"),"Un autre garçon entre avec une perruque et les garçons commencent à se battre.")</f>
        <v>Un autre garçon entre avec une perruque et les garçons commencent à se battre.</v>
      </c>
    </row>
    <row r="22473">
      <c r="A22473" s="4" t="s">
        <v>28277</v>
      </c>
      <c r="B22473" s="4" t="s">
        <v>28283</v>
      </c>
      <c r="C22473" s="5" t="str">
        <f>IFERROR(__xludf.DUMMYFUNCTION("GOOGLETRANSLATE(B22473,""en"",""fr"")"),"Les garçons prétendent ensuite le battement du garçon avec la perruque.")</f>
        <v>Les garçons prétendent ensuite le battement du garçon avec la perruque.</v>
      </c>
    </row>
    <row r="22474">
      <c r="A22474" s="4" t="s">
        <v>28277</v>
      </c>
      <c r="B22474" s="4" t="s">
        <v>28284</v>
      </c>
      <c r="C22474" s="5" t="str">
        <f>IFERROR(__xludf.DUMMYFUNCTION("GOOGLETRANSLATE(B22474,""en"",""fr"")"),"Les garçons continuent tous de se battre tout en saisissant les objets et en s'enfuyant.")</f>
        <v>Les garçons continuent tous de se battre tout en saisissant les objets et en s'enfuyant.</v>
      </c>
    </row>
    <row r="22475">
      <c r="A22475" s="4" t="s">
        <v>28285</v>
      </c>
      <c r="B22475" s="4" t="s">
        <v>28286</v>
      </c>
      <c r="C22475" s="5" t="str">
        <f>IFERROR(__xludf.DUMMYFUNCTION("GOOGLETRANSLATE(B22475,""en"",""fr"")"),"Les gens font du vélo autour d'un sentier de terre.")</f>
        <v>Les gens font du vélo autour d'un sentier de terre.</v>
      </c>
    </row>
    <row r="22476">
      <c r="A22476" s="4" t="s">
        <v>28285</v>
      </c>
      <c r="B22476" s="4" t="s">
        <v>28287</v>
      </c>
      <c r="C22476" s="5" t="str">
        <f>IFERROR(__xludf.DUMMYFUNCTION("GOOGLETRANSLATE(B22476,""en"",""fr"")"),"Ils passent sur une colline plusieurs fois.")</f>
        <v>Ils passent sur une colline plusieurs fois.</v>
      </c>
    </row>
    <row r="22477">
      <c r="A22477" s="4" t="s">
        <v>28285</v>
      </c>
      <c r="B22477" s="4" t="s">
        <v>28288</v>
      </c>
      <c r="C22477" s="5" t="str">
        <f>IFERROR(__xludf.DUMMYFUNCTION("GOOGLETRANSLATE(B22477,""en"",""fr"")"),"Le garçon porte un casque.")</f>
        <v>Le garçon porte un casque.</v>
      </c>
    </row>
    <row r="22478">
      <c r="A22478" s="4" t="s">
        <v>28289</v>
      </c>
      <c r="B22478" s="4" t="s">
        <v>28290</v>
      </c>
      <c r="C22478" s="5" t="str">
        <f>IFERROR(__xludf.DUMMYFUNCTION("GOOGLETRANSLATE(B22478,""en"",""fr"")"),"Une personne soudure un petit objet métallique carré.")</f>
        <v>Une personne soudure un petit objet métallique carré.</v>
      </c>
    </row>
    <row r="22479">
      <c r="A22479" s="4" t="s">
        <v>28289</v>
      </c>
      <c r="B22479" s="4" t="s">
        <v>28291</v>
      </c>
      <c r="C22479" s="5" t="str">
        <f>IFERROR(__xludf.DUMMYFUNCTION("GOOGLETRANSLATE(B22479,""en"",""fr"")"),"Une flamme quitte un tube et une légère étincelle forme la machine de soudage.")</f>
        <v>Une flamme quitte un tube et une légère étincelle forme la machine de soudage.</v>
      </c>
    </row>
    <row r="22480">
      <c r="A22480" s="4" t="s">
        <v>28289</v>
      </c>
      <c r="B22480" s="4" t="s">
        <v>28292</v>
      </c>
      <c r="C22480" s="5" t="str">
        <f>IFERROR(__xludf.DUMMYFUNCTION("GOOGLETRANSLATE(B22480,""en"",""fr"")"),"Deux hommes se soudent pour se joindre à Big Cylinders.")</f>
        <v>Deux hommes se soudent pour se joindre à Big Cylinders.</v>
      </c>
    </row>
    <row r="22481">
      <c r="A22481" s="4" t="s">
        <v>28293</v>
      </c>
      <c r="B22481" s="4" t="s">
        <v>28294</v>
      </c>
      <c r="C22481" s="5" t="str">
        <f>IFERROR(__xludf.DUMMYFUNCTION("GOOGLETRANSLATE(B22481,""en"",""fr"")"),"Un homme enlève la neige sur une voiture à l'aide d'une brosse à neige.")</f>
        <v>Un homme enlève la neige sur une voiture à l'aide d'une brosse à neige.</v>
      </c>
    </row>
    <row r="22482">
      <c r="A22482" s="4" t="s">
        <v>28293</v>
      </c>
      <c r="B22482" s="6" t="s">
        <v>28295</v>
      </c>
      <c r="C22482" s="5" t="str">
        <f>IFERROR(__xludf.DUMMYFUNCTION("GOOGLETRANSLATE(B22482,""en"",""fr"")"),"Ensuite, l'homme écrit sur la neige couvrant la fenêtre d'une voiture, et une femme portant des vêtements d'hiver sourit.")</f>
        <v>Ensuite, l'homme écrit sur la neige couvrant la fenêtre d'une voiture, et une femme portant des vêtements d'hiver sourit.</v>
      </c>
    </row>
    <row r="22483">
      <c r="A22483" s="4" t="s">
        <v>28293</v>
      </c>
      <c r="B22483" s="4" t="s">
        <v>28296</v>
      </c>
      <c r="C22483" s="5" t="str">
        <f>IFERROR(__xludf.DUMMYFUNCTION("GOOGLETRANSLATE(B22483,""en"",""fr"")"),"Ensuite, l'homme continue de retirer la neige sur sa voiture.")</f>
        <v>Ensuite, l'homme continue de retirer la neige sur sa voiture.</v>
      </c>
    </row>
    <row r="22484">
      <c r="A22484" s="4" t="s">
        <v>28297</v>
      </c>
      <c r="B22484" s="4" t="s">
        <v>28298</v>
      </c>
      <c r="C22484" s="5" t="str">
        <f>IFERROR(__xludf.DUMMYFUNCTION("GOOGLETRANSLATE(B22484,""en"",""fr"")"),"Un homme en maillot de bain et sa femme flottent sur une rivière sur Intertubes.")</f>
        <v>Un homme en maillot de bain et sa femme flottent sur une rivière sur Intertubes.</v>
      </c>
    </row>
    <row r="22485">
      <c r="A22485" s="4" t="s">
        <v>28297</v>
      </c>
      <c r="B22485" s="4" t="s">
        <v>28299</v>
      </c>
      <c r="C22485" s="5" t="str">
        <f>IFERROR(__xludf.DUMMYFUNCTION("GOOGLETRANSLATE(B22485,""en"",""fr"")"),"L'homme tombe de son intertube et se dirige vers le bord des eaux.")</f>
        <v>L'homme tombe de son intertube et se dirige vers le bord des eaux.</v>
      </c>
    </row>
    <row r="22486">
      <c r="A22486" s="4" t="s">
        <v>28297</v>
      </c>
      <c r="B22486" s="4" t="s">
        <v>28300</v>
      </c>
      <c r="C22486" s="5" t="str">
        <f>IFERROR(__xludf.DUMMYFUNCTION("GOOGLETRANSLATE(B22486,""en"",""fr"")"),"L'homme, maintenant portant un gilet de sauvetage, avec sa femme flottant sur une rivière au milieu d'un grand groupe.")</f>
        <v>L'homme, maintenant portant un gilet de sauvetage, avec sa femme flottant sur une rivière au milieu d'un grand groupe.</v>
      </c>
    </row>
    <row r="22487">
      <c r="A22487" s="4" t="s">
        <v>28297</v>
      </c>
      <c r="B22487" s="6" t="s">
        <v>28301</v>
      </c>
      <c r="C22487" s="5" t="str">
        <f>IFERROR(__xludf.DUMMYFUNCTION("GOOGLETRANSLATE(B22487,""en"",""fr"")"),"Un groupe de derrière flotte à côté de l'homme et de la femme alors qu'ils ralentissent près du côté de la rivière.")</f>
        <v>Un groupe de derrière flotte à côté de l'homme et de la femme alors qu'ils ralentissent près du côté de la rivière.</v>
      </c>
    </row>
    <row r="22488">
      <c r="A22488" s="4" t="s">
        <v>28302</v>
      </c>
      <c r="B22488" s="4" t="s">
        <v>28303</v>
      </c>
      <c r="C22488" s="5" t="str">
        <f>IFERROR(__xludf.DUMMYFUNCTION("GOOGLETRANSLATE(B22488,""en"",""fr"")"),"Une femme coupe les extrémités d'une patate douce sur une planche à découper avec un couteau.")</f>
        <v>Une femme coupe les extrémités d'une patate douce sur une planche à découper avec un couteau.</v>
      </c>
    </row>
    <row r="22489">
      <c r="A22489" s="4" t="s">
        <v>28302</v>
      </c>
      <c r="B22489" s="4" t="s">
        <v>28304</v>
      </c>
      <c r="C22489" s="5" t="str">
        <f>IFERROR(__xludf.DUMMYFUNCTION("GOOGLETRANSLATE(B22489,""en"",""fr"")"),"La femme utilise un outil de pelage pour écorcher une patate douce sur la planche à découper.")</f>
        <v>La femme utilise un outil de pelage pour écorcher une patate douce sur la planche à découper.</v>
      </c>
    </row>
    <row r="22490">
      <c r="A22490" s="4" t="s">
        <v>28305</v>
      </c>
      <c r="B22490" s="4" t="s">
        <v>28306</v>
      </c>
      <c r="C22490" s="5" t="str">
        <f>IFERROR(__xludf.DUMMYFUNCTION("GOOGLETRANSLATE(B22490,""en"",""fr"")"),"Nous voyons un homme et une femme danser ensemble.")</f>
        <v>Nous voyons un homme et une femme danser ensemble.</v>
      </c>
    </row>
    <row r="22491">
      <c r="A22491" s="4" t="s">
        <v>28305</v>
      </c>
      <c r="B22491" s="4" t="s">
        <v>28307</v>
      </c>
      <c r="C22491" s="5" t="str">
        <f>IFERROR(__xludf.DUMMYFUNCTION("GOOGLETRANSLATE(B22491,""en"",""fr"")"),"L'homme tourne la femme d'avant en arrière.")</f>
        <v>L'homme tourne la femme d'avant en arrière.</v>
      </c>
    </row>
    <row r="22492">
      <c r="A22492" s="4" t="s">
        <v>28305</v>
      </c>
      <c r="B22492" s="4" t="s">
        <v>28308</v>
      </c>
      <c r="C22492" s="5" t="str">
        <f>IFERROR(__xludf.DUMMYFUNCTION("GOOGLETRANSLATE(B22492,""en"",""fr"")"),"L'écran tourne une teinte verte.")</f>
        <v>L'écran tourne une teinte verte.</v>
      </c>
    </row>
    <row r="22493">
      <c r="A22493" s="4" t="s">
        <v>28305</v>
      </c>
      <c r="B22493" s="4" t="s">
        <v>28309</v>
      </c>
      <c r="C22493" s="5" t="str">
        <f>IFERROR(__xludf.DUMMYFUNCTION("GOOGLETRANSLATE(B22493,""en"",""fr"")"),"La dame sort ses cheveux d'une queue de poney.")</f>
        <v>La dame sort ses cheveux d'une queue de poney.</v>
      </c>
    </row>
    <row r="22494">
      <c r="A22494" s="4" t="s">
        <v>28305</v>
      </c>
      <c r="B22494" s="4" t="s">
        <v>28310</v>
      </c>
      <c r="C22494" s="5" t="str">
        <f>IFERROR(__xludf.DUMMYFUNCTION("GOOGLETRANSLATE(B22494,""en"",""fr"")"),"L'écran tourne une teinte bleue.")</f>
        <v>L'écran tourne une teinte bleue.</v>
      </c>
    </row>
    <row r="22495">
      <c r="A22495" s="4" t="s">
        <v>28305</v>
      </c>
      <c r="B22495" s="4" t="s">
        <v>28311</v>
      </c>
      <c r="C22495" s="5" t="str">
        <f>IFERROR(__xludf.DUMMYFUNCTION("GOOGLETRANSLATE(B22495,""en"",""fr"")"),"Une personne entre dans la pièce puis part.")</f>
        <v>Une personne entre dans la pièce puis part.</v>
      </c>
    </row>
    <row r="22496">
      <c r="A22496" s="4" t="s">
        <v>28305</v>
      </c>
      <c r="B22496" s="4" t="s">
        <v>28312</v>
      </c>
      <c r="C22496" s="5" t="str">
        <f>IFERROR(__xludf.DUMMYFUNCTION("GOOGLETRANSLATE(B22496,""en"",""fr"")"),"Les gens recommencent à tourner.")</f>
        <v>Les gens recommencent à tourner.</v>
      </c>
    </row>
    <row r="22497">
      <c r="A22497" s="4" t="s">
        <v>28305</v>
      </c>
      <c r="B22497" s="4" t="s">
        <v>28313</v>
      </c>
      <c r="C22497" s="5" t="str">
        <f>IFERROR(__xludf.DUMMYFUNCTION("GOOGLETRANSLATE(B22497,""en"",""fr"")"),"La personne revient et se déplace vers la gauche.")</f>
        <v>La personne revient et se déplace vers la gauche.</v>
      </c>
    </row>
    <row r="22498">
      <c r="A22498" s="4" t="s">
        <v>28305</v>
      </c>
      <c r="B22498" s="4" t="s">
        <v>28314</v>
      </c>
      <c r="C22498" s="5" t="str">
        <f>IFERROR(__xludf.DUMMYFUNCTION("GOOGLETRANSLATE(B22498,""en"",""fr"")"),"La couleur redevient normale.")</f>
        <v>La couleur redevient normale.</v>
      </c>
    </row>
    <row r="22499">
      <c r="A22499" s="4" t="s">
        <v>28305</v>
      </c>
      <c r="B22499" s="4" t="s">
        <v>28315</v>
      </c>
      <c r="C22499" s="5" t="str">
        <f>IFERROR(__xludf.DUMMYFUNCTION("GOOGLETRANSLATE(B22499,""en"",""fr"")"),"L'homme s'arrête et la femme est bouleversée.")</f>
        <v>L'homme s'arrête et la femme est bouleversée.</v>
      </c>
    </row>
    <row r="22500">
      <c r="A22500" s="4" t="s">
        <v>28316</v>
      </c>
      <c r="B22500" s="6" t="s">
        <v>28317</v>
      </c>
      <c r="C22500" s="5" t="str">
        <f>IFERROR(__xludf.DUMMYFUNCTION("GOOGLETRANSLATE(B22500,""en"",""fr"")"),"Une intro apparaît sur un écran sombre avec des effets spéciaux rouges et blancs et les mots ""Milwaukee Open"" et ""Best Plays"" apparaissent sur des écrans séparés.")</f>
        <v>Une intro apparaît sur un écran sombre avec des effets spéciaux rouges et blancs et les mots "Milwaukee Open" et "Best Plays" apparaissent sur des écrans séparés.</v>
      </c>
    </row>
    <row r="22501">
      <c r="A22501" s="4" t="s">
        <v>28316</v>
      </c>
      <c r="B22501" s="6" t="s">
        <v>28318</v>
      </c>
      <c r="C22501" s="5" t="str">
        <f>IFERROR(__xludf.DUMMYFUNCTION("GOOGLETRANSLATE(B22501,""en"",""fr"")"),"Des clips de diverses personnes, des hommes et des femmes sont à l'extérieur sur les plages, portant des vêtements de plage alors qu'ils jouent au volley-ball de sable pendant différents matchs tandis que de nombreux spectateurs les regardent et les encou"&amp;"rageaient.")</f>
        <v>Des clips de diverses personnes, des hommes et des femmes sont à l'extérieur sur les plages, portant des vêtements de plage alors qu'ils jouent au volley-ball de sable pendant différents matchs tandis que de nombreux spectateurs les regardent et les encourageaient.</v>
      </c>
    </row>
    <row r="22502">
      <c r="A22502" s="4" t="s">
        <v>28316</v>
      </c>
      <c r="B22502" s="6" t="s">
        <v>28319</v>
      </c>
      <c r="C22502" s="5" t="str">
        <f>IFERROR(__xludf.DUMMYFUNCTION("GOOGLETRANSLATE(B22502,""en"",""fr"")"),"Les clips se terminent et l'Outro apparaît et ressemble à l'intro et se termine avec les mots ""Meilleurs pièces"" et ""Milwaukee Open"" sur deux écrans différents.")</f>
        <v>Les clips se terminent et l'Outro apparaît et ressemble à l'intro et se termine avec les mots "Meilleurs pièces" et "Milwaukee Open" sur deux écrans différents.</v>
      </c>
    </row>
    <row r="22503">
      <c r="A22503" s="4" t="s">
        <v>28320</v>
      </c>
      <c r="B22503" s="4" t="s">
        <v>20552</v>
      </c>
      <c r="C22503" s="5" t="str">
        <f>IFERROR(__xludf.DUMMYFUNCTION("GOOGLETRANSLATE(B22503,""en"",""fr"")"),"Deux personnes jouent au tennis sur un tribunal.")</f>
        <v>Deux personnes jouent au tennis sur un tribunal.</v>
      </c>
    </row>
    <row r="22504">
      <c r="A22504" s="4" t="s">
        <v>28320</v>
      </c>
      <c r="B22504" s="4" t="s">
        <v>28321</v>
      </c>
      <c r="C22504" s="5" t="str">
        <f>IFERROR(__xludf.DUMMYFUNCTION("GOOGLETRANSLATE(B22504,""en"",""fr"")"),"Une personne en chemise jaune se tient à l'extérieur en regardant.")</f>
        <v>Une personne en chemise jaune se tient à l'extérieur en regardant.</v>
      </c>
    </row>
    <row r="22505">
      <c r="A22505" s="4" t="s">
        <v>28320</v>
      </c>
      <c r="B22505" s="4" t="s">
        <v>28322</v>
      </c>
      <c r="C22505" s="5" t="str">
        <f>IFERROR(__xludf.DUMMYFUNCTION("GOOGLETRANSLATE(B22505,""en"",""fr"")"),"Une femme ouvre la porte et sort.")</f>
        <v>Une femme ouvre la porte et sort.</v>
      </c>
    </row>
    <row r="22506">
      <c r="A22506" s="4" t="s">
        <v>28323</v>
      </c>
      <c r="B22506" s="6" t="s">
        <v>28324</v>
      </c>
      <c r="C22506" s="5" t="str">
        <f>IFERROR(__xludf.DUMMYFUNCTION("GOOGLETRANSLATE(B22506,""en"",""fr"")"),"Un grand groupe de personnes est vu effectuer une routine ensemble dans une classe d'exercice tout en se déplaçant de haut en bas sur une poutre.")</f>
        <v>Un grand groupe de personnes est vu effectuer une routine ensemble dans une classe d'exercice tout en se déplaçant de haut en bas sur une poutre.</v>
      </c>
    </row>
    <row r="22507">
      <c r="A22507" s="4" t="s">
        <v>28323</v>
      </c>
      <c r="B22507" s="6" t="s">
        <v>28325</v>
      </c>
      <c r="C22507" s="5" t="str">
        <f>IFERROR(__xludf.DUMMYFUNCTION("GOOGLETRANSLATE(B22507,""en"",""fr"")"),"Les gens continuent de se déplacer les uns les autres tout en déplaçant leurs bras de haut en bas sur le faisceau et se terminent en se tenant les uns les autres et en se promenant dans la pièce.")</f>
        <v>Les gens continuent de se déplacer les uns les autres tout en déplaçant leurs bras de haut en bas sur le faisceau et se terminent en se tenant les uns les autres et en se promenant dans la pièce.</v>
      </c>
    </row>
    <row r="22508">
      <c r="A22508" s="4" t="s">
        <v>28326</v>
      </c>
      <c r="B22508" s="4" t="s">
        <v>28327</v>
      </c>
      <c r="C22508" s="5" t="str">
        <f>IFERROR(__xludf.DUMMYFUNCTION("GOOGLETRANSLATE(B22508,""en"",""fr"")"),"Les gens jouent Black Jack autour d'une table.")</f>
        <v>Les gens jouent Black Jack autour d'une table.</v>
      </c>
    </row>
    <row r="22509">
      <c r="A22509" s="4" t="s">
        <v>28326</v>
      </c>
      <c r="B22509" s="4" t="s">
        <v>28328</v>
      </c>
      <c r="C22509" s="5" t="str">
        <f>IFERROR(__xludf.DUMMYFUNCTION("GOOGLETRANSLATE(B22509,""en"",""fr"")"),"Le concessionnaire s'occupe des cartes et des jetons aux femmes.")</f>
        <v>Le concessionnaire s'occupe des cartes et des jetons aux femmes.</v>
      </c>
    </row>
    <row r="22510">
      <c r="A22510" s="4" t="s">
        <v>28326</v>
      </c>
      <c r="B22510" s="4" t="s">
        <v>28329</v>
      </c>
      <c r="C22510" s="5" t="str">
        <f>IFERROR(__xludf.DUMMYFUNCTION("GOOGLETRANSLATE(B22510,""en"",""fr"")"),"L'homme se tient d'une table et marche dans une pièce.")</f>
        <v>L'homme se tient d'une table et marche dans une pièce.</v>
      </c>
    </row>
    <row r="22511">
      <c r="A22511" s="4" t="s">
        <v>28330</v>
      </c>
      <c r="B22511" s="4" t="s">
        <v>28331</v>
      </c>
      <c r="C22511" s="5" t="str">
        <f>IFERROR(__xludf.DUMMYFUNCTION("GOOGLETRANSLATE(B22511,""en"",""fr"")"),"Une personne est vue en train de ratisser une cour et une pause pour mettre sa main dans sa poche.")</f>
        <v>Une personne est vue en train de ratisser une cour et une pause pour mettre sa main dans sa poche.</v>
      </c>
    </row>
    <row r="22512">
      <c r="A22512" s="4" t="s">
        <v>28330</v>
      </c>
      <c r="B22512" s="4" t="s">
        <v>28332</v>
      </c>
      <c r="C22512" s="5" t="str">
        <f>IFERROR(__xludf.DUMMYFUNCTION("GOOGLETRANSLATE(B22512,""en"",""fr"")"),"Un autre homme entre en marche avec un souffleur de feuilles poussant les feuilles autour.")</f>
        <v>Un autre homme entre en marche avec un souffleur de feuilles poussant les feuilles autour.</v>
      </c>
    </row>
    <row r="22513">
      <c r="A22513" s="4" t="s">
        <v>28330</v>
      </c>
      <c r="B22513" s="4" t="s">
        <v>28333</v>
      </c>
      <c r="C22513" s="5" t="str">
        <f>IFERROR(__xludf.DUMMYFUNCTION("GOOGLETRANSLATE(B22513,""en"",""fr"")"),"L'homme fait plus de feuilles et l'homme du souffleur de feuilles revient.")</f>
        <v>L'homme fait plus de feuilles et l'homme du souffleur de feuilles revient.</v>
      </c>
    </row>
    <row r="22514">
      <c r="A22514" s="4" t="s">
        <v>28334</v>
      </c>
      <c r="B22514" s="4" t="s">
        <v>28335</v>
      </c>
      <c r="C22514" s="5" t="str">
        <f>IFERROR(__xludf.DUMMYFUNCTION("GOOGLETRANSLATE(B22514,""en"",""fr"")"),"Nous voyons le fond marin sous-marin.")</f>
        <v>Nous voyons le fond marin sous-marin.</v>
      </c>
    </row>
    <row r="22515">
      <c r="A22515" s="4" t="s">
        <v>28334</v>
      </c>
      <c r="B22515" s="4" t="s">
        <v>28336</v>
      </c>
      <c r="C22515" s="5" t="str">
        <f>IFERROR(__xludf.DUMMYFUNCTION("GOOGLETRANSLATE(B22515,""en"",""fr"")"),"Deux personnes nagent devant la caméra.")</f>
        <v>Deux personnes nagent devant la caméra.</v>
      </c>
    </row>
    <row r="22516">
      <c r="A22516" s="4" t="s">
        <v>28334</v>
      </c>
      <c r="B22516" s="4" t="s">
        <v>28337</v>
      </c>
      <c r="C22516" s="5" t="str">
        <f>IFERROR(__xludf.DUMMYFUNCTION("GOOGLETRANSLATE(B22516,""en"",""fr"")"),"Nous voyons un homme tenant une caméra.")</f>
        <v>Nous voyons un homme tenant une caméra.</v>
      </c>
    </row>
    <row r="22517">
      <c r="A22517" s="4" t="s">
        <v>28334</v>
      </c>
      <c r="B22517" s="4" t="s">
        <v>28338</v>
      </c>
      <c r="C22517" s="5" t="str">
        <f>IFERROR(__xludf.DUMMYFUNCTION("GOOGLETRANSLATE(B22517,""en"",""fr"")"),"Nous voyons une nageoire entrer dans la caméra.")</f>
        <v>Nous voyons une nageoire entrer dans la caméra.</v>
      </c>
    </row>
    <row r="22518">
      <c r="A22518" s="4" t="s">
        <v>28334</v>
      </c>
      <c r="B22518" s="4" t="s">
        <v>28339</v>
      </c>
      <c r="C22518" s="5" t="str">
        <f>IFERROR(__xludf.DUMMYFUNCTION("GOOGLETRANSLATE(B22518,""en"",""fr"")"),"La caméra tourne sauvagement.")</f>
        <v>La caméra tourne sauvagement.</v>
      </c>
    </row>
    <row r="22519">
      <c r="A22519" s="4" t="s">
        <v>28334</v>
      </c>
      <c r="B22519" s="4" t="s">
        <v>28340</v>
      </c>
      <c r="C22519" s="5" t="str">
        <f>IFERROR(__xludf.DUMMYFUNCTION("GOOGLETRANSLATE(B22519,""en"",""fr"")"),"Les bulles sortent d'un tube.")</f>
        <v>Les bulles sortent d'un tube.</v>
      </c>
    </row>
    <row r="22520">
      <c r="A22520" s="4" t="s">
        <v>28334</v>
      </c>
      <c r="B22520" s="4" t="s">
        <v>28341</v>
      </c>
      <c r="C22520" s="5" t="str">
        <f>IFERROR(__xludf.DUMMYFUNCTION("GOOGLETRANSLATE(B22520,""en"",""fr"")"),"Un homme tend une autre personne l'embout buccal.")</f>
        <v>Un homme tend une autre personne l'embout buccal.</v>
      </c>
    </row>
    <row r="22521">
      <c r="A22521" s="4" t="s">
        <v>28342</v>
      </c>
      <c r="B22521" s="4" t="s">
        <v>28343</v>
      </c>
      <c r="C22521" s="5" t="str">
        <f>IFERROR(__xludf.DUMMYFUNCTION("GOOGLETRANSLATE(B22521,""en"",""fr"")"),"On voit deux personnes se promener dans une cour devant une planche.")</f>
        <v>On voit deux personnes se promener dans une cour devant une planche.</v>
      </c>
    </row>
    <row r="22522">
      <c r="A22522" s="4" t="s">
        <v>28342</v>
      </c>
      <c r="B22522" s="4" t="s">
        <v>28344</v>
      </c>
      <c r="C22522" s="5" t="str">
        <f>IFERROR(__xludf.DUMMYFUNCTION("GOOGLETRANSLATE(B22522,""en"",""fr"")"),"Un autre homme entre et le groupe est vu déposer une clôture.")</f>
        <v>Un autre homme entre et le groupe est vu déposer une clôture.</v>
      </c>
    </row>
    <row r="22523">
      <c r="A22523" s="4" t="s">
        <v>28342</v>
      </c>
      <c r="B22523" s="4" t="s">
        <v>28345</v>
      </c>
      <c r="C22523" s="5" t="str">
        <f>IFERROR(__xludf.DUMMYFUNCTION("GOOGLETRANSLATE(B22523,""en"",""fr"")"),"Les hommes continuent de mettre des planches sur la clôture et se terminent en le présentant à la caméra.")</f>
        <v>Les hommes continuent de mettre des planches sur la clôture et se terminent en le présentant à la caméra.</v>
      </c>
    </row>
    <row r="22524">
      <c r="A22524" s="4" t="s">
        <v>28346</v>
      </c>
      <c r="B22524" s="4" t="s">
        <v>28347</v>
      </c>
      <c r="C22524" s="5" t="str">
        <f>IFERROR(__xludf.DUMMYFUNCTION("GOOGLETRANSLATE(B22524,""en"",""fr"")"),"Un homme est assis derrière une table en achetant un cube de Rubik.")</f>
        <v>Un homme est assis derrière une table en achetant un cube de Rubik.</v>
      </c>
    </row>
    <row r="22525">
      <c r="A22525" s="4" t="s">
        <v>28346</v>
      </c>
      <c r="B22525" s="4" t="s">
        <v>28348</v>
      </c>
      <c r="C22525" s="5" t="str">
        <f>IFERROR(__xludf.DUMMYFUNCTION("GOOGLETRANSLATE(B22525,""en"",""fr"")"),"Une personne en chemise bleue se tient à côté de la table en tenant un horloge.")</f>
        <v>Une personne en chemise bleue se tient à côté de la table en tenant un horloge.</v>
      </c>
    </row>
    <row r="22526">
      <c r="A22526" s="4" t="s">
        <v>28346</v>
      </c>
      <c r="B22526" s="4" t="s">
        <v>28349</v>
      </c>
      <c r="C22526" s="5" t="str">
        <f>IFERROR(__xludf.DUMMYFUNCTION("GOOGLETRANSLATE(B22526,""en"",""fr"")"),"L'homme complète le cube de Rubik et le décroche.")</f>
        <v>L'homme complète le cube de Rubik et le décroche.</v>
      </c>
    </row>
    <row r="22527">
      <c r="A22527" s="4" t="s">
        <v>28346</v>
      </c>
      <c r="B22527" s="4" t="s">
        <v>28350</v>
      </c>
      <c r="C22527" s="5" t="str">
        <f>IFERROR(__xludf.DUMMYFUNCTION("GOOGLETRANSLATE(B22527,""en"",""fr"")"),"Il serre une personne qui s'approche de lui.")</f>
        <v>Il serre une personne qui s'approche de lui.</v>
      </c>
    </row>
    <row r="22528">
      <c r="A22528" s="4" t="s">
        <v>28351</v>
      </c>
      <c r="B22528" s="4" t="s">
        <v>28352</v>
      </c>
      <c r="C22528" s="5" t="str">
        <f>IFERROR(__xludf.DUMMYFUNCTION("GOOGLETRANSLATE(B22528,""en"",""fr"")"),"Deux hommes sont à l'extérieur sur un trottoir, jouant de la batterie à mains nues.")</f>
        <v>Deux hommes sont à l'extérieur sur un trottoir, jouant de la batterie à mains nues.</v>
      </c>
    </row>
    <row r="22529">
      <c r="A22529" s="4" t="s">
        <v>28351</v>
      </c>
      <c r="B22529" s="6" t="s">
        <v>28353</v>
      </c>
      <c r="C22529" s="5" t="str">
        <f>IFERROR(__xludf.DUMMYFUNCTION("GOOGLETRANSLATE(B22529,""en"",""fr"")"),"Une grande foule traverse le trottoir alors qu'ils terminent le spectacle, et l'homme à gauche se tient droit.")</f>
        <v>Une grande foule traverse le trottoir alors qu'ils terminent le spectacle, et l'homme à gauche se tient droit.</v>
      </c>
    </row>
    <row r="22530">
      <c r="A22530" s="4" t="s">
        <v>28354</v>
      </c>
      <c r="B22530" s="4" t="s">
        <v>28355</v>
      </c>
      <c r="C22530" s="5" t="str">
        <f>IFERROR(__xludf.DUMMYFUNCTION("GOOGLETRANSLATE(B22530,""en"",""fr"")"),"Un groupe de personnes s'alignent contre un mur devant un ensemble de balles au début d'un match dans un gymnase.")</f>
        <v>Un groupe de personnes s'alignent contre un mur devant un ensemble de balles au début d'un match dans un gymnase.</v>
      </c>
    </row>
    <row r="22531">
      <c r="A22531" s="4" t="s">
        <v>28354</v>
      </c>
      <c r="B22531" s="4" t="s">
        <v>28356</v>
      </c>
      <c r="C22531" s="5" t="str">
        <f>IFERROR(__xludf.DUMMYFUNCTION("GOOGLETRANSLATE(B22531,""en"",""fr"")"),"Le groupe court pour récupérer les balles.")</f>
        <v>Le groupe court pour récupérer les balles.</v>
      </c>
    </row>
    <row r="22532">
      <c r="A22532" s="4" t="s">
        <v>28354</v>
      </c>
      <c r="B22532" s="4" t="s">
        <v>28357</v>
      </c>
      <c r="C22532" s="5" t="str">
        <f>IFERROR(__xludf.DUMMYFUNCTION("GOOGLETRANSLATE(B22532,""en"",""fr"")"),"Le groupe parcourt les balles d'avant en arrière avec une équipe adverse dans un jeu Dodge Ball.")</f>
        <v>Le groupe parcourt les balles d'avant en arrière avec une équipe adverse dans un jeu Dodge Ball.</v>
      </c>
    </row>
    <row r="22533">
      <c r="A22533" s="4" t="s">
        <v>28354</v>
      </c>
      <c r="B22533" s="4" t="s">
        <v>28358</v>
      </c>
      <c r="C22533" s="5" t="str">
        <f>IFERROR(__xludf.DUMMYFUNCTION("GOOGLETRANSLATE(B22533,""en"",""fr"")"),"Un homme est touché plusieurs fois alors qu'il court sur le terrain et récupère les balles.")</f>
        <v>Un homme est touché plusieurs fois alors qu'il court sur le terrain et récupère les balles.</v>
      </c>
    </row>
    <row r="22534">
      <c r="A22534" s="4" t="s">
        <v>28359</v>
      </c>
      <c r="B22534" s="4" t="s">
        <v>28360</v>
      </c>
      <c r="C22534" s="5" t="str">
        <f>IFERROR(__xludf.DUMMYFUNCTION("GOOGLETRANSLATE(B22534,""en"",""fr"")"),"Nous voyons des hommes sur une scène marcher sur une ligne de mou alors que deux autres hommes filment l'événement.")</f>
        <v>Nous voyons des hommes sur une scène marcher sur une ligne de mou alors que deux autres hommes filment l'événement.</v>
      </c>
    </row>
    <row r="22535">
      <c r="A22535" s="4" t="s">
        <v>28359</v>
      </c>
      <c r="B22535" s="4" t="s">
        <v>28361</v>
      </c>
      <c r="C22535" s="5" t="str">
        <f>IFERROR(__xludf.DUMMYFUNCTION("GOOGLETRANSLATE(B22535,""en"",""fr"")"),"Ils changent et un homme différent marche ensuite sur la slackline qui se détache de la slackline.")</f>
        <v>Ils changent et un homme différent marche ensuite sur la slackline qui se détache de la slackline.</v>
      </c>
    </row>
    <row r="22536">
      <c r="A22536" s="4" t="s">
        <v>28359</v>
      </c>
      <c r="B22536" s="4" t="s">
        <v>28362</v>
      </c>
      <c r="C22536" s="5" t="str">
        <f>IFERROR(__xludf.DUMMYFUNCTION("GOOGLETRANSLATE(B22536,""en"",""fr"")"),"Les hommes changent à nouveau et le premier homme est sur la slackline.")</f>
        <v>Les hommes changent à nouveau et le premier homme est sur la slackline.</v>
      </c>
    </row>
    <row r="22537">
      <c r="A22537" s="4" t="s">
        <v>28359</v>
      </c>
      <c r="B22537" s="4" t="s">
        <v>28363</v>
      </c>
      <c r="C22537" s="5" t="str">
        <f>IFERROR(__xludf.DUMMYFUNCTION("GOOGLETRANSLATE(B22537,""en"",""fr"")"),"L'homme tombe de la slackline sur ses fesses.")</f>
        <v>L'homme tombe de la slackline sur ses fesses.</v>
      </c>
    </row>
    <row r="22538">
      <c r="A22538" s="4" t="s">
        <v>28359</v>
      </c>
      <c r="B22538" s="4" t="s">
        <v>28364</v>
      </c>
      <c r="C22538" s="5" t="str">
        <f>IFERROR(__xludf.DUMMYFUNCTION("GOOGLETRANSLATE(B22538,""en"",""fr"")"),"Le deuxième homme rebondit et se retourne.")</f>
        <v>Le deuxième homme rebondit et se retourne.</v>
      </c>
    </row>
    <row r="22539">
      <c r="A22539" s="4" t="s">
        <v>28359</v>
      </c>
      <c r="B22539" s="4" t="s">
        <v>28365</v>
      </c>
      <c r="C22539" s="5" t="str">
        <f>IFERROR(__xludf.DUMMYFUNCTION("GOOGLETRANSLATE(B22539,""en"",""fr"")"),"Le premier homme rebondit et se retourne.")</f>
        <v>Le premier homme rebondit et se retourne.</v>
      </c>
    </row>
    <row r="22540">
      <c r="A22540" s="4" t="s">
        <v>28359</v>
      </c>
      <c r="B22540" s="4" t="s">
        <v>28366</v>
      </c>
      <c r="C22540" s="5" t="str">
        <f>IFERROR(__xludf.DUMMYFUNCTION("GOOGLETRANSLATE(B22540,""en"",""fr"")"),"Les hommes applaudissent et retirent la slackline hors de la scène.")</f>
        <v>Les hommes applaudissent et retirent la slackline hors de la scène.</v>
      </c>
    </row>
    <row r="22541">
      <c r="A22541" s="4" t="s">
        <v>28367</v>
      </c>
      <c r="B22541" s="6" t="s">
        <v>28368</v>
      </c>
      <c r="C22541" s="5" t="str">
        <f>IFERROR(__xludf.DUMMYFUNCTION("GOOGLETRANSLATE(B22541,""en"",""fr"")"),"Un gros plan d'une horloge est montré suivi d'une personne qui fabrique et versant du café ainsi que l'extérieur d'un bâtiment.")</f>
        <v>Un gros plan d'une horloge est montré suivi d'une personne qui fabrique et versant du café ainsi que l'extérieur d'un bâtiment.</v>
      </c>
    </row>
    <row r="22542">
      <c r="A22542" s="4" t="s">
        <v>28367</v>
      </c>
      <c r="B22542" s="4" t="s">
        <v>28369</v>
      </c>
      <c r="C22542" s="5" t="str">
        <f>IFERROR(__xludf.DUMMYFUNCTION("GOOGLETRANSLATE(B22542,""en"",""fr"")"),"Une femme installe ses clés, écrit sur une planche et mène à son toilettage et caressant les chiens.")</f>
        <v>Une femme installe ses clés, écrit sur une planche et mène à son toilettage et caressant les chiens.</v>
      </c>
    </row>
    <row r="22543">
      <c r="A22543" s="4" t="s">
        <v>28367</v>
      </c>
      <c r="B22543" s="6" t="s">
        <v>28370</v>
      </c>
      <c r="C22543" s="5" t="str">
        <f>IFERROR(__xludf.DUMMYFUNCTION("GOOGLETRANSLATE(B22543,""en"",""fr"")"),"Plusieurs clips sont illustrés à la femme qui préparait les animaux de diverses vues et des animaux illustrés par la suite.")</f>
        <v>Plusieurs clips sont illustrés à la femme qui préparait les animaux de diverses vues et des animaux illustrés par la suite.</v>
      </c>
    </row>
    <row r="22544">
      <c r="A22544" s="4" t="s">
        <v>28371</v>
      </c>
      <c r="B22544" s="6" t="s">
        <v>28372</v>
      </c>
      <c r="C22544" s="5" t="str">
        <f>IFERROR(__xludf.DUMMYFUNCTION("GOOGLETRANSLATE(B22544,""en"",""fr"")"),"Une fille portant des lunettes est vue en parlant à la caméra qui l'amène en les enlevant et en les tenant à sa caméra.")</f>
        <v>Une fille portant des lunettes est vue en parlant à la caméra qui l'amène en les enlevant et en les tenant à sa caméra.</v>
      </c>
    </row>
    <row r="22545">
      <c r="A22545" s="4" t="s">
        <v>28371</v>
      </c>
      <c r="B22545" s="4" t="s">
        <v>28373</v>
      </c>
      <c r="C22545" s="5" t="str">
        <f>IFERROR(__xludf.DUMMYFUNCTION("GOOGLETRANSLATE(B22545,""en"",""fr"")"),"Elle tient ensuite divers objets et maintient son œil ouvert pour mettre un objectif de contact pour les deux yeux.")</f>
        <v>Elle tient ensuite divers objets et maintient son œil ouvert pour mettre un objectif de contact pour les deux yeux.</v>
      </c>
    </row>
    <row r="22546">
      <c r="A22546" s="4" t="s">
        <v>28374</v>
      </c>
      <c r="B22546" s="4" t="s">
        <v>1487</v>
      </c>
      <c r="C22546" s="5" t="str">
        <f>IFERROR(__xludf.DUMMYFUNCTION("GOOGLETRANSLATE(B22546,""en"",""fr"")"),"Nous voyons un écran de titre d'ouverture.")</f>
        <v>Nous voyons un écran de titre d'ouverture.</v>
      </c>
    </row>
    <row r="22547">
      <c r="A22547" s="4" t="s">
        <v>28374</v>
      </c>
      <c r="B22547" s="4" t="s">
        <v>28375</v>
      </c>
      <c r="C22547" s="5" t="str">
        <f>IFERROR(__xludf.DUMMYFUNCTION("GOOGLETRANSLATE(B22547,""en"",""fr"")"),"Nous voyons un homme marcher une corde raide au-dessus d'une chaîne de montagnes.")</f>
        <v>Nous voyons un homme marcher une corde raide au-dessus d'une chaîne de montagnes.</v>
      </c>
    </row>
    <row r="22548">
      <c r="A22548" s="4" t="s">
        <v>28374</v>
      </c>
      <c r="B22548" s="4" t="s">
        <v>28376</v>
      </c>
      <c r="C22548" s="5" t="str">
        <f>IFERROR(__xludf.DUMMYFUNCTION("GOOGLETRANSLATE(B22548,""en"",""fr"")"),"Nous voyons une image dans l'image dans le coin supérieur gauche.")</f>
        <v>Nous voyons une image dans l'image dans le coin supérieur gauche.</v>
      </c>
    </row>
    <row r="22549">
      <c r="A22549" s="4" t="s">
        <v>28374</v>
      </c>
      <c r="B22549" s="4" t="s">
        <v>28377</v>
      </c>
      <c r="C22549" s="5" t="str">
        <f>IFERROR(__xludf.DUMMYFUNCTION("GOOGLETRANSLATE(B22549,""en"",""fr"")"),"Nous voyons l'homme tenant un bâton de selfie.")</f>
        <v>Nous voyons l'homme tenant un bâton de selfie.</v>
      </c>
    </row>
    <row r="22550">
      <c r="A22550" s="4" t="s">
        <v>28374</v>
      </c>
      <c r="B22550" s="4" t="s">
        <v>28378</v>
      </c>
      <c r="C22550" s="5" t="str">
        <f>IFERROR(__xludf.DUMMYFUNCTION("GOOGLETRANSLATE(B22550,""en"",""fr"")"),"L'homme atteint l'autre côté et se retourne.")</f>
        <v>L'homme atteint l'autre côté et se retourne.</v>
      </c>
    </row>
    <row r="22551">
      <c r="A22551" s="4" t="s">
        <v>28374</v>
      </c>
      <c r="B22551" s="4" t="s">
        <v>28379</v>
      </c>
      <c r="C22551" s="5" t="str">
        <f>IFERROR(__xludf.DUMMYFUNCTION("GOOGLETRANSLATE(B22551,""en"",""fr"")"),"L'écran du titre de fin se charge.")</f>
        <v>L'écran du titre de fin se charge.</v>
      </c>
    </row>
    <row r="22552">
      <c r="A22552" s="4" t="s">
        <v>28380</v>
      </c>
      <c r="B22552" s="6" t="s">
        <v>28381</v>
      </c>
      <c r="C22552" s="5" t="str">
        <f>IFERROR(__xludf.DUMMYFUNCTION("GOOGLETRANSLATE(B22552,""en"",""fr"")"),"Plusieurs plans sont présentés d'une célébrité marchant sur le tapis rouge ainsi qu'une femme hébergeant un segment d'actualités et des images montrées à côté d'elle.")</f>
        <v>Plusieurs plans sont présentés d'une célébrité marchant sur le tapis rouge ainsi qu'une femme hébergeant un segment d'actualités et des images montrées à côté d'elle.</v>
      </c>
    </row>
    <row r="22553">
      <c r="A22553" s="4" t="s">
        <v>28380</v>
      </c>
      <c r="B22553" s="6" t="s">
        <v>28382</v>
      </c>
      <c r="C22553" s="5" t="str">
        <f>IFERROR(__xludf.DUMMYFUNCTION("GOOGLETRANSLATE(B22553,""en"",""fr"")"),"Plus de photos sont montrées ainsi que le ski de célébrités et le snowboard et se termine avec des hommes escortant la célébrité dans un bâtiment et plus de photos pendant que la femme parle.")</f>
        <v>Plus de photos sont montrées ainsi que le ski de célébrités et le snowboard et se termine avec des hommes escortant la célébrité dans un bâtiment et plus de photos pendant que la femme parle.</v>
      </c>
    </row>
    <row r="22554">
      <c r="A22554" s="4" t="s">
        <v>28383</v>
      </c>
      <c r="B22554" s="6" t="s">
        <v>28384</v>
      </c>
      <c r="C22554" s="5" t="str">
        <f>IFERROR(__xludf.DUMMYFUNCTION("GOOGLETRANSLATE(B22554,""en"",""fr"")"),"Une grande fanfare est vue debout devant un grand bâtiment avec d'autres debout.")</f>
        <v>Une grande fanfare est vue debout devant un grand bâtiment avec d'autres debout.</v>
      </c>
    </row>
    <row r="22555">
      <c r="A22555" s="4" t="s">
        <v>28383</v>
      </c>
      <c r="B22555" s="4" t="s">
        <v>28385</v>
      </c>
      <c r="C22555" s="5" t="str">
        <f>IFERROR(__xludf.DUMMYFUNCTION("GOOGLETRANSLATE(B22555,""en"",""fr"")"),"D'autres tirs sont montrés du groupe se ° entre l'autre pendant que la caméra se déroule.")</f>
        <v>D'autres tirs sont montrés du groupe se ° entre l'autre pendant que la caméra se déroule.</v>
      </c>
    </row>
    <row r="22556">
      <c r="A22556" s="4" t="s">
        <v>28386</v>
      </c>
      <c r="B22556" s="6" t="s">
        <v>28387</v>
      </c>
      <c r="C22556" s="5" t="str">
        <f>IFERROR(__xludf.DUMMYFUNCTION("GOOGLETRANSLATE(B22556,""en"",""fr"")"),"Une intro mène à deux femmes devant la caméra, l'une debout et parlant, et l'autre assise et regardant.")</f>
        <v>Une intro mène à deux femmes devant la caméra, l'une debout et parlant, et l'autre assise et regardant.</v>
      </c>
    </row>
    <row r="22557">
      <c r="A22557" s="4" t="s">
        <v>28386</v>
      </c>
      <c r="B22557" s="4" t="s">
        <v>28388</v>
      </c>
      <c r="C22557" s="5" t="str">
        <f>IFERROR(__xludf.DUMMYFUNCTION("GOOGLETRANSLATE(B22557,""en"",""fr"")"),"La femme debout tient un pinceau et commence à brosser les cheveux de la femme.")</f>
        <v>La femme debout tient un pinceau et commence à brosser les cheveux de la femme.</v>
      </c>
    </row>
    <row r="22558">
      <c r="A22558" s="4" t="s">
        <v>28386</v>
      </c>
      <c r="B22558" s="4" t="s">
        <v>28389</v>
      </c>
      <c r="C22558" s="5" t="str">
        <f>IFERROR(__xludf.DUMMYFUNCTION("GOOGLETRANSLATE(B22558,""en"",""fr"")"),"Elle finit de brosser les cheveux de la femme et regarde la caméra en souriant.")</f>
        <v>Elle finit de brosser les cheveux de la femme et regarde la caméra en souriant.</v>
      </c>
    </row>
    <row r="22559">
      <c r="A22559" s="4" t="s">
        <v>28390</v>
      </c>
      <c r="B22559" s="4" t="s">
        <v>28391</v>
      </c>
      <c r="C22559" s="5" t="str">
        <f>IFERROR(__xludf.DUMMYFUNCTION("GOOGLETRANSLATE(B22559,""en"",""fr"")"),"Une femme aide un petit garçon à lancer une balle lors d'un match de kickball.")</f>
        <v>Une femme aide un petit garçon à lancer une balle lors d'un match de kickball.</v>
      </c>
    </row>
    <row r="22560">
      <c r="A22560" s="4" t="s">
        <v>28390</v>
      </c>
      <c r="B22560" s="4" t="s">
        <v>28392</v>
      </c>
      <c r="C22560" s="5" t="str">
        <f>IFERROR(__xludf.DUMMYFUNCTION("GOOGLETRANSLATE(B22560,""en"",""fr"")"),"Chaque fois que le ballon atteint la base, un autre enfant a un tour pour donner un coup de pied.")</f>
        <v>Chaque fois que le ballon atteint la base, un autre enfant a un tour pour donner un coup de pied.</v>
      </c>
    </row>
    <row r="22561">
      <c r="A22561" s="4" t="s">
        <v>28393</v>
      </c>
      <c r="B22561" s="4" t="s">
        <v>28394</v>
      </c>
      <c r="C22561" s="5" t="str">
        <f>IFERROR(__xludf.DUMMYFUNCTION("GOOGLETRANSLATE(B22561,""en"",""fr"")"),"Un homme court avec un poteau et un saut haut, puis les gens sautent plusieurs fois.")</f>
        <v>Un homme court avec un poteau et un saut haut, puis les gens sautent plusieurs fois.</v>
      </c>
    </row>
    <row r="22562">
      <c r="A22562" s="4" t="s">
        <v>28393</v>
      </c>
      <c r="B22562" s="4" t="s">
        <v>28395</v>
      </c>
      <c r="C22562" s="5" t="str">
        <f>IFERROR(__xludf.DUMMYFUNCTION("GOOGLETRANSLATE(B22562,""en"",""fr"")"),"Deux hommes boxent, puis les gens se rassemblent, les hommes parachute et un homme plonge dans l'eau.")</f>
        <v>Deux hommes boxent, puis les gens se rassemblent, les hommes parachute et un homme plonge dans l'eau.</v>
      </c>
    </row>
    <row r="22563">
      <c r="A22563" s="4" t="s">
        <v>28393</v>
      </c>
      <c r="B22563" s="4" t="s">
        <v>28396</v>
      </c>
      <c r="C22563" s="5" t="str">
        <f>IFERROR(__xludf.DUMMYFUNCTION("GOOGLETRANSLATE(B22563,""en"",""fr"")"),"Des gens habillés de vêtements militaires, puis ils font d'autres activités.")</f>
        <v>Des gens habillés de vêtements militaires, puis ils font d'autres activités.</v>
      </c>
    </row>
    <row r="22564">
      <c r="A22564" s="4" t="s">
        <v>28393</v>
      </c>
      <c r="B22564" s="4" t="s">
        <v>28397</v>
      </c>
      <c r="C22564" s="5" t="str">
        <f>IFERROR(__xludf.DUMMYFUNCTION("GOOGLETRANSLATE(B22564,""en"",""fr"")"),"Les gens pratiquent le saut à la perche, l'escalade et d'autres activités.")</f>
        <v>Les gens pratiquent le saut à la perche, l'escalade et d'autres activités.</v>
      </c>
    </row>
    <row r="22565">
      <c r="A22565" s="4" t="s">
        <v>28398</v>
      </c>
      <c r="B22565" s="4" t="s">
        <v>28399</v>
      </c>
      <c r="C22565" s="5" t="str">
        <f>IFERROR(__xludf.DUMMYFUNCTION("GOOGLETRANSLATE(B22565,""en"",""fr"")"),"Deux hommes courent sur une piste tandis qu'une grande foule de spectateurs et de presse de presse.")</f>
        <v>Deux hommes courent sur une piste tandis qu'une grande foule de spectateurs et de presse de presse.</v>
      </c>
    </row>
    <row r="22566">
      <c r="A22566" s="4" t="s">
        <v>28398</v>
      </c>
      <c r="B22566" s="4" t="s">
        <v>28400</v>
      </c>
      <c r="C22566" s="5" t="str">
        <f>IFERROR(__xludf.DUMMYFUNCTION("GOOGLETRANSLATE(B22566,""en"",""fr"")"),"Un homme dans l'herbe en arrière-plan fonctionne avec les hommes pendant un moment.")</f>
        <v>Un homme dans l'herbe en arrière-plan fonctionne avec les hommes pendant un moment.</v>
      </c>
    </row>
    <row r="22567">
      <c r="A22567" s="4" t="s">
        <v>28398</v>
      </c>
      <c r="B22567" s="4" t="s">
        <v>28401</v>
      </c>
      <c r="C22567" s="5" t="str">
        <f>IFERROR(__xludf.DUMMYFUNCTION("GOOGLETRANSLATE(B22567,""en"",""fr"")"),"L'homme sur la voie intérieure de la piste commence à courir très rapidement, puis saute dans un fosse de sable.")</f>
        <v>L'homme sur la voie intérieure de la piste commence à courir très rapidement, puis saute dans un fosse de sable.</v>
      </c>
    </row>
    <row r="22568">
      <c r="A22568" s="4" t="s">
        <v>28398</v>
      </c>
      <c r="B22568" s="4" t="s">
        <v>28402</v>
      </c>
      <c r="C22568" s="5" t="str">
        <f>IFERROR(__xludf.DUMMYFUNCTION("GOOGLETRANSLATE(B22568,""en"",""fr"")"),"L'autre homme passe devant le sable.")</f>
        <v>L'autre homme passe devant le sable.</v>
      </c>
    </row>
    <row r="22569">
      <c r="A22569" s="4" t="s">
        <v>28398</v>
      </c>
      <c r="B22569" s="4" t="s">
        <v>28403</v>
      </c>
      <c r="C22569" s="5" t="str">
        <f>IFERROR(__xludf.DUMMYFUNCTION("GOOGLETRANSLATE(B22569,""en"",""fr"")"),"L'homme qui a sauté sortait de la fosse de sable et marche sur le côté.")</f>
        <v>L'homme qui a sauté sortait de la fosse de sable et marche sur le côté.</v>
      </c>
    </row>
    <row r="22570">
      <c r="A22570" s="4" t="s">
        <v>28404</v>
      </c>
      <c r="B22570" s="4" t="s">
        <v>28405</v>
      </c>
      <c r="C22570" s="5" t="str">
        <f>IFERROR(__xludf.DUMMYFUNCTION("GOOGLETRANSLATE(B22570,""en"",""fr"")"),"À l'intérieur d'une clôture, des hommes sont assis sur des chevaux qui attendent.")</f>
        <v>À l'intérieur d'une clôture, des hommes sont assis sur des chevaux qui attendent.</v>
      </c>
    </row>
    <row r="22571">
      <c r="A22571" s="4" t="s">
        <v>28404</v>
      </c>
      <c r="B22571" s="4" t="s">
        <v>28406</v>
      </c>
      <c r="C22571" s="5" t="str">
        <f>IFERROR(__xludf.DUMMYFUNCTION("GOOGLETRANSLATE(B22571,""en"",""fr"")"),"L'un des hommes commence à courir après un taureau sur son cheval.")</f>
        <v>L'un des hommes commence à courir après un taureau sur son cheval.</v>
      </c>
    </row>
    <row r="22572">
      <c r="A22572" s="4" t="s">
        <v>28404</v>
      </c>
      <c r="B22572" s="4" t="s">
        <v>28407</v>
      </c>
      <c r="C22572" s="5" t="str">
        <f>IFERROR(__xludf.DUMMYFUNCTION("GOOGLETRANSLATE(B22572,""en"",""fr"")"),"Il descend de son cheval et fait tomber le taureau et commence à retourner à son cheval.")</f>
        <v>Il descend de son cheval et fait tomber le taureau et commence à retourner à son cheval.</v>
      </c>
    </row>
    <row r="22573">
      <c r="A22573" s="4" t="s">
        <v>28404</v>
      </c>
      <c r="B22573" s="4" t="s">
        <v>28408</v>
      </c>
      <c r="C22573" s="5" t="str">
        <f>IFERROR(__xludf.DUMMYFUNCTION("GOOGLETRANSLATE(B22573,""en"",""fr"")"),"Il revient sur le cheval alors que le taureau se couche sur le sol vaincu.")</f>
        <v>Il revient sur le cheval alors que le taureau se couche sur le sol vaincu.</v>
      </c>
    </row>
    <row r="22574">
      <c r="A22574" s="4" t="s">
        <v>28409</v>
      </c>
      <c r="B22574" s="4" t="s">
        <v>28410</v>
      </c>
      <c r="C22574" s="5" t="str">
        <f>IFERROR(__xludf.DUMMYFUNCTION("GOOGLETRANSLATE(B22574,""en"",""fr"")"),"Les hommes discutent d'un projet assis à la table.")</f>
        <v>Les hommes discutent d'un projet assis à la table.</v>
      </c>
    </row>
    <row r="22575">
      <c r="A22575" s="4" t="s">
        <v>28409</v>
      </c>
      <c r="B22575" s="4" t="s">
        <v>28411</v>
      </c>
      <c r="C22575" s="5" t="str">
        <f>IFERROR(__xludf.DUMMYFUNCTION("GOOGLETRANSLATE(B22575,""en"",""fr"")"),"Deux hommes sont assis à une table ensemble et lus à partir d'un document.")</f>
        <v>Deux hommes sont assis à une table ensemble et lus à partir d'un document.</v>
      </c>
    </row>
    <row r="22576">
      <c r="A22576" s="4" t="s">
        <v>28409</v>
      </c>
      <c r="B22576" s="4" t="s">
        <v>28412</v>
      </c>
      <c r="C22576" s="5" t="str">
        <f>IFERROR(__xludf.DUMMYFUNCTION("GOOGLETRANSLATE(B22576,""en"",""fr"")"),"Les deux hommes jouent à un jeu de ciseaux en papier rock.")</f>
        <v>Les deux hommes jouent à un jeu de ciseaux en papier rock.</v>
      </c>
    </row>
    <row r="22577">
      <c r="A22577" s="4" t="s">
        <v>28413</v>
      </c>
      <c r="B22577" s="4" t="s">
        <v>28414</v>
      </c>
      <c r="C22577" s="5" t="str">
        <f>IFERROR(__xludf.DUMMYFUNCTION("GOOGLETRANSLATE(B22577,""en"",""fr"")"),"Il y a une petite fille lavant la vaisselle et les cuillères dans l'évier de la cuisine.")</f>
        <v>Il y a une petite fille lavant la vaisselle et les cuillères dans l'évier de la cuisine.</v>
      </c>
    </row>
    <row r="22578">
      <c r="A22578" s="4" t="s">
        <v>28413</v>
      </c>
      <c r="B22578" s="6" t="s">
        <v>28415</v>
      </c>
      <c r="C22578" s="5" t="str">
        <f>IFERROR(__xludf.DUMMYFUNCTION("GOOGLETRANSLATE(B22578,""en"",""fr"")"),"Elle utilise un gommage à plat bleu et beaucoup de savon à vaisselle et lave le verre et les cuillères tout en gardant le robinet en marche.")</f>
        <v>Elle utilise un gommage à plat bleu et beaucoup de savon à vaisselle et lave le verre et les cuillères tout en gardant le robinet en marche.</v>
      </c>
    </row>
    <row r="22579">
      <c r="A22579" s="4" t="s">
        <v>28413</v>
      </c>
      <c r="B22579" s="4" t="s">
        <v>28416</v>
      </c>
      <c r="C22579" s="5" t="str">
        <f>IFERROR(__xludf.DUMMYFUNCTION("GOOGLETRANSLATE(B22579,""en"",""fr"")"),"Elle a les mains couvertes de mousse de savon alors qu'elle lave les cuillères et les couteaux sous le robinet.")</f>
        <v>Elle a les mains couvertes de mousse de savon alors qu'elle lave les cuillères et les couteaux sous le robinet.</v>
      </c>
    </row>
    <row r="22580">
      <c r="A22580" s="4" t="s">
        <v>28413</v>
      </c>
      <c r="B22580" s="4" t="s">
        <v>28417</v>
      </c>
      <c r="C22580" s="5" t="str">
        <f>IFERROR(__xludf.DUMMYFUNCTION("GOOGLETRANSLATE(B22580,""en"",""fr"")"),"Elle lave ensuite un coupe-pizza et a soigneusement cuillère avec le savon et l'eau.")</f>
        <v>Elle lave ensuite un coupe-pizza et a soigneusement cuillère avec le savon et l'eau.</v>
      </c>
    </row>
    <row r="22581">
      <c r="A22581" s="4" t="s">
        <v>28418</v>
      </c>
      <c r="B22581" s="4" t="s">
        <v>28419</v>
      </c>
      <c r="C22581" s="5" t="str">
        <f>IFERROR(__xludf.DUMMYFUNCTION("GOOGLETRANSLATE(B22581,""en"",""fr"")"),"Un homme joue à un jeu de shuffleboard.")</f>
        <v>Un homme joue à un jeu de shuffleboard.</v>
      </c>
    </row>
    <row r="22582">
      <c r="A22582" s="4" t="s">
        <v>28418</v>
      </c>
      <c r="B22582" s="4" t="s">
        <v>28420</v>
      </c>
      <c r="C22582" s="5" t="str">
        <f>IFERROR(__xludf.DUMMYFUNCTION("GOOGLETRANSLATE(B22582,""en"",""fr"")"),"Un homme tombe sur le panneau de palet.")</f>
        <v>Un homme tombe sur le panneau de palet.</v>
      </c>
    </row>
    <row r="22583">
      <c r="A22583" s="4" t="s">
        <v>28418</v>
      </c>
      <c r="B22583" s="4" t="s">
        <v>28421</v>
      </c>
      <c r="C22583" s="5" t="str">
        <f>IFERROR(__xludf.DUMMYFUNCTION("GOOGLETRANSLATE(B22583,""en"",""fr"")"),"Un disque est tombé sur le sol.")</f>
        <v>Un disque est tombé sur le sol.</v>
      </c>
    </row>
    <row r="22584">
      <c r="A22584" s="4" t="s">
        <v>28422</v>
      </c>
      <c r="B22584" s="4" t="s">
        <v>28423</v>
      </c>
      <c r="C22584" s="5" t="str">
        <f>IFERROR(__xludf.DUMMYFUNCTION("GOOGLETRANSLATE(B22584,""en"",""fr"")"),"Une fille parle debout sur le trottoir, puis elle se dirige vers une marelle.")</f>
        <v>Une fille parle debout sur le trottoir, puis elle se dirige vers une marelle.</v>
      </c>
    </row>
    <row r="22585">
      <c r="A22585" s="4" t="s">
        <v>28422</v>
      </c>
      <c r="B22585" s="4" t="s">
        <v>28424</v>
      </c>
      <c r="C22585" s="5" t="str">
        <f>IFERROR(__xludf.DUMMYFUNCTION("GOOGLETRANSLATE(B22585,""en"",""fr"")"),"La fille se tient sur la marelle, puis elle saute la marelle en parlant.")</f>
        <v>La fille se tient sur la marelle, puis elle saute la marelle en parlant.</v>
      </c>
    </row>
    <row r="22586">
      <c r="A22586" s="4" t="s">
        <v>28425</v>
      </c>
      <c r="B22586" s="4" t="s">
        <v>28426</v>
      </c>
      <c r="C22586" s="5" t="str">
        <f>IFERROR(__xludf.DUMMYFUNCTION("GOOGLETRANSLATE(B22586,""en"",""fr"")"),"Un homme donne des conseils sur l'entraînement physique en plein air.")</f>
        <v>Un homme donne des conseils sur l'entraînement physique en plein air.</v>
      </c>
    </row>
    <row r="22587">
      <c r="A22587" s="4" t="s">
        <v>28425</v>
      </c>
      <c r="B22587" s="4" t="s">
        <v>28427</v>
      </c>
      <c r="C22587" s="5" t="str">
        <f>IFERROR(__xludf.DUMMYFUNCTION("GOOGLETRANSLATE(B22587,""en"",""fr"")"),"Il démontre sur les barres de singe qui va et venaient avec la force du haut du corps.")</f>
        <v>Il démontre sur les barres de singe qui va et venaient avec la force du haut du corps.</v>
      </c>
    </row>
    <row r="22588">
      <c r="A22588" s="4" t="s">
        <v>28428</v>
      </c>
      <c r="B22588" s="4" t="s">
        <v>28429</v>
      </c>
      <c r="C22588" s="5" t="str">
        <f>IFERROR(__xludf.DUMMYFUNCTION("GOOGLETRANSLATE(B22588,""en"",""fr"")"),"Un reportage sur la forme physique est donné.")</f>
        <v>Un reportage sur la forme physique est donné.</v>
      </c>
    </row>
    <row r="22589">
      <c r="A22589" s="4" t="s">
        <v>28428</v>
      </c>
      <c r="B22589" s="4" t="s">
        <v>28430</v>
      </c>
      <c r="C22589" s="5" t="str">
        <f>IFERROR(__xludf.DUMMYFUNCTION("GOOGLETRANSLATE(B22589,""en"",""fr"")"),"Quelques personnes discutent des avantages de Hulahooping, puis font une démonstration.")</f>
        <v>Quelques personnes discutent des avantages de Hulahooping, puis font une démonstration.</v>
      </c>
    </row>
    <row r="22590">
      <c r="A22590" s="4" t="s">
        <v>28431</v>
      </c>
      <c r="B22590" s="4" t="s">
        <v>28432</v>
      </c>
      <c r="C22590" s="5" t="str">
        <f>IFERROR(__xludf.DUMMYFUNCTION("GOOGLETRANSLATE(B22590,""en"",""fr"")"),"Une femme est vue en train de prendre un verre sur scène parlant dans un micro ainsi que le public.")</f>
        <v>Une femme est vue en train de prendre un verre sur scène parlant dans un micro ainsi que le public.</v>
      </c>
    </row>
    <row r="22591">
      <c r="A22591" s="4" t="s">
        <v>28431</v>
      </c>
      <c r="B22591" s="6" t="s">
        <v>28433</v>
      </c>
      <c r="C22591" s="5" t="str">
        <f>IFERROR(__xludf.DUMMYFUNCTION("GOOGLETRANSLATE(B22591,""en"",""fr"")"),"La femme continue de parler et de regarder autour du public tout en prenant des gorgées de sa boisson et en la posant.")</f>
        <v>La femme continue de parler et de regarder autour du public tout en prenant des gorgées de sa boisson et en la posant.</v>
      </c>
    </row>
    <row r="22592">
      <c r="A22592" s="4" t="s">
        <v>28431</v>
      </c>
      <c r="B22592" s="4" t="s">
        <v>28434</v>
      </c>
      <c r="C22592" s="5" t="str">
        <f>IFERROR(__xludf.DUMMYFUNCTION("GOOGLETRANSLATE(B22592,""en"",""fr"")"),"Enfin, elle ramasse une guitare et attrape une photo de l'avant et à l'étalage.")</f>
        <v>Enfin, elle ramasse une guitare et attrape une photo de l'avant et à l'étalage.</v>
      </c>
    </row>
    <row r="22593">
      <c r="A22593" s="4" t="s">
        <v>28435</v>
      </c>
      <c r="B22593" s="6" t="s">
        <v>28436</v>
      </c>
      <c r="C22593" s="5" t="str">
        <f>IFERROR(__xludf.DUMMYFUNCTION("GOOGLETRANSLATE(B22593,""en"",""fr"")"),"Un grand groupe de personnes est vue les uns contre les autres avec d'autres regardant sur les côtés et mène dans le groupe qui coule sur une route.")</f>
        <v>Un grand groupe de personnes est vue les uns contre les autres avec d'autres regardant sur les côtés et mène dans le groupe qui coule sur une route.</v>
      </c>
    </row>
    <row r="22594">
      <c r="A22594" s="4" t="s">
        <v>28435</v>
      </c>
      <c r="B22594" s="6" t="s">
        <v>28437</v>
      </c>
      <c r="C22594" s="5" t="str">
        <f>IFERROR(__xludf.DUMMYFUNCTION("GOOGLETRANSLATE(B22594,""en"",""fr"")"),"Le grand groupe d'enfants continue de courir sur la route les uns des autres pendant que les gens regardent toujours sur les côtés.")</f>
        <v>Le grand groupe d'enfants continue de courir sur la route les uns des autres pendant que les gens regardent toujours sur les côtés.</v>
      </c>
    </row>
    <row r="22595">
      <c r="A22595" s="4" t="s">
        <v>28438</v>
      </c>
      <c r="B22595" s="4" t="s">
        <v>28439</v>
      </c>
      <c r="C22595" s="5" t="str">
        <f>IFERROR(__xludf.DUMMYFUNCTION("GOOGLETRANSLATE(B22595,""en"",""fr"")"),"Un homme est vu assis devant une femme qui commence à jouer d'un piano.")</f>
        <v>Un homme est vu assis devant une femme qui commence à jouer d'un piano.</v>
      </c>
    </row>
    <row r="22596">
      <c r="A22596" s="4" t="s">
        <v>28438</v>
      </c>
      <c r="B22596" s="4" t="s">
        <v>28440</v>
      </c>
      <c r="C22596" s="5" t="str">
        <f>IFERROR(__xludf.DUMMYFUNCTION("GOOGLETRANSLATE(B22596,""en"",""fr"")"),"Un autre homme est vu assis à côté d'elle en jouant un accordéon.")</f>
        <v>Un autre homme est vu assis à côté d'elle en jouant un accordéon.</v>
      </c>
    </row>
    <row r="22597">
      <c r="A22597" s="4" t="s">
        <v>28438</v>
      </c>
      <c r="B22597" s="6" t="s">
        <v>28441</v>
      </c>
      <c r="C22597" s="5" t="str">
        <f>IFERROR(__xludf.DUMMYFUNCTION("GOOGLETRANSLATE(B22597,""en"",""fr"")"),"L'homme et la femme jouent ensemble tout en souriant et en hochant la tête et en terminant en s'arrêtant et l'homme applaudir.")</f>
        <v>L'homme et la femme jouent ensemble tout en souriant et en hochant la tête et en terminant en s'arrêtant et l'homme applaudir.</v>
      </c>
    </row>
    <row r="22598">
      <c r="A22598" s="4" t="s">
        <v>28442</v>
      </c>
      <c r="B22598" s="4" t="s">
        <v>28443</v>
      </c>
      <c r="C22598" s="5" t="str">
        <f>IFERROR(__xludf.DUMMYFUNCTION("GOOGLETRANSLATE(B22598,""en"",""fr"")"),"Un homme est assis derrière trois tambours.")</f>
        <v>Un homme est assis derrière trois tambours.</v>
      </c>
    </row>
    <row r="22599">
      <c r="A22599" s="4" t="s">
        <v>28442</v>
      </c>
      <c r="B22599" s="4" t="s">
        <v>28444</v>
      </c>
      <c r="C22599" s="5" t="str">
        <f>IFERROR(__xludf.DUMMYFUNCTION("GOOGLETRANSLATE(B22599,""en"",""fr"")"),"Il commence à jouer de la batterie devant lui.")</f>
        <v>Il commence à jouer de la batterie devant lui.</v>
      </c>
    </row>
    <row r="22600">
      <c r="A22600" s="4" t="s">
        <v>28442</v>
      </c>
      <c r="B22600" s="4" t="s">
        <v>28445</v>
      </c>
      <c r="C22600" s="5" t="str">
        <f>IFERROR(__xludf.DUMMYFUNCTION("GOOGLETRANSLATE(B22600,""en"",""fr"")"),"Il termine le jeu et les images sont affichées à l'écran.")</f>
        <v>Il termine le jeu et les images sont affichées à l'écran.</v>
      </c>
    </row>
    <row r="22601">
      <c r="A22601" s="4" t="s">
        <v>28446</v>
      </c>
      <c r="B22601" s="6" t="s">
        <v>28447</v>
      </c>
      <c r="C22601" s="5" t="str">
        <f>IFERROR(__xludf.DUMMYFUNCTION("GOOGLETRANSLATE(B22601,""en"",""fr"")"),"Un grand groupe de personnes est vue debout autour d'un grand gymnase jouant un jeu de ballon Dodge les uns avec les autres.")</f>
        <v>Un grand groupe de personnes est vue debout autour d'un grand gymnase jouant un jeu de ballon Dodge les uns avec les autres.</v>
      </c>
    </row>
    <row r="22602">
      <c r="A22602" s="4" t="s">
        <v>28446</v>
      </c>
      <c r="B22602" s="6" t="s">
        <v>28448</v>
      </c>
      <c r="C22602" s="5" t="str">
        <f>IFERROR(__xludf.DUMMYFUNCTION("GOOGLETRANSLATE(B22602,""en"",""fr"")"),"Un homme effectue un flip impressionnant qui conduit un homme à parler à la caméra et à montrer plus de photos de jeu de Dodgeball impressionnant.")</f>
        <v>Un homme effectue un flip impressionnant qui conduit un homme à parler à la caméra et à montrer plus de photos de jeu de Dodgeball impressionnant.</v>
      </c>
    </row>
    <row r="22603">
      <c r="A22603" s="4" t="s">
        <v>28449</v>
      </c>
      <c r="B22603" s="4" t="s">
        <v>28450</v>
      </c>
      <c r="C22603" s="5" t="str">
        <f>IFERROR(__xludf.DUMMYFUNCTION("GOOGLETRANSLATE(B22603,""en"",""fr"")"),"Un athlète masculin met de la poudre sur ses mains.")</f>
        <v>Un athlète masculin met de la poudre sur ses mains.</v>
      </c>
    </row>
    <row r="22604">
      <c r="A22604" s="4" t="s">
        <v>28449</v>
      </c>
      <c r="B22604" s="4" t="s">
        <v>28451</v>
      </c>
      <c r="C22604" s="5" t="str">
        <f>IFERROR(__xludf.DUMMYFUNCTION("GOOGLETRANSLATE(B22604,""en"",""fr"")"),"Il monte une faillite dans le gymnase.")</f>
        <v>Il monte une faillite dans le gymnase.</v>
      </c>
    </row>
    <row r="22605">
      <c r="A22605" s="4" t="s">
        <v>28449</v>
      </c>
      <c r="B22605" s="4" t="s">
        <v>28452</v>
      </c>
      <c r="C22605" s="5" t="str">
        <f>IFERROR(__xludf.DUMMYFUNCTION("GOOGLETRANSLATE(B22605,""en"",""fr"")"),"Il tourne et retourne plusieurs fois avant de démonter.")</f>
        <v>Il tourne et retourne plusieurs fois avant de démonter.</v>
      </c>
    </row>
    <row r="22606">
      <c r="A22606" s="4" t="s">
        <v>28453</v>
      </c>
      <c r="B22606" s="6" t="s">
        <v>28454</v>
      </c>
      <c r="C22606" s="5" t="str">
        <f>IFERROR(__xludf.DUMMYFUNCTION("GOOGLETRANSLATE(B22606,""en"",""fr"")"),"Une photo de personnes est montrée sous plusieurs angles et mène à diverses plans de personnes chevauchant des skis et faisant des tours.")</f>
        <v>Une photo de personnes est montrée sous plusieurs angles et mène à diverses plans de personnes chevauchant des skis et faisant des tours.</v>
      </c>
    </row>
    <row r="22607">
      <c r="A22607" s="4" t="s">
        <v>28453</v>
      </c>
      <c r="B22607" s="4" t="s">
        <v>28455</v>
      </c>
      <c r="C22607" s="5" t="str">
        <f>IFERROR(__xludf.DUMMYFUNCTION("GOOGLETRANSLATE(B22607,""en"",""fr"")"),"Plus de gros plans de skieurs en eau sont montrés pendant que le bateau traîne autour de la zone.")</f>
        <v>Plus de gros plans de skieurs en eau sont montrés pendant que le bateau traîne autour de la zone.</v>
      </c>
    </row>
    <row r="22608">
      <c r="A22608" s="4" t="s">
        <v>28456</v>
      </c>
      <c r="B22608" s="4" t="s">
        <v>28457</v>
      </c>
      <c r="C22608" s="5" t="str">
        <f>IFERROR(__xludf.DUMMYFUNCTION("GOOGLETRANSLATE(B22608,""en"",""fr"")"),"Un homme court sur une piste.")</f>
        <v>Un homme court sur une piste.</v>
      </c>
    </row>
    <row r="22609">
      <c r="A22609" s="4" t="s">
        <v>28456</v>
      </c>
      <c r="B22609" s="4" t="s">
        <v>28458</v>
      </c>
      <c r="C22609" s="5" t="str">
        <f>IFERROR(__xludf.DUMMYFUNCTION("GOOGLETRANSLATE(B22609,""en"",""fr"")"),"Il saute sur un tapis bleu.")</f>
        <v>Il saute sur un tapis bleu.</v>
      </c>
    </row>
    <row r="22610">
      <c r="A22610" s="4" t="s">
        <v>28456</v>
      </c>
      <c r="B22610" s="4" t="s">
        <v>28459</v>
      </c>
      <c r="C22610" s="5" t="str">
        <f>IFERROR(__xludf.DUMMYFUNCTION("GOOGLETRANSLATE(B22610,""en"",""fr"")"),"Il saute par-dessus une barre haute et atterrit sur le tapis bleu.")</f>
        <v>Il saute par-dessus une barre haute et atterrit sur le tapis bleu.</v>
      </c>
    </row>
    <row r="22611">
      <c r="A22611" s="4" t="s">
        <v>28460</v>
      </c>
      <c r="B22611" s="4" t="s">
        <v>28461</v>
      </c>
      <c r="C22611" s="5" t="str">
        <f>IFERROR(__xludf.DUMMYFUNCTION("GOOGLETRANSLATE(B22611,""en"",""fr"")"),"Une femme brosse et sèche ses cheveux.")</f>
        <v>Une femme brosse et sèche ses cheveux.</v>
      </c>
    </row>
    <row r="22612">
      <c r="A22612" s="4" t="s">
        <v>28460</v>
      </c>
      <c r="B22612" s="4" t="s">
        <v>28462</v>
      </c>
      <c r="C22612" s="5" t="str">
        <f>IFERROR(__xludf.DUMMYFUNCTION("GOOGLETRANSLATE(B22612,""en"",""fr"")"),"La femme pose le sèche-linge et brosse à nouveau ses cheveux.")</f>
        <v>La femme pose le sèche-linge et brosse à nouveau ses cheveux.</v>
      </c>
    </row>
    <row r="22613">
      <c r="A22613" s="4" t="s">
        <v>28463</v>
      </c>
      <c r="B22613" s="4" t="s">
        <v>28464</v>
      </c>
      <c r="C22613" s="5" t="str">
        <f>IFERROR(__xludf.DUMMYFUNCTION("GOOGLETRANSLATE(B22613,""en"",""fr"")"),"Un enfant sourit à la caméra.")</f>
        <v>Un enfant sourit à la caméra.</v>
      </c>
    </row>
    <row r="22614">
      <c r="A22614" s="4" t="s">
        <v>28463</v>
      </c>
      <c r="B22614" s="4" t="s">
        <v>28465</v>
      </c>
      <c r="C22614" s="5" t="str">
        <f>IFERROR(__xludf.DUMMYFUNCTION("GOOGLETRANSLATE(B22614,""en"",""fr"")"),"L'enfant pratique le hockey sur le terrain avec des obstacles au sol.")</f>
        <v>L'enfant pratique le hockey sur le terrain avec des obstacles au sol.</v>
      </c>
    </row>
    <row r="22615">
      <c r="A22615" s="4" t="s">
        <v>28463</v>
      </c>
      <c r="B22615" s="4" t="s">
        <v>28466</v>
      </c>
      <c r="C22615" s="5" t="str">
        <f>IFERROR(__xludf.DUMMYFUNCTION("GOOGLETRANSLATE(B22615,""en"",""fr"")"),"L'enfant s'éloigne de la caméra.")</f>
        <v>L'enfant s'éloigne de la caméra.</v>
      </c>
    </row>
    <row r="22616">
      <c r="A22616" s="4" t="s">
        <v>28467</v>
      </c>
      <c r="B22616" s="4" t="s">
        <v>28468</v>
      </c>
      <c r="C22616" s="5" t="str">
        <f>IFERROR(__xludf.DUMMYFUNCTION("GOOGLETRANSLATE(B22616,""en"",""fr"")"),"Nous voyons deux hommes dans un studio de télévision parler.")</f>
        <v>Nous voyons deux hommes dans un studio de télévision parler.</v>
      </c>
    </row>
    <row r="22617">
      <c r="A22617" s="4" t="s">
        <v>28467</v>
      </c>
      <c r="B22617" s="4" t="s">
        <v>28469</v>
      </c>
      <c r="C22617" s="5" t="str">
        <f>IFERROR(__xludf.DUMMYFUNCTION("GOOGLETRANSLATE(B22617,""en"",""fr"")"),"Nous voyons des gens jouer à un match de football en salle.")</f>
        <v>Nous voyons des gens jouer à un match de football en salle.</v>
      </c>
    </row>
    <row r="22618">
      <c r="A22618" s="4" t="s">
        <v>28467</v>
      </c>
      <c r="B22618" s="4" t="s">
        <v>28470</v>
      </c>
      <c r="C22618" s="5" t="str">
        <f>IFERROR(__xludf.DUMMYFUNCTION("GOOGLETRANSLATE(B22618,""en"",""fr"")"),"Un homme en noir court avec ses bras en l'air.")</f>
        <v>Un homme en noir court avec ses bras en l'air.</v>
      </c>
    </row>
    <row r="22619">
      <c r="A22619" s="4" t="s">
        <v>28467</v>
      </c>
      <c r="B22619" s="4" t="s">
        <v>28471</v>
      </c>
      <c r="C22619" s="5" t="str">
        <f>IFERROR(__xludf.DUMMYFUNCTION("GOOGLETRANSLATE(B22619,""en"",""fr"")"),"Un homme en jaune glisse sur le sol.")</f>
        <v>Un homme en jaune glisse sur le sol.</v>
      </c>
    </row>
    <row r="22620">
      <c r="A22620" s="4" t="s">
        <v>28467</v>
      </c>
      <c r="B22620" s="4" t="s">
        <v>28472</v>
      </c>
      <c r="C22620" s="5" t="str">
        <f>IFERROR(__xludf.DUMMYFUNCTION("GOOGLETRANSLATE(B22620,""en"",""fr"")"),"Le 10 en jaune jette une crise de colère.")</f>
        <v>Le 10 en jaune jette une crise de colère.</v>
      </c>
    </row>
    <row r="22621">
      <c r="A22621" s="4" t="s">
        <v>28467</v>
      </c>
      <c r="B22621" s="4" t="s">
        <v>28473</v>
      </c>
      <c r="C22621" s="5" t="str">
        <f>IFERROR(__xludf.DUMMYFUNCTION("GOOGLETRANSLATE(B22621,""en"",""fr"")"),"L'équipe jaune s'embrasse toutes.")</f>
        <v>L'équipe jaune s'embrasse toutes.</v>
      </c>
    </row>
    <row r="22622">
      <c r="A22622" s="4" t="s">
        <v>28467</v>
      </c>
      <c r="B22622" s="4" t="s">
        <v>28474</v>
      </c>
      <c r="C22622" s="5" t="str">
        <f>IFERROR(__xludf.DUMMYFUNCTION("GOOGLETRANSLATE(B22622,""en"",""fr"")"),"Nous retournons aux hommes du studio.")</f>
        <v>Nous retournons aux hommes du studio.</v>
      </c>
    </row>
    <row r="22623">
      <c r="A22623" s="4" t="s">
        <v>28475</v>
      </c>
      <c r="B22623" s="4" t="s">
        <v>28476</v>
      </c>
      <c r="C22623" s="5" t="str">
        <f>IFERROR(__xludf.DUMMYFUNCTION("GOOGLETRANSLATE(B22623,""en"",""fr"")"),"Un homme est à l'extérieur avec deux chiens en laisse.")</f>
        <v>Un homme est à l'extérieur avec deux chiens en laisse.</v>
      </c>
    </row>
    <row r="22624">
      <c r="A22624" s="4" t="s">
        <v>28475</v>
      </c>
      <c r="B22624" s="4" t="s">
        <v>28477</v>
      </c>
      <c r="C22624" s="5" t="str">
        <f>IFERROR(__xludf.DUMMYFUNCTION("GOOGLETRANSLATE(B22624,""en"",""fr"")"),"Il fait un spectacle avec les chiens formés.")</f>
        <v>Il fait un spectacle avec les chiens formés.</v>
      </c>
    </row>
    <row r="22625">
      <c r="A22625" s="4" t="s">
        <v>28475</v>
      </c>
      <c r="B22625" s="4" t="s">
        <v>28478</v>
      </c>
      <c r="C22625" s="5" t="str">
        <f>IFERROR(__xludf.DUMMYFUNCTION("GOOGLETRANSLATE(B22625,""en"",""fr"")"),"Il lance Frisbees et la petite foule applaudit pour les chiens.")</f>
        <v>Il lance Frisbees et la petite foule applaudit pour les chiens.</v>
      </c>
    </row>
    <row r="22626">
      <c r="A22626" s="4" t="s">
        <v>28479</v>
      </c>
      <c r="B22626" s="4" t="s">
        <v>28480</v>
      </c>
      <c r="C22626" s="5" t="str">
        <f>IFERROR(__xludf.DUMMYFUNCTION("GOOGLETRANSLATE(B22626,""en"",""fr"")"),"Un homme se dresse sur un toit d'une maison et met une prise sur le toit.")</f>
        <v>Un homme se dresse sur un toit d'une maison et met une prise sur le toit.</v>
      </c>
    </row>
    <row r="22627">
      <c r="A22627" s="4" t="s">
        <v>28479</v>
      </c>
      <c r="B22627" s="4" t="s">
        <v>28481</v>
      </c>
      <c r="C22627" s="5" t="str">
        <f>IFERROR(__xludf.DUMMYFUNCTION("GOOGLETRANSLATE(B22627,""en"",""fr"")"),"Ensuite, l'homme tient la poignée d'un outil d'une main.")</f>
        <v>Ensuite, l'homme tient la poignée d'un outil d'une main.</v>
      </c>
    </row>
    <row r="22628">
      <c r="A22628" s="4" t="s">
        <v>28479</v>
      </c>
      <c r="B22628" s="4" t="s">
        <v>28482</v>
      </c>
      <c r="C22628" s="5" t="str">
        <f>IFERROR(__xludf.DUMMYFUNCTION("GOOGLETRANSLATE(B22628,""en"",""fr"")"),"L'homme tient la poignée à deux mains, puis il continue de tenir l'outil d'une main.")</f>
        <v>L'homme tient la poignée à deux mains, puis il continue de tenir l'outil d'une main.</v>
      </c>
    </row>
    <row r="22629">
      <c r="A22629" s="4" t="s">
        <v>28483</v>
      </c>
      <c r="B22629" s="4" t="s">
        <v>28484</v>
      </c>
      <c r="C22629" s="5" t="str">
        <f>IFERROR(__xludf.DUMMYFUNCTION("GOOGLETRANSLATE(B22629,""en"",""fr"")"),"On voit les mains d'une personne qui tentent de résoudre un cube Rubix pendant que la fin d'une table est montrée.")</f>
        <v>On voit les mains d'une personne qui tentent de résoudre un cube Rubix pendant que la fin d'une table est montrée.</v>
      </c>
    </row>
    <row r="22630">
      <c r="A22630" s="4" t="s">
        <v>28483</v>
      </c>
      <c r="B22630" s="4" t="s">
        <v>28485</v>
      </c>
      <c r="C22630" s="5" t="str">
        <f>IFERROR(__xludf.DUMMYFUNCTION("GOOGLETRANSLATE(B22630,""en"",""fr"")"),"La personne continue jusqu'à ce qu'elle termine le cube puis montre son temps à l'écran.")</f>
        <v>La personne continue jusqu'à ce qu'elle termine le cube puis montre son temps à l'écran.</v>
      </c>
    </row>
    <row r="22631">
      <c r="A22631" s="4" t="s">
        <v>28486</v>
      </c>
      <c r="B22631" s="6" t="s">
        <v>28487</v>
      </c>
      <c r="C22631" s="5" t="str">
        <f>IFERROR(__xludf.DUMMYFUNCTION("GOOGLETRANSLATE(B22631,""en"",""fr"")"),"Un groupe de jeunes filles est vêtu de tutus roses, debout sur une scène et fait leur routine de ballerine.")</f>
        <v>Un groupe de jeunes filles est vêtu de tutus roses, debout sur une scène et fait leur routine de ballerine.</v>
      </c>
    </row>
    <row r="22632">
      <c r="A22632" s="4" t="s">
        <v>28486</v>
      </c>
      <c r="B22632" s="6" t="s">
        <v>28488</v>
      </c>
      <c r="C22632" s="5" t="str">
        <f>IFERROR(__xludf.DUMMYFUNCTION("GOOGLETRANSLATE(B22632,""en"",""fr"")"),"L'une des filles se synchronise des autres et commence à bouger ses pieds alors qu'elle fait sa routine et tout ce que une autre fille se tient sur pied et se déplaçant juste leurs bras.")</f>
        <v>L'une des filles se synchronise des autres et commence à bouger ses pieds alors qu'elle fait sa routine et tout ce que une autre fille se tient sur pied et se déplaçant juste leurs bras.</v>
      </c>
    </row>
    <row r="22633">
      <c r="A22633" s="4" t="s">
        <v>28486</v>
      </c>
      <c r="B22633" s="6" t="s">
        <v>28489</v>
      </c>
      <c r="C22633" s="5" t="str">
        <f>IFERROR(__xludf.DUMMYFUNCTION("GOOGLETRANSLATE(B22633,""en"",""fr"")"),"Les filles commencent maintenant à chanter alors qu'elles continuent de danser et la même fille qui faisait sa propre chose par synchronisation continue de faire sa propre danse différente de la majorité des jeunes filles.")</f>
        <v>Les filles commencent maintenant à chanter alors qu'elles continuent de danser et la même fille qui faisait sa propre chose par synchronisation continue de faire sa propre danse différente de la majorité des jeunes filles.</v>
      </c>
    </row>
    <row r="22634">
      <c r="A22634" s="4" t="s">
        <v>28486</v>
      </c>
      <c r="B22634" s="4" t="s">
        <v>28490</v>
      </c>
      <c r="C22634" s="5" t="str">
        <f>IFERROR(__xludf.DUMMYFUNCTION("GOOGLETRANSLATE(B22634,""en"",""fr"")"),"La danse se termine et certaines des filles font une courteuse, puis elles sortent toutes de la scène.")</f>
        <v>La danse se termine et certaines des filles font une courteuse, puis elles sortent toutes de la scène.</v>
      </c>
    </row>
    <row r="22635">
      <c r="A22635" s="4" t="s">
        <v>28491</v>
      </c>
      <c r="B22635" s="4" t="s">
        <v>28492</v>
      </c>
      <c r="C22635" s="5" t="str">
        <f>IFERROR(__xludf.DUMMYFUNCTION("GOOGLETRANSLATE(B22635,""en"",""fr"")"),"Un homme dans un masque de cinéma est assis par un escalier.")</f>
        <v>Un homme dans un masque de cinéma est assis par un escalier.</v>
      </c>
    </row>
    <row r="22636">
      <c r="A22636" s="4" t="s">
        <v>28491</v>
      </c>
      <c r="B22636" s="4" t="s">
        <v>28493</v>
      </c>
      <c r="C22636" s="5" t="str">
        <f>IFERROR(__xludf.DUMMYFUNCTION("GOOGLETRANSLATE(B22636,""en"",""fr"")"),"Il joue un accordéan pour les gens qui passent.")</f>
        <v>Il joue un accordéan pour les gens qui passent.</v>
      </c>
    </row>
    <row r="22637">
      <c r="A22637" s="4" t="s">
        <v>28491</v>
      </c>
      <c r="B22637" s="4" t="s">
        <v>28494</v>
      </c>
      <c r="C22637" s="5" t="str">
        <f>IFERROR(__xludf.DUMMYFUNCTION("GOOGLETRANSLATE(B22637,""en"",""fr"")"),"Quelques pauses pour écouter, puis continuer leur chemin.")</f>
        <v>Quelques pauses pour écouter, puis continuer leur chemin.</v>
      </c>
    </row>
    <row r="22638">
      <c r="A22638" s="4" t="s">
        <v>28495</v>
      </c>
      <c r="B22638" s="6" t="s">
        <v>28496</v>
      </c>
      <c r="C22638" s="5" t="str">
        <f>IFERROR(__xludf.DUMMYFUNCTION("GOOGLETRANSLATE(B22638,""en"",""fr"")"),"Une femme démontre, sur un bébé jouet, comment emmêler un bébé et laver le visage d'un bébé à l'aide de boules de coton et de serviettes mouillées.")</f>
        <v>Une femme démontre, sur un bébé jouet, comment emmêler un bébé et laver le visage d'un bébé à l'aide de boules de coton et de serviettes mouillées.</v>
      </c>
    </row>
    <row r="22639">
      <c r="A22639" s="4" t="s">
        <v>28495</v>
      </c>
      <c r="B22639" s="4" t="s">
        <v>28497</v>
      </c>
      <c r="C22639" s="5" t="str">
        <f>IFERROR(__xludf.DUMMYFUNCTION("GOOGLETRANSLATE(B22639,""en"",""fr"")"),"Une femme se tient devant un bébé jouet et parle à la caméra.")</f>
        <v>Une femme se tient devant un bébé jouet et parle à la caméra.</v>
      </c>
    </row>
    <row r="22640">
      <c r="A22640" s="4" t="s">
        <v>28495</v>
      </c>
      <c r="B22640" s="6" t="s">
        <v>28498</v>
      </c>
      <c r="C22640" s="5" t="str">
        <f>IFERROR(__xludf.DUMMYFUNCTION("GOOGLETRANSLATE(B22640,""en"",""fr"")"),"La femme envahit le bébé dans une couverture blanche, puis commence à appliquer des boules de coton trempées d'eau, d'un récipient à proximité à proximité, aux yeux et au nez et au visage du bébé.")</f>
        <v>La femme envahit le bébé dans une couverture blanche, puis commence à appliquer des boules de coton trempées d'eau, d'un récipient à proximité à proximité, aux yeux et au nez et au visage du bébé.</v>
      </c>
    </row>
    <row r="22641">
      <c r="A22641" s="4" t="s">
        <v>28495</v>
      </c>
      <c r="B22641" s="4" t="s">
        <v>28499</v>
      </c>
      <c r="C22641" s="5" t="str">
        <f>IFERROR(__xludf.DUMMYFUNCTION("GOOGLETRANSLATE(B22641,""en"",""fr"")"),"La femme termine et parle à nouveau à la caméra.")</f>
        <v>La femme termine et parle à nouveau à la caméra.</v>
      </c>
    </row>
    <row r="22642">
      <c r="A22642" s="4" t="s">
        <v>28500</v>
      </c>
      <c r="B22642" s="4" t="s">
        <v>28501</v>
      </c>
      <c r="C22642" s="5" t="str">
        <f>IFERROR(__xludf.DUMMYFUNCTION("GOOGLETRANSLATE(B22642,""en"",""fr"")"),"Une femme est vue en parlant à la caméra et commence à déballer un élément.")</f>
        <v>Une femme est vue en parlant à la caméra et commence à déballer un élément.</v>
      </c>
    </row>
    <row r="22643">
      <c r="A22643" s="4" t="s">
        <v>28500</v>
      </c>
      <c r="B22643" s="6" t="s">
        <v>28502</v>
      </c>
      <c r="C22643" s="5" t="str">
        <f>IFERROR(__xludf.DUMMYFUNCTION("GOOGLETRANSLATE(B22643,""en"",""fr"")"),"Elle sort les panneaux et met des lunettes de soleil et présente une casserole d'objets à la caméra.")</f>
        <v>Elle sort les panneaux et met des lunettes de soleil et présente une casserole d'objets à la caméra.</v>
      </c>
    </row>
    <row r="22644">
      <c r="A22644" s="4" t="s">
        <v>28500</v>
      </c>
      <c r="B22644" s="4" t="s">
        <v>28503</v>
      </c>
      <c r="C22644" s="5" t="str">
        <f>IFERROR(__xludf.DUMMYFUNCTION("GOOGLETRANSLATE(B22644,""en"",""fr"")"),"Elle continue de parler à la caméra et retire les objets pour présenter des biscuits au four.")</f>
        <v>Elle continue de parler à la caméra et retire les objets pour présenter des biscuits au four.</v>
      </c>
    </row>
    <row r="22645">
      <c r="A22645" s="4" t="s">
        <v>28500</v>
      </c>
      <c r="B22645" s="4" t="s">
        <v>28504</v>
      </c>
      <c r="C22645" s="5" t="str">
        <f>IFERROR(__xludf.DUMMYFUNCTION("GOOGLETRANSLATE(B22645,""en"",""fr"")"),"Les cookies sont revus sur un plateau et elle les brise pour voir.")</f>
        <v>Les cookies sont revus sur un plateau et elle les brise pour voir.</v>
      </c>
    </row>
    <row r="22646">
      <c r="A22646" s="4" t="s">
        <v>28505</v>
      </c>
      <c r="B22646" s="4" t="s">
        <v>28506</v>
      </c>
      <c r="C22646" s="5" t="str">
        <f>IFERROR(__xludf.DUMMYFUNCTION("GOOGLETRANSLATE(B22646,""en"",""fr"")"),"Un petit garçon se penche sur un pinceau dans un seau bleu.")</f>
        <v>Un petit garçon se penche sur un pinceau dans un seau bleu.</v>
      </c>
    </row>
    <row r="22647">
      <c r="A22647" s="4" t="s">
        <v>28505</v>
      </c>
      <c r="B22647" s="4" t="s">
        <v>28507</v>
      </c>
      <c r="C22647" s="5" t="str">
        <f>IFERROR(__xludf.DUMMYFUNCTION("GOOGLETRANSLATE(B22647,""en"",""fr"")"),"Il peint la clôture devant lui.")</f>
        <v>Il peint la clôture devant lui.</v>
      </c>
    </row>
    <row r="22648">
      <c r="A22648" s="4" t="s">
        <v>28505</v>
      </c>
      <c r="B22648" s="4" t="s">
        <v>28508</v>
      </c>
      <c r="C22648" s="5" t="str">
        <f>IFERROR(__xludf.DUMMYFUNCTION("GOOGLETRANSLATE(B22648,""en"",""fr"")"),"Il se dirige vers la caméra.")</f>
        <v>Il se dirige vers la caméra.</v>
      </c>
    </row>
    <row r="22649">
      <c r="A22649" s="4" t="s">
        <v>28509</v>
      </c>
      <c r="B22649" s="6" t="s">
        <v>28510</v>
      </c>
      <c r="C22649" s="5" t="str">
        <f>IFERROR(__xludf.DUMMYFUNCTION("GOOGLETRANSLATE(B22649,""en"",""fr"")"),"Deux filles sont vues se déplacer rapidement dans la pièce tout en changeant de lieux et en regardant dans une caméra.")</f>
        <v>Deux filles sont vues se déplacer rapidement dans la pièce tout en changeant de lieux et en regardant dans une caméra.</v>
      </c>
    </row>
    <row r="22650">
      <c r="A22650" s="4" t="s">
        <v>28509</v>
      </c>
      <c r="B22650" s="6" t="s">
        <v>28511</v>
      </c>
      <c r="C22650" s="5" t="str">
        <f>IFERROR(__xludf.DUMMYFUNCTION("GOOGLETRANSLATE(B22650,""en"",""fr"")"),"La jeune fille rit à la caméra tout en se maquillant et l'autre se déplace rapidement.")</f>
        <v>La jeune fille rit à la caméra tout en se maquillant et l'autre se déplace rapidement.</v>
      </c>
    </row>
    <row r="22651">
      <c r="A22651" s="4" t="s">
        <v>28512</v>
      </c>
      <c r="B22651" s="6" t="s">
        <v>28513</v>
      </c>
      <c r="C22651" s="5" t="str">
        <f>IFERROR(__xludf.DUMMYFUNCTION("GOOGLETRANSLATE(B22651,""en"",""fr"")"),"Une jeune fille est vue en parlant à la caméra alors qu'elle était assise à une table et l'amène à la retenue dans une affaire de contacts.")</f>
        <v>Une jeune fille est vue en parlant à la caméra alors qu'elle était assise à une table et l'amène à la retenue dans une affaire de contacts.</v>
      </c>
    </row>
    <row r="22652">
      <c r="A22652" s="4" t="s">
        <v>28512</v>
      </c>
      <c r="B22652" s="6" t="s">
        <v>28514</v>
      </c>
      <c r="C22652" s="5" t="str">
        <f>IFERROR(__xludf.DUMMYFUNCTION("GOOGLETRANSLATE(B22652,""en"",""fr"")"),"La fille tient ensuite l'œil ouvert et retire le contact, suivi de son trempage dans du liquide et le remettant tout en parlant.")</f>
        <v>La fille tient ensuite l'œil ouvert et retire le contact, suivi de son trempage dans du liquide et le remettant tout en parlant.</v>
      </c>
    </row>
    <row r="22653">
      <c r="A22653" s="4" t="s">
        <v>28515</v>
      </c>
      <c r="B22653" s="4" t="s">
        <v>28516</v>
      </c>
      <c r="C22653" s="5" t="str">
        <f>IFERROR(__xludf.DUMMYFUNCTION("GOOGLETRANSLATE(B22653,""en"",""fr"")"),"Une femme est en train de rouler dans une rue avec des gens qui traversent derrière elle.")</f>
        <v>Une femme est en train de rouler dans une rue avec des gens qui traversent derrière elle.</v>
      </c>
    </row>
    <row r="22654">
      <c r="A22654" s="4" t="s">
        <v>28515</v>
      </c>
      <c r="B22654" s="4" t="s">
        <v>28517</v>
      </c>
      <c r="C22654" s="5" t="str">
        <f>IFERROR(__xludf.DUMMYFUNCTION("GOOGLETRANSLATE(B22654,""en"",""fr"")"),"Elle revient seule de l'autre côté de la rue.")</f>
        <v>Elle revient seule de l'autre côté de la rue.</v>
      </c>
    </row>
    <row r="22655">
      <c r="A22655" s="4" t="s">
        <v>28515</v>
      </c>
      <c r="B22655" s="4" t="s">
        <v>28518</v>
      </c>
      <c r="C22655" s="5" t="str">
        <f>IFERROR(__xludf.DUMMYFUNCTION("GOOGLETRANSLATE(B22655,""en"",""fr"")"),"Une femme dans un pull gris parle à la caméra sur le trottoir.")</f>
        <v>Une femme dans un pull gris parle à la caméra sur le trottoir.</v>
      </c>
    </row>
    <row r="22656">
      <c r="A22656" s="4" t="s">
        <v>28515</v>
      </c>
      <c r="B22656" s="4" t="s">
        <v>28519</v>
      </c>
      <c r="C22656" s="5" t="str">
        <f>IFERROR(__xludf.DUMMYFUNCTION("GOOGLETRANSLATE(B22656,""en"",""fr"")"),"Un homme en chapeau noir parle à la caméra devant un bâtiment bleu.")</f>
        <v>Un homme en chapeau noir parle à la caméra devant un bâtiment bleu.</v>
      </c>
    </row>
    <row r="22657">
      <c r="A22657" s="4" t="s">
        <v>28515</v>
      </c>
      <c r="B22657" s="4" t="s">
        <v>28520</v>
      </c>
      <c r="C22657" s="5" t="str">
        <f>IFERROR(__xludf.DUMMYFUNCTION("GOOGLETRANSLATE(B22657,""en"",""fr"")"),"Un homme en chemise noire est assis et parle.")</f>
        <v>Un homme en chemise noire est assis et parle.</v>
      </c>
    </row>
    <row r="22658">
      <c r="A22658" s="4" t="s">
        <v>28515</v>
      </c>
      <c r="B22658" s="4" t="s">
        <v>28521</v>
      </c>
      <c r="C22658" s="5" t="str">
        <f>IFERROR(__xludf.DUMMYFUNCTION("GOOGLETRANSLATE(B22658,""en"",""fr"")"),"Il remonte à l'homme en un chapeau noir à parler.")</f>
        <v>Il remonte à l'homme en un chapeau noir à parler.</v>
      </c>
    </row>
    <row r="22659">
      <c r="A22659" s="4" t="s">
        <v>28515</v>
      </c>
      <c r="B22659" s="4" t="s">
        <v>28522</v>
      </c>
      <c r="C22659" s="5" t="str">
        <f>IFERROR(__xludf.DUMMYFUNCTION("GOOGLETRANSLATE(B22659,""en"",""fr"")"),"Il revient à l'homme dans la chemise noire à parler.")</f>
        <v>Il revient à l'homme dans la chemise noire à parler.</v>
      </c>
    </row>
    <row r="22660">
      <c r="A22660" s="4" t="s">
        <v>28515</v>
      </c>
      <c r="B22660" s="4" t="s">
        <v>28523</v>
      </c>
      <c r="C22660" s="5" t="str">
        <f>IFERROR(__xludf.DUMMYFUNCTION("GOOGLETRANSLATE(B22660,""en"",""fr"")"),"La fille se penche sur les lames à rouleaux qui tirent quelque chose d'un banc.")</f>
        <v>La fille se penche sur les lames à rouleaux qui tirent quelque chose d'un banc.</v>
      </c>
    </row>
    <row r="22661">
      <c r="A22661" s="4" t="s">
        <v>28515</v>
      </c>
      <c r="B22661" s="4" t="s">
        <v>28524</v>
      </c>
      <c r="C22661" s="5" t="str">
        <f>IFERROR(__xludf.DUMMYFUNCTION("GOOGLETRANSLATE(B22661,""en"",""fr"")"),"Elle fait des tours sur le banc.")</f>
        <v>Elle fait des tours sur le banc.</v>
      </c>
    </row>
    <row r="22662">
      <c r="A22662" s="4" t="s">
        <v>28515</v>
      </c>
      <c r="B22662" s="4" t="s">
        <v>28525</v>
      </c>
      <c r="C22662" s="5" t="str">
        <f>IFERROR(__xludf.DUMMYFUNCTION("GOOGLETRANSLATE(B22662,""en"",""fr"")"),"Une femme dans un chapeau brune parle.")</f>
        <v>Une femme dans un chapeau brune parle.</v>
      </c>
    </row>
    <row r="22663">
      <c r="A22663" s="4" t="s">
        <v>28515</v>
      </c>
      <c r="B22663" s="4" t="s">
        <v>28526</v>
      </c>
      <c r="C22663" s="5" t="str">
        <f>IFERROR(__xludf.DUMMYFUNCTION("GOOGLETRANSLATE(B22663,""en"",""fr"")"),"Un homme avec un mohawk parle.")</f>
        <v>Un homme avec un mohawk parle.</v>
      </c>
    </row>
    <row r="22664">
      <c r="A22664" s="4" t="s">
        <v>28515</v>
      </c>
      <c r="B22664" s="4" t="s">
        <v>28527</v>
      </c>
      <c r="C22664" s="5" t="str">
        <f>IFERROR(__xludf.DUMMYFUNCTION("GOOGLETRANSLATE(B22664,""en"",""fr"")"),"La fille fait plus de trucs sur ses lames à rouleaux.")</f>
        <v>La fille fait plus de trucs sur ses lames à rouleaux.</v>
      </c>
    </row>
    <row r="22665">
      <c r="A22665" s="4" t="s">
        <v>28515</v>
      </c>
      <c r="B22665" s="4" t="s">
        <v>18302</v>
      </c>
      <c r="C22665" s="5" t="str">
        <f>IFERROR(__xludf.DUMMYFUNCTION("GOOGLETRANSLATE(B22665,""en"",""fr"")"),"Une femme en chemise rose parle.")</f>
        <v>Une femme en chemise rose parle.</v>
      </c>
    </row>
    <row r="22666">
      <c r="A22666" s="4" t="s">
        <v>28515</v>
      </c>
      <c r="B22666" s="4" t="s">
        <v>28528</v>
      </c>
      <c r="C22666" s="5" t="str">
        <f>IFERROR(__xludf.DUMMYFUNCTION("GOOGLETRANSLATE(B22666,""en"",""fr"")"),"Trois enfants sont assis sur un banc dans des patins à roulettes qui parlent.")</f>
        <v>Trois enfants sont assis sur un banc dans des patins à roulettes qui parlent.</v>
      </c>
    </row>
    <row r="22667">
      <c r="A22667" s="4" t="s">
        <v>28515</v>
      </c>
      <c r="B22667" s="4" t="s">
        <v>28529</v>
      </c>
      <c r="C22667" s="5" t="str">
        <f>IFERROR(__xludf.DUMMYFUNCTION("GOOGLETRANSLATE(B22667,""en"",""fr"")"),"La fille sur les lames à rouesaurie fait une autre astuce.")</f>
        <v>La fille sur les lames à rouesaurie fait une autre astuce.</v>
      </c>
    </row>
    <row r="22668">
      <c r="A22668" s="4" t="s">
        <v>28515</v>
      </c>
      <c r="B22668" s="4" t="s">
        <v>28530</v>
      </c>
      <c r="C22668" s="5" t="str">
        <f>IFERROR(__xludf.DUMMYFUNCTION("GOOGLETRANSLATE(B22668,""en"",""fr"")"),"Une femme plus âgée parle à la caméra.")</f>
        <v>Une femme plus âgée parle à la caméra.</v>
      </c>
    </row>
    <row r="22669">
      <c r="A22669" s="4" t="s">
        <v>28531</v>
      </c>
      <c r="B22669" s="4" t="s">
        <v>28532</v>
      </c>
      <c r="C22669" s="5" t="str">
        <f>IFERROR(__xludf.DUMMYFUNCTION("GOOGLETRANSLATE(B22669,""en"",""fr"")"),"Un garçon dessine avec la craie sur le béton alors qu'il traite les problèmes de la vie de famille et de l'école.")</f>
        <v>Un garçon dessine avec la craie sur le béton alors qu'il traite les problèmes de la vie de famille et de l'école.</v>
      </c>
    </row>
    <row r="22670">
      <c r="A22670" s="4" t="s">
        <v>28531</v>
      </c>
      <c r="B22670" s="6" t="s">
        <v>28533</v>
      </c>
      <c r="C22670" s="5" t="str">
        <f>IFERROR(__xludf.DUMMYFUNCTION("GOOGLETRANSLATE(B22670,""en"",""fr"")"),"Il finit de dessiner des boîtes de marelle sur le béton alors qu'il commence à sauter sur les carrés et commence à danser pour se rappeler l'intimidation à l'école.")</f>
        <v>Il finit de dessiner des boîtes de marelle sur le béton alors qu'il commence à sauter sur les carrés et commence à danser pour se rappeler l'intimidation à l'école.</v>
      </c>
    </row>
    <row r="22671">
      <c r="A22671" s="4" t="s">
        <v>28531</v>
      </c>
      <c r="B22671" s="4" t="s">
        <v>28534</v>
      </c>
      <c r="C22671" s="5" t="str">
        <f>IFERROR(__xludf.DUMMYFUNCTION("GOOGLETRANSLATE(B22671,""en"",""fr"")"),"Le jeune homme est vu maintenant casser la danse et traverser une routine.")</f>
        <v>Le jeune homme est vu maintenant casser la danse et traverser une routine.</v>
      </c>
    </row>
    <row r="22672">
      <c r="A22672" s="4" t="s">
        <v>28531</v>
      </c>
      <c r="B22672" s="6" t="s">
        <v>28535</v>
      </c>
      <c r="C22672" s="5" t="str">
        <f>IFERROR(__xludf.DUMMYFUNCTION("GOOGLETRANSLATE(B22672,""en"",""fr"")"),"De retour à la maison avec sa famille troublée, il mange et rêvait de danser alors que la scène lui revient dansant.")</f>
        <v>De retour à la maison avec sa famille troublée, il mange et rêvait de danser alors que la scène lui revient dansant.</v>
      </c>
    </row>
    <row r="22673">
      <c r="A22673" s="4" t="s">
        <v>28531</v>
      </c>
      <c r="B22673" s="4" t="s">
        <v>28536</v>
      </c>
      <c r="C22673" s="5" t="str">
        <f>IFERROR(__xludf.DUMMYFUNCTION("GOOGLETRANSLATE(B22673,""en"",""fr"")"),"Il arrête de danser pour regarder les carrés de marelle qui sont maintenant fanés et usés.")</f>
        <v>Il arrête de danser pour regarder les carrés de marelle qui sont maintenant fanés et usés.</v>
      </c>
    </row>
    <row r="22674">
      <c r="A22674" s="4" t="s">
        <v>28531</v>
      </c>
      <c r="B22674" s="6" t="s">
        <v>28537</v>
      </c>
      <c r="C22674" s="5" t="str">
        <f>IFERROR(__xludf.DUMMYFUNCTION("GOOGLETRANSLATE(B22674,""en"",""fr"")"),"Dans la classe alors que l'enseignant traverse les rangées de bureaux, il remarque le jeune homme endormi à son bureau alors qu'il utilise une règle pour le taper sur sa tête pour le réveiller.")</f>
        <v>Dans la classe alors que l'enseignant traverse les rangées de bureaux, il remarque le jeune homme endormi à son bureau alors qu'il utilise une règle pour le taper sur sa tête pour le réveiller.</v>
      </c>
    </row>
    <row r="22675">
      <c r="A22675" s="4" t="s">
        <v>28531</v>
      </c>
      <c r="B22675" s="6" t="s">
        <v>28538</v>
      </c>
      <c r="C22675" s="5" t="str">
        <f>IFERROR(__xludf.DUMMYFUNCTION("GOOGLETRANSLATE(B22675,""en"",""fr"")"),"Le jeune garçon remarque une note à son bureau qui a une photo des carrés de marelle qui dit ""enseigner-moi"" suivi d'un visage souriant.")</f>
        <v>Le jeune garçon remarque une note à son bureau qui a une photo des carrés de marelle qui dit "enseigner-moi" suivi d'un visage souriant.</v>
      </c>
    </row>
    <row r="22676">
      <c r="A22676" s="4" t="s">
        <v>28531</v>
      </c>
      <c r="B22676" s="4" t="s">
        <v>28539</v>
      </c>
      <c r="C22676" s="5" t="str">
        <f>IFERROR(__xludf.DUMMYFUNCTION("GOOGLETRANSLATE(B22676,""en"",""fr"")"),"Les crédits roulent comme le béton et les marques de craie des carrés de marelle sont affichés.")</f>
        <v>Les crédits roulent comme le béton et les marques de craie des carrés de marelle sont affichés.</v>
      </c>
    </row>
    <row r="22677">
      <c r="A22677" s="4" t="s">
        <v>28540</v>
      </c>
      <c r="B22677" s="4" t="s">
        <v>8286</v>
      </c>
      <c r="C22677" s="5" t="str">
        <f>IFERROR(__xludf.DUMMYFUNCTION("GOOGLETRANSLATE(B22677,""en"",""fr"")"),"Une femme se tient derrière une table.")</f>
        <v>Une femme se tient derrière une table.</v>
      </c>
    </row>
    <row r="22678">
      <c r="A22678" s="4" t="s">
        <v>28540</v>
      </c>
      <c r="B22678" s="4" t="s">
        <v>28541</v>
      </c>
      <c r="C22678" s="5" t="str">
        <f>IFERROR(__xludf.DUMMYFUNCTION("GOOGLETRANSLATE(B22678,""en"",""fr"")"),"Elle ouvre une poubelle blanche et verse de l'eau et du savon.")</f>
        <v>Elle ouvre une poubelle blanche et verse de l'eau et du savon.</v>
      </c>
    </row>
    <row r="22679">
      <c r="A22679" s="4" t="s">
        <v>28540</v>
      </c>
      <c r="B22679" s="4" t="s">
        <v>28542</v>
      </c>
      <c r="C22679" s="5" t="str">
        <f>IFERROR(__xludf.DUMMYFUNCTION("GOOGLETRANSLATE(B22679,""en"",""fr"")"),"Elle le ferme ensuite et tourne le sommet.")</f>
        <v>Elle le ferme ensuite et tourne le sommet.</v>
      </c>
    </row>
    <row r="22680">
      <c r="A22680" s="4" t="s">
        <v>28540</v>
      </c>
      <c r="B22680" s="4" t="s">
        <v>28543</v>
      </c>
      <c r="C22680" s="5" t="str">
        <f>IFERROR(__xludf.DUMMYFUNCTION("GOOGLETRANSLATE(B22680,""en"",""fr"")"),"Elle accroche les vêtements d'un rack à bois pour sécher.")</f>
        <v>Elle accroche les vêtements d'un rack à bois pour sécher.</v>
      </c>
    </row>
    <row r="22681">
      <c r="A22681" s="4" t="s">
        <v>28544</v>
      </c>
      <c r="B22681" s="4" t="s">
        <v>28545</v>
      </c>
      <c r="C22681" s="5" t="str">
        <f>IFERROR(__xludf.DUMMYFUNCTION("GOOGLETRANSLATE(B22681,""en"",""fr"")"),"Il y a plusieurs travailleurs au-dessus d'un toit travaillant sur la réparation du toit.")</f>
        <v>Il y a plusieurs travailleurs au-dessus d'un toit travaillant sur la réparation du toit.</v>
      </c>
    </row>
    <row r="22682">
      <c r="A22682" s="4" t="s">
        <v>28544</v>
      </c>
      <c r="B22682" s="4" t="s">
        <v>28546</v>
      </c>
      <c r="C22682" s="5" t="str">
        <f>IFERROR(__xludf.DUMMYFUNCTION("GOOGLETRANSLATE(B22682,""en"",""fr"")"),"Ils retirent les vieux bardeaux à l'aide d'une prise de toit.")</f>
        <v>Ils retirent les vieux bardeaux à l'aide d'une prise de toit.</v>
      </c>
    </row>
    <row r="22683">
      <c r="A22683" s="4" t="s">
        <v>28544</v>
      </c>
      <c r="B22683" s="4" t="s">
        <v>28547</v>
      </c>
      <c r="C22683" s="5" t="str">
        <f>IFERROR(__xludf.DUMMYFUNCTION("GOOGLETRANSLATE(B22683,""en"",""fr"")"),"Ils continuent de retirer les bardeaux tout en se tenant sur le toit.")</f>
        <v>Ils continuent de retirer les bardeaux tout en se tenant sur le toit.</v>
      </c>
    </row>
    <row r="22684">
      <c r="A22684" s="4" t="s">
        <v>28548</v>
      </c>
      <c r="B22684" s="4" t="s">
        <v>28549</v>
      </c>
      <c r="C22684" s="5" t="str">
        <f>IFERROR(__xludf.DUMMYFUNCTION("GOOGLETRANSLATE(B22684,""en"",""fr"")"),"Un homme se dirige vers un ensemble de barres parallèles.")</f>
        <v>Un homme se dirige vers un ensemble de barres parallèles.</v>
      </c>
    </row>
    <row r="22685">
      <c r="A22685" s="4" t="s">
        <v>28548</v>
      </c>
      <c r="B22685" s="4" t="s">
        <v>28550</v>
      </c>
      <c r="C22685" s="5" t="str">
        <f>IFERROR(__xludf.DUMMYFUNCTION("GOOGLETRANSLATE(B22685,""en"",""fr"")"),"L'homme effectue des acrobaties sur les bars dans un lieu professionnel.")</f>
        <v>L'homme effectue des acrobaties sur les bars dans un lieu professionnel.</v>
      </c>
    </row>
    <row r="22686">
      <c r="A22686" s="4" t="s">
        <v>28548</v>
      </c>
      <c r="B22686" s="4" t="s">
        <v>28551</v>
      </c>
      <c r="C22686" s="5" t="str">
        <f>IFERROR(__xludf.DUMMYFUNCTION("GOOGLETRANSLATE(B22686,""en"",""fr"")"),"L'homme saute avec succès des barreaux et atterrit sur ses pieds.")</f>
        <v>L'homme saute avec succès des barreaux et atterrit sur ses pieds.</v>
      </c>
    </row>
    <row r="22687">
      <c r="A22687" s="4" t="s">
        <v>28552</v>
      </c>
      <c r="B22687" s="4" t="s">
        <v>28553</v>
      </c>
      <c r="C22687" s="5" t="str">
        <f>IFERROR(__xludf.DUMMYFUNCTION("GOOGLETRANSLATE(B22687,""en"",""fr"")"),"L'homme en chemise blanche graisse le tambour du bongo.")</f>
        <v>L'homme en chemise blanche graisse le tambour du bongo.</v>
      </c>
    </row>
    <row r="22688">
      <c r="A22688" s="4" t="s">
        <v>28552</v>
      </c>
      <c r="B22688" s="4" t="s">
        <v>28554</v>
      </c>
      <c r="C22688" s="5" t="str">
        <f>IFERROR(__xludf.DUMMYFUNCTION("GOOGLETRANSLATE(B22688,""en"",""fr"")"),"Au comptoir, l'homme est assis derrière le comptoir.")</f>
        <v>Au comptoir, l'homme est assis derrière le comptoir.</v>
      </c>
    </row>
    <row r="22689">
      <c r="A22689" s="4" t="s">
        <v>28552</v>
      </c>
      <c r="B22689" s="4" t="s">
        <v>28555</v>
      </c>
      <c r="C22689" s="5" t="str">
        <f>IFERROR(__xludf.DUMMYFUNCTION("GOOGLETRANSLATE(B22689,""en"",""fr"")"),"L'homme jouant Bongo a frappé un tambour puis le suivant, puis il a battu la batterie rapidement.")</f>
        <v>L'homme jouant Bongo a frappé un tambour puis le suivant, puis il a battu la batterie rapidement.</v>
      </c>
    </row>
    <row r="22690">
      <c r="A22690" s="4" t="s">
        <v>28556</v>
      </c>
      <c r="B22690" s="6" t="s">
        <v>28557</v>
      </c>
      <c r="C22690" s="5" t="str">
        <f>IFERROR(__xludf.DUMMYFUNCTION("GOOGLETRANSLATE(B22690,""en"",""fr"")"),"Un homme positionne une caméra puis entre dans une pièce à travers un mur de verre avec trois murs.")</f>
        <v>Un homme positionne une caméra puis entre dans une pièce à travers un mur de verre avec trois murs.</v>
      </c>
    </row>
    <row r="22691">
      <c r="A22691" s="4" t="s">
        <v>28556</v>
      </c>
      <c r="B22691" s="6" t="s">
        <v>28558</v>
      </c>
      <c r="C22691" s="5" t="str">
        <f>IFERROR(__xludf.DUMMYFUNCTION("GOOGLETRANSLATE(B22691,""en"",""fr"")"),"Quand il entre dans la pièce, un autre homme apparaît avec une raquette à la main et ils commencent à frapper le ballon contre le mur.")</f>
        <v>Quand il entre dans la pièce, un autre homme apparaît avec une raquette à la main et ils commencent à frapper le ballon contre le mur.</v>
      </c>
    </row>
    <row r="22692">
      <c r="A22692" s="4" t="s">
        <v>28556</v>
      </c>
      <c r="B22692" s="6" t="s">
        <v>28559</v>
      </c>
      <c r="C22692" s="5" t="str">
        <f>IFERROR(__xludf.DUMMYFUNCTION("GOOGLETRANSLATE(B22692,""en"",""fr"")"),"Les deux font des allers-retours en frappant le ballon et ils finissent par s'arrêter quand aucun des hommes ne peut se rendre au ballon.")</f>
        <v>Les deux font des allers-retours en frappant le ballon et ils finissent par s'arrêter quand aucun des hommes ne peut se rendre au ballon.</v>
      </c>
    </row>
    <row r="22693">
      <c r="A22693" s="4" t="s">
        <v>28560</v>
      </c>
      <c r="B22693" s="4" t="s">
        <v>28561</v>
      </c>
      <c r="C22693" s="5" t="str">
        <f>IFERROR(__xludf.DUMMYFUNCTION("GOOGLETRANSLATE(B22693,""en"",""fr"")"),"Les gens sont assis sur un studio se parle.")</f>
        <v>Les gens sont assis sur un studio se parle.</v>
      </c>
    </row>
    <row r="22694">
      <c r="A22694" s="4" t="s">
        <v>28560</v>
      </c>
      <c r="B22694" s="6" t="s">
        <v>28562</v>
      </c>
      <c r="C22694" s="5" t="str">
        <f>IFERROR(__xludf.DUMMYFUNCTION("GOOGLETRANSLATE(B22694,""en"",""fr"")"),"L'homme est à la plage en faisant des trucs avec un petit enfant et les gens du studio parlent de la vidéo.")</f>
        <v>L'homme est à la plage en faisant des trucs avec un petit enfant et les gens du studio parlent de la vidéo.</v>
      </c>
    </row>
    <row r="22695">
      <c r="A22695" s="4" t="s">
        <v>28560</v>
      </c>
      <c r="B22695" s="4" t="s">
        <v>28563</v>
      </c>
      <c r="C22695" s="5" t="str">
        <f>IFERROR(__xludf.DUMMYFUNCTION("GOOGLETRANSLATE(B22695,""en"",""fr"")"),"La page d'une pom-pom girl est montrée à l'écran et la vidéo de la fille dans la plage faisant des tours.")</f>
        <v>La page d'une pom-pom girl est montrée à l'écran et la vidéo de la fille dans la plage faisant des tours.</v>
      </c>
    </row>
    <row r="22696">
      <c r="A22696" s="4" t="s">
        <v>28560</v>
      </c>
      <c r="B22696" s="6" t="s">
        <v>28564</v>
      </c>
      <c r="C22696" s="5" t="str">
        <f>IFERROR(__xludf.DUMMYFUNCTION("GOOGLETRANSLATE(B22696,""en"",""fr"")"),"L'homme est dans un salon avec une petite fille et fait des tours avec elle et sur la plage, puis une vidéo de l'homme et de la fille qui parle à une caméra est montrée pendant que les gens du Stuio continuent de parler et de montrer leurs vidéos.")</f>
        <v>L'homme est dans un salon avec une petite fille et fait des tours avec elle et sur la plage, puis une vidéo de l'homme et de la fille qui parle à une caméra est montrée pendant que les gens du Stuio continuent de parler et de montrer leurs vidéos.</v>
      </c>
    </row>
    <row r="22697">
      <c r="A22697" s="4" t="s">
        <v>28565</v>
      </c>
      <c r="B22697" s="4" t="s">
        <v>28566</v>
      </c>
      <c r="C22697" s="5" t="str">
        <f>IFERROR(__xludf.DUMMYFUNCTION("GOOGLETRANSLATE(B22697,""en"",""fr"")"),"Les gens sont montrés en interaction dans une salle de danse.")</f>
        <v>Les gens sont montrés en interaction dans une salle de danse.</v>
      </c>
    </row>
    <row r="22698">
      <c r="A22698" s="4" t="s">
        <v>28565</v>
      </c>
      <c r="B22698" s="4" t="s">
        <v>28567</v>
      </c>
      <c r="C22698" s="5" t="str">
        <f>IFERROR(__xludf.DUMMYFUNCTION("GOOGLETRANSLATE(B22698,""en"",""fr"")"),"Une femme fume et expire la fumée noire.")</f>
        <v>Une femme fume et expire la fumée noire.</v>
      </c>
    </row>
    <row r="22699">
      <c r="A22699" s="4" t="s">
        <v>28565</v>
      </c>
      <c r="B22699" s="4" t="s">
        <v>28568</v>
      </c>
      <c r="C22699" s="5" t="str">
        <f>IFERROR(__xludf.DUMMYFUNCTION("GOOGLETRANSLATE(B22699,""en"",""fr"")"),"Un homme s'approche d'une table et y place de la nourriture.")</f>
        <v>Un homme s'approche d'une table et y place de la nourriture.</v>
      </c>
    </row>
    <row r="22700">
      <c r="A22700" s="4" t="s">
        <v>28565</v>
      </c>
      <c r="B22700" s="4" t="s">
        <v>28569</v>
      </c>
      <c r="C22700" s="5" t="str">
        <f>IFERROR(__xludf.DUMMYFUNCTION("GOOGLETRANSLATE(B22700,""en"",""fr"")"),"Deux enfants mangent sous la table.")</f>
        <v>Deux enfants mangent sous la table.</v>
      </c>
    </row>
    <row r="22701">
      <c r="A22701" s="4" t="s">
        <v>28565</v>
      </c>
      <c r="B22701" s="4" t="s">
        <v>28570</v>
      </c>
      <c r="C22701" s="5" t="str">
        <f>IFERROR(__xludf.DUMMYFUNCTION("GOOGLETRANSLATE(B22701,""en"",""fr"")"),"Deux individus dansant ensemble s'embrassent.")</f>
        <v>Deux individus dansant ensemble s'embrassent.</v>
      </c>
    </row>
    <row r="22702">
      <c r="A22702" s="4" t="s">
        <v>28565</v>
      </c>
      <c r="B22702" s="4" t="s">
        <v>28571</v>
      </c>
      <c r="C22702" s="5" t="str">
        <f>IFERROR(__xludf.DUMMYFUNCTION("GOOGLETRANSLATE(B22702,""en"",""fr"")"),"La femme fume et la fumée noire disparaît.")</f>
        <v>La femme fume et la fumée noire disparaît.</v>
      </c>
    </row>
    <row r="22703">
      <c r="A22703" s="4" t="s">
        <v>28572</v>
      </c>
      <c r="B22703" s="4" t="s">
        <v>28573</v>
      </c>
      <c r="C22703" s="5" t="str">
        <f>IFERROR(__xludf.DUMMYFUNCTION("GOOGLETRANSLATE(B22703,""en"",""fr"")"),"Un gros plan d'une boisson au café est montré suivi par un homme qui boit de la tasse.")</f>
        <v>Un gros plan d'une boisson au café est montré suivi par un homme qui boit de la tasse.</v>
      </c>
    </row>
    <row r="22704">
      <c r="A22704" s="4" t="s">
        <v>28572</v>
      </c>
      <c r="B22704" s="4" t="s">
        <v>28574</v>
      </c>
      <c r="C22704" s="5" t="str">
        <f>IFERROR(__xludf.DUMMYFUNCTION("GOOGLETRANSLATE(B22704,""en"",""fr"")"),"La caméra se déroule à plus de personnes avec des boissons entre les mains.")</f>
        <v>La caméra se déroule à plus de personnes avec des boissons entre les mains.</v>
      </c>
    </row>
    <row r="22705">
      <c r="A22705" s="4" t="s">
        <v>28572</v>
      </c>
      <c r="B22705" s="4" t="s">
        <v>28575</v>
      </c>
      <c r="C22705" s="5" t="str">
        <f>IFERROR(__xludf.DUMMYFUNCTION("GOOGLETRANSLATE(B22705,""en"",""fr"")"),"Une maîtrise regarde ses genoux avec la boisson toujours devant lui.")</f>
        <v>Une maîtrise regarde ses genoux avec la boisson toujours devant lui.</v>
      </c>
    </row>
    <row r="22706">
      <c r="A22706" s="4" t="s">
        <v>28576</v>
      </c>
      <c r="B22706" s="6" t="s">
        <v>28577</v>
      </c>
      <c r="C22706" s="5" t="str">
        <f>IFERROR(__xludf.DUMMYFUNCTION("GOOGLETRANSLATE(B22706,""en"",""fr"")"),"Un grand champ vert est montré alors que deux équipes commencent à se précipiter vers une balle qui le frappe avec un bâton qui a un filet à la fin.")</f>
        <v>Un grand champ vert est montré alors que deux équipes commencent à se précipiter vers une balle qui le frappe avec un bâton qui a un filet à la fin.</v>
      </c>
    </row>
    <row r="22707">
      <c r="A22707" s="4" t="s">
        <v>28576</v>
      </c>
      <c r="B22707" s="6" t="s">
        <v>28578</v>
      </c>
      <c r="C22707" s="5" t="str">
        <f>IFERROR(__xludf.DUMMYFUNCTION("GOOGLETRANSLATE(B22707,""en"",""fr"")"),"Au fur et à mesure que le jeu progresse, un joueur se heurte à deux autres personnes et jette par-dessus leurs épaules qui se blessent finalement.")</f>
        <v>Au fur et à mesure que le jeu progresse, un joueur se heurte à deux autres personnes et jette par-dessus leurs épaules qui se blessent finalement.</v>
      </c>
    </row>
    <row r="22708">
      <c r="A22708" s="4" t="s">
        <v>28576</v>
      </c>
      <c r="B22708" s="4" t="s">
        <v>28579</v>
      </c>
      <c r="C22708" s="5" t="str">
        <f>IFERROR(__xludf.DUMMYFUNCTION("GOOGLETRANSLATE(B22708,""en"",""fr"")"),"Il pose sur le sol et plusieurs rediffusions de l'incident sont présentées.")</f>
        <v>Il pose sur le sol et plusieurs rediffusions de l'incident sont présentées.</v>
      </c>
    </row>
    <row r="22709">
      <c r="A22709" s="4" t="s">
        <v>28576</v>
      </c>
      <c r="B22709" s="6" t="s">
        <v>28580</v>
      </c>
      <c r="C22709" s="5" t="str">
        <f>IFERROR(__xludf.DUMMYFUNCTION("GOOGLETRANSLATE(B22709,""en"",""fr"")"),"Ensuite, plusieurs images fixes d'autres équipes marchant et se préparant à commencer sont montrées en jouant à des jeux à divers endroits.")</f>
        <v>Ensuite, plusieurs images fixes d'autres équipes marchant et se préparant à commencer sont montrées en jouant à des jeux à divers endroits.</v>
      </c>
    </row>
    <row r="22710">
      <c r="A22710" s="4" t="s">
        <v>28581</v>
      </c>
      <c r="B22710" s="4" t="s">
        <v>28582</v>
      </c>
      <c r="C22710" s="5" t="str">
        <f>IFERROR(__xludf.DUMMYFUNCTION("GOOGLETRANSLATE(B22710,""en"",""fr"")"),"La caméra zoome sur une baby vache avec différentes pages de titre indiquées sur l'écran.")</f>
        <v>La caméra zoome sur une baby vache avec différentes pages de titre indiquées sur l'écran.</v>
      </c>
    </row>
    <row r="22711">
      <c r="A22711" s="4" t="s">
        <v>28581</v>
      </c>
      <c r="B22711" s="4" t="s">
        <v>28583</v>
      </c>
      <c r="C22711" s="5" t="str">
        <f>IFERROR(__xludf.DUMMYFUNCTION("GOOGLETRANSLATE(B22711,""en"",""fr"")"),"Un groupe d'hommes coule autour d'un mollet tandis que d'autres le maintiennent.")</f>
        <v>Un groupe d'hommes coule autour d'un mollet tandis que d'autres le maintiennent.</v>
      </c>
    </row>
    <row r="22712">
      <c r="A22712" s="4" t="s">
        <v>28581</v>
      </c>
      <c r="B22712" s="4" t="s">
        <v>28584</v>
      </c>
      <c r="C22712" s="5" t="str">
        <f>IFERROR(__xludf.DUMMYFUNCTION("GOOGLETRANSLATE(B22712,""en"",""fr"")"),"Un homme ivre tente d'interagir avec un taureau et est retourné dans l'air.")</f>
        <v>Un homme ivre tente d'interagir avec un taureau et est retourné dans l'air.</v>
      </c>
    </row>
    <row r="22713">
      <c r="A22713" s="4" t="s">
        <v>28581</v>
      </c>
      <c r="B22713" s="4" t="s">
        <v>28585</v>
      </c>
      <c r="C22713" s="5" t="str">
        <f>IFERROR(__xludf.DUMMYFUNCTION("GOOGLETRANSLATE(B22713,""en"",""fr"")"),"Plusieurs hommes le traînent tandis qu'un touriste tente de tirer le taureau.")</f>
        <v>Plusieurs hommes le traînent tandis qu'un touriste tente de tirer le taureau.</v>
      </c>
    </row>
    <row r="22714">
      <c r="A22714" s="4" t="s">
        <v>28581</v>
      </c>
      <c r="B22714" s="6" t="s">
        <v>28586</v>
      </c>
      <c r="C22714" s="5" t="str">
        <f>IFERROR(__xludf.DUMMYFUNCTION("GOOGLETRANSLATE(B22714,""en"",""fr"")"),"Le taureau l'attrape presque mais le garçon le fait sur la clôture et jette la couverture rouge sur le taureau.")</f>
        <v>Le taureau l'attrape presque mais le garçon le fait sur la clôture et jette la couverture rouge sur le taureau.</v>
      </c>
    </row>
    <row r="22715">
      <c r="A22715" s="4" t="s">
        <v>28587</v>
      </c>
      <c r="B22715" s="6" t="s">
        <v>28588</v>
      </c>
      <c r="C22715" s="5" t="str">
        <f>IFERROR(__xludf.DUMMYFUNCTION("GOOGLETRANSLATE(B22715,""en"",""fr"")"),"Une femme en pantalon de piste et ses filles lavent un petit chien avec du savon et de l'eau dans un seau sur un patio.")</f>
        <v>Une femme en pantalon de piste et ses filles lavent un petit chien avec du savon et de l'eau dans un seau sur un patio.</v>
      </c>
    </row>
    <row r="22716">
      <c r="A22716" s="4" t="s">
        <v>28587</v>
      </c>
      <c r="B22716" s="4" t="s">
        <v>28589</v>
      </c>
      <c r="C22716" s="5" t="str">
        <f>IFERROR(__xludf.DUMMYFUNCTION("GOOGLETRANSLATE(B22716,""en"",""fr"")"),"Une femme utilise une tasse pour verser de l'eau sur le chien pour enlever le savon.")</f>
        <v>Une femme utilise une tasse pour verser de l'eau sur le chien pour enlever le savon.</v>
      </c>
    </row>
    <row r="22717">
      <c r="A22717" s="4" t="s">
        <v>28590</v>
      </c>
      <c r="B22717" s="6" t="s">
        <v>28591</v>
      </c>
      <c r="C22717" s="5" t="str">
        <f>IFERROR(__xludf.DUMMYFUNCTION("GOOGLETRANSLATE(B22717,""en"",""fr"")"),"Un champ est montré avec une dizaine d'hommes debout au milieu et un homme décolle en courant et lance une balle sur un homme tenant une pagaie.")</f>
        <v>Un champ est montré avec une dizaine d'hommes debout au milieu et un homme décolle en courant et lance une balle sur un homme tenant une pagaie.</v>
      </c>
    </row>
    <row r="22718">
      <c r="A22718" s="4" t="s">
        <v>28590</v>
      </c>
      <c r="B22718" s="4" t="s">
        <v>28592</v>
      </c>
      <c r="C22718" s="5" t="str">
        <f>IFERROR(__xludf.DUMMYFUNCTION("GOOGLETRANSLATE(B22718,""en"",""fr"")"),"Plus de jeux sont affichés et les mêmes actions exactes sont répétées dans diverses équipes.")</f>
        <v>Plus de jeux sont affichés et les mêmes actions exactes sont répétées dans diverses équipes.</v>
      </c>
    </row>
    <row r="22719">
      <c r="A22719" s="4" t="s">
        <v>28590</v>
      </c>
      <c r="B22719" s="6" t="s">
        <v>28593</v>
      </c>
      <c r="C22719" s="5" t="str">
        <f>IFERROR(__xludf.DUMMYFUNCTION("GOOGLETRANSLATE(B22719,""en"",""fr"")"),"Un homme aux cheveux noirs courts est ensuite montré et ses coéquipiers commencent à le féliciter et plus d'équipes sont montrées en jouant au jeu.")</f>
        <v>Un homme aux cheveux noirs courts est ensuite montré et ses coéquipiers commencent à le féliciter et plus d'équipes sont montrées en jouant au jeu.</v>
      </c>
    </row>
    <row r="22720">
      <c r="A22720" s="4" t="s">
        <v>28594</v>
      </c>
      <c r="B22720" s="4" t="s">
        <v>28595</v>
      </c>
      <c r="C22720" s="5" t="str">
        <f>IFERROR(__xludf.DUMMYFUNCTION("GOOGLETRANSLATE(B22720,""en"",""fr"")"),"L'homme tient un marteau fixant le toit d'un garage.")</f>
        <v>L'homme tient un marteau fixant le toit d'un garage.</v>
      </c>
    </row>
    <row r="22721">
      <c r="A22721" s="4" t="s">
        <v>28594</v>
      </c>
      <c r="B22721" s="4" t="s">
        <v>28596</v>
      </c>
      <c r="C22721" s="5" t="str">
        <f>IFERROR(__xludf.DUMMYFUNCTION("GOOGLETRANSLATE(B22721,""en"",""fr"")"),"L'homme est debout sur le toit en ajoutant un mélange noir.")</f>
        <v>L'homme est debout sur le toit en ajoutant un mélange noir.</v>
      </c>
    </row>
    <row r="22722">
      <c r="A22722" s="4" t="s">
        <v>28597</v>
      </c>
      <c r="B22722" s="4" t="s">
        <v>28598</v>
      </c>
      <c r="C22722" s="5" t="str">
        <f>IFERROR(__xludf.DUMMYFUNCTION("GOOGLETRANSLATE(B22722,""en"",""fr"")"),"L'homme est assis sur une table en mangeant un sandwich en un tournant en parlant à un autre homme.")</f>
        <v>L'homme est assis sur une table en mangeant un sandwich en un tournant en parlant à un autre homme.</v>
      </c>
    </row>
    <row r="22723">
      <c r="A22723" s="4" t="s">
        <v>28597</v>
      </c>
      <c r="B22723" s="4" t="s">
        <v>28599</v>
      </c>
      <c r="C22723" s="5" t="str">
        <f>IFERROR(__xludf.DUMMYFUNCTION("GOOGLETRANSLATE(B22723,""en"",""fr"")"),"L'homme regarde l'homme en mange et lui parle.")</f>
        <v>L'homme regarde l'homme en mange et lui parle.</v>
      </c>
    </row>
    <row r="22724">
      <c r="A22724" s="4" t="s">
        <v>28597</v>
      </c>
      <c r="B22724" s="4" t="s">
        <v>28600</v>
      </c>
      <c r="C22724" s="5" t="str">
        <f>IFERROR(__xludf.DUMMYFUNCTION("GOOGLETRANSLATE(B22724,""en"",""fr"")"),"Les deux hommes se tiennent et jouent des ciseaux en papier de roche et l'homme frappe l'homme sable ceci tombe au sol.")</f>
        <v>Les deux hommes se tiennent et jouent des ciseaux en papier de roche et l'homme frappe l'homme sable ceci tombe au sol.</v>
      </c>
    </row>
    <row r="22725">
      <c r="A22725" s="4" t="s">
        <v>28597</v>
      </c>
      <c r="B22725" s="4" t="s">
        <v>28601</v>
      </c>
      <c r="C22725" s="5" t="str">
        <f>IFERROR(__xludf.DUMMYFUNCTION("GOOGLETRANSLATE(B22725,""en"",""fr"")"),"L'homme est assis sur la chaise et parle à l'homme sur le plancher et lui lance le sandwich.")</f>
        <v>L'homme est assis sur la chaise et parle à l'homme sur le plancher et lui lance le sandwich.</v>
      </c>
    </row>
    <row r="22726">
      <c r="A22726" s="4" t="s">
        <v>28597</v>
      </c>
      <c r="B22726" s="6" t="s">
        <v>28602</v>
      </c>
      <c r="C22726" s="5" t="str">
        <f>IFERROR(__xludf.DUMMYFUNCTION("GOOGLETRANSLATE(B22726,""en"",""fr"")"),"L'homme se dirige vers un bureau et s'assoit devant de l'eau potable par ordinateur et l'autre homme est allongé sur le sol en essayant de parler.")</f>
        <v>L'homme se dirige vers un bureau et s'assoit devant de l'eau potable par ordinateur et l'autre homme est allongé sur le sol en essayant de parler.</v>
      </c>
    </row>
    <row r="22727">
      <c r="A22727" s="4" t="s">
        <v>28597</v>
      </c>
      <c r="B22727" s="4" t="s">
        <v>28603</v>
      </c>
      <c r="C22727" s="5" t="str">
        <f>IFERROR(__xludf.DUMMYFUNCTION("GOOGLETRANSLATE(B22727,""en"",""fr"")"),"Anoher Man se situant à l'avant parle à l'homme dans le bureau.")</f>
        <v>Anoher Man se situant à l'avant parle à l'homme dans le bureau.</v>
      </c>
    </row>
    <row r="22728">
      <c r="A22728" s="4" t="s">
        <v>28597</v>
      </c>
      <c r="B22728" s="4" t="s">
        <v>28604</v>
      </c>
      <c r="C22728" s="5" t="str">
        <f>IFERROR(__xludf.DUMMYFUNCTION("GOOGLETRANSLATE(B22728,""en"",""fr"")"),"L'homme se lève et parle à l'homme sur le sol et le frappe à nouveau et l'homme crache du sang.")</f>
        <v>L'homme se lève et parle à l'homme sur le sol et le frappe à nouveau et l'homme crache du sang.</v>
      </c>
    </row>
    <row r="22729">
      <c r="A22729" s="4" t="s">
        <v>28605</v>
      </c>
      <c r="B22729" s="4" t="s">
        <v>28606</v>
      </c>
      <c r="C22729" s="5" t="str">
        <f>IFERROR(__xludf.DUMMYFUNCTION("GOOGLETRANSLATE(B22729,""en"",""fr"")"),"Un homme à son travail de lavage a une façon très unique de faire sa vaisselle à une vitesse très rapide.")</f>
        <v>Un homme à son travail de lavage a une façon très unique de faire sa vaisselle à une vitesse très rapide.</v>
      </c>
    </row>
    <row r="22730">
      <c r="A22730" s="4" t="s">
        <v>28605</v>
      </c>
      <c r="B22730" s="4" t="s">
        <v>28607</v>
      </c>
      <c r="C22730" s="5" t="str">
        <f>IFERROR(__xludf.DUMMYFUNCTION("GOOGLETRANSLATE(B22730,""en"",""fr"")"),"Il lance toutes les assiettes une par une très rapidement.")</f>
        <v>Il lance toutes les assiettes une par une très rapidement.</v>
      </c>
    </row>
    <row r="22731">
      <c r="A22731" s="4" t="s">
        <v>28605</v>
      </c>
      <c r="B22731" s="6" t="s">
        <v>28608</v>
      </c>
      <c r="C22731" s="5" t="str">
        <f>IFERROR(__xludf.DUMMYFUNCTION("GOOGLETRANSLATE(B22731,""en"",""fr"")"),"Ils atterrissent tous dans l'évier les uns sur les autres après les effacer, certains tombent un peu.")</f>
        <v>Ils atterrissent tous dans l'évier les uns sur les autres après les effacer, certains tombent un peu.</v>
      </c>
    </row>
    <row r="22732">
      <c r="A22732" s="4" t="s">
        <v>28605</v>
      </c>
      <c r="B22732" s="4" t="s">
        <v>28609</v>
      </c>
      <c r="C22732" s="5" t="str">
        <f>IFERROR(__xludf.DUMMYFUNCTION("GOOGLETRANSLATE(B22732,""en"",""fr"")"),"Il les pousse tous dans l'eau.")</f>
        <v>Il les pousse tous dans l'eau.</v>
      </c>
    </row>
    <row r="22733">
      <c r="A22733" s="4" t="s">
        <v>28610</v>
      </c>
      <c r="B22733" s="4" t="s">
        <v>4448</v>
      </c>
      <c r="C22733" s="5" t="str">
        <f>IFERROR(__xludf.DUMMYFUNCTION("GOOGLETRANSLATE(B22733,""en"",""fr"")"),"Nous voyons l'écran du titre d'ouverture.")</f>
        <v>Nous voyons l'écran du titre d'ouverture.</v>
      </c>
    </row>
    <row r="22734">
      <c r="A22734" s="4" t="s">
        <v>28610</v>
      </c>
      <c r="B22734" s="4" t="s">
        <v>28611</v>
      </c>
      <c r="C22734" s="5" t="str">
        <f>IFERROR(__xludf.DUMMYFUNCTION("GOOGLETRANSLATE(B22734,""en"",""fr"")"),"Les gens mettent leurs fournitures et roulent dans des radeaux sur une rivière.")</f>
        <v>Les gens mettent leurs fournitures et roulent dans des radeaux sur une rivière.</v>
      </c>
    </row>
    <row r="22735">
      <c r="A22735" s="4" t="s">
        <v>28610</v>
      </c>
      <c r="B22735" s="4" t="s">
        <v>28612</v>
      </c>
      <c r="C22735" s="5" t="str">
        <f>IFERROR(__xludf.DUMMYFUNCTION("GOOGLETRANSLATE(B22735,""en"",""fr"")"),"Nous voyons le nom de l'emplacement et les plans de la station des restaurants, des salles de bains et plus encore.")</f>
        <v>Nous voyons le nom de l'emplacement et les plans de la station des restaurants, des salles de bains et plus encore.</v>
      </c>
    </row>
    <row r="22736">
      <c r="A22736" s="4" t="s">
        <v>28610</v>
      </c>
      <c r="B22736" s="6" t="s">
        <v>28613</v>
      </c>
      <c r="C22736" s="5" t="str">
        <f>IFERROR(__xludf.DUMMYFUNCTION("GOOGLETRANSLATE(B22736,""en"",""fr"")"),"Nous voyons des gens danser et jouer à des jeux à l'extérieur et dans une pièce en groupe avec des ballons et de la danse.")</f>
        <v>Nous voyons des gens danser et jouer à des jeux à l'extérieur et dans une pièce en groupe avec des ballons et de la danse.</v>
      </c>
    </row>
    <row r="22737">
      <c r="A22737" s="4" t="s">
        <v>28610</v>
      </c>
      <c r="B22737" s="4" t="s">
        <v>28614</v>
      </c>
      <c r="C22737" s="5" t="str">
        <f>IFERROR(__xludf.DUMMYFUNCTION("GOOGLETRANSLATE(B22737,""en"",""fr"")"),"Nous voyons des gens zipper la doublure dans la jungle.")</f>
        <v>Nous voyons des gens zipper la doublure dans la jungle.</v>
      </c>
    </row>
    <row r="22738">
      <c r="A22738" s="4" t="s">
        <v>28615</v>
      </c>
      <c r="B22738" s="4" t="s">
        <v>28616</v>
      </c>
      <c r="C22738" s="5" t="str">
        <f>IFERROR(__xludf.DUMMYFUNCTION("GOOGLETRANSLATE(B22738,""en"",""fr"")"),"Un homme dans une veste en argent répare un pneu sur le pneu de son vélo.")</f>
        <v>Un homme dans une veste en argent répare un pneu sur le pneu de son vélo.</v>
      </c>
    </row>
    <row r="22739">
      <c r="A22739" s="4" t="s">
        <v>28615</v>
      </c>
      <c r="B22739" s="4" t="s">
        <v>28617</v>
      </c>
      <c r="C22739" s="5" t="str">
        <f>IFERROR(__xludf.DUMMYFUNCTION("GOOGLETRANSLATE(B22739,""en"",""fr"")"),"Il tourne la roue du pneu.")</f>
        <v>Il tourne la roue du pneu.</v>
      </c>
    </row>
    <row r="22740">
      <c r="A22740" s="4" t="s">
        <v>28615</v>
      </c>
      <c r="B22740" s="4" t="s">
        <v>28618</v>
      </c>
      <c r="C22740" s="5" t="str">
        <f>IFERROR(__xludf.DUMMYFUNCTION("GOOGLETRANSLATE(B22740,""en"",""fr"")"),"Il enlève le pneu du vélo et le dépose contre le bâtiment.")</f>
        <v>Il enlève le pneu du vélo et le dépose contre le bâtiment.</v>
      </c>
    </row>
    <row r="22741">
      <c r="A22741" s="4" t="s">
        <v>28615</v>
      </c>
      <c r="B22741" s="4" t="s">
        <v>28619</v>
      </c>
      <c r="C22741" s="5" t="str">
        <f>IFERROR(__xludf.DUMMYFUNCTION("GOOGLETRANSLATE(B22741,""en"",""fr"")"),"Il utilise un outil pour réparer le pneu parlé.")</f>
        <v>Il utilise un outil pour réparer le pneu parlé.</v>
      </c>
    </row>
    <row r="22742">
      <c r="A22742" s="4" t="s">
        <v>28615</v>
      </c>
      <c r="B22742" s="4" t="s">
        <v>28620</v>
      </c>
      <c r="C22742" s="5" t="str">
        <f>IFERROR(__xludf.DUMMYFUNCTION("GOOGLETRANSLATE(B22742,""en"",""fr"")"),"Il remet le pneu sur le vélo et le tourne.")</f>
        <v>Il remet le pneu sur le vélo et le tourne.</v>
      </c>
    </row>
    <row r="22743">
      <c r="A22743" s="4" t="s">
        <v>28621</v>
      </c>
      <c r="B22743" s="4" t="s">
        <v>28622</v>
      </c>
      <c r="C22743" s="5" t="str">
        <f>IFERROR(__xludf.DUMMYFUNCTION("GOOGLETRANSLATE(B22743,""en"",""fr"")"),"Une personne est vue courir sur un terrain et tirer un ballon de basket.")</f>
        <v>Une personne est vue courir sur un terrain et tirer un ballon de basket.</v>
      </c>
    </row>
    <row r="22744">
      <c r="A22744" s="4" t="s">
        <v>28621</v>
      </c>
      <c r="B22744" s="4" t="s">
        <v>28623</v>
      </c>
      <c r="C22744" s="5" t="str">
        <f>IFERROR(__xludf.DUMMYFUNCTION("GOOGLETRANSLATE(B22744,""en"",""fr"")"),"L'homme est montré dans plusieurs clips qui coulent et marquant un panier.")</f>
        <v>L'homme est montré dans plusieurs clips qui coulent et marquant un panier.</v>
      </c>
    </row>
    <row r="22745">
      <c r="A22745" s="4" t="s">
        <v>28621</v>
      </c>
      <c r="B22745" s="4" t="s">
        <v>28624</v>
      </c>
      <c r="C22745" s="5" t="str">
        <f>IFERROR(__xludf.DUMMYFUNCTION("GOOGLETRANSLATE(B22745,""en"",""fr"")"),"L'homme continue de tirer des cerceaux encore et encore.")</f>
        <v>L'homme continue de tirer des cerceaux encore et encore.</v>
      </c>
    </row>
    <row r="22746">
      <c r="A22746" s="4" t="s">
        <v>28625</v>
      </c>
      <c r="B22746" s="4" t="s">
        <v>28626</v>
      </c>
      <c r="C22746" s="5" t="str">
        <f>IFERROR(__xludf.DUMMYFUNCTION("GOOGLETRANSLATE(B22746,""en"",""fr"")"),"Un garçon s'assoit sur un comptoir de cuisine et ajuste la caméra.")</f>
        <v>Un garçon s'assoit sur un comptoir de cuisine et ajuste la caméra.</v>
      </c>
    </row>
    <row r="22747">
      <c r="A22747" s="4" t="s">
        <v>28625</v>
      </c>
      <c r="B22747" s="4" t="s">
        <v>28627</v>
      </c>
      <c r="C22747" s="5" t="str">
        <f>IFERROR(__xludf.DUMMYFUNCTION("GOOGLETRANSLATE(B22747,""en"",""fr"")"),"Son ami retire la caméra pour qu'ils soient plus visibles.")</f>
        <v>Son ami retire la caméra pour qu'ils soient plus visibles.</v>
      </c>
    </row>
    <row r="22748">
      <c r="A22748" s="4" t="s">
        <v>28625</v>
      </c>
      <c r="B22748" s="4" t="s">
        <v>28628</v>
      </c>
      <c r="C22748" s="5" t="str">
        <f>IFERROR(__xludf.DUMMYFUNCTION("GOOGLETRANSLATE(B22748,""en"",""fr"")"),"Les deux garçons s'arrêtent ensuite et le garçon gauche gagne les deux fois.")</f>
        <v>Les deux garçons s'arrêtent ensuite et le garçon gauche gagne les deux fois.</v>
      </c>
    </row>
    <row r="22749">
      <c r="A22749" s="4" t="s">
        <v>28625</v>
      </c>
      <c r="B22749" s="4" t="s">
        <v>28629</v>
      </c>
      <c r="C22749" s="5" t="str">
        <f>IFERROR(__xludf.DUMMYFUNCTION("GOOGLETRANSLATE(B22749,""en"",""fr"")"),"Le garçon droit s'éloigne et le garçon de gauche atteint la caméra.")</f>
        <v>Le garçon droit s'éloigne et le garçon de gauche atteint la caméra.</v>
      </c>
    </row>
    <row r="22750">
      <c r="A22750" s="4" t="s">
        <v>28630</v>
      </c>
      <c r="B22750" s="4" t="s">
        <v>28631</v>
      </c>
      <c r="C22750" s="5" t="str">
        <f>IFERROR(__xludf.DUMMYFUNCTION("GOOGLETRANSLATE(B22750,""en"",""fr"")"),"Deux femmes sont vues courir dans une pièce et mène à une parole à la caméra.")</f>
        <v>Deux femmes sont vues courir dans une pièce et mène à une parole à la caméra.</v>
      </c>
    </row>
    <row r="22751">
      <c r="A22751" s="4" t="s">
        <v>28630</v>
      </c>
      <c r="B22751" s="4" t="s">
        <v>28632</v>
      </c>
      <c r="C22751" s="5" t="str">
        <f>IFERROR(__xludf.DUMMYFUNCTION("GOOGLETRANSLATE(B22751,""en"",""fr"")"),"Les gens ont frappé une balle de tennis dans la pièce tout en dansant et en encourageant les uns avec les autres.")</f>
        <v>Les gens ont frappé une balle de tennis dans la pièce tout en dansant et en encourageant les uns avec les autres.</v>
      </c>
    </row>
    <row r="22752">
      <c r="A22752" s="4" t="s">
        <v>28630</v>
      </c>
      <c r="B22752" s="4" t="s">
        <v>28633</v>
      </c>
      <c r="C22752" s="5" t="str">
        <f>IFERROR(__xludf.DUMMYFUNCTION("GOOGLETRANSLATE(B22752,""en"",""fr"")"),"Les gens continuent de frapper le ballon tout en jouant les uns avec les autres.")</f>
        <v>Les gens continuent de frapper le ballon tout en jouant les uns avec les autres.</v>
      </c>
    </row>
    <row r="22753">
      <c r="A22753" s="4" t="s">
        <v>28634</v>
      </c>
      <c r="B22753" s="4" t="s">
        <v>28635</v>
      </c>
      <c r="C22753" s="5" t="str">
        <f>IFERROR(__xludf.DUMMYFUNCTION("GOOGLETRANSLATE(B22753,""en"",""fr"")"),"Un homme en soudage soudure un morceau de métal à un autre morceau de métal sur la caméra.")</f>
        <v>Un homme en soudage soudure un morceau de métal à un autre morceau de métal sur la caméra.</v>
      </c>
    </row>
    <row r="22754">
      <c r="A22754" s="4" t="s">
        <v>28634</v>
      </c>
      <c r="B22754" s="6" t="s">
        <v>28636</v>
      </c>
      <c r="C22754" s="5" t="str">
        <f>IFERROR(__xludf.DUMMYFUNCTION("GOOGLETRANSLATE(B22754,""en"",""fr"")"),"Un homme portant des vêtements de protection et un chapeau de soudage en métal se tient devant un morceau de métal manquant une longue bande sur le visage de celui-ci.")</f>
        <v>Un homme portant des vêtements de protection et un chapeau de soudage en métal se tient devant un morceau de métal manquant une longue bande sur le visage de celui-ci.</v>
      </c>
    </row>
    <row r="22755">
      <c r="A22755" s="4" t="s">
        <v>28634</v>
      </c>
      <c r="B22755" s="4" t="s">
        <v>28637</v>
      </c>
      <c r="C22755" s="5" t="str">
        <f>IFERROR(__xludf.DUMMYFUNCTION("GOOGLETRANSLATE(B22755,""en"",""fr"")"),"L'homme commence à souder en créant de grandes étincelles de lumière blanche.")</f>
        <v>L'homme commence à souder en créant de grandes étincelles de lumière blanche.</v>
      </c>
    </row>
    <row r="22756">
      <c r="A22756" s="4" t="s">
        <v>28634</v>
      </c>
      <c r="B22756" s="6" t="s">
        <v>28638</v>
      </c>
      <c r="C22756" s="5" t="str">
        <f>IFERROR(__xludf.DUMMYFUNCTION("GOOGLETRANSLATE(B22756,""en"",""fr"")"),"Lorsque l'arrêt de soudage, le produit fini révèle qu'une bande a été soudée sur le point ancien et le soudeur le teste avec un instrument dur.")</f>
        <v>Lorsque l'arrêt de soudage, le produit fini révèle qu'une bande a été soudée sur le point ancien et le soudeur le teste avec un instrument dur.</v>
      </c>
    </row>
    <row r="22757">
      <c r="A22757" s="4" t="s">
        <v>28639</v>
      </c>
      <c r="B22757" s="4" t="s">
        <v>28640</v>
      </c>
      <c r="C22757" s="5" t="str">
        <f>IFERROR(__xludf.DUMMYFUNCTION("GOOGLETRANSLATE(B22757,""en"",""fr"")"),"Une femme fait du vélo à l'extérieur.")</f>
        <v>Une femme fait du vélo à l'extérieur.</v>
      </c>
    </row>
    <row r="22758">
      <c r="A22758" s="4" t="s">
        <v>28639</v>
      </c>
      <c r="B22758" s="4" t="s">
        <v>28641</v>
      </c>
      <c r="C22758" s="5" t="str">
        <f>IFERROR(__xludf.DUMMYFUNCTION("GOOGLETRANSLATE(B22758,""en"",""fr"")"),"On lui montre ensuite jouer un violon.")</f>
        <v>On lui montre ensuite jouer un violon.</v>
      </c>
    </row>
    <row r="22759">
      <c r="A22759" s="4" t="s">
        <v>28639</v>
      </c>
      <c r="B22759" s="4" t="s">
        <v>28642</v>
      </c>
      <c r="C22759" s="5" t="str">
        <f>IFERROR(__xludf.DUMMYFUNCTION("GOOGLETRANSLATE(B22759,""en"",""fr"")"),"Elle a ensuite des lames à rouleaux à l'extérieur.")</f>
        <v>Elle a ensuite des lames à rouleaux à l'extérieur.</v>
      </c>
    </row>
    <row r="22760">
      <c r="A22760" s="4" t="s">
        <v>28639</v>
      </c>
      <c r="B22760" s="4" t="s">
        <v>28643</v>
      </c>
      <c r="C22760" s="5" t="str">
        <f>IFERROR(__xludf.DUMMYFUNCTION("GOOGLETRANSLATE(B22760,""en"",""fr"")"),"Et puis elle pousse sur un toit.")</f>
        <v>Et puis elle pousse sur un toit.</v>
      </c>
    </row>
    <row r="22761">
      <c r="A22761" s="4" t="s">
        <v>28644</v>
      </c>
      <c r="B22761" s="4" t="s">
        <v>28645</v>
      </c>
      <c r="C22761" s="5" t="str">
        <f>IFERROR(__xludf.DUMMYFUNCTION("GOOGLETRANSLATE(B22761,""en"",""fr"")"),"Une personne saute et atterrit sur le sable.")</f>
        <v>Une personne saute et atterrit sur le sable.</v>
      </c>
    </row>
    <row r="22762">
      <c r="A22762" s="4" t="s">
        <v>28644</v>
      </c>
      <c r="B22762" s="6" t="s">
        <v>28646</v>
      </c>
      <c r="C22762" s="5" t="str">
        <f>IFERROR(__xludf.DUMMYFUNCTION("GOOGLETRANSLATE(B22762,""en"",""fr"")"),"Un homme court rapidement et saute haut pour atterrir sur le sable, puis se tenir debout et va sauter vers son assiette, tandis que les gens marchent dans le stade.")</f>
        <v>Un homme court rapidement et saute haut pour atterrir sur le sable, puis se tenir debout et va sauter vers son assiette, tandis que les gens marchent dans le stade.</v>
      </c>
    </row>
    <row r="22763">
      <c r="A22763" s="4" t="s">
        <v>28644</v>
      </c>
      <c r="B22763" s="4" t="s">
        <v>28647</v>
      </c>
      <c r="C22763" s="5" t="str">
        <f>IFERROR(__xludf.DUMMYFUNCTION("GOOGLETRANSLATE(B22763,""en"",""fr"")"),"Un homme parle assis dans une pièce élégante.")</f>
        <v>Un homme parle assis dans une pièce élégante.</v>
      </c>
    </row>
    <row r="22764">
      <c r="A22764" s="4" t="s">
        <v>28644</v>
      </c>
      <c r="B22764" s="4" t="s">
        <v>28648</v>
      </c>
      <c r="C22764" s="5" t="str">
        <f>IFERROR(__xludf.DUMMYFUNCTION("GOOGLETRANSLATE(B22764,""en"",""fr"")"),"Un homme passe à l'avant la foule, puis saute et se penche sur le sol pour célébrer.")</f>
        <v>Un homme passe à l'avant la foule, puis saute et se penche sur le sol pour célébrer.</v>
      </c>
    </row>
    <row r="22765">
      <c r="A22765" s="4" t="s">
        <v>28644</v>
      </c>
      <c r="B22765" s="4" t="s">
        <v>28649</v>
      </c>
      <c r="C22765" s="5" t="str">
        <f>IFERROR(__xludf.DUMMYFUNCTION("GOOGLETRANSLATE(B22765,""en"",""fr"")"),"Trois athlètes se tiennent sur le podium, puis un homme court et saute pour atterrir sur le sable.")</f>
        <v>Trois athlètes se tiennent sur le podium, puis un homme court et saute pour atterrir sur le sable.</v>
      </c>
    </row>
    <row r="22766">
      <c r="A22766" s="4" t="s">
        <v>28650</v>
      </c>
      <c r="B22766" s="4" t="s">
        <v>28651</v>
      </c>
      <c r="C22766" s="5" t="str">
        <f>IFERROR(__xludf.DUMMYFUNCTION("GOOGLETRANSLATE(B22766,""en"",""fr"")"),"Les gens sont assis sur le sable sur une plage.")</f>
        <v>Les gens sont assis sur le sable sur une plage.</v>
      </c>
    </row>
    <row r="22767">
      <c r="A22767" s="4" t="s">
        <v>28650</v>
      </c>
      <c r="B22767" s="4" t="s">
        <v>28652</v>
      </c>
      <c r="C22767" s="5" t="str">
        <f>IFERROR(__xludf.DUMMYFUNCTION("GOOGLETRANSLATE(B22767,""en"",""fr"")"),"Les gens surfent sur de grandes vagues dans l'eau.")</f>
        <v>Les gens surfent sur de grandes vagues dans l'eau.</v>
      </c>
    </row>
    <row r="22768">
      <c r="A22768" s="4" t="s">
        <v>28650</v>
      </c>
      <c r="B22768" s="4" t="s">
        <v>28653</v>
      </c>
      <c r="C22768" s="5" t="str">
        <f>IFERROR(__xludf.DUMMYFUNCTION("GOOGLETRANSLATE(B22768,""en"",""fr"")"),"Un garçon pose une serviette sur le sable de la plage.")</f>
        <v>Un garçon pose une serviette sur le sable de la plage.</v>
      </c>
    </row>
    <row r="22769">
      <c r="A22769" s="4" t="s">
        <v>28650</v>
      </c>
      <c r="B22769" s="4" t="s">
        <v>28654</v>
      </c>
      <c r="C22769" s="5" t="str">
        <f>IFERROR(__xludf.DUMMYFUNCTION("GOOGLETRANSLATE(B22769,""en"",""fr"")"),"Les gens continuent de surfer sur les grandes vagues de l'eau.")</f>
        <v>Les gens continuent de surfer sur les grandes vagues de l'eau.</v>
      </c>
    </row>
    <row r="22770">
      <c r="A22770" s="4" t="s">
        <v>28655</v>
      </c>
      <c r="B22770" s="6" t="s">
        <v>28656</v>
      </c>
      <c r="C22770" s="5" t="str">
        <f>IFERROR(__xludf.DUMMYFUNCTION("GOOGLETRANSLATE(B22770,""en"",""fr"")"),"Un homme portant une chemise noire tient une balle d'exercice sur un autre homme portant une chemise bleu clair se produit sur un banc incliné.")</f>
        <v>Un homme portant une chemise noire tient une balle d'exercice sur un autre homme portant une chemise bleu clair se produit sur un banc incliné.</v>
      </c>
    </row>
    <row r="22771">
      <c r="A22771" s="4" t="s">
        <v>28655</v>
      </c>
      <c r="B22771" s="6" t="s">
        <v>28657</v>
      </c>
      <c r="C22771" s="5" t="str">
        <f>IFERROR(__xludf.DUMMYFUNCTION("GOOGLETRANSLATE(B22771,""en"",""fr"")"),"L'homme portant la chemise noire laisse tomber le ballon sur le sol et s'accroupie et high fives, l'homme effectuant les sit-ups.")</f>
        <v>L'homme portant la chemise noire laisse tomber le ballon sur le sol et s'accroupie et high fives, l'homme effectuant les sit-ups.</v>
      </c>
    </row>
    <row r="22772">
      <c r="A22772" s="4" t="s">
        <v>28658</v>
      </c>
      <c r="B22772" s="4" t="s">
        <v>28659</v>
      </c>
      <c r="C22772" s="5" t="str">
        <f>IFERROR(__xludf.DUMMYFUNCTION("GOOGLETRANSLATE(B22772,""en"",""fr"")"),"Un homme est assis sur un rocher par une rivière qui coule rapidement.")</f>
        <v>Un homme est assis sur un rocher par une rivière qui coule rapidement.</v>
      </c>
    </row>
    <row r="22773">
      <c r="A22773" s="4" t="s">
        <v>28658</v>
      </c>
      <c r="B22773" s="4" t="s">
        <v>28660</v>
      </c>
      <c r="C22773" s="5" t="str">
        <f>IFERROR(__xludf.DUMMYFUNCTION("GOOGLETRANSLATE(B22773,""en"",""fr"")"),"Un autre homme passe devant lui dans un radeau essayant de suivre le courant et les vagues forts.")</f>
        <v>Un autre homme passe devant lui dans un radeau essayant de suivre le courant et les vagues forts.</v>
      </c>
    </row>
    <row r="22774">
      <c r="A22774" s="4" t="s">
        <v>28658</v>
      </c>
      <c r="B22774" s="4" t="s">
        <v>28661</v>
      </c>
      <c r="C22774" s="5" t="str">
        <f>IFERROR(__xludf.DUMMYFUNCTION("GOOGLETRANSLATE(B22774,""en"",""fr"")"),"Il y a plusieurs autres personnes assises sur les rochers en regardant le chevron passer.")</f>
        <v>Il y a plusieurs autres personnes assises sur les rochers en regardant le chevron passer.</v>
      </c>
    </row>
    <row r="22775">
      <c r="A22775" s="4" t="s">
        <v>28658</v>
      </c>
      <c r="B22775" s="4" t="s">
        <v>28662</v>
      </c>
      <c r="C22775" s="5" t="str">
        <f>IFERROR(__xludf.DUMMYFUNCTION("GOOGLETRANSLATE(B22775,""en"",""fr"")"),"Ils sont assis sur les rochers avec leurs gilets de vie en plus d'eux.")</f>
        <v>Ils sont assis sur les rochers avec leurs gilets de vie en plus d'eux.</v>
      </c>
    </row>
    <row r="22776">
      <c r="A22776" s="4" t="s">
        <v>28663</v>
      </c>
      <c r="B22776" s="4" t="s">
        <v>28664</v>
      </c>
      <c r="C22776" s="5" t="str">
        <f>IFERROR(__xludf.DUMMYFUNCTION("GOOGLETRANSLATE(B22776,""en"",""fr"")"),"Une caméra se déroule à partir de biscuits aux pépites de chocolat et de lait et mène à une femme qui parle.")</f>
        <v>Une caméra se déroule à partir de biscuits aux pépites de chocolat et de lait et mène à une femme qui parle.</v>
      </c>
    </row>
    <row r="22777">
      <c r="A22777" s="4" t="s">
        <v>28663</v>
      </c>
      <c r="B22777" s="6" t="s">
        <v>28665</v>
      </c>
      <c r="C22777" s="5" t="str">
        <f>IFERROR(__xludf.DUMMYFUNCTION("GOOGLETRANSLATE(B22777,""en"",""fr"")"),"La femme mélange divers ingrédients ensemble dans un bol et mène à sa pâte à mettre des touffes de pâte sur une casserole.")</f>
        <v>La femme mélange divers ingrédients ensemble dans un bol et mène à sa pâte à mettre des touffes de pâte sur une casserole.</v>
      </c>
    </row>
    <row r="22778">
      <c r="A22778" s="4" t="s">
        <v>28663</v>
      </c>
      <c r="B22778" s="4" t="s">
        <v>28666</v>
      </c>
      <c r="C22778" s="5" t="str">
        <f>IFERROR(__xludf.DUMMYFUNCTION("GOOGLETRANSLATE(B22778,""en"",""fr"")"),"Elle met la casserole dans le four puis la retire pour montrer ses biscuits au chocolat.")</f>
        <v>Elle met la casserole dans le four puis la retire pour montrer ses biscuits au chocolat.</v>
      </c>
    </row>
    <row r="22779">
      <c r="A22779" s="4" t="s">
        <v>28667</v>
      </c>
      <c r="B22779" s="4" t="s">
        <v>28668</v>
      </c>
      <c r="C22779" s="5" t="str">
        <f>IFERROR(__xludf.DUMMYFUNCTION("GOOGLETRANSLATE(B22779,""en"",""fr"")"),"Une femme est vue debout devant la caméra tenant le feu.")</f>
        <v>Une femme est vue debout devant la caméra tenant le feu.</v>
      </c>
    </row>
    <row r="22780">
      <c r="A22780" s="4" t="s">
        <v>28667</v>
      </c>
      <c r="B22780" s="6" t="s">
        <v>28669</v>
      </c>
      <c r="C22780" s="5" t="str">
        <f>IFERROR(__xludf.DUMMYFUNCTION("GOOGLETRANSLATE(B22780,""en"",""fr"")"),"Une autre femme marche à côté du premier et les deux commencent à effectuer une routine de feu les unes avec les autres.")</f>
        <v>Une autre femme marche à côté du premier et les deux commencent à effectuer une routine de feu les unes avec les autres.</v>
      </c>
    </row>
    <row r="22781">
      <c r="A22781" s="4" t="s">
        <v>28667</v>
      </c>
      <c r="B22781" s="6" t="s">
        <v>28670</v>
      </c>
      <c r="C22781" s="5" t="str">
        <f>IFERROR(__xludf.DUMMYFUNCTION("GOOGLETRANSLATE(B22781,""en"",""fr"")"),"Un homme les tend à la lumière et la femme continue de danser et de tourner avec le feu.")</f>
        <v>Un homme les tend à la lumière et la femme continue de danser et de tourner avec le feu.</v>
      </c>
    </row>
    <row r="22782">
      <c r="A22782" s="4" t="s">
        <v>28671</v>
      </c>
      <c r="B22782" s="4" t="s">
        <v>28672</v>
      </c>
      <c r="C22782" s="5" t="str">
        <f>IFERROR(__xludf.DUMMYFUNCTION("GOOGLETRANSLATE(B22782,""en"",""fr"")"),"Un homme et une femme se tiennent dans un comptoir avec un ananas.")</f>
        <v>Un homme et une femme se tiennent dans un comptoir avec un ananas.</v>
      </c>
    </row>
    <row r="22783">
      <c r="A22783" s="4" t="s">
        <v>28671</v>
      </c>
      <c r="B22783" s="4" t="s">
        <v>28673</v>
      </c>
      <c r="C22783" s="5" t="str">
        <f>IFERROR(__xludf.DUMMYFUNCTION("GOOGLETRANSLATE(B22783,""en"",""fr"")"),"L'homme a déchiré le haut de l'ananas.")</f>
        <v>L'homme a déchiré le haut de l'ananas.</v>
      </c>
    </row>
    <row r="22784">
      <c r="A22784" s="4" t="s">
        <v>28671</v>
      </c>
      <c r="B22784" s="4" t="s">
        <v>28674</v>
      </c>
      <c r="C22784" s="5" t="str">
        <f>IFERROR(__xludf.DUMMYFUNCTION("GOOGLETRANSLATE(B22784,""en"",""fr"")"),"L'homme a coupé le haut de l'ananas.")</f>
        <v>L'homme a coupé le haut de l'ananas.</v>
      </c>
    </row>
    <row r="22785">
      <c r="A22785" s="4" t="s">
        <v>28671</v>
      </c>
      <c r="B22785" s="4" t="s">
        <v>28675</v>
      </c>
      <c r="C22785" s="5" t="str">
        <f>IFERROR(__xludf.DUMMYFUNCTION("GOOGLETRANSLATE(B22785,""en"",""fr"")"),"L'homme a coupé l'ananas en deux.")</f>
        <v>L'homme a coupé l'ananas en deux.</v>
      </c>
    </row>
    <row r="22786">
      <c r="A22786" s="4" t="s">
        <v>28671</v>
      </c>
      <c r="B22786" s="4" t="s">
        <v>28676</v>
      </c>
      <c r="C22786" s="5" t="str">
        <f>IFERROR(__xludf.DUMMYFUNCTION("GOOGLETRANSLATE(B22786,""en"",""fr"")"),"L'homme a coupé la peau de l'ananas.")</f>
        <v>L'homme a coupé la peau de l'ananas.</v>
      </c>
    </row>
    <row r="22787">
      <c r="A22787" s="4" t="s">
        <v>28677</v>
      </c>
      <c r="B22787" s="6" t="s">
        <v>28678</v>
      </c>
      <c r="C22787" s="5" t="str">
        <f>IFERROR(__xludf.DUMMYFUNCTION("GOOGLETRANSLATE(B22787,""en"",""fr"")"),"Une personne est vue grimper à l'arrière d'un kayak avec un autre homme et pagayer seule à l'eau.")</f>
        <v>Une personne est vue grimper à l'arrière d'un kayak avec un autre homme et pagayer seule à l'eau.</v>
      </c>
    </row>
    <row r="22788">
      <c r="A22788" s="4" t="s">
        <v>28677</v>
      </c>
      <c r="B22788" s="6" t="s">
        <v>28679</v>
      </c>
      <c r="C22788" s="5" t="str">
        <f>IFERROR(__xludf.DUMMYFUNCTION("GOOGLETRANSLATE(B22788,""en"",""fr"")"),"La caméra se déroule dans la zone et zoome en arrière et quatrième le long de l'eau et se met à des gens sur la plage.")</f>
        <v>La caméra se déroule dans la zone et zoome en arrière et quatrième le long de l'eau et se met à des gens sur la plage.</v>
      </c>
    </row>
    <row r="22789">
      <c r="A22789" s="4" t="s">
        <v>28680</v>
      </c>
      <c r="B22789" s="4" t="s">
        <v>28681</v>
      </c>
      <c r="C22789" s="5" t="str">
        <f>IFERROR(__xludf.DUMMYFUNCTION("GOOGLETRANSLATE(B22789,""en"",""fr"")"),"Un parking est montré et un homme sur des lames à rouleaux décolle en bas de la colline.")</f>
        <v>Un parking est montré et un homme sur des lames à rouleaux décolle en bas de la colline.</v>
      </c>
    </row>
    <row r="22790">
      <c r="A22790" s="4" t="s">
        <v>28680</v>
      </c>
      <c r="B22790" s="4" t="s">
        <v>28682</v>
      </c>
      <c r="C22790" s="5" t="str">
        <f>IFERROR(__xludf.DUMMYFUNCTION("GOOGLETRANSLATE(B22790,""en"",""fr"")"),"Il fait le tour des courbes tranchantes sur ses patins.")</f>
        <v>Il fait le tour des courbes tranchantes sur ses patins.</v>
      </c>
    </row>
    <row r="22791">
      <c r="A22791" s="4" t="s">
        <v>28680</v>
      </c>
      <c r="B22791" s="4" t="s">
        <v>28683</v>
      </c>
      <c r="C22791" s="5" t="str">
        <f>IFERROR(__xludf.DUMMYFUNCTION("GOOGLETRANSLATE(B22791,""en"",""fr"")"),"Il prend plusieurs routes de pays et boisées avant de s'arrêter dans un parking.")</f>
        <v>Il prend plusieurs routes de pays et boisées avant de s'arrêter dans un parking.</v>
      </c>
    </row>
    <row r="22792">
      <c r="A22792" s="4" t="s">
        <v>28684</v>
      </c>
      <c r="B22792" s="6" t="s">
        <v>28685</v>
      </c>
      <c r="C22792" s="5" t="str">
        <f>IFERROR(__xludf.DUMMYFUNCTION("GOOGLETRANSLATE(B22792,""en"",""fr"")"),"Une fille démontre plusieurs mouvements de gymnastique et de gobelet dans un salon et sur une pelouse verte avec une ligne de maisons résidentielles en toile de fond.")</f>
        <v>Une fille démontre plusieurs mouvements de gymnastique et de gobelet dans un salon et sur une pelouse verte avec une ligne de maisons résidentielles en toile de fond.</v>
      </c>
    </row>
    <row r="22793">
      <c r="A22793" s="4" t="s">
        <v>28684</v>
      </c>
      <c r="B22793" s="4" t="s">
        <v>28686</v>
      </c>
      <c r="C22793" s="5" t="str">
        <f>IFERROR(__xludf.DUMMYFUNCTION("GOOGLETRANSLATE(B22793,""en"",""fr"")"),"Une fille démontre un mouvement de saut périlleux dans le salon devant deux canapés.")</f>
        <v>Une fille démontre un mouvement de saut périlleux dans le salon devant deux canapés.</v>
      </c>
    </row>
    <row r="22794">
      <c r="A22794" s="4" t="s">
        <v>28684</v>
      </c>
      <c r="B22794" s="6" t="s">
        <v>28687</v>
      </c>
      <c r="C22794" s="5" t="str">
        <f>IFERROR(__xludf.DUMMYFUNCTION("GOOGLETRANSLATE(B22794,""en"",""fr"")"),"La fille démontre ensuite des mouvements de gymnastique plus avancés de backflip dans un champ d'herbe avec des maisons dans un quartier résidentiel en toile de fond.")</f>
        <v>La fille démontre ensuite des mouvements de gymnastique plus avancés de backflip dans un champ d'herbe avec des maisons dans un quartier résidentiel en toile de fond.</v>
      </c>
    </row>
    <row r="22795">
      <c r="A22795" s="4" t="s">
        <v>28688</v>
      </c>
      <c r="B22795" s="6" t="s">
        <v>28689</v>
      </c>
      <c r="C22795" s="5" t="str">
        <f>IFERROR(__xludf.DUMMYFUNCTION("GOOGLETRANSLATE(B22795,""en"",""fr"")"),"Un petit groupe de personnes est vu nager dans une piscine et mène à divers clips d'enfants apprenant à nager.")</f>
        <v>Un petit groupe de personnes est vu nager dans une piscine et mène à divers clips d'enfants apprenant à nager.</v>
      </c>
    </row>
    <row r="22796">
      <c r="A22796" s="4" t="s">
        <v>28688</v>
      </c>
      <c r="B22796" s="4" t="s">
        <v>28690</v>
      </c>
      <c r="C22796" s="5" t="str">
        <f>IFERROR(__xludf.DUMMYFUNCTION("GOOGLETRANSLATE(B22796,""en"",""fr"")"),"Un homme les aide à s'entraîner dans l'eau et à sauter d'un plongeon.")</f>
        <v>Un homme les aide à s'entraîner dans l'eau et à sauter d'un plongeon.</v>
      </c>
    </row>
    <row r="22797">
      <c r="A22797" s="4" t="s">
        <v>28688</v>
      </c>
      <c r="B22797" s="6" t="s">
        <v>28691</v>
      </c>
      <c r="C22797" s="5" t="str">
        <f>IFERROR(__xludf.DUMMYFUNCTION("GOOGLETRANSLATE(B22797,""en"",""fr"")"),"Plus de coups de feu sont montrés des enfants nageant et mène à une fille saisissant des objets sous l'eau et nageant avec une autre.")</f>
        <v>Plus de coups de feu sont montrés des enfants nageant et mène à une fille saisissant des objets sous l'eau et nageant avec une autre.</v>
      </c>
    </row>
    <row r="22798">
      <c r="A22798" s="4" t="s">
        <v>28692</v>
      </c>
      <c r="B22798" s="4" t="s">
        <v>28693</v>
      </c>
      <c r="C22798" s="5" t="str">
        <f>IFERROR(__xludf.DUMMYFUNCTION("GOOGLETRANSLATE(B22798,""en"",""fr"")"),"Le jeune garçon sert la navette mais elle a frappé le filet.")</f>
        <v>Le jeune garçon sert la navette mais elle a frappé le filet.</v>
      </c>
    </row>
    <row r="22799">
      <c r="A22799" s="4" t="s">
        <v>28692</v>
      </c>
      <c r="B22799" s="4" t="s">
        <v>28694</v>
      </c>
      <c r="C22799" s="5" t="str">
        <f>IFERROR(__xludf.DUMMYFUNCTION("GOOGLETRANSLATE(B22799,""en"",""fr"")"),"L'homme plus âgé sert le ballon et l'enfant l'a raté.")</f>
        <v>L'homme plus âgé sert le ballon et l'enfant l'a raté.</v>
      </c>
    </row>
    <row r="22800">
      <c r="A22800" s="4" t="s">
        <v>28692</v>
      </c>
      <c r="B22800" s="4" t="s">
        <v>28695</v>
      </c>
      <c r="C22800" s="5" t="str">
        <f>IFERROR(__xludf.DUMMYFUNCTION("GOOGLETRANSLATE(B22800,""en"",""fr"")"),"Une femme plus âgée en chemise grise sert le ballon et la fille en rouge l'a frappée.")</f>
        <v>Une femme plus âgée en chemise grise sert le ballon et la fille en rouge l'a frappée.</v>
      </c>
    </row>
    <row r="22801">
      <c r="A22801" s="4" t="s">
        <v>28696</v>
      </c>
      <c r="B22801" s="4" t="s">
        <v>28697</v>
      </c>
      <c r="C22801" s="5" t="str">
        <f>IFERROR(__xludf.DUMMYFUNCTION("GOOGLETRANSLATE(B22801,""en"",""fr"")"),"Un homme est un skateboard, il saute à des niveaux plus élevés.")</f>
        <v>Un homme est un skateboard, il saute à des niveaux plus élevés.</v>
      </c>
    </row>
    <row r="22802">
      <c r="A22802" s="4" t="s">
        <v>28696</v>
      </c>
      <c r="B22802" s="4" t="s">
        <v>28698</v>
      </c>
      <c r="C22802" s="5" t="str">
        <f>IFERROR(__xludf.DUMMYFUNCTION("GOOGLETRANSLATE(B22802,""en"",""fr"")"),"Il donne un coup de pied pour acquérir une certaine vitesse et fait des trucs sympas.")</f>
        <v>Il donne un coup de pied pour acquérir une certaine vitesse et fait des trucs sympas.</v>
      </c>
    </row>
    <row r="22803">
      <c r="A22803" s="4" t="s">
        <v>28696</v>
      </c>
      <c r="B22803" s="4" t="s">
        <v>28699</v>
      </c>
      <c r="C22803" s="5" t="str">
        <f>IFERROR(__xludf.DUMMYFUNCTION("GOOGLETRANSLATE(B22803,""en"",""fr"")"),"Il descend et saute ensuite sur le plateau et fait plus de trucs tout autour.")</f>
        <v>Il descend et saute ensuite sur le plateau et fait plus de trucs tout autour.</v>
      </c>
    </row>
    <row r="22804">
      <c r="A22804" s="4" t="s">
        <v>28696</v>
      </c>
      <c r="B22804" s="4" t="s">
        <v>28700</v>
      </c>
      <c r="C22804" s="5" t="str">
        <f>IFERROR(__xludf.DUMMYFUNCTION("GOOGLETRANSLATE(B22804,""en"",""fr"")"),"Il saute sur un rail puis redescende et s'assoit sur la planche et agite.")</f>
        <v>Il saute sur un rail puis redescende et s'assoit sur la planche et agite.</v>
      </c>
    </row>
    <row r="22805">
      <c r="A22805" s="4" t="s">
        <v>28701</v>
      </c>
      <c r="B22805" s="4" t="s">
        <v>28702</v>
      </c>
      <c r="C22805" s="5" t="str">
        <f>IFERROR(__xludf.DUMMYFUNCTION("GOOGLETRANSLATE(B22805,""en"",""fr"")"),"Un joueur de baseball est vu debout sur une tache de saleté avec un autre derrière lui.")</f>
        <v>Un joueur de baseball est vu debout sur une tache de saleté avec un autre derrière lui.</v>
      </c>
    </row>
    <row r="22806">
      <c r="A22806" s="4" t="s">
        <v>28701</v>
      </c>
      <c r="B22806" s="4" t="s">
        <v>28703</v>
      </c>
      <c r="C22806" s="5" t="str">
        <f>IFERROR(__xludf.DUMMYFUNCTION("GOOGLETRANSLATE(B22806,""en"",""fr"")"),"L'homme commence alors à frapper une balle.")</f>
        <v>L'homme commence alors à frapper une balle.</v>
      </c>
    </row>
    <row r="22807">
      <c r="A22807" s="4" t="s">
        <v>28701</v>
      </c>
      <c r="B22807" s="4" t="s">
        <v>28704</v>
      </c>
      <c r="C22807" s="5" t="str">
        <f>IFERROR(__xludf.DUMMYFUNCTION("GOOGLETRANSLATE(B22807,""en"",""fr"")"),"L'homme frappe le ballon au ralenti.")</f>
        <v>L'homme frappe le ballon au ralenti.</v>
      </c>
    </row>
    <row r="22808">
      <c r="A22808" s="4" t="s">
        <v>28705</v>
      </c>
      <c r="B22808" s="4" t="s">
        <v>28706</v>
      </c>
      <c r="C22808" s="5" t="str">
        <f>IFERROR(__xludf.DUMMYFUNCTION("GOOGLETRANSLATE(B22808,""en"",""fr"")"),"Une personne fabrique des spaghettis à partir de zéro à l'aide de la farine, des œufs, un mélangeur et une presse à pâtes.")</f>
        <v>Une personne fabrique des spaghettis à partir de zéro à l'aide de la farine, des œufs, un mélangeur et une presse à pâtes.</v>
      </c>
    </row>
    <row r="22809">
      <c r="A22809" s="4" t="s">
        <v>28705</v>
      </c>
      <c r="B22809" s="4" t="s">
        <v>28707</v>
      </c>
      <c r="C22809" s="5" t="str">
        <f>IFERROR(__xludf.DUMMYFUNCTION("GOOGLETRANSLATE(B22809,""en"",""fr"")"),"Une main mélange de la farine dans un bol, ajoute des œufs et mélange les deux ingrédients avec un mélangeur.")</f>
        <v>Une main mélange de la farine dans un bol, ajoute des œufs et mélange les deux ingrédients avec un mélangeur.</v>
      </c>
    </row>
    <row r="22810">
      <c r="A22810" s="4" t="s">
        <v>28705</v>
      </c>
      <c r="B22810" s="6" t="s">
        <v>28708</v>
      </c>
      <c r="C22810" s="5" t="str">
        <f>IFERROR(__xludf.DUMMYFUNCTION("GOOGLETRANSLATE(B22810,""en"",""fr"")"),"Les mains prennent ensuite la boule de pâte résultante et la pétrissent, la recouvre en saran et la coupe en morceaux avant de le rouler à plat avec un rouleau à pâtisserie.")</f>
        <v>Les mains prennent ensuite la boule de pâte résultante et la pétrissent, la recouvre en saran et la coupe en morceaux avant de le rouler à plat avec un rouleau à pâtisserie.</v>
      </c>
    </row>
    <row r="22811">
      <c r="A22811" s="4" t="s">
        <v>28705</v>
      </c>
      <c r="B22811" s="6" t="s">
        <v>28709</v>
      </c>
      <c r="C22811" s="5" t="str">
        <f>IFERROR(__xludf.DUMMYFUNCTION("GOOGLETRANSLATE(B22811,""en"",""fr"")"),"La personne prend ensuite la pâte aplatie et la met dans un presseur, la dépoussière de farine, et la met dans un conteneur puis une presse à spaghetti qui produit de nombreux brins de spaghettis.")</f>
        <v>La personne prend ensuite la pâte aplatie et la met dans un presseur, la dépoussière de farine, et la met dans un conteneur puis une presse à spaghetti qui produit de nombreux brins de spaghettis.</v>
      </c>
    </row>
    <row r="22812">
      <c r="A22812" s="4" t="s">
        <v>28710</v>
      </c>
      <c r="B22812" s="4" t="s">
        <v>28711</v>
      </c>
      <c r="C22812" s="5" t="str">
        <f>IFERROR(__xludf.DUMMYFUNCTION("GOOGLETRANSLATE(B22812,""en"",""fr"")"),"Un homme et une femme se tiennent à l'extérieur dans la neige qui parle.")</f>
        <v>Un homme et une femme se tiennent à l'extérieur dans la neige qui parle.</v>
      </c>
    </row>
    <row r="22813">
      <c r="A22813" s="4" t="s">
        <v>28710</v>
      </c>
      <c r="B22813" s="4" t="s">
        <v>28712</v>
      </c>
      <c r="C22813" s="5" t="str">
        <f>IFERROR(__xludf.DUMMYFUNCTION("GOOGLETRANSLATE(B22813,""en"",""fr"")"),"L'homme nettoie la neige de la voiture.")</f>
        <v>L'homme nettoie la neige de la voiture.</v>
      </c>
    </row>
    <row r="22814">
      <c r="A22814" s="4" t="s">
        <v>28710</v>
      </c>
      <c r="B22814" s="4" t="s">
        <v>28713</v>
      </c>
      <c r="C22814" s="5" t="str">
        <f>IFERROR(__xludf.DUMMYFUNCTION("GOOGLETRANSLATE(B22814,""en"",""fr"")"),"La fille porte un manteau de fourrure et parle à la caméra.")</f>
        <v>La fille porte un manteau de fourrure et parle à la caméra.</v>
      </c>
    </row>
    <row r="22815">
      <c r="A22815" s="4" t="s">
        <v>28710</v>
      </c>
      <c r="B22815" s="4" t="s">
        <v>28714</v>
      </c>
      <c r="C22815" s="5" t="str">
        <f>IFERROR(__xludf.DUMMYFUNCTION("GOOGLETRANSLATE(B22815,""en"",""fr"")"),"L'homme continue de brosser la neige de la voiture.")</f>
        <v>L'homme continue de brosser la neige de la voiture.</v>
      </c>
    </row>
    <row r="22816">
      <c r="A22816" s="4" t="s">
        <v>28710</v>
      </c>
      <c r="B22816" s="4" t="s">
        <v>28715</v>
      </c>
      <c r="C22816" s="5" t="str">
        <f>IFERROR(__xludf.DUMMYFUNCTION("GOOGLETRANSLATE(B22816,""en"",""fr"")"),"Ils sont assis à l'intérieur de la voiture à parler.")</f>
        <v>Ils sont assis à l'intérieur de la voiture à parler.</v>
      </c>
    </row>
    <row r="22817">
      <c r="A22817" s="4" t="s">
        <v>28716</v>
      </c>
      <c r="B22817" s="4" t="s">
        <v>28717</v>
      </c>
      <c r="C22817" s="5" t="str">
        <f>IFERROR(__xludf.DUMMYFUNCTION("GOOGLETRANSLATE(B22817,""en"",""fr"")"),"Il y a un script montré sur la peur de chanter sur scène.")</f>
        <v>Il y a un script montré sur la peur de chanter sur scène.</v>
      </c>
    </row>
    <row r="22818">
      <c r="A22818" s="4" t="s">
        <v>28716</v>
      </c>
      <c r="B22818" s="4" t="s">
        <v>28718</v>
      </c>
      <c r="C22818" s="5" t="str">
        <f>IFERROR(__xludf.DUMMYFUNCTION("GOOGLETRANSLATE(B22818,""en"",""fr"")"),"Une femme en chemise verte chante en faisant la vaisselle dans son évier de cuisine.")</f>
        <v>Une femme en chemise verte chante en faisant la vaisselle dans son évier de cuisine.</v>
      </c>
    </row>
    <row r="22819">
      <c r="A22819" s="4" t="s">
        <v>28716</v>
      </c>
      <c r="B22819" s="6" t="s">
        <v>28719</v>
      </c>
      <c r="C22819" s="5" t="str">
        <f>IFERROR(__xludf.DUMMYFUNCTION("GOOGLETRANSLATE(B22819,""en"",""fr"")"),"Elle continue de laver les cuillères et les fourchettes avec un gommage bleu et du savon alors qu'elle chante dans un hauteur et un ton.")</f>
        <v>Elle continue de laver les cuillères et les fourchettes avec un gommage bleu et du savon alors qu'elle chante dans un hauteur et un ton.</v>
      </c>
    </row>
    <row r="22820">
      <c r="A22820" s="4" t="s">
        <v>28716</v>
      </c>
      <c r="B22820" s="4" t="s">
        <v>28720</v>
      </c>
      <c r="C22820" s="5" t="str">
        <f>IFERROR(__xludf.DUMMYFUNCTION("GOOGLETRANSLATE(B22820,""en"",""fr"")"),"Elle continue de laver un grand couteau, puis place les ustensiles humides sur une grille de séchage.")</f>
        <v>Elle continue de laver un grand couteau, puis place les ustensiles humides sur une grille de séchage.</v>
      </c>
    </row>
    <row r="22821">
      <c r="A22821" s="4" t="s">
        <v>28716</v>
      </c>
      <c r="B22821" s="4" t="s">
        <v>28721</v>
      </c>
      <c r="C22821" s="5" t="str">
        <f>IFERROR(__xludf.DUMMYFUNCTION("GOOGLETRANSLATE(B22821,""en"",""fr"")"),"Elle lave quelques verres et les frotte soigneusement avec la même éponge.")</f>
        <v>Elle lave quelques verres et les frotte soigneusement avec la même éponge.</v>
      </c>
    </row>
    <row r="22822">
      <c r="A22822" s="4" t="s">
        <v>28716</v>
      </c>
      <c r="B22822" s="4" t="s">
        <v>28722</v>
      </c>
      <c r="C22822" s="5" t="str">
        <f>IFERROR(__xludf.DUMMYFUNCTION("GOOGLETRANSLATE(B22822,""en"",""fr"")"),"Place ensuite le verre sur le support de séchage.")</f>
        <v>Place ensuite le verre sur le support de séchage.</v>
      </c>
    </row>
    <row r="22823">
      <c r="A22823" s="4" t="s">
        <v>28723</v>
      </c>
      <c r="B22823" s="4" t="s">
        <v>28724</v>
      </c>
      <c r="C22823" s="5" t="str">
        <f>IFERROR(__xludf.DUMMYFUNCTION("GOOGLETRANSLATE(B22823,""en"",""fr"")"),"Un homme rap avec une chanson.")</f>
        <v>Un homme rap avec une chanson.</v>
      </c>
    </row>
    <row r="22824">
      <c r="A22824" s="4" t="s">
        <v>28723</v>
      </c>
      <c r="B22824" s="4" t="s">
        <v>28725</v>
      </c>
      <c r="C22824" s="5" t="str">
        <f>IFERROR(__xludf.DUMMYFUNCTION("GOOGLETRANSLATE(B22824,""en"",""fr"")"),"Le gars se fait aussi tatouer.")</f>
        <v>Le gars se fait aussi tatouer.</v>
      </c>
    </row>
    <row r="22825">
      <c r="A22825" s="4" t="s">
        <v>28726</v>
      </c>
      <c r="B22825" s="4" t="s">
        <v>28727</v>
      </c>
      <c r="C22825" s="5" t="str">
        <f>IFERROR(__xludf.DUMMYFUNCTION("GOOGLETRANSLATE(B22825,""en"",""fr"")"),"Un grand groupe de personnes est vu jouer un match de football sur une grande plage de sable.")</f>
        <v>Un grand groupe de personnes est vu jouer un match de football sur une grande plage de sable.</v>
      </c>
    </row>
    <row r="22826">
      <c r="A22826" s="4" t="s">
        <v>28726</v>
      </c>
      <c r="B22826" s="4" t="s">
        <v>28728</v>
      </c>
      <c r="C22826" s="5" t="str">
        <f>IFERROR(__xludf.DUMMYFUNCTION("GOOGLETRANSLATE(B22826,""en"",""fr"")"),"Beaucoup de gens regardent sur la touche tandis que les enfants passent le ballon et quatrième les uns aux autres.")</f>
        <v>Beaucoup de gens regardent sur la touche tandis que les enfants passent le ballon et quatrième les uns aux autres.</v>
      </c>
    </row>
    <row r="22827">
      <c r="A22827" s="4" t="s">
        <v>28726</v>
      </c>
      <c r="B22827" s="6" t="s">
        <v>28729</v>
      </c>
      <c r="C22827" s="5" t="str">
        <f>IFERROR(__xludf.DUMMYFUNCTION("GOOGLETRANSLATE(B22827,""en"",""fr"")"),"Le jeu continue alors que les enfants montent et descendent sur le terrain et tentent plusieurs buts qui se retrouvent manqués.")</f>
        <v>Le jeu continue alors que les enfants montent et descendent sur le terrain et tentent plusieurs buts qui se retrouvent manqués.</v>
      </c>
    </row>
    <row r="22828">
      <c r="A22828" s="4" t="s">
        <v>28730</v>
      </c>
      <c r="B22828" s="4" t="s">
        <v>28731</v>
      </c>
      <c r="C22828" s="5" t="str">
        <f>IFERROR(__xludf.DUMMYFUNCTION("GOOGLETRANSLATE(B22828,""en"",""fr"")"),"Une jeune fille blonde saute dehors.")</f>
        <v>Une jeune fille blonde saute dehors.</v>
      </c>
    </row>
    <row r="22829">
      <c r="A22829" s="4" t="s">
        <v>28730</v>
      </c>
      <c r="B22829" s="4" t="s">
        <v>28732</v>
      </c>
      <c r="C22829" s="5" t="str">
        <f>IFERROR(__xludf.DUMMYFUNCTION("GOOGLETRANSLATE(B22829,""en"",""fr"")"),"Elle tient une corde de saut et tourne la corde de saut devant elle.")</f>
        <v>Elle tient une corde de saut et tourne la corde de saut devant elle.</v>
      </c>
    </row>
    <row r="22830">
      <c r="A22830" s="4" t="s">
        <v>28730</v>
      </c>
      <c r="B22830" s="4" t="s">
        <v>28733</v>
      </c>
      <c r="C22830" s="5" t="str">
        <f>IFERROR(__xludf.DUMMYFUNCTION("GOOGLETRANSLATE(B22830,""en"",""fr"")"),"Elle réalise à nouveau la même chose.")</f>
        <v>Elle réalise à nouveau la même chose.</v>
      </c>
    </row>
    <row r="22831">
      <c r="A22831" s="4" t="s">
        <v>28730</v>
      </c>
      <c r="B22831" s="4" t="s">
        <v>28734</v>
      </c>
      <c r="C22831" s="5" t="str">
        <f>IFERROR(__xludf.DUMMYFUNCTION("GOOGLETRANSLATE(B22831,""en"",""fr"")"),"Elle tourne à nouveau la corde de saut et l'attrape avec ses pieds.")</f>
        <v>Elle tourne à nouveau la corde de saut et l'attrape avec ses pieds.</v>
      </c>
    </row>
    <row r="22832">
      <c r="A22832" s="4" t="s">
        <v>28730</v>
      </c>
      <c r="B22832" s="4" t="s">
        <v>28735</v>
      </c>
      <c r="C22832" s="5" t="str">
        <f>IFERROR(__xludf.DUMMYFUNCTION("GOOGLETRANSLATE(B22832,""en"",""fr"")"),"Elle le fait à nouveau.")</f>
        <v>Elle le fait à nouveau.</v>
      </c>
    </row>
    <row r="22833">
      <c r="A22833" s="4" t="s">
        <v>28730</v>
      </c>
      <c r="B22833" s="4" t="s">
        <v>28736</v>
      </c>
      <c r="C22833" s="5" t="str">
        <f>IFERROR(__xludf.DUMMYFUNCTION("GOOGLETRANSLATE(B22833,""en"",""fr"")"),"Elle tourne la corde de saut et complète un saut complet.")</f>
        <v>Elle tourne la corde de saut et complète un saut complet.</v>
      </c>
    </row>
    <row r="22834">
      <c r="A22834" s="4" t="s">
        <v>28730</v>
      </c>
      <c r="B22834" s="4" t="s">
        <v>28737</v>
      </c>
      <c r="C22834" s="5" t="str">
        <f>IFERROR(__xludf.DUMMYFUNCTION("GOOGLETRANSLATE(B22834,""en"",""fr"")"),"Elle part et recommence.")</f>
        <v>Elle part et recommence.</v>
      </c>
    </row>
    <row r="22835">
      <c r="A22835" s="4" t="s">
        <v>28730</v>
      </c>
      <c r="B22835" s="4" t="s">
        <v>28738</v>
      </c>
      <c r="C22835" s="5" t="str">
        <f>IFERROR(__xludf.DUMMYFUNCTION("GOOGLETRANSLATE(B22835,""en"",""fr"")"),"Elle saute plusieurs cordes plusieurs fois.")</f>
        <v>Elle saute plusieurs cordes plusieurs fois.</v>
      </c>
    </row>
    <row r="22836">
      <c r="A22836" s="4" t="s">
        <v>28730</v>
      </c>
      <c r="B22836" s="4" t="s">
        <v>28739</v>
      </c>
      <c r="C22836" s="5" t="str">
        <f>IFERROR(__xludf.DUMMYFUNCTION("GOOGLETRANSLATE(B22836,""en"",""fr"")"),"Elle le refait à nouveau, saute encore et encore.")</f>
        <v>Elle le refait à nouveau, saute encore et encore.</v>
      </c>
    </row>
    <row r="22837">
      <c r="A22837" s="4" t="s">
        <v>28730</v>
      </c>
      <c r="B22837" s="4" t="s">
        <v>28740</v>
      </c>
      <c r="C22837" s="5" t="str">
        <f>IFERROR(__xludf.DUMMYFUNCTION("GOOGLETRANSLATE(B22837,""en"",""fr"")"),"Elle parle à la caméra.")</f>
        <v>Elle parle à la caméra.</v>
      </c>
    </row>
    <row r="22838">
      <c r="A22838" s="4" t="s">
        <v>28741</v>
      </c>
      <c r="B22838" s="4" t="s">
        <v>28742</v>
      </c>
      <c r="C22838" s="5" t="str">
        <f>IFERROR(__xludf.DUMMYFUNCTION("GOOGLETRANSLATE(B22838,""en"",""fr"")"),"Une majeur mâle noire commence à marcher dans la ligne de batterie avec son bâton.")</f>
        <v>Une majeur mâle noire commence à marcher dans la ligne de batterie avec son bâton.</v>
      </c>
    </row>
    <row r="22839">
      <c r="A22839" s="4" t="s">
        <v>28741</v>
      </c>
      <c r="B22839" s="6" t="s">
        <v>28743</v>
      </c>
      <c r="C22839" s="5" t="str">
        <f>IFERROR(__xludf.DUMMYFUNCTION("GOOGLETRANSLATE(B22839,""en"",""fr"")"),"Alors qu'il se dirige vers l'avant du groupe, il bgeins pour faire tournoyer le bâton et se déplacer sur le terrain et enlever son pantalon.")</f>
        <v>Alors qu'il se dirige vers l'avant du groupe, il bgeins pour faire tournoyer le bâton et se déplacer sur le terrain et enlever son pantalon.</v>
      </c>
    </row>
    <row r="22840">
      <c r="A22840" s="4" t="s">
        <v>28741</v>
      </c>
      <c r="B22840" s="6" t="s">
        <v>28744</v>
      </c>
      <c r="C22840" s="5" t="str">
        <f>IFERROR(__xludf.DUMMYFUNCTION("GOOGLETRANSLATE(B22840,""en"",""fr"")"),"Sous son pantalon se trouve une paire de shorts scintillants et il continue de danser, faisant des virages, des tours, des coups de pied, des divisions et des écarts pendant que le groupe joue.")</f>
        <v>Sous son pantalon se trouve une paire de shorts scintillants et il continue de danser, faisant des virages, des tours, des coups de pied, des divisions et des écarts pendant que le groupe joue.</v>
      </c>
    </row>
    <row r="22841">
      <c r="A22841" s="4" t="s">
        <v>28745</v>
      </c>
      <c r="B22841" s="4" t="s">
        <v>28746</v>
      </c>
      <c r="C22841" s="5" t="str">
        <f>IFERROR(__xludf.DUMMYFUNCTION("GOOGLETRANSLATE(B22841,""en"",""fr"")"),"Une femme vêtue d'un débardeur rose et d'un collant gris montre une tournure dans un gymnase de fitness.")</f>
        <v>Une femme vêtue d'un débardeur rose et d'un collant gris montre une tournure dans un gymnase de fitness.</v>
      </c>
    </row>
    <row r="22842">
      <c r="A22842" s="4" t="s">
        <v>28745</v>
      </c>
      <c r="B22842" s="4" t="s">
        <v>28747</v>
      </c>
      <c r="C22842" s="5" t="str">
        <f>IFERROR(__xludf.DUMMYFUNCTION("GOOGLETRANSLATE(B22842,""en"",""fr"")"),"Elle montre les différents exercices en utilisant le vélo.")</f>
        <v>Elle montre les différents exercices en utilisant le vélo.</v>
      </c>
    </row>
    <row r="22843">
      <c r="A22843" s="4" t="s">
        <v>28745</v>
      </c>
      <c r="B22843" s="4" t="s">
        <v>28748</v>
      </c>
      <c r="C22843" s="5" t="str">
        <f>IFERROR(__xludf.DUMMYFUNCTION("GOOGLETRANSLATE(B22843,""en"",""fr"")"),"Elle montre également des craquements d'estomac et des étirements tout en allongé sur le sol.")</f>
        <v>Elle montre également des craquements d'estomac et des étirements tout en allongé sur le sol.</v>
      </c>
    </row>
    <row r="22844">
      <c r="A22844" s="4" t="s">
        <v>28745</v>
      </c>
      <c r="B22844" s="4" t="s">
        <v>28749</v>
      </c>
      <c r="C22844" s="5" t="str">
        <f>IFERROR(__xludf.DUMMYFUNCTION("GOOGLETRANSLATE(B22844,""en"",""fr"")"),"Elle motive son équipe à continuer de faire du vélo car elle les encourage à aller plus vite.")</f>
        <v>Elle motive son équipe à continuer de faire du vélo car elle les encourage à aller plus vite.</v>
      </c>
    </row>
    <row r="22845">
      <c r="A22845" s="4" t="s">
        <v>28750</v>
      </c>
      <c r="B22845" s="6" t="s">
        <v>28751</v>
      </c>
      <c r="C22845" s="5" t="str">
        <f>IFERROR(__xludf.DUMMYFUNCTION("GOOGLETRANSLATE(B22845,""en"",""fr"")"),"Un homme et une femme se présentent à la caméra et commencent à se parler pendant que l'homme est assis derrière un ensemble de quatre set Bongo et que les femmes sont de l'autre côté tenant une bouteille d'eau.")</f>
        <v>Un homme et une femme se présentent à la caméra et commencent à se parler pendant que l'homme est assis derrière un ensemble de quatre set Bongo et que les femmes sont de l'autre côté tenant une bouteille d'eau.</v>
      </c>
    </row>
    <row r="22846">
      <c r="A22846" s="4" t="s">
        <v>28750</v>
      </c>
      <c r="B22846" s="6" t="s">
        <v>28752</v>
      </c>
      <c r="C22846" s="5" t="str">
        <f>IFERROR(__xludf.DUMMYFUNCTION("GOOGLETRANSLATE(B22846,""en"",""fr"")"),"Alors que la conversation s'ensuit une autre femme s'approche de la femme et enlève sa bouteille d'eau.")</f>
        <v>Alors que la conversation s'ensuit une autre femme s'approche de la femme et enlève sa bouteille d'eau.</v>
      </c>
    </row>
    <row r="22847">
      <c r="A22847" s="4" t="s">
        <v>28750</v>
      </c>
      <c r="B22847" s="4" t="s">
        <v>28753</v>
      </c>
      <c r="C22847" s="5" t="str">
        <f>IFERROR(__xludf.DUMMYFUNCTION("GOOGLETRANSLATE(B22847,""en"",""fr"")"),"Ensuite, l'homme commence à jouer les bongos et la femme commence à danser.")</f>
        <v>Ensuite, l'homme commence à jouer les bongos et la femme commence à danser.</v>
      </c>
    </row>
    <row r="22848">
      <c r="A22848" s="4" t="s">
        <v>28750</v>
      </c>
      <c r="B22848" s="4" t="s">
        <v>28754</v>
      </c>
      <c r="C22848" s="5" t="str">
        <f>IFERROR(__xludf.DUMMYFUNCTION("GOOGLETRANSLATE(B22848,""en"",""fr"")"),"Alors que la femme danse sur un homme sur un vélo passe et commence à observer ce qui se passe.")</f>
        <v>Alors que la femme danse sur un homme sur un vélo passe et commence à observer ce qui se passe.</v>
      </c>
    </row>
    <row r="22849">
      <c r="A22849" s="4" t="s">
        <v>28750</v>
      </c>
      <c r="B22849" s="6" t="s">
        <v>28755</v>
      </c>
      <c r="C22849" s="5" t="str">
        <f>IFERROR(__xludf.DUMMYFUNCTION("GOOGLETRANSLATE(B22849,""en"",""fr"")"),"En fin de compte, pendant que la femme cesse de danser et commence à applaudir et que l'homme jouant les bongos cesse de jouer et fait un coup final.")</f>
        <v>En fin de compte, pendant que la femme cesse de danser et commence à applaudir et que l'homme jouant les bongos cesse de jouer et fait un coup final.</v>
      </c>
    </row>
    <row r="22850">
      <c r="A22850" s="4" t="s">
        <v>28756</v>
      </c>
      <c r="B22850" s="4" t="s">
        <v>28757</v>
      </c>
      <c r="C22850" s="5" t="str">
        <f>IFERROR(__xludf.DUMMYFUNCTION("GOOGLETRANSLATE(B22850,""en"",""fr"")"),"Nous voyons un homme effectuer Capoiiera sur une place.")</f>
        <v>Nous voyons un homme effectuer Capoiiera sur une place.</v>
      </c>
    </row>
    <row r="22851">
      <c r="A22851" s="4" t="s">
        <v>28756</v>
      </c>
      <c r="B22851" s="4" t="s">
        <v>28758</v>
      </c>
      <c r="C22851" s="5" t="str">
        <f>IFERROR(__xludf.DUMMYFUNCTION("GOOGLETRANSLATE(B22851,""en"",""fr"")"),"L'homme est rejoint par un deuxième homme et la pratique ensemble.")</f>
        <v>L'homme est rejoint par un deuxième homme et la pratique ensemble.</v>
      </c>
    </row>
    <row r="22852">
      <c r="A22852" s="4" t="s">
        <v>28756</v>
      </c>
      <c r="B22852" s="4" t="s">
        <v>28759</v>
      </c>
      <c r="C22852" s="5" t="str">
        <f>IFERROR(__xludf.DUMMYFUNCTION("GOOGLETRANSLATE(B22852,""en"",""fr"")"),"Le premier homme part et un autre homme saute.")</f>
        <v>Le premier homme part et un autre homme saute.</v>
      </c>
    </row>
    <row r="22853">
      <c r="A22853" s="4" t="s">
        <v>28756</v>
      </c>
      <c r="B22853" s="4" t="s">
        <v>28760</v>
      </c>
      <c r="C22853" s="5" t="str">
        <f>IFERROR(__xludf.DUMMYFUNCTION("GOOGLETRANSLATE(B22853,""en"",""fr"")"),"Les deux hommes finissent et se serrent la main et se serrent étreints.")</f>
        <v>Les deux hommes finissent et se serrent la main et se serrent étreints.</v>
      </c>
    </row>
    <row r="22854">
      <c r="A22854" s="4" t="s">
        <v>28756</v>
      </c>
      <c r="B22854" s="4" t="s">
        <v>28761</v>
      </c>
      <c r="C22854" s="5" t="str">
        <f>IFERROR(__xludf.DUMMYFUNCTION("GOOGLETRANSLATE(B22854,""en"",""fr"")"),"Les deux hommes sont sortis du ring et un nouvel homme entre.")</f>
        <v>Les deux hommes sont sortis du ring et un nouvel homme entre.</v>
      </c>
    </row>
    <row r="22855">
      <c r="A22855" s="4" t="s">
        <v>28762</v>
      </c>
      <c r="B22855" s="4" t="s">
        <v>28763</v>
      </c>
      <c r="C22855" s="5" t="str">
        <f>IFERROR(__xludf.DUMMYFUNCTION("GOOGLETRANSLATE(B22855,""en"",""fr"")"),"Un jeune garçon pousse un aspirateur dans la cuisine d'une maison.")</f>
        <v>Un jeune garçon pousse un aspirateur dans la cuisine d'une maison.</v>
      </c>
    </row>
    <row r="22856">
      <c r="A22856" s="4" t="s">
        <v>28762</v>
      </c>
      <c r="B22856" s="4" t="s">
        <v>28764</v>
      </c>
      <c r="C22856" s="5" t="str">
        <f>IFERROR(__xludf.DUMMYFUNCTION("GOOGLETRANSLATE(B22856,""en"",""fr"")"),"La mère pointe sous les meubles avec sa main puis le pied dirigeant le garçon.")</f>
        <v>La mère pointe sous les meubles avec sa main puis le pied dirigeant le garçon.</v>
      </c>
    </row>
    <row r="22857">
      <c r="A22857" s="4" t="s">
        <v>28762</v>
      </c>
      <c r="B22857" s="4" t="s">
        <v>28765</v>
      </c>
      <c r="C22857" s="5" t="str">
        <f>IFERROR(__xludf.DUMMYFUNCTION("GOOGLETRANSLATE(B22857,""en"",""fr"")"),"Le garçon pousse l'aspirateur dans le couloir et aspire la zone.")</f>
        <v>Le garçon pousse l'aspirateur dans le couloir et aspire la zone.</v>
      </c>
    </row>
    <row r="22858">
      <c r="A22858" s="4" t="s">
        <v>28766</v>
      </c>
      <c r="B22858" s="4" t="s">
        <v>28767</v>
      </c>
      <c r="C22858" s="5" t="str">
        <f>IFERROR(__xludf.DUMMYFUNCTION("GOOGLETRANSLATE(B22858,""en"",""fr"")"),"Un homme explique et montre comment faire un tour de colline de surf de neige.")</f>
        <v>Un homme explique et montre comment faire un tour de colline de surf de neige.</v>
      </c>
    </row>
    <row r="22859">
      <c r="A22859" s="4" t="s">
        <v>28766</v>
      </c>
      <c r="B22859" s="4" t="s">
        <v>28768</v>
      </c>
      <c r="C22859" s="5" t="str">
        <f>IFERROR(__xludf.DUMMYFUNCTION("GOOGLETRANSLATE(B22859,""en"",""fr"")"),"Ensuite, l'homme effectue une orteil à l'aide d'une planche à noix de neige.")</f>
        <v>Ensuite, l'homme effectue une orteil à l'aide d'une planche à noix de neige.</v>
      </c>
    </row>
    <row r="22860">
      <c r="A22860" s="4" t="s">
        <v>28766</v>
      </c>
      <c r="B22860" s="4" t="s">
        <v>28769</v>
      </c>
      <c r="C22860" s="5" t="str">
        <f>IFERROR(__xludf.DUMMYFUNCTION("GOOGLETRANSLATE(B22860,""en"",""fr"")"),"L'homme continue d'expliquer et effectue un tour.")</f>
        <v>L'homme continue d'expliquer et effectue un tour.</v>
      </c>
    </row>
    <row r="22861">
      <c r="A22861" s="4" t="s">
        <v>28766</v>
      </c>
      <c r="B22861" s="4" t="s">
        <v>28770</v>
      </c>
      <c r="C22861" s="5" t="str">
        <f>IFERROR(__xludf.DUMMYFUNCTION("GOOGLETRANSLATE(B22861,""en"",""fr"")"),"Un ski pour tout-petit sur la neige.")</f>
        <v>Un ski pour tout-petit sur la neige.</v>
      </c>
    </row>
    <row r="22862">
      <c r="A22862" s="4" t="s">
        <v>28771</v>
      </c>
      <c r="B22862" s="4" t="s">
        <v>28772</v>
      </c>
      <c r="C22862" s="5" t="str">
        <f>IFERROR(__xludf.DUMMYFUNCTION("GOOGLETRANSLATE(B22862,""en"",""fr"")"),"Une femme est debout et parle dans une cuisine.")</f>
        <v>Une femme est debout et parle dans une cuisine.</v>
      </c>
    </row>
    <row r="22863">
      <c r="A22863" s="4" t="s">
        <v>28771</v>
      </c>
      <c r="B22863" s="4" t="s">
        <v>28773</v>
      </c>
      <c r="C22863" s="5" t="str">
        <f>IFERROR(__xludf.DUMMYFUNCTION("GOOGLETRANSLATE(B22863,""en"",""fr"")"),"Elle utilise un petit aspirateur.")</f>
        <v>Elle utilise un petit aspirateur.</v>
      </c>
    </row>
    <row r="22864">
      <c r="A22864" s="4" t="s">
        <v>28771</v>
      </c>
      <c r="B22864" s="4" t="s">
        <v>28774</v>
      </c>
      <c r="C22864" s="5" t="str">
        <f>IFERROR(__xludf.DUMMYFUNCTION("GOOGLETRANSLATE(B22864,""en"",""fr"")"),"Elle montre comment utiliser le vide pendant qu'elle parle.")</f>
        <v>Elle montre comment utiliser le vide pendant qu'elle parle.</v>
      </c>
    </row>
    <row r="22865">
      <c r="A22865" s="4" t="s">
        <v>28775</v>
      </c>
      <c r="B22865" s="6" t="s">
        <v>28776</v>
      </c>
      <c r="C22865" s="5" t="str">
        <f>IFERROR(__xludf.DUMMYFUNCTION("GOOGLETRANSLATE(B22865,""en"",""fr"")"),"La femme est dans une cuisine en train de parler et de trancher du fromage cheddar en morceaux épais, coupant le pain, puis elle a mis du beurre dans une casserole et le pain sur la poêle avec le fromage sur le dessus pour que le fromage puisse être fondu"&amp;" dans la poêle, la femme dit ceci est faux.")</f>
        <v>La femme est dans une cuisine en train de parler et de trancher du fromage cheddar en morceaux épais, coupant le pain, puis elle a mis du beurre dans une casserole et le pain sur la poêle avec le fromage sur le dessus pour que le fromage puisse être fondu dans la poêle, la femme dit ceci est faux.</v>
      </c>
    </row>
    <row r="22866">
      <c r="A22866" s="4" t="s">
        <v>28775</v>
      </c>
      <c r="B22866" s="6" t="s">
        <v>28777</v>
      </c>
      <c r="C22866" s="5" t="str">
        <f>IFERROR(__xludf.DUMMYFUNCTION("GOOGLETRANSLATE(B22866,""en"",""fr"")"),"La femme montre une poêle propre, mettez le beurre sur le pain et râpez le fromage, puis mettez-le comme un sandwich et dans la poêle avec un couvercle jusqu'à ce que le pain soit savoureux.")</f>
        <v>La femme montre une poêle propre, mettez le beurre sur le pain et râpez le fromage, puis mettez-le comme un sandwich et dans la poêle avec un couvercle jusqu'à ce que le pain soit savoureux.</v>
      </c>
    </row>
    <row r="22867">
      <c r="A22867" s="4" t="s">
        <v>28775</v>
      </c>
      <c r="B22867" s="4" t="s">
        <v>28778</v>
      </c>
      <c r="C22867" s="5" t="str">
        <f>IFERROR(__xludf.DUMMYFUNCTION("GOOGLETRANSLATE(B22867,""en"",""fr"")"),"La femme sert le pain dans un plat bleu et tranche en deux.")</f>
        <v>La femme sert le pain dans un plat bleu et tranche en deux.</v>
      </c>
    </row>
    <row r="22868">
      <c r="A22868" s="4" t="s">
        <v>28779</v>
      </c>
      <c r="B22868" s="4" t="s">
        <v>28780</v>
      </c>
      <c r="C22868" s="5" t="str">
        <f>IFERROR(__xludf.DUMMYFUNCTION("GOOGLETRANSLATE(B22868,""en"",""fr"")"),"Un homme est vu debout devant un feu levant une hache et commence à couper un morceau de bois.")</f>
        <v>Un homme est vu debout devant un feu levant une hache et commence à couper un morceau de bois.</v>
      </c>
    </row>
    <row r="22869">
      <c r="A22869" s="4" t="s">
        <v>28779</v>
      </c>
      <c r="B22869" s="6" t="s">
        <v>28781</v>
      </c>
      <c r="C22869" s="5" t="str">
        <f>IFERROR(__xludf.DUMMYFUNCTION("GOOGLETRANSLATE(B22869,""en"",""fr"")"),"Un autre homme tient les morceaux de bois alors que l'homme continue de couper le bois et l'autre homme en train de déplacer le bois.")</f>
        <v>Un autre homme tient les morceaux de bois alors que l'homme continue de couper le bois et l'autre homme en train de déplacer le bois.</v>
      </c>
    </row>
    <row r="22870">
      <c r="A22870" s="4" t="s">
        <v>28782</v>
      </c>
      <c r="B22870" s="4" t="s">
        <v>28783</v>
      </c>
      <c r="C22870" s="5" t="str">
        <f>IFERROR(__xludf.DUMMYFUNCTION("GOOGLETRANSLATE(B22870,""en"",""fr"")"),"Une personne en blanc coule vers la première base en jouant au kickball.")</f>
        <v>Une personne en blanc coule vers la première base en jouant au kickball.</v>
      </c>
    </row>
    <row r="22871">
      <c r="A22871" s="4" t="s">
        <v>28782</v>
      </c>
      <c r="B22871" s="4" t="s">
        <v>28784</v>
      </c>
      <c r="C22871" s="5" t="str">
        <f>IFERROR(__xludf.DUMMYFUNCTION("GOOGLETRANSLATE(B22871,""en"",""fr"")"),"L'homme est étiqueté par une femme portant du rouge.")</f>
        <v>L'homme est étiqueté par une femme portant du rouge.</v>
      </c>
    </row>
    <row r="22872">
      <c r="A22872" s="4" t="s">
        <v>28785</v>
      </c>
      <c r="B22872" s="4" t="s">
        <v>28786</v>
      </c>
      <c r="C22872" s="5" t="str">
        <f>IFERROR(__xludf.DUMMYFUNCTION("GOOGLETRANSLATE(B22872,""en"",""fr"")"),"Nous voyons un écran d'ouverture et un homme boit dans une tasse.")</f>
        <v>Nous voyons un écran d'ouverture et un homme boit dans une tasse.</v>
      </c>
    </row>
    <row r="22873">
      <c r="A22873" s="4" t="s">
        <v>28785</v>
      </c>
      <c r="B22873" s="4" t="s">
        <v>28787</v>
      </c>
      <c r="C22873" s="5" t="str">
        <f>IFERROR(__xludf.DUMMYFUNCTION("GOOGLETRANSLATE(B22873,""en"",""fr"")"),"L'homme peint les ongles d'une dame dans une salle à manger.")</f>
        <v>L'homme peint les ongles d'une dame dans une salle à manger.</v>
      </c>
    </row>
    <row r="22874">
      <c r="A22874" s="4" t="s">
        <v>28785</v>
      </c>
      <c r="B22874" s="4" t="s">
        <v>28788</v>
      </c>
      <c r="C22874" s="5" t="str">
        <f>IFERROR(__xludf.DUMMYFUNCTION("GOOGLETRANSLATE(B22874,""en"",""fr"")"),"La dame nous montre ses ongles.")</f>
        <v>La dame nous montre ses ongles.</v>
      </c>
    </row>
    <row r="22875">
      <c r="A22875" s="4" t="s">
        <v>28785</v>
      </c>
      <c r="B22875" s="4" t="s">
        <v>28789</v>
      </c>
      <c r="C22875" s="5" t="str">
        <f>IFERROR(__xludf.DUMMYFUNCTION("GOOGLETRANSLATE(B22875,""en"",""fr"")"),"L'homme boit de sa tasse.")</f>
        <v>L'homme boit de sa tasse.</v>
      </c>
    </row>
    <row r="22876">
      <c r="A22876" s="4" t="s">
        <v>28785</v>
      </c>
      <c r="B22876" s="4" t="s">
        <v>28790</v>
      </c>
      <c r="C22876" s="5" t="str">
        <f>IFERROR(__xludf.DUMMYFUNCTION("GOOGLETRANSLATE(B22876,""en"",""fr"")"),"L'homme se penche en arrière et rit.")</f>
        <v>L'homme se penche en arrière et rit.</v>
      </c>
    </row>
    <row r="22877">
      <c r="A22877" s="4" t="s">
        <v>28785</v>
      </c>
      <c r="B22877" s="4" t="s">
        <v>28791</v>
      </c>
      <c r="C22877" s="5" t="str">
        <f>IFERROR(__xludf.DUMMYFUNCTION("GOOGLETRANSLATE(B22877,""en"",""fr"")"),"Nous voyons un écran de crédit final.")</f>
        <v>Nous voyons un écran de crédit final.</v>
      </c>
    </row>
    <row r="22878">
      <c r="A22878" s="4" t="s">
        <v>28792</v>
      </c>
      <c r="B22878" s="4" t="s">
        <v>28793</v>
      </c>
      <c r="C22878" s="5" t="str">
        <f>IFERROR(__xludf.DUMMYFUNCTION("GOOGLETRANSLATE(B22878,""en"",""fr"")"),"Un homme athlétique est vu en train de discuter et commence à se tourner au ralenti.")</f>
        <v>Un homme athlétique est vu en train de discuter et commence à se tourner au ralenti.</v>
      </c>
    </row>
    <row r="22879">
      <c r="A22879" s="4" t="s">
        <v>28792</v>
      </c>
      <c r="B22879" s="6" t="s">
        <v>28794</v>
      </c>
      <c r="C22879" s="5" t="str">
        <f>IFERROR(__xludf.DUMMYFUNCTION("GOOGLETRANSLATE(B22879,""en"",""fr"")"),"L'homme jette ensuite l'objet au loin et marche lent tout en se déplaçant au ralenti.")</f>
        <v>L'homme jette ensuite l'objet au loin et marche lent tout en se déplaçant au ralenti.</v>
      </c>
    </row>
    <row r="22880">
      <c r="A22880" s="4" t="s">
        <v>28795</v>
      </c>
      <c r="B22880" s="4" t="s">
        <v>28796</v>
      </c>
      <c r="C22880" s="5" t="str">
        <f>IFERROR(__xludf.DUMMYFUNCTION("GOOGLETRANSLATE(B22880,""en"",""fr"")"),"Une tondeuse à gazon est attachée à une corde blanche.")</f>
        <v>Une tondeuse à gazon est attachée à une corde blanche.</v>
      </c>
    </row>
    <row r="22881">
      <c r="A22881" s="4" t="s">
        <v>28795</v>
      </c>
      <c r="B22881" s="4" t="s">
        <v>28797</v>
      </c>
      <c r="C22881" s="5" t="str">
        <f>IFERROR(__xludf.DUMMYFUNCTION("GOOGLETRANSLATE(B22881,""en"",""fr"")"),"Il est allumé et commence à aller en rond autour de la corde tonte la pelouse.")</f>
        <v>Il est allumé et commence à aller en rond autour de la corde tonte la pelouse.</v>
      </c>
    </row>
    <row r="22882">
      <c r="A22882" s="4" t="s">
        <v>28798</v>
      </c>
      <c r="B22882" s="6" t="s">
        <v>28799</v>
      </c>
      <c r="C22882" s="5" t="str">
        <f>IFERROR(__xludf.DUMMYFUNCTION("GOOGLETRANSLATE(B22882,""en"",""fr"")"),"Une photo d'un terrain de jeu est montrée avec divers enfants jouant sur le terrain de jeu et descendant une diapositive.")</f>
        <v>Une photo d'un terrain de jeu est montrée avec divers enfants jouant sur le terrain de jeu et descendant une diapositive.</v>
      </c>
    </row>
    <row r="22883">
      <c r="A22883" s="4" t="s">
        <v>28798</v>
      </c>
      <c r="B22883" s="6" t="s">
        <v>28800</v>
      </c>
      <c r="C22883" s="5" t="str">
        <f>IFERROR(__xludf.DUMMYFUNCTION("GOOGLETRANSLATE(B22883,""en"",""fr"")"),"Plus de coups sont montrés des enfants qui se balancent et raccrochent le côté ainsi que pour déplacer un volant et grimper vers le haut.")</f>
        <v>Plus de coups sont montrés des enfants qui se balancent et raccrochent le côté ainsi que pour déplacer un volant et grimper vers le haut.</v>
      </c>
    </row>
    <row r="22884">
      <c r="A22884" s="4" t="s">
        <v>28801</v>
      </c>
      <c r="B22884" s="4" t="s">
        <v>28802</v>
      </c>
      <c r="C22884" s="5" t="str">
        <f>IFERROR(__xludf.DUMMYFUNCTION("GOOGLETRANSLATE(B22884,""en"",""fr"")"),"Une équipe de nageurs est blottie.")</f>
        <v>Une équipe de nageurs est blottie.</v>
      </c>
    </row>
    <row r="22885">
      <c r="A22885" s="4" t="s">
        <v>28801</v>
      </c>
      <c r="B22885" s="4" t="s">
        <v>28803</v>
      </c>
      <c r="C22885" s="5" t="str">
        <f>IFERROR(__xludf.DUMMYFUNCTION("GOOGLETRANSLATE(B22885,""en"",""fr"")"),"L'équipe monte dans la piscine.")</f>
        <v>L'équipe monte dans la piscine.</v>
      </c>
    </row>
    <row r="22886">
      <c r="A22886" s="4" t="s">
        <v>28801</v>
      </c>
      <c r="B22886" s="4" t="s">
        <v>28804</v>
      </c>
      <c r="C22886" s="5" t="str">
        <f>IFERROR(__xludf.DUMMYFUNCTION("GOOGLETRANSLATE(B22886,""en"",""fr"")"),"Deux équipes jouent un water-polo l'un contre l'autre.")</f>
        <v>Deux équipes jouent un water-polo l'un contre l'autre.</v>
      </c>
    </row>
    <row r="22887">
      <c r="A22887" s="4" t="s">
        <v>28801</v>
      </c>
      <c r="B22887" s="4" t="s">
        <v>28805</v>
      </c>
      <c r="C22887" s="5" t="str">
        <f>IFERROR(__xludf.DUMMYFUNCTION("GOOGLETRANSLATE(B22887,""en"",""fr"")"),"Une foule regarde des tribunes.")</f>
        <v>Une foule regarde des tribunes.</v>
      </c>
    </row>
    <row r="22888">
      <c r="A22888" s="4" t="s">
        <v>28806</v>
      </c>
      <c r="B22888" s="4" t="s">
        <v>28807</v>
      </c>
      <c r="C22888" s="5" t="str">
        <f>IFERROR(__xludf.DUMMYFUNCTION("GOOGLETRANSLATE(B22888,""en"",""fr"")"),"Nous voyons un tableau de bord dans un match.")</f>
        <v>Nous voyons un tableau de bord dans un match.</v>
      </c>
    </row>
    <row r="22889">
      <c r="A22889" s="4" t="s">
        <v>28806</v>
      </c>
      <c r="B22889" s="4" t="s">
        <v>28808</v>
      </c>
      <c r="C22889" s="5" t="str">
        <f>IFERROR(__xludf.DUMMYFUNCTION("GOOGLETRANSLATE(B22889,""en"",""fr"")"),"Les filles courent sur le terrain et serrent la main de l'autre équipe.")</f>
        <v>Les filles courent sur le terrain et serrent la main de l'autre équipe.</v>
      </c>
    </row>
    <row r="22890">
      <c r="A22890" s="4" t="s">
        <v>28806</v>
      </c>
      <c r="B22890" s="4" t="s">
        <v>28809</v>
      </c>
      <c r="C22890" s="5" t="str">
        <f>IFERROR(__xludf.DUMMYFUNCTION("GOOGLETRANSLATE(B22890,""en"",""fr"")"),"Nous voyons des filles jouer au volleyball à l'intérieur.")</f>
        <v>Nous voyons des filles jouer au volleyball à l'intérieur.</v>
      </c>
    </row>
    <row r="22891">
      <c r="A22891" s="4" t="s">
        <v>28806</v>
      </c>
      <c r="B22891" s="4" t="s">
        <v>28810</v>
      </c>
      <c r="C22891" s="5" t="str">
        <f>IFERROR(__xludf.DUMMYFUNCTION("GOOGLETRANSLATE(B22891,""en"",""fr"")"),"Les filles de gauche font un coup de feu et l'équipe s'embrasse.")</f>
        <v>Les filles de gauche font un coup de feu et l'équipe s'embrasse.</v>
      </c>
    </row>
    <row r="22892">
      <c r="A22892" s="4" t="s">
        <v>28806</v>
      </c>
      <c r="B22892" s="4" t="s">
        <v>28811</v>
      </c>
      <c r="C22892" s="5" t="str">
        <f>IFERROR(__xludf.DUMMYFUNCTION("GOOGLETRANSLATE(B22892,""en"",""fr"")"),"Nous voyons le tableau de bord et les gens sur la touche parler.")</f>
        <v>Nous voyons le tableau de bord et les gens sur la touche parler.</v>
      </c>
    </row>
    <row r="22893">
      <c r="A22893" s="4" t="s">
        <v>28806</v>
      </c>
      <c r="B22893" s="4" t="s">
        <v>28812</v>
      </c>
      <c r="C22893" s="5" t="str">
        <f>IFERROR(__xludf.DUMMYFUNCTION("GOOGLETRANSLATE(B22893,""en"",""fr"")"),"Nous voyons un coup au ralenti et les filles se serrent étreintes.")</f>
        <v>Nous voyons un coup au ralenti et les filles se serrent étreintes.</v>
      </c>
    </row>
    <row r="22894">
      <c r="A22894" s="4" t="s">
        <v>28806</v>
      </c>
      <c r="B22894" s="4" t="s">
        <v>28813</v>
      </c>
      <c r="C22894" s="5" t="str">
        <f>IFERROR(__xludf.DUMMYFUNCTION("GOOGLETRANSLATE(B22894,""en"",""fr"")"),"Le jeu est terminé et les filles se serrent toutes la main.")</f>
        <v>Le jeu est terminé et les filles se serrent toutes la main.</v>
      </c>
    </row>
    <row r="22895">
      <c r="A22895" s="4" t="s">
        <v>28814</v>
      </c>
      <c r="B22895" s="4" t="s">
        <v>28815</v>
      </c>
      <c r="C22895" s="5" t="str">
        <f>IFERROR(__xludf.DUMMYFUNCTION("GOOGLETRANSLATE(B22895,""en"",""fr"")"),"Deux hommes sont dans une piscine qui mettent du matériel de plongée.")</f>
        <v>Deux hommes sont dans une piscine qui mettent du matériel de plongée.</v>
      </c>
    </row>
    <row r="22896">
      <c r="A22896" s="4" t="s">
        <v>28814</v>
      </c>
      <c r="B22896" s="4" t="s">
        <v>28816</v>
      </c>
      <c r="C22896" s="5" t="str">
        <f>IFERROR(__xludf.DUMMYFUNCTION("GOOGLETRANSLATE(B22896,""en"",""fr"")"),"L'homme en rouge met la reniflard dans sa bouche puis flotte vers l'arrière sur son dos.")</f>
        <v>L'homme en rouge met la reniflard dans sa bouche puis flotte vers l'arrière sur son dos.</v>
      </c>
    </row>
    <row r="22897">
      <c r="A22897" s="4" t="s">
        <v>28814</v>
      </c>
      <c r="B22897" s="4" t="s">
        <v>28817</v>
      </c>
      <c r="C22897" s="5" t="str">
        <f>IFERROR(__xludf.DUMMYFUNCTION("GOOGLETRANSLATE(B22897,""en"",""fr"")"),"Nous voyons l'homme en rouge et bleu mettre une solution sur leurs lunettes avant de les essayer.")</f>
        <v>Nous voyons l'homme en rouge et bleu mettre une solution sur leurs lunettes avant de les essayer.</v>
      </c>
    </row>
    <row r="22898">
      <c r="A22898" s="4" t="s">
        <v>28814</v>
      </c>
      <c r="B22898" s="4" t="s">
        <v>28818</v>
      </c>
      <c r="C22898" s="5" t="str">
        <f>IFERROR(__xludf.DUMMYFUNCTION("GOOGLETRANSLATE(B22898,""en"",""fr"")"),"L'homme en rouge met le tube dans sa bouche puis le reniflard avant de passer sous l'eau.")</f>
        <v>L'homme en rouge met le tube dans sa bouche puis le reniflard avant de passer sous l'eau.</v>
      </c>
    </row>
    <row r="22899">
      <c r="A22899" s="4" t="s">
        <v>28814</v>
      </c>
      <c r="B22899" s="4" t="s">
        <v>28819</v>
      </c>
      <c r="C22899" s="5" t="str">
        <f>IFERROR(__xludf.DUMMYFUNCTION("GOOGLETRANSLATE(B22899,""en"",""fr"")"),"Nous voyons ensuite une connexion à l'envers flottant dans l'eau.")</f>
        <v>Nous voyons ensuite une connexion à l'envers flottant dans l'eau.</v>
      </c>
    </row>
    <row r="22900">
      <c r="A22900" s="4" t="s">
        <v>28820</v>
      </c>
      <c r="B22900" s="4" t="s">
        <v>28821</v>
      </c>
      <c r="C22900" s="5" t="str">
        <f>IFERROR(__xludf.DUMMYFUNCTION("GOOGLETRANSLATE(B22900,""en"",""fr"")"),"Une petite fille est assise à côté de tous ses jouets mangeant une glace très désordonnée.")</f>
        <v>Une petite fille est assise à côté de tous ses jouets mangeant une glace très désordonnée.</v>
      </c>
    </row>
    <row r="22901">
      <c r="A22901" s="4" t="s">
        <v>28820</v>
      </c>
      <c r="B22901" s="4" t="s">
        <v>28822</v>
      </c>
      <c r="C22901" s="5" t="str">
        <f>IFERROR(__xludf.DUMMYFUNCTION("GOOGLETRANSLATE(B22901,""en"",""fr"")"),"Sa maman lui enlève la glace et elle commence à pleurer.")</f>
        <v>Sa maman lui enlève la glace et elle commence à pleurer.</v>
      </c>
    </row>
    <row r="22902">
      <c r="A22902" s="4" t="s">
        <v>28820</v>
      </c>
      <c r="B22902" s="4" t="s">
        <v>28823</v>
      </c>
      <c r="C22902" s="5" t="str">
        <f>IFERROR(__xludf.DUMMYFUNCTION("GOOGLETRANSLATE(B22902,""en"",""fr"")"),"Sa maman lui rend la crème glacée et elle est à nouveau heureuse, de retour à la manger.")</f>
        <v>Sa maman lui rend la crème glacée et elle est à nouveau heureuse, de retour à la manger.</v>
      </c>
    </row>
    <row r="22903">
      <c r="A22903" s="4" t="s">
        <v>28820</v>
      </c>
      <c r="B22903" s="4" t="s">
        <v>28824</v>
      </c>
      <c r="C22903" s="5" t="str">
        <f>IFERROR(__xludf.DUMMYFUNCTION("GOOGLETRANSLATE(B22903,""en"",""fr"")"),"Elle joue avec ses jouets avec ses doigts de crème glacée collants et sa crème glacée dans l'autre main.")</f>
        <v>Elle joue avec ses jouets avec ses doigts de crème glacée collants et sa crème glacée dans l'autre main.</v>
      </c>
    </row>
    <row r="22904">
      <c r="A22904" s="4" t="s">
        <v>28825</v>
      </c>
      <c r="B22904" s="4" t="s">
        <v>28826</v>
      </c>
      <c r="C22904" s="5" t="str">
        <f>IFERROR(__xludf.DUMMYFUNCTION("GOOGLETRANSLATE(B22904,""en"",""fr"")"),"Nous voyons un homme casser la danse dans une place de bureau.")</f>
        <v>Nous voyons un homme casser la danse dans une place de bureau.</v>
      </c>
    </row>
    <row r="22905">
      <c r="A22905" s="4" t="s">
        <v>28825</v>
      </c>
      <c r="B22905" s="4" t="s">
        <v>28827</v>
      </c>
      <c r="C22905" s="5" t="str">
        <f>IFERROR(__xludf.DUMMYFUNCTION("GOOGLETRANSLATE(B22905,""en"",""fr"")"),"Nous changeons et voyons différents hommes casser la danse dans des places de bureau et des lobbies.")</f>
        <v>Nous changeons et voyons différents hommes casser la danse dans des places de bureau et des lobbies.</v>
      </c>
    </row>
    <row r="22906">
      <c r="A22906" s="4" t="s">
        <v>28825</v>
      </c>
      <c r="B22906" s="4" t="s">
        <v>28828</v>
      </c>
      <c r="C22906" s="5" t="str">
        <f>IFERROR(__xludf.DUMMYFUNCTION("GOOGLETRANSLATE(B22906,""en"",""fr"")"),"Nous voyons l'homme faire une poignée.")</f>
        <v>Nous voyons l'homme faire une poignée.</v>
      </c>
    </row>
    <row r="22907">
      <c r="A22907" s="4" t="s">
        <v>28825</v>
      </c>
      <c r="B22907" s="4" t="s">
        <v>28829</v>
      </c>
      <c r="C22907" s="5" t="str">
        <f>IFERROR(__xludf.DUMMYFUNCTION("GOOGLETRANSLATE(B22907,""en"",""fr"")"),"Nous voyons un homme décoller et jeter sa veste sur la caméra.")</f>
        <v>Nous voyons un homme décoller et jeter sa veste sur la caméra.</v>
      </c>
    </row>
    <row r="22908">
      <c r="A22908" s="4" t="s">
        <v>28825</v>
      </c>
      <c r="B22908" s="4" t="s">
        <v>28830</v>
      </c>
      <c r="C22908" s="5" t="str">
        <f>IFERROR(__xludf.DUMMYFUNCTION("GOOGLETRANSLATE(B22908,""en"",""fr"")"),"Nous voyons l'écran de fermeture noire.")</f>
        <v>Nous voyons l'écran de fermeture noire.</v>
      </c>
    </row>
    <row r="22909">
      <c r="A22909" s="4" t="s">
        <v>28831</v>
      </c>
      <c r="B22909" s="4" t="s">
        <v>28832</v>
      </c>
      <c r="C22909" s="5" t="str">
        <f>IFERROR(__xludf.DUMMYFUNCTION("GOOGLETRANSLATE(B22909,""en"",""fr"")"),"Un homme portant un chapeau de baseball noir et une chemise noire joue une guitare acoustique.")</f>
        <v>Un homme portant un chapeau de baseball noir et une chemise noire joue une guitare acoustique.</v>
      </c>
    </row>
    <row r="22910">
      <c r="A22910" s="4" t="s">
        <v>28831</v>
      </c>
      <c r="B22910" s="4" t="s">
        <v>28833</v>
      </c>
      <c r="C22910" s="5" t="str">
        <f>IFERROR(__xludf.DUMMYFUNCTION("GOOGLETRANSLATE(B22910,""en"",""fr"")"),"Il joue hier la chanson des Beatles sur sa guitare.")</f>
        <v>Il joue hier la chanson des Beatles sur sa guitare.</v>
      </c>
    </row>
    <row r="22911">
      <c r="A22911" s="4" t="s">
        <v>28831</v>
      </c>
      <c r="B22911" s="4" t="s">
        <v>28834</v>
      </c>
      <c r="C22911" s="5" t="str">
        <f>IFERROR(__xludf.DUMMYFUNCTION("GOOGLETRANSLATE(B22911,""en"",""fr"")"),"Il joue jusqu'à ce que toute la chanson soit terminée, puis s'arrête et sourit à la caméra.")</f>
        <v>Il joue jusqu'à ce que toute la chanson soit terminée, puis s'arrête et sourit à la caméra.</v>
      </c>
    </row>
    <row r="22912">
      <c r="A22912" s="4" t="s">
        <v>28835</v>
      </c>
      <c r="B22912" s="4" t="s">
        <v>28836</v>
      </c>
      <c r="C22912" s="5" t="str">
        <f>IFERROR(__xludf.DUMMYFUNCTION("GOOGLETRANSLATE(B22912,""en"",""fr"")"),"Un groupe de personnes transportait un bateau sur la tête.")</f>
        <v>Un groupe de personnes transportait un bateau sur la tête.</v>
      </c>
    </row>
    <row r="22913">
      <c r="A22913" s="4" t="s">
        <v>28835</v>
      </c>
      <c r="B22913" s="4" t="s">
        <v>28837</v>
      </c>
      <c r="C22913" s="5" t="str">
        <f>IFERROR(__xludf.DUMMYFUNCTION("GOOGLETRANSLATE(B22913,""en"",""fr"")"),"Les gens sautent en arrière sur la rivière et flotte sur le dos.")</f>
        <v>Les gens sautent en arrière sur la rivière et flotte sur le dos.</v>
      </c>
    </row>
    <row r="22914">
      <c r="A22914" s="4" t="s">
        <v>28835</v>
      </c>
      <c r="B22914" s="4" t="s">
        <v>28838</v>
      </c>
      <c r="C22914" s="5" t="str">
        <f>IFERROR(__xludf.DUMMYFUNCTION("GOOGLETRANSLATE(B22914,""en"",""fr"")"),"Ensuite, les gens d'un radeau de bateau dans les eaux agitées d'une rivière pagayant.")</f>
        <v>Ensuite, les gens d'un radeau de bateau dans les eaux agitées d'une rivière pagayant.</v>
      </c>
    </row>
    <row r="22915">
      <c r="A22915" s="4" t="s">
        <v>28835</v>
      </c>
      <c r="B22915" s="6" t="s">
        <v>28839</v>
      </c>
      <c r="C22915" s="5" t="str">
        <f>IFERROR(__xludf.DUMMYFUNCTION("GOOGLETRANSLATE(B22915,""en"",""fr"")"),"Les gens de deux bateaux se rencontrent et commencent à se jeter de l'eau en utilisant les rames, puis certains chevrons sautent dans l'eau.")</f>
        <v>Les gens de deux bateaux se rencontrent et commencent à se jeter de l'eau en utilisant les rames, puis certains chevrons sautent dans l'eau.</v>
      </c>
    </row>
    <row r="22916">
      <c r="A22916" s="4" t="s">
        <v>28835</v>
      </c>
      <c r="B22916" s="4" t="s">
        <v>28840</v>
      </c>
      <c r="C22916" s="5" t="str">
        <f>IFERROR(__xludf.DUMMYFUNCTION("GOOGLETRANSLATE(B22916,""en"",""fr"")"),"Les personnes sautent d'un balcon sur les rochers à l'eau tandis que d'autres personnes continuent de rafter.")</f>
        <v>Les personnes sautent d'un balcon sur les rochers à l'eau tandis que d'autres personnes continuent de rafter.</v>
      </c>
    </row>
    <row r="22917">
      <c r="A22917" s="4" t="s">
        <v>28841</v>
      </c>
      <c r="B22917" s="4" t="s">
        <v>28842</v>
      </c>
      <c r="C22917" s="5" t="str">
        <f>IFERROR(__xludf.DUMMYFUNCTION("GOOGLETRANSLATE(B22917,""en"",""fr"")"),"Une petite fille se tient derrière un homme dans une salle de bain qui se tient dans un lavabo.")</f>
        <v>Une petite fille se tient derrière un homme dans une salle de bain qui se tient dans un lavabo.</v>
      </c>
    </row>
    <row r="22918">
      <c r="A22918" s="4" t="s">
        <v>28841</v>
      </c>
      <c r="B22918" s="6" t="s">
        <v>28843</v>
      </c>
      <c r="C22918" s="5" t="str">
        <f>IFERROR(__xludf.DUMMYFUNCTION("GOOGLETRANSLATE(B22918,""en"",""fr"")"),"L'homme se retourne, attrape la serviette et commence à se sécher pendant que la fille est toujours debout par terre, puis remet la serviette quand il a fini.")</f>
        <v>L'homme se retourne, attrape la serviette et commence à se sécher pendant que la fille est toujours debout par terre, puis remet la serviette quand il a fini.</v>
      </c>
    </row>
    <row r="22919">
      <c r="A22919" s="4" t="s">
        <v>28841</v>
      </c>
      <c r="B22919" s="6" t="s">
        <v>28844</v>
      </c>
      <c r="C22919" s="5" t="str">
        <f>IFERROR(__xludf.DUMMYFUNCTION("GOOGLETRANSLATE(B22919,""en"",""fr"")"),"L'homme ramasse ensuite la petite fille et commence à se laver le visage et pendant que la petite fille se brosse les dents alors qu'elle se nettoie le visage.")</f>
        <v>L'homme ramasse ensuite la petite fille et commence à se laver le visage et pendant que la petite fille se brosse les dents alors qu'elle se nettoie le visage.</v>
      </c>
    </row>
    <row r="22920">
      <c r="A22920" s="4" t="s">
        <v>28845</v>
      </c>
      <c r="B22920" s="4" t="s">
        <v>28846</v>
      </c>
      <c r="C22920" s="5" t="str">
        <f>IFERROR(__xludf.DUMMYFUNCTION("GOOGLETRANSLATE(B22920,""en"",""fr"")"),"Un homme parle devant deux grandes fenêtres.")</f>
        <v>Un homme parle devant deux grandes fenêtres.</v>
      </c>
    </row>
    <row r="22921">
      <c r="A22921" s="4" t="s">
        <v>28845</v>
      </c>
      <c r="B22921" s="4" t="s">
        <v>28847</v>
      </c>
      <c r="C22921" s="5" t="str">
        <f>IFERROR(__xludf.DUMMYFUNCTION("GOOGLETRANSLATE(B22921,""en"",""fr"")"),"Deux hommes s'agenouillent sur le sol.")</f>
        <v>Deux hommes s'agenouillent sur le sol.</v>
      </c>
    </row>
    <row r="22922">
      <c r="A22922" s="4" t="s">
        <v>28845</v>
      </c>
      <c r="B22922" s="4" t="s">
        <v>28848</v>
      </c>
      <c r="C22922" s="5" t="str">
        <f>IFERROR(__xludf.DUMMYFUNCTION("GOOGLETRANSLATE(B22922,""en"",""fr"")"),"L'homme est de retour pour parler devant les fenêtres.")</f>
        <v>L'homme est de retour pour parler devant les fenêtres.</v>
      </c>
    </row>
    <row r="22923">
      <c r="A22923" s="4" t="s">
        <v>28845</v>
      </c>
      <c r="B22923" s="4" t="s">
        <v>28849</v>
      </c>
      <c r="C22923" s="5" t="str">
        <f>IFERROR(__xludf.DUMMYFUNCTION("GOOGLETRANSLATE(B22923,""en"",""fr"")"),"Deux hommes sont assis dans un train à parler.")</f>
        <v>Deux hommes sont assis dans un train à parler.</v>
      </c>
    </row>
    <row r="22924">
      <c r="A22924" s="4" t="s">
        <v>28845</v>
      </c>
      <c r="B22924" s="4" t="s">
        <v>28850</v>
      </c>
      <c r="C22924" s="5" t="str">
        <f>IFERROR(__xludf.DUMMYFUNCTION("GOOGLETRANSLATE(B22924,""en"",""fr"")"),"Un homme en manteau noir marche dans la rue.")</f>
        <v>Un homme en manteau noir marche dans la rue.</v>
      </c>
    </row>
    <row r="22925">
      <c r="A22925" s="4" t="s">
        <v>28845</v>
      </c>
      <c r="B22925" s="4" t="s">
        <v>28851</v>
      </c>
      <c r="C22925" s="5" t="str">
        <f>IFERROR(__xludf.DUMMYFUNCTION("GOOGLETRANSLATE(B22925,""en"",""fr"")"),"Il tient un livre blanc dans sa main et écrit dessus.")</f>
        <v>Il tient un livre blanc dans sa main et écrit dessus.</v>
      </c>
    </row>
    <row r="22926">
      <c r="A22926" s="4" t="s">
        <v>28845</v>
      </c>
      <c r="B22926" s="4" t="s">
        <v>28852</v>
      </c>
      <c r="C22926" s="5" t="str">
        <f>IFERROR(__xludf.DUMMYFUNCTION("GOOGLETRANSLATE(B22926,""en"",""fr"")"),"Il monte ensuite quelques escaliers sur un pont avec d'autres personnes.")</f>
        <v>Il monte ensuite quelques escaliers sur un pont avec d'autres personnes.</v>
      </c>
    </row>
    <row r="22927">
      <c r="A22927" s="4" t="s">
        <v>28845</v>
      </c>
      <c r="B22927" s="4" t="s">
        <v>28853</v>
      </c>
      <c r="C22927" s="5" t="str">
        <f>IFERROR(__xludf.DUMMYFUNCTION("GOOGLETRANSLATE(B22927,""en"",""fr"")"),"Il est exploité sur le pont.")</f>
        <v>Il est exploité sur le pont.</v>
      </c>
    </row>
    <row r="22928">
      <c r="A22928" s="4" t="s">
        <v>28845</v>
      </c>
      <c r="B22928" s="4" t="s">
        <v>28854</v>
      </c>
      <c r="C22928" s="5" t="str">
        <f>IFERROR(__xludf.DUMMYFUNCTION("GOOGLETRANSLATE(B22928,""en"",""fr"")"),"Il saute du pont et les sauts à l'élastique.")</f>
        <v>Il saute du pont et les sauts à l'élastique.</v>
      </c>
    </row>
    <row r="22929">
      <c r="A22929" s="4" t="s">
        <v>28845</v>
      </c>
      <c r="B22929" s="4" t="s">
        <v>28855</v>
      </c>
      <c r="C22929" s="5" t="str">
        <f>IFERROR(__xludf.DUMMYFUNCTION("GOOGLETRANSLATE(B22929,""en"",""fr"")"),"Un homme dans un gilet orange le met dans le bateau.")</f>
        <v>Un homme dans un gilet orange le met dans le bateau.</v>
      </c>
    </row>
    <row r="22930">
      <c r="A22930" s="4" t="s">
        <v>28845</v>
      </c>
      <c r="B22930" s="6" t="s">
        <v>28856</v>
      </c>
      <c r="C22930" s="5" t="str">
        <f>IFERROR(__xludf.DUMMYFUNCTION("GOOGLETRANSLATE(B22930,""en"",""fr"")"),"Un homme tenant une caméra se tient sur le trottoir et regarde un autre voyage et tomber et se reproduise pour l'aider.")</f>
        <v>Un homme tenant une caméra se tient sur le trottoir et regarde un autre voyage et tomber et se reproduise pour l'aider.</v>
      </c>
    </row>
    <row r="22931">
      <c r="A22931" s="4" t="s">
        <v>28857</v>
      </c>
      <c r="B22931" s="4" t="s">
        <v>28858</v>
      </c>
      <c r="C22931" s="5" t="str">
        <f>IFERROR(__xludf.DUMMYFUNCTION("GOOGLETRANSLATE(B22931,""en"",""fr"")"),"Un homme est montré dans l'eau, portant un casque, tenant une pagaie et assis dans un kayak.")</f>
        <v>Un homme est montré dans l'eau, portant un casque, tenant une pagaie et assis dans un kayak.</v>
      </c>
    </row>
    <row r="22932">
      <c r="A22932" s="4" t="s">
        <v>28857</v>
      </c>
      <c r="B22932" s="4" t="s">
        <v>28859</v>
      </c>
      <c r="C22932" s="5" t="str">
        <f>IFERROR(__xludf.DUMMYFUNCTION("GOOGLETRANSLATE(B22932,""en"",""fr"")"),"Il parle à la caméra de la façon d'utiliser le kayak.")</f>
        <v>Il parle à la caméra de la façon d'utiliser le kayak.</v>
      </c>
    </row>
    <row r="22933">
      <c r="A22933" s="4" t="s">
        <v>28857</v>
      </c>
      <c r="B22933" s="4" t="s">
        <v>28860</v>
      </c>
      <c r="C22933" s="5" t="str">
        <f>IFERROR(__xludf.DUMMYFUNCTION("GOOGLETRANSLATE(B22933,""en"",""fr"")"),"Il montre plusieurs mouvements de balancement et de pagaie, et retourne le kayak une fois à la fin.")</f>
        <v>Il montre plusieurs mouvements de balancement et de pagaie, et retourne le kayak une fois à la fin.</v>
      </c>
    </row>
    <row r="22934">
      <c r="A22934" s="4" t="s">
        <v>28861</v>
      </c>
      <c r="B22934" s="4" t="s">
        <v>28862</v>
      </c>
      <c r="C22934" s="5" t="str">
        <f>IFERROR(__xludf.DUMMYFUNCTION("GOOGLETRANSLATE(B22934,""en"",""fr"")"),"Un groupe joue au football sur un terrain.")</f>
        <v>Un groupe joue au football sur un terrain.</v>
      </c>
    </row>
    <row r="22935">
      <c r="A22935" s="4" t="s">
        <v>28861</v>
      </c>
      <c r="B22935" s="4" t="s">
        <v>28863</v>
      </c>
      <c r="C22935" s="5" t="str">
        <f>IFERROR(__xludf.DUMMYFUNCTION("GOOGLETRANSLATE(B22935,""en"",""fr"")"),"Les filles poursuivent le ballon, la frappant avec des bâtons, essayant de le mettre dans le but.")</f>
        <v>Les filles poursuivent le ballon, la frappant avec des bâtons, essayant de le mettre dans le but.</v>
      </c>
    </row>
    <row r="22936">
      <c r="A22936" s="4" t="s">
        <v>28864</v>
      </c>
      <c r="B22936" s="6" t="s">
        <v>28865</v>
      </c>
      <c r="C22936" s="5" t="str">
        <f>IFERROR(__xludf.DUMMYFUNCTION("GOOGLETRANSLATE(B22936,""en"",""fr"")"),"Un homme nettoie un endroit dans l'évier de la cuisine avec une éponge et une bouteille de nettoyant Clorox, dans une publicité en noir et blanc.")</f>
        <v>Un homme nettoie un endroit dans l'évier de la cuisine avec une éponge et une bouteille de nettoyant Clorox, dans une publicité en noir et blanc.</v>
      </c>
    </row>
    <row r="22937">
      <c r="A22937" s="4" t="s">
        <v>28864</v>
      </c>
      <c r="B22937" s="4" t="s">
        <v>28866</v>
      </c>
      <c r="C22937" s="5" t="str">
        <f>IFERROR(__xludf.DUMMYFUNCTION("GOOGLETRANSLATE(B22937,""en"",""fr"")"),"Une photo d'une ville de banlieue est montrée avec un gros plan du nom de la ville sur un panneau de la ville.")</f>
        <v>Une photo d'une ville de banlieue est montrée avec un gros plan du nom de la ville sur un panneau de la ville.</v>
      </c>
    </row>
    <row r="22938">
      <c r="A22938" s="4" t="s">
        <v>28864</v>
      </c>
      <c r="B22938" s="4" t="s">
        <v>28867</v>
      </c>
      <c r="C22938" s="5" t="str">
        <f>IFERROR(__xludf.DUMMYFUNCTION("GOOGLETRANSLATE(B22938,""en"",""fr"")"),"Un homme dans un tablier se tient devant un évier de cuisine en mettant des plats dans un draineur.")</f>
        <v>Un homme dans un tablier se tient devant un évier de cuisine en mettant des plats dans un draineur.</v>
      </c>
    </row>
    <row r="22939">
      <c r="A22939" s="4" t="s">
        <v>28864</v>
      </c>
      <c r="B22939" s="6" t="s">
        <v>28868</v>
      </c>
      <c r="C22939" s="5" t="str">
        <f>IFERROR(__xludf.DUMMYFUNCTION("GOOGLETRANSLATE(B22939,""en"",""fr"")"),"L'homme nettoie une place dans l'évier avec une bouteille de Clorox et une éponge, avant qu'un modèle de marketing n'apparaisse avec le lettrage et le gros plan de la bouteille de Clorox.")</f>
        <v>L'homme nettoie une place dans l'évier avec une bouteille de Clorox et une éponge, avant qu'un modèle de marketing n'apparaisse avec le lettrage et le gros plan de la bouteille de Clorox.</v>
      </c>
    </row>
    <row r="22940">
      <c r="A22940" s="4" t="s">
        <v>28869</v>
      </c>
      <c r="B22940" s="6" t="s">
        <v>28870</v>
      </c>
      <c r="C22940" s="5" t="str">
        <f>IFERROR(__xludf.DUMMYFUNCTION("GOOGLETRANSLATE(B22940,""en"",""fr"")"),"Une femme tient la roue du yacht qui navigue dans l'océan, et un dauphin nage près du yacht.")</f>
        <v>Une femme tient la roue du yacht qui navigue dans l'océan, et un dauphin nage près du yacht.</v>
      </c>
    </row>
    <row r="22941">
      <c r="A22941" s="4" t="s">
        <v>28869</v>
      </c>
      <c r="B22941" s="4" t="s">
        <v>28871</v>
      </c>
      <c r="C22941" s="5" t="str">
        <f>IFERROR(__xludf.DUMMYFUNCTION("GOOGLETRANSLATE(B22941,""en"",""fr"")"),"Ensuite, un jeune homme parle, et à partir du temps, le temps montre le coucher du soleil.")</f>
        <v>Ensuite, un jeune homme parle, et à partir du temps, le temps montre le coucher du soleil.</v>
      </c>
    </row>
    <row r="22942">
      <c r="A22942" s="4" t="s">
        <v>28869</v>
      </c>
      <c r="B22942" s="4" t="s">
        <v>28872</v>
      </c>
      <c r="C22942" s="5" t="str">
        <f>IFERROR(__xludf.DUMMYFUNCTION("GOOGLETRANSLATE(B22942,""en"",""fr"")"),"Quatre personnes commencent à danser dans le yacht et un garçon danse contre la voile.")</f>
        <v>Quatre personnes commencent à danser dans le yacht et un garçon danse contre la voile.</v>
      </c>
    </row>
    <row r="22943">
      <c r="A22943" s="4" t="s">
        <v>28869</v>
      </c>
      <c r="B22943" s="4" t="s">
        <v>28873</v>
      </c>
      <c r="C22943" s="5" t="str">
        <f>IFERROR(__xludf.DUMMYFUNCTION("GOOGLETRANSLATE(B22943,""en"",""fr"")"),"Les quatre personnes détient un gros poisson avec les deux mains pendant que le yacht continue de naviguer.")</f>
        <v>Les quatre personnes détient un gros poisson avec les deux mains pendant que le yacht continue de naviguer.</v>
      </c>
    </row>
    <row r="22944">
      <c r="A22944" s="4" t="s">
        <v>28874</v>
      </c>
      <c r="B22944" s="4" t="s">
        <v>28875</v>
      </c>
      <c r="C22944" s="5" t="str">
        <f>IFERROR(__xludf.DUMMYFUNCTION("GOOGLETRANSLATE(B22944,""en"",""fr"")"),"Une femme habillée très confortablement fait un exercice sur un genou.")</f>
        <v>Une femme habillée très confortablement fait un exercice sur un genou.</v>
      </c>
    </row>
    <row r="22945">
      <c r="A22945" s="4" t="s">
        <v>28874</v>
      </c>
      <c r="B22945" s="4" t="s">
        <v>28876</v>
      </c>
      <c r="C22945" s="5" t="str">
        <f>IFERROR(__xludf.DUMMYFUNCTION("GOOGLETRANSLATE(B22945,""en"",""fr"")"),"Elle met son bras en l'air et regarde au loin la tenant en place.")</f>
        <v>Elle met son bras en l'air et regarde au loin la tenant en place.</v>
      </c>
    </row>
    <row r="22946">
      <c r="A22946" s="4" t="s">
        <v>28874</v>
      </c>
      <c r="B22946" s="4" t="s">
        <v>28877</v>
      </c>
      <c r="C22946" s="5" t="str">
        <f>IFERROR(__xludf.DUMMYFUNCTION("GOOGLETRANSLATE(B22946,""en"",""fr"")"),"Après avoir tenu cela sur place pendant quelques minutes, elle pose son bras puis fait face à l'avant.")</f>
        <v>Après avoir tenu cela sur place pendant quelques minutes, elle pose son bras puis fait face à l'avant.</v>
      </c>
    </row>
    <row r="22947">
      <c r="A22947" s="4" t="s">
        <v>28874</v>
      </c>
      <c r="B22947" s="4" t="s">
        <v>28878</v>
      </c>
      <c r="C22947" s="5" t="str">
        <f>IFERROR(__xludf.DUMMYFUNCTION("GOOGLETRANSLATE(B22947,""en"",""fr"")"),"Elle continue de rester dans ce poste.")</f>
        <v>Elle continue de rester dans ce poste.</v>
      </c>
    </row>
    <row r="22948">
      <c r="A22948" s="4" t="s">
        <v>28879</v>
      </c>
      <c r="B22948" s="4" t="s">
        <v>28880</v>
      </c>
      <c r="C22948" s="5" t="str">
        <f>IFERROR(__xludf.DUMMYFUNCTION("GOOGLETRANSLATE(B22948,""en"",""fr"")"),"Une vue à la première personne est vue d'un homme chevauchant une tondeuse à gazon.")</f>
        <v>Une vue à la première personne est vue d'un homme chevauchant une tondeuse à gazon.</v>
      </c>
    </row>
    <row r="22949">
      <c r="A22949" s="4" t="s">
        <v>28879</v>
      </c>
      <c r="B22949" s="4" t="s">
        <v>28881</v>
      </c>
      <c r="C22949" s="5" t="str">
        <f>IFERROR(__xludf.DUMMYFUNCTION("GOOGLETRANSLATE(B22949,""en"",""fr"")"),"Il se retire rapidement, tondre la pelouse.")</f>
        <v>Il se retire rapidement, tondre la pelouse.</v>
      </c>
    </row>
    <row r="22950">
      <c r="A22950" s="4" t="s">
        <v>28879</v>
      </c>
      <c r="B22950" s="4" t="s">
        <v>28882</v>
      </c>
      <c r="C22950" s="5" t="str">
        <f>IFERROR(__xludf.DUMMYFUNCTION("GOOGLETRANSLATE(B22950,""en"",""fr"")"),"Il continue jusqu'à ce que toute la cour soit fausse.")</f>
        <v>Il continue jusqu'à ce que toute la cour soit fausse.</v>
      </c>
    </row>
    <row r="22951">
      <c r="A22951" s="4" t="s">
        <v>28883</v>
      </c>
      <c r="B22951" s="4" t="s">
        <v>28884</v>
      </c>
      <c r="C22951" s="5" t="str">
        <f>IFERROR(__xludf.DUMMYFUNCTION("GOOGLETRANSLATE(B22951,""en"",""fr"")"),"Une fille se produit sur une poutre d'équilibre.")</f>
        <v>Une fille se produit sur une poutre d'équilibre.</v>
      </c>
    </row>
    <row r="22952">
      <c r="A22952" s="4" t="s">
        <v>28883</v>
      </c>
      <c r="B22952" s="4" t="s">
        <v>28885</v>
      </c>
      <c r="C22952" s="5" t="str">
        <f>IFERROR(__xludf.DUMMYFUNCTION("GOOGLETRANSLATE(B22952,""en"",""fr"")"),"La fille se tient et effectue deux flips.")</f>
        <v>La fille se tient et effectue deux flips.</v>
      </c>
    </row>
    <row r="22953">
      <c r="A22953" s="4" t="s">
        <v>28883</v>
      </c>
      <c r="B22953" s="4" t="s">
        <v>28886</v>
      </c>
      <c r="C22953" s="5" t="str">
        <f>IFERROR(__xludf.DUMMYFUNCTION("GOOGLETRANSLATE(B22953,""en"",""fr"")"),"La fille saute dans les airs deux fois.")</f>
        <v>La fille saute dans les airs deux fois.</v>
      </c>
    </row>
    <row r="22954">
      <c r="A22954" s="4" t="s">
        <v>28883</v>
      </c>
      <c r="B22954" s="4" t="s">
        <v>28887</v>
      </c>
      <c r="C22954" s="5" t="str">
        <f>IFERROR(__xludf.DUMMYFUNCTION("GOOGLETRANSLATE(B22954,""en"",""fr"")"),"La fille s'assoit puis se remet sur pied.")</f>
        <v>La fille s'assoit puis se remet sur pied.</v>
      </c>
    </row>
    <row r="22955">
      <c r="A22955" s="4" t="s">
        <v>28883</v>
      </c>
      <c r="B22955" s="4" t="s">
        <v>28888</v>
      </c>
      <c r="C22955" s="5" t="str">
        <f>IFERROR(__xludf.DUMMYFUNCTION("GOOGLETRANSLATE(B22955,""en"",""fr"")"),"La fille traverse le faisceau deux fois et démonte le faisceau.")</f>
        <v>La fille traverse le faisceau deux fois et démonte le faisceau.</v>
      </c>
    </row>
    <row r="22956">
      <c r="A22956" s="4" t="s">
        <v>28883</v>
      </c>
      <c r="B22956" s="4" t="s">
        <v>28889</v>
      </c>
      <c r="C22956" s="5" t="str">
        <f>IFERROR(__xludf.DUMMYFUNCTION("GOOGLETRANSLATE(B22956,""en"",""fr"")"),"La fille lève les bras et se tourne vers cinq ans et serre une dame debout à proximité.")</f>
        <v>La fille lève les bras et se tourne vers cinq ans et serre une dame debout à proximité.</v>
      </c>
    </row>
    <row r="22957">
      <c r="A22957" s="4" t="s">
        <v>28890</v>
      </c>
      <c r="B22957" s="4" t="s">
        <v>28891</v>
      </c>
      <c r="C22957" s="5" t="str">
        <f>IFERROR(__xludf.DUMMYFUNCTION("GOOGLETRANSLATE(B22957,""en"",""fr"")"),"Un petit groupe d'enfants est vu rouler dans des tampants s'écraser les uns aux autres.")</f>
        <v>Un petit groupe d'enfants est vu rouler dans des tampants s'écraser les uns aux autres.</v>
      </c>
    </row>
    <row r="22958">
      <c r="A22958" s="4" t="s">
        <v>28890</v>
      </c>
      <c r="B22958" s="4" t="s">
        <v>28892</v>
      </c>
      <c r="C22958" s="5" t="str">
        <f>IFERROR(__xludf.DUMMYFUNCTION("GOOGLETRANSLATE(B22958,""en"",""fr"")"),"Les enfants se déplacent tout autour du jeu en frappant.")</f>
        <v>Les enfants se déplacent tout autour du jeu en frappant.</v>
      </c>
    </row>
    <row r="22959">
      <c r="A22959" s="4" t="s">
        <v>28890</v>
      </c>
      <c r="B22959" s="4" t="s">
        <v>28893</v>
      </c>
      <c r="C22959" s="5" t="str">
        <f>IFERROR(__xludf.DUMMYFUNCTION("GOOGLETRANSLATE(B22959,""en"",""fr"")"),"Le jeu continue avec les enfants qui jouent et s'écrasent les uns aux autres.")</f>
        <v>Le jeu continue avec les enfants qui jouent et s'écrasent les uns aux autres.</v>
      </c>
    </row>
    <row r="22960">
      <c r="A22960" s="4" t="s">
        <v>28894</v>
      </c>
      <c r="B22960" s="4" t="s">
        <v>28895</v>
      </c>
      <c r="C22960" s="5" t="str">
        <f>IFERROR(__xludf.DUMMYFUNCTION("GOOGLETRANSLATE(B22960,""en"",""fr"")"),"Un jeune homme sèche un couvercle en pot en dansant.")</f>
        <v>Un jeune homme sèche un couvercle en pot en dansant.</v>
      </c>
    </row>
    <row r="22961">
      <c r="A22961" s="4" t="s">
        <v>28894</v>
      </c>
      <c r="B22961" s="4" t="s">
        <v>28896</v>
      </c>
      <c r="C22961" s="5" t="str">
        <f>IFERROR(__xludf.DUMMYFUNCTION("GOOGLETRANSLATE(B22961,""en"",""fr"")"),"De plus, un adolescent lave une tasse d'acier et de danse.")</f>
        <v>De plus, un adolescent lave une tasse d'acier et de danse.</v>
      </c>
    </row>
    <row r="22962">
      <c r="A22962" s="4" t="s">
        <v>28894</v>
      </c>
      <c r="B22962" s="4" t="s">
        <v>28897</v>
      </c>
      <c r="C22962" s="5" t="str">
        <f>IFERROR(__xludf.DUMMYFUNCTION("GOOGLETRANSLATE(B22962,""en"",""fr"")"),"Une femme entre et quitte ensuite la cuisine.")</f>
        <v>Une femme entre et quitte ensuite la cuisine.</v>
      </c>
    </row>
    <row r="22963">
      <c r="A22963" s="4" t="s">
        <v>28898</v>
      </c>
      <c r="B22963" s="4" t="s">
        <v>28899</v>
      </c>
      <c r="C22963" s="5" t="str">
        <f>IFERROR(__xludf.DUMMYFUNCTION("GOOGLETRANSLATE(B22963,""en"",""fr"")"),"Un jeune homme est assis sur un planteur devant un bâtiment en brique.")</f>
        <v>Un jeune homme est assis sur un planteur devant un bâtiment en brique.</v>
      </c>
    </row>
    <row r="22964">
      <c r="A22964" s="4" t="s">
        <v>28898</v>
      </c>
      <c r="B22964" s="4" t="s">
        <v>28900</v>
      </c>
      <c r="C22964" s="5" t="str">
        <f>IFERROR(__xludf.DUMMYFUNCTION("GOOGLETRANSLATE(B22964,""en"",""fr"")"),"Un graphique est vu avec des dessins animés.")</f>
        <v>Un graphique est vu avec des dessins animés.</v>
      </c>
    </row>
    <row r="22965">
      <c r="A22965" s="4" t="s">
        <v>28898</v>
      </c>
      <c r="B22965" s="6" t="s">
        <v>28901</v>
      </c>
      <c r="C22965" s="5" t="str">
        <f>IFERROR(__xludf.DUMMYFUNCTION("GOOGLETRANSLATE(B22965,""en"",""fr"")"),"Le jeune homme est assis sur un planteur avec une planche à roulettes sur ses genoux, le jeune homme tourne sa planche et fait des tours de skate sur l'asphalte.")</f>
        <v>Le jeune homme est assis sur un planteur avec une planche à roulettes sur ses genoux, le jeune homme tourne sa planche et fait des tours de skate sur l'asphalte.</v>
      </c>
    </row>
    <row r="22966">
      <c r="A22966" s="4" t="s">
        <v>28898</v>
      </c>
      <c r="B22966" s="4" t="s">
        <v>28902</v>
      </c>
      <c r="C22966" s="5" t="str">
        <f>IFERROR(__xludf.DUMMYFUNCTION("GOOGLETRANSLATE(B22966,""en"",""fr"")"),"Le jeune homme fait des tours sur un cône de sécurité orange.")</f>
        <v>Le jeune homme fait des tours sur un cône de sécurité orange.</v>
      </c>
    </row>
    <row r="22967">
      <c r="A22967" s="4" t="s">
        <v>28898</v>
      </c>
      <c r="B22967" s="4" t="s">
        <v>28903</v>
      </c>
      <c r="C22967" s="5" t="str">
        <f>IFERROR(__xludf.DUMMYFUNCTION("GOOGLETRANSLATE(B22967,""en"",""fr"")"),"Le skateur se lève du rebord et se tient sur sa planche à roulettes.")</f>
        <v>Le skateur se lève du rebord et se tient sur sa planche à roulettes.</v>
      </c>
    </row>
    <row r="22968">
      <c r="A22968" s="4" t="s">
        <v>28904</v>
      </c>
      <c r="B22968" s="4" t="s">
        <v>28905</v>
      </c>
      <c r="C22968" s="5" t="str">
        <f>IFERROR(__xludf.DUMMYFUNCTION("GOOGLETRANSLATE(B22968,""en"",""fr"")"),"Un homme est vu parler à la caméra tout en se tenant sur une plage à côté d'une pelle.")</f>
        <v>Un homme est vu parler à la caméra tout en se tenant sur une plage à côté d'une pelle.</v>
      </c>
    </row>
    <row r="22969">
      <c r="A22969" s="4" t="s">
        <v>28904</v>
      </c>
      <c r="B22969" s="4" t="s">
        <v>28906</v>
      </c>
      <c r="C22969" s="5" t="str">
        <f>IFERROR(__xludf.DUMMYFUNCTION("GOOGLETRANSLATE(B22969,""en"",""fr"")"),"L'homme commence alors à pelleter un tas de saleté et à marcher jusqu'à l'eau pour remplir des seaux.")</f>
        <v>L'homme commence alors à pelleter un tas de saleté et à marcher jusqu'à l'eau pour remplir des seaux.</v>
      </c>
    </row>
    <row r="22970">
      <c r="A22970" s="4" t="s">
        <v>28904</v>
      </c>
      <c r="B22970" s="4" t="s">
        <v>28907</v>
      </c>
      <c r="C22970" s="5" t="str">
        <f>IFERROR(__xludf.DUMMYFUNCTION("GOOGLETRANSLATE(B22970,""en"",""fr"")"),"L'homme empile les seaux et commence à mettre du sable autour et à le sculpter dans un château.")</f>
        <v>L'homme empile les seaux et commence à mettre du sable autour et à le sculpter dans un château.</v>
      </c>
    </row>
    <row r="22971">
      <c r="A22971" s="4" t="s">
        <v>28904</v>
      </c>
      <c r="B22971" s="4" t="s">
        <v>28908</v>
      </c>
      <c r="C22971" s="5" t="str">
        <f>IFERROR(__xludf.DUMMYFUNCTION("GOOGLETRANSLATE(B22971,""en"",""fr"")"),"Il s'éloigne à la fin et montre le château qu'il a fait.")</f>
        <v>Il s'éloigne à la fin et montre le château qu'il a fait.</v>
      </c>
    </row>
    <row r="22972">
      <c r="A22972" s="4" t="s">
        <v>28909</v>
      </c>
      <c r="B22972" s="6" t="s">
        <v>28910</v>
      </c>
      <c r="C22972" s="5" t="str">
        <f>IFERROR(__xludf.DUMMYFUNCTION("GOOGLETRANSLATE(B22972,""en"",""fr"")"),"Une introduction mène à plusieurs plans de personnes conduisant une planche à roulettes dans diverses zones et se terminant dans un champ de maïs.")</f>
        <v>Une introduction mène à plusieurs plans de personnes conduisant une planche à roulettes dans diverses zones et se terminant dans un champ de maïs.</v>
      </c>
    </row>
    <row r="22973">
      <c r="A22973" s="4" t="s">
        <v>28909</v>
      </c>
      <c r="B22973" s="4" t="s">
        <v>28911</v>
      </c>
      <c r="C22973" s="5" t="str">
        <f>IFERROR(__xludf.DUMMYFUNCTION("GOOGLETRANSLATE(B22973,""en"",""fr"")"),"Ils se retrouvent dans une maison et nagent dans la piscine en faisant des astuces sur leurs planches sous l'eau.")</f>
        <v>Ils se retrouvent dans une maison et nagent dans la piscine en faisant des astuces sur leurs planches sous l'eau.</v>
      </c>
    </row>
    <row r="22974">
      <c r="A22974" s="4" t="s">
        <v>28909</v>
      </c>
      <c r="B22974" s="6" t="s">
        <v>28912</v>
      </c>
      <c r="C22974" s="5" t="str">
        <f>IFERROR(__xludf.DUMMYFUNCTION("GOOGLETRANSLATE(B22974,""en"",""fr"")"),"Ils sont ensuite vus monter à nouveau sur une route à la fin et un pensionnaire érafond la saleté dans la caméra.")</f>
        <v>Ils sont ensuite vus monter à nouveau sur une route à la fin et un pensionnaire érafond la saleté dans la caméra.</v>
      </c>
    </row>
    <row r="22975">
      <c r="A22975" s="4" t="s">
        <v>28913</v>
      </c>
      <c r="B22975" s="4" t="s">
        <v>28914</v>
      </c>
      <c r="C22975" s="5" t="str">
        <f>IFERROR(__xludf.DUMMYFUNCTION("GOOGLETRANSLATE(B22975,""en"",""fr"")"),"Un jeune enfant est poussé sur un swing d'un terrain de jeu en plein air dans un parc.")</f>
        <v>Un jeune enfant est poussé sur un swing d'un terrain de jeu en plein air dans un parc.</v>
      </c>
    </row>
    <row r="22976">
      <c r="A22976" s="4" t="s">
        <v>28913</v>
      </c>
      <c r="B22976" s="4" t="s">
        <v>28915</v>
      </c>
      <c r="C22976" s="5" t="str">
        <f>IFERROR(__xludf.DUMMYFUNCTION("GOOGLETRANSLATE(B22976,""en"",""fr"")"),"L'enfant tend la main.")</f>
        <v>L'enfant tend la main.</v>
      </c>
    </row>
    <row r="22977">
      <c r="A22977" s="4" t="s">
        <v>28916</v>
      </c>
      <c r="B22977" s="4" t="s">
        <v>28917</v>
      </c>
      <c r="C22977" s="5" t="str">
        <f>IFERROR(__xludf.DUMMYFUNCTION("GOOGLETRANSLATE(B22977,""en"",""fr"")"),"Trois personnes sont vues debout sur une pelouse commençant à effectuer des mouvements d'arts martiaux.")</f>
        <v>Trois personnes sont vues debout sur une pelouse commençant à effectuer des mouvements d'arts martiaux.</v>
      </c>
    </row>
    <row r="22978">
      <c r="A22978" s="4" t="s">
        <v>28916</v>
      </c>
      <c r="B22978" s="4" t="s">
        <v>28918</v>
      </c>
      <c r="C22978" s="5" t="str">
        <f>IFERROR(__xludf.DUMMYFUNCTION("GOOGLETRANSLATE(B22978,""en"",""fr"")"),"Le groupe se déplace en même temps tout en regardant loin de la caméra.")</f>
        <v>Le groupe se déplace en même temps tout en regardant loin de la caméra.</v>
      </c>
    </row>
    <row r="22979">
      <c r="A22979" s="4" t="s">
        <v>28916</v>
      </c>
      <c r="B22979" s="4" t="s">
        <v>28919</v>
      </c>
      <c r="C22979" s="5" t="str">
        <f>IFERROR(__xludf.DUMMYFUNCTION("GOOGLETRANSLATE(B22979,""en"",""fr"")"),"Ils continuent de déplacer leurs bras et leurs jambes ensemble et se terminent en tenant la pose.")</f>
        <v>Ils continuent de déplacer leurs bras et leurs jambes ensemble et se terminent en tenant la pose.</v>
      </c>
    </row>
    <row r="22980">
      <c r="A22980" s="4" t="s">
        <v>28920</v>
      </c>
      <c r="B22980" s="4" t="s">
        <v>28921</v>
      </c>
      <c r="C22980" s="5" t="str">
        <f>IFERROR(__xludf.DUMMYFUNCTION("GOOGLETRANSLATE(B22980,""en"",""fr"")"),"Les gens traînent sur une colline enneigée sur un tube intérieur.")</f>
        <v>Les gens traînent sur une colline enneigée sur un tube intérieur.</v>
      </c>
    </row>
    <row r="22981">
      <c r="A22981" s="4" t="s">
        <v>28920</v>
      </c>
      <c r="B22981" s="4" t="s">
        <v>28922</v>
      </c>
      <c r="C22981" s="5" t="str">
        <f>IFERROR(__xludf.DUMMYFUNCTION("GOOGLETRANSLATE(B22981,""en"",""fr"")"),"Ils s'arrêtent au fond de la colline.")</f>
        <v>Ils s'arrêtent au fond de la colline.</v>
      </c>
    </row>
    <row r="22982">
      <c r="A22982" s="4" t="s">
        <v>28920</v>
      </c>
      <c r="B22982" s="4" t="s">
        <v>28923</v>
      </c>
      <c r="C22982" s="5" t="str">
        <f>IFERROR(__xludf.DUMMYFUNCTION("GOOGLETRANSLATE(B22982,""en"",""fr"")"),"Plusieurs tubes sont sur une corde montée sur une colline.")</f>
        <v>Plusieurs tubes sont sur une corde montée sur une colline.</v>
      </c>
    </row>
    <row r="22983">
      <c r="A22983" s="4" t="s">
        <v>28920</v>
      </c>
      <c r="B22983" s="4" t="s">
        <v>28924</v>
      </c>
      <c r="C22983" s="5" t="str">
        <f>IFERROR(__xludf.DUMMYFUNCTION("GOOGLETRANSLATE(B22983,""en"",""fr"")"),"Les gens traînent à nouveau sur une colline sur un tube intérieur.")</f>
        <v>Les gens traînent à nouveau sur une colline sur un tube intérieur.</v>
      </c>
    </row>
    <row r="22984">
      <c r="A22984" s="4" t="s">
        <v>28925</v>
      </c>
      <c r="B22984" s="4" t="s">
        <v>28926</v>
      </c>
      <c r="C22984" s="5" t="str">
        <f>IFERROR(__xludf.DUMMYFUNCTION("GOOGLETRANSLATE(B22984,""en"",""fr"")"),"Les enfants sont assis sur des motos et les parents sont à côté d'eux.")</f>
        <v>Les enfants sont assis sur des motos et les parents sont à côté d'eux.</v>
      </c>
    </row>
    <row r="22985">
      <c r="A22985" s="4" t="s">
        <v>28925</v>
      </c>
      <c r="B22985" s="4" t="s">
        <v>28927</v>
      </c>
      <c r="C22985" s="5" t="str">
        <f>IFERROR(__xludf.DUMMYFUNCTION("GOOGLETRANSLATE(B22985,""en"",""fr"")"),"Un homme porte un enfant, une femme applaudie et un homme prend des photos.")</f>
        <v>Un homme porte un enfant, une femme applaudie et un homme prend des photos.</v>
      </c>
    </row>
    <row r="22986">
      <c r="A22986" s="4" t="s">
        <v>28925</v>
      </c>
      <c r="B22986" s="4" t="s">
        <v>28928</v>
      </c>
      <c r="C22986" s="5" t="str">
        <f>IFERROR(__xludf.DUMMYFUNCTION("GOOGLETRANSLATE(B22986,""en"",""fr"")"),"Un tout-petit se tient sur le foin et attrape la jambe d'une femme.")</f>
        <v>Un tout-petit se tient sur le foin et attrape la jambe d'une femme.</v>
      </c>
    </row>
    <row r="22987">
      <c r="A22987" s="4" t="s">
        <v>28925</v>
      </c>
      <c r="B22987" s="4" t="s">
        <v>28929</v>
      </c>
      <c r="C22987" s="5" t="str">
        <f>IFERROR(__xludf.DUMMYFUNCTION("GOOGLETRANSLATE(B22987,""en"",""fr"")"),"Ensuite, les hommes poussent les motos avec les enfants pendant qu'un homme prend des notes.")</f>
        <v>Ensuite, les hommes poussent les motos avec les enfants pendant qu'un homme prend des notes.</v>
      </c>
    </row>
    <row r="22988">
      <c r="A22988" s="4" t="s">
        <v>28925</v>
      </c>
      <c r="B22988" s="4" t="s">
        <v>28930</v>
      </c>
      <c r="C22988" s="5" t="str">
        <f>IFERROR(__xludf.DUMMYFUNCTION("GOOGLETRANSLATE(B22988,""en"",""fr"")"),"Ensuite, les enfants sont à la ligne sur la ligne de départ, puis fonctionnent.")</f>
        <v>Ensuite, les enfants sont à la ligne sur la ligne de départ, puis fonctionnent.</v>
      </c>
    </row>
    <row r="22989">
      <c r="A22989" s="4" t="s">
        <v>28931</v>
      </c>
      <c r="B22989" s="4" t="s">
        <v>28932</v>
      </c>
      <c r="C22989" s="5" t="str">
        <f>IFERROR(__xludf.DUMMYFUNCTION("GOOGLETRANSLATE(B22989,""en"",""fr"")"),"Un homme est assis sur un canapé, jouant un harmonica.")</f>
        <v>Un homme est assis sur un canapé, jouant un harmonica.</v>
      </c>
    </row>
    <row r="22990">
      <c r="A22990" s="4" t="s">
        <v>28931</v>
      </c>
      <c r="B22990" s="4" t="s">
        <v>28933</v>
      </c>
      <c r="C22990" s="5" t="str">
        <f>IFERROR(__xludf.DUMMYFUNCTION("GOOGLETRANSLATE(B22990,""en"",""fr"")"),"Il le baisse de sa bouche quand il a fini.")</f>
        <v>Il le baisse de sa bouche quand il a fini.</v>
      </c>
    </row>
    <row r="22991">
      <c r="A22991" s="4" t="s">
        <v>28934</v>
      </c>
      <c r="B22991" s="4" t="s">
        <v>25231</v>
      </c>
      <c r="C22991" s="5" t="str">
        <f>IFERROR(__xludf.DUMMYFUNCTION("GOOGLETRANSLATE(B22991,""en"",""fr"")"),"Un homme en chemise noire parle.")</f>
        <v>Un homme en chemise noire parle.</v>
      </c>
    </row>
    <row r="22992">
      <c r="A22992" s="4" t="s">
        <v>28934</v>
      </c>
      <c r="B22992" s="4" t="s">
        <v>28935</v>
      </c>
      <c r="C22992" s="5" t="str">
        <f>IFERROR(__xludf.DUMMYFUNCTION("GOOGLETRANSLATE(B22992,""en"",""fr"")"),"Plusieurs personnes s'agenouillent sur un tapis rouge faisant des étirements.")</f>
        <v>Plusieurs personnes s'agenouillent sur un tapis rouge faisant des étirements.</v>
      </c>
    </row>
    <row r="22993">
      <c r="A22993" s="4" t="s">
        <v>28936</v>
      </c>
      <c r="B22993" s="4" t="s">
        <v>28937</v>
      </c>
      <c r="C22993" s="5" t="str">
        <f>IFERROR(__xludf.DUMMYFUNCTION("GOOGLETRANSLATE(B22993,""en"",""fr"")"),"Une fille s'agenouille sur un tampon, les bras en l'air.")</f>
        <v>Une fille s'agenouille sur un tampon, les bras en l'air.</v>
      </c>
    </row>
    <row r="22994">
      <c r="A22994" s="4" t="s">
        <v>28936</v>
      </c>
      <c r="B22994" s="4" t="s">
        <v>28938</v>
      </c>
      <c r="C22994" s="5" t="str">
        <f>IFERROR(__xludf.DUMMYFUNCTION("GOOGLETRANSLATE(B22994,""en"",""fr"")"),"Elle se penche en arrière, laissant ses bras toucher le mur.")</f>
        <v>Elle se penche en arrière, laissant ses bras toucher le mur.</v>
      </c>
    </row>
    <row r="22995">
      <c r="A22995" s="4" t="s">
        <v>28936</v>
      </c>
      <c r="B22995" s="4" t="s">
        <v>28939</v>
      </c>
      <c r="C22995" s="5" t="str">
        <f>IFERROR(__xludf.DUMMYFUNCTION("GOOGLETRANSLATE(B22995,""en"",""fr"")"),"Elle répète l'action une fois de plus.")</f>
        <v>Elle répète l'action une fois de plus.</v>
      </c>
    </row>
    <row r="22996">
      <c r="A22996" s="4" t="s">
        <v>28940</v>
      </c>
      <c r="B22996" s="4" t="s">
        <v>28941</v>
      </c>
      <c r="C22996" s="5" t="str">
        <f>IFERROR(__xludf.DUMMYFUNCTION("GOOGLETRANSLATE(B22996,""en"",""fr"")"),"Une personne est vue à genoux sur un toit et tenant des objets en place pour marteler.")</f>
        <v>Une personne est vue à genoux sur un toit et tenant des objets en place pour marteler.</v>
      </c>
    </row>
    <row r="22997">
      <c r="A22997" s="4" t="s">
        <v>28940</v>
      </c>
      <c r="B22997" s="6" t="s">
        <v>28942</v>
      </c>
      <c r="C22997" s="5" t="str">
        <f>IFERROR(__xludf.DUMMYFUNCTION("GOOGLETRANSLATE(B22997,""en"",""fr"")"),"L'homme dépose ensuite plus de carreaux tout en martelant les côtés et en présentant les carreaux à la caméra.")</f>
        <v>L'homme dépose ensuite plus de carreaux tout en martelant les côtés et en présentant les carreaux à la caméra.</v>
      </c>
    </row>
    <row r="22998">
      <c r="A22998" s="4" t="s">
        <v>28943</v>
      </c>
      <c r="B22998" s="6" t="s">
        <v>28944</v>
      </c>
      <c r="C22998" s="5" t="str">
        <f>IFERROR(__xludf.DUMMYFUNCTION("GOOGLETRANSLATE(B22998,""en"",""fr"")"),"Une femme vêtue de vêtements d'entraînement et une veste marche dans une salle et s'arrête pour parler de ce qui derrière la porte.")</f>
        <v>Une femme vêtue de vêtements d'entraînement et une veste marche dans une salle et s'arrête pour parler de ce qui derrière la porte.</v>
      </c>
    </row>
    <row r="22999">
      <c r="A22999" s="4" t="s">
        <v>28943</v>
      </c>
      <c r="B22999" s="6" t="s">
        <v>28945</v>
      </c>
      <c r="C22999" s="5" t="str">
        <f>IFERROR(__xludf.DUMMYFUNCTION("GOOGLETRANSLATE(B22999,""en"",""fr"")"),"Une fois qu'elle ouvre la porte, la caméra a vanté de nombreuses machines d'entraînement et la femme commence à parler au directeur du programme.")</f>
        <v>Une fois qu'elle ouvre la porte, la caméra a vanté de nombreuses machines d'entraînement et la femme commence à parler au directeur du programme.</v>
      </c>
    </row>
    <row r="23000">
      <c r="A23000" s="4" t="s">
        <v>28943</v>
      </c>
      <c r="B23000" s="6" t="s">
        <v>28946</v>
      </c>
      <c r="C23000" s="5" t="str">
        <f>IFERROR(__xludf.DUMMYFUNCTION("GOOGLETRANSLATE(B23000,""en"",""fr"")"),"Après avoir fini de parler, la jeune femme commence à travailler avec le reste de la classe alors que l'entraîneur marche en s'assurant qu'ils s'entraînent correctement.")</f>
        <v>Après avoir fini de parler, la jeune femme commence à travailler avec le reste de la classe alors que l'entraîneur marche en s'assurant qu'ils s'entraînent correctement.</v>
      </c>
    </row>
    <row r="23001">
      <c r="A23001" s="4" t="s">
        <v>28943</v>
      </c>
      <c r="B23001" s="6" t="s">
        <v>28947</v>
      </c>
      <c r="C23001" s="5" t="str">
        <f>IFERROR(__xludf.DUMMYFUNCTION("GOOGLETRANSLATE(B23001,""en"",""fr"")"),"Enfin, l'entraînement est terminé et tout le monde commence à se diriger et la femme recommence à parler.")</f>
        <v>Enfin, l'entraînement est terminé et tout le monde commence à se diriger et la femme recommence à parler.</v>
      </c>
    </row>
    <row r="23002">
      <c r="A23002" s="4" t="s">
        <v>28948</v>
      </c>
      <c r="B23002" s="4" t="s">
        <v>28949</v>
      </c>
      <c r="C23002" s="5" t="str">
        <f>IFERROR(__xludf.DUMMYFUNCTION("GOOGLETRANSLATE(B23002,""en"",""fr"")"),"Une caméra se déroule autour d'un groupe de personnes qui se tiennent entre elles avec une tournure en rond.")</f>
        <v>Une caméra se déroule autour d'un groupe de personnes qui se tiennent entre elles avec une tournure en rond.</v>
      </c>
    </row>
    <row r="23003">
      <c r="A23003" s="4" t="s">
        <v>28948</v>
      </c>
      <c r="B23003" s="4" t="s">
        <v>28950</v>
      </c>
      <c r="C23003" s="5" t="str">
        <f>IFERROR(__xludf.DUMMYFUNCTION("GOOGLETRANSLATE(B23003,""en"",""fr"")"),"Un homme poussant la fille qui tourne autour et autour et zoome sur une pinata.")</f>
        <v>Un homme poussant la fille qui tourne autour et autour et zoome sur une pinata.</v>
      </c>
    </row>
    <row r="23004">
      <c r="A23004" s="4" t="s">
        <v>28948</v>
      </c>
      <c r="B23004" s="4" t="s">
        <v>28951</v>
      </c>
      <c r="C23004" s="5" t="str">
        <f>IFERROR(__xludf.DUMMYFUNCTION("GOOGLETRANSLATE(B23004,""en"",""fr"")"),"La fille se balance sur les yeux bandés et un homme saute pour attraper un bonbon tombé.")</f>
        <v>La fille se balance sur les yeux bandés et un homme saute pour attraper un bonbon tombé.</v>
      </c>
    </row>
    <row r="23005">
      <c r="A23005" s="4" t="s">
        <v>28948</v>
      </c>
      <c r="B23005" s="4" t="s">
        <v>28952</v>
      </c>
      <c r="C23005" s="5" t="str">
        <f>IFERROR(__xludf.DUMMYFUNCTION("GOOGLETRANSLATE(B23005,""en"",""fr"")"),"La fille ouvre la pinata et plusieurs personnes coulent pour attraper les bonbons.")</f>
        <v>La fille ouvre la pinata et plusieurs personnes coulent pour attraper les bonbons.</v>
      </c>
    </row>
    <row r="23006">
      <c r="A23006" s="4" t="s">
        <v>28953</v>
      </c>
      <c r="B23006" s="4" t="s">
        <v>28954</v>
      </c>
      <c r="C23006" s="5" t="str">
        <f>IFERROR(__xludf.DUMMYFUNCTION("GOOGLETRANSLATE(B23006,""en"",""fr"")"),"Une femme peint une image sur une toile.")</f>
        <v>Une femme peint une image sur une toile.</v>
      </c>
    </row>
    <row r="23007">
      <c r="A23007" s="4" t="s">
        <v>28953</v>
      </c>
      <c r="B23007" s="4" t="s">
        <v>28955</v>
      </c>
      <c r="C23007" s="5" t="str">
        <f>IFERROR(__xludf.DUMMYFUNCTION("GOOGLETRANSLATE(B23007,""en"",""fr"")"),"Elle a une peinture orange et jaune sur une planche devant elle.")</f>
        <v>Elle a une peinture orange et jaune sur une planche devant elle.</v>
      </c>
    </row>
    <row r="23008">
      <c r="A23008" s="4" t="s">
        <v>28953</v>
      </c>
      <c r="B23008" s="4" t="s">
        <v>28956</v>
      </c>
      <c r="C23008" s="5" t="str">
        <f>IFERROR(__xludf.DUMMYFUNCTION("GOOGLETRANSLATE(B23008,""en"",""fr"")"),"Elle peint deux fleurs sur la toile.")</f>
        <v>Elle peint deux fleurs sur la toile.</v>
      </c>
    </row>
    <row r="23009">
      <c r="A23009" s="4" t="s">
        <v>28957</v>
      </c>
      <c r="B23009" s="4" t="s">
        <v>28958</v>
      </c>
      <c r="C23009" s="5" t="str">
        <f>IFERROR(__xludf.DUMMYFUNCTION("GOOGLETRANSLATE(B23009,""en"",""fr"")"),"Un homme et une femme parlent à une caméra sur des exercices.")</f>
        <v>Un homme et une femme parlent à une caméra sur des exercices.</v>
      </c>
    </row>
    <row r="23010">
      <c r="A23010" s="4" t="s">
        <v>28957</v>
      </c>
      <c r="B23010" s="4" t="s">
        <v>28959</v>
      </c>
      <c r="C23010" s="5" t="str">
        <f>IFERROR(__xludf.DUMMYFUNCTION("GOOGLETRANSLATE(B23010,""en"",""fr"")"),"La fille parle de l'équipement et de la façon de l'utiliser.")</f>
        <v>La fille parle de l'équipement et de la façon de l'utiliser.</v>
      </c>
    </row>
    <row r="23011">
      <c r="A23011" s="4" t="s">
        <v>28957</v>
      </c>
      <c r="B23011" s="4" t="s">
        <v>28960</v>
      </c>
      <c r="C23011" s="5" t="str">
        <f>IFERROR(__xludf.DUMMYFUNCTION("GOOGLETRANSLATE(B23011,""en"",""fr"")"),"Elle prépare l'équipement et aide l'homme à effectuer l'exercice.")</f>
        <v>Elle prépare l'équipement et aide l'homme à effectuer l'exercice.</v>
      </c>
    </row>
    <row r="23012">
      <c r="A23012" s="4" t="s">
        <v>28961</v>
      </c>
      <c r="B23012" s="4" t="s">
        <v>28962</v>
      </c>
      <c r="C23012" s="5" t="str">
        <f>IFERROR(__xludf.DUMMYFUNCTION("GOOGLETRANSLATE(B23012,""en"",""fr"")"),"Des gens se tenant du côté de la route sur des planches à roulettes et avec des voitures garées d'un côté.")</f>
        <v>Des gens se tenant du côté de la route sur des planches à roulettes et avec des voitures garées d'un côté.</v>
      </c>
    </row>
    <row r="23013">
      <c r="A23013" s="4" t="s">
        <v>28961</v>
      </c>
      <c r="B23013" s="4" t="s">
        <v>28963</v>
      </c>
      <c r="C23013" s="5" t="str">
        <f>IFERROR(__xludf.DUMMYFUNCTION("GOOGLETRANSLATE(B23013,""en"",""fr"")"),"Les garçons font des astuces à rouler des planches à roulettes dans l'asphalte mouillé descendant une colline.")</f>
        <v>Les garçons font des astuces à rouler des planches à roulettes dans l'asphalte mouillé descendant une colline.</v>
      </c>
    </row>
    <row r="23014">
      <c r="A23014" s="4" t="s">
        <v>28961</v>
      </c>
      <c r="B23014" s="6" t="s">
        <v>28964</v>
      </c>
      <c r="C23014" s="5" t="str">
        <f>IFERROR(__xludf.DUMMYFUNCTION("GOOGLETRANSLATE(B23014,""en"",""fr"")"),"Les garçons sont rassemblés sous une tente dans le trottoir et font des astuces dans la planche à roulettes montrant l'asphalte de wey et l'herbe mouillée.")</f>
        <v>Les garçons sont rassemblés sous une tente dans le trottoir et font des astuces dans la planche à roulettes montrant l'asphalte de wey et l'herbe mouillée.</v>
      </c>
    </row>
    <row r="23015">
      <c r="A23015" s="4" t="s">
        <v>28965</v>
      </c>
      <c r="B23015" s="4" t="s">
        <v>28966</v>
      </c>
      <c r="C23015" s="5" t="str">
        <f>IFERROR(__xludf.DUMMYFUNCTION("GOOGLETRANSLATE(B23015,""en"",""fr"")"),"Une caméra avec une légende est montrée et mène à plusieurs personnes qui sautent d'un pont.")</f>
        <v>Une caméra avec une légende est montrée et mène à plusieurs personnes qui sautent d'un pont.</v>
      </c>
    </row>
    <row r="23016">
      <c r="A23016" s="4" t="s">
        <v>28965</v>
      </c>
      <c r="B23016" s="6" t="s">
        <v>28967</v>
      </c>
      <c r="C23016" s="5" t="str">
        <f>IFERROR(__xludf.DUMMYFUNCTION("GOOGLETRANSLATE(B23016,""en"",""fr"")"),"Un autre plan de personnes qui roule sur une rivière sur des tubes est représentée suivie de grands groupes de personnes sur les bancs de sable.")</f>
        <v>Un autre plan de personnes qui roule sur une rivière sur des tubes est représentée suivie de grands groupes de personnes sur les bancs de sable.</v>
      </c>
    </row>
    <row r="23017">
      <c r="A23017" s="4" t="s">
        <v>28965</v>
      </c>
      <c r="B23017" s="6" t="s">
        <v>28968</v>
      </c>
      <c r="C23017" s="5" t="str">
        <f>IFERROR(__xludf.DUMMYFUNCTION("GOOGLETRANSLATE(B23017,""en"",""fr"")"),"Le caméraman attrape un autre tube et saute dans l'eau tout en flottant et en attrapant un ballon sauté.")</f>
        <v>Le caméraman attrape un autre tube et saute dans l'eau tout en flottant et en attrapant un ballon sauté.</v>
      </c>
    </row>
    <row r="23018">
      <c r="A23018" s="4" t="s">
        <v>28969</v>
      </c>
      <c r="B23018" s="4" t="s">
        <v>28970</v>
      </c>
      <c r="C23018" s="5" t="str">
        <f>IFERROR(__xludf.DUMMYFUNCTION("GOOGLETRANSLATE(B23018,""en"",""fr"")"),"L'homme est assis sur Akayak en tenant une rangée et montrant la façon de ramer core.")</f>
        <v>L'homme est assis sur Akayak en tenant une rangée et montrant la façon de ramer core.</v>
      </c>
    </row>
    <row r="23019">
      <c r="A23019" s="4" t="s">
        <v>28969</v>
      </c>
      <c r="B23019" s="4" t="s">
        <v>28971</v>
      </c>
      <c r="C23019" s="5" t="str">
        <f>IFERROR(__xludf.DUMMYFUNCTION("GOOGLETRANSLATE(B23019,""en"",""fr"")"),"Les gens sont dans un kayak sur Lakeside.")</f>
        <v>Les gens sont dans un kayak sur Lakeside.</v>
      </c>
    </row>
    <row r="23020">
      <c r="A23020" s="4" t="s">
        <v>28969</v>
      </c>
      <c r="B23020" s="4" t="s">
        <v>28972</v>
      </c>
      <c r="C23020" s="5" t="str">
        <f>IFERROR(__xludf.DUMMYFUNCTION("GOOGLETRANSLATE(B23020,""en"",""fr"")"),"Les gens sont en kayak de rapides.")</f>
        <v>Les gens sont en kayak de rapides.</v>
      </c>
    </row>
    <row r="23021">
      <c r="A23021" s="4" t="s">
        <v>28969</v>
      </c>
      <c r="B23021" s="4" t="s">
        <v>28973</v>
      </c>
      <c r="C23021" s="5" t="str">
        <f>IFERROR(__xludf.DUMMYFUNCTION("GOOGLETRANSLATE(B23021,""en"",""fr"")"),"Les hommes nagent sur le lac par le kayak et marchent au bord du lac en tenant des kayaks.")</f>
        <v>Les hommes nagent sur le lac par le kayak et marchent au bord du lac en tenant des kayaks.</v>
      </c>
    </row>
    <row r="23022">
      <c r="A23022" s="4" t="s">
        <v>28974</v>
      </c>
      <c r="B23022" s="4" t="s">
        <v>28975</v>
      </c>
      <c r="C23022" s="5" t="str">
        <f>IFERROR(__xludf.DUMMYFUNCTION("GOOGLETRANSLATE(B23022,""en"",""fr"")"),"Une femme est montrée en train de travailler sur un elliptique et souriant au loin.")</f>
        <v>Une femme est montrée en train de travailler sur un elliptique et souriant au loin.</v>
      </c>
    </row>
    <row r="23023">
      <c r="A23023" s="4" t="s">
        <v>28974</v>
      </c>
      <c r="B23023" s="4" t="s">
        <v>28976</v>
      </c>
      <c r="C23023" s="5" t="str">
        <f>IFERROR(__xludf.DUMMYFUNCTION("GOOGLETRANSLATE(B23023,""en"",""fr"")"),"La vidéo montre plusieurs avantages différents que la machine peut faire pendant que la femme continue de travailler.")</f>
        <v>La vidéo montre plusieurs avantages différents que la machine peut faire pendant que la femme continue de travailler.</v>
      </c>
    </row>
    <row r="23024">
      <c r="A23024" s="4" t="s">
        <v>28974</v>
      </c>
      <c r="B23024" s="4" t="s">
        <v>28977</v>
      </c>
      <c r="C23024" s="5" t="str">
        <f>IFERROR(__xludf.DUMMYFUNCTION("GOOGLETRANSLATE(B23024,""en"",""fr"")"),"Elle finit par marcher sur la machine et continue de travailler sur la machine.")</f>
        <v>Elle finit par marcher sur la machine et continue de travailler sur la machine.</v>
      </c>
    </row>
    <row r="23025">
      <c r="A23025" s="4" t="s">
        <v>28978</v>
      </c>
      <c r="B23025" s="4" t="s">
        <v>28979</v>
      </c>
      <c r="C23025" s="5" t="str">
        <f>IFERROR(__xludf.DUMMYFUNCTION("GOOGLETRANSLATE(B23025,""en"",""fr"")"),"Nous voyons une dame descendre les escaliers.")</f>
        <v>Nous voyons une dame descendre les escaliers.</v>
      </c>
    </row>
    <row r="23026">
      <c r="A23026" s="4" t="s">
        <v>28978</v>
      </c>
      <c r="B23026" s="4" t="s">
        <v>28980</v>
      </c>
      <c r="C23026" s="5" t="str">
        <f>IFERROR(__xludf.DUMMYFUNCTION("GOOGLETRANSLATE(B23026,""en"",""fr"")"),"Elle entre dans une pièce avec des enfants, enlève son manteau et commence à danser.")</f>
        <v>Elle entre dans une pièce avec des enfants, enlève son manteau et commence à danser.</v>
      </c>
    </row>
    <row r="23027">
      <c r="A23027" s="4" t="s">
        <v>28978</v>
      </c>
      <c r="B23027" s="4" t="s">
        <v>28981</v>
      </c>
      <c r="C23027" s="5" t="str">
        <f>IFERROR(__xludf.DUMMYFUNCTION("GOOGLETRANSLATE(B23027,""en"",""fr"")"),"Un homme entre et la dame et l'homme interprètent une danse fantaisie pendant que les enfants regardent.")</f>
        <v>Un homme entre et la dame et l'homme interprètent une danse fantaisie pendant que les enfants regardent.</v>
      </c>
    </row>
    <row r="23028">
      <c r="A23028" s="4" t="s">
        <v>28978</v>
      </c>
      <c r="B23028" s="4" t="s">
        <v>28982</v>
      </c>
      <c r="C23028" s="5" t="str">
        <f>IFERROR(__xludf.DUMMYFUNCTION("GOOGLETRANSLATE(B23028,""en"",""fr"")"),"L'homme jette son manteau à travers la pièce.")</f>
        <v>L'homme jette son manteau à travers la pièce.</v>
      </c>
    </row>
    <row r="23029">
      <c r="A23029" s="4" t="s">
        <v>28978</v>
      </c>
      <c r="B23029" s="4" t="s">
        <v>28983</v>
      </c>
      <c r="C23029" s="5" t="str">
        <f>IFERROR(__xludf.DUMMYFUNCTION("GOOGLETRANSLATE(B23029,""en"",""fr"")"),"La dame étreint l'homme par derrière.")</f>
        <v>La dame étreint l'homme par derrière.</v>
      </c>
    </row>
    <row r="23030">
      <c r="A23030" s="4" t="s">
        <v>28978</v>
      </c>
      <c r="B23030" s="4" t="s">
        <v>28984</v>
      </c>
      <c r="C23030" s="5" t="str">
        <f>IFERROR(__xludf.DUMMYFUNCTION("GOOGLETRANSLATE(B23030,""en"",""fr"")"),"La dame essaie de partir et l'homme l'attrape et la tire en arrière.")</f>
        <v>La dame essaie de partir et l'homme l'attrape et la tire en arrière.</v>
      </c>
    </row>
    <row r="23031">
      <c r="A23031" s="4" t="s">
        <v>28978</v>
      </c>
      <c r="B23031" s="4" t="s">
        <v>28985</v>
      </c>
      <c r="C23031" s="5" t="str">
        <f>IFERROR(__xludf.DUMMYFUNCTION("GOOGLETRANSLATE(B23031,""en"",""fr"")"),"Ils finissent et l'homme serre les mains des enfants.")</f>
        <v>Ils finissent et l'homme serre les mains des enfants.</v>
      </c>
    </row>
    <row r="23032">
      <c r="A23032" s="4" t="s">
        <v>28978</v>
      </c>
      <c r="B23032" s="4" t="s">
        <v>28986</v>
      </c>
      <c r="C23032" s="5" t="str">
        <f>IFERROR(__xludf.DUMMYFUNCTION("GOOGLETRANSLATE(B23032,""en"",""fr"")"),"La dame met son manteau alors qu'une fille lui parle et quitte la pièce.")</f>
        <v>La dame met son manteau alors qu'une fille lui parle et quitte la pièce.</v>
      </c>
    </row>
    <row r="23033">
      <c r="A23033" s="4" t="s">
        <v>28987</v>
      </c>
      <c r="B23033" s="6" t="s">
        <v>28988</v>
      </c>
      <c r="C23033" s="5" t="str">
        <f>IFERROR(__xludf.DUMMYFUNCTION("GOOGLETRANSLATE(B23033,""en"",""fr"")"),"Un homme est vu parler à la caméra et le conduit en lui tenant un morceau de papier et deux objets.")</f>
        <v>Un homme est vu parler à la caméra et le conduit en lui tenant un morceau de papier et deux objets.</v>
      </c>
    </row>
    <row r="23034">
      <c r="A23034" s="4" t="s">
        <v>28987</v>
      </c>
      <c r="B23034" s="4" t="s">
        <v>28989</v>
      </c>
      <c r="C23034" s="5" t="str">
        <f>IFERROR(__xludf.DUMMYFUNCTION("GOOGLETRANSLATE(B23034,""en"",""fr"")"),"Il met les objets sur une planche et aiguise un couteau le long de l'objet.")</f>
        <v>Il met les objets sur une planche et aiguise un couteau le long de l'objet.</v>
      </c>
    </row>
    <row r="23035">
      <c r="A23035" s="4" t="s">
        <v>28987</v>
      </c>
      <c r="B23035" s="4" t="s">
        <v>28990</v>
      </c>
      <c r="C23035" s="5" t="str">
        <f>IFERROR(__xludf.DUMMYFUNCTION("GOOGLETRANSLATE(B23035,""en"",""fr"")"),"Il continue de parler à la caméra tout en affûtant la lame et en pointant l'objet.")</f>
        <v>Il continue de parler à la caméra tout en affûtant la lame et en pointant l'objet.</v>
      </c>
    </row>
    <row r="23036">
      <c r="A23036" s="4" t="s">
        <v>28991</v>
      </c>
      <c r="B23036" s="6" t="s">
        <v>28992</v>
      </c>
      <c r="C23036" s="5" t="str">
        <f>IFERROR(__xludf.DUMMYFUNCTION("GOOGLETRANSLATE(B23036,""en"",""fr"")"),"Un tout-petit tient un bâton de crosse, puis il attrape une balle avec le bâton de crosse et jette au sol.")</f>
        <v>Un tout-petit tient un bâton de crosse, puis il attrape une balle avec le bâton de crosse et jette au sol.</v>
      </c>
    </row>
    <row r="23037">
      <c r="A23037" s="4" t="s">
        <v>28991</v>
      </c>
      <c r="B23037" s="4" t="s">
        <v>28993</v>
      </c>
      <c r="C23037" s="5" t="str">
        <f>IFERROR(__xludf.DUMMYFUNCTION("GOOGLETRANSLATE(B23037,""en"",""fr"")"),"Ensuite, le tout-petit essaie d'attraper une autre balle, mais il roule sous une chaise.")</f>
        <v>Ensuite, le tout-petit essaie d'attraper une autre balle, mais il roule sous une chaise.</v>
      </c>
    </row>
    <row r="23038">
      <c r="A23038" s="4" t="s">
        <v>28991</v>
      </c>
      <c r="B23038" s="4" t="s">
        <v>28994</v>
      </c>
      <c r="C23038" s="5" t="str">
        <f>IFERROR(__xludf.DUMMYFUNCTION("GOOGLETRANSLATE(B23038,""en"",""fr"")"),"Ensuite, le tout-petit attrape une balle et lance au sol et le ballon rebondisse.")</f>
        <v>Ensuite, le tout-petit attrape une balle et lance au sol et le ballon rebondisse.</v>
      </c>
    </row>
    <row r="23039">
      <c r="A23039" s="4" t="s">
        <v>28991</v>
      </c>
      <c r="B23039" s="6" t="s">
        <v>28995</v>
      </c>
      <c r="C23039" s="5" t="str">
        <f>IFERROR(__xludf.DUMMYFUNCTION("GOOGLETRANSLATE(B23039,""en"",""fr"")"),"Après, le tout-petit attrape la balle rebondissante et jette dans la cour, puis le tout-petit descend d'un pas.")</f>
        <v>Après, le tout-petit attrape la balle rebondissante et jette dans la cour, puis le tout-petit descend d'un pas.</v>
      </c>
    </row>
    <row r="23040">
      <c r="A23040" s="4" t="s">
        <v>28996</v>
      </c>
      <c r="B23040" s="4" t="s">
        <v>28997</v>
      </c>
      <c r="C23040" s="5" t="str">
        <f>IFERROR(__xludf.DUMMYFUNCTION("GOOGLETRANSLATE(B23040,""en"",""fr"")"),"Nous voyons une dame éplucher de petites pommes de terre.")</f>
        <v>Nous voyons une dame éplucher de petites pommes de terre.</v>
      </c>
    </row>
    <row r="23041">
      <c r="A23041" s="4" t="s">
        <v>28996</v>
      </c>
      <c r="B23041" s="4" t="s">
        <v>28998</v>
      </c>
      <c r="C23041" s="5" t="str">
        <f>IFERROR(__xludf.DUMMYFUNCTION("GOOGLETRANSLATE(B23041,""en"",""fr"")"),"La dame décolle sa deuxième pomme de terre.")</f>
        <v>La dame décolle sa deuxième pomme de terre.</v>
      </c>
    </row>
    <row r="23042">
      <c r="A23042" s="4" t="s">
        <v>28996</v>
      </c>
      <c r="B23042" s="4" t="s">
        <v>28999</v>
      </c>
      <c r="C23042" s="5" t="str">
        <f>IFERROR(__xludf.DUMMYFUNCTION("GOOGLETRANSLATE(B23042,""en"",""fr"")"),"La dame passe à ses troisième pommes de terre.")</f>
        <v>La dame passe à ses troisième pommes de terre.</v>
      </c>
    </row>
    <row r="23043">
      <c r="A23043" s="4" t="s">
        <v>28996</v>
      </c>
      <c r="B23043" s="4" t="s">
        <v>29000</v>
      </c>
      <c r="C23043" s="5" t="str">
        <f>IFERROR(__xludf.DUMMYFUNCTION("GOOGLETRANSLATE(B23043,""en"",""fr"")"),"Nous faisons un zoom arrière et voyons le visage des dames.")</f>
        <v>Nous faisons un zoom arrière et voyons le visage des dames.</v>
      </c>
    </row>
    <row r="23044">
      <c r="A23044" s="4" t="s">
        <v>28996</v>
      </c>
      <c r="B23044" s="4" t="s">
        <v>29001</v>
      </c>
      <c r="C23044" s="5" t="str">
        <f>IFERROR(__xludf.DUMMYFUNCTION("GOOGLETRANSLATE(B23044,""en"",""fr"")"),"La dame décolle sa quatrième et cinquième pomme de terre.")</f>
        <v>La dame décolle sa quatrième et cinquième pomme de terre.</v>
      </c>
    </row>
    <row r="23045">
      <c r="A23045" s="4" t="s">
        <v>29002</v>
      </c>
      <c r="B23045" s="4" t="s">
        <v>29003</v>
      </c>
      <c r="C23045" s="5" t="str">
        <f>IFERROR(__xludf.DUMMYFUNCTION("GOOGLETRANSLATE(B23045,""en"",""fr"")"),"Deux personnes jouent au badminton alors que quelqu'un les enregistre avec une caméra vidéo.")</f>
        <v>Deux personnes jouent au badminton alors que quelqu'un les enregistre avec une caméra vidéo.</v>
      </c>
    </row>
    <row r="23046">
      <c r="A23046" s="4" t="s">
        <v>29002</v>
      </c>
      <c r="B23046" s="4" t="s">
        <v>29004</v>
      </c>
      <c r="C23046" s="5" t="str">
        <f>IFERROR(__xludf.DUMMYFUNCTION("GOOGLETRANSLATE(B23046,""en"",""fr"")"),"Un gars se fait mal tandis que les autres personnes le regardant rire de lui.")</f>
        <v>Un gars se fait mal tandis que les autres personnes le regardant rire de lui.</v>
      </c>
    </row>
    <row r="23047">
      <c r="A23047" s="4" t="s">
        <v>29002</v>
      </c>
      <c r="B23047" s="6" t="s">
        <v>29005</v>
      </c>
      <c r="C23047" s="5" t="str">
        <f>IFERROR(__xludf.DUMMYFUNCTION("GOOGLETRANSLATE(B23047,""en"",""fr"")"),"Les gens qui jouaient au badminton vont parler à d'autres personnes qui sont assises dans des chaises de jardin.")</f>
        <v>Les gens qui jouaient au badminton vont parler à d'autres personnes qui sont assises dans des chaises de jardin.</v>
      </c>
    </row>
    <row r="23048">
      <c r="A23048" s="4" t="s">
        <v>29002</v>
      </c>
      <c r="B23048" s="4" t="s">
        <v>29006</v>
      </c>
      <c r="C23048" s="5" t="str">
        <f>IFERROR(__xludf.DUMMYFUNCTION("GOOGLETRANSLATE(B23048,""en"",""fr"")"),"Le garçon entre dans la maison alors que les gens continuent de rire.")</f>
        <v>Le garçon entre dans la maison alors que les gens continuent de rire.</v>
      </c>
    </row>
    <row r="23049">
      <c r="A23049" s="4" t="s">
        <v>29007</v>
      </c>
      <c r="B23049" s="4" t="s">
        <v>29008</v>
      </c>
      <c r="C23049" s="5" t="str">
        <f>IFERROR(__xludf.DUMMYFUNCTION("GOOGLETRANSLATE(B23049,""en"",""fr"")"),"Nous voyons une scène d'ouverture avec une image.")</f>
        <v>Nous voyons une scène d'ouverture avec une image.</v>
      </c>
    </row>
    <row r="23050">
      <c r="A23050" s="4" t="s">
        <v>29007</v>
      </c>
      <c r="B23050" s="4" t="s">
        <v>29009</v>
      </c>
      <c r="C23050" s="5" t="str">
        <f>IFERROR(__xludf.DUMMYFUNCTION("GOOGLETRANSLATE(B23050,""en"",""fr"")"),"Nous voyons ensuite un lac avec des canards et des rochers.")</f>
        <v>Nous voyons ensuite un lac avec des canards et des rochers.</v>
      </c>
    </row>
    <row r="23051">
      <c r="A23051" s="4" t="s">
        <v>29007</v>
      </c>
      <c r="B23051" s="4" t="s">
        <v>29010</v>
      </c>
      <c r="C23051" s="5" t="str">
        <f>IFERROR(__xludf.DUMMYFUNCTION("GOOGLETRANSLATE(B23051,""en"",""fr"")"),"Les gens pagayent dans le lac dans un canoë.")</f>
        <v>Les gens pagayent dans le lac dans un canoë.</v>
      </c>
    </row>
    <row r="23052">
      <c r="A23052" s="4" t="s">
        <v>29007</v>
      </c>
      <c r="B23052" s="4" t="s">
        <v>29011</v>
      </c>
      <c r="C23052" s="5" t="str">
        <f>IFERROR(__xludf.DUMMYFUNCTION("GOOGLETRANSLATE(B23052,""en"",""fr"")"),"Nous voyons un pont et les gens passent sous le pont.")</f>
        <v>Nous voyons un pont et les gens passent sous le pont.</v>
      </c>
    </row>
    <row r="23053">
      <c r="A23053" s="4" t="s">
        <v>29007</v>
      </c>
      <c r="B23053" s="4" t="s">
        <v>29012</v>
      </c>
      <c r="C23053" s="5" t="str">
        <f>IFERROR(__xludf.DUMMYFUNCTION("GOOGLETRANSLATE(B23053,""en"",""fr"")"),"Nous voyons de grandes herbes souffler dans la brise alors que les plaisanciers passent devant.")</f>
        <v>Nous voyons de grandes herbes souffler dans la brise alors que les plaisanciers passent devant.</v>
      </c>
    </row>
    <row r="23054">
      <c r="A23054" s="4" t="s">
        <v>29007</v>
      </c>
      <c r="B23054" s="4" t="s">
        <v>29013</v>
      </c>
      <c r="C23054" s="5" t="str">
        <f>IFERROR(__xludf.DUMMYFUNCTION("GOOGLETRANSLATE(B23054,""en"",""fr"")"),"Les plaisanciers arrivent au rivage.")</f>
        <v>Les plaisanciers arrivent au rivage.</v>
      </c>
    </row>
    <row r="23055">
      <c r="A23055" s="4" t="s">
        <v>29007</v>
      </c>
      <c r="B23055" s="4" t="s">
        <v>10150</v>
      </c>
      <c r="C23055" s="5" t="str">
        <f>IFERROR(__xludf.DUMMYFUNCTION("GOOGLETRANSLATE(B23055,""en"",""fr"")"),"Nous voyons ensuite l'écran de titre de clôture.")</f>
        <v>Nous voyons ensuite l'écran de titre de clôture.</v>
      </c>
    </row>
    <row r="23056">
      <c r="A23056" s="4" t="s">
        <v>29014</v>
      </c>
      <c r="B23056" s="4" t="s">
        <v>29015</v>
      </c>
      <c r="C23056" s="5" t="str">
        <f>IFERROR(__xludf.DUMMYFUNCTION("GOOGLETRANSLATE(B23056,""en"",""fr"")"),"Un tableau de bord et un grand écran vidéo sont affichés.")</f>
        <v>Un tableau de bord et un grand écran vidéo sont affichés.</v>
      </c>
    </row>
    <row r="23057">
      <c r="A23057" s="4" t="s">
        <v>29014</v>
      </c>
      <c r="B23057" s="4" t="s">
        <v>29016</v>
      </c>
      <c r="C23057" s="5" t="str">
        <f>IFERROR(__xludf.DUMMYFUNCTION("GOOGLETRANSLATE(B23057,""en"",""fr"")"),"Les motards lancent une très haute rampe sur une piste de vélo en terre.")</f>
        <v>Les motards lancent une très haute rampe sur une piste de vélo en terre.</v>
      </c>
    </row>
    <row r="23058">
      <c r="A23058" s="4" t="s">
        <v>29014</v>
      </c>
      <c r="B23058" s="4" t="s">
        <v>29017</v>
      </c>
      <c r="C23058" s="5" t="str">
        <f>IFERROR(__xludf.DUMMYFUNCTION("GOOGLETRANSLATE(B23058,""en"",""fr"")"),"Les motards courent autour de la piste cahoteuse.")</f>
        <v>Les motards courent autour de la piste cahoteuse.</v>
      </c>
    </row>
    <row r="23059">
      <c r="A23059" s="4" t="s">
        <v>29018</v>
      </c>
      <c r="B23059" s="4" t="s">
        <v>29019</v>
      </c>
      <c r="C23059" s="5" t="str">
        <f>IFERROR(__xludf.DUMMYFUNCTION("GOOGLETRANSLATE(B23059,""en"",""fr"")"),"On voit un gros plan des pieds d'une personne sur la rivière dans un tube.")</f>
        <v>On voit un gros plan des pieds d'une personne sur la rivière dans un tube.</v>
      </c>
    </row>
    <row r="23060">
      <c r="A23060" s="4" t="s">
        <v>29018</v>
      </c>
      <c r="B23060" s="4" t="s">
        <v>29020</v>
      </c>
      <c r="C23060" s="5" t="str">
        <f>IFERROR(__xludf.DUMMYFUNCTION("GOOGLETRANSLATE(B23060,""en"",""fr"")"),"Plusieurs autres personnes sont vues rouler dans des tubes en bas de la rivière tandis que d'autres regardent sur le côté.")</f>
        <v>Plusieurs autres personnes sont vues rouler dans des tubes en bas de la rivière tandis que d'autres regardent sur le côté.</v>
      </c>
    </row>
    <row r="23061">
      <c r="A23061" s="4" t="s">
        <v>29018</v>
      </c>
      <c r="B23061" s="4" t="s">
        <v>29021</v>
      </c>
      <c r="C23061" s="5" t="str">
        <f>IFERROR(__xludf.DUMMYFUNCTION("GOOGLETRANSLATE(B23061,""en"",""fr"")"),"La personne continue de monter sur la rivière devant les autres.")</f>
        <v>La personne continue de monter sur la rivière devant les autres.</v>
      </c>
    </row>
    <row r="23062">
      <c r="A23062" s="4" t="s">
        <v>29022</v>
      </c>
      <c r="B23062" s="4" t="s">
        <v>29023</v>
      </c>
      <c r="C23062" s="5" t="str">
        <f>IFERROR(__xludf.DUMMYFUNCTION("GOOGLETRANSLATE(B23062,""en"",""fr"")"),"Un homme est vu debout derrière un petit enfant qui a les yeux bandés.")</f>
        <v>Un homme est vu debout derrière un petit enfant qui a les yeux bandés.</v>
      </c>
    </row>
    <row r="23063">
      <c r="A23063" s="4" t="s">
        <v>29022</v>
      </c>
      <c r="B23063" s="4" t="s">
        <v>29024</v>
      </c>
      <c r="C23063" s="5" t="str">
        <f>IFERROR(__xludf.DUMMYFUNCTION("GOOGLETRANSLATE(B23063,""en"",""fr"")"),"Plusieurs clips sont ensuite représentés des personnes qui se balancent à Pinatas et échouant misérablement.")</f>
        <v>Plusieurs clips sont ensuite représentés des personnes qui se balancent à Pinatas et échouant misérablement.</v>
      </c>
    </row>
    <row r="23064">
      <c r="A23064" s="4" t="s">
        <v>29022</v>
      </c>
      <c r="B23064" s="6" t="s">
        <v>29025</v>
      </c>
      <c r="C23064" s="5" t="str">
        <f>IFERROR(__xludf.DUMMYFUNCTION("GOOGLETRANSLATE(B23064,""en"",""fr"")"),"Plus de clips sont montrés des gens qui se balancent à Pinatas et se termine avec eux frappant d'autres personnes.")</f>
        <v>Plus de clips sont montrés des gens qui se balancent à Pinatas et se termine avec eux frappant d'autres personnes.</v>
      </c>
    </row>
    <row r="23065">
      <c r="A23065" s="4" t="s">
        <v>29026</v>
      </c>
      <c r="B23065" s="4" t="s">
        <v>29027</v>
      </c>
      <c r="C23065" s="5" t="str">
        <f>IFERROR(__xludf.DUMMYFUNCTION("GOOGLETRANSLATE(B23065,""en"",""fr"")"),"Le soleil brillant est dans le ciel et montre une montagne enneigée et beaucoup de pin couverts de neige.")</f>
        <v>Le soleil brillant est dans le ciel et montre une montagne enneigée et beaucoup de pin couverts de neige.</v>
      </c>
    </row>
    <row r="23066">
      <c r="A23066" s="4" t="s">
        <v>29026</v>
      </c>
      <c r="B23066" s="4" t="s">
        <v>29028</v>
      </c>
      <c r="C23066" s="5" t="str">
        <f>IFERROR(__xludf.DUMMYFUNCTION("GOOGLETRANSLATE(B23066,""en"",""fr"")"),"Un snowboarder marche dans la neige en tenant deux poteaux.")</f>
        <v>Un snowboarder marche dans la neige en tenant deux poteaux.</v>
      </c>
    </row>
    <row r="23067">
      <c r="A23067" s="4" t="s">
        <v>29026</v>
      </c>
      <c r="B23067" s="6" t="s">
        <v>29029</v>
      </c>
      <c r="C23067" s="5" t="str">
        <f>IFERROR(__xludf.DUMMYFUNCTION("GOOGLETRANSLATE(B23067,""en"",""fr"")"),"Cubicules est accroché aux fils et un snowboarder descend la pente enneigée avec d'autres snowboarders debout derrière.")</f>
        <v>Cubicules est accroché aux fils et un snowboarder descend la pente enneigée avec d'autres snowboarders debout derrière.</v>
      </c>
    </row>
    <row r="23068">
      <c r="A23068" s="4" t="s">
        <v>29026</v>
      </c>
      <c r="B23068" s="4" t="s">
        <v>29030</v>
      </c>
      <c r="C23068" s="5" t="str">
        <f>IFERROR(__xludf.DUMMYFUNCTION("GOOGLETRANSLATE(B23068,""en"",""fr"")"),"Les hommes marchent sur une pente enneigée tenant les poteaux et les autres snowboarders glissent derrière.")</f>
        <v>Les hommes marchent sur une pente enneigée tenant les poteaux et les autres snowboarders glissent derrière.</v>
      </c>
    </row>
    <row r="23069">
      <c r="A23069" s="4" t="s">
        <v>29026</v>
      </c>
      <c r="B23069" s="6" t="s">
        <v>29031</v>
      </c>
      <c r="C23069" s="5" t="str">
        <f>IFERROR(__xludf.DUMMYFUNCTION("GOOGLETRANSLATE(B23069,""en"",""fr"")"),"Les femmes sont dans une chaise suspendue et sous les enfants descendent en pente à faire des snowboards et jouent dans un château de neige.")</f>
        <v>Les femmes sont dans une chaise suspendue et sous les enfants descendent en pente à faire des snowboards et jouent dans un château de neige.</v>
      </c>
    </row>
    <row r="23070">
      <c r="A23070" s="4" t="s">
        <v>29026</v>
      </c>
      <c r="B23070" s="4" t="s">
        <v>29032</v>
      </c>
      <c r="C23070" s="5" t="str">
        <f>IFERROR(__xludf.DUMMYFUNCTION("GOOGLETRANSLATE(B23070,""en"",""fr"")"),"Les gens marchent dans Snowy Mountain et Snowboard.")</f>
        <v>Les gens marchent dans Snowy Mountain et Snowboard.</v>
      </c>
    </row>
    <row r="23071">
      <c r="A23071" s="4" t="s">
        <v>29026</v>
      </c>
      <c r="B23071" s="4" t="s">
        <v>29033</v>
      </c>
      <c r="C23071" s="5" t="str">
        <f>IFERROR(__xludf.DUMMYFUNCTION("GOOGLETRANSLATE(B23071,""en"",""fr"")"),"Wmoan entre dans une grotte avec un homme et sert du vin et un couple âgé grimper.")</f>
        <v>Wmoan entre dans une grotte avec un homme et sert du vin et un couple âgé grimper.</v>
      </c>
    </row>
    <row r="23072">
      <c r="A23072" s="4" t="s">
        <v>29026</v>
      </c>
      <c r="B23072" s="6" t="s">
        <v>29034</v>
      </c>
      <c r="C23072" s="5" t="str">
        <f>IFERROR(__xludf.DUMMYFUNCTION("GOOGLETRANSLATE(B23072,""en"",""fr"")"),"Beaucoup de gens attendent et s'assoient sur leurs sacs avec les snowboards d'un côté, les gens descendent la montagne pendant que les jours se déroulent.")</f>
        <v>Beaucoup de gens attendent et s'assoient sur leurs sacs avec les snowboards d'un côté, les gens descendent la montagne pendant que les jours se déroulent.</v>
      </c>
    </row>
    <row r="23073">
      <c r="A23073" s="4" t="s">
        <v>29035</v>
      </c>
      <c r="B23073" s="4" t="s">
        <v>29036</v>
      </c>
      <c r="C23073" s="5" t="str">
        <f>IFERROR(__xludf.DUMMYFUNCTION("GOOGLETRANSLATE(B23073,""en"",""fr"")"),"Plusieurs hommes professionnels placent de la cire sur tous les types de skis.")</f>
        <v>Plusieurs hommes professionnels placent de la cire sur tous les types de skis.</v>
      </c>
    </row>
    <row r="23074">
      <c r="A23074" s="4" t="s">
        <v>29035</v>
      </c>
      <c r="B23074" s="4" t="s">
        <v>29037</v>
      </c>
      <c r="C23074" s="5" t="str">
        <f>IFERROR(__xludf.DUMMYFUNCTION("GOOGLETRANSLATE(B23074,""en"",""fr"")"),"Alors qu'ils continuent de placer de la cire, ils utilisent des outils pour moudre et lisser les skis.")</f>
        <v>Alors qu'ils continuent de placer de la cire, ils utilisent des outils pour moudre et lisser les skis.</v>
      </c>
    </row>
    <row r="23075">
      <c r="A23075" s="4" t="s">
        <v>29035</v>
      </c>
      <c r="B23075" s="4" t="s">
        <v>29038</v>
      </c>
      <c r="C23075" s="5" t="str">
        <f>IFERROR(__xludf.DUMMYFUNCTION("GOOGLETRANSLATE(B23075,""en"",""fr"")"),"Enfin, l'utilisation de tissus par les travailleurs lisse et brille les skis.")</f>
        <v>Enfin, l'utilisation de tissus par les travailleurs lisse et brille les skis.</v>
      </c>
    </row>
    <row r="23076">
      <c r="A23076" s="4" t="s">
        <v>29039</v>
      </c>
      <c r="B23076" s="4" t="s">
        <v>29040</v>
      </c>
      <c r="C23076" s="5" t="str">
        <f>IFERROR(__xludf.DUMMYFUNCTION("GOOGLETRANSLATE(B23076,""en"",""fr"")"),"Une procession militaire porte un cercueil et passe par une cérémonie funéraire.")</f>
        <v>Une procession militaire porte un cercueil et passe par une cérémonie funéraire.</v>
      </c>
    </row>
    <row r="23077">
      <c r="A23077" s="4" t="s">
        <v>29039</v>
      </c>
      <c r="B23077" s="4" t="s">
        <v>29041</v>
      </c>
      <c r="C23077" s="5" t="str">
        <f>IFERROR(__xludf.DUMMYFUNCTION("GOOGLETRANSLATE(B23077,""en"",""fr"")"),"Une présentatrice de nouvelles parle dans une salle de rédaction.")</f>
        <v>Une présentatrice de nouvelles parle dans une salle de rédaction.</v>
      </c>
    </row>
    <row r="23078">
      <c r="A23078" s="4" t="s">
        <v>29039</v>
      </c>
      <c r="B23078" s="4" t="s">
        <v>29042</v>
      </c>
      <c r="C23078" s="5" t="str">
        <f>IFERROR(__xludf.DUMMYFUNCTION("GOOGLETRANSLATE(B23078,""en"",""fr"")"),"Un cercueil et est porté par un wagon avec militaire.")</f>
        <v>Un cercueil et est porté par un wagon avec militaire.</v>
      </c>
    </row>
    <row r="23079">
      <c r="A23079" s="4" t="s">
        <v>29039</v>
      </c>
      <c r="B23079" s="4" t="s">
        <v>29043</v>
      </c>
      <c r="C23079" s="5" t="str">
        <f>IFERROR(__xludf.DUMMYFUNCTION("GOOGLETRANSLATE(B23079,""en"",""fr"")"),"Un militaire présente un drapeau à un invité.")</f>
        <v>Un militaire présente un drapeau à un invité.</v>
      </c>
    </row>
    <row r="23080">
      <c r="A23080" s="4" t="s">
        <v>29039</v>
      </c>
      <c r="B23080" s="4" t="s">
        <v>29044</v>
      </c>
      <c r="C23080" s="5" t="str">
        <f>IFERROR(__xludf.DUMMYFUNCTION("GOOGLETRANSLATE(B23080,""en"",""fr"")"),"Un homme avec une jambe prothétique et une femme montent des chevaux avec des entraîneurs avec un entraîneur aux côtés.")</f>
        <v>Un homme avec une jambe prothétique et une femme montent des chevaux avec des entraîneurs avec un entraîneur aux côtés.</v>
      </c>
    </row>
    <row r="23081">
      <c r="A23081" s="4" t="s">
        <v>29039</v>
      </c>
      <c r="B23081" s="4" t="s">
        <v>29045</v>
      </c>
      <c r="C23081" s="5" t="str">
        <f>IFERROR(__xludf.DUMMYFUNCTION("GOOGLETRANSLATE(B23081,""en"",""fr"")"),"Un journaliste monte avec un homme en maillot de football le long d'un trottoir.")</f>
        <v>Un journaliste monte avec un homme en maillot de football le long d'un trottoir.</v>
      </c>
    </row>
    <row r="23082">
      <c r="A23082" s="4" t="s">
        <v>29039</v>
      </c>
      <c r="B23082" s="4" t="s">
        <v>29046</v>
      </c>
      <c r="C23082" s="5" t="str">
        <f>IFERROR(__xludf.DUMMYFUNCTION("GOOGLETRANSLATE(B23082,""en"",""fr"")"),"Un entraîneur de chevaux parle près d'une zone boisée.")</f>
        <v>Un entraîneur de chevaux parle près d'une zone boisée.</v>
      </c>
    </row>
    <row r="23083">
      <c r="A23083" s="4" t="s">
        <v>29039</v>
      </c>
      <c r="B23083" s="4" t="s">
        <v>29047</v>
      </c>
      <c r="C23083" s="5" t="str">
        <f>IFERROR(__xludf.DUMMYFUNCTION("GOOGLETRANSLATE(B23083,""en"",""fr"")"),"L'homme en maillot s'arrête sur le cheval alors qu'il s'approche du cortège funèbre.")</f>
        <v>L'homme en maillot s'arrête sur le cheval alors qu'il s'approche du cortège funèbre.</v>
      </c>
    </row>
    <row r="23084">
      <c r="A23084" s="4" t="s">
        <v>29048</v>
      </c>
      <c r="B23084" s="4" t="s">
        <v>29049</v>
      </c>
      <c r="C23084" s="5" t="str">
        <f>IFERROR(__xludf.DUMMYFUNCTION("GOOGLETRANSLATE(B23084,""en"",""fr"")"),"Il y a un homme qui parle sur le microphone pour annoncer qui arrive.")</f>
        <v>Il y a un homme qui parle sur le microphone pour annoncer qui arrive.</v>
      </c>
    </row>
    <row r="23085">
      <c r="A23085" s="4" t="s">
        <v>29048</v>
      </c>
      <c r="B23085" s="4" t="s">
        <v>29050</v>
      </c>
      <c r="C23085" s="5" t="str">
        <f>IFERROR(__xludf.DUMMYFUNCTION("GOOGLETRANSLATE(B23085,""en"",""fr"")"),"Ensuite, de nombreuses personnes différentes montent sur scène pour danser.")</f>
        <v>Ensuite, de nombreuses personnes différentes montent sur scène pour danser.</v>
      </c>
    </row>
    <row r="23086">
      <c r="A23086" s="4" t="s">
        <v>29051</v>
      </c>
      <c r="B23086" s="4" t="s">
        <v>29052</v>
      </c>
      <c r="C23086" s="5" t="str">
        <f>IFERROR(__xludf.DUMMYFUNCTION("GOOGLETRANSLATE(B23086,""en"",""fr"")"),"Plusieurs clips montrés d'une personne qui roule dans les rues de la ville sur des lames à rouleaux.")</f>
        <v>Plusieurs clips montrés d'une personne qui roule dans les rues de la ville sur des lames à rouleaux.</v>
      </c>
    </row>
    <row r="23087">
      <c r="A23087" s="4" t="s">
        <v>29051</v>
      </c>
      <c r="B23087" s="4" t="s">
        <v>29053</v>
      </c>
      <c r="C23087" s="5" t="str">
        <f>IFERROR(__xludf.DUMMYFUNCTION("GOOGLETRANSLATE(B23087,""en"",""fr"")"),"La personne continue de rouler dans les rues, puis le texte apparaît sur l'écran.")</f>
        <v>La personne continue de rouler dans les rues, puis le texte apparaît sur l'écran.</v>
      </c>
    </row>
    <row r="23088">
      <c r="A23088" s="4" t="s">
        <v>29054</v>
      </c>
      <c r="B23088" s="6" t="s">
        <v>29055</v>
      </c>
      <c r="C23088" s="5" t="str">
        <f>IFERROR(__xludf.DUMMYFUNCTION("GOOGLETRANSLATE(B23088,""en"",""fr"")"),"Une jeune fille est montrée sur un grand sol de gymnase faisant des flips et des tours avec un bâton et plusieurs juges la regardant.")</f>
        <v>Une jeune fille est montrée sur un grand sol de gymnase faisant des flips et des tours avec un bâton et plusieurs juges la regardant.</v>
      </c>
    </row>
    <row r="23089">
      <c r="A23089" s="4" t="s">
        <v>29054</v>
      </c>
      <c r="B23089" s="4" t="s">
        <v>29056</v>
      </c>
      <c r="C23089" s="5" t="str">
        <f>IFERROR(__xludf.DUMMYFUNCTION("GOOGLETRANSLATE(B23089,""en"",""fr"")"),"Elle continue de se déplacer le long du sol pendant que la fille s'entraîne derrière elle.")</f>
        <v>Elle continue de se déplacer le long du sol pendant que la fille s'entraîne derrière elle.</v>
      </c>
    </row>
    <row r="23090">
      <c r="A23090" s="4" t="s">
        <v>29054</v>
      </c>
      <c r="B23090" s="4" t="s">
        <v>29057</v>
      </c>
      <c r="C23090" s="5" t="str">
        <f>IFERROR(__xludf.DUMMYFUNCTION("GOOGLETRANSLATE(B23090,""en"",""fr"")"),"Elle termine sa routine et se tient devant les juges et entend ses résultats.")</f>
        <v>Elle termine sa routine et se tient devant les juges et entend ses résultats.</v>
      </c>
    </row>
    <row r="23091">
      <c r="A23091" s="4" t="s">
        <v>29058</v>
      </c>
      <c r="B23091" s="4" t="s">
        <v>29059</v>
      </c>
      <c r="C23091" s="5" t="str">
        <f>IFERROR(__xludf.DUMMYFUNCTION("GOOGLETRANSLATE(B23091,""en"",""fr"")"),"Un surfeur portant une combinaison humide décolle et monte une vague dans l'océan.")</f>
        <v>Un surfeur portant une combinaison humide décolle et monte une vague dans l'océan.</v>
      </c>
    </row>
    <row r="23092">
      <c r="A23092" s="4" t="s">
        <v>29058</v>
      </c>
      <c r="B23092" s="4" t="s">
        <v>29060</v>
      </c>
      <c r="C23092" s="5" t="str">
        <f>IFERROR(__xludf.DUMMYFUNCTION("GOOGLETRANSLATE(B23092,""en"",""fr"")"),"Deux surfeurs sont accueillis par un sceau dans l'océan qui saute sur sa planche et joue avec eux.")</f>
        <v>Deux surfeurs sont accueillis par un sceau dans l'océan qui saute sur sa planche et joue avec eux.</v>
      </c>
    </row>
    <row r="23093">
      <c r="A23093" s="4" t="s">
        <v>29058</v>
      </c>
      <c r="B23093" s="4" t="s">
        <v>29061</v>
      </c>
      <c r="C23093" s="5" t="str">
        <f>IFERROR(__xludf.DUMMYFUNCTION("GOOGLETRANSLATE(B23093,""en"",""fr"")"),"Le surfeur portant une combinaison humide décolle sur une vague, laissant le sceau derrière.")</f>
        <v>Le surfeur portant une combinaison humide décolle sur une vague, laissant le sceau derrière.</v>
      </c>
    </row>
    <row r="23094">
      <c r="A23094" s="4" t="s">
        <v>29062</v>
      </c>
      <c r="B23094" s="4" t="s">
        <v>29063</v>
      </c>
      <c r="C23094" s="5" t="str">
        <f>IFERROR(__xludf.DUMMYFUNCTION("GOOGLETRANSLATE(B23094,""en"",""fr"")"),"Un homme est dans une pièce, pointant et parle de carreaux.")</f>
        <v>Un homme est dans une pièce, pointant et parle de carreaux.</v>
      </c>
    </row>
    <row r="23095">
      <c r="A23095" s="4" t="s">
        <v>29062</v>
      </c>
      <c r="B23095" s="4" t="s">
        <v>29064</v>
      </c>
      <c r="C23095" s="5" t="str">
        <f>IFERROR(__xludf.DUMMYFUNCTION("GOOGLETRANSLATE(B23095,""en"",""fr"")"),"Il place les carreaux dans le mur à la fois.")</f>
        <v>Il place les carreaux dans le mur à la fois.</v>
      </c>
    </row>
    <row r="23096">
      <c r="A23096" s="4" t="s">
        <v>29062</v>
      </c>
      <c r="B23096" s="4" t="s">
        <v>29065</v>
      </c>
      <c r="C23096" s="5" t="str">
        <f>IFERROR(__xludf.DUMMYFUNCTION("GOOGLETRANSLATE(B23096,""en"",""fr"")"),"L'homme complète la construction, puis éteint la caméra.")</f>
        <v>L'homme complète la construction, puis éteint la caméra.</v>
      </c>
    </row>
    <row r="23097">
      <c r="A23097" s="4" t="s">
        <v>29066</v>
      </c>
      <c r="B23097" s="4" t="s">
        <v>29067</v>
      </c>
      <c r="C23097" s="5" t="str">
        <f>IFERROR(__xludf.DUMMYFUNCTION("GOOGLETRANSLATE(B23097,""en"",""fr"")"),"Une page avec une vidéo structurée pour ressembler à YouTube est montrée.")</f>
        <v>Une page avec une vidéo structurée pour ressembler à YouTube est montrée.</v>
      </c>
    </row>
    <row r="23098">
      <c r="A23098" s="4" t="s">
        <v>29066</v>
      </c>
      <c r="B23098" s="4" t="s">
        <v>29068</v>
      </c>
      <c r="C23098" s="5" t="str">
        <f>IFERROR(__xludf.DUMMYFUNCTION("GOOGLETRANSLATE(B23098,""en"",""fr"")"),"Une femme assise parle à la caméra, entrecoupée par des scènes de personnes montrées par le soudage.")</f>
        <v>Une femme assise parle à la caméra, entrecoupée par des scènes de personnes montrées par le soudage.</v>
      </c>
    </row>
    <row r="23099">
      <c r="A23099" s="4" t="s">
        <v>29066</v>
      </c>
      <c r="B23099" s="4" t="s">
        <v>17268</v>
      </c>
      <c r="C23099" s="5" t="str">
        <f>IFERROR(__xludf.DUMMYFUNCTION("GOOGLETRANSLATE(B23099,""en"",""fr"")"),"Un homme parle à la caméra.")</f>
        <v>Un homme parle à la caméra.</v>
      </c>
    </row>
    <row r="23100">
      <c r="A23100" s="4" t="s">
        <v>29066</v>
      </c>
      <c r="B23100" s="4" t="s">
        <v>29069</v>
      </c>
      <c r="C23100" s="5" t="str">
        <f>IFERROR(__xludf.DUMMYFUNCTION("GOOGLETRANSLATE(B23100,""en"",""fr"")"),"La page YouTube Lookalike avec une vidéo est à nouveau affichée.")</f>
        <v>La page YouTube Lookalike avec une vidéo est à nouveau affichée.</v>
      </c>
    </row>
    <row r="23101">
      <c r="A23101" s="4" t="s">
        <v>29070</v>
      </c>
      <c r="B23101" s="4" t="s">
        <v>29071</v>
      </c>
      <c r="C23101" s="5" t="str">
        <f>IFERROR(__xludf.DUMMYFUNCTION("GOOGLETRANSLATE(B23101,""en"",""fr"")"),"Un lanceur de nouvelles du Moyen-Orient parle d'un événement récent dans une autre langue.")</f>
        <v>Un lanceur de nouvelles du Moyen-Orient parle d'un événement récent dans une autre langue.</v>
      </c>
    </row>
    <row r="23102">
      <c r="A23102" s="4" t="s">
        <v>29070</v>
      </c>
      <c r="B23102" s="4" t="s">
        <v>29072</v>
      </c>
      <c r="C23102" s="5" t="str">
        <f>IFERROR(__xludf.DUMMYFUNCTION("GOOGLETRANSLATE(B23102,""en"",""fr"")"),"La scène change pour montrer un groupe de personnes lors d'un événement quelconque.")</f>
        <v>La scène change pour montrer un groupe de personnes lors d'un événement quelconque.</v>
      </c>
    </row>
    <row r="23103">
      <c r="A23103" s="4" t="s">
        <v>29070</v>
      </c>
      <c r="B23103" s="4" t="s">
        <v>29073</v>
      </c>
      <c r="C23103" s="5" t="str">
        <f>IFERROR(__xludf.DUMMYFUNCTION("GOOGLETRANSLATE(B23103,""en"",""fr"")"),"Les gens de l'événement sont montrés des chaussures de polissage.")</f>
        <v>Les gens de l'événement sont montrés des chaussures de polissage.</v>
      </c>
    </row>
    <row r="23104">
      <c r="A23104" s="4" t="s">
        <v>29070</v>
      </c>
      <c r="B23104" s="4" t="s">
        <v>29074</v>
      </c>
      <c r="C23104" s="5" t="str">
        <f>IFERROR(__xludf.DUMMYFUNCTION("GOOGLETRANSLATE(B23104,""en"",""fr"")"),"Un homme en chemise rouge est interviewé alors qu'il montre les autres lors de l'événement sur l'écran partagé.")</f>
        <v>Un homme en chemise rouge est interviewé alors qu'il montre les autres lors de l'événement sur l'écran partagé.</v>
      </c>
    </row>
    <row r="23105">
      <c r="A23105" s="4" t="s">
        <v>29070</v>
      </c>
      <c r="B23105" s="4" t="s">
        <v>29075</v>
      </c>
      <c r="C23105" s="5" t="str">
        <f>IFERROR(__xludf.DUMMYFUNCTION("GOOGLETRANSLATE(B23105,""en"",""fr"")"),"La scène revient à l'événement avec le journal de presse parlant des images.")</f>
        <v>La scène revient à l'événement avec le journal de presse parlant des images.</v>
      </c>
    </row>
    <row r="23106">
      <c r="A23106" s="4" t="s">
        <v>29076</v>
      </c>
      <c r="B23106" s="4" t="s">
        <v>29077</v>
      </c>
      <c r="C23106" s="5" t="str">
        <f>IFERROR(__xludf.DUMMYFUNCTION("GOOGLETRANSLATE(B23106,""en"",""fr"")"),"La femme se tient à côté d'un cheval tenant une brosse peignant les cheveux du cheval.")</f>
        <v>La femme se tient à côté d'un cheval tenant une brosse peignant les cheveux du cheval.</v>
      </c>
    </row>
    <row r="23107">
      <c r="A23107" s="4" t="s">
        <v>29076</v>
      </c>
      <c r="B23107" s="4" t="s">
        <v>29078</v>
      </c>
      <c r="C23107" s="5" t="str">
        <f>IFERROR(__xludf.DUMMYFUNCTION("GOOGLETRANSLATE(B23107,""en"",""fr"")"),"Litle Kid caresse le cheval.")</f>
        <v>Litle Kid caresse le cheval.</v>
      </c>
    </row>
    <row r="23108">
      <c r="A23108" s="4" t="s">
        <v>29076</v>
      </c>
      <c r="B23108" s="4" t="s">
        <v>29079</v>
      </c>
      <c r="C23108" s="5" t="str">
        <f>IFERROR(__xludf.DUMMYFUNCTION("GOOGLETRANSLATE(B23108,""en"",""fr"")"),"Femme se dirige vers la piste.")</f>
        <v>Femme se dirige vers la piste.</v>
      </c>
    </row>
    <row r="23109">
      <c r="A23109" s="4" t="s">
        <v>29080</v>
      </c>
      <c r="B23109" s="4" t="s">
        <v>29081</v>
      </c>
      <c r="C23109" s="5" t="str">
        <f>IFERROR(__xludf.DUMMYFUNCTION("GOOGLETRANSLATE(B23109,""en"",""fr"")"),"Une fille est vue traverser ses bras et Hula Hooping encore et encore.")</f>
        <v>Une fille est vue traverser ses bras et Hula Hooping encore et encore.</v>
      </c>
    </row>
    <row r="23110">
      <c r="A23110" s="4" t="s">
        <v>29080</v>
      </c>
      <c r="B23110" s="4" t="s">
        <v>29082</v>
      </c>
      <c r="C23110" s="5" t="str">
        <f>IFERROR(__xludf.DUMMYFUNCTION("GOOGLETRANSLATE(B23110,""en"",""fr"")"),"Elle a continuellement coéger des cerceaux tout en déplaçant ses jambes tout autour et en faisant divers sauts et astuces.")</f>
        <v>Elle a continuellement coéger des cerceaux tout en déplaçant ses jambes tout autour et en faisant divers sauts et astuces.</v>
      </c>
    </row>
    <row r="23111">
      <c r="A23111" s="4" t="s">
        <v>29083</v>
      </c>
      <c r="B23111" s="4" t="s">
        <v>29084</v>
      </c>
      <c r="C23111" s="5" t="str">
        <f>IFERROR(__xludf.DUMMYFUNCTION("GOOGLETRANSLATE(B23111,""en"",""fr"")"),"Un homme nommé Andrei s'approche de la scène.")</f>
        <v>Un homme nommé Andrei s'approche de la scène.</v>
      </c>
    </row>
    <row r="23112">
      <c r="A23112" s="4" t="s">
        <v>29083</v>
      </c>
      <c r="B23112" s="4" t="s">
        <v>29085</v>
      </c>
      <c r="C23112" s="5" t="str">
        <f>IFERROR(__xludf.DUMMYFUNCTION("GOOGLETRANSLATE(B23112,""en"",""fr"")"),"Il propulse ses mains dans la préparation.")</f>
        <v>Il propulse ses mains dans la préparation.</v>
      </c>
    </row>
    <row r="23113">
      <c r="A23113" s="4" t="s">
        <v>29083</v>
      </c>
      <c r="B23113" s="4" t="s">
        <v>29086</v>
      </c>
      <c r="C23113" s="5" t="str">
        <f>IFERROR(__xludf.DUMMYFUNCTION("GOOGLETRANSLATE(B23113,""en"",""fr"")"),"Il met ses mains sur le poids.")</f>
        <v>Il met ses mains sur le poids.</v>
      </c>
    </row>
    <row r="23114">
      <c r="A23114" s="4" t="s">
        <v>29083</v>
      </c>
      <c r="B23114" s="4" t="s">
        <v>29087</v>
      </c>
      <c r="C23114" s="5" t="str">
        <f>IFERROR(__xludf.DUMMYFUNCTION("GOOGLETRANSLATE(B23114,""en"",""fr"")"),"Il prépare son corps à soulever le poids lourd.")</f>
        <v>Il prépare son corps à soulever le poids lourd.</v>
      </c>
    </row>
    <row r="23115">
      <c r="A23115" s="4" t="s">
        <v>29083</v>
      </c>
      <c r="B23115" s="4" t="s">
        <v>29088</v>
      </c>
      <c r="C23115" s="5" t="str">
        <f>IFERROR(__xludf.DUMMYFUNCTION("GOOGLETRANSLATE(B23115,""en"",""fr"")"),"Il s'arrête mais laisse tomber le poids et tombe.")</f>
        <v>Il s'arrête mais laisse tomber le poids et tombe.</v>
      </c>
    </row>
    <row r="23116">
      <c r="A23116" s="4" t="s">
        <v>29083</v>
      </c>
      <c r="B23116" s="4" t="s">
        <v>29089</v>
      </c>
      <c r="C23116" s="5" t="str">
        <f>IFERROR(__xludf.DUMMYFUNCTION("GOOGLETRANSLATE(B23116,""en"",""fr"")"),"L'autre concurrent se réjouit de sa victoire.")</f>
        <v>L'autre concurrent se réjouit de sa victoire.</v>
      </c>
    </row>
    <row r="23117">
      <c r="A23117" s="4" t="s">
        <v>29090</v>
      </c>
      <c r="B23117" s="4" t="s">
        <v>29091</v>
      </c>
      <c r="C23117" s="5" t="str">
        <f>IFERROR(__xludf.DUMMYFUNCTION("GOOGLETRANSLATE(B23117,""en"",""fr"")"),"Le ciel clair est montré avant qu'un groupe de filles n'apparaît en jouant à un jeu de hockey sur le terrain.")</f>
        <v>Le ciel clair est montré avant qu'un groupe de filles n'apparaît en jouant à un jeu de hockey sur le terrain.</v>
      </c>
    </row>
    <row r="23118">
      <c r="A23118" s="4" t="s">
        <v>29090</v>
      </c>
      <c r="B23118" s="6" t="s">
        <v>29092</v>
      </c>
      <c r="C23118" s="5" t="str">
        <f>IFERROR(__xludf.DUMMYFUNCTION("GOOGLETRANSLATE(B23118,""en"",""fr"")"),"Les deux équipes rivalisent dans le bâtiment car les images fixes sont indiquées entre les pièces.")</f>
        <v>Les deux équipes rivalisent dans le bâtiment car les images fixes sont indiquées entre les pièces.</v>
      </c>
    </row>
    <row r="23119">
      <c r="A23119" s="4" t="s">
        <v>29090</v>
      </c>
      <c r="B23119" s="6" t="s">
        <v>29093</v>
      </c>
      <c r="C23119" s="5" t="str">
        <f>IFERROR(__xludf.DUMMYFUNCTION("GOOGLETRANSLATE(B23119,""en"",""fr"")"),"Alors qu'une équipe se rapproche de l'objectif, un photographe masculin est montré au coin du but, puis une fille apparaît à la fin de la vidéo, faisant une drôle de visage.")</f>
        <v>Alors qu'une équipe se rapproche de l'objectif, un photographe masculin est montré au coin du but, puis une fille apparaît à la fin de la vidéo, faisant une drôle de visage.</v>
      </c>
    </row>
    <row r="23120">
      <c r="A23120" s="4" t="s">
        <v>29094</v>
      </c>
      <c r="B23120" s="4" t="s">
        <v>29095</v>
      </c>
      <c r="C23120" s="5" t="str">
        <f>IFERROR(__xludf.DUMMYFUNCTION("GOOGLETRANSLATE(B23120,""en"",""fr"")"),"Deux hommes interprètent capoeria au milieu d'un cercle de personnes.")</f>
        <v>Deux hommes interprètent capoeria au milieu d'un cercle de personnes.</v>
      </c>
    </row>
    <row r="23121">
      <c r="A23121" s="4" t="s">
        <v>29094</v>
      </c>
      <c r="B23121" s="4" t="s">
        <v>29096</v>
      </c>
      <c r="C23121" s="5" t="str">
        <f>IFERROR(__xludf.DUMMYFUNCTION("GOOGLETRANSLATE(B23121,""en"",""fr"")"),"Ils se produisent pendant que tout le monde applaudit.")</f>
        <v>Ils se produisent pendant que tout le monde applaudit.</v>
      </c>
    </row>
    <row r="23122">
      <c r="A23122" s="4" t="s">
        <v>29094</v>
      </c>
      <c r="B23122" s="4" t="s">
        <v>29097</v>
      </c>
      <c r="C23122" s="5" t="str">
        <f>IFERROR(__xludf.DUMMYFUNCTION("GOOGLETRANSLATE(B23122,""en"",""fr"")"),"Ils font une courte pause et se promènent un peu avant de recommencer leur performance.")</f>
        <v>Ils font une courte pause et se promènent un peu avant de recommencer leur performance.</v>
      </c>
    </row>
    <row r="23123">
      <c r="A23123" s="4" t="s">
        <v>29094</v>
      </c>
      <c r="B23123" s="4" t="s">
        <v>29098</v>
      </c>
      <c r="C23123" s="5" t="str">
        <f>IFERROR(__xludf.DUMMYFUNCTION("GOOGLETRANSLATE(B23123,""en"",""fr"")"),"Les gens applaudissent à un rythme défini.")</f>
        <v>Les gens applaudissent à un rythme défini.</v>
      </c>
    </row>
    <row r="23124">
      <c r="A23124" s="4" t="s">
        <v>29094</v>
      </c>
      <c r="B23124" s="4" t="s">
        <v>29099</v>
      </c>
      <c r="C23124" s="5" t="str">
        <f>IFERROR(__xludf.DUMMYFUNCTION("GOOGLETRANSLATE(B23124,""en"",""fr"")"),"Cela dure longtemps.")</f>
        <v>Cela dure longtemps.</v>
      </c>
    </row>
    <row r="23125">
      <c r="A23125" s="4" t="s">
        <v>29100</v>
      </c>
      <c r="B23125" s="4" t="s">
        <v>29101</v>
      </c>
      <c r="C23125" s="5" t="str">
        <f>IFERROR(__xludf.DUMMYFUNCTION("GOOGLETRANSLATE(B23125,""en"",""fr"")"),"Le texte lumineux apparaît sur l'écran.")</f>
        <v>Le texte lumineux apparaît sur l'écran.</v>
      </c>
    </row>
    <row r="23126">
      <c r="A23126" s="4" t="s">
        <v>29100</v>
      </c>
      <c r="B23126" s="4" t="s">
        <v>29102</v>
      </c>
      <c r="C23126" s="5" t="str">
        <f>IFERROR(__xludf.DUMMYFUNCTION("GOOGLETRANSLATE(B23126,""en"",""fr"")"),"Une œuvre d'art est affichée sur le mur, et on nous montre plusieurs gros plans de la peinture.")</f>
        <v>Une œuvre d'art est affichée sur le mur, et on nous montre plusieurs gros plans de la peinture.</v>
      </c>
    </row>
    <row r="23127">
      <c r="A23127" s="4" t="s">
        <v>29100</v>
      </c>
      <c r="B23127" s="4" t="s">
        <v>29103</v>
      </c>
      <c r="C23127" s="5" t="str">
        <f>IFERROR(__xludf.DUMMYFUNCTION("GOOGLETRANSLATE(B23127,""en"",""fr"")"),"Les usagers d'art traversent la galerie, en regardant le tableau.")</f>
        <v>Les usagers d'art traversent la galerie, en regardant le tableau.</v>
      </c>
    </row>
    <row r="23128">
      <c r="A23128" s="4" t="s">
        <v>29100</v>
      </c>
      <c r="B23128" s="4" t="s">
        <v>29104</v>
      </c>
      <c r="C23128" s="5" t="str">
        <f>IFERROR(__xludf.DUMMYFUNCTION("GOOGLETRANSLATE(B23128,""en"",""fr"")"),"Nous concluons ensuite avec quelqu'un qui prenait une photo et s'éloignait.")</f>
        <v>Nous concluons ensuite avec quelqu'un qui prenait une photo et s'éloignait.</v>
      </c>
    </row>
    <row r="23129">
      <c r="A23129" s="4" t="s">
        <v>29105</v>
      </c>
      <c r="B23129" s="4" t="s">
        <v>29106</v>
      </c>
      <c r="C23129" s="5" t="str">
        <f>IFERROR(__xludf.DUMMYFUNCTION("GOOGLETRANSLATE(B23129,""en"",""fr"")"),"Un homme montre une arbalète et un couteau et d'autres équipements de chasse.")</f>
        <v>Un homme montre une arbalète et un couteau et d'autres équipements de chasse.</v>
      </c>
    </row>
    <row r="23130">
      <c r="A23130" s="4" t="s">
        <v>29105</v>
      </c>
      <c r="B23130" s="4" t="s">
        <v>29107</v>
      </c>
      <c r="C23130" s="5" t="str">
        <f>IFERROR(__xludf.DUMMYFUNCTION("GOOGLETRANSLATE(B23130,""en"",""fr"")"),"L'homme parle à la caméra montrant un arc de chasse.")</f>
        <v>L'homme parle à la caméra montrant un arc de chasse.</v>
      </c>
    </row>
    <row r="23131">
      <c r="A23131" s="4" t="s">
        <v>29105</v>
      </c>
      <c r="B23131" s="4" t="s">
        <v>29108</v>
      </c>
      <c r="C23131" s="5" t="str">
        <f>IFERROR(__xludf.DUMMYFUNCTION("GOOGLETRANSLATE(B23131,""en"",""fr"")"),"L'arc est montré en détail.")</f>
        <v>L'arc est montré en détail.</v>
      </c>
    </row>
    <row r="23132">
      <c r="A23132" s="4" t="s">
        <v>29105</v>
      </c>
      <c r="B23132" s="4" t="s">
        <v>29109</v>
      </c>
      <c r="C23132" s="5" t="str">
        <f>IFERROR(__xludf.DUMMYFUNCTION("GOOGLETRANSLATE(B23132,""en"",""fr"")"),"Un autre homme est montré à l'extérieur en utilisant l'arc de chasse pour tirer une cible.")</f>
        <v>Un autre homme est montré à l'extérieur en utilisant l'arc de chasse pour tirer une cible.</v>
      </c>
    </row>
    <row r="23133">
      <c r="A23133" s="4" t="s">
        <v>29105</v>
      </c>
      <c r="B23133" s="4" t="s">
        <v>29110</v>
      </c>
      <c r="C23133" s="5" t="str">
        <f>IFERROR(__xludf.DUMMYFUNCTION("GOOGLETRANSLATE(B23133,""en"",""fr"")"),"L'homme parle à nouveau à la caméra à l'intérieur montrant l'arc de chasse.")</f>
        <v>L'homme parle à nouveau à la caméra à l'intérieur montrant l'arc de chasse.</v>
      </c>
    </row>
    <row r="23134">
      <c r="A23134" s="4" t="s">
        <v>29111</v>
      </c>
      <c r="B23134" s="4" t="s">
        <v>29112</v>
      </c>
      <c r="C23134" s="5" t="str">
        <f>IFERROR(__xludf.DUMMYFUNCTION("GOOGLETRANSLATE(B23134,""en"",""fr"")"),"Un homme est sur un plongeon et commence à sauter sur la planche une fois.")</f>
        <v>Un homme est sur un plongeon et commence à sauter sur la planche une fois.</v>
      </c>
    </row>
    <row r="23135">
      <c r="A23135" s="4" t="s">
        <v>29111</v>
      </c>
      <c r="B23135" s="4" t="s">
        <v>29113</v>
      </c>
      <c r="C23135" s="5" t="str">
        <f>IFERROR(__xludf.DUMMYFUNCTION("GOOGLETRANSLATE(B23135,""en"",""fr"")"),"L'homme entre en l'air et fait un rouleau vers l'avant dans l'air.")</f>
        <v>L'homme entre en l'air et fait un rouleau vers l'avant dans l'air.</v>
      </c>
    </row>
    <row r="23136">
      <c r="A23136" s="4" t="s">
        <v>29111</v>
      </c>
      <c r="B23136" s="4" t="s">
        <v>29114</v>
      </c>
      <c r="C23136" s="5" t="str">
        <f>IFERROR(__xludf.DUMMYFUNCTION("GOOGLETRANSLATE(B23136,""en"",""fr"")"),"L'homme commence alors à descendre dans l'eau du haut de son saut.")</f>
        <v>L'homme commence alors à descendre dans l'eau du haut de son saut.</v>
      </c>
    </row>
    <row r="23137">
      <c r="A23137" s="4" t="s">
        <v>29111</v>
      </c>
      <c r="B23137" s="4" t="s">
        <v>29115</v>
      </c>
      <c r="C23137" s="5" t="str">
        <f>IFERROR(__xludf.DUMMYFUNCTION("GOOGLETRANSLATE(B23137,""en"",""fr"")"),"L'homme atterrit dans l'eau alors qu'il éclabousse et fait le mouvement pour revenir à la surface.")</f>
        <v>L'homme atterrit dans l'eau alors qu'il éclabousse et fait le mouvement pour revenir à la surface.</v>
      </c>
    </row>
    <row r="23138">
      <c r="A23138" s="4" t="s">
        <v>29116</v>
      </c>
      <c r="B23138" s="6" t="s">
        <v>29117</v>
      </c>
      <c r="C23138" s="5" t="str">
        <f>IFERROR(__xludf.DUMMYFUNCTION("GOOGLETRANSLATE(B23138,""en"",""fr"")"),"La femme avec des lunettes de soleil, une veste bleue a poussé le rond de sauvetage sur la neige et a sauté dessus.")</f>
        <v>La femme avec des lunettes de soleil, une veste bleue a poussé le rond de sauvetage sur la neige et a sauté dessus.</v>
      </c>
    </row>
    <row r="23139">
      <c r="A23139" s="4" t="s">
        <v>29116</v>
      </c>
      <c r="B23139" s="6" t="s">
        <v>29118</v>
      </c>
      <c r="C23139" s="5" t="str">
        <f>IFERROR(__xludf.DUMMYFUNCTION("GOOGLETRANSLATE(B23139,""en"",""fr"")"),"La vie continue de glisser sur la neige, la femme regarde la caméra, elle a passé les drapeaux orange et plusieurs personnes qui se tiennent sur le côté du sentier.")</f>
        <v>La vie continue de glisser sur la neige, la femme regarde la caméra, elle a passé les drapeaux orange et plusieurs personnes qui se tiennent sur le côté du sentier.</v>
      </c>
    </row>
    <row r="23140">
      <c r="A23140" s="4" t="s">
        <v>29119</v>
      </c>
      <c r="B23140" s="4" t="s">
        <v>1251</v>
      </c>
      <c r="C23140" s="5" t="str">
        <f>IFERROR(__xludf.DUMMYFUNCTION("GOOGLETRANSLATE(B23140,""en"",""fr"")"),"Les crédits du clip sont affichés.")</f>
        <v>Les crédits du clip sont affichés.</v>
      </c>
    </row>
    <row r="23141">
      <c r="A23141" s="4" t="s">
        <v>29119</v>
      </c>
      <c r="B23141" s="4" t="s">
        <v>29120</v>
      </c>
      <c r="C23141" s="5" t="str">
        <f>IFERROR(__xludf.DUMMYFUNCTION("GOOGLETRANSLATE(B23141,""en"",""fr"")"),"Un gars parle tout en faisant un geste.")</f>
        <v>Un gars parle tout en faisant un geste.</v>
      </c>
    </row>
    <row r="23142">
      <c r="A23142" s="4" t="s">
        <v>29119</v>
      </c>
      <c r="B23142" s="4" t="s">
        <v>29121</v>
      </c>
      <c r="C23142" s="5" t="str">
        <f>IFERROR(__xludf.DUMMYFUNCTION("GOOGLETRANSLATE(B23142,""en"",""fr"")"),"Les ingrédients pour faire un plat sont montrés.")</f>
        <v>Les ingrédients pour faire un plat sont montrés.</v>
      </c>
    </row>
    <row r="23143">
      <c r="A23143" s="4" t="s">
        <v>29119</v>
      </c>
      <c r="B23143" s="4" t="s">
        <v>29122</v>
      </c>
      <c r="C23143" s="5" t="str">
        <f>IFERROR(__xludf.DUMMYFUNCTION("GOOGLETRANSLATE(B23143,""en"",""fr"")"),"Le gars met du beurre, de l'huile et des ingrédients secs dans une casserole.")</f>
        <v>Le gars met du beurre, de l'huile et des ingrédients secs dans une casserole.</v>
      </c>
    </row>
    <row r="23144">
      <c r="A23144" s="4" t="s">
        <v>29119</v>
      </c>
      <c r="B23144" s="4" t="s">
        <v>29123</v>
      </c>
      <c r="C23144" s="5" t="str">
        <f>IFERROR(__xludf.DUMMYFUNCTION("GOOGLETRANSLATE(B23144,""en"",""fr"")"),"Le gars ajoute des pâtes à la casserole.")</f>
        <v>Le gars ajoute des pâtes à la casserole.</v>
      </c>
    </row>
    <row r="23145">
      <c r="A23145" s="4" t="s">
        <v>29119</v>
      </c>
      <c r="B23145" s="4" t="s">
        <v>573</v>
      </c>
      <c r="C23145" s="5" t="str">
        <f>IFERROR(__xludf.DUMMYFUNCTION("GOOGLETRANSLATE(B23145,""en"",""fr"")"),"Les crédits de la vidéo sont affichés.")</f>
        <v>Les crédits de la vidéo sont affichés.</v>
      </c>
    </row>
    <row r="23146">
      <c r="A23146" s="4" t="s">
        <v>29124</v>
      </c>
      <c r="B23146" s="6" t="s">
        <v>29125</v>
      </c>
      <c r="C23146" s="5" t="str">
        <f>IFERROR(__xludf.DUMMYFUNCTION("GOOGLETRANSLATE(B23146,""en"",""fr"")"),"Un groupe de personnes est vu debout dans une cour quand on frappe une balle et une autre regarde de près.")</f>
        <v>Un groupe de personnes est vu debout dans une cour quand on frappe une balle et une autre regarde de près.</v>
      </c>
    </row>
    <row r="23147">
      <c r="A23147" s="4" t="s">
        <v>29124</v>
      </c>
      <c r="B23147" s="4" t="s">
        <v>29126</v>
      </c>
      <c r="C23147" s="5" t="str">
        <f>IFERROR(__xludf.DUMMYFUNCTION("GOOGLETRANSLATE(B23147,""en"",""fr"")"),"Un autre homme entre dans le cadre en frappant le ballon et les autres personnes derrière lui continuent de jouer.")</f>
        <v>Un autre homme entre dans le cadre en frappant le ballon et les autres personnes derrière lui continuent de jouer.</v>
      </c>
    </row>
    <row r="23148">
      <c r="A23148" s="4" t="s">
        <v>29127</v>
      </c>
      <c r="B23148" s="4" t="s">
        <v>29128</v>
      </c>
      <c r="C23148" s="5" t="str">
        <f>IFERROR(__xludf.DUMMYFUNCTION("GOOGLETRANSLATE(B23148,""en"",""fr"")"),"Une caméra panoramique sur un toit et montre plusieurs personnes qui travaillent et un homme interviewé.")</f>
        <v>Une caméra panoramique sur un toit et montre plusieurs personnes qui travaillent et un homme interviewé.</v>
      </c>
    </row>
    <row r="23149">
      <c r="A23149" s="4" t="s">
        <v>29127</v>
      </c>
      <c r="B23149" s="4" t="s">
        <v>29129</v>
      </c>
      <c r="C23149" s="5" t="str">
        <f>IFERROR(__xludf.DUMMYFUNCTION("GOOGLETRANSLATE(B23149,""en"",""fr"")"),"Un homme vaporise un toit et montre le produit utilisé plusieurs fois et le haut du toit.")</f>
        <v>Un homme vaporise un toit et montre le produit utilisé plusieurs fois et le haut du toit.</v>
      </c>
    </row>
    <row r="23150">
      <c r="A23150" s="4" t="s">
        <v>29127</v>
      </c>
      <c r="B23150" s="4" t="s">
        <v>29130</v>
      </c>
      <c r="C23150" s="5" t="str">
        <f>IFERROR(__xludf.DUMMYFUNCTION("GOOGLETRANSLATE(B23150,""en"",""fr"")"),"Un autre homme est interviewé et montre plus d'hommes travaillant sur le toit.")</f>
        <v>Un autre homme est interviewé et montre plus d'hommes travaillant sur le toit.</v>
      </c>
    </row>
    <row r="23151">
      <c r="A23151" s="4" t="s">
        <v>29131</v>
      </c>
      <c r="B23151" s="4" t="s">
        <v>29132</v>
      </c>
      <c r="C23151" s="5" t="str">
        <f>IFERROR(__xludf.DUMMYFUNCTION("GOOGLETRANSLATE(B23151,""en"",""fr"")"),"Une personne met un vêtement dans un seau, puis il ajoute un détergent et de l'eau.")</f>
        <v>Une personne met un vêtement dans un seau, puis il ajoute un détergent et de l'eau.</v>
      </c>
    </row>
    <row r="23152">
      <c r="A23152" s="4" t="s">
        <v>29131</v>
      </c>
      <c r="B23152" s="4" t="s">
        <v>29133</v>
      </c>
      <c r="C23152" s="5" t="str">
        <f>IFERROR(__xludf.DUMMYFUNCTION("GOOGLETRANSLATE(B23152,""en"",""fr"")"),"Ensuite, l'homme lave le tissu avec sa main, puis verse de l'eau et rince plusieurs fois.")</f>
        <v>Ensuite, l'homme lave le tissu avec sa main, puis verse de l'eau et rince plusieurs fois.</v>
      </c>
    </row>
    <row r="23153">
      <c r="A23153" s="4" t="s">
        <v>29131</v>
      </c>
      <c r="B23153" s="4" t="s">
        <v>29134</v>
      </c>
      <c r="C23153" s="5" t="str">
        <f>IFERROR(__xludf.DUMMYFUNCTION("GOOGLETRANSLATE(B23153,""en"",""fr"")"),"Ensuite, la personne porte le vêtement pour accrocher une corde et sec.")</f>
        <v>Ensuite, la personne porte le vêtement pour accrocher une corde et sec.</v>
      </c>
    </row>
    <row r="23154">
      <c r="A23154" s="4" t="s">
        <v>29135</v>
      </c>
      <c r="B23154" s="4" t="s">
        <v>29136</v>
      </c>
      <c r="C23154" s="5" t="str">
        <f>IFERROR(__xludf.DUMMYFUNCTION("GOOGLETRANSLATE(B23154,""en"",""fr"")"),"Une grande rivière est vue suivie par une personne descendant dans un tube.")</f>
        <v>Une grande rivière est vue suivie par une personne descendant dans un tube.</v>
      </c>
    </row>
    <row r="23155">
      <c r="A23155" s="4" t="s">
        <v>29135</v>
      </c>
      <c r="B23155" s="4" t="s">
        <v>29137</v>
      </c>
      <c r="C23155" s="5" t="str">
        <f>IFERROR(__xludf.DUMMYFUNCTION("GOOGLETRANSLATE(B23155,""en"",""fr"")"),"Une autre personne est également vue rouler dans un tube.")</f>
        <v>Une autre personne est également vue rouler dans un tube.</v>
      </c>
    </row>
    <row r="23156">
      <c r="A23156" s="4" t="s">
        <v>29135</v>
      </c>
      <c r="B23156" s="4" t="s">
        <v>29138</v>
      </c>
      <c r="C23156" s="5" t="str">
        <f>IFERROR(__xludf.DUMMYFUNCTION("GOOGLETRANSLATE(B23156,""en"",""fr"")"),"Les deux descendent ensemble la rivière et passent d'autres personnes assises le long de la rivière.")</f>
        <v>Les deux descendent ensemble la rivière et passent d'autres personnes assises le long de la rivière.</v>
      </c>
    </row>
    <row r="23157">
      <c r="A23157" s="4" t="s">
        <v>29139</v>
      </c>
      <c r="B23157" s="4" t="s">
        <v>29140</v>
      </c>
      <c r="C23157" s="5" t="str">
        <f>IFERROR(__xludf.DUMMYFUNCTION("GOOGLETRANSLATE(B23157,""en"",""fr"")"),"Un homme est vu parler à la caméra tout en tenant un gros accordéon dans ses mains.")</f>
        <v>Un homme est vu parler à la caméra tout en tenant un gros accordéon dans ses mains.</v>
      </c>
    </row>
    <row r="23158">
      <c r="A23158" s="4" t="s">
        <v>29139</v>
      </c>
      <c r="B23158" s="6" t="s">
        <v>29141</v>
      </c>
      <c r="C23158" s="5" t="str">
        <f>IFERROR(__xludf.DUMMYFUNCTION("GOOGLETRANSLATE(B23158,""en"",""fr"")"),"L'homme montre ensuite comment jouer correctement l'instrument tout en déplaçant ses mains de haut en bas.")</f>
        <v>L'homme montre ensuite comment jouer correctement l'instrument tout en déplaçant ses mains de haut en bas.</v>
      </c>
    </row>
    <row r="23159">
      <c r="A23159" s="4" t="s">
        <v>29142</v>
      </c>
      <c r="B23159" s="4" t="s">
        <v>29143</v>
      </c>
      <c r="C23159" s="5" t="str">
        <f>IFERROR(__xludf.DUMMYFUNCTION("GOOGLETRANSLATE(B23159,""en"",""fr"")"),"Un homme aux cheveux blancs est assis dans un piano droit et commence à jouer dans un hall pendant que les gens passent.")</f>
        <v>Un homme aux cheveux blancs est assis dans un piano droit et commence à jouer dans un hall pendant que les gens passent.</v>
      </c>
    </row>
    <row r="23160">
      <c r="A23160" s="4" t="s">
        <v>29142</v>
      </c>
      <c r="B23160" s="4" t="s">
        <v>29144</v>
      </c>
      <c r="C23160" s="5" t="str">
        <f>IFERROR(__xludf.DUMMYFUNCTION("GOOGLETRANSLATE(B23160,""en"",""fr"")"),"Le caméraman zoome sur les mains de l'homme pendant qu'il joue et se fait zoomer.")</f>
        <v>Le caméraman zoome sur les mains de l'homme pendant qu'il joue et se fait zoomer.</v>
      </c>
    </row>
    <row r="23161">
      <c r="A23161" s="4" t="s">
        <v>29145</v>
      </c>
      <c r="B23161" s="6" t="s">
        <v>29146</v>
      </c>
      <c r="C23161" s="5" t="str">
        <f>IFERROR(__xludf.DUMMYFUNCTION("GOOGLETRANSLATE(B23161,""en"",""fr"")"),"Une intro mène à un grand homme portant un costume du Père Noël et patinant dans une longue rue entre les gens.")</f>
        <v>Une intro mène à un grand homme portant un costume du Père Noël et patinant dans une longue rue entre les gens.</v>
      </c>
    </row>
    <row r="23162">
      <c r="A23162" s="4" t="s">
        <v>29145</v>
      </c>
      <c r="B23162" s="6" t="s">
        <v>29147</v>
      </c>
      <c r="C23162" s="5" t="str">
        <f>IFERROR(__xludf.DUMMYFUNCTION("GOOGLETRANSLATE(B23162,""en"",""fr"")"),"La caméra le suit en chevauchant la ville et en effectuant divers trucs et manœuvres autour des voitures et des gens.")</f>
        <v>La caméra le suit en chevauchant la ville et en effectuant divers trucs et manœuvres autour des voitures et des gens.</v>
      </c>
    </row>
    <row r="23163">
      <c r="A23163" s="4" t="s">
        <v>29148</v>
      </c>
      <c r="B23163" s="4" t="s">
        <v>29149</v>
      </c>
      <c r="C23163" s="5" t="str">
        <f>IFERROR(__xludf.DUMMYFUNCTION("GOOGLETRANSLATE(B23163,""en"",""fr"")"),"Deux hommes ont marché sur la table de football, un homme a compté les dés sur le côté.")</f>
        <v>Deux hommes ont marché sur la table de football, un homme a compté les dés sur le côté.</v>
      </c>
    </row>
    <row r="23164">
      <c r="A23164" s="4" t="s">
        <v>29148</v>
      </c>
      <c r="B23164" s="4" t="s">
        <v>29150</v>
      </c>
      <c r="C23164" s="5" t="str">
        <f>IFERROR(__xludf.DUMMYFUNCTION("GOOGLETRANSLATE(B23164,""en"",""fr"")"),"Les joueurs tournent et poussent et tirent les poteaux pendant qu'ils jouent sur la table.")</f>
        <v>Les joueurs tournent et poussent et tirent les poteaux pendant qu'ils jouent sur la table.</v>
      </c>
    </row>
    <row r="23165">
      <c r="A23165" s="4" t="s">
        <v>29148</v>
      </c>
      <c r="B23165" s="4" t="s">
        <v>29151</v>
      </c>
      <c r="C23165" s="5" t="str">
        <f>IFERROR(__xludf.DUMMYFUNCTION("GOOGLETRANSLATE(B23165,""en"",""fr"")"),"L'appareil photo prend des photos derrière eux.")</f>
        <v>L'appareil photo prend des photos derrière eux.</v>
      </c>
    </row>
    <row r="23166">
      <c r="A23166" s="4" t="s">
        <v>29152</v>
      </c>
      <c r="B23166" s="4" t="s">
        <v>29153</v>
      </c>
      <c r="C23166" s="5" t="str">
        <f>IFERROR(__xludf.DUMMYFUNCTION("GOOGLETRANSLATE(B23166,""en"",""fr"")"),"Plusieurs hommes sont présentés au bowling pendant qu'un public regarde.")</f>
        <v>Plusieurs hommes sont présentés au bowling pendant qu'un public regarde.</v>
      </c>
    </row>
    <row r="23167">
      <c r="A23167" s="4" t="s">
        <v>29152</v>
      </c>
      <c r="B23167" s="4" t="s">
        <v>29154</v>
      </c>
      <c r="C23167" s="5" t="str">
        <f>IFERROR(__xludf.DUMMYFUNCTION("GOOGLETRANSLATE(B23167,""en"",""fr"")"),"Les quilleurs bollaient tour à tour, un à la fois.")</f>
        <v>Les quilleurs bollaient tour à tour, un à la fois.</v>
      </c>
    </row>
    <row r="23168">
      <c r="A23168" s="4" t="s">
        <v>29152</v>
      </c>
      <c r="B23168" s="4" t="s">
        <v>29155</v>
      </c>
      <c r="C23168" s="5" t="str">
        <f>IFERROR(__xludf.DUMMYFUNCTION("GOOGLETRANSLATE(B23168,""en"",""fr"")"),"Les joueurs et le public encouragent l'un des joueurs.")</f>
        <v>Les joueurs et le public encouragent l'un des joueurs.</v>
      </c>
    </row>
    <row r="23169">
      <c r="A23169" s="4" t="s">
        <v>29156</v>
      </c>
      <c r="B23169" s="4" t="s">
        <v>29157</v>
      </c>
      <c r="C23169" s="5" t="str">
        <f>IFERROR(__xludf.DUMMYFUNCTION("GOOGLETRANSLATE(B23169,""en"",""fr"")"),"Un homme utilise une paire de coupe-haies sur les arbres.")</f>
        <v>Un homme utilise une paire de coupe-haies sur les arbres.</v>
      </c>
    </row>
    <row r="23170">
      <c r="A23170" s="4" t="s">
        <v>29156</v>
      </c>
      <c r="B23170" s="4" t="s">
        <v>29158</v>
      </c>
      <c r="C23170" s="5" t="str">
        <f>IFERROR(__xludf.DUMMYFUNCTION("GOOGLETRANSLATE(B23170,""en"",""fr"")"),"Il parle à la caméra au fur et à mesure.")</f>
        <v>Il parle à la caméra au fur et à mesure.</v>
      </c>
    </row>
    <row r="23171">
      <c r="A23171" s="4" t="s">
        <v>29156</v>
      </c>
      <c r="B23171" s="4" t="s">
        <v>29159</v>
      </c>
      <c r="C23171" s="5" t="str">
        <f>IFERROR(__xludf.DUMMYFUNCTION("GOOGLETRANSLATE(B23171,""en"",""fr"")"),"Il coupe les arbres avec les cisaillements.")</f>
        <v>Il coupe les arbres avec les cisaillements.</v>
      </c>
    </row>
    <row r="23172">
      <c r="A23172" s="4" t="s">
        <v>29160</v>
      </c>
      <c r="B23172" s="4" t="s">
        <v>29161</v>
      </c>
      <c r="C23172" s="5" t="str">
        <f>IFERROR(__xludf.DUMMYFUNCTION("GOOGLETRANSLATE(B23172,""en"",""fr"")"),"Une personne rassemble des vadrouilles et des matériaux de nettoyage sur un sol durs.")</f>
        <v>Une personne rassemble des vadrouilles et des matériaux de nettoyage sur un sol durs.</v>
      </c>
    </row>
    <row r="23173">
      <c r="A23173" s="4" t="s">
        <v>29160</v>
      </c>
      <c r="B23173" s="4" t="s">
        <v>29162</v>
      </c>
      <c r="C23173" s="5" t="str">
        <f>IFERROR(__xludf.DUMMYFUNCTION("GOOGLETRANSLATE(B23173,""en"",""fr"")"),"La personne nettoie le sol durs à l'aide d'une vadrouille à poussière.")</f>
        <v>La personne nettoie le sol durs à l'aide d'une vadrouille à poussière.</v>
      </c>
    </row>
    <row r="23174">
      <c r="A23174" s="4" t="s">
        <v>29160</v>
      </c>
      <c r="B23174" s="6" t="s">
        <v>29163</v>
      </c>
      <c r="C23174" s="5" t="str">
        <f>IFERROR(__xludf.DUMMYFUNCTION("GOOGLETRANSLATE(B23174,""en"",""fr"")"),"Ensuite, la personne met une tasse de détergent dans une litière d'eau, puis mouille un chiffon et se fixe à une poignée pour nettoyer le sol.")</f>
        <v>Ensuite, la personne met une tasse de détergent dans une litière d'eau, puis mouille un chiffon et se fixe à une poignée pour nettoyer le sol.</v>
      </c>
    </row>
    <row r="23175">
      <c r="A23175" s="4" t="s">
        <v>29160</v>
      </c>
      <c r="B23175" s="4" t="s">
        <v>29164</v>
      </c>
      <c r="C23175" s="5" t="str">
        <f>IFERROR(__xludf.DUMMYFUNCTION("GOOGLETRANSLATE(B23175,""en"",""fr"")"),"La personne retire les taches sur le sol à l'aide d'un tissu avec une solution spéciale.")</f>
        <v>La personne retire les taches sur le sol à l'aide d'un tissu avec une solution spéciale.</v>
      </c>
    </row>
    <row r="23176">
      <c r="A23176" s="4" t="s">
        <v>29165</v>
      </c>
      <c r="B23176" s="6" t="s">
        <v>29166</v>
      </c>
      <c r="C23176" s="5" t="str">
        <f>IFERROR(__xludf.DUMMYFUNCTION("GOOGLETRANSLATE(B23176,""en"",""fr"")"),"Une personne prend deux bâtons à la batterie, un bâton tient avec une main et l'autre avec son pied, puis la personne joue d'une main et la batterie tombe.")</f>
        <v>Une personne prend deux bâtons à la batterie, un bâton tient avec une main et l'autre avec son pied, puis la personne joue d'une main et la batterie tombe.</v>
      </c>
    </row>
    <row r="23177">
      <c r="A23177" s="4" t="s">
        <v>29165</v>
      </c>
      <c r="B23177" s="4" t="s">
        <v>29167</v>
      </c>
      <c r="C23177" s="5" t="str">
        <f>IFERROR(__xludf.DUMMYFUNCTION("GOOGLETRANSLATE(B23177,""en"",""fr"")"),"La personne joue avec une main et des pieds, et le visage d'un gorille apparaît.")</f>
        <v>La personne joue avec une main et des pieds, et le visage d'un gorille apparaît.</v>
      </c>
    </row>
    <row r="23178">
      <c r="A23178" s="4" t="s">
        <v>29165</v>
      </c>
      <c r="B23178" s="4" t="s">
        <v>29168</v>
      </c>
      <c r="C23178" s="5" t="str">
        <f>IFERROR(__xludf.DUMMYFUNCTION("GOOGLETRANSLATE(B23178,""en"",""fr"")"),"Ensuite, la personne met de la moutarde dans un tambour et un œuf sur d'autres tambours et des tambours.")</f>
        <v>Ensuite, la personne met de la moutarde dans un tambour et un œuf sur d'autres tambours et des tambours.</v>
      </c>
    </row>
    <row r="23179">
      <c r="A23179" s="4" t="s">
        <v>29165</v>
      </c>
      <c r="B23179" s="4" t="s">
        <v>29169</v>
      </c>
      <c r="C23179" s="5" t="str">
        <f>IFERROR(__xludf.DUMMYFUNCTION("GOOGLETRANSLATE(B23179,""en"",""fr"")"),"Après, la personne met une tortilla et des tambours, puis frit et œuf.")</f>
        <v>Après, la personne met une tortilla et des tambours, puis frit et œuf.</v>
      </c>
    </row>
    <row r="23180">
      <c r="A23180" s="4" t="s">
        <v>29165</v>
      </c>
      <c r="B23180" s="4" t="s">
        <v>29170</v>
      </c>
      <c r="C23180" s="5" t="str">
        <f>IFERROR(__xludf.DUMMYFUNCTION("GOOGLETRANSLATE(B23180,""en"",""fr"")"),"Ensuite, la personne détruit les tambours.")</f>
        <v>Ensuite, la personne détruit les tambours.</v>
      </c>
    </row>
    <row r="23181">
      <c r="A23181" s="4" t="s">
        <v>29171</v>
      </c>
      <c r="B23181" s="6" t="s">
        <v>29172</v>
      </c>
      <c r="C23181" s="5" t="str">
        <f>IFERROR(__xludf.DUMMYFUNCTION("GOOGLETRANSLATE(B23181,""en"",""fr"")"),"La vidéo commence par plusieurs plans d'une personne faisant des astuces sur une planche à roulettes tandis que beaucoup de gens le regardent sur les côtés.")</f>
        <v>La vidéo commence par plusieurs plans d'une personne faisant des astuces sur une planche à roulettes tandis que beaucoup de gens le regardent sur les côtés.</v>
      </c>
    </row>
    <row r="23182">
      <c r="A23182" s="4" t="s">
        <v>29171</v>
      </c>
      <c r="B23182" s="6" t="s">
        <v>29173</v>
      </c>
      <c r="C23182" s="5" t="str">
        <f>IFERROR(__xludf.DUMMYFUNCTION("GOOGLETRANSLATE(B23182,""en"",""fr"")"),"Il essaie beaucoup plus de trucs qui ne parviennent pas à le faire atterrir sur le tableau et il se promène dans le bol à chaque fois par la suite.")</f>
        <v>Il essaie beaucoup plus de trucs qui ne parviennent pas à le faire atterrir sur le tableau et il se promène dans le bol à chaque fois par la suite.</v>
      </c>
    </row>
    <row r="23183">
      <c r="A23183" s="4" t="s">
        <v>29174</v>
      </c>
      <c r="B23183" s="6" t="s">
        <v>29175</v>
      </c>
      <c r="C23183" s="5" t="str">
        <f>IFERROR(__xludf.DUMMYFUNCTION("GOOGLETRANSLATE(B23183,""en"",""fr"")"),"Une femme est vue debout sur une scène avec une seule lumière montrée et commence à effectuer une routine de danse.")</f>
        <v>Une femme est vue debout sur une scène avec une seule lumière montrée et commence à effectuer une routine de danse.</v>
      </c>
    </row>
    <row r="23184">
      <c r="A23184" s="4" t="s">
        <v>29174</v>
      </c>
      <c r="B23184" s="4" t="s">
        <v>29176</v>
      </c>
      <c r="C23184" s="5" t="str">
        <f>IFERROR(__xludf.DUMMYFUNCTION("GOOGLETRANSLATE(B23184,""en"",""fr"")"),"La lumière est vue sur la femme qui les mène sur une scène éclairée en effectuant une routine de danse du ventre.")</f>
        <v>La lumière est vue sur la femme qui les mène sur une scène éclairée en effectuant une routine de danse du ventre.</v>
      </c>
    </row>
    <row r="23185">
      <c r="A23185" s="4" t="s">
        <v>29174</v>
      </c>
      <c r="B23185" s="6" t="s">
        <v>29177</v>
      </c>
      <c r="C23185" s="5" t="str">
        <f>IFERROR(__xludf.DUMMYFUNCTION("GOOGLETRANSLATE(B23185,""en"",""fr"")"),"La scène redevienne sombre et la femme continue de danser sur scène et de tenir une pose.")</f>
        <v>La scène redevienne sombre et la femme continue de danser sur scène et de tenir une pose.</v>
      </c>
    </row>
    <row r="23186">
      <c r="A23186" s="4" t="s">
        <v>29178</v>
      </c>
      <c r="B23186" s="4" t="s">
        <v>29179</v>
      </c>
      <c r="C23186" s="5" t="str">
        <f>IFERROR(__xludf.DUMMYFUNCTION("GOOGLETRANSLATE(B23186,""en"",""fr"")"),"Un enfant pelle la neige dans une cour et le jette dans l'allée.")</f>
        <v>Un enfant pelle la neige dans une cour et le jette dans l'allée.</v>
      </c>
    </row>
    <row r="23187">
      <c r="A23187" s="4" t="s">
        <v>29178</v>
      </c>
      <c r="B23187" s="4" t="s">
        <v>29180</v>
      </c>
      <c r="C23187" s="5" t="str">
        <f>IFERROR(__xludf.DUMMYFUNCTION("GOOGLETRANSLATE(B23187,""en"",""fr"")"),"La fille laisse tomber sa pelle et pelle dans la neige.")</f>
        <v>La fille laisse tomber sa pelle et pelle dans la neige.</v>
      </c>
    </row>
    <row r="23188">
      <c r="A23188" s="4" t="s">
        <v>29178</v>
      </c>
      <c r="B23188" s="4" t="s">
        <v>29181</v>
      </c>
      <c r="C23188" s="5" t="str">
        <f>IFERROR(__xludf.DUMMYFUNCTION("GOOGLETRANSLATE(B23188,""en"",""fr"")"),"L'enfant se dirige vers sa famille dans la cour.")</f>
        <v>L'enfant se dirige vers sa famille dans la cour.</v>
      </c>
    </row>
    <row r="23189">
      <c r="A23189" s="4" t="s">
        <v>29182</v>
      </c>
      <c r="B23189" s="4" t="s">
        <v>29183</v>
      </c>
      <c r="C23189" s="5" t="str">
        <f>IFERROR(__xludf.DUMMYFUNCTION("GOOGLETRANSLATE(B23189,""en"",""fr"")"),"Plusieurs personnes sont sur des chevaux lors d'un rodéo.")</f>
        <v>Plusieurs personnes sont sur des chevaux lors d'un rodéo.</v>
      </c>
    </row>
    <row r="23190">
      <c r="A23190" s="4" t="s">
        <v>29182</v>
      </c>
      <c r="B23190" s="4" t="s">
        <v>29184</v>
      </c>
      <c r="C23190" s="5" t="str">
        <f>IFERROR(__xludf.DUMMYFUNCTION("GOOGLETRANSLATE(B23190,""en"",""fr"")"),"Un homme sort de la porte et corde un veau.")</f>
        <v>Un homme sort de la porte et corde un veau.</v>
      </c>
    </row>
    <row r="23191">
      <c r="A23191" s="4" t="s">
        <v>29182</v>
      </c>
      <c r="B23191" s="4" t="s">
        <v>29185</v>
      </c>
      <c r="C23191" s="5" t="str">
        <f>IFERROR(__xludf.DUMMYFUNCTION("GOOGLETRANSLATE(B23191,""en"",""fr"")"),"Le mollet tombe au sol alors qu'il est en place.")</f>
        <v>Le mollet tombe au sol alors qu'il est en place.</v>
      </c>
    </row>
    <row r="23192">
      <c r="A23192" s="4" t="s">
        <v>29182</v>
      </c>
      <c r="B23192" s="4" t="s">
        <v>29186</v>
      </c>
      <c r="C23192" s="5" t="str">
        <f>IFERROR(__xludf.DUMMYFUNCTION("GOOGLETRANSLATE(B23192,""en"",""fr"")"),"Il essaie de se tenir debout, mais un autre homme l'attrape.")</f>
        <v>Il essaie de se tenir debout, mais un autre homme l'attrape.</v>
      </c>
    </row>
    <row r="23193">
      <c r="A23193" s="4" t="s">
        <v>29187</v>
      </c>
      <c r="B23193" s="4" t="s">
        <v>29188</v>
      </c>
      <c r="C23193" s="5" t="str">
        <f>IFERROR(__xludf.DUMMYFUNCTION("GOOGLETRANSLATE(B23193,""en"",""fr"")"),"Beaucoup de gens portent des gilets de sauvetage rouges et sont dans un bus et tiennent des radeaux.")</f>
        <v>Beaucoup de gens portent des gilets de sauvetage rouges et sont dans un bus et tiennent des radeaux.</v>
      </c>
    </row>
    <row r="23194">
      <c r="A23194" s="4" t="s">
        <v>29187</v>
      </c>
      <c r="B23194" s="4" t="s">
        <v>29189</v>
      </c>
      <c r="C23194" s="5" t="str">
        <f>IFERROR(__xludf.DUMMYFUNCTION("GOOGLETRANSLATE(B23194,""en"",""fr"")"),"Les gens sont dans l'eau pagayant dans la rivière.")</f>
        <v>Les gens sont dans l'eau pagayant dans la rivière.</v>
      </c>
    </row>
    <row r="23195">
      <c r="A23195" s="4" t="s">
        <v>29190</v>
      </c>
      <c r="B23195" s="4" t="s">
        <v>29191</v>
      </c>
      <c r="C23195" s="5" t="str">
        <f>IFERROR(__xludf.DUMMYFUNCTION("GOOGLETRANSLATE(B23195,""en"",""fr"")"),"L'athlète masculin Bow a ensuite levé les bras puis se dirigea vers les poteaux.")</f>
        <v>L'athlète masculin Bow a ensuite levé les bras puis se dirigea vers les poteaux.</v>
      </c>
    </row>
    <row r="23196">
      <c r="A23196" s="4" t="s">
        <v>29190</v>
      </c>
      <c r="B23196" s="6" t="s">
        <v>29192</v>
      </c>
      <c r="C23196" s="5" t="str">
        <f>IFERROR(__xludf.DUMMYFUNCTION("GOOGLETRANSLATE(B23196,""en"",""fr"")"),"L'athlète a sauté sur les poteaux et s'est équilibré sur les deux poteaux, debout sur ses bras puis tombant et tournant.")</f>
        <v>L'athlète a sauté sur les poteaux et s'est équilibré sur les deux poteaux, debout sur ses bras puis tombant et tournant.</v>
      </c>
    </row>
    <row r="23197">
      <c r="A23197" s="4" t="s">
        <v>29190</v>
      </c>
      <c r="B23197" s="6" t="s">
        <v>29193</v>
      </c>
      <c r="C23197" s="5" t="str">
        <f>IFERROR(__xludf.DUMMYFUNCTION("GOOGLETRANSLATE(B23197,""en"",""fr"")"),"Lorsque l'athlète a terminé avec son numéro, il a sauté du poteau et a atterri sur ses pieds sur le tapis.")</f>
        <v>Lorsque l'athlète a terminé avec son numéro, il a sauté du poteau et a atterri sur ses pieds sur le tapis.</v>
      </c>
    </row>
    <row r="23198">
      <c r="A23198" s="4" t="s">
        <v>29194</v>
      </c>
      <c r="B23198" s="4" t="s">
        <v>29195</v>
      </c>
      <c r="C23198" s="5" t="str">
        <f>IFERROR(__xludf.DUMMYFUNCTION("GOOGLETRANSLATE(B23198,""en"",""fr"")"),"Une rangée de batteurs se tiendra devant un orchestre.")</f>
        <v>Une rangée de batteurs se tiendra devant un orchestre.</v>
      </c>
    </row>
    <row r="23199">
      <c r="A23199" s="4" t="s">
        <v>29194</v>
      </c>
      <c r="B23199" s="4" t="s">
        <v>29196</v>
      </c>
      <c r="C23199" s="5" t="str">
        <f>IFERROR(__xludf.DUMMYFUNCTION("GOOGLETRANSLATE(B23199,""en"",""fr"")"),"Les batteurs tiennent leurs pilons devant leur visage.")</f>
        <v>Les batteurs tiennent leurs pilons devant leur visage.</v>
      </c>
    </row>
    <row r="23200">
      <c r="A23200" s="4" t="s">
        <v>29194</v>
      </c>
      <c r="B23200" s="4" t="s">
        <v>29197</v>
      </c>
      <c r="C23200" s="5" t="str">
        <f>IFERROR(__xludf.DUMMYFUNCTION("GOOGLETRANSLATE(B23200,""en"",""fr"")"),"Ils ont chacun battu leurs tambours.")</f>
        <v>Ils ont chacun battu leurs tambours.</v>
      </c>
    </row>
    <row r="23201">
      <c r="A23201" s="4" t="s">
        <v>29194</v>
      </c>
      <c r="B23201" s="4" t="s">
        <v>29198</v>
      </c>
      <c r="C23201" s="5" t="str">
        <f>IFERROR(__xludf.DUMMYFUNCTION("GOOGLETRANSLATE(B23201,""en"",""fr"")"),"Après chaque note, les batteurs élèvent leurs pilons en arrière devant leurs visages.")</f>
        <v>Après chaque note, les batteurs élèvent leurs pilons en arrière devant leurs visages.</v>
      </c>
    </row>
    <row r="23202">
      <c r="A23202" s="4" t="s">
        <v>29199</v>
      </c>
      <c r="B23202" s="4" t="s">
        <v>29200</v>
      </c>
      <c r="C23202" s="5" t="str">
        <f>IFERROR(__xludf.DUMMYFUNCTION("GOOGLETRANSLATE(B23202,""en"",""fr"")"),"Un homme est vu debout sur une échelle et parle à la caméra.")</f>
        <v>Un homme est vu debout sur une échelle et parle à la caméra.</v>
      </c>
    </row>
    <row r="23203">
      <c r="A23203" s="4" t="s">
        <v>29199</v>
      </c>
      <c r="B23203" s="4" t="s">
        <v>29201</v>
      </c>
      <c r="C23203" s="5" t="str">
        <f>IFERROR(__xludf.DUMMYFUNCTION("GOOGLETRANSLATE(B23203,""en"",""fr"")"),"Il accueille divers outils et commence à les assembler.")</f>
        <v>Il accueille divers outils et commence à les assembler.</v>
      </c>
    </row>
    <row r="23204">
      <c r="A23204" s="4" t="s">
        <v>29199</v>
      </c>
      <c r="B23204" s="4" t="s">
        <v>29202</v>
      </c>
      <c r="C23204" s="5" t="str">
        <f>IFERROR(__xludf.DUMMYFUNCTION("GOOGLETRANSLATE(B23204,""en"",""fr"")"),"Il nettoie ensuite une fenêtre en utilisant les outils et resserrant l'échelle.")</f>
        <v>Il nettoie ensuite une fenêtre en utilisant les outils et resserrant l'échelle.</v>
      </c>
    </row>
    <row r="23205">
      <c r="A23205" s="4" t="s">
        <v>29203</v>
      </c>
      <c r="B23205" s="4" t="s">
        <v>29204</v>
      </c>
      <c r="C23205" s="5" t="str">
        <f>IFERROR(__xludf.DUMMYFUNCTION("GOOGLETRANSLATE(B23205,""en"",""fr"")"),"Une personne portant une veste bleue et un casque orange se trouve sur un radeau renversé dans l'eau.")</f>
        <v>Une personne portant une veste bleue et un casque orange se trouve sur un radeau renversé dans l'eau.</v>
      </c>
    </row>
    <row r="23206">
      <c r="A23206" s="4" t="s">
        <v>29203</v>
      </c>
      <c r="B23206" s="4" t="s">
        <v>29205</v>
      </c>
      <c r="C23206" s="5" t="str">
        <f>IFERROR(__xludf.DUMMYFUNCTION("GOOGLETRANSLATE(B23206,""en"",""fr"")"),"Le radeau se renverse complètement alors qu'il essaie de se diriger.")</f>
        <v>Le radeau se renverse complètement alors qu'il essaie de se diriger.</v>
      </c>
    </row>
    <row r="23207">
      <c r="A23207" s="4" t="s">
        <v>29203</v>
      </c>
      <c r="B23207" s="4" t="s">
        <v>29206</v>
      </c>
      <c r="C23207" s="5" t="str">
        <f>IFERROR(__xludf.DUMMYFUNCTION("GOOGLETRANSLATE(B23207,""en"",""fr"")"),"Ensuite, l'homme redresse le radeau et s'assoit directement dans le radeau.")</f>
        <v>Ensuite, l'homme redresse le radeau et s'assoit directement dans le radeau.</v>
      </c>
    </row>
    <row r="23208">
      <c r="A23208" s="4" t="s">
        <v>29207</v>
      </c>
      <c r="B23208" s="4" t="s">
        <v>29208</v>
      </c>
      <c r="C23208" s="5" t="str">
        <f>IFERROR(__xludf.DUMMYFUNCTION("GOOGLETRANSLATE(B23208,""en"",""fr"")"),"Un homme est vu monter sur un cheval en balançant une corde et en saisissant un mollet.")</f>
        <v>Un homme est vu monter sur un cheval en balançant une corde et en saisissant un mollet.</v>
      </c>
    </row>
    <row r="23209">
      <c r="A23209" s="4" t="s">
        <v>29207</v>
      </c>
      <c r="B23209" s="4" t="s">
        <v>29209</v>
      </c>
      <c r="C23209" s="5" t="str">
        <f>IFERROR(__xludf.DUMMYFUNCTION("GOOGLETRANSLATE(B23209,""en"",""fr"")"),"La personne attache le mollet tandis que d'autres montent sur des chevaux et les hommes détachent l'animal.")</f>
        <v>La personne attache le mollet tandis que d'autres montent sur des chevaux et les hommes détachent l'animal.</v>
      </c>
    </row>
    <row r="23210">
      <c r="A23210" s="4" t="s">
        <v>29210</v>
      </c>
      <c r="B23210" s="4" t="s">
        <v>29211</v>
      </c>
      <c r="C23210" s="5" t="str">
        <f>IFERROR(__xludf.DUMMYFUNCTION("GOOGLETRANSLATE(B23210,""en"",""fr"")"),"Une femme tient un bébé sur la plage.")</f>
        <v>Une femme tient un bébé sur la plage.</v>
      </c>
    </row>
    <row r="23211">
      <c r="A23211" s="4" t="s">
        <v>29210</v>
      </c>
      <c r="B23211" s="4" t="s">
        <v>29212</v>
      </c>
      <c r="C23211" s="5" t="str">
        <f>IFERROR(__xludf.DUMMYFUNCTION("GOOGLETRANSLATE(B23211,""en"",""fr"")"),"Elle place le bébé sur une serviette et commence à frotter la crème solaire sur le bébé.")</f>
        <v>Elle place le bébé sur une serviette et commence à frotter la crème solaire sur le bébé.</v>
      </c>
    </row>
    <row r="23212">
      <c r="A23212" s="4" t="s">
        <v>29210</v>
      </c>
      <c r="B23212" s="4" t="s">
        <v>29213</v>
      </c>
      <c r="C23212" s="5" t="str">
        <f>IFERROR(__xludf.DUMMYFUNCTION("GOOGLETRANSLATE(B23212,""en"",""fr"")"),"Elle prend le bébé et lui donne un baiser.")</f>
        <v>Elle prend le bébé et lui donne un baiser.</v>
      </c>
    </row>
    <row r="23213">
      <c r="A23213" s="4" t="s">
        <v>29214</v>
      </c>
      <c r="B23213" s="4" t="s">
        <v>29215</v>
      </c>
      <c r="C23213" s="5" t="str">
        <f>IFERROR(__xludf.DUMMYFUNCTION("GOOGLETRANSLATE(B23213,""en"",""fr"")"),"Un panneau d'affichage est illustré sur un mur.")</f>
        <v>Un panneau d'affichage est illustré sur un mur.</v>
      </c>
    </row>
    <row r="23214">
      <c r="A23214" s="4" t="s">
        <v>29214</v>
      </c>
      <c r="B23214" s="4" t="s">
        <v>29216</v>
      </c>
      <c r="C23214" s="5" t="str">
        <f>IFERROR(__xludf.DUMMYFUNCTION("GOOGLETRANSLATE(B23214,""en"",""fr"")"),"Les enfants courent sur la scène et entrent en formation.")</f>
        <v>Les enfants courent sur la scène et entrent en formation.</v>
      </c>
    </row>
    <row r="23215">
      <c r="A23215" s="4" t="s">
        <v>29214</v>
      </c>
      <c r="B23215" s="4" t="s">
        <v>29217</v>
      </c>
      <c r="C23215" s="5" t="str">
        <f>IFERROR(__xludf.DUMMYFUNCTION("GOOGLETRANSLATE(B23215,""en"",""fr"")"),"Une bannière est placée à l'avant de la scène.")</f>
        <v>Une bannière est placée à l'avant de la scène.</v>
      </c>
    </row>
    <row r="23216">
      <c r="A23216" s="4" t="s">
        <v>29214</v>
      </c>
      <c r="B23216" s="4" t="s">
        <v>29218</v>
      </c>
      <c r="C23216" s="5" t="str">
        <f>IFERROR(__xludf.DUMMYFUNCTION("GOOGLETRANSLATE(B23216,""en"",""fr"")"),"Les enfants commencent le cheerleading sur scène.")</f>
        <v>Les enfants commencent le cheerleading sur scène.</v>
      </c>
    </row>
    <row r="23217">
      <c r="A23217" s="4" t="s">
        <v>29214</v>
      </c>
      <c r="B23217" s="4" t="s">
        <v>29219</v>
      </c>
      <c r="C23217" s="5" t="str">
        <f>IFERROR(__xludf.DUMMYFUNCTION("GOOGLETRANSLATE(B23217,""en"",""fr"")"),"Les enfants à l'avant tiennent la bannière.")</f>
        <v>Les enfants à l'avant tiennent la bannière.</v>
      </c>
    </row>
    <row r="23218">
      <c r="A23218" s="4" t="s">
        <v>29214</v>
      </c>
      <c r="B23218" s="4" t="s">
        <v>29220</v>
      </c>
      <c r="C23218" s="5" t="str">
        <f>IFERROR(__xludf.DUMMYFUNCTION("GOOGLETRANSLATE(B23218,""en"",""fr"")"),"Ils s'écartent de la scène.")</f>
        <v>Ils s'écartent de la scène.</v>
      </c>
    </row>
    <row r="23219">
      <c r="A23219" s="4" t="s">
        <v>29221</v>
      </c>
      <c r="B23219" s="4" t="s">
        <v>29222</v>
      </c>
      <c r="C23219" s="5" t="str">
        <f>IFERROR(__xludf.DUMMYFUNCTION("GOOGLETRANSLATE(B23219,""en"",""fr"")"),"Un petit garçon est assis à une table de restaurant.")</f>
        <v>Un petit garçon est assis à une table de restaurant.</v>
      </c>
    </row>
    <row r="23220">
      <c r="A23220" s="4" t="s">
        <v>29221</v>
      </c>
      <c r="B23220" s="4" t="s">
        <v>29223</v>
      </c>
      <c r="C23220" s="5" t="str">
        <f>IFERROR(__xludf.DUMMYFUNCTION("GOOGLETRANSLATE(B23220,""en"",""fr"")"),"Il mange un cornet de crème glacée à la vanille.")</f>
        <v>Il mange un cornet de crème glacée à la vanille.</v>
      </c>
    </row>
    <row r="23221">
      <c r="A23221" s="4" t="s">
        <v>29221</v>
      </c>
      <c r="B23221" s="4" t="s">
        <v>29224</v>
      </c>
      <c r="C23221" s="5" t="str">
        <f>IFERROR(__xludf.DUMMYFUNCTION("GOOGLETRANSLATE(B23221,""en"",""fr"")"),"Il prend une serviette et essuie sa bouche avant de remettre la serviette en arrière et de continuer à manger.")</f>
        <v>Il prend une serviette et essuie sa bouche avant de remettre la serviette en arrière et de continuer à manger.</v>
      </c>
    </row>
    <row r="23222">
      <c r="A23222" s="4" t="s">
        <v>29225</v>
      </c>
      <c r="B23222" s="4" t="s">
        <v>29226</v>
      </c>
      <c r="C23222" s="5" t="str">
        <f>IFERROR(__xludf.DUMMYFUNCTION("GOOGLETRANSLATE(B23222,""en"",""fr"")"),"Une petite fille est guidée alors qu'elle monte un chameau dans une gare.")</f>
        <v>Une petite fille est guidée alors qu'elle monte un chameau dans une gare.</v>
      </c>
    </row>
    <row r="23223">
      <c r="A23223" s="4" t="s">
        <v>29225</v>
      </c>
      <c r="B23223" s="4" t="s">
        <v>29227</v>
      </c>
      <c r="C23223" s="5" t="str">
        <f>IFERROR(__xludf.DUMMYFUNCTION("GOOGLETRANSLATE(B23223,""en"",""fr"")"),"Un homme l'aide alors qu'il mène le chameau.")</f>
        <v>Un homme l'aide alors qu'il mène le chameau.</v>
      </c>
    </row>
    <row r="23224">
      <c r="A23224" s="4" t="s">
        <v>29225</v>
      </c>
      <c r="B23224" s="4" t="s">
        <v>29228</v>
      </c>
      <c r="C23224" s="5" t="str">
        <f>IFERROR(__xludf.DUMMYFUNCTION("GOOGLETRANSLATE(B23224,""en"",""fr"")"),"La fille sourit alors qu'elle roule sur le chameau autour du stylo.")</f>
        <v>La fille sourit alors qu'elle roule sur le chameau autour du stylo.</v>
      </c>
    </row>
    <row r="23225">
      <c r="A23225" s="4" t="s">
        <v>29229</v>
      </c>
      <c r="B23225" s="4" t="s">
        <v>29230</v>
      </c>
      <c r="C23225" s="5" t="str">
        <f>IFERROR(__xludf.DUMMYFUNCTION("GOOGLETRANSLATE(B23225,""en"",""fr"")"),"La jeune fille parle à la caméra.")</f>
        <v>La jeune fille parle à la caméra.</v>
      </c>
    </row>
    <row r="23226">
      <c r="A23226" s="4" t="s">
        <v>29229</v>
      </c>
      <c r="B23226" s="4" t="s">
        <v>29231</v>
      </c>
      <c r="C23226" s="5" t="str">
        <f>IFERROR(__xludf.DUMMYFUNCTION("GOOGLETRANSLATE(B23226,""en"",""fr"")"),"La fille tient un bûcheron.")</f>
        <v>La fille tient un bûcheron.</v>
      </c>
    </row>
    <row r="23227">
      <c r="A23227" s="4" t="s">
        <v>29229</v>
      </c>
      <c r="B23227" s="4" t="s">
        <v>29232</v>
      </c>
      <c r="C23227" s="5" t="str">
        <f>IFERROR(__xludf.DUMMYFUNCTION("GOOGLETRANSLATE(B23227,""en"",""fr"")"),"La jeune femme fournit des conseils aux autres filles sur la façon de boucler leurs cheveux.")</f>
        <v>La jeune femme fournit des conseils aux autres filles sur la façon de boucler leurs cheveux.</v>
      </c>
    </row>
    <row r="23228">
      <c r="A23228" s="4" t="s">
        <v>29229</v>
      </c>
      <c r="B23228" s="4" t="s">
        <v>29233</v>
      </c>
      <c r="C23228" s="5" t="str">
        <f>IFERROR(__xludf.DUMMYFUNCTION("GOOGLETRANSLATE(B23228,""en"",""fr"")"),"À la fin de la vidéo, la fille demande à aimer la vidéo.")</f>
        <v>À la fin de la vidéo, la fille demande à aimer la vidéo.</v>
      </c>
    </row>
    <row r="23229">
      <c r="A23229" s="4" t="s">
        <v>29234</v>
      </c>
      <c r="B23229" s="4" t="s">
        <v>29235</v>
      </c>
      <c r="C23229" s="5" t="str">
        <f>IFERROR(__xludf.DUMMYFUNCTION("GOOGLETRANSLATE(B23229,""en"",""fr"")"),"Une caméra montre une personne sur une piste de terre sur un vélo se déplaçant à une vitesse rapide.")</f>
        <v>Une caméra montre une personne sur une piste de terre sur un vélo se déplaçant à une vitesse rapide.</v>
      </c>
    </row>
    <row r="23230">
      <c r="A23230" s="4" t="s">
        <v>29234</v>
      </c>
      <c r="B23230" s="6" t="s">
        <v>29236</v>
      </c>
      <c r="C23230" s="5" t="str">
        <f>IFERROR(__xludf.DUMMYFUNCTION("GOOGLETRANSLATE(B23230,""en"",""fr"")"),"Plusieurs autres tirs sont représentés des personnes qui roulent sur la piste de terre sur des vélos tandis que la caméra les capture sous plusieurs angles.")</f>
        <v>Plusieurs autres tirs sont représentés des personnes qui roulent sur la piste de terre sur des vélos tandis que la caméra les capture sous plusieurs angles.</v>
      </c>
    </row>
    <row r="23231">
      <c r="A23231" s="4" t="s">
        <v>29237</v>
      </c>
      <c r="B23231" s="6" t="s">
        <v>29238</v>
      </c>
      <c r="C23231" s="5" t="str">
        <f>IFERROR(__xludf.DUMMYFUNCTION("GOOGLETRANSLATE(B23231,""en"",""fr"")"),"Un jeune homme est vu parler à la caméra sous différents angles, puis utiliser un rasoir pour lui couper les cheveux.")</f>
        <v>Un jeune homme est vu parler à la caméra sous différents angles, puis utiliser un rasoir pour lui couper les cheveux.</v>
      </c>
    </row>
    <row r="23232">
      <c r="A23232" s="4" t="s">
        <v>29237</v>
      </c>
      <c r="B23232" s="4" t="s">
        <v>29239</v>
      </c>
      <c r="C23232" s="5" t="str">
        <f>IFERROR(__xludf.DUMMYFUNCTION("GOOGLETRANSLATE(B23232,""en"",""fr"")"),"Il continue de se couper les cheveux tout en parlant à la caméra et en riant.")</f>
        <v>Il continue de se couper les cheveux tout en parlant à la caméra et en riant.</v>
      </c>
    </row>
    <row r="23233">
      <c r="A23233" s="4" t="s">
        <v>29237</v>
      </c>
      <c r="B23233" s="6" t="s">
        <v>29240</v>
      </c>
      <c r="C23233" s="5" t="str">
        <f>IFERROR(__xludf.DUMMYFUNCTION("GOOGLETRANSLATE(B23233,""en"",""fr"")"),"Il finit ses cheveux tout en regardant dans la caméra puis son reflet a été montré derrière un rideau de douche.")</f>
        <v>Il finit ses cheveux tout en regardant dans la caméra puis son reflet a été montré derrière un rideau de douche.</v>
      </c>
    </row>
    <row r="23234">
      <c r="A23234" s="4" t="s">
        <v>29241</v>
      </c>
      <c r="B23234" s="4" t="s">
        <v>29242</v>
      </c>
      <c r="C23234" s="5" t="str">
        <f>IFERROR(__xludf.DUMMYFUNCTION("GOOGLETRANSLATE(B23234,""en"",""fr"")"),"Deux personnes se boxent dans un anneau.")</f>
        <v>Deux personnes se boxent dans un anneau.</v>
      </c>
    </row>
    <row r="23235">
      <c r="A23235" s="4" t="s">
        <v>29241</v>
      </c>
      <c r="B23235" s="4" t="s">
        <v>29243</v>
      </c>
      <c r="C23235" s="5" t="str">
        <f>IFERROR(__xludf.DUMMYFUNCTION("GOOGLETRANSLATE(B23235,""en"",""fr"")"),"Un homme en chemise noire arbitr le combat.")</f>
        <v>Un homme en chemise noire arbitr le combat.</v>
      </c>
    </row>
    <row r="23236">
      <c r="A23236" s="4" t="s">
        <v>29241</v>
      </c>
      <c r="B23236" s="4" t="s">
        <v>29244</v>
      </c>
      <c r="C23236" s="5" t="str">
        <f>IFERROR(__xludf.DUMMYFUNCTION("GOOGLETRANSLATE(B23236,""en"",""fr"")"),"Une femme tient une caméra prenant des photos d'eux se battant.")</f>
        <v>Une femme tient une caméra prenant des photos d'eux se battant.</v>
      </c>
    </row>
    <row r="23237">
      <c r="A23237" s="4" t="s">
        <v>29245</v>
      </c>
      <c r="B23237" s="6" t="s">
        <v>29246</v>
      </c>
      <c r="C23237" s="5" t="str">
        <f>IFERROR(__xludf.DUMMYFUNCTION("GOOGLETRANSLATE(B23237,""en"",""fr"")"),"Les vidéos se transforment en un compte à rebours de diverses personnes se blessant dans les rues des attaques de taureaux.")</f>
        <v>Les vidéos se transforment en un compte à rebours de diverses personnes se blessant dans les rues des attaques de taureaux.</v>
      </c>
    </row>
    <row r="23238">
      <c r="A23238" s="4" t="s">
        <v>29245</v>
      </c>
      <c r="B23238" s="4" t="s">
        <v>29247</v>
      </c>
      <c r="C23238" s="5" t="str">
        <f>IFERROR(__xludf.DUMMYFUNCTION("GOOGLETRANSLATE(B23238,""en"",""fr"")"),"De nombreuses personnes différentes sont vues courir dans les rues tandis qu'un taureau les retourne et les blesser.")</f>
        <v>De nombreuses personnes différentes sont vues courir dans les rues tandis qu'un taureau les retourne et les blesser.</v>
      </c>
    </row>
    <row r="23239">
      <c r="A23239" s="4" t="s">
        <v>29248</v>
      </c>
      <c r="B23239" s="4" t="s">
        <v>29249</v>
      </c>
      <c r="C23239" s="5" t="str">
        <f>IFERROR(__xludf.DUMMYFUNCTION("GOOGLETRANSLATE(B23239,""en"",""fr"")"),"Il y a une femme qui parle d'être la première femme à participer à un marathon en 1967.")</f>
        <v>Il y a une femme qui parle d'être la première femme à participer à un marathon en 1967.</v>
      </c>
    </row>
    <row r="23240">
      <c r="A23240" s="4" t="s">
        <v>29248</v>
      </c>
      <c r="B23240" s="4" t="s">
        <v>29250</v>
      </c>
      <c r="C23240" s="5" t="str">
        <f>IFERROR(__xludf.DUMMYFUNCTION("GOOGLETRANSLATE(B23240,""en"",""fr"")"),"Une photo du participant lorsqu'elle était jeune est montrée.")</f>
        <v>Une photo du participant lorsqu'elle était jeune est montrée.</v>
      </c>
    </row>
    <row r="23241">
      <c r="A23241" s="4" t="s">
        <v>29248</v>
      </c>
      <c r="B23241" s="6" t="s">
        <v>29251</v>
      </c>
      <c r="C23241" s="5" t="str">
        <f>IFERROR(__xludf.DUMMYFUNCTION("GOOGLETRANSLATE(B23241,""en"",""fr"")"),"Elle raconte à quel point les marathons étaient différents à l'époque où elle montre des clips de participants d'un marathon il y a au moins 50 ans.")</f>
        <v>Elle raconte à quel point les marathons étaient différents à l'époque où elle montre des clips de participants d'un marathon il y a au moins 50 ans.</v>
      </c>
    </row>
    <row r="23242">
      <c r="A23242" s="4" t="s">
        <v>29248</v>
      </c>
      <c r="B23242" s="6" t="s">
        <v>29252</v>
      </c>
      <c r="C23242" s="5" t="str">
        <f>IFERROR(__xludf.DUMMYFUNCTION("GOOGLETRANSLATE(B23242,""en"",""fr"")"),"Il y a des photos de participants masculins montrés dominant la scène où elle était la seule participante.")</f>
        <v>Il y a des photos de participants masculins montrés dominant la scène où elle était la seule participante.</v>
      </c>
    </row>
    <row r="23243">
      <c r="A23243" s="4" t="s">
        <v>29248</v>
      </c>
      <c r="B23243" s="4" t="s">
        <v>29253</v>
      </c>
      <c r="C23243" s="5" t="str">
        <f>IFERROR(__xludf.DUMMYFUNCTION("GOOGLETRANSLATE(B23243,""en"",""fr"")"),"Elle parle de son expérience alors qu'elle montre plus de photos de sa participation contre toute attente.")</f>
        <v>Elle parle de son expérience alors qu'elle montre plus de photos de sa participation contre toute attente.</v>
      </c>
    </row>
    <row r="23244">
      <c r="A23244" s="4" t="s">
        <v>29248</v>
      </c>
      <c r="B23244" s="6" t="s">
        <v>29254</v>
      </c>
      <c r="C23244" s="5" t="str">
        <f>IFERROR(__xludf.DUMMYFUNCTION("GOOGLETRANSLATE(B23244,""en"",""fr"")"),"Elle partage également des informations sur la façon dont les choses ont changé plus tard lorsqu'elle a finalement été autorisée à participer librement.")</f>
        <v>Elle partage également des informations sur la façon dont les choses ont changé plus tard lorsqu'elle a finalement été autorisée à participer librement.</v>
      </c>
    </row>
    <row r="23245">
      <c r="A23245" s="4" t="s">
        <v>29255</v>
      </c>
      <c r="B23245" s="4" t="s">
        <v>29256</v>
      </c>
      <c r="C23245" s="5" t="str">
        <f>IFERROR(__xludf.DUMMYFUNCTION("GOOGLETRANSLATE(B23245,""en"",""fr"")"),"Une femme se tient à une table, mettant de la nourriture dans un grand pita dans une assiette.")</f>
        <v>Une femme se tient à une table, mettant de la nourriture dans un grand pita dans une assiette.</v>
      </c>
    </row>
    <row r="23246">
      <c r="A23246" s="4" t="s">
        <v>29255</v>
      </c>
      <c r="B23246" s="6" t="s">
        <v>29257</v>
      </c>
      <c r="C23246" s="5" t="str">
        <f>IFERROR(__xludf.DUMMYFUNCTION("GOOGLETRANSLATE(B23246,""en"",""fr"")"),"Une femme plus âgée montre comment couper les oignons, les poivrons, la laitue, les carottes, les tomates, etc. en morceaux.")</f>
        <v>Une femme plus âgée montre comment couper les oignons, les poivrons, la laitue, les carottes, les tomates, etc. en morceaux.</v>
      </c>
    </row>
    <row r="23247">
      <c r="A23247" s="4" t="s">
        <v>29255</v>
      </c>
      <c r="B23247" s="4" t="s">
        <v>29258</v>
      </c>
      <c r="C23247" s="5" t="str">
        <f>IFERROR(__xludf.DUMMYFUNCTION("GOOGLETRANSLATE(B23247,""en"",""fr"")"),"Les légumes sont des endroits dans un processeur et en purée dans un bol.")</f>
        <v>Les légumes sont des endroits dans un processeur et en purée dans un bol.</v>
      </c>
    </row>
    <row r="23248">
      <c r="A23248" s="4" t="s">
        <v>29255</v>
      </c>
      <c r="B23248" s="4" t="s">
        <v>29259</v>
      </c>
      <c r="C23248" s="5" t="str">
        <f>IFERROR(__xludf.DUMMYFUNCTION("GOOGLETRANSLATE(B23248,""en"",""fr"")"),"Le mélange est mélangé et mis sur la table pour être servi sur les tortillas.")</f>
        <v>Le mélange est mélangé et mis sur la table pour être servi sur les tortillas.</v>
      </c>
    </row>
    <row r="23249">
      <c r="A23249" s="4" t="s">
        <v>29255</v>
      </c>
      <c r="B23249" s="4" t="s">
        <v>29260</v>
      </c>
      <c r="C23249" s="5" t="str">
        <f>IFERROR(__xludf.DUMMYFUNCTION("GOOGLETRANSLATE(B23249,""en"",""fr"")"),"Les femmes s'assoient à table et parlent pendant qu'elles mangent.")</f>
        <v>Les femmes s'assoient à table et parlent pendant qu'elles mangent.</v>
      </c>
    </row>
    <row r="23250">
      <c r="A23250" s="4" t="s">
        <v>29261</v>
      </c>
      <c r="B23250" s="4" t="s">
        <v>29262</v>
      </c>
      <c r="C23250" s="5" t="str">
        <f>IFERROR(__xludf.DUMMYFUNCTION("GOOGLETRANSLATE(B23250,""en"",""fr"")"),"Un groupe d'étudiants s'étend en cours de gym.")</f>
        <v>Un groupe d'étudiants s'étend en cours de gym.</v>
      </c>
    </row>
    <row r="23251">
      <c r="A23251" s="4" t="s">
        <v>29261</v>
      </c>
      <c r="B23251" s="4" t="s">
        <v>29263</v>
      </c>
      <c r="C23251" s="5" t="str">
        <f>IFERROR(__xludf.DUMMYFUNCTION("GOOGLETRANSLATE(B23251,""en"",""fr"")"),"Un groupe d'élèves du groupe s'entraîne dans une salle de classe et une salle de sport.")</f>
        <v>Un groupe d'élèves du groupe s'entraîne dans une salle de classe et une salle de sport.</v>
      </c>
    </row>
    <row r="23252">
      <c r="A23252" s="4" t="s">
        <v>29261</v>
      </c>
      <c r="B23252" s="4" t="s">
        <v>29264</v>
      </c>
      <c r="C23252" s="5" t="str">
        <f>IFERROR(__xludf.DUMMYFUNCTION("GOOGLETRANSLATE(B23252,""en"",""fr"")"),"Le groupe scolaire joue lors d'événements en plein air et de jeux sportifs.")</f>
        <v>Le groupe scolaire joue lors d'événements en plein air et de jeux sportifs.</v>
      </c>
    </row>
    <row r="23253">
      <c r="A23253" s="4" t="s">
        <v>29265</v>
      </c>
      <c r="B23253" s="4" t="s">
        <v>29266</v>
      </c>
      <c r="C23253" s="5" t="str">
        <f>IFERROR(__xludf.DUMMYFUNCTION("GOOGLETRANSLATE(B23253,""en"",""fr"")"),"Nous voyons un journal dans un studio.")</f>
        <v>Nous voyons un journal dans un studio.</v>
      </c>
    </row>
    <row r="23254">
      <c r="A23254" s="4" t="s">
        <v>29265</v>
      </c>
      <c r="B23254" s="4" t="s">
        <v>29267</v>
      </c>
      <c r="C23254" s="5" t="str">
        <f>IFERROR(__xludf.DUMMYFUNCTION("GOOGLETRANSLATE(B23254,""en"",""fr"")"),"Nous voyons un homme opérant 2 aspirateurs manuels.")</f>
        <v>Nous voyons un homme opérant 2 aspirateurs manuels.</v>
      </c>
    </row>
    <row r="23255">
      <c r="A23255" s="4" t="s">
        <v>29265</v>
      </c>
      <c r="B23255" s="4" t="s">
        <v>29268</v>
      </c>
      <c r="C23255" s="5" t="str">
        <f>IFERROR(__xludf.DUMMYFUNCTION("GOOGLETRANSLATE(B23255,""en"",""fr"")"),"Nous voyons des aspirateurs à l'ancienne.")</f>
        <v>Nous voyons des aspirateurs à l'ancienne.</v>
      </c>
    </row>
    <row r="23256">
      <c r="A23256" s="4" t="s">
        <v>29265</v>
      </c>
      <c r="B23256" s="4" t="s">
        <v>29269</v>
      </c>
      <c r="C23256" s="5" t="str">
        <f>IFERROR(__xludf.DUMMYFUNCTION("GOOGLETRANSLATE(B23256,""en"",""fr"")"),"Nous voyons un clip TV en noir et blanc.")</f>
        <v>Nous voyons un clip TV en noir et blanc.</v>
      </c>
    </row>
    <row r="23257">
      <c r="A23257" s="4" t="s">
        <v>29265</v>
      </c>
      <c r="B23257" s="4" t="s">
        <v>29270</v>
      </c>
      <c r="C23257" s="5" t="str">
        <f>IFERROR(__xludf.DUMMYFUNCTION("GOOGLETRANSLATE(B23257,""en"",""fr"")"),"Nous voyons l'homme sous vide et toujours du musée.")</f>
        <v>Nous voyons l'homme sous vide et toujours du musée.</v>
      </c>
    </row>
    <row r="23258">
      <c r="A23258" s="4" t="s">
        <v>29265</v>
      </c>
      <c r="B23258" s="4" t="s">
        <v>29271</v>
      </c>
      <c r="C23258" s="5" t="str">
        <f>IFERROR(__xludf.DUMMYFUNCTION("GOOGLETRANSLATE(B23258,""en"",""fr"")"),"Nous voyons une dame en noir et blanc et en couleur.")</f>
        <v>Nous voyons une dame en noir et blanc et en couleur.</v>
      </c>
    </row>
    <row r="23259">
      <c r="A23259" s="4" t="s">
        <v>29265</v>
      </c>
      <c r="B23259" s="4" t="s">
        <v>29272</v>
      </c>
      <c r="C23259" s="5" t="str">
        <f>IFERROR(__xludf.DUMMYFUNCTION("GOOGLETRANSLATE(B23259,""en"",""fr"")"),"Nous voyons ensuite une usine et un homme parler.")</f>
        <v>Nous voyons ensuite une usine et un homme parler.</v>
      </c>
    </row>
    <row r="23260">
      <c r="A23260" s="4" t="s">
        <v>29265</v>
      </c>
      <c r="B23260" s="4" t="s">
        <v>29273</v>
      </c>
      <c r="C23260" s="5" t="str">
        <f>IFERROR(__xludf.DUMMYFUNCTION("GOOGLETRANSLATE(B23260,""en"",""fr"")"),"Nous voyons l'homme parler et le voir près d'un vide.")</f>
        <v>Nous voyons l'homme parler et le voir près d'un vide.</v>
      </c>
    </row>
    <row r="23261">
      <c r="A23261" s="4" t="s">
        <v>29265</v>
      </c>
      <c r="B23261" s="4" t="s">
        <v>29274</v>
      </c>
      <c r="C23261" s="5" t="str">
        <f>IFERROR(__xludf.DUMMYFUNCTION("GOOGLETRANSLATE(B23261,""en"",""fr"")"),"Nous voyons une ancienne annonce imprimée.")</f>
        <v>Nous voyons une ancienne annonce imprimée.</v>
      </c>
    </row>
    <row r="23262">
      <c r="A23262" s="4" t="s">
        <v>29265</v>
      </c>
      <c r="B23262" s="4" t="s">
        <v>29275</v>
      </c>
      <c r="C23262" s="5" t="str">
        <f>IFERROR(__xludf.DUMMYFUNCTION("GOOGLETRANSLATE(B23262,""en"",""fr"")"),"Nous retournons dans le journal en studio.")</f>
        <v>Nous retournons dans le journal en studio.</v>
      </c>
    </row>
    <row r="23263">
      <c r="A23263" s="4" t="s">
        <v>29276</v>
      </c>
      <c r="B23263" s="6" t="s">
        <v>29277</v>
      </c>
      <c r="C23263" s="5" t="str">
        <f>IFERROR(__xludf.DUMMYFUNCTION("GOOGLETRANSLATE(B23263,""en"",""fr"")"),"Une femme est vue en parlant à la caméra et mène à des clips d'elle et à un autre cheval dans une forêt et une plage.")</f>
        <v>Une femme est vue en parlant à la caméra et mène à des clips d'elle et à un autre cheval dans une forêt et une plage.</v>
      </c>
    </row>
    <row r="23264">
      <c r="A23264" s="4" t="s">
        <v>29276</v>
      </c>
      <c r="B23264" s="6" t="s">
        <v>29278</v>
      </c>
      <c r="C23264" s="5" t="str">
        <f>IFERROR(__xludf.DUMMYFUNCTION("GOOGLETRANSLATE(B23264,""en"",""fr"")"),"Les femmes dirigent ensuite les chevaux le long de la plage tandis que la caméra les capture sous plusieurs angles.")</f>
        <v>Les femmes dirigent ensuite les chevaux le long de la plage tandis que la caméra les capture sous plusieurs angles.</v>
      </c>
    </row>
    <row r="23265">
      <c r="A23265" s="4" t="s">
        <v>29279</v>
      </c>
      <c r="B23265" s="4" t="s">
        <v>29280</v>
      </c>
      <c r="C23265" s="5" t="str">
        <f>IFERROR(__xludf.DUMMYFUNCTION("GOOGLETRANSLATE(B23265,""en"",""fr"")"),"Deux hommes sont vus faire un mouvement de sumo dans un grand cercle entouré par d'autres.")</f>
        <v>Deux hommes sont vus faire un mouvement de sumo dans un grand cercle entouré par d'autres.</v>
      </c>
    </row>
    <row r="23266">
      <c r="A23266" s="4" t="s">
        <v>29279</v>
      </c>
      <c r="B23266" s="4" t="s">
        <v>29281</v>
      </c>
      <c r="C23266" s="5" t="str">
        <f>IFERROR(__xludf.DUMMYFUNCTION("GOOGLETRANSLATE(B23266,""en"",""fr"")"),"Un homme fait semblant de combattre un lutteur de sumo et est poussé très facilement sur le côté.")</f>
        <v>Un homme fait semblant de combattre un lutteur de sumo et est poussé très facilement sur le côté.</v>
      </c>
    </row>
    <row r="23267">
      <c r="A23267" s="4" t="s">
        <v>29279</v>
      </c>
      <c r="B23267" s="6" t="s">
        <v>29282</v>
      </c>
      <c r="C23267" s="5" t="str">
        <f>IFERROR(__xludf.DUMMYFUNCTION("GOOGLETRANSLATE(B23267,""en"",""fr"")"),"L'autre homme essaie avec son tir illustré à nouveau au ralenti et se tiendra tous avec leurs bras.")</f>
        <v>L'autre homme essaie avec son tir illustré à nouveau au ralenti et se tiendra tous avec leurs bras.</v>
      </c>
    </row>
    <row r="23268">
      <c r="A23268" s="4" t="s">
        <v>29283</v>
      </c>
      <c r="B23268" s="4" t="s">
        <v>29284</v>
      </c>
      <c r="C23268" s="5" t="str">
        <f>IFERROR(__xludf.DUMMYFUNCTION("GOOGLETRANSLATE(B23268,""en"",""fr"")"),"Un homme et une femme se tiennent sur le comptoir pendant que l'homme parle dans la caméra.")</f>
        <v>Un homme et une femme se tiennent sur le comptoir pendant que l'homme parle dans la caméra.</v>
      </c>
    </row>
    <row r="23269">
      <c r="A23269" s="4" t="s">
        <v>29283</v>
      </c>
      <c r="B23269" s="6" t="s">
        <v>29285</v>
      </c>
      <c r="C23269" s="5" t="str">
        <f>IFERROR(__xludf.DUMMYFUNCTION("GOOGLETRANSLATE(B23269,""en"",""fr"")"),"Une assiette d'ananas coupée se trouve sur une assiette sur la table, car l'homme obtient des raisins et le met sur la planche à couper et les a coupés en deux, puis les a placés sur les coupes d'ananas, puis il a essuyé ses mains et a montré le plaque à "&amp;"la caméra.")</f>
        <v>Une assiette d'ananas coupée se trouve sur une assiette sur la table, car l'homme obtient des raisins et le met sur la planche à couper et les a coupés en deux, puis les a placés sur les coupes d'ananas, puis il a essuyé ses mains et a montré le plaque à la caméra.</v>
      </c>
    </row>
    <row r="23270">
      <c r="A23270" s="4" t="s">
        <v>29286</v>
      </c>
      <c r="B23270" s="4" t="s">
        <v>29287</v>
      </c>
      <c r="C23270" s="5" t="str">
        <f>IFERROR(__xludf.DUMMYFUNCTION("GOOGLETRANSLATE(B23270,""en"",""fr"")"),"Un enfant regarde à une fenêtre tandis qu'un homme à l'extérieur pelle à la neige.")</f>
        <v>Un enfant regarde à une fenêtre tandis qu'un homme à l'extérieur pelle à la neige.</v>
      </c>
    </row>
    <row r="23271">
      <c r="A23271" s="4" t="s">
        <v>29286</v>
      </c>
      <c r="B23271" s="4" t="s">
        <v>29288</v>
      </c>
      <c r="C23271" s="5" t="str">
        <f>IFERROR(__xludf.DUMMYFUNCTION("GOOGLETRANSLATE(B23271,""en"",""fr"")"),"Il se déplace d'avant en arrière, ramassant la neige et l'éloignait de la porte.")</f>
        <v>Il se déplace d'avant en arrière, ramassant la neige et l'éloignait de la porte.</v>
      </c>
    </row>
    <row r="23272">
      <c r="A23272" s="4" t="s">
        <v>29289</v>
      </c>
      <c r="B23272" s="4" t="s">
        <v>29290</v>
      </c>
      <c r="C23272" s="5" t="str">
        <f>IFERROR(__xludf.DUMMYFUNCTION("GOOGLETRANSLATE(B23272,""en"",""fr"")"),"Nous voyons des stores sur une fenêtre.")</f>
        <v>Nous voyons des stores sur une fenêtre.</v>
      </c>
    </row>
    <row r="23273">
      <c r="A23273" s="4" t="s">
        <v>29289</v>
      </c>
      <c r="B23273" s="4" t="s">
        <v>29291</v>
      </c>
      <c r="C23273" s="5" t="str">
        <f>IFERROR(__xludf.DUMMYFUNCTION("GOOGLETRANSLATE(B23273,""en"",""fr"")"),"Une personne se couche dans un salon de tatouage tatoué.")</f>
        <v>Une personne se couche dans un salon de tatouage tatoué.</v>
      </c>
    </row>
    <row r="23274">
      <c r="A23274" s="4" t="s">
        <v>29289</v>
      </c>
      <c r="B23274" s="4" t="s">
        <v>29292</v>
      </c>
      <c r="C23274" s="5" t="str">
        <f>IFERROR(__xludf.DUMMYFUNCTION("GOOGLETRANSLATE(B23274,""en"",""fr"")"),"Nous reculerons et voyons le tatoueur.")</f>
        <v>Nous reculerons et voyons le tatoueur.</v>
      </c>
    </row>
    <row r="23275">
      <c r="A23275" s="4" t="s">
        <v>29289</v>
      </c>
      <c r="B23275" s="4" t="s">
        <v>29293</v>
      </c>
      <c r="C23275" s="5" t="str">
        <f>IFERROR(__xludf.DUMMYFUNCTION("GOOGLETRANSLATE(B23275,""en"",""fr"")"),"La dame regarde dans son téléphone et sourit à la caméra.")</f>
        <v>La dame regarde dans son téléphone et sourit à la caméra.</v>
      </c>
    </row>
    <row r="23276">
      <c r="A23276" s="4" t="s">
        <v>29289</v>
      </c>
      <c r="B23276" s="4" t="s">
        <v>29294</v>
      </c>
      <c r="C23276" s="5" t="str">
        <f>IFERROR(__xludf.DUMMYFUNCTION("GOOGLETRANSLATE(B23276,""en"",""fr"")"),"Nous nous dirigeons et voyons le travail de tatoueur.")</f>
        <v>Nous nous dirigeons et voyons le travail de tatoueur.</v>
      </c>
    </row>
    <row r="23277">
      <c r="A23277" s="4" t="s">
        <v>29295</v>
      </c>
      <c r="B23277" s="4" t="s">
        <v>29296</v>
      </c>
      <c r="C23277" s="5" t="str">
        <f>IFERROR(__xludf.DUMMYFUNCTION("GOOGLETRANSLATE(B23277,""en"",""fr"")"),"Un grand groupe de personnes est vu monter sur des chevaux et commencer à se déplacer.")</f>
        <v>Un grand groupe de personnes est vu monter sur des chevaux et commencer à se déplacer.</v>
      </c>
    </row>
    <row r="23278">
      <c r="A23278" s="4" t="s">
        <v>29295</v>
      </c>
      <c r="B23278" s="4" t="s">
        <v>29297</v>
      </c>
      <c r="C23278" s="5" t="str">
        <f>IFERROR(__xludf.DUMMYFUNCTION("GOOGLETRANSLATE(B23278,""en"",""fr"")"),"Les gens jouent à un jeu sur les chevaux tout en poursuivant une balle.")</f>
        <v>Les gens jouent à un jeu sur les chevaux tout en poursuivant une balle.</v>
      </c>
    </row>
    <row r="23279">
      <c r="A23279" s="4" t="s">
        <v>29295</v>
      </c>
      <c r="B23279" s="4" t="s">
        <v>29298</v>
      </c>
      <c r="C23279" s="5" t="str">
        <f>IFERROR(__xludf.DUMMYFUNCTION("GOOGLETRANSLATE(B23279,""en"",""fr"")"),"Les hommes continuent de jouer et de terminer par un sautant du cheval.")</f>
        <v>Les hommes continuent de jouer et de terminer par un sautant du cheval.</v>
      </c>
    </row>
    <row r="23280">
      <c r="A23280" s="4" t="s">
        <v>29299</v>
      </c>
      <c r="B23280" s="4" t="s">
        <v>29300</v>
      </c>
      <c r="C23280" s="5" t="str">
        <f>IFERROR(__xludf.DUMMYFUNCTION("GOOGLETRANSLATE(B23280,""en"",""fr"")"),"Une femme en chemise blanche parle à la caméra.")</f>
        <v>Une femme en chemise blanche parle à la caméra.</v>
      </c>
    </row>
    <row r="23281">
      <c r="A23281" s="4" t="s">
        <v>29299</v>
      </c>
      <c r="B23281" s="4" t="s">
        <v>29301</v>
      </c>
      <c r="C23281" s="5" t="str">
        <f>IFERROR(__xludf.DUMMYFUNCTION("GOOGLETRANSLATE(B23281,""en"",""fr"")"),"Un homme et la femme commencent à danser ensemble.")</f>
        <v>Un homme et la femme commencent à danser ensemble.</v>
      </c>
    </row>
    <row r="23282">
      <c r="A23282" s="4" t="s">
        <v>29299</v>
      </c>
      <c r="B23282" s="4" t="s">
        <v>29302</v>
      </c>
      <c r="C23282" s="5" t="str">
        <f>IFERROR(__xludf.DUMMYFUNCTION("GOOGLETRANSLATE(B23282,""en"",""fr"")"),"Elle lève son bras et il la tord.")</f>
        <v>Elle lève son bras et il la tord.</v>
      </c>
    </row>
    <row r="23283">
      <c r="A23283" s="4" t="s">
        <v>29303</v>
      </c>
      <c r="B23283" s="4" t="s">
        <v>29304</v>
      </c>
      <c r="C23283" s="5" t="str">
        <f>IFERROR(__xludf.DUMMYFUNCTION("GOOGLETRANSLATE(B23283,""en"",""fr"")"),"Deux hommes portant du bleu sont à l'intérieur de jouer à un jeu de ping ping.")</f>
        <v>Deux hommes portant du bleu sont à l'intérieur de jouer à un jeu de ping ping.</v>
      </c>
    </row>
    <row r="23284">
      <c r="A23284" s="4" t="s">
        <v>29303</v>
      </c>
      <c r="B23284" s="4" t="s">
        <v>29305</v>
      </c>
      <c r="C23284" s="5" t="str">
        <f>IFERROR(__xludf.DUMMYFUNCTION("GOOGLETRANSLATE(B23284,""en"",""fr"")"),"Ils frappent le ballon d'avant en arrière assez rapidement sans s'arrêter.")</f>
        <v>Ils frappent le ballon d'avant en arrière assez rapidement sans s'arrêter.</v>
      </c>
    </row>
    <row r="23285">
      <c r="A23285" s="4" t="s">
        <v>29303</v>
      </c>
      <c r="B23285" s="4" t="s">
        <v>29306</v>
      </c>
      <c r="C23285" s="5" t="str">
        <f>IFERROR(__xludf.DUMMYFUNCTION("GOOGLETRANSLATE(B23285,""en"",""fr"")"),"L'un d'eux frappe le ballon et arrête leurs progrès, ils doivent recommencer.")</f>
        <v>L'un d'eux frappe le ballon et arrête leurs progrès, ils doivent recommencer.</v>
      </c>
    </row>
    <row r="23286">
      <c r="A23286" s="4" t="s">
        <v>29303</v>
      </c>
      <c r="B23286" s="4" t="s">
        <v>29307</v>
      </c>
      <c r="C23286" s="5" t="str">
        <f>IFERROR(__xludf.DUMMYFUNCTION("GOOGLETRANSLATE(B23286,""en"",""fr"")"),"Ils reviennent à jouer et à le frapper à peine manquant un battement.")</f>
        <v>Ils reviennent à jouer et à le frapper à peine manquant un battement.</v>
      </c>
    </row>
    <row r="23287">
      <c r="A23287" s="4" t="s">
        <v>29308</v>
      </c>
      <c r="B23287" s="4" t="s">
        <v>29309</v>
      </c>
      <c r="C23287" s="5" t="str">
        <f>IFERROR(__xludf.DUMMYFUNCTION("GOOGLETRANSLATE(B23287,""en"",""fr"")"),"Une intro est montrée suivie de deux personnes et d'un homme qui parle à la caméra.")</f>
        <v>Une intro est montrée suivie de deux personnes et d'un homme qui parle à la caméra.</v>
      </c>
    </row>
    <row r="23288">
      <c r="A23288" s="4" t="s">
        <v>29308</v>
      </c>
      <c r="B23288" s="6" t="s">
        <v>29310</v>
      </c>
      <c r="C23288" s="5" t="str">
        <f>IFERROR(__xludf.DUMMYFUNCTION("GOOGLETRANSLATE(B23288,""en"",""fr"")"),"La caméra se déroule à plus de gens et leur montre un exercice qui fait basculer leurs jambes en arrière et quatrième.")</f>
        <v>La caméra se déroule à plus de gens et leur montre un exercice qui fait basculer leurs jambes en arrière et quatrième.</v>
      </c>
    </row>
    <row r="23289">
      <c r="A23289" s="4" t="s">
        <v>29308</v>
      </c>
      <c r="B23289" s="6" t="s">
        <v>29311</v>
      </c>
      <c r="C23289" s="5" t="str">
        <f>IFERROR(__xludf.DUMMYFUNCTION("GOOGLETRANSLATE(B23289,""en"",""fr"")"),"Les gens continuent de suivre l'instructeur à travers divers mouvements pendant qu'il les mène dans l'exercice.")</f>
        <v>Les gens continuent de suivre l'instructeur à travers divers mouvements pendant qu'il les mène dans l'exercice.</v>
      </c>
    </row>
    <row r="23290">
      <c r="A23290" s="4" t="s">
        <v>29312</v>
      </c>
      <c r="B23290" s="6" t="s">
        <v>29313</v>
      </c>
      <c r="C23290" s="5" t="str">
        <f>IFERROR(__xludf.DUMMYFUNCTION("GOOGLETRANSLATE(B23290,""en"",""fr"")"),"Un homme est vêtu d'un uniforme noir et s'approche d'un petit cercle qui est au milieu du champ entouré de filets verts.")</f>
        <v>Un homme est vêtu d'un uniforme noir et s'approche d'un petit cercle qui est au milieu du champ entouré de filets verts.</v>
      </c>
    </row>
    <row r="23291">
      <c r="A23291" s="4" t="s">
        <v>29312</v>
      </c>
      <c r="B23291" s="6" t="s">
        <v>29314</v>
      </c>
      <c r="C23291" s="5" t="str">
        <f>IFERROR(__xludf.DUMMYFUNCTION("GOOGLETRANSLATE(B23291,""en"",""fr"")"),"La foule est balayée, puis l'homme est montré en jetant son disque alors que plusieurs personnes s'épuisent pour suivre sa distance.")</f>
        <v>La foule est balayée, puis l'homme est montré en jetant son disque alors que plusieurs personnes s'épuisent pour suivre sa distance.</v>
      </c>
    </row>
    <row r="23292">
      <c r="A23292" s="4" t="s">
        <v>29312</v>
      </c>
      <c r="B23292" s="4" t="s">
        <v>29315</v>
      </c>
      <c r="C23292" s="5" t="str">
        <f>IFERROR(__xludf.DUMMYFUNCTION("GOOGLETRANSLATE(B23292,""en"",""fr"")"),"Une rediffusion instantanée est jouée et l'avant du visage de l'homme est visible.")</f>
        <v>Une rediffusion instantanée est jouée et l'avant du visage de l'homme est visible.</v>
      </c>
    </row>
    <row r="23293">
      <c r="A23293" s="4" t="s">
        <v>29316</v>
      </c>
      <c r="B23293" s="4" t="s">
        <v>24280</v>
      </c>
      <c r="C23293" s="5" t="str">
        <f>IFERROR(__xludf.DUMMYFUNCTION("GOOGLETRANSLATE(B23293,""en"",""fr"")"),"Nous voyons une série d'écrans de titre.")</f>
        <v>Nous voyons une série d'écrans de titre.</v>
      </c>
    </row>
    <row r="23294">
      <c r="A23294" s="4" t="s">
        <v>29316</v>
      </c>
      <c r="B23294" s="4" t="s">
        <v>29317</v>
      </c>
      <c r="C23294" s="5" t="str">
        <f>IFERROR(__xludf.DUMMYFUNCTION("GOOGLETRANSLATE(B23294,""en"",""fr"")"),"Nous voyons une pierre de curling et un graphique.")</f>
        <v>Nous voyons une pierre de curling et un graphique.</v>
      </c>
    </row>
    <row r="23295">
      <c r="A23295" s="4" t="s">
        <v>29316</v>
      </c>
      <c r="B23295" s="4" t="s">
        <v>29318</v>
      </c>
      <c r="C23295" s="5" t="str">
        <f>IFERROR(__xludf.DUMMYFUNCTION("GOOGLETRANSLATE(B23295,""en"",""fr"")"),"Nous voyons une personne pousser la pierre.")</f>
        <v>Nous voyons une personne pousser la pierre.</v>
      </c>
    </row>
    <row r="23296">
      <c r="A23296" s="4" t="s">
        <v>29316</v>
      </c>
      <c r="B23296" s="4" t="s">
        <v>29319</v>
      </c>
      <c r="C23296" s="5" t="str">
        <f>IFERROR(__xludf.DUMMYFUNCTION("GOOGLETRANSLATE(B23296,""en"",""fr"")"),"Nous voyons la pierre sur un autre graphique.")</f>
        <v>Nous voyons la pierre sur un autre graphique.</v>
      </c>
    </row>
    <row r="23297">
      <c r="A23297" s="4" t="s">
        <v>29316</v>
      </c>
      <c r="B23297" s="4" t="s">
        <v>29320</v>
      </c>
      <c r="C23297" s="5" t="str">
        <f>IFERROR(__xludf.DUMMYFUNCTION("GOOGLETRANSLATE(B23297,""en"",""fr"")"),"Nous voyons un homme pousser la pierre et les gens balayer devant lui.")</f>
        <v>Nous voyons un homme pousser la pierre et les gens balayer devant lui.</v>
      </c>
    </row>
    <row r="23298">
      <c r="A23298" s="4" t="s">
        <v>29321</v>
      </c>
      <c r="B23298" s="4" t="s">
        <v>29322</v>
      </c>
      <c r="C23298" s="5" t="str">
        <f>IFERROR(__xludf.DUMMYFUNCTION("GOOGLETRANSLATE(B23298,""en"",""fr"")"),"Un gros plan des pieds d'une personne est montré assis sur une chaise.")</f>
        <v>Un gros plan des pieds d'une personne est montré assis sur une chaise.</v>
      </c>
    </row>
    <row r="23299">
      <c r="A23299" s="4" t="s">
        <v>29321</v>
      </c>
      <c r="B23299" s="4" t="s">
        <v>29323</v>
      </c>
      <c r="C23299" s="5" t="str">
        <f>IFERROR(__xludf.DUMMYFUNCTION("GOOGLETRANSLATE(B23299,""en"",""fr"")"),"La personne se plie ensuite et commence à mettre des chaussures.")</f>
        <v>La personne se plie ensuite et commence à mettre des chaussures.</v>
      </c>
    </row>
    <row r="23300">
      <c r="A23300" s="4" t="s">
        <v>29321</v>
      </c>
      <c r="B23300" s="4" t="s">
        <v>29324</v>
      </c>
      <c r="C23300" s="5" t="str">
        <f>IFERROR(__xludf.DUMMYFUNCTION("GOOGLETRANSLATE(B23300,""en"",""fr"")"),"Il finit de mettre des chaussures et se lève pour s'éloigner.")</f>
        <v>Il finit de mettre des chaussures et se lève pour s'éloigner.</v>
      </c>
    </row>
    <row r="23301">
      <c r="A23301" s="4" t="s">
        <v>29325</v>
      </c>
      <c r="B23301" s="4" t="s">
        <v>29326</v>
      </c>
      <c r="C23301" s="5" t="str">
        <f>IFERROR(__xludf.DUMMYFUNCTION("GOOGLETRANSLATE(B23301,""en"",""fr"")"),"Un homme se tient sur un champ.")</f>
        <v>Un homme se tient sur un champ.</v>
      </c>
    </row>
    <row r="23302">
      <c r="A23302" s="4" t="s">
        <v>29325</v>
      </c>
      <c r="B23302" s="4" t="s">
        <v>29327</v>
      </c>
      <c r="C23302" s="5" t="str">
        <f>IFERROR(__xludf.DUMMYFUNCTION("GOOGLETRANSLATE(B23302,""en"",""fr"")"),"Il donne un coup de pied dans les airs.")</f>
        <v>Il donne un coup de pied dans les airs.</v>
      </c>
    </row>
    <row r="23303">
      <c r="A23303" s="4" t="s">
        <v>29325</v>
      </c>
      <c r="B23303" s="4" t="s">
        <v>29328</v>
      </c>
      <c r="C23303" s="5" t="str">
        <f>IFERROR(__xludf.DUMMYFUNCTION("GOOGLETRANSLATE(B23303,""en"",""fr"")"),"Il court au premier but.")</f>
        <v>Il court au premier but.</v>
      </c>
    </row>
    <row r="23304">
      <c r="A23304" s="4" t="s">
        <v>29329</v>
      </c>
      <c r="B23304" s="4" t="s">
        <v>29330</v>
      </c>
      <c r="C23304" s="5" t="str">
        <f>IFERROR(__xludf.DUMMYFUNCTION("GOOGLETRANSLATE(B23304,""en"",""fr"")"),"Une femme se tient derrière une table avec plusieurs kits de sculpture de citrouille.")</f>
        <v>Une femme se tient derrière une table avec plusieurs kits de sculpture de citrouille.</v>
      </c>
    </row>
    <row r="23305">
      <c r="A23305" s="4" t="s">
        <v>29329</v>
      </c>
      <c r="B23305" s="4" t="s">
        <v>29331</v>
      </c>
      <c r="C23305" s="5" t="str">
        <f>IFERROR(__xludf.DUMMYFUNCTION("GOOGLETRANSLATE(B23305,""en"",""fr"")"),"Elle montre le contenu des livres.")</f>
        <v>Elle montre le contenu des livres.</v>
      </c>
    </row>
    <row r="23306">
      <c r="A23306" s="4" t="s">
        <v>29329</v>
      </c>
      <c r="B23306" s="4" t="s">
        <v>29332</v>
      </c>
      <c r="C23306" s="5" t="str">
        <f>IFERROR(__xludf.DUMMYFUNCTION("GOOGLETRANSLATE(B23306,""en"",""fr"")"),"La femme choisit un design, le sculptant dans la citrouille.")</f>
        <v>La femme choisit un design, le sculptant dans la citrouille.</v>
      </c>
    </row>
    <row r="23307">
      <c r="A23307" s="4" t="s">
        <v>29329</v>
      </c>
      <c r="B23307" s="4" t="s">
        <v>29333</v>
      </c>
      <c r="C23307" s="5" t="str">
        <f>IFERROR(__xludf.DUMMYFUNCTION("GOOGLETRANSLATE(B23307,""en"",""fr"")"),"Elle place ensuite les batteries dans le thé à l'intérieur pour entrer et peint la citrouille noire.")</f>
        <v>Elle place ensuite les batteries dans le thé à l'intérieur pour entrer et peint la citrouille noire.</v>
      </c>
    </row>
    <row r="23308">
      <c r="A23308" s="4" t="s">
        <v>29334</v>
      </c>
      <c r="B23308" s="4" t="s">
        <v>29335</v>
      </c>
      <c r="C23308" s="5" t="str">
        <f>IFERROR(__xludf.DUMMYFUNCTION("GOOGLETRANSLATE(B23308,""en"",""fr"")"),"Nous voyons une personne glisser les disques bleus sur une table en bois.")</f>
        <v>Nous voyons une personne glisser les disques bleus sur une table en bois.</v>
      </c>
    </row>
    <row r="23309">
      <c r="A23309" s="4" t="s">
        <v>29334</v>
      </c>
      <c r="B23309" s="4" t="s">
        <v>29336</v>
      </c>
      <c r="C23309" s="5" t="str">
        <f>IFERROR(__xludf.DUMMYFUNCTION("GOOGLETRANSLATE(B23309,""en"",""fr"")"),"L'homme se déplace vers l'autre extrémité de la table et la caméra se déplace pour les voir de la fin.")</f>
        <v>L'homme se déplace vers l'autre extrémité de la table et la caméra se déplace pour les voir de la fin.</v>
      </c>
    </row>
    <row r="23310">
      <c r="A23310" s="4" t="s">
        <v>29334</v>
      </c>
      <c r="B23310" s="4" t="s">
        <v>29337</v>
      </c>
      <c r="C23310" s="5" t="str">
        <f>IFERROR(__xludf.DUMMYFUNCTION("GOOGLETRANSLATE(B23310,""en"",""fr"")"),"Nous avons fait glisser la personne en bleu puis les disques rouges sur la table.")</f>
        <v>Nous avons fait glisser la personne en bleu puis les disques rouges sur la table.</v>
      </c>
    </row>
    <row r="23311">
      <c r="A23311" s="4" t="s">
        <v>29334</v>
      </c>
      <c r="B23311" s="4" t="s">
        <v>29338</v>
      </c>
      <c r="C23311" s="5" t="str">
        <f>IFERROR(__xludf.DUMMYFUNCTION("GOOGLETRANSLATE(B23311,""en"",""fr"")"),"Nous voyons une main apparaître et point.")</f>
        <v>Nous voyons une main apparaître et point.</v>
      </c>
    </row>
    <row r="23312">
      <c r="A23312" s="4" t="s">
        <v>29334</v>
      </c>
      <c r="B23312" s="4" t="s">
        <v>29339</v>
      </c>
      <c r="C23312" s="5" t="str">
        <f>IFERROR(__xludf.DUMMYFUNCTION("GOOGLETRANSLATE(B23312,""en"",""fr"")"),"La personne attrape un disque bleu et la glisse deux fois.")</f>
        <v>La personne attrape un disque bleu et la glisse deux fois.</v>
      </c>
    </row>
    <row r="23313">
      <c r="A23313" s="4" t="s">
        <v>29340</v>
      </c>
      <c r="B23313" s="4" t="s">
        <v>29341</v>
      </c>
      <c r="C23313" s="5" t="str">
        <f>IFERROR(__xludf.DUMMYFUNCTION("GOOGLETRANSLATE(B23313,""en"",""fr"")"),"Un mâle se tient sur une route devant une forêt avec son pied sur une planche à roulettes.")</f>
        <v>Un mâle se tient sur une route devant une forêt avec son pied sur une planche à roulettes.</v>
      </c>
    </row>
    <row r="23314">
      <c r="A23314" s="4" t="s">
        <v>29340</v>
      </c>
      <c r="B23314" s="4" t="s">
        <v>29342</v>
      </c>
      <c r="C23314" s="5" t="str">
        <f>IFERROR(__xludf.DUMMYFUNCTION("GOOGLETRANSLATE(B23314,""en"",""fr"")"),"Le mâle monte ensuite sur la planche à roulettes et commence à s'équilibrer dessus.")</f>
        <v>Le mâle monte ensuite sur la planche à roulettes et commence à s'équilibrer dessus.</v>
      </c>
    </row>
    <row r="23315">
      <c r="A23315" s="4" t="s">
        <v>29340</v>
      </c>
      <c r="B23315" s="4" t="s">
        <v>29343</v>
      </c>
      <c r="C23315" s="5" t="str">
        <f>IFERROR(__xludf.DUMMYFUNCTION("GOOGLETRANSLATE(B23315,""en"",""fr"")"),"Après, il ramasse la planche à roulettes et se déplace à quelques mètres en arrière et commence le skateboard.")</f>
        <v>Après, il ramasse la planche à roulettes et se déplace à quelques mètres en arrière et commence le skateboard.</v>
      </c>
    </row>
    <row r="23316">
      <c r="A23316" s="4" t="s">
        <v>29340</v>
      </c>
      <c r="B23316" s="4" t="s">
        <v>29344</v>
      </c>
      <c r="C23316" s="5" t="str">
        <f>IFERROR(__xludf.DUMMYFUNCTION("GOOGLETRANSLATE(B23316,""en"",""fr"")"),"Une fois terminé, il ramasse la planche à roulettes et la retient à ses côtés.")</f>
        <v>Une fois terminé, il ramasse la planche à roulettes et la retient à ses côtés.</v>
      </c>
    </row>
    <row r="23317">
      <c r="A23317" s="4" t="s">
        <v>29345</v>
      </c>
      <c r="B23317" s="4" t="s">
        <v>29346</v>
      </c>
      <c r="C23317" s="5" t="str">
        <f>IFERROR(__xludf.DUMMYFUNCTION("GOOGLETRANSLATE(B23317,""en"",""fr"")"),"Une femme sort d'une cuisine et vers un bateau à vapeur avec sa fille derrière elle.")</f>
        <v>Une femme sort d'une cuisine et vers un bateau à vapeur avec sa fille derrière elle.</v>
      </c>
    </row>
    <row r="23318">
      <c r="A23318" s="4" t="s">
        <v>29345</v>
      </c>
      <c r="B23318" s="6" t="s">
        <v>29347</v>
      </c>
      <c r="C23318" s="5" t="str">
        <f>IFERROR(__xludf.DUMMYFUNCTION("GOOGLETRANSLATE(B23318,""en"",""fr"")"),"Elle prend son fer et commence à repasser une paire de pantalons alors que la fille joue avec une robe, et la femme a quitté le fer reposant sur les vêtements.")</f>
        <v>Elle prend son fer et commence à repasser une paire de pantalons alors que la fille joue avec une robe, et la femme a quitté le fer reposant sur les vêtements.</v>
      </c>
    </row>
    <row r="23319">
      <c r="A23319" s="4" t="s">
        <v>29345</v>
      </c>
      <c r="B23319" s="4" t="s">
        <v>29348</v>
      </c>
      <c r="C23319" s="5" t="str">
        <f>IFERROR(__xludf.DUMMYFUNCTION("GOOGLETRANSLATE(B23319,""en"",""fr"")"),"Elle fout la robe pour la fille comme elle le regarde.")</f>
        <v>Elle fout la robe pour la fille comme elle le regarde.</v>
      </c>
    </row>
    <row r="23320">
      <c r="A23320" s="4" t="s">
        <v>29349</v>
      </c>
      <c r="B23320" s="4" t="s">
        <v>29350</v>
      </c>
      <c r="C23320" s="5" t="str">
        <f>IFERROR(__xludf.DUMMYFUNCTION("GOOGLETRANSLATE(B23320,""en"",""fr"")"),"Trois filles sont vues debout sur une falaise se frappant un birdie.")</f>
        <v>Trois filles sont vues debout sur une falaise se frappant un birdie.</v>
      </c>
    </row>
    <row r="23321">
      <c r="A23321" s="4" t="s">
        <v>29349</v>
      </c>
      <c r="B23321" s="4" t="s">
        <v>29351</v>
      </c>
      <c r="C23321" s="5" t="str">
        <f>IFERROR(__xludf.DUMMYFUNCTION("GOOGLETRANSLATE(B23321,""en"",""fr"")"),"La caméra se déroule autour de leurs mouvements alors qu'ils frappent le birdie.")</f>
        <v>La caméra se déroule autour de leurs mouvements alors qu'ils frappent le birdie.</v>
      </c>
    </row>
    <row r="23322">
      <c r="A23322" s="4" t="s">
        <v>29349</v>
      </c>
      <c r="B23322" s="4" t="s">
        <v>29352</v>
      </c>
      <c r="C23322" s="5" t="str">
        <f>IFERROR(__xludf.DUMMYFUNCTION("GOOGLETRANSLATE(B23322,""en"",""fr"")"),"Les filles continuent de frapper le birdie et de montrer leurs mégots à la fin.")</f>
        <v>Les filles continuent de frapper le birdie et de montrer leurs mégots à la fin.</v>
      </c>
    </row>
    <row r="23323">
      <c r="A23323" s="4" t="s">
        <v>29353</v>
      </c>
      <c r="B23323" s="4" t="s">
        <v>29354</v>
      </c>
      <c r="C23323" s="5" t="str">
        <f>IFERROR(__xludf.DUMMYFUNCTION("GOOGLETRANSLATE(B23323,""en"",""fr"")"),"Une femme tricote et montre son travail.")</f>
        <v>Une femme tricote et montre son travail.</v>
      </c>
    </row>
    <row r="23324">
      <c r="A23324" s="4" t="s">
        <v>29353</v>
      </c>
      <c r="B23324" s="4" t="s">
        <v>29355</v>
      </c>
      <c r="C23324" s="5" t="str">
        <f>IFERROR(__xludf.DUMMYFUNCTION("GOOGLETRANSLATE(B23324,""en"",""fr"")"),"Les femmes tricotent en étant assis en cercle et se parlent.")</f>
        <v>Les femmes tricotent en étant assis en cercle et se parlent.</v>
      </c>
    </row>
    <row r="23325">
      <c r="A23325" s="4" t="s">
        <v>29353</v>
      </c>
      <c r="B23325" s="4" t="s">
        <v>29356</v>
      </c>
      <c r="C23325" s="5" t="str">
        <f>IFERROR(__xludf.DUMMYFUNCTION("GOOGLETRANSLATE(B23325,""en"",""fr"")"),"Un journaliste parle dans la pièce où les femmes tricotaient.")</f>
        <v>Un journaliste parle dans la pièce où les femmes tricotaient.</v>
      </c>
    </row>
    <row r="23326">
      <c r="A23326" s="4" t="s">
        <v>29357</v>
      </c>
      <c r="B23326" s="4" t="s">
        <v>29358</v>
      </c>
      <c r="C23326" s="5" t="str">
        <f>IFERROR(__xludf.DUMMYFUNCTION("GOOGLETRANSLATE(B23326,""en"",""fr"")"),"Une femme repasse une chemise brune sur une planche à repasser.")</f>
        <v>Une femme repasse une chemise brune sur une planche à repasser.</v>
      </c>
    </row>
    <row r="23327">
      <c r="A23327" s="4" t="s">
        <v>29357</v>
      </c>
      <c r="B23327" s="4" t="s">
        <v>29359</v>
      </c>
      <c r="C23327" s="5" t="str">
        <f>IFERROR(__xludf.DUMMYFUNCTION("GOOGLETRANSLATE(B23327,""en"",""fr"")"),"Elle regarde l'étiquette sur la chemise.")</f>
        <v>Elle regarde l'étiquette sur la chemise.</v>
      </c>
    </row>
    <row r="23328">
      <c r="A23328" s="4" t="s">
        <v>29357</v>
      </c>
      <c r="B23328" s="4" t="s">
        <v>29360</v>
      </c>
      <c r="C23328" s="5" t="str">
        <f>IFERROR(__xludf.DUMMYFUNCTION("GOOGLETRANSLATE(B23328,""en"",""fr"")"),"Elle continue de repasser la chemise sur la planche à repasser.")</f>
        <v>Elle continue de repasser la chemise sur la planche à repasser.</v>
      </c>
    </row>
    <row r="23329">
      <c r="A23329" s="4" t="s">
        <v>29357</v>
      </c>
      <c r="B23329" s="4" t="s">
        <v>29361</v>
      </c>
      <c r="C23329" s="5" t="str">
        <f>IFERROR(__xludf.DUMMYFUNCTION("GOOGLETRANSLATE(B23329,""en"",""fr"")"),"Elle soulève la chemise et la met sur la planche à repasser.")</f>
        <v>Elle soulève la chemise et la met sur la planche à repasser.</v>
      </c>
    </row>
    <row r="23330">
      <c r="A23330" s="4" t="s">
        <v>29357</v>
      </c>
      <c r="B23330" s="4" t="s">
        <v>29362</v>
      </c>
      <c r="C23330" s="5" t="str">
        <f>IFERROR(__xludf.DUMMYFUNCTION("GOOGLETRANSLATE(B23330,""en"",""fr"")"),"Elle tourne la chemise à l'envers et la tient.")</f>
        <v>Elle tourne la chemise à l'envers et la tient.</v>
      </c>
    </row>
    <row r="23331">
      <c r="A23331" s="4" t="s">
        <v>29363</v>
      </c>
      <c r="B23331" s="6" t="s">
        <v>29364</v>
      </c>
      <c r="C23331" s="5" t="str">
        <f>IFERROR(__xludf.DUMMYFUNCTION("GOOGLETRANSLATE(B23331,""en"",""fr"")"),"Un homme parle à la caméra en souriant et transitions vers lui en tenant une casserole et en étalant du beurre.")</f>
        <v>Un homme parle à la caméra en souriant et transitions vers lui en tenant une casserole et en étalant du beurre.</v>
      </c>
    </row>
    <row r="23332">
      <c r="A23332" s="4" t="s">
        <v>29363</v>
      </c>
      <c r="B23332" s="4" t="s">
        <v>29365</v>
      </c>
      <c r="C23332" s="5" t="str">
        <f>IFERROR(__xludf.DUMMYFUNCTION("GOOGLETRANSLATE(B23332,""en"",""fr"")"),"Il verse un œuf dans la poêle et le pousse avec plusieurs légumes.")</f>
        <v>Il verse un œuf dans la poêle et le pousse avec plusieurs légumes.</v>
      </c>
    </row>
    <row r="23333">
      <c r="A23333" s="4" t="s">
        <v>29363</v>
      </c>
      <c r="B23333" s="4" t="s">
        <v>29366</v>
      </c>
      <c r="C23333" s="5" t="str">
        <f>IFERROR(__xludf.DUMMYFUNCTION("GOOGLETRANSLATE(B23333,""en"",""fr"")"),"Il termine en mettant l'omelette sur une assiette et en mangeant une grosse bouchée.")</f>
        <v>Il termine en mettant l'omelette sur une assiette et en mangeant une grosse bouchée.</v>
      </c>
    </row>
    <row r="23334">
      <c r="A23334" s="4" t="s">
        <v>29367</v>
      </c>
      <c r="B23334" s="6" t="s">
        <v>29368</v>
      </c>
      <c r="C23334" s="5" t="str">
        <f>IFERROR(__xludf.DUMMYFUNCTION("GOOGLETRANSLATE(B23334,""en"",""fr"")"),"Un écran d'intro animé a beaucoup de petites images de Noël qui se déplacent dessus et des mots blancs apparaissent qui disent ""décorer l'arbre de Noël"".")</f>
        <v>Un écran d'intro animé a beaucoup de petites images de Noël qui se déplacent dessus et des mots blancs apparaissent qui disent "décorer l'arbre de Noël".</v>
      </c>
    </row>
    <row r="23335">
      <c r="A23335" s="4" t="s">
        <v>29367</v>
      </c>
      <c r="B23335" s="6" t="s">
        <v>29369</v>
      </c>
      <c r="C23335" s="5" t="str">
        <f>IFERROR(__xludf.DUMMYFUNCTION("GOOGLETRANSLATE(B23335,""en"",""fr"")"),"La même animation continue de jouer et les mots blancs qui apparaissent maintenant sont ""avec moi, ma soeur, maman et Chris"".")</f>
        <v>La même animation continue de jouer et les mots blancs qui apparaissent maintenant sont "avec moi, ma soeur, maman et Chris".</v>
      </c>
    </row>
    <row r="23336">
      <c r="A23336" s="4" t="s">
        <v>29367</v>
      </c>
      <c r="B23336" s="6" t="s">
        <v>29370</v>
      </c>
      <c r="C23336" s="5" t="str">
        <f>IFERROR(__xludf.DUMMYFUNCTION("GOOGLETRANSLATE(B23336,""en"",""fr"")"),"En mouvement rapide, il y a des gens dans une maison résidentielle et ils sont enroulés des cordes de lumières d'arbre de Noël blanches autour d'un arbre très plein et adulte.")</f>
        <v>En mouvement rapide, il y a des gens dans une maison résidentielle et ils sont enroulés des cordes de lumières d'arbre de Noël blanches autour d'un arbre très plein et adulte.</v>
      </c>
    </row>
    <row r="23337">
      <c r="A23337" s="4" t="s">
        <v>29367</v>
      </c>
      <c r="B23337" s="6" t="s">
        <v>29371</v>
      </c>
      <c r="C23337" s="5" t="str">
        <f>IFERROR(__xludf.DUMMYFUNCTION("GOOGLETRANSLATE(B23337,""en"",""fr"")"),"Quand ils ont fini avec les lumières, commencez à décorer l'arbre d'ornements jusqu'à ce qu'il soit rempli d'ornements.")</f>
        <v>Quand ils ont fini avec les lumières, commencez à décorer l'arbre d'ornements jusqu'à ce qu'il soit rempli d'ornements.</v>
      </c>
    </row>
    <row r="23338">
      <c r="A23338" s="4" t="s">
        <v>29367</v>
      </c>
      <c r="B23338" s="6" t="s">
        <v>29372</v>
      </c>
      <c r="C23338" s="5" t="str">
        <f>IFERROR(__xludf.DUMMYFUNCTION("GOOGLETRANSLATE(B23338,""en"",""fr"")"),"La caméra est ramassée et l'homme tente maintenant de mettre une étoile blanche sur le dessus de l'arbre pendant que les enfants traînent et parlent.")</f>
        <v>La caméra est ramassée et l'homme tente maintenant de mettre une étoile blanche sur le dessus de l'arbre pendant que les enfants traînent et parlent.</v>
      </c>
    </row>
    <row r="23339">
      <c r="A23339" s="4" t="s">
        <v>29367</v>
      </c>
      <c r="B23339" s="4" t="s">
        <v>29373</v>
      </c>
      <c r="C23339" s="5" t="str">
        <f>IFERROR(__xludf.DUMMYFUNCTION("GOOGLETRANSLATE(B23339,""en"",""fr"")"),"L'étoile est maintenant sur l'arbre, la caméra est remise, l'une des filles étreint l'arbre.")</f>
        <v>L'étoile est maintenant sur l'arbre, la caméra est remise, l'une des filles étreint l'arbre.</v>
      </c>
    </row>
    <row r="23340">
      <c r="A23340" s="4" t="s">
        <v>29374</v>
      </c>
      <c r="B23340" s="4" t="s">
        <v>29375</v>
      </c>
      <c r="C23340" s="5" t="str">
        <f>IFERROR(__xludf.DUMMYFUNCTION("GOOGLETRANSLATE(B23340,""en"",""fr"")"),"Un homme se tient à l'intérieur d'une salle de sport alors qu'il parle à la caméra.")</f>
        <v>Un homme se tient à l'intérieur d'une salle de sport alors qu'il parle à la caméra.</v>
      </c>
    </row>
    <row r="23341">
      <c r="A23341" s="4" t="s">
        <v>29374</v>
      </c>
      <c r="B23341" s="4" t="s">
        <v>29376</v>
      </c>
      <c r="C23341" s="5" t="str">
        <f>IFERROR(__xludf.DUMMYFUNCTION("GOOGLETRANSLATE(B23341,""en"",""fr"")"),"Il a indiqué un bloc bleu sur le sol avant de l'entrer et de s'agenouiller dessus.")</f>
        <v>Il a indiqué un bloc bleu sur le sol avant de l'entrer et de s'agenouiller dessus.</v>
      </c>
    </row>
    <row r="23342">
      <c r="A23342" s="4" t="s">
        <v>29374</v>
      </c>
      <c r="B23342" s="4" t="s">
        <v>29377</v>
      </c>
      <c r="C23342" s="5" t="str">
        <f>IFERROR(__xludf.DUMMYFUNCTION("GOOGLETRANSLATE(B23342,""en"",""fr"")"),"Il commence à tirer le cordon sur l'équipement, montrant comment il est utilisé.")</f>
        <v>Il commence à tirer le cordon sur l'équipement, montrant comment il est utilisé.</v>
      </c>
    </row>
    <row r="23343">
      <c r="A23343" s="4" t="s">
        <v>29378</v>
      </c>
      <c r="B23343" s="4" t="s">
        <v>29379</v>
      </c>
      <c r="C23343" s="5" t="str">
        <f>IFERROR(__xludf.DUMMYFUNCTION("GOOGLETRANSLATE(B23343,""en"",""fr"")"),"Un homme parle derrière un bar, debout devant de nombreuses bouteilles d'alcool.")</f>
        <v>Un homme parle derrière un bar, debout devant de nombreuses bouteilles d'alcool.</v>
      </c>
    </row>
    <row r="23344">
      <c r="A23344" s="4" t="s">
        <v>29378</v>
      </c>
      <c r="B23344" s="4" t="s">
        <v>29380</v>
      </c>
      <c r="C23344" s="5" t="str">
        <f>IFERROR(__xludf.DUMMYFUNCTION("GOOGLETRANSLATE(B23344,""en"",""fr"")"),"Il verse des liquides sur un verre rempli de glace.")</f>
        <v>Il verse des liquides sur un verre rempli de glace.</v>
      </c>
    </row>
    <row r="23345">
      <c r="A23345" s="4" t="s">
        <v>29378</v>
      </c>
      <c r="B23345" s="4" t="s">
        <v>29381</v>
      </c>
      <c r="C23345" s="5" t="str">
        <f>IFERROR(__xludf.DUMMYFUNCTION("GOOGLETRANSLATE(B23345,""en"",""fr"")"),"Il garnit ensuite le produit final pour servir.")</f>
        <v>Il garnit ensuite le produit final pour servir.</v>
      </c>
    </row>
    <row r="23346">
      <c r="A23346" s="4" t="s">
        <v>29382</v>
      </c>
      <c r="B23346" s="4" t="s">
        <v>29383</v>
      </c>
      <c r="C23346" s="5" t="str">
        <f>IFERROR(__xludf.DUMMYFUNCTION("GOOGLETRANSLATE(B23346,""en"",""fr"")"),"Les étudiants en karaté jouent debout et des tambours à main dans un studio.")</f>
        <v>Les étudiants en karaté jouent debout et des tambours à main dans un studio.</v>
      </c>
    </row>
    <row r="23347">
      <c r="A23347" s="4" t="s">
        <v>29382</v>
      </c>
      <c r="B23347" s="4" t="s">
        <v>29384</v>
      </c>
      <c r="C23347" s="5" t="str">
        <f>IFERROR(__xludf.DUMMYFUNCTION("GOOGLETRANSLATE(B23347,""en"",""fr"")"),"Les étudiants en karaté sautent par-dessus une corde détenue par d'autres étudiants sur un tapis.")</f>
        <v>Les étudiants en karaté sautent par-dessus une corde détenue par d'autres étudiants sur un tapis.</v>
      </c>
    </row>
    <row r="23348">
      <c r="A23348" s="4" t="s">
        <v>29382</v>
      </c>
      <c r="B23348" s="4" t="s">
        <v>29385</v>
      </c>
      <c r="C23348" s="5" t="str">
        <f>IFERROR(__xludf.DUMMYFUNCTION("GOOGLETRANSLATE(B23348,""en"",""fr"")"),"Le groupe d'étudiants de karaté pratique des coups de poing debout.")</f>
        <v>Le groupe d'étudiants de karaté pratique des coups de poing debout.</v>
      </c>
    </row>
    <row r="23349">
      <c r="A23349" s="4" t="s">
        <v>29382</v>
      </c>
      <c r="B23349" s="4" t="s">
        <v>29386</v>
      </c>
      <c r="C23349" s="5" t="str">
        <f>IFERROR(__xludf.DUMMYFUNCTION("GOOGLETRANSLATE(B23349,""en"",""fr"")"),"Un groupe de jeunes élèves pratiquants contre les adversaires.")</f>
        <v>Un groupe de jeunes élèves pratiquants contre les adversaires.</v>
      </c>
    </row>
    <row r="23350">
      <c r="A23350" s="4" t="s">
        <v>29382</v>
      </c>
      <c r="B23350" s="4" t="s">
        <v>29387</v>
      </c>
      <c r="C23350" s="5" t="str">
        <f>IFERROR(__xludf.DUMMYFUNCTION("GOOGLETRANSLATE(B23350,""en"",""fr"")"),"Les groupes se tournent mutuellement en cercles se tenant la main.")</f>
        <v>Les groupes se tournent mutuellement en cercles se tenant la main.</v>
      </c>
    </row>
    <row r="23351">
      <c r="A23351" s="4" t="s">
        <v>29382</v>
      </c>
      <c r="B23351" s="4" t="s">
        <v>29388</v>
      </c>
      <c r="C23351" s="5" t="str">
        <f>IFERROR(__xludf.DUMMYFUNCTION("GOOGLETRANSLATE(B23351,""en"",""fr"")"),"Le groupe se tient en cercle et saute de haut en bas ensemble tout en regardant l'instructeur.")</f>
        <v>Le groupe se tient en cercle et saute de haut en bas ensemble tout en regardant l'instructeur.</v>
      </c>
    </row>
    <row r="23352">
      <c r="A23352" s="4" t="s">
        <v>29389</v>
      </c>
      <c r="B23352" s="4" t="s">
        <v>29390</v>
      </c>
      <c r="C23352" s="5" t="str">
        <f>IFERROR(__xludf.DUMMYFUNCTION("GOOGLETRANSLATE(B23352,""en"",""fr"")"),"Une femme parle alors qu'elle se tient à l'extérieur des écuries de chevaux.")</f>
        <v>Une femme parle alors qu'elle se tient à l'extérieur des écuries de chevaux.</v>
      </c>
    </row>
    <row r="23353">
      <c r="A23353" s="4" t="s">
        <v>29389</v>
      </c>
      <c r="B23353" s="4" t="s">
        <v>29391</v>
      </c>
      <c r="C23353" s="5" t="str">
        <f>IFERROR(__xludf.DUMMYFUNCTION("GOOGLETRANSLATE(B23353,""en"",""fr"")"),"Elle parle en tant que client chevauche l'un de ses chevaux dans un champ de terre.")</f>
        <v>Elle parle en tant que client chevauche l'un de ses chevaux dans un champ de terre.</v>
      </c>
    </row>
    <row r="23354">
      <c r="A23354" s="4" t="s">
        <v>29389</v>
      </c>
      <c r="B23354" s="4" t="s">
        <v>29392</v>
      </c>
      <c r="C23354" s="5" t="str">
        <f>IFERROR(__xludf.DUMMYFUNCTION("GOOGLETRANSLATE(B23354,""en"",""fr"")"),"Elle discute de la forme et du positionnement du cavalier.")</f>
        <v>Elle discute de la forme et du positionnement du cavalier.</v>
      </c>
    </row>
    <row r="23355">
      <c r="A23355" s="4" t="s">
        <v>29389</v>
      </c>
      <c r="B23355" s="4" t="s">
        <v>29393</v>
      </c>
      <c r="C23355" s="5" t="str">
        <f>IFERROR(__xludf.DUMMYFUNCTION("GOOGLETRANSLATE(B23355,""en"",""fr"")"),"Le cavalier emmène le cheval pour un trot pendant que la femme regarde.")</f>
        <v>Le cavalier emmène le cheval pour un trot pendant que la femme regarde.</v>
      </c>
    </row>
    <row r="23356">
      <c r="A23356" s="4" t="s">
        <v>29394</v>
      </c>
      <c r="B23356" s="4" t="s">
        <v>29395</v>
      </c>
      <c r="C23356" s="5" t="str">
        <f>IFERROR(__xludf.DUMMYFUNCTION("GOOGLETRANSLATE(B23356,""en"",""fr"")"),"Une femme blonde parle dans une salle de nouvelles devant un grand écran.")</f>
        <v>Une femme blonde parle dans une salle de nouvelles devant un grand écran.</v>
      </c>
    </row>
    <row r="23357">
      <c r="A23357" s="4" t="s">
        <v>29394</v>
      </c>
      <c r="B23357" s="4" t="s">
        <v>29396</v>
      </c>
      <c r="C23357" s="5" t="str">
        <f>IFERROR(__xludf.DUMMYFUNCTION("GOOGLETRANSLATE(B23357,""en"",""fr"")"),"On voit des bateaux en train de tirer des gens sur des skis nautiques.")</f>
        <v>On voit des bateaux en train de tirer des gens sur des skis nautiques.</v>
      </c>
    </row>
    <row r="23358">
      <c r="A23358" s="4" t="s">
        <v>29394</v>
      </c>
      <c r="B23358" s="4" t="s">
        <v>29397</v>
      </c>
      <c r="C23358" s="5" t="str">
        <f>IFERROR(__xludf.DUMMYFUNCTION("GOOGLETRANSLATE(B23358,""en"",""fr"")"),"Un homme est montré se préparant puis skiant dans l'eau.")</f>
        <v>Un homme est montré se préparant puis skiant dans l'eau.</v>
      </c>
    </row>
    <row r="23359">
      <c r="A23359" s="4" t="s">
        <v>29398</v>
      </c>
      <c r="B23359" s="4" t="s">
        <v>29399</v>
      </c>
      <c r="C23359" s="5" t="str">
        <f>IFERROR(__xludf.DUMMYFUNCTION("GOOGLETRANSLATE(B23359,""en"",""fr"")"),"Plusieurs personnes sont vues errant dans un champ intérieur avec un poteau volant sur une barre.")</f>
        <v>Plusieurs personnes sont vues errant dans un champ intérieur avec un poteau volant sur une barre.</v>
      </c>
    </row>
    <row r="23360">
      <c r="A23360" s="4" t="s">
        <v>29398</v>
      </c>
      <c r="B23360" s="4" t="s">
        <v>29400</v>
      </c>
      <c r="C23360" s="5" t="str">
        <f>IFERROR(__xludf.DUMMYFUNCTION("GOOGLETRANSLATE(B23360,""en"",""fr"")"),"Le même tir est à nouveau illustré au ralenti ainsi que plusieurs autres tentatives du garçon.")</f>
        <v>Le même tir est à nouveau illustré au ralenti ainsi que plusieurs autres tentatives du garçon.</v>
      </c>
    </row>
    <row r="23361">
      <c r="A23361" s="4" t="s">
        <v>29398</v>
      </c>
      <c r="B23361" s="4" t="s">
        <v>29401</v>
      </c>
      <c r="C23361" s="5" t="str">
        <f>IFERROR(__xludf.DUMMYFUNCTION("GOOGLETRANSLATE(B23361,""en"",""fr"")"),"Il essaie le saut plusieurs fois pendant que les gens le regardent sur les côtés.")</f>
        <v>Il essaie le saut plusieurs fois pendant que les gens le regardent sur les côtés.</v>
      </c>
    </row>
    <row r="23362">
      <c r="A23362" s="4" t="s">
        <v>29402</v>
      </c>
      <c r="B23362" s="4" t="s">
        <v>29403</v>
      </c>
      <c r="C23362" s="5" t="str">
        <f>IFERROR(__xludf.DUMMYFUNCTION("GOOGLETRANSLATE(B23362,""en"",""fr"")"),"Un homme se tient à côté d'un étang.")</f>
        <v>Un homme se tient à côté d'un étang.</v>
      </c>
    </row>
    <row r="23363">
      <c r="A23363" s="4" t="s">
        <v>29402</v>
      </c>
      <c r="B23363" s="4" t="s">
        <v>29404</v>
      </c>
      <c r="C23363" s="5" t="str">
        <f>IFERROR(__xludf.DUMMYFUNCTION("GOOGLETRANSLATE(B23363,""en"",""fr"")"),"Il charge une flèche dans l'arc.")</f>
        <v>Il charge une flèche dans l'arc.</v>
      </c>
    </row>
    <row r="23364">
      <c r="A23364" s="4" t="s">
        <v>29402</v>
      </c>
      <c r="B23364" s="6" t="s">
        <v>29405</v>
      </c>
      <c r="C23364" s="5" t="str">
        <f>IFERROR(__xludf.DUMMYFUNCTION("GOOGLETRANSLATE(B23364,""en"",""fr"")"),"Il tire la flèche sur un chat en céramique, le frappant dans l'eau avant de passer à d'autres cibles.")</f>
        <v>Il tire la flèche sur un chat en céramique, le frappant dans l'eau avant de passer à d'autres cibles.</v>
      </c>
    </row>
    <row r="23365">
      <c r="A23365" s="4" t="s">
        <v>29406</v>
      </c>
      <c r="B23365" s="4" t="s">
        <v>29407</v>
      </c>
      <c r="C23365" s="5" t="str">
        <f>IFERROR(__xludf.DUMMYFUNCTION("GOOGLETRANSLATE(B23365,""en"",""fr"")"),"Une femme est vue entrer dans le cadre et parler à la caméra.")</f>
        <v>Une femme est vue entrer dans le cadre et parler à la caméra.</v>
      </c>
    </row>
    <row r="23366">
      <c r="A23366" s="4" t="s">
        <v>29406</v>
      </c>
      <c r="B23366" s="4" t="s">
        <v>29408</v>
      </c>
      <c r="C23366" s="5" t="str">
        <f>IFERROR(__xludf.DUMMYFUNCTION("GOOGLETRANSLATE(B23366,""en"",""fr"")"),"Elle s'assoit sur des boîtes tout en tenant les autres et commence à poser des carreaux sur le sol.")</f>
        <v>Elle s'assoit sur des boîtes tout en tenant les autres et commence à poser des carreaux sur le sol.</v>
      </c>
    </row>
    <row r="23367">
      <c r="A23367" s="4" t="s">
        <v>29406</v>
      </c>
      <c r="B23367" s="6" t="s">
        <v>29409</v>
      </c>
      <c r="C23367" s="5" t="str">
        <f>IFERROR(__xludf.DUMMYFUNCTION("GOOGLETRANSLATE(B23367,""en"",""fr"")"),"Elle ramasse les autres tout en parlant à la caméra suivie par l'aspirateur sur le sol et un enfant jouant le long.")</f>
        <v>Elle ramasse les autres tout en parlant à la caméra suivie par l'aspirateur sur le sol et un enfant jouant le long.</v>
      </c>
    </row>
    <row r="23368">
      <c r="A23368" s="4" t="s">
        <v>29410</v>
      </c>
      <c r="B23368" s="4" t="s">
        <v>29411</v>
      </c>
      <c r="C23368" s="5" t="str">
        <f>IFERROR(__xludf.DUMMYFUNCTION("GOOGLETRANSLATE(B23368,""en"",""fr"")"),"Un jeune enfant est vu courir dans une cour arrière sur un grand ensemble de pilotis.")</f>
        <v>Un jeune enfant est vu courir dans une cour arrière sur un grand ensemble de pilotis.</v>
      </c>
    </row>
    <row r="23369">
      <c r="A23369" s="4" t="s">
        <v>29410</v>
      </c>
      <c r="B23369" s="4" t="s">
        <v>29412</v>
      </c>
      <c r="C23369" s="5" t="str">
        <f>IFERROR(__xludf.DUMMYFUNCTION("GOOGLETRANSLATE(B23369,""en"",""fr"")"),"Le garçon continue de rebondir alors que la caméra le capture et la course.")</f>
        <v>Le garçon continue de rebondir alors que la caméra le capture et la course.</v>
      </c>
    </row>
    <row r="23370">
      <c r="A23370" s="4" t="s">
        <v>29413</v>
      </c>
      <c r="B23370" s="4" t="s">
        <v>29414</v>
      </c>
      <c r="C23370" s="5" t="str">
        <f>IFERROR(__xludf.DUMMYFUNCTION("GOOGLETRANSLATE(B23370,""en"",""fr"")"),"Les garçons courent sur un terrain en jouant à un jeu de football.")</f>
        <v>Les garçons courent sur un terrain en jouant à un jeu de football.</v>
      </c>
    </row>
    <row r="23371">
      <c r="A23371" s="4" t="s">
        <v>29413</v>
      </c>
      <c r="B23371" s="4" t="s">
        <v>29415</v>
      </c>
      <c r="C23371" s="5" t="str">
        <f>IFERROR(__xludf.DUMMYFUNCTION("GOOGLETRANSLATE(B23371,""en"",""fr"")"),"Ensuite, ils jouent un professionnel sur un terrain d'intérieur pendant qu'un public regarde.")</f>
        <v>Ensuite, ils jouent un professionnel sur un terrain d'intérieur pendant qu'un public regarde.</v>
      </c>
    </row>
    <row r="23372">
      <c r="A23372" s="4" t="s">
        <v>29413</v>
      </c>
      <c r="B23372" s="4" t="s">
        <v>29416</v>
      </c>
      <c r="C23372" s="5" t="str">
        <f>IFERROR(__xludf.DUMMYFUNCTION("GOOGLETRANSLATE(B23372,""en"",""fr"")"),"Ils montrent de nombreux clips différents de nombreux jeux différents, comme un mémoire de vidéos.")</f>
        <v>Ils montrent de nombreux clips différents de nombreux jeux différents, comme un mémoire de vidéos.</v>
      </c>
    </row>
    <row r="23373">
      <c r="A23373" s="4" t="s">
        <v>29413</v>
      </c>
      <c r="B23373" s="4" t="s">
        <v>29417</v>
      </c>
      <c r="C23373" s="5" t="str">
        <f>IFERROR(__xludf.DUMMYFUNCTION("GOOGLETRANSLATE(B23373,""en"",""fr"")"),"Le numéro 12 est à la base de tous, il semble être un très grand joueur de football.")</f>
        <v>Le numéro 12 est à la base de tous, il semble être un très grand joueur de football.</v>
      </c>
    </row>
    <row r="23374">
      <c r="A23374" s="4" t="s">
        <v>29418</v>
      </c>
      <c r="B23374" s="4" t="s">
        <v>29419</v>
      </c>
      <c r="C23374" s="5" t="str">
        <f>IFERROR(__xludf.DUMMYFUNCTION("GOOGLETRANSLATE(B23374,""en"",""fr"")"),"Une jeune fille est vue parler à la caméra et regarder au loin.")</f>
        <v>Une jeune fille est vue parler à la caméra et regarder au loin.</v>
      </c>
    </row>
    <row r="23375">
      <c r="A23375" s="4" t="s">
        <v>29418</v>
      </c>
      <c r="B23375" s="4" t="s">
        <v>29420</v>
      </c>
      <c r="C23375" s="5" t="str">
        <f>IFERROR(__xludf.DUMMYFUNCTION("GOOGLETRANSLATE(B23375,""en"",""fr"")"),"Elle continue de parler et mène à une femme en train de se couper les cheveux.")</f>
        <v>Elle continue de parler et mène à une femme en train de se couper les cheveux.</v>
      </c>
    </row>
    <row r="23376">
      <c r="A23376" s="4" t="s">
        <v>29418</v>
      </c>
      <c r="B23376" s="4" t="s">
        <v>29421</v>
      </c>
      <c r="C23376" s="5" t="str">
        <f>IFERROR(__xludf.DUMMYFUNCTION("GOOGLETRANSLATE(B23376,""en"",""fr"")"),"Elle tend la fille ses cheveux et montre sa coupe à la fin.")</f>
        <v>Elle tend la fille ses cheveux et montre sa coupe à la fin.</v>
      </c>
    </row>
    <row r="23377">
      <c r="A23377" s="4" t="s">
        <v>29422</v>
      </c>
      <c r="B23377" s="4" t="s">
        <v>29423</v>
      </c>
      <c r="C23377" s="5" t="str">
        <f>IFERROR(__xludf.DUMMYFUNCTION("GOOGLETRANSLATE(B23377,""en"",""fr"")"),"Plusieurs couleurs et conceptions clignotent sur l'écran.")</f>
        <v>Plusieurs couleurs et conceptions clignotent sur l'écran.</v>
      </c>
    </row>
    <row r="23378">
      <c r="A23378" s="4" t="s">
        <v>29422</v>
      </c>
      <c r="B23378" s="4" t="s">
        <v>29424</v>
      </c>
      <c r="C23378" s="5" t="str">
        <f>IFERROR(__xludf.DUMMYFUNCTION("GOOGLETRANSLATE(B23378,""en"",""fr"")"),"Les femmes se rassemblent sur scène alors qu'elles sont sur le point de se produire.")</f>
        <v>Les femmes se rassemblent sur scène alors qu'elles sont sur le point de se produire.</v>
      </c>
    </row>
    <row r="23379">
      <c r="A23379" s="4" t="s">
        <v>29422</v>
      </c>
      <c r="B23379" s="4" t="s">
        <v>29425</v>
      </c>
      <c r="C23379" s="5" t="str">
        <f>IFERROR(__xludf.DUMMYFUNCTION("GOOGLETRANSLATE(B23379,""en"",""fr"")"),"Les femmes dansent et sautent, menant une routine de Zumba.")</f>
        <v>Les femmes dansent et sautent, menant une routine de Zumba.</v>
      </c>
    </row>
    <row r="23380">
      <c r="A23380" s="4" t="s">
        <v>29426</v>
      </c>
      <c r="B23380" s="6" t="s">
        <v>29427</v>
      </c>
      <c r="C23380" s="5" t="str">
        <f>IFERROR(__xludf.DUMMYFUNCTION("GOOGLETRANSLATE(B23380,""en"",""fr"")"),"Diverses plans de panneaux sont affichés ainsi que des gens qui se promènent dans un champ et se préparent pour des événements.")</f>
        <v>Diverses plans de panneaux sont affichés ainsi que des gens qui se promènent dans un champ et se préparent pour des événements.</v>
      </c>
    </row>
    <row r="23381">
      <c r="A23381" s="4" t="s">
        <v>29426</v>
      </c>
      <c r="B23381" s="6" t="s">
        <v>29428</v>
      </c>
      <c r="C23381" s="5" t="str">
        <f>IFERROR(__xludf.DUMMYFUNCTION("GOOGLETRANSLATE(B23381,""en"",""fr"")"),"Beaucoup de gens sont interviewés pour la caméra et montrent aux gens qui agitent et se préparent sur les côtés.")</f>
        <v>Beaucoup de gens sont interviewés pour la caméra et montrent aux gens qui agitent et se préparent sur les côtés.</v>
      </c>
    </row>
    <row r="23382">
      <c r="A23382" s="4" t="s">
        <v>29426</v>
      </c>
      <c r="B23382" s="6" t="s">
        <v>29429</v>
      </c>
      <c r="C23382" s="5" t="str">
        <f>IFERROR(__xludf.DUMMYFUNCTION("GOOGLETRANSLATE(B23382,""en"",""fr"")"),"Les gens agitent vers la caméra et restent en tenant des panneaux tandis que plus parlent à l'appareil photo et montrent des jeux de marelle.")</f>
        <v>Les gens agitent vers la caméra et restent en tenant des panneaux tandis que plus parlent à l'appareil photo et montrent des jeux de marelle.</v>
      </c>
    </row>
    <row r="23383">
      <c r="A23383" s="4" t="s">
        <v>29430</v>
      </c>
      <c r="B23383" s="4" t="s">
        <v>29431</v>
      </c>
      <c r="C23383" s="5" t="str">
        <f>IFERROR(__xludf.DUMMYFUNCTION("GOOGLETRANSLATE(B23383,""en"",""fr"")"),"Un chien pousse une poussette sur le trottoir.")</f>
        <v>Un chien pousse une poussette sur le trottoir.</v>
      </c>
    </row>
    <row r="23384">
      <c r="A23384" s="4" t="s">
        <v>29430</v>
      </c>
      <c r="B23384" s="4" t="s">
        <v>29432</v>
      </c>
      <c r="C23384" s="5" t="str">
        <f>IFERROR(__xludf.DUMMYFUNCTION("GOOGLETRANSLATE(B23384,""en"",""fr"")"),"Une personne en blanc passe l'arbre.")</f>
        <v>Une personne en blanc passe l'arbre.</v>
      </c>
    </row>
    <row r="23385">
      <c r="A23385" s="4" t="s">
        <v>29430</v>
      </c>
      <c r="B23385" s="4" t="s">
        <v>29433</v>
      </c>
      <c r="C23385" s="5" t="str">
        <f>IFERROR(__xludf.DUMMYFUNCTION("GOOGLETRANSLATE(B23385,""en"",""fr"")"),"Le chien passe un petit arbre.")</f>
        <v>Le chien passe un petit arbre.</v>
      </c>
    </row>
    <row r="23386">
      <c r="A23386" s="4" t="s">
        <v>29434</v>
      </c>
      <c r="B23386" s="4" t="s">
        <v>29435</v>
      </c>
      <c r="C23386" s="5" t="str">
        <f>IFERROR(__xludf.DUMMYFUNCTION("GOOGLETRANSLATE(B23386,""en"",""fr"")"),"Un homme commence à couper un morceau de bois avec une hache.")</f>
        <v>Un homme commence à couper un morceau de bois avec une hache.</v>
      </c>
    </row>
    <row r="23387">
      <c r="A23387" s="4" t="s">
        <v>29434</v>
      </c>
      <c r="B23387" s="4" t="s">
        <v>29436</v>
      </c>
      <c r="C23387" s="5" t="str">
        <f>IFERROR(__xludf.DUMMYFUNCTION("GOOGLETRANSLATE(B23387,""en"",""fr"")"),"Il ramasse le bois et le jette dans une pile.")</f>
        <v>Il ramasse le bois et le jette dans une pile.</v>
      </c>
    </row>
    <row r="23388">
      <c r="A23388" s="4" t="s">
        <v>29434</v>
      </c>
      <c r="B23388" s="4" t="s">
        <v>29437</v>
      </c>
      <c r="C23388" s="5" t="str">
        <f>IFERROR(__xludf.DUMMYFUNCTION("GOOGLETRANSLATE(B23388,""en"",""fr"")"),"Il ramasse un nouveau morceau de bois et des coupes.")</f>
        <v>Il ramasse un nouveau morceau de bois et des coupes.</v>
      </c>
    </row>
    <row r="23389">
      <c r="A23389" s="4" t="s">
        <v>29438</v>
      </c>
      <c r="B23389" s="4" t="s">
        <v>29439</v>
      </c>
      <c r="C23389" s="5" t="str">
        <f>IFERROR(__xludf.DUMMYFUNCTION("GOOGLETRANSLATE(B23389,""en"",""fr"")"),"Une femme est vue assise sur un fil à tricoter pendant que la caméra la regarde.")</f>
        <v>Une femme est vue assise sur un fil à tricoter pendant que la caméra la regarde.</v>
      </c>
    </row>
    <row r="23390">
      <c r="A23390" s="4" t="s">
        <v>29438</v>
      </c>
      <c r="B23390" s="4" t="s">
        <v>29440</v>
      </c>
      <c r="C23390" s="5" t="str">
        <f>IFERROR(__xludf.DUMMYFUNCTION("GOOGLETRANSLATE(B23390,""en"",""fr"")"),"La femme continue de tricoter en s'arrêtant pour regarder la caméra et faire des grimaces.")</f>
        <v>La femme continue de tricoter en s'arrêtant pour regarder la caméra et faire des grimaces.</v>
      </c>
    </row>
    <row r="23391">
      <c r="A23391" s="4" t="s">
        <v>29441</v>
      </c>
      <c r="B23391" s="4" t="s">
        <v>29442</v>
      </c>
      <c r="C23391" s="5" t="str">
        <f>IFERROR(__xludf.DUMMYFUNCTION("GOOGLETRANSLATE(B23391,""en"",""fr"")"),"Un Hummer soutient un bateau dans une rampe.")</f>
        <v>Un Hummer soutient un bateau dans une rampe.</v>
      </c>
    </row>
    <row r="23392">
      <c r="A23392" s="4" t="s">
        <v>29441</v>
      </c>
      <c r="B23392" s="4" t="s">
        <v>29443</v>
      </c>
      <c r="C23392" s="5" t="str">
        <f>IFERROR(__xludf.DUMMYFUNCTION("GOOGLETRANSLATE(B23392,""en"",""fr"")"),"Une personne est en train d'embarquer derrière le bateau.")</f>
        <v>Une personne est en train d'embarquer derrière le bateau.</v>
      </c>
    </row>
    <row r="23393">
      <c r="A23393" s="4" t="s">
        <v>29441</v>
      </c>
      <c r="B23393" s="4" t="s">
        <v>29444</v>
      </c>
      <c r="C23393" s="5" t="str">
        <f>IFERROR(__xludf.DUMMYFUNCTION("GOOGLETRANSLATE(B23393,""en"",""fr"")"),"Les gens sont assis sur le bateau.")</f>
        <v>Les gens sont assis sur le bateau.</v>
      </c>
    </row>
    <row r="23394">
      <c r="A23394" s="4" t="s">
        <v>29445</v>
      </c>
      <c r="B23394" s="4" t="s">
        <v>29446</v>
      </c>
      <c r="C23394" s="5" t="str">
        <f>IFERROR(__xludf.DUMMYFUNCTION("GOOGLETRANSLATE(B23394,""en"",""fr"")"),"Une femme est assise au fond d'une lame.")</f>
        <v>Une femme est assise au fond d'une lame.</v>
      </c>
    </row>
    <row r="23395">
      <c r="A23395" s="4" t="s">
        <v>29445</v>
      </c>
      <c r="B23395" s="4" t="s">
        <v>29447</v>
      </c>
      <c r="C23395" s="5" t="str">
        <f>IFERROR(__xludf.DUMMYFUNCTION("GOOGLETRANSLATE(B23395,""en"",""fr"")"),"Elle ajuste sa caméra.")</f>
        <v>Elle ajuste sa caméra.</v>
      </c>
    </row>
    <row r="23396">
      <c r="A23396" s="4" t="s">
        <v>29445</v>
      </c>
      <c r="B23396" s="4" t="s">
        <v>29448</v>
      </c>
      <c r="C23396" s="5" t="str">
        <f>IFERROR(__xludf.DUMMYFUNCTION("GOOGLETRANSLATE(B23396,""en"",""fr"")"),"Un enfant glisse le long de la diapositive, la courir par derrière.")</f>
        <v>Un enfant glisse le long de la diapositive, la courir par derrière.</v>
      </c>
    </row>
    <row r="23397">
      <c r="A23397" s="4" t="s">
        <v>29449</v>
      </c>
      <c r="B23397" s="4" t="s">
        <v>29450</v>
      </c>
      <c r="C23397" s="5" t="str">
        <f>IFERROR(__xludf.DUMMYFUNCTION("GOOGLETRANSLATE(B23397,""en"",""fr"")"),"Un jeune enfant est vu grimper dans une aire de jeux puis descendre une diapositive.")</f>
        <v>Un jeune enfant est vu grimper dans une aire de jeux puis descendre une diapositive.</v>
      </c>
    </row>
    <row r="23398">
      <c r="A23398" s="4" t="s">
        <v>29449</v>
      </c>
      <c r="B23398" s="6" t="s">
        <v>29451</v>
      </c>
      <c r="C23398" s="5" t="str">
        <f>IFERROR(__xludf.DUMMYFUNCTION("GOOGLETRANSLATE(B23398,""en"",""fr"")"),"Elle retourne au sommet, suivie d'un autre descendant la diapositive et retourne à nouveau dans les escaliers.")</f>
        <v>Elle retourne au sommet, suivie d'un autre descendant la diapositive et retourne à nouveau dans les escaliers.</v>
      </c>
    </row>
    <row r="23399">
      <c r="A23399" s="4" t="s">
        <v>29452</v>
      </c>
      <c r="B23399" s="4" t="s">
        <v>29453</v>
      </c>
      <c r="C23399" s="5" t="str">
        <f>IFERROR(__xludf.DUMMYFUNCTION("GOOGLETRANSLATE(B23399,""en"",""fr"")"),"Une personne se tient sur une colline recouverte de neige, puis la personne skie en bas de la colline et tombe.")</f>
        <v>Une personne se tient sur une colline recouverte de neige, puis la personne skie en bas de la colline et tombe.</v>
      </c>
    </row>
    <row r="23400">
      <c r="A23400" s="4" t="s">
        <v>29452</v>
      </c>
      <c r="B23400" s="4" t="s">
        <v>29454</v>
      </c>
      <c r="C23400" s="5" t="str">
        <f>IFERROR(__xludf.DUMMYFUNCTION("GOOGLETRANSLATE(B23400,""en"",""fr"")"),"Un skieur descend sur une colline fait un saut par-dessus les pierres et les chutes et roule sur la neige.")</f>
        <v>Un skieur descend sur une colline fait un saut par-dessus les pierres et les chutes et roule sur la neige.</v>
      </c>
    </row>
    <row r="23401">
      <c r="A23401" s="4" t="s">
        <v>29452</v>
      </c>
      <c r="B23401" s="4" t="s">
        <v>29455</v>
      </c>
      <c r="C23401" s="5" t="str">
        <f>IFERROR(__xludf.DUMMYFUNCTION("GOOGLETRANSLATE(B23401,""en"",""fr"")"),"Ensuite, d'autres ciel homme sur la colline et des zones plates couvertes de neige.")</f>
        <v>Ensuite, d'autres ciel homme sur la colline et des zones plates couvertes de neige.</v>
      </c>
    </row>
    <row r="23402">
      <c r="A23402" s="4" t="s">
        <v>29452</v>
      </c>
      <c r="B23402" s="4" t="s">
        <v>29456</v>
      </c>
      <c r="C23402" s="5" t="str">
        <f>IFERROR(__xludf.DUMMYFUNCTION("GOOGLETRANSLATE(B23402,""en"",""fr"")"),"De plus, les skieurs font un retournement de l'air pendant que d'autres personnes regardent.")</f>
        <v>De plus, les skieurs font un retournement de l'air pendant que d'autres personnes regardent.</v>
      </c>
    </row>
    <row r="23403">
      <c r="A23403" s="4" t="s">
        <v>29457</v>
      </c>
      <c r="B23403" s="4" t="s">
        <v>29458</v>
      </c>
      <c r="C23403" s="5" t="str">
        <f>IFERROR(__xludf.DUMMYFUNCTION("GOOGLETRANSLATE(B23403,""en"",""fr"")"),"Deux hommes jouent à la courge sur une cour intérieure.")</f>
        <v>Deux hommes jouent à la courge sur une cour intérieure.</v>
      </c>
    </row>
    <row r="23404">
      <c r="A23404" s="4" t="s">
        <v>29457</v>
      </c>
      <c r="B23404" s="4" t="s">
        <v>29459</v>
      </c>
      <c r="C23404" s="5" t="str">
        <f>IFERROR(__xludf.DUMMYFUNCTION("GOOGLETRANSLATE(B23404,""en"",""fr"")"),"L'homme gauche dans la chemise blanche manque le ballon et le début.")</f>
        <v>L'homme gauche dans la chemise blanche manque le ballon et le début.</v>
      </c>
    </row>
    <row r="23405">
      <c r="A23405" s="4" t="s">
        <v>29457</v>
      </c>
      <c r="B23405" s="6" t="s">
        <v>29460</v>
      </c>
      <c r="C23405" s="5" t="str">
        <f>IFERROR(__xludf.DUMMYFUNCTION("GOOGLETRANSLATE(B23405,""en"",""fr"")"),"Nous voyons l'homme dans la chemise grise, le ballon de balle se lève et pompe son poing tout en ayant l'air déçu.")</f>
        <v>Nous voyons l'homme dans la chemise grise, le ballon de balle se lève et pompe son poing tout en ayant l'air déçu.</v>
      </c>
    </row>
    <row r="23406">
      <c r="A23406" s="4" t="s">
        <v>29461</v>
      </c>
      <c r="B23406" s="6" t="s">
        <v>29462</v>
      </c>
      <c r="C23406" s="5" t="str">
        <f>IFERROR(__xludf.DUMMYFUNCTION("GOOGLETRANSLATE(B23406,""en"",""fr"")"),"Une petite fille est assise sur le sol du porche avec son père alors qu'il rassemble un cerf-volant de papillon bleu pour elle.")</f>
        <v>Une petite fille est assise sur le sol du porche avec son père alors qu'il rassemble un cerf-volant de papillon bleu pour elle.</v>
      </c>
    </row>
    <row r="23407">
      <c r="A23407" s="4" t="s">
        <v>29461</v>
      </c>
      <c r="B23407" s="4" t="s">
        <v>29463</v>
      </c>
      <c r="C23407" s="5" t="str">
        <f>IFERROR(__xludf.DUMMYFUNCTION("GOOGLETRANSLATE(B23407,""en"",""fr"")"),"Après avoir terminé le cerf-volant, ils sortent à l'air libre pour piloter le cerf-volant.")</f>
        <v>Après avoir terminé le cerf-volant, ils sortent à l'air libre pour piloter le cerf-volant.</v>
      </c>
    </row>
    <row r="23408">
      <c r="A23408" s="4" t="s">
        <v>29461</v>
      </c>
      <c r="B23408" s="4" t="s">
        <v>29464</v>
      </c>
      <c r="C23408" s="5" t="str">
        <f>IFERROR(__xludf.DUMMYFUNCTION("GOOGLETRANSLATE(B23408,""en"",""fr"")"),"Le père tient le cerf-volant dans sa main tandis que le vent souffle fortement.")</f>
        <v>Le père tient le cerf-volant dans sa main tandis que le vent souffle fortement.</v>
      </c>
    </row>
    <row r="23409">
      <c r="A23409" s="4" t="s">
        <v>29461</v>
      </c>
      <c r="B23409" s="4" t="s">
        <v>29465</v>
      </c>
      <c r="C23409" s="5" t="str">
        <f>IFERROR(__xludf.DUMMYFUNCTION("GOOGLETRANSLATE(B23409,""en"",""fr"")"),"La fille tient la chaîne du cerf-volant et commence à piloter le cerf-volant en haut en l'air.")</f>
        <v>La fille tient la chaîne du cerf-volant et commence à piloter le cerf-volant en haut en l'air.</v>
      </c>
    </row>
    <row r="23410">
      <c r="A23410" s="4" t="s">
        <v>29466</v>
      </c>
      <c r="B23410" s="6" t="s">
        <v>29467</v>
      </c>
      <c r="C23410" s="5" t="str">
        <f>IFERROR(__xludf.DUMMYFUNCTION("GOOGLETRANSLATE(B23410,""en"",""fr"")"),"Un chef explique comment faire cuire une omelette avec des légumes et des épices, puis, le chef prend un plat et sert l'omelette avec de la laitue et du citron.")</f>
        <v>Un chef explique comment faire cuire une omelette avec des légumes et des épices, puis, le chef prend un plat et sert l'omelette avec de la laitue et du citron.</v>
      </c>
    </row>
    <row r="23411">
      <c r="A23411" s="4" t="s">
        <v>29466</v>
      </c>
      <c r="B23411" s="4" t="s">
        <v>29468</v>
      </c>
      <c r="C23411" s="5" t="str">
        <f>IFERROR(__xludf.DUMMYFUNCTION("GOOGLETRANSLATE(B23411,""en"",""fr"")"),"Un homme et une femme passent derrière le chef du restaurant.")</f>
        <v>Un homme et une femme passent derrière le chef du restaurant.</v>
      </c>
    </row>
    <row r="23412">
      <c r="A23412" s="4" t="s">
        <v>29466</v>
      </c>
      <c r="B23412" s="4" t="s">
        <v>29469</v>
      </c>
      <c r="C23412" s="5" t="str">
        <f>IFERROR(__xludf.DUMMYFUNCTION("GOOGLETRANSLATE(B23412,""en"",""fr"")"),"Un autre homme est assis dans une table, se lève et s'éloigne.")</f>
        <v>Un autre homme est assis dans une table, se lève et s'éloigne.</v>
      </c>
    </row>
    <row r="23413">
      <c r="A23413" s="4" t="s">
        <v>29466</v>
      </c>
      <c r="B23413" s="4" t="s">
        <v>29470</v>
      </c>
      <c r="C23413" s="5" t="str">
        <f>IFERROR(__xludf.DUMMYFUNCTION("GOOGLETRANSLATE(B23413,""en"",""fr"")"),"Une autre personne entre dans le restaurant et se tourne à gauche.")</f>
        <v>Une autre personne entre dans le restaurant et se tourne à gauche.</v>
      </c>
    </row>
    <row r="23414">
      <c r="A23414" s="4" t="s">
        <v>29471</v>
      </c>
      <c r="B23414" s="4" t="s">
        <v>29472</v>
      </c>
      <c r="C23414" s="5" t="str">
        <f>IFERROR(__xludf.DUMMYFUNCTION("GOOGLETRANSLATE(B23414,""en"",""fr"")"),"Un petit garçon est dans une cour, en utilisant un souffleur de feuilles.")</f>
        <v>Un petit garçon est dans une cour, en utilisant un souffleur de feuilles.</v>
      </c>
    </row>
    <row r="23415">
      <c r="A23415" s="4" t="s">
        <v>29471</v>
      </c>
      <c r="B23415" s="4" t="s">
        <v>29473</v>
      </c>
      <c r="C23415" s="5" t="str">
        <f>IFERROR(__xludf.DUMMYFUNCTION("GOOGLETRANSLATE(B23415,""en"",""fr"")"),"Une petite fille le rejoint bientôt, ratissant les feuilles.")</f>
        <v>Une petite fille le rejoint bientôt, ratissant les feuilles.</v>
      </c>
    </row>
    <row r="23416">
      <c r="A23416" s="4" t="s">
        <v>29474</v>
      </c>
      <c r="B23416" s="4" t="s">
        <v>29475</v>
      </c>
      <c r="C23416" s="5" t="str">
        <f>IFERROR(__xludf.DUMMYFUNCTION("GOOGLETRANSLATE(B23416,""en"",""fr"")"),"Un homme est vu penché pour se laver les mains quand un autre homme sort et lui parle.")</f>
        <v>Un homme est vu penché pour se laver les mains quand un autre homme sort et lui parle.</v>
      </c>
    </row>
    <row r="23417">
      <c r="A23417" s="4" t="s">
        <v>29474</v>
      </c>
      <c r="B23417" s="6" t="s">
        <v>29476</v>
      </c>
      <c r="C23417" s="5" t="str">
        <f>IFERROR(__xludf.DUMMYFUNCTION("GOOGLETRANSLATE(B23417,""en"",""fr"")"),"L'autre homme commence alors à se laver les mains avec du savon sous le robinet pendant que l'autre homme regarde.")</f>
        <v>L'autre homme commence alors à se laver les mains avec du savon sous le robinet pendant que l'autre homme regarde.</v>
      </c>
    </row>
    <row r="23418">
      <c r="A23418" s="4" t="s">
        <v>29474</v>
      </c>
      <c r="B23418" s="4" t="s">
        <v>29477</v>
      </c>
      <c r="C23418" s="5" t="str">
        <f>IFERROR(__xludf.DUMMYFUNCTION("GOOGLETRANSLATE(B23418,""en"",""fr"")"),"Il termine le lavage tandis que l'autre homme part et indique un troisième homme sortant de la stalle.")</f>
        <v>Il termine le lavage tandis que l'autre homme part et indique un troisième homme sortant de la stalle.</v>
      </c>
    </row>
    <row r="23419">
      <c r="A23419" s="4" t="s">
        <v>29478</v>
      </c>
      <c r="B23419" s="4" t="s">
        <v>29479</v>
      </c>
      <c r="C23419" s="5" t="str">
        <f>IFERROR(__xludf.DUMMYFUNCTION("GOOGLETRANSLATE(B23419,""en"",""fr"")"),"Les gens jouent à Beer Pong lors d'une fête.")</f>
        <v>Les gens jouent à Beer Pong lors d'une fête.</v>
      </c>
    </row>
    <row r="23420">
      <c r="A23420" s="4" t="s">
        <v>29478</v>
      </c>
      <c r="B23420" s="4" t="s">
        <v>29480</v>
      </c>
      <c r="C23420" s="5" t="str">
        <f>IFERROR(__xludf.DUMMYFUNCTION("GOOGLETRANSLATE(B23420,""en"",""fr"")"),"Les gens boivent des boissons à la table.")</f>
        <v>Les gens boivent des boissons à la table.</v>
      </c>
    </row>
    <row r="23421">
      <c r="A23421" s="4" t="s">
        <v>29478</v>
      </c>
      <c r="B23421" s="4" t="s">
        <v>29481</v>
      </c>
      <c r="C23421" s="5" t="str">
        <f>IFERROR(__xludf.DUMMYFUNCTION("GOOGLETRANSLATE(B23421,""en"",""fr"")"),"Un verre de bière est montré.")</f>
        <v>Un verre de bière est montré.</v>
      </c>
    </row>
    <row r="23422">
      <c r="A23422" s="4" t="s">
        <v>29482</v>
      </c>
      <c r="B23422" s="4" t="s">
        <v>29483</v>
      </c>
      <c r="C23422" s="5" t="str">
        <f>IFERROR(__xludf.DUMMYFUNCTION("GOOGLETRANSLATE(B23422,""en"",""fr"")"),"Un homme est vu jeter une fléchette sur une planche et mène à une femme parlant.")</f>
        <v>Un homme est vu jeter une fléchette sur une planche et mène à une femme parlant.</v>
      </c>
    </row>
    <row r="23423">
      <c r="A23423" s="4" t="s">
        <v>29482</v>
      </c>
      <c r="B23423" s="4" t="s">
        <v>29484</v>
      </c>
      <c r="C23423" s="5" t="str">
        <f>IFERROR(__xludf.DUMMYFUNCTION("GOOGLETRANSLATE(B23423,""en"",""fr"")"),"L'homme lance plusieurs autres fléchettes tout en prenant le temps de parler à la femme.")</f>
        <v>L'homme lance plusieurs autres fléchettes tout en prenant le temps de parler à la femme.</v>
      </c>
    </row>
    <row r="23424">
      <c r="A23424" s="4" t="s">
        <v>29482</v>
      </c>
      <c r="B23424" s="6" t="s">
        <v>29485</v>
      </c>
      <c r="C23424" s="5" t="str">
        <f>IFERROR(__xludf.DUMMYFUNCTION("GOOGLETRANSLATE(B23424,""en"",""fr"")"),"Plus de gens sont montrés en lançant des fléchettes tandis que les deux continuent de parler et l'homme pointe vers le conseil d'administration.")</f>
        <v>Plus de gens sont montrés en lançant des fléchettes tandis que les deux continuent de parler et l'homme pointe vers le conseil d'administration.</v>
      </c>
    </row>
    <row r="23425">
      <c r="A23425" s="4" t="s">
        <v>29486</v>
      </c>
      <c r="B23425" s="6" t="s">
        <v>29487</v>
      </c>
      <c r="C23425" s="5" t="str">
        <f>IFERROR(__xludf.DUMMYFUNCTION("GOOGLETRANSLATE(B23425,""en"",""fr"")"),"La caméra se déroule autour de plusieurs groupes de personnes en train de jouer des arts martiaux les uns autour des autres ainsi que des gens qui se promènent et regardent.")</f>
        <v>La caméra se déroule autour de plusieurs groupes de personnes en train de jouer des arts martiaux les uns autour des autres ainsi que des gens qui se promènent et regardent.</v>
      </c>
    </row>
    <row r="23426">
      <c r="A23426" s="4" t="s">
        <v>29486</v>
      </c>
      <c r="B23426" s="6" t="s">
        <v>29488</v>
      </c>
      <c r="C23426" s="5" t="str">
        <f>IFERROR(__xludf.DUMMYFUNCTION("GOOGLETRANSLATE(B23426,""en"",""fr"")"),"De nombreux coups sont montrés des gens qui dansent et chantent ainsi que les arts martiaux dans les rues et s'entraident.")</f>
        <v>De nombreux coups sont montrés des gens qui dansent et chantent ainsi que les arts martiaux dans les rues et s'entraident.</v>
      </c>
    </row>
    <row r="23427">
      <c r="A23427" s="4" t="s">
        <v>29486</v>
      </c>
      <c r="B23427" s="6" t="s">
        <v>29489</v>
      </c>
      <c r="C23427" s="5" t="str">
        <f>IFERROR(__xludf.DUMMYFUNCTION("GOOGLETRANSLATE(B23427,""en"",""fr"")"),"Les gens sont vus jouer des instruments, lire les nouvelles et interpréter des arts martiaux dans toute la rue.")</f>
        <v>Les gens sont vus jouer des instruments, lire les nouvelles et interpréter des arts martiaux dans toute la rue.</v>
      </c>
    </row>
    <row r="23428">
      <c r="A23428" s="4" t="s">
        <v>29490</v>
      </c>
      <c r="B23428" s="4" t="s">
        <v>29491</v>
      </c>
      <c r="C23428" s="5" t="str">
        <f>IFERROR(__xludf.DUMMYFUNCTION("GOOGLETRANSLATE(B23428,""en"",""fr"")"),"Une personne joue du tam-tam dans une pièce, l'homme joue principalement sur le tam- tam sur le bourdonnement avant.")</f>
        <v>Une personne joue du tam-tam dans une pièce, l'homme joue principalement sur le tam- tam sur le bourdonnement avant.</v>
      </c>
    </row>
    <row r="23429">
      <c r="A23429" s="4" t="s">
        <v>29490</v>
      </c>
      <c r="B23429" s="4" t="s">
        <v>29492</v>
      </c>
      <c r="C23429" s="5" t="str">
        <f>IFERROR(__xludf.DUMMYFUNCTION("GOOGLETRANSLATE(B23429,""en"",""fr"")"),"Une main passe devant l'écran.")</f>
        <v>Une main passe devant l'écran.</v>
      </c>
    </row>
    <row r="23430">
      <c r="A23430" s="4" t="s">
        <v>29490</v>
      </c>
      <c r="B23430" s="4" t="s">
        <v>29493</v>
      </c>
      <c r="C23430" s="5" t="str">
        <f>IFERROR(__xludf.DUMMYFUNCTION("GOOGLETRANSLATE(B23430,""en"",""fr"")"),"La personne étend son bras sur le tam-tam.")</f>
        <v>La personne étend son bras sur le tam-tam.</v>
      </c>
    </row>
    <row r="23431">
      <c r="A23431" s="4" t="s">
        <v>29494</v>
      </c>
      <c r="B23431" s="4" t="s">
        <v>29495</v>
      </c>
      <c r="C23431" s="5" t="str">
        <f>IFERROR(__xludf.DUMMYFUNCTION("GOOGLETRANSLATE(B23431,""en"",""fr"")"),"Un homme saute du cheval brun et il lassos le taureau au sol au début.")</f>
        <v>Un homme saute du cheval brun et il lassos le taureau au sol au début.</v>
      </c>
    </row>
    <row r="23432">
      <c r="A23432" s="4" t="s">
        <v>29494</v>
      </c>
      <c r="B23432" s="4" t="s">
        <v>29496</v>
      </c>
      <c r="C23432" s="5" t="str">
        <f>IFERROR(__xludf.DUMMYFUNCTION("GOOGLETRANSLATE(B23432,""en"",""fr"")"),"Puis il monte sur un autre cheval et il lassos un taureau plus grand que le dernier au sol.")</f>
        <v>Puis il monte sur un autre cheval et il lassos un taureau plus grand que le dernier au sol.</v>
      </c>
    </row>
    <row r="23433">
      <c r="A23433" s="4" t="s">
        <v>29494</v>
      </c>
      <c r="B23433" s="4" t="s">
        <v>29497</v>
      </c>
      <c r="C23433" s="5" t="str">
        <f>IFERROR(__xludf.DUMMYFUNCTION("GOOGLETRANSLATE(B23433,""en"",""fr"")"),"Quand il a fini de lier les jambes du taureau ensemble, il se lève et s'éloigne.")</f>
        <v>Quand il a fini de lier les jambes du taureau ensemble, il se lève et s'éloigne.</v>
      </c>
    </row>
    <row r="23434">
      <c r="A23434" s="4" t="s">
        <v>29498</v>
      </c>
      <c r="B23434" s="4" t="s">
        <v>29499</v>
      </c>
      <c r="C23434" s="5" t="str">
        <f>IFERROR(__xludf.DUMMYFUNCTION("GOOGLETRANSLATE(B23434,""en"",""fr"")"),"Un jeu de cricket se joue entre deux équipes devant une foule de personnes.")</f>
        <v>Un jeu de cricket se joue entre deux équipes devant une foule de personnes.</v>
      </c>
    </row>
    <row r="23435">
      <c r="A23435" s="4" t="s">
        <v>29498</v>
      </c>
      <c r="B23435" s="4" t="s">
        <v>29500</v>
      </c>
      <c r="C23435" s="5" t="str">
        <f>IFERROR(__xludf.DUMMYFUNCTION("GOOGLETRANSLATE(B23435,""en"",""fr"")"),"La première pièce est faite et les commentateurs racontent la pièce.")</f>
        <v>La première pièce est faite et les commentateurs racontent la pièce.</v>
      </c>
    </row>
    <row r="23436">
      <c r="A23436" s="4" t="s">
        <v>29498</v>
      </c>
      <c r="B23436" s="4" t="s">
        <v>29501</v>
      </c>
      <c r="C23436" s="5" t="str">
        <f>IFERROR(__xludf.DUMMYFUNCTION("GOOGLETRANSLATE(B23436,""en"",""fr"")"),"Ensuite, une rediffusion de la pièce précédente est lancée pendant que les commentateurs le racontent.")</f>
        <v>Ensuite, une rediffusion de la pièce précédente est lancée pendant que les commentateurs le racontent.</v>
      </c>
    </row>
    <row r="23437">
      <c r="A23437" s="4" t="s">
        <v>29498</v>
      </c>
      <c r="B23437" s="4" t="s">
        <v>29502</v>
      </c>
      <c r="C23437" s="5" t="str">
        <f>IFERROR(__xludf.DUMMYFUNCTION("GOOGLETRANSLATE(B23437,""en"",""fr"")"),"La caméra coupe un homme en riant d'une erreur commise dans le jeu.")</f>
        <v>La caméra coupe un homme en riant d'une erreur commise dans le jeu.</v>
      </c>
    </row>
    <row r="23438">
      <c r="A23438" s="4" t="s">
        <v>29503</v>
      </c>
      <c r="B23438" s="4" t="s">
        <v>29504</v>
      </c>
      <c r="C23438" s="5" t="str">
        <f>IFERROR(__xludf.DUMMYFUNCTION("GOOGLETRANSLATE(B23438,""en"",""fr"")"),"La vidéo mène à plusieurs clips de personnes effectuant des astuces de skateboard dans les lieux publics.")</f>
        <v>La vidéo mène à plusieurs clips de personnes effectuant des astuces de skateboard dans les lieux publics.</v>
      </c>
    </row>
    <row r="23439">
      <c r="A23439" s="4" t="s">
        <v>29503</v>
      </c>
      <c r="B23439" s="4" t="s">
        <v>29505</v>
      </c>
      <c r="C23439" s="5" t="str">
        <f>IFERROR(__xludf.DUMMYFUNCTION("GOOGLETRANSLATE(B23439,""en"",""fr"")"),"Beaucoup plus de clips sont représentés des personnes qui roulent sur des planches à roulettes faisant des flips et des astuces.")</f>
        <v>Beaucoup plus de clips sont représentés des personnes qui roulent sur des planches à roulettes faisant des flips et des astuces.</v>
      </c>
    </row>
    <row r="23440">
      <c r="A23440" s="4" t="s">
        <v>29506</v>
      </c>
      <c r="B23440" s="4" t="s">
        <v>29507</v>
      </c>
      <c r="C23440" s="5" t="str">
        <f>IFERROR(__xludf.DUMMYFUNCTION("GOOGLETRANSLATE(B23440,""en"",""fr"")"),"L'éléphant marche dans un petit puits d'eau jouant avec une balle.")</f>
        <v>L'éléphant marche dans un petit puits d'eau jouant avec une balle.</v>
      </c>
    </row>
    <row r="23441">
      <c r="A23441" s="4" t="s">
        <v>29506</v>
      </c>
      <c r="B23441" s="4" t="s">
        <v>29508</v>
      </c>
      <c r="C23441" s="5" t="str">
        <f>IFERROR(__xludf.DUMMYFUNCTION("GOOGLETRANSLATE(B23441,""en"",""fr"")"),"La femme parle dans la caméra et l'éléphant est à nouveau dans l'eau qui joue avec le ballon.")</f>
        <v>La femme parle dans la caméra et l'éléphant est à nouveau dans l'eau qui joue avec le ballon.</v>
      </c>
    </row>
    <row r="23442">
      <c r="A23442" s="4" t="s">
        <v>29506</v>
      </c>
      <c r="B23442" s="4" t="s">
        <v>29509</v>
      </c>
      <c r="C23442" s="5" t="str">
        <f>IFERROR(__xludf.DUMMYFUNCTION("GOOGLETRANSLATE(B23442,""en"",""fr"")"),"Little Elephant joue avec une grosse boule bleue.")</f>
        <v>Little Elephant joue avec une grosse boule bleue.</v>
      </c>
    </row>
    <row r="23443">
      <c r="A23443" s="4" t="s">
        <v>29510</v>
      </c>
      <c r="B23443" s="4" t="s">
        <v>29511</v>
      </c>
      <c r="C23443" s="5" t="str">
        <f>IFERROR(__xludf.DUMMYFUNCTION("GOOGLETRANSLATE(B23443,""en"",""fr"")"),"Une fille se tient dans un évier, lave la vaisselle et joue dans l'eau.")</f>
        <v>Une fille se tient dans un évier, lave la vaisselle et joue dans l'eau.</v>
      </c>
    </row>
    <row r="23444">
      <c r="A23444" s="4" t="s">
        <v>29510</v>
      </c>
      <c r="B23444" s="4" t="s">
        <v>29512</v>
      </c>
      <c r="C23444" s="5" t="str">
        <f>IFERROR(__xludf.DUMMYFUNCTION("GOOGLETRANSLATE(B23444,""en"",""fr"")"),"Elle sourit alors qu'elle rince un bol en plastique.")</f>
        <v>Elle sourit alors qu'elle rince un bol en plastique.</v>
      </c>
    </row>
    <row r="23445">
      <c r="A23445" s="4" t="s">
        <v>29510</v>
      </c>
      <c r="B23445" s="4" t="s">
        <v>29513</v>
      </c>
      <c r="C23445" s="5" t="str">
        <f>IFERROR(__xludf.DUMMYFUNCTION("GOOGLETRANSLATE(B23445,""en"",""fr"")"),"Elle se dirige vers la caméra en train de parler et de rire avant de quitter la pièce avec son frère.")</f>
        <v>Elle se dirige vers la caméra en train de parler et de rire avant de quitter la pièce avec son frère.</v>
      </c>
    </row>
    <row r="23446">
      <c r="A23446" s="4" t="s">
        <v>29514</v>
      </c>
      <c r="B23446" s="4" t="s">
        <v>1487</v>
      </c>
      <c r="C23446" s="5" t="str">
        <f>IFERROR(__xludf.DUMMYFUNCTION("GOOGLETRANSLATE(B23446,""en"",""fr"")"),"Nous voyons un écran de titre d'ouverture.")</f>
        <v>Nous voyons un écran de titre d'ouverture.</v>
      </c>
    </row>
    <row r="23447">
      <c r="A23447" s="4" t="s">
        <v>29514</v>
      </c>
      <c r="B23447" s="4" t="s">
        <v>29515</v>
      </c>
      <c r="C23447" s="5" t="str">
        <f>IFERROR(__xludf.DUMMYFUNCTION("GOOGLETRANSLATE(B23447,""en"",""fr"")"),"Un homme met un tas de guimauves dans sa bouche.")</f>
        <v>Un homme met un tas de guimauves dans sa bouche.</v>
      </c>
    </row>
    <row r="23448">
      <c r="A23448" s="4" t="s">
        <v>29514</v>
      </c>
      <c r="B23448" s="4" t="s">
        <v>29516</v>
      </c>
      <c r="C23448" s="5" t="str">
        <f>IFERROR(__xludf.DUMMYFUNCTION("GOOGLETRANSLATE(B23448,""en"",""fr"")"),"Un homme fait un feu de camp et des pointes clignotent sur l'écran.")</f>
        <v>Un homme fait un feu de camp et des pointes clignotent sur l'écran.</v>
      </c>
    </row>
    <row r="23449">
      <c r="A23449" s="4" t="s">
        <v>29514</v>
      </c>
      <c r="B23449" s="4" t="s">
        <v>29517</v>
      </c>
      <c r="C23449" s="5" t="str">
        <f>IFERROR(__xludf.DUMMYFUNCTION("GOOGLETRANSLATE(B23449,""en"",""fr"")"),"L'homme creuse un trou a mis des rochers autour et de rassembler du bois de chauffage.")</f>
        <v>L'homme creuse un trou a mis des rochers autour et de rassembler du bois de chauffage.</v>
      </c>
    </row>
    <row r="23450">
      <c r="A23450" s="4" t="s">
        <v>29514</v>
      </c>
      <c r="B23450" s="4" t="s">
        <v>29518</v>
      </c>
      <c r="C23450" s="5" t="str">
        <f>IFERROR(__xludf.DUMMYFUNCTION("GOOGLETRANSLATE(B23450,""en"",""fr"")"),"Il met le bois dans un triangle dans la fosse et se connecte à l'extérieur.")</f>
        <v>Il met le bois dans un triangle dans la fosse et se connecte à l'extérieur.</v>
      </c>
    </row>
    <row r="23451">
      <c r="A23451" s="4" t="s">
        <v>29514</v>
      </c>
      <c r="B23451" s="4" t="s">
        <v>29519</v>
      </c>
      <c r="C23451" s="5" t="str">
        <f>IFERROR(__xludf.DUMMYFUNCTION("GOOGLETRANSLATE(B23451,""en"",""fr"")"),"L'homme allume le feu et ajoute quelques morceaux de bois supplémentaires.")</f>
        <v>L'homme allume le feu et ajoute quelques morceaux de bois supplémentaires.</v>
      </c>
    </row>
    <row r="23452">
      <c r="A23452" s="4" t="s">
        <v>29514</v>
      </c>
      <c r="B23452" s="4" t="s">
        <v>777</v>
      </c>
      <c r="C23452" s="5" t="str">
        <f>IFERROR(__xludf.DUMMYFUNCTION("GOOGLETRANSLATE(B23452,""en"",""fr"")"),"Nous voyons l'écran du titre de fin.")</f>
        <v>Nous voyons l'écran du titre de fin.</v>
      </c>
    </row>
    <row r="23453">
      <c r="A23453" s="4" t="s">
        <v>29520</v>
      </c>
      <c r="B23453" s="4" t="s">
        <v>29521</v>
      </c>
      <c r="C23453" s="5" t="str">
        <f>IFERROR(__xludf.DUMMYFUNCTION("GOOGLETRANSLATE(B23453,""en"",""fr"")"),"L'homme se tient devant un miroir tenant une caméra.")</f>
        <v>L'homme se tient devant un miroir tenant une caméra.</v>
      </c>
    </row>
    <row r="23454">
      <c r="A23454" s="4" t="s">
        <v>29520</v>
      </c>
      <c r="B23454" s="6" t="s">
        <v>29522</v>
      </c>
      <c r="C23454" s="5" t="str">
        <f>IFERROR(__xludf.DUMMYFUNCTION("GOOGLETRANSLATE(B23454,""en"",""fr"")"),"La femme entre dans la salle de bain en train de s'occuper d'un chat blanc et l'homme s'agenouille pour que le chat puisse se tenir sur le dos.")</f>
        <v>La femme entre dans la salle de bain en train de s'occuper d'un chat blanc et l'homme s'agenouille pour que le chat puisse se tenir sur le dos.</v>
      </c>
    </row>
    <row r="23455">
      <c r="A23455" s="4" t="s">
        <v>29520</v>
      </c>
      <c r="B23455" s="6" t="s">
        <v>29523</v>
      </c>
      <c r="C23455" s="5" t="str">
        <f>IFERROR(__xludf.DUMMYFUNCTION("GOOGLETRANSLATE(B23455,""en"",""fr"")"),"La femme quitte la salle de bain et l'homme continue d'enregistrer en faisant des poses devant la caméra et se parle dans le miroir.")</f>
        <v>La femme quitte la salle de bain et l'homme continue d'enregistrer en faisant des poses devant la caméra et se parle dans le miroir.</v>
      </c>
    </row>
    <row r="23456">
      <c r="A23456" s="4" t="s">
        <v>29520</v>
      </c>
      <c r="B23456" s="4" t="s">
        <v>29524</v>
      </c>
      <c r="C23456" s="5" t="str">
        <f>IFERROR(__xludf.DUMMYFUNCTION("GOOGLETRANSLATE(B23456,""en"",""fr"")"),"L'homme entre dans la chambre et la femme est assise dans le lit en tenant le chat.")</f>
        <v>L'homme entre dans la chambre et la femme est assise dans le lit en tenant le chat.</v>
      </c>
    </row>
    <row r="23457">
      <c r="A23457" s="4" t="s">
        <v>29520</v>
      </c>
      <c r="B23457" s="6" t="s">
        <v>29525</v>
      </c>
      <c r="C23457" s="5" t="str">
        <f>IFERROR(__xludf.DUMMYFUNCTION("GOOGLETRANSLATE(B23457,""en"",""fr"")"),"L'homme est à nouveau dans la salle de bain tenant un couteau et la femme entre dans la pièce avec un écharpe du dos autour de sa tête.")</f>
        <v>L'homme est à nouveau dans la salle de bain tenant un couteau et la femme entre dans la pièce avec un écharpe du dos autour de sa tête.</v>
      </c>
    </row>
    <row r="23458">
      <c r="A23458" s="4" t="s">
        <v>29520</v>
      </c>
      <c r="B23458" s="4" t="s">
        <v>29526</v>
      </c>
      <c r="C23458" s="5" t="str">
        <f>IFERROR(__xludf.DUMMYFUNCTION("GOOGLETRANSLATE(B23458,""en"",""fr"")"),"Ils conduisent la voiture et sont garés dans un parking enneigé.")</f>
        <v>Ils conduisent la voiture et sont garés dans un parking enneigé.</v>
      </c>
    </row>
    <row r="23459">
      <c r="A23459" s="4" t="s">
        <v>29520</v>
      </c>
      <c r="B23459" s="4" t="s">
        <v>29527</v>
      </c>
      <c r="C23459" s="5" t="str">
        <f>IFERROR(__xludf.DUMMYFUNCTION("GOOGLETRANSLATE(B23459,""en"",""fr"")"),"Ils s'enfoncent dans un restaurant et part et se rendent à nouveau à la voiture.")</f>
        <v>Ils s'enfoncent dans un restaurant et part et se rendent à nouveau à la voiture.</v>
      </c>
    </row>
    <row r="23460">
      <c r="A23460" s="4" t="s">
        <v>29520</v>
      </c>
      <c r="B23460" s="6" t="s">
        <v>29528</v>
      </c>
      <c r="C23460" s="5" t="str">
        <f>IFERROR(__xludf.DUMMYFUNCTION("GOOGLETRANSLATE(B23460,""en"",""fr"")"),"La femme monte dans la voiture et l'homme ouvre la porte et attrape un petit pinceau et nettoie le pare-brise et la femme fait de même et joue avec l'homme.")</f>
        <v>La femme monte dans la voiture et l'homme ouvre la porte et attrape un petit pinceau et nettoie le pare-brise et la femme fait de même et joue avec l'homme.</v>
      </c>
    </row>
    <row r="23461">
      <c r="A23461" s="4" t="s">
        <v>29529</v>
      </c>
      <c r="B23461" s="6" t="s">
        <v>29530</v>
      </c>
      <c r="C23461" s="5" t="str">
        <f>IFERROR(__xludf.DUMMYFUNCTION("GOOGLETRANSLATE(B23461,""en"",""fr"")"),"Une femme est vue en poussant une rondelle le long de la glace avec d'autres, suivie d'un homme parlant à la caméra.")</f>
        <v>Une femme est vue en poussant une rondelle le long de la glace avec d'autres, suivie d'un homme parlant à la caméra.</v>
      </c>
    </row>
    <row r="23462">
      <c r="A23462" s="4" t="s">
        <v>29529</v>
      </c>
      <c r="B23462" s="6" t="s">
        <v>29531</v>
      </c>
      <c r="C23462" s="5" t="str">
        <f>IFERROR(__xludf.DUMMYFUNCTION("GOOGLETRANSLATE(B23462,""en"",""fr"")"),"Plus de clips sont montrés des personnes qui se recroquevillent sur la glace tandis que l'homme continue de parler à la caméra et le jeu est montré au ralenti.")</f>
        <v>Plus de clips sont montrés des personnes qui se recroquevillent sur la glace tandis que l'homme continue de parler à la caméra et le jeu est montré au ralenti.</v>
      </c>
    </row>
    <row r="23463">
      <c r="A23463" s="4" t="s">
        <v>29532</v>
      </c>
      <c r="B23463" s="4" t="s">
        <v>29533</v>
      </c>
      <c r="C23463" s="5" t="str">
        <f>IFERROR(__xludf.DUMMYFUNCTION("GOOGLETRANSLATE(B23463,""en"",""fr"")"),"La femme porte une chemise rouge et se tient à parler à la caméra dans une salle blanche.")</f>
        <v>La femme porte une chemise rouge et se tient à parler à la caméra dans une salle blanche.</v>
      </c>
    </row>
    <row r="23464">
      <c r="A23464" s="4" t="s">
        <v>29532</v>
      </c>
      <c r="B23464" s="4" t="s">
        <v>29534</v>
      </c>
      <c r="C23464" s="5" t="str">
        <f>IFERROR(__xludf.DUMMYFUNCTION("GOOGLETRANSLATE(B23464,""en"",""fr"")"),"La femme commence à danser des pas de salsa sur un terrain en bois.")</f>
        <v>La femme commence à danser des pas de salsa sur un terrain en bois.</v>
      </c>
    </row>
    <row r="23465">
      <c r="A23465" s="4" t="s">
        <v>29532</v>
      </c>
      <c r="B23465" s="4" t="s">
        <v>29535</v>
      </c>
      <c r="C23465" s="5" t="str">
        <f>IFERROR(__xludf.DUMMYFUNCTION("GOOGLETRANSLATE(B23465,""en"",""fr"")"),"La femme fait des marches de samba secouant son corps d'un côté à l'autre.")</f>
        <v>La femme fait des marches de samba secouant son corps d'un côté à l'autre.</v>
      </c>
    </row>
    <row r="23466">
      <c r="A23466" s="4" t="s">
        <v>29536</v>
      </c>
      <c r="B23466" s="4" t="s">
        <v>29537</v>
      </c>
      <c r="C23466" s="5" t="str">
        <f>IFERROR(__xludf.DUMMYFUNCTION("GOOGLETRANSLATE(B23466,""en"",""fr"")"),"Une intro montre une coupe-haie.")</f>
        <v>Une intro montre une coupe-haie.</v>
      </c>
    </row>
    <row r="23467">
      <c r="A23467" s="4" t="s">
        <v>29536</v>
      </c>
      <c r="B23467" s="4" t="s">
        <v>29538</v>
      </c>
      <c r="C23467" s="5" t="str">
        <f>IFERROR(__xludf.DUMMYFUNCTION("GOOGLETRANSLATE(B23467,""en"",""fr"")"),"Une femme être pour parler de la coupe-haie.")</f>
        <v>Une femme être pour parler de la coupe-haie.</v>
      </c>
    </row>
    <row r="23468">
      <c r="A23468" s="4" t="s">
        <v>29536</v>
      </c>
      <c r="B23468" s="4" t="s">
        <v>29539</v>
      </c>
      <c r="C23468" s="5" t="str">
        <f>IFERROR(__xludf.DUMMYFUNCTION("GOOGLETRANSLATE(B23468,""en"",""fr"")"),"Le produit est montré en action, réduisant un buisson.")</f>
        <v>Le produit est montré en action, réduisant un buisson.</v>
      </c>
    </row>
    <row r="23469">
      <c r="A23469" s="4" t="s">
        <v>29536</v>
      </c>
      <c r="B23469" s="4" t="s">
        <v>29540</v>
      </c>
      <c r="C23469" s="5" t="str">
        <f>IFERROR(__xludf.DUMMYFUNCTION("GOOGLETRANSLATE(B23469,""en"",""fr"")"),"La femme montre la lame et le chargeur.")</f>
        <v>La femme montre la lame et le chargeur.</v>
      </c>
    </row>
    <row r="23470">
      <c r="A23470" s="4" t="s">
        <v>29536</v>
      </c>
      <c r="B23470" s="4" t="s">
        <v>29541</v>
      </c>
      <c r="C23470" s="5" t="str">
        <f>IFERROR(__xludf.DUMMYFUNCTION("GOOGLETRANSLATE(B23470,""en"",""fr"")"),"Nous voyons à nouveau le produit utilisé.")</f>
        <v>Nous voyons à nouveau le produit utilisé.</v>
      </c>
    </row>
    <row r="23471">
      <c r="A23471" s="4" t="s">
        <v>29536</v>
      </c>
      <c r="B23471" s="4" t="s">
        <v>29542</v>
      </c>
      <c r="C23471" s="5" t="str">
        <f>IFERROR(__xludf.DUMMYFUNCTION("GOOGLETRANSLATE(B23471,""en"",""fr"")"),"La femme montre la poignée de confort.")</f>
        <v>La femme montre la poignée de confort.</v>
      </c>
    </row>
    <row r="23472">
      <c r="A23472" s="4" t="s">
        <v>29536</v>
      </c>
      <c r="B23472" s="4" t="s">
        <v>29543</v>
      </c>
      <c r="C23472" s="5" t="str">
        <f>IFERROR(__xludf.DUMMYFUNCTION("GOOGLETRANSLATE(B23472,""en"",""fr"")"),"La femme explique comment commander le produit.")</f>
        <v>La femme explique comment commander le produit.</v>
      </c>
    </row>
    <row r="23473">
      <c r="A23473" s="4" t="s">
        <v>29544</v>
      </c>
      <c r="B23473" s="4" t="s">
        <v>29545</v>
      </c>
      <c r="C23473" s="5" t="str">
        <f>IFERROR(__xludf.DUMMYFUNCTION("GOOGLETRANSLATE(B23473,""en"",""fr"")"),"Un homme est vu debout près de l'eau tenant une hache dans une main et un bloc de bois dans l'autre.")</f>
        <v>Un homme est vu debout près de l'eau tenant une hache dans une main et un bloc de bois dans l'autre.</v>
      </c>
    </row>
    <row r="23474">
      <c r="A23474" s="4" t="s">
        <v>29544</v>
      </c>
      <c r="B23474" s="6" t="s">
        <v>29546</v>
      </c>
      <c r="C23474" s="5" t="str">
        <f>IFERROR(__xludf.DUMMYFUNCTION("GOOGLETRANSLATE(B23474,""en"",""fr"")"),"L'homme continue de couper du bois tandis que la caméra se met à d'autres personnes dans la pièce et à une femme parlant à la caméra.")</f>
        <v>L'homme continue de couper du bois tandis que la caméra se met à d'autres personnes dans la pièce et à une femme parlant à la caméra.</v>
      </c>
    </row>
    <row r="23475">
      <c r="A23475" s="4" t="s">
        <v>29547</v>
      </c>
      <c r="B23475" s="4" t="s">
        <v>29548</v>
      </c>
      <c r="C23475" s="5" t="str">
        <f>IFERROR(__xludf.DUMMYFUNCTION("GOOGLETRANSLATE(B23475,""en"",""fr"")"),"Une athlète féminine est dans un champ et elle commence à lancer un lancer du poids.")</f>
        <v>Une athlète féminine est dans un champ et elle commence à lancer un lancer du poids.</v>
      </c>
    </row>
    <row r="23476">
      <c r="A23476" s="4" t="s">
        <v>29547</v>
      </c>
      <c r="B23476" s="6" t="s">
        <v>29549</v>
      </c>
      <c r="C23476" s="5" t="str">
        <f>IFERROR(__xludf.DUMMYFUNCTION("GOOGLETRANSLATE(B23476,""en"",""fr"")"),"La dame tourne et tourne au ralenti lorsque les mots sont montrés en haut décrivant chaque phase nécessaire pour lancer un coup de poids avec succès.")</f>
        <v>La dame tourne et tourne au ralenti lorsque les mots sont montrés en haut décrivant chaque phase nécessaire pour lancer un coup de poids avec succès.</v>
      </c>
    </row>
    <row r="23477">
      <c r="A23477" s="4" t="s">
        <v>29550</v>
      </c>
      <c r="B23477" s="4" t="s">
        <v>29551</v>
      </c>
      <c r="C23477" s="5" t="str">
        <f>IFERROR(__xludf.DUMMYFUNCTION("GOOGLETRANSLATE(B23477,""en"",""fr"")"),"Nous voyons un homme exécuter lentement le Tai Chi.")</f>
        <v>Nous voyons un homme exécuter lentement le Tai Chi.</v>
      </c>
    </row>
    <row r="23478">
      <c r="A23478" s="4" t="s">
        <v>29550</v>
      </c>
      <c r="B23478" s="4" t="s">
        <v>29552</v>
      </c>
      <c r="C23478" s="5" t="str">
        <f>IFERROR(__xludf.DUMMYFUNCTION("GOOGLETRANSLATE(B23478,""en"",""fr"")"),"Une bannière blanche circule en bas.")</f>
        <v>Une bannière blanche circule en bas.</v>
      </c>
    </row>
    <row r="23479">
      <c r="A23479" s="4" t="s">
        <v>29550</v>
      </c>
      <c r="B23479" s="4" t="s">
        <v>29553</v>
      </c>
      <c r="C23479" s="5" t="str">
        <f>IFERROR(__xludf.DUMMYFUNCTION("GOOGLETRANSLATE(B23479,""en"",""fr"")"),"L'homme lève les jambes devant lui puis se lance.")</f>
        <v>L'homme lève les jambes devant lui puis se lance.</v>
      </c>
    </row>
    <row r="23480">
      <c r="A23480" s="4" t="s">
        <v>29550</v>
      </c>
      <c r="B23480" s="4" t="s">
        <v>29554</v>
      </c>
      <c r="C23480" s="5" t="str">
        <f>IFERROR(__xludf.DUMMYFUNCTION("GOOGLETRANSLATE(B23480,""en"",""fr"")"),"L'homme s'arrête et se tient immobile.")</f>
        <v>L'homme s'arrête et se tient immobile.</v>
      </c>
    </row>
    <row r="23481">
      <c r="A23481" s="4" t="s">
        <v>29555</v>
      </c>
      <c r="B23481" s="4" t="s">
        <v>29556</v>
      </c>
      <c r="C23481" s="5" t="str">
        <f>IFERROR(__xludf.DUMMYFUNCTION("GOOGLETRANSLATE(B23481,""en"",""fr"")"),"Une femme est vue en train de tirer un équipement d'exercice tout en luttant pour le faire bouger.")</f>
        <v>Une femme est vue en train de tirer un équipement d'exercice tout en luttant pour le faire bouger.</v>
      </c>
    </row>
    <row r="23482">
      <c r="A23482" s="4" t="s">
        <v>29555</v>
      </c>
      <c r="B23482" s="4" t="s">
        <v>29557</v>
      </c>
      <c r="C23482" s="5" t="str">
        <f>IFERROR(__xludf.DUMMYFUNCTION("GOOGLETRANSLATE(B23482,""en"",""fr"")"),"Elle déplace le tapis sous elle et peut ensuite tirer la barre en arrière et quatrième vers elle.")</f>
        <v>Elle déplace le tapis sous elle et peut ensuite tirer la barre en arrière et quatrième vers elle.</v>
      </c>
    </row>
    <row r="23483">
      <c r="A23483" s="4" t="s">
        <v>29558</v>
      </c>
      <c r="B23483" s="4" t="s">
        <v>29559</v>
      </c>
      <c r="C23483" s="5" t="str">
        <f>IFERROR(__xludf.DUMMYFUNCTION("GOOGLETRANSLATE(B23483,""en"",""fr"")"),"Un jeune homme dans un festival en plein air fait des tours d'angle devant une foule.")</f>
        <v>Un jeune homme dans un festival en plein air fait des tours d'angle devant une foule.</v>
      </c>
    </row>
    <row r="23484">
      <c r="A23484" s="4" t="s">
        <v>29558</v>
      </c>
      <c r="B23484" s="6" t="s">
        <v>29560</v>
      </c>
      <c r="C23484" s="5" t="str">
        <f>IFERROR(__xludf.DUMMYFUNCTION("GOOGLETRANSLATE(B23484,""en"",""fr"")"),"Le jeune homme fait divers trucs de rebond et d'équilibrage sur une corde serrée à quelques mètres au-dessus des tapis noirs.")</f>
        <v>Le jeune homme fait divers trucs de rebond et d'équilibrage sur une corde serrée à quelques mètres au-dessus des tapis noirs.</v>
      </c>
    </row>
    <row r="23485">
      <c r="A23485" s="4" t="s">
        <v>29558</v>
      </c>
      <c r="B23485" s="4" t="s">
        <v>29561</v>
      </c>
      <c r="C23485" s="5" t="str">
        <f>IFERROR(__xludf.DUMMYFUNCTION("GOOGLETRANSLATE(B23485,""en"",""fr"")"),"Le se détache de la corde et marche sur les tapis du sol et vers son groupe.")</f>
        <v>Le se détache de la corde et marche sur les tapis du sol et vers son groupe.</v>
      </c>
    </row>
    <row r="23486">
      <c r="A23486" s="4" t="s">
        <v>29562</v>
      </c>
      <c r="B23486" s="4" t="s">
        <v>29563</v>
      </c>
      <c r="C23486" s="5" t="str">
        <f>IFERROR(__xludf.DUMMYFUNCTION("GOOGLETRANSLATE(B23486,""en"",""fr"")"),"Une femme est vue assise sur une chaise tandis qu'un homme utilise divers outils pour lui percer l'oreille.")</f>
        <v>Une femme est vue assise sur une chaise tandis qu'un homme utilise divers outils pour lui percer l'oreille.</v>
      </c>
    </row>
    <row r="23487">
      <c r="A23487" s="4" t="s">
        <v>29562</v>
      </c>
      <c r="B23487" s="4" t="s">
        <v>29564</v>
      </c>
      <c r="C23487" s="5" t="str">
        <f>IFERROR(__xludf.DUMMYFUNCTION("GOOGLETRANSLATE(B23487,""en"",""fr"")"),"L'homme termine le piercing et la fille commence à tourner à la fin.")</f>
        <v>L'homme termine le piercing et la fille commence à tourner à la fin.</v>
      </c>
    </row>
    <row r="23488">
      <c r="A23488" s="4" t="s">
        <v>29565</v>
      </c>
      <c r="B23488" s="4" t="s">
        <v>29566</v>
      </c>
      <c r="C23488" s="5" t="str">
        <f>IFERROR(__xludf.DUMMYFUNCTION("GOOGLETRANSLATE(B23488,""en"",""fr"")"),"L'homme se tient dans un terrain devant les enfants et marche montrant comment marquer un panier.")</f>
        <v>L'homme se tient dans un terrain devant les enfants et marche montrant comment marquer un panier.</v>
      </c>
    </row>
    <row r="23489">
      <c r="A23489" s="4" t="s">
        <v>29565</v>
      </c>
      <c r="B23489" s="6" t="s">
        <v>29567</v>
      </c>
      <c r="C23489" s="5" t="str">
        <f>IFERROR(__xludf.DUMMYFUNCTION("GOOGLETRANSLATE(B23489,""en"",""fr"")"),"L'homme lance le ballon avec quelqu'un de l'autre côté du terrain et fait un dispositif et les enfants derrière lui dans le terrain font de même.")</f>
        <v>L'homme lance le ballon avec quelqu'un de l'autre côté du terrain et fait un dispositif et les enfants derrière lui dans le terrain font de même.</v>
      </c>
    </row>
    <row r="23490">
      <c r="A23490" s="4" t="s">
        <v>29565</v>
      </c>
      <c r="B23490" s="4" t="s">
        <v>29568</v>
      </c>
      <c r="C23490" s="5" t="str">
        <f>IFERROR(__xludf.DUMMYFUNCTION("GOOGLETRANSLATE(B23490,""en"",""fr"")"),"L'entraîneur OS a hlping la fille pour attraper le ballon et courir.")</f>
        <v>L'entraîneur OS a hlping la fille pour attraper le ballon et courir.</v>
      </c>
    </row>
    <row r="23491">
      <c r="A23491" s="4" t="s">
        <v>29565</v>
      </c>
      <c r="B23491" s="4" t="s">
        <v>29569</v>
      </c>
      <c r="C23491" s="5" t="str">
        <f>IFERROR(__xludf.DUMMYFUNCTION("GOOGLETRANSLATE(B23491,""en"",""fr"")"),"L'enfant fait un lancer puis marque un panier, les enfants derrière elle continuent de faire de même.")</f>
        <v>L'enfant fait un lancer puis marque un panier, les enfants derrière elle continuent de faire de même.</v>
      </c>
    </row>
    <row r="23492">
      <c r="A23492" s="4" t="s">
        <v>29570</v>
      </c>
      <c r="B23492" s="4" t="s">
        <v>29571</v>
      </c>
      <c r="C23492" s="5" t="str">
        <f>IFERROR(__xludf.DUMMYFUNCTION("GOOGLETRANSLATE(B23492,""en"",""fr"")"),"Le soleil se lève sur les collines.")</f>
        <v>Le soleil se lève sur les collines.</v>
      </c>
    </row>
    <row r="23493">
      <c r="A23493" s="4" t="s">
        <v>29570</v>
      </c>
      <c r="B23493" s="4" t="s">
        <v>29572</v>
      </c>
      <c r="C23493" s="5" t="str">
        <f>IFERROR(__xludf.DUMMYFUNCTION("GOOGLETRANSLATE(B23493,""en"",""fr"")"),"Un homme en short se promène.")</f>
        <v>Un homme en short se promène.</v>
      </c>
    </row>
    <row r="23494">
      <c r="A23494" s="4" t="s">
        <v>29570</v>
      </c>
      <c r="B23494" s="4" t="s">
        <v>29573</v>
      </c>
      <c r="C23494" s="5" t="str">
        <f>IFERROR(__xludf.DUMMYFUNCTION("GOOGLETRANSLATE(B23494,""en"",""fr"")"),"Il attrape sa planche et le place dans l'eau.")</f>
        <v>Il attrape sa planche et le place dans l'eau.</v>
      </c>
    </row>
    <row r="23495">
      <c r="A23495" s="4" t="s">
        <v>29570</v>
      </c>
      <c r="B23495" s="4" t="s">
        <v>29574</v>
      </c>
      <c r="C23495" s="5" t="str">
        <f>IFERROR(__xludf.DUMMYFUNCTION("GOOGLETRANSLATE(B23495,""en"",""fr"")"),"L'homme grimpe la planche et surfait.")</f>
        <v>L'homme grimpe la planche et surfait.</v>
      </c>
    </row>
    <row r="23496">
      <c r="A23496" s="4" t="s">
        <v>29575</v>
      </c>
      <c r="B23496" s="4" t="s">
        <v>29576</v>
      </c>
      <c r="C23496" s="5" t="str">
        <f>IFERROR(__xludf.DUMMYFUNCTION("GOOGLETRANSLATE(B23496,""en"",""fr"")"),"Un homme prend un poids au-dessus de sa tête et le laisse tomber sur le sol.")</f>
        <v>Un homme prend un poids au-dessus de sa tête et le laisse tomber sur le sol.</v>
      </c>
    </row>
    <row r="23497">
      <c r="A23497" s="4" t="s">
        <v>29575</v>
      </c>
      <c r="B23497" s="4" t="s">
        <v>29577</v>
      </c>
      <c r="C23497" s="5" t="str">
        <f>IFERROR(__xludf.DUMMYFUNCTION("GOOGLETRANSLATE(B23497,""en"",""fr"")"),"Un homme prend un bar et le soulève plusieurs fois.")</f>
        <v>Un homme prend un bar et le soulève plusieurs fois.</v>
      </c>
    </row>
    <row r="23498">
      <c r="A23498" s="4" t="s">
        <v>29575</v>
      </c>
      <c r="B23498" s="4" t="s">
        <v>29578</v>
      </c>
      <c r="C23498" s="5" t="str">
        <f>IFERROR(__xludf.DUMMYFUNCTION("GOOGLETRANSLATE(B23498,""en"",""fr"")"),"Un homme en chemise noire se tient à côté de lui.")</f>
        <v>Un homme en chemise noire se tient à côté de lui.</v>
      </c>
    </row>
    <row r="23499">
      <c r="A23499" s="4" t="s">
        <v>29575</v>
      </c>
      <c r="B23499" s="4" t="s">
        <v>29579</v>
      </c>
      <c r="C23499" s="5" t="str">
        <f>IFERROR(__xludf.DUMMYFUNCTION("GOOGLETRANSLATE(B23499,""en"",""fr"")"),"Un autre homme se tient à côté de lui et soulève un bar avec lui.")</f>
        <v>Un autre homme se tient à côté de lui et soulève un bar avec lui.</v>
      </c>
    </row>
    <row r="23500">
      <c r="A23500" s="4" t="s">
        <v>29580</v>
      </c>
      <c r="B23500" s="6" t="s">
        <v>29581</v>
      </c>
      <c r="C23500" s="5" t="str">
        <f>IFERROR(__xludf.DUMMYFUNCTION("GOOGLETRANSLATE(B23500,""en"",""fr"")"),"Il y a une petite fille qui glisse lentement sur le côté avec le confort de tenir la main de sa mère, la première fois qu'elle est descendue.")</f>
        <v>Il y a une petite fille qui glisse lentement sur le côté avec le confort de tenir la main de sa mère, la première fois qu'elle est descendue.</v>
      </c>
    </row>
    <row r="23501">
      <c r="A23501" s="4" t="s">
        <v>29580</v>
      </c>
      <c r="B23501" s="4" t="s">
        <v>29582</v>
      </c>
      <c r="C23501" s="5" t="str">
        <f>IFERROR(__xludf.DUMMYFUNCTION("GOOGLETRANSLATE(B23501,""en"",""fr"")"),"La deuxième fois, elle est descendue sur son ventre sans aide.")</f>
        <v>La deuxième fois, elle est descendue sur son ventre sans aide.</v>
      </c>
    </row>
    <row r="23502">
      <c r="A23502" s="4" t="s">
        <v>29583</v>
      </c>
      <c r="B23502" s="4" t="s">
        <v>29584</v>
      </c>
      <c r="C23502" s="5" t="str">
        <f>IFERROR(__xludf.DUMMYFUNCTION("GOOGLETRANSLATE(B23502,""en"",""fr"")"),"Il y a deux camping en hiver pour un voyage de pêche sur glace.")</f>
        <v>Il y a deux camping en hiver pour un voyage de pêche sur glace.</v>
      </c>
    </row>
    <row r="23503">
      <c r="A23503" s="4" t="s">
        <v>29583</v>
      </c>
      <c r="B23503" s="4" t="s">
        <v>29585</v>
      </c>
      <c r="C23503" s="5" t="str">
        <f>IFERROR(__xludf.DUMMYFUNCTION("GOOGLETRANSLATE(B23503,""en"",""fr"")"),"Un des hommes sort de sa tente de camping avec un poisson à la main.")</f>
        <v>Un des hommes sort de sa tente de camping avec un poisson à la main.</v>
      </c>
    </row>
    <row r="23504">
      <c r="A23504" s="4" t="s">
        <v>29583</v>
      </c>
      <c r="B23504" s="4" t="s">
        <v>29586</v>
      </c>
      <c r="C23504" s="5" t="str">
        <f>IFERROR(__xludf.DUMMYFUNCTION("GOOGLETRANSLATE(B23504,""en"",""fr"")"),"Les deux hommes sont assis dans leur tente Make Shift, pêchant à travers un trou dans le lac gelé.")</f>
        <v>Les deux hommes sont assis dans leur tente Make Shift, pêchant à travers un trou dans le lac gelé.</v>
      </c>
    </row>
    <row r="23505">
      <c r="A23505" s="4" t="s">
        <v>29583</v>
      </c>
      <c r="B23505" s="4" t="s">
        <v>29587</v>
      </c>
      <c r="C23505" s="5" t="str">
        <f>IFERROR(__xludf.DUMMYFUNCTION("GOOGLETRANSLATE(B23505,""en"",""fr"")"),"Ils sont patiemment assis avec leurs cannes à pêche jusqu'à ce qu'ils pêchent les poissons de taille moyenne des trous.")</f>
        <v>Ils sont patiemment assis avec leurs cannes à pêche jusqu'à ce qu'ils pêchent les poissons de taille moyenne des trous.</v>
      </c>
    </row>
    <row r="23506">
      <c r="A23506" s="4" t="s">
        <v>29583</v>
      </c>
      <c r="B23506" s="4" t="s">
        <v>29588</v>
      </c>
      <c r="C23506" s="5" t="str">
        <f>IFERROR(__xludf.DUMMYFUNCTION("GOOGLETRANSLATE(B23506,""en"",""fr"")"),"Ils montrent le genre de poisson qu'ils ont trouvé en le déposant sur le sol gelé.")</f>
        <v>Ils montrent le genre de poisson qu'ils ont trouvé en le déposant sur le sol gelé.</v>
      </c>
    </row>
    <row r="23507">
      <c r="A23507" s="4" t="s">
        <v>29583</v>
      </c>
      <c r="B23507" s="4" t="s">
        <v>29589</v>
      </c>
      <c r="C23507" s="5" t="str">
        <f>IFERROR(__xludf.DUMMYFUNCTION("GOOGLETRANSLATE(B23507,""en"",""fr"")"),"L'un des hommes nettoie les échelles de poisson.")</f>
        <v>L'un des hommes nettoie les échelles de poisson.</v>
      </c>
    </row>
    <row r="23508">
      <c r="A23508" s="4" t="s">
        <v>29583</v>
      </c>
      <c r="B23508" s="4" t="s">
        <v>29590</v>
      </c>
      <c r="C23508" s="5" t="str">
        <f>IFERROR(__xludf.DUMMYFUNCTION("GOOGLETRANSLATE(B23508,""en"",""fr"")"),"Ensuite, ils ont coupé le poisson en petits morceaux et les nettoient à l'extérieur de leur garage.")</f>
        <v>Ensuite, ils ont coupé le poisson en petits morceaux et les nettoient à l'extérieur de leur garage.</v>
      </c>
    </row>
    <row r="23509">
      <c r="A23509" s="4" t="s">
        <v>29583</v>
      </c>
      <c r="B23509" s="4" t="s">
        <v>29591</v>
      </c>
      <c r="C23509" s="5" t="str">
        <f>IFERROR(__xludf.DUMMYFUNCTION("GOOGLETRANSLATE(B23509,""en"",""fr"")"),"Ils aiguisent le couteau pour trancher le poisson pour préparer le poisson frit couvert de pâte.")</f>
        <v>Ils aiguisent le couteau pour trancher le poisson pour préparer le poisson frit couvert de pâte.</v>
      </c>
    </row>
    <row r="23510">
      <c r="A23510" s="4" t="s">
        <v>29583</v>
      </c>
      <c r="B23510" s="4" t="s">
        <v>29592</v>
      </c>
      <c r="C23510" s="5" t="str">
        <f>IFERROR(__xludf.DUMMYFUNCTION("GOOGLETRANSLATE(B23510,""en"",""fr"")"),"Toute la famille est assise ensemble sur une grande table à manger et profitez d'un délicieux repas de poisson frit.")</f>
        <v>Toute la famille est assise ensemble sur une grande table à manger et profitez d'un délicieux repas de poisson frit.</v>
      </c>
    </row>
    <row r="23511">
      <c r="A23511" s="4" t="s">
        <v>29593</v>
      </c>
      <c r="B23511" s="6" t="s">
        <v>29594</v>
      </c>
      <c r="C23511" s="5" t="str">
        <f>IFERROR(__xludf.DUMMYFUNCTION("GOOGLETRANSLATE(B23511,""en"",""fr"")"),"Les garçons et les filles se mettent dans un tribunal pratiquant la chorégraphie des pom-pom girls et une femme parle dans un studio aux actualités.")</f>
        <v>Les garçons et les filles se mettent dans un tribunal pratiquant la chorégraphie des pom-pom girls et une femme parle dans un studio aux actualités.</v>
      </c>
    </row>
    <row r="23512">
      <c r="A23512" s="4" t="s">
        <v>29593</v>
      </c>
      <c r="B23512" s="6" t="s">
        <v>29595</v>
      </c>
      <c r="C23512" s="5" t="str">
        <f>IFERROR(__xludf.DUMMYFUNCTION("GOOGLETRANSLATE(B23512,""en"",""fr"")"),"High Scoo Musical Scene est un spectacle et un homme qui s'entraîne est interviewé et des scènes de Bring It On sont montrées.")</f>
        <v>High Scoo Musical Scene est un spectacle et un homme qui s'entraîne est interviewé et des scènes de Bring It On sont montrées.</v>
      </c>
    </row>
    <row r="23513">
      <c r="A23513" s="4" t="s">
        <v>29596</v>
      </c>
      <c r="B23513" s="4" t="s">
        <v>29597</v>
      </c>
      <c r="C23513" s="5" t="str">
        <f>IFERROR(__xludf.DUMMYFUNCTION("GOOGLETRANSLATE(B23513,""en"",""fr"")"),"Un homme parle devant quelques graphiques.")</f>
        <v>Un homme parle devant quelques graphiques.</v>
      </c>
    </row>
    <row r="23514">
      <c r="A23514" s="4" t="s">
        <v>29596</v>
      </c>
      <c r="B23514" s="4" t="s">
        <v>29598</v>
      </c>
      <c r="C23514" s="5" t="str">
        <f>IFERROR(__xludf.DUMMYFUNCTION("GOOGLETRANSLATE(B23514,""en"",""fr"")"),"Elle démontre la technique avec sa raquette.")</f>
        <v>Elle démontre la technique avec sa raquette.</v>
      </c>
    </row>
    <row r="23515">
      <c r="A23515" s="4" t="s">
        <v>29596</v>
      </c>
      <c r="B23515" s="4" t="s">
        <v>29599</v>
      </c>
      <c r="C23515" s="5" t="str">
        <f>IFERROR(__xludf.DUMMYFUNCTION("GOOGLETRANSLATE(B23515,""en"",""fr"")"),"Il entre ensuite dans une pièce et joue un jeu de racquetball avec un homme.")</f>
        <v>Il entre ensuite dans une pièce et joue un jeu de racquetball avec un homme.</v>
      </c>
    </row>
    <row r="23516">
      <c r="A23516" s="4" t="s">
        <v>29596</v>
      </c>
      <c r="B23516" s="4" t="s">
        <v>2779</v>
      </c>
      <c r="C23516" s="5" t="str">
        <f>IFERROR(__xludf.DUMMYFUNCTION("GOOGLETRANSLATE(B23516,""en"",""fr"")"),"Ils ont frappé le ballon d'avant en arrière contre le mur.")</f>
        <v>Ils ont frappé le ballon d'avant en arrière contre le mur.</v>
      </c>
    </row>
    <row r="23517">
      <c r="A23517" s="4" t="s">
        <v>29596</v>
      </c>
      <c r="B23517" s="4" t="s">
        <v>29600</v>
      </c>
      <c r="C23517" s="5" t="str">
        <f>IFERROR(__xludf.DUMMYFUNCTION("GOOGLETRANSLATE(B23517,""en"",""fr"")"),"Quand ils ont fini, il sort et en discute un peu plus.")</f>
        <v>Quand ils ont fini, il sort et en discute un peu plus.</v>
      </c>
    </row>
    <row r="23518">
      <c r="A23518" s="4" t="s">
        <v>29601</v>
      </c>
      <c r="B23518" s="6" t="s">
        <v>29602</v>
      </c>
      <c r="C23518" s="5" t="str">
        <f>IFERROR(__xludf.DUMMYFUNCTION("GOOGLETRANSLATE(B23518,""en"",""fr"")"),"Une ballerine est vue tourbillonnant dans une pièce et mène à la femme en parlant à la caméra et en effectuant plusieurs mouvements de ballet.")</f>
        <v>Une ballerine est vue tourbillonnant dans une pièce et mène à la femme en parlant à la caméra et en effectuant plusieurs mouvements de ballet.</v>
      </c>
    </row>
    <row r="23519">
      <c r="A23519" s="4" t="s">
        <v>29601</v>
      </c>
      <c r="B23519" s="6" t="s">
        <v>29603</v>
      </c>
      <c r="C23519" s="5" t="str">
        <f>IFERROR(__xludf.DUMMYFUNCTION("GOOGLETRANSLATE(B23519,""en"",""fr"")"),"Elle se tient à la barre, puis seule pour montrer comment effectuer correctement les mouvements de ballet.")</f>
        <v>Elle se tient à la barre, puis seule pour montrer comment effectuer correctement les mouvements de ballet.</v>
      </c>
    </row>
    <row r="23520">
      <c r="A23520" s="4" t="s">
        <v>29601</v>
      </c>
      <c r="B23520" s="4" t="s">
        <v>29604</v>
      </c>
      <c r="C23520" s="5" t="str">
        <f>IFERROR(__xludf.DUMMYFUNCTION("GOOGLETRANSLATE(B23520,""en"",""fr"")"),"Elle bouge les bras de haut en bas ainsi que ses jambes et parlant continuellement à la caméra.")</f>
        <v>Elle bouge les bras de haut en bas ainsi que ses jambes et parlant continuellement à la caméra.</v>
      </c>
    </row>
    <row r="23521">
      <c r="A23521" s="4" t="s">
        <v>29605</v>
      </c>
      <c r="B23521" s="4" t="s">
        <v>29606</v>
      </c>
      <c r="C23521" s="5" t="str">
        <f>IFERROR(__xludf.DUMMYFUNCTION("GOOGLETRANSLATE(B23521,""en"",""fr"")"),"Un ensemble de mains est vu mettre un pinceau dans une pile de bâtons, puis place le coton dans la pile.")</f>
        <v>Un ensemble de mains est vu mettre un pinceau dans une pile de bâtons, puis place le coton dans la pile.</v>
      </c>
    </row>
    <row r="23522">
      <c r="A23522" s="4" t="s">
        <v>29605</v>
      </c>
      <c r="B23522" s="4" t="s">
        <v>29607</v>
      </c>
      <c r="C23522" s="5" t="str">
        <f>IFERROR(__xludf.DUMMYFUNCTION("GOOGLETRANSLATE(B23522,""en"",""fr"")"),"Il allume ensuite un match et crée un feu puis se penche sur le feu pour en mettre plus.")</f>
        <v>Il allume ensuite un match et crée un feu puis se penche sur le feu pour en mettre plus.</v>
      </c>
    </row>
    <row r="23523">
      <c r="A23523" s="4" t="s">
        <v>29605</v>
      </c>
      <c r="B23523" s="4" t="s">
        <v>29608</v>
      </c>
      <c r="C23523" s="5" t="str">
        <f>IFERROR(__xludf.DUMMYFUNCTION("GOOGLETRANSLATE(B23523,""en"",""fr"")"),"La caméra se rapproche de la fosse et est vue en plaçant des bûches autour du côté.")</f>
        <v>La caméra se rapproche de la fosse et est vue en plaçant des bûches autour du côté.</v>
      </c>
    </row>
    <row r="23524">
      <c r="A23524" s="4" t="s">
        <v>29609</v>
      </c>
      <c r="B23524" s="4" t="s">
        <v>29610</v>
      </c>
      <c r="C23524" s="5" t="str">
        <f>IFERROR(__xludf.DUMMYFUNCTION("GOOGLETRANSLATE(B23524,""en"",""fr"")"),"Deux hommes jouent au baby-foot dans une pièce sombre.")</f>
        <v>Deux hommes jouent au baby-foot dans une pièce sombre.</v>
      </c>
    </row>
    <row r="23525">
      <c r="A23525" s="4" t="s">
        <v>29609</v>
      </c>
      <c r="B23525" s="4" t="s">
        <v>29611</v>
      </c>
      <c r="C23525" s="5" t="str">
        <f>IFERROR(__xludf.DUMMYFUNCTION("GOOGLETRANSLATE(B23525,""en"",""fr"")"),"Ils rivalisent intensément à un rythme rapide.")</f>
        <v>Ils rivalisent intensément à un rythme rapide.</v>
      </c>
    </row>
    <row r="23526">
      <c r="A23526" s="4" t="s">
        <v>29609</v>
      </c>
      <c r="B23526" s="4" t="s">
        <v>29612</v>
      </c>
      <c r="C23526" s="5" t="str">
        <f>IFERROR(__xludf.DUMMYFUNCTION("GOOGLETRANSLATE(B23526,""en"",""fr"")"),"L'homme de l'équipe rouge gagne les quatre fois.")</f>
        <v>L'homme de l'équipe rouge gagne les quatre fois.</v>
      </c>
    </row>
    <row r="23527">
      <c r="A23527" s="4" t="s">
        <v>29609</v>
      </c>
      <c r="B23527" s="4" t="s">
        <v>29613</v>
      </c>
      <c r="C23527" s="5" t="str">
        <f>IFERROR(__xludf.DUMMYFUNCTION("GOOGLETRANSLATE(B23527,""en"",""fr"")"),"Chaque fois qu'il gagne, il fait une petite danse acclamante.")</f>
        <v>Chaque fois qu'il gagne, il fait une petite danse acclamante.</v>
      </c>
    </row>
    <row r="23528">
      <c r="A23528" s="4" t="s">
        <v>29614</v>
      </c>
      <c r="B23528" s="4" t="s">
        <v>29615</v>
      </c>
      <c r="C23528" s="5" t="str">
        <f>IFERROR(__xludf.DUMMYFUNCTION("GOOGLETRANSLATE(B23528,""en"",""fr"")"),"Une personne utilise les toilettes dans un stand.")</f>
        <v>Une personne utilise les toilettes dans un stand.</v>
      </c>
    </row>
    <row r="23529">
      <c r="A23529" s="4" t="s">
        <v>29614</v>
      </c>
      <c r="B23529" s="4" t="s">
        <v>29616</v>
      </c>
      <c r="C23529" s="5" t="str">
        <f>IFERROR(__xludf.DUMMYFUNCTION("GOOGLETRANSLATE(B23529,""en"",""fr"")"),"L'homme quitte la salle de bain sans se laver les mains.")</f>
        <v>L'homme quitte la salle de bain sans se laver les mains.</v>
      </c>
    </row>
    <row r="23530">
      <c r="A23530" s="4" t="s">
        <v>29614</v>
      </c>
      <c r="B23530" s="4" t="s">
        <v>29617</v>
      </c>
      <c r="C23530" s="5" t="str">
        <f>IFERROR(__xludf.DUMMYFUNCTION("GOOGLETRANSLATE(B23530,""en"",""fr"")"),"L'homme mange des plats de nourriture en utilisant ses mains.")</f>
        <v>L'homme mange des plats de nourriture en utilisant ses mains.</v>
      </c>
    </row>
    <row r="23531">
      <c r="A23531" s="4" t="s">
        <v>29614</v>
      </c>
      <c r="B23531" s="4" t="s">
        <v>29618</v>
      </c>
      <c r="C23531" s="5" t="str">
        <f>IFERROR(__xludf.DUMMYFUNCTION("GOOGLETRANSLATE(B23531,""en"",""fr"")"),"Une femme joue avec les chiens.")</f>
        <v>Une femme joue avec les chiens.</v>
      </c>
    </row>
    <row r="23532">
      <c r="A23532" s="4" t="s">
        <v>29614</v>
      </c>
      <c r="B23532" s="4" t="s">
        <v>29619</v>
      </c>
      <c r="C23532" s="5" t="str">
        <f>IFERROR(__xludf.DUMMYFUNCTION("GOOGLETRANSLATE(B23532,""en"",""fr"")"),"Une personne se lave les mains dans un évier à l'aide de savon en mousse.")</f>
        <v>Une personne se lave les mains dans un évier à l'aide de savon en mousse.</v>
      </c>
    </row>
    <row r="23533">
      <c r="A23533" s="4" t="s">
        <v>29614</v>
      </c>
      <c r="B23533" s="4" t="s">
        <v>29620</v>
      </c>
      <c r="C23533" s="5" t="str">
        <f>IFERROR(__xludf.DUMMYFUNCTION("GOOGLETRANSLATE(B23533,""en"",""fr"")"),"La personne utilise une serviette en papier pour sécher ses mains.")</f>
        <v>La personne utilise une serviette en papier pour sécher ses mains.</v>
      </c>
    </row>
    <row r="23534">
      <c r="A23534" s="4" t="s">
        <v>29614</v>
      </c>
      <c r="B23534" s="4" t="s">
        <v>29621</v>
      </c>
      <c r="C23534" s="5" t="str">
        <f>IFERROR(__xludf.DUMMYFUNCTION("GOOGLETRANSLATE(B23534,""en"",""fr"")"),"Une personne se lave les mains dans un évier en acier inoxydable.")</f>
        <v>Une personne se lave les mains dans un évier en acier inoxydable.</v>
      </c>
    </row>
    <row r="23535">
      <c r="A23535" s="4" t="s">
        <v>29622</v>
      </c>
      <c r="B23535" s="4" t="s">
        <v>29623</v>
      </c>
      <c r="C23535" s="5" t="str">
        <f>IFERROR(__xludf.DUMMYFUNCTION("GOOGLETRANSLATE(B23535,""en"",""fr"")"),"Un enfant en désordre mange un cornet de crème glacée.")</f>
        <v>Un enfant en désordre mange un cornet de crème glacée.</v>
      </c>
    </row>
    <row r="23536">
      <c r="A23536" s="4" t="s">
        <v>29622</v>
      </c>
      <c r="B23536" s="4" t="s">
        <v>29624</v>
      </c>
      <c r="C23536" s="5" t="str">
        <f>IFERROR(__xludf.DUMMYFUNCTION("GOOGLETRANSLATE(B23536,""en"",""fr"")"),"Il mord le cornet de crème glacée aux parents.")</f>
        <v>Il mord le cornet de crème glacée aux parents.</v>
      </c>
    </row>
    <row r="23537">
      <c r="A23537" s="4" t="s">
        <v>29622</v>
      </c>
      <c r="B23537" s="4" t="s">
        <v>29625</v>
      </c>
      <c r="C23537" s="5" t="str">
        <f>IFERROR(__xludf.DUMMYFUNCTION("GOOGLETRANSLATE(B23537,""en"",""fr"")"),"Le parent ajuste le cône pour l'enfant.")</f>
        <v>Le parent ajuste le cône pour l'enfant.</v>
      </c>
    </row>
    <row r="23538">
      <c r="A23538" s="4" t="s">
        <v>29622</v>
      </c>
      <c r="B23538" s="4" t="s">
        <v>29626</v>
      </c>
      <c r="C23538" s="5" t="str">
        <f>IFERROR(__xludf.DUMMYFUNCTION("GOOGLETRANSLATE(B23538,""en"",""fr"")"),"Le parent essuie la crème glacée du visage de l'enfant.")</f>
        <v>Le parent essuie la crème glacée du visage de l'enfant.</v>
      </c>
    </row>
    <row r="23539">
      <c r="A23539" s="4" t="s">
        <v>29627</v>
      </c>
      <c r="B23539" s="4" t="s">
        <v>29628</v>
      </c>
      <c r="C23539" s="5" t="str">
        <f>IFERROR(__xludf.DUMMYFUNCTION("GOOGLETRANSLATE(B23539,""en"",""fr"")"),"Un employé de la patrouille de plage explique comment passer une journée de sécurité à la plage.")</f>
        <v>Un employé de la patrouille de plage explique comment passer une journée de sécurité à la plage.</v>
      </c>
    </row>
    <row r="23540">
      <c r="A23540" s="4" t="s">
        <v>29627</v>
      </c>
      <c r="B23540" s="4" t="s">
        <v>29629</v>
      </c>
      <c r="C23540" s="5" t="str">
        <f>IFERROR(__xludf.DUMMYFUNCTION("GOOGLETRANSLATE(B23540,""en"",""fr"")"),"L'écran solaire est adressé et il a des aperçus comment et pourquoi appliquer correctement un écran solaire.")</f>
        <v>L'écran solaire est adressé et il a des aperçus comment et pourquoi appliquer correctement un écran solaire.</v>
      </c>
    </row>
    <row r="23541">
      <c r="A23541" s="4" t="s">
        <v>29627</v>
      </c>
      <c r="B23541" s="4" t="s">
        <v>29630</v>
      </c>
      <c r="C23541" s="5" t="str">
        <f>IFERROR(__xludf.DUMMYFUNCTION("GOOGLETRANSLATE(B23541,""en"",""fr"")"),"La valeur SPF de la crème solaire est traitée avec une diapositive sur la façon de faire attention au SPF approprié.")</f>
        <v>La valeur SPF de la crème solaire est traitée avec une diapositive sur la façon de faire attention au SPF approprié.</v>
      </c>
    </row>
    <row r="23542">
      <c r="A23542" s="4" t="s">
        <v>29627</v>
      </c>
      <c r="B23542" s="4" t="s">
        <v>29631</v>
      </c>
      <c r="C23542" s="5" t="str">
        <f>IFERROR(__xludf.DUMMYFUNCTION("GOOGLETRANSLATE(B23542,""en"",""fr"")"),"Il aborde les impacts négatifs des coups de soleil, en particulier avec les enfants.")</f>
        <v>Il aborde les impacts négatifs des coups de soleil, en particulier avec les enfants.</v>
      </c>
    </row>
    <row r="23543">
      <c r="A23543" s="4" t="s">
        <v>29627</v>
      </c>
      <c r="B23543" s="4" t="s">
        <v>29632</v>
      </c>
      <c r="C23543" s="5" t="str">
        <f>IFERROR(__xludf.DUMMYFUNCTION("GOOGLETRANSLATE(B23543,""en"",""fr"")"),"Il parle ensuite de différents types de crème solaire spécialisée pour vous assurer que vous êtes couvert en toute sécurité.")</f>
        <v>Il parle ensuite de différents types de crème solaire spécialisée pour vous assurer que vous êtes couvert en toute sécurité.</v>
      </c>
    </row>
    <row r="23544">
      <c r="A23544" s="4" t="s">
        <v>29627</v>
      </c>
      <c r="B23544" s="4" t="s">
        <v>29633</v>
      </c>
      <c r="C23544" s="5" t="str">
        <f>IFERROR(__xludf.DUMMYFUNCTION("GOOGLETRANSLATE(B23544,""en"",""fr"")"),"On parle ensuite de la sécurité solaire des enfants et de la façon de protéger correctement vos enfants.")</f>
        <v>On parle ensuite de la sécurité solaire des enfants et de la façon de protéger correctement vos enfants.</v>
      </c>
    </row>
    <row r="23545">
      <c r="A23545" s="4" t="s">
        <v>29627</v>
      </c>
      <c r="B23545" s="6" t="s">
        <v>29634</v>
      </c>
      <c r="C23545" s="5" t="str">
        <f>IFERROR(__xludf.DUMMYFUNCTION("GOOGLETRANSLATE(B23545,""en"",""fr"")"),"Il discute ensuite de ce qu'il faut faire lorsqu'un coup de soleil se produit, comment le gérer pour prendre soin de votre peau.")</f>
        <v>Il discute ensuite de ce qu'il faut faire lorsqu'un coup de soleil se produit, comment le gérer pour prendre soin de votre peau.</v>
      </c>
    </row>
    <row r="23546">
      <c r="A23546" s="4" t="s">
        <v>29627</v>
      </c>
      <c r="B23546" s="4" t="s">
        <v>29635</v>
      </c>
      <c r="C23546" s="5" t="str">
        <f>IFERROR(__xludf.DUMMYFUNCTION("GOOGLETRANSLATE(B23546,""en"",""fr"")"),"Il est démontré qu'une diapositive nous fait prendre conscience du moment où un coup de soleil est mauvais et a besoin de soins médicaux.")</f>
        <v>Il est démontré qu'une diapositive nous fait prendre conscience du moment où un coup de soleil est mauvais et a besoin de soins médicaux.</v>
      </c>
    </row>
    <row r="23547">
      <c r="A23547" s="4" t="s">
        <v>29627</v>
      </c>
      <c r="B23547" s="4" t="s">
        <v>29636</v>
      </c>
      <c r="C23547" s="5" t="str">
        <f>IFERROR(__xludf.DUMMYFUNCTION("GOOGLETRANSLATE(B23547,""en"",""fr"")"),"Il donne ensuite un autre aperçu de la façon d'utiliser un écran solaire pour rendre votre journée agréable.")</f>
        <v>Il donne ensuite un autre aperçu de la façon d'utiliser un écran solaire pour rendre votre journée agréable.</v>
      </c>
    </row>
    <row r="23548">
      <c r="A23548" s="4" t="s">
        <v>29637</v>
      </c>
      <c r="B23548" s="6" t="s">
        <v>29638</v>
      </c>
      <c r="C23548" s="5" t="str">
        <f>IFERROR(__xludf.DUMMYFUNCTION("GOOGLETRANSLATE(B23548,""en"",""fr"")"),"Plusieurs clips de boîtes sont affichés ainsi que des gens qui se déplacent sur une scène et un public qui regarde.")</f>
        <v>Plusieurs clips de boîtes sont affichés ainsi que des gens qui se déplacent sur une scène et un public qui regarde.</v>
      </c>
    </row>
    <row r="23549">
      <c r="A23549" s="4" t="s">
        <v>29637</v>
      </c>
      <c r="B23549" s="6" t="s">
        <v>29639</v>
      </c>
      <c r="C23549" s="5" t="str">
        <f>IFERROR(__xludf.DUMMYFUNCTION("GOOGLETRANSLATE(B23549,""en"",""fr"")"),"La vidéo mène à plusieurs personnes lavant les fenêtres aussi rapidement que possible tandis que beaucoup les regardent sur le côté.")</f>
        <v>La vidéo mène à plusieurs personnes lavant les fenêtres aussi rapidement que possible tandis que beaucoup les regardent sur le côté.</v>
      </c>
    </row>
    <row r="23550">
      <c r="A23550" s="4" t="s">
        <v>29637</v>
      </c>
      <c r="B23550" s="6" t="s">
        <v>29640</v>
      </c>
      <c r="C23550" s="5" t="str">
        <f>IFERROR(__xludf.DUMMYFUNCTION("GOOGLETRANSLATE(B23550,""en"",""fr"")"),"De nombreux hommes parlent de la caméra ainsi que des personnes annonçant les scores et plus de lavage des fenêtres.")</f>
        <v>De nombreux hommes parlent de la caméra ainsi que des personnes annonçant les scores et plus de lavage des fenêtres.</v>
      </c>
    </row>
    <row r="23551">
      <c r="A23551" s="4" t="s">
        <v>29641</v>
      </c>
      <c r="B23551" s="4" t="s">
        <v>29642</v>
      </c>
      <c r="C23551" s="5" t="str">
        <f>IFERROR(__xludf.DUMMYFUNCTION("GOOGLETRANSLATE(B23551,""en"",""fr"")"),"La femme montre ses ongles avec une jolie manucure et quelques vernis derrière sa main.")</f>
        <v>La femme montre ses ongles avec une jolie manucure et quelques vernis derrière sa main.</v>
      </c>
    </row>
    <row r="23552">
      <c r="A23552" s="4" t="s">
        <v>29641</v>
      </c>
      <c r="B23552" s="4" t="s">
        <v>29643</v>
      </c>
      <c r="C23552" s="5" t="str">
        <f>IFERROR(__xludf.DUMMYFUNCTION("GOOGLETRANSLATE(B23552,""en"",""fr"")"),"La femme tient un vernis rose et commence à peindre son ongle.")</f>
        <v>La femme tient un vernis rose et commence à peindre son ongle.</v>
      </c>
    </row>
    <row r="23553">
      <c r="A23553" s="4" t="s">
        <v>29641</v>
      </c>
      <c r="B23553" s="4" t="s">
        <v>29644</v>
      </c>
      <c r="C23553" s="5" t="str">
        <f>IFERROR(__xludf.DUMMYFUNCTION("GOOGLETRANSLATE(B23553,""en"",""fr"")"),"Et avec une petite éponge et une petite épingle peignant le clou avec du bleu blanc et de la peinture violette.")</f>
        <v>Et avec une petite éponge et une petite épingle peignant le clou avec du bleu blanc et de la peinture violette.</v>
      </c>
    </row>
    <row r="23554">
      <c r="A23554" s="4" t="s">
        <v>29641</v>
      </c>
      <c r="B23554" s="4" t="s">
        <v>29645</v>
      </c>
      <c r="C23554" s="5" t="str">
        <f>IFERROR(__xludf.DUMMYFUNCTION("GOOGLETRANSLATE(B23554,""en"",""fr"")"),"Avec un petit buisson, mettez des points white et nettoyez l'ongle.")</f>
        <v>Avec un petit buisson, mettez des points white et nettoyez l'ongle.</v>
      </c>
    </row>
    <row r="23555">
      <c r="A23555" s="4" t="s">
        <v>29641</v>
      </c>
      <c r="B23555" s="4" t="s">
        <v>29646</v>
      </c>
      <c r="C23555" s="5" t="str">
        <f>IFERROR(__xludf.DUMMYFUNCTION("GOOGLETRANSLATE(B23555,""en"",""fr"")"),"Femme a coupé un papier rouge et peindre avec du vernis gris glacé.")</f>
        <v>Femme a coupé un papier rouge et peindre avec du vernis gris glacé.</v>
      </c>
    </row>
    <row r="23556">
      <c r="A23556" s="4" t="s">
        <v>29647</v>
      </c>
      <c r="B23556" s="4" t="s">
        <v>29648</v>
      </c>
      <c r="C23556" s="5" t="str">
        <f>IFERROR(__xludf.DUMMYFUNCTION("GOOGLETRANSLATE(B23556,""en"",""fr"")"),"Il y a un narguilé placé sur un comptoir de cuisine.")</f>
        <v>Il y a un narguilé placé sur un comptoir de cuisine.</v>
      </c>
    </row>
    <row r="23557">
      <c r="A23557" s="4" t="s">
        <v>29647</v>
      </c>
      <c r="B23557" s="6" t="s">
        <v>29649</v>
      </c>
      <c r="C23557" s="5" t="str">
        <f>IFERROR(__xludf.DUMMYFUNCTION("GOOGLETRANSLATE(B23557,""en"",""fr"")"),"Un homme portant une chemise sans manches noire arrive et s'agenouille pour commencer à fumer le narguilé.")</f>
        <v>Un homme portant une chemise sans manches noire arrive et s'agenouille pour commencer à fumer le narguilé.</v>
      </c>
    </row>
    <row r="23558">
      <c r="A23558" s="4" t="s">
        <v>29647</v>
      </c>
      <c r="B23558" s="4" t="s">
        <v>29650</v>
      </c>
      <c r="C23558" s="5" t="str">
        <f>IFERROR(__xludf.DUMMYFUNCTION("GOOGLETRANSLATE(B23558,""en"",""fr"")"),"Il fume le narguilé et souffle de la fumée.")</f>
        <v>Il fume le narguilé et souffle de la fumée.</v>
      </c>
    </row>
    <row r="23559">
      <c r="A23559" s="4" t="s">
        <v>29647</v>
      </c>
      <c r="B23559" s="4" t="s">
        <v>29651</v>
      </c>
      <c r="C23559" s="5" t="str">
        <f>IFERROR(__xludf.DUMMYFUNCTION("GOOGLETRANSLATE(B23559,""en"",""fr"")"),"Il prend quelques bouffées du narguilé et expire la fumée.")</f>
        <v>Il prend quelques bouffées du narguilé et expire la fumée.</v>
      </c>
    </row>
    <row r="23560">
      <c r="A23560" s="4" t="s">
        <v>29647</v>
      </c>
      <c r="B23560" s="4" t="s">
        <v>29652</v>
      </c>
      <c r="C23560" s="5" t="str">
        <f>IFERROR(__xludf.DUMMYFUNCTION("GOOGLETRANSLATE(B23560,""en"",""fr"")"),"Il continue de fumer en prenant de longues bouffées de narguilé puis part.")</f>
        <v>Il continue de fumer en prenant de longues bouffées de narguilé puis part.</v>
      </c>
    </row>
    <row r="23561">
      <c r="A23561" s="4" t="s">
        <v>29653</v>
      </c>
      <c r="B23561" s="4" t="s">
        <v>29654</v>
      </c>
      <c r="C23561" s="5" t="str">
        <f>IFERROR(__xludf.DUMMYFUNCTION("GOOGLETRANSLATE(B23561,""en"",""fr"")"),"Un gros plan d'un sac est vu suivi par une femme qui regarde dans la caméra.")</f>
        <v>Un gros plan d'un sac est vu suivi par une femme qui regarde dans la caméra.</v>
      </c>
    </row>
    <row r="23562">
      <c r="A23562" s="4" t="s">
        <v>29653</v>
      </c>
      <c r="B23562" s="4" t="s">
        <v>29655</v>
      </c>
      <c r="C23562" s="5" t="str">
        <f>IFERROR(__xludf.DUMMYFUNCTION("GOOGLETRANSLATE(B23562,""en"",""fr"")"),"Elle tient un téléphone et parle dans le miroir.")</f>
        <v>Elle tient un téléphone et parle dans le miroir.</v>
      </c>
    </row>
    <row r="23563">
      <c r="A23563" s="4" t="s">
        <v>29653</v>
      </c>
      <c r="B23563" s="4" t="s">
        <v>29656</v>
      </c>
      <c r="C23563" s="5" t="str">
        <f>IFERROR(__xludf.DUMMYFUNCTION("GOOGLETRANSLATE(B23563,""en"",""fr"")"),"Enfin, elle saute un peu de haut en bas et se termine en éteignant la caméra.")</f>
        <v>Enfin, elle saute un peu de haut en bas et se termine en éteignant la caméra.</v>
      </c>
    </row>
    <row r="23564">
      <c r="A23564" s="4" t="s">
        <v>29657</v>
      </c>
      <c r="B23564" s="4" t="s">
        <v>29658</v>
      </c>
      <c r="C23564" s="5" t="str">
        <f>IFERROR(__xludf.DUMMYFUNCTION("GOOGLETRANSLATE(B23564,""en"",""fr"")"),"Un homme dans un garage bondé avec beaucoup d'outils parle de la caméra car il tient un morceau de papier.")</f>
        <v>Un homme dans un garage bondé avec beaucoup d'outils parle de la caméra car il tient un morceau de papier.</v>
      </c>
    </row>
    <row r="23565">
      <c r="A23565" s="4" t="s">
        <v>29657</v>
      </c>
      <c r="B23565" s="6" t="s">
        <v>29659</v>
      </c>
      <c r="C23565" s="5" t="str">
        <f>IFERROR(__xludf.DUMMYFUNCTION("GOOGLETRANSLATE(B23565,""en"",""fr"")"),"Il puise un papier, en continu, sur un outil de type de fer et brosse le papier contre un long morceau de bois.")</f>
        <v>Il puise un papier, en continu, sur un outil de type de fer et brosse le papier contre un long morceau de bois.</v>
      </c>
    </row>
    <row r="23566">
      <c r="A23566" s="4" t="s">
        <v>29657</v>
      </c>
      <c r="B23566" s="4" t="s">
        <v>29660</v>
      </c>
      <c r="C23566" s="5" t="str">
        <f>IFERROR(__xludf.DUMMYFUNCTION("GOOGLETRANSLATE(B23566,""en"",""fr"")"),"Il pose le morceau de papier et prend l'outil de fer directement sur le morceau de bois.")</f>
        <v>Il pose le morceau de papier et prend l'outil de fer directement sur le morceau de bois.</v>
      </c>
    </row>
    <row r="23567">
      <c r="A23567" s="4" t="s">
        <v>29657</v>
      </c>
      <c r="B23567" s="6" t="s">
        <v>29661</v>
      </c>
      <c r="C23567" s="5" t="str">
        <f>IFERROR(__xludf.DUMMYFUNCTION("GOOGLETRANSLATE(B23567,""en"",""fr"")"),"Il ramasse une serviette en papier et presse le fer contre le morceau de bois d'une main tout en utilisant l'autre main pour faire glisser une serviette en papier sur les zones fermées de la planche.")</f>
        <v>Il ramasse une serviette en papier et presse le fer contre le morceau de bois d'une main tout en utilisant l'autre main pour faire glisser une serviette en papier sur les zones fermées de la planche.</v>
      </c>
    </row>
    <row r="23568">
      <c r="A23568" s="4" t="s">
        <v>29657</v>
      </c>
      <c r="B23568" s="4" t="s">
        <v>29662</v>
      </c>
      <c r="C23568" s="5" t="str">
        <f>IFERROR(__xludf.DUMMYFUNCTION("GOOGLETRANSLATE(B23568,""en"",""fr"")"),"Il place le fer.")</f>
        <v>Il place le fer.</v>
      </c>
    </row>
    <row r="23569">
      <c r="A23569" s="4" t="s">
        <v>29657</v>
      </c>
      <c r="B23569" s="4" t="s">
        <v>29663</v>
      </c>
      <c r="C23569" s="5" t="str">
        <f>IFERROR(__xludf.DUMMYFUNCTION("GOOGLETRANSLATE(B23569,""en"",""fr"")"),"Il prend la serviette en papier et nettoie rapidement le morceau de bois.")</f>
        <v>Il prend la serviette en papier et nettoie rapidement le morceau de bois.</v>
      </c>
    </row>
    <row r="23570">
      <c r="A23570" s="4" t="s">
        <v>29664</v>
      </c>
      <c r="B23570" s="4" t="s">
        <v>29665</v>
      </c>
      <c r="C23570" s="5" t="str">
        <f>IFERROR(__xludf.DUMMYFUNCTION("GOOGLETRANSLATE(B23570,""en"",""fr"")"),"Un homme verse un liquide sur une table.")</f>
        <v>Un homme verse un liquide sur une table.</v>
      </c>
    </row>
    <row r="23571">
      <c r="A23571" s="4" t="s">
        <v>29664</v>
      </c>
      <c r="B23571" s="4" t="s">
        <v>29666</v>
      </c>
      <c r="C23571" s="5" t="str">
        <f>IFERROR(__xludf.DUMMYFUNCTION("GOOGLETRANSLATE(B23571,""en"",""fr"")"),"Avec l'utilisation d'un pinceau, il couvre la table avec le liquide.")</f>
        <v>Avec l'utilisation d'un pinceau, il couvre la table avec le liquide.</v>
      </c>
    </row>
    <row r="23572">
      <c r="A23572" s="4" t="s">
        <v>29664</v>
      </c>
      <c r="B23572" s="4" t="s">
        <v>29667</v>
      </c>
      <c r="C23572" s="5" t="str">
        <f>IFERROR(__xludf.DUMMYFUNCTION("GOOGLETRANSLATE(B23572,""en"",""fr"")"),"Il retire le vernis du haut de la table.")</f>
        <v>Il retire le vernis du haut de la table.</v>
      </c>
    </row>
    <row r="23573">
      <c r="A23573" s="4" t="s">
        <v>29664</v>
      </c>
      <c r="B23573" s="4" t="s">
        <v>29668</v>
      </c>
      <c r="C23573" s="5" t="str">
        <f>IFERROR(__xludf.DUMMYFUNCTION("GOOGLETRANSLATE(B23573,""en"",""fr"")"),"Ensuite, il fait un léger ponçage de la table.")</f>
        <v>Ensuite, il fait un léger ponçage de la table.</v>
      </c>
    </row>
    <row r="23574">
      <c r="A23574" s="4" t="s">
        <v>29664</v>
      </c>
      <c r="B23574" s="4" t="s">
        <v>29669</v>
      </c>
      <c r="C23574" s="5" t="str">
        <f>IFERROR(__xludf.DUMMYFUNCTION("GOOGLETRANSLATE(B23574,""en"",""fr"")"),"Avec un tapis, il enlève la poussière.")</f>
        <v>Avec un tapis, il enlève la poussière.</v>
      </c>
    </row>
    <row r="23575">
      <c r="A23575" s="4" t="s">
        <v>29664</v>
      </c>
      <c r="B23575" s="4" t="s">
        <v>29670</v>
      </c>
      <c r="C23575" s="5" t="str">
        <f>IFERROR(__xludf.DUMMYFUNCTION("GOOGLETRANSLATE(B23575,""en"",""fr"")"),"Portant des gants, il applique une tache à la table.")</f>
        <v>Portant des gants, il applique une tache à la table.</v>
      </c>
    </row>
    <row r="23576">
      <c r="A23576" s="4" t="s">
        <v>29664</v>
      </c>
      <c r="B23576" s="4" t="s">
        <v>29671</v>
      </c>
      <c r="C23576" s="5" t="str">
        <f>IFERROR(__xludf.DUMMYFUNCTION("GOOGLETRANSLATE(B23576,""en"",""fr"")"),"Enfin, il polit la table et montre son résultat final.")</f>
        <v>Enfin, il polit la table et montre son résultat final.</v>
      </c>
    </row>
    <row r="23577">
      <c r="A23577" s="4" t="s">
        <v>29672</v>
      </c>
      <c r="B23577" s="6" t="s">
        <v>29673</v>
      </c>
      <c r="C23577" s="5" t="str">
        <f>IFERROR(__xludf.DUMMYFUNCTION("GOOGLETRANSLATE(B23577,""en"",""fr"")"),"Mme Smith donne une interview en parlant de levage de poids, elle explique comment elle a commencé vers 12 ans.")</f>
        <v>Mme Smith donne une interview en parlant de levage de poids, elle explique comment elle a commencé vers 12 ans.</v>
      </c>
    </row>
    <row r="23578">
      <c r="A23578" s="4" t="s">
        <v>29672</v>
      </c>
      <c r="B23578" s="4" t="s">
        <v>29674</v>
      </c>
      <c r="C23578" s="5" t="str">
        <f>IFERROR(__xludf.DUMMYFUNCTION("GOOGLETRANSLATE(B23578,""en"",""fr"")"),"L'entraîneur parle brièvement de la façon dont ils leur donnent un repos avant chaque compétition.")</f>
        <v>L'entraîneur parle brièvement de la façon dont ils leur donnent un repos avant chaque compétition.</v>
      </c>
    </row>
    <row r="23579">
      <c r="A23579" s="4" t="s">
        <v>29672</v>
      </c>
      <c r="B23579" s="4" t="s">
        <v>29675</v>
      </c>
      <c r="C23579" s="5" t="str">
        <f>IFERROR(__xludf.DUMMYFUNCTION("GOOGLETRANSLATE(B23579,""en"",""fr"")"),"Elle soulève le poids au-dessus de sa tête et le laisse tomber avec son uniforme.")</f>
        <v>Elle soulève le poids au-dessus de sa tête et le laisse tomber avec son uniforme.</v>
      </c>
    </row>
    <row r="23580">
      <c r="A23580" s="4" t="s">
        <v>29672</v>
      </c>
      <c r="B23580" s="6" t="s">
        <v>29676</v>
      </c>
      <c r="C23580" s="5" t="str">
        <f>IFERROR(__xludf.DUMMYFUNCTION("GOOGLETRANSLATE(B23580,""en"",""fr"")"),"Tout le monde couple pour elle, puis vous entendez de l'entraîneur et de l'entraîneur avant la fin de l'entretien.")</f>
        <v>Tout le monde couple pour elle, puis vous entendez de l'entraîneur et de l'entraîneur avant la fin de l'entretien.</v>
      </c>
    </row>
    <row r="23581">
      <c r="A23581" s="4" t="s">
        <v>29677</v>
      </c>
      <c r="B23581" s="4" t="s">
        <v>29678</v>
      </c>
      <c r="C23581" s="5" t="str">
        <f>IFERROR(__xludf.DUMMYFUNCTION("GOOGLETRANSLATE(B23581,""en"",""fr"")"),"Une vue nocturne d'une ville est montrée à travers une fenêtre.")</f>
        <v>Une vue nocturne d'une ville est montrée à travers une fenêtre.</v>
      </c>
    </row>
    <row r="23582">
      <c r="A23582" s="4" t="s">
        <v>29677</v>
      </c>
      <c r="B23582" s="4" t="s">
        <v>29679</v>
      </c>
      <c r="C23582" s="5" t="str">
        <f>IFERROR(__xludf.DUMMYFUNCTION("GOOGLETRANSLATE(B23582,""en"",""fr"")"),"Un homme en manteau d'un chef se tient dans une cuisine en parlant à la caméra.")</f>
        <v>Un homme en manteau d'un chef se tient dans une cuisine en parlant à la caméra.</v>
      </c>
    </row>
    <row r="23583">
      <c r="A23583" s="4" t="s">
        <v>29677</v>
      </c>
      <c r="B23583" s="4" t="s">
        <v>29680</v>
      </c>
      <c r="C23583" s="5" t="str">
        <f>IFERROR(__xludf.DUMMYFUNCTION("GOOGLETRANSLATE(B23583,""en"",""fr"")"),"Une crêpe est représentée avec du sirop versé dessus.")</f>
        <v>Une crêpe est représentée avec du sirop versé dessus.</v>
      </c>
    </row>
    <row r="23584">
      <c r="A23584" s="4" t="s">
        <v>29677</v>
      </c>
      <c r="B23584" s="4" t="s">
        <v>29681</v>
      </c>
      <c r="C23584" s="5" t="str">
        <f>IFERROR(__xludf.DUMMYFUNCTION("GOOGLETRANSLATE(B23584,""en"",""fr"")"),"Les ingrédients sont placés dans un bol.")</f>
        <v>Les ingrédients sont placés dans un bol.</v>
      </c>
    </row>
    <row r="23585">
      <c r="A23585" s="4" t="s">
        <v>29677</v>
      </c>
      <c r="B23585" s="4" t="s">
        <v>29682</v>
      </c>
      <c r="C23585" s="5" t="str">
        <f>IFERROR(__xludf.DUMMYFUNCTION("GOOGLETRANSLATE(B23585,""en"",""fr"")"),"L'homme se fissure un œuf et fouette les ingrédients dans un bol.")</f>
        <v>L'homme se fissure un œuf et fouette les ingrédients dans un bol.</v>
      </c>
    </row>
    <row r="23586">
      <c r="A23586" s="4" t="s">
        <v>29677</v>
      </c>
      <c r="B23586" s="4" t="s">
        <v>29683</v>
      </c>
      <c r="C23586" s="5" t="str">
        <f>IFERROR(__xludf.DUMMYFUNCTION("GOOGLETRANSLATE(B23586,""en"",""fr"")"),"Une louche est montrée à côté du bol.")</f>
        <v>Une louche est montrée à côté du bol.</v>
      </c>
    </row>
    <row r="23587">
      <c r="A23587" s="4" t="s">
        <v>29677</v>
      </c>
      <c r="B23587" s="4" t="s">
        <v>29684</v>
      </c>
      <c r="C23587" s="5" t="str">
        <f>IFERROR(__xludf.DUMMYFUNCTION("GOOGLETRANSLATE(B23587,""en"",""fr"")"),"L'homme loue la pâte à crêpes sur la plaque chauffante.")</f>
        <v>L'homme loue la pâte à crêpes sur la plaque chauffante.</v>
      </c>
    </row>
    <row r="23588">
      <c r="A23588" s="4" t="s">
        <v>29677</v>
      </c>
      <c r="B23588" s="4" t="s">
        <v>29685</v>
      </c>
      <c r="C23588" s="5" t="str">
        <f>IFERROR(__xludf.DUMMYFUNCTION("GOOGLETRANSLATE(B23588,""en"",""fr"")"),"L'homme retourne les crêpes.")</f>
        <v>L'homme retourne les crêpes.</v>
      </c>
    </row>
    <row r="23589">
      <c r="A23589" s="4" t="s">
        <v>29677</v>
      </c>
      <c r="B23589" s="4" t="s">
        <v>29686</v>
      </c>
      <c r="C23589" s="5" t="str">
        <f>IFERROR(__xludf.DUMMYFUNCTION("GOOGLETRANSLATE(B23589,""en"",""fr"")"),"La crêpe est placée sur une assiette et le sirop est versé dessus.")</f>
        <v>La crêpe est placée sur une assiette et le sirop est versé dessus.</v>
      </c>
    </row>
    <row r="23590">
      <c r="A23590" s="4" t="s">
        <v>29677</v>
      </c>
      <c r="B23590" s="4" t="s">
        <v>29687</v>
      </c>
      <c r="C23590" s="5" t="str">
        <f>IFERROR(__xludf.DUMMYFUNCTION("GOOGLETRANSLATE(B23590,""en"",""fr"")"),"L'homme est montré en mangeant un morceau de crêpe.")</f>
        <v>L'homme est montré en mangeant un morceau de crêpe.</v>
      </c>
    </row>
    <row r="23591">
      <c r="A23591" s="4" t="s">
        <v>29677</v>
      </c>
      <c r="B23591" s="4" t="s">
        <v>29688</v>
      </c>
      <c r="C23591" s="5" t="str">
        <f>IFERROR(__xludf.DUMMYFUNCTION("GOOGLETRANSLATE(B23591,""en"",""fr"")"),"L'homme continue de parler à la caméra tout en tenant un morceau de crêpe.")</f>
        <v>L'homme continue de parler à la caméra tout en tenant un morceau de crêpe.</v>
      </c>
    </row>
    <row r="23592">
      <c r="A23592" s="4" t="s">
        <v>29677</v>
      </c>
      <c r="B23592" s="4" t="s">
        <v>29689</v>
      </c>
      <c r="C23592" s="5" t="str">
        <f>IFERROR(__xludf.DUMMYFUNCTION("GOOGLETRANSLATE(B23592,""en"",""fr"")"),"Un studio de télévision est montré.")</f>
        <v>Un studio de télévision est montré.</v>
      </c>
    </row>
    <row r="23593">
      <c r="A23593" s="4" t="s">
        <v>29690</v>
      </c>
      <c r="B23593" s="4" t="s">
        <v>29691</v>
      </c>
      <c r="C23593" s="5" t="str">
        <f>IFERROR(__xludf.DUMMYFUNCTION("GOOGLETRANSLATE(B23593,""en"",""fr"")"),"Un jeune homme avec des bols du syndrome de Downs.")</f>
        <v>Un jeune homme avec des bols du syndrome de Downs.</v>
      </c>
    </row>
    <row r="23594">
      <c r="A23594" s="4" t="s">
        <v>29690</v>
      </c>
      <c r="B23594" s="4" t="s">
        <v>29692</v>
      </c>
      <c r="C23594" s="5" t="str">
        <f>IFERROR(__xludf.DUMMYFUNCTION("GOOGLETRANSLATE(B23594,""en"",""fr"")"),"Un autre jeune homme lance une boule de bowling.")</f>
        <v>Un autre jeune homme lance une boule de bowling.</v>
      </c>
    </row>
    <row r="23595">
      <c r="A23595" s="4" t="s">
        <v>29690</v>
      </c>
      <c r="B23595" s="4" t="s">
        <v>29693</v>
      </c>
      <c r="C23595" s="5" t="str">
        <f>IFERROR(__xludf.DUMMYFUNCTION("GOOGLETRANSLATE(B23595,""en"",""fr"")"),"Le premier jeune homme célèbre après un lancer réussi.")</f>
        <v>Le premier jeune homme célèbre après un lancer réussi.</v>
      </c>
    </row>
    <row r="23596">
      <c r="A23596" s="4" t="s">
        <v>29694</v>
      </c>
      <c r="B23596" s="6" t="s">
        <v>29695</v>
      </c>
      <c r="C23596" s="5" t="str">
        <f>IFERROR(__xludf.DUMMYFUNCTION("GOOGLETRANSLATE(B23596,""en"",""fr"")"),"L'homme se tient devant une voiture grise dans un atelier changeant une roue de voiture et parle à la caméra.")</f>
        <v>L'homme se tient devant une voiture grise dans un atelier changeant une roue de voiture et parle à la caméra.</v>
      </c>
    </row>
    <row r="23597">
      <c r="A23597" s="4" t="s">
        <v>29694</v>
      </c>
      <c r="B23597" s="6" t="s">
        <v>29696</v>
      </c>
      <c r="C23597" s="5" t="str">
        <f>IFERROR(__xludf.DUMMYFUNCTION("GOOGLETRANSLATE(B23597,""en"",""fr"")"),"Tout d'abord, l'homme attrape un cric hiyraulique et le met sous la voiture, dévisse les boulons avec une attelle de roue et retire le volant et montez le nouveau, remettez les vis avec l'accroissement de la roue et se resserre.")</f>
        <v>Tout d'abord, l'homme attrape un cric hiyraulique et le met sous la voiture, dévisse les boulons avec une attelle de roue et retire le volant et montez le nouveau, remettez les vis avec l'accroissement de la roue et se resserre.</v>
      </c>
    </row>
    <row r="23598">
      <c r="A23598" s="4" t="s">
        <v>29694</v>
      </c>
      <c r="B23598" s="4" t="s">
        <v>29697</v>
      </c>
      <c r="C23598" s="5" t="str">
        <f>IFERROR(__xludf.DUMMYFUNCTION("GOOGLETRANSLATE(B23598,""en"",""fr"")"),"L'homme parle devant la voiture et donne des recommandations.")</f>
        <v>L'homme parle devant la voiture et donne des recommandations.</v>
      </c>
    </row>
    <row r="23599">
      <c r="A23599" s="4" t="s">
        <v>29698</v>
      </c>
      <c r="B23599" s="4" t="s">
        <v>1251</v>
      </c>
      <c r="C23599" s="5" t="str">
        <f>IFERROR(__xludf.DUMMYFUNCTION("GOOGLETRANSLATE(B23599,""en"",""fr"")"),"Les crédits du clip sont affichés.")</f>
        <v>Les crédits du clip sont affichés.</v>
      </c>
    </row>
    <row r="23600">
      <c r="A23600" s="4" t="s">
        <v>29698</v>
      </c>
      <c r="B23600" s="4" t="s">
        <v>29699</v>
      </c>
      <c r="C23600" s="5" t="str">
        <f>IFERROR(__xludf.DUMMYFUNCTION("GOOGLETRANSLATE(B23600,""en"",""fr"")"),"Un gars s'assoit sur le sol et parle.")</f>
        <v>Un gars s'assoit sur le sol et parle.</v>
      </c>
    </row>
    <row r="23601">
      <c r="A23601" s="4" t="s">
        <v>29698</v>
      </c>
      <c r="B23601" s="4" t="s">
        <v>29700</v>
      </c>
      <c r="C23601" s="5" t="str">
        <f>IFERROR(__xludf.DUMMYFUNCTION("GOOGLETRANSLATE(B23601,""en"",""fr"")"),"Le gars se couche et s'assoit.")</f>
        <v>Le gars se couche et s'assoit.</v>
      </c>
    </row>
    <row r="23602">
      <c r="A23602" s="4" t="s">
        <v>29698</v>
      </c>
      <c r="B23602" s="4" t="s">
        <v>29701</v>
      </c>
      <c r="C23602" s="5" t="str">
        <f>IFERROR(__xludf.DUMMYFUNCTION("GOOGLETRANSLATE(B23602,""en"",""fr"")"),"Le gars retourne en position assise.")</f>
        <v>Le gars retourne en position assise.</v>
      </c>
    </row>
    <row r="23603">
      <c r="A23603" s="4" t="s">
        <v>29698</v>
      </c>
      <c r="B23603" s="4" t="s">
        <v>29702</v>
      </c>
      <c r="C23603" s="5" t="str">
        <f>IFERROR(__xludf.DUMMYFUNCTION("GOOGLETRANSLATE(B23603,""en"",""fr"")"),"Les crédits de la vidéo et une image sont affichés.")</f>
        <v>Les crédits de la vidéo et une image sont affichés.</v>
      </c>
    </row>
    <row r="23604">
      <c r="A23604" s="4" t="s">
        <v>29703</v>
      </c>
      <c r="B23604" s="6" t="s">
        <v>29704</v>
      </c>
      <c r="C23604" s="5" t="str">
        <f>IFERROR(__xludf.DUMMYFUNCTION("GOOGLETRANSLATE(B23604,""en"",""fr"")"),"Une femelle de caucasie est assise sur une chaise tournant autour de la montre de son long coiffure blonde, elle est épinglée à droite et a des boucles en bas.")</f>
        <v>Une femelle de caucasie est assise sur une chaise tournant autour de la montre de son long coiffure blonde, elle est épinglée à droite et a des boucles en bas.</v>
      </c>
    </row>
    <row r="23605">
      <c r="A23605" s="4" t="s">
        <v>29703</v>
      </c>
      <c r="B23605" s="6" t="s">
        <v>29705</v>
      </c>
      <c r="C23605" s="5" t="str">
        <f>IFERROR(__xludf.DUMMYFUNCTION("GOOGLETRANSLATE(B23605,""en"",""fr"")"),"Sur l'écran suivant, une femme commence à saisir le fond et à la faire rouler de bas à environ trois pouces et la scelle avec un morceau de papier d'aluminium.")</f>
        <v>Sur l'écran suivant, une femme commence à saisir le fond et à la faire rouler de bas à environ trois pouces et la scelle avec un morceau de papier d'aluminium.</v>
      </c>
    </row>
    <row r="23606">
      <c r="A23606" s="4" t="s">
        <v>29703</v>
      </c>
      <c r="B23606" s="4" t="s">
        <v>29706</v>
      </c>
      <c r="C23606" s="5" t="str">
        <f>IFERROR(__xludf.DUMMYFUNCTION("GOOGLETRANSLATE(B23606,""en"",""fr"")"),"Une fois que les cheveux sont repliés dans un papier d'aluminium, la dame prend un fer plat et la passe sur le papier d'aluminium.")</f>
        <v>Une fois que les cheveux sont repliés dans un papier d'aluminium, la dame prend un fer plat et la passe sur le papier d'aluminium.</v>
      </c>
    </row>
    <row r="23607">
      <c r="A23607" s="4" t="s">
        <v>29703</v>
      </c>
      <c r="B23607" s="6" t="s">
        <v>29707</v>
      </c>
      <c r="C23607" s="5" t="str">
        <f>IFERROR(__xludf.DUMMYFUNCTION("GOOGLETRANSLATE(B23607,""en"",""fr"")"),"Comme la scène suivante vient, la dame est représentée avec huit boucles déjouées dans sa tête qui sont scellées avec des épingles à cheveux longues.")</f>
        <v>Comme la scène suivante vient, la dame est représentée avec huit boucles déjouées dans sa tête qui sont scellées avec des épingles à cheveux longues.</v>
      </c>
    </row>
    <row r="23608">
      <c r="A23608" s="4" t="s">
        <v>29703</v>
      </c>
      <c r="B23608" s="4" t="s">
        <v>29708</v>
      </c>
      <c r="C23608" s="5" t="str">
        <f>IFERROR(__xludf.DUMMYFUNCTION("GOOGLETRANSLATE(B23608,""en"",""fr"")"),"L'étape suivante consiste ensuite à retirer les épingles suivie de la feuille et à libérer les boucles.")</f>
        <v>L'étape suivante consiste ensuite à retirer les épingles suivie de la feuille et à libérer les boucles.</v>
      </c>
    </row>
    <row r="23609">
      <c r="A23609" s="4" t="s">
        <v>29703</v>
      </c>
      <c r="B23609" s="4" t="s">
        <v>29709</v>
      </c>
      <c r="C23609" s="5" t="str">
        <f>IFERROR(__xludf.DUMMYFUNCTION("GOOGLETRANSLATE(B23609,""en"",""fr"")"),"Enfin, le style est terminé et elle est tournée une fois de plus pour montrer le produit fini.")</f>
        <v>Enfin, le style est terminé et elle est tournée une fois de plus pour montrer le produit fini.</v>
      </c>
    </row>
    <row r="23610">
      <c r="A23610" s="4" t="s">
        <v>29710</v>
      </c>
      <c r="B23610" s="4" t="s">
        <v>29711</v>
      </c>
      <c r="C23610" s="5" t="str">
        <f>IFERROR(__xludf.DUMMYFUNCTION("GOOGLETRANSLATE(B23610,""en"",""fr"")"),"Une femme monte sur une scène bleue allumée.")</f>
        <v>Une femme monte sur une scène bleue allumée.</v>
      </c>
    </row>
    <row r="23611">
      <c r="A23611" s="4" t="s">
        <v>29710</v>
      </c>
      <c r="B23611" s="4" t="s">
        <v>29712</v>
      </c>
      <c r="C23611" s="5" t="str">
        <f>IFERROR(__xludf.DUMMYFUNCTION("GOOGLETRANSLATE(B23611,""en"",""fr"")"),"Elle commence à se retourner d'avant en arrière sur la scène.")</f>
        <v>Elle commence à se retourner d'avant en arrière sur la scène.</v>
      </c>
    </row>
    <row r="23612">
      <c r="A23612" s="4" t="s">
        <v>29710</v>
      </c>
      <c r="B23612" s="4" t="s">
        <v>29713</v>
      </c>
      <c r="C23612" s="5" t="str">
        <f>IFERROR(__xludf.DUMMYFUNCTION("GOOGLETRANSLATE(B23612,""en"",""fr"")"),"Elle tourne et tournoie un bâton pendant qu'elle se produit avant de disparaître.")</f>
        <v>Elle tourne et tournoie un bâton pendant qu'elle se produit avant de disparaître.</v>
      </c>
    </row>
    <row r="23613">
      <c r="A23613" s="4" t="s">
        <v>29714</v>
      </c>
      <c r="B23613" s="4" t="s">
        <v>29715</v>
      </c>
      <c r="C23613" s="5" t="str">
        <f>IFERROR(__xludf.DUMMYFUNCTION("GOOGLETRANSLATE(B23613,""en"",""fr"")"),"Une femme se brosse les cheveux avec sa main.")</f>
        <v>Une femme se brosse les cheveux avec sa main.</v>
      </c>
    </row>
    <row r="23614">
      <c r="A23614" s="4" t="s">
        <v>29714</v>
      </c>
      <c r="B23614" s="4" t="s">
        <v>29716</v>
      </c>
      <c r="C23614" s="5" t="str">
        <f>IFERROR(__xludf.DUMMYFUNCTION("GOOGLETRANSLATE(B23614,""en"",""fr"")"),"La femme se cache les cheveux avec un peigne.")</f>
        <v>La femme se cache les cheveux avec un peigne.</v>
      </c>
    </row>
    <row r="23615">
      <c r="A23615" s="4" t="s">
        <v>29714</v>
      </c>
      <c r="B23615" s="4" t="s">
        <v>29717</v>
      </c>
      <c r="C23615" s="5" t="str">
        <f>IFERROR(__xludf.DUMMYFUNCTION("GOOGLETRANSLATE(B23615,""en"",""fr"")"),"Le peignage est indiqué au ralenti.")</f>
        <v>Le peignage est indiqué au ralenti.</v>
      </c>
    </row>
    <row r="23616">
      <c r="A23616" s="4" t="s">
        <v>29718</v>
      </c>
      <c r="B23616" s="6" t="s">
        <v>29719</v>
      </c>
      <c r="C23616" s="5" t="str">
        <f>IFERROR(__xludf.DUMMYFUNCTION("GOOGLETRANSLATE(B23616,""en"",""fr"")"),"Les garçons et les filles sont sur scène en faisant une chorégraphie de pom-pom girl dans une compétition pendant que les gens dans les stands les regardent.")</f>
        <v>Les garçons et les filles sont sur scène en faisant une chorégraphie de pom-pom girl dans une compétition pendant que les gens dans les stands les regardent.</v>
      </c>
    </row>
    <row r="23617">
      <c r="A23617" s="4" t="s">
        <v>29718</v>
      </c>
      <c r="B23617" s="4" t="s">
        <v>29720</v>
      </c>
      <c r="C23617" s="5" t="str">
        <f>IFERROR(__xludf.DUMMYFUNCTION("GOOGLETRANSLATE(B23617,""en"",""fr"")"),"Des hommes portant des uniformes noirs se tiennent derrière l'équipe de joie.")</f>
        <v>Des hommes portant des uniformes noirs se tiennent derrière l'équipe de joie.</v>
      </c>
    </row>
    <row r="23618">
      <c r="A23618" s="4" t="s">
        <v>29721</v>
      </c>
      <c r="B23618" s="4" t="s">
        <v>29722</v>
      </c>
      <c r="C23618" s="5" t="str">
        <f>IFERROR(__xludf.DUMMYFUNCTION("GOOGLETRANSLATE(B23618,""en"",""fr"")"),"Un homme parle devant un immeuble de bureaux.")</f>
        <v>Un homme parle devant un immeuble de bureaux.</v>
      </c>
    </row>
    <row r="23619">
      <c r="A23619" s="4" t="s">
        <v>29721</v>
      </c>
      <c r="B23619" s="4" t="s">
        <v>29723</v>
      </c>
      <c r="C23619" s="5" t="str">
        <f>IFERROR(__xludf.DUMMYFUNCTION("GOOGLETRANSLATE(B23619,""en"",""fr"")"),"L'homme entre dans le bâtiment et monte dans l'escalier.")</f>
        <v>L'homme entre dans le bâtiment et monte dans l'escalier.</v>
      </c>
    </row>
    <row r="23620">
      <c r="A23620" s="4" t="s">
        <v>29721</v>
      </c>
      <c r="B23620" s="4" t="s">
        <v>29724</v>
      </c>
      <c r="C23620" s="5" t="str">
        <f>IFERROR(__xludf.DUMMYFUNCTION("GOOGLETRANSLATE(B23620,""en"",""fr"")"),"L'homme entre dans la salle de gym.")</f>
        <v>L'homme entre dans la salle de gym.</v>
      </c>
    </row>
    <row r="23621">
      <c r="A23621" s="4" t="s">
        <v>29721</v>
      </c>
      <c r="B23621" s="4" t="s">
        <v>29725</v>
      </c>
      <c r="C23621" s="5" t="str">
        <f>IFERROR(__xludf.DUMMYFUNCTION("GOOGLETRANSLATE(B23621,""en"",""fr"")"),"Les gens roulent sur des vélos stationnaires et regardent une télévision au gymnase.")</f>
        <v>Les gens roulent sur des vélos stationnaires et regardent une télévision au gymnase.</v>
      </c>
    </row>
    <row r="23622">
      <c r="A23622" s="4" t="s">
        <v>29726</v>
      </c>
      <c r="B23622" s="4" t="s">
        <v>29727</v>
      </c>
      <c r="C23622" s="5" t="str">
        <f>IFERROR(__xludf.DUMMYFUNCTION("GOOGLETRANSLATE(B23622,""en"",""fr"")"),"Les fournitures de cirage à chaussures dans un magasin, puis les gens dans une salle de classe reçoivent des instructions sur le vernis à chaussures.")</f>
        <v>Les fournitures de cirage à chaussures dans un magasin, puis les gens dans une salle de classe reçoivent des instructions sur le vernis à chaussures.</v>
      </c>
    </row>
    <row r="23623">
      <c r="A23623" s="4" t="s">
        <v>29726</v>
      </c>
      <c r="B23623" s="4" t="s">
        <v>29728</v>
      </c>
      <c r="C23623" s="5" t="str">
        <f>IFERROR(__xludf.DUMMYFUNCTION("GOOGLETRANSLATE(B23623,""en"",""fr"")"),"L'enseignant montre à polir une botte à l'aide d'un tissu.")</f>
        <v>L'enseignant montre à polir une botte à l'aide d'un tissu.</v>
      </c>
    </row>
    <row r="23624">
      <c r="A23624" s="4" t="s">
        <v>29726</v>
      </c>
      <c r="B23624" s="4" t="s">
        <v>29729</v>
      </c>
      <c r="C23624" s="5" t="str">
        <f>IFERROR(__xludf.DUMMYFUNCTION("GOOGLETRANSLATE(B23624,""en"",""fr"")"),"Ensuite, une fille polisse la chaussure d'une femme utilisant un tissu.")</f>
        <v>Ensuite, une fille polisse la chaussure d'une femme utilisant un tissu.</v>
      </c>
    </row>
    <row r="23625">
      <c r="A23625" s="4" t="s">
        <v>29726</v>
      </c>
      <c r="B23625" s="4" t="s">
        <v>29730</v>
      </c>
      <c r="C23625" s="5" t="str">
        <f>IFERROR(__xludf.DUMMYFUNCTION("GOOGLETRANSLATE(B23625,""en"",""fr"")"),"Une personne prend des photos et un film de caméraman.")</f>
        <v>Une personne prend des photos et un film de caméraman.</v>
      </c>
    </row>
    <row r="23626">
      <c r="A23626" s="4" t="s">
        <v>29726</v>
      </c>
      <c r="B23626" s="4" t="s">
        <v>29731</v>
      </c>
      <c r="C23626" s="5" t="str">
        <f>IFERROR(__xludf.DUMMYFUNCTION("GOOGLETRANSLATE(B23626,""en"",""fr"")"),"Après, les gens pratiquent le vernis à chaussures en groupe.")</f>
        <v>Après, les gens pratiquent le vernis à chaussures en groupe.</v>
      </c>
    </row>
    <row r="23627">
      <c r="A23627" s="4" t="s">
        <v>29732</v>
      </c>
      <c r="B23627" s="4" t="s">
        <v>29733</v>
      </c>
      <c r="C23627" s="5" t="str">
        <f>IFERROR(__xludf.DUMMYFUNCTION("GOOGLETRANSLATE(B23627,""en"",""fr"")"),"Nous voyons l'écran d'ouverture sur Orange.")</f>
        <v>Nous voyons l'écran d'ouverture sur Orange.</v>
      </c>
    </row>
    <row r="23628">
      <c r="A23628" s="4" t="s">
        <v>29732</v>
      </c>
      <c r="B23628" s="4" t="s">
        <v>29734</v>
      </c>
      <c r="C23628" s="5" t="str">
        <f>IFERROR(__xludf.DUMMYFUNCTION("GOOGLETRANSLATE(B23628,""en"",""fr"")"),"Une dame cuisine dans une cuisine.")</f>
        <v>Une dame cuisine dans une cuisine.</v>
      </c>
    </row>
    <row r="23629">
      <c r="A23629" s="4" t="s">
        <v>29732</v>
      </c>
      <c r="B23629" s="4" t="s">
        <v>29735</v>
      </c>
      <c r="C23629" s="5" t="str">
        <f>IFERROR(__xludf.DUMMYFUNCTION("GOOGLETRANSLATE(B23629,""en"",""fr"")"),"La dame verse des ingrédients dans un bol et remue.")</f>
        <v>La dame verse des ingrédients dans un bol et remue.</v>
      </c>
    </row>
    <row r="23630">
      <c r="A23630" s="4" t="s">
        <v>29732</v>
      </c>
      <c r="B23630" s="4" t="s">
        <v>29736</v>
      </c>
      <c r="C23630" s="5" t="str">
        <f>IFERROR(__xludf.DUMMYFUNCTION("GOOGLETRANSLATE(B23630,""en"",""fr"")"),"La dame remue un mélange d'oeufs et le mélange avec son arc d'origine.")</f>
        <v>La dame remue un mélange d'oeufs et le mélange avec son arc d'origine.</v>
      </c>
    </row>
    <row r="23631">
      <c r="A23631" s="4" t="s">
        <v>29732</v>
      </c>
      <c r="B23631" s="4" t="s">
        <v>29737</v>
      </c>
      <c r="C23631" s="5" t="str">
        <f>IFERROR(__xludf.DUMMYFUNCTION("GOOGLETRANSLATE(B23631,""en"",""fr"")"),"Elle le met dans une casserole en verre et met la casserole dans le four.")</f>
        <v>Elle le met dans une casserole en verre et met la casserole dans le four.</v>
      </c>
    </row>
    <row r="23632">
      <c r="A23632" s="4" t="s">
        <v>29732</v>
      </c>
      <c r="B23632" s="4" t="s">
        <v>14638</v>
      </c>
      <c r="C23632" s="5" t="str">
        <f>IFERROR(__xludf.DUMMYFUNCTION("GOOGLETRANSLATE(B23632,""en"",""fr"")"),"Nous voyons ensuite le produit fini.")</f>
        <v>Nous voyons ensuite le produit fini.</v>
      </c>
    </row>
    <row r="23633">
      <c r="A23633" s="4" t="s">
        <v>29738</v>
      </c>
      <c r="B23633" s="4" t="s">
        <v>5833</v>
      </c>
      <c r="C23633" s="5" t="str">
        <f>IFERROR(__xludf.DUMMYFUNCTION("GOOGLETRANSLATE(B23633,""en"",""fr"")"),"Une femme est debout dans une cuisine.")</f>
        <v>Une femme est debout dans une cuisine.</v>
      </c>
    </row>
    <row r="23634">
      <c r="A23634" s="4" t="s">
        <v>29738</v>
      </c>
      <c r="B23634" s="4" t="s">
        <v>29739</v>
      </c>
      <c r="C23634" s="5" t="str">
        <f>IFERROR(__xludf.DUMMYFUNCTION("GOOGLETRANSLATE(B23634,""en"",""fr"")"),"Elle commence à danser dans la cuisine.")</f>
        <v>Elle commence à danser dans la cuisine.</v>
      </c>
    </row>
    <row r="23635">
      <c r="A23635" s="4" t="s">
        <v>29738</v>
      </c>
      <c r="B23635" s="4" t="s">
        <v>29740</v>
      </c>
      <c r="C23635" s="5" t="str">
        <f>IFERROR(__xludf.DUMMYFUNCTION("GOOGLETRANSLATE(B23635,""en"",""fr"")"),"Elle commence à nettoyer le sol pendant qu'elle danse.")</f>
        <v>Elle commence à nettoyer le sol pendant qu'elle danse.</v>
      </c>
    </row>
    <row r="23636">
      <c r="A23636" s="4" t="s">
        <v>29741</v>
      </c>
      <c r="B23636" s="4" t="s">
        <v>29742</v>
      </c>
      <c r="C23636" s="5" t="str">
        <f>IFERROR(__xludf.DUMMYFUNCTION("GOOGLETRANSLATE(B23636,""en"",""fr"")"),"Les gens s'entraînent dans un gymnase.")</f>
        <v>Les gens s'entraînent dans un gymnase.</v>
      </c>
    </row>
    <row r="23637">
      <c r="A23637" s="4" t="s">
        <v>29741</v>
      </c>
      <c r="B23637" s="4" t="s">
        <v>29743</v>
      </c>
      <c r="C23637" s="5" t="str">
        <f>IFERROR(__xludf.DUMMYFUNCTION("GOOGLETRANSLATE(B23637,""en"",""fr"")"),"Ils s'éloignent et descendent des tabourets de pas noirs.")</f>
        <v>Ils s'éloignent et descendent des tabourets de pas noirs.</v>
      </c>
    </row>
    <row r="23638">
      <c r="A23638" s="4" t="s">
        <v>29741</v>
      </c>
      <c r="B23638" s="4" t="s">
        <v>29744</v>
      </c>
      <c r="C23638" s="5" t="str">
        <f>IFERROR(__xludf.DUMMYFUNCTION("GOOGLETRANSLATE(B23638,""en"",""fr"")"),"Ils lèvent les mains et cessent de danser.")</f>
        <v>Ils lèvent les mains et cessent de danser.</v>
      </c>
    </row>
    <row r="23639">
      <c r="A23639" s="4" t="s">
        <v>29745</v>
      </c>
      <c r="B23639" s="4" t="s">
        <v>29746</v>
      </c>
      <c r="C23639" s="5" t="str">
        <f>IFERROR(__xludf.DUMMYFUNCTION("GOOGLETRANSLATE(B23639,""en"",""fr"")"),"Un gros plan de feuilles est montré suivi par une femme les ratissant et parlant à la caméra.")</f>
        <v>Un gros plan de feuilles est montré suivi par une femme les ratissant et parlant à la caméra.</v>
      </c>
    </row>
    <row r="23640">
      <c r="A23640" s="4" t="s">
        <v>29745</v>
      </c>
      <c r="B23640" s="4" t="s">
        <v>29747</v>
      </c>
      <c r="C23640" s="5" t="str">
        <f>IFERROR(__xludf.DUMMYFUNCTION("GOOGLETRANSLATE(B23640,""en"",""fr"")"),"La femme continue de ratir tout en parlant à la caméra en arrière et quatrième.")</f>
        <v>La femme continue de ratir tout en parlant à la caméra en arrière et quatrième.</v>
      </c>
    </row>
    <row r="23641">
      <c r="A23641" s="4" t="s">
        <v>29745</v>
      </c>
      <c r="B23641" s="4" t="s">
        <v>29748</v>
      </c>
      <c r="C23641" s="5" t="str">
        <f>IFERROR(__xludf.DUMMYFUNCTION("GOOGLETRANSLATE(B23641,""en"",""fr"")"),"Elle montre ses piles ainsi que la pelouse propre tout en parlant à la caméra.")</f>
        <v>Elle montre ses piles ainsi que la pelouse propre tout en parlant à la caméra.</v>
      </c>
    </row>
    <row r="23642">
      <c r="A23642" s="4" t="s">
        <v>29749</v>
      </c>
      <c r="B23642" s="4" t="s">
        <v>29750</v>
      </c>
      <c r="C23642" s="5" t="str">
        <f>IFERROR(__xludf.DUMMYFUNCTION("GOOGLETRANSLATE(B23642,""en"",""fr"")"),"Une femme d'âge moyen portant un casque parle à la caméra tout en remontant avec une cuillère.")</f>
        <v>Une femme d'âge moyen portant un casque parle à la caméra tout en remontant avec une cuillère.</v>
      </c>
    </row>
    <row r="23643">
      <c r="A23643" s="4" t="s">
        <v>29749</v>
      </c>
      <c r="B23643" s="4" t="s">
        <v>29751</v>
      </c>
      <c r="C23643" s="5" t="str">
        <f>IFERROR(__xludf.DUMMYFUNCTION("GOOGLETRANSLATE(B23643,""en"",""fr"")"),"Elle prend quelques gorgées d'une tasse tout en parlant à la caméra.")</f>
        <v>Elle prend quelques gorgées d'une tasse tout en parlant à la caméra.</v>
      </c>
    </row>
    <row r="23644">
      <c r="A23644" s="4" t="s">
        <v>29749</v>
      </c>
      <c r="B23644" s="4" t="s">
        <v>29752</v>
      </c>
      <c r="C23644" s="5" t="str">
        <f>IFERROR(__xludf.DUMMYFUNCTION("GOOGLETRANSLATE(B23644,""en"",""fr"")"),"Elle le fait une fois de plus avant d'éteindre la caméra.")</f>
        <v>Elle le fait une fois de plus avant d'éteindre la caméra.</v>
      </c>
    </row>
    <row r="23645">
      <c r="A23645" s="4" t="s">
        <v>29753</v>
      </c>
      <c r="B23645" s="4" t="s">
        <v>29754</v>
      </c>
      <c r="C23645" s="5" t="str">
        <f>IFERROR(__xludf.DUMMYFUNCTION("GOOGLETRANSLATE(B23645,""en"",""fr"")"),"Les gens pratiquent le ballet dans un studio seul et en couples.")</f>
        <v>Les gens pratiquent le ballet dans un studio seul et en couples.</v>
      </c>
    </row>
    <row r="23646">
      <c r="A23646" s="4" t="s">
        <v>29753</v>
      </c>
      <c r="B23646" s="4" t="s">
        <v>29755</v>
      </c>
      <c r="C23646" s="5" t="str">
        <f>IFERROR(__xludf.DUMMYFUNCTION("GOOGLETRANSLATE(B23646,""en"",""fr"")"),"Puis, un garçon et une fille dansent du ballet, puis un homme entre et danse avec la fille.")</f>
        <v>Puis, un garçon et une fille dansent du ballet, puis un homme entre et danse avec la fille.</v>
      </c>
    </row>
    <row r="23647">
      <c r="A23647" s="4" t="s">
        <v>29753</v>
      </c>
      <c r="B23647" s="4" t="s">
        <v>29756</v>
      </c>
      <c r="C23647" s="5" t="str">
        <f>IFERROR(__xludf.DUMMYFUNCTION("GOOGLETRANSLATE(B23647,""en"",""fr"")"),"Après, plusieurs couples dansent du ballet tandis que d'autres personnes observent.")</f>
        <v>Après, plusieurs couples dansent du ballet tandis que d'autres personnes observent.</v>
      </c>
    </row>
    <row r="23648">
      <c r="A23648" s="4" t="s">
        <v>29757</v>
      </c>
      <c r="B23648" s="6" t="s">
        <v>29758</v>
      </c>
      <c r="C23648" s="5" t="str">
        <f>IFERROR(__xludf.DUMMYFUNCTION("GOOGLETRANSLATE(B23648,""en"",""fr"")"),"Un garçon est assis dans l'eau, ses skis devant lui, tandis qu'il tient la poignée de la corde entre ses jambes.")</f>
        <v>Un garçon est assis dans l'eau, ses skis devant lui, tandis qu'il tient la poignée de la corde entre ses jambes.</v>
      </c>
    </row>
    <row r="23649">
      <c r="A23649" s="4" t="s">
        <v>29757</v>
      </c>
      <c r="B23649" s="6" t="s">
        <v>29759</v>
      </c>
      <c r="C23649" s="5" t="str">
        <f>IFERROR(__xludf.DUMMYFUNCTION("GOOGLETRANSLATE(B23649,""en"",""fr"")"),"Nous voyons un court flash-back car nous le voyons ensuite dans le bateau, puis dans l'eau, aidés avec ses skis.")</f>
        <v>Nous voyons un court flash-back car nous le voyons ensuite dans le bateau, puis dans l'eau, aidés avec ses skis.</v>
      </c>
    </row>
    <row r="23650">
      <c r="A23650" s="4" t="s">
        <v>29757</v>
      </c>
      <c r="B23650" s="6" t="s">
        <v>29760</v>
      </c>
      <c r="C23650" s="5" t="str">
        <f>IFERROR(__xludf.DUMMYFUNCTION("GOOGLETRANSLATE(B23650,""en"",""fr"")"),"Encore une fois, il est dans l'eau, et le bateau acquiert lentement la vitesse, tirant le jeune homme debout jusqu'à ce qu'il skie à pleine vitesse derrière le bateau.")</f>
        <v>Encore une fois, il est dans l'eau, et le bateau acquiert lentement la vitesse, tirant le jeune homme debout jusqu'à ce qu'il skie à pleine vitesse derrière le bateau.</v>
      </c>
    </row>
    <row r="23651">
      <c r="A23651" s="4" t="s">
        <v>29757</v>
      </c>
      <c r="B23651" s="6" t="s">
        <v>29761</v>
      </c>
      <c r="C23651" s="5" t="str">
        <f>IFERROR(__xludf.DUMMYFUNCTION("GOOGLETRANSLATE(B23651,""en"",""fr"")"),"Un homme s'approche de lui, ses bras tendus alors qu'il tient une caméra, puis un spectacle de lui avec plusieurs autres hommes dans le bateau.")</f>
        <v>Un homme s'approche de lui, ses bras tendus alors qu'il tient une caméra, puis un spectacle de lui avec plusieurs autres hommes dans le bateau.</v>
      </c>
    </row>
    <row r="23652">
      <c r="A23652" s="4" t="s">
        <v>29757</v>
      </c>
      <c r="B23652" s="6" t="s">
        <v>29762</v>
      </c>
      <c r="C23652" s="5" t="str">
        <f>IFERROR(__xludf.DUMMYFUNCTION("GOOGLETRANSLATE(B23652,""en"",""fr"")"),"Nous voyons bientôt l'homme à nouveau dans l'eau avec son bras autour des épaules du garçon, le garçon triomphant après sa balade réussie.")</f>
        <v>Nous voyons bientôt l'homme à nouveau dans l'eau avec son bras autour des épaules du garçon, le garçon triomphant après sa balade réussie.</v>
      </c>
    </row>
    <row r="23653">
      <c r="A23653" s="4" t="s">
        <v>29757</v>
      </c>
      <c r="B23653" s="4" t="s">
        <v>29763</v>
      </c>
      <c r="C23653" s="5" t="str">
        <f>IFERROR(__xludf.DUMMYFUNCTION("GOOGLETRANSLATE(B23653,""en"",""fr"")"),"Dans l'ensemble, tout le monde semblait profiter d'une excellente journée à l'extérieur, que ce soit dans le bateau ou le ski ou les deux.")</f>
        <v>Dans l'ensemble, tout le monde semblait profiter d'une excellente journée à l'extérieur, que ce soit dans le bateau ou le ski ou les deux.</v>
      </c>
    </row>
    <row r="23654">
      <c r="A23654" s="4" t="s">
        <v>29764</v>
      </c>
      <c r="B23654" s="4" t="s">
        <v>29765</v>
      </c>
      <c r="C23654" s="5" t="str">
        <f>IFERROR(__xludf.DUMMYFUNCTION("GOOGLETRANSLATE(B23654,""en"",""fr"")"),"Un grand groupe de personnes est vue debout autour d'une place avec des gens jouant au volleyball.")</f>
        <v>Un grand groupe de personnes est vue debout autour d'une place avec des gens jouant au volleyball.</v>
      </c>
    </row>
    <row r="23655">
      <c r="A23655" s="4" t="s">
        <v>29764</v>
      </c>
      <c r="B23655" s="6" t="s">
        <v>29766</v>
      </c>
      <c r="C23655" s="5" t="str">
        <f>IFERROR(__xludf.DUMMYFUNCTION("GOOGLETRANSLATE(B23655,""en"",""fr"")"),"Les gens frappent continuellement le ballon autour du champ de sable alors que la caméra se déroule autour d'eux en jouant.")</f>
        <v>Les gens frappent continuellement le ballon autour du champ de sable alors que la caméra se déroule autour d'eux en jouant.</v>
      </c>
    </row>
    <row r="23656">
      <c r="A23656" s="4" t="s">
        <v>29764</v>
      </c>
      <c r="B23656" s="4" t="s">
        <v>29767</v>
      </c>
      <c r="C23656" s="5" t="str">
        <f>IFERROR(__xludf.DUMMYFUNCTION("GOOGLETRANSLATE(B23656,""en"",""fr"")"),"La caméra se déroule dans le groupe pendant qu'ils continuent de jouer.")</f>
        <v>La caméra se déroule dans le groupe pendant qu'ils continuent de jouer.</v>
      </c>
    </row>
    <row r="23657">
      <c r="A23657" s="4" t="s">
        <v>29768</v>
      </c>
      <c r="B23657" s="6" t="s">
        <v>29769</v>
      </c>
      <c r="C23657" s="5" t="str">
        <f>IFERROR(__xludf.DUMMYFUNCTION("GOOGLETRANSLATE(B23657,""en"",""fr"")"),"Une caméra se déroule autour de l'extérieur d'un bâtiment et des environs et mène à plusieurs plans de personnes à vélo sur une piste.")</f>
        <v>Une caméra se déroule autour de l'extérieur d'un bâtiment et des environs et mène à plusieurs plans de personnes à vélo sur une piste.</v>
      </c>
    </row>
    <row r="23658">
      <c r="A23658" s="4" t="s">
        <v>29768</v>
      </c>
      <c r="B23658" s="6" t="s">
        <v>29770</v>
      </c>
      <c r="C23658" s="5" t="str">
        <f>IFERROR(__xludf.DUMMYFUNCTION("GOOGLETRANSLATE(B23658,""en"",""fr"")"),"Beaucoup de gens regardent la course sur la touche alors que les gens continuent de faire le tour de la piste et d'autres enregistrent leur temps.")</f>
        <v>Beaucoup de gens regardent la course sur la touche alors que les gens continuent de faire le tour de la piste et d'autres enregistrent leur temps.</v>
      </c>
    </row>
    <row r="23659">
      <c r="A23659" s="4" t="s">
        <v>29768</v>
      </c>
      <c r="B23659" s="4" t="s">
        <v>29771</v>
      </c>
      <c r="C23659" s="5" t="str">
        <f>IFERROR(__xludf.DUMMYFUNCTION("GOOGLETRANSLATE(B23659,""en"",""fr"")"),"Beaucoup de gens s'assoient avec un homme qui parle à un grand groupe.")</f>
        <v>Beaucoup de gens s'assoient avec un homme qui parle à un grand groupe.</v>
      </c>
    </row>
    <row r="23660">
      <c r="A23660" s="4" t="s">
        <v>29768</v>
      </c>
      <c r="B23660" s="6" t="s">
        <v>29772</v>
      </c>
      <c r="C23660" s="5" t="str">
        <f>IFERROR(__xludf.DUMMYFUNCTION("GOOGLETRANSLATE(B23660,""en"",""fr"")"),"Plus de plans de personnes qui parlent et de l'équitation sont montrés et le public les encourage dans les tribunes.")</f>
        <v>Plus de plans de personnes qui parlent et de l'équitation sont montrés et le public les encourage dans les tribunes.</v>
      </c>
    </row>
    <row r="23661">
      <c r="A23661" s="4" t="s">
        <v>29773</v>
      </c>
      <c r="B23661" s="4" t="s">
        <v>29774</v>
      </c>
      <c r="C23661" s="5" t="str">
        <f>IFERROR(__xludf.DUMMYFUNCTION("GOOGLETRANSLATE(B23661,""en"",""fr"")"),"Un homme plus âgé en t-shirt jaune se dresse près d'un garage ouvert et d'une voiture blanche garée à l'extérieur.")</f>
        <v>Un homme plus âgé en t-shirt jaune se dresse près d'un garage ouvert et d'une voiture blanche garée à l'extérieur.</v>
      </c>
    </row>
    <row r="23662">
      <c r="A23662" s="4" t="s">
        <v>29773</v>
      </c>
      <c r="B23662" s="4" t="s">
        <v>29775</v>
      </c>
      <c r="C23662" s="5" t="str">
        <f>IFERROR(__xludf.DUMMYFUNCTION("GOOGLETRANSLATE(B23662,""en"",""fr"")"),"L'homme verse de l'eau et une solution dans un seau et un réservoir de pulvérisateur de baguette.")</f>
        <v>L'homme verse de l'eau et une solution dans un seau et un réservoir de pulvérisateur de baguette.</v>
      </c>
    </row>
    <row r="23663">
      <c r="A23663" s="4" t="s">
        <v>29773</v>
      </c>
      <c r="B23663" s="4" t="s">
        <v>29776</v>
      </c>
      <c r="C23663" s="5" t="str">
        <f>IFERROR(__xludf.DUMMYFUNCTION("GOOGLETRANSLATE(B23663,""en"",""fr"")"),"L'homme commence à laver la voiture Nissan Leaf avec le pulvérisateur et l'essuie avec un chiffon.")</f>
        <v>L'homme commence à laver la voiture Nissan Leaf avec le pulvérisateur et l'essuie avec un chiffon.</v>
      </c>
    </row>
    <row r="23664">
      <c r="A23664" s="4" t="s">
        <v>29777</v>
      </c>
      <c r="B23664" s="4" t="s">
        <v>29778</v>
      </c>
      <c r="C23664" s="5" t="str">
        <f>IFERROR(__xludf.DUMMYFUNCTION("GOOGLETRANSLATE(B23664,""en"",""fr"")"),"Une fête de mariage se tient à l'avant d'une allée.")</f>
        <v>Une fête de mariage se tient à l'avant d'une allée.</v>
      </c>
    </row>
    <row r="23665">
      <c r="A23665" s="4" t="s">
        <v>29777</v>
      </c>
      <c r="B23665" s="6" t="s">
        <v>29779</v>
      </c>
      <c r="C23665" s="5" t="str">
        <f>IFERROR(__xludf.DUMMYFUNCTION("GOOGLETRANSLATE(B23665,""en"",""fr"")"),"Une paire d'hommes jouant à la cornemuse entre dans la pièce avant que la mariée ne fasse son entrée avec son père.")</f>
        <v>Une paire d'hommes jouant à la cornemuse entre dans la pièce avant que la mariée ne fasse son entrée avec son père.</v>
      </c>
    </row>
    <row r="23666">
      <c r="A23666" s="4" t="s">
        <v>29777</v>
      </c>
      <c r="B23666" s="4" t="s">
        <v>29780</v>
      </c>
      <c r="C23666" s="5" t="str">
        <f>IFERROR(__xludf.DUMMYFUNCTION("GOOGLETRANSLATE(B23666,""en"",""fr"")"),"Tout le monde se tient à regarder la procession.")</f>
        <v>Tout le monde se tient à regarder la procession.</v>
      </c>
    </row>
    <row r="23667">
      <c r="A23667" s="4" t="s">
        <v>29777</v>
      </c>
      <c r="B23667" s="6" t="s">
        <v>29781</v>
      </c>
      <c r="C23667" s="5" t="str">
        <f>IFERROR(__xludf.DUMMYFUNCTION("GOOGLETRANSLATE(B23667,""en"",""fr"")"),"L'homme serre la main du marié, et nous voyons le couple debout à l'autel, face à face.")</f>
        <v>L'homme serre la main du marié, et nous voyons le couple debout à l'autel, face à face.</v>
      </c>
    </row>
    <row r="23668">
      <c r="A23668" s="4" t="s">
        <v>29782</v>
      </c>
      <c r="B23668" s="4" t="s">
        <v>29783</v>
      </c>
      <c r="C23668" s="5" t="str">
        <f>IFERROR(__xludf.DUMMYFUNCTION("GOOGLETRANSLATE(B23668,""en"",""fr"")"),"Un jeune homme est le ski nautique et tombe.")</f>
        <v>Un jeune homme est le ski nautique et tombe.</v>
      </c>
    </row>
    <row r="23669">
      <c r="A23669" s="4" t="s">
        <v>29782</v>
      </c>
      <c r="B23669" s="4" t="s">
        <v>29784</v>
      </c>
      <c r="C23669" s="5" t="str">
        <f>IFERROR(__xludf.DUMMYFUNCTION("GOOGLETRANSLATE(B23669,""en"",""fr"")"),"Regarder la vidéo du lac et conduire.")</f>
        <v>Regarder la vidéo du lac et conduire.</v>
      </c>
    </row>
    <row r="23670">
      <c r="A23670" s="4" t="s">
        <v>29782</v>
      </c>
      <c r="B23670" s="4" t="s">
        <v>29785</v>
      </c>
      <c r="C23670" s="5" t="str">
        <f>IFERROR(__xludf.DUMMYFUNCTION("GOOGLETRANSLATE(B23670,""en"",""fr"")"),"Vous pouvez voir un homme skier sous plusieurs angles différents.")</f>
        <v>Vous pouvez voir un homme skier sous plusieurs angles différents.</v>
      </c>
    </row>
    <row r="23671">
      <c r="A23671" s="4" t="s">
        <v>29782</v>
      </c>
      <c r="B23671" s="4" t="s">
        <v>29786</v>
      </c>
      <c r="C23671" s="5" t="str">
        <f>IFERROR(__xludf.DUMMYFUNCTION("GOOGLETRANSLATE(B23671,""en"",""fr"")"),"Hiver du ski nautique à Stoney Park.")</f>
        <v>Hiver du ski nautique à Stoney Park.</v>
      </c>
    </row>
    <row r="23672">
      <c r="A23672" s="4" t="s">
        <v>29787</v>
      </c>
      <c r="B23672" s="6" t="s">
        <v>29788</v>
      </c>
      <c r="C23672" s="5" t="str">
        <f>IFERROR(__xludf.DUMMYFUNCTION("GOOGLETRANSLATE(B23672,""en"",""fr"")"),"La femme tente de ratifier les feuilles, mais elle tombe et se remonte en tenant le râteau et un homme la prend.")</f>
        <v>La femme tente de ratifier les feuilles, mais elle tombe et se remonte en tenant le râteau et un homme la prend.</v>
      </c>
    </row>
    <row r="23673">
      <c r="A23673" s="4" t="s">
        <v>29787</v>
      </c>
      <c r="B23673" s="4" t="s">
        <v>29789</v>
      </c>
      <c r="C23673" s="5" t="str">
        <f>IFERROR(__xludf.DUMMYFUNCTION("GOOGLETRANSLATE(B23673,""en"",""fr"")"),"Puis elle s'éloigne et revient et il ramène les feuilles sur elle.")</f>
        <v>Puis elle s'éloigne et revient et il ramène les feuilles sur elle.</v>
      </c>
    </row>
    <row r="23674">
      <c r="A23674" s="4" t="s">
        <v>29790</v>
      </c>
      <c r="B23674" s="6" t="s">
        <v>29791</v>
      </c>
      <c r="C23674" s="5" t="str">
        <f>IFERROR(__xludf.DUMMYFUNCTION("GOOGLETRANSLATE(B23674,""en"",""fr"")"),"Deux personnes sont vues faire diverses mouvements d'arts martiaux les uns aux autres tandis qu'une foule de gens applaudir et applaudir.")</f>
        <v>Deux personnes sont vues faire diverses mouvements d'arts martiaux les uns aux autres tandis qu'une foule de gens applaudir et applaudir.</v>
      </c>
    </row>
    <row r="23675">
      <c r="A23675" s="4" t="s">
        <v>29790</v>
      </c>
      <c r="B23675" s="4" t="s">
        <v>29792</v>
      </c>
      <c r="C23675" s="5" t="str">
        <f>IFERROR(__xludf.DUMMYFUNCTION("GOOGLETRANSLATE(B23675,""en"",""fr"")"),"Les hommes continuent de se lancer les uns aux autres et se termine avec eux en saisissant les mains et en souriant.")</f>
        <v>Les hommes continuent de se lancer les uns aux autres et se termine avec eux en saisissant les mains et en souriant.</v>
      </c>
    </row>
    <row r="23676">
      <c r="A23676" s="4" t="s">
        <v>29793</v>
      </c>
      <c r="B23676" s="4" t="s">
        <v>29794</v>
      </c>
      <c r="C23676" s="5" t="str">
        <f>IFERROR(__xludf.DUMMYFUNCTION("GOOGLETRANSLATE(B23676,""en"",""fr"")"),"Une fille fume une cigarette.")</f>
        <v>Une fille fume une cigarette.</v>
      </c>
    </row>
    <row r="23677">
      <c r="A23677" s="4" t="s">
        <v>29793</v>
      </c>
      <c r="B23677" s="4" t="s">
        <v>29795</v>
      </c>
      <c r="C23677" s="5" t="str">
        <f>IFERROR(__xludf.DUMMYFUNCTION("GOOGLETRANSLATE(B23677,""en"",""fr"")"),"Une fille souffle de la fumée.")</f>
        <v>Une fille souffle de la fumée.</v>
      </c>
    </row>
    <row r="23678">
      <c r="A23678" s="4" t="s">
        <v>29793</v>
      </c>
      <c r="B23678" s="4" t="s">
        <v>29796</v>
      </c>
      <c r="C23678" s="5" t="str">
        <f>IFERROR(__xludf.DUMMYFUNCTION("GOOGLETRANSLATE(B23678,""en"",""fr"")"),"Un gars s'assoit, geste et discute.")</f>
        <v>Un gars s'assoit, geste et discute.</v>
      </c>
    </row>
    <row r="23679">
      <c r="A23679" s="4" t="s">
        <v>29793</v>
      </c>
      <c r="B23679" s="4" t="s">
        <v>29797</v>
      </c>
      <c r="C23679" s="5" t="str">
        <f>IFERROR(__xludf.DUMMYFUNCTION("GOOGLETRANSLATE(B23679,""en"",""fr"")"),"Le gars fait signe de fumer une cigarette.")</f>
        <v>Le gars fait signe de fumer une cigarette.</v>
      </c>
    </row>
    <row r="23680">
      <c r="A23680" s="4" t="s">
        <v>29793</v>
      </c>
      <c r="B23680" s="4" t="s">
        <v>1251</v>
      </c>
      <c r="C23680" s="5" t="str">
        <f>IFERROR(__xludf.DUMMYFUNCTION("GOOGLETRANSLATE(B23680,""en"",""fr"")"),"Les crédits du clip sont affichés.")</f>
        <v>Les crédits du clip sont affichés.</v>
      </c>
    </row>
    <row r="23681">
      <c r="A23681" s="4" t="s">
        <v>29798</v>
      </c>
      <c r="B23681" s="4" t="s">
        <v>29799</v>
      </c>
      <c r="C23681" s="5" t="str">
        <f>IFERROR(__xludf.DUMMYFUNCTION("GOOGLETRANSLATE(B23681,""en"",""fr"")"),"Une petite fille fait une introduction pour une vidéo d'elle-même jouant du violon.")</f>
        <v>Une petite fille fait une introduction pour une vidéo d'elle-même jouant du violon.</v>
      </c>
    </row>
    <row r="23682">
      <c r="A23682" s="4" t="s">
        <v>29798</v>
      </c>
      <c r="B23682" s="4" t="s">
        <v>29800</v>
      </c>
      <c r="C23682" s="5" t="str">
        <f>IFERROR(__xludf.DUMMYFUNCTION("GOOGLETRANSLATE(B23682,""en"",""fr"")"),"Elle commence à jouer du violon d'une manière joyeuse et professionnelle.")</f>
        <v>Elle commence à jouer du violon d'une manière joyeuse et professionnelle.</v>
      </c>
    </row>
    <row r="23683">
      <c r="A23683" s="4" t="s">
        <v>29798</v>
      </c>
      <c r="B23683" s="4" t="s">
        <v>29801</v>
      </c>
      <c r="C23683" s="5" t="str">
        <f>IFERROR(__xludf.DUMMYFUNCTION("GOOGLETRANSLATE(B23683,""en"",""fr"")"),"Elle commence à acquérir la vitesse de la chanson.")</f>
        <v>Elle commence à acquérir la vitesse de la chanson.</v>
      </c>
    </row>
    <row r="23684">
      <c r="A23684" s="4" t="s">
        <v>29798</v>
      </c>
      <c r="B23684" s="4" t="s">
        <v>29802</v>
      </c>
      <c r="C23684" s="5" t="str">
        <f>IFERROR(__xludf.DUMMYFUNCTION("GOOGLETRANSLATE(B23684,""en"",""fr"")"),"Quand elle a fini de jouer, elle explique que la pièce qu'elle vient de jouer.")</f>
        <v>Quand elle a fini de jouer, elle explique que la pièce qu'elle vient de jouer.</v>
      </c>
    </row>
    <row r="23685">
      <c r="A23685" s="4" t="s">
        <v>29803</v>
      </c>
      <c r="B23685" s="4" t="s">
        <v>29804</v>
      </c>
      <c r="C23685" s="5" t="str">
        <f>IFERROR(__xludf.DUMMYFUNCTION("GOOGLETRANSLATE(B23685,""en"",""fr"")"),"Des instructions sur la façon de jouer des accords sur le violon sont présentées.")</f>
        <v>Des instructions sur la façon de jouer des accords sur le violon sont présentées.</v>
      </c>
    </row>
    <row r="23686">
      <c r="A23686" s="4" t="s">
        <v>29803</v>
      </c>
      <c r="B23686" s="4" t="s">
        <v>29805</v>
      </c>
      <c r="C23686" s="5" t="str">
        <f>IFERROR(__xludf.DUMMYFUNCTION("GOOGLETRANSLATE(B23686,""en"",""fr"")"),"La femme est dans une pièce jouant du violon.")</f>
        <v>La femme est dans une pièce jouant du violon.</v>
      </c>
    </row>
    <row r="23687">
      <c r="A23687" s="4" t="s">
        <v>29803</v>
      </c>
      <c r="B23687" s="4" t="s">
        <v>29806</v>
      </c>
      <c r="C23687" s="5" t="str">
        <f>IFERROR(__xludf.DUMMYFUNCTION("GOOGLETRANSLATE(B23687,""en"",""fr"")"),"La femme montre comment jouer des accords sur le violon en bois.")</f>
        <v>La femme montre comment jouer des accords sur le violon en bois.</v>
      </c>
    </row>
    <row r="23688">
      <c r="A23688" s="4" t="s">
        <v>29807</v>
      </c>
      <c r="B23688" s="4" t="s">
        <v>29808</v>
      </c>
      <c r="C23688" s="5" t="str">
        <f>IFERROR(__xludf.DUMMYFUNCTION("GOOGLETRANSLATE(B23688,""en"",""fr"")"),"Les enfants conduisent dans les tampants.")</f>
        <v>Les enfants conduisent dans les tampants.</v>
      </c>
    </row>
    <row r="23689">
      <c r="A23689" s="4" t="s">
        <v>29807</v>
      </c>
      <c r="B23689" s="4" t="s">
        <v>29809</v>
      </c>
      <c r="C23689" s="5" t="str">
        <f>IFERROR(__xludf.DUMMYFUNCTION("GOOGLETRANSLATE(B23689,""en"",""fr"")"),"Les voitures s'écrasent.")</f>
        <v>Les voitures s'écrasent.</v>
      </c>
    </row>
    <row r="23690">
      <c r="A23690" s="4" t="s">
        <v>29807</v>
      </c>
      <c r="B23690" s="4" t="s">
        <v>29810</v>
      </c>
      <c r="C23690" s="5" t="str">
        <f>IFERROR(__xludf.DUMMYFUNCTION("GOOGLETRANSLATE(B23690,""en"",""fr"")"),"L'enfant de la voiture verte s'écrase dans le mur.")</f>
        <v>L'enfant de la voiture verte s'écrase dans le mur.</v>
      </c>
    </row>
    <row r="23691">
      <c r="A23691" s="4" t="s">
        <v>29811</v>
      </c>
      <c r="B23691" s="4" t="s">
        <v>29812</v>
      </c>
      <c r="C23691" s="5" t="str">
        <f>IFERROR(__xludf.DUMMYFUNCTION("GOOGLETRANSLATE(B23691,""en"",""fr"")"),"Une femme porte des boucles montre comment envelopper des morceaux de tissu sur un rouleau.")</f>
        <v>Une femme porte des boucles montre comment envelopper des morceaux de tissu sur un rouleau.</v>
      </c>
    </row>
    <row r="23692">
      <c r="A23692" s="4" t="s">
        <v>29811</v>
      </c>
      <c r="B23692" s="4" t="s">
        <v>29813</v>
      </c>
      <c r="C23692" s="5" t="str">
        <f>IFERROR(__xludf.DUMMYFUNCTION("GOOGLETRANSLATE(B23692,""en"",""fr"")"),"La femme déroute les boucles de ses cheveux.")</f>
        <v>La femme déroute les boucles de ses cheveux.</v>
      </c>
    </row>
    <row r="23693">
      <c r="A23693" s="4" t="s">
        <v>29811</v>
      </c>
      <c r="B23693" s="4" t="s">
        <v>29814</v>
      </c>
      <c r="C23693" s="5" t="str">
        <f>IFERROR(__xludf.DUMMYFUNCTION("GOOGLETRANSLATE(B23693,""en"",""fr"")"),"La femme peigne ses cheveux en utilisant ses mains.")</f>
        <v>La femme peigne ses cheveux en utilisant ses mains.</v>
      </c>
    </row>
    <row r="23694">
      <c r="A23694" s="4" t="s">
        <v>29815</v>
      </c>
      <c r="B23694" s="4" t="s">
        <v>29816</v>
      </c>
      <c r="C23694" s="5" t="str">
        <f>IFERROR(__xludf.DUMMYFUNCTION("GOOGLETRANSLATE(B23694,""en"",""fr"")"),"Les gens montent des chevaux autour d'une arène.")</f>
        <v>Les gens montent des chevaux autour d'une arène.</v>
      </c>
    </row>
    <row r="23695">
      <c r="A23695" s="4" t="s">
        <v>29815</v>
      </c>
      <c r="B23695" s="4" t="s">
        <v>29817</v>
      </c>
      <c r="C23695" s="5" t="str">
        <f>IFERROR(__xludf.DUMMYFUNCTION("GOOGLETRANSLATE(B23695,""en"",""fr"")"),"Les gens se tiennent à l'extérieur de l'arène les regardant.")</f>
        <v>Les gens se tiennent à l'extérieur de l'arène les regardant.</v>
      </c>
    </row>
    <row r="23696">
      <c r="A23696" s="4" t="s">
        <v>29815</v>
      </c>
      <c r="B23696" s="4" t="s">
        <v>29818</v>
      </c>
      <c r="C23696" s="5" t="str">
        <f>IFERROR(__xludf.DUMMYFUNCTION("GOOGLETRANSLATE(B23696,""en"",""fr"")"),"Les gens qui regardent se retournent et regardent derrière eux.")</f>
        <v>Les gens qui regardent se retournent et regardent derrière eux.</v>
      </c>
    </row>
    <row r="23697">
      <c r="A23697" s="4" t="s">
        <v>29819</v>
      </c>
      <c r="B23697" s="4" t="s">
        <v>29820</v>
      </c>
      <c r="C23697" s="5" t="str">
        <f>IFERROR(__xludf.DUMMYFUNCTION("GOOGLETRANSLATE(B23697,""en"",""fr"")"),"Un homme fait de la gymnastique dans un salon.")</f>
        <v>Un homme fait de la gymnastique dans un salon.</v>
      </c>
    </row>
    <row r="23698">
      <c r="A23698" s="4" t="s">
        <v>29819</v>
      </c>
      <c r="B23698" s="4" t="s">
        <v>29821</v>
      </c>
      <c r="C23698" s="5" t="str">
        <f>IFERROR(__xludf.DUMMYFUNCTION("GOOGLETRANSLATE(B23698,""en"",""fr"")"),"Il fait des supports de main sur quelques bars au sol.")</f>
        <v>Il fait des supports de main sur quelques bars au sol.</v>
      </c>
    </row>
    <row r="23699">
      <c r="A23699" s="4" t="s">
        <v>29819</v>
      </c>
      <c r="B23699" s="4" t="s">
        <v>29822</v>
      </c>
      <c r="C23699" s="5" t="str">
        <f>IFERROR(__xludf.DUMMYFUNCTION("GOOGLETRANSLATE(B23699,""en"",""fr"")"),"Les barres sont fabriquées à partir de tuyaux en PVC.")</f>
        <v>Les barres sont fabriquées à partir de tuyaux en PVC.</v>
      </c>
    </row>
    <row r="23700">
      <c r="A23700" s="4" t="s">
        <v>29823</v>
      </c>
      <c r="B23700" s="4" t="s">
        <v>29824</v>
      </c>
      <c r="C23700" s="5" t="str">
        <f>IFERROR(__xludf.DUMMYFUNCTION("GOOGLETRANSLATE(B23700,""en"",""fr"")"),"Une cuisinière parle dans une cuisine et montre l'intérieur d'un couteau à aiguisant qui a des disques à l'intérieur.")</f>
        <v>Une cuisinière parle dans une cuisine et montre l'intérieur d'un couteau à aiguisant qui a des disques à l'intérieur.</v>
      </c>
    </row>
    <row r="23701">
      <c r="A23701" s="4" t="s">
        <v>29823</v>
      </c>
      <c r="B23701" s="4" t="s">
        <v>29825</v>
      </c>
      <c r="C23701" s="5" t="str">
        <f>IFERROR(__xludf.DUMMYFUNCTION("GOOGLETRANSLATE(B23701,""en"",""fr"")"),"Ensuite, l'homme met un couteau dans le couteau à aiguiser pour affûter.")</f>
        <v>Ensuite, l'homme met un couteau dans le couteau à aiguiser pour affûter.</v>
      </c>
    </row>
    <row r="23702">
      <c r="A23702" s="4" t="s">
        <v>29823</v>
      </c>
      <c r="B23702" s="4" t="s">
        <v>29826</v>
      </c>
      <c r="C23702" s="5" t="str">
        <f>IFERROR(__xludf.DUMMYFUNCTION("GOOGLETRANSLATE(B23702,""en"",""fr"")"),"Après, l'homme lave et séchez le couteau.")</f>
        <v>Après, l'homme lave et séchez le couteau.</v>
      </c>
    </row>
    <row r="23703">
      <c r="A23703" s="4" t="s">
        <v>29827</v>
      </c>
      <c r="B23703" s="4" t="s">
        <v>29828</v>
      </c>
      <c r="C23703" s="5" t="str">
        <f>IFERROR(__xludf.DUMMYFUNCTION("GOOGLETRANSLATE(B23703,""en"",""fr"")"),"Un jeune garçon jouant un grand jeu de batterie se concentre pendant que la caméra le regarde jouer.")</f>
        <v>Un jeune garçon jouant un grand jeu de batterie se concentre pendant que la caméra le regarde jouer.</v>
      </c>
    </row>
    <row r="23704">
      <c r="A23704" s="4" t="s">
        <v>29827</v>
      </c>
      <c r="B23704" s="6" t="s">
        <v>29829</v>
      </c>
      <c r="C23704" s="5" t="str">
        <f>IFERROR(__xludf.DUMMYFUNCTION("GOOGLETRANSLATE(B23704,""en"",""fr"")"),"D'autres personnes entrent et sortent du cadre du garçon pendant qu'il joue continuellement le jeu sur le tambour.")</f>
        <v>D'autres personnes entrent et sortent du cadre du garçon pendant qu'il joue continuellement le jeu sur le tambour.</v>
      </c>
    </row>
    <row r="23705">
      <c r="A23705" s="4" t="s">
        <v>29827</v>
      </c>
      <c r="B23705" s="4" t="s">
        <v>29830</v>
      </c>
      <c r="C23705" s="5" t="str">
        <f>IFERROR(__xludf.DUMMYFUNCTION("GOOGLETRANSLATE(B23705,""en"",""fr"")"),"Un autre garçon tenant une boisson entre dans le cadre et regarde le garçon jouer au jeu.")</f>
        <v>Un autre garçon tenant une boisson entre dans le cadre et regarde le garçon jouer au jeu.</v>
      </c>
    </row>
    <row r="23706">
      <c r="A23706" s="4" t="s">
        <v>29831</v>
      </c>
      <c r="B23706" s="6" t="s">
        <v>29832</v>
      </c>
      <c r="C23706" s="5" t="str">
        <f>IFERROR(__xludf.DUMMYFUNCTION("GOOGLETRANSLATE(B23706,""en"",""fr"")"),"Un grand groupe de personnes se dirige vers la caméra et ils semblent être dans un petit village.")</f>
        <v>Un grand groupe de personnes se dirige vers la caméra et ils semblent être dans un petit village.</v>
      </c>
    </row>
    <row r="23707">
      <c r="A23707" s="4" t="s">
        <v>29831</v>
      </c>
      <c r="B23707" s="6" t="s">
        <v>29833</v>
      </c>
      <c r="C23707" s="5" t="str">
        <f>IFERROR(__xludf.DUMMYFUNCTION("GOOGLETRANSLATE(B23707,""en"",""fr"")"),"Au fur et à mesure que les gens se rapprochent, nous voyons un homme et un enfant tiendra une selle attachée à un chameau et monte dessus tandis qu'un autre homme tient la laisse et guide le chameau.")</f>
        <v>Au fur et à mesure que les gens se rapprochent, nous voyons un homme et un enfant tiendra une selle attachée à un chameau et monte dessus tandis qu'un autre homme tient la laisse et guide le chameau.</v>
      </c>
    </row>
    <row r="23708">
      <c r="A23708" s="4" t="s">
        <v>29831</v>
      </c>
      <c r="B23708" s="6" t="s">
        <v>29834</v>
      </c>
      <c r="C23708" s="5" t="str">
        <f>IFERROR(__xludf.DUMMYFUNCTION("GOOGLETRANSLATE(B23708,""en"",""fr"")"),"Le chameau dépasse la personne de la caméra et nous avons une vue sur le chameau qui s'éloigne et une vue d'un côté différent de la zone qui ressemble à un village.")</f>
        <v>Le chameau dépasse la personne de la caméra et nous avons une vue sur le chameau qui s'éloigne et une vue d'un côté différent de la zone qui ressemble à un village.</v>
      </c>
    </row>
    <row r="23709">
      <c r="A23709" s="4" t="s">
        <v>29835</v>
      </c>
      <c r="B23709" s="6" t="s">
        <v>29836</v>
      </c>
      <c r="C23709" s="5" t="str">
        <f>IFERROR(__xludf.DUMMYFUNCTION("GOOGLETRANSLATE(B23709,""en"",""fr"")"),"Un plan d'une zone enneigée est montré suivi de deux personnes espérant le long de la zone et s'adressant à la caméra.")</f>
        <v>Un plan d'une zone enneigée est montré suivi de deux personnes espérant le long de la zone et s'adressant à la caméra.</v>
      </c>
    </row>
    <row r="23710">
      <c r="A23710" s="4" t="s">
        <v>29835</v>
      </c>
      <c r="B23710" s="6" t="s">
        <v>29837</v>
      </c>
      <c r="C23710" s="5" t="str">
        <f>IFERROR(__xludf.DUMMYFUNCTION("GOOGLETRANSLATE(B23710,""en"",""fr"")"),"D'autres tirs sont montrés des hommes qui sautent sur des snowboards à divers endroits ainsi que de parler à l'appareil photo et de montrer des photos des gens ainsi que des images d'eux qui roulent.")</f>
        <v>D'autres tirs sont montrés des hommes qui sautent sur des snowboards à divers endroits ainsi que de parler à l'appareil photo et de montrer des photos des gens ainsi que des images d'eux qui roulent.</v>
      </c>
    </row>
    <row r="23711">
      <c r="A23711" s="4" t="s">
        <v>29838</v>
      </c>
      <c r="B23711" s="4" t="s">
        <v>29839</v>
      </c>
      <c r="C23711" s="5" t="str">
        <f>IFERROR(__xludf.DUMMYFUNCTION("GOOGLETRANSLATE(B23711,""en"",""fr"")"),"Beaucoup d'hommes sont dans un bâtiment jouant un groupe de hockey sur glace les uns contre les autres.")</f>
        <v>Beaucoup d'hommes sont dans un bâtiment jouant un groupe de hockey sur glace les uns contre les autres.</v>
      </c>
    </row>
    <row r="23712">
      <c r="A23712" s="4" t="s">
        <v>29838</v>
      </c>
      <c r="B23712" s="4" t="s">
        <v>29840</v>
      </c>
      <c r="C23712" s="5" t="str">
        <f>IFERROR(__xludf.DUMMYFUNCTION("GOOGLETRANSLATE(B23712,""en"",""fr"")"),"Alors qu'ils continuent de jouer, l'arbitre commence à patiner d'avant en arrière sur le côté en rond.")</f>
        <v>Alors qu'ils continuent de jouer, l'arbitre commence à patiner d'avant en arrière sur le côté en rond.</v>
      </c>
    </row>
    <row r="23713">
      <c r="A23713" s="4" t="s">
        <v>29838</v>
      </c>
      <c r="B23713" s="6" t="s">
        <v>29841</v>
      </c>
      <c r="C23713" s="5" t="str">
        <f>IFERROR(__xludf.DUMMYFUNCTION("GOOGLETRANSLATE(B23713,""en"",""fr"")"),"Après plusieurs départs et finitions, les jeux continuent et le gardien de but réussit à bloquer la rondelle à chaque fois.")</f>
        <v>Après plusieurs départs et finitions, les jeux continuent et le gardien de but réussit à bloquer la rondelle à chaque fois.</v>
      </c>
    </row>
    <row r="23714">
      <c r="A23714" s="4" t="s">
        <v>29842</v>
      </c>
      <c r="B23714" s="4" t="s">
        <v>29843</v>
      </c>
      <c r="C23714" s="5" t="str">
        <f>IFERROR(__xludf.DUMMYFUNCTION("GOOGLETRANSLATE(B23714,""en"",""fr"")"),"Nous voyons un bébé tourner dans une pièce avec des adultes qui regardent.")</f>
        <v>Nous voyons un bébé tourner dans une pièce avec des adultes qui regardent.</v>
      </c>
    </row>
    <row r="23715">
      <c r="A23715" s="4" t="s">
        <v>29842</v>
      </c>
      <c r="B23715" s="4" t="s">
        <v>29844</v>
      </c>
      <c r="C23715" s="5" t="str">
        <f>IFERROR(__xludf.DUMMYFUNCTION("GOOGLETRANSLATE(B23715,""en"",""fr"")"),"Un adulte danse avec le bébé.")</f>
        <v>Un adulte danse avec le bébé.</v>
      </c>
    </row>
    <row r="23716">
      <c r="A23716" s="4" t="s">
        <v>29842</v>
      </c>
      <c r="B23716" s="4" t="s">
        <v>29845</v>
      </c>
      <c r="C23716" s="5" t="str">
        <f>IFERROR(__xludf.DUMMYFUNCTION("GOOGLETRANSLATE(B23716,""en"",""fr"")"),"Deux adultes tiennent les mains et dansent les bébés.")</f>
        <v>Deux adultes tiennent les mains et dansent les bébés.</v>
      </c>
    </row>
    <row r="23717">
      <c r="A23717" s="4" t="s">
        <v>29842</v>
      </c>
      <c r="B23717" s="4" t="s">
        <v>29846</v>
      </c>
      <c r="C23717" s="5" t="str">
        <f>IFERROR(__xludf.DUMMYFUNCTION("GOOGLETRANSLATE(B23717,""en"",""fr"")"),"Le bébé est tourbillonné en cercle.")</f>
        <v>Le bébé est tourbillonné en cercle.</v>
      </c>
    </row>
    <row r="23718">
      <c r="A23718" s="4" t="s">
        <v>29842</v>
      </c>
      <c r="B23718" s="4" t="s">
        <v>29847</v>
      </c>
      <c r="C23718" s="5" t="str">
        <f>IFERROR(__xludf.DUMMYFUNCTION("GOOGLETRANSLATE(B23718,""en"",""fr"")"),"Le bébé est à nouveau tourbillonné.")</f>
        <v>Le bébé est à nouveau tourbillonné.</v>
      </c>
    </row>
    <row r="23719">
      <c r="A23719" s="4" t="s">
        <v>29842</v>
      </c>
      <c r="B23719" s="4" t="s">
        <v>29848</v>
      </c>
      <c r="C23719" s="5" t="str">
        <f>IFERROR(__xludf.DUMMYFUNCTION("GOOGLETRANSLATE(B23719,""en"",""fr"")"),"Le bébé danse à nouveau seul.")</f>
        <v>Le bébé danse à nouveau seul.</v>
      </c>
    </row>
    <row r="23720">
      <c r="A23720" s="4" t="s">
        <v>29842</v>
      </c>
      <c r="B23720" s="4" t="s">
        <v>29849</v>
      </c>
      <c r="C23720" s="5" t="str">
        <f>IFERROR(__xludf.DUMMYFUNCTION("GOOGLETRANSLATE(B23720,""en"",""fr"")"),"Le bébé ramasse un chien jouet et danse avec.")</f>
        <v>Le bébé ramasse un chien jouet et danse avec.</v>
      </c>
    </row>
    <row r="23721">
      <c r="A23721" s="4" t="s">
        <v>29850</v>
      </c>
      <c r="B23721" s="4" t="s">
        <v>29851</v>
      </c>
      <c r="C23721" s="5" t="str">
        <f>IFERROR(__xludf.DUMMYFUNCTION("GOOGLETRANSLATE(B23721,""en"",""fr"")"),"Les enfants roulent de petits vélos de terre autour d'une piste.")</f>
        <v>Les enfants roulent de petits vélos de terre autour d'une piste.</v>
      </c>
    </row>
    <row r="23722">
      <c r="A23722" s="4" t="s">
        <v>29850</v>
      </c>
      <c r="B23722" s="4" t="s">
        <v>29852</v>
      </c>
      <c r="C23722" s="5" t="str">
        <f>IFERROR(__xludf.DUMMYFUNCTION("GOOGLETRANSLATE(B23722,""en"",""fr"")"),"Un enfant tombe et les gens les aident.")</f>
        <v>Un enfant tombe et les gens les aident.</v>
      </c>
    </row>
    <row r="23723">
      <c r="A23723" s="4" t="s">
        <v>29853</v>
      </c>
      <c r="B23723" s="4" t="s">
        <v>29854</v>
      </c>
      <c r="C23723" s="5" t="str">
        <f>IFERROR(__xludf.DUMMYFUNCTION("GOOGLETRANSLATE(B23723,""en"",""fr"")"),"Un tas de gens se rencontrent dans une boutique de radeau.")</f>
        <v>Un tas de gens se rencontrent dans une boutique de radeau.</v>
      </c>
    </row>
    <row r="23724">
      <c r="A23724" s="4" t="s">
        <v>29853</v>
      </c>
      <c r="B23724" s="4" t="s">
        <v>29855</v>
      </c>
      <c r="C23724" s="5" t="str">
        <f>IFERROR(__xludf.DUMMYFUNCTION("GOOGLETRANSLATE(B23724,""en"",""fr"")"),"Ils se rencontrent tous dans une pièce pour mettre des casques et réunir leur équipement.")</f>
        <v>Ils se rencontrent tous dans une pièce pour mettre des casques et réunir leur équipement.</v>
      </c>
    </row>
    <row r="23725">
      <c r="A23725" s="4" t="s">
        <v>29853</v>
      </c>
      <c r="B23725" s="4" t="s">
        <v>29856</v>
      </c>
      <c r="C23725" s="5" t="str">
        <f>IFERROR(__xludf.DUMMYFUNCTION("GOOGLETRANSLATE(B23725,""en"",""fr"")"),"Ils vont tous pour une longue promenade ensemble, y compris dans un grand escalier.")</f>
        <v>Ils vont tous pour une longue promenade ensemble, y compris dans un grand escalier.</v>
      </c>
    </row>
    <row r="23726">
      <c r="A23726" s="4" t="s">
        <v>29853</v>
      </c>
      <c r="B23726" s="4" t="s">
        <v>29857</v>
      </c>
      <c r="C23726" s="5" t="str">
        <f>IFERROR(__xludf.DUMMYFUNCTION("GOOGLETRANSLATE(B23726,""en"",""fr"")"),"Ils atteignent une longue ligne de radeaux près de l'eau, où ils entrent et commencent à rafter.")</f>
        <v>Ils atteignent une longue ligne de radeaux près de l'eau, où ils entrent et commencent à rafter.</v>
      </c>
    </row>
    <row r="23727">
      <c r="A23727" s="4" t="s">
        <v>29853</v>
      </c>
      <c r="B23727" s="6" t="s">
        <v>29858</v>
      </c>
      <c r="C23727" s="5" t="str">
        <f>IFERROR(__xludf.DUMMYFUNCTION("GOOGLETRANSLATE(B23727,""en"",""fr"")"),"Les gens sont en train de rafter sur une rivière turbulente, en utilisant leurs pagaies à l'unisson, descendant de petites cascades ensemble.")</f>
        <v>Les gens sont en train de rafter sur une rivière turbulente, en utilisant leurs pagaies à l'unisson, descendant de petites cascades ensemble.</v>
      </c>
    </row>
    <row r="23728">
      <c r="A23728" s="4" t="s">
        <v>29853</v>
      </c>
      <c r="B23728" s="4" t="s">
        <v>29859</v>
      </c>
      <c r="C23728" s="5" t="str">
        <f>IFERROR(__xludf.DUMMYFUNCTION("GOOGLETRANSLATE(B23728,""en"",""fr"")"),"Ils s'arrêtent tous pour déjeuner sous un pavillon extérieur à la fin de leur aventure.")</f>
        <v>Ils s'arrêtent tous pour déjeuner sous un pavillon extérieur à la fin de leur aventure.</v>
      </c>
    </row>
    <row r="23729">
      <c r="A23729" s="4" t="s">
        <v>29860</v>
      </c>
      <c r="B23729" s="6" t="s">
        <v>29861</v>
      </c>
      <c r="C23729" s="5" t="str">
        <f>IFERROR(__xludf.DUMMYFUNCTION("GOOGLETRANSLATE(B23729,""en"",""fr"")"),"Un adolescent effectue des chevaux de pommeau qui tournent autour, puis sautent sur le sol et se rendent à la puissance d'un conteneur.")</f>
        <v>Un adolescent effectue des chevaux de pommeau qui tournent autour, puis sautent sur le sol et se rendent à la puissance d'un conteneur.</v>
      </c>
    </row>
    <row r="23730">
      <c r="A23730" s="4" t="s">
        <v>29860</v>
      </c>
      <c r="B23730" s="4" t="s">
        <v>29862</v>
      </c>
      <c r="C23730" s="5" t="str">
        <f>IFERROR(__xludf.DUMMYFUNCTION("GOOGLETRANSLATE(B23730,""en"",""fr"")"),"Après, l'adolescent se retire sur le cheval pommel et tourne plusieurs fois, alors que le jury observe.")</f>
        <v>Après, l'adolescent se retire sur le cheval pommel et tourne plusieurs fois, alors que le jury observe.</v>
      </c>
    </row>
    <row r="23731">
      <c r="A23731" s="4" t="s">
        <v>29860</v>
      </c>
      <c r="B23731" s="4" t="s">
        <v>29863</v>
      </c>
      <c r="C23731" s="5" t="str">
        <f>IFERROR(__xludf.DUMMYFUNCTION("GOOGLETRANSLATE(B23731,""en"",""fr"")"),"Les gens marchent derrière le jury.")</f>
        <v>Les gens marchent derrière le jury.</v>
      </c>
    </row>
    <row r="23732">
      <c r="A23732" s="4" t="s">
        <v>29860</v>
      </c>
      <c r="B23732" s="4" t="s">
        <v>29864</v>
      </c>
      <c r="C23732" s="5" t="str">
        <f>IFERROR(__xludf.DUMMYFUNCTION("GOOGLETRANSLATE(B23732,""en"",""fr"")"),"Ensuite, l'adolescent se tient sur ses mains et saute vers le tapis.")</f>
        <v>Ensuite, l'adolescent se tient sur ses mains et saute vers le tapis.</v>
      </c>
    </row>
    <row r="23733">
      <c r="A23733" s="4" t="s">
        <v>29865</v>
      </c>
      <c r="B23733" s="4" t="s">
        <v>29866</v>
      </c>
      <c r="C23733" s="5" t="str">
        <f>IFERROR(__xludf.DUMMYFUNCTION("GOOGLETRANSLATE(B23733,""en"",""fr"")"),"Une femme portant une perruque est vue les yeux bandés une autre fille tandis que d'autres regardent sur les côtés.")</f>
        <v>Une femme portant une perruque est vue les yeux bandés une autre fille tandis que d'autres regardent sur les côtés.</v>
      </c>
    </row>
    <row r="23734">
      <c r="A23734" s="4" t="s">
        <v>29865</v>
      </c>
      <c r="B23734" s="4" t="s">
        <v>29867</v>
      </c>
      <c r="C23734" s="5" t="str">
        <f>IFERROR(__xludf.DUMMYFUNCTION("GOOGLETRANSLATE(B23734,""en"",""fr"")"),"Les enfants jouent sur la maison de rebond et une femme tourne autour de la fille aux yeux bandés.")</f>
        <v>Les enfants jouent sur la maison de rebond et une femme tourne autour de la fille aux yeux bandés.</v>
      </c>
    </row>
    <row r="23735">
      <c r="A23735" s="4" t="s">
        <v>29865</v>
      </c>
      <c r="B23735" s="4" t="s">
        <v>29868</v>
      </c>
      <c r="C23735" s="5" t="str">
        <f>IFERROR(__xludf.DUMMYFUNCTION("GOOGLETRANSLATE(B23735,""en"",""fr"")"),"La fille se balance dans une pinata et frappe puis s'éloigne.")</f>
        <v>La fille se balance dans une pinata et frappe puis s'éloigne.</v>
      </c>
    </row>
    <row r="23736">
      <c r="A23736" s="4" t="s">
        <v>29869</v>
      </c>
      <c r="B23736" s="4" t="s">
        <v>29870</v>
      </c>
      <c r="C23736" s="5" t="str">
        <f>IFERROR(__xludf.DUMMYFUNCTION("GOOGLETRANSLATE(B23736,""en"",""fr"")"),"Un homme s'assoit sur une machine d'exercice.")</f>
        <v>Un homme s'assoit sur une machine d'exercice.</v>
      </c>
    </row>
    <row r="23737">
      <c r="A23737" s="4" t="s">
        <v>29869</v>
      </c>
      <c r="B23737" s="4" t="s">
        <v>29871</v>
      </c>
      <c r="C23737" s="5" t="str">
        <f>IFERROR(__xludf.DUMMYFUNCTION("GOOGLETRANSLATE(B23737,""en"",""fr"")"),"Il commence à travailler sur la machine.")</f>
        <v>Il commence à travailler sur la machine.</v>
      </c>
    </row>
    <row r="23738">
      <c r="A23738" s="4" t="s">
        <v>29869</v>
      </c>
      <c r="B23738" s="4" t="s">
        <v>29872</v>
      </c>
      <c r="C23738" s="5" t="str">
        <f>IFERROR(__xludf.DUMMYFUNCTION("GOOGLETRANSLATE(B23738,""en"",""fr"")"),"Un homme en chemise beige se tient derrière lui.")</f>
        <v>Un homme en chemise beige se tient derrière lui.</v>
      </c>
    </row>
    <row r="23739">
      <c r="A23739" s="4" t="s">
        <v>29873</v>
      </c>
      <c r="B23739" s="4" t="s">
        <v>29874</v>
      </c>
      <c r="C23739" s="5" t="str">
        <f>IFERROR(__xludf.DUMMYFUNCTION("GOOGLETRANSLATE(B23739,""en"",""fr"")"),"Trois personnes descendent un tube rapide.")</f>
        <v>Trois personnes descendent un tube rapide.</v>
      </c>
    </row>
    <row r="23740">
      <c r="A23740" s="4" t="s">
        <v>29873</v>
      </c>
      <c r="B23740" s="4" t="s">
        <v>29875</v>
      </c>
      <c r="C23740" s="5" t="str">
        <f>IFERROR(__xludf.DUMMYFUNCTION("GOOGLETRANSLATE(B23740,""en"",""fr"")"),"Ils sont coincés sur les rochers, puis poussent et continuent de flotter.")</f>
        <v>Ils sont coincés sur les rochers, puis poussent et continuent de flotter.</v>
      </c>
    </row>
    <row r="23741">
      <c r="A23741" s="4" t="s">
        <v>29876</v>
      </c>
      <c r="B23741" s="4" t="s">
        <v>29877</v>
      </c>
      <c r="C23741" s="5" t="str">
        <f>IFERROR(__xludf.DUMMYFUNCTION("GOOGLETRANSLATE(B23741,""en"",""fr"")"),"Il y a un jeune homme portant un sweat à capuche noir et un chapeau dans le désert.")</f>
        <v>Il y a un jeune homme portant un sweat à capuche noir et un chapeau dans le désert.</v>
      </c>
    </row>
    <row r="23742">
      <c r="A23742" s="4" t="s">
        <v>29876</v>
      </c>
      <c r="B23742" s="4" t="s">
        <v>29878</v>
      </c>
      <c r="C23742" s="5" t="str">
        <f>IFERROR(__xludf.DUMMYFUNCTION("GOOGLETRANSLATE(B23742,""en"",""fr"")"),"Il prend un parapluie dans sa main puis le jette derrière lui.")</f>
        <v>Il prend un parapluie dans sa main puis le jette derrière lui.</v>
      </c>
    </row>
    <row r="23743">
      <c r="A23743" s="4" t="s">
        <v>29876</v>
      </c>
      <c r="B23743" s="4" t="s">
        <v>29879</v>
      </c>
      <c r="C23743" s="5" t="str">
        <f>IFERROR(__xludf.DUMMYFUNCTION("GOOGLETRANSLATE(B23743,""en"",""fr"")"),"Puis il marche sur une corde serrée et essaie de s'équilibrer.")</f>
        <v>Puis il marche sur une corde serrée et essaie de s'équilibrer.</v>
      </c>
    </row>
    <row r="23744">
      <c r="A23744" s="4" t="s">
        <v>29876</v>
      </c>
      <c r="B23744" s="6" t="s">
        <v>29880</v>
      </c>
      <c r="C23744" s="5" t="str">
        <f>IFERROR(__xludf.DUMMYFUNCTION("GOOGLETRANSLATE(B23744,""en"",""fr"")"),"Il y a d'autres hommes qui font la même chose dans le désert, essayant de s'équilibrer et de marcher sur des cordes serrées.")</f>
        <v>Il y a d'autres hommes qui font la même chose dans le désert, essayant de s'équilibrer et de marcher sur des cordes serrées.</v>
      </c>
    </row>
    <row r="23745">
      <c r="A23745" s="4" t="s">
        <v>29881</v>
      </c>
      <c r="B23745" s="4" t="s">
        <v>29882</v>
      </c>
      <c r="C23745" s="5" t="str">
        <f>IFERROR(__xludf.DUMMYFUNCTION("GOOGLETRANSLATE(B23745,""en"",""fr"")"),"Un couple âgé danse seul sur un sol de gymnase tandis qu'une ligne de personnes dans une montre.")</f>
        <v>Un couple âgé danse seul sur un sol de gymnase tandis qu'une ligne de personnes dans une montre.</v>
      </c>
    </row>
    <row r="23746">
      <c r="A23746" s="4" t="s">
        <v>29881</v>
      </c>
      <c r="B23746" s="4" t="s">
        <v>29883</v>
      </c>
      <c r="C23746" s="5" t="str">
        <f>IFERROR(__xludf.DUMMYFUNCTION("GOOGLETRANSLATE(B23746,""en"",""fr"")"),"Ils tournent et dansent joyeusement, et la foule applaudit alors qu'ils finissent et s'éloignent.")</f>
        <v>Ils tournent et dansent joyeusement, et la foule applaudit alors qu'ils finissent et s'éloignent.</v>
      </c>
    </row>
    <row r="23747">
      <c r="A23747" s="4" t="s">
        <v>29884</v>
      </c>
      <c r="B23747" s="4" t="s">
        <v>29885</v>
      </c>
      <c r="C23747" s="5" t="str">
        <f>IFERROR(__xludf.DUMMYFUNCTION("GOOGLETRANSLATE(B23747,""en"",""fr"")"),"Trois hommes jouant à un jeu de racquetball sont dans un tribunal entouré de murs blancs.")</f>
        <v>Trois hommes jouant à un jeu de racquetball sont dans un tribunal entouré de murs blancs.</v>
      </c>
    </row>
    <row r="23748">
      <c r="A23748" s="4" t="s">
        <v>29884</v>
      </c>
      <c r="B23748" s="4" t="s">
        <v>29886</v>
      </c>
      <c r="C23748" s="5" t="str">
        <f>IFERROR(__xludf.DUMMYFUNCTION("GOOGLETRANSLATE(B23748,""en"",""fr"")"),"L'homme en blanc sert, suivi de l'homme au chapeau marquant son service.")</f>
        <v>L'homme en blanc sert, suivi de l'homme au chapeau marquant son service.</v>
      </c>
    </row>
    <row r="23749">
      <c r="A23749" s="4" t="s">
        <v>29884</v>
      </c>
      <c r="B23749" s="6" t="s">
        <v>29887</v>
      </c>
      <c r="C23749" s="5" t="str">
        <f>IFERROR(__xludf.DUMMYFUNCTION("GOOGLETRANSLATE(B23749,""en"",""fr"")"),"L'homme en short jaune est le prochain et parvient à reprendre le jeu, servant plusieurs fois pour fermer la vidéo.")</f>
        <v>L'homme en short jaune est le prochain et parvient à reprendre le jeu, servant plusieurs fois pour fermer la vidéo.</v>
      </c>
    </row>
    <row r="23750">
      <c r="A23750" s="4" t="s">
        <v>29888</v>
      </c>
      <c r="B23750" s="4" t="s">
        <v>29889</v>
      </c>
      <c r="C23750" s="5" t="str">
        <f>IFERROR(__xludf.DUMMYFUNCTION("GOOGLETRANSLATE(B23750,""en"",""fr"")"),"Un groupe de quatre hommes parle devant une caméra.")</f>
        <v>Un groupe de quatre hommes parle devant une caméra.</v>
      </c>
    </row>
    <row r="23751">
      <c r="A23751" s="4" t="s">
        <v>29888</v>
      </c>
      <c r="B23751" s="4" t="s">
        <v>29890</v>
      </c>
      <c r="C23751" s="5" t="str">
        <f>IFERROR(__xludf.DUMMYFUNCTION("GOOGLETRANSLATE(B23751,""en"",""fr"")"),"Il y a une séquence animée.")</f>
        <v>Il y a une séquence animée.</v>
      </c>
    </row>
    <row r="23752">
      <c r="A23752" s="4" t="s">
        <v>29888</v>
      </c>
      <c r="B23752" s="4" t="s">
        <v>29891</v>
      </c>
      <c r="C23752" s="5" t="str">
        <f>IFERROR(__xludf.DUMMYFUNCTION("GOOGLETRANSLATE(B23752,""en"",""fr"")"),"Ils continuent de parler devant la caméra.")</f>
        <v>Ils continuent de parler devant la caméra.</v>
      </c>
    </row>
    <row r="23753">
      <c r="A23753" s="4" t="s">
        <v>29888</v>
      </c>
      <c r="B23753" s="4" t="s">
        <v>29892</v>
      </c>
      <c r="C23753" s="5" t="str">
        <f>IFERROR(__xludf.DUMMYFUNCTION("GOOGLETRANSLATE(B23753,""en"",""fr"")"),"Deux d'entre eux se tiennent en tenant un râteau et ils jouent des ciseaux en papier rocheux.")</f>
        <v>Deux d'entre eux se tiennent en tenant un râteau et ils jouent des ciseaux en papier rocheux.</v>
      </c>
    </row>
    <row r="23754">
      <c r="A23754" s="4" t="s">
        <v>29888</v>
      </c>
      <c r="B23754" s="4" t="s">
        <v>29893</v>
      </c>
      <c r="C23754" s="5" t="str">
        <f>IFERROR(__xludf.DUMMYFUNCTION("GOOGLETRANSLATE(B23754,""en"",""fr"")"),"On perd le match et saute sur le râteau.")</f>
        <v>On perd le match et saute sur le râteau.</v>
      </c>
    </row>
    <row r="23755">
      <c r="A23755" s="4" t="s">
        <v>29888</v>
      </c>
      <c r="B23755" s="4" t="s">
        <v>29894</v>
      </c>
      <c r="C23755" s="5" t="str">
        <f>IFERROR(__xludf.DUMMYFUNCTION("GOOGLETRANSLATE(B23755,""en"",""fr"")"),"Les rediffusions de lui sautant sur le râteau.")</f>
        <v>Les rediffusions de lui sautant sur le râteau.</v>
      </c>
    </row>
    <row r="23756">
      <c r="A23756" s="4" t="s">
        <v>29888</v>
      </c>
      <c r="B23756" s="4" t="s">
        <v>29895</v>
      </c>
      <c r="C23756" s="5" t="str">
        <f>IFERROR(__xludf.DUMMYFUNCTION("GOOGLETRANSLATE(B23756,""en"",""fr"")"),"Les deux autres détiennent le râteau et jouent des ciseaux en papier rock.")</f>
        <v>Les deux autres détiennent le râteau et jouent des ciseaux en papier rock.</v>
      </c>
    </row>
    <row r="23757">
      <c r="A23757" s="4" t="s">
        <v>29888</v>
      </c>
      <c r="B23757" s="4" t="s">
        <v>29896</v>
      </c>
      <c r="C23757" s="5" t="str">
        <f>IFERROR(__xludf.DUMMYFUNCTION("GOOGLETRANSLATE(B23757,""en"",""fr"")"),"Une personne différente perd et saute sur le râteau.")</f>
        <v>Une personne différente perd et saute sur le râteau.</v>
      </c>
    </row>
    <row r="23758">
      <c r="A23758" s="4" t="s">
        <v>29888</v>
      </c>
      <c r="B23758" s="4" t="s">
        <v>29897</v>
      </c>
      <c r="C23758" s="5" t="str">
        <f>IFERROR(__xludf.DUMMYFUNCTION("GOOGLETRANSLATE(B23758,""en"",""fr"")"),"Ils montrent à nouveau des rediffusions de lui sautant dessus.")</f>
        <v>Ils montrent à nouveau des rediffusions de lui sautant dessus.</v>
      </c>
    </row>
    <row r="23759">
      <c r="A23759" s="4" t="s">
        <v>29888</v>
      </c>
      <c r="B23759" s="4" t="s">
        <v>29898</v>
      </c>
      <c r="C23759" s="5" t="str">
        <f>IFERROR(__xludf.DUMMYFUNCTION("GOOGLETRANSLATE(B23759,""en"",""fr"")"),"Un ensemble différent de gars tiendra à nouveau le râteau et joue à nouveau des ciseaux en papier rock.")</f>
        <v>Un ensemble différent de gars tiendra à nouveau le râteau et joue à nouveau des ciseaux en papier rock.</v>
      </c>
    </row>
    <row r="23760">
      <c r="A23760" s="4" t="s">
        <v>29888</v>
      </c>
      <c r="B23760" s="4" t="s">
        <v>29899</v>
      </c>
      <c r="C23760" s="5" t="str">
        <f>IFERROR(__xludf.DUMMYFUNCTION("GOOGLETRANSLATE(B23760,""en"",""fr"")"),"On perd et saute à nouveau sur le râteau.")</f>
        <v>On perd et saute à nouveau sur le râteau.</v>
      </c>
    </row>
    <row r="23761">
      <c r="A23761" s="4" t="s">
        <v>29888</v>
      </c>
      <c r="B23761" s="4" t="s">
        <v>29900</v>
      </c>
      <c r="C23761" s="5" t="str">
        <f>IFERROR(__xludf.DUMMYFUNCTION("GOOGLETRANSLATE(B23761,""en"",""fr"")"),"Ils montrent des rediffusions de lui sautant sur le râteau.")</f>
        <v>Ils montrent des rediffusions de lui sautant sur le râteau.</v>
      </c>
    </row>
    <row r="23762">
      <c r="A23762" s="4" t="s">
        <v>29888</v>
      </c>
      <c r="B23762" s="4" t="s">
        <v>29901</v>
      </c>
      <c r="C23762" s="5" t="str">
        <f>IFERROR(__xludf.DUMMYFUNCTION("GOOGLETRANSLATE(B23762,""en"",""fr"")"),"L'autre gars saute ensuite sur le râteau.")</f>
        <v>L'autre gars saute ensuite sur le râteau.</v>
      </c>
    </row>
    <row r="23763">
      <c r="A23763" s="4" t="s">
        <v>29888</v>
      </c>
      <c r="B23763" s="4" t="s">
        <v>29902</v>
      </c>
      <c r="C23763" s="5" t="str">
        <f>IFERROR(__xludf.DUMMYFUNCTION("GOOGLETRANSLATE(B23763,""en"",""fr"")"),"Ils montrent à nouveau des rediffusions.")</f>
        <v>Ils montrent à nouveau des rediffusions.</v>
      </c>
    </row>
    <row r="23764">
      <c r="A23764" s="4" t="s">
        <v>29888</v>
      </c>
      <c r="B23764" s="4" t="s">
        <v>29903</v>
      </c>
      <c r="C23764" s="5" t="str">
        <f>IFERROR(__xludf.DUMMYFUNCTION("GOOGLETRANSLATE(B23764,""en"",""fr"")"),"Tous les quatre parlent à nouveau devant la caméra.")</f>
        <v>Tous les quatre parlent à nouveau devant la caméra.</v>
      </c>
    </row>
    <row r="23765">
      <c r="A23765" s="4" t="s">
        <v>29888</v>
      </c>
      <c r="B23765" s="4" t="s">
        <v>29904</v>
      </c>
      <c r="C23765" s="5" t="str">
        <f>IFERROR(__xludf.DUMMYFUNCTION("GOOGLETRANSLATE(B23765,""en"",""fr"")"),"Il se termine par d'autres vidéos de leur canal You Tube.")</f>
        <v>Il se termine par d'autres vidéos de leur canal You Tube.</v>
      </c>
    </row>
    <row r="23766">
      <c r="A23766" s="4" t="s">
        <v>29905</v>
      </c>
      <c r="B23766" s="4" t="s">
        <v>29906</v>
      </c>
      <c r="C23766" s="5" t="str">
        <f>IFERROR(__xludf.DUMMYFUNCTION("GOOGLETRANSLATE(B23766,""en"",""fr"")"),"Une personne est en bas en dessous et balance un tissu et le frappe sur quelque chose.")</f>
        <v>Une personne est en bas en dessous et balance un tissu et le frappe sur quelque chose.</v>
      </c>
    </row>
    <row r="23767">
      <c r="A23767" s="4" t="s">
        <v>29905</v>
      </c>
      <c r="B23767" s="4" t="s">
        <v>29907</v>
      </c>
      <c r="C23767" s="5" t="str">
        <f>IFERROR(__xludf.DUMMYFUNCTION("GOOGLETRANSLATE(B23767,""en"",""fr"")"),"Un large plan d'une ville est illustré à partir de ci-dessus.")</f>
        <v>Un large plan d'une ville est illustré à partir de ci-dessus.</v>
      </c>
    </row>
    <row r="23768">
      <c r="A23768" s="4" t="s">
        <v>29905</v>
      </c>
      <c r="B23768" s="6" t="s">
        <v>29908</v>
      </c>
      <c r="C23768" s="5" t="str">
        <f>IFERROR(__xludf.DUMMYFUNCTION("GOOGLETRANSLATE(B23768,""en"",""fr"")"),"La vue passe vers d'autres parties de la ville, puis zoome sur d'autres personnes qui frappent également le tissu sur un objet.")</f>
        <v>La vue passe vers d'autres parties de la ville, puis zoome sur d'autres personnes qui frappent également le tissu sur un objet.</v>
      </c>
    </row>
    <row r="23769">
      <c r="A23769" s="4" t="s">
        <v>29909</v>
      </c>
      <c r="B23769" s="4" t="s">
        <v>29910</v>
      </c>
      <c r="C23769" s="5" t="str">
        <f>IFERROR(__xludf.DUMMYFUNCTION("GOOGLETRANSLATE(B23769,""en"",""fr"")"),"Une personne jette un disque dans une bande de terre.")</f>
        <v>Une personne jette un disque dans une bande de terre.</v>
      </c>
    </row>
    <row r="23770">
      <c r="A23770" s="4" t="s">
        <v>29909</v>
      </c>
      <c r="B23770" s="4" t="s">
        <v>29911</v>
      </c>
      <c r="C23770" s="5" t="str">
        <f>IFERROR(__xludf.DUMMYFUNCTION("GOOGLETRANSLATE(B23770,""en"",""fr"")"),"Une femme dans une chemise brune tient une tasse rouge.")</f>
        <v>Une femme dans une chemise brune tient une tasse rouge.</v>
      </c>
    </row>
    <row r="23771">
      <c r="A23771" s="4" t="s">
        <v>29909</v>
      </c>
      <c r="B23771" s="4" t="s">
        <v>29912</v>
      </c>
      <c r="C23771" s="5" t="str">
        <f>IFERROR(__xludf.DUMMYFUNCTION("GOOGLETRANSLATE(B23771,""en"",""fr"")"),"Un garçon pousse une balle avec un bâton.")</f>
        <v>Un garçon pousse une balle avec un bâton.</v>
      </c>
    </row>
    <row r="23772">
      <c r="A23772" s="4" t="s">
        <v>29909</v>
      </c>
      <c r="B23772" s="4" t="s">
        <v>29913</v>
      </c>
      <c r="C23772" s="5" t="str">
        <f>IFERROR(__xludf.DUMMYFUNCTION("GOOGLETRANSLATE(B23772,""en"",""fr"")"),"Un homme en chemise noire tient un bâton.")</f>
        <v>Un homme en chemise noire tient un bâton.</v>
      </c>
    </row>
    <row r="23773">
      <c r="A23773" s="4" t="s">
        <v>29909</v>
      </c>
      <c r="B23773" s="4" t="s">
        <v>29914</v>
      </c>
      <c r="C23773" s="5" t="str">
        <f>IFERROR(__xludf.DUMMYFUNCTION("GOOGLETRANSLATE(B23773,""en"",""fr"")"),"Un garçon en chemise blanche sourit à la caméra.")</f>
        <v>Un garçon en chemise blanche sourit à la caméra.</v>
      </c>
    </row>
    <row r="23774">
      <c r="A23774" s="4" t="s">
        <v>29915</v>
      </c>
      <c r="B23774" s="4" t="s">
        <v>29916</v>
      </c>
      <c r="C23774" s="5" t="str">
        <f>IFERROR(__xludf.DUMMYFUNCTION("GOOGLETRANSLATE(B23774,""en"",""fr"")"),"Un homme est vu parler à la caméra tout en tenant un outil.")</f>
        <v>Un homme est vu parler à la caméra tout en tenant un outil.</v>
      </c>
    </row>
    <row r="23775">
      <c r="A23775" s="4" t="s">
        <v>29915</v>
      </c>
      <c r="B23775" s="4" t="s">
        <v>29917</v>
      </c>
      <c r="C23775" s="5" t="str">
        <f>IFERROR(__xludf.DUMMYFUNCTION("GOOGLETRANSLATE(B23775,""en"",""fr"")"),"Une personne est ensuite vue en train de peler un toit à l'aide du toit et de parler à haute voix.")</f>
        <v>Une personne est ensuite vue en train de peler un toit à l'aide du toit et de parler à haute voix.</v>
      </c>
    </row>
    <row r="23776">
      <c r="A23776" s="4" t="s">
        <v>29915</v>
      </c>
      <c r="B23776" s="4" t="s">
        <v>29918</v>
      </c>
      <c r="C23776" s="5" t="str">
        <f>IFERROR(__xludf.DUMMYFUNCTION("GOOGLETRANSLATE(B23776,""en"",""fr"")"),"L'homme continue de démonter le toit.")</f>
        <v>L'homme continue de démonter le toit.</v>
      </c>
    </row>
    <row r="23777">
      <c r="A23777" s="4" t="s">
        <v>29919</v>
      </c>
      <c r="B23777" s="4" t="s">
        <v>29920</v>
      </c>
      <c r="C23777" s="5" t="str">
        <f>IFERROR(__xludf.DUMMYFUNCTION("GOOGLETRANSLATE(B23777,""en"",""fr"")"),"Un groupe de personnes joue dans des kayaks en eau vive.")</f>
        <v>Un groupe de personnes joue dans des kayaks en eau vive.</v>
      </c>
    </row>
    <row r="23778">
      <c r="A23778" s="4" t="s">
        <v>29919</v>
      </c>
      <c r="B23778" s="4" t="s">
        <v>29921</v>
      </c>
      <c r="C23778" s="5" t="str">
        <f>IFERROR(__xludf.DUMMYFUNCTION("GOOGLETRANSLATE(B23778,""en"",""fr"")"),"La personne en rouge essaie de retourner.")</f>
        <v>La personne en rouge essaie de retourner.</v>
      </c>
    </row>
    <row r="23779">
      <c r="A23779" s="4" t="s">
        <v>29919</v>
      </c>
      <c r="B23779" s="4" t="s">
        <v>29922</v>
      </c>
      <c r="C23779" s="5" t="str">
        <f>IFERROR(__xludf.DUMMYFUNCTION("GOOGLETRANSLATE(B23779,""en"",""fr"")"),"Une personne en vert tente la même chose.")</f>
        <v>Une personne en vert tente la même chose.</v>
      </c>
    </row>
    <row r="23780">
      <c r="A23780" s="4" t="s">
        <v>29919</v>
      </c>
      <c r="B23780" s="4" t="s">
        <v>29923</v>
      </c>
      <c r="C23780" s="5" t="str">
        <f>IFERROR(__xludf.DUMMYFUNCTION("GOOGLETRANSLATE(B23780,""en"",""fr"")"),"La personne en rouge a alors son front dans les airs depuis longtemps.")</f>
        <v>La personne en rouge a alors son front dans les airs depuis longtemps.</v>
      </c>
    </row>
    <row r="23781">
      <c r="A23781" s="4" t="s">
        <v>29924</v>
      </c>
      <c r="B23781" s="4" t="s">
        <v>29925</v>
      </c>
      <c r="C23781" s="5" t="str">
        <f>IFERROR(__xludf.DUMMYFUNCTION("GOOGLETRANSLATE(B23781,""en"",""fr"")"),"On voit un grand groupe de personnes se promener sur un champ avec une foule qui encourage derrière eux.")</f>
        <v>On voit un grand groupe de personnes se promener sur un champ avec une foule qui encourage derrière eux.</v>
      </c>
    </row>
    <row r="23782">
      <c r="A23782" s="4" t="s">
        <v>29924</v>
      </c>
      <c r="B23782" s="4" t="s">
        <v>29926</v>
      </c>
      <c r="C23782" s="5" t="str">
        <f>IFERROR(__xludf.DUMMYFUNCTION("GOOGLETRANSLATE(B23782,""en"",""fr"")"),"Les hommes commencent alors à jouer à un jeu de football et à donner un coup de pied sur le ballon sur le terrain.")</f>
        <v>Les hommes commencent alors à jouer à un jeu de football et à donner un coup de pied sur le ballon sur le terrain.</v>
      </c>
    </row>
    <row r="23783">
      <c r="A23783" s="4" t="s">
        <v>29924</v>
      </c>
      <c r="B23783" s="6" t="s">
        <v>29927</v>
      </c>
      <c r="C23783" s="5" t="str">
        <f>IFERROR(__xludf.DUMMYFUNCTION("GOOGLETRANSLATE(B23783,""en"",""fr"")"),"Plusieurs plans sont montrés des personnes qui marquaient des buts ainsi que d'autres célébrant et se tienant les uns les autres.")</f>
        <v>Plusieurs plans sont montrés des personnes qui marquaient des buts ainsi que d'autres célébrant et se tienant les uns les autres.</v>
      </c>
    </row>
    <row r="23784">
      <c r="A23784" s="4" t="s">
        <v>29928</v>
      </c>
      <c r="B23784" s="4" t="s">
        <v>29929</v>
      </c>
      <c r="C23784" s="5" t="str">
        <f>IFERROR(__xludf.DUMMYFUNCTION("GOOGLETRANSLATE(B23784,""en"",""fr"")"),"Plusieurs spectateurs regardent un homme d'athlétisme.")</f>
        <v>Plusieurs spectateurs regardent un homme d'athlétisme.</v>
      </c>
    </row>
    <row r="23785">
      <c r="A23785" s="4" t="s">
        <v>29928</v>
      </c>
      <c r="B23785" s="4" t="s">
        <v>29930</v>
      </c>
      <c r="C23785" s="5" t="str">
        <f>IFERROR(__xludf.DUMMYFUNCTION("GOOGLETRANSLATE(B23785,""en"",""fr"")"),"La vidéo avec un homme qui commence à courir sur la piste.")</f>
        <v>La vidéo avec un homme qui commence à courir sur la piste.</v>
      </c>
    </row>
    <row r="23786">
      <c r="A23786" s="4" t="s">
        <v>29928</v>
      </c>
      <c r="B23786" s="4" t="s">
        <v>29931</v>
      </c>
      <c r="C23786" s="5" t="str">
        <f>IFERROR(__xludf.DUMMYFUNCTION("GOOGLETRANSLATE(B23786,""en"",""fr"")"),"Alors qu'il atteint la section Dirt, il fait trois sauts.")</f>
        <v>Alors qu'il atteint la section Dirt, il fait trois sauts.</v>
      </c>
    </row>
    <row r="23787">
      <c r="A23787" s="4" t="s">
        <v>29928</v>
      </c>
      <c r="B23787" s="4" t="s">
        <v>29932</v>
      </c>
      <c r="C23787" s="5" t="str">
        <f>IFERROR(__xludf.DUMMYFUNCTION("GOOGLETRANSLATE(B23787,""en"",""fr"")"),"Lors de son dernier saut, il étend ses jambes pour essayer de sauter le plus possible.")</f>
        <v>Lors de son dernier saut, il étend ses jambes pour essayer de sauter le plus possible.</v>
      </c>
    </row>
    <row r="23788">
      <c r="A23788" s="4" t="s">
        <v>29928</v>
      </c>
      <c r="B23788" s="4" t="s">
        <v>29933</v>
      </c>
      <c r="C23788" s="5" t="str">
        <f>IFERROR(__xludf.DUMMYFUNCTION("GOOGLETRANSLATE(B23788,""en"",""fr"")"),"La vidéo se termine après avoir atterri et il est montré en claquant le sol.")</f>
        <v>La vidéo se termine après avoir atterri et il est montré en claquant le sol.</v>
      </c>
    </row>
    <row r="23789">
      <c r="A23789" s="4" t="s">
        <v>29934</v>
      </c>
      <c r="B23789" s="6" t="s">
        <v>29935</v>
      </c>
      <c r="C23789" s="5" t="str">
        <f>IFERROR(__xludf.DUMMYFUNCTION("GOOGLETRANSLATE(B23789,""en"",""fr"")"),"La caméra se déroule autour d'un homme debout devant une table de ping-pong et commence à jouer un match avec un autre homme.")</f>
        <v>La caméra se déroule autour d'un homme debout devant une table de ping-pong et commence à jouer un match avec un autre homme.</v>
      </c>
    </row>
    <row r="23790">
      <c r="A23790" s="4" t="s">
        <v>29934</v>
      </c>
      <c r="B23790" s="4" t="s">
        <v>29936</v>
      </c>
      <c r="C23790" s="5" t="str">
        <f>IFERROR(__xludf.DUMMYFUNCTION("GOOGLETRANSLATE(B23790,""en"",""fr"")"),"Les hommes continuent de reprendre le ballon et la quatrième tandis que diverses personnes le regardent sur le côté.")</f>
        <v>Les hommes continuent de reprendre le ballon et la quatrième tandis que diverses personnes le regardent sur le côté.</v>
      </c>
    </row>
    <row r="23791">
      <c r="A23791" s="4" t="s">
        <v>29937</v>
      </c>
      <c r="B23791" s="4" t="s">
        <v>29938</v>
      </c>
      <c r="C23791" s="5" t="str">
        <f>IFERROR(__xludf.DUMMYFUNCTION("GOOGLETRANSLATE(B23791,""en"",""fr"")"),"Une gymnaste est vue regarder au loin et se tenir debout devant un ensemble de barres inégales.")</f>
        <v>Une gymnaste est vue regarder au loin et se tenir debout devant un ensemble de barres inégales.</v>
      </c>
    </row>
    <row r="23792">
      <c r="A23792" s="4" t="s">
        <v>29937</v>
      </c>
      <c r="B23792" s="4" t="s">
        <v>29939</v>
      </c>
      <c r="C23792" s="5" t="str">
        <f>IFERROR(__xludf.DUMMYFUNCTION("GOOGLETRANSLATE(B23792,""en"",""fr"")"),"L'homme saute ensuite sur les barres et commence à se balancer en arrière et quatrième.")</f>
        <v>L'homme saute ensuite sur les barres et commence à se balancer en arrière et quatrième.</v>
      </c>
    </row>
    <row r="23793">
      <c r="A23793" s="4" t="s">
        <v>29937</v>
      </c>
      <c r="B23793" s="4" t="s">
        <v>29940</v>
      </c>
      <c r="C23793" s="5" t="str">
        <f>IFERROR(__xludf.DUMMYFUNCTION("GOOGLETRANSLATE(B23793,""en"",""fr"")"),"L'homme continue de se balancer et se termine en sautant.")</f>
        <v>L'homme continue de se balancer et se termine en sautant.</v>
      </c>
    </row>
    <row r="23794">
      <c r="A23794" s="4" t="s">
        <v>29941</v>
      </c>
      <c r="B23794" s="4" t="s">
        <v>29942</v>
      </c>
      <c r="C23794" s="5" t="str">
        <f>IFERROR(__xludf.DUMMYFUNCTION("GOOGLETRANSLATE(B23794,""en"",""fr"")"),"Une femme se lave les mains à un évier.")</f>
        <v>Une femme se lave les mains à un évier.</v>
      </c>
    </row>
    <row r="23795">
      <c r="A23795" s="4" t="s">
        <v>29941</v>
      </c>
      <c r="B23795" s="4" t="s">
        <v>29943</v>
      </c>
      <c r="C23795" s="5" t="str">
        <f>IFERROR(__xludf.DUMMYFUNCTION("GOOGLETRANSLATE(B23795,""en"",""fr"")"),"La femme serpente ses mains sèches.")</f>
        <v>La femme serpente ses mains sèches.</v>
      </c>
    </row>
    <row r="23796">
      <c r="A23796" s="4" t="s">
        <v>29941</v>
      </c>
      <c r="B23796" s="4" t="s">
        <v>29944</v>
      </c>
      <c r="C23796" s="5" t="str">
        <f>IFERROR(__xludf.DUMMYFUNCTION("GOOGLETRANSLATE(B23796,""en"",""fr"")"),"La caméra montre un gros plan de son liquide qui laisse tomber dans une lentille de contact.")</f>
        <v>La caméra montre un gros plan de son liquide qui laisse tomber dans une lentille de contact.</v>
      </c>
    </row>
    <row r="23797">
      <c r="A23797" s="4" t="s">
        <v>29941</v>
      </c>
      <c r="B23797" s="4" t="s">
        <v>29945</v>
      </c>
      <c r="C23797" s="5" t="str">
        <f>IFERROR(__xludf.DUMMYFUNCTION("GOOGLETRANSLATE(B23797,""en"",""fr"")"),"L'objectif de contact est retenu pour inspection.")</f>
        <v>L'objectif de contact est retenu pour inspection.</v>
      </c>
    </row>
    <row r="23798">
      <c r="A23798" s="4" t="s">
        <v>29941</v>
      </c>
      <c r="B23798" s="4" t="s">
        <v>29946</v>
      </c>
      <c r="C23798" s="5" t="str">
        <f>IFERROR(__xludf.DUMMYFUNCTION("GOOGLETRANSLATE(B23798,""en"",""fr"")"),"La femme frotte l'objectif de contact avec le liquide.")</f>
        <v>La femme frotte l'objectif de contact avec le liquide.</v>
      </c>
    </row>
    <row r="23799">
      <c r="A23799" s="4" t="s">
        <v>29941</v>
      </c>
      <c r="B23799" s="4" t="s">
        <v>29947</v>
      </c>
      <c r="C23799" s="5" t="str">
        <f>IFERROR(__xludf.DUMMYFUNCTION("GOOGLETRANSLATE(B23799,""en"",""fr"")"),"La femme met l'objectif.")</f>
        <v>La femme met l'objectif.</v>
      </c>
    </row>
    <row r="23800">
      <c r="A23800" s="4" t="s">
        <v>29941</v>
      </c>
      <c r="B23800" s="4" t="s">
        <v>29948</v>
      </c>
      <c r="C23800" s="5" t="str">
        <f>IFERROR(__xludf.DUMMYFUNCTION("GOOGLETRANSLATE(B23800,""en"",""fr"")"),"La femme retire l'objectif.")</f>
        <v>La femme retire l'objectif.</v>
      </c>
    </row>
    <row r="23801">
      <c r="A23801" s="4" t="s">
        <v>29941</v>
      </c>
      <c r="B23801" s="4" t="s">
        <v>29949</v>
      </c>
      <c r="C23801" s="5" t="str">
        <f>IFERROR(__xludf.DUMMYFUNCTION("GOOGLETRANSLATE(B23801,""en"",""fr"")"),"L'objectif est retenu pour inspection.")</f>
        <v>L'objectif est retenu pour inspection.</v>
      </c>
    </row>
    <row r="23802">
      <c r="A23802" s="4" t="s">
        <v>29941</v>
      </c>
      <c r="B23802" s="4" t="s">
        <v>29950</v>
      </c>
      <c r="C23802" s="5" t="str">
        <f>IFERROR(__xludf.DUMMYFUNCTION("GOOGLETRANSLATE(B23802,""en"",""fr"")"),"La femme retire à nouveau l'objectif de son œil.")</f>
        <v>La femme retire à nouveau l'objectif de son œil.</v>
      </c>
    </row>
    <row r="23803">
      <c r="A23803" s="4" t="s">
        <v>29941</v>
      </c>
      <c r="B23803" s="4" t="s">
        <v>29951</v>
      </c>
      <c r="C23803" s="5" t="str">
        <f>IFERROR(__xludf.DUMMYFUNCTION("GOOGLETRANSLATE(B23803,""en"",""fr"")"),"La femme nettoie l'objectif avec une solution.")</f>
        <v>La femme nettoie l'objectif avec une solution.</v>
      </c>
    </row>
    <row r="23804">
      <c r="A23804" s="4" t="s">
        <v>29941</v>
      </c>
      <c r="B23804" s="4" t="s">
        <v>29952</v>
      </c>
      <c r="C23804" s="5" t="str">
        <f>IFERROR(__xludf.DUMMYFUNCTION("GOOGLETRANSLATE(B23804,""en"",""fr"")"),"La femme place l'objectif dans un conteneur.")</f>
        <v>La femme place l'objectif dans un conteneur.</v>
      </c>
    </row>
    <row r="23805">
      <c r="A23805" s="4" t="s">
        <v>29953</v>
      </c>
      <c r="B23805" s="4" t="s">
        <v>29954</v>
      </c>
      <c r="C23805" s="5" t="str">
        <f>IFERROR(__xludf.DUMMYFUNCTION("GOOGLETRANSLATE(B23805,""en"",""fr"")"),"Une jeune femme est vue en train de regarder la caméra fumer une cigarette et de rire de la caméra.")</f>
        <v>Une jeune femme est vue en train de regarder la caméra fumer une cigarette et de rire de la caméra.</v>
      </c>
    </row>
    <row r="23806">
      <c r="A23806" s="4" t="s">
        <v>29953</v>
      </c>
      <c r="B23806" s="4" t="s">
        <v>29955</v>
      </c>
      <c r="C23806" s="5" t="str">
        <f>IFERROR(__xludf.DUMMYFUNCTION("GOOGLETRANSLATE(B23806,""en"",""fr"")"),"Elle continue de retirer les bouffées de la cigarette tout en regardant dans la caméra et en soufflant de la fumée.")</f>
        <v>Elle continue de retirer les bouffées de la cigarette tout en regardant dans la caméra et en soufflant de la fumée.</v>
      </c>
    </row>
    <row r="23807">
      <c r="A23807" s="4" t="s">
        <v>29956</v>
      </c>
      <c r="B23807" s="4" t="s">
        <v>29957</v>
      </c>
      <c r="C23807" s="5" t="str">
        <f>IFERROR(__xludf.DUMMYFUNCTION("GOOGLETRANSLATE(B23807,""en"",""fr"")"),"À la maison, les toiletteurs pour animaux de compagnie montrent comment préparer un animal de compagnie.")</f>
        <v>À la maison, les toiletteurs pour animaux de compagnie montrent comment préparer un animal de compagnie.</v>
      </c>
    </row>
    <row r="23808">
      <c r="A23808" s="4" t="s">
        <v>29956</v>
      </c>
      <c r="B23808" s="6" t="s">
        <v>29958</v>
      </c>
      <c r="C23808" s="5" t="str">
        <f>IFERROR(__xludf.DUMMYFUNCTION("GOOGLETRANSLATE(B23808,""en"",""fr"")"),"La personne montre comment les cheveux du chien sont coupés de cisaillements électriques dans leur salon de toilettage.")</f>
        <v>La personne montre comment les cheveux du chien sont coupés de cisaillements électriques dans leur salon de toilettage.</v>
      </c>
    </row>
    <row r="23809">
      <c r="A23809" s="4" t="s">
        <v>29959</v>
      </c>
      <c r="B23809" s="4" t="s">
        <v>29960</v>
      </c>
      <c r="C23809" s="5" t="str">
        <f>IFERROR(__xludf.DUMMYFUNCTION("GOOGLETRANSLATE(B23809,""en"",""fr"")"),"Deux hommes se tiennent à l'extrême gauche d'une table de pong de bière.")</f>
        <v>Deux hommes se tiennent à l'extrême gauche d'une table de pong de bière.</v>
      </c>
    </row>
    <row r="23810">
      <c r="A23810" s="4" t="s">
        <v>29959</v>
      </c>
      <c r="B23810" s="4" t="s">
        <v>29961</v>
      </c>
      <c r="C23810" s="5" t="str">
        <f>IFERROR(__xludf.DUMMYFUNCTION("GOOGLETRANSLATE(B23810,""en"",""fr"")"),"L'un des hommes lance une balle de pong de bière sur la table, dans une tasse.")</f>
        <v>L'un des hommes lance une balle de pong de bière sur la table, dans une tasse.</v>
      </c>
    </row>
    <row r="23811">
      <c r="A23811" s="4" t="s">
        <v>29959</v>
      </c>
      <c r="B23811" s="4" t="s">
        <v>29962</v>
      </c>
      <c r="C23811" s="5" t="str">
        <f>IFERROR(__xludf.DUMMYFUNCTION("GOOGLETRANSLATE(B23811,""en"",""fr"")"),"L'autre homme avec lui lance également une balle sur la table.")</f>
        <v>L'autre homme avec lui lance également une balle sur la table.</v>
      </c>
    </row>
    <row r="23812">
      <c r="A23812" s="4" t="s">
        <v>29959</v>
      </c>
      <c r="B23812" s="6" t="s">
        <v>29963</v>
      </c>
      <c r="C23812" s="5" t="str">
        <f>IFERROR(__xludf.DUMMYFUNCTION("GOOGLETRANSLATE(B23812,""en"",""fr"")"),"Deux autres hommes se tiennent à l'extrême droite de la table de bière Pong, et l'un des hommes atteint pour attraper la tasse où le ballon est tombé, et l'autre homme se penche pour attraper une balle qui est tombée sur le sol.")</f>
        <v>Deux autres hommes se tiennent à l'extrême droite de la table de bière Pong, et l'un des hommes atteint pour attraper la tasse où le ballon est tombé, et l'autre homme se penche pour attraper une balle qui est tombée sur le sol.</v>
      </c>
    </row>
    <row r="23813">
      <c r="A23813" s="4" t="s">
        <v>29964</v>
      </c>
      <c r="B23813" s="4" t="s">
        <v>29965</v>
      </c>
      <c r="C23813" s="5" t="str">
        <f>IFERROR(__xludf.DUMMYFUNCTION("GOOGLETRANSLATE(B23813,""en"",""fr"")"),"Une fille se penche sur un évier et un garçon s'approche pour lui parler.")</f>
        <v>Une fille se penche sur un évier et un garçon s'approche pour lui parler.</v>
      </c>
    </row>
    <row r="23814">
      <c r="A23814" s="4" t="s">
        <v>29964</v>
      </c>
      <c r="B23814" s="4" t="s">
        <v>29966</v>
      </c>
      <c r="C23814" s="5" t="str">
        <f>IFERROR(__xludf.DUMMYFUNCTION("GOOGLETRANSLATE(B23814,""en"",""fr"")"),"Elle commence à rire et à sauter de haut en bas.")</f>
        <v>Elle commence à rire et à sauter de haut en bas.</v>
      </c>
    </row>
    <row r="23815">
      <c r="A23815" s="4" t="s">
        <v>29964</v>
      </c>
      <c r="B23815" s="4" t="s">
        <v>29967</v>
      </c>
      <c r="C23815" s="5" t="str">
        <f>IFERROR(__xludf.DUMMYFUNCTION("GOOGLETRANSLATE(B23815,""en"",""fr"")"),"Le garçon semble également excité et elle sourit à la caméra.")</f>
        <v>Le garçon semble également excité et elle sourit à la caméra.</v>
      </c>
    </row>
    <row r="23816">
      <c r="A23816" s="4" t="s">
        <v>29968</v>
      </c>
      <c r="B23816" s="4" t="s">
        <v>29969</v>
      </c>
      <c r="C23816" s="5" t="str">
        <f>IFERROR(__xludf.DUMMYFUNCTION("GOOGLETRANSLATE(B23816,""en"",""fr"")"),"Une jeune fille avec une queue de cheval joue un Drumkit, elle apparaît à un musicien entraîné.")</f>
        <v>Une jeune fille avec une queue de cheval joue un Drumkit, elle apparaît à un musicien entraîné.</v>
      </c>
    </row>
    <row r="23817">
      <c r="A23817" s="4" t="s">
        <v>29968</v>
      </c>
      <c r="B23817" s="4" t="s">
        <v>29970</v>
      </c>
      <c r="C23817" s="5" t="str">
        <f>IFERROR(__xludf.DUMMYFUNCTION("GOOGLETRANSLATE(B23817,""en"",""fr"")"),"La fille se concentre sur un tambour particulier.")</f>
        <v>La fille se concentre sur un tambour particulier.</v>
      </c>
    </row>
    <row r="23818">
      <c r="A23818" s="4" t="s">
        <v>29968</v>
      </c>
      <c r="B23818" s="4" t="s">
        <v>29971</v>
      </c>
      <c r="C23818" s="5" t="str">
        <f>IFERROR(__xludf.DUMMYFUNCTION("GOOGLETRANSLATE(B23818,""en"",""fr"")"),"La fille continue de jouer différentes parties du Drumkit.")</f>
        <v>La fille continue de jouer différentes parties du Drumkit.</v>
      </c>
    </row>
    <row r="23819">
      <c r="A23819" s="4" t="s">
        <v>29972</v>
      </c>
      <c r="B23819" s="6" t="s">
        <v>29973</v>
      </c>
      <c r="C23819" s="5" t="str">
        <f>IFERROR(__xludf.DUMMYFUNCTION("GOOGLETRANSLATE(B23819,""en"",""fr"")"),"Un camion est vu sauvegarder et faire sauter les feuilles pendant que la caméra capture la zone autour du camion.")</f>
        <v>Un camion est vu sauvegarder et faire sauter les feuilles pendant que la caméra capture la zone autour du camion.</v>
      </c>
    </row>
    <row r="23820">
      <c r="A23820" s="4" t="s">
        <v>29972</v>
      </c>
      <c r="B23820" s="6" t="s">
        <v>29974</v>
      </c>
      <c r="C23820" s="5" t="str">
        <f>IFERROR(__xludf.DUMMYFUNCTION("GOOGLETRANSLATE(B23820,""en"",""fr"")"),"Le camion est revu à plusieurs endroits en sauvegardant et en repoussant les feuilles loin du camion.")</f>
        <v>Le camion est revu à plusieurs endroits en sauvegardant et en repoussant les feuilles loin du camion.</v>
      </c>
    </row>
    <row r="23821">
      <c r="A23821" s="4" t="s">
        <v>29975</v>
      </c>
      <c r="B23821" s="4" t="s">
        <v>29976</v>
      </c>
      <c r="C23821" s="5" t="str">
        <f>IFERROR(__xludf.DUMMYFUNCTION("GOOGLETRANSLATE(B23821,""en"",""fr"")"),"Deux personnes jouent un match de tennis sur un court bleu.")</f>
        <v>Deux personnes jouent un match de tennis sur un court bleu.</v>
      </c>
    </row>
    <row r="23822">
      <c r="A23822" s="4" t="s">
        <v>29975</v>
      </c>
      <c r="B23822" s="4" t="s">
        <v>29977</v>
      </c>
      <c r="C23822" s="5" t="str">
        <f>IFERROR(__xludf.DUMMYFUNCTION("GOOGLETRANSLATE(B23822,""en"",""fr"")"),"L'homme dans la chemise bleue manque le ballon et s'éloigne pour parler à quelqu'un.")</f>
        <v>L'homme dans la chemise bleue manque le ballon et s'éloigne pour parler à quelqu'un.</v>
      </c>
    </row>
    <row r="23823">
      <c r="A23823" s="4" t="s">
        <v>29975</v>
      </c>
      <c r="B23823" s="4" t="s">
        <v>29978</v>
      </c>
      <c r="C23823" s="5" t="str">
        <f>IFERROR(__xludf.DUMMYFUNCTION("GOOGLETRANSLATE(B23823,""en"",""fr"")"),"Ils ont rejoué la vidéo de lui manquant le ballon.")</f>
        <v>Ils ont rejoué la vidéo de lui manquant le ballon.</v>
      </c>
    </row>
    <row r="23824">
      <c r="A23824" s="4" t="s">
        <v>29975</v>
      </c>
      <c r="B23824" s="4" t="s">
        <v>29979</v>
      </c>
      <c r="C23824" s="5" t="str">
        <f>IFERROR(__xludf.DUMMYFUNCTION("GOOGLETRANSLATE(B23824,""en"",""fr"")"),"Un homme en chemise blanche est assis sur une chaise avec un microphone.")</f>
        <v>Un homme en chemise blanche est assis sur une chaise avec un microphone.</v>
      </c>
    </row>
    <row r="23825">
      <c r="A23825" s="4" t="s">
        <v>29975</v>
      </c>
      <c r="B23825" s="4" t="s">
        <v>29980</v>
      </c>
      <c r="C23825" s="5" t="str">
        <f>IFERROR(__xludf.DUMMYFUNCTION("GOOGLETRANSLATE(B23825,""en"",""fr"")"),"Ils redémarrent un autre match de tennis.")</f>
        <v>Ils redémarrent un autre match de tennis.</v>
      </c>
    </row>
    <row r="23826">
      <c r="A23826" s="4" t="s">
        <v>29981</v>
      </c>
      <c r="B23826" s="6" t="s">
        <v>29982</v>
      </c>
      <c r="C23826" s="5" t="str">
        <f>IFERROR(__xludf.DUMMYFUNCTION("GOOGLETRANSLATE(B23826,""en"",""fr"")"),"Un homme est vu parler à la caméra tout en tenant un ski et en le pointant à divers endroits.")</f>
        <v>Un homme est vu parler à la caméra tout en tenant un ski et en le pointant à divers endroits.</v>
      </c>
    </row>
    <row r="23827">
      <c r="A23827" s="4" t="s">
        <v>29981</v>
      </c>
      <c r="B23827" s="6" t="s">
        <v>29983</v>
      </c>
      <c r="C23827" s="5" t="str">
        <f>IFERROR(__xludf.DUMMYFUNCTION("GOOGLETRANSLATE(B23827,""en"",""fr"")"),"L'homme continue de parler en frottant le ski avec une lotion et en terminant en le présentant à l'écran.")</f>
        <v>L'homme continue de parler en frottant le ski avec une lotion et en terminant en le présentant à l'écran.</v>
      </c>
    </row>
    <row r="23828">
      <c r="A23828" s="4" t="s">
        <v>29984</v>
      </c>
      <c r="B23828" s="4" t="s">
        <v>29985</v>
      </c>
      <c r="C23828" s="5" t="str">
        <f>IFERROR(__xludf.DUMMYFUNCTION("GOOGLETRANSLATE(B23828,""en"",""fr"")"),"Deux bus sont garés dans un parking.")</f>
        <v>Deux bus sont garés dans un parking.</v>
      </c>
    </row>
    <row r="23829">
      <c r="A23829" s="4" t="s">
        <v>29984</v>
      </c>
      <c r="B23829" s="4" t="s">
        <v>29986</v>
      </c>
      <c r="C23829" s="5" t="str">
        <f>IFERROR(__xludf.DUMMYFUNCTION("GOOGLETRANSLATE(B23829,""en"",""fr"")"),"Les gens marchent devant lui dans la neige.")</f>
        <v>Les gens marchent devant lui dans la neige.</v>
      </c>
    </row>
    <row r="23830">
      <c r="A23830" s="4" t="s">
        <v>29984</v>
      </c>
      <c r="B23830" s="4" t="s">
        <v>29987</v>
      </c>
      <c r="C23830" s="5" t="str">
        <f>IFERROR(__xludf.DUMMYFUNCTION("GOOGLETRANSLATE(B23830,""en"",""fr"")"),"Une personne pelleter la neige devant elle.")</f>
        <v>Une personne pelleter la neige devant elle.</v>
      </c>
    </row>
    <row r="23831">
      <c r="A23831" s="4" t="s">
        <v>29988</v>
      </c>
      <c r="B23831" s="4" t="s">
        <v>29989</v>
      </c>
      <c r="C23831" s="5" t="str">
        <f>IFERROR(__xludf.DUMMYFUNCTION("GOOGLETRANSLATE(B23831,""en"",""fr"")"),"Une femme plus âgée est vue assise sur une chaise avec une aiguille dans ses mains.")</f>
        <v>Une femme plus âgée est vue assise sur une chaise avec une aiguille dans ses mains.</v>
      </c>
    </row>
    <row r="23832">
      <c r="A23832" s="4" t="s">
        <v>29988</v>
      </c>
      <c r="B23832" s="4" t="s">
        <v>29990</v>
      </c>
      <c r="C23832" s="5" t="str">
        <f>IFERROR(__xludf.DUMMYFUNCTION("GOOGLETRANSLATE(B23832,""en"",""fr"")"),"La femme commence alors à semer pendant que la caméra capture ses mouvements.")</f>
        <v>La femme commence alors à semer pendant que la caméra capture ses mouvements.</v>
      </c>
    </row>
    <row r="23833">
      <c r="A23833" s="4" t="s">
        <v>29988</v>
      </c>
      <c r="B23833" s="4" t="s">
        <v>29991</v>
      </c>
      <c r="C23833" s="5" t="str">
        <f>IFERROR(__xludf.DUMMYFUNCTION("GOOGLETRANSLATE(B23833,""en"",""fr"")"),"La femme continue de semer et la caméra regarde de côté.")</f>
        <v>La femme continue de semer et la caméra regarde de côté.</v>
      </c>
    </row>
    <row r="23834">
      <c r="A23834" s="4" t="s">
        <v>29992</v>
      </c>
      <c r="B23834" s="4" t="s">
        <v>29993</v>
      </c>
      <c r="C23834" s="5" t="str">
        <f>IFERROR(__xludf.DUMMYFUNCTION("GOOGLETRANSLATE(B23834,""en"",""fr"")"),"Une femme se tient dans la neige avec les mots ""Fat Girl Snowboard"" superposé.")</f>
        <v>Une femme se tient dans la neige avec les mots "Fat Girl Snowboard" superposé.</v>
      </c>
    </row>
    <row r="23835">
      <c r="A23835" s="4" t="s">
        <v>29992</v>
      </c>
      <c r="B23835" s="4" t="s">
        <v>29994</v>
      </c>
      <c r="C23835" s="5" t="str">
        <f>IFERROR(__xludf.DUMMYFUNCTION("GOOGLETRANSLATE(B23835,""en"",""fr"")"),"Un long message dactylographié sur sa raison de vouloir le snowboard.")</f>
        <v>Un long message dactylographié sur sa raison de vouloir le snowboard.</v>
      </c>
    </row>
    <row r="23836">
      <c r="A23836" s="4" t="s">
        <v>29992</v>
      </c>
      <c r="B23836" s="4" t="s">
        <v>29995</v>
      </c>
      <c r="C23836" s="5" t="str">
        <f>IFERROR(__xludf.DUMMYFUNCTION("GOOGLETRANSLATE(B23836,""en"",""fr"")"),"Elle fait plusieurs tentatives sur la colline enneigée et tombe plusieurs fois.")</f>
        <v>Elle fait plusieurs tentatives sur la colline enneigée et tombe plusieurs fois.</v>
      </c>
    </row>
    <row r="23837">
      <c r="A23837" s="4" t="s">
        <v>29996</v>
      </c>
      <c r="B23837" s="4" t="s">
        <v>29997</v>
      </c>
      <c r="C23837" s="5" t="str">
        <f>IFERROR(__xludf.DUMMYFUNCTION("GOOGLETRANSLATE(B23837,""en"",""fr"")"),"Un taureau tenant un tissu rouge est sur le terrain.")</f>
        <v>Un taureau tenant un tissu rouge est sur le terrain.</v>
      </c>
    </row>
    <row r="23838">
      <c r="A23838" s="4" t="s">
        <v>29996</v>
      </c>
      <c r="B23838" s="4" t="s">
        <v>29998</v>
      </c>
      <c r="C23838" s="5" t="str">
        <f>IFERROR(__xludf.DUMMYFUNCTION("GOOGLETRANSLATE(B23838,""en"",""fr"")"),"Un taureau coule vers le tissu rouge du taureau.")</f>
        <v>Un taureau coule vers le tissu rouge du taureau.</v>
      </c>
    </row>
    <row r="23839">
      <c r="A23839" s="4" t="s">
        <v>29996</v>
      </c>
      <c r="B23839" s="4" t="s">
        <v>29999</v>
      </c>
      <c r="C23839" s="5" t="str">
        <f>IFERROR(__xludf.DUMMYFUNCTION("GOOGLETRANSLATE(B23839,""en"",""fr"")"),"Beaucoup de gens sont assis sur des stands en regardant le taureau.")</f>
        <v>Beaucoup de gens sont assis sur des stands en regardant le taureau.</v>
      </c>
    </row>
    <row r="23840">
      <c r="A23840" s="4" t="s">
        <v>30000</v>
      </c>
      <c r="B23840" s="4" t="s">
        <v>30001</v>
      </c>
      <c r="C23840" s="5" t="str">
        <f>IFERROR(__xludf.DUMMYFUNCTION("GOOGLETRANSLATE(B23840,""en"",""fr"")"),"Un jeune garçon est vu versant du savon dans ses mains et frottant ses mains au-dessus d'un évier.")</f>
        <v>Un jeune garçon est vu versant du savon dans ses mains et frottant ses mains au-dessus d'un évier.</v>
      </c>
    </row>
    <row r="23841">
      <c r="A23841" s="4" t="s">
        <v>30000</v>
      </c>
      <c r="B23841" s="4" t="s">
        <v>30002</v>
      </c>
      <c r="C23841" s="5" t="str">
        <f>IFERROR(__xludf.DUMMYFUNCTION("GOOGLETRANSLATE(B23841,""en"",""fr"")"),"Il attrape ensuite une serviette en papier et sèche de ses mains.")</f>
        <v>Il attrape ensuite une serviette en papier et sèche de ses mains.</v>
      </c>
    </row>
    <row r="23842">
      <c r="A23842" s="4" t="s">
        <v>30003</v>
      </c>
      <c r="B23842" s="4" t="s">
        <v>30004</v>
      </c>
      <c r="C23842" s="5" t="str">
        <f>IFERROR(__xludf.DUMMYFUNCTION("GOOGLETRANSLATE(B23842,""en"",""fr"")"),"Les couples dansent sur une piste de danse lors d'une fête devant une scène.")</f>
        <v>Les couples dansent sur une piste de danse lors d'une fête devant une scène.</v>
      </c>
    </row>
    <row r="23843">
      <c r="A23843" s="4" t="s">
        <v>30003</v>
      </c>
      <c r="B23843" s="4" t="s">
        <v>30005</v>
      </c>
      <c r="C23843" s="5" t="str">
        <f>IFERROR(__xludf.DUMMYFUNCTION("GOOGLETRANSLATE(B23843,""en"",""fr"")"),"L'homme tourne son partenaire en dansant.")</f>
        <v>L'homme tourne son partenaire en dansant.</v>
      </c>
    </row>
    <row r="23844">
      <c r="A23844" s="4" t="s">
        <v>30003</v>
      </c>
      <c r="B23844" s="4" t="s">
        <v>30006</v>
      </c>
      <c r="C23844" s="5" t="str">
        <f>IFERROR(__xludf.DUMMYFUNCTION("GOOGLETRANSLATE(B23844,""en"",""fr"")"),"Un homme sur la bonne danse balançant ses bras en arrière et quatrième.")</f>
        <v>Un homme sur la bonne danse balançant ses bras en arrière et quatrième.</v>
      </c>
    </row>
    <row r="23845">
      <c r="A23845" s="4" t="s">
        <v>30007</v>
      </c>
      <c r="B23845" s="4" t="s">
        <v>30008</v>
      </c>
      <c r="C23845" s="5" t="str">
        <f>IFERROR(__xludf.DUMMYFUNCTION("GOOGLETRANSLATE(B23845,""en"",""fr"")"),"Un homme se tient dans les bois, parle.")</f>
        <v>Un homme se tient dans les bois, parle.</v>
      </c>
    </row>
    <row r="23846">
      <c r="A23846" s="4" t="s">
        <v>30007</v>
      </c>
      <c r="B23846" s="4" t="s">
        <v>30009</v>
      </c>
      <c r="C23846" s="5" t="str">
        <f>IFERROR(__xludf.DUMMYFUNCTION("GOOGLETRANSLATE(B23846,""en"",""fr"")"),"Il utilise une hache pour frapper un grand morceau de bois.")</f>
        <v>Il utilise une hache pour frapper un grand morceau de bois.</v>
      </c>
    </row>
    <row r="23847">
      <c r="A23847" s="4" t="s">
        <v>30007</v>
      </c>
      <c r="B23847" s="4" t="s">
        <v>30010</v>
      </c>
      <c r="C23847" s="5" t="str">
        <f>IFERROR(__xludf.DUMMYFUNCTION("GOOGLETRANSLATE(B23847,""en"",""fr"")"),"Il divise le bois en bûches avec la hache.")</f>
        <v>Il divise le bois en bûches avec la hache.</v>
      </c>
    </row>
    <row r="23848">
      <c r="A23848" s="4" t="s">
        <v>30011</v>
      </c>
      <c r="B23848" s="4" t="s">
        <v>30012</v>
      </c>
      <c r="C23848" s="5" t="str">
        <f>IFERROR(__xludf.DUMMYFUNCTION("GOOGLETRANSLATE(B23848,""en"",""fr"")"),"Nous voyons des hommes travailler sur un toit sur une maison de style ranch.")</f>
        <v>Nous voyons des hommes travailler sur un toit sur une maison de style ranch.</v>
      </c>
    </row>
    <row r="23849">
      <c r="A23849" s="4" t="s">
        <v>30011</v>
      </c>
      <c r="B23849" s="4" t="s">
        <v>30013</v>
      </c>
      <c r="C23849" s="5" t="str">
        <f>IFERROR(__xludf.DUMMYFUNCTION("GOOGLETRANSLATE(B23849,""en"",""fr"")"),"Nous voyons les fournitures sur le terrain.")</f>
        <v>Nous voyons les fournitures sur le terrain.</v>
      </c>
    </row>
    <row r="23850">
      <c r="A23850" s="4" t="s">
        <v>30011</v>
      </c>
      <c r="B23850" s="4" t="s">
        <v>30014</v>
      </c>
      <c r="C23850" s="5" t="str">
        <f>IFERROR(__xludf.DUMMYFUNCTION("GOOGLETRANSLATE(B23850,""en"",""fr"")"),"Nous voyons les hommes sur la partie avant du toit.")</f>
        <v>Nous voyons les hommes sur la partie avant du toit.</v>
      </c>
    </row>
    <row r="23851">
      <c r="A23851" s="4" t="s">
        <v>30011</v>
      </c>
      <c r="B23851" s="4" t="s">
        <v>30015</v>
      </c>
      <c r="C23851" s="5" t="str">
        <f>IFERROR(__xludf.DUMMYFUNCTION("GOOGLETRANSLATE(B23851,""en"",""fr"")"),"Nous voyons un homme jeter des bardeaux dans une remorque sur le sol.")</f>
        <v>Nous voyons un homme jeter des bardeaux dans une remorque sur le sol.</v>
      </c>
    </row>
    <row r="23852">
      <c r="A23852" s="4" t="s">
        <v>30011</v>
      </c>
      <c r="B23852" s="4" t="s">
        <v>30016</v>
      </c>
      <c r="C23852" s="5" t="str">
        <f>IFERROR(__xludf.DUMMYFUNCTION("GOOGLETRANSLATE(B23852,""en"",""fr"")"),"Nous voyons les rouleaux de matériaux de toiture.")</f>
        <v>Nous voyons les rouleaux de matériaux de toiture.</v>
      </c>
    </row>
    <row r="23853">
      <c r="A23853" s="4" t="s">
        <v>30011</v>
      </c>
      <c r="B23853" s="4" t="s">
        <v>30017</v>
      </c>
      <c r="C23853" s="5" t="str">
        <f>IFERROR(__xludf.DUMMYFUNCTION("GOOGLETRANSLATE(B23853,""en"",""fr"")"),"Nous voyons un homme jeter des bardeaux dans une bande-annonce.")</f>
        <v>Nous voyons un homme jeter des bardeaux dans une bande-annonce.</v>
      </c>
    </row>
    <row r="23854">
      <c r="A23854" s="4" t="s">
        <v>30011</v>
      </c>
      <c r="B23854" s="4" t="s">
        <v>30018</v>
      </c>
      <c r="C23854" s="5" t="str">
        <f>IFERROR(__xludf.DUMMYFUNCTION("GOOGLETRANSLATE(B23854,""en"",""fr"")"),"Trois hommes jettent des bardeaux du toit.")</f>
        <v>Trois hommes jettent des bardeaux du toit.</v>
      </c>
    </row>
    <row r="23855">
      <c r="A23855" s="4" t="s">
        <v>30019</v>
      </c>
      <c r="B23855" s="4" t="s">
        <v>30020</v>
      </c>
      <c r="C23855" s="5" t="str">
        <f>IFERROR(__xludf.DUMMYFUNCTION("GOOGLETRANSLATE(B23855,""en"",""fr"")"),"Un réglage de verres avec de l'eau de citron est placé sur un tapis de place avec un citron entier.")</f>
        <v>Un réglage de verres avec de l'eau de citron est placé sur un tapis de place avec un citron entier.</v>
      </c>
    </row>
    <row r="23856">
      <c r="A23856" s="4" t="s">
        <v>30019</v>
      </c>
      <c r="B23856" s="4" t="s">
        <v>30021</v>
      </c>
      <c r="C23856" s="5" t="str">
        <f>IFERROR(__xludf.DUMMYFUNCTION("GOOGLETRANSLATE(B23856,""en"",""fr"")"),"Les tranches de citron sont ramassées d'un pot et placées dans des verres à boire sur un comptoir en acier.")</f>
        <v>Les tranches de citron sont ramassées d'un pot et placées dans des verres à boire sur un comptoir en acier.</v>
      </c>
    </row>
    <row r="23857">
      <c r="A23857" s="4" t="s">
        <v>30019</v>
      </c>
      <c r="B23857" s="4" t="s">
        <v>30022</v>
      </c>
      <c r="C23857" s="5" t="str">
        <f>IFERROR(__xludf.DUMMYFUNCTION("GOOGLETRANSLATE(B23857,""en"",""fr"")"),"L'eau chaude à la vapeur est versée sur les citrons dans les verres.")</f>
        <v>L'eau chaude à la vapeur est versée sur les citrons dans les verres.</v>
      </c>
    </row>
    <row r="23858">
      <c r="A23858" s="4" t="s">
        <v>30019</v>
      </c>
      <c r="B23858" s="4" t="s">
        <v>30023</v>
      </c>
      <c r="C23858" s="5" t="str">
        <f>IFERROR(__xludf.DUMMYFUNCTION("GOOGLETRANSLATE(B23858,""en"",""fr"")"),"Les lunettes sont remuées avec une tige d'agitation.")</f>
        <v>Les lunettes sont remuées avec une tige d'agitation.</v>
      </c>
    </row>
    <row r="23859">
      <c r="A23859" s="4" t="s">
        <v>30019</v>
      </c>
      <c r="B23859" s="4" t="s">
        <v>30024</v>
      </c>
      <c r="C23859" s="5" t="str">
        <f>IFERROR(__xludf.DUMMYFUNCTION("GOOGLETRANSLATE(B23859,""en"",""fr"")"),"Les lunettes sont vues réglées sur la table et sont lentement passées de droite à gauche.")</f>
        <v>Les lunettes sont vues réglées sur la table et sont lentement passées de droite à gauche.</v>
      </c>
    </row>
    <row r="23860">
      <c r="A23860" s="4" t="s">
        <v>30025</v>
      </c>
      <c r="B23860" s="4" t="s">
        <v>30026</v>
      </c>
      <c r="C23860" s="5" t="str">
        <f>IFERROR(__xludf.DUMMYFUNCTION("GOOGLETRANSLATE(B23860,""en"",""fr"")"),"Un couple est vu avec une foule, montant une colline couverte de neige.")</f>
        <v>Un couple est vu avec une foule, montant une colline couverte de neige.</v>
      </c>
    </row>
    <row r="23861">
      <c r="A23861" s="4" t="s">
        <v>30025</v>
      </c>
      <c r="B23861" s="4" t="s">
        <v>30027</v>
      </c>
      <c r="C23861" s="5" t="str">
        <f>IFERROR(__xludf.DUMMYFUNCTION("GOOGLETRANSLATE(B23861,""en"",""fr"")"),"Ils tuent les collines enneigées.")</f>
        <v>Ils tuent les collines enneigées.</v>
      </c>
    </row>
    <row r="23862">
      <c r="A23862" s="4" t="s">
        <v>30025</v>
      </c>
      <c r="B23862" s="4" t="s">
        <v>30028</v>
      </c>
      <c r="C23862" s="5" t="str">
        <f>IFERROR(__xludf.DUMMYFUNCTION("GOOGLETRANSLATE(B23862,""en"",""fr"")"),"Les gens glissent sur des courbes rapides abruptes sur les intertibes.")</f>
        <v>Les gens glissent sur des courbes rapides abruptes sur les intertibes.</v>
      </c>
    </row>
    <row r="23863">
      <c r="A23863" s="4" t="s">
        <v>30029</v>
      </c>
      <c r="B23863" s="4" t="s">
        <v>30030</v>
      </c>
      <c r="C23863" s="5" t="str">
        <f>IFERROR(__xludf.DUMMYFUNCTION("GOOGLETRANSLATE(B23863,""en"",""fr"")"),"Un panneau d'enseigne est vu avec un logo de l'entreprise et des coordonnées.")</f>
        <v>Un panneau d'enseigne est vu avec un logo de l'entreprise et des coordonnées.</v>
      </c>
    </row>
    <row r="23864">
      <c r="A23864" s="4" t="s">
        <v>30029</v>
      </c>
      <c r="B23864" s="4" t="s">
        <v>30031</v>
      </c>
      <c r="C23864" s="5" t="str">
        <f>IFERROR(__xludf.DUMMYFUNCTION("GOOGLETRANSLATE(B23864,""en"",""fr"")"),"Un travailleur de la construction baisse les plinthes de plancher.")</f>
        <v>Un travailleur de la construction baisse les plinthes de plancher.</v>
      </c>
    </row>
    <row r="23865">
      <c r="A23865" s="4" t="s">
        <v>30029</v>
      </c>
      <c r="B23865" s="4" t="s">
        <v>30032</v>
      </c>
      <c r="C23865" s="5" t="str">
        <f>IFERROR(__xludf.DUMMYFUNCTION("GOOGLETRANSLATE(B23865,""en"",""fr"")"),"Un travailleur de la construction utilise un grattoir portable pour appliquer du plâtre sur le plancher nu.")</f>
        <v>Un travailleur de la construction utilise un grattoir portable pour appliquer du plâtre sur le plancher nu.</v>
      </c>
    </row>
    <row r="23866">
      <c r="A23866" s="4" t="s">
        <v>30029</v>
      </c>
      <c r="B23866" s="4" t="s">
        <v>30033</v>
      </c>
      <c r="C23866" s="5" t="str">
        <f>IFERROR(__xludf.DUMMYFUNCTION("GOOGLETRANSLATE(B23866,""en"",""fr"")"),"Un travailleur place des carreaux sur le sol et utilise des entretoises de croix en plastique dans les bosquets.")</f>
        <v>Un travailleur place des carreaux sur le sol et utilise des entretoises de croix en plastique dans les bosquets.</v>
      </c>
    </row>
    <row r="23867">
      <c r="A23867" s="4" t="s">
        <v>30029</v>
      </c>
      <c r="B23867" s="4" t="s">
        <v>30034</v>
      </c>
      <c r="C23867" s="5" t="str">
        <f>IFERROR(__xludf.DUMMYFUNCTION("GOOGLETRANSLATE(B23867,""en"",""fr"")"),"Un rouleau de poids lourd est roulé sur les carreaux nouvellement placés.")</f>
        <v>Un rouleau de poids lourd est roulé sur les carreaux nouvellement placés.</v>
      </c>
    </row>
    <row r="23868">
      <c r="A23868" s="4" t="s">
        <v>30029</v>
      </c>
      <c r="B23868" s="4" t="s">
        <v>30035</v>
      </c>
      <c r="C23868" s="5" t="str">
        <f>IFERROR(__xludf.DUMMYFUNCTION("GOOGLETRANSLATE(B23868,""en"",""fr"")"),"Le sol fini est vu une fois le travail terminé.")</f>
        <v>Le sol fini est vu une fois le travail terminé.</v>
      </c>
    </row>
    <row r="23869">
      <c r="A23869" s="4" t="s">
        <v>30036</v>
      </c>
      <c r="B23869" s="4" t="s">
        <v>30037</v>
      </c>
      <c r="C23869" s="5" t="str">
        <f>IFERROR(__xludf.DUMMYFUNCTION("GOOGLETRANSLATE(B23869,""en"",""fr"")"),"Quelques gars sont assis près d'une falaise.")</f>
        <v>Quelques gars sont assis près d'une falaise.</v>
      </c>
    </row>
    <row r="23870">
      <c r="A23870" s="4" t="s">
        <v>30036</v>
      </c>
      <c r="B23870" s="4" t="s">
        <v>30038</v>
      </c>
      <c r="C23870" s="5" t="str">
        <f>IFERROR(__xludf.DUMMYFUNCTION("GOOGLETRANSLATE(B23870,""en"",""fr"")"),"Un homme grimpe une falaise avec tous les membres.")</f>
        <v>Un homme grimpe une falaise avec tous les membres.</v>
      </c>
    </row>
    <row r="23871">
      <c r="A23871" s="4" t="s">
        <v>30036</v>
      </c>
      <c r="B23871" s="4" t="s">
        <v>30039</v>
      </c>
      <c r="C23871" s="5" t="str">
        <f>IFERROR(__xludf.DUMMYFUNCTION("GOOGLETRANSLATE(B23871,""en"",""fr"")"),"L'homme qui grimpe tombe et commence à rire.")</f>
        <v>L'homme qui grimpe tombe et commence à rire.</v>
      </c>
    </row>
    <row r="23872">
      <c r="A23872" s="4" t="s">
        <v>30040</v>
      </c>
      <c r="B23872" s="4" t="s">
        <v>30041</v>
      </c>
      <c r="C23872" s="5" t="str">
        <f>IFERROR(__xludf.DUMMYFUNCTION("GOOGLETRANSLATE(B23872,""en"",""fr"")"),"Il y a plusieurs personnes rassemblées pour regarder un jeu compétitif de water-polo par une journée ensoleillée.")</f>
        <v>Il y a plusieurs personnes rassemblées pour regarder un jeu compétitif de water-polo par une journée ensoleillée.</v>
      </c>
    </row>
    <row r="23873">
      <c r="A23873" s="4" t="s">
        <v>30040</v>
      </c>
      <c r="B23873" s="4" t="s">
        <v>30042</v>
      </c>
      <c r="C23873" s="5" t="str">
        <f>IFERROR(__xludf.DUMMYFUNCTION("GOOGLETRANSLATE(B23873,""en"",""fr"")"),"Il y a deux équipes dans une piscine extérieure qui se joue.")</f>
        <v>Il y a deux équipes dans une piscine extérieure qui se joue.</v>
      </c>
    </row>
    <row r="23874">
      <c r="A23874" s="4" t="s">
        <v>30040</v>
      </c>
      <c r="B23874" s="4" t="s">
        <v>30043</v>
      </c>
      <c r="C23874" s="5" t="str">
        <f>IFERROR(__xludf.DUMMYFUNCTION("GOOGLETRANSLATE(B23874,""en"",""fr"")"),"Les spectateurs regardent et encouragent les joueurs.")</f>
        <v>Les spectateurs regardent et encouragent les joueurs.</v>
      </c>
    </row>
    <row r="23875">
      <c r="A23875" s="4" t="s">
        <v>30040</v>
      </c>
      <c r="B23875" s="4" t="s">
        <v>30044</v>
      </c>
      <c r="C23875" s="5" t="str">
        <f>IFERROR(__xludf.DUMMYFUNCTION("GOOGLETRANSLATE(B23875,""en"",""fr"")"),"Les joueurs jouent avec une balle de couleur jaune.")</f>
        <v>Les joueurs jouent avec une balle de couleur jaune.</v>
      </c>
    </row>
    <row r="23876">
      <c r="A23876" s="4" t="s">
        <v>30040</v>
      </c>
      <c r="B23876" s="4" t="s">
        <v>30045</v>
      </c>
      <c r="C23876" s="5" t="str">
        <f>IFERROR(__xludf.DUMMYFUNCTION("GOOGLETRANSLATE(B23876,""en"",""fr"")"),"Après que l'une des équipes marque un point, les collègues coéquipiers les encouragent.")</f>
        <v>Après que l'une des équipes marque un point, les collègues coéquipiers les encouragent.</v>
      </c>
    </row>
    <row r="23877">
      <c r="A23877" s="4" t="s">
        <v>30040</v>
      </c>
      <c r="B23877" s="4" t="s">
        <v>30046</v>
      </c>
      <c r="C23877" s="5" t="str">
        <f>IFERROR(__xludf.DUMMYFUNCTION("GOOGLETRANSLATE(B23877,""en"",""fr"")"),"L'équipe gagnante marque plus de points et reçoit des applaudissements de la foule.")</f>
        <v>L'équipe gagnante marque plus de points et reçoit des applaudissements de la foule.</v>
      </c>
    </row>
    <row r="23878">
      <c r="A23878" s="4" t="s">
        <v>30047</v>
      </c>
      <c r="B23878" s="4" t="s">
        <v>30048</v>
      </c>
      <c r="C23878" s="5" t="str">
        <f>IFERROR(__xludf.DUMMYFUNCTION("GOOGLETRANSLATE(B23878,""en"",""fr"")"),"Plusieurs concurrents sont sur une scène debout derrière un podium fait pour ressembler à un Rubik Cube.")</f>
        <v>Plusieurs concurrents sont sur une scène debout derrière un podium fait pour ressembler à un Rubik Cube.</v>
      </c>
    </row>
    <row r="23879">
      <c r="A23879" s="4" t="s">
        <v>30047</v>
      </c>
      <c r="B23879" s="6" t="s">
        <v>30049</v>
      </c>
      <c r="C23879" s="5" t="str">
        <f>IFERROR(__xludf.DUMMYFUNCTION("GOOGLETRANSLATE(B23879,""en"",""fr"")"),"Un garçon place alors un pli aveugle sur son front alors qu'un homme se tient à sa gauche en examinant chacun de ses mouvements.")</f>
        <v>Un garçon place alors un pli aveugle sur son front alors qu'un homme se tient à sa gauche en examinant chacun de ses mouvements.</v>
      </c>
    </row>
    <row r="23880">
      <c r="A23880" s="4" t="s">
        <v>30047</v>
      </c>
      <c r="B23880" s="6" t="s">
        <v>30050</v>
      </c>
      <c r="C23880" s="5" t="str">
        <f>IFERROR(__xludf.DUMMYFUNCTION("GOOGLETRANSLATE(B23880,""en"",""fr"")"),"Le cube est ensuite ramassé du comptoir et la minuterie commence alors qu'il tente de résoudre le puzzle.")</f>
        <v>Le cube est ensuite ramassé du comptoir et la minuterie commence alors qu'il tente de résoudre le puzzle.</v>
      </c>
    </row>
    <row r="23881">
      <c r="A23881" s="4" t="s">
        <v>30047</v>
      </c>
      <c r="B23881" s="6" t="s">
        <v>30051</v>
      </c>
      <c r="C23881" s="5" t="str">
        <f>IFERROR(__xludf.DUMMYFUNCTION("GOOGLETRANSLATE(B23881,""en"",""fr"")"),"Après trente-cinq secondes, il tire les aveugles pliés sur ses yeux et continue d'essayer de résoudre le cube.")</f>
        <v>Après trente-cinq secondes, il tire les aveugles pliés sur ses yeux et continue d'essayer de résoudre le cube.</v>
      </c>
    </row>
    <row r="23882">
      <c r="A23882" s="4" t="s">
        <v>30047</v>
      </c>
      <c r="B23882" s="4" t="s">
        <v>30052</v>
      </c>
      <c r="C23882" s="5" t="str">
        <f>IFERROR(__xludf.DUMMYFUNCTION("GOOGLETRANSLATE(B23882,""en"",""fr"")"),"Une minute et quinze secondes se sont écoulées et le garçon pose le cube et la minuterie s'arrête.")</f>
        <v>Une minute et quinze secondes se sont écoulées et le garçon pose le cube et la minuterie s'arrête.</v>
      </c>
    </row>
    <row r="23883">
      <c r="A23883" s="4" t="s">
        <v>30047</v>
      </c>
      <c r="B23883" s="6" t="s">
        <v>30053</v>
      </c>
      <c r="C23883" s="5" t="str">
        <f>IFERROR(__xludf.DUMMYFUNCTION("GOOGLETRANSLATE(B23883,""en"",""fr"")"),"Tout le monde est extrêmement heureux pour lui et commence et le félicite car les autres adversaires tentent toujours de résoudre le leur.")</f>
        <v>Tout le monde est extrêmement heureux pour lui et commence et le félicite car les autres adversaires tentent toujours de résoudre le leur.</v>
      </c>
    </row>
    <row r="23884">
      <c r="A23884" s="4" t="s">
        <v>30054</v>
      </c>
      <c r="B23884" s="4" t="s">
        <v>30055</v>
      </c>
      <c r="C23884" s="5" t="str">
        <f>IFERROR(__xludf.DUMMYFUNCTION("GOOGLETRANSLATE(B23884,""en"",""fr"")"),"Un jeune garçon est vu marcher jusqu'à la fin d'un plongeon et sauter du côté.")</f>
        <v>Un jeune garçon est vu marcher jusqu'à la fin d'un plongeon et sauter du côté.</v>
      </c>
    </row>
    <row r="23885">
      <c r="A23885" s="4" t="s">
        <v>30054</v>
      </c>
      <c r="B23885" s="4" t="s">
        <v>30056</v>
      </c>
      <c r="C23885" s="5" t="str">
        <f>IFERROR(__xludf.DUMMYFUNCTION("GOOGLETRANSLATE(B23885,""en"",""fr"")"),"Le garçon vient de la surface et un autre garçon est vu marcher jusqu'à la fin de la planche.")</f>
        <v>Le garçon vient de la surface et un autre garçon est vu marcher jusqu'à la fin de la planche.</v>
      </c>
    </row>
    <row r="23886">
      <c r="A23886" s="4" t="s">
        <v>30057</v>
      </c>
      <c r="B23886" s="6" t="s">
        <v>30058</v>
      </c>
      <c r="C23886" s="5" t="str">
        <f>IFERROR(__xludf.DUMMYFUNCTION("GOOGLETRANSLATE(B23886,""en"",""fr"")"),"Une femme brune sourit et parle tout en se tenant dans une salle de bain avec juste sa poitrine visible et une bannière rapide en bas de l'écran dit que son nom est ""Aubrey Morgan"".")</f>
        <v>Une femme brune sourit et parle tout en se tenant dans une salle de bain avec juste sa poitrine visible et une bannière rapide en bas de l'écran dit que son nom est "Aubrey Morgan".</v>
      </c>
    </row>
    <row r="23887">
      <c r="A23887" s="4" t="s">
        <v>30057</v>
      </c>
      <c r="B23887" s="6" t="s">
        <v>30059</v>
      </c>
      <c r="C23887" s="5" t="str">
        <f>IFERROR(__xludf.DUMMYFUNCTION("GOOGLETRANSLATE(B23887,""en"",""fr"")"),"La femme se lève maintenant et avec ses jambes visibles et porte un short, elle tient un rasoir et le montre sous différents angles, et les gros plans, le texte à l'écran lit ""Razor de bonne qualité"".")</f>
        <v>La femme se lève maintenant et avec ses jambes visibles et porte un short, elle tient un rasoir et le montre sous différents angles, et les gros plans, le texte à l'écran lit "Razor de bonne qualité".</v>
      </c>
    </row>
    <row r="23888">
      <c r="A23888" s="4" t="s">
        <v>30057</v>
      </c>
      <c r="B23888" s="6" t="s">
        <v>30060</v>
      </c>
      <c r="C23888" s="5" t="str">
        <f>IFERROR(__xludf.DUMMYFUNCTION("GOOGLETRANSLATE(B23888,""en"",""fr"")"),"La femme commence à se laver les jambes tout en se tenant debout, exfolie, puis applique une épaisse couche de crème à raser sur sa jambe, fans sa jambe, puis commence à se raser les jambes de la cheville et du genou, puis rince son rasoir.")</f>
        <v>La femme commence à se laver les jambes tout en se tenant debout, exfolie, puis applique une épaisse couche de crème à raser sur sa jambe, fans sa jambe, puis commence à se raser les jambes de la cheville et du genou, puis rince son rasoir.</v>
      </c>
    </row>
    <row r="23889">
      <c r="A23889" s="4" t="s">
        <v>30057</v>
      </c>
      <c r="B23889" s="6" t="s">
        <v>30061</v>
      </c>
      <c r="C23889" s="5" t="str">
        <f>IFERROR(__xludf.DUMMYFUNCTION("GOOGLETRANSLATE(B23889,""en"",""fr"")"),"La femme détient un rasoir jetable, puis tient un rasoir réutilisable et montre que le rasoir peut être apparu.")</f>
        <v>La femme détient un rasoir jetable, puis tient un rasoir réutilisable et montre que le rasoir peut être apparu.</v>
      </c>
    </row>
    <row r="23890">
      <c r="A23890" s="4" t="s">
        <v>30057</v>
      </c>
      <c r="B23890" s="4" t="s">
        <v>30062</v>
      </c>
      <c r="C23890" s="5" t="str">
        <f>IFERROR(__xludf.DUMMYFUNCTION("GOOGLETRANSLATE(B23890,""en"",""fr"")"),"La femme se tient à nouveau et applique maintenant une lotion sur sa jambe.")</f>
        <v>La femme se tient à nouveau et applique maintenant une lotion sur sa jambe.</v>
      </c>
    </row>
    <row r="23891">
      <c r="A23891" s="4" t="s">
        <v>30057</v>
      </c>
      <c r="B23891" s="4" t="s">
        <v>30063</v>
      </c>
      <c r="C23891" s="5" t="str">
        <f>IFERROR(__xludf.DUMMYFUNCTION("GOOGLETRANSLATE(B23891,""en"",""fr"")"),"La femme est maintenant debout avec juste son haut du corps et sourit et parle.")</f>
        <v>La femme est maintenant debout avec juste son haut du corps et sourit et parle.</v>
      </c>
    </row>
    <row r="23892">
      <c r="A23892" s="4" t="s">
        <v>30064</v>
      </c>
      <c r="B23892" s="4" t="s">
        <v>30065</v>
      </c>
      <c r="C23892" s="5" t="str">
        <f>IFERROR(__xludf.DUMMYFUNCTION("GOOGLETRANSLATE(B23892,""en"",""fr"")"),"Les montagnes sont vues en arrière-plan et un garçon monte dans une voiture.")</f>
        <v>Les montagnes sont vues en arrière-plan et un garçon monte dans une voiture.</v>
      </c>
    </row>
    <row r="23893">
      <c r="A23893" s="4" t="s">
        <v>30064</v>
      </c>
      <c r="B23893" s="4" t="s">
        <v>30066</v>
      </c>
      <c r="C23893" s="5" t="str">
        <f>IFERROR(__xludf.DUMMYFUNCTION("GOOGLETRANSLATE(B23893,""en"",""fr"")"),"Les planchistes roulent ensemble à travers un parking.")</f>
        <v>Les planchistes roulent ensemble à travers un parking.</v>
      </c>
    </row>
    <row r="23894">
      <c r="A23894" s="4" t="s">
        <v>30064</v>
      </c>
      <c r="B23894" s="4" t="s">
        <v>30067</v>
      </c>
      <c r="C23894" s="5" t="str">
        <f>IFERROR(__xludf.DUMMYFUNCTION("GOOGLETRANSLATE(B23894,""en"",""fr"")"),"Les planches à roulettes roulent sur une colline le dérapage en bas.")</f>
        <v>Les planches à roulettes roulent sur une colline le dérapage en bas.</v>
      </c>
    </row>
    <row r="23895">
      <c r="A23895" s="4" t="s">
        <v>30064</v>
      </c>
      <c r="B23895" s="4" t="s">
        <v>30068</v>
      </c>
      <c r="C23895" s="5" t="str">
        <f>IFERROR(__xludf.DUMMYFUNCTION("GOOGLETRANSLATE(B23895,""en"",""fr"")"),"Le garçon place sa planche debout.")</f>
        <v>Le garçon place sa planche debout.</v>
      </c>
    </row>
    <row r="23896">
      <c r="A23896" s="4" t="s">
        <v>30064</v>
      </c>
      <c r="B23896" s="4" t="s">
        <v>30069</v>
      </c>
      <c r="C23896" s="5" t="str">
        <f>IFERROR(__xludf.DUMMYFUNCTION("GOOGLETRANSLATE(B23896,""en"",""fr"")"),"Un garçon de skateboard à travers les gradins d'un stade.")</f>
        <v>Un garçon de skateboard à travers les gradins d'un stade.</v>
      </c>
    </row>
    <row r="23897">
      <c r="A23897" s="4" t="s">
        <v>30070</v>
      </c>
      <c r="B23897" s="4" t="s">
        <v>30071</v>
      </c>
      <c r="C23897" s="5" t="str">
        <f>IFERROR(__xludf.DUMMYFUNCTION("GOOGLETRANSLATE(B23897,""en"",""fr"")"),"Les gens sont assis sur des vélos d'exercice et s'entraînent.")</f>
        <v>Les gens sont assis sur des vélos d'exercice et s'entraînent.</v>
      </c>
    </row>
    <row r="23898">
      <c r="A23898" s="4" t="s">
        <v>30070</v>
      </c>
      <c r="B23898" s="4" t="s">
        <v>30072</v>
      </c>
      <c r="C23898" s="5" t="str">
        <f>IFERROR(__xludf.DUMMYFUNCTION("GOOGLETRANSLATE(B23898,""en"",""fr"")"),"Une femme met quelque chose sur le côté de la jambe d'un homme qui s'entraîne.")</f>
        <v>Une femme met quelque chose sur le côté de la jambe d'un homme qui s'entraîne.</v>
      </c>
    </row>
    <row r="23899">
      <c r="A23899" s="4" t="s">
        <v>30070</v>
      </c>
      <c r="B23899" s="4" t="s">
        <v>30073</v>
      </c>
      <c r="C23899" s="5" t="str">
        <f>IFERROR(__xludf.DUMMYFUNCTION("GOOGLETRANSLATE(B23899,""en"",""fr"")"),"Un homme en costume noir parle devant une télévision.")</f>
        <v>Un homme en costume noir parle devant une télévision.</v>
      </c>
    </row>
    <row r="23900">
      <c r="A23900" s="4" t="s">
        <v>30074</v>
      </c>
      <c r="B23900" s="6" t="s">
        <v>30075</v>
      </c>
      <c r="C23900" s="5" t="str">
        <f>IFERROR(__xludf.DUMMYFUNCTION("GOOGLETRANSLATE(B23900,""en"",""fr"")"),"Une personne est vue en train de frotter la crinière de la fourrure d'un cheval et conduit à le laver et à le vaporiser.")</f>
        <v>Une personne est vue en train de frotter la crinière de la fourrure d'un cheval et conduit à le laver et à le vaporiser.</v>
      </c>
    </row>
    <row r="23901">
      <c r="A23901" s="4" t="s">
        <v>30074</v>
      </c>
      <c r="B23901" s="6" t="s">
        <v>30076</v>
      </c>
      <c r="C23901" s="5" t="str">
        <f>IFERROR(__xludf.DUMMYFUNCTION("GOOGLETRANSLATE(B23901,""en"",""fr"")"),"La caméra montre des plans du liquide, puis montre que la femme frotte et lavant le cheval.")</f>
        <v>La caméra montre des plans du liquide, puis montre que la femme frotte et lavant le cheval.</v>
      </c>
    </row>
    <row r="23902">
      <c r="A23902" s="4" t="s">
        <v>30074</v>
      </c>
      <c r="B23902" s="6" t="s">
        <v>30077</v>
      </c>
      <c r="C23902" s="5" t="str">
        <f>IFERROR(__xludf.DUMMYFUNCTION("GOOGLETRANSLATE(B23902,""en"",""fr"")"),"Elle éloigne le cheval et secoue la bouteille, montrant plus de coups de nettoyage du cheval avec la bouteille indiquée intermittente.")</f>
        <v>Elle éloigne le cheval et secoue la bouteille, montrant plus de coups de nettoyage du cheval avec la bouteille indiquée intermittente.</v>
      </c>
    </row>
    <row r="23903">
      <c r="A23903" s="4" t="s">
        <v>30078</v>
      </c>
      <c r="B23903" s="6" t="s">
        <v>30079</v>
      </c>
      <c r="C23903" s="5" t="str">
        <f>IFERROR(__xludf.DUMMYFUNCTION("GOOGLETRANSLATE(B23903,""en"",""fr"")"),"Un homme tenant un bâton et portant des collants scintillants se tient sur un terrain de basket et fait une routine de boucle de bâton, de flips et de danses dramatiques.")</f>
        <v>Un homme tenant un bâton et portant des collants scintillants se tient sur un terrain de basket et fait une routine de boucle de bâton, de flips et de danses dramatiques.</v>
      </c>
    </row>
    <row r="23904">
      <c r="A23904" s="4" t="s">
        <v>30078</v>
      </c>
      <c r="B23904" s="4" t="s">
        <v>30080</v>
      </c>
      <c r="C23904" s="5" t="str">
        <f>IFERROR(__xludf.DUMMYFUNCTION("GOOGLETRANSLATE(B23904,""en"",""fr"")"),"L'homme tourbillonne le bâton très rapidement et de manière inattendue.")</f>
        <v>L'homme tourbillonne le bâton très rapidement et de manière inattendue.</v>
      </c>
    </row>
    <row r="23905">
      <c r="A23905" s="4" t="s">
        <v>30078</v>
      </c>
      <c r="B23905" s="6" t="s">
        <v>30081</v>
      </c>
      <c r="C23905" s="5" t="str">
        <f>IFERROR(__xludf.DUMMYFUNCTION("GOOGLETRANSLATE(B23905,""en"",""fr"")"),"L'homme se rétablit rapidement et ramasse le bâton et continue sa routine comme s'il ne l'a jamais laissé tomber en premier lieu et jette le bâton haut dans les airs et fait de nombreuses tours et attrape rapidement le bâton avant qu'il ne touche le sol.")</f>
        <v>L'homme se rétablit rapidement et ramasse le bâton et continue sa routine comme s'il ne l'a jamais laissé tomber en premier lieu et jette le bâton haut dans les airs et fait de nombreuses tours et attrape rapidement le bâton avant qu'il ne touche le sol.</v>
      </c>
    </row>
    <row r="23906">
      <c r="A23906" s="4" t="s">
        <v>30078</v>
      </c>
      <c r="B23906" s="6" t="s">
        <v>30082</v>
      </c>
      <c r="C23906" s="5" t="str">
        <f>IFERROR(__xludf.DUMMYFUNCTION("GOOGLETRANSLATE(B23906,""en"",""fr"")"),"L'homme met fin à sa routine en position assise, les jambes se répanions, la tête jetée en arrière et le bâton reposant sur sa droite et entre ses jambes.")</f>
        <v>L'homme met fin à sa routine en position assise, les jambes se répanions, la tête jetée en arrière et le bâton reposant sur sa droite et entre ses jambes.</v>
      </c>
    </row>
    <row r="23907">
      <c r="A23907" s="4" t="s">
        <v>30083</v>
      </c>
      <c r="B23907" s="4" t="s">
        <v>30084</v>
      </c>
      <c r="C23907" s="5" t="str">
        <f>IFERROR(__xludf.DUMMYFUNCTION("GOOGLETRANSLATE(B23907,""en"",""fr"")"),"Le bâtiment est montré alors la tour de l'horloge.")</f>
        <v>Le bâtiment est montré alors la tour de l'horloge.</v>
      </c>
    </row>
    <row r="23908">
      <c r="A23908" s="4" t="s">
        <v>30083</v>
      </c>
      <c r="B23908" s="4" t="s">
        <v>30085</v>
      </c>
      <c r="C23908" s="5" t="str">
        <f>IFERROR(__xludf.DUMMYFUNCTION("GOOGLETRANSLATE(B23908,""en"",""fr"")"),"Les jeunes marchent sur la passerelle devant le bâtiment.")</f>
        <v>Les jeunes marchent sur la passerelle devant le bâtiment.</v>
      </c>
    </row>
    <row r="23909">
      <c r="A23909" s="4" t="s">
        <v>30083</v>
      </c>
      <c r="B23909" s="4" t="s">
        <v>30086</v>
      </c>
      <c r="C23909" s="5" t="str">
        <f>IFERROR(__xludf.DUMMYFUNCTION("GOOGLETRANSLATE(B23909,""en"",""fr"")"),"Un jeune homme fait du skateboard sur la route, allant à côté en se déplaçant ses pieds sur la planche.")</f>
        <v>Un jeune homme fait du skateboard sur la route, allant à côté en se déplaçant ses pieds sur la planche.</v>
      </c>
    </row>
    <row r="23910">
      <c r="A23910" s="4" t="s">
        <v>30087</v>
      </c>
      <c r="B23910" s="4" t="s">
        <v>30088</v>
      </c>
      <c r="C23910" s="5" t="str">
        <f>IFERROR(__xludf.DUMMYFUNCTION("GOOGLETRANSLATE(B23910,""en"",""fr"")"),"Un groupe de plusieurs adolescents joue à un jeu de tir à remorque.")</f>
        <v>Un groupe de plusieurs adolescents joue à un jeu de tir à remorque.</v>
      </c>
    </row>
    <row r="23911">
      <c r="A23911" s="4" t="s">
        <v>30087</v>
      </c>
      <c r="B23911" s="4" t="s">
        <v>30089</v>
      </c>
      <c r="C23911" s="5" t="str">
        <f>IFERROR(__xludf.DUMMYFUNCTION("GOOGLETRANSLATE(B23911,""en"",""fr"")"),"Ils tirent fort jusqu'à ce que la corde donne et ils gagnent le jeu.")</f>
        <v>Ils tirent fort jusqu'à ce que la corde donne et ils gagnent le jeu.</v>
      </c>
    </row>
    <row r="23912">
      <c r="A23912" s="4" t="s">
        <v>30090</v>
      </c>
      <c r="B23912" s="6" t="s">
        <v>30091</v>
      </c>
      <c r="C23912" s="5" t="str">
        <f>IFERROR(__xludf.DUMMYFUNCTION("GOOGLETRANSLATE(B23912,""en"",""fr"")"),"La scène est d'un quartier entouré de grands arbres et d'un tas de feuilles mortes à côté d'un receveur de feuilles.")</f>
        <v>La scène est d'un quartier entouré de grands arbres et d'un tas de feuilles mortes à côté d'un receveur de feuilles.</v>
      </c>
    </row>
    <row r="23913">
      <c r="A23913" s="4" t="s">
        <v>30090</v>
      </c>
      <c r="B23913" s="4" t="s">
        <v>30092</v>
      </c>
      <c r="C23913" s="5" t="str">
        <f>IFERROR(__xludf.DUMMYFUNCTION("GOOGLETRANSLATE(B23913,""en"",""fr"")"),"Un homme tenant un hochet met des feuilles dans des sacs attachés à un receveur de feuilles.")</f>
        <v>Un homme tenant un hochet met des feuilles dans des sacs attachés à un receveur de feuilles.</v>
      </c>
    </row>
    <row r="23914">
      <c r="A23914" s="4" t="s">
        <v>30090</v>
      </c>
      <c r="B23914" s="4" t="s">
        <v>30093</v>
      </c>
      <c r="C23914" s="5" t="str">
        <f>IFERROR(__xludf.DUMMYFUNCTION("GOOGLETRANSLATE(B23914,""en"",""fr"")"),"De plus, l'homme utilise le capteur de feuilles pour récupérer les déchets dans un sac.")</f>
        <v>De plus, l'homme utilise le capteur de feuilles pour récupérer les déchets dans un sac.</v>
      </c>
    </row>
    <row r="23915">
      <c r="A23915" s="4" t="s">
        <v>30094</v>
      </c>
      <c r="B23915" s="4" t="s">
        <v>30095</v>
      </c>
      <c r="C23915" s="5" t="str">
        <f>IFERROR(__xludf.DUMMYFUNCTION("GOOGLETRANSLATE(B23915,""en"",""fr"")"),"Un homme portant une chemise blanche tient une raquette de tennis.")</f>
        <v>Un homme portant une chemise blanche tient une raquette de tennis.</v>
      </c>
    </row>
    <row r="23916">
      <c r="A23916" s="4" t="s">
        <v>30094</v>
      </c>
      <c r="B23916" s="4" t="s">
        <v>30096</v>
      </c>
      <c r="C23916" s="5" t="str">
        <f>IFERROR(__xludf.DUMMYFUNCTION("GOOGLETRANSLATE(B23916,""en"",""fr"")"),"Il commence à frapper des balles de tennis avec sa raquette de tennis.")</f>
        <v>Il commence à frapper des balles de tennis avec sa raquette de tennis.</v>
      </c>
    </row>
    <row r="23917">
      <c r="A23917" s="4" t="s">
        <v>30094</v>
      </c>
      <c r="B23917" s="4" t="s">
        <v>5880</v>
      </c>
      <c r="C23917" s="5" t="str">
        <f>IFERROR(__xludf.DUMMYFUNCTION("GOOGLETRANSLATE(B23917,""en"",""fr"")"),"Il s'arrête et parle à la caméra.")</f>
        <v>Il s'arrête et parle à la caméra.</v>
      </c>
    </row>
    <row r="23918">
      <c r="A23918" s="4" t="s">
        <v>30097</v>
      </c>
      <c r="B23918" s="4" t="s">
        <v>30098</v>
      </c>
      <c r="C23918" s="5" t="str">
        <f>IFERROR(__xludf.DUMMYFUNCTION("GOOGLETRANSLATE(B23918,""en"",""fr"")"),"Un grand groupe de femmes est vue debout dans une pièce et commencent la danse du ventre.")</f>
        <v>Un grand groupe de femmes est vue debout dans une pièce et commencent la danse du ventre.</v>
      </c>
    </row>
    <row r="23919">
      <c r="A23919" s="4" t="s">
        <v>30097</v>
      </c>
      <c r="B23919" s="6" t="s">
        <v>30099</v>
      </c>
      <c r="C23919" s="5" t="str">
        <f>IFERROR(__xludf.DUMMYFUNCTION("GOOGLETRANSLATE(B23919,""en"",""fr"")"),"La femme danse les uns avec les autres effectuant la même routine et une femme dansant devant.")</f>
        <v>La femme danse les uns avec les autres effectuant la même routine et une femme dansant devant.</v>
      </c>
    </row>
    <row r="23920">
      <c r="A23920" s="4" t="s">
        <v>30097</v>
      </c>
      <c r="B23920" s="4" t="s">
        <v>30100</v>
      </c>
      <c r="C23920" s="5" t="str">
        <f>IFERROR(__xludf.DUMMYFUNCTION("GOOGLETRANSLATE(B23920,""en"",""fr"")"),"Les femmes continuent de danser entre elles et se terminent en se promenant.")</f>
        <v>Les femmes continuent de danser entre elles et se terminent en se promenant.</v>
      </c>
    </row>
    <row r="23921">
      <c r="A23921" s="4" t="s">
        <v>30101</v>
      </c>
      <c r="B23921" s="4" t="s">
        <v>30102</v>
      </c>
      <c r="C23921" s="5" t="str">
        <f>IFERROR(__xludf.DUMMYFUNCTION("GOOGLETRANSLATE(B23921,""en"",""fr"")"),"La personne marche à l'intérieur d'une maison vers un champ ouvert tenant une batte de baseball.")</f>
        <v>La personne marche à l'intérieur d'une maison vers un champ ouvert tenant une batte de baseball.</v>
      </c>
    </row>
    <row r="23922">
      <c r="A23922" s="4" t="s">
        <v>30101</v>
      </c>
      <c r="B23922" s="4" t="s">
        <v>30103</v>
      </c>
      <c r="C23922" s="5" t="str">
        <f>IFERROR(__xludf.DUMMYFUNCTION("GOOGLETRANSLATE(B23922,""en"",""fr"")"),"Perso marche avec un bâton de poignée derrière certains hommes qui coulent sur le terrain.")</f>
        <v>Perso marche avec un bâton de poignée derrière certains hommes qui coulent sur le terrain.</v>
      </c>
    </row>
    <row r="23923">
      <c r="A23923" s="4" t="s">
        <v>30101</v>
      </c>
      <c r="B23923" s="6" t="s">
        <v>30104</v>
      </c>
      <c r="C23923" s="5" t="str">
        <f>IFERROR(__xludf.DUMMYFUNCTION("GOOGLETRANSLATE(B23923,""en"",""fr"")"),"Certains papiers sont montrés et des femmes vendant des tshirts de crosse, dans un jeu, les gens sont rassemblés sur le terrain.")</f>
        <v>Certains papiers sont montrés et des femmes vendant des tshirts de crosse, dans un jeu, les gens sont rassemblés sur le terrain.</v>
      </c>
    </row>
    <row r="23924">
      <c r="A23924" s="4" t="s">
        <v>30101</v>
      </c>
      <c r="B23924" s="4" t="s">
        <v>30105</v>
      </c>
      <c r="C23924" s="5" t="str">
        <f>IFERROR(__xludf.DUMMYFUNCTION("GOOGLETRANSLATE(B23924,""en"",""fr"")"),"Les joueurs se promènent des vestiaires et sont sur le terrain Playig.")</f>
        <v>Les joueurs se promènent des vestiaires et sont sur le terrain Playig.</v>
      </c>
    </row>
    <row r="23925">
      <c r="A23925" s="4" t="s">
        <v>30101</v>
      </c>
      <c r="B23925" s="4" t="s">
        <v>30106</v>
      </c>
      <c r="C23925" s="5" t="str">
        <f>IFERROR(__xludf.DUMMYFUNCTION("GOOGLETRANSLATE(B23925,""en"",""fr"")"),"Les joueurs se mettent en ligne en applaudissant à la fin du jeu, les résultats sont finalement indiqués.")</f>
        <v>Les joueurs se mettent en ligne en applaudissant à la fin du jeu, les résultats sont finalement indiqués.</v>
      </c>
    </row>
    <row r="23926">
      <c r="A23926" s="4" t="s">
        <v>30107</v>
      </c>
      <c r="B23926" s="4" t="s">
        <v>30108</v>
      </c>
      <c r="C23926" s="5" t="str">
        <f>IFERROR(__xludf.DUMMYFUNCTION("GOOGLETRANSLATE(B23926,""en"",""fr"")"),"Deux joueurs jouent à un jeu de balle de raquette.")</f>
        <v>Deux joueurs jouent à un jeu de balle de raquette.</v>
      </c>
    </row>
    <row r="23927">
      <c r="A23927" s="4" t="s">
        <v>30107</v>
      </c>
      <c r="B23927" s="4" t="s">
        <v>30109</v>
      </c>
      <c r="C23927" s="5" t="str">
        <f>IFERROR(__xludf.DUMMYFUNCTION("GOOGLETRANSLATE(B23927,""en"",""fr"")"),"Une femelle prend un swing sur le ballon et le frappe.")</f>
        <v>Une femelle prend un swing sur le ballon et le frappe.</v>
      </c>
    </row>
    <row r="23928">
      <c r="A23928" s="4" t="s">
        <v>30107</v>
      </c>
      <c r="B23928" s="4" t="s">
        <v>30110</v>
      </c>
      <c r="C23928" s="5" t="str">
        <f>IFERROR(__xludf.DUMMYFUNCTION("GOOGLETRANSLATE(B23928,""en"",""fr"")"),"L'autre femelle prend une balançoire au ballon et manque et se frappe à la place.")</f>
        <v>L'autre femelle prend une balançoire au ballon et manque et se frappe à la place.</v>
      </c>
    </row>
    <row r="23929">
      <c r="A23929" s="4" t="s">
        <v>30107</v>
      </c>
      <c r="B23929" s="4" t="s">
        <v>30111</v>
      </c>
      <c r="C23929" s="5" t="str">
        <f>IFERROR(__xludf.DUMMYFUNCTION("GOOGLETRANSLATE(B23929,""en"",""fr"")"),"Elle s'assoit ensuite par terre pendant que l'autre personne vient éteindre la caméra.")</f>
        <v>Elle s'assoit ensuite par terre pendant que l'autre personne vient éteindre la caméra.</v>
      </c>
    </row>
    <row r="23930">
      <c r="A23930" s="4" t="s">
        <v>30112</v>
      </c>
      <c r="B23930" s="4" t="s">
        <v>30113</v>
      </c>
      <c r="C23930" s="5" t="str">
        <f>IFERROR(__xludf.DUMMYFUNCTION("GOOGLETRANSLATE(B23930,""en"",""fr"")"),"Un jeune homme est vu debout au milieu d'une pièce et tenant une raquette de tennis en l'air.")</f>
        <v>Un jeune homme est vu debout au milieu d'une pièce et tenant une raquette de tennis en l'air.</v>
      </c>
    </row>
    <row r="23931">
      <c r="A23931" s="4" t="s">
        <v>30112</v>
      </c>
      <c r="B23931" s="4" t="s">
        <v>30114</v>
      </c>
      <c r="C23931" s="5" t="str">
        <f>IFERROR(__xludf.DUMMYFUNCTION("GOOGLETRANSLATE(B23931,""en"",""fr"")"),"Lui-même et un homme sont ensuite vus frapper le ballon de tennis tout en courant dans la pièce.")</f>
        <v>Lui-même et un homme sont ensuite vus frapper le ballon de tennis tout en courant dans la pièce.</v>
      </c>
    </row>
    <row r="23932">
      <c r="A23932" s="4" t="s">
        <v>30112</v>
      </c>
      <c r="B23932" s="4" t="s">
        <v>30115</v>
      </c>
      <c r="C23932" s="5" t="str">
        <f>IFERROR(__xludf.DUMMYFUNCTION("GOOGLETRANSLATE(B23932,""en"",""fr"")"),"Le garçon s'enfuit de l'homme et vers la caméra à la fin.")</f>
        <v>Le garçon s'enfuit de l'homme et vers la caméra à la fin.</v>
      </c>
    </row>
    <row r="23933">
      <c r="A23933" s="4" t="s">
        <v>30116</v>
      </c>
      <c r="B23933" s="4" t="s">
        <v>30117</v>
      </c>
      <c r="C23933" s="5" t="str">
        <f>IFERROR(__xludf.DUMMYFUNCTION("GOOGLETRANSLATE(B23933,""en"",""fr"")"),"Un grand groupe de personnes se tient ensemble tandis qu'une femme dans une belle robe parle.")</f>
        <v>Un grand groupe de personnes se tient ensemble tandis qu'une femme dans une belle robe parle.</v>
      </c>
    </row>
    <row r="23934">
      <c r="A23934" s="4" t="s">
        <v>30116</v>
      </c>
      <c r="B23934" s="4" t="s">
        <v>30118</v>
      </c>
      <c r="C23934" s="5" t="str">
        <f>IFERROR(__xludf.DUMMYFUNCTION("GOOGLETRANSLATE(B23934,""en"",""fr"")"),"Diverses personnes en costume sont montrées et une fille court en jouant avec un cerf-volant.")</f>
        <v>Diverses personnes en costume sont montrées et une fille court en jouant avec un cerf-volant.</v>
      </c>
    </row>
    <row r="23935">
      <c r="A23935" s="4" t="s">
        <v>30116</v>
      </c>
      <c r="B23935" s="4" t="s">
        <v>30119</v>
      </c>
      <c r="C23935" s="5" t="str">
        <f>IFERROR(__xludf.DUMMYFUNCTION("GOOGLETRANSLATE(B23935,""en"",""fr"")"),"Plusieurs cerfs-volants sont présentés dans les airs tandis que d'autres enfants jouent avec eux.")</f>
        <v>Plusieurs cerfs-volants sont présentés dans les airs tandis que d'autres enfants jouent avec eux.</v>
      </c>
    </row>
    <row r="23936">
      <c r="A23936" s="4" t="s">
        <v>30116</v>
      </c>
      <c r="B23936" s="6" t="s">
        <v>30120</v>
      </c>
      <c r="C23936" s="5" t="str">
        <f>IFERROR(__xludf.DUMMYFUNCTION("GOOGLETRANSLATE(B23936,""en"",""fr"")"),"Des centaines de cerfs-volants sont montrés dans l'air pour un festival et un homme interviewe son expérience avec les cerfs-volants.")</f>
        <v>Des centaines de cerfs-volants sont montrés dans l'air pour un festival et un homme interviewe son expérience avec les cerfs-volants.</v>
      </c>
    </row>
    <row r="23937">
      <c r="A23937" s="4" t="s">
        <v>30116</v>
      </c>
      <c r="B23937" s="4" t="s">
        <v>30121</v>
      </c>
      <c r="C23937" s="5" t="str">
        <f>IFERROR(__xludf.DUMMYFUNCTION("GOOGLETRANSLATE(B23937,""en"",""fr"")"),"Plusieurs personnes s'arrêtent et regardent autour de lui et la ville est en train de passer la nuit.")</f>
        <v>Plusieurs personnes s'arrêtent et regardent autour de lui et la ville est en train de passer la nuit.</v>
      </c>
    </row>
    <row r="23938">
      <c r="A23938" s="4" t="s">
        <v>30122</v>
      </c>
      <c r="B23938" s="4" t="s">
        <v>30123</v>
      </c>
      <c r="C23938" s="5" t="str">
        <f>IFERROR(__xludf.DUMMYFUNCTION("GOOGLETRANSLATE(B23938,""en"",""fr"")"),"Un homme est vu à genoux à côté d'une voiture pulvérisant un tuyau sur la voiture.")</f>
        <v>Un homme est vu à genoux à côté d'une voiture pulvérisant un tuyau sur la voiture.</v>
      </c>
    </row>
    <row r="23939">
      <c r="A23939" s="4" t="s">
        <v>30122</v>
      </c>
      <c r="B23939" s="4" t="s">
        <v>30124</v>
      </c>
      <c r="C23939" s="5" t="str">
        <f>IFERROR(__xludf.DUMMYFUNCTION("GOOGLETRANSLATE(B23939,""en"",""fr"")"),"Il utilise une éponge pour nettoyer autour de la voiture tandis que d'autres nettoient sur les côtés.")</f>
        <v>Il utilise une éponge pour nettoyer autour de la voiture tandis que d'autres nettoient sur les côtés.</v>
      </c>
    </row>
    <row r="23940">
      <c r="A23940" s="4" t="s">
        <v>30122</v>
      </c>
      <c r="B23940" s="6" t="s">
        <v>30125</v>
      </c>
      <c r="C23940" s="5" t="str">
        <f>IFERROR(__xludf.DUMMYFUNCTION("GOOGLETRANSLATE(B23940,""en"",""fr"")"),"Plus de coups sont montrés d'eux nettoyant l'intérieur ainsi que sous le capot pendant que la caméra se déroule.")</f>
        <v>Plus de coups sont montrés d'eux nettoyant l'intérieur ainsi que sous le capot pendant que la caméra se déroule.</v>
      </c>
    </row>
    <row r="23941">
      <c r="A23941" s="4" t="s">
        <v>30126</v>
      </c>
      <c r="B23941" s="4" t="s">
        <v>30127</v>
      </c>
      <c r="C23941" s="5" t="str">
        <f>IFERROR(__xludf.DUMMYFUNCTION("GOOGLETRANSLATE(B23941,""en"",""fr"")"),"Les femmes jouent au voleyball dans un terrain en bois.")</f>
        <v>Les femmes jouent au voleyball dans un terrain en bois.</v>
      </c>
    </row>
    <row r="23942">
      <c r="A23942" s="4" t="s">
        <v>30126</v>
      </c>
      <c r="B23942" s="4" t="s">
        <v>30128</v>
      </c>
      <c r="C23942" s="5" t="str">
        <f>IFERROR(__xludf.DUMMYFUNCTION("GOOGLETRANSLATE(B23942,""en"",""fr"")"),"Peolpe est situé dans des chaises autour du terrain en regardant les filles.")</f>
        <v>Peolpe est situé dans des chaises autour du terrain en regardant les filles.</v>
      </c>
    </row>
    <row r="23943">
      <c r="A23943" s="4" t="s">
        <v>30126</v>
      </c>
      <c r="B23943" s="4" t="s">
        <v>30129</v>
      </c>
      <c r="C23943" s="5" t="str">
        <f>IFERROR(__xludf.DUMMYFUNCTION("GOOGLETRANSLATE(B23943,""en"",""fr"")"),"Les arbitres se tiennent sur les côtés du tribunal tenant des drapeaux et regardant le match sans escaliers.")</f>
        <v>Les arbitres se tiennent sur les côtés du tribunal tenant des drapeaux et regardant le match sans escaliers.</v>
      </c>
    </row>
    <row r="23944">
      <c r="A23944" s="4" t="s">
        <v>30130</v>
      </c>
      <c r="B23944" s="4" t="s">
        <v>30131</v>
      </c>
      <c r="C23944" s="5" t="str">
        <f>IFERROR(__xludf.DUMMYFUNCTION("GOOGLETRANSLATE(B23944,""en"",""fr"")"),"""Fitness For Life 365"" apparaît à l'écran.")</f>
        <v>"Fitness For Life 365" apparaît à l'écran.</v>
      </c>
    </row>
    <row r="23945">
      <c r="A23945" s="4" t="s">
        <v>30130</v>
      </c>
      <c r="B23945" s="6" t="s">
        <v>30132</v>
      </c>
      <c r="C23945" s="5" t="str">
        <f>IFERROR(__xludf.DUMMYFUNCTION("GOOGLETRANSLATE(B23945,""en"",""fr"")"),"Un panoramique de l'intérieur d'un gymnase est montré car il y a un homme qui grimpe des barres de singe qui reculent.")</f>
        <v>Un panoramique de l'intérieur d'un gymnase est montré car il y a un homme qui grimpe des barres de singe qui reculent.</v>
      </c>
    </row>
    <row r="23946">
      <c r="A23946" s="4" t="s">
        <v>30130</v>
      </c>
      <c r="B23946" s="4" t="s">
        <v>30133</v>
      </c>
      <c r="C23946" s="5" t="str">
        <f>IFERROR(__xludf.DUMMYFUNCTION("GOOGLETRANSLATE(B23946,""en"",""fr"")"),"Il fait ensuite des allers-retours pour continuer son entraînement.")</f>
        <v>Il fait ensuite des allers-retours pour continuer son entraînement.</v>
      </c>
    </row>
    <row r="23947">
      <c r="A23947" s="4" t="s">
        <v>30130</v>
      </c>
      <c r="B23947" s="4" t="s">
        <v>30134</v>
      </c>
      <c r="C23947" s="5" t="str">
        <f>IFERROR(__xludf.DUMMYFUNCTION("GOOGLETRANSLATE(B23947,""en"",""fr"")"),"La vidéo s'estompe ensuite à un écran noir et vous demande de vous abonner à leur chaîne YouTube.")</f>
        <v>La vidéo s'estompe ensuite à un écran noir et vous demande de vous abonner à leur chaîne YouTube.</v>
      </c>
    </row>
    <row r="23948">
      <c r="A23948" s="4" t="s">
        <v>30135</v>
      </c>
      <c r="B23948" s="4" t="s">
        <v>30136</v>
      </c>
      <c r="C23948" s="5" t="str">
        <f>IFERROR(__xludf.DUMMYFUNCTION("GOOGLETRANSLATE(B23948,""en"",""fr"")"),"La vidéo montre un tutoriel sur la façon d'installer des tuiles en céramique à l'aide du béton.")</f>
        <v>La vidéo montre un tutoriel sur la façon d'installer des tuiles en céramique à l'aide du béton.</v>
      </c>
    </row>
    <row r="23949">
      <c r="A23949" s="4" t="s">
        <v>30135</v>
      </c>
      <c r="B23949" s="4" t="s">
        <v>30137</v>
      </c>
      <c r="C23949" s="5" t="str">
        <f>IFERROR(__xludf.DUMMYFUNCTION("GOOGLETRANSLATE(B23949,""en"",""fr"")"),"Une personne portant un gilet orange et un pantalon noir travaille sur le carrelage d'une pièce dans une maison.")</f>
        <v>Une personne portant un gilet orange et un pantalon noir travaille sur le carrelage d'une pièce dans une maison.</v>
      </c>
    </row>
    <row r="23950">
      <c r="A23950" s="4" t="s">
        <v>30135</v>
      </c>
      <c r="B23950" s="6" t="s">
        <v>30138</v>
      </c>
      <c r="C23950" s="5" t="str">
        <f>IFERROR(__xludf.DUMMYFUNCTION("GOOGLETRANSLATE(B23950,""en"",""fr"")"),"Il s'agenouille à côté d'un tas de carreaux de céramique carrés blancs et d'un seau rempli de coulis et de ciment.")</f>
        <v>Il s'agenouille à côté d'un tas de carreaux de céramique carrés blancs et d'un seau rempli de coulis et de ciment.</v>
      </c>
    </row>
    <row r="23951">
      <c r="A23951" s="4" t="s">
        <v>30135</v>
      </c>
      <c r="B23951" s="4" t="s">
        <v>30139</v>
      </c>
      <c r="C23951" s="5" t="str">
        <f>IFERROR(__xludf.DUMMYFUNCTION("GOOGLETRANSLATE(B23951,""en"",""fr"")"),"Il mène le sol avec du ciment avec une truelle.")</f>
        <v>Il mène le sol avec du ciment avec une truelle.</v>
      </c>
    </row>
    <row r="23952">
      <c r="A23952" s="4" t="s">
        <v>30135</v>
      </c>
      <c r="B23952" s="6" t="s">
        <v>30140</v>
      </c>
      <c r="C23952" s="5" t="str">
        <f>IFERROR(__xludf.DUMMYFUNCTION("GOOGLETRANSLATE(B23952,""en"",""fr"")"),"Ensuite, il place les carreaux carrés les uns les autres en ligne droite, s'assurant qu'ils sont bien installés.")</f>
        <v>Ensuite, il place les carreaux carrés les uns les autres en ligne droite, s'assurant qu'ils sont bien installés.</v>
      </c>
    </row>
    <row r="23953">
      <c r="A23953" s="4" t="s">
        <v>30135</v>
      </c>
      <c r="B23953" s="6" t="s">
        <v>30141</v>
      </c>
      <c r="C23953" s="5" t="str">
        <f>IFERROR(__xludf.DUMMYFUNCTION("GOOGLETRANSLATE(B23953,""en"",""fr"")"),"Il enlève plus de carreaux de la boîte pour les mettre sur le ciment humide, s'assurant qu'ils sont correctement alignés les uns avec les autres.")</f>
        <v>Il enlève plus de carreaux de la boîte pour les mettre sur le ciment humide, s'assurant qu'ils sont correctement alignés les uns avec les autres.</v>
      </c>
    </row>
    <row r="23954">
      <c r="A23954" s="4" t="s">
        <v>30135</v>
      </c>
      <c r="B23954" s="6" t="s">
        <v>30142</v>
      </c>
      <c r="C23954" s="5" t="str">
        <f>IFERROR(__xludf.DUMMYFUNCTION("GOOGLETRANSLATE(B23954,""en"",""fr"")"),"Il continue de placer les carreaux pour combler toutes les lacunes jusqu'à ce que toute la pièce soit entièrement recouverte de carreaux blancs.")</f>
        <v>Il continue de placer les carreaux pour combler toutes les lacunes jusqu'à ce que toute la pièce soit entièrement recouverte de carreaux blancs.</v>
      </c>
    </row>
    <row r="23955">
      <c r="A23955" s="4" t="s">
        <v>30143</v>
      </c>
      <c r="B23955" s="4" t="s">
        <v>30144</v>
      </c>
      <c r="C23955" s="5" t="str">
        <f>IFERROR(__xludf.DUMMYFUNCTION("GOOGLETRANSLATE(B23955,""en"",""fr"")"),"Un homme est vu jouer un ensemble de tuyaux de sac à la caméra tout en déplaçant ses mains de haut en bas.")</f>
        <v>Un homme est vu jouer un ensemble de tuyaux de sac à la caméra tout en déplaçant ses mains de haut en bas.</v>
      </c>
    </row>
    <row r="23956">
      <c r="A23956" s="4" t="s">
        <v>30143</v>
      </c>
      <c r="B23956" s="4" t="s">
        <v>30145</v>
      </c>
      <c r="C23956" s="5" t="str">
        <f>IFERROR(__xludf.DUMMYFUNCTION("GOOGLETRANSLATE(B23956,""en"",""fr"")"),"L'homme continue de jouer de l'instrument dans la pièce et se termine en se déplaçant les mains.")</f>
        <v>L'homme continue de jouer de l'instrument dans la pièce et se termine en se déplaçant les mains.</v>
      </c>
    </row>
    <row r="23957">
      <c r="A23957" s="4" t="s">
        <v>30146</v>
      </c>
      <c r="B23957" s="6" t="s">
        <v>30147</v>
      </c>
      <c r="C23957" s="5" t="str">
        <f>IFERROR(__xludf.DUMMYFUNCTION("GOOGLETRANSLATE(B23957,""en"",""fr"")"),"Un homme est assis avec un microphone attaché à ses oreilles et commence à parler des congas devant lui.")</f>
        <v>Un homme est assis avec un microphone attaché à ses oreilles et commence à parler des congas devant lui.</v>
      </c>
    </row>
    <row r="23958">
      <c r="A23958" s="4" t="s">
        <v>30146</v>
      </c>
      <c r="B23958" s="4" t="s">
        <v>30148</v>
      </c>
      <c r="C23958" s="5" t="str">
        <f>IFERROR(__xludf.DUMMYFUNCTION("GOOGLETRANSLATE(B23958,""en"",""fr"")"),"Une fois qu'il a fini de parler, l'homme commence à jouer et frappe les congas dans les deux sens.")</f>
        <v>Une fois qu'il a fini de parler, l'homme commence à jouer et frappe les congas dans les deux sens.</v>
      </c>
    </row>
    <row r="23959">
      <c r="A23959" s="4" t="s">
        <v>30146</v>
      </c>
      <c r="B23959" s="4" t="s">
        <v>30149</v>
      </c>
      <c r="C23959" s="5" t="str">
        <f>IFERROR(__xludf.DUMMYFUNCTION("GOOGLETRANSLATE(B23959,""en"",""fr"")"),"Entre sa performance, il prend des pauses et des discussions avant de continuer à jouer.")</f>
        <v>Entre sa performance, il prend des pauses et des discussions avant de continuer à jouer.</v>
      </c>
    </row>
    <row r="23960">
      <c r="A23960" s="4" t="s">
        <v>30146</v>
      </c>
      <c r="B23960" s="4" t="s">
        <v>30150</v>
      </c>
      <c r="C23960" s="5" t="str">
        <f>IFERROR(__xludf.DUMMYFUNCTION("GOOGLETRANSLATE(B23960,""en"",""fr"")"),"Maintenant, il a sur les téléphones à tête et commence à jouer les Congas directement sans interruption.")</f>
        <v>Maintenant, il a sur les téléphones à tête et commence à jouer les Congas directement sans interruption.</v>
      </c>
    </row>
    <row r="23961">
      <c r="A23961" s="4" t="s">
        <v>30151</v>
      </c>
      <c r="B23961" s="6" t="s">
        <v>30152</v>
      </c>
      <c r="C23961" s="5" t="str">
        <f>IFERROR(__xludf.DUMMYFUNCTION("GOOGLETRANSLATE(B23961,""en"",""fr"")"),"I femme parle à la caméra tout en tenant une balle de ping-pong et debout près d'une table de ping-pong, entrecoupée de gros plans de courtes démonstrations de technique.")</f>
        <v>I femme parle à la caméra tout en tenant une balle de ping-pong et debout près d'une table de ping-pong, entrecoupée de gros plans de courtes démonstrations de technique.</v>
      </c>
    </row>
    <row r="23962">
      <c r="A23962" s="4" t="s">
        <v>30151</v>
      </c>
      <c r="B23962" s="4" t="s">
        <v>30153</v>
      </c>
      <c r="C23962" s="5" t="str">
        <f>IFERROR(__xludf.DUMMYFUNCTION("GOOGLETRANSLATE(B23962,""en"",""fr"")"),"La femme récupère une nouvelle balle.")</f>
        <v>La femme récupère une nouvelle balle.</v>
      </c>
    </row>
    <row r="23963">
      <c r="A23963" s="4" t="s">
        <v>30151</v>
      </c>
      <c r="B23963" s="4" t="s">
        <v>30154</v>
      </c>
      <c r="C23963" s="5" t="str">
        <f>IFERROR(__xludf.DUMMYFUNCTION("GOOGLETRANSLATE(B23963,""en"",""fr"")"),"La femme récupère deux balles, puis s'en débarrasse d'un.")</f>
        <v>La femme récupère deux balles, puis s'en débarrasse d'un.</v>
      </c>
    </row>
    <row r="23964">
      <c r="A23964" s="4" t="s">
        <v>30151</v>
      </c>
      <c r="B23964" s="4" t="s">
        <v>30155</v>
      </c>
      <c r="C23964" s="5" t="str">
        <f>IFERROR(__xludf.DUMMYFUNCTION("GOOGLETRANSLATE(B23964,""en"",""fr"")"),"La femme récupère une autre balle.")</f>
        <v>La femme récupère une autre balle.</v>
      </c>
    </row>
    <row r="23965">
      <c r="A23965" s="4" t="s">
        <v>30156</v>
      </c>
      <c r="B23965" s="4" t="s">
        <v>30157</v>
      </c>
      <c r="C23965" s="5" t="str">
        <f>IFERROR(__xludf.DUMMYFUNCTION("GOOGLETRANSLATE(B23965,""en"",""fr"")"),"Le café est renversé sur le tapis.")</f>
        <v>Le café est renversé sur le tapis.</v>
      </c>
    </row>
    <row r="23966">
      <c r="A23966" s="4" t="s">
        <v>30156</v>
      </c>
      <c r="B23966" s="4" t="s">
        <v>30158</v>
      </c>
      <c r="C23966" s="5" t="str">
        <f>IFERROR(__xludf.DUMMYFUNCTION("GOOGLETRANSLATE(B23966,""en"",""fr"")"),"Un tapis de personne nettoie le tapis.")</f>
        <v>Un tapis de personne nettoie le tapis.</v>
      </c>
    </row>
    <row r="23967">
      <c r="A23967" s="4" t="s">
        <v>30156</v>
      </c>
      <c r="B23967" s="4" t="s">
        <v>30159</v>
      </c>
      <c r="C23967" s="5" t="str">
        <f>IFERROR(__xludf.DUMMYFUNCTION("GOOGLETRANSLATE(B23967,""en"",""fr"")"),"Ils nettoient ensuite les sièges d'une voiture.")</f>
        <v>Ils nettoient ensuite les sièges d'une voiture.</v>
      </c>
    </row>
    <row r="23968">
      <c r="A23968" s="4" t="s">
        <v>30156</v>
      </c>
      <c r="B23968" s="4" t="s">
        <v>30160</v>
      </c>
      <c r="C23968" s="5" t="str">
        <f>IFERROR(__xludf.DUMMYFUNCTION("GOOGLETRANSLATE(B23968,""en"",""fr"")"),"Ils vident l'eau dans l'évier.")</f>
        <v>Ils vident l'eau dans l'évier.</v>
      </c>
    </row>
    <row r="23969">
      <c r="A23969" s="4" t="s">
        <v>30156</v>
      </c>
      <c r="B23969" s="4" t="s">
        <v>30161</v>
      </c>
      <c r="C23969" s="5" t="str">
        <f>IFERROR(__xludf.DUMMYFUNCTION("GOOGLETRANSLATE(B23969,""en"",""fr"")"),"Ils vident le seau dans un autre seau.")</f>
        <v>Ils vident le seau dans un autre seau.</v>
      </c>
    </row>
    <row r="23970">
      <c r="A23970" s="4" t="s">
        <v>30156</v>
      </c>
      <c r="B23970" s="4" t="s">
        <v>30162</v>
      </c>
      <c r="C23970" s="5" t="str">
        <f>IFERROR(__xludf.DUMMYFUNCTION("GOOGLETRANSLATE(B23970,""en"",""fr"")"),"Ils aspirent les paillettes du tapis.")</f>
        <v>Ils aspirent les paillettes du tapis.</v>
      </c>
    </row>
    <row r="23971">
      <c r="A23971" s="4" t="s">
        <v>30163</v>
      </c>
      <c r="B23971" s="4" t="s">
        <v>30164</v>
      </c>
      <c r="C23971" s="5" t="str">
        <f>IFERROR(__xludf.DUMMYFUNCTION("GOOGLETRANSLATE(B23971,""en"",""fr"")"),"Un homme attrape une valise dans une voiture.")</f>
        <v>Un homme attrape une valise dans une voiture.</v>
      </c>
    </row>
    <row r="23972">
      <c r="A23972" s="4" t="s">
        <v>30163</v>
      </c>
      <c r="B23972" s="4" t="s">
        <v>30165</v>
      </c>
      <c r="C23972" s="5" t="str">
        <f>IFERROR(__xludf.DUMMYFUNCTION("GOOGLETRANSLATE(B23972,""en"",""fr"")"),"Il se couche dans une chaise de coiffure.")</f>
        <v>Il se couche dans une chaise de coiffure.</v>
      </c>
    </row>
    <row r="23973">
      <c r="A23973" s="4" t="s">
        <v>30163</v>
      </c>
      <c r="B23973" s="4" t="s">
        <v>30166</v>
      </c>
      <c r="C23973" s="5" t="str">
        <f>IFERROR(__xludf.DUMMYFUNCTION("GOOGLETRANSLATE(B23973,""en"",""fr"")"),"Un homme commence à se raser la barbe avec un rasoir.")</f>
        <v>Un homme commence à se raser la barbe avec un rasoir.</v>
      </c>
    </row>
    <row r="23974">
      <c r="A23974" s="4" t="s">
        <v>30163</v>
      </c>
      <c r="B23974" s="4" t="s">
        <v>30167</v>
      </c>
      <c r="C23974" s="5" t="str">
        <f>IFERROR(__xludf.DUMMYFUNCTION("GOOGLETRANSLATE(B23974,""en"",""fr"")"),"Il enroule une serviette autour de son visage.")</f>
        <v>Il enroule une serviette autour de son visage.</v>
      </c>
    </row>
    <row r="23975">
      <c r="A23975" s="4" t="s">
        <v>30168</v>
      </c>
      <c r="B23975" s="4" t="s">
        <v>30169</v>
      </c>
      <c r="C23975" s="5" t="str">
        <f>IFERROR(__xludf.DUMMYFUNCTION("GOOGLETRANSLATE(B23975,""en"",""fr"")"),"Un jeune homme aide une jeune femme à se balancer dans une pinata de football.")</f>
        <v>Un jeune homme aide une jeune femme à se balancer dans une pinata de football.</v>
      </c>
    </row>
    <row r="23976">
      <c r="A23976" s="4" t="s">
        <v>30168</v>
      </c>
      <c r="B23976" s="4" t="s">
        <v>30170</v>
      </c>
      <c r="C23976" s="5" t="str">
        <f>IFERROR(__xludf.DUMMYFUNCTION("GOOGLETRANSLATE(B23976,""en"",""fr"")"),"Ils sont sur un terrain vert extérieur dans une école ou un centre communautaire.")</f>
        <v>Ils sont sur un terrain vert extérieur dans une école ou un centre communautaire.</v>
      </c>
    </row>
    <row r="23977">
      <c r="A23977" s="4" t="s">
        <v>30168</v>
      </c>
      <c r="B23977" s="4" t="s">
        <v>30171</v>
      </c>
      <c r="C23977" s="5" t="str">
        <f>IFERROR(__xludf.DUMMYFUNCTION("GOOGLETRANSLATE(B23977,""en"",""fr"")"),"Elle continue de manquer la pinata pendant que ses amis essaient de l'aider.")</f>
        <v>Elle continue de manquer la pinata pendant que ses amis essaient de l'aider.</v>
      </c>
    </row>
    <row r="23978">
      <c r="A23978" s="4" t="s">
        <v>30168</v>
      </c>
      <c r="B23978" s="4" t="s">
        <v>30172</v>
      </c>
      <c r="C23978" s="5" t="str">
        <f>IFERROR(__xludf.DUMMYFUNCTION("GOOGLETRANSLATE(B23978,""en"",""fr"")"),"Un adulte contrôle la pinata essayant de l'empêcher de le frapper.")</f>
        <v>Un adulte contrôle la pinata essayant de l'empêcher de le frapper.</v>
      </c>
    </row>
    <row r="23979">
      <c r="A23979" s="4" t="s">
        <v>30168</v>
      </c>
      <c r="B23979" s="6" t="s">
        <v>30173</v>
      </c>
      <c r="C23979" s="5" t="str">
        <f>IFERROR(__xludf.DUMMYFUNCTION("GOOGLETRANSLATE(B23979,""en"",""fr"")"),"Elle finit enfin par trouver où elle est généralement pendant que ses amis se moquent d'elle et continuent d'essayer d'aider.")</f>
        <v>Elle finit enfin par trouver où elle est généralement pendant que ses amis se moquent d'elle et continuent d'essayer d'aider.</v>
      </c>
    </row>
    <row r="23980">
      <c r="A23980" s="4" t="s">
        <v>30168</v>
      </c>
      <c r="B23980" s="4" t="s">
        <v>30174</v>
      </c>
      <c r="C23980" s="5" t="str">
        <f>IFERROR(__xludf.DUMMYFUNCTION("GOOGLETRANSLATE(B23980,""en"",""fr"")"),"Elle est frappée par la pinata et finit par échouer.")</f>
        <v>Elle est frappée par la pinata et finit par échouer.</v>
      </c>
    </row>
    <row r="23981">
      <c r="A23981" s="4" t="s">
        <v>30175</v>
      </c>
      <c r="B23981" s="4" t="s">
        <v>30176</v>
      </c>
      <c r="C23981" s="5" t="str">
        <f>IFERROR(__xludf.DUMMYFUNCTION("GOOGLETRANSLATE(B23981,""en"",""fr"")"),"Quelques hommes sont dans les bois qui courent avec du paintball.")</f>
        <v>Quelques hommes sont dans les bois qui courent avec du paintball.</v>
      </c>
    </row>
    <row r="23982">
      <c r="A23982" s="4" t="s">
        <v>30175</v>
      </c>
      <c r="B23982" s="4" t="s">
        <v>30177</v>
      </c>
      <c r="C23982" s="5" t="str">
        <f>IFERROR(__xludf.DUMMYFUNCTION("GOOGLETRANSLATE(B23982,""en"",""fr"")"),"Ils recherchent l'autre pour essayer de les tirer sur, tout en restant près de leurs coéquipiers.")</f>
        <v>Ils recherchent l'autre pour essayer de les tirer sur, tout en restant près de leurs coéquipiers.</v>
      </c>
    </row>
    <row r="23983">
      <c r="A23983" s="4" t="s">
        <v>30175</v>
      </c>
      <c r="B23983" s="4" t="s">
        <v>30178</v>
      </c>
      <c r="C23983" s="5" t="str">
        <f>IFERROR(__xludf.DUMMYFUNCTION("GOOGLETRANSLATE(B23983,""en"",""fr"")"),"L'un des hommes vérifie son arme et réajuste le sien, puis continue d'avancer.")</f>
        <v>L'un des hommes vérifie son arme et réajuste le sien, puis continue d'avancer.</v>
      </c>
    </row>
    <row r="23984">
      <c r="A23984" s="4" t="s">
        <v>30175</v>
      </c>
      <c r="B23984" s="4" t="s">
        <v>30179</v>
      </c>
      <c r="C23984" s="5" t="str">
        <f>IFERROR(__xludf.DUMMYFUNCTION("GOOGLETRANSLATE(B23984,""en"",""fr"")"),"Il avance pour continuer à jouer du jeu.")</f>
        <v>Il avance pour continuer à jouer du jeu.</v>
      </c>
    </row>
    <row r="23985">
      <c r="A23985" s="4" t="s">
        <v>30180</v>
      </c>
      <c r="B23985" s="6" t="s">
        <v>30181</v>
      </c>
      <c r="C23985" s="5" t="str">
        <f>IFERROR(__xludf.DUMMYFUNCTION("GOOGLETRANSLATE(B23985,""en"",""fr"")"),"Un homme se tient sur un terrain intérieur avec sa raquette dans sa main droite la balle de raquette dans la main gauche et parle et fait beaucoup signe.")</f>
        <v>Un homme se tient sur un terrain intérieur avec sa raquette dans sa main droite la balle de raquette dans la main gauche et parle et fait beaucoup signe.</v>
      </c>
    </row>
    <row r="23986">
      <c r="A23986" s="4" t="s">
        <v>30180</v>
      </c>
      <c r="B23986" s="4" t="s">
        <v>30182</v>
      </c>
      <c r="C23986" s="5" t="str">
        <f>IFERROR(__xludf.DUMMYFUNCTION("GOOGLETRANSLATE(B23986,""en"",""fr"")"),"L'homme laisse alors tomber le ballon sur le terrain, le frappe, puis l'attrape quand il lui revient.")</f>
        <v>L'homme laisse alors tomber le ballon sur le terrain, le frappe, puis l'attrape quand il lui revient.</v>
      </c>
    </row>
    <row r="23987">
      <c r="A23987" s="4" t="s">
        <v>30180</v>
      </c>
      <c r="B23987" s="6" t="s">
        <v>30183</v>
      </c>
      <c r="C23987" s="5" t="str">
        <f>IFERROR(__xludf.DUMMYFUNCTION("GOOGLETRANSLATE(B23987,""en"",""fr"")"),"L'homme continue de parler alors qu'il tient le ballon et la raquette dans ses mains et l'écran s'estompe en noir.")</f>
        <v>L'homme continue de parler alors qu'il tient le ballon et la raquette dans ses mains et l'écran s'estompe en noir.</v>
      </c>
    </row>
    <row r="23988">
      <c r="A23988" s="4" t="s">
        <v>30184</v>
      </c>
      <c r="B23988" s="4" t="s">
        <v>30185</v>
      </c>
      <c r="C23988" s="5" t="str">
        <f>IFERROR(__xludf.DUMMYFUNCTION("GOOGLETRANSLATE(B23988,""en"",""fr"")"),"Un homme regarde vers le bas et parle dans la caméra.")</f>
        <v>Un homme regarde vers le bas et parle dans la caméra.</v>
      </c>
    </row>
    <row r="23989">
      <c r="A23989" s="4" t="s">
        <v>30184</v>
      </c>
      <c r="B23989" s="4" t="s">
        <v>30186</v>
      </c>
      <c r="C23989" s="5" t="str">
        <f>IFERROR(__xludf.DUMMYFUNCTION("GOOGLETRANSLATE(B23989,""en"",""fr"")"),"L'homme enlève ses lunettes et nous montre comment insérer des lentilles de contact.")</f>
        <v>L'homme enlève ses lunettes et nous montre comment insérer des lentilles de contact.</v>
      </c>
    </row>
    <row r="23990">
      <c r="A23990" s="4" t="s">
        <v>30184</v>
      </c>
      <c r="B23990" s="4" t="s">
        <v>30187</v>
      </c>
      <c r="C23990" s="5" t="str">
        <f>IFERROR(__xludf.DUMMYFUNCTION("GOOGLETRANSLATE(B23990,""en"",""fr"")"),"L'homme montre l'objectif de contact à la caméra.")</f>
        <v>L'homme montre l'objectif de contact à la caméra.</v>
      </c>
    </row>
    <row r="23991">
      <c r="A23991" s="4" t="s">
        <v>30184</v>
      </c>
      <c r="B23991" s="4" t="s">
        <v>30188</v>
      </c>
      <c r="C23991" s="5" t="str">
        <f>IFERROR(__xludf.DUMMYFUNCTION("GOOGLETRANSLATE(B23991,""en"",""fr"")"),"L'homme insère le contact et déplace son œil.")</f>
        <v>L'homme insère le contact et déplace son œil.</v>
      </c>
    </row>
    <row r="23992">
      <c r="A23992" s="4" t="s">
        <v>30184</v>
      </c>
      <c r="B23992" s="4" t="s">
        <v>30189</v>
      </c>
      <c r="C23992" s="5" t="str">
        <f>IFERROR(__xludf.DUMMYFUNCTION("GOOGLETRANSLATE(B23992,""en"",""fr"")"),"L'homme montre son autre contact.")</f>
        <v>L'homme montre son autre contact.</v>
      </c>
    </row>
    <row r="23993">
      <c r="A23993" s="4" t="s">
        <v>30184</v>
      </c>
      <c r="B23993" s="4" t="s">
        <v>30190</v>
      </c>
      <c r="C23993" s="5" t="str">
        <f>IFERROR(__xludf.DUMMYFUNCTION("GOOGLETRANSLATE(B23993,""en"",""fr"")"),"L'homme insère le contact à droite et déplace son œil.")</f>
        <v>L'homme insère le contact à droite et déplace son œil.</v>
      </c>
    </row>
    <row r="23994">
      <c r="A23994" s="4" t="s">
        <v>30191</v>
      </c>
      <c r="B23994" s="4" t="s">
        <v>30192</v>
      </c>
      <c r="C23994" s="5" t="str">
        <f>IFERROR(__xludf.DUMMYFUNCTION("GOOGLETRANSLATE(B23994,""en"",""fr"")"),"Un homme pelle de la neige en hiver.")</f>
        <v>Un homme pelle de la neige en hiver.</v>
      </c>
    </row>
    <row r="23995">
      <c r="A23995" s="4" t="s">
        <v>30191</v>
      </c>
      <c r="B23995" s="4" t="s">
        <v>30193</v>
      </c>
      <c r="C23995" s="5" t="str">
        <f>IFERROR(__xludf.DUMMYFUNCTION("GOOGLETRANSLATE(B23995,""en"",""fr"")"),"Une photo de timelapse est réalisée et un chemin est dégagé pour qu'une voiture puisse chasser.")</f>
        <v>Une photo de timelapse est réalisée et un chemin est dégagé pour qu'une voiture puisse chasser.</v>
      </c>
    </row>
    <row r="23996">
      <c r="A23996" s="4" t="s">
        <v>30194</v>
      </c>
      <c r="B23996" s="4" t="s">
        <v>30195</v>
      </c>
      <c r="C23996" s="5" t="str">
        <f>IFERROR(__xludf.DUMMYFUNCTION("GOOGLETRANSLATE(B23996,""en"",""fr"")"),"Deux hommes sont au-dessus d'une échelle dans un ring de lutte, un homme est plié sur l'échelle.")</f>
        <v>Deux hommes sont au-dessus d'une échelle dans un ring de lutte, un homme est plié sur l'échelle.</v>
      </c>
    </row>
    <row r="23997">
      <c r="A23997" s="4" t="s">
        <v>30194</v>
      </c>
      <c r="B23997" s="4" t="s">
        <v>30196</v>
      </c>
      <c r="C23997" s="5" t="str">
        <f>IFERROR(__xludf.DUMMYFUNCTION("GOOGLETRANSLATE(B23997,""en"",""fr"")"),"Ensuite, le lutteur saute par-dessus l'homme, et l'homme et le lutteur tombent sur le ring.")</f>
        <v>Ensuite, le lutteur saute par-dessus l'homme, et l'homme et le lutteur tombent sur le ring.</v>
      </c>
    </row>
    <row r="23998">
      <c r="A23998" s="4" t="s">
        <v>30194</v>
      </c>
      <c r="B23998" s="4" t="s">
        <v>30197</v>
      </c>
      <c r="C23998" s="5" t="str">
        <f>IFERROR(__xludf.DUMMYFUNCTION("GOOGLETRANSLATE(B23998,""en"",""fr"")"),"Le juge regarde les hommes.")</f>
        <v>Le juge regarde les hommes.</v>
      </c>
    </row>
    <row r="23999">
      <c r="A23999" s="4" t="s">
        <v>30198</v>
      </c>
      <c r="B23999" s="4" t="s">
        <v>30199</v>
      </c>
      <c r="C23999" s="5" t="str">
        <f>IFERROR(__xludf.DUMMYFUNCTION("GOOGLETRANSLATE(B23999,""en"",""fr"")"),"Un enfant prend un verre et le fait passer dans la bouche.")</f>
        <v>Un enfant prend un verre et le fait passer dans la bouche.</v>
      </c>
    </row>
    <row r="24000">
      <c r="A24000" s="4" t="s">
        <v>30198</v>
      </c>
      <c r="B24000" s="4" t="s">
        <v>30200</v>
      </c>
      <c r="C24000" s="5" t="str">
        <f>IFERROR(__xludf.DUMMYFUNCTION("GOOGLETRANSLATE(B24000,""en"",""fr"")"),"Ils crachent dans un évier.")</f>
        <v>Ils crachent dans un évier.</v>
      </c>
    </row>
    <row r="24001">
      <c r="A24001" s="4" t="s">
        <v>30198</v>
      </c>
      <c r="B24001" s="4" t="s">
        <v>30201</v>
      </c>
      <c r="C24001" s="5" t="str">
        <f>IFERROR(__xludf.DUMMYFUNCTION("GOOGLETRANSLATE(B24001,""en"",""fr"")"),"Ils prennent un autre verre d'une tasse.")</f>
        <v>Ils prennent un autre verre d'une tasse.</v>
      </c>
    </row>
    <row r="24002">
      <c r="A24002" s="4" t="s">
        <v>30198</v>
      </c>
      <c r="B24002" s="4" t="s">
        <v>30202</v>
      </c>
      <c r="C24002" s="5" t="str">
        <f>IFERROR(__xludf.DUMMYFUNCTION("GOOGLETRANSLATE(B24002,""en"",""fr"")"),"Ils ont mis la bouche sur une serviette.")</f>
        <v>Ils ont mis la bouche sur une serviette.</v>
      </c>
    </row>
    <row r="24003">
      <c r="A24003" s="4" t="s">
        <v>30198</v>
      </c>
      <c r="B24003" s="4" t="s">
        <v>30203</v>
      </c>
      <c r="C24003" s="5" t="str">
        <f>IFERROR(__xludf.DUMMYFUNCTION("GOOGLETRANSLATE(B24003,""en"",""fr"")"),"Ils prennent un autre verre et le jettent dans l'évier.")</f>
        <v>Ils prennent un autre verre et le jettent dans l'évier.</v>
      </c>
    </row>
    <row r="24004">
      <c r="A24004" s="4" t="s">
        <v>30198</v>
      </c>
      <c r="B24004" s="4" t="s">
        <v>30204</v>
      </c>
      <c r="C24004" s="5" t="str">
        <f>IFERROR(__xludf.DUMMYFUNCTION("GOOGLETRANSLATE(B24004,""en"",""fr"")"),"Ils ramassent la serviette et essuient leur visage.")</f>
        <v>Ils ramassent la serviette et essuient leur visage.</v>
      </c>
    </row>
    <row r="24005">
      <c r="A24005" s="4" t="s">
        <v>30198</v>
      </c>
      <c r="B24005" s="4" t="s">
        <v>30205</v>
      </c>
      <c r="C24005" s="5" t="str">
        <f>IFERROR(__xludf.DUMMYFUNCTION("GOOGLETRANSLATE(B24005,""en"",""fr"")"),"Ils prennent une tasse et allument l'évier.")</f>
        <v>Ils prennent une tasse et allument l'évier.</v>
      </c>
    </row>
    <row r="24006">
      <c r="A24006" s="4" t="s">
        <v>30206</v>
      </c>
      <c r="B24006" s="4" t="s">
        <v>30207</v>
      </c>
      <c r="C24006" s="5" t="str">
        <f>IFERROR(__xludf.DUMMYFUNCTION("GOOGLETRANSLATE(B24006,""en"",""fr"")"),"Une équipe de crosse va jouer un jeu.")</f>
        <v>Une équipe de crosse va jouer un jeu.</v>
      </c>
    </row>
    <row r="24007">
      <c r="A24007" s="4" t="s">
        <v>30206</v>
      </c>
      <c r="B24007" s="4" t="s">
        <v>30208</v>
      </c>
      <c r="C24007" s="5" t="str">
        <f>IFERROR(__xludf.DUMMYFUNCTION("GOOGLETRANSLATE(B24007,""en"",""fr"")"),"D'autres points forts sont affichés.")</f>
        <v>D'autres points forts sont affichés.</v>
      </c>
    </row>
    <row r="24008">
      <c r="A24008" s="4" t="s">
        <v>30209</v>
      </c>
      <c r="B24008" s="4" t="s">
        <v>30210</v>
      </c>
      <c r="C24008" s="5" t="str">
        <f>IFERROR(__xludf.DUMMYFUNCTION("GOOGLETRANSLATE(B24008,""en"",""fr"")"),"Un garçon est debout dans une cuisine avec deux morceaux de pain.")</f>
        <v>Un garçon est debout dans une cuisine avec deux morceaux de pain.</v>
      </c>
    </row>
    <row r="24009">
      <c r="A24009" s="4" t="s">
        <v>30209</v>
      </c>
      <c r="B24009" s="4" t="s">
        <v>30211</v>
      </c>
      <c r="C24009" s="5" t="str">
        <f>IFERROR(__xludf.DUMMYFUNCTION("GOOGLETRANSLATE(B24009,""en"",""fr"")"),"Il ouvre le réfrigérateur et élimine les ingrédients du sandwich.")</f>
        <v>Il ouvre le réfrigérateur et élimine les ingrédients du sandwich.</v>
      </c>
    </row>
    <row r="24010">
      <c r="A24010" s="4" t="s">
        <v>30209</v>
      </c>
      <c r="B24010" s="4" t="s">
        <v>30212</v>
      </c>
      <c r="C24010" s="5" t="str">
        <f>IFERROR(__xludf.DUMMYFUNCTION("GOOGLETRANSLATE(B24010,""en"",""fr"")"),"Il gicle de la moutarde et de la mayonnaise sur le sandwich.")</f>
        <v>Il gicle de la moutarde et de la mayonnaise sur le sandwich.</v>
      </c>
    </row>
    <row r="24011">
      <c r="A24011" s="4" t="s">
        <v>30209</v>
      </c>
      <c r="B24011" s="4" t="s">
        <v>30213</v>
      </c>
      <c r="C24011" s="5" t="str">
        <f>IFERROR(__xludf.DUMMYFUNCTION("GOOGLETRANSLATE(B24011,""en"",""fr"")"),"Il ajoute ensuite la viande et le fromage.")</f>
        <v>Il ajoute ensuite la viande et le fromage.</v>
      </c>
    </row>
    <row r="24012">
      <c r="A24012" s="4" t="s">
        <v>30209</v>
      </c>
      <c r="B24012" s="6" t="s">
        <v>30214</v>
      </c>
      <c r="C24012" s="5" t="str">
        <f>IFERROR(__xludf.DUMMYFUNCTION("GOOGLETRANSLATE(B24012,""en"",""fr"")"),"Ensuite, il remet les ingrédients dans le réfrigérateur, se concentrant sur le sandwich sur le comptoir.")</f>
        <v>Ensuite, il remet les ingrédients dans le réfrigérateur, se concentrant sur le sandwich sur le comptoir.</v>
      </c>
    </row>
    <row r="24013">
      <c r="A24013" s="4" t="s">
        <v>30215</v>
      </c>
      <c r="B24013" s="4" t="s">
        <v>30216</v>
      </c>
      <c r="C24013" s="5" t="str">
        <f>IFERROR(__xludf.DUMMYFUNCTION("GOOGLETRANSLATE(B24013,""en"",""fr"")"),"Nous voyons un homme avec un maillet de croquet parler.")</f>
        <v>Nous voyons un homme avec un maillet de croquet parler.</v>
      </c>
    </row>
    <row r="24014">
      <c r="A24014" s="4" t="s">
        <v>30215</v>
      </c>
      <c r="B24014" s="4" t="s">
        <v>30217</v>
      </c>
      <c r="C24014" s="5" t="str">
        <f>IFERROR(__xludf.DUMMYFUNCTION("GOOGLETRANSLATE(B24014,""en"",""fr"")"),"L'homme aligne son tir de la balle rouge.")</f>
        <v>L'homme aligne son tir de la balle rouge.</v>
      </c>
    </row>
    <row r="24015">
      <c r="A24015" s="4" t="s">
        <v>30215</v>
      </c>
      <c r="B24015" s="4" t="s">
        <v>30218</v>
      </c>
      <c r="C24015" s="5" t="str">
        <f>IFERROR(__xludf.DUMMYFUNCTION("GOOGLETRANSLATE(B24015,""en"",""fr"")"),"L'homme frappe la balle rouge.")</f>
        <v>L'homme frappe la balle rouge.</v>
      </c>
    </row>
    <row r="24016">
      <c r="A24016" s="4" t="s">
        <v>30215</v>
      </c>
      <c r="B24016" s="4" t="s">
        <v>30219</v>
      </c>
      <c r="C24016" s="5" t="str">
        <f>IFERROR(__xludf.DUMMYFUNCTION("GOOGLETRANSLATE(B24016,""en"",""fr"")"),"L'homme pointe sur la boule bleue des genoux dans l'herbe.")</f>
        <v>L'homme pointe sur la boule bleue des genoux dans l'herbe.</v>
      </c>
    </row>
    <row r="24017">
      <c r="A24017" s="4" t="s">
        <v>30220</v>
      </c>
      <c r="B24017" s="4" t="s">
        <v>30221</v>
      </c>
      <c r="C24017" s="5" t="str">
        <f>IFERROR(__xludf.DUMMYFUNCTION("GOOGLETRANSLATE(B24017,""en"",""fr"")"),"Un groupe d'amis jouent à une planche de shuffle sur un terrain d'intérieur.")</f>
        <v>Un groupe d'amis jouent à une planche de shuffle sur un terrain d'intérieur.</v>
      </c>
    </row>
    <row r="24018">
      <c r="A24018" s="4" t="s">
        <v>30220</v>
      </c>
      <c r="B24018" s="4" t="s">
        <v>30222</v>
      </c>
      <c r="C24018" s="5" t="str">
        <f>IFERROR(__xludf.DUMMYFUNCTION("GOOGLETRANSLATE(B24018,""en"",""fr"")"),"Le groupe tire à tour de rôle des rondelles sur le terrain de shuffleboard.")</f>
        <v>Le groupe tire à tour de rôle des rondelles sur le terrain de shuffleboard.</v>
      </c>
    </row>
    <row r="24019">
      <c r="A24019" s="4" t="s">
        <v>30223</v>
      </c>
      <c r="B24019" s="4" t="s">
        <v>30224</v>
      </c>
      <c r="C24019" s="5" t="str">
        <f>IFERROR(__xludf.DUMMYFUNCTION("GOOGLETRANSLATE(B24019,""en"",""fr"")"),"Les gens parlent dans une pièce.")</f>
        <v>Les gens parlent dans une pièce.</v>
      </c>
    </row>
    <row r="24020">
      <c r="A24020" s="4" t="s">
        <v>30223</v>
      </c>
      <c r="B24020" s="4" t="s">
        <v>30225</v>
      </c>
      <c r="C24020" s="5" t="str">
        <f>IFERROR(__xludf.DUMMYFUNCTION("GOOGLETRANSLATE(B24020,""en"",""fr"")"),"Les gens jouent au blackjack dans un casino bondé.")</f>
        <v>Les gens jouent au blackjack dans un casino bondé.</v>
      </c>
    </row>
    <row r="24021">
      <c r="A24021" s="4" t="s">
        <v>30223</v>
      </c>
      <c r="B24021" s="4" t="s">
        <v>30226</v>
      </c>
      <c r="C24021" s="5" t="str">
        <f>IFERROR(__xludf.DUMMYFUNCTION("GOOGLETRANSLATE(B24021,""en"",""fr"")"),"Un homme applaudit ses mains et signe un papier.")</f>
        <v>Un homme applaudit ses mains et signe un papier.</v>
      </c>
    </row>
    <row r="24022">
      <c r="A24022" s="4" t="s">
        <v>30223</v>
      </c>
      <c r="B24022" s="4" t="s">
        <v>30227</v>
      </c>
      <c r="C24022" s="5" t="str">
        <f>IFERROR(__xludf.DUMMYFUNCTION("GOOGLETRANSLATE(B24022,""en"",""fr"")"),"Les gens continuent de jouer au blackjack.")</f>
        <v>Les gens continuent de jouer au blackjack.</v>
      </c>
    </row>
    <row r="24023">
      <c r="A24023" s="4" t="s">
        <v>30228</v>
      </c>
      <c r="B24023" s="4" t="s">
        <v>30229</v>
      </c>
      <c r="C24023" s="5" t="str">
        <f>IFERROR(__xludf.DUMMYFUNCTION("GOOGLETRANSLATE(B24023,""en"",""fr"")"),"Une femme entre dans une zone partiellement fixe.")</f>
        <v>Une femme entre dans une zone partiellement fixe.</v>
      </c>
    </row>
    <row r="24024">
      <c r="A24024" s="4" t="s">
        <v>30228</v>
      </c>
      <c r="B24024" s="4" t="s">
        <v>30230</v>
      </c>
      <c r="C24024" s="5" t="str">
        <f>IFERROR(__xludf.DUMMYFUNCTION("GOOGLETRANSLATE(B24024,""en"",""fr"")"),"La femme se prépare à lancer un marteau.")</f>
        <v>La femme se prépare à lancer un marteau.</v>
      </c>
    </row>
    <row r="24025">
      <c r="A24025" s="4" t="s">
        <v>30228</v>
      </c>
      <c r="B24025" s="4" t="s">
        <v>30231</v>
      </c>
      <c r="C24025" s="5" t="str">
        <f>IFERROR(__xludf.DUMMYFUNCTION("GOOGLETRANSLATE(B24025,""en"",""fr"")"),"La femme effectue le lancer du marteau.")</f>
        <v>La femme effectue le lancer du marteau.</v>
      </c>
    </row>
    <row r="24026">
      <c r="A24026" s="4" t="s">
        <v>30228</v>
      </c>
      <c r="B24026" s="4" t="s">
        <v>30232</v>
      </c>
      <c r="C24026" s="5" t="str">
        <f>IFERROR(__xludf.DUMMYFUNCTION("GOOGLETRANSLATE(B24026,""en"",""fr"")"),"Le marteau est vu atterrir avec des juges qui marchaient vers lui.")</f>
        <v>Le marteau est vu atterrir avec des juges qui marchaient vers lui.</v>
      </c>
    </row>
    <row r="24027">
      <c r="A24027" s="4" t="s">
        <v>30228</v>
      </c>
      <c r="B24027" s="4" t="s">
        <v>30233</v>
      </c>
      <c r="C24027" s="5" t="str">
        <f>IFERROR(__xludf.DUMMYFUNCTION("GOOGLETRANSLATE(B24027,""en"",""fr"")"),"La femme lève le bras.")</f>
        <v>La femme lève le bras.</v>
      </c>
    </row>
    <row r="24028">
      <c r="A24028" s="4" t="s">
        <v>30228</v>
      </c>
      <c r="B24028" s="4" t="s">
        <v>30234</v>
      </c>
      <c r="C24028" s="5" t="str">
        <f>IFERROR(__xludf.DUMMYFUNCTION("GOOGLETRANSLATE(B24028,""en"",""fr"")"),"La femme sort de la zone de filet.")</f>
        <v>La femme sort de la zone de filet.</v>
      </c>
    </row>
    <row r="24029">
      <c r="A24029" s="4" t="s">
        <v>30228</v>
      </c>
      <c r="B24029" s="4" t="s">
        <v>30235</v>
      </c>
      <c r="C24029" s="5" t="str">
        <f>IFERROR(__xludf.DUMMYFUNCTION("GOOGLETRANSLATE(B24029,""en"",""fr"")"),"La femme lève à nouveau son bras.")</f>
        <v>La femme lève à nouveau son bras.</v>
      </c>
    </row>
    <row r="24030">
      <c r="A24030" s="4" t="s">
        <v>30236</v>
      </c>
      <c r="B24030" s="4" t="s">
        <v>30237</v>
      </c>
      <c r="C24030" s="5" t="str">
        <f>IFERROR(__xludf.DUMMYFUNCTION("GOOGLETRANSLATE(B24030,""en"",""fr"")"),"Deux personnes jouent au football avec une femme derrière.")</f>
        <v>Deux personnes jouent au football avec une femme derrière.</v>
      </c>
    </row>
    <row r="24031">
      <c r="A24031" s="4" t="s">
        <v>30236</v>
      </c>
      <c r="B24031" s="4" t="s">
        <v>30238</v>
      </c>
      <c r="C24031" s="5" t="str">
        <f>IFERROR(__xludf.DUMMYFUNCTION("GOOGLETRANSLATE(B24031,""en"",""fr"")"),"Une personne marque et applaudit.")</f>
        <v>Une personne marque et applaudit.</v>
      </c>
    </row>
    <row r="24032">
      <c r="A24032" s="4" t="s">
        <v>30239</v>
      </c>
      <c r="B24032" s="4" t="s">
        <v>30240</v>
      </c>
      <c r="C24032" s="5" t="str">
        <f>IFERROR(__xludf.DUMMYFUNCTION("GOOGLETRANSLATE(B24032,""en"",""fr"")"),"Un garçon balance sur un swing à l'extérieur.")</f>
        <v>Un garçon balance sur un swing à l'extérieur.</v>
      </c>
    </row>
    <row r="24033">
      <c r="A24033" s="4" t="s">
        <v>30239</v>
      </c>
      <c r="B24033" s="4" t="s">
        <v>30241</v>
      </c>
      <c r="C24033" s="5" t="str">
        <f>IFERROR(__xludf.DUMMYFUNCTION("GOOGLETRANSLATE(B24033,""en"",""fr"")"),"Il se balance aussi haut que possible avec ses jambes.")</f>
        <v>Il se balance aussi haut que possible avec ses jambes.</v>
      </c>
    </row>
    <row r="24034">
      <c r="A24034" s="4" t="s">
        <v>30242</v>
      </c>
      <c r="B24034" s="4" t="s">
        <v>30243</v>
      </c>
      <c r="C24034" s="5" t="str">
        <f>IFERROR(__xludf.DUMMYFUNCTION("GOOGLETRANSLATE(B24034,""en"",""fr"")"),"Une femme est vue assise sur un canapé tenant un chapeau et mène à sa coupure les griffes du chat.")</f>
        <v>Une femme est vue assise sur un canapé tenant un chapeau et mène à sa coupure les griffes du chat.</v>
      </c>
    </row>
    <row r="24035">
      <c r="A24035" s="4" t="s">
        <v>30242</v>
      </c>
      <c r="B24035" s="4" t="s">
        <v>30244</v>
      </c>
      <c r="C24035" s="5" t="str">
        <f>IFERROR(__xludf.DUMMYFUNCTION("GOOGLETRANSLATE(B24035,""en"",""fr"")"),"Elle tient ensuite un morceau de papier pendant que le chat s'enfuit et elle pointe le papier.")</f>
        <v>Elle tient ensuite un morceau de papier pendant que le chat s'enfuit et elle pointe le papier.</v>
      </c>
    </row>
    <row r="24036">
      <c r="A24036" s="4" t="s">
        <v>30245</v>
      </c>
      <c r="B24036" s="6" t="s">
        <v>30246</v>
      </c>
      <c r="C24036" s="5" t="str">
        <f>IFERROR(__xludf.DUMMYFUNCTION("GOOGLETRANSLATE(B24036,""en"",""fr"")"),"Une personne est assise dans un tube avec d'autres personnes debout et pousse la personne dans un sentier enneigé.")</f>
        <v>Une personne est assise dans un tube avec d'autres personnes debout et pousse la personne dans un sentier enneigé.</v>
      </c>
    </row>
    <row r="24037">
      <c r="A24037" s="4" t="s">
        <v>30245</v>
      </c>
      <c r="B24037" s="4" t="s">
        <v>30247</v>
      </c>
      <c r="C24037" s="5" t="str">
        <f>IFERROR(__xludf.DUMMYFUNCTION("GOOGLETRANSLATE(B24037,""en"",""fr"")"),"La personne vole sur le sentier dans le tube avec une autre personne qui suit par la suite.")</f>
        <v>La personne vole sur le sentier dans le tube avec une autre personne qui suit par la suite.</v>
      </c>
    </row>
    <row r="24038">
      <c r="A24038" s="4" t="s">
        <v>30248</v>
      </c>
      <c r="B24038" s="4" t="s">
        <v>30249</v>
      </c>
      <c r="C24038" s="5" t="str">
        <f>IFERROR(__xludf.DUMMYFUNCTION("GOOGLETRANSLATE(B24038,""en"",""fr"")"),"Un journaliste interviewe un basketteur dans un tribunal.")</f>
        <v>Un journaliste interviewe un basketteur dans un tribunal.</v>
      </c>
    </row>
    <row r="24039">
      <c r="A24039" s="4" t="s">
        <v>30248</v>
      </c>
      <c r="B24039" s="4" t="s">
        <v>30250</v>
      </c>
      <c r="C24039" s="5" t="str">
        <f>IFERROR(__xludf.DUMMYFUNCTION("GOOGLETRANSLATE(B24039,""en"",""fr"")"),"L'homme polit le plancher en bois.")</f>
        <v>L'homme polit le plancher en bois.</v>
      </c>
    </row>
    <row r="24040">
      <c r="A24040" s="4" t="s">
        <v>30251</v>
      </c>
      <c r="B24040" s="4" t="s">
        <v>30252</v>
      </c>
      <c r="C24040" s="5" t="str">
        <f>IFERROR(__xludf.DUMMYFUNCTION("GOOGLETRANSLATE(B24040,""en"",""fr"")"),"Une petite fille est assise dans le sable où elle a essayé de faire un château de sable.")</f>
        <v>Une petite fille est assise dans le sable où elle a essayé de faire un château de sable.</v>
      </c>
    </row>
    <row r="24041">
      <c r="A24041" s="4" t="s">
        <v>30251</v>
      </c>
      <c r="B24041" s="4" t="s">
        <v>30253</v>
      </c>
      <c r="C24041" s="5" t="str">
        <f>IFERROR(__xludf.DUMMYFUNCTION("GOOGLETRANSLATE(B24041,""en"",""fr"")"),"Les adultes et une autre fille rient en essayant de construire quelque chose dans le sable.")</f>
        <v>Les adultes et une autre fille rient en essayant de construire quelque chose dans le sable.</v>
      </c>
    </row>
    <row r="24042">
      <c r="A24042" s="4" t="s">
        <v>30254</v>
      </c>
      <c r="B24042" s="4" t="s">
        <v>30255</v>
      </c>
      <c r="C24042" s="5" t="str">
        <f>IFERROR(__xludf.DUMMYFUNCTION("GOOGLETRANSLATE(B24042,""en"",""fr"")"),"Un jeune homme adulte frappe et donne un coup de pied en suspension.")</f>
        <v>Un jeune homme adulte frappe et donne un coup de pied en suspension.</v>
      </c>
    </row>
    <row r="24043">
      <c r="A24043" s="4" t="s">
        <v>30254</v>
      </c>
      <c r="B24043" s="4" t="s">
        <v>30256</v>
      </c>
      <c r="C24043" s="5" t="str">
        <f>IFERROR(__xludf.DUMMYFUNCTION("GOOGLETRANSLATE(B24043,""en"",""fr"")"),"Le jeune mâle commence alors à se déplacer dans le sac de punch tout en le frappant et en le donnant des coups de pied.")</f>
        <v>Le jeune mâle commence alors à se déplacer dans le sac de punch tout en le frappant et en le donnant des coups de pied.</v>
      </c>
    </row>
    <row r="24044">
      <c r="A24044" s="4" t="s">
        <v>30254</v>
      </c>
      <c r="B24044" s="4" t="s">
        <v>30257</v>
      </c>
      <c r="C24044" s="5" t="str">
        <f>IFERROR(__xludf.DUMMYFUNCTION("GOOGLETRANSLATE(B24044,""en"",""fr"")"),"Le jeune homme s'éloigne alors tout en retirant ses gants.")</f>
        <v>Le jeune homme s'éloigne alors tout en retirant ses gants.</v>
      </c>
    </row>
    <row r="24045">
      <c r="A24045" s="4" t="s">
        <v>30258</v>
      </c>
      <c r="B24045" s="4" t="s">
        <v>30259</v>
      </c>
      <c r="C24045" s="5" t="str">
        <f>IFERROR(__xludf.DUMMYFUNCTION("GOOGLETRANSLATE(B24045,""en"",""fr"")"),"Un homme qui parle à la caméra tout en tenant une affiche.")</f>
        <v>Un homme qui parle à la caméra tout en tenant une affiche.</v>
      </c>
    </row>
    <row r="24046">
      <c r="A24046" s="4" t="s">
        <v>30258</v>
      </c>
      <c r="B24046" s="4" t="s">
        <v>30260</v>
      </c>
      <c r="C24046" s="5" t="str">
        <f>IFERROR(__xludf.DUMMYFUNCTION("GOOGLETRANSLATE(B24046,""en"",""fr"")"),"Il attrape divers objets de la table et explique ses instructions.")</f>
        <v>Il attrape divers objets de la table et explique ses instructions.</v>
      </c>
    </row>
    <row r="24047">
      <c r="A24047" s="4" t="s">
        <v>30258</v>
      </c>
      <c r="B24047" s="4" t="s">
        <v>30261</v>
      </c>
      <c r="C24047" s="5" t="str">
        <f>IFERROR(__xludf.DUMMYFUNCTION("GOOGLETRANSLATE(B24047,""en"",""fr"")"),"Il enroule une boîte avec du papier d'aluminium puis écrit sur la boîte avec un marqueur.")</f>
        <v>Il enroule une boîte avec du papier d'aluminium puis écrit sur la boîte avec un marqueur.</v>
      </c>
    </row>
    <row r="24048">
      <c r="A24048" s="4" t="s">
        <v>30258</v>
      </c>
      <c r="B24048" s="4" t="s">
        <v>30262</v>
      </c>
      <c r="C24048" s="5" t="str">
        <f>IFERROR(__xludf.DUMMYFUNCTION("GOOGLETRANSLATE(B24048,""en"",""fr"")"),"Il expose plus de papier d'aluminium et enveloppe un autre objet avec.")</f>
        <v>Il expose plus de papier d'aluminium et enveloppe un autre objet avec.</v>
      </c>
    </row>
    <row r="24049">
      <c r="A24049" s="4" t="s">
        <v>30258</v>
      </c>
      <c r="B24049" s="4" t="s">
        <v>30263</v>
      </c>
      <c r="C24049" s="5" t="str">
        <f>IFERROR(__xludf.DUMMYFUNCTION("GOOGLETRANSLATE(B24049,""en"",""fr"")"),"Il finit enveloppant tous les objets avec du papier d'aluminium et montrant comment.")</f>
        <v>Il finit enveloppant tous les objets avec du papier d'aluminium et montrant comment.</v>
      </c>
    </row>
    <row r="24050">
      <c r="A24050" s="4" t="s">
        <v>30264</v>
      </c>
      <c r="B24050" s="4" t="s">
        <v>30265</v>
      </c>
      <c r="C24050" s="5" t="str">
        <f>IFERROR(__xludf.DUMMYFUNCTION("GOOGLETRANSLATE(B24050,""en"",""fr"")"),"Un homme est assis sur un banc d'entraînement.")</f>
        <v>Un homme est assis sur un banc d'entraînement.</v>
      </c>
    </row>
    <row r="24051">
      <c r="A24051" s="4" t="s">
        <v>30264</v>
      </c>
      <c r="B24051" s="4" t="s">
        <v>30266</v>
      </c>
      <c r="C24051" s="5" t="str">
        <f>IFERROR(__xludf.DUMMYFUNCTION("GOOGLETRANSLATE(B24051,""en"",""fr"")"),"Il se repose et commence à faire des craquements.")</f>
        <v>Il se repose et commence à faire des craquements.</v>
      </c>
    </row>
    <row r="24052">
      <c r="A24052" s="4" t="s">
        <v>30264</v>
      </c>
      <c r="B24052" s="4" t="s">
        <v>30267</v>
      </c>
      <c r="C24052" s="5" t="str">
        <f>IFERROR(__xludf.DUMMYFUNCTION("GOOGLETRANSLATE(B24052,""en"",""fr"")"),"Il s'assoit sur la machine et continue de parler.")</f>
        <v>Il s'assoit sur la machine et continue de parler.</v>
      </c>
    </row>
    <row r="24053">
      <c r="A24053" s="4" t="s">
        <v>30268</v>
      </c>
      <c r="B24053" s="4" t="s">
        <v>3486</v>
      </c>
      <c r="C24053" s="5" t="str">
        <f>IFERROR(__xludf.DUMMYFUNCTION("GOOGLETRANSLATE(B24053,""en"",""fr"")"),"Un gymnaste monte un faisceau de piste dans une salle de sport.")</f>
        <v>Un gymnaste monte un faisceau de piste dans une salle de sport.</v>
      </c>
    </row>
    <row r="24054">
      <c r="A24054" s="4" t="s">
        <v>30268</v>
      </c>
      <c r="B24054" s="4" t="s">
        <v>30269</v>
      </c>
      <c r="C24054" s="5" t="str">
        <f>IFERROR(__xludf.DUMMYFUNCTION("GOOGLETRANSLATE(B24054,""en"",""fr"")"),"Elle se tient sur le faisceau, puis fait plusieurs ressorts à main et flips.")</f>
        <v>Elle se tient sur le faisceau, puis fait plusieurs ressorts à main et flips.</v>
      </c>
    </row>
    <row r="24055">
      <c r="A24055" s="4" t="s">
        <v>30268</v>
      </c>
      <c r="B24055" s="4" t="s">
        <v>8353</v>
      </c>
      <c r="C24055" s="5" t="str">
        <f>IFERROR(__xludf.DUMMYFUNCTION("GOOGLETRANSLATE(B24055,""en"",""fr"")"),"Elle démonte, levant les bras en l'air.")</f>
        <v>Elle démonte, levant les bras en l'air.</v>
      </c>
    </row>
    <row r="24056">
      <c r="A24056" s="4" t="s">
        <v>30270</v>
      </c>
      <c r="B24056" s="4" t="s">
        <v>30271</v>
      </c>
      <c r="C24056" s="5" t="str">
        <f>IFERROR(__xludf.DUMMYFUNCTION("GOOGLETRANSLATE(B24056,""en"",""fr"")"),"Une grande vague se casse dans l'océan alors que les surfeurs et les surfeurs pagayent dessus.")</f>
        <v>Une grande vague se casse dans l'océan alors que les surfeurs et les surfeurs pagayent dessus.</v>
      </c>
    </row>
    <row r="24057">
      <c r="A24057" s="4" t="s">
        <v>30270</v>
      </c>
      <c r="B24057" s="4" t="s">
        <v>30272</v>
      </c>
      <c r="C24057" s="5" t="str">
        <f>IFERROR(__xludf.DUMMYFUNCTION("GOOGLETRANSLATE(B24057,""en"",""fr"")"),"Une grande vague s'écrase dans l'océan et un homme monte sur le visage sur la planche du corps.")</f>
        <v>Une grande vague s'écrase dans l'océan et un homme monte sur le visage sur la planche du corps.</v>
      </c>
    </row>
    <row r="24058">
      <c r="A24058" s="4" t="s">
        <v>30270</v>
      </c>
      <c r="B24058" s="4" t="s">
        <v>30273</v>
      </c>
      <c r="C24058" s="5" t="str">
        <f>IFERROR(__xludf.DUMMYFUNCTION("GOOGLETRANSLATE(B24058,""en"",""fr"")"),"Les surfeurs roulent dans l'océan.")</f>
        <v>Les surfeurs roulent dans l'océan.</v>
      </c>
    </row>
    <row r="24059">
      <c r="A24059" s="4" t="s">
        <v>30270</v>
      </c>
      <c r="B24059" s="4" t="s">
        <v>30274</v>
      </c>
      <c r="C24059" s="5" t="str">
        <f>IFERROR(__xludf.DUMMYFUNCTION("GOOGLETRANSLATE(B24059,""en"",""fr"")"),"Une grande vague se casse sur le rivage et les spectateurs courent.")</f>
        <v>Une grande vague se casse sur le rivage et les spectateurs courent.</v>
      </c>
    </row>
    <row r="24060">
      <c r="A24060" s="4" t="s">
        <v>30275</v>
      </c>
      <c r="B24060" s="4" t="s">
        <v>30276</v>
      </c>
      <c r="C24060" s="5" t="str">
        <f>IFERROR(__xludf.DUMMYFUNCTION("GOOGLETRANSLATE(B24060,""en"",""fr"")"),"Plusieurs personnes sont divisées en groupes sur les radeaux kayak dans l'eau trouble.")</f>
        <v>Plusieurs personnes sont divisées en groupes sur les radeaux kayak dans l'eau trouble.</v>
      </c>
    </row>
    <row r="24061">
      <c r="A24061" s="4" t="s">
        <v>30275</v>
      </c>
      <c r="B24061" s="6" t="s">
        <v>30277</v>
      </c>
      <c r="C24061" s="5" t="str">
        <f>IFERROR(__xludf.DUMMYFUNCTION("GOOGLETRANSLATE(B24061,""en"",""fr"")"),"Le premier groupe de huit personnes se paquet près d'une falaise et descend la colline et les autres traînent derrière eux avec les mêmes actions.")</f>
        <v>Le premier groupe de huit personnes se paquet près d'une falaise et descend la colline et les autres traînent derrière eux avec les mêmes actions.</v>
      </c>
    </row>
    <row r="24062">
      <c r="A24062" s="4" t="s">
        <v>30275</v>
      </c>
      <c r="B24062" s="4" t="s">
        <v>30278</v>
      </c>
      <c r="C24062" s="5" t="str">
        <f>IFERROR(__xludf.DUMMYFUNCTION("GOOGLETRANSLATE(B24062,""en"",""fr"")"),"Pour le cinquième groupe, une vue aérienne est fournie et les autres moyens pour eux à venir.")</f>
        <v>Pour le cinquième groupe, une vue aérienne est fournie et les autres moyens pour eux à venir.</v>
      </c>
    </row>
    <row r="24063">
      <c r="A24063" s="4" t="s">
        <v>30275</v>
      </c>
      <c r="B24063" s="6" t="s">
        <v>30279</v>
      </c>
      <c r="C24063" s="5" t="str">
        <f>IFERROR(__xludf.DUMMYFUNCTION("GOOGLETRANSLATE(B24063,""en"",""fr"")"),"Après, chaque groupe fait la même chose que de manœuvrer dans diverses parties de l'eau et de faire des rochers.")</f>
        <v>Après, chaque groupe fait la même chose que de manœuvrer dans diverses parties de l'eau et de faire des rochers.</v>
      </c>
    </row>
    <row r="24064">
      <c r="A24064" s="4" t="s">
        <v>30280</v>
      </c>
      <c r="B24064" s="4" t="s">
        <v>30281</v>
      </c>
      <c r="C24064" s="5" t="str">
        <f>IFERROR(__xludf.DUMMYFUNCTION("GOOGLETRANSLATE(B24064,""en"",""fr"")"),"Une femme portant une veste imprimée léopard est assise avec un homme dans un bar à narguilé.")</f>
        <v>Une femme portant une veste imprimée léopard est assise avec un homme dans un bar à narguilé.</v>
      </c>
    </row>
    <row r="24065">
      <c r="A24065" s="4" t="s">
        <v>30280</v>
      </c>
      <c r="B24065" s="4" t="s">
        <v>30282</v>
      </c>
      <c r="C24065" s="5" t="str">
        <f>IFERROR(__xludf.DUMMYFUNCTION("GOOGLETRANSLATE(B24065,""en"",""fr"")"),"L'homme l'embrasse alors qu'il se penche en avant.")</f>
        <v>L'homme l'embrasse alors qu'il se penche en avant.</v>
      </c>
    </row>
    <row r="24066">
      <c r="A24066" s="4" t="s">
        <v>30280</v>
      </c>
      <c r="B24066" s="4" t="s">
        <v>30283</v>
      </c>
      <c r="C24066" s="5" t="str">
        <f>IFERROR(__xludf.DUMMYFUNCTION("GOOGLETRANSLATE(B24066,""en"",""fr"")"),"Elle tient le narguilé dans sa main prêt à prendre sa première bouffée.")</f>
        <v>Elle tient le narguilé dans sa main prêt à prendre sa première bouffée.</v>
      </c>
    </row>
    <row r="24067">
      <c r="A24067" s="4" t="s">
        <v>30280</v>
      </c>
      <c r="B24067" s="4" t="s">
        <v>30284</v>
      </c>
      <c r="C24067" s="5" t="str">
        <f>IFERROR(__xludf.DUMMYFUNCTION("GOOGLETRANSLATE(B24067,""en"",""fr"")"),"Après avoir inspiré le narguilé, elle gonfle de la fumée et touche de l'inconfort.")</f>
        <v>Après avoir inspiré le narguilé, elle gonfle de la fumée et touche de l'inconfort.</v>
      </c>
    </row>
    <row r="24068">
      <c r="A24068" s="4" t="s">
        <v>30285</v>
      </c>
      <c r="B24068" s="4" t="s">
        <v>30286</v>
      </c>
      <c r="C24068" s="5" t="str">
        <f>IFERROR(__xludf.DUMMYFUNCTION("GOOGLETRANSLATE(B24068,""en"",""fr"")"),"Une femme en robe monte les escaliers.")</f>
        <v>Une femme en robe monte les escaliers.</v>
      </c>
    </row>
    <row r="24069">
      <c r="A24069" s="4" t="s">
        <v>30285</v>
      </c>
      <c r="B24069" s="4" t="s">
        <v>30287</v>
      </c>
      <c r="C24069" s="5" t="str">
        <f>IFERROR(__xludf.DUMMYFUNCTION("GOOGLETRANSLATE(B24069,""en"",""fr"")"),"Elle enlève sa robe et commence à danser.")</f>
        <v>Elle enlève sa robe et commence à danser.</v>
      </c>
    </row>
    <row r="24070">
      <c r="A24070" s="4" t="s">
        <v>30285</v>
      </c>
      <c r="B24070" s="4" t="s">
        <v>30288</v>
      </c>
      <c r="C24070" s="5" t="str">
        <f>IFERROR(__xludf.DUMMYFUNCTION("GOOGLETRANSLATE(B24070,""en"",""fr"")"),"Elle s'entraîne avec d'autres personnes sur un tabouret.")</f>
        <v>Elle s'entraîne avec d'autres personnes sur un tabouret.</v>
      </c>
    </row>
    <row r="24071">
      <c r="A24071" s="4" t="s">
        <v>30289</v>
      </c>
      <c r="B24071" s="4" t="s">
        <v>30290</v>
      </c>
      <c r="C24071" s="5" t="str">
        <f>IFERROR(__xludf.DUMMYFUNCTION("GOOGLETRANSLATE(B24071,""en"",""fr"")"),"Un homme est vu se promener dans un champ avec un chien à côté de lui.")</f>
        <v>Un homme est vu se promener dans un champ avec un chien à côté de lui.</v>
      </c>
    </row>
    <row r="24072">
      <c r="A24072" s="4" t="s">
        <v>30289</v>
      </c>
      <c r="B24072" s="4" t="s">
        <v>30291</v>
      </c>
      <c r="C24072" s="5" t="str">
        <f>IFERROR(__xludf.DUMMYFUNCTION("GOOGLETRANSLATE(B24072,""en"",""fr"")"),"L'homme attrape alors un frisbee et commence à effectuer des tours avec le chien.")</f>
        <v>L'homme attrape alors un frisbee et commence à effectuer des tours avec le chien.</v>
      </c>
    </row>
    <row r="24073">
      <c r="A24073" s="4" t="s">
        <v>30289</v>
      </c>
      <c r="B24073" s="4" t="s">
        <v>30292</v>
      </c>
      <c r="C24073" s="5" t="str">
        <f>IFERROR(__xludf.DUMMYFUNCTION("GOOGLETRANSLATE(B24073,""en"",""fr"")"),"L'homme continue de jeter autour d'un frisbee avec le chien tandis que d'autres regardent sur le côté.")</f>
        <v>L'homme continue de jeter autour d'un frisbee avec le chien tandis que d'autres regardent sur le côté.</v>
      </c>
    </row>
    <row r="24074">
      <c r="A24074" s="4" t="s">
        <v>30293</v>
      </c>
      <c r="B24074" s="4" t="s">
        <v>30294</v>
      </c>
      <c r="C24074" s="5" t="str">
        <f>IFERROR(__xludf.DUMMYFUNCTION("GOOGLETRANSLATE(B24074,""en"",""fr"")"),"Une personne se dirige vers trois personnes qui peignent une clôture noire.")</f>
        <v>Une personne se dirige vers trois personnes qui peignent une clôture noire.</v>
      </c>
    </row>
    <row r="24075">
      <c r="A24075" s="4" t="s">
        <v>30293</v>
      </c>
      <c r="B24075" s="4" t="s">
        <v>30295</v>
      </c>
      <c r="C24075" s="5" t="str">
        <f>IFERROR(__xludf.DUMMYFUNCTION("GOOGLETRANSLATE(B24075,""en"",""fr"")"),"L'homme demande au garçon de voir son travail et de placer la caméra à sa femme.")</f>
        <v>L'homme demande au garçon de voir son travail et de placer la caméra à sa femme.</v>
      </c>
    </row>
    <row r="24076">
      <c r="A24076" s="4" t="s">
        <v>30293</v>
      </c>
      <c r="B24076" s="4" t="s">
        <v>30296</v>
      </c>
      <c r="C24076" s="5" t="str">
        <f>IFERROR(__xludf.DUMMYFUNCTION("GOOGLETRANSLATE(B24076,""en"",""fr"")"),"L'homme fait une blague à sa femme et rit hors caméra.")</f>
        <v>L'homme fait une blague à sa femme et rit hors caméra.</v>
      </c>
    </row>
    <row r="24077">
      <c r="A24077" s="4" t="s">
        <v>30297</v>
      </c>
      <c r="B24077" s="4" t="s">
        <v>30298</v>
      </c>
      <c r="C24077" s="5" t="str">
        <f>IFERROR(__xludf.DUMMYFUNCTION("GOOGLETRANSLATE(B24077,""en"",""fr"")"),"Une femme parle dans une salle de sport, puis elle conduit un vélo statique.")</f>
        <v>Une femme parle dans une salle de sport, puis elle conduit un vélo statique.</v>
      </c>
    </row>
    <row r="24078">
      <c r="A24078" s="4" t="s">
        <v>30297</v>
      </c>
      <c r="B24078" s="4" t="s">
        <v>30299</v>
      </c>
      <c r="C24078" s="5" t="str">
        <f>IFERROR(__xludf.DUMMYFUNCTION("GOOGLETRANSLATE(B24078,""en"",""fr"")"),"Ensuite, la femme et d'autres personnes soulèvent du poids.")</f>
        <v>Ensuite, la femme et d'autres personnes soulèvent du poids.</v>
      </c>
    </row>
    <row r="24079">
      <c r="A24079" s="4" t="s">
        <v>30297</v>
      </c>
      <c r="B24079" s="4" t="s">
        <v>30300</v>
      </c>
      <c r="C24079" s="5" t="str">
        <f>IFERROR(__xludf.DUMMYFUNCTION("GOOGLETRANSLATE(B24079,""en"",""fr"")"),"Ensuite, la femme continue de faire du vélo, puis de soulever.")</f>
        <v>Ensuite, la femme continue de faire du vélo, puis de soulever.</v>
      </c>
    </row>
    <row r="24080">
      <c r="A24080" s="4" t="s">
        <v>30301</v>
      </c>
      <c r="B24080" s="6" t="s">
        <v>30302</v>
      </c>
      <c r="C24080" s="5" t="str">
        <f>IFERROR(__xludf.DUMMYFUNCTION("GOOGLETRANSLATE(B24080,""en"",""fr"")"),"À l'extérieur dans l'arrière-cour, deux petits garçons dans des maillots de bain assortis jouent avec des filets essayant de prendre une balle.")</f>
        <v>À l'extérieur dans l'arrière-cour, deux petits garçons dans des maillots de bain assortis jouent avec des filets essayant de prendre une balle.</v>
      </c>
    </row>
    <row r="24081">
      <c r="A24081" s="4" t="s">
        <v>30301</v>
      </c>
      <c r="B24081" s="6" t="s">
        <v>30303</v>
      </c>
      <c r="C24081" s="5" t="str">
        <f>IFERROR(__xludf.DUMMYFUNCTION("GOOGLETRANSLATE(B24081,""en"",""fr"")"),"Ils essaient tous les deux d'obtenir le ballon dans leur propre filet se disputent essentiellement qui va l'obtenir.")</f>
        <v>Ils essaient tous les deux d'obtenir le ballon dans leur propre filet se disputent essentiellement qui va l'obtenir.</v>
      </c>
    </row>
    <row r="24082">
      <c r="A24082" s="4" t="s">
        <v>30301</v>
      </c>
      <c r="B24082" s="4" t="s">
        <v>30304</v>
      </c>
      <c r="C24082" s="5" t="str">
        <f>IFERROR(__xludf.DUMMYFUNCTION("GOOGLETRANSLATE(B24082,""en"",""fr"")"),"Le père vient et lance le ballon et les garçons courent après.")</f>
        <v>Le père vient et lance le ballon et les garçons courent après.</v>
      </c>
    </row>
    <row r="24083">
      <c r="A24083" s="4" t="s">
        <v>30301</v>
      </c>
      <c r="B24083" s="6" t="s">
        <v>30305</v>
      </c>
      <c r="C24083" s="5" t="str">
        <f>IFERROR(__xludf.DUMMYFUNCTION("GOOGLETRANSLATE(B24083,""en"",""fr"")"),"Ils continuent de jouer et l'un des petits garçons l'obtient dans son filet et le parcourt et quand il atterrit, ils le poursuivent tous les deux.")</f>
        <v>Ils continuent de jouer et l'un des petits garçons l'obtient dans son filet et le parcourt et quand il atterrit, ils le poursuivent tous les deux.</v>
      </c>
    </row>
    <row r="24084">
      <c r="A24084" s="4" t="s">
        <v>30306</v>
      </c>
      <c r="B24084" s="4" t="s">
        <v>30307</v>
      </c>
      <c r="C24084" s="5" t="str">
        <f>IFERROR(__xludf.DUMMYFUNCTION("GOOGLETRANSLATE(B24084,""en"",""fr"")"),"Plusieurs joueurs de hockey quittent un groupe, patinant sur la glace.")</f>
        <v>Plusieurs joueurs de hockey quittent un groupe, patinant sur la glace.</v>
      </c>
    </row>
    <row r="24085">
      <c r="A24085" s="4" t="s">
        <v>30306</v>
      </c>
      <c r="B24085" s="4" t="s">
        <v>30308</v>
      </c>
      <c r="C24085" s="5" t="str">
        <f>IFERROR(__xludf.DUMMYFUNCTION("GOOGLETRANSLATE(B24085,""en"",""fr"")"),"Ils commencent à jouer, tirant sur la rondelle d'avant en arrière, essayant de le faire entrer dans le but de l'ennemi.")</f>
        <v>Ils commencent à jouer, tirant sur la rondelle d'avant en arrière, essayant de le faire entrer dans le but de l'ennemi.</v>
      </c>
    </row>
    <row r="24086">
      <c r="A24086" s="4" t="s">
        <v>30306</v>
      </c>
      <c r="B24086" s="4" t="s">
        <v>30309</v>
      </c>
      <c r="C24086" s="5" t="str">
        <f>IFERROR(__xludf.DUMMYFUNCTION("GOOGLETRANSLATE(B24086,""en"",""fr"")"),"Un gardien de but est seul à son objectif.")</f>
        <v>Un gardien de but est seul à son objectif.</v>
      </c>
    </row>
    <row r="24087">
      <c r="A24087" s="4" t="s">
        <v>30306</v>
      </c>
      <c r="B24087" s="4" t="s">
        <v>30310</v>
      </c>
      <c r="C24087" s="5" t="str">
        <f>IFERROR(__xludf.DUMMYFUNCTION("GOOGLETRANSLATE(B24087,""en"",""fr"")"),"Tout le monde se rassemble à nouveau lorsque l'arbitre les signale pour jouer.")</f>
        <v>Tout le monde se rassemble à nouveau lorsque l'arbitre les signale pour jouer.</v>
      </c>
    </row>
    <row r="24088">
      <c r="A24088" s="4" t="s">
        <v>30311</v>
      </c>
      <c r="B24088" s="4" t="s">
        <v>30312</v>
      </c>
      <c r="C24088" s="5" t="str">
        <f>IFERROR(__xludf.DUMMYFUNCTION("GOOGLETRANSLATE(B24088,""en"",""fr"")"),"Une personne est vue debout devant un évier portant des gants.")</f>
        <v>Une personne est vue debout devant un évier portant des gants.</v>
      </c>
    </row>
    <row r="24089">
      <c r="A24089" s="4" t="s">
        <v>30311</v>
      </c>
      <c r="B24089" s="4" t="s">
        <v>30313</v>
      </c>
      <c r="C24089" s="5" t="str">
        <f>IFERROR(__xludf.DUMMYFUNCTION("GOOGLETRANSLATE(B24089,""en"",""fr"")"),"La femme regarde la caméra et sourit tout en tenant une brosse à dents.")</f>
        <v>La femme regarde la caméra et sourit tout en tenant une brosse à dents.</v>
      </c>
    </row>
    <row r="24090">
      <c r="A24090" s="4" t="s">
        <v>30311</v>
      </c>
      <c r="B24090" s="4" t="s">
        <v>30314</v>
      </c>
      <c r="C24090" s="5" t="str">
        <f>IFERROR(__xludf.DUMMYFUNCTION("GOOGLETRANSLATE(B24090,""en"",""fr"")"),"Elle se retourne ensuite vers l'évier plein de plats sales.")</f>
        <v>Elle se retourne ensuite vers l'évier plein de plats sales.</v>
      </c>
    </row>
    <row r="24091">
      <c r="A24091" s="4" t="s">
        <v>30315</v>
      </c>
      <c r="B24091" s="4" t="s">
        <v>30316</v>
      </c>
      <c r="C24091" s="5" t="str">
        <f>IFERROR(__xludf.DUMMYFUNCTION("GOOGLETRANSLATE(B24091,""en"",""fr"")"),"Une personne ouvre une boîte ronde et enlève une bouteille de vernis à ongles et met le support.")</f>
        <v>Une personne ouvre une boîte ronde et enlève une bouteille de vernis à ongles et met le support.</v>
      </c>
    </row>
    <row r="24092">
      <c r="A24092" s="4" t="s">
        <v>30315</v>
      </c>
      <c r="B24092" s="4" t="s">
        <v>30317</v>
      </c>
      <c r="C24092" s="5" t="str">
        <f>IFERROR(__xludf.DUMMYFUNCTION("GOOGLETRANSLATE(B24092,""en"",""fr"")"),"Ensuite, la personne met un clou sur un support rond sur la boîte, puis peint ses ongles.")</f>
        <v>Ensuite, la personne met un clou sur un support rond sur la boîte, puis peint ses ongles.</v>
      </c>
    </row>
    <row r="24093">
      <c r="A24093" s="4" t="s">
        <v>30315</v>
      </c>
      <c r="B24093" s="4" t="s">
        <v>30318</v>
      </c>
      <c r="C24093" s="5" t="str">
        <f>IFERROR(__xludf.DUMMYFUNCTION("GOOGLETRANSLATE(B24093,""en"",""fr"")"),"Après, la femme ferme la bouteille de vernis à ongles.")</f>
        <v>Après, la femme ferme la bouteille de vernis à ongles.</v>
      </c>
    </row>
    <row r="24094">
      <c r="A24094" s="4" t="s">
        <v>30319</v>
      </c>
      <c r="B24094" s="4" t="s">
        <v>30320</v>
      </c>
      <c r="C24094" s="5" t="str">
        <f>IFERROR(__xludf.DUMMYFUNCTION("GOOGLETRANSLATE(B24094,""en"",""fr"")"),"Un homme et une femme se préparent à jouer des fléchettes.")</f>
        <v>Un homme et une femme se préparent à jouer des fléchettes.</v>
      </c>
    </row>
    <row r="24095">
      <c r="A24095" s="4" t="s">
        <v>30319</v>
      </c>
      <c r="B24095" s="4" t="s">
        <v>30321</v>
      </c>
      <c r="C24095" s="5" t="str">
        <f>IFERROR(__xludf.DUMMYFUNCTION("GOOGLETRANSLATE(B24095,""en"",""fr"")"),"Les instructions sur les documents nécessaires pour jouer aux fléchettes sont affichées.")</f>
        <v>Les instructions sur les documents nécessaires pour jouer aux fléchettes sont affichées.</v>
      </c>
    </row>
    <row r="24096">
      <c r="A24096" s="4" t="s">
        <v>30319</v>
      </c>
      <c r="B24096" s="4" t="s">
        <v>30322</v>
      </c>
      <c r="C24096" s="5" t="str">
        <f>IFERROR(__xludf.DUMMYFUNCTION("GOOGLETRANSLATE(B24096,""en"",""fr"")"),"L'homme et la femme se rendent à la planche DART.")</f>
        <v>L'homme et la femme se rendent à la planche DART.</v>
      </c>
    </row>
    <row r="24097">
      <c r="A24097" s="4" t="s">
        <v>30319</v>
      </c>
      <c r="B24097" s="4" t="s">
        <v>30323</v>
      </c>
      <c r="C24097" s="5" t="str">
        <f>IFERROR(__xludf.DUMMYFUNCTION("GOOGLETRANSLATE(B24097,""en"",""fr"")"),"Ils plaisantent pour se préparer à jouer des fléchettes.")</f>
        <v>Ils plaisantent pour se préparer à jouer des fléchettes.</v>
      </c>
    </row>
    <row r="24098">
      <c r="A24098" s="4" t="s">
        <v>30319</v>
      </c>
      <c r="B24098" s="4" t="s">
        <v>30324</v>
      </c>
      <c r="C24098" s="5" t="str">
        <f>IFERROR(__xludf.DUMMYFUNCTION("GOOGLETRANSLATE(B24098,""en"",""fr"")"),"L'homme lance une fléchette.")</f>
        <v>L'homme lance une fléchette.</v>
      </c>
    </row>
    <row r="24099">
      <c r="A24099" s="4" t="s">
        <v>30319</v>
      </c>
      <c r="B24099" s="4" t="s">
        <v>30325</v>
      </c>
      <c r="C24099" s="5" t="str">
        <f>IFERROR(__xludf.DUMMYFUNCTION("GOOGLETRANSLATE(B24099,""en"",""fr"")"),"La femme le suit.")</f>
        <v>La femme le suit.</v>
      </c>
    </row>
    <row r="24100">
      <c r="A24100" s="4" t="s">
        <v>30319</v>
      </c>
      <c r="B24100" s="4" t="s">
        <v>30326</v>
      </c>
      <c r="C24100" s="5" t="str">
        <f>IFERROR(__xludf.DUMMYFUNCTION("GOOGLETRANSLATE(B24100,""en"",""fr"")"),"La femme lance trois autres fléchettes.")</f>
        <v>La femme lance trois autres fléchettes.</v>
      </c>
    </row>
    <row r="24101">
      <c r="A24101" s="4" t="s">
        <v>30319</v>
      </c>
      <c r="B24101" s="4" t="s">
        <v>30327</v>
      </c>
      <c r="C24101" s="5" t="str">
        <f>IFERROR(__xludf.DUMMYFUNCTION("GOOGLETRANSLATE(B24101,""en"",""fr"")"),"L'homme montre sa fléchette et montre comment marcher.")</f>
        <v>L'homme montre sa fléchette et montre comment marcher.</v>
      </c>
    </row>
    <row r="24102">
      <c r="A24102" s="4" t="s">
        <v>30319</v>
      </c>
      <c r="B24102" s="4" t="s">
        <v>30328</v>
      </c>
      <c r="C24102" s="5" t="str">
        <f>IFERROR(__xludf.DUMMYFUNCTION("GOOGLETRANSLATE(B24102,""en"",""fr"")"),"Il lance la fléchette de loin.")</f>
        <v>Il lance la fléchette de loin.</v>
      </c>
    </row>
    <row r="24103">
      <c r="A24103" s="4" t="s">
        <v>30319</v>
      </c>
      <c r="B24103" s="4" t="s">
        <v>30329</v>
      </c>
      <c r="C24103" s="5" t="str">
        <f>IFERROR(__xludf.DUMMYFUNCTION("GOOGLETRANSLATE(B24103,""en"",""fr"")"),"La position des fléchettes sur les sangliers est montrée.")</f>
        <v>La position des fléchettes sur les sangliers est montrée.</v>
      </c>
    </row>
    <row r="24104">
      <c r="A24104" s="4" t="s">
        <v>30319</v>
      </c>
      <c r="B24104" s="4" t="s">
        <v>30330</v>
      </c>
      <c r="C24104" s="5" t="str">
        <f>IFERROR(__xludf.DUMMYFUNCTION("GOOGLETRANSLATE(B24104,""en"",""fr"")"),"L'homme attrape les fléchettes du conseil d'administration.")</f>
        <v>L'homme attrape les fléchettes du conseil d'administration.</v>
      </c>
    </row>
    <row r="24105">
      <c r="A24105" s="4" t="s">
        <v>30319</v>
      </c>
      <c r="B24105" s="4" t="s">
        <v>30331</v>
      </c>
      <c r="C24105" s="5" t="str">
        <f>IFERROR(__xludf.DUMMYFUNCTION("GOOGLETRANSLATE(B24105,""en"",""fr"")"),"La femme lance quelques fléchettes.")</f>
        <v>La femme lance quelques fléchettes.</v>
      </c>
    </row>
    <row r="24106">
      <c r="A24106" s="4" t="s">
        <v>30319</v>
      </c>
      <c r="B24106" s="4" t="s">
        <v>30332</v>
      </c>
      <c r="C24106" s="5" t="str">
        <f>IFERROR(__xludf.DUMMYFUNCTION("GOOGLETRANSLATE(B24106,""en"",""fr"")"),"L'homme suit la femme.")</f>
        <v>L'homme suit la femme.</v>
      </c>
    </row>
    <row r="24107">
      <c r="A24107" s="4" t="s">
        <v>30319</v>
      </c>
      <c r="B24107" s="4" t="s">
        <v>30333</v>
      </c>
      <c r="C24107" s="5" t="str">
        <f>IFERROR(__xludf.DUMMYFUNCTION("GOOGLETRANSLATE(B24107,""en"",""fr"")"),"La femme recommence.")</f>
        <v>La femme recommence.</v>
      </c>
    </row>
    <row r="24108">
      <c r="A24108" s="4" t="s">
        <v>30319</v>
      </c>
      <c r="B24108" s="4" t="s">
        <v>30334</v>
      </c>
      <c r="C24108" s="5" t="str">
        <f>IFERROR(__xludf.DUMMYFUNCTION("GOOGLETRANSLATE(B24108,""en"",""fr"")"),"L'homme revient pour faire de même.")</f>
        <v>L'homme revient pour faire de même.</v>
      </c>
    </row>
    <row r="24109">
      <c r="A24109" s="4" t="s">
        <v>30319</v>
      </c>
      <c r="B24109" s="4" t="s">
        <v>30335</v>
      </c>
      <c r="C24109" s="5" t="str">
        <f>IFERROR(__xludf.DUMMYFUNCTION("GOOGLETRANSLATE(B24109,""en"",""fr"")"),"La femme les jette à nouveau.")</f>
        <v>La femme les jette à nouveau.</v>
      </c>
    </row>
    <row r="24110">
      <c r="A24110" s="4" t="s">
        <v>30319</v>
      </c>
      <c r="B24110" s="4" t="s">
        <v>30336</v>
      </c>
      <c r="C24110" s="5" t="str">
        <f>IFERROR(__xludf.DUMMYFUNCTION("GOOGLETRANSLATE(B24110,""en"",""fr"")"),"L'homme le poursuit à nouveau.")</f>
        <v>L'homme le poursuit à nouveau.</v>
      </c>
    </row>
    <row r="24111">
      <c r="A24111" s="4" t="s">
        <v>30319</v>
      </c>
      <c r="B24111" s="4" t="s">
        <v>30337</v>
      </c>
      <c r="C24111" s="5" t="str">
        <f>IFERROR(__xludf.DUMMYFUNCTION("GOOGLETRANSLATE(B24111,""en"",""fr"")"),"La femme reprend une fois de plus et gagne triomphalement.")</f>
        <v>La femme reprend une fois de plus et gagne triomphalement.</v>
      </c>
    </row>
    <row r="24112">
      <c r="A24112" s="4" t="s">
        <v>30338</v>
      </c>
      <c r="B24112" s="4" t="s">
        <v>30339</v>
      </c>
      <c r="C24112" s="5" t="str">
        <f>IFERROR(__xludf.DUMMYFUNCTION("GOOGLETRANSLATE(B24112,""en"",""fr"")"),"Une femme est vue en organisant un segment d'actualités et cela mène à des gens qui roulent sur des chevaux.")</f>
        <v>Une femme est vue en organisant un segment d'actualités et cela mène à des gens qui roulent sur des chevaux.</v>
      </c>
    </row>
    <row r="24113">
      <c r="A24113" s="4" t="s">
        <v>30338</v>
      </c>
      <c r="B24113" s="6" t="s">
        <v>30340</v>
      </c>
      <c r="C24113" s="5" t="str">
        <f>IFERROR(__xludf.DUMMYFUNCTION("GOOGLETRANSLATE(B24113,""en"",""fr"")"),"On voit des gens se promener dans une zone avec des chiens qui piétinent les pieds ainsi qu'un autre homme parlant à la caméra.")</f>
        <v>On voit des gens se promener dans une zone avec des chiens qui piétinent les pieds ainsi qu'un autre homme parlant à la caméra.</v>
      </c>
    </row>
    <row r="24114">
      <c r="A24114" s="4" t="s">
        <v>30338</v>
      </c>
      <c r="B24114" s="6" t="s">
        <v>30341</v>
      </c>
      <c r="C24114" s="5" t="str">
        <f>IFERROR(__xludf.DUMMYFUNCTION("GOOGLETRANSLATE(B24114,""en"",""fr"")"),"D'autres tirs sont montrés des gens qui jouent au jeu sur un cheval ainsi que d'autres parlant à la caméra et obtenant un trophée.")</f>
        <v>D'autres tirs sont montrés des gens qui jouent au jeu sur un cheval ainsi que d'autres parlant à la caméra et obtenant un trophée.</v>
      </c>
    </row>
    <row r="24115">
      <c r="A24115" s="4" t="s">
        <v>30342</v>
      </c>
      <c r="B24115" s="4" t="s">
        <v>30343</v>
      </c>
      <c r="C24115" s="5" t="str">
        <f>IFERROR(__xludf.DUMMYFUNCTION("GOOGLETRANSLATE(B24115,""en"",""fr"")"),"Un homme se tient devant un podium à parler.")</f>
        <v>Un homme se tient devant un podium à parler.</v>
      </c>
    </row>
    <row r="24116">
      <c r="A24116" s="4" t="s">
        <v>30342</v>
      </c>
      <c r="B24116" s="4" t="s">
        <v>30344</v>
      </c>
      <c r="C24116" s="5" t="str">
        <f>IFERROR(__xludf.DUMMYFUNCTION("GOOGLETRANSLATE(B24116,""en"",""fr"")"),"Deux autres hommes se tiennent à côté de lui.")</f>
        <v>Deux autres hommes se tiennent à côté de lui.</v>
      </c>
    </row>
    <row r="24117">
      <c r="A24117" s="4" t="s">
        <v>30342</v>
      </c>
      <c r="B24117" s="4" t="s">
        <v>30345</v>
      </c>
      <c r="C24117" s="5" t="str">
        <f>IFERROR(__xludf.DUMMYFUNCTION("GOOGLETRANSLATE(B24117,""en"",""fr"")"),"L'un des deux hommes creuse dans un foyer où il y a eu un feu puis verse de l'eau dessus.")</f>
        <v>L'un des deux hommes creuse dans un foyer où il y a eu un feu puis verse de l'eau dessus.</v>
      </c>
    </row>
    <row r="24118">
      <c r="A24118" s="4" t="s">
        <v>30342</v>
      </c>
      <c r="B24118" s="4" t="s">
        <v>30346</v>
      </c>
      <c r="C24118" s="5" t="str">
        <f>IFERROR(__xludf.DUMMYFUNCTION("GOOGLETRANSLATE(B24118,""en"",""fr"")"),"Le même homme creuse dans la fosse avec sa main à la recherche de braises brûlantes.")</f>
        <v>Le même homme creuse dans la fosse avec sa main à la recherche de braises brûlantes.</v>
      </c>
    </row>
    <row r="24119">
      <c r="A24119" s="4" t="s">
        <v>30347</v>
      </c>
      <c r="B24119" s="4" t="s">
        <v>30348</v>
      </c>
      <c r="C24119" s="5" t="str">
        <f>IFERROR(__xludf.DUMMYFUNCTION("GOOGLETRANSLATE(B24119,""en"",""fr"")"),"Un plan d'eau est illustré sous les arbres.")</f>
        <v>Un plan d'eau est illustré sous les arbres.</v>
      </c>
    </row>
    <row r="24120">
      <c r="A24120" s="4" t="s">
        <v>30347</v>
      </c>
      <c r="B24120" s="4" t="s">
        <v>30349</v>
      </c>
      <c r="C24120" s="5" t="str">
        <f>IFERROR(__xludf.DUMMYFUNCTION("GOOGLETRANSLATE(B24120,""en"",""fr"")"),"Une personne marche sur une ligne lâche sur l'eau.")</f>
        <v>Une personne marche sur une ligne lâche sur l'eau.</v>
      </c>
    </row>
    <row r="24121">
      <c r="A24121" s="4" t="s">
        <v>30347</v>
      </c>
      <c r="B24121" s="4" t="s">
        <v>30350</v>
      </c>
      <c r="C24121" s="5" t="str">
        <f>IFERROR(__xludf.DUMMYFUNCTION("GOOGLETRANSLATE(B24121,""en"",""fr"")"),"Ils arrivent à la fin de la ligne Slack.")</f>
        <v>Ils arrivent à la fin de la ligne Slack.</v>
      </c>
    </row>
    <row r="24122">
      <c r="A24122" s="4" t="s">
        <v>30351</v>
      </c>
      <c r="B24122" s="6" t="s">
        <v>30352</v>
      </c>
      <c r="C24122" s="5" t="str">
        <f>IFERROR(__xludf.DUMMYFUNCTION("GOOGLETRANSLATE(B24122,""en"",""fr"")"),"Une fille patineuse en t-shirt et short blanc essaie de sauter avec sa planche à roulettes et tombe en arrière en lui frappant la tête.")</f>
        <v>Une fille patineuse en t-shirt et short blanc essaie de sauter avec sa planche à roulettes et tombe en arrière en lui frappant la tête.</v>
      </c>
    </row>
    <row r="24123">
      <c r="A24123" s="4" t="s">
        <v>30351</v>
      </c>
      <c r="B24123" s="6" t="s">
        <v>30353</v>
      </c>
      <c r="C24123" s="5" t="str">
        <f>IFERROR(__xludf.DUMMYFUNCTION("GOOGLETRANSLATE(B24123,""en"",""fr"")"),"Deux autres patineurs se dirigent autour d'une courbe, mais un s’engage directement dans une pile de foin, bien que heureusement, le casque.")</f>
        <v>Deux autres patineurs se dirigent autour d'une courbe, mais un s’engage directement dans une pile de foin, bien que heureusement, le casque.</v>
      </c>
    </row>
    <row r="24124">
      <c r="A24124" s="4" t="s">
        <v>30351</v>
      </c>
      <c r="B24124" s="6" t="s">
        <v>30354</v>
      </c>
      <c r="C24124" s="5" t="str">
        <f>IFERROR(__xludf.DUMMYFUNCTION("GOOGLETRANSLATE(B24124,""en"",""fr"")"),"Un autre patineur à casque essaie un arrêt à la main et s'arrête, mais malheureusement, sa planche à roulettes ne le fait pas.")</f>
        <v>Un autre patineur à casque essaie un arrêt à la main et s'arrête, mais malheureusement, sa planche à roulettes ne le fait pas.</v>
      </c>
    </row>
    <row r="24125">
      <c r="A24125" s="4" t="s">
        <v>30351</v>
      </c>
      <c r="B24125" s="6" t="s">
        <v>30355</v>
      </c>
      <c r="C24125" s="5" t="str">
        <f>IFERROR(__xludf.DUMMYFUNCTION("GOOGLETRANSLATE(B24125,""en"",""fr"")"),"Après quelques accidents de patinage supplémentaires, la dernière performance est par un patineur qui ne ressent pas le besoin d'équipements de sécurité et, tout en se dirigeant directement vers la colline, il se détache de sa planche à roulettes et passe"&amp;" plusieurs minutes à vérifier ses différentes rashs.")</f>
        <v>Après quelques accidents de patinage supplémentaires, la dernière performance est par un patineur qui ne ressent pas le besoin d'équipements de sécurité et, tout en se dirigeant directement vers la colline, il se détache de sa planche à roulettes et passe plusieurs minutes à vérifier ses différentes rashs.</v>
      </c>
    </row>
    <row r="24126">
      <c r="A24126" s="4" t="s">
        <v>30356</v>
      </c>
      <c r="B24126" s="4" t="s">
        <v>30357</v>
      </c>
      <c r="C24126" s="5" t="str">
        <f>IFERROR(__xludf.DUMMYFUNCTION("GOOGLETRANSLATE(B24126,""en"",""fr"")"),"Trois garçons dans une cour basse-arrière couverts en jouant à tour de rôle en jouant à un jeu de cricket sur la pelouse.")</f>
        <v>Trois garçons dans une cour basse-arrière couverts en jouant à tour de rôle en jouant à un jeu de cricket sur la pelouse.</v>
      </c>
    </row>
    <row r="24127">
      <c r="A24127" s="4" t="s">
        <v>30356</v>
      </c>
      <c r="B24127" s="6" t="s">
        <v>30358</v>
      </c>
      <c r="C24127" s="5" t="str">
        <f>IFERROR(__xludf.DUMMYFUNCTION("GOOGLETRANSLATE(B24127,""en"",""fr"")"),"Les garçons se relaient à tour de rôle et frappaient le ballon de cricket, s'entraidant en redistribuant le ballon dans le jeu lorsqu'ils atterrissent sur le terrain.")</f>
        <v>Les garçons se relaient à tour de rôle et frappaient le ballon de cricket, s'entraidant en redistribuant le ballon dans le jeu lorsqu'ils atterrissent sur le terrain.</v>
      </c>
    </row>
    <row r="24128">
      <c r="A24128" s="4" t="s">
        <v>30356</v>
      </c>
      <c r="B24128" s="4" t="s">
        <v>30359</v>
      </c>
      <c r="C24128" s="5" t="str">
        <f>IFERROR(__xludf.DUMMYFUNCTION("GOOGLETRANSLATE(B24128,""en"",""fr"")"),"L'un des garçons met un casque de football et se tient sur les lignes latérales pour attraper le ballon.")</f>
        <v>L'un des garçons met un casque de football et se tient sur les lignes latérales pour attraper le ballon.</v>
      </c>
    </row>
    <row r="24129">
      <c r="A24129" s="4" t="s">
        <v>30360</v>
      </c>
      <c r="B24129" s="4" t="s">
        <v>30361</v>
      </c>
      <c r="C24129" s="5" t="str">
        <f>IFERROR(__xludf.DUMMYFUNCTION("GOOGLETRANSLATE(B24129,""en"",""fr"")"),"Un homme tente de soulever une haltère.")</f>
        <v>Un homme tente de soulever une haltère.</v>
      </c>
    </row>
    <row r="24130">
      <c r="A24130" s="4" t="s">
        <v>30360</v>
      </c>
      <c r="B24130" s="4" t="s">
        <v>30362</v>
      </c>
      <c r="C24130" s="5" t="str">
        <f>IFERROR(__xludf.DUMMYFUNCTION("GOOGLETRANSLATE(B24130,""en"",""fr"")"),"Il se penche aux genoux, le soulevant sur sa poitrine.")</f>
        <v>Il se penche aux genoux, le soulevant sur sa poitrine.</v>
      </c>
    </row>
    <row r="24131">
      <c r="A24131" s="4" t="s">
        <v>30360</v>
      </c>
      <c r="B24131" s="4" t="s">
        <v>30363</v>
      </c>
      <c r="C24131" s="5" t="str">
        <f>IFERROR(__xludf.DUMMYFUNCTION("GOOGLETRANSLATE(B24131,""en"",""fr"")"),"Il se frappe dans la gorge, tombant en arrière.")</f>
        <v>Il se frappe dans la gorge, tombant en arrière.</v>
      </c>
    </row>
    <row r="24132">
      <c r="A24132" s="4" t="s">
        <v>30364</v>
      </c>
      <c r="B24132" s="6" t="s">
        <v>30365</v>
      </c>
      <c r="C24132" s="5" t="str">
        <f>IFERROR(__xludf.DUMMYFUNCTION("GOOGLETRANSLATE(B24132,""en"",""fr"")"),"Un écran d'intro texturé apparaît et un logo d'une chaussure est affiché avec des mots verts qui disent ""Vickermann und stoya"".")</f>
        <v>Un écran d'intro texturé apparaît et un logo d'une chaussure est affiché avec des mots verts qui disent "Vickermann und stoya".</v>
      </c>
    </row>
    <row r="24133">
      <c r="A24133" s="4" t="s">
        <v>30364</v>
      </c>
      <c r="B24133" s="6" t="s">
        <v>30366</v>
      </c>
      <c r="C24133" s="5" t="str">
        <f>IFERROR(__xludf.DUMMYFUNCTION("GOOGLETRANSLATE(B24133,""en"",""fr"")"),"Deux groupes de fournitures sont affichés et incluent des produits du nom de l'entreprise dans l'écran d'intro qui incluent des pinceaux, un tissu, des chaussures de chaussures, des lacets et quelques petits conteneurs en étain.")</f>
        <v>Deux groupes de fournitures sont affichés et incluent des produits du nom de l'entreprise dans l'écran d'intro qui incluent des pinceaux, un tissu, des chaussures de chaussures, des lacets et quelques petits conteneurs en étain.</v>
      </c>
    </row>
    <row r="24134">
      <c r="A24134" s="4" t="s">
        <v>30364</v>
      </c>
      <c r="B24134" s="6" t="s">
        <v>30367</v>
      </c>
      <c r="C24134" s="5" t="str">
        <f>IFERROR(__xludf.DUMMYFUNCTION("GOOGLETRANSLATE(B24134,""en"",""fr"")"),"Un homme portant un tablier vert implique des lacets d'une chaussure haute brun, puis la brosse avec une grande brosse, puis il prend une brosse plus petite, la trempe dans un petit récipient, puis la brosse sur la chaussure et la chaussure a l'air très p"&amp;"olie sur Toute surface qu'il brosse.")</f>
        <v>Un homme portant un tablier vert implique des lacets d'une chaussure haute brun, puis la brosse avec une grande brosse, puis il prend une brosse plus petite, la trempe dans un petit récipient, puis la brosse sur la chaussure et la chaussure a l'air très polie sur Toute surface qu'il brosse.</v>
      </c>
    </row>
    <row r="24135">
      <c r="A24135" s="4" t="s">
        <v>30364</v>
      </c>
      <c r="B24135" s="4" t="s">
        <v>30368</v>
      </c>
      <c r="C24135" s="5" t="str">
        <f>IFERROR(__xludf.DUMMYFUNCTION("GOOGLETRANSLATE(B24135,""en"",""fr"")"),"L'homme prend ensuite un chiffon blanc et le frotte sur la chaussure.")</f>
        <v>L'homme prend ensuite un chiffon blanc et le frotte sur la chaussure.</v>
      </c>
    </row>
    <row r="24136">
      <c r="A24136" s="4" t="s">
        <v>30364</v>
      </c>
      <c r="B24136" s="4" t="s">
        <v>30369</v>
      </c>
      <c r="C24136" s="5" t="str">
        <f>IFERROR(__xludf.DUMMYFUNCTION("GOOGLETRANSLATE(B24136,""en"",""fr"")"),"L'homme pose le tissu blanc, ramasse une brosse épaisse et brosse la chaussure partout.")</f>
        <v>L'homme pose le tissu blanc, ramasse une brosse épaisse et brosse la chaussure partout.</v>
      </c>
    </row>
    <row r="24137">
      <c r="A24137" s="4" t="s">
        <v>30364</v>
      </c>
      <c r="B24137" s="4" t="s">
        <v>30370</v>
      </c>
      <c r="C24137" s="5" t="str">
        <f>IFERROR(__xludf.DUMMYFUNCTION("GOOGLETRANSLATE(B24137,""en"",""fr"")"),"Puis il met la chaussure et le pinceau vers le bas, ramasse le lacet et lace la chaussure.")</f>
        <v>Puis il met la chaussure et le pinceau vers le bas, ramasse le lacet et lace la chaussure.</v>
      </c>
    </row>
    <row r="24138">
      <c r="A24138" s="4" t="s">
        <v>30364</v>
      </c>
      <c r="B24138" s="6" t="s">
        <v>30371</v>
      </c>
      <c r="C24138" s="5" t="str">
        <f>IFERROR(__xludf.DUMMYFUNCTION("GOOGLETRANSLATE(B24138,""en"",""fr"")"),"L'homme ramasse ensuite la chaussure polie et la chaussure non poli et les met plus près de la caméra pour une comparaison, puis le même écran texturé de l'intro apparaît avec le journal des chaussures et le nom de l'entreprise de ""Vickermann unnd stoya"&amp;""".")</f>
        <v>L'homme ramasse ensuite la chaussure polie et la chaussure non poli et les met plus près de la caméra pour une comparaison, puis le même écran texturé de l'intro apparaît avec le journal des chaussures et le nom de l'entreprise de "Vickermann unnd stoya".</v>
      </c>
    </row>
    <row r="24139">
      <c r="A24139" s="4" t="s">
        <v>30372</v>
      </c>
      <c r="B24139" s="4" t="s">
        <v>30373</v>
      </c>
      <c r="C24139" s="5" t="str">
        <f>IFERROR(__xludf.DUMMYFUNCTION("GOOGLETRANSLATE(B24139,""en"",""fr"")"),"Un homme est vu parler à la caméra et mène à lui en essuyant le dos d'un autre homme.")</f>
        <v>Un homme est vu parler à la caméra et mène à lui en essuyant le dos d'un autre homme.</v>
      </c>
    </row>
    <row r="24140">
      <c r="A24140" s="4" t="s">
        <v>30372</v>
      </c>
      <c r="B24140" s="4" t="s">
        <v>30374</v>
      </c>
      <c r="C24140" s="5" t="str">
        <f>IFERROR(__xludf.DUMMYFUNCTION("GOOGLETRANSLATE(B24140,""en"",""fr"")"),"Il se frotte dans la lotion puis se lève avec l'homme.")</f>
        <v>Il se frotte dans la lotion puis se lève avec l'homme.</v>
      </c>
    </row>
    <row r="24141">
      <c r="A24141" s="4" t="s">
        <v>30372</v>
      </c>
      <c r="B24141" s="4" t="s">
        <v>30375</v>
      </c>
      <c r="C24141" s="5" t="str">
        <f>IFERROR(__xludf.DUMMYFUNCTION("GOOGLETRANSLATE(B24141,""en"",""fr"")"),"L'homme tient un miroir dans son dos et sourit à l'artiste.")</f>
        <v>L'homme tient un miroir dans son dos et sourit à l'artiste.</v>
      </c>
    </row>
    <row r="24142">
      <c r="A24142" s="4" t="s">
        <v>30376</v>
      </c>
      <c r="B24142" s="4" t="s">
        <v>30377</v>
      </c>
      <c r="C24142" s="5" t="str">
        <f>IFERROR(__xludf.DUMMYFUNCTION("GOOGLETRANSLATE(B24142,""en"",""fr"")"),"Il y a des enfants qui utilisent une pompe à eau pour se laver les mains au zoo de Plumpton Park.")</f>
        <v>Il y a des enfants qui utilisent une pompe à eau pour se laver les mains au zoo de Plumpton Park.</v>
      </c>
    </row>
    <row r="24143">
      <c r="A24143" s="4" t="s">
        <v>30376</v>
      </c>
      <c r="B24143" s="6" t="s">
        <v>30378</v>
      </c>
      <c r="C24143" s="5" t="str">
        <f>IFERROR(__xludf.DUMMYFUNCTION("GOOGLETRANSLATE(B24143,""en"",""fr"")"),"Il y a un jeune garçon dans un sweat à capuche noir et blanc aidant à pomper l'eau pour qu'un autre garçon se lève les mains.")</f>
        <v>Il y a un jeune garçon dans un sweat à capuche noir et blanc aidant à pomper l'eau pour qu'un autre garçon se lève les mains.</v>
      </c>
    </row>
    <row r="24144">
      <c r="A24144" s="4" t="s">
        <v>30376</v>
      </c>
      <c r="B24144" s="4" t="s">
        <v>30379</v>
      </c>
      <c r="C24144" s="5" t="str">
        <f>IFERROR(__xludf.DUMMYFUNCTION("GOOGLETRANSLATE(B24144,""en"",""fr"")"),"Puis il continue d'aider un autre jeune garçon portant un sweat à capuche noir pour se laver les mains.")</f>
        <v>Puis il continue d'aider un autre jeune garçon portant un sweat à capuche noir pour se laver les mains.</v>
      </c>
    </row>
    <row r="24145">
      <c r="A24145" s="4" t="s">
        <v>30376</v>
      </c>
      <c r="B24145" s="4" t="s">
        <v>30380</v>
      </c>
      <c r="C24145" s="5" t="str">
        <f>IFERROR(__xludf.DUMMYFUNCTION("GOOGLETRANSLATE(B24145,""en"",""fr"")"),"Les trois enfants s'amusent dans l'eau alors qu'ils se lavent les mains propres.")</f>
        <v>Les trois enfants s'amusent dans l'eau alors qu'ils se lavent les mains propres.</v>
      </c>
    </row>
    <row r="24146">
      <c r="A24146" s="4" t="s">
        <v>30381</v>
      </c>
      <c r="B24146" s="4" t="s">
        <v>30382</v>
      </c>
      <c r="C24146" s="5" t="str">
        <f>IFERROR(__xludf.DUMMYFUNCTION("GOOGLETRANSLATE(B24146,""en"",""fr"")"),"Une dame se tient dans une cour en tenant un souffleur de feuilles avant de passer par-dessus le cordon.")</f>
        <v>Une dame se tient dans une cour en tenant un souffleur de feuilles avant de passer par-dessus le cordon.</v>
      </c>
    </row>
    <row r="24147">
      <c r="A24147" s="4" t="s">
        <v>30381</v>
      </c>
      <c r="B24147" s="4" t="s">
        <v>30383</v>
      </c>
      <c r="C24147" s="5" t="str">
        <f>IFERROR(__xludf.DUMMYFUNCTION("GOOGLETRANSLATE(B24147,""en"",""fr"")"),"La dame souffle les Leafs alors qu'elle se promène dans la cour.")</f>
        <v>La dame souffle les Leafs alors qu'elle se promène dans la cour.</v>
      </c>
    </row>
    <row r="24148">
      <c r="A24148" s="4" t="s">
        <v>30381</v>
      </c>
      <c r="B24148" s="4" t="s">
        <v>30384</v>
      </c>
      <c r="C24148" s="5" t="str">
        <f>IFERROR(__xludf.DUMMYFUNCTION("GOOGLETRANSLATE(B24148,""en"",""fr"")"),"La dame pointe l'outil de la caméra et rient.")</f>
        <v>La dame pointe l'outil de la caméra et rient.</v>
      </c>
    </row>
    <row r="24149">
      <c r="A24149" s="4" t="s">
        <v>30381</v>
      </c>
      <c r="B24149" s="4" t="s">
        <v>30385</v>
      </c>
      <c r="C24149" s="5" t="str">
        <f>IFERROR(__xludf.DUMMYFUNCTION("GOOGLETRANSLATE(B24149,""en"",""fr"")"),"La dame continue de souffler les feuilles.")</f>
        <v>La dame continue de souffler les feuilles.</v>
      </c>
    </row>
    <row r="24150">
      <c r="A24150" s="4" t="s">
        <v>30386</v>
      </c>
      <c r="B24150" s="4" t="s">
        <v>30387</v>
      </c>
      <c r="C24150" s="5" t="str">
        <f>IFERROR(__xludf.DUMMYFUNCTION("GOOGLETRANSLATE(B24150,""en"",""fr"")"),"Une fille entre dans une pièce, voyant des partitions dans un piano.")</f>
        <v>Une fille entre dans une pièce, voyant des partitions dans un piano.</v>
      </c>
    </row>
    <row r="24151">
      <c r="A24151" s="4" t="s">
        <v>30386</v>
      </c>
      <c r="B24151" s="4" t="s">
        <v>30388</v>
      </c>
      <c r="C24151" s="5" t="str">
        <f>IFERROR(__xludf.DUMMYFUNCTION("GOOGLETRANSLATE(B24151,""en"",""fr"")"),"Elle ouvre le piano et commence à jouer.")</f>
        <v>Elle ouvre le piano et commence à jouer.</v>
      </c>
    </row>
    <row r="24152">
      <c r="A24152" s="4" t="s">
        <v>30386</v>
      </c>
      <c r="B24152" s="4" t="s">
        <v>30389</v>
      </c>
      <c r="C24152" s="5" t="str">
        <f>IFERROR(__xludf.DUMMYFUNCTION("GOOGLETRANSLATE(B24152,""en"",""fr"")"),"Elle pense à un couple pendant qu'elle joue.")</f>
        <v>Elle pense à un couple pendant qu'elle joue.</v>
      </c>
    </row>
    <row r="24153">
      <c r="A24153" s="4" t="s">
        <v>30390</v>
      </c>
      <c r="B24153" s="4" t="s">
        <v>30391</v>
      </c>
      <c r="C24153" s="5" t="str">
        <f>IFERROR(__xludf.DUMMYFUNCTION("GOOGLETRANSLATE(B24153,""en"",""fr"")"),"Une femme a peur d'aller dans l'eau et dit qu'elle ne peut pas faire cela.")</f>
        <v>Une femme a peur d'aller dans l'eau et dit qu'elle ne peut pas faire cela.</v>
      </c>
    </row>
    <row r="24154">
      <c r="A24154" s="4" t="s">
        <v>30390</v>
      </c>
      <c r="B24154" s="6" t="s">
        <v>30392</v>
      </c>
      <c r="C24154" s="5" t="str">
        <f>IFERROR(__xludf.DUMMYFUNCTION("GOOGLETRANSLATE(B24154,""en"",""fr"")"),"Un groupe de personnes est assis dans une mare d'eau précaire près du bord d'une cascade.")</f>
        <v>Un groupe de personnes est assis dans une mare d'eau précaire près du bord d'une cascade.</v>
      </c>
    </row>
    <row r="24155">
      <c r="A24155" s="4" t="s">
        <v>30390</v>
      </c>
      <c r="B24155" s="4" t="s">
        <v>30393</v>
      </c>
      <c r="C24155" s="5" t="str">
        <f>IFERROR(__xludf.DUMMYFUNCTION("GOOGLETRANSLATE(B24155,""en"",""fr"")"),"La femme saute dans l'eau et tout le monde applaudit.")</f>
        <v>La femme saute dans l'eau et tout le monde applaudit.</v>
      </c>
    </row>
    <row r="24156">
      <c r="A24156" s="4" t="s">
        <v>30390</v>
      </c>
      <c r="B24156" s="4" t="s">
        <v>30394</v>
      </c>
      <c r="C24156" s="5" t="str">
        <f>IFERROR(__xludf.DUMMYFUNCTION("GOOGLETRANSLATE(B24156,""en"",""fr"")"),"Le groupe de personnes rient et parlent tandis que plus de gens sautent dans l'eau.")</f>
        <v>Le groupe de personnes rient et parlent tandis que plus de gens sautent dans l'eau.</v>
      </c>
    </row>
    <row r="24157">
      <c r="A24157" s="4" t="s">
        <v>30390</v>
      </c>
      <c r="B24157" s="4" t="s">
        <v>30395</v>
      </c>
      <c r="C24157" s="5" t="str">
        <f>IFERROR(__xludf.DUMMYFUNCTION("GOOGLETRANSLATE(B24157,""en"",""fr"")"),"Les scènes de la cascade sont vues.")</f>
        <v>Les scènes de la cascade sont vues.</v>
      </c>
    </row>
    <row r="24158">
      <c r="A24158" s="4" t="s">
        <v>30396</v>
      </c>
      <c r="B24158" s="4" t="s">
        <v>30397</v>
      </c>
      <c r="C24158" s="5" t="str">
        <f>IFERROR(__xludf.DUMMYFUNCTION("GOOGLETRANSLATE(B24158,""en"",""fr"")"),"Un homme se prépare à une routine de gymnastique sur les barres parallèles.")</f>
        <v>Un homme se prépare à une routine de gymnastique sur les barres parallèles.</v>
      </c>
    </row>
    <row r="24159">
      <c r="A24159" s="4" t="s">
        <v>30396</v>
      </c>
      <c r="B24159" s="4" t="s">
        <v>30398</v>
      </c>
      <c r="C24159" s="5" t="str">
        <f>IFERROR(__xludf.DUMMYFUNCTION("GOOGLETRANSLATE(B24159,""en"",""fr"")"),"La foule semble approuver quand il se retourne et se rattrape avant de démonter.")</f>
        <v>La foule semble approuver quand il se retourne et se rattrape avant de démonter.</v>
      </c>
    </row>
    <row r="24160">
      <c r="A24160" s="4" t="s">
        <v>30399</v>
      </c>
      <c r="B24160" s="4" t="s">
        <v>30400</v>
      </c>
      <c r="C24160" s="5" t="str">
        <f>IFERROR(__xludf.DUMMYFUNCTION("GOOGLETRANSLATE(B24160,""en"",""fr"")"),"Une caméra se déroule tout autour d'une zone boisée et mène à deux personnes roulant sur des skis.")</f>
        <v>Une caméra se déroule tout autour d'une zone boisée et mène à deux personnes roulant sur des skis.</v>
      </c>
    </row>
    <row r="24161">
      <c r="A24161" s="4" t="s">
        <v>30399</v>
      </c>
      <c r="B24161" s="4" t="s">
        <v>30401</v>
      </c>
      <c r="C24161" s="5" t="str">
        <f>IFERROR(__xludf.DUMMYFUNCTION("GOOGLETRANSLATE(B24161,""en"",""fr"")"),"Plusieurs plans sont représentés de diverses personnes roulant derrière un bateau sur des skis et des tours.")</f>
        <v>Plusieurs plans sont représentés de diverses personnes roulant derrière un bateau sur des skis et des tours.</v>
      </c>
    </row>
    <row r="24162">
      <c r="A24162" s="4" t="s">
        <v>30399</v>
      </c>
      <c r="B24162" s="4" t="s">
        <v>30402</v>
      </c>
      <c r="C24162" s="5" t="str">
        <f>IFERROR(__xludf.DUMMYFUNCTION("GOOGLETRANSLATE(B24162,""en"",""fr"")"),"Les gens continuent de rouler et accrochés sur le côté sur un grand poteau.")</f>
        <v>Les gens continuent de rouler et accrochés sur le côté sur un grand poteau.</v>
      </c>
    </row>
    <row r="24163">
      <c r="A24163" s="4" t="s">
        <v>30403</v>
      </c>
      <c r="B24163" s="4" t="s">
        <v>30404</v>
      </c>
      <c r="C24163" s="5" t="str">
        <f>IFERROR(__xludf.DUMMYFUNCTION("GOOGLETRANSLATE(B24163,""en"",""fr"")"),"Un homme est vu parler à la caméra tout en présentant divers objets devant lui.")</f>
        <v>Un homme est vu parler à la caméra tout en présentant divers objets devant lui.</v>
      </c>
    </row>
    <row r="24164">
      <c r="A24164" s="4" t="s">
        <v>30403</v>
      </c>
      <c r="B24164" s="4" t="s">
        <v>30405</v>
      </c>
      <c r="C24164" s="5" t="str">
        <f>IFERROR(__xludf.DUMMYFUNCTION("GOOGLETRANSLATE(B24164,""en"",""fr"")"),"L'homme utilise ensuite un marqueur pour déterrer le côté d'une table et le remplir.")</f>
        <v>L'homme utilise ensuite un marqueur pour déterrer le côté d'une table et le remplir.</v>
      </c>
    </row>
    <row r="24165">
      <c r="A24165" s="4" t="s">
        <v>30403</v>
      </c>
      <c r="B24165" s="4" t="s">
        <v>30406</v>
      </c>
      <c r="C24165" s="5" t="str">
        <f>IFERROR(__xludf.DUMMYFUNCTION("GOOGLETRANSLATE(B24165,""en"",""fr"")"),"Il montre comment utiliser le stylo sur plusieurs objets tout en le remplissant et en le ponçant par la suite.")</f>
        <v>Il montre comment utiliser le stylo sur plusieurs objets tout en le remplissant et en le ponçant par la suite.</v>
      </c>
    </row>
    <row r="24166">
      <c r="A24166" s="4" t="s">
        <v>30407</v>
      </c>
      <c r="B24166" s="4" t="s">
        <v>30408</v>
      </c>
      <c r="C24166" s="5" t="str">
        <f>IFERROR(__xludf.DUMMYFUNCTION("GOOGLETRANSLATE(B24166,""en"",""fr"")"),"Un garçon monte sur une longue planche sur différentes voies.")</f>
        <v>Un garçon monte sur une longue planche sur différentes voies.</v>
      </c>
    </row>
    <row r="24167">
      <c r="A24167" s="4" t="s">
        <v>30407</v>
      </c>
      <c r="B24167" s="4" t="s">
        <v>30409</v>
      </c>
      <c r="C24167" s="5" t="str">
        <f>IFERROR(__xludf.DUMMYFUNCTION("GOOGLETRANSLATE(B24167,""en"",""fr"")"),"Il fait un tour de tournant sur l'un des moyens de la route.")</f>
        <v>Il fait un tour de tournant sur l'un des moyens de la route.</v>
      </c>
    </row>
    <row r="24168">
      <c r="A24168" s="4" t="s">
        <v>30407</v>
      </c>
      <c r="B24168" s="4" t="s">
        <v>30410</v>
      </c>
      <c r="C24168" s="5" t="str">
        <f>IFERROR(__xludf.DUMMYFUNCTION("GOOGLETRANSLATE(B24168,""en"",""fr"")"),"Il recule et quatrième sur la route enneigée.")</f>
        <v>Il recule et quatrième sur la route enneigée.</v>
      </c>
    </row>
    <row r="24169">
      <c r="A24169" s="4" t="s">
        <v>30407</v>
      </c>
      <c r="B24169" s="4" t="s">
        <v>30411</v>
      </c>
      <c r="C24169" s="5" t="str">
        <f>IFERROR(__xludf.DUMMYFUNCTION("GOOGLETRANSLATE(B24169,""en"",""fr"")"),"Il skateboards la nuit et le logo est montré.")</f>
        <v>Il skateboards la nuit et le logo est montré.</v>
      </c>
    </row>
    <row r="24170">
      <c r="A24170" s="4" t="s">
        <v>30412</v>
      </c>
      <c r="B24170" s="4" t="s">
        <v>30413</v>
      </c>
      <c r="C24170" s="5" t="str">
        <f>IFERROR(__xludf.DUMMYFUNCTION("GOOGLETRANSLATE(B24170,""en"",""fr"")"),"Deux filles en classe de karaté s'avancent en avant, puis avant de s'entraîner.")</f>
        <v>Deux filles en classe de karaté s'avancent en avant, puis avant de s'entraîner.</v>
      </c>
    </row>
    <row r="24171">
      <c r="A24171" s="4" t="s">
        <v>30412</v>
      </c>
      <c r="B24171" s="4" t="s">
        <v>30414</v>
      </c>
      <c r="C24171" s="5" t="str">
        <f>IFERROR(__xludf.DUMMYFUNCTION("GOOGLETRANSLATE(B24171,""en"",""fr"")"),"La fille esquive une attaque en prenant un genou tout en bloquant un coup.")</f>
        <v>La fille esquive une attaque en prenant un genou tout en bloquant un coup.</v>
      </c>
    </row>
    <row r="24172">
      <c r="A24172" s="4" t="s">
        <v>30412</v>
      </c>
      <c r="B24172" s="4" t="s">
        <v>30415</v>
      </c>
      <c r="C24172" s="5" t="str">
        <f>IFERROR(__xludf.DUMMYFUNCTION("GOOGLETRANSLATE(B24172,""en"",""fr"")"),"Les élèves du karaté frappent et bloquent avec leurs poignets.")</f>
        <v>Les élèves du karaté frappent et bloquent avec leurs poignets.</v>
      </c>
    </row>
    <row r="24173">
      <c r="A24173" s="4" t="s">
        <v>30412</v>
      </c>
      <c r="B24173" s="4" t="s">
        <v>30416</v>
      </c>
      <c r="C24173" s="5" t="str">
        <f>IFERROR(__xludf.DUMMYFUNCTION("GOOGLETRANSLATE(B24173,""en"",""fr"")"),"La fille fait des coups de pied en rotation.")</f>
        <v>La fille fait des coups de pied en rotation.</v>
      </c>
    </row>
    <row r="24174">
      <c r="A24174" s="4" t="s">
        <v>30417</v>
      </c>
      <c r="B24174" s="4" t="s">
        <v>30418</v>
      </c>
      <c r="C24174" s="5" t="str">
        <f>IFERROR(__xludf.DUMMYFUNCTION("GOOGLETRANSLATE(B24174,""en"",""fr"")"),"Une femme parle et répare ses cheveux mouillés, elle montre également une brosse et des cheveux secs.")</f>
        <v>Une femme parle et répare ses cheveux mouillés, elle montre également une brosse et des cheveux secs.</v>
      </c>
    </row>
    <row r="24175">
      <c r="A24175" s="4" t="s">
        <v>30417</v>
      </c>
      <c r="B24175" s="4" t="s">
        <v>30419</v>
      </c>
      <c r="C24175" s="5" t="str">
        <f>IFERROR(__xludf.DUMMYFUNCTION("GOOGLETRANSLATE(B24175,""en"",""fr"")"),"La femme se brosse les cheveux dans différentes directions à l'aide d'un sèche-cheveux.")</f>
        <v>La femme se brosse les cheveux dans différentes directions à l'aide d'un sèche-cheveux.</v>
      </c>
    </row>
    <row r="24176">
      <c r="A24176" s="4" t="s">
        <v>30417</v>
      </c>
      <c r="B24176" s="4" t="s">
        <v>30420</v>
      </c>
      <c r="C24176" s="5" t="str">
        <f>IFERROR(__xludf.DUMMYFUNCTION("GOOGLETRANSLATE(B24176,""en"",""fr"")"),"Ensuite, la femme s'arrête et montre sa coiffure en parlant.")</f>
        <v>Ensuite, la femme s'arrête et montre sa coiffure en parlant.</v>
      </c>
    </row>
    <row r="24177">
      <c r="A24177" s="4" t="s">
        <v>30417</v>
      </c>
      <c r="B24177" s="4" t="s">
        <v>30421</v>
      </c>
      <c r="C24177" s="5" t="str">
        <f>IFERROR(__xludf.DUMMYFUNCTION("GOOGLETRANSLATE(B24177,""en"",""fr"")"),"Après, la femme montre la direction pour peigner les cheveux, puis utilise un fer à cheveux pour redresser les cheveux.")</f>
        <v>Après, la femme montre la direction pour peigner les cheveux, puis utilise un fer à cheveux pour redresser les cheveux.</v>
      </c>
    </row>
    <row r="24178">
      <c r="A24178" s="4" t="s">
        <v>30422</v>
      </c>
      <c r="B24178" s="4" t="s">
        <v>30423</v>
      </c>
      <c r="C24178" s="5" t="str">
        <f>IFERROR(__xludf.DUMMYFUNCTION("GOOGLETRANSLATE(B24178,""en"",""fr"")"),"Un homme fait vague de roues dans un canoë.")</f>
        <v>Un homme fait vague de roues dans un canoë.</v>
      </c>
    </row>
    <row r="24179">
      <c r="A24179" s="4" t="s">
        <v>30422</v>
      </c>
      <c r="B24179" s="4" t="s">
        <v>30424</v>
      </c>
      <c r="C24179" s="5" t="str">
        <f>IFERROR(__xludf.DUMMYFUNCTION("GOOGLETRANSLATE(B24179,""en"",""fr"")"),"Il est montré en aval de l'élan en aval, roulant dans son canoë.")</f>
        <v>Il est montré en aval de l'élan en aval, roulant dans son canoë.</v>
      </c>
    </row>
    <row r="24180">
      <c r="A24180" s="4" t="s">
        <v>30422</v>
      </c>
      <c r="B24180" s="4" t="s">
        <v>30425</v>
      </c>
      <c r="C24180" s="5" t="str">
        <f>IFERROR(__xludf.DUMMYFUNCTION("GOOGLETRANSLATE(B24180,""en"",""fr"")"),"Maintenant, nous voyons le bord et la lame de plantes alors qu'il se déplace en amont.")</f>
        <v>Maintenant, nous voyons le bord et la lame de plantes alors qu'il se déplace en amont.</v>
      </c>
    </row>
    <row r="24181">
      <c r="A24181" s="4" t="s">
        <v>30426</v>
      </c>
      <c r="B24181" s="4" t="s">
        <v>30427</v>
      </c>
      <c r="C24181" s="5" t="str">
        <f>IFERROR(__xludf.DUMMYFUNCTION("GOOGLETRANSLATE(B24181,""en"",""fr"")"),"Une personne se tient sur une corde, puis il saute par-dessus une corde.")</f>
        <v>Une personne se tient sur une corde, puis il saute par-dessus une corde.</v>
      </c>
    </row>
    <row r="24182">
      <c r="A24182" s="4" t="s">
        <v>30426</v>
      </c>
      <c r="B24182" s="4" t="s">
        <v>30428</v>
      </c>
      <c r="C24182" s="5" t="str">
        <f>IFERROR(__xludf.DUMMYFUNCTION("GOOGLETRANSLATE(B24182,""en"",""fr"")"),"La personne saute sur ses pieds aussi bien sur ce cul et ce corps.")</f>
        <v>La personne saute sur ses pieds aussi bien sur ce cul et ce corps.</v>
      </c>
    </row>
    <row r="24183">
      <c r="A24183" s="4" t="s">
        <v>30429</v>
      </c>
      <c r="B24183" s="4" t="s">
        <v>30430</v>
      </c>
      <c r="C24183" s="5" t="str">
        <f>IFERROR(__xludf.DUMMYFUNCTION("GOOGLETRANSLATE(B24183,""en"",""fr"")"),"Une famille est vue assise sur la plage faisant des châteaux de sable avec un objet.")</f>
        <v>Une famille est vue assise sur la plage faisant des châteaux de sable avec un objet.</v>
      </c>
    </row>
    <row r="24184">
      <c r="A24184" s="4" t="s">
        <v>30429</v>
      </c>
      <c r="B24184" s="6" t="s">
        <v>30431</v>
      </c>
      <c r="C24184" s="5" t="str">
        <f>IFERROR(__xludf.DUMMYFUNCTION("GOOGLETRANSLATE(B24184,""en"",""fr"")"),"Les gens se tiennent pour les regarder travailler et la caméra se déroule autour des enfants qui jouent dans le sable.")</f>
        <v>Les gens se tiennent pour les regarder travailler et la caméra se déroule autour des enfants qui jouent dans le sable.</v>
      </c>
    </row>
    <row r="24185">
      <c r="A24185" s="4" t="s">
        <v>30432</v>
      </c>
      <c r="B24185" s="4" t="s">
        <v>30433</v>
      </c>
      <c r="C24185" s="5" t="str">
        <f>IFERROR(__xludf.DUMMYFUNCTION("GOOGLETRANSLATE(B24185,""en"",""fr"")"),"La femme peint la clôture avec de la peinture blanche.")</f>
        <v>La femme peint la clôture avec de la peinture blanche.</v>
      </c>
    </row>
    <row r="24186">
      <c r="A24186" s="4" t="s">
        <v>30432</v>
      </c>
      <c r="B24186" s="4" t="s">
        <v>30434</v>
      </c>
      <c r="C24186" s="5" t="str">
        <f>IFERROR(__xludf.DUMMYFUNCTION("GOOGLETRANSLATE(B24186,""en"",""fr"")"),"L'homme peint un banc vert dans le parc.")</f>
        <v>L'homme peint un banc vert dans le parc.</v>
      </c>
    </row>
    <row r="24187">
      <c r="A24187" s="4" t="s">
        <v>30435</v>
      </c>
      <c r="B24187" s="4" t="s">
        <v>30436</v>
      </c>
      <c r="C24187" s="5" t="str">
        <f>IFERROR(__xludf.DUMMYFUNCTION("GOOGLETRANSLATE(B24187,""en"",""fr"")"),"Un groupe de personnes est vu nager autour d'une piscine avec un homme assis sur sa tête.")</f>
        <v>Un groupe de personnes est vu nager autour d'une piscine avec un homme assis sur sa tête.</v>
      </c>
    </row>
    <row r="24188">
      <c r="A24188" s="4" t="s">
        <v>30435</v>
      </c>
      <c r="B24188" s="4" t="s">
        <v>30437</v>
      </c>
      <c r="C24188" s="5" t="str">
        <f>IFERROR(__xludf.DUMMYFUNCTION("GOOGLETRANSLATE(B24188,""en"",""fr"")"),"Plus de coups de feu sont montrés des gens qui se rapprochent de l'eau et à genoux.")</f>
        <v>Plus de coups de feu sont montrés des gens qui se rapprochent de l'eau et à genoux.</v>
      </c>
    </row>
    <row r="24189">
      <c r="A24189" s="4" t="s">
        <v>30435</v>
      </c>
      <c r="B24189" s="4" t="s">
        <v>30438</v>
      </c>
      <c r="C24189" s="5" t="str">
        <f>IFERROR(__xludf.DUMMYFUNCTION("GOOGLETRANSLATE(B24189,""en"",""fr"")"),"Une femme enlève son réservoir et le remet et les mène en nageant davantage.")</f>
        <v>Une femme enlève son réservoir et le remet et les mène en nageant davantage.</v>
      </c>
    </row>
    <row r="24190">
      <c r="A24190" s="4" t="s">
        <v>30439</v>
      </c>
      <c r="B24190" s="4" t="s">
        <v>30440</v>
      </c>
      <c r="C24190" s="5" t="str">
        <f>IFERROR(__xludf.DUMMYFUNCTION("GOOGLETRANSLATE(B24190,""en"",""fr"")"),"Les garçons se nettoient le sol carrelé.")</f>
        <v>Les garçons se nettoient le sol carrelé.</v>
      </c>
    </row>
    <row r="24191">
      <c r="A24191" s="4" t="s">
        <v>30439</v>
      </c>
      <c r="B24191" s="4" t="s">
        <v>30441</v>
      </c>
      <c r="C24191" s="5" t="str">
        <f>IFERROR(__xludf.DUMMYFUNCTION("GOOGLETRANSLATE(B24191,""en"",""fr"")"),"Un garçon en court terme sa vadrouille dans un seau jaune.")</f>
        <v>Un garçon en court terme sa vadrouille dans un seau jaune.</v>
      </c>
    </row>
    <row r="24192">
      <c r="A24192" s="4" t="s">
        <v>30439</v>
      </c>
      <c r="B24192" s="4" t="s">
        <v>30442</v>
      </c>
      <c r="C24192" s="5" t="str">
        <f>IFERROR(__xludf.DUMMYFUNCTION("GOOGLETRANSLATE(B24192,""en"",""fr"")"),"Une dame s'éloigne avec un long objet clair à la main.")</f>
        <v>Une dame s'éloigne avec un long objet clair à la main.</v>
      </c>
    </row>
    <row r="24193">
      <c r="A24193" s="4" t="s">
        <v>30443</v>
      </c>
      <c r="B24193" s="4" t="s">
        <v>30444</v>
      </c>
      <c r="C24193" s="5" t="str">
        <f>IFERROR(__xludf.DUMMYFUNCTION("GOOGLETRANSLATE(B24193,""en"",""fr"")"),"Les enfants roulent dans des voitures tamponneuses sur une balade d'amusement.")</f>
        <v>Les enfants roulent dans des voitures tamponneuses sur une balade d'amusement.</v>
      </c>
    </row>
    <row r="24194">
      <c r="A24194" s="4" t="s">
        <v>30443</v>
      </c>
      <c r="B24194" s="4" t="s">
        <v>30445</v>
      </c>
      <c r="C24194" s="5" t="str">
        <f>IFERROR(__xludf.DUMMYFUNCTION("GOOGLETRANSLATE(B24194,""en"",""fr"")"),"Une personne suit près d'une voiture devant lui à monter son pare-chocs.")</f>
        <v>Une personne suit près d'une voiture devant lui à monter son pare-chocs.</v>
      </c>
    </row>
    <row r="24195">
      <c r="A24195" s="4" t="s">
        <v>30443</v>
      </c>
      <c r="B24195" s="4" t="s">
        <v>30446</v>
      </c>
      <c r="C24195" s="5" t="str">
        <f>IFERROR(__xludf.DUMMYFUNCTION("GOOGLETRANSLATE(B24195,""en"",""fr"")"),"Le groupe est coincé dans un gros embouteillage après s'être heurté.")</f>
        <v>Le groupe est coincé dans un gros embouteillage après s'être heurté.</v>
      </c>
    </row>
    <row r="24196">
      <c r="A24196" s="4" t="s">
        <v>30443</v>
      </c>
      <c r="B24196" s="4" t="s">
        <v>30447</v>
      </c>
      <c r="C24196" s="5" t="str">
        <f>IFERROR(__xludf.DUMMYFUNCTION("GOOGLETRANSLATE(B24196,""en"",""fr"")"),"Les voitures se retournent et sortent du embouteillage.")</f>
        <v>Les voitures se retournent et sortent du embouteillage.</v>
      </c>
    </row>
    <row r="24197">
      <c r="A24197" s="4" t="s">
        <v>30443</v>
      </c>
      <c r="B24197" s="4" t="s">
        <v>30448</v>
      </c>
      <c r="C24197" s="5" t="str">
        <f>IFERROR(__xludf.DUMMYFUNCTION("GOOGLETRANSLATE(B24197,""en"",""fr"")"),"Un garçon s'écrase à l'arrière d'une voiture arrêtée.")</f>
        <v>Un garçon s'écrase à l'arrière d'une voiture arrêtée.</v>
      </c>
    </row>
    <row r="24198">
      <c r="A24198" s="4" t="s">
        <v>30449</v>
      </c>
      <c r="B24198" s="4" t="s">
        <v>30450</v>
      </c>
      <c r="C24198" s="5" t="str">
        <f>IFERROR(__xludf.DUMMYFUNCTION("GOOGLETRANSLATE(B24198,""en"",""fr"")"),"Beaucoup d'enfants sont debout dans un terrain de panier faisant des mouvements de boxe.")</f>
        <v>Beaucoup d'enfants sont debout dans un terrain de panier faisant des mouvements de boxe.</v>
      </c>
    </row>
    <row r="24199">
      <c r="A24199" s="4" t="s">
        <v>30449</v>
      </c>
      <c r="B24199" s="4" t="s">
        <v>30451</v>
      </c>
      <c r="C24199" s="5" t="str">
        <f>IFERROR(__xludf.DUMMYFUNCTION("GOOGLETRANSLATE(B24199,""en"",""fr"")"),"Les petites filles se tiennent au milieu d'un tribunal pratiquant la boxe.")</f>
        <v>Les petites filles se tiennent au milieu d'un tribunal pratiquant la boxe.</v>
      </c>
    </row>
    <row r="24200">
      <c r="A24200" s="4" t="s">
        <v>30449</v>
      </c>
      <c r="B24200" s="4" t="s">
        <v>30452</v>
      </c>
      <c r="C24200" s="5" t="str">
        <f>IFERROR(__xludf.DUMMYFUNCTION("GOOGLETRANSLATE(B24200,""en"",""fr"")"),"Les gens sont assis sur des chaises dans une cour en bois.")</f>
        <v>Les gens sont assis sur des chaises dans une cour en bois.</v>
      </c>
    </row>
    <row r="24201">
      <c r="A24201" s="4" t="s">
        <v>30453</v>
      </c>
      <c r="B24201" s="4" t="s">
        <v>30454</v>
      </c>
      <c r="C24201" s="5" t="str">
        <f>IFERROR(__xludf.DUMMYFUNCTION("GOOGLETRANSLATE(B24201,""en"",""fr"")"),"Une personne monte un taureau dans une arène.")</f>
        <v>Une personne monte un taureau dans une arène.</v>
      </c>
    </row>
    <row r="24202">
      <c r="A24202" s="4" t="s">
        <v>30453</v>
      </c>
      <c r="B24202" s="4" t="s">
        <v>30455</v>
      </c>
      <c r="C24202" s="5" t="str">
        <f>IFERROR(__xludf.DUMMYFUNCTION("GOOGLETRANSLATE(B24202,""en"",""fr"")"),"Les gens se tiennent dans une arène autour d'un taureau.")</f>
        <v>Les gens se tiennent dans une arène autour d'un taureau.</v>
      </c>
    </row>
    <row r="24203">
      <c r="A24203" s="4" t="s">
        <v>30453</v>
      </c>
      <c r="B24203" s="4" t="s">
        <v>30456</v>
      </c>
      <c r="C24203" s="5" t="str">
        <f>IFERROR(__xludf.DUMMYFUNCTION("GOOGLETRANSLATE(B24203,""en"",""fr"")"),"Un taureau les charge et les fait tomber au sol.")</f>
        <v>Un taureau les charge et les fait tomber au sol.</v>
      </c>
    </row>
    <row r="24204">
      <c r="A24204" s="4" t="s">
        <v>30457</v>
      </c>
      <c r="B24204" s="4" t="s">
        <v>30458</v>
      </c>
      <c r="C24204" s="5" t="str">
        <f>IFERROR(__xludf.DUMMYFUNCTION("GOOGLETRANSLATE(B24204,""en"",""fr"")"),"On voit un homme gratter une voiture recouverte de neige et parler à la caméra.")</f>
        <v>On voit un homme gratter une voiture recouverte de neige et parler à la caméra.</v>
      </c>
    </row>
    <row r="24205">
      <c r="A24205" s="4" t="s">
        <v>30457</v>
      </c>
      <c r="B24205" s="6" t="s">
        <v>30459</v>
      </c>
      <c r="C24205" s="5" t="str">
        <f>IFERROR(__xludf.DUMMYFUNCTION("GOOGLETRANSLATE(B24205,""en"",""fr"")"),"La caméra suit l'homme alors qu'il continue de gratter la voiture et de parler à la caméra.")</f>
        <v>La caméra suit l'homme alors qu'il continue de gratter la voiture et de parler à la caméra.</v>
      </c>
    </row>
    <row r="24206">
      <c r="A24206" s="4" t="s">
        <v>30460</v>
      </c>
      <c r="B24206" s="6" t="s">
        <v>30461</v>
      </c>
      <c r="C24206" s="5" t="str">
        <f>IFERROR(__xludf.DUMMYFUNCTION("GOOGLETRANSLATE(B24206,""en"",""fr"")"),"Un adolescent danse en arrière-plan tandis qu'un autre adolescent portant des entraînements saut en hauteur dans une cafétéria scolaire.")</f>
        <v>Un adolescent danse en arrière-plan tandis qu'un autre adolescent portant des entraînements saut en hauteur dans une cafétéria scolaire.</v>
      </c>
    </row>
    <row r="24207">
      <c r="A24207" s="4" t="s">
        <v>30460</v>
      </c>
      <c r="B24207" s="4" t="s">
        <v>30462</v>
      </c>
      <c r="C24207" s="5" t="str">
        <f>IFERROR(__xludf.DUMMYFUNCTION("GOOGLETRANSLATE(B24207,""en"",""fr"")"),"Un adolescent complète un saut en hauteur sur son dos sur le tapis.")</f>
        <v>Un adolescent complète un saut en hauteur sur son dos sur le tapis.</v>
      </c>
    </row>
    <row r="24208">
      <c r="A24208" s="4" t="s">
        <v>30460</v>
      </c>
      <c r="B24208" s="6" t="s">
        <v>30463</v>
      </c>
      <c r="C24208" s="5" t="str">
        <f>IFERROR(__xludf.DUMMYFUNCTION("GOOGLETRANSLATE(B24208,""en"",""fr"")"),"Plusieurs adultes et adolescents sont debout et assis autour du tapis de saut en hauteur pendant qu'un garçon en noir fait le saut en hauteur.")</f>
        <v>Plusieurs adultes et adolescents sont debout et assis autour du tapis de saut en hauteur pendant qu'un garçon en noir fait le saut en hauteur.</v>
      </c>
    </row>
    <row r="24209">
      <c r="A24209" s="4" t="s">
        <v>30460</v>
      </c>
      <c r="B24209" s="4" t="s">
        <v>30464</v>
      </c>
      <c r="C24209" s="5" t="str">
        <f>IFERROR(__xludf.DUMMYFUNCTION("GOOGLETRANSLATE(B24209,""en"",""fr"")"),"Le garçon en noir fait un autre saut en hauteur tandis qu'un autre adolescent regarde en arrière-plan.")</f>
        <v>Le garçon en noir fait un autre saut en hauteur tandis qu'un autre adolescent regarde en arrière-plan.</v>
      </c>
    </row>
    <row r="24210">
      <c r="A24210" s="4" t="s">
        <v>30460</v>
      </c>
      <c r="B24210" s="4" t="s">
        <v>30465</v>
      </c>
      <c r="C24210" s="5" t="str">
        <f>IFERROR(__xludf.DUMMYFUNCTION("GOOGLETRANSLATE(B24210,""en"",""fr"")"),"Le même garçon en noir fait un saut en hauteur tandis qu'un garçon plus grand en blanc passe.")</f>
        <v>Le même garçon en noir fait un saut en hauteur tandis qu'un garçon plus grand en blanc passe.</v>
      </c>
    </row>
    <row r="24211">
      <c r="A24211" s="4" t="s">
        <v>30460</v>
      </c>
      <c r="B24211" s="4" t="s">
        <v>30466</v>
      </c>
      <c r="C24211" s="5" t="str">
        <f>IFERROR(__xludf.DUMMYFUNCTION("GOOGLETRANSLATE(B24211,""en"",""fr"")"),"Le même saut en hauteur est montré lentement pour souligner les erreurs que le garçon fait.")</f>
        <v>Le même saut en hauteur est montré lentement pour souligner les erreurs que le garçon fait.</v>
      </c>
    </row>
    <row r="24212">
      <c r="A24212" s="4" t="s">
        <v>30460</v>
      </c>
      <c r="B24212" s="4" t="s">
        <v>30467</v>
      </c>
      <c r="C24212" s="5" t="str">
        <f>IFERROR(__xludf.DUMMYFUNCTION("GOOGLETRANSLATE(B24212,""en"",""fr"")"),"Un autre garçon portant du blanc fait le saut en hauteur tandis que les autres se tiennent et s'asseyent à proximité.")</f>
        <v>Un autre garçon portant du blanc fait le saut en hauteur tandis que les autres se tiennent et s'asseyent à proximité.</v>
      </c>
    </row>
    <row r="24213">
      <c r="A24213" s="4" t="s">
        <v>30460</v>
      </c>
      <c r="B24213" s="4" t="s">
        <v>30468</v>
      </c>
      <c r="C24213" s="5" t="str">
        <f>IFERROR(__xludf.DUMMYFUNCTION("GOOGLETRANSLATE(B24213,""en"",""fr"")"),"Le saut en hauteur du garçon portant du blanc est rejoué pour souligner les erreurs.")</f>
        <v>Le saut en hauteur du garçon portant du blanc est rejoué pour souligner les erreurs.</v>
      </c>
    </row>
    <row r="24214">
      <c r="A24214" s="4" t="s">
        <v>30460</v>
      </c>
      <c r="B24214" s="4" t="s">
        <v>30469</v>
      </c>
      <c r="C24214" s="5" t="str">
        <f>IFERROR(__xludf.DUMMYFUNCTION("GOOGLETRANSLATE(B24214,""en"",""fr"")"),"Un troisième garçon portant du bleu fait le saut en hauteur trois fois de suite avec d'autres en arrière-plan.")</f>
        <v>Un troisième garçon portant du bleu fait le saut en hauteur trois fois de suite avec d'autres en arrière-plan.</v>
      </c>
    </row>
    <row r="24215">
      <c r="A24215" s="4" t="s">
        <v>30460</v>
      </c>
      <c r="B24215" s="4" t="s">
        <v>30470</v>
      </c>
      <c r="C24215" s="5" t="str">
        <f>IFERROR(__xludf.DUMMYFUNCTION("GOOGLETRANSLATE(B24215,""en"",""fr"")"),"Une rediffusion du garçon en bleu est jouée pour souligner les erreurs qu'il fait.")</f>
        <v>Une rediffusion du garçon en bleu est jouée pour souligner les erreurs qu'il fait.</v>
      </c>
    </row>
    <row r="24216">
      <c r="A24216" s="4" t="s">
        <v>30471</v>
      </c>
      <c r="B24216" s="4" t="s">
        <v>30472</v>
      </c>
      <c r="C24216" s="5" t="str">
        <f>IFERROR(__xludf.DUMMYFUNCTION("GOOGLETRANSLATE(B24216,""en"",""fr"")"),"Deux filles se lèvent à faire du karaté.")</f>
        <v>Deux filles se lèvent à faire du karaté.</v>
      </c>
    </row>
    <row r="24217">
      <c r="A24217" s="4" t="s">
        <v>30471</v>
      </c>
      <c r="B24217" s="4" t="s">
        <v>30473</v>
      </c>
      <c r="C24217" s="5" t="str">
        <f>IFERROR(__xludf.DUMMYFUNCTION("GOOGLETRANSLATE(B24217,""en"",""fr"")"),"Les gens sont assis à les regarder.")</f>
        <v>Les gens sont assis à les regarder.</v>
      </c>
    </row>
    <row r="24218">
      <c r="A24218" s="4" t="s">
        <v>30471</v>
      </c>
      <c r="B24218" s="4" t="s">
        <v>30474</v>
      </c>
      <c r="C24218" s="5" t="str">
        <f>IFERROR(__xludf.DUMMYFUNCTION("GOOGLETRANSLATE(B24218,""en"",""fr"")"),"Une femme en robe noire se tient à côté d'eux.")</f>
        <v>Une femme en robe noire se tient à côté d'eux.</v>
      </c>
    </row>
    <row r="24219">
      <c r="A24219" s="4" t="s">
        <v>30475</v>
      </c>
      <c r="B24219" s="4" t="s">
        <v>1487</v>
      </c>
      <c r="C24219" s="5" t="str">
        <f>IFERROR(__xludf.DUMMYFUNCTION("GOOGLETRANSLATE(B24219,""en"",""fr"")"),"Nous voyons un écran de titre d'ouverture.")</f>
        <v>Nous voyons un écran de titre d'ouverture.</v>
      </c>
    </row>
    <row r="24220">
      <c r="A24220" s="4" t="s">
        <v>30475</v>
      </c>
      <c r="B24220" s="4" t="s">
        <v>30476</v>
      </c>
      <c r="C24220" s="5" t="str">
        <f>IFERROR(__xludf.DUMMYFUNCTION("GOOGLETRANSLATE(B24220,""en"",""fr"")"),"Une dame parle devant une place.")</f>
        <v>Une dame parle devant une place.</v>
      </c>
    </row>
    <row r="24221">
      <c r="A24221" s="4" t="s">
        <v>30475</v>
      </c>
      <c r="B24221" s="6" t="s">
        <v>30477</v>
      </c>
      <c r="C24221" s="5" t="str">
        <f>IFERROR(__xludf.DUMMYFUNCTION("GOOGLETRANSLATE(B24221,""en"",""fr"")"),"Le Lady Hula Hoops en short court et une chemise serrée dans une place et nous voyons périodiquement une minuterie dans le coin supérieur droit.")</f>
        <v>Le Lady Hula Hoops en short court et une chemise serrée dans une place et nous voyons périodiquement une minuterie dans le coin supérieur droit.</v>
      </c>
    </row>
    <row r="24222">
      <c r="A24222" s="4" t="s">
        <v>30475</v>
      </c>
      <c r="B24222" s="4" t="s">
        <v>30478</v>
      </c>
      <c r="C24222" s="5" t="str">
        <f>IFERROR(__xludf.DUMMYFUNCTION("GOOGLETRANSLATE(B24222,""en"",""fr"")"),"La minuterie lit les cerceaux Lady Hula pendant 2 minutes et dix-sept secondes.")</f>
        <v>La minuterie lit les cerceaux Lady Hula pendant 2 minutes et dix-sept secondes.</v>
      </c>
    </row>
    <row r="24223">
      <c r="A24223" s="4" t="s">
        <v>30475</v>
      </c>
      <c r="B24223" s="4" t="s">
        <v>30479</v>
      </c>
      <c r="C24223" s="5" t="str">
        <f>IFERROR(__xludf.DUMMYFUNCTION("GOOGLETRANSLATE(B24223,""en"",""fr"")"),"La dame parle à nouveau à la caméra.")</f>
        <v>La dame parle à nouveau à la caméra.</v>
      </c>
    </row>
    <row r="24224">
      <c r="A24224" s="4" t="s">
        <v>30475</v>
      </c>
      <c r="B24224" s="4" t="s">
        <v>30480</v>
      </c>
      <c r="C24224" s="5" t="str">
        <f>IFERROR(__xludf.DUMMYFUNCTION("GOOGLETRANSLATE(B24224,""en"",""fr"")"),"Nous voyons l'écran YouTube final.")</f>
        <v>Nous voyons l'écran YouTube final.</v>
      </c>
    </row>
    <row r="24225">
      <c r="A24225" s="4" t="s">
        <v>30481</v>
      </c>
      <c r="B24225" s="4" t="s">
        <v>30482</v>
      </c>
      <c r="C24225" s="5" t="str">
        <f>IFERROR(__xludf.DUMMYFUNCTION("GOOGLETRANSLATE(B24225,""en"",""fr"")"),"Une enveloppe avec une clé est montrée.")</f>
        <v>Une enveloppe avec une clé est montrée.</v>
      </c>
    </row>
    <row r="24226">
      <c r="A24226" s="4" t="s">
        <v>30481</v>
      </c>
      <c r="B24226" s="4" t="s">
        <v>30483</v>
      </c>
      <c r="C24226" s="5" t="str">
        <f>IFERROR(__xludf.DUMMYFUNCTION("GOOGLETRANSLATE(B24226,""en"",""fr"")"),"Une femme enveloppe un livre en papier brun.")</f>
        <v>Une femme enveloppe un livre en papier brun.</v>
      </c>
    </row>
    <row r="24227">
      <c r="A24227" s="4" t="s">
        <v>30481</v>
      </c>
      <c r="B24227" s="4" t="s">
        <v>30484</v>
      </c>
      <c r="C24227" s="5" t="str">
        <f>IFERROR(__xludf.DUMMYFUNCTION("GOOGLETRANSLATE(B24227,""en"",""fr"")"),"Une femme en pull gris parle.")</f>
        <v>Une femme en pull gris parle.</v>
      </c>
    </row>
    <row r="24228">
      <c r="A24228" s="4" t="s">
        <v>30481</v>
      </c>
      <c r="B24228" s="4" t="s">
        <v>30485</v>
      </c>
      <c r="C24228" s="5" t="str">
        <f>IFERROR(__xludf.DUMMYFUNCTION("GOOGLETRANSLATE(B24228,""en"",""fr"")"),"Une femme salue la caméra.")</f>
        <v>Une femme salue la caméra.</v>
      </c>
    </row>
    <row r="24229">
      <c r="A24229" s="4" t="s">
        <v>30481</v>
      </c>
      <c r="B24229" s="4" t="s">
        <v>30486</v>
      </c>
      <c r="C24229" s="5" t="str">
        <f>IFERROR(__xludf.DUMMYFUNCTION("GOOGLETRANSLATE(B24229,""en"",""fr"")"),"Ils finissent envelopper le livre et ont mis les limites à l'avant du paquet.")</f>
        <v>Ils finissent envelopper le livre et ont mis les limites à l'avant du paquet.</v>
      </c>
    </row>
    <row r="24230">
      <c r="A24230" s="4" t="s">
        <v>30481</v>
      </c>
      <c r="B24230" s="4" t="s">
        <v>30487</v>
      </c>
      <c r="C24230" s="5" t="str">
        <f>IFERROR(__xludf.DUMMYFUNCTION("GOOGLETRANSLATE(B24230,""en"",""fr"")"),"Les mots merci sont tamponnés dans un livre.")</f>
        <v>Les mots merci sont tamponnés dans un livre.</v>
      </c>
    </row>
    <row r="24231">
      <c r="A24231" s="4" t="s">
        <v>30488</v>
      </c>
      <c r="B24231" s="6" t="s">
        <v>30489</v>
      </c>
      <c r="C24231" s="5" t="str">
        <f>IFERROR(__xludf.DUMMYFUNCTION("GOOGLETRANSLATE(B24231,""en"",""fr"")"),"Une femme est vue parler et rire de la caméra et l'amène à tenir un magazine et à présenter des pages à la caméra.")</f>
        <v>Une femme est vue parler et rire de la caméra et l'amène à tenir un magazine et à présenter des pages à la caméra.</v>
      </c>
    </row>
    <row r="24232">
      <c r="A24232" s="4" t="s">
        <v>30488</v>
      </c>
      <c r="B24232" s="6" t="s">
        <v>30490</v>
      </c>
      <c r="C24232" s="5" t="str">
        <f>IFERROR(__xludf.DUMMYFUNCTION("GOOGLETRANSLATE(B24232,""en"",""fr"")"),"La femme présente plus d'objets à la caméra, puis en utilise une pour se brosser les dents tout en parlant à la caméra.")</f>
        <v>La femme présente plus d'objets à la caméra, puis en utilise une pour se brosser les dents tout en parlant à la caméra.</v>
      </c>
    </row>
    <row r="24233">
      <c r="A24233" s="4" t="s">
        <v>30491</v>
      </c>
      <c r="B24233" s="4" t="s">
        <v>30492</v>
      </c>
      <c r="C24233" s="5" t="str">
        <f>IFERROR(__xludf.DUMMYFUNCTION("GOOGLETRANSLATE(B24233,""en"",""fr"")"),"Deux lutteurs de Suma se dirigent vers un ring.")</f>
        <v>Deux lutteurs de Suma se dirigent vers un ring.</v>
      </c>
    </row>
    <row r="24234">
      <c r="A24234" s="4" t="s">
        <v>30491</v>
      </c>
      <c r="B24234" s="4" t="s">
        <v>30493</v>
      </c>
      <c r="C24234" s="5" t="str">
        <f>IFERROR(__xludf.DUMMYFUNCTION("GOOGLETRANSLATE(B24234,""en"",""fr"")"),"Une foule regarde le combat.")</f>
        <v>Une foule regarde le combat.</v>
      </c>
    </row>
    <row r="24235">
      <c r="A24235" s="4" t="s">
        <v>30491</v>
      </c>
      <c r="B24235" s="4" t="s">
        <v>30494</v>
      </c>
      <c r="C24235" s="5" t="str">
        <f>IFERROR(__xludf.DUMMYFUNCTION("GOOGLETRANSLATE(B24235,""en"",""fr"")"),"Les lutteurs de Suma se préparent.")</f>
        <v>Les lutteurs de Suma se préparent.</v>
      </c>
    </row>
    <row r="24236">
      <c r="A24236" s="4" t="s">
        <v>30491</v>
      </c>
      <c r="B24236" s="4" t="s">
        <v>30495</v>
      </c>
      <c r="C24236" s="5" t="str">
        <f>IFERROR(__xludf.DUMMYFUNCTION("GOOGLETRANSLATE(B24236,""en"",""fr"")"),"Un arbitre les appelle en position.")</f>
        <v>Un arbitre les appelle en position.</v>
      </c>
    </row>
    <row r="24237">
      <c r="A24237" s="4" t="s">
        <v>30491</v>
      </c>
      <c r="B24237" s="6" t="s">
        <v>30496</v>
      </c>
      <c r="C24237" s="5" t="str">
        <f>IFERROR(__xludf.DUMMYFUNCTION("GOOGLETRANSLATE(B24237,""en"",""fr"")"),"Les lutteurs de Suma commencent à se battre, l'un d'eux jetant immédiatement l'autre au sol.")</f>
        <v>Les lutteurs de Suma commencent à se battre, l'un d'eux jetant immédiatement l'autre au sol.</v>
      </c>
    </row>
    <row r="24238">
      <c r="A24238" s="4" t="s">
        <v>30491</v>
      </c>
      <c r="B24238" s="4" t="s">
        <v>30497</v>
      </c>
      <c r="C24238" s="5" t="str">
        <f>IFERROR(__xludf.DUMMYFUNCTION("GOOGLETRANSLATE(B24238,""en"",""fr"")"),"Le lutteur de Suma gagnant est applaudi et applaudi par la foule alors qu'il sort de la scène.")</f>
        <v>Le lutteur de Suma gagnant est applaudi et applaudi par la foule alors qu'il sort de la scène.</v>
      </c>
    </row>
    <row r="24239">
      <c r="A24239" s="4" t="s">
        <v>30498</v>
      </c>
      <c r="B24239" s="6" t="s">
        <v>30499</v>
      </c>
      <c r="C24239" s="5" t="str">
        <f>IFERROR(__xludf.DUMMYFUNCTION("GOOGLETRANSLATE(B24239,""en"",""fr"")"),"Pour envelopper un cadeau circulaire, vous aurez besoin de ciseaux de ruban, de ciseaux en papier, de rubans, de ruban adhésif, japonais en utilisant du papier parce que son doux et fort et la couleur ne se détache pas.")</f>
        <v>Pour envelopper un cadeau circulaire, vous aurez besoin de ciseaux de ruban, de ciseaux en papier, de rubans, de ruban adhésif, japonais en utilisant du papier parce que son doux et fort et la couleur ne se détache pas.</v>
      </c>
    </row>
    <row r="24240">
      <c r="A24240" s="4" t="s">
        <v>30498</v>
      </c>
      <c r="B24240" s="6" t="s">
        <v>30500</v>
      </c>
      <c r="C24240" s="5" t="str">
        <f>IFERROR(__xludf.DUMMYFUNCTION("GOOGLETRANSLATE(B24240,""en"",""fr"")"),"Mesurez d'abord le papier correctement en mesurant sur les côtés, puis pliez du papier au milieu en tenant le papier de la même manière de l'autre côté, puis fermez le papier au milieu de l'articulation pour faire un pli, puis répétez jusqu'à ce que le pl"&amp;"i soit tout autour, puis mettez le ruban en haut puis attacher sur le ruban.")</f>
        <v>Mesurez d'abord le papier correctement en mesurant sur les côtés, puis pliez du papier au milieu en tenant le papier de la même manière de l'autre côté, puis fermez le papier au milieu de l'articulation pour faire un pli, puis répétez jusqu'à ce que le pli soit tout autour, puis mettez le ruban en haut puis attacher sur le ruban.</v>
      </c>
    </row>
    <row r="24241">
      <c r="A24241" s="4" t="s">
        <v>30501</v>
      </c>
      <c r="B24241" s="4" t="s">
        <v>30502</v>
      </c>
      <c r="C24241" s="5" t="str">
        <f>IFERROR(__xludf.DUMMYFUNCTION("GOOGLETRANSLATE(B24241,""en"",""fr"")"),"Une gymnaste dame vêtue de justaucorps noires effectue une gymnastique sur les bars.")</f>
        <v>Une gymnaste dame vêtue de justaucorps noires effectue une gymnastique sur les bars.</v>
      </c>
    </row>
    <row r="24242">
      <c r="A24242" s="4" t="s">
        <v>30501</v>
      </c>
      <c r="B24242" s="6" t="s">
        <v>30503</v>
      </c>
      <c r="C24242" s="5" t="str">
        <f>IFERROR(__xludf.DUMMYFUNCTION("GOOGLETRANSLATE(B24242,""en"",""fr"")"),"Elle saute parfaitement sur la barre et se balance d'avant en arrière d'une barre à l'autre sans tomber.")</f>
        <v>Elle saute parfaitement sur la barre et se balance d'avant en arrière d'une barre à l'autre sans tomber.</v>
      </c>
    </row>
    <row r="24243">
      <c r="A24243" s="4" t="s">
        <v>30501</v>
      </c>
      <c r="B24243" s="4" t="s">
        <v>30504</v>
      </c>
      <c r="C24243" s="5" t="str">
        <f>IFERROR(__xludf.DUMMYFUNCTION("GOOGLETRANSLATE(B24243,""en"",""fr"")"),"Elle termine avec succès son tour et saute des barreaux.")</f>
        <v>Elle termine avec succès son tour et saute des barreaux.</v>
      </c>
    </row>
    <row r="24244">
      <c r="A24244" s="4" t="s">
        <v>30501</v>
      </c>
      <c r="B24244" s="4" t="s">
        <v>30505</v>
      </c>
      <c r="C24244" s="5" t="str">
        <f>IFERROR(__xludf.DUMMYFUNCTION("GOOGLETRANSLATE(B24244,""en"",""fr"")"),"La foule applaudit fort en applaudissant pour la gymnaste.")</f>
        <v>La foule applaudit fort en applaudissant pour la gymnaste.</v>
      </c>
    </row>
    <row r="24245">
      <c r="A24245" s="4" t="s">
        <v>30506</v>
      </c>
      <c r="B24245" s="4" t="s">
        <v>30507</v>
      </c>
      <c r="C24245" s="5" t="str">
        <f>IFERROR(__xludf.DUMMYFUNCTION("GOOGLETRANSLATE(B24245,""en"",""fr"")"),"Une série de personnes tombant violemment des skis nautiques pendant les expositions de ski nautique.")</f>
        <v>Une série de personnes tombant violemment des skis nautiques pendant les expositions de ski nautique.</v>
      </c>
    </row>
    <row r="24246">
      <c r="A24246" s="4" t="s">
        <v>30506</v>
      </c>
      <c r="B24246" s="4" t="s">
        <v>30508</v>
      </c>
      <c r="C24246" s="5" t="str">
        <f>IFERROR(__xludf.DUMMYFUNCTION("GOOGLETRANSLATE(B24246,""en"",""fr"")"),"Une personne s'écraser dans une famille sur la plage de la pleine vitesse sur un ski nautique se produit.")</f>
        <v>Une personne s'écraser dans une famille sur la plage de la pleine vitesse sur un ski nautique se produit.</v>
      </c>
    </row>
    <row r="24247">
      <c r="A24247" s="4" t="s">
        <v>30506</v>
      </c>
      <c r="B24247" s="6" t="s">
        <v>30509</v>
      </c>
      <c r="C24247" s="5" t="str">
        <f>IFERROR(__xludf.DUMMYFUNCTION("GOOGLETRANSLATE(B24247,""en"",""fr"")"),"Plusieurs autres personnes sont montrées s'écraser sur des skis nautiques avec un homme s'écraser et l'eau devenant rouge au point d'impact et de s'écraser.")</f>
        <v>Plusieurs autres personnes sont montrées s'écraser sur des skis nautiques avec un homme s'écraser et l'eau devenant rouge au point d'impact et de s'écraser.</v>
      </c>
    </row>
    <row r="24248">
      <c r="A24248" s="4" t="s">
        <v>30506</v>
      </c>
      <c r="B24248" s="4" t="s">
        <v>30510</v>
      </c>
      <c r="C24248" s="5" t="str">
        <f>IFERROR(__xludf.DUMMYFUNCTION("GOOGLETRANSLATE(B24248,""en"",""fr"")"),"Un dernier clip montre quelqu'un qui monte une rampe sur des skis nautiques puis s'écraser dans l'eau.")</f>
        <v>Un dernier clip montre quelqu'un qui monte une rampe sur des skis nautiques puis s'écraser dans l'eau.</v>
      </c>
    </row>
    <row r="24249">
      <c r="A24249" s="4" t="s">
        <v>30511</v>
      </c>
      <c r="B24249" s="4" t="s">
        <v>30512</v>
      </c>
      <c r="C24249" s="5" t="str">
        <f>IFERROR(__xludf.DUMMYFUNCTION("GOOGLETRANSLATE(B24249,""en"",""fr"")"),"Une clôture blanche est représentée à l'extérieur d'une maison.")</f>
        <v>Une clôture blanche est représentée à l'extérieur d'une maison.</v>
      </c>
    </row>
    <row r="24250">
      <c r="A24250" s="4" t="s">
        <v>30511</v>
      </c>
      <c r="B24250" s="4" t="s">
        <v>30513</v>
      </c>
      <c r="C24250" s="5" t="str">
        <f>IFERROR(__xludf.DUMMYFUNCTION("GOOGLETRANSLATE(B24250,""en"",""fr"")"),"Un homme tient un grattoir et un pinceau.")</f>
        <v>Un homme tient un grattoir et un pinceau.</v>
      </c>
    </row>
    <row r="24251">
      <c r="A24251" s="4" t="s">
        <v>30511</v>
      </c>
      <c r="B24251" s="4" t="s">
        <v>30514</v>
      </c>
      <c r="C24251" s="5" t="str">
        <f>IFERROR(__xludf.DUMMYFUNCTION("GOOGLETRANSLATE(B24251,""en"",""fr"")"),"Il gratte la peinture de la clôture, puis la repeint avec de la peinture fraîche.")</f>
        <v>Il gratte la peinture de la clôture, puis la repeint avec de la peinture fraîche.</v>
      </c>
    </row>
    <row r="24252">
      <c r="A24252" s="4" t="s">
        <v>30515</v>
      </c>
      <c r="B24252" s="4" t="s">
        <v>30516</v>
      </c>
      <c r="C24252" s="5" t="str">
        <f>IFERROR(__xludf.DUMMYFUNCTION("GOOGLETRANSLATE(B24252,""en"",""fr"")"),"La personne skie dans les montagnes couvertes de neige élevées.")</f>
        <v>La personne skie dans les montagnes couvertes de neige élevées.</v>
      </c>
    </row>
    <row r="24253">
      <c r="A24253" s="4" t="s">
        <v>30515</v>
      </c>
      <c r="B24253" s="4" t="s">
        <v>30517</v>
      </c>
      <c r="C24253" s="5" t="str">
        <f>IFERROR(__xludf.DUMMYFUNCTION("GOOGLETRANSLATE(B24253,""en"",""fr"")"),"Un hélicoptère rouge vole alors que les skieurs grimpent sur la montagne supérieure.")</f>
        <v>Un hélicoptère rouge vole alors que les skieurs grimpent sur la montagne supérieure.</v>
      </c>
    </row>
    <row r="24254">
      <c r="A24254" s="4" t="s">
        <v>30515</v>
      </c>
      <c r="B24254" s="4" t="s">
        <v>30518</v>
      </c>
      <c r="C24254" s="5" t="str">
        <f>IFERROR(__xludf.DUMMYFUNCTION("GOOGLETRANSLATE(B24254,""en"",""fr"")"),"Les skieurs skient sur la pente, conduisent leurs motos, sont allés pêcher et skier.")</f>
        <v>Les skieurs skient sur la pente, conduisent leurs motos, sont allés pêcher et skier.</v>
      </c>
    </row>
    <row r="24255">
      <c r="A24255" s="4" t="s">
        <v>30519</v>
      </c>
      <c r="B24255" s="4" t="s">
        <v>30520</v>
      </c>
      <c r="C24255" s="5" t="str">
        <f>IFERROR(__xludf.DUMMYFUNCTION("GOOGLETRANSLATE(B24255,""en"",""fr"")"),"Un petit garçon est à l'intérieur d'un salon.")</f>
        <v>Un petit garçon est à l'intérieur d'un salon.</v>
      </c>
    </row>
    <row r="24256">
      <c r="A24256" s="4" t="s">
        <v>30519</v>
      </c>
      <c r="B24256" s="4" t="s">
        <v>30521</v>
      </c>
      <c r="C24256" s="5" t="str">
        <f>IFERROR(__xludf.DUMMYFUNCTION("GOOGLETRANSLATE(B24256,""en"",""fr"")"),"Il pousse et tire un grand aspirateur.")</f>
        <v>Il pousse et tire un grand aspirateur.</v>
      </c>
    </row>
    <row r="24257">
      <c r="A24257" s="4" t="s">
        <v>30519</v>
      </c>
      <c r="B24257" s="4" t="s">
        <v>30522</v>
      </c>
      <c r="C24257" s="5" t="str">
        <f>IFERROR(__xludf.DUMMYFUNCTION("GOOGLETRANSLATE(B24257,""en"",""fr"")"),"Il aspire le grand tapis de salon.")</f>
        <v>Il aspire le grand tapis de salon.</v>
      </c>
    </row>
    <row r="24258">
      <c r="A24258" s="4" t="s">
        <v>30523</v>
      </c>
      <c r="B24258" s="4" t="s">
        <v>30524</v>
      </c>
      <c r="C24258" s="5" t="str">
        <f>IFERROR(__xludf.DUMMYFUNCTION("GOOGLETRANSLATE(B24258,""en"",""fr"")"),"Un gros plan d'un outil est montré suivi d'une personne qui coupe le long d'un tapis.")</f>
        <v>Un gros plan d'un outil est montré suivi d'une personne qui coupe le long d'un tapis.</v>
      </c>
    </row>
    <row r="24259">
      <c r="A24259" s="4" t="s">
        <v>30523</v>
      </c>
      <c r="B24259" s="4" t="s">
        <v>30525</v>
      </c>
      <c r="C24259" s="5" t="str">
        <f>IFERROR(__xludf.DUMMYFUNCTION("GOOGLETRANSLATE(B24259,""en"",""fr"")"),"La personne continue en utilisant l'outil le long des côtés et la caméra s'estompe en noir peu de temps après.")</f>
        <v>La personne continue en utilisant l'outil le long des côtés et la caméra s'estompe en noir peu de temps après.</v>
      </c>
    </row>
    <row r="24260">
      <c r="A24260" s="4" t="s">
        <v>30526</v>
      </c>
      <c r="B24260" s="4" t="s">
        <v>30527</v>
      </c>
      <c r="C24260" s="5" t="str">
        <f>IFERROR(__xludf.DUMMYFUNCTION("GOOGLETRANSLATE(B24260,""en"",""fr"")"),"Un homme se tient dans sa cour.")</f>
        <v>Un homme se tient dans sa cour.</v>
      </c>
    </row>
    <row r="24261">
      <c r="A24261" s="4" t="s">
        <v>30526</v>
      </c>
      <c r="B24261" s="4" t="s">
        <v>30528</v>
      </c>
      <c r="C24261" s="5" t="str">
        <f>IFERROR(__xludf.DUMMYFUNCTION("GOOGLETRANSLATE(B24261,""en"",""fr"")"),"Il utilise une brosse pour brosser ses très longs cheveux.")</f>
        <v>Il utilise une brosse pour brosser ses très longs cheveux.</v>
      </c>
    </row>
    <row r="24262">
      <c r="A24262" s="4" t="s">
        <v>30526</v>
      </c>
      <c r="B24262" s="4" t="s">
        <v>30529</v>
      </c>
      <c r="C24262" s="5" t="str">
        <f>IFERROR(__xludf.DUMMYFUNCTION("GOOGLETRANSLATE(B24262,""en"",""fr"")"),"Il le brosse sous plusieurs angles différents.")</f>
        <v>Il le brosse sous plusieurs angles différents.</v>
      </c>
    </row>
    <row r="24263">
      <c r="A24263" s="4" t="s">
        <v>30530</v>
      </c>
      <c r="B24263" s="4" t="s">
        <v>30531</v>
      </c>
      <c r="C24263" s="5" t="str">
        <f>IFERROR(__xludf.DUMMYFUNCTION("GOOGLETRANSLATE(B24263,""en"",""fr"")"),"Un homme dans un sweat à capuche noir parle de la caméra.")</f>
        <v>Un homme dans un sweat à capuche noir parle de la caméra.</v>
      </c>
    </row>
    <row r="24264">
      <c r="A24264" s="4" t="s">
        <v>30530</v>
      </c>
      <c r="B24264" s="4" t="s">
        <v>30532</v>
      </c>
      <c r="C24264" s="5" t="str">
        <f>IFERROR(__xludf.DUMMYFUNCTION("GOOGLETRANSLATE(B24264,""en"",""fr"")"),"Un deuxième homme dans un sweat à capuche bleu entre et parle à la caméra.")</f>
        <v>Un deuxième homme dans un sweat à capuche bleu entre et parle à la caméra.</v>
      </c>
    </row>
    <row r="24265">
      <c r="A24265" s="4" t="s">
        <v>30530</v>
      </c>
      <c r="B24265" s="4" t="s">
        <v>30533</v>
      </c>
      <c r="C24265" s="5" t="str">
        <f>IFERROR(__xludf.DUMMYFUNCTION("GOOGLETRANSLATE(B24265,""en"",""fr"")"),"L'homme dans le sweat à capuche noir montre un lavage de bouteille de bouche.")</f>
        <v>L'homme dans le sweat à capuche noir montre un lavage de bouteille de bouche.</v>
      </c>
    </row>
    <row r="24266">
      <c r="A24266" s="4" t="s">
        <v>30530</v>
      </c>
      <c r="B24266" s="4" t="s">
        <v>30534</v>
      </c>
      <c r="C24266" s="5" t="str">
        <f>IFERROR(__xludf.DUMMYFUNCTION("GOOGLETRANSLATE(B24266,""en"",""fr"")"),"Les deux hommes se parlent.")</f>
        <v>Les deux hommes se parlent.</v>
      </c>
    </row>
    <row r="24267">
      <c r="A24267" s="4" t="s">
        <v>30530</v>
      </c>
      <c r="B24267" s="4" t="s">
        <v>30535</v>
      </c>
      <c r="C24267" s="5" t="str">
        <f>IFERROR(__xludf.DUMMYFUNCTION("GOOGLETRANSLATE(B24267,""en"",""fr"")"),"L'homme dans le sweat à capuche bleu verse le rince-bouche dans deux verres.")</f>
        <v>L'homme dans le sweat à capuche bleu verse le rince-bouche dans deux verres.</v>
      </c>
    </row>
    <row r="24268">
      <c r="A24268" s="4" t="s">
        <v>30530</v>
      </c>
      <c r="B24268" s="4" t="s">
        <v>30536</v>
      </c>
      <c r="C24268" s="5" t="str">
        <f>IFERROR(__xludf.DUMMYFUNCTION("GOOGLETRANSLATE(B24268,""en"",""fr"")"),"Les deux hommes suivent des cours et ""se sont applaudis"".")</f>
        <v>Les deux hommes suivent des cours et "se sont applaudis".</v>
      </c>
    </row>
    <row r="24269">
      <c r="A24269" s="4" t="s">
        <v>30530</v>
      </c>
      <c r="B24269" s="4" t="s">
        <v>30537</v>
      </c>
      <c r="C24269" s="5" t="str">
        <f>IFERROR(__xludf.DUMMYFUNCTION("GOOGLETRANSLATE(B24269,""en"",""fr"")"),"Les deux hommes gardent le rince-bouche dans leur bouche.")</f>
        <v>Les deux hommes gardent le rince-bouche dans leur bouche.</v>
      </c>
    </row>
    <row r="24270">
      <c r="A24270" s="4" t="s">
        <v>30530</v>
      </c>
      <c r="B24270" s="4" t="s">
        <v>30538</v>
      </c>
      <c r="C24270" s="5" t="str">
        <f>IFERROR(__xludf.DUMMYFUNCTION("GOOGLETRANSLATE(B24270,""en"",""fr"")"),"L'homme dans le sweat à capuche noir montre son t-shirt.")</f>
        <v>L'homme dans le sweat à capuche noir montre son t-shirt.</v>
      </c>
    </row>
    <row r="24271">
      <c r="A24271" s="4" t="s">
        <v>30530</v>
      </c>
      <c r="B24271" s="4" t="s">
        <v>30539</v>
      </c>
      <c r="C24271" s="5" t="str">
        <f>IFERROR(__xludf.DUMMYFUNCTION("GOOGLETRANSLATE(B24271,""en"",""fr"")"),"Les deux hommes montrent des signes qui s'insultent et essaient de se faire rire.")</f>
        <v>Les deux hommes montrent des signes qui s'insultent et essaient de se faire rire.</v>
      </c>
    </row>
    <row r="24272">
      <c r="A24272" s="4" t="s">
        <v>30530</v>
      </c>
      <c r="B24272" s="4" t="s">
        <v>30540</v>
      </c>
      <c r="C24272" s="5" t="str">
        <f>IFERROR(__xludf.DUMMYFUNCTION("GOOGLETRANSLATE(B24272,""en"",""fr"")"),"L'homme dans le sweat à capuche bleu rit en premier.")</f>
        <v>L'homme dans le sweat à capuche bleu rit en premier.</v>
      </c>
    </row>
    <row r="24273">
      <c r="A24273" s="4" t="s">
        <v>30530</v>
      </c>
      <c r="B24273" s="4" t="s">
        <v>30541</v>
      </c>
      <c r="C24273" s="5" t="str">
        <f>IFERROR(__xludf.DUMMYFUNCTION("GOOGLETRANSLATE(B24273,""en"",""fr"")"),"Les hommes crachent le rince-bouche dans l'évier.")</f>
        <v>Les hommes crachent le rince-bouche dans l'évier.</v>
      </c>
    </row>
    <row r="24274">
      <c r="A24274" s="4" t="s">
        <v>30542</v>
      </c>
      <c r="B24274" s="4" t="s">
        <v>30543</v>
      </c>
      <c r="C24274" s="5" t="str">
        <f>IFERROR(__xludf.DUMMYFUNCTION("GOOGLETRANSLATE(B24274,""en"",""fr"")"),"Un homme et une femme sont vus marcher sur une grande scène les uns des autres.")</f>
        <v>Un homme et une femme sont vus marcher sur une grande scène les uns des autres.</v>
      </c>
    </row>
    <row r="24275">
      <c r="A24275" s="4" t="s">
        <v>30542</v>
      </c>
      <c r="B24275" s="4" t="s">
        <v>30544</v>
      </c>
      <c r="C24275" s="5" t="str">
        <f>IFERROR(__xludf.DUMMYFUNCTION("GOOGLETRANSLATE(B24275,""en"",""fr"")"),"Les deux commencent alors à effectuer une routine de tango entre eux.")</f>
        <v>Les deux commencent alors à effectuer une routine de tango entre eux.</v>
      </c>
    </row>
    <row r="24276">
      <c r="A24276" s="4" t="s">
        <v>30542</v>
      </c>
      <c r="B24276" s="4" t="s">
        <v>30545</v>
      </c>
      <c r="C24276" s="5" t="str">
        <f>IFERROR(__xludf.DUMMYFUNCTION("GOOGLETRANSLATE(B24276,""en"",""fr"")"),"L'homme soulève la femme tout autour pendant qu'ils continuent de danser et se terminent en holant une pose.")</f>
        <v>L'homme soulève la femme tout autour pendant qu'ils continuent de danser et se terminent en holant une pose.</v>
      </c>
    </row>
    <row r="24277">
      <c r="A24277" s="4" t="s">
        <v>30546</v>
      </c>
      <c r="B24277" s="4" t="s">
        <v>30547</v>
      </c>
      <c r="C24277" s="5" t="str">
        <f>IFERROR(__xludf.DUMMYFUNCTION("GOOGLETRANSLATE(B24277,""en"",""fr"")"),"Un adolescent et une fille sont assis dans la voiture S qui fument à partir d'un tuyau.")</f>
        <v>Un adolescent et une fille sont assis dans la voiture S qui fument à partir d'un tuyau.</v>
      </c>
    </row>
    <row r="24278">
      <c r="A24278" s="4" t="s">
        <v>30546</v>
      </c>
      <c r="B24278" s="4" t="s">
        <v>30548</v>
      </c>
      <c r="C24278" s="5" t="str">
        <f>IFERROR(__xludf.DUMMYFUNCTION("GOOGLETRANSLATE(B24278,""en"",""fr"")"),"La fille et le garçon soufflent à tour de rôle.")</f>
        <v>La fille et le garçon soufflent à tour de rôle.</v>
      </c>
    </row>
    <row r="24279">
      <c r="A24279" s="4" t="s">
        <v>30549</v>
      </c>
      <c r="B24279" s="4" t="s">
        <v>30550</v>
      </c>
      <c r="C24279" s="5" t="str">
        <f>IFERROR(__xludf.DUMMYFUNCTION("GOOGLETRANSLATE(B24279,""en"",""fr"")"),"Un homme lance des fléchettes sur une planche de fléchettes.")</f>
        <v>Un homme lance des fléchettes sur une planche de fléchettes.</v>
      </c>
    </row>
    <row r="24280">
      <c r="A24280" s="4" t="s">
        <v>30549</v>
      </c>
      <c r="B24280" s="4" t="s">
        <v>30551</v>
      </c>
      <c r="C24280" s="5" t="str">
        <f>IFERROR(__xludf.DUMMYFUNCTION("GOOGLETRANSLATE(B24280,""en"",""fr"")"),"Il pointe les mots sur sa chemise.")</f>
        <v>Il pointe les mots sur sa chemise.</v>
      </c>
    </row>
    <row r="24281">
      <c r="A24281" s="4" t="s">
        <v>30549</v>
      </c>
      <c r="B24281" s="4" t="s">
        <v>30552</v>
      </c>
      <c r="C24281" s="5" t="str">
        <f>IFERROR(__xludf.DUMMYFUNCTION("GOOGLETRANSLATE(B24281,""en"",""fr"")"),"Il montre les fléchettes dans la planche de fléchettes.")</f>
        <v>Il montre les fléchettes dans la planche de fléchettes.</v>
      </c>
    </row>
    <row r="24282">
      <c r="A24282" s="4" t="s">
        <v>30549</v>
      </c>
      <c r="B24282" s="4" t="s">
        <v>30553</v>
      </c>
      <c r="C24282" s="5" t="str">
        <f>IFERROR(__xludf.DUMMYFUNCTION("GOOGLETRANSLATE(B24282,""en"",""fr"")"),"Il montre sa main tout en jetant la fléchette.")</f>
        <v>Il montre sa main tout en jetant la fléchette.</v>
      </c>
    </row>
    <row r="24283">
      <c r="A24283" s="4" t="s">
        <v>30554</v>
      </c>
      <c r="B24283" s="4" t="s">
        <v>30555</v>
      </c>
      <c r="C24283" s="5" t="str">
        <f>IFERROR(__xludf.DUMMYFUNCTION("GOOGLETRANSLATE(B24283,""en"",""fr"")"),"Une personne est vue agenouillée dans un grand trou frottant le plâtre le long d'un mur.")</f>
        <v>Une personne est vue agenouillée dans un grand trou frottant le plâtre le long d'un mur.</v>
      </c>
    </row>
    <row r="24284">
      <c r="A24284" s="4" t="s">
        <v>30554</v>
      </c>
      <c r="B24284" s="4" t="s">
        <v>30556</v>
      </c>
      <c r="C24284" s="5" t="str">
        <f>IFERROR(__xludf.DUMMYFUNCTION("GOOGLETRANSLATE(B24284,""en"",""fr"")"),"L'homme frotte le plâtre à l'aide d'un outil et se lève pour saisir du papier.")</f>
        <v>L'homme frotte le plâtre à l'aide d'un outil et se lève pour saisir du papier.</v>
      </c>
    </row>
    <row r="24285">
      <c r="A24285" s="4" t="s">
        <v>30554</v>
      </c>
      <c r="B24285" s="4" t="s">
        <v>30557</v>
      </c>
      <c r="C24285" s="5" t="str">
        <f>IFERROR(__xludf.DUMMYFUNCTION("GOOGLETRANSLATE(B24285,""en"",""fr"")"),"Il frotte le papier le long du mur et se termine en regardant la caméra.")</f>
        <v>Il frotte le papier le long du mur et se termine en regardant la caméra.</v>
      </c>
    </row>
    <row r="24286">
      <c r="A24286" s="4" t="s">
        <v>30558</v>
      </c>
      <c r="B24286" s="4" t="s">
        <v>30559</v>
      </c>
      <c r="C24286" s="5" t="str">
        <f>IFERROR(__xludf.DUMMYFUNCTION("GOOGLETRANSLATE(B24286,""en"",""fr"")"),"Un homme avec une barbe joue sur un tambour vert.")</f>
        <v>Un homme avec une barbe joue sur un tambour vert.</v>
      </c>
    </row>
    <row r="24287">
      <c r="A24287" s="4" t="s">
        <v>30558</v>
      </c>
      <c r="B24287" s="4" t="s">
        <v>30560</v>
      </c>
      <c r="C24287" s="5" t="str">
        <f>IFERROR(__xludf.DUMMYFUNCTION("GOOGLETRANSLATE(B24287,""en"",""fr"")"),"L'homme commence à ajouter un deuxième tambour au mélange.")</f>
        <v>L'homme commence à ajouter un deuxième tambour au mélange.</v>
      </c>
    </row>
    <row r="24288">
      <c r="A24288" s="4" t="s">
        <v>30558</v>
      </c>
      <c r="B24288" s="4" t="s">
        <v>30561</v>
      </c>
      <c r="C24288" s="5" t="str">
        <f>IFERROR(__xludf.DUMMYFUNCTION("GOOGLETRANSLATE(B24288,""en"",""fr"")"),"Un troisième tambour est ajouté au mélange de batterie.")</f>
        <v>Un troisième tambour est ajouté au mélange de batterie.</v>
      </c>
    </row>
    <row r="24289">
      <c r="A24289" s="4" t="s">
        <v>30562</v>
      </c>
      <c r="B24289" s="4" t="s">
        <v>30563</v>
      </c>
      <c r="C24289" s="5" t="str">
        <f>IFERROR(__xludf.DUMMYFUNCTION("GOOGLETRANSLATE(B24289,""en"",""fr"")"),"Nous voyons des gens qui tiennent leurs téléphones pour enregistrer.")</f>
        <v>Nous voyons des gens qui tiennent leurs téléphones pour enregistrer.</v>
      </c>
    </row>
    <row r="24290">
      <c r="A24290" s="4" t="s">
        <v>30562</v>
      </c>
      <c r="B24290" s="4" t="s">
        <v>30564</v>
      </c>
      <c r="C24290" s="5" t="str">
        <f>IFERROR(__xludf.DUMMYFUNCTION("GOOGLETRANSLATE(B24290,""en"",""fr"")"),"Nous voyons ensuite un homme jouer un piano.")</f>
        <v>Nous voyons ensuite un homme jouer un piano.</v>
      </c>
    </row>
    <row r="24291">
      <c r="A24291" s="4" t="s">
        <v>30562</v>
      </c>
      <c r="B24291" s="4" t="s">
        <v>30565</v>
      </c>
      <c r="C24291" s="5" t="str">
        <f>IFERROR(__xludf.DUMMYFUNCTION("GOOGLETRANSLATE(B24291,""en"",""fr"")"),"La caméra se déplace dans le dos de l'homme.")</f>
        <v>La caméra se déplace dans le dos de l'homme.</v>
      </c>
    </row>
    <row r="24292">
      <c r="A24292" s="4" t="s">
        <v>30562</v>
      </c>
      <c r="B24292" s="4" t="s">
        <v>30566</v>
      </c>
      <c r="C24292" s="5" t="str">
        <f>IFERROR(__xludf.DUMMYFUNCTION("GOOGLETRANSLATE(B24292,""en"",""fr"")"),"La foule applaudit alors l'homme.")</f>
        <v>La foule applaudit alors l'homme.</v>
      </c>
    </row>
    <row r="24293">
      <c r="A24293" s="4" t="s">
        <v>30562</v>
      </c>
      <c r="B24293" s="4" t="s">
        <v>30567</v>
      </c>
      <c r="C24293" s="5" t="str">
        <f>IFERROR(__xludf.DUMMYFUNCTION("GOOGLETRANSLATE(B24293,""en"",""fr"")"),"L'homme lève les yeux et parle.")</f>
        <v>L'homme lève les yeux et parle.</v>
      </c>
    </row>
    <row r="24294">
      <c r="A24294" s="4" t="s">
        <v>30568</v>
      </c>
      <c r="B24294" s="6" t="s">
        <v>30569</v>
      </c>
      <c r="C24294" s="5" t="str">
        <f>IFERROR(__xludf.DUMMYFUNCTION("GOOGLETRANSLATE(B24294,""en"",""fr"")"),"Les gens sont à l'intérieur et l'accent est mis sur divers clips de différentes personnes se clôturant.")</f>
        <v>Les gens sont à l'intérieur et l'accent est mis sur divers clips de différentes personnes se clôturant.</v>
      </c>
    </row>
    <row r="24295">
      <c r="A24295" s="4" t="s">
        <v>30568</v>
      </c>
      <c r="B24295" s="6" t="s">
        <v>30570</v>
      </c>
      <c r="C24295" s="5" t="str">
        <f>IFERROR(__xludf.DUMMYFUNCTION("GOOGLETRANSLATE(B24295,""en"",""fr"")"),"Un match d'escrime entre deux femmes commencent et le libellé à l'écran dit que leurs noms sont Michelle Li &amp; Cindy Gao, et on leur montre des combats sous différents angles faisant de nombreux mouvements d'escrime.")</f>
        <v>Un match d'escrime entre deux femmes commencent et le libellé à l'écran dit que leurs noms sont Michelle Li &amp; Cindy Gao, et on leur montre des combats sous différents angles faisant de nombreux mouvements d'escrime.</v>
      </c>
    </row>
    <row r="24296">
      <c r="A24296" s="4" t="s">
        <v>30568</v>
      </c>
      <c r="B24296" s="6" t="s">
        <v>30571</v>
      </c>
      <c r="C24296" s="5" t="str">
        <f>IFERROR(__xludf.DUMMYFUNCTION("GOOGLETRANSLATE(B24296,""en"",""fr"")"),"Quand ils ont fini de se battre, les femmes sont montrées debout, souriant, et la femme de gauche a le bras reposant sur l'épaule de la femme à droite.")</f>
        <v>Quand ils ont fini de se battre, les femmes sont montrées debout, souriant, et la femme de gauche a le bras reposant sur l'épaule de la femme à droite.</v>
      </c>
    </row>
    <row r="24297">
      <c r="A24297" s="4" t="s">
        <v>30568</v>
      </c>
      <c r="B24297" s="6" t="s">
        <v>30572</v>
      </c>
      <c r="C24297" s="5" t="str">
        <f>IFERROR(__xludf.DUMMYFUNCTION("GOOGLETRANSLATE(B24297,""en"",""fr"")"),"L'Undro est un écran blanc avec plusieurs couleurs qui incluent les logos, le site Web et le nom de l'événement.")</f>
        <v>L'Undro est un écran blanc avec plusieurs couleurs qui incluent les logos, le site Web et le nom de l'événement.</v>
      </c>
    </row>
    <row r="24298">
      <c r="A24298" s="4" t="s">
        <v>30573</v>
      </c>
      <c r="B24298" s="6" t="s">
        <v>30574</v>
      </c>
      <c r="C24298" s="5" t="str">
        <f>IFERROR(__xludf.DUMMYFUNCTION("GOOGLETRANSLATE(B24298,""en"",""fr"")"),"Une femme sourit assis dans un tatouage assis sur la chaise en attendant patiemment, souriant et étant trop amical.")</f>
        <v>Une femme sourit assis dans un tatouage assis sur la chaise en attendant patiemment, souriant et étant trop amical.</v>
      </c>
    </row>
    <row r="24299">
      <c r="A24299" s="4" t="s">
        <v>30573</v>
      </c>
      <c r="B24299" s="4" t="s">
        <v>30575</v>
      </c>
      <c r="C24299" s="5" t="str">
        <f>IFERROR(__xludf.DUMMYFUNCTION("GOOGLETRANSLATE(B24299,""en"",""fr"")"),"Il porte des gants et attrape une pince puis HR le met dans sa bouche et serre sa lèvre avec.")</f>
        <v>Il porte des gants et attrape une pince puis HR le met dans sa bouche et serre sa lèvre avec.</v>
      </c>
    </row>
    <row r="24300">
      <c r="A24300" s="4" t="s">
        <v>30573</v>
      </c>
      <c r="B24300" s="4" t="s">
        <v>30576</v>
      </c>
      <c r="C24300" s="5" t="str">
        <f>IFERROR(__xludf.DUMMYFUNCTION("GOOGLETRANSLATE(B24300,""en"",""fr"")"),"Ensuite, attrape une aiguille et le colle à travers sa lèvre, il obtient un piercing et le met pour elle.")</f>
        <v>Ensuite, attrape une aiguille et le colle à travers sa lèvre, il obtient un piercing et le met pour elle.</v>
      </c>
    </row>
    <row r="24301">
      <c r="A24301" s="4" t="s">
        <v>30573</v>
      </c>
      <c r="B24301" s="4" t="s">
        <v>30577</v>
      </c>
      <c r="C24301" s="5" t="str">
        <f>IFERROR(__xludf.DUMMYFUNCTION("GOOGLETRANSLATE(B24301,""en"",""fr"")"),"Après cela, elle se lève de la chaise et se dirige vers le miroir pour le vérifier par elle-même.")</f>
        <v>Après cela, elle se lève de la chaise et se dirige vers le miroir pour le vérifier par elle-même.</v>
      </c>
    </row>
    <row r="24302">
      <c r="A24302" s="4" t="s">
        <v>30578</v>
      </c>
      <c r="B24302" s="4" t="s">
        <v>30579</v>
      </c>
      <c r="C24302" s="5" t="str">
        <f>IFERROR(__xludf.DUMMYFUNCTION("GOOGLETRANSLATE(B24302,""en"",""fr"")"),"Une petite fille est vue de hula à maintes reprises avec ses mains sur ses hanches.")</f>
        <v>Une petite fille est vue de hula à maintes reprises avec ses mains sur ses hanches.</v>
      </c>
    </row>
    <row r="24303">
      <c r="A24303" s="4" t="s">
        <v>30578</v>
      </c>
      <c r="B24303" s="6" t="s">
        <v>30580</v>
      </c>
      <c r="C24303" s="5" t="str">
        <f>IFERROR(__xludf.DUMMYFUNCTION("GOOGLETRANSLATE(B24303,""en"",""fr"")"),"La fille tourne avec le cerceau se déplaçant de ses pieds à ses genoux ainsi que le reste de son corps.")</f>
        <v>La fille tourne avec le cerceau se déplaçant de ses pieds à ses genoux ainsi que le reste de son corps.</v>
      </c>
    </row>
    <row r="24304">
      <c r="A24304" s="4" t="s">
        <v>30578</v>
      </c>
      <c r="B24304" s="6" t="s">
        <v>30581</v>
      </c>
      <c r="C24304" s="5" t="str">
        <f>IFERROR(__xludf.DUMMYFUNCTION("GOOGLETRANSLATE(B24304,""en"",""fr"")"),"À un moment donné, elle lance le cerceau accidentellement mais la ramène et continue de tourner avec.")</f>
        <v>À un moment donné, elle lance le cerceau accidentellement mais la ramène et continue de tourner avec.</v>
      </c>
    </row>
    <row r="24305">
      <c r="A24305" s="4" t="s">
        <v>30578</v>
      </c>
      <c r="B24305" s="4" t="s">
        <v>30582</v>
      </c>
      <c r="C24305" s="5" t="str">
        <f>IFERROR(__xludf.DUMMYFUNCTION("GOOGLETRANSLATE(B24305,""en"",""fr"")"),"À la fin, elle tombe au sol avec le cerceau toujours dans ses mains.")</f>
        <v>À la fin, elle tombe au sol avec le cerceau toujours dans ses mains.</v>
      </c>
    </row>
    <row r="24306">
      <c r="A24306" s="4" t="s">
        <v>30583</v>
      </c>
      <c r="B24306" s="4" t="s">
        <v>30584</v>
      </c>
      <c r="C24306" s="5" t="str">
        <f>IFERROR(__xludf.DUMMYFUNCTION("GOOGLETRANSLATE(B24306,""en"",""fr"")"),"Il y a des surfeurs roulant sur une très grande vague.")</f>
        <v>Il y a des surfeurs roulant sur une très grande vague.</v>
      </c>
    </row>
    <row r="24307">
      <c r="A24307" s="4" t="s">
        <v>30583</v>
      </c>
      <c r="B24307" s="6" t="s">
        <v>30585</v>
      </c>
      <c r="C24307" s="5" t="str">
        <f>IFERROR(__xludf.DUMMYFUNCTION("GOOGLETRANSLATE(B24307,""en"",""fr"")"),"Une onde blanche s'écrase et le surfeur en dessous disparaît alors que la grande mousse blanche de la vague se propage à une très grande zone sur l'eau.")</f>
        <v>Une onde blanche s'écrase et le surfeur en dessous disparaît alors que la grande mousse blanche de la vague se propage à une très grande zone sur l'eau.</v>
      </c>
    </row>
    <row r="24308">
      <c r="A24308" s="4" t="s">
        <v>30583</v>
      </c>
      <c r="B24308" s="6" t="s">
        <v>30586</v>
      </c>
      <c r="C24308" s="5" t="str">
        <f>IFERROR(__xludf.DUMMYFUNCTION("GOOGLETRANSLATE(B24308,""en"",""fr"")"),"Les hommes sur les avions d'eau vont rapidement dans la zone où les surfeurs pourraient être et ils les récupérent de l'eau et s'éloignent rapidement de la vague alors qu'ils passent d'autres surfeurs et des conducteurs de jet d'eau alors qu'ils continuen"&amp;"t de rouler sur les vagues.")</f>
        <v>Les hommes sur les avions d'eau vont rapidement dans la zone où les surfeurs pourraient être et ils les récupérent de l'eau et s'éloignent rapidement de la vague alors qu'ils passent d'autres surfeurs et des conducteurs de jet d'eau alors qu'ils continuent de rouler sur les vagues.</v>
      </c>
    </row>
    <row r="24309">
      <c r="A24309" s="4" t="s">
        <v>30583</v>
      </c>
      <c r="B24309" s="6" t="s">
        <v>30587</v>
      </c>
      <c r="C24309" s="5" t="str">
        <f>IFERROR(__xludf.DUMMYFUNCTION("GOOGLETRANSLATE(B24309,""en"",""fr"")"),"Maintenant, la vue passe à la vue à partir d'un hélicoptère ci-dessus et montre les personnes sur l'eau qui entraînent leurs jets d'eau.")</f>
        <v>Maintenant, la vue passe à la vue à partir d'un hélicoptère ci-dessus et montre les personnes sur l'eau qui entraînent leurs jets d'eau.</v>
      </c>
    </row>
    <row r="24310">
      <c r="A24310" s="4" t="s">
        <v>30583</v>
      </c>
      <c r="B24310" s="6" t="s">
        <v>30588</v>
      </c>
      <c r="C24310" s="5" t="str">
        <f>IFERROR(__xludf.DUMMYFUNCTION("GOOGLETRANSLATE(B24310,""en"",""fr"")"),"Un écran noir apparaît et il comprend un lettrage blanc qui dit ""Shot on Red One par Mike Waltze"" et comprend un site Web puis le mot ""gracieuseté Nanogreenshawaii Dot com Instant Organic Nutrition"".")</f>
        <v>Un écran noir apparaît et il comprend un lettrage blanc qui dit "Shot on Red One par Mike Waltze" et comprend un site Web puis le mot "gracieuseté Nanogreenshawaii Dot com Instant Organic Nutrition".</v>
      </c>
    </row>
    <row r="24311">
      <c r="A24311" s="4" t="s">
        <v>30589</v>
      </c>
      <c r="B24311" s="4" t="s">
        <v>30590</v>
      </c>
      <c r="C24311" s="5" t="str">
        <f>IFERROR(__xludf.DUMMYFUNCTION("GOOGLETRANSLATE(B24311,""en"",""fr"")"),"Un homme habillé en arbitre est montré dans une patinoire de hockey.")</f>
        <v>Un homme habillé en arbitre est montré dans une patinoire de hockey.</v>
      </c>
    </row>
    <row r="24312">
      <c r="A24312" s="4" t="s">
        <v>30589</v>
      </c>
      <c r="B24312" s="4" t="s">
        <v>30591</v>
      </c>
      <c r="C24312" s="5" t="str">
        <f>IFERROR(__xludf.DUMMYFUNCTION("GOOGLETRANSLATE(B24312,""en"",""fr"")"),"Un certain nombre d'hommes jouent sont montrés en jouant au hockey.")</f>
        <v>Un certain nombre d'hommes jouent sont montrés en jouant au hockey.</v>
      </c>
    </row>
    <row r="24313">
      <c r="A24313" s="4" t="s">
        <v>30589</v>
      </c>
      <c r="B24313" s="4" t="s">
        <v>30592</v>
      </c>
      <c r="C24313" s="5" t="str">
        <f>IFERROR(__xludf.DUMMYFUNCTION("GOOGLETRANSLATE(B24313,""en"",""fr"")"),"Plusieurs des joueurs de hockey commencent un combat.")</f>
        <v>Plusieurs des joueurs de hockey commencent un combat.</v>
      </c>
    </row>
    <row r="24314">
      <c r="A24314" s="4" t="s">
        <v>30593</v>
      </c>
      <c r="B24314" s="4" t="s">
        <v>30594</v>
      </c>
      <c r="C24314" s="5" t="str">
        <f>IFERROR(__xludf.DUMMYFUNCTION("GOOGLETRANSLATE(B24314,""en"",""fr"")"),"Les gens marchent dans la rue avec une fanfare.")</f>
        <v>Les gens marchent dans la rue avec une fanfare.</v>
      </c>
    </row>
    <row r="24315">
      <c r="A24315" s="4" t="s">
        <v>30593</v>
      </c>
      <c r="B24315" s="4" t="s">
        <v>30595</v>
      </c>
      <c r="C24315" s="5" t="str">
        <f>IFERROR(__xludf.DUMMYFUNCTION("GOOGLETRANSLATE(B24315,""en"",""fr"")"),"Les hommes en gilet vert marchent des deux côtés du défilé.")</f>
        <v>Les hommes en gilet vert marchent des deux côtés du défilé.</v>
      </c>
    </row>
    <row r="24316">
      <c r="A24316" s="4" t="s">
        <v>30593</v>
      </c>
      <c r="B24316" s="4" t="s">
        <v>30596</v>
      </c>
      <c r="C24316" s="5" t="str">
        <f>IFERROR(__xludf.DUMMYFUNCTION("GOOGLETRANSLATE(B24316,""en"",""fr"")"),"L'homme en veste verte néon prend une photo du défilé.")</f>
        <v>L'homme en veste verte néon prend une photo du défilé.</v>
      </c>
    </row>
    <row r="24317">
      <c r="A24317" s="4" t="s">
        <v>30597</v>
      </c>
      <c r="B24317" s="4" t="s">
        <v>30598</v>
      </c>
      <c r="C24317" s="5" t="str">
        <f>IFERROR(__xludf.DUMMYFUNCTION("GOOGLETRANSLATE(B24317,""en"",""fr"")"),"Il y a un jeune homme à rouler à travers une route vide à deux voies qui a des arbres des deux côtés.")</f>
        <v>Il y a un jeune homme à rouler à travers une route vide à deux voies qui a des arbres des deux côtés.</v>
      </c>
    </row>
    <row r="24318">
      <c r="A24318" s="4" t="s">
        <v>30597</v>
      </c>
      <c r="B24318" s="4" t="s">
        <v>30599</v>
      </c>
      <c r="C24318" s="5" t="str">
        <f>IFERROR(__xludf.DUMMYFUNCTION("GOOGLETRANSLATE(B24318,""en"",""fr"")"),"Il passe régulièrement à travers la route longue et sinueuse sans s'arrêter.")</f>
        <v>Il passe régulièrement à travers la route longue et sinueuse sans s'arrêter.</v>
      </c>
    </row>
    <row r="24319">
      <c r="A24319" s="4" t="s">
        <v>30597</v>
      </c>
      <c r="B24319" s="4" t="s">
        <v>30600</v>
      </c>
      <c r="C24319" s="5" t="str">
        <f>IFERROR(__xludf.DUMMYFUNCTION("GOOGLETRANSLATE(B24319,""en"",""fr"")"),"Il traverse les courbes et se retourne pour ajuster sa vitesse.")</f>
        <v>Il traverse les courbes et se retourne pour ajuster sa vitesse.</v>
      </c>
    </row>
    <row r="24320">
      <c r="A24320" s="4" t="s">
        <v>30597</v>
      </c>
      <c r="B24320" s="6" t="s">
        <v>30601</v>
      </c>
      <c r="C24320" s="5" t="str">
        <f>IFERROR(__xludf.DUMMYFUNCTION("GOOGLETRANSLATE(B24320,""en"",""fr"")"),"Puis à l'approche d'une courbe abrupte, il essaie de se tourner mais finit par tomber et se meurtrira.")</f>
        <v>Puis à l'approche d'une courbe abrupte, il essaie de se tourner mais finit par tomber et se meurtrira.</v>
      </c>
    </row>
    <row r="24321">
      <c r="A24321" s="4" t="s">
        <v>30597</v>
      </c>
      <c r="B24321" s="4" t="s">
        <v>30602</v>
      </c>
      <c r="C24321" s="5" t="str">
        <f>IFERROR(__xludf.DUMMYFUNCTION("GOOGLETRANSLATE(B24321,""en"",""fr"")"),"Il se lève immédiatement et montre à ses amis son coude gratté et blessé.")</f>
        <v>Il se lève immédiatement et montre à ses amis son coude gratté et blessé.</v>
      </c>
    </row>
    <row r="24322">
      <c r="A24322" s="4" t="s">
        <v>30597</v>
      </c>
      <c r="B24322" s="4" t="s">
        <v>30603</v>
      </c>
      <c r="C24322" s="5" t="str">
        <f>IFERROR(__xludf.DUMMYFUNCTION("GOOGLETRANSLATE(B24322,""en"",""fr"")"),"Un autre de ses amis montre également ses blessures qu'il a eues de la planche à roulettes.")</f>
        <v>Un autre de ses amis montre également ses blessures qu'il a eues de la planche à roulettes.</v>
      </c>
    </row>
    <row r="24323">
      <c r="A24323" s="4" t="s">
        <v>30604</v>
      </c>
      <c r="B24323" s="4" t="s">
        <v>30605</v>
      </c>
      <c r="C24323" s="5" t="str">
        <f>IFERROR(__xludf.DUMMYFUNCTION("GOOGLETRANSLATE(B24323,""en"",""fr"")"),"Un montage de sprint de canoë est montré.")</f>
        <v>Un montage de sprint de canoë est montré.</v>
      </c>
    </row>
    <row r="24324">
      <c r="A24324" s="4" t="s">
        <v>30604</v>
      </c>
      <c r="B24324" s="4" t="s">
        <v>30606</v>
      </c>
      <c r="C24324" s="5" t="str">
        <f>IFERROR(__xludf.DUMMYFUNCTION("GOOGLETRANSLATE(B24324,""en"",""fr"")"),"Les gagnants célèbrent et les hommes et les femmes sont présentés.")</f>
        <v>Les gagnants célèbrent et les hommes et les femmes sont présentés.</v>
      </c>
    </row>
    <row r="24325">
      <c r="A24325" s="4" t="s">
        <v>30607</v>
      </c>
      <c r="B24325" s="4" t="s">
        <v>30608</v>
      </c>
      <c r="C24325" s="5" t="str">
        <f>IFERROR(__xludf.DUMMYFUNCTION("GOOGLETRANSLATE(B24325,""en"",""fr"")"),"Une introduction vient à l'écran sur une vidéo montrant comment tripler le saut.")</f>
        <v>Une introduction vient à l'écran sur une vidéo montrant comment tripler le saut.</v>
      </c>
    </row>
    <row r="24326">
      <c r="A24326" s="4" t="s">
        <v>30607</v>
      </c>
      <c r="B24326" s="4" t="s">
        <v>30609</v>
      </c>
      <c r="C24326" s="5" t="str">
        <f>IFERROR(__xludf.DUMMYFUNCTION("GOOGLETRANSLATE(B24326,""en"",""fr"")"),"Un gars est montré qui coule sur une piste faisant un saut.")</f>
        <v>Un gars est montré qui coule sur une piste faisant un saut.</v>
      </c>
    </row>
    <row r="24327">
      <c r="A24327" s="4" t="s">
        <v>30607</v>
      </c>
      <c r="B24327" s="4" t="s">
        <v>30610</v>
      </c>
      <c r="C24327" s="5" t="str">
        <f>IFERROR(__xludf.DUMMYFUNCTION("GOOGLETRANSLATE(B24327,""en"",""fr"")"),"Le saut est à nouveau montré au ralenti pour une meilleure compréhension.")</f>
        <v>Le saut est à nouveau montré au ralenti pour une meilleure compréhension.</v>
      </c>
    </row>
    <row r="24328">
      <c r="A24328" s="4" t="s">
        <v>30607</v>
      </c>
      <c r="B24328" s="4" t="s">
        <v>30611</v>
      </c>
      <c r="C24328" s="5" t="str">
        <f>IFERROR(__xludf.DUMMYFUNCTION("GOOGLETRANSLATE(B24328,""en"",""fr"")"),"Le gars est ensuite montré en sortant de la piste.")</f>
        <v>Le gars est ensuite montré en sortant de la piste.</v>
      </c>
    </row>
    <row r="24329">
      <c r="A24329" s="4" t="s">
        <v>30612</v>
      </c>
      <c r="B24329" s="4" t="s">
        <v>30613</v>
      </c>
      <c r="C24329" s="5" t="str">
        <f>IFERROR(__xludf.DUMMYFUNCTION("GOOGLETRANSLATE(B24329,""en"",""fr"")"),"Une personne lave une voiture.")</f>
        <v>Une personne lave une voiture.</v>
      </c>
    </row>
    <row r="24330">
      <c r="A24330" s="4" t="s">
        <v>30612</v>
      </c>
      <c r="B24330" s="4" t="s">
        <v>30614</v>
      </c>
      <c r="C24330" s="5" t="str">
        <f>IFERROR(__xludf.DUMMYFUNCTION("GOOGLETRANSLATE(B24330,""en"",""fr"")"),"La personne change de mains et se lave avec leur autre main.")</f>
        <v>La personne change de mains et se lave avec leur autre main.</v>
      </c>
    </row>
    <row r="24331">
      <c r="A24331" s="4" t="s">
        <v>30612</v>
      </c>
      <c r="B24331" s="4" t="s">
        <v>30615</v>
      </c>
      <c r="C24331" s="5" t="str">
        <f>IFERROR(__xludf.DUMMYFUNCTION("GOOGLETRANSLATE(B24331,""en"",""fr"")"),"Ils utilisent ensuite les deux mains.")</f>
        <v>Ils utilisent ensuite les deux mains.</v>
      </c>
    </row>
    <row r="24332">
      <c r="A24332" s="4" t="s">
        <v>30616</v>
      </c>
      <c r="B24332" s="4" t="s">
        <v>30617</v>
      </c>
      <c r="C24332" s="5" t="str">
        <f>IFERROR(__xludf.DUMMYFUNCTION("GOOGLETRANSLATE(B24332,""en"",""fr"")"),"Un homme se penche sur une grande table de billard.")</f>
        <v>Un homme se penche sur une grande table de billard.</v>
      </c>
    </row>
    <row r="24333">
      <c r="A24333" s="4" t="s">
        <v>30616</v>
      </c>
      <c r="B24333" s="4" t="s">
        <v>30618</v>
      </c>
      <c r="C24333" s="5" t="str">
        <f>IFERROR(__xludf.DUMMYFUNCTION("GOOGLETRANSLATE(B24333,""en"",""fr"")"),"Il utilise un signal pour tirer le ballon vers la poche.")</f>
        <v>Il utilise un signal pour tirer le ballon vers la poche.</v>
      </c>
    </row>
    <row r="24334">
      <c r="A24334" s="4" t="s">
        <v>30616</v>
      </c>
      <c r="B24334" s="4" t="s">
        <v>30619</v>
      </c>
      <c r="C24334" s="5" t="str">
        <f>IFERROR(__xludf.DUMMYFUNCTION("GOOGLETRANSLATE(B24334,""en"",""fr"")"),"Il essaie encore et encore jusqu'à ce qu'ils entrent dans les poches.")</f>
        <v>Il essaie encore et encore jusqu'à ce qu'ils entrent dans les poches.</v>
      </c>
    </row>
    <row r="24335">
      <c r="A24335" s="4" t="s">
        <v>30620</v>
      </c>
      <c r="B24335" s="4" t="s">
        <v>30621</v>
      </c>
      <c r="C24335" s="5" t="str">
        <f>IFERROR(__xludf.DUMMYFUNCTION("GOOGLETRANSLATE(B24335,""en"",""fr"")"),"Une salle de classe est remplie d'élèves assis ou debout.")</f>
        <v>Une salle de classe est remplie d'élèves assis ou debout.</v>
      </c>
    </row>
    <row r="24336">
      <c r="A24336" s="4" t="s">
        <v>30620</v>
      </c>
      <c r="B24336" s="6" t="s">
        <v>30622</v>
      </c>
      <c r="C24336" s="5" t="str">
        <f>IFERROR(__xludf.DUMMYFUNCTION("GOOGLETRANSLATE(B24336,""en"",""fr"")"),"Soudain, un groupe de garçons commence à courir dans la salle de classe en souriant, en marchant en place et en faisant de la danse et des exercices pendant que le reste de la classe assis regarde.")</f>
        <v>Soudain, un groupe de garçons commence à courir dans la salle de classe en souriant, en marchant en place et en faisant de la danse et des exercices pendant que le reste de la classe assis regarde.</v>
      </c>
    </row>
    <row r="24337">
      <c r="A24337" s="4" t="s">
        <v>30620</v>
      </c>
      <c r="B24337" s="4" t="s">
        <v>30623</v>
      </c>
      <c r="C24337" s="5" t="str">
        <f>IFERROR(__xludf.DUMMYFUNCTION("GOOGLETRANSLATE(B24337,""en"",""fr"")"),"Les garçons se propagent et mettent fin à leur routine, puis ils se dirigent les uns vers les autres tout en souriant.")</f>
        <v>Les garçons se propagent et mettent fin à leur routine, puis ils se dirigent les uns vers les autres tout en souriant.</v>
      </c>
    </row>
    <row r="24338">
      <c r="A24338" s="4" t="s">
        <v>30624</v>
      </c>
      <c r="B24338" s="4" t="s">
        <v>30625</v>
      </c>
      <c r="C24338" s="5" t="str">
        <f>IFERROR(__xludf.DUMMYFUNCTION("GOOGLETRANSLATE(B24338,""en"",""fr"")"),"Un homme fait les divisions dans une salle de sport.")</f>
        <v>Un homme fait les divisions dans une salle de sport.</v>
      </c>
    </row>
    <row r="24339">
      <c r="A24339" s="4" t="s">
        <v>30624</v>
      </c>
      <c r="B24339" s="4" t="s">
        <v>30626</v>
      </c>
      <c r="C24339" s="5" t="str">
        <f>IFERROR(__xludf.DUMMYFUNCTION("GOOGLETRANSLATE(B24339,""en"",""fr"")"),"Il parle à la caméra de la procédure.")</f>
        <v>Il parle à la caméra de la procédure.</v>
      </c>
    </row>
    <row r="24340">
      <c r="A24340" s="4" t="s">
        <v>30624</v>
      </c>
      <c r="B24340" s="4" t="s">
        <v>30627</v>
      </c>
      <c r="C24340" s="5" t="str">
        <f>IFERROR(__xludf.DUMMYFUNCTION("GOOGLETRANSLATE(B24340,""en"",""fr"")"),"Il se penche en avant, étirant ses jambes.")</f>
        <v>Il se penche en avant, étirant ses jambes.</v>
      </c>
    </row>
    <row r="24341">
      <c r="A24341" s="4" t="s">
        <v>30628</v>
      </c>
      <c r="B24341" s="6" t="s">
        <v>30629</v>
      </c>
      <c r="C24341" s="5" t="str">
        <f>IFERROR(__xludf.DUMMYFUNCTION("GOOGLETRANSLATE(B24341,""en"",""fr"")"),"Une femme se tient sur le devant une peinture tenant une bouteille, puis des peintures sur toile sont représentées dans un diaporama.")</f>
        <v>Une femme se tient sur le devant une peinture tenant une bouteille, puis des peintures sur toile sont représentées dans un diaporama.</v>
      </c>
    </row>
    <row r="24342">
      <c r="A24342" s="4" t="s">
        <v>30628</v>
      </c>
      <c r="B24342" s="6" t="s">
        <v>30630</v>
      </c>
      <c r="C24342" s="5" t="str">
        <f>IFERROR(__xludf.DUMMYFUNCTION("GOOGLETRANSLATE(B24342,""en"",""fr"")"),"Ensuite, la femme peint deux toiles à l'aide d'une bouteille, lorsqu'il est nécessaire que la femme tourne la toile.")</f>
        <v>Ensuite, la femme peint deux toiles à l'aide d'une bouteille, lorsqu'il est nécessaire que la femme tourne la toile.</v>
      </c>
    </row>
    <row r="24343">
      <c r="A24343" s="4" t="s">
        <v>30628</v>
      </c>
      <c r="B24343" s="4" t="s">
        <v>30631</v>
      </c>
      <c r="C24343" s="5" t="str">
        <f>IFERROR(__xludf.DUMMYFUNCTION("GOOGLETRANSLATE(B24343,""en"",""fr"")"),"Ensuite, la femme met la toile sur le sol et continue de peindre avec la bouteille.")</f>
        <v>Ensuite, la femme met la toile sur le sol et continue de peindre avec la bouteille.</v>
      </c>
    </row>
    <row r="24344">
      <c r="A24344" s="4" t="s">
        <v>30628</v>
      </c>
      <c r="B24344" s="6" t="s">
        <v>30632</v>
      </c>
      <c r="C24344" s="5" t="str">
        <f>IFERROR(__xludf.DUMMYFUNCTION("GOOGLETRANSLATE(B24344,""en"",""fr"")"),"Après, la femme accroche les peintures sur le, puis elle met les peintures sur le sol, puis s'accroche au mur pour continuer la peinture.")</f>
        <v>Après, la femme accroche les peintures sur le, puis elle met les peintures sur le sol, puis s'accroche au mur pour continuer la peinture.</v>
      </c>
    </row>
    <row r="24345">
      <c r="A24345" s="4" t="s">
        <v>30633</v>
      </c>
      <c r="B24345" s="4" t="s">
        <v>30634</v>
      </c>
      <c r="C24345" s="5" t="str">
        <f>IFERROR(__xludf.DUMMYFUNCTION("GOOGLETRANSLATE(B24345,""en"",""fr"")"),"Une personne propage quelque chose de vert sur le pain.")</f>
        <v>Une personne propage quelque chose de vert sur le pain.</v>
      </c>
    </row>
    <row r="24346">
      <c r="A24346" s="4" t="s">
        <v>30633</v>
      </c>
      <c r="B24346" s="4" t="s">
        <v>30635</v>
      </c>
      <c r="C24346" s="5" t="str">
        <f>IFERROR(__xludf.DUMMYFUNCTION("GOOGLETRANSLATE(B24346,""en"",""fr"")"),"Ils ont mis le sandwich dans un gril.")</f>
        <v>Ils ont mis le sandwich dans un gril.</v>
      </c>
    </row>
    <row r="24347">
      <c r="A24347" s="4" t="s">
        <v>30633</v>
      </c>
      <c r="B24347" s="4" t="s">
        <v>30636</v>
      </c>
      <c r="C24347" s="5" t="str">
        <f>IFERROR(__xludf.DUMMYFUNCTION("GOOGLETRANSLATE(B24347,""en"",""fr"")"),"Ils enlèvent le sandwich du gril et le mettent sur une assiette.")</f>
        <v>Ils enlèvent le sandwich du gril et le mettent sur une assiette.</v>
      </c>
    </row>
    <row r="24348">
      <c r="A24348" s="4" t="s">
        <v>30637</v>
      </c>
      <c r="B24348" s="4" t="s">
        <v>1251</v>
      </c>
      <c r="C24348" s="5" t="str">
        <f>IFERROR(__xludf.DUMMYFUNCTION("GOOGLETRANSLATE(B24348,""en"",""fr"")"),"Les crédits du clip sont affichés.")</f>
        <v>Les crédits du clip sont affichés.</v>
      </c>
    </row>
    <row r="24349">
      <c r="A24349" s="4" t="s">
        <v>30637</v>
      </c>
      <c r="B24349" s="4" t="s">
        <v>30638</v>
      </c>
      <c r="C24349" s="5" t="str">
        <f>IFERROR(__xludf.DUMMYFUNCTION("GOOGLETRANSLATE(B24349,""en"",""fr"")"),"Les gens interagissent dans un tribunal intérieur.")</f>
        <v>Les gens interagissent dans un tribunal intérieur.</v>
      </c>
    </row>
    <row r="24350">
      <c r="A24350" s="4" t="s">
        <v>30637</v>
      </c>
      <c r="B24350" s="4" t="s">
        <v>30639</v>
      </c>
      <c r="C24350" s="5" t="str">
        <f>IFERROR(__xludf.DUMMYFUNCTION("GOOGLETRANSLATE(B24350,""en"",""fr"")"),"Les gens courent pour ramasser des balles au centre du terrain.")</f>
        <v>Les gens courent pour ramasser des balles au centre du terrain.</v>
      </c>
    </row>
    <row r="24351">
      <c r="A24351" s="4" t="s">
        <v>30637</v>
      </c>
      <c r="B24351" s="4" t="s">
        <v>30640</v>
      </c>
      <c r="C24351" s="5" t="str">
        <f>IFERROR(__xludf.DUMMYFUNCTION("GOOGLETRANSLATE(B24351,""en"",""fr"")"),"Deux équipes jouent à Dodge-Ball.")</f>
        <v>Deux équipes jouent à Dodge-Ball.</v>
      </c>
    </row>
    <row r="24352">
      <c r="A24352" s="4" t="s">
        <v>30637</v>
      </c>
      <c r="B24352" s="4" t="s">
        <v>30641</v>
      </c>
      <c r="C24352" s="5" t="str">
        <f>IFERROR(__xludf.DUMMYFUNCTION("GOOGLETRANSLATE(B24352,""en"",""fr"")"),"Un membre de l'équipe rouge reprend et lance une balle directement sur un adversaire.")</f>
        <v>Un membre de l'équipe rouge reprend et lance une balle directement sur un adversaire.</v>
      </c>
    </row>
    <row r="24353">
      <c r="A24353" s="4" t="s">
        <v>30642</v>
      </c>
      <c r="B24353" s="6" t="s">
        <v>30643</v>
      </c>
      <c r="C24353" s="5" t="str">
        <f>IFERROR(__xludf.DUMMYFUNCTION("GOOGLETRANSLATE(B24353,""en"",""fr"")"),"Une femme montre comment sécher un comptoir et un puits d'eau éclaboussé d'un robinet d'évier avec une serviette en papier.")</f>
        <v>Une femme montre comment sécher un comptoir et un puits d'eau éclaboussé d'un robinet d'évier avec une serviette en papier.</v>
      </c>
    </row>
    <row r="24354">
      <c r="A24354" s="4" t="s">
        <v>30642</v>
      </c>
      <c r="B24354" s="4" t="s">
        <v>30644</v>
      </c>
      <c r="C24354" s="5" t="str">
        <f>IFERROR(__xludf.DUMMYFUNCTION("GOOGLETRANSLATE(B24354,""en"",""fr"")"),"Une femme se tient dans une cuisine à côté d'un évier et parle de la caméra.")</f>
        <v>Une femme se tient dans une cuisine à côté d'un évier et parle de la caméra.</v>
      </c>
    </row>
    <row r="24355">
      <c r="A24355" s="4" t="s">
        <v>30642</v>
      </c>
      <c r="B24355" s="6" t="s">
        <v>30645</v>
      </c>
      <c r="C24355" s="5" t="str">
        <f>IFERROR(__xludf.DUMMYFUNCTION("GOOGLETRANSLATE(B24355,""en"",""fr"")"),"La femme pointe vers une étape d'eau sur le comptoir à côté de l'évier après avoir allumé l'eau à l'évier.")</f>
        <v>La femme pointe vers une étape d'eau sur le comptoir à côté de l'évier après avoir allumé l'eau à l'évier.</v>
      </c>
    </row>
    <row r="24356">
      <c r="A24356" s="4" t="s">
        <v>30642</v>
      </c>
      <c r="B24356" s="6" t="s">
        <v>30646</v>
      </c>
      <c r="C24356" s="5" t="str">
        <f>IFERROR(__xludf.DUMMYFUNCTION("GOOGLETRANSLATE(B24356,""en"",""fr"")"),"La femme attrape ensuite une serviette en papier et essuie le comptoir de l'évier, l'intérieur de l'évier et le jet de robinet.")</f>
        <v>La femme attrape ensuite une serviette en papier et essuie le comptoir de l'évier, l'intérieur de l'évier et le jet de robinet.</v>
      </c>
    </row>
    <row r="24357">
      <c r="A24357" s="4" t="s">
        <v>30642</v>
      </c>
      <c r="B24357" s="4" t="s">
        <v>30647</v>
      </c>
      <c r="C24357" s="5" t="str">
        <f>IFERROR(__xludf.DUMMYFUNCTION("GOOGLETRANSLATE(B24357,""en"",""fr"")"),"La femme retourne ensuite parler à la caméra.")</f>
        <v>La femme retourne ensuite parler à la caméra.</v>
      </c>
    </row>
    <row r="24358">
      <c r="A24358" s="4" t="s">
        <v>30648</v>
      </c>
      <c r="B24358" s="4" t="s">
        <v>30649</v>
      </c>
      <c r="C24358" s="5" t="str">
        <f>IFERROR(__xludf.DUMMYFUNCTION("GOOGLETRANSLATE(B24358,""en"",""fr"")"),"Une intro mène à une femme en train de parler à une classe assise sur des vélos et de commencer à rouler.")</f>
        <v>Une intro mène à une femme en train de parler à une classe assise sur des vélos et de commencer à rouler.</v>
      </c>
    </row>
    <row r="24359">
      <c r="A24359" s="4" t="s">
        <v>30648</v>
      </c>
      <c r="B24359" s="4" t="s">
        <v>30650</v>
      </c>
      <c r="C24359" s="5" t="str">
        <f>IFERROR(__xludf.DUMMYFUNCTION("GOOGLETRANSLATE(B24359,""en"",""fr"")"),"Elle dirige la classe dans un cours de vélo et inspire ses élèves à colporter dur comme ça.")</f>
        <v>Elle dirige la classe dans un cours de vélo et inspire ses élèves à colporter dur comme ça.</v>
      </c>
    </row>
    <row r="24360">
      <c r="A24360" s="4" t="s">
        <v>30648</v>
      </c>
      <c r="B24360" s="4" t="s">
        <v>30651</v>
      </c>
      <c r="C24360" s="5" t="str">
        <f>IFERROR(__xludf.DUMMYFUNCTION("GOOGLETRANSLATE(B24360,""en"",""fr"")"),"Les gens sourient avec elle alors que la caméra se met sur plusieurs plans des gens.")</f>
        <v>Les gens sourient avec elle alors que la caméra se met sur plusieurs plans des gens.</v>
      </c>
    </row>
    <row r="24361">
      <c r="A24361" s="4" t="s">
        <v>30652</v>
      </c>
      <c r="B24361" s="6" t="s">
        <v>30653</v>
      </c>
      <c r="C24361" s="5" t="str">
        <f>IFERROR(__xludf.DUMMYFUNCTION("GOOGLETRANSLATE(B24361,""en"",""fr"")"),"Un homme tient un plat avec de la nourriture en parlant, puis, deux filles courent sur le terrain étaient d'autres personnes marchaient.")</f>
        <v>Un homme tient un plat avec de la nourriture en parlant, puis, deux filles courent sur le terrain étaient d'autres personnes marchaient.</v>
      </c>
    </row>
    <row r="24362">
      <c r="A24362" s="4" t="s">
        <v>30652</v>
      </c>
      <c r="B24362" s="4" t="s">
        <v>30654</v>
      </c>
      <c r="C24362" s="5" t="str">
        <f>IFERROR(__xludf.DUMMYFUNCTION("GOOGLETRANSLATE(B24362,""en"",""fr"")"),"Les gens jouent à lancer des balles sur le sol.")</f>
        <v>Les gens jouent à lancer des balles sur le sol.</v>
      </c>
    </row>
    <row r="24363">
      <c r="A24363" s="4" t="s">
        <v>30652</v>
      </c>
      <c r="B24363" s="4" t="s">
        <v>30655</v>
      </c>
      <c r="C24363" s="5" t="str">
        <f>IFERROR(__xludf.DUMMYFUNCTION("GOOGLETRANSLATE(B24363,""en"",""fr"")"),"Après, un groupe joue et les gens dansent, y compris une mariée.")</f>
        <v>Après, un groupe joue et les gens dansent, y compris une mariée.</v>
      </c>
    </row>
    <row r="24364">
      <c r="A24364" s="4" t="s">
        <v>30652</v>
      </c>
      <c r="B24364" s="4" t="s">
        <v>30656</v>
      </c>
      <c r="C24364" s="5" t="str">
        <f>IFERROR(__xludf.DUMMYFUNCTION("GOOGLETRANSLATE(B24364,""en"",""fr"")"),"Les gens se mettent dans des bateaux et naviguent dans la rivière pendant que d'autres personnes se reposent.")</f>
        <v>Les gens se mettent dans des bateaux et naviguent dans la rivière pendant que d'autres personnes se reposent.</v>
      </c>
    </row>
    <row r="24365">
      <c r="A24365" s="4" t="s">
        <v>30652</v>
      </c>
      <c r="B24365" s="4" t="s">
        <v>30657</v>
      </c>
      <c r="C24365" s="5" t="str">
        <f>IFERROR(__xludf.DUMMYFUNCTION("GOOGLETRANSLATE(B24365,""en"",""fr"")"),"Les gens passent une petite cascade à l'eau agitée, puis ils descendent la rivière.")</f>
        <v>Les gens passent une petite cascade à l'eau agitée, puis ils descendent la rivière.</v>
      </c>
    </row>
    <row r="24366">
      <c r="A24366" s="4" t="s">
        <v>30652</v>
      </c>
      <c r="B24366" s="4" t="s">
        <v>30658</v>
      </c>
      <c r="C24366" s="5" t="str">
        <f>IFERROR(__xludf.DUMMYFUNCTION("GOOGLETRANSLATE(B24366,""en"",""fr"")"),"Les gens plongent dans la rivière, puis se reposent en buvant, puis allez naviguer dans la rivière.")</f>
        <v>Les gens plongent dans la rivière, puis se reposent en buvant, puis allez naviguer dans la rivière.</v>
      </c>
    </row>
    <row r="24367">
      <c r="A24367" s="4" t="s">
        <v>30659</v>
      </c>
      <c r="B24367" s="4" t="s">
        <v>30660</v>
      </c>
      <c r="C24367" s="5" t="str">
        <f>IFERROR(__xludf.DUMMYFUNCTION("GOOGLETRANSLATE(B24367,""en"",""fr"")"),"Un groupe de personnes âgées est rassemblée sur un tribunal.")</f>
        <v>Un groupe de personnes âgées est rassemblée sur un tribunal.</v>
      </c>
    </row>
    <row r="24368">
      <c r="A24368" s="4" t="s">
        <v>30659</v>
      </c>
      <c r="B24368" s="4" t="s">
        <v>30661</v>
      </c>
      <c r="C24368" s="5" t="str">
        <f>IFERROR(__xludf.DUMMYFUNCTION("GOOGLETRANSLATE(B24368,""en"",""fr"")"),"Ils sont engagés dans un jeu de curling.")</f>
        <v>Ils sont engagés dans un jeu de curling.</v>
      </c>
    </row>
    <row r="24369">
      <c r="A24369" s="4" t="s">
        <v>30659</v>
      </c>
      <c r="B24369" s="4" t="s">
        <v>30662</v>
      </c>
      <c r="C24369" s="5" t="str">
        <f>IFERROR(__xludf.DUMMYFUNCTION("GOOGLETRANSLATE(B24369,""en"",""fr"")"),"Ils ont frappé la rondelle, le poussant vers l'avant.")</f>
        <v>Ils ont frappé la rondelle, le poussant vers l'avant.</v>
      </c>
    </row>
    <row r="24370">
      <c r="A24370" s="4" t="s">
        <v>30663</v>
      </c>
      <c r="B24370" s="4" t="s">
        <v>30664</v>
      </c>
      <c r="C24370" s="5" t="str">
        <f>IFERROR(__xludf.DUMMYFUNCTION("GOOGLETRANSLATE(B24370,""en"",""fr"")"),"Un homme est vu de près sur un champ.")</f>
        <v>Un homme est vu de près sur un champ.</v>
      </c>
    </row>
    <row r="24371">
      <c r="A24371" s="4" t="s">
        <v>30663</v>
      </c>
      <c r="B24371" s="4" t="s">
        <v>30665</v>
      </c>
      <c r="C24371" s="5" t="str">
        <f>IFERROR(__xludf.DUMMYFUNCTION("GOOGLETRANSLATE(B24371,""en"",""fr"")"),"Une personne passe ensuite à l'homme une balle pour monter sur le terrain.")</f>
        <v>Une personne passe ensuite à l'homme une balle pour monter sur le terrain.</v>
      </c>
    </row>
    <row r="24372">
      <c r="A24372" s="4" t="s">
        <v>30663</v>
      </c>
      <c r="B24372" s="4" t="s">
        <v>30666</v>
      </c>
      <c r="C24372" s="5" t="str">
        <f>IFERROR(__xludf.DUMMYFUNCTION("GOOGLETRANSLATE(B24372,""en"",""fr"")"),"Les gens commencent alors à donner un coup de pied au ballon.")</f>
        <v>Les gens commencent alors à donner un coup de pied au ballon.</v>
      </c>
    </row>
    <row r="24373">
      <c r="A24373" s="4" t="s">
        <v>30667</v>
      </c>
      <c r="B24373" s="4" t="s">
        <v>30668</v>
      </c>
      <c r="C24373" s="5" t="str">
        <f>IFERROR(__xludf.DUMMYFUNCTION("GOOGLETRANSLATE(B24373,""en"",""fr"")"),"Un gros plan d'un sol est vu suivi d'un jeune enfant à genoux devant un autre.")</f>
        <v>Un gros plan d'un sol est vu suivi d'un jeune enfant à genoux devant un autre.</v>
      </c>
    </row>
    <row r="24374">
      <c r="A24374" s="4" t="s">
        <v>30667</v>
      </c>
      <c r="B24374" s="4" t="s">
        <v>30669</v>
      </c>
      <c r="C24374" s="5" t="str">
        <f>IFERROR(__xludf.DUMMYFUNCTION("GOOGLETRANSLATE(B24374,""en"",""fr"")"),"Une personne est vue assise sur un lit avec le jeune enfant brille les chaussures d'une autre.")</f>
        <v>Une personne est vue assise sur un lit avec le jeune enfant brille les chaussures d'une autre.</v>
      </c>
    </row>
    <row r="24375">
      <c r="A24375" s="4" t="s">
        <v>30667</v>
      </c>
      <c r="B24375" s="4" t="s">
        <v>30670</v>
      </c>
      <c r="C24375" s="5" t="str">
        <f>IFERROR(__xludf.DUMMYFUNCTION("GOOGLETRANSLATE(B24375,""en"",""fr"")"),"Les enfants continuent de briller les chaussures d'un autre.")</f>
        <v>Les enfants continuent de briller les chaussures d'un autre.</v>
      </c>
    </row>
    <row r="24376">
      <c r="A24376" s="4" t="s">
        <v>30671</v>
      </c>
      <c r="B24376" s="4" t="s">
        <v>30672</v>
      </c>
      <c r="C24376" s="5" t="str">
        <f>IFERROR(__xludf.DUMMYFUNCTION("GOOGLETRANSLATE(B24376,""en"",""fr"")"),"Un homme est vu en utilisant un marteau et un outil pour éliminer les morceaux de toit.")</f>
        <v>Un homme est vu en utilisant un marteau et un outil pour éliminer les morceaux de toit.</v>
      </c>
    </row>
    <row r="24377">
      <c r="A24377" s="4" t="s">
        <v>30671</v>
      </c>
      <c r="B24377" s="6" t="s">
        <v>30673</v>
      </c>
      <c r="C24377" s="5" t="str">
        <f>IFERROR(__xludf.DUMMYFUNCTION("GOOGLETRANSLATE(B24377,""en"",""fr"")"),"L'homme pose ensuite une barre et continue de placer des bardeaux de toit pendant que la caméra se déroule.")</f>
        <v>L'homme pose ensuite une barre et continue de placer des bardeaux de toit pendant que la caméra se déroule.</v>
      </c>
    </row>
    <row r="24378">
      <c r="A24378" s="4" t="s">
        <v>30674</v>
      </c>
      <c r="B24378" s="4" t="s">
        <v>30675</v>
      </c>
      <c r="C24378" s="5" t="str">
        <f>IFERROR(__xludf.DUMMYFUNCTION("GOOGLETRANSLATE(B24378,""en"",""fr"")"),"Une image animée d'un pinceau de curling est montrée.")</f>
        <v>Une image animée d'un pinceau de curling est montrée.</v>
      </c>
    </row>
    <row r="24379">
      <c r="A24379" s="4" t="s">
        <v>30674</v>
      </c>
      <c r="B24379" s="4" t="s">
        <v>30676</v>
      </c>
      <c r="C24379" s="5" t="str">
        <f>IFERROR(__xludf.DUMMYFUNCTION("GOOGLETRANSLATE(B24379,""en"",""fr"")"),"Une femme se penche et met quelque chose sur une échelle.")</f>
        <v>Une femme se penche et met quelque chose sur une échelle.</v>
      </c>
    </row>
    <row r="24380">
      <c r="A24380" s="4" t="s">
        <v>30674</v>
      </c>
      <c r="B24380" s="4" t="s">
        <v>30677</v>
      </c>
      <c r="C24380" s="5" t="str">
        <f>IFERROR(__xludf.DUMMYFUNCTION("GOOGLETRANSLATE(B24380,""en"",""fr"")"),"Elle glisse ensuite à travers la glace.")</f>
        <v>Elle glisse ensuite à travers la glace.</v>
      </c>
    </row>
    <row r="24381">
      <c r="A24381" s="4" t="s">
        <v>30678</v>
      </c>
      <c r="B24381" s="4" t="s">
        <v>30679</v>
      </c>
      <c r="C24381" s="5" t="str">
        <f>IFERROR(__xludf.DUMMYFUNCTION("GOOGLETRANSLATE(B24381,""en"",""fr"")"),"Une femme plus grande est vue assise sur une chaise tandis qu'un homme essuie sa lèvre et y met une marque.")</f>
        <v>Une femme plus grande est vue assise sur une chaise tandis qu'un homme essuie sa lèvre et y met une marque.</v>
      </c>
    </row>
    <row r="24382">
      <c r="A24382" s="4" t="s">
        <v>30678</v>
      </c>
      <c r="B24382" s="4" t="s">
        <v>30680</v>
      </c>
      <c r="C24382" s="5" t="str">
        <f>IFERROR(__xludf.DUMMYFUNCTION("GOOGLETRANSLATE(B24382,""en"",""fr"")"),"La femme allait et l'homme met une aiguille dans sa lèvre en créant un perçage.")</f>
        <v>La femme allait et l'homme met une aiguille dans sa lèvre en créant un perçage.</v>
      </c>
    </row>
    <row r="24383">
      <c r="A24383" s="4" t="s">
        <v>30678</v>
      </c>
      <c r="B24383" s="4" t="s">
        <v>30681</v>
      </c>
      <c r="C24383" s="5" t="str">
        <f>IFERROR(__xludf.DUMMYFUNCTION("GOOGLETRANSLATE(B24383,""en"",""fr"")"),"La femme s'assoit et sourit pendant que l'homme essuie sa lèvre et elle continue de parler.")</f>
        <v>La femme s'assoit et sourit pendant que l'homme essuie sa lèvre et elle continue de parler.</v>
      </c>
    </row>
    <row r="24384">
      <c r="A24384" s="4" t="s">
        <v>30682</v>
      </c>
      <c r="B24384" s="4" t="s">
        <v>30683</v>
      </c>
      <c r="C24384" s="5" t="str">
        <f>IFERROR(__xludf.DUMMYFUNCTION("GOOGLETRANSLATE(B24384,""en"",""fr"")"),"Une femme est vue en essuyant un miroir qui mène à sa position derrière un comptoir.")</f>
        <v>Une femme est vue en essuyant un miroir qui mène à sa position derrière un comptoir.</v>
      </c>
    </row>
    <row r="24385">
      <c r="A24385" s="4" t="s">
        <v>30682</v>
      </c>
      <c r="B24385" s="6" t="s">
        <v>30684</v>
      </c>
      <c r="C24385" s="5" t="str">
        <f>IFERROR(__xludf.DUMMYFUNCTION("GOOGLETRANSLATE(B24385,""en"",""fr"")"),"Elle verse des ingrédients dans des seaux, trempe l'éponge dans le seau, puis essuie un miroir avec un essuie-glace.")</f>
        <v>Elle verse des ingrédients dans des seaux, trempe l'éponge dans le seau, puis essuie un miroir avec un essuie-glace.</v>
      </c>
    </row>
    <row r="24386">
      <c r="A24386" s="4" t="s">
        <v>30685</v>
      </c>
      <c r="B24386" s="4" t="s">
        <v>30686</v>
      </c>
      <c r="C24386" s="5" t="str">
        <f>IFERROR(__xludf.DUMMYFUNCTION("GOOGLETRANSLATE(B24386,""en"",""fr"")"),"Une personne est vue rouler le long de l'eau dans un kayak tandis qu'un autre homme le regarde sur le côté.")</f>
        <v>Une personne est vue rouler le long de l'eau dans un kayak tandis qu'un autre homme le regarde sur le côté.</v>
      </c>
    </row>
    <row r="24387">
      <c r="A24387" s="4" t="s">
        <v>30685</v>
      </c>
      <c r="B24387" s="4" t="s">
        <v>30687</v>
      </c>
      <c r="C24387" s="5" t="str">
        <f>IFERROR(__xludf.DUMMYFUNCTION("GOOGLETRANSLATE(B24387,""en"",""fr"")"),"Il continue de rouler le long de l'eau dans le kayak et fait des flips dans l'eau.")</f>
        <v>Il continue de rouler le long de l'eau dans le kayak et fait des flips dans l'eau.</v>
      </c>
    </row>
    <row r="24388">
      <c r="A24388" s="4" t="s">
        <v>30688</v>
      </c>
      <c r="B24388" s="4" t="s">
        <v>30689</v>
      </c>
      <c r="C24388" s="5" t="str">
        <f>IFERROR(__xludf.DUMMYFUNCTION("GOOGLETRANSLATE(B24388,""en"",""fr"")"),"Les gens jouent au volleyball dans le sable.")</f>
        <v>Les gens jouent au volleyball dans le sable.</v>
      </c>
    </row>
    <row r="24389">
      <c r="A24389" s="4" t="s">
        <v>30688</v>
      </c>
      <c r="B24389" s="4" t="s">
        <v>30690</v>
      </c>
      <c r="C24389" s="5" t="str">
        <f>IFERROR(__xludf.DUMMYFUNCTION("GOOGLETRANSLATE(B24389,""en"",""fr"")"),"Une personne tombe dans le sable.")</f>
        <v>Une personne tombe dans le sable.</v>
      </c>
    </row>
    <row r="24390">
      <c r="A24390" s="4" t="s">
        <v>30688</v>
      </c>
      <c r="B24390" s="4" t="s">
        <v>30691</v>
      </c>
      <c r="C24390" s="5" t="str">
        <f>IFERROR(__xludf.DUMMYFUNCTION("GOOGLETRANSLATE(B24390,""en"",""fr"")"),"Une femme en chemise bleue parle à la caméra.")</f>
        <v>Une femme en chemise bleue parle à la caméra.</v>
      </c>
    </row>
    <row r="24391">
      <c r="A24391" s="4" t="s">
        <v>30688</v>
      </c>
      <c r="B24391" s="4" t="s">
        <v>21372</v>
      </c>
      <c r="C24391" s="5" t="str">
        <f>IFERROR(__xludf.DUMMYFUNCTION("GOOGLETRANSLATE(B24391,""en"",""fr"")"),"Une femme en chemise noire parle à la caméra.")</f>
        <v>Une femme en chemise noire parle à la caméra.</v>
      </c>
    </row>
    <row r="24392">
      <c r="A24392" s="4" t="s">
        <v>30692</v>
      </c>
      <c r="B24392" s="4" t="s">
        <v>30693</v>
      </c>
      <c r="C24392" s="5" t="str">
        <f>IFERROR(__xludf.DUMMYFUNCTION("GOOGLETRANSLATE(B24392,""en"",""fr"")"),"Des hommes et des femmes posant et souriant à la caméra.")</f>
        <v>Des hommes et des femmes posant et souriant à la caméra.</v>
      </c>
    </row>
    <row r="24393">
      <c r="A24393" s="4" t="s">
        <v>30692</v>
      </c>
      <c r="B24393" s="4" t="s">
        <v>30694</v>
      </c>
      <c r="C24393" s="5" t="str">
        <f>IFERROR(__xludf.DUMMYFUNCTION("GOOGLETRANSLATE(B24393,""en"",""fr"")"),"Les groupes des hommes et des femmes vêtus d'équipement de plongée à l'eau froide arrivent dans une camionnette.")</f>
        <v>Les groupes des hommes et des femmes vêtus d'équipement de plongée à l'eau froide arrivent dans une camionnette.</v>
      </c>
    </row>
    <row r="24394">
      <c r="A24394" s="4" t="s">
        <v>30692</v>
      </c>
      <c r="B24394" s="4" t="s">
        <v>30695</v>
      </c>
      <c r="C24394" s="5" t="str">
        <f>IFERROR(__xludf.DUMMYFUNCTION("GOOGLETRANSLATE(B24394,""en"",""fr"")"),"Les plongeurs marchent en fichier unique sur un quai à l'eau et posent avec leur équipement de plongée.")</f>
        <v>Les plongeurs marchent en fichier unique sur un quai à l'eau et posent avec leur équipement de plongée.</v>
      </c>
    </row>
    <row r="24395">
      <c r="A24395" s="4" t="s">
        <v>30692</v>
      </c>
      <c r="B24395" s="4" t="s">
        <v>30696</v>
      </c>
      <c r="C24395" s="5" t="str">
        <f>IFERROR(__xludf.DUMMYFUNCTION("GOOGLETRANSLATE(B24395,""en"",""fr"")"),"Les plongeurs sont sous l'eau effectuant différents véhicules en contrebas et jouent et posent.")</f>
        <v>Les plongeurs sont sous l'eau effectuant différents véhicules en contrebas et jouent et posent.</v>
      </c>
    </row>
    <row r="24396">
      <c r="A24396" s="4" t="s">
        <v>30692</v>
      </c>
      <c r="B24396" s="4" t="s">
        <v>30697</v>
      </c>
      <c r="C24396" s="5" t="str">
        <f>IFERROR(__xludf.DUMMYFUNCTION("GOOGLETRANSLATE(B24396,""en"",""fr"")"),"Les plongeurs sont présentés dans une photographie de truc.")</f>
        <v>Les plongeurs sont présentés dans une photographie de truc.</v>
      </c>
    </row>
    <row r="24397">
      <c r="A24397" s="4" t="s">
        <v>30692</v>
      </c>
      <c r="B24397" s="4" t="s">
        <v>30698</v>
      </c>
      <c r="C24397" s="5" t="str">
        <f>IFERROR(__xludf.DUMMYFUNCTION("GOOGLETRANSLATE(B24397,""en"",""fr"")"),"Les plongeurs se détendent dans un restaurant avec leur fermeture régulière sur une table de pique-nique ronde.")</f>
        <v>Les plongeurs se détendent dans un restaurant avec leur fermeture régulière sur une table de pique-nique ronde.</v>
      </c>
    </row>
    <row r="24398">
      <c r="A24398" s="4" t="s">
        <v>30699</v>
      </c>
      <c r="B24398" s="4" t="s">
        <v>30700</v>
      </c>
      <c r="C24398" s="5" t="str">
        <f>IFERROR(__xludf.DUMMYFUNCTION("GOOGLETRANSLATE(B24398,""en"",""fr"")"),"Une personne fait un tutoriel sur la façon d'utiliser un elliptique le plus efficacement.")</f>
        <v>Une personne fait un tutoriel sur la façon d'utiliser un elliptique le plus efficacement.</v>
      </c>
    </row>
    <row r="24399">
      <c r="A24399" s="4" t="s">
        <v>30699</v>
      </c>
      <c r="B24399" s="4" t="s">
        <v>30701</v>
      </c>
      <c r="C24399" s="5" t="str">
        <f>IFERROR(__xludf.DUMMYFUNCTION("GOOGLETRANSLATE(B24399,""en"",""fr"")"),"Une femme fait parfois l'elliptique en arrière tout en souriant.")</f>
        <v>Une femme fait parfois l'elliptique en arrière tout en souriant.</v>
      </c>
    </row>
    <row r="24400">
      <c r="A24400" s="4" t="s">
        <v>30702</v>
      </c>
      <c r="B24400" s="4" t="s">
        <v>30703</v>
      </c>
      <c r="C24400" s="5" t="str">
        <f>IFERROR(__xludf.DUMMYFUNCTION("GOOGLETRANSLATE(B24400,""en"",""fr"")"),"La vidéo mène à diverses plans de Kite surfant tout le long de l'océan.")</f>
        <v>La vidéo mène à diverses plans de Kite surfant tout le long de l'océan.</v>
      </c>
    </row>
    <row r="24401">
      <c r="A24401" s="4" t="s">
        <v>30702</v>
      </c>
      <c r="B24401" s="6" t="s">
        <v>30704</v>
      </c>
      <c r="C24401" s="5" t="str">
        <f>IFERROR(__xludf.DUMMYFUNCTION("GOOGLETRANSLATE(B24401,""en"",""fr"")"),"La personne continue de rouler tout au long de l'eau pendant que la caméra le suit de la vue des yeux d'un oiseau.")</f>
        <v>La personne continue de rouler tout au long de l'eau pendant que la caméra le suit de la vue des yeux d'un oiseau.</v>
      </c>
    </row>
    <row r="24402">
      <c r="A24402" s="4" t="s">
        <v>30705</v>
      </c>
      <c r="B24402" s="4" t="s">
        <v>30706</v>
      </c>
      <c r="C24402" s="5" t="str">
        <f>IFERROR(__xludf.DUMMYFUNCTION("GOOGLETRANSLATE(B24402,""en"",""fr"")"),"Un récapitulatif vidéo d'un match de football Beach commence par un but argentin sur une passe profonde.")</f>
        <v>Un récapitulatif vidéo d'un match de football Beach commence par un but argentin sur une passe profonde.</v>
      </c>
    </row>
    <row r="24403">
      <c r="A24403" s="4" t="s">
        <v>30705</v>
      </c>
      <c r="B24403" s="4" t="s">
        <v>30707</v>
      </c>
      <c r="C24403" s="5" t="str">
        <f>IFERROR(__xludf.DUMMYFUNCTION("GOOGLETRANSLATE(B24403,""en"",""fr"")"),"Les Brésiliens suivent un but sur un coup de pied de pénalité, pris par un gardien exubérant.")</f>
        <v>Les Brésiliens suivent un but sur un coup de pied de pénalité, pris par un gardien exubérant.</v>
      </c>
    </row>
    <row r="24404">
      <c r="A24404" s="4" t="s">
        <v>30705</v>
      </c>
      <c r="B24404" s="6" t="s">
        <v>30708</v>
      </c>
      <c r="C24404" s="5" t="str">
        <f>IFERROR(__xludf.DUMMYFUNCTION("GOOGLETRANSLATE(B24404,""en"",""fr"")"),"Les Argentins volent une passe à mi-chemin à travers le champ de sable et l'emportent pour un but dans le coin serré.")</f>
        <v>Les Argentins volent une passe à mi-chemin à travers le champ de sable et l'emportent pour un but dans le coin serré.</v>
      </c>
    </row>
    <row r="24405">
      <c r="A24405" s="4" t="s">
        <v>30705</v>
      </c>
      <c r="B24405" s="4" t="s">
        <v>30709</v>
      </c>
      <c r="C24405" s="5" t="str">
        <f>IFERROR(__xludf.DUMMYFUNCTION("GOOGLETRANSLATE(B24405,""en"",""fr"")"),"Ceci est immédiatement suivi d'un autre but de l'Argentine sur un coup de pied de pénalité.")</f>
        <v>Ceci est immédiatement suivi d'un autre but de l'Argentine sur un coup de pied de pénalité.</v>
      </c>
    </row>
    <row r="24406">
      <c r="A24406" s="4" t="s">
        <v>30705</v>
      </c>
      <c r="B24406" s="6" t="s">
        <v>30710</v>
      </c>
      <c r="C24406" s="5" t="str">
        <f>IFERROR(__xludf.DUMMYFUNCTION("GOOGLETRANSLATE(B24406,""en"",""fr"")"),"Le Brésil se retrouve encore plus sur un autre but argentin sur une belle passe et a tiré sur le terrain.")</f>
        <v>Le Brésil se retrouve encore plus sur un autre but argentin sur une belle passe et a tiré sur le terrain.</v>
      </c>
    </row>
    <row r="24407">
      <c r="A24407" s="4" t="s">
        <v>30705</v>
      </c>
      <c r="B24407" s="4" t="s">
        <v>30711</v>
      </c>
      <c r="C24407" s="5" t="str">
        <f>IFERROR(__xludf.DUMMYFUNCTION("GOOGLETRANSLATE(B24407,""en"",""fr"")"),"Pour aggraver les choses, l'Argentine marque un tir profond incontesté après cela.")</f>
        <v>Pour aggraver les choses, l'Argentine marque un tir profond incontesté après cela.</v>
      </c>
    </row>
    <row r="24408">
      <c r="A24408" s="4" t="s">
        <v>30705</v>
      </c>
      <c r="B24408" s="4" t="s">
        <v>30712</v>
      </c>
      <c r="C24408" s="5" t="str">
        <f>IFERROR(__xludf.DUMMYFUNCTION("GOOGLETRANSLATE(B24408,""en"",""fr"")"),"Ce jeu est beaucoup trop facile pour eux, et ils gagnent par un grand score.")</f>
        <v>Ce jeu est beaucoup trop facile pour eux, et ils gagnent par un grand score.</v>
      </c>
    </row>
    <row r="24409">
      <c r="A24409" s="4" t="s">
        <v>30713</v>
      </c>
      <c r="B24409" s="4" t="s">
        <v>30714</v>
      </c>
      <c r="C24409" s="5" t="str">
        <f>IFERROR(__xludf.DUMMYFUNCTION("GOOGLETRANSLATE(B24409,""en"",""fr"")"),"Un homme joue à un swuffleboard sur un navire.")</f>
        <v>Un homme joue à un swuffleboard sur un navire.</v>
      </c>
    </row>
    <row r="24410">
      <c r="A24410" s="4" t="s">
        <v>30713</v>
      </c>
      <c r="B24410" s="4" t="s">
        <v>30715</v>
      </c>
      <c r="C24410" s="5" t="str">
        <f>IFERROR(__xludf.DUMMYFUNCTION("GOOGLETRANSLATE(B24410,""en"",""fr"")"),"Il se tourne vers la caméra et dit quelque chose.")</f>
        <v>Il se tourne vers la caméra et dit quelque chose.</v>
      </c>
    </row>
    <row r="24411">
      <c r="A24411" s="4" t="s">
        <v>30716</v>
      </c>
      <c r="B24411" s="4" t="s">
        <v>30717</v>
      </c>
      <c r="C24411" s="5" t="str">
        <f>IFERROR(__xludf.DUMMYFUNCTION("GOOGLETRANSLATE(B24411,""en"",""fr"")"),"Un homme plonge un chiffon dans un récipient noir.")</f>
        <v>Un homme plonge un chiffon dans un récipient noir.</v>
      </c>
    </row>
    <row r="24412">
      <c r="A24412" s="4" t="s">
        <v>30716</v>
      </c>
      <c r="B24412" s="4" t="s">
        <v>30718</v>
      </c>
      <c r="C24412" s="5" t="str">
        <f>IFERROR(__xludf.DUMMYFUNCTION("GOOGLETRANSLATE(B24412,""en"",""fr"")"),"Il commence à essuyer une chaussure avec le chiffon.")</f>
        <v>Il commence à essuyer une chaussure avec le chiffon.</v>
      </c>
    </row>
    <row r="24413">
      <c r="A24413" s="4" t="s">
        <v>30716</v>
      </c>
      <c r="B24413" s="4" t="s">
        <v>30719</v>
      </c>
      <c r="C24413" s="5" t="str">
        <f>IFERROR(__xludf.DUMMYFUNCTION("GOOGLETRANSLATE(B24413,""en"",""fr"")"),"Il ramasse un pinceau et commence à l'utiliser pour brosser la chaussure.")</f>
        <v>Il ramasse un pinceau et commence à l'utiliser pour brosser la chaussure.</v>
      </c>
    </row>
    <row r="24414">
      <c r="A24414" s="4" t="s">
        <v>30720</v>
      </c>
      <c r="B24414" s="4" t="s">
        <v>30721</v>
      </c>
      <c r="C24414" s="5" t="str">
        <f>IFERROR(__xludf.DUMMYFUNCTION("GOOGLETRANSLATE(B24414,""en"",""fr"")"),"Nous voyons trois hommes sur un bateau dans un lac.")</f>
        <v>Nous voyons trois hommes sur un bateau dans un lac.</v>
      </c>
    </row>
    <row r="24415">
      <c r="A24415" s="4" t="s">
        <v>30720</v>
      </c>
      <c r="B24415" s="4" t="s">
        <v>30722</v>
      </c>
      <c r="C24415" s="5" t="str">
        <f>IFERROR(__xludf.DUMMYFUNCTION("GOOGLETRANSLATE(B24415,""en"",""fr"")"),"L'homme gauche tient ses proches près de sa poitrine.")</f>
        <v>L'homme gauche tient ses proches près de sa poitrine.</v>
      </c>
    </row>
    <row r="24416">
      <c r="A24416" s="4" t="s">
        <v>30720</v>
      </c>
      <c r="B24416" s="4" t="s">
        <v>30723</v>
      </c>
      <c r="C24416" s="5" t="str">
        <f>IFERROR(__xludf.DUMMYFUNCTION("GOOGLETRANSLATE(B24416,""en"",""fr"")"),"Un homme agit bizarre et se propage.")</f>
        <v>Un homme agit bizarre et se propage.</v>
      </c>
    </row>
    <row r="24417">
      <c r="A24417" s="4" t="s">
        <v>30724</v>
      </c>
      <c r="B24417" s="4" t="s">
        <v>30725</v>
      </c>
      <c r="C24417" s="5" t="str">
        <f>IFERROR(__xludf.DUMMYFUNCTION("GOOGLETRANSLATE(B24417,""en"",""fr"")"),"Un grand groupe de pom-pom girls est vu dans un trou et sur une scène.")</f>
        <v>Un grand groupe de pom-pom girls est vu dans un trou et sur une scène.</v>
      </c>
    </row>
    <row r="24418">
      <c r="A24418" s="4" t="s">
        <v>30724</v>
      </c>
      <c r="B24418" s="4" t="s">
        <v>30726</v>
      </c>
      <c r="C24418" s="5" t="str">
        <f>IFERROR(__xludf.DUMMYFUNCTION("GOOGLETRANSLATE(B24418,""en"",""fr"")"),"Le groupe commence ensuite à se produire les uns avec les autres tout en se soulevant les uns les autres dans les airs.")</f>
        <v>Le groupe commence ensuite à se produire les uns avec les autres tout en se soulevant les uns les autres dans les airs.</v>
      </c>
    </row>
    <row r="24419">
      <c r="A24419" s="4" t="s">
        <v>30724</v>
      </c>
      <c r="B24419" s="4" t="s">
        <v>30727</v>
      </c>
      <c r="C24419" s="5" t="str">
        <f>IFERROR(__xludf.DUMMYFUNCTION("GOOGLETRANSLATE(B24419,""en"",""fr"")"),"Le groupe continue de se soulever et de sauter les uns autour des autres et de se terminer en quittant la scène.")</f>
        <v>Le groupe continue de se soulever et de sauter les uns autour des autres et de se terminer en quittant la scène.</v>
      </c>
    </row>
    <row r="24420">
      <c r="A24420" s="4" t="s">
        <v>30728</v>
      </c>
      <c r="B24420" s="4" t="s">
        <v>30729</v>
      </c>
      <c r="C24420" s="5" t="str">
        <f>IFERROR(__xludf.DUMMYFUNCTION("GOOGLETRANSLATE(B24420,""en"",""fr"")"),"Une personne parle et lance une boule de bowling sur la piste de bowling.")</f>
        <v>Une personne parle et lance une boule de bowling sur la piste de bowling.</v>
      </c>
    </row>
    <row r="24421">
      <c r="A24421" s="4" t="s">
        <v>30728</v>
      </c>
      <c r="B24421" s="6" t="s">
        <v>30730</v>
      </c>
      <c r="C24421" s="5" t="str">
        <f>IFERROR(__xludf.DUMMYFUNCTION("GOOGLETRANSLATE(B24421,""en"",""fr"")"),"L'homme tient une balle et montre sa jambe gauche en avant, puis lance la boule de bowling sur la voie en parlant.")</f>
        <v>L'homme tient une balle et montre sa jambe gauche en avant, puis lance la boule de bowling sur la voie en parlant.</v>
      </c>
    </row>
    <row r="24422">
      <c r="A24422" s="4" t="s">
        <v>30731</v>
      </c>
      <c r="B24422" s="4" t="s">
        <v>30732</v>
      </c>
      <c r="C24422" s="5" t="str">
        <f>IFERROR(__xludf.DUMMYFUNCTION("GOOGLETRANSLATE(B24422,""en"",""fr"")"),"Un homme est à l'extérieur avec un ustensile de pelouse et il commence à couper la cour.")</f>
        <v>Un homme est à l'extérieur avec un ustensile de pelouse et il commence à couper la cour.</v>
      </c>
    </row>
    <row r="24423">
      <c r="A24423" s="4" t="s">
        <v>30731</v>
      </c>
      <c r="B24423" s="6" t="s">
        <v>30733</v>
      </c>
      <c r="C24423" s="5" t="str">
        <f>IFERROR(__xludf.DUMMYFUNCTION("GOOGLETRANSLATE(B24423,""en"",""fr"")"),"Il bouge un bouton puis continue de couper l'herbe et une autre femme est montrée en coupant la cour.")</f>
        <v>Il bouge un bouton puis continue de couper l'herbe et une autre femme est montrée en coupant la cour.</v>
      </c>
    </row>
    <row r="24424">
      <c r="A24424" s="4" t="s">
        <v>30731</v>
      </c>
      <c r="B24424" s="4" t="s">
        <v>30734</v>
      </c>
      <c r="C24424" s="5" t="str">
        <f>IFERROR(__xludf.DUMMYFUNCTION("GOOGLETRANSLATE(B24424,""en"",""fr"")"),"Enfin, l'homme revient et montre comment son objet fonctionne pour couper l'herbe.")</f>
        <v>Enfin, l'homme revient et montre comment son objet fonctionne pour couper l'herbe.</v>
      </c>
    </row>
    <row r="24425">
      <c r="A24425" s="4" t="s">
        <v>30735</v>
      </c>
      <c r="B24425" s="4" t="s">
        <v>30736</v>
      </c>
      <c r="C24425" s="5" t="str">
        <f>IFERROR(__xludf.DUMMYFUNCTION("GOOGLETRANSLATE(B24425,""en"",""fr"")"),"Un petit groupe de personnes est vu debout sur une plage de sable et mène à une partie de volleyball.")</f>
        <v>Un petit groupe de personnes est vu debout sur une plage de sable et mène à une partie de volleyball.</v>
      </c>
    </row>
    <row r="24426">
      <c r="A24426" s="4" t="s">
        <v>30735</v>
      </c>
      <c r="B24426" s="6" t="s">
        <v>30737</v>
      </c>
      <c r="C24426" s="5" t="str">
        <f>IFERROR(__xludf.DUMMYFUNCTION("GOOGLETRANSLATE(B24426,""en"",""fr"")"),"Les gens reviennent et quatrième avec l'un d'eux en train de pointer le ballon et la caméra qui se dirigea vers des gens qui regardent et célébrant.")</f>
        <v>Les gens reviennent et quatrième avec l'un d'eux en train de pointer le ballon et la caméra qui se dirigea vers des gens qui regardent et célébrant.</v>
      </c>
    </row>
    <row r="24427">
      <c r="A24427" s="4" t="s">
        <v>30738</v>
      </c>
      <c r="B24427" s="4" t="s">
        <v>30739</v>
      </c>
      <c r="C24427" s="5" t="str">
        <f>IFERROR(__xludf.DUMMYFUNCTION("GOOGLETRANSLATE(B24427,""en"",""fr"")"),"Un jeune enfant est vu debout sur une scène avec d'autres et on commence à danser au milieu.")</f>
        <v>Un jeune enfant est vu debout sur une scène avec d'autres et on commence à danser au milieu.</v>
      </c>
    </row>
    <row r="24428">
      <c r="A24428" s="4" t="s">
        <v>30738</v>
      </c>
      <c r="B24428" s="4" t="s">
        <v>30740</v>
      </c>
      <c r="C24428" s="5" t="str">
        <f>IFERROR(__xludf.DUMMYFUNCTION("GOOGLETRANSLATE(B24428,""en"",""fr"")"),"Le jeune garçon se déplace ensuite au milieu à tour de rôle avec d'autres dansant.")</f>
        <v>Le jeune garçon se déplace ensuite au milieu à tour de rôle avec d'autres dansant.</v>
      </c>
    </row>
    <row r="24429">
      <c r="A24429" s="4" t="s">
        <v>30738</v>
      </c>
      <c r="B24429" s="4" t="s">
        <v>30741</v>
      </c>
      <c r="C24429" s="5" t="str">
        <f>IFERROR(__xludf.DUMMYFUNCTION("GOOGLETRANSLATE(B24429,""en"",""fr"")"),"Un autre homme se déplace au milieu pour danser tandis que d'autres regardent sur le côté.")</f>
        <v>Un autre homme se déplace au milieu pour danser tandis que d'autres regardent sur le côté.</v>
      </c>
    </row>
    <row r="24430">
      <c r="A24430" s="4" t="s">
        <v>30742</v>
      </c>
      <c r="B24430" s="4" t="s">
        <v>30743</v>
      </c>
      <c r="C24430" s="5" t="str">
        <f>IFERROR(__xludf.DUMMYFUNCTION("GOOGLETRANSLATE(B24430,""en"",""fr"")"),"Une personne est vue debout au milieu d'un gymnase tenant une raquette de tennis.")</f>
        <v>Une personne est vue debout au milieu d'un gymnase tenant une raquette de tennis.</v>
      </c>
    </row>
    <row r="24431">
      <c r="A24431" s="4" t="s">
        <v>30742</v>
      </c>
      <c r="B24431" s="4" t="s">
        <v>30744</v>
      </c>
      <c r="C24431" s="5" t="str">
        <f>IFERROR(__xludf.DUMMYFUNCTION("GOOGLETRANSLATE(B24431,""en"",""fr"")"),"La personne commence alors à frapper un birdie à travers le gymnase.")</f>
        <v>La personne commence alors à frapper un birdie à travers le gymnase.</v>
      </c>
    </row>
    <row r="24432">
      <c r="A24432" s="4" t="s">
        <v>30742</v>
      </c>
      <c r="B24432" s="4" t="s">
        <v>30745</v>
      </c>
      <c r="C24432" s="5" t="str">
        <f>IFERROR(__xludf.DUMMYFUNCTION("GOOGLETRANSLATE(B24432,""en"",""fr"")"),"La personne frappe continuellement l'objet en arrière et quatrième tout en regardant la caméra.")</f>
        <v>La personne frappe continuellement l'objet en arrière et quatrième tout en regardant la caméra.</v>
      </c>
    </row>
    <row r="24433">
      <c r="A24433" s="4" t="s">
        <v>30746</v>
      </c>
      <c r="B24433" s="4" t="s">
        <v>30747</v>
      </c>
      <c r="C24433" s="5" t="str">
        <f>IFERROR(__xludf.DUMMYFUNCTION("GOOGLETRANSLATE(B24433,""en"",""fr"")"),"Un homme est vu debout sur un toit poussant des morceaux de débris avec un bâton.")</f>
        <v>Un homme est vu debout sur un toit poussant des morceaux de débris avec un bâton.</v>
      </c>
    </row>
    <row r="24434">
      <c r="A24434" s="4" t="s">
        <v>30746</v>
      </c>
      <c r="B24434" s="6" t="s">
        <v>30748</v>
      </c>
      <c r="C24434" s="5" t="str">
        <f>IFERROR(__xludf.DUMMYFUNCTION("GOOGLETRANSLATE(B24434,""en"",""fr"")"),"L'homme continue de pousser les débris du toit tout en creusant de plus en plus profondément dans le gâchis.")</f>
        <v>L'homme continue de pousser les débris du toit tout en creusant de plus en plus profondément dans le gâchis.</v>
      </c>
    </row>
    <row r="24435">
      <c r="A24435" s="4" t="s">
        <v>30749</v>
      </c>
      <c r="B24435" s="4" t="s">
        <v>30750</v>
      </c>
      <c r="C24435" s="5" t="str">
        <f>IFERROR(__xludf.DUMMYFUNCTION("GOOGLETRANSLATE(B24435,""en"",""fr"")"),"Une personne brosse les dents d'un chien tout en tenant le cou arrière.")</f>
        <v>Une personne brosse les dents d'un chien tout en tenant le cou arrière.</v>
      </c>
    </row>
    <row r="24436">
      <c r="A24436" s="4" t="s">
        <v>30749</v>
      </c>
      <c r="B24436" s="6" t="s">
        <v>30751</v>
      </c>
      <c r="C24436" s="5" t="str">
        <f>IFERROR(__xludf.DUMMYFUNCTION("GOOGLETRANSLATE(B24436,""en"",""fr"")"),"Après, elle tape la poitrine du chien et mettait le dentifrice sur la brosse et continue de brosser les dents du chien.")</f>
        <v>Après, elle tape la poitrine du chien et mettait le dentifrice sur la brosse et continue de brosser les dents du chien.</v>
      </c>
    </row>
    <row r="24437">
      <c r="A24437" s="4" t="s">
        <v>30749</v>
      </c>
      <c r="B24437" s="4" t="s">
        <v>30752</v>
      </c>
      <c r="C24437" s="5" t="str">
        <f>IFERROR(__xludf.DUMMYFUNCTION("GOOGLETRANSLATE(B24437,""en"",""fr"")"),"Après, la personne tape à nouveau la poitrine, mettez le dentifrice sur la brosse et brossez les dents du chien.")</f>
        <v>Après, la personne tape à nouveau la poitrine, mettez le dentifrice sur la brosse et brossez les dents du chien.</v>
      </c>
    </row>
    <row r="24438">
      <c r="A24438" s="4" t="s">
        <v>30749</v>
      </c>
      <c r="B24438" s="4" t="s">
        <v>30753</v>
      </c>
      <c r="C24438" s="5" t="str">
        <f>IFERROR(__xludf.DUMMYFUNCTION("GOOGLETRANSLATE(B24438,""en"",""fr"")"),"Lorsque la personne finit de se brosser, elle embrasse le chien.")</f>
        <v>Lorsque la personne finit de se brosser, elle embrasse le chien.</v>
      </c>
    </row>
    <row r="24439">
      <c r="A24439" s="4" t="s">
        <v>30754</v>
      </c>
      <c r="B24439" s="4" t="s">
        <v>30755</v>
      </c>
      <c r="C24439" s="5" t="str">
        <f>IFERROR(__xludf.DUMMYFUNCTION("GOOGLETRANSLATE(B24439,""en"",""fr"")"),"Une femme parle à la caméra entourée de bouteilles d'alcool.")</f>
        <v>Une femme parle à la caméra entourée de bouteilles d'alcool.</v>
      </c>
    </row>
    <row r="24440">
      <c r="A24440" s="4" t="s">
        <v>30754</v>
      </c>
      <c r="B24440" s="4" t="s">
        <v>30756</v>
      </c>
      <c r="C24440" s="5" t="str">
        <f>IFERROR(__xludf.DUMMYFUNCTION("GOOGLETRANSLATE(B24440,""en"",""fr"")"),"La femme commence à verser différents alcools et jus de citron dans un verre de glace.")</f>
        <v>La femme commence à verser différents alcools et jus de citron dans un verre de glace.</v>
      </c>
    </row>
    <row r="24441">
      <c r="A24441" s="4" t="s">
        <v>30754</v>
      </c>
      <c r="B24441" s="4" t="s">
        <v>30757</v>
      </c>
      <c r="C24441" s="5" t="str">
        <f>IFERROR(__xludf.DUMMYFUNCTION("GOOGLETRANSLATE(B24441,""en"",""fr"")"),"La femme secoue le mélange de boissons et la sévère dans un autre verre.")</f>
        <v>La femme secoue le mélange de boissons et la sévère dans un autre verre.</v>
      </c>
    </row>
    <row r="24442">
      <c r="A24442" s="4" t="s">
        <v>30754</v>
      </c>
      <c r="B24442" s="4" t="s">
        <v>30758</v>
      </c>
      <c r="C24442" s="5" t="str">
        <f>IFERROR(__xludf.DUMMYFUNCTION("GOOGLETRANSLATE(B24442,""en"",""fr"")"),"La femme met une petite paille dans la boisson et la tient et sourit.")</f>
        <v>La femme met une petite paille dans la boisson et la tient et sourit.</v>
      </c>
    </row>
    <row r="24443">
      <c r="A24443" s="4" t="s">
        <v>30759</v>
      </c>
      <c r="B24443" s="4" t="s">
        <v>30760</v>
      </c>
      <c r="C24443" s="5" t="str">
        <f>IFERROR(__xludf.DUMMYFUNCTION("GOOGLETRANSLATE(B24443,""en"",""fr"")"),"Un homme portant un chapeau noir joue de la guitare pour que la caméra puisse la voir.")</f>
        <v>Un homme portant un chapeau noir joue de la guitare pour que la caméra puisse la voir.</v>
      </c>
    </row>
    <row r="24444">
      <c r="A24444" s="4" t="s">
        <v>30759</v>
      </c>
      <c r="B24444" s="6" t="s">
        <v>30761</v>
      </c>
      <c r="C24444" s="5" t="str">
        <f>IFERROR(__xludf.DUMMYFUNCTION("GOOGLETRANSLATE(B24444,""en"",""fr"")"),"Il continue de gratter ses doigts et de déplacer ses mains autour de l'instrument jusqu'à la fin de la chanson ainsi que la vidéo.")</f>
        <v>Il continue de gratter ses doigts et de déplacer ses mains autour de l'instrument jusqu'à la fin de la chanson ainsi que la vidéo.</v>
      </c>
    </row>
    <row r="24445">
      <c r="A24445" s="4" t="s">
        <v>30762</v>
      </c>
      <c r="B24445" s="4" t="s">
        <v>30763</v>
      </c>
      <c r="C24445" s="5" t="str">
        <f>IFERROR(__xludf.DUMMYFUNCTION("GOOGLETRANSLATE(B24445,""en"",""fr"")"),"Une femme enregistre une vidéo d'un petit garçon qui peint une clôture.")</f>
        <v>Une femme enregistre une vidéo d'un petit garçon qui peint une clôture.</v>
      </c>
    </row>
    <row r="24446">
      <c r="A24446" s="4" t="s">
        <v>30762</v>
      </c>
      <c r="B24446" s="4" t="s">
        <v>30764</v>
      </c>
      <c r="C24446" s="5" t="str">
        <f>IFERROR(__xludf.DUMMYFUNCTION("GOOGLETRANSLATE(B24446,""en"",""fr"")"),"L'appareil photo se déroule dans le reste de l'arrière-cour et de la clôture.")</f>
        <v>L'appareil photo se déroule dans le reste de l'arrière-cour et de la clôture.</v>
      </c>
    </row>
    <row r="24447">
      <c r="A24447" s="4" t="s">
        <v>30762</v>
      </c>
      <c r="B24447" s="4" t="s">
        <v>30765</v>
      </c>
      <c r="C24447" s="5" t="str">
        <f>IFERROR(__xludf.DUMMYFUNCTION("GOOGLETRANSLATE(B24447,""en"",""fr"")"),"Un autre petit garçon peint l'autre extrémité de la clôture, et la caméra s'approche de lui.")</f>
        <v>Un autre petit garçon peint l'autre extrémité de la clôture, et la caméra s'approche de lui.</v>
      </c>
    </row>
    <row r="24448">
      <c r="A24448" s="4" t="s">
        <v>30762</v>
      </c>
      <c r="B24448" s="4" t="s">
        <v>30766</v>
      </c>
      <c r="C24448" s="5" t="str">
        <f>IFERROR(__xludf.DUMMYFUNCTION("GOOGLETRANSLATE(B24448,""en"",""fr"")"),"La vidéo coupe ensuite pour montrer que la clôture est principalement terminée.")</f>
        <v>La vidéo coupe ensuite pour montrer que la clôture est principalement terminée.</v>
      </c>
    </row>
    <row r="24449">
      <c r="A24449" s="4" t="s">
        <v>30762</v>
      </c>
      <c r="B24449" s="4" t="s">
        <v>30767</v>
      </c>
      <c r="C24449" s="5" t="str">
        <f>IFERROR(__xludf.DUMMYFUNCTION("GOOGLETRANSLATE(B24449,""en"",""fr"")"),"La vidéo montre ensuite les deux garçons travaillant ensemble pour terminer le panneau final de la clôture.")</f>
        <v>La vidéo montre ensuite les deux garçons travaillant ensemble pour terminer le panneau final de la clôture.</v>
      </c>
    </row>
    <row r="24450">
      <c r="A24450" s="4" t="s">
        <v>30762</v>
      </c>
      <c r="B24450" s="4" t="s">
        <v>30768</v>
      </c>
      <c r="C24450" s="5" t="str">
        <f>IFERROR(__xludf.DUMMYFUNCTION("GOOGLETRANSLATE(B24450,""en"",""fr"")"),"La vidéo se termine alors que la caméra se déroule pour montrer la maison et la clôture fraîchement peinte.")</f>
        <v>La vidéo se termine alors que la caméra se déroule pour montrer la maison et la clôture fraîchement peinte.</v>
      </c>
    </row>
    <row r="24451">
      <c r="A24451" s="4" t="s">
        <v>30769</v>
      </c>
      <c r="B24451" s="4" t="s">
        <v>30770</v>
      </c>
      <c r="C24451" s="5" t="str">
        <f>IFERROR(__xludf.DUMMYFUNCTION("GOOGLETRANSLATE(B24451,""en"",""fr"")"),"On voit une femme effectuer un saut d'une plongée élevée et atterrir dans une piscine.")</f>
        <v>On voit une femme effectuer un saut d'une plongée élevée et atterrir dans une piscine.</v>
      </c>
    </row>
    <row r="24452">
      <c r="A24452" s="4" t="s">
        <v>30769</v>
      </c>
      <c r="B24452" s="4" t="s">
        <v>30771</v>
      </c>
      <c r="C24452" s="5" t="str">
        <f>IFERROR(__xludf.DUMMYFUNCTION("GOOGLETRANSLATE(B24452,""en"",""fr"")"),"Plus de photos de sa plongée sont représentées à nouveau peu de temps après au ralenti.")</f>
        <v>Plus de photos de sa plongée sont représentées à nouveau peu de temps après au ralenti.</v>
      </c>
    </row>
    <row r="24453">
      <c r="A24453" s="4" t="s">
        <v>30772</v>
      </c>
      <c r="B24453" s="4" t="s">
        <v>30773</v>
      </c>
      <c r="C24453" s="5" t="str">
        <f>IFERROR(__xludf.DUMMYFUNCTION("GOOGLETRANSLATE(B24453,""en"",""fr"")"),"Un gros poisson est vu nager sous l'eau congelée.")</f>
        <v>Un gros poisson est vu nager sous l'eau congelée.</v>
      </c>
    </row>
    <row r="24454">
      <c r="A24454" s="4" t="s">
        <v>30772</v>
      </c>
      <c r="B24454" s="4" t="s">
        <v>30774</v>
      </c>
      <c r="C24454" s="5" t="str">
        <f>IFERROR(__xludf.DUMMYFUNCTION("GOOGLETRANSLATE(B24454,""en"",""fr"")"),"Un homme crée un trou dans la glace pour attraper le poisson.")</f>
        <v>Un homme crée un trou dans la glace pour attraper le poisson.</v>
      </c>
    </row>
    <row r="24455">
      <c r="A24455" s="4" t="s">
        <v>30772</v>
      </c>
      <c r="B24455" s="4" t="s">
        <v>30775</v>
      </c>
      <c r="C24455" s="5" t="str">
        <f>IFERROR(__xludf.DUMMYFUNCTION("GOOGLETRANSLATE(B24455,""en"",""fr"")"),"Il l'attrape sur une ligne et tire jusqu'à ce qu'il puisse le traverser dans le trou.")</f>
        <v>Il l'attrape sur une ligne et tire jusqu'à ce qu'il puisse le traverser dans le trou.</v>
      </c>
    </row>
    <row r="24456">
      <c r="A24456" s="4" t="s">
        <v>30776</v>
      </c>
      <c r="B24456" s="4" t="s">
        <v>30777</v>
      </c>
      <c r="C24456" s="5" t="str">
        <f>IFERROR(__xludf.DUMMYFUNCTION("GOOGLETRANSLATE(B24456,""en"",""fr"")"),"Nous voyons les scènes d'intro et d'intro.")</f>
        <v>Nous voyons les scènes d'intro et d'intro.</v>
      </c>
    </row>
    <row r="24457">
      <c r="A24457" s="4" t="s">
        <v>30776</v>
      </c>
      <c r="B24457" s="4" t="s">
        <v>30778</v>
      </c>
      <c r="C24457" s="5" t="str">
        <f>IFERROR(__xludf.DUMMYFUNCTION("GOOGLETRANSLATE(B24457,""en"",""fr"")"),"Un homme se tient dans un garage avec deux pelles.")</f>
        <v>Un homme se tient dans un garage avec deux pelles.</v>
      </c>
    </row>
    <row r="24458">
      <c r="A24458" s="4" t="s">
        <v>30776</v>
      </c>
      <c r="B24458" s="4" t="s">
        <v>30779</v>
      </c>
      <c r="C24458" s="5" t="str">
        <f>IFERROR(__xludf.DUMMYFUNCTION("GOOGLETRANSLATE(B24458,""en"",""fr"")"),"Nous voyons ensuite ses fournitures de pelle.")</f>
        <v>Nous voyons ensuite ses fournitures de pelle.</v>
      </c>
    </row>
    <row r="24459">
      <c r="A24459" s="4" t="s">
        <v>30776</v>
      </c>
      <c r="B24459" s="4" t="s">
        <v>30780</v>
      </c>
      <c r="C24459" s="5" t="str">
        <f>IFERROR(__xludf.DUMMYFUNCTION("GOOGLETRANSLATE(B24459,""en"",""fr"")"),"L'homme s'étend et met ses vêtements d'hiver.")</f>
        <v>L'homme s'étend et met ses vêtements d'hiver.</v>
      </c>
    </row>
    <row r="24460">
      <c r="A24460" s="4" t="s">
        <v>30776</v>
      </c>
      <c r="B24460" s="4" t="s">
        <v>30781</v>
      </c>
      <c r="C24460" s="5" t="str">
        <f>IFERROR(__xludf.DUMMYFUNCTION("GOOGLETRANSLATE(B24460,""en"",""fr"")"),"Il pulvérise sa pelle avec un spray antiadhésif et pelle son entrée.")</f>
        <v>Il pulvérise sa pelle avec un spray antiadhésif et pelle son entrée.</v>
      </c>
    </row>
    <row r="24461">
      <c r="A24461" s="4" t="s">
        <v>30776</v>
      </c>
      <c r="B24461" s="4" t="s">
        <v>30782</v>
      </c>
      <c r="C24461" s="5" t="str">
        <f>IFERROR(__xludf.DUMMYFUNCTION("GOOGLETRANSLATE(B24461,""en"",""fr"")"),"L'homme se couche et a eu du mal à respirer.")</f>
        <v>L'homme se couche et a eu du mal à respirer.</v>
      </c>
    </row>
    <row r="24462">
      <c r="A24462" s="4" t="s">
        <v>30776</v>
      </c>
      <c r="B24462" s="4" t="s">
        <v>30783</v>
      </c>
      <c r="C24462" s="5" t="str">
        <f>IFERROR(__xludf.DUMMYFUNCTION("GOOGLETRANSLATE(B24462,""en"",""fr"")"),"Après avoir posé du sable, il boit une boisson chaude.")</f>
        <v>Après avoir posé du sable, il boit une boisson chaude.</v>
      </c>
    </row>
    <row r="24463">
      <c r="A24463" s="4" t="s">
        <v>30776</v>
      </c>
      <c r="B24463" s="4" t="s">
        <v>30784</v>
      </c>
      <c r="C24463" s="5" t="str">
        <f>IFERROR(__xludf.DUMMYFUNCTION("GOOGLETRANSLATE(B24463,""en"",""fr"")"),"Nous voyons l'écran de crédits de fin.")</f>
        <v>Nous voyons l'écran de crédits de fin.</v>
      </c>
    </row>
    <row r="24464">
      <c r="A24464" s="4" t="s">
        <v>30785</v>
      </c>
      <c r="B24464" s="4" t="s">
        <v>30786</v>
      </c>
      <c r="C24464" s="5" t="str">
        <f>IFERROR(__xludf.DUMMYFUNCTION("GOOGLETRANSLATE(B24464,""en"",""fr"")"),"Plusieurs filles sont à l'extérieur dans un grand terrain vert jouant un jeu.")</f>
        <v>Plusieurs filles sont à l'extérieur dans un grand terrain vert jouant un jeu.</v>
      </c>
    </row>
    <row r="24465">
      <c r="A24465" s="4" t="s">
        <v>30785</v>
      </c>
      <c r="B24465" s="6" t="s">
        <v>30787</v>
      </c>
      <c r="C24465" s="5" t="str">
        <f>IFERROR(__xludf.DUMMYFUNCTION("GOOGLETRANSLATE(B24465,""en"",""fr"")"),"La fille devant la caméra est vêtue d'une chemise jaune et du short noir a frappé le ballon avec le bâton et commence à sauter dans les airs.")</f>
        <v>La fille devant la caméra est vêtue d'une chemise jaune et du short noir a frappé le ballon avec le bâton et commence à sauter dans les airs.</v>
      </c>
    </row>
    <row r="24466">
      <c r="A24466" s="4" t="s">
        <v>30788</v>
      </c>
      <c r="B24466" s="4" t="s">
        <v>30789</v>
      </c>
      <c r="C24466" s="5" t="str">
        <f>IFERROR(__xludf.DUMMYFUNCTION("GOOGLETRANSLATE(B24466,""en"",""fr"")"),"Une photo d'un arbre de Noël est montrée suivie d'un homme entrant dans le cadre.")</f>
        <v>Une photo d'un arbre de Noël est montrée suivie d'un homme entrant dans le cadre.</v>
      </c>
    </row>
    <row r="24467">
      <c r="A24467" s="4" t="s">
        <v>30788</v>
      </c>
      <c r="B24467" s="4" t="s">
        <v>30790</v>
      </c>
      <c r="C24467" s="5" t="str">
        <f>IFERROR(__xludf.DUMMYFUNCTION("GOOGLETRANSLATE(B24467,""en"",""fr"")"),"L'homme commence alors à décorer l'arbre ainsi que les autres.")</f>
        <v>L'homme commence alors à décorer l'arbre ainsi que les autres.</v>
      </c>
    </row>
    <row r="24468">
      <c r="A24468" s="4" t="s">
        <v>30788</v>
      </c>
      <c r="B24468" s="6" t="s">
        <v>30791</v>
      </c>
      <c r="C24468" s="5" t="str">
        <f>IFERROR(__xludf.DUMMYFUNCTION("GOOGLETRANSLATE(B24468,""en"",""fr"")"),"Les gens décorent continuellement l'arbre se déplaçant rapidement les uns autour des autres et se terminent en le présentant à la caméra.")</f>
        <v>Les gens décorent continuellement l'arbre se déplaçant rapidement les uns autour des autres et se terminent en le présentant à la caméra.</v>
      </c>
    </row>
    <row r="24469">
      <c r="A24469" s="4" t="s">
        <v>30792</v>
      </c>
      <c r="B24469" s="4" t="s">
        <v>30793</v>
      </c>
      <c r="C24469" s="5" t="str">
        <f>IFERROR(__xludf.DUMMYFUNCTION("GOOGLETRANSLATE(B24469,""en"",""fr"")"),"Une femme est vue en parlant à la caméra tout en tenant un sac de biscuits ainsi qu'une assiette.")</f>
        <v>Une femme est vue en parlant à la caméra tout en tenant un sac de biscuits ainsi qu'une assiette.</v>
      </c>
    </row>
    <row r="24470">
      <c r="A24470" s="4" t="s">
        <v>30792</v>
      </c>
      <c r="B24470" s="4" t="s">
        <v>30794</v>
      </c>
      <c r="C24470" s="5" t="str">
        <f>IFERROR(__xludf.DUMMYFUNCTION("GOOGLETRANSLATE(B24470,""en"",""fr"")"),"Divers ingrédients sont ensuite voir dans des bols.")</f>
        <v>Divers ingrédients sont ensuite voir dans des bols.</v>
      </c>
    </row>
    <row r="24471">
      <c r="A24471" s="4" t="s">
        <v>30792</v>
      </c>
      <c r="B24471" s="6" t="s">
        <v>30795</v>
      </c>
      <c r="C24471" s="5" t="str">
        <f>IFERROR(__xludf.DUMMYFUNCTION("GOOGLETRANSLATE(B24471,""en"",""fr"")"),"La femme mélange tous les ingrédients ensemble et les écrase en minuscules balles pour s'associer à la fin.")</f>
        <v>La femme mélange tous les ingrédients ensemble et les écrase en minuscules balles pour s'associer à la fin.</v>
      </c>
    </row>
    <row r="24472">
      <c r="A24472" s="4" t="s">
        <v>30796</v>
      </c>
      <c r="B24472" s="6" t="s">
        <v>30797</v>
      </c>
      <c r="C24472" s="5" t="str">
        <f>IFERROR(__xludf.DUMMYFUNCTION("GOOGLETRANSLATE(B24472,""en"",""fr"")"),"Une femme avec un anneau de nez est vue en parlant à la caméra et conduit à quelqu'un qui se coupe les cheveux.")</f>
        <v>Une femme avec un anneau de nez est vue en parlant à la caméra et conduit à quelqu'un qui se coupe les cheveux.</v>
      </c>
    </row>
    <row r="24473">
      <c r="A24473" s="4" t="s">
        <v>30796</v>
      </c>
      <c r="B24473" s="6" t="s">
        <v>30798</v>
      </c>
      <c r="C24473" s="5" t="str">
        <f>IFERROR(__xludf.DUMMYFUNCTION("GOOGLETRANSLATE(B24473,""en"",""fr"")"),"La personne coupe les côtés et la femme est vue portant des lunettes et pose avec son nouveau style.")</f>
        <v>La personne coupe les côtés et la femme est vue portant des lunettes et pose avec son nouveau style.</v>
      </c>
    </row>
    <row r="24474">
      <c r="A24474" s="4" t="s">
        <v>30796</v>
      </c>
      <c r="B24474" s="4" t="s">
        <v>30799</v>
      </c>
      <c r="C24474" s="5" t="str">
        <f>IFERROR(__xludf.DUMMYFUNCTION("GOOGLETRANSLATE(B24474,""en"",""fr"")"),"Plus de coups de coupe d'une personne est montré pendant que la femme parle à la caméra.")</f>
        <v>Plus de coups de coupe d'une personne est montré pendant que la femme parle à la caméra.</v>
      </c>
    </row>
    <row r="24475">
      <c r="A24475" s="4" t="s">
        <v>30800</v>
      </c>
      <c r="B24475" s="4" t="s">
        <v>30801</v>
      </c>
      <c r="C24475" s="5" t="str">
        <f>IFERROR(__xludf.DUMMYFUNCTION("GOOGLETRANSLATE(B24475,""en"",""fr"")"),"Une jeune fille est dans une salle de bain avec son père.")</f>
        <v>Une jeune fille est dans une salle de bain avec son père.</v>
      </c>
    </row>
    <row r="24476">
      <c r="A24476" s="4" t="s">
        <v>30800</v>
      </c>
      <c r="B24476" s="4" t="s">
        <v>30802</v>
      </c>
      <c r="C24476" s="5" t="str">
        <f>IFERROR(__xludf.DUMMYFUNCTION("GOOGLETRANSLATE(B24476,""en"",""fr"")"),"Il frotte de l'eau de haut en bas de son visage.")</f>
        <v>Il frotte de l'eau de haut en bas de son visage.</v>
      </c>
    </row>
    <row r="24477">
      <c r="A24477" s="4" t="s">
        <v>30800</v>
      </c>
      <c r="B24477" s="4" t="s">
        <v>30803</v>
      </c>
      <c r="C24477" s="5" t="str">
        <f>IFERROR(__xludf.DUMMYFUNCTION("GOOGLETRANSLATE(B24477,""en"",""fr"")"),"Elle glousse et sourit comme il le fait.")</f>
        <v>Elle glousse et sourit comme il le fait.</v>
      </c>
    </row>
    <row r="24478">
      <c r="A24478" s="4" t="s">
        <v>30804</v>
      </c>
      <c r="B24478" s="4" t="s">
        <v>30805</v>
      </c>
      <c r="C24478" s="5" t="str">
        <f>IFERROR(__xludf.DUMMYFUNCTION("GOOGLETRANSLATE(B24478,""en"",""fr"")"),"Une fille étire son corps sur une barre de ballet.")</f>
        <v>Une fille étire son corps sur une barre de ballet.</v>
      </c>
    </row>
    <row r="24479">
      <c r="A24479" s="4" t="s">
        <v>30804</v>
      </c>
      <c r="B24479" s="4" t="s">
        <v>30806</v>
      </c>
      <c r="C24479" s="5" t="str">
        <f>IFERROR(__xludf.DUMMYFUNCTION("GOOGLETRANSLATE(B24479,""en"",""fr"")"),"Un instructeur se tient avec une femme et parle de ballet.")</f>
        <v>Un instructeur se tient avec une femme et parle de ballet.</v>
      </c>
    </row>
    <row r="24480">
      <c r="A24480" s="4" t="s">
        <v>30804</v>
      </c>
      <c r="B24480" s="4" t="s">
        <v>30807</v>
      </c>
      <c r="C24480" s="5" t="str">
        <f>IFERROR(__xludf.DUMMYFUNCTION("GOOGLETRANSLATE(B24480,""en"",""fr"")"),"La fille danse et pans à l'instructeur.")</f>
        <v>La fille danse et pans à l'instructeur.</v>
      </c>
    </row>
    <row r="24481">
      <c r="A24481" s="4" t="s">
        <v>30804</v>
      </c>
      <c r="B24481" s="4" t="s">
        <v>30808</v>
      </c>
      <c r="C24481" s="5" t="str">
        <f>IFERROR(__xludf.DUMMYFUNCTION("GOOGLETRANSLATE(B24481,""en"",""fr"")"),"L'instructeur parle des outils dont vous aurez besoin pour le ballet.")</f>
        <v>L'instructeur parle des outils dont vous aurez besoin pour le ballet.</v>
      </c>
    </row>
    <row r="24482">
      <c r="A24482" s="4" t="s">
        <v>30804</v>
      </c>
      <c r="B24482" s="4" t="s">
        <v>30809</v>
      </c>
      <c r="C24482" s="5" t="str">
        <f>IFERROR(__xludf.DUMMYFUNCTION("GOOGLETRANSLATE(B24482,""en"",""fr"")"),"Elle parle de divers mouvements de ballet à faire à la barre pendant que le danseur démontre.")</f>
        <v>Elle parle de divers mouvements de ballet à faire à la barre pendant que le danseur démontre.</v>
      </c>
    </row>
    <row r="24483">
      <c r="A24483" s="4" t="s">
        <v>30810</v>
      </c>
      <c r="B24483" s="4" t="s">
        <v>30811</v>
      </c>
      <c r="C24483" s="5" t="str">
        <f>IFERROR(__xludf.DUMMYFUNCTION("GOOGLETRANSLATE(B24483,""en"",""fr"")"),"Un tir de près d'un match de Fooseball est montré alors que les gens en plastique poussent autour d'une balle.")</f>
        <v>Un tir de près d'un match de Fooseball est montré alors que les gens en plastique poussent autour d'une balle.</v>
      </c>
    </row>
    <row r="24484">
      <c r="A24484" s="4" t="s">
        <v>30810</v>
      </c>
      <c r="B24484" s="4" t="s">
        <v>30812</v>
      </c>
      <c r="C24484" s="5" t="str">
        <f>IFERROR(__xludf.DUMMYFUNCTION("GOOGLETRANSLATE(B24484,""en"",""fr"")"),"On voit des mains déplacer le ballon et saisir les poteaux pour jouer.")</f>
        <v>On voit des mains déplacer le ballon et saisir les poteaux pour jouer.</v>
      </c>
    </row>
    <row r="24485">
      <c r="A24485" s="4" t="s">
        <v>30813</v>
      </c>
      <c r="B24485" s="4" t="s">
        <v>30814</v>
      </c>
      <c r="C24485" s="5" t="str">
        <f>IFERROR(__xludf.DUMMYFUNCTION("GOOGLETRANSLATE(B24485,""en"",""fr"")"),"Certaines personnes sont montrées alors qu'elles se préparent à tube sur une longue pente de neige.")</f>
        <v>Certaines personnes sont montrées alors qu'elles se préparent à tube sur une longue pente de neige.</v>
      </c>
    </row>
    <row r="24486">
      <c r="A24486" s="4" t="s">
        <v>30813</v>
      </c>
      <c r="B24486" s="4" t="s">
        <v>30815</v>
      </c>
      <c r="C24486" s="5" t="str">
        <f>IFERROR(__xludf.DUMMYFUNCTION("GOOGLETRANSLATE(B24486,""en"",""fr"")"),"Ils commencent à descendre la pente jusqu'à ce qu'ils atteignent la fin et peuvent s'arrêter.")</f>
        <v>Ils commencent à descendre la pente jusqu'à ce qu'ils atteignent la fin et peuvent s'arrêter.</v>
      </c>
    </row>
    <row r="24487">
      <c r="A24487" s="4" t="s">
        <v>30813</v>
      </c>
      <c r="B24487" s="4" t="s">
        <v>30816</v>
      </c>
      <c r="C24487" s="5" t="str">
        <f>IFERROR(__xludf.DUMMYFUNCTION("GOOGLETRANSLATE(B24487,""en"",""fr"")"),"Après cela, ils sortent de leurs tubes et commencent à sortir.")</f>
        <v>Après cela, ils sortent de leurs tubes et commencent à sortir.</v>
      </c>
    </row>
    <row r="24488">
      <c r="A24488" s="4" t="s">
        <v>30817</v>
      </c>
      <c r="B24488" s="4" t="s">
        <v>30818</v>
      </c>
      <c r="C24488" s="5" t="str">
        <f>IFERROR(__xludf.DUMMYFUNCTION("GOOGLETRANSLATE(B24488,""en"",""fr"")"),"Les gens font du sport sur du sable.")</f>
        <v>Les gens font du sport sur du sable.</v>
      </c>
    </row>
    <row r="24489">
      <c r="A24489" s="4" t="s">
        <v>30817</v>
      </c>
      <c r="B24489" s="4" t="s">
        <v>30819</v>
      </c>
      <c r="C24489" s="5" t="str">
        <f>IFERROR(__xludf.DUMMYFUNCTION("GOOGLETRANSLATE(B24489,""en"",""fr"")"),"Un homme en uniforme vert donne un haut cinq à quelqu'un sur la touche.")</f>
        <v>Un homme en uniforme vert donne un haut cinq à quelqu'un sur la touche.</v>
      </c>
    </row>
    <row r="24490">
      <c r="A24490" s="4" t="s">
        <v>30817</v>
      </c>
      <c r="B24490" s="4" t="s">
        <v>30820</v>
      </c>
      <c r="C24490" s="5" t="str">
        <f>IFERROR(__xludf.DUMMYFUNCTION("GOOGLETRANSLATE(B24490,""en"",""fr"")"),"Un homme tombe dans le sable.")</f>
        <v>Un homme tombe dans le sable.</v>
      </c>
    </row>
    <row r="24491">
      <c r="A24491" s="4" t="s">
        <v>30821</v>
      </c>
      <c r="B24491" s="4" t="s">
        <v>30822</v>
      </c>
      <c r="C24491" s="5" t="str">
        <f>IFERROR(__xludf.DUMMYFUNCTION("GOOGLETRANSLATE(B24491,""en"",""fr"")"),"Une jeune femme est vue en tenant un chat et souriant à la caméra.")</f>
        <v>Une jeune femme est vue en tenant un chat et souriant à la caméra.</v>
      </c>
    </row>
    <row r="24492">
      <c r="A24492" s="4" t="s">
        <v>30821</v>
      </c>
      <c r="B24492" s="4" t="s">
        <v>30823</v>
      </c>
      <c r="C24492" s="5" t="str">
        <f>IFERROR(__xludf.DUMMYFUNCTION("GOOGLETRANSLATE(B24492,""en"",""fr"")"),"Le chat commence à s'affronter et la femme continue de sourire.")</f>
        <v>Le chat commence à s'affronter et la femme continue de sourire.</v>
      </c>
    </row>
    <row r="24493">
      <c r="A24493" s="4" t="s">
        <v>30821</v>
      </c>
      <c r="B24493" s="4" t="s">
        <v>30824</v>
      </c>
      <c r="C24493" s="5" t="str">
        <f>IFERROR(__xludf.DUMMYFUNCTION("GOOGLETRANSLATE(B24493,""en"",""fr"")"),"La femme coupe ensuite les griffes des chats tandis que le chat se déplace toujours et elle tient le chat.")</f>
        <v>La femme coupe ensuite les griffes des chats tandis que le chat se déplace toujours et elle tient le chat.</v>
      </c>
    </row>
    <row r="24494">
      <c r="A24494" s="4" t="s">
        <v>30825</v>
      </c>
      <c r="B24494" s="4" t="s">
        <v>30826</v>
      </c>
      <c r="C24494" s="5" t="str">
        <f>IFERROR(__xludf.DUMMYFUNCTION("GOOGLETRANSLATE(B24494,""en"",""fr"")"),"Deux personnes naviguent sur des planches sur un lac.")</f>
        <v>Deux personnes naviguent sur des planches sur un lac.</v>
      </c>
    </row>
    <row r="24495">
      <c r="A24495" s="4" t="s">
        <v>30825</v>
      </c>
      <c r="B24495" s="4" t="s">
        <v>30827</v>
      </c>
      <c r="C24495" s="5" t="str">
        <f>IFERROR(__xludf.DUMMYFUNCTION("GOOGLETRANSLATE(B24495,""en"",""fr"")"),"Une personne est vue naviguer sur sa planche jusqu'à ce qu'elle tombe du tableau et dans l'eau.")</f>
        <v>Une personne est vue naviguer sur sa planche jusqu'à ce qu'elle tombe du tableau et dans l'eau.</v>
      </c>
    </row>
    <row r="24496">
      <c r="A24496" s="4" t="s">
        <v>30828</v>
      </c>
      <c r="B24496" s="4" t="s">
        <v>30829</v>
      </c>
      <c r="C24496" s="5" t="str">
        <f>IFERROR(__xludf.DUMMYFUNCTION("GOOGLETRANSLATE(B24496,""en"",""fr"")"),"Un groupe d'hommes enveloppe des boîtes sur une table.")</f>
        <v>Un groupe d'hommes enveloppe des boîtes sur une table.</v>
      </c>
    </row>
    <row r="24497">
      <c r="A24497" s="4" t="s">
        <v>30828</v>
      </c>
      <c r="B24497" s="4" t="s">
        <v>30830</v>
      </c>
      <c r="C24497" s="5" t="str">
        <f>IFERROR(__xludf.DUMMYFUNCTION("GOOGLETRANSLATE(B24497,""en"",""fr"")"),"Plusieurs personnes se promènent dans la région.")</f>
        <v>Plusieurs personnes se promènent dans la région.</v>
      </c>
    </row>
    <row r="24498">
      <c r="A24498" s="4" t="s">
        <v>30828</v>
      </c>
      <c r="B24498" s="4" t="s">
        <v>30831</v>
      </c>
      <c r="C24498" s="5" t="str">
        <f>IFERROR(__xludf.DUMMYFUNCTION("GOOGLETRANSLATE(B24498,""en"",""fr"")"),"Un homme devient très en profondeur sur son emballage et enveloppe fermement la boîte.")</f>
        <v>Un homme devient très en profondeur sur son emballage et enveloppe fermement la boîte.</v>
      </c>
    </row>
    <row r="24499">
      <c r="A24499" s="4" t="s">
        <v>30828</v>
      </c>
      <c r="B24499" s="4" t="s">
        <v>30832</v>
      </c>
      <c r="C24499" s="5" t="str">
        <f>IFERROR(__xludf.DUMMYFUNCTION("GOOGLETRANSLATE(B24499,""en"",""fr"")"),"Un autre homme apparaît et attrape du papier puis s'éloigne.")</f>
        <v>Un autre homme apparaît et attrape du papier puis s'éloigne.</v>
      </c>
    </row>
    <row r="24500">
      <c r="A24500" s="4" t="s">
        <v>30828</v>
      </c>
      <c r="B24500" s="4" t="s">
        <v>30833</v>
      </c>
      <c r="C24500" s="5" t="str">
        <f>IFERROR(__xludf.DUMMYFUNCTION("GOOGLETRANSLATE(B24500,""en"",""fr"")"),"L'homme enveloppé finit sa boîte.")</f>
        <v>L'homme enveloppé finit sa boîte.</v>
      </c>
    </row>
    <row r="24501">
      <c r="A24501" s="4" t="s">
        <v>30834</v>
      </c>
      <c r="B24501" s="4" t="s">
        <v>30835</v>
      </c>
      <c r="C24501" s="5" t="str">
        <f>IFERROR(__xludf.DUMMYFUNCTION("GOOGLETRANSLATE(B24501,""en"",""fr"")"),"Un homme et une femme sont assis sur un porche.")</f>
        <v>Un homme et une femme sont assis sur un porche.</v>
      </c>
    </row>
    <row r="24502">
      <c r="A24502" s="4" t="s">
        <v>30834</v>
      </c>
      <c r="B24502" s="4" t="s">
        <v>30836</v>
      </c>
      <c r="C24502" s="5" t="str">
        <f>IFERROR(__xludf.DUMMYFUNCTION("GOOGLETRANSLATE(B24502,""en"",""fr"")"),"L'homme joue de la batterie de bongo pendant que la femme aide à l'occasion.")</f>
        <v>L'homme joue de la batterie de bongo pendant que la femme aide à l'occasion.</v>
      </c>
    </row>
    <row r="24503">
      <c r="A24503" s="4" t="s">
        <v>30834</v>
      </c>
      <c r="B24503" s="4" t="s">
        <v>30837</v>
      </c>
      <c r="C24503" s="5" t="str">
        <f>IFERROR(__xludf.DUMMYFUNCTION("GOOGLETRANSLATE(B24503,""en"",""fr"")"),"Une autre main est vue frapper un tambour au premier plan.")</f>
        <v>Une autre main est vue frapper un tambour au premier plan.</v>
      </c>
    </row>
    <row r="24504">
      <c r="A24504" s="4" t="s">
        <v>30838</v>
      </c>
      <c r="B24504" s="4" t="s">
        <v>30839</v>
      </c>
      <c r="C24504" s="5" t="str">
        <f>IFERROR(__xludf.DUMMYFUNCTION("GOOGLETRANSLATE(B24504,""en"",""fr"")"),"Une personne monte à l'étage soutenant sur une béquille, puis s'assoit sur la dernière étape pendant qu'un homme le suit.")</f>
        <v>Une personne monte à l'étage soutenant sur une béquille, puis s'assoit sur la dernière étape pendant qu'un homme le suit.</v>
      </c>
    </row>
    <row r="24505">
      <c r="A24505" s="4" t="s">
        <v>30838</v>
      </c>
      <c r="B24505" s="6" t="s">
        <v>30840</v>
      </c>
      <c r="C24505" s="5" t="str">
        <f>IFERROR(__xludf.DUMMYFUNCTION("GOOGLETRANSLATE(B24505,""en"",""fr"")"),"L'homme soulève le tapis, puis la personne donne à l'homme un coureur de tapis avec des ongles tout en parlant des deux hommes.")</f>
        <v>L'homme soulève le tapis, puis la personne donne à l'homme un coureur de tapis avec des ongles tout en parlant des deux hommes.</v>
      </c>
    </row>
    <row r="24506">
      <c r="A24506" s="4" t="s">
        <v>30838</v>
      </c>
      <c r="B24506" s="4" t="s">
        <v>30841</v>
      </c>
      <c r="C24506" s="5" t="str">
        <f>IFERROR(__xludf.DUMMYFUNCTION("GOOGLETRANSLATE(B24506,""en"",""fr"")"),"Après, l'homme met le coureur de tapis sur le pas en bois et fredonne les ongles lânés.")</f>
        <v>Après, l'homme met le coureur de tapis sur le pas en bois et fredonne les ongles lânés.</v>
      </c>
    </row>
    <row r="24507">
      <c r="A24507" s="4" t="s">
        <v>30838</v>
      </c>
      <c r="B24507" s="4" t="s">
        <v>30842</v>
      </c>
      <c r="C24507" s="5" t="str">
        <f>IFERROR(__xludf.DUMMYFUNCTION("GOOGLETRANSLATE(B24507,""en"",""fr"")"),"Ensuite, l'homme a mis le tapis et utilise une machine et un marteau pour réparer le tapis dégagé.")</f>
        <v>Ensuite, l'homme a mis le tapis et utilise une machine et un marteau pour réparer le tapis dégagé.</v>
      </c>
    </row>
    <row r="24508">
      <c r="A24508" s="4" t="s">
        <v>30843</v>
      </c>
      <c r="B24508" s="4" t="s">
        <v>30844</v>
      </c>
      <c r="C24508" s="5" t="str">
        <f>IFERROR(__xludf.DUMMYFUNCTION("GOOGLETRANSLATE(B24508,""en"",""fr"")"),"Un homme est vu parler à la caméra tout en pointant un cadre de vélo et en tournant autour du pneu.")</f>
        <v>Un homme est vu parler à la caméra tout en pointant un cadre de vélo et en tournant autour du pneu.</v>
      </c>
    </row>
    <row r="24509">
      <c r="A24509" s="4" t="s">
        <v>30843</v>
      </c>
      <c r="B24509" s="4" t="s">
        <v>30845</v>
      </c>
      <c r="C24509" s="5" t="str">
        <f>IFERROR(__xludf.DUMMYFUNCTION("GOOGLETRANSLATE(B24509,""en"",""fr"")"),"L'homme utilise ensuite des outils pour ajuster la roue des pneus et continue de le faire tourner.")</f>
        <v>L'homme utilise ensuite des outils pour ajuster la roue des pneus et continue de le faire tourner.</v>
      </c>
    </row>
    <row r="24510">
      <c r="A24510" s="4" t="s">
        <v>30843</v>
      </c>
      <c r="B24510" s="4" t="s">
        <v>30846</v>
      </c>
      <c r="C24510" s="5" t="str">
        <f>IFERROR(__xludf.DUMMYFUNCTION("GOOGLETRANSLATE(B24510,""en"",""fr"")"),"Il est toujours vu travailler à l'arrière du vélo pendant que la caméra zoome.")</f>
        <v>Il est toujours vu travailler à l'arrière du vélo pendant que la caméra zoome.</v>
      </c>
    </row>
    <row r="24511">
      <c r="A24511" s="4" t="s">
        <v>30847</v>
      </c>
      <c r="B24511" s="4" t="s">
        <v>30848</v>
      </c>
      <c r="C24511" s="5" t="str">
        <f>IFERROR(__xludf.DUMMYFUNCTION("GOOGLETRANSLATE(B24511,""en"",""fr"")"),"Un homme parle, il avait une armoire en porcelaine derrière lui remplie de produit en verre.")</f>
        <v>Un homme parle, il avait une armoire en porcelaine derrière lui remplie de produit en verre.</v>
      </c>
    </row>
    <row r="24512">
      <c r="A24512" s="4" t="s">
        <v>30847</v>
      </c>
      <c r="B24512" s="4" t="s">
        <v>30849</v>
      </c>
      <c r="C24512" s="5" t="str">
        <f>IFERROR(__xludf.DUMMYFUNCTION("GOOGLETRANSLATE(B24512,""en"",""fr"")"),"Il commence à commencer à montrer des instructions étape par étape sur la façon de faire une sauce.")</f>
        <v>Il commence à commencer à montrer des instructions étape par étape sur la façon de faire une sauce.</v>
      </c>
    </row>
    <row r="24513">
      <c r="A24513" s="4" t="s">
        <v>30847</v>
      </c>
      <c r="B24513" s="4" t="s">
        <v>30850</v>
      </c>
      <c r="C24513" s="5" t="str">
        <f>IFERROR(__xludf.DUMMYFUNCTION("GOOGLETRANSLATE(B24513,""en"",""fr"")"),"Ensuite, dans une autre poêle, il ajoute de la viande et du fromage pendant que son pain grille.")</f>
        <v>Ensuite, dans une autre poêle, il ajoute de la viande et du fromage pendant que son pain grille.</v>
      </c>
    </row>
    <row r="24514">
      <c r="A24514" s="4" t="s">
        <v>30847</v>
      </c>
      <c r="B24514" s="4" t="s">
        <v>30851</v>
      </c>
      <c r="C24514" s="5" t="str">
        <f>IFERROR(__xludf.DUMMYFUNCTION("GOOGLETRANSLATE(B24514,""en"",""fr"")"),"Il ajoute ensuite tous les ingrédients du pain et le coupe dans les moitiés et commence à manger.")</f>
        <v>Il ajoute ensuite tous les ingrédients du pain et le coupe dans les moitiés et commence à manger.</v>
      </c>
    </row>
    <row r="24515">
      <c r="A24515" s="4" t="s">
        <v>30852</v>
      </c>
      <c r="B24515" s="4" t="s">
        <v>30853</v>
      </c>
      <c r="C24515" s="5" t="str">
        <f>IFERROR(__xludf.DUMMYFUNCTION("GOOGLETRANSLATE(B24515,""en"",""fr"")"),"Un grand Noël est montré, suivi d'une femme debout à côté.")</f>
        <v>Un grand Noël est montré, suivi d'une femme debout à côté.</v>
      </c>
    </row>
    <row r="24516">
      <c r="A24516" s="4" t="s">
        <v>30852</v>
      </c>
      <c r="B24516" s="4" t="s">
        <v>30854</v>
      </c>
      <c r="C24516" s="5" t="str">
        <f>IFERROR(__xludf.DUMMYFUNCTION("GOOGLETRANSLATE(B24516,""en"",""fr"")"),"La fille commence à décorer l'arbre tout en sautant de haut en bas en place.")</f>
        <v>La fille commence à décorer l'arbre tout en sautant de haut en bas en place.</v>
      </c>
    </row>
    <row r="24517">
      <c r="A24517" s="4" t="s">
        <v>30852</v>
      </c>
      <c r="B24517" s="4" t="s">
        <v>30855</v>
      </c>
      <c r="C24517" s="5" t="str">
        <f>IFERROR(__xludf.DUMMYFUNCTION("GOOGLETRANSLATE(B24517,""en"",""fr"")"),"Elle continue de rebondir tout en décorant l'arbre et en regardant au loin.")</f>
        <v>Elle continue de rebondir tout en décorant l'arbre et en regardant au loin.</v>
      </c>
    </row>
    <row r="24518">
      <c r="A24518" s="4" t="s">
        <v>30856</v>
      </c>
      <c r="B24518" s="4" t="s">
        <v>30857</v>
      </c>
      <c r="C24518" s="5" t="str">
        <f>IFERROR(__xludf.DUMMYFUNCTION("GOOGLETRANSLATE(B24518,""en"",""fr"")"),"Un homme et un chien sont vus debout à l'extérieur dans un champ avec un homme jouant à la recherche d'un chien.")</f>
        <v>Un homme et un chien sont vus debout à l'extérieur dans un champ avec un homme jouant à la recherche d'un chien.</v>
      </c>
    </row>
    <row r="24519">
      <c r="A24519" s="4" t="s">
        <v>30856</v>
      </c>
      <c r="B24519" s="4" t="s">
        <v>30858</v>
      </c>
      <c r="C24519" s="5" t="str">
        <f>IFERROR(__xludf.DUMMYFUNCTION("GOOGLETRANSLATE(B24519,""en"",""fr"")"),"L'homme jette le frisbee avec le chien pendant que l'animal le ramène.")</f>
        <v>L'homme jette le frisbee avec le chien pendant que l'animal le ramène.</v>
      </c>
    </row>
    <row r="24520">
      <c r="A24520" s="4" t="s">
        <v>30856</v>
      </c>
      <c r="B24520" s="4" t="s">
        <v>30859</v>
      </c>
      <c r="C24520" s="5" t="str">
        <f>IFERROR(__xludf.DUMMYFUNCTION("GOOGLETRANSLATE(B24520,""en"",""fr"")"),"L'homme effectue plusieurs autres astuces avec le chien en utilisant plusieurs frisbees.")</f>
        <v>L'homme effectue plusieurs autres astuces avec le chien en utilisant plusieurs frisbees.</v>
      </c>
    </row>
    <row r="24521">
      <c r="A24521" s="4" t="s">
        <v>30860</v>
      </c>
      <c r="B24521" s="4" t="s">
        <v>30861</v>
      </c>
      <c r="C24521" s="5" t="str">
        <f>IFERROR(__xludf.DUMMYFUNCTION("GOOGLETRANSLATE(B24521,""en"",""fr"")"),"Un jeune homme est montré sur une route portant des échasses.")</f>
        <v>Un jeune homme est montré sur une route portant des échasses.</v>
      </c>
    </row>
    <row r="24522">
      <c r="A24522" s="4" t="s">
        <v>30860</v>
      </c>
      <c r="B24522" s="4" t="s">
        <v>30862</v>
      </c>
      <c r="C24522" s="5" t="str">
        <f>IFERROR(__xludf.DUMMYFUNCTION("GOOGLETRANSLATE(B24522,""en"",""fr"")"),"Il se dirige vers le côté de la route.")</f>
        <v>Il se dirige vers le côté de la route.</v>
      </c>
    </row>
    <row r="24523">
      <c r="A24523" s="4" t="s">
        <v>30860</v>
      </c>
      <c r="B24523" s="4" t="s">
        <v>30863</v>
      </c>
      <c r="C24523" s="5" t="str">
        <f>IFERROR(__xludf.DUMMYFUNCTION("GOOGLETRANSLATE(B24523,""en"",""fr"")"),"Il soulève ensuite ses pieds de haut en bas comme en préparation de la course.")</f>
        <v>Il soulève ensuite ses pieds de haut en bas comme en préparation de la course.</v>
      </c>
    </row>
    <row r="24524">
      <c r="A24524" s="4" t="s">
        <v>30860</v>
      </c>
      <c r="B24524" s="4" t="s">
        <v>30864</v>
      </c>
      <c r="C24524" s="5" t="str">
        <f>IFERROR(__xludf.DUMMYFUNCTION("GOOGLETRANSLATE(B24524,""en"",""fr"")"),"La vidéo se termine lorsque la personne enregistrant inclinait la caméra et couvre l'objectif.")</f>
        <v>La vidéo se termine lorsque la personne enregistrant inclinait la caméra et couvre l'objectif.</v>
      </c>
    </row>
    <row r="24525">
      <c r="A24525" s="4" t="s">
        <v>30865</v>
      </c>
      <c r="B24525" s="4" t="s">
        <v>30866</v>
      </c>
      <c r="C24525" s="5" t="str">
        <f>IFERROR(__xludf.DUMMYFUNCTION("GOOGLETRANSLATE(B24525,""en"",""fr"")"),"Un homme est assis sur des toilettes avec sa jambe.")</f>
        <v>Un homme est assis sur des toilettes avec sa jambe.</v>
      </c>
    </row>
    <row r="24526">
      <c r="A24526" s="4" t="s">
        <v>30865</v>
      </c>
      <c r="B24526" s="4" t="s">
        <v>30867</v>
      </c>
      <c r="C24526" s="5" t="str">
        <f>IFERROR(__xludf.DUMMYFUNCTION("GOOGLETRANSLATE(B24526,""en"",""fr"")"),"Une personne tenant une caméra entre dans la salle de bain.")</f>
        <v>Une personne tenant une caméra entre dans la salle de bain.</v>
      </c>
    </row>
    <row r="24527">
      <c r="A24527" s="4" t="s">
        <v>30865</v>
      </c>
      <c r="B24527" s="4" t="s">
        <v>30868</v>
      </c>
      <c r="C24527" s="5" t="str">
        <f>IFERROR(__xludf.DUMMYFUNCTION("GOOGLETRANSLATE(B24527,""en"",""fr"")"),"L'homme frotte la crème à raser sur leurs jambes.")</f>
        <v>L'homme frotte la crème à raser sur leurs jambes.</v>
      </c>
    </row>
    <row r="24528">
      <c r="A24528" s="4" t="s">
        <v>30865</v>
      </c>
      <c r="B24528" s="4" t="s">
        <v>30869</v>
      </c>
      <c r="C24528" s="5" t="str">
        <f>IFERROR(__xludf.DUMMYFUNCTION("GOOGLETRANSLATE(B24528,""en"",""fr"")"),"Il commence à se raser la jambe dans l'évier.")</f>
        <v>Il commence à se raser la jambe dans l'évier.</v>
      </c>
    </row>
    <row r="24529">
      <c r="A24529" s="4" t="s">
        <v>30870</v>
      </c>
      <c r="B24529" s="4" t="s">
        <v>30871</v>
      </c>
      <c r="C24529" s="5" t="str">
        <f>IFERROR(__xludf.DUMMYFUNCTION("GOOGLETRANSLATE(B24529,""en"",""fr"")"),"Un gymnaste court rapidement, puis il saute longtemps dans un stade plein de gens.")</f>
        <v>Un gymnaste court rapidement, puis il saute longtemps dans un stade plein de gens.</v>
      </c>
    </row>
    <row r="24530">
      <c r="A24530" s="4" t="s">
        <v>30870</v>
      </c>
      <c r="B24530" s="4" t="s">
        <v>30872</v>
      </c>
      <c r="C24530" s="5" t="str">
        <f>IFERROR(__xludf.DUMMYFUNCTION("GOOGLETRANSLATE(B24530,""en"",""fr"")"),"Deux hommes marchent en tenant des javelots.")</f>
        <v>Deux hommes marchent en tenant des javelots.</v>
      </c>
    </row>
    <row r="24531">
      <c r="A24531" s="4" t="s">
        <v>30870</v>
      </c>
      <c r="B24531" s="4" t="s">
        <v>30873</v>
      </c>
      <c r="C24531" s="5" t="str">
        <f>IFERROR(__xludf.DUMMYFUNCTION("GOOGLETRANSLATE(B24531,""en"",""fr"")"),"Après, la gymnaste saute joyeusement.")</f>
        <v>Après, la gymnaste saute joyeusement.</v>
      </c>
    </row>
    <row r="24532">
      <c r="A24532" s="4" t="s">
        <v>30870</v>
      </c>
      <c r="B24532" s="4" t="s">
        <v>30874</v>
      </c>
      <c r="C24532" s="5" t="str">
        <f>IFERROR(__xludf.DUMMYFUNCTION("GOOGLETRANSLATE(B24532,""en"",""fr"")"),"Les gens prennent des photos de la gymnaste.")</f>
        <v>Les gens prennent des photos de la gymnaste.</v>
      </c>
    </row>
    <row r="24533">
      <c r="A24533" s="4" t="s">
        <v>30875</v>
      </c>
      <c r="B24533" s="4" t="s">
        <v>30876</v>
      </c>
      <c r="C24533" s="5" t="str">
        <f>IFERROR(__xludf.DUMMYFUNCTION("GOOGLETRANSLATE(B24533,""en"",""fr"")"),"Un homme est vu debout dans une grande pièce en tenant une raquette de tennis.")</f>
        <v>Un homme est vu debout dans une grande pièce en tenant une raquette de tennis.</v>
      </c>
    </row>
    <row r="24534">
      <c r="A24534" s="4" t="s">
        <v>30875</v>
      </c>
      <c r="B24534" s="4" t="s">
        <v>30877</v>
      </c>
      <c r="C24534" s="5" t="str">
        <f>IFERROR(__xludf.DUMMYFUNCTION("GOOGLETRANSLATE(B24534,""en"",""fr"")"),"Deux autres personnes entrent dans le cadre et commencent à frapper le ballon autour de la zone.")</f>
        <v>Deux autres personnes entrent dans le cadre et commencent à frapper le ballon autour de la zone.</v>
      </c>
    </row>
    <row r="24535">
      <c r="A24535" s="4" t="s">
        <v>30875</v>
      </c>
      <c r="B24535" s="4" t="s">
        <v>30878</v>
      </c>
      <c r="C24535" s="5" t="str">
        <f>IFERROR(__xludf.DUMMYFUNCTION("GOOGLETRANSLATE(B24535,""en"",""fr"")"),"Les hommes continuent de frapper le ballon avec des raquettes de tennis et de le poursuivre dans la pièce.")</f>
        <v>Les hommes continuent de frapper le ballon avec des raquettes de tennis et de le poursuivre dans la pièce.</v>
      </c>
    </row>
    <row r="24536">
      <c r="A24536" s="4" t="s">
        <v>30879</v>
      </c>
      <c r="B24536" s="4" t="s">
        <v>30880</v>
      </c>
      <c r="C24536" s="5" t="str">
        <f>IFERROR(__xludf.DUMMYFUNCTION("GOOGLETRANSLATE(B24536,""en"",""fr"")"),"Deux personnes sont vues debout dans un gymnase portant des gants de boxe.")</f>
        <v>Deux personnes sont vues debout dans un gymnase portant des gants de boxe.</v>
      </c>
    </row>
    <row r="24537">
      <c r="A24537" s="4" t="s">
        <v>30879</v>
      </c>
      <c r="B24537" s="4" t="s">
        <v>30881</v>
      </c>
      <c r="C24537" s="5" t="str">
        <f>IFERROR(__xludf.DUMMYFUNCTION("GOOGLETRANSLATE(B24537,""en"",""fr"")"),"Les hommes reviennent ensuite et quatrième les uns avec les autres qui se frappent et frappaient.")</f>
        <v>Les hommes reviennent ensuite et quatrième les uns avec les autres qui se frappent et frappaient.</v>
      </c>
    </row>
    <row r="24538">
      <c r="A24538" s="4" t="s">
        <v>30879</v>
      </c>
      <c r="B24538" s="4" t="s">
        <v>30882</v>
      </c>
      <c r="C24538" s="5" t="str">
        <f>IFERROR(__xludf.DUMMYFUNCTION("GOOGLETRANSLATE(B24538,""en"",""fr"")"),"Les deux continuent de se battre pendant que la caméra capture leurs mouvements.")</f>
        <v>Les deux continuent de se battre pendant que la caméra capture leurs mouvements.</v>
      </c>
    </row>
    <row r="24539">
      <c r="A24539" s="4" t="s">
        <v>30883</v>
      </c>
      <c r="B24539" s="4" t="s">
        <v>30884</v>
      </c>
      <c r="C24539" s="5" t="str">
        <f>IFERROR(__xludf.DUMMYFUNCTION("GOOGLETRANSLATE(B24539,""en"",""fr"")"),"Un homme s'accroche et tient un bar au-dessus de sa tête plusieurs fois.")</f>
        <v>Un homme s'accroche et tient un bar au-dessus de sa tête plusieurs fois.</v>
      </c>
    </row>
    <row r="24540">
      <c r="A24540" s="4" t="s">
        <v>30883</v>
      </c>
      <c r="B24540" s="4" t="s">
        <v>30885</v>
      </c>
      <c r="C24540" s="5" t="str">
        <f>IFERROR(__xludf.DUMMYFUNCTION("GOOGLETRANSLATE(B24540,""en"",""fr"")"),"Un homme en chemise rouge le regarde.")</f>
        <v>Un homme en chemise rouge le regarde.</v>
      </c>
    </row>
    <row r="24541">
      <c r="A24541" s="4" t="s">
        <v>30883</v>
      </c>
      <c r="B24541" s="4" t="s">
        <v>30886</v>
      </c>
      <c r="C24541" s="5" t="str">
        <f>IFERROR(__xludf.DUMMYFUNCTION("GOOGLETRANSLATE(B24541,""en"",""fr"")"),"Il laisse tomber la barre sur le sol devant lui.")</f>
        <v>Il laisse tomber la barre sur le sol devant lui.</v>
      </c>
    </row>
    <row r="24542">
      <c r="A24542" s="4" t="s">
        <v>30887</v>
      </c>
      <c r="B24542" s="6" t="s">
        <v>30888</v>
      </c>
      <c r="C24542" s="5" t="str">
        <f>IFERROR(__xludf.DUMMYFUNCTION("GOOGLETRANSLATE(B24542,""en"",""fr"")"),"Une femme plus âgée est vue en parlant à la caméra et mène à son retour en arrière et quatrième avec un autre enfant.")</f>
        <v>Une femme plus âgée est vue en parlant à la caméra et mène à son retour en arrière et quatrième avec un autre enfant.</v>
      </c>
    </row>
    <row r="24543">
      <c r="A24543" s="4" t="s">
        <v>30887</v>
      </c>
      <c r="B24543" s="4" t="s">
        <v>30889</v>
      </c>
      <c r="C24543" s="5" t="str">
        <f>IFERROR(__xludf.DUMMYFUNCTION("GOOGLETRANSLATE(B24543,""en"",""fr"")"),"L'enfant pousse la femme dans un swing et continue de jouer avec elle sur le swing.")</f>
        <v>L'enfant pousse la femme dans un swing et continue de jouer avec elle sur le swing.</v>
      </c>
    </row>
    <row r="24544">
      <c r="A24544" s="4" t="s">
        <v>30890</v>
      </c>
      <c r="B24544" s="6" t="s">
        <v>30891</v>
      </c>
      <c r="C24544" s="5" t="str">
        <f>IFERROR(__xludf.DUMMYFUNCTION("GOOGLETRANSLATE(B24544,""en"",""fr"")"),"Deux personnes sont vues effectuer un match d'escrime et quatrième tandis que d'autres personnes s'entraînent en arrière-plan.")</f>
        <v>Deux personnes sont vues effectuer un match d'escrime et quatrième tandis que d'autres personnes s'entraînent en arrière-plan.</v>
      </c>
    </row>
    <row r="24545">
      <c r="A24545" s="4" t="s">
        <v>30890</v>
      </c>
      <c r="B24545" s="4" t="s">
        <v>30892</v>
      </c>
      <c r="C24545" s="5" t="str">
        <f>IFERROR(__xludf.DUMMYFUNCTION("GOOGLETRANSLATE(B24545,""en"",""fr"")"),"Plusieurs plans de clôtures de personnes sont affichés ainsi qu'un enterre interviewé à la caméra.")</f>
        <v>Plusieurs plans de clôtures de personnes sont affichés ainsi qu'un enterre interviewé à la caméra.</v>
      </c>
    </row>
    <row r="24546">
      <c r="A24546" s="4" t="s">
        <v>30890</v>
      </c>
      <c r="B24546" s="6" t="s">
        <v>30893</v>
      </c>
      <c r="C24546" s="5" t="str">
        <f>IFERROR(__xludf.DUMMYFUNCTION("GOOGLETRANSLATE(B24546,""en"",""fr"")"),"Plus de plans de clôtures de personnes sont représentés et se termine avec beaucoup debout et deux serre de main.")</f>
        <v>Plus de plans de clôtures de personnes sont représentés et se termine avec beaucoup debout et deux serre de main.</v>
      </c>
    </row>
    <row r="24547">
      <c r="A24547" s="4" t="s">
        <v>30894</v>
      </c>
      <c r="B24547" s="4" t="s">
        <v>30895</v>
      </c>
      <c r="C24547" s="5" t="str">
        <f>IFERROR(__xludf.DUMMYFUNCTION("GOOGLETRANSLATE(B24547,""en"",""fr"")"),"Un tas de vêtements est indiqué sur un banc dans une maison.")</f>
        <v>Un tas de vêtements est indiqué sur un banc dans une maison.</v>
      </c>
    </row>
    <row r="24548">
      <c r="A24548" s="4" t="s">
        <v>30894</v>
      </c>
      <c r="B24548" s="4" t="s">
        <v>30896</v>
      </c>
      <c r="C24548" s="5" t="str">
        <f>IFERROR(__xludf.DUMMYFUNCTION("GOOGLETRANSLATE(B24548,""en"",""fr"")"),"Un pull est suspendu à un rack.")</f>
        <v>Un pull est suspendu à un rack.</v>
      </c>
    </row>
    <row r="24549">
      <c r="A24549" s="4" t="s">
        <v>30894</v>
      </c>
      <c r="B24549" s="4" t="s">
        <v>30897</v>
      </c>
      <c r="C24549" s="5" t="str">
        <f>IFERROR(__xludf.DUMMYFUNCTION("GOOGLETRANSLATE(B24549,""en"",""fr"")"),"Le pull est montré sous plusieurs angles car un vide est utilisé pour ramasser les cheveux et les peluches.")</f>
        <v>Le pull est montré sous plusieurs angles car un vide est utilisé pour ramasser les cheveux et les peluches.</v>
      </c>
    </row>
    <row r="24550">
      <c r="A24550" s="4" t="s">
        <v>30898</v>
      </c>
      <c r="B24550" s="4" t="s">
        <v>30899</v>
      </c>
      <c r="C24550" s="5" t="str">
        <f>IFERROR(__xludf.DUMMYFUNCTION("GOOGLETRANSLATE(B24550,""en"",""fr"")"),"Un grand bâtiment est vu avec des voitures qui passent et des gens qui se promènent dans une arène.")</f>
        <v>Un grand bâtiment est vu avec des voitures qui passent et des gens qui se promènent dans une arène.</v>
      </c>
    </row>
    <row r="24551">
      <c r="A24551" s="4" t="s">
        <v>30898</v>
      </c>
      <c r="B24551" s="6" t="s">
        <v>30900</v>
      </c>
      <c r="C24551" s="5" t="str">
        <f>IFERROR(__xludf.DUMMYFUNCTION("GOOGLETRANSLATE(B24551,""en"",""fr"")"),"Plusieurs personnes sont ensuite vues tirer un arc et des flèches sur une cible et agiter leurs mains dans l'air.")</f>
        <v>Plusieurs personnes sont ensuite vues tirer un arc et des flèches sur une cible et agiter leurs mains dans l'air.</v>
      </c>
    </row>
    <row r="24552">
      <c r="A24552" s="4" t="s">
        <v>30898</v>
      </c>
      <c r="B24552" s="4" t="s">
        <v>30901</v>
      </c>
      <c r="C24552" s="5" t="str">
        <f>IFERROR(__xludf.DUMMYFUNCTION("GOOGLETRANSLATE(B24552,""en"",""fr"")"),"Les gens continuent de tirer sur l'arc et la flèche sur la cible tandis que d'autres regardent sur le côté.")</f>
        <v>Les gens continuent de tirer sur l'arc et la flèche sur la cible tandis que d'autres regardent sur le côté.</v>
      </c>
    </row>
    <row r="24553">
      <c r="A24553" s="4" t="s">
        <v>30902</v>
      </c>
      <c r="B24553" s="4" t="s">
        <v>30903</v>
      </c>
      <c r="C24553" s="5" t="str">
        <f>IFERROR(__xludf.DUMMYFUNCTION("GOOGLETRANSLATE(B24553,""en"",""fr"")"),"Un gars torse nu fait tourner une balle attachée à un poteau.")</f>
        <v>Un gars torse nu fait tourner une balle attachée à un poteau.</v>
      </c>
    </row>
    <row r="24554">
      <c r="A24554" s="4" t="s">
        <v>30902</v>
      </c>
      <c r="B24554" s="4" t="s">
        <v>30904</v>
      </c>
      <c r="C24554" s="5" t="str">
        <f>IFERROR(__xludf.DUMMYFUNCTION("GOOGLETRANSLATE(B24554,""en"",""fr"")"),"Le gars soulève cet article de l'herbe à l'extrémité du poteau.")</f>
        <v>Le gars soulève cet article de l'herbe à l'extrémité du poteau.</v>
      </c>
    </row>
    <row r="24555">
      <c r="A24555" s="4" t="s">
        <v>30902</v>
      </c>
      <c r="B24555" s="4" t="s">
        <v>30905</v>
      </c>
      <c r="C24555" s="5" t="str">
        <f>IFERROR(__xludf.DUMMYFUNCTION("GOOGLETRANSLATE(B24555,""en"",""fr"")"),"Le gars libère l'article.")</f>
        <v>Le gars libère l'article.</v>
      </c>
    </row>
    <row r="24556">
      <c r="A24556" s="4" t="s">
        <v>30902</v>
      </c>
      <c r="B24556" s="4" t="s">
        <v>30906</v>
      </c>
      <c r="C24556" s="5" t="str">
        <f>IFERROR(__xludf.DUMMYFUNCTION("GOOGLETRANSLATE(B24556,""en"",""fr"")"),"Un gars s'éloigne de l'objet descendant.")</f>
        <v>Un gars s'éloigne de l'objet descendant.</v>
      </c>
    </row>
    <row r="24557">
      <c r="A24557" s="4" t="s">
        <v>30902</v>
      </c>
      <c r="B24557" s="4" t="s">
        <v>30907</v>
      </c>
      <c r="C24557" s="5" t="str">
        <f>IFERROR(__xludf.DUMMYFUNCTION("GOOGLETRANSLATE(B24557,""en"",""fr"")"),"L'adresse du site Web du groupe est affichée.")</f>
        <v>L'adresse du site Web du groupe est affichée.</v>
      </c>
    </row>
    <row r="24558">
      <c r="A24558" s="4" t="s">
        <v>30908</v>
      </c>
      <c r="B24558" s="4" t="s">
        <v>30909</v>
      </c>
      <c r="C24558" s="5" t="str">
        <f>IFERROR(__xludf.DUMMYFUNCTION("GOOGLETRANSLATE(B24558,""en"",""fr"")"),"Nous voyons une dame commencer une tondeuse à gazon.")</f>
        <v>Nous voyons une dame commencer une tondeuse à gazon.</v>
      </c>
    </row>
    <row r="24559">
      <c r="A24559" s="4" t="s">
        <v>30908</v>
      </c>
      <c r="B24559" s="4" t="s">
        <v>30910</v>
      </c>
      <c r="C24559" s="5" t="str">
        <f>IFERROR(__xludf.DUMMYFUNCTION("GOOGLETRANSLATE(B24559,""en"",""fr"")"),"La dame s'arrête et regarde la caméra.")</f>
        <v>La dame s'arrête et regarde la caméra.</v>
      </c>
    </row>
    <row r="24560">
      <c r="A24560" s="4" t="s">
        <v>30908</v>
      </c>
      <c r="B24560" s="4" t="s">
        <v>30911</v>
      </c>
      <c r="C24560" s="5" t="str">
        <f>IFERROR(__xludf.DUMMYFUNCTION("GOOGLETRANSLATE(B24560,""en"",""fr"")"),"La dame commence puis arrête de tonte.")</f>
        <v>La dame commence puis arrête de tonte.</v>
      </c>
    </row>
    <row r="24561">
      <c r="A24561" s="4" t="s">
        <v>30908</v>
      </c>
      <c r="B24561" s="4" t="s">
        <v>30912</v>
      </c>
      <c r="C24561" s="5" t="str">
        <f>IFERROR(__xludf.DUMMYFUNCTION("GOOGLETRANSLATE(B24561,""en"",""fr"")"),"La dame essaie de recommencer la tondeuse.")</f>
        <v>La dame essaie de recommencer la tondeuse.</v>
      </c>
    </row>
    <row r="24562">
      <c r="A24562" s="4" t="s">
        <v>30908</v>
      </c>
      <c r="B24562" s="4" t="s">
        <v>30913</v>
      </c>
      <c r="C24562" s="5" t="str">
        <f>IFERROR(__xludf.DUMMYFUNCTION("GOOGLETRANSLATE(B24562,""en"",""fr"")"),"Une autre dame vient aider et tombe.")</f>
        <v>Une autre dame vient aider et tombe.</v>
      </c>
    </row>
    <row r="24563">
      <c r="A24563" s="4" t="s">
        <v>30908</v>
      </c>
      <c r="B24563" s="4" t="s">
        <v>30914</v>
      </c>
      <c r="C24563" s="5" t="str">
        <f>IFERROR(__xludf.DUMMYFUNCTION("GOOGLETRANSLATE(B24563,""en"",""fr"")"),"La première dame a finalement commencé les tondeuses.")</f>
        <v>La première dame a finalement commencé les tondeuses.</v>
      </c>
    </row>
    <row r="24564">
      <c r="A24564" s="4" t="s">
        <v>30908</v>
      </c>
      <c r="B24564" s="4" t="s">
        <v>30915</v>
      </c>
      <c r="C24564" s="5" t="str">
        <f>IFERROR(__xludf.DUMMYFUNCTION("GOOGLETRANSLATE(B24564,""en"",""fr"")"),"La dame jette son bras en l'air et tond la pelouse.")</f>
        <v>La dame jette son bras en l'air et tond la pelouse.</v>
      </c>
    </row>
    <row r="24565">
      <c r="A24565" s="4" t="s">
        <v>30916</v>
      </c>
      <c r="B24565" s="4" t="s">
        <v>30917</v>
      </c>
      <c r="C24565" s="5" t="str">
        <f>IFERROR(__xludf.DUMMYFUNCTION("GOOGLETRANSLATE(B24565,""en"",""fr"")"),"Une femme parle à la caméra tandis qu'un homme se tient à côté d'elle.")</f>
        <v>Une femme parle à la caméra tandis qu'un homme se tient à côté d'elle.</v>
      </c>
    </row>
    <row r="24566">
      <c r="A24566" s="4" t="s">
        <v>30916</v>
      </c>
      <c r="B24566" s="6" t="s">
        <v>30918</v>
      </c>
      <c r="C24566" s="5" t="str">
        <f>IFERROR(__xludf.DUMMYFUNCTION("GOOGLETRANSLATE(B24566,""en"",""fr"")"),"L'homme se retourne et s'éloigne pendant que la femme démontre la perspective féminine de la séquence de danse par elle-même.")</f>
        <v>L'homme se retourne et s'éloigne pendant que la femme démontre la perspective féminine de la séquence de danse par elle-même.</v>
      </c>
    </row>
    <row r="24567">
      <c r="A24567" s="4" t="s">
        <v>30916</v>
      </c>
      <c r="B24567" s="6" t="s">
        <v>30919</v>
      </c>
      <c r="C24567" s="5" t="str">
        <f>IFERROR(__xludf.DUMMYFUNCTION("GOOGLETRANSLATE(B24567,""en"",""fr"")"),"L'homme rejoint la femme et parle à la caméra tout en démontrant la séquence des étapes du point de vue masculin.")</f>
        <v>L'homme rejoint la femme et parle à la caméra tout en démontrant la séquence des étapes du point de vue masculin.</v>
      </c>
    </row>
    <row r="24568">
      <c r="A24568" s="4" t="s">
        <v>30916</v>
      </c>
      <c r="B24568" s="4" t="s">
        <v>30920</v>
      </c>
      <c r="C24568" s="5" t="str">
        <f>IFERROR(__xludf.DUMMYFUNCTION("GOOGLETRANSLATE(B24568,""en"",""fr"")"),"Les deux démontrent la danse ensemble sans commentaire.")</f>
        <v>Les deux démontrent la danse ensemble sans commentaire.</v>
      </c>
    </row>
    <row r="24569">
      <c r="A24569" s="4" t="s">
        <v>30921</v>
      </c>
      <c r="B24569" s="4" t="s">
        <v>30922</v>
      </c>
      <c r="C24569" s="5" t="str">
        <f>IFERROR(__xludf.DUMMYFUNCTION("GOOGLETRANSLATE(B24569,""en"",""fr"")"),"Un mâle de mâle une pelouse utilisant une tondeuse rouge.")</f>
        <v>Un mâle de mâle une pelouse utilisant une tondeuse rouge.</v>
      </c>
    </row>
    <row r="24570">
      <c r="A24570" s="4" t="s">
        <v>30921</v>
      </c>
      <c r="B24570" s="4" t="s">
        <v>30923</v>
      </c>
      <c r="C24570" s="5" t="str">
        <f>IFERROR(__xludf.DUMMYFUNCTION("GOOGLETRANSLATE(B24570,""en"",""fr"")"),"Un homme fouette l'herbe de son pied.")</f>
        <v>Un homme fouette l'herbe de son pied.</v>
      </c>
    </row>
    <row r="24571">
      <c r="A24571" s="4" t="s">
        <v>30921</v>
      </c>
      <c r="B24571" s="4" t="s">
        <v>30924</v>
      </c>
      <c r="C24571" s="5" t="str">
        <f>IFERROR(__xludf.DUMMYFUNCTION("GOOGLETRANSLATE(B24571,""en"",""fr"")"),"Un grand chien noir traverse la pelouse.")</f>
        <v>Un grand chien noir traverse la pelouse.</v>
      </c>
    </row>
    <row r="24572">
      <c r="A24572" s="4" t="s">
        <v>30921</v>
      </c>
      <c r="B24572" s="4" t="s">
        <v>30925</v>
      </c>
      <c r="C24572" s="5" t="str">
        <f>IFERROR(__xludf.DUMMYFUNCTION("GOOGLETRANSLATE(B24572,""en"",""fr"")"),"L'homme s'arrête et inverse la tondeuse d'équitation.")</f>
        <v>L'homme s'arrête et inverse la tondeuse d'équitation.</v>
      </c>
    </row>
    <row r="24573">
      <c r="A24573" s="4" t="s">
        <v>30921</v>
      </c>
      <c r="B24573" s="4" t="s">
        <v>30926</v>
      </c>
      <c r="C24573" s="5" t="str">
        <f>IFERROR(__xludf.DUMMYFUNCTION("GOOGLETRANSLATE(B24573,""en"",""fr"")"),"L'homme se frotte l'oreille.")</f>
        <v>L'homme se frotte l'oreille.</v>
      </c>
    </row>
    <row r="24574">
      <c r="A24574" s="4" t="s">
        <v>30927</v>
      </c>
      <c r="B24574" s="4" t="s">
        <v>30928</v>
      </c>
      <c r="C24574" s="5" t="str">
        <f>IFERROR(__xludf.DUMMYFUNCTION("GOOGLETRANSLATE(B24574,""en"",""fr"")"),"Un homme est vu commencer à grimper une paroi rocheuse tout en regardant en arrière et en parlant à la caméra.")</f>
        <v>Un homme est vu commencer à grimper une paroi rocheuse tout en regardant en arrière et en parlant à la caméra.</v>
      </c>
    </row>
    <row r="24575">
      <c r="A24575" s="4" t="s">
        <v>30927</v>
      </c>
      <c r="B24575" s="4" t="s">
        <v>30929</v>
      </c>
      <c r="C24575" s="5" t="str">
        <f>IFERROR(__xludf.DUMMYFUNCTION("GOOGLETRANSLATE(B24575,""en"",""fr"")"),"Il continue de monter et descendre en montrant la montée correctement avec ses pieds.")</f>
        <v>Il continue de monter et descendre en montrant la montée correctement avec ses pieds.</v>
      </c>
    </row>
    <row r="24576">
      <c r="A24576" s="4" t="s">
        <v>30927</v>
      </c>
      <c r="B24576" s="4" t="s">
        <v>30930</v>
      </c>
      <c r="C24576" s="5" t="str">
        <f>IFERROR(__xludf.DUMMYFUNCTION("GOOGLETRANSLATE(B24576,""en"",""fr"")"),"Il le fait quelques fois de plus pendant que la caméra affiche des instructions de texte.")</f>
        <v>Il le fait quelques fois de plus pendant que la caméra affiche des instructions de texte.</v>
      </c>
    </row>
    <row r="24577">
      <c r="A24577" s="4" t="s">
        <v>30931</v>
      </c>
      <c r="B24577" s="4" t="s">
        <v>30932</v>
      </c>
      <c r="C24577" s="5" t="str">
        <f>IFERROR(__xludf.DUMMYFUNCTION("GOOGLETRANSLATE(B24577,""en"",""fr"")"),"À l'intérieur d'une salle de sport, deux hommes ont deux cordes de saut.")</f>
        <v>À l'intérieur d'une salle de sport, deux hommes ont deux cordes de saut.</v>
      </c>
    </row>
    <row r="24578">
      <c r="A24578" s="4" t="s">
        <v>30931</v>
      </c>
      <c r="B24578" s="4" t="s">
        <v>30933</v>
      </c>
      <c r="C24578" s="5" t="str">
        <f>IFERROR(__xludf.DUMMYFUNCTION("GOOGLETRANSLATE(B24578,""en"",""fr"")"),"Un gars en queue de cheval saute les cordes de saut avec des supports à main.")</f>
        <v>Un gars en queue de cheval saute les cordes de saut avec des supports à main.</v>
      </c>
    </row>
    <row r="24579">
      <c r="A24579" s="4" t="s">
        <v>30931</v>
      </c>
      <c r="B24579" s="4" t="s">
        <v>30934</v>
      </c>
      <c r="C24579" s="5" t="str">
        <f>IFERROR(__xludf.DUMMYFUNCTION("GOOGLETRANSLATE(B24579,""en"",""fr"")"),"Un homme dans une chemise noire regarde.")</f>
        <v>Un homme dans une chemise noire regarde.</v>
      </c>
    </row>
    <row r="24580">
      <c r="A24580" s="4" t="s">
        <v>30935</v>
      </c>
      <c r="B24580" s="4" t="s">
        <v>30936</v>
      </c>
      <c r="C24580" s="5" t="str">
        <f>IFERROR(__xludf.DUMMYFUNCTION("GOOGLETRANSLATE(B24580,""en"",""fr"")"),"La vidéo se déroule dans la piscine d'une cour.")</f>
        <v>La vidéo se déroule dans la piscine d'une cour.</v>
      </c>
    </row>
    <row r="24581">
      <c r="A24581" s="4" t="s">
        <v>30935</v>
      </c>
      <c r="B24581" s="6" t="s">
        <v>30937</v>
      </c>
      <c r="C24581" s="5" t="str">
        <f>IFERROR(__xludf.DUMMYFUNCTION("GOOGLETRANSLATE(B24581,""en"",""fr"")"),"Une corde serrée est suspendue sur toute la longueur de la piscine et une femme tente de traverser, elle tombe plusieurs fois.")</f>
        <v>Une corde serrée est suspendue sur toute la longueur de la piscine et une femme tente de traverser, elle tombe plusieurs fois.</v>
      </c>
    </row>
    <row r="24582">
      <c r="A24582" s="4" t="s">
        <v>30935</v>
      </c>
      <c r="B24582" s="4" t="s">
        <v>30938</v>
      </c>
      <c r="C24582" s="5" t="str">
        <f>IFERROR(__xludf.DUMMYFUNCTION("GOOGLETRANSLATE(B24582,""en"",""fr"")"),"La dernière fois qu'elle tombe, la caméra rembobine et la montre tombant en arrière.")</f>
        <v>La dernière fois qu'elle tombe, la caméra rembobine et la montre tombant en arrière.</v>
      </c>
    </row>
    <row r="24583">
      <c r="A24583" s="4" t="s">
        <v>30935</v>
      </c>
      <c r="B24583" s="4" t="s">
        <v>30939</v>
      </c>
      <c r="C24583" s="5" t="str">
        <f>IFERROR(__xludf.DUMMYFUNCTION("GOOGLETRANSLATE(B24583,""en"",""fr"")"),"La vidéo coupe ensuite un homme qui utilise également une corde serrée pour traverser une piscine.")</f>
        <v>La vidéo coupe ensuite un homme qui utilise également une corde serrée pour traverser une piscine.</v>
      </c>
    </row>
    <row r="24584">
      <c r="A24584" s="4" t="s">
        <v>30935</v>
      </c>
      <c r="B24584" s="4" t="s">
        <v>30940</v>
      </c>
      <c r="C24584" s="5" t="str">
        <f>IFERROR(__xludf.DUMMYFUNCTION("GOOGLETRANSLATE(B24584,""en"",""fr"")"),"La vidéo montre plusieurs clips de l'homme qui tombe.")</f>
        <v>La vidéo montre plusieurs clips de l'homme qui tombe.</v>
      </c>
    </row>
    <row r="24585">
      <c r="A24585" s="4" t="s">
        <v>30935</v>
      </c>
      <c r="B24585" s="4" t="s">
        <v>30941</v>
      </c>
      <c r="C24585" s="5" t="str">
        <f>IFERROR(__xludf.DUMMYFUNCTION("GOOGLETRANSLATE(B24585,""en"",""fr"")"),"À un moment donné, il tient une caméra en tombant.")</f>
        <v>À un moment donné, il tient une caméra en tombant.</v>
      </c>
    </row>
    <row r="24586">
      <c r="A24586" s="4" t="s">
        <v>30935</v>
      </c>
      <c r="B24586" s="4" t="s">
        <v>30942</v>
      </c>
      <c r="C24586" s="5" t="str">
        <f>IFERROR(__xludf.DUMMYFUNCTION("GOOGLETRANSLATE(B24586,""en"",""fr"")"),"Il tente également de se tenir debout avec une jambe sur la corde, ainsi que d'équilibrer.")</f>
        <v>Il tente également de se tenir debout avec une jambe sur la corde, ainsi que d'équilibrer.</v>
      </c>
    </row>
    <row r="24587">
      <c r="A24587" s="4" t="s">
        <v>30935</v>
      </c>
      <c r="B24587" s="4" t="s">
        <v>30943</v>
      </c>
      <c r="C24587" s="5" t="str">
        <f>IFERROR(__xludf.DUMMYFUNCTION("GOOGLETRANSLATE(B24587,""en"",""fr"")"),"La vidéo se termine le montrant dans une dernière chute dans un tube.")</f>
        <v>La vidéo se termine le montrant dans une dernière chute dans un tube.</v>
      </c>
    </row>
    <row r="24588">
      <c r="A24588" s="4" t="s">
        <v>30944</v>
      </c>
      <c r="B24588" s="6" t="s">
        <v>30945</v>
      </c>
      <c r="C24588" s="5" t="str">
        <f>IFERROR(__xludf.DUMMYFUNCTION("GOOGLETRANSLATE(B24588,""en"",""fr"")"),"Un petit garçon brille les chaussures d'une personne utilisant du vernis à chaussures noir et se brille avec une brosse et un chiffon.")</f>
        <v>Un petit garçon brille les chaussures d'une personne utilisant du vernis à chaussures noir et se brille avec une brosse et un chiffon.</v>
      </c>
    </row>
    <row r="24589">
      <c r="A24589" s="4" t="s">
        <v>30944</v>
      </c>
      <c r="B24589" s="4" t="s">
        <v>30946</v>
      </c>
      <c r="C24589" s="5" t="str">
        <f>IFERROR(__xludf.DUMMYFUNCTION("GOOGLETRANSLATE(B24589,""en"",""fr"")"),"Ensuite, l'homme paie le petit garçon.")</f>
        <v>Ensuite, l'homme paie le petit garçon.</v>
      </c>
    </row>
    <row r="24590">
      <c r="A24590" s="4" t="s">
        <v>30944</v>
      </c>
      <c r="B24590" s="4" t="s">
        <v>30947</v>
      </c>
      <c r="C24590" s="5" t="str">
        <f>IFERROR(__xludf.DUMMYFUNCTION("GOOGLETRANSLATE(B24590,""en"",""fr"")"),"Un garçon nettoie les spectacles de tennis d'une personne qui met la peinture blanche.")</f>
        <v>Un garçon nettoie les spectacles de tennis d'une personne qui met la peinture blanche.</v>
      </c>
    </row>
    <row r="24591">
      <c r="A24591" s="4" t="s">
        <v>30948</v>
      </c>
      <c r="B24591" s="4" t="s">
        <v>30949</v>
      </c>
      <c r="C24591" s="5" t="str">
        <f>IFERROR(__xludf.DUMMYFUNCTION("GOOGLETRANSLATE(B24591,""en"",""fr"")"),"Un homme joue une flûte devant un microphone.")</f>
        <v>Un homme joue une flûte devant un microphone.</v>
      </c>
    </row>
    <row r="24592">
      <c r="A24592" s="4" t="s">
        <v>30948</v>
      </c>
      <c r="B24592" s="4" t="s">
        <v>30950</v>
      </c>
      <c r="C24592" s="5" t="str">
        <f>IFERROR(__xludf.DUMMYFUNCTION("GOOGLETRANSLATE(B24592,""en"",""fr"")"),"Quelques autres hommes sont montrés en jouant des guitares lorsqu'ils sont assis.")</f>
        <v>Quelques autres hommes sont montrés en jouant des guitares lorsqu'ils sont assis.</v>
      </c>
    </row>
    <row r="24593">
      <c r="A24593" s="4" t="s">
        <v>30948</v>
      </c>
      <c r="B24593" s="4" t="s">
        <v>30951</v>
      </c>
      <c r="C24593" s="5" t="str">
        <f>IFERROR(__xludf.DUMMYFUNCTION("GOOGLETRANSLATE(B24593,""en"",""fr"")"),"Le groupe joue pour le public, zoomant parfois sur les individus.")</f>
        <v>Le groupe joue pour le public, zoomant parfois sur les individus.</v>
      </c>
    </row>
    <row r="24594">
      <c r="A24594" s="4" t="s">
        <v>30948</v>
      </c>
      <c r="B24594" s="4" t="s">
        <v>30952</v>
      </c>
      <c r="C24594" s="5" t="str">
        <f>IFERROR(__xludf.DUMMYFUNCTION("GOOGLETRANSLATE(B24594,""en"",""fr"")"),"Un homme joue de la batterie tandis que les autres sont à la flûte et à la guitare.")</f>
        <v>Un homme joue de la batterie tandis que les autres sont à la flûte et à la guitare.</v>
      </c>
    </row>
    <row r="24595">
      <c r="A24595" s="4" t="s">
        <v>30948</v>
      </c>
      <c r="B24595" s="4" t="s">
        <v>30953</v>
      </c>
      <c r="C24595" s="5" t="str">
        <f>IFERROR(__xludf.DUMMYFUNCTION("GOOGLETRANSLATE(B24595,""en"",""fr"")"),"Les lumières se déplacent de manière fluide pendant qu'ils crescendo, et ils dépissent le noir.")</f>
        <v>Les lumières se déplacent de manière fluide pendant qu'ils crescendo, et ils dépissent le noir.</v>
      </c>
    </row>
    <row r="24596">
      <c r="A24596" s="4" t="s">
        <v>30954</v>
      </c>
      <c r="B24596" s="4" t="s">
        <v>30955</v>
      </c>
      <c r="C24596" s="5" t="str">
        <f>IFERROR(__xludf.DUMMYFUNCTION("GOOGLETRANSLATE(B24596,""en"",""fr"")"),"Un animal jaune et brun est attaché au mur se balançant de gauche à droite.")</f>
        <v>Un animal jaune et brun est attaché au mur se balançant de gauche à droite.</v>
      </c>
    </row>
    <row r="24597">
      <c r="A24597" s="4" t="s">
        <v>30954</v>
      </c>
      <c r="B24597" s="6" t="s">
        <v>30956</v>
      </c>
      <c r="C24597" s="5" t="str">
        <f>IFERROR(__xludf.DUMMYFUNCTION("GOOGLETRANSLATE(B24597,""en"",""fr"")"),"Pendant qu'il est là, un garçon est enveloppé dans un bandana et il tient le bâton sur le côté gauche de la pinata.")</f>
        <v>Pendant qu'il est là, un garçon est enveloppé dans un bandana et il tient le bâton sur le côté gauche de la pinata.</v>
      </c>
    </row>
    <row r="24598">
      <c r="A24598" s="4" t="s">
        <v>30954</v>
      </c>
      <c r="B24598" s="4" t="s">
        <v>30957</v>
      </c>
      <c r="C24598" s="5" t="str">
        <f>IFERROR(__xludf.DUMMYFUNCTION("GOOGLETRANSLATE(B24598,""en"",""fr"")"),"Il le déplace ensuite vers le côté droit et commence à frapper la pinata férocement.")</f>
        <v>Il le déplace ensuite vers le côté droit et commence à frapper la pinata férocement.</v>
      </c>
    </row>
    <row r="24599">
      <c r="A24599" s="4" t="s">
        <v>30958</v>
      </c>
      <c r="B24599" s="4" t="s">
        <v>4184</v>
      </c>
      <c r="C24599" s="5" t="str">
        <f>IFERROR(__xludf.DUMMYFUNCTION("GOOGLETRANSLATE(B24599,""en"",""fr"")"),"Les gens jouent à la crosse sur un terrain.")</f>
        <v>Les gens jouent à la crosse sur un terrain.</v>
      </c>
    </row>
    <row r="24600">
      <c r="A24600" s="4" t="s">
        <v>30958</v>
      </c>
      <c r="B24600" s="4" t="s">
        <v>30959</v>
      </c>
      <c r="C24600" s="5" t="str">
        <f>IFERROR(__xludf.DUMMYFUNCTION("GOOGLETRANSLATE(B24600,""en"",""fr"")"),"Une femme en chemise bleue tient un bâton de crosse.")</f>
        <v>Une femme en chemise bleue tient un bâton de crosse.</v>
      </c>
    </row>
    <row r="24601">
      <c r="A24601" s="4" t="s">
        <v>30958</v>
      </c>
      <c r="B24601" s="4" t="s">
        <v>30960</v>
      </c>
      <c r="C24601" s="5" t="str">
        <f>IFERROR(__xludf.DUMMYFUNCTION("GOOGLETRANSLATE(B24601,""en"",""fr"")"),"Ils continuent de jouer à la crosse.")</f>
        <v>Ils continuent de jouer à la crosse.</v>
      </c>
    </row>
    <row r="24602">
      <c r="A24602" s="4" t="s">
        <v>30961</v>
      </c>
      <c r="B24602" s="4" t="s">
        <v>30962</v>
      </c>
      <c r="C24602" s="5" t="str">
        <f>IFERROR(__xludf.DUMMYFUNCTION("GOOGLETRANSLATE(B24602,""en"",""fr"")"),"Un homme en chemise noire se tient dans un salon.")</f>
        <v>Un homme en chemise noire se tient dans un salon.</v>
      </c>
    </row>
    <row r="24603">
      <c r="A24603" s="4" t="s">
        <v>30961</v>
      </c>
      <c r="B24603" s="4" t="s">
        <v>30963</v>
      </c>
      <c r="C24603" s="5" t="str">
        <f>IFERROR(__xludf.DUMMYFUNCTION("GOOGLETRANSLATE(B24603,""en"",""fr"")"),"Il commence à raser la barbe d'un homme qui se couche.")</f>
        <v>Il commence à raser la barbe d'un homme qui se couche.</v>
      </c>
    </row>
    <row r="24604">
      <c r="A24604" s="4" t="s">
        <v>30961</v>
      </c>
      <c r="B24604" s="4" t="s">
        <v>30964</v>
      </c>
      <c r="C24604" s="5" t="str">
        <f>IFERROR(__xludf.DUMMYFUNCTION("GOOGLETRANSLATE(B24604,""en"",""fr"")"),"Il serpente le visage de l'homme.")</f>
        <v>Il serpente le visage de l'homme.</v>
      </c>
    </row>
    <row r="24605">
      <c r="A24605" s="4" t="s">
        <v>30965</v>
      </c>
      <c r="B24605" s="4" t="s">
        <v>30966</v>
      </c>
      <c r="C24605" s="5" t="str">
        <f>IFERROR(__xludf.DUMMYFUNCTION("GOOGLETRANSLATE(B24605,""en"",""fr"")"),"Un homme montre la guitare avec un écran de titre montré à gauche.")</f>
        <v>Un homme montre la guitare avec un écran de titre montré à gauche.</v>
      </c>
    </row>
    <row r="24606">
      <c r="A24606" s="4" t="s">
        <v>30965</v>
      </c>
      <c r="B24606" s="4" t="s">
        <v>30967</v>
      </c>
      <c r="C24606" s="5" t="str">
        <f>IFERROR(__xludf.DUMMYFUNCTION("GOOGLETRANSLATE(B24606,""en"",""fr"")"),"L'homme gratte encore et encore tout en se cognant progressivement la tête vers le rythme.")</f>
        <v>L'homme gratte encore et encore tout en se cognant progressivement la tête vers le rythme.</v>
      </c>
    </row>
    <row r="24607">
      <c r="A24607" s="4" t="s">
        <v>30968</v>
      </c>
      <c r="B24607" s="6" t="s">
        <v>30969</v>
      </c>
      <c r="C24607" s="5" t="str">
        <f>IFERROR(__xludf.DUMMYFUNCTION("GOOGLETRANSLATE(B24607,""en"",""fr"")"),"Un gros plan d'une flamme est montré suivi par des membres du public debout et des athlètes debout.")</f>
        <v>Un gros plan d'une flamme est montré suivi par des membres du public debout et des athlètes debout.</v>
      </c>
    </row>
    <row r="24608">
      <c r="A24608" s="4" t="s">
        <v>30968</v>
      </c>
      <c r="B24608" s="4" t="s">
        <v>30970</v>
      </c>
      <c r="C24608" s="5" t="str">
        <f>IFERROR(__xludf.DUMMYFUNCTION("GOOGLETRANSLATE(B24608,""en"",""fr"")"),"Hitler regarde ensuite un homme sauter dans une fosse ainsi que plusieurs autres coureurs après lui.")</f>
        <v>Hitler regarde ensuite un homme sauter dans une fosse ainsi que plusieurs autres coureurs après lui.</v>
      </c>
    </row>
    <row r="24609">
      <c r="A24609" s="4" t="s">
        <v>30968</v>
      </c>
      <c r="B24609" s="6" t="s">
        <v>30971</v>
      </c>
      <c r="C24609" s="5" t="str">
        <f>IFERROR(__xludf.DUMMYFUNCTION("GOOGLETRANSLATE(B24609,""en"",""fr"")"),"De plus en plus d'athlètes continuent de sauter pendant que le public se lance et se termine avec des soldats qui levaient des drapeaux vers le ciel.")</f>
        <v>De plus en plus d'athlètes continuent de sauter pendant que le public se lance et se termine avec des soldats qui levaient des drapeaux vers le ciel.</v>
      </c>
    </row>
    <row r="24610">
      <c r="A24610" s="4" t="s">
        <v>30972</v>
      </c>
      <c r="B24610" s="4" t="s">
        <v>30973</v>
      </c>
      <c r="C24610" s="5" t="str">
        <f>IFERROR(__xludf.DUMMYFUNCTION("GOOGLETRANSLATE(B24610,""en"",""fr"")"),"Il y a deux garçons qui jouent à la courge dans un terrain de courge intérieur.")</f>
        <v>Il y a deux garçons qui jouent à la courge dans un terrain de courge intérieur.</v>
      </c>
    </row>
    <row r="24611">
      <c r="A24611" s="4" t="s">
        <v>30972</v>
      </c>
      <c r="B24611" s="4" t="s">
        <v>30974</v>
      </c>
      <c r="C24611" s="5" t="str">
        <f>IFERROR(__xludf.DUMMYFUNCTION("GOOGLETRANSLATE(B24611,""en"",""fr"")"),"Ils jouent au hasard dans un jeu non structuré où ils manquent souvent le ballon.")</f>
        <v>Ils jouent au hasard dans un jeu non structuré où ils manquent souvent le ballon.</v>
      </c>
    </row>
    <row r="24612">
      <c r="A24612" s="4" t="s">
        <v>30975</v>
      </c>
      <c r="B24612" s="4" t="s">
        <v>30976</v>
      </c>
      <c r="C24612" s="5" t="str">
        <f>IFERROR(__xludf.DUMMYFUNCTION("GOOGLETRANSLATE(B24612,""en"",""fr"")"),"Un homme est vu debout au fond d'un trou pendant qu'un homme l'enregistre.")</f>
        <v>Un homme est vu debout au fond d'un trou pendant qu'un homme l'enregistre.</v>
      </c>
    </row>
    <row r="24613">
      <c r="A24613" s="4" t="s">
        <v>30975</v>
      </c>
      <c r="B24613" s="4" t="s">
        <v>30977</v>
      </c>
      <c r="C24613" s="5" t="str">
        <f>IFERROR(__xludf.DUMMYFUNCTION("GOOGLETRANSLATE(B24613,""en"",""fr"")"),"On voit deux hommes grimpant le long de la colline et regardant la caméra.")</f>
        <v>On voit deux hommes grimpant le long de la colline et regardant la caméra.</v>
      </c>
    </row>
    <row r="24614">
      <c r="A24614" s="4" t="s">
        <v>30975</v>
      </c>
      <c r="B24614" s="4" t="s">
        <v>30978</v>
      </c>
      <c r="C24614" s="5" t="str">
        <f>IFERROR(__xludf.DUMMYFUNCTION("GOOGLETRANSLATE(B24614,""en"",""fr"")"),"Un homme retire l'autre et descend pendant que eux et d'autres parlent à la caméra.")</f>
        <v>Un homme retire l'autre et descend pendant que eux et d'autres parlent à la caméra.</v>
      </c>
    </row>
    <row r="24615">
      <c r="A24615" s="4" t="s">
        <v>30979</v>
      </c>
      <c r="B24615" s="4" t="s">
        <v>30980</v>
      </c>
      <c r="C24615" s="5" t="str">
        <f>IFERROR(__xludf.DUMMYFUNCTION("GOOGLETRANSLATE(B24615,""en"",""fr"")"),"Deux hommes se mettent une lotion Sunntan sur la plage.")</f>
        <v>Deux hommes se mettent une lotion Sunntan sur la plage.</v>
      </c>
    </row>
    <row r="24616">
      <c r="A24616" s="4" t="s">
        <v>30979</v>
      </c>
      <c r="B24616" s="4" t="s">
        <v>30981</v>
      </c>
      <c r="C24616" s="5" t="str">
        <f>IFERROR(__xludf.DUMMYFUNCTION("GOOGLETRANSLATE(B24616,""en"",""fr"")"),"Ils le frottent sur le dos de l'autre avant de se retourner.")</f>
        <v>Ils le frottent sur le dos de l'autre avant de se retourner.</v>
      </c>
    </row>
    <row r="24617">
      <c r="A24617" s="4" t="s">
        <v>30982</v>
      </c>
      <c r="B24617" s="4" t="s">
        <v>30983</v>
      </c>
      <c r="C24617" s="5" t="str">
        <f>IFERROR(__xludf.DUMMYFUNCTION("GOOGLETRANSLATE(B24617,""en"",""fr"")"),"L'homme se tient dans un grand champ Wlking et pratique un lancer de poids.")</f>
        <v>L'homme se tient dans un grand champ Wlking et pratique un lancer de poids.</v>
      </c>
    </row>
    <row r="24618">
      <c r="A24618" s="4" t="s">
        <v>30982</v>
      </c>
      <c r="B24618" s="4" t="s">
        <v>30984</v>
      </c>
      <c r="C24618" s="5" t="str">
        <f>IFERROR(__xludf.DUMMYFUNCTION("GOOGLETRANSLATE(B24618,""en"",""fr"")"),"L'homme portant une chemise rouge est debout sur le côté.")</f>
        <v>L'homme portant une chemise rouge est debout sur le côté.</v>
      </c>
    </row>
    <row r="24619">
      <c r="A24619" s="4" t="s">
        <v>30982</v>
      </c>
      <c r="B24619" s="4" t="s">
        <v>30985</v>
      </c>
      <c r="C24619" s="5" t="str">
        <f>IFERROR(__xludf.DUMMYFUNCTION("GOOGLETRANSLATE(B24619,""en"",""fr"")"),"Les hommes pacent dans un grand champ herbeux vert.")</f>
        <v>Les hommes pacent dans un grand champ herbeux vert.</v>
      </c>
    </row>
    <row r="24620">
      <c r="A24620" s="4" t="s">
        <v>30986</v>
      </c>
      <c r="B24620" s="4" t="s">
        <v>30987</v>
      </c>
      <c r="C24620" s="5" t="str">
        <f>IFERROR(__xludf.DUMMYFUNCTION("GOOGLETRANSLATE(B24620,""en"",""fr"")"),"Un homme émousse ses skis dans un garage.")</f>
        <v>Un homme émousse ses skis dans un garage.</v>
      </c>
    </row>
    <row r="24621">
      <c r="A24621" s="4" t="s">
        <v>30986</v>
      </c>
      <c r="B24621" s="4" t="s">
        <v>30988</v>
      </c>
      <c r="C24621" s="5" t="str">
        <f>IFERROR(__xludf.DUMMYFUNCTION("GOOGLETRANSLATE(B24621,""en"",""fr"")"),"Il change de position pour se donner plus de levier pendant que les buffs.")</f>
        <v>Il change de position pour se donner plus de levier pendant que les buffs.</v>
      </c>
    </row>
    <row r="24622">
      <c r="A24622" s="4" t="s">
        <v>30986</v>
      </c>
      <c r="B24622" s="4" t="s">
        <v>30989</v>
      </c>
      <c r="C24622" s="5" t="str">
        <f>IFERROR(__xludf.DUMMYFUNCTION("GOOGLETRANSLATE(B24622,""en"",""fr"")"),"Il déplace les blancs vers un autre endroit quand il a fini.")</f>
        <v>Il déplace les blancs vers un autre endroit quand il a fini.</v>
      </c>
    </row>
    <row r="24623">
      <c r="A24623" s="4" t="s">
        <v>30990</v>
      </c>
      <c r="B24623" s="4" t="s">
        <v>30991</v>
      </c>
      <c r="C24623" s="5" t="str">
        <f>IFERROR(__xludf.DUMMYFUNCTION("GOOGLETRANSLATE(B24623,""en"",""fr"")"),"Un chien est baigné par une femme.")</f>
        <v>Un chien est baigné par une femme.</v>
      </c>
    </row>
    <row r="24624">
      <c r="A24624" s="4" t="s">
        <v>30990</v>
      </c>
      <c r="B24624" s="4" t="s">
        <v>30992</v>
      </c>
      <c r="C24624" s="5" t="str">
        <f>IFERROR(__xludf.DUMMYFUNCTION("GOOGLETRANSLATE(B24624,""en"",""fr"")"),"La femme pulvérise de l'eau sur le petit chien avec un tuyau.")</f>
        <v>La femme pulvérise de l'eau sur le petit chien avec un tuyau.</v>
      </c>
    </row>
    <row r="24625">
      <c r="A24625" s="4" t="s">
        <v>30990</v>
      </c>
      <c r="B24625" s="4" t="s">
        <v>30993</v>
      </c>
      <c r="C24625" s="5" t="str">
        <f>IFERROR(__xludf.DUMMYFUNCTION("GOOGLETRANSLATE(B24625,""en"",""fr"")"),"Elle sèche maintenant le chien.")</f>
        <v>Elle sèche maintenant le chien.</v>
      </c>
    </row>
    <row r="24626">
      <c r="A24626" s="4" t="s">
        <v>30990</v>
      </c>
      <c r="B24626" s="4" t="s">
        <v>30994</v>
      </c>
      <c r="C24626" s="5" t="str">
        <f>IFERROR(__xludf.DUMMYFUNCTION("GOOGLETRANSLATE(B24626,""en"",""fr"")"),"Le chien est placé dans le chenil à côté des pieds d'une femme.")</f>
        <v>Le chien est placé dans le chenil à côté des pieds d'une femme.</v>
      </c>
    </row>
    <row r="24627">
      <c r="A24627" s="4" t="s">
        <v>30990</v>
      </c>
      <c r="B24627" s="4" t="s">
        <v>30995</v>
      </c>
      <c r="C24627" s="5" t="str">
        <f>IFERROR(__xludf.DUMMYFUNCTION("GOOGLETRANSLATE(B24627,""en"",""fr"")"),"Un chien joue derrière et avec le chien toiletté.")</f>
        <v>Un chien joue derrière et avec le chien toiletté.</v>
      </c>
    </row>
    <row r="24628">
      <c r="A24628" s="4" t="s">
        <v>30990</v>
      </c>
      <c r="B24628" s="4" t="s">
        <v>30996</v>
      </c>
      <c r="C24628" s="5" t="str">
        <f>IFERROR(__xludf.DUMMYFUNCTION("GOOGLETRANSLATE(B24628,""en"",""fr"")"),"Le chien se fait maintenant une coupe de cheveux.")</f>
        <v>Le chien se fait maintenant une coupe de cheveux.</v>
      </c>
    </row>
    <row r="24629">
      <c r="A24629" s="4" t="s">
        <v>30997</v>
      </c>
      <c r="B24629" s="6" t="s">
        <v>30998</v>
      </c>
      <c r="C24629" s="5" t="str">
        <f>IFERROR(__xludf.DUMMYFUNCTION("GOOGLETRANSLATE(B24629,""en"",""fr"")"),"L'écran d'intro apparaît et comprend une illustration d'un homme essuyant le sol avec une vadrouille dans une salle de bain, une marque et quelques autres mots.")</f>
        <v>L'écran d'intro apparaît et comprend une illustration d'un homme essuyant le sol avec une vadrouille dans une salle de bain, une marque et quelques autres mots.</v>
      </c>
    </row>
    <row r="24630">
      <c r="A24630" s="4" t="s">
        <v>30997</v>
      </c>
      <c r="B24630" s="6" t="s">
        <v>30999</v>
      </c>
      <c r="C24630" s="5" t="str">
        <f>IFERROR(__xludf.DUMMYFUNCTION("GOOGLETRANSLATE(B24630,""en"",""fr"")"),"Une femme est maintenant dans la salle de bain à l'aide d'un seau avancé qui est grand et comprend une poignée pour serrer la vadrouille plate et un compartiment de rangement, et elle mousse le sol avec la vadrouille, puis montre comment la serrer dans le"&amp;" seau et revient à MOPING le reste de la salle de bain.")</f>
        <v>Une femme est maintenant dans la salle de bain à l'aide d'un seau avancé qui est grand et comprend une poignée pour serrer la vadrouille plate et un compartiment de rangement, et elle mousse le sol avec la vadrouille, puis montre comment la serrer dans le seau et revient à MOPING le reste de la salle de bain.</v>
      </c>
    </row>
    <row r="24631">
      <c r="A24631" s="4" t="s">
        <v>30997</v>
      </c>
      <c r="B24631" s="6" t="s">
        <v>31000</v>
      </c>
      <c r="C24631" s="5" t="str">
        <f>IFERROR(__xludf.DUMMYFUNCTION("GOOGLETRANSLATE(B24631,""en"",""fr"")"),"Une vue de dessus du seau est montrée et il montre que le seau a deux compartiments à eau et l'eau propre est à l'avant et l'eau sale est maintenue à l'arrière.")</f>
        <v>Une vue de dessus du seau est montrée et il montre que le seau a deux compartiments à eau et l'eau propre est à l'avant et l'eau sale est maintenue à l'arrière.</v>
      </c>
    </row>
    <row r="24632">
      <c r="A24632" s="4" t="s">
        <v>30997</v>
      </c>
      <c r="B24632" s="6" t="s">
        <v>31001</v>
      </c>
      <c r="C24632" s="5" t="str">
        <f>IFERROR(__xludf.DUMMYFUNCTION("GOOGLETRANSLATE(B24632,""en"",""fr"")"),"Un écran blanc apparaît et il affiche la marque de logo, différentes images des manches et des nombres de vadrouille à côté.")</f>
        <v>Un écran blanc apparaît et il affiche la marque de logo, différentes images des manches et des nombres de vadrouille à côté.</v>
      </c>
    </row>
    <row r="24633">
      <c r="A24633" s="4" t="s">
        <v>30997</v>
      </c>
      <c r="B24633" s="6" t="s">
        <v>31002</v>
      </c>
      <c r="C24633" s="5" t="str">
        <f>IFERROR(__xludf.DUMMYFUNCTION("GOOGLETRANSLATE(B24633,""en"",""fr"")"),"La femme se dirige vers l'entrée de la salle de bain, retire le panneau de sol humide, le met dans sa charrette, commence à pousser le chariot et l'accent revient à la salle de bain propre qu'elle vient de nettoyer.")</f>
        <v>La femme se dirige vers l'entrée de la salle de bain, retire le panneau de sol humide, le met dans sa charrette, commence à pousser le chariot et l'accent revient à la salle de bain propre qu'elle vient de nettoyer.</v>
      </c>
    </row>
    <row r="24634">
      <c r="A24634" s="4" t="s">
        <v>31003</v>
      </c>
      <c r="B24634" s="4" t="s">
        <v>31004</v>
      </c>
      <c r="C24634" s="5" t="str">
        <f>IFERROR(__xludf.DUMMYFUNCTION("GOOGLETRANSLATE(B24634,""en"",""fr"")"),"Un homme agit comme un DJ avec des écouteurs.")</f>
        <v>Un homme agit comme un DJ avec des écouteurs.</v>
      </c>
    </row>
    <row r="24635">
      <c r="A24635" s="4" t="s">
        <v>31003</v>
      </c>
      <c r="B24635" s="4" t="s">
        <v>31005</v>
      </c>
      <c r="C24635" s="5" t="str">
        <f>IFERROR(__xludf.DUMMYFUNCTION("GOOGLETRANSLATE(B24635,""en"",""fr"")"),"Un autre homme décolle sur une paire de skis nautiques.")</f>
        <v>Un autre homme décolle sur une paire de skis nautiques.</v>
      </c>
    </row>
    <row r="24636">
      <c r="A24636" s="4" t="s">
        <v>31003</v>
      </c>
      <c r="B24636" s="4" t="s">
        <v>31006</v>
      </c>
      <c r="C24636" s="5" t="str">
        <f>IFERROR(__xludf.DUMMYFUNCTION("GOOGLETRANSLATE(B24636,""en"",""fr"")"),"Il skie alors que les gens se rassemblent et partent sur une jetée.")</f>
        <v>Il skie alors que les gens se rassemblent et partent sur une jetée.</v>
      </c>
    </row>
    <row r="24637">
      <c r="A24637" s="4" t="s">
        <v>31003</v>
      </c>
      <c r="B24637" s="4" t="s">
        <v>31007</v>
      </c>
      <c r="C24637" s="5" t="str">
        <f>IFERROR(__xludf.DUMMYFUNCTION("GOOGLETRANSLATE(B24637,""en"",""fr"")"),"Plusieurs personnes se joignent à un événement de curling, tenant des panneaux et souriant.")</f>
        <v>Plusieurs personnes se joignent à un événement de curling, tenant des panneaux et souriant.</v>
      </c>
    </row>
    <row r="24638">
      <c r="A24638" s="4" t="s">
        <v>31008</v>
      </c>
      <c r="B24638" s="6" t="s">
        <v>31009</v>
      </c>
      <c r="C24638" s="5" t="str">
        <f>IFERROR(__xludf.DUMMYFUNCTION("GOOGLETRANSLATE(B24638,""en"",""fr"")"),"Deux personnes sont vues debout dans un grand gymnase qui se parle et les mènent à effectuer une routine de saut.")</f>
        <v>Deux personnes sont vues debout dans un grand gymnase qui se parle et les mènent à effectuer une routine de saut.</v>
      </c>
    </row>
    <row r="24639">
      <c r="A24639" s="4" t="s">
        <v>31008</v>
      </c>
      <c r="B24639" s="6" t="s">
        <v>31010</v>
      </c>
      <c r="C24639" s="5" t="str">
        <f>IFERROR(__xludf.DUMMYFUNCTION("GOOGLETRANSLATE(B24639,""en"",""fr"")"),"La femme continue de sauter tout le long du gymnase ensemble et se termine en tenant les cordes contre leurs pieds.")</f>
        <v>La femme continue de sauter tout le long du gymnase ensemble et se termine en tenant les cordes contre leurs pieds.</v>
      </c>
    </row>
    <row r="24640">
      <c r="A24640" s="4" t="s">
        <v>31011</v>
      </c>
      <c r="B24640" s="4" t="s">
        <v>31012</v>
      </c>
      <c r="C24640" s="5" t="str">
        <f>IFERROR(__xludf.DUMMYFUNCTION("GOOGLETRANSLATE(B24640,""en"",""fr"")"),"Un petit garçon est assis par terre, touchant un aspirateur et parle.")</f>
        <v>Un petit garçon est assis par terre, touchant un aspirateur et parle.</v>
      </c>
    </row>
    <row r="24641">
      <c r="A24641" s="4" t="s">
        <v>31011</v>
      </c>
      <c r="B24641" s="4" t="s">
        <v>31013</v>
      </c>
      <c r="C24641" s="5" t="str">
        <f>IFERROR(__xludf.DUMMYFUNCTION("GOOGLETRANSLATE(B24641,""en"",""fr"")"),"Il prend également un autre aspirateur et commence à le faire traverser la pièce, d'avant en arrière.")</f>
        <v>Il prend également un autre aspirateur et commence à le faire traverser la pièce, d'avant en arrière.</v>
      </c>
    </row>
    <row r="24642">
      <c r="A24642" s="4" t="s">
        <v>31014</v>
      </c>
      <c r="B24642" s="4" t="s">
        <v>31015</v>
      </c>
      <c r="C24642" s="5" t="str">
        <f>IFERROR(__xludf.DUMMYFUNCTION("GOOGLETRANSLATE(B24642,""en"",""fr"")"),"Un homme dans une chemise verte et un chapeau vert tient un grand couteau.")</f>
        <v>Un homme dans une chemise verte et un chapeau vert tient un grand couteau.</v>
      </c>
    </row>
    <row r="24643">
      <c r="A24643" s="4" t="s">
        <v>31014</v>
      </c>
      <c r="B24643" s="4" t="s">
        <v>31016</v>
      </c>
      <c r="C24643" s="5" t="str">
        <f>IFERROR(__xludf.DUMMYFUNCTION("GOOGLETRANSLATE(B24643,""en"",""fr"")"),"Il commence à couper un morceau de bois avec le couteau.")</f>
        <v>Il commence à couper un morceau de bois avec le couteau.</v>
      </c>
    </row>
    <row r="24644">
      <c r="A24644" s="4" t="s">
        <v>31014</v>
      </c>
      <c r="B24644" s="4" t="s">
        <v>31017</v>
      </c>
      <c r="C24644" s="5" t="str">
        <f>IFERROR(__xludf.DUMMYFUNCTION("GOOGLETRANSLATE(B24644,""en"",""fr"")"),"Il coupe le morceau de bois en deux.")</f>
        <v>Il coupe le morceau de bois en deux.</v>
      </c>
    </row>
    <row r="24645">
      <c r="A24645" s="4" t="s">
        <v>31018</v>
      </c>
      <c r="B24645" s="4" t="s">
        <v>2480</v>
      </c>
      <c r="C24645" s="5" t="str">
        <f>IFERROR(__xludf.DUMMYFUNCTION("GOOGLETRANSLATE(B24645,""en"",""fr"")"),"Nous voyons deux écrans de titre d'ouverture.")</f>
        <v>Nous voyons deux écrans de titre d'ouverture.</v>
      </c>
    </row>
    <row r="24646">
      <c r="A24646" s="4" t="s">
        <v>31018</v>
      </c>
      <c r="B24646" s="4" t="s">
        <v>31019</v>
      </c>
      <c r="C24646" s="5" t="str">
        <f>IFERROR(__xludf.DUMMYFUNCTION("GOOGLETRANSLATE(B24646,""en"",""fr"")"),"Nous voyons un homme dans une pièce jouer un ensemble de tambours.")</f>
        <v>Nous voyons un homme dans une pièce jouer un ensemble de tambours.</v>
      </c>
    </row>
    <row r="24647">
      <c r="A24647" s="4" t="s">
        <v>31018</v>
      </c>
      <c r="B24647" s="4" t="s">
        <v>31020</v>
      </c>
      <c r="C24647" s="5" t="str">
        <f>IFERROR(__xludf.DUMMYFUNCTION("GOOGLETRANSLATE(B24647,""en"",""fr"")"),"L'homme joue principalement les tambours sur le côté gauche.")</f>
        <v>L'homme joue principalement les tambours sur le côté gauche.</v>
      </c>
    </row>
    <row r="24648">
      <c r="A24648" s="4" t="s">
        <v>31018</v>
      </c>
      <c r="B24648" s="4" t="s">
        <v>31021</v>
      </c>
      <c r="C24648" s="5" t="str">
        <f>IFERROR(__xludf.DUMMYFUNCTION("GOOGLETRANSLATE(B24648,""en"",""fr"")"),"L'homme s'arrête en jouant.")</f>
        <v>L'homme s'arrête en jouant.</v>
      </c>
    </row>
    <row r="24649">
      <c r="A24649" s="4" t="s">
        <v>31018</v>
      </c>
      <c r="B24649" s="4" t="s">
        <v>31022</v>
      </c>
      <c r="C24649" s="5" t="str">
        <f>IFERROR(__xludf.DUMMYFUNCTION("GOOGLETRANSLATE(B24649,""en"",""fr"")"),"L'homme frappe quelques tambours puis s'arrête.")</f>
        <v>L'homme frappe quelques tambours puis s'arrête.</v>
      </c>
    </row>
    <row r="24650">
      <c r="A24650" s="4" t="s">
        <v>31023</v>
      </c>
      <c r="B24650" s="4" t="s">
        <v>31024</v>
      </c>
      <c r="C24650" s="5" t="str">
        <f>IFERROR(__xludf.DUMMYFUNCTION("GOOGLETRANSLATE(B24650,""en"",""fr"")"),"Un homme tient deux chaussures pour femmes à talons hauts extrêmement sales.")</f>
        <v>Un homme tient deux chaussures pour femmes à talons hauts extrêmement sales.</v>
      </c>
    </row>
    <row r="24651">
      <c r="A24651" s="4" t="s">
        <v>31023</v>
      </c>
      <c r="B24651" s="4" t="s">
        <v>31025</v>
      </c>
      <c r="C24651" s="5" t="str">
        <f>IFERROR(__xludf.DUMMYFUNCTION("GOOGLETRANSLATE(B24651,""en"",""fr"")"),"Il utilise une règle pour gratter la saleté séchée.")</f>
        <v>Il utilise une règle pour gratter la saleté séchée.</v>
      </c>
    </row>
    <row r="24652">
      <c r="A24652" s="4" t="s">
        <v>31023</v>
      </c>
      <c r="B24652" s="6" t="s">
        <v>31026</v>
      </c>
      <c r="C24652" s="5" t="str">
        <f>IFERROR(__xludf.DUMMYFUNCTION("GOOGLETRANSLATE(B24652,""en"",""fr"")"),"Il utilise ensuite une brosse pour polir le matériau en daim avant de pulvériser une substance blanche sur la chaussure.")</f>
        <v>Il utilise ensuite une brosse pour polir le matériau en daim avant de pulvériser une substance blanche sur la chaussure.</v>
      </c>
    </row>
    <row r="24653">
      <c r="A24653" s="4" t="s">
        <v>31023</v>
      </c>
      <c r="B24653" s="4" t="s">
        <v>31027</v>
      </c>
      <c r="C24653" s="5" t="str">
        <f>IFERROR(__xludf.DUMMYFUNCTION("GOOGLETRANSLATE(B24653,""en"",""fr"")"),"Il le gratte propre, puis applique une nouvelle semelle et pic au talon.")</f>
        <v>Il le gratte propre, puis applique une nouvelle semelle et pic au talon.</v>
      </c>
    </row>
    <row r="24654">
      <c r="A24654" s="4" t="s">
        <v>31023</v>
      </c>
      <c r="B24654" s="4" t="s">
        <v>31028</v>
      </c>
      <c r="C24654" s="5" t="str">
        <f>IFERROR(__xludf.DUMMYFUNCTION("GOOGLETRANSLATE(B24654,""en"",""fr"")"),"Il montre le Canovator Can.")</f>
        <v>Il montre le Canovator Can.</v>
      </c>
    </row>
    <row r="24655">
      <c r="A24655" s="4" t="s">
        <v>31029</v>
      </c>
      <c r="B24655" s="4" t="s">
        <v>31030</v>
      </c>
      <c r="C24655" s="5" t="str">
        <f>IFERROR(__xludf.DUMMYFUNCTION("GOOGLETRANSLATE(B24655,""en"",""fr"")"),"Un homme et une femme parlent devant la caméra.")</f>
        <v>Un homme et une femme parlent devant la caméra.</v>
      </c>
    </row>
    <row r="24656">
      <c r="A24656" s="4" t="s">
        <v>31029</v>
      </c>
      <c r="B24656" s="4" t="s">
        <v>31031</v>
      </c>
      <c r="C24656" s="5" t="str">
        <f>IFERROR(__xludf.DUMMYFUNCTION("GOOGLETRANSLATE(B24656,""en"",""fr"")"),"Les joueurs sont dans un tribunal jouant au hockey.")</f>
        <v>Les joueurs sont dans un tribunal jouant au hockey.</v>
      </c>
    </row>
    <row r="24657">
      <c r="A24657" s="4" t="s">
        <v>31029</v>
      </c>
      <c r="B24657" s="4" t="s">
        <v>31032</v>
      </c>
      <c r="C24657" s="5" t="str">
        <f>IFERROR(__xludf.DUMMYFUNCTION("GOOGLETRANSLATE(B24657,""en"",""fr"")"),"Un homme et une femme sont interrogés.")</f>
        <v>Un homme et une femme sont interrogés.</v>
      </c>
    </row>
    <row r="24658">
      <c r="A24658" s="4" t="s">
        <v>31033</v>
      </c>
      <c r="B24658" s="4" t="s">
        <v>31034</v>
      </c>
      <c r="C24658" s="5" t="str">
        <f>IFERROR(__xludf.DUMMYFUNCTION("GOOGLETRANSLATE(B24658,""en"",""fr"")"),"Les bateaux traversent l'eau.")</f>
        <v>Les bateaux traversent l'eau.</v>
      </c>
    </row>
    <row r="24659">
      <c r="A24659" s="4" t="s">
        <v>31033</v>
      </c>
      <c r="B24659" s="4" t="s">
        <v>31035</v>
      </c>
      <c r="C24659" s="5" t="str">
        <f>IFERROR(__xludf.DUMMYFUNCTION("GOOGLETRANSLATE(B24659,""en"",""fr"")"),"Une tempête frappe et un homme pleure.")</f>
        <v>Une tempête frappe et un homme pleure.</v>
      </c>
    </row>
    <row r="24660">
      <c r="A24660" s="4" t="s">
        <v>31033</v>
      </c>
      <c r="B24660" s="4" t="s">
        <v>31036</v>
      </c>
      <c r="C24660" s="5" t="str">
        <f>IFERROR(__xludf.DUMMYFUNCTION("GOOGLETRANSLATE(B24660,""en"",""fr"")"),"Les bateaux continuent de passer par l'eau.")</f>
        <v>Les bateaux continuent de passer par l'eau.</v>
      </c>
    </row>
    <row r="24661">
      <c r="A24661" s="4" t="s">
        <v>31037</v>
      </c>
      <c r="B24661" s="4" t="s">
        <v>31038</v>
      </c>
      <c r="C24661" s="5" t="str">
        <f>IFERROR(__xludf.DUMMYFUNCTION("GOOGLETRANSLATE(B24661,""en"",""fr"")"),"Un homme en costume lit un journal.")</f>
        <v>Un homme en costume lit un journal.</v>
      </c>
    </row>
    <row r="24662">
      <c r="A24662" s="4" t="s">
        <v>31037</v>
      </c>
      <c r="B24662" s="4" t="s">
        <v>31039</v>
      </c>
      <c r="C24662" s="5" t="str">
        <f>IFERROR(__xludf.DUMMYFUNCTION("GOOGLETRANSLATE(B24662,""en"",""fr"")"),"Il met un comprimé dissolvant dans un verre d'eau.")</f>
        <v>Il met un comprimé dissolvant dans un verre d'eau.</v>
      </c>
    </row>
    <row r="24663">
      <c r="A24663" s="4" t="s">
        <v>31037</v>
      </c>
      <c r="B24663" s="4" t="s">
        <v>31040</v>
      </c>
      <c r="C24663" s="5" t="str">
        <f>IFERROR(__xludf.DUMMYFUNCTION("GOOGLETRANSLATE(B24663,""en"",""fr"")"),"Quelqu'un court devant une voiture sur des échasses.")</f>
        <v>Quelqu'un court devant une voiture sur des échasses.</v>
      </c>
    </row>
    <row r="24664">
      <c r="A24664" s="4" t="s">
        <v>31041</v>
      </c>
      <c r="B24664" s="4" t="s">
        <v>31042</v>
      </c>
      <c r="C24664" s="5" t="str">
        <f>IFERROR(__xludf.DUMMYFUNCTION("GOOGLETRANSLATE(B24664,""en"",""fr"")"),"Un grand groupe de garçons pagaye sur un lac en canoës rouges.")</f>
        <v>Un grand groupe de garçons pagaye sur un lac en canoës rouges.</v>
      </c>
    </row>
    <row r="24665">
      <c r="A24665" s="4" t="s">
        <v>31041</v>
      </c>
      <c r="B24665" s="4" t="s">
        <v>31043</v>
      </c>
      <c r="C24665" s="5" t="str">
        <f>IFERROR(__xludf.DUMMYFUNCTION("GOOGLETRANSLATE(B24665,""en"",""fr"")"),"D'autres groupes de garçons sur un quai préparent des bateaux à utiliser.")</f>
        <v>D'autres groupes de garçons sur un quai préparent des bateaux à utiliser.</v>
      </c>
    </row>
    <row r="24666">
      <c r="A24666" s="4" t="s">
        <v>31041</v>
      </c>
      <c r="B24666" s="4" t="s">
        <v>31044</v>
      </c>
      <c r="C24666" s="5" t="str">
        <f>IFERROR(__xludf.DUMMYFUNCTION("GOOGLETRANSLATE(B24666,""en"",""fr"")"),"Deux garçons sur une pagaie en canoë pour s'éloigner des roseaux sur le bord du lac.")</f>
        <v>Deux garçons sur une pagaie en canoë pour s'éloigner des roseaux sur le bord du lac.</v>
      </c>
    </row>
    <row r="24667">
      <c r="A24667" s="4" t="s">
        <v>31045</v>
      </c>
      <c r="B24667" s="4" t="s">
        <v>31046</v>
      </c>
      <c r="C24667" s="5" t="str">
        <f>IFERROR(__xludf.DUMMYFUNCTION("GOOGLETRANSLATE(B24667,""en"",""fr"")"),"Une personne est vue à genoux sur le sol dispensant du plâtre ainsi que sur une tuile.")</f>
        <v>Une personne est vue à genoux sur le sol dispensant du plâtre ainsi que sur une tuile.</v>
      </c>
    </row>
    <row r="24668">
      <c r="A24668" s="4" t="s">
        <v>31045</v>
      </c>
      <c r="B24668" s="4" t="s">
        <v>31047</v>
      </c>
      <c r="C24668" s="5" t="str">
        <f>IFERROR(__xludf.DUMMYFUNCTION("GOOGLETRANSLATE(B24668,""en"",""fr"")"),"La personne retourne ensuite les carreaux et les place par terre.")</f>
        <v>La personne retourne ensuite les carreaux et les place par terre.</v>
      </c>
    </row>
    <row r="24669">
      <c r="A24669" s="4" t="s">
        <v>31048</v>
      </c>
      <c r="B24669" s="4" t="s">
        <v>31049</v>
      </c>
      <c r="C24669" s="5" t="str">
        <f>IFERROR(__xludf.DUMMYFUNCTION("GOOGLETRANSLATE(B24669,""en"",""fr"")"),"Un jeune homme est vu debout devant une tondeuse à gazon et regardant la caméra.")</f>
        <v>Un jeune homme est vu debout devant une tondeuse à gazon et regardant la caméra.</v>
      </c>
    </row>
    <row r="24670">
      <c r="A24670" s="4" t="s">
        <v>31048</v>
      </c>
      <c r="B24670" s="4" t="s">
        <v>31050</v>
      </c>
      <c r="C24670" s="5" t="str">
        <f>IFERROR(__xludf.DUMMYFUNCTION("GOOGLETRANSLATE(B24670,""en"",""fr"")"),"Le garçon tire ensuite une ficelle sur la tondeuse à gazon.")</f>
        <v>Le garçon tire ensuite une ficelle sur la tondeuse à gazon.</v>
      </c>
    </row>
    <row r="24671">
      <c r="A24671" s="4" t="s">
        <v>31048</v>
      </c>
      <c r="B24671" s="4" t="s">
        <v>31051</v>
      </c>
      <c r="C24671" s="5" t="str">
        <f>IFERROR(__xludf.DUMMYFUNCTION("GOOGLETRANSLATE(B24671,""en"",""fr"")"),"Il avance enfin sur la tondeuse à gazon.")</f>
        <v>Il avance enfin sur la tondeuse à gazon.</v>
      </c>
    </row>
    <row r="24672">
      <c r="A24672" s="4" t="s">
        <v>31052</v>
      </c>
      <c r="B24672" s="4" t="s">
        <v>31053</v>
      </c>
      <c r="C24672" s="5" t="str">
        <f>IFERROR(__xludf.DUMMYFUNCTION("GOOGLETRANSLATE(B24672,""en"",""fr"")"),"Nous voyons un homme mettre des objets dans sa voiture.")</f>
        <v>Nous voyons un homme mettre des objets dans sa voiture.</v>
      </c>
    </row>
    <row r="24673">
      <c r="A24673" s="4" t="s">
        <v>31052</v>
      </c>
      <c r="B24673" s="4" t="s">
        <v>31054</v>
      </c>
      <c r="C24673" s="5" t="str">
        <f>IFERROR(__xludf.DUMMYFUNCTION("GOOGLETRANSLATE(B24673,""en"",""fr"")"),"L'homme monte dans la voiture et conduit dans la rue.")</f>
        <v>L'homme monte dans la voiture et conduit dans la rue.</v>
      </c>
    </row>
    <row r="24674">
      <c r="A24674" s="4" t="s">
        <v>31052</v>
      </c>
      <c r="B24674" s="4" t="s">
        <v>31055</v>
      </c>
      <c r="C24674" s="5" t="str">
        <f>IFERROR(__xludf.DUMMYFUNCTION("GOOGLETRANSLATE(B24674,""en"",""fr"")"),"Nous voyons des hommes grimper à l'intérieur sur un mur d'escalade et à l'extérieur dans les bois.")</f>
        <v>Nous voyons des hommes grimper à l'intérieur sur un mur d'escalade et à l'extérieur dans les bois.</v>
      </c>
    </row>
    <row r="24675">
      <c r="A24675" s="4" t="s">
        <v>31052</v>
      </c>
      <c r="B24675" s="4" t="s">
        <v>31056</v>
      </c>
      <c r="C24675" s="5" t="str">
        <f>IFERROR(__xludf.DUMMYFUNCTION("GOOGLETRANSLATE(B24675,""en"",""fr"")"),"Nous voyons deux hommes à l'extérieur la nuit alors le jour.")</f>
        <v>Nous voyons deux hommes à l'extérieur la nuit alors le jour.</v>
      </c>
    </row>
    <row r="24676">
      <c r="A24676" s="4" t="s">
        <v>31052</v>
      </c>
      <c r="B24676" s="4" t="s">
        <v>31057</v>
      </c>
      <c r="C24676" s="5" t="str">
        <f>IFERROR(__xludf.DUMMYFUNCTION("GOOGLETRANSLATE(B24676,""en"",""fr"")"),"Nous voyons des hommes grimper une falaise.")</f>
        <v>Nous voyons des hommes grimper une falaise.</v>
      </c>
    </row>
    <row r="24677">
      <c r="A24677" s="4" t="s">
        <v>31052</v>
      </c>
      <c r="B24677" s="4" t="s">
        <v>31058</v>
      </c>
      <c r="C24677" s="5" t="str">
        <f>IFERROR(__xludf.DUMMYFUNCTION("GOOGLETRANSLATE(B24677,""en"",""fr"")"),"Un homme salue le haut.")</f>
        <v>Un homme salue le haut.</v>
      </c>
    </row>
    <row r="24678">
      <c r="A24678" s="4" t="s">
        <v>31052</v>
      </c>
      <c r="B24678" s="4" t="s">
        <v>31059</v>
      </c>
      <c r="C24678" s="5" t="str">
        <f>IFERROR(__xludf.DUMMYFUNCTION("GOOGLETRANSLATE(B24678,""en"",""fr"")"),"Nous voyons les hommes au sommet de la falaise.")</f>
        <v>Nous voyons les hommes au sommet de la falaise.</v>
      </c>
    </row>
    <row r="24679">
      <c r="A24679" s="4" t="s">
        <v>31052</v>
      </c>
      <c r="B24679" s="4" t="s">
        <v>31060</v>
      </c>
      <c r="C24679" s="5" t="str">
        <f>IFERROR(__xludf.DUMMYFUNCTION("GOOGLETRANSLATE(B24679,""en"",""fr"")"),"Un homme perce les trous dans un mur.")</f>
        <v>Un homme perce les trous dans un mur.</v>
      </c>
    </row>
    <row r="24680">
      <c r="A24680" s="4" t="s">
        <v>31052</v>
      </c>
      <c r="B24680" s="4" t="s">
        <v>31061</v>
      </c>
      <c r="C24680" s="5" t="str">
        <f>IFERROR(__xludf.DUMMYFUNCTION("GOOGLETRANSLATE(B24680,""en"",""fr"")"),"Nous voyons un homme tomber à plusieurs reprises.")</f>
        <v>Nous voyons un homme tomber à plusieurs reprises.</v>
      </c>
    </row>
    <row r="24681">
      <c r="A24681" s="4" t="s">
        <v>31052</v>
      </c>
      <c r="B24681" s="4" t="s">
        <v>31062</v>
      </c>
      <c r="C24681" s="5" t="str">
        <f>IFERROR(__xludf.DUMMYFUNCTION("GOOGLETRANSLATE(B24681,""en"",""fr"")"),"Nous voyons trois hommes dans un bateau sur une rivière.")</f>
        <v>Nous voyons trois hommes dans un bateau sur une rivière.</v>
      </c>
    </row>
    <row r="24682">
      <c r="A24682" s="4" t="s">
        <v>31063</v>
      </c>
      <c r="B24682" s="4" t="s">
        <v>31064</v>
      </c>
      <c r="C24682" s="5" t="str">
        <f>IFERROR(__xludf.DUMMYFUNCTION("GOOGLETRANSLATE(B24682,""en"",""fr"")"),"Peolpe courent dans la rue sous un pont.")</f>
        <v>Peolpe courent dans la rue sous un pont.</v>
      </c>
    </row>
    <row r="24683">
      <c r="A24683" s="4" t="s">
        <v>31063</v>
      </c>
      <c r="B24683" s="4" t="s">
        <v>31065</v>
      </c>
      <c r="C24683" s="5" t="str">
        <f>IFERROR(__xludf.DUMMYFUNCTION("GOOGLETRANSLATE(B24683,""en"",""fr"")"),"Les gens se tiennent debout et traversent le pont et la rue.")</f>
        <v>Les gens se tiennent debout et traversent le pont et la rue.</v>
      </c>
    </row>
    <row r="24684">
      <c r="A24684" s="4" t="s">
        <v>31066</v>
      </c>
      <c r="B24684" s="4" t="s">
        <v>31067</v>
      </c>
      <c r="C24684" s="5" t="str">
        <f>IFERROR(__xludf.DUMMYFUNCTION("GOOGLETRANSLATE(B24684,""en"",""fr"")"),"Un garçon se tient du fond d'une toboggan et s'éloigne.")</f>
        <v>Un garçon se tient du fond d'une toboggan et s'éloigne.</v>
      </c>
    </row>
    <row r="24685">
      <c r="A24685" s="4" t="s">
        <v>31066</v>
      </c>
      <c r="B24685" s="4" t="s">
        <v>31068</v>
      </c>
      <c r="C24685" s="5" t="str">
        <f>IFERROR(__xludf.DUMMYFUNCTION("GOOGLETRANSLATE(B24685,""en"",""fr"")"),"D'autres enfants glissent sur une autre diapositive dans le terrain de jeu.")</f>
        <v>D'autres enfants glissent sur une autre diapositive dans le terrain de jeu.</v>
      </c>
    </row>
    <row r="24686">
      <c r="A24686" s="4" t="s">
        <v>31066</v>
      </c>
      <c r="B24686" s="4" t="s">
        <v>31069</v>
      </c>
      <c r="C24686" s="5" t="str">
        <f>IFERROR(__xludf.DUMMYFUNCTION("GOOGLETRANSLATE(B24686,""en"",""fr"")"),"Un tout-petit grimpe dans un gymnase de la jungle, puis descendez le toboggan.")</f>
        <v>Un tout-petit grimpe dans un gymnase de la jungle, puis descendez le toboggan.</v>
      </c>
    </row>
    <row r="24687">
      <c r="A24687" s="4" t="s">
        <v>31070</v>
      </c>
      <c r="B24687" s="4" t="s">
        <v>31071</v>
      </c>
      <c r="C24687" s="5" t="str">
        <f>IFERROR(__xludf.DUMMYFUNCTION("GOOGLETRANSLATE(B24687,""en"",""fr"")"),"Un chien Shih Tzu se tient sur une table étant soignée par une femme asiatique âgée.")</f>
        <v>Un chien Shih Tzu se tient sur une table étant soignée par une femme asiatique âgée.</v>
      </c>
    </row>
    <row r="24688">
      <c r="A24688" s="4" t="s">
        <v>31070</v>
      </c>
      <c r="B24688" s="6" t="s">
        <v>31072</v>
      </c>
      <c r="C24688" s="5" t="str">
        <f>IFERROR(__xludf.DUMMYFUNCTION("GOOGLETRANSLATE(B24688,""en"",""fr"")"),"Une fois qu'elle a fini avec le haut, la dame la patte à gauche du chien gauche et prend une paire de ciseaux et commence à couper sous son corps.")</f>
        <v>Une fois qu'elle a fini avec le haut, la dame la patte à gauche du chien gauche et prend une paire de ciseaux et commence à couper sous son corps.</v>
      </c>
    </row>
    <row r="24689">
      <c r="A24689" s="4" t="s">
        <v>31070</v>
      </c>
      <c r="B24689" s="6" t="s">
        <v>31073</v>
      </c>
      <c r="C24689" s="5" t="str">
        <f>IFERROR(__xludf.DUMMYFUNCTION("GOOGLETRANSLATE(B24689,""en"",""fr"")"),"Une fois le ventre terminé, le haut de la tête des chiens et coupe les cheveux autour du visage et coupe le reste des cheveux derrière lui.")</f>
        <v>Une fois le ventre terminé, le haut de la tête des chiens et coupe les cheveux autour du visage et coupe le reste des cheveux derrière lui.</v>
      </c>
    </row>
    <row r="24690">
      <c r="A24690" s="4" t="s">
        <v>31070</v>
      </c>
      <c r="B24690" s="4" t="s">
        <v>31074</v>
      </c>
      <c r="C24690" s="5" t="str">
        <f>IFERROR(__xludf.DUMMYFUNCTION("GOOGLETRANSLATE(B24690,""en"",""fr"")"),"L'étape suivante consiste à couper les cheveux sous la bouche du chien.")</f>
        <v>L'étape suivante consiste à couper les cheveux sous la bouche du chien.</v>
      </c>
    </row>
    <row r="24691">
      <c r="A24691" s="4" t="s">
        <v>31075</v>
      </c>
      <c r="B24691" s="4" t="s">
        <v>31076</v>
      </c>
      <c r="C24691" s="5" t="str">
        <f>IFERROR(__xludf.DUMMYFUNCTION("GOOGLETRANSLATE(B24691,""en"",""fr"")"),"Un homme joue au football avec un autre dans un champ.")</f>
        <v>Un homme joue au football avec un autre dans un champ.</v>
      </c>
    </row>
    <row r="24692">
      <c r="A24692" s="4" t="s">
        <v>31075</v>
      </c>
      <c r="B24692" s="4" t="s">
        <v>31077</v>
      </c>
      <c r="C24692" s="5" t="str">
        <f>IFERROR(__xludf.DUMMYFUNCTION("GOOGLETRANSLATE(B24692,""en"",""fr"")"),"Il effectue un tour rapide avec l'autre suivant.")</f>
        <v>Il effectue un tour rapide avec l'autre suivant.</v>
      </c>
    </row>
    <row r="24693">
      <c r="A24693" s="4" t="s">
        <v>31075</v>
      </c>
      <c r="B24693" s="4" t="s">
        <v>31078</v>
      </c>
      <c r="C24693" s="5" t="str">
        <f>IFERROR(__xludf.DUMMYFUNCTION("GOOGLETRANSLATE(B24693,""en"",""fr"")"),"Le même clip est rejoué encore et encore à des vitesses plus lentes pour mieux comprendre l'astuce.")</f>
        <v>Le même clip est rejoué encore et encore à des vitesses plus lentes pour mieux comprendre l'astuce.</v>
      </c>
    </row>
    <row r="24694">
      <c r="A24694" s="4" t="s">
        <v>31075</v>
      </c>
      <c r="B24694" s="4" t="s">
        <v>31079</v>
      </c>
      <c r="C24694" s="5" t="str">
        <f>IFERROR(__xludf.DUMMYFUNCTION("GOOGLETRANSLATE(B24694,""en"",""fr"")"),"Une autre astuce est effectuée et illustrée plus tard au ralenti.")</f>
        <v>Une autre astuce est effectuée et illustrée plus tard au ralenti.</v>
      </c>
    </row>
    <row r="24695">
      <c r="A24695" s="4" t="s">
        <v>31075</v>
      </c>
      <c r="B24695" s="4" t="s">
        <v>31080</v>
      </c>
      <c r="C24695" s="5" t="str">
        <f>IFERROR(__xludf.DUMMYFUNCTION("GOOGLETRANSLATE(B24695,""en"",""fr"")"),"Deux autres astuces sont démontrées par le duo et ont finalement montré à un rythme ralenti.")</f>
        <v>Deux autres astuces sont démontrées par le duo et ont finalement montré à un rythme ralenti.</v>
      </c>
    </row>
    <row r="24696">
      <c r="A24696" s="4" t="s">
        <v>31081</v>
      </c>
      <c r="B24696" s="4" t="s">
        <v>31082</v>
      </c>
      <c r="C24696" s="5" t="str">
        <f>IFERROR(__xludf.DUMMYFUNCTION("GOOGLETRANSLATE(B24696,""en"",""fr"")"),"Une intro commence par le lecteur de musique et une lettre étrangère est présentée à travers l'écran.")</f>
        <v>Une intro commence par le lecteur de musique et une lettre étrangère est présentée à travers l'écran.</v>
      </c>
    </row>
    <row r="24697">
      <c r="A24697" s="4" t="s">
        <v>31081</v>
      </c>
      <c r="B24697" s="4" t="s">
        <v>31083</v>
      </c>
      <c r="C24697" s="5" t="str">
        <f>IFERROR(__xludf.DUMMYFUNCTION("GOOGLETRANSLATE(B24697,""en"",""fr"")"),"Un homme s'assoit devant un narguilé et commence à parler à la caméra.")</f>
        <v>Un homme s'assoit devant un narguilé et commence à parler à la caméra.</v>
      </c>
    </row>
    <row r="24698">
      <c r="A24698" s="4" t="s">
        <v>31081</v>
      </c>
      <c r="B24698" s="4" t="s">
        <v>31084</v>
      </c>
      <c r="C24698" s="5" t="str">
        <f>IFERROR(__xludf.DUMMYFUNCTION("GOOGLETRANSLATE(B24698,""en"",""fr"")"),"L'homme prend un peu le narguilé et tousse un peu.")</f>
        <v>L'homme prend un peu le narguilé et tousse un peu.</v>
      </c>
    </row>
    <row r="24699">
      <c r="A24699" s="4" t="s">
        <v>31081</v>
      </c>
      <c r="B24699" s="4" t="s">
        <v>31085</v>
      </c>
      <c r="C24699" s="5" t="str">
        <f>IFERROR(__xludf.DUMMYFUNCTION("GOOGLETRANSLATE(B24699,""en"",""fr"")"),"L'homme montre comment éviter la toux avec un narguilé en déplaçant le tabac sur le bol.")</f>
        <v>L'homme montre comment éviter la toux avec un narguilé en déplaçant le tabac sur le bol.</v>
      </c>
    </row>
    <row r="24700">
      <c r="A24700" s="4" t="s">
        <v>31081</v>
      </c>
      <c r="B24700" s="4" t="s">
        <v>31086</v>
      </c>
      <c r="C24700" s="5" t="str">
        <f>IFERROR(__xludf.DUMMYFUNCTION("GOOGLETRANSLATE(B24700,""en"",""fr"")"),"Il s'assoit et retire une autre bouffée du narguilé.")</f>
        <v>Il s'assoit et retire une autre bouffée du narguilé.</v>
      </c>
    </row>
    <row r="24701">
      <c r="A24701" s="4" t="s">
        <v>31081</v>
      </c>
      <c r="B24701" s="4" t="s">
        <v>31087</v>
      </c>
      <c r="C24701" s="5" t="str">
        <f>IFERROR(__xludf.DUMMYFUNCTION("GOOGLETRANSLATE(B24701,""en"",""fr"")"),"Il continue ensuite à retirer les bouffées de l'appareil et à parler de la façon d'obtenir des coups clairs.")</f>
        <v>Il continue ensuite à retirer les bouffées de l'appareil et à parler de la façon d'obtenir des coups clairs.</v>
      </c>
    </row>
    <row r="24702">
      <c r="A24702" s="4" t="s">
        <v>31088</v>
      </c>
      <c r="B24702" s="6" t="s">
        <v>31089</v>
      </c>
      <c r="C24702" s="5" t="str">
        <f>IFERROR(__xludf.DUMMYFUNCTION("GOOGLETRANSLATE(B24702,""en"",""fr"")"),"Le ministère des Transports montre des conseils de sécurité de glace et de neige avec une voiture blanche recouverte de neige.")</f>
        <v>Le ministère des Transports montre des conseils de sécurité de glace et de neige avec une voiture blanche recouverte de neige.</v>
      </c>
    </row>
    <row r="24703">
      <c r="A24703" s="4" t="s">
        <v>31088</v>
      </c>
      <c r="B24703" s="4" t="s">
        <v>31090</v>
      </c>
      <c r="C24703" s="5" t="str">
        <f>IFERROR(__xludf.DUMMYFUNCTION("GOOGLETRANSLATE(B24703,""en"",""fr"")"),"Une dame dans une veste d'hiver rouge place les clés dans l'allumage et commence la voiture.")</f>
        <v>Une dame dans une veste d'hiver rouge place les clés dans l'allumage et commence la voiture.</v>
      </c>
    </row>
    <row r="24704">
      <c r="A24704" s="4" t="s">
        <v>31088</v>
      </c>
      <c r="B24704" s="6" t="s">
        <v>31091</v>
      </c>
      <c r="C24704" s="5" t="str">
        <f>IFERROR(__xludf.DUMMYFUNCTION("GOOGLETRANSLATE(B24704,""en"",""fr"")"),"La dame dans la veste rouge ouvre le coffre de la voiture et élimine une brosse à neige et brosse la neige du carrosserie, des pare-brise, des phares, des grilles avant et une étiquette de licence.")</f>
        <v>La dame dans la veste rouge ouvre le coffre de la voiture et élimine une brosse à neige et brosse la neige du carrosserie, des pare-brise, des phares, des grilles avant et une étiquette de licence.</v>
      </c>
    </row>
    <row r="24705">
      <c r="A24705" s="4" t="s">
        <v>31092</v>
      </c>
      <c r="B24705" s="4" t="s">
        <v>31093</v>
      </c>
      <c r="C24705" s="5" t="str">
        <f>IFERROR(__xludf.DUMMYFUNCTION("GOOGLETRANSLATE(B24705,""en"",""fr"")"),"Un homme est sur le sol avec un gadget qui le regarde et le déconnecte.")</f>
        <v>Un homme est sur le sol avec un gadget qui le regarde et le déconnecte.</v>
      </c>
    </row>
    <row r="24706">
      <c r="A24706" s="4" t="s">
        <v>31092</v>
      </c>
      <c r="B24706" s="4" t="s">
        <v>31094</v>
      </c>
      <c r="C24706" s="5" t="str">
        <f>IFERROR(__xludf.DUMMYFUNCTION("GOOGLETRANSLATE(B24706,""en"",""fr"")"),"Il met un tuyau dans un SDE et commence à jouer avec un peu plus.")</f>
        <v>Il met un tuyau dans un SDE et commence à jouer avec un peu plus.</v>
      </c>
    </row>
    <row r="24707">
      <c r="A24707" s="4" t="s">
        <v>31092</v>
      </c>
      <c r="B24707" s="4" t="s">
        <v>31095</v>
      </c>
      <c r="C24707" s="5" t="str">
        <f>IFERROR(__xludf.DUMMYFUNCTION("GOOGLETRANSLATE(B24707,""en"",""fr"")"),"Il le déplace ensuite vers le carré du tapis et commence à y travailler.")</f>
        <v>Il le déplace ensuite vers le carré du tapis et commence à y travailler.</v>
      </c>
    </row>
    <row r="24708">
      <c r="A24708" s="4" t="s">
        <v>31092</v>
      </c>
      <c r="B24708" s="4" t="s">
        <v>31096</v>
      </c>
      <c r="C24708" s="5" t="str">
        <f>IFERROR(__xludf.DUMMYFUNCTION("GOOGLETRANSLATE(B24708,""en"",""fr"")"),"Il le déplace davantage et pousse le tapis vers le bas, il le fait à fondamentalement toute la pièce.")</f>
        <v>Il le déplace davantage et pousse le tapis vers le bas, il le fait à fondamentalement toute la pièce.</v>
      </c>
    </row>
    <row r="24709">
      <c r="A24709" s="4" t="s">
        <v>31097</v>
      </c>
      <c r="B24709" s="4" t="s">
        <v>31098</v>
      </c>
      <c r="C24709" s="5" t="str">
        <f>IFERROR(__xludf.DUMMYFUNCTION("GOOGLETRANSLATE(B24709,""en"",""fr"")"),"Une dame donne un coup de pied dans un champ.")</f>
        <v>Une dame donne un coup de pied dans un champ.</v>
      </c>
    </row>
    <row r="24710">
      <c r="A24710" s="4" t="s">
        <v>31097</v>
      </c>
      <c r="B24710" s="4" t="s">
        <v>31099</v>
      </c>
      <c r="C24710" s="5" t="str">
        <f>IFERROR(__xludf.DUMMYFUNCTION("GOOGLETRANSLATE(B24710,""en"",""fr"")"),"La dame prend le bébé.")</f>
        <v>La dame prend le bébé.</v>
      </c>
    </row>
    <row r="24711">
      <c r="A24711" s="4" t="s">
        <v>31097</v>
      </c>
      <c r="B24711" s="4" t="s">
        <v>31100</v>
      </c>
      <c r="C24711" s="5" t="str">
        <f>IFERROR(__xludf.DUMMYFUNCTION("GOOGLETRANSLATE(B24711,""en"",""fr"")"),"La dame traverse l'écran.")</f>
        <v>La dame traverse l'écran.</v>
      </c>
    </row>
    <row r="24712">
      <c r="A24712" s="4" t="s">
        <v>31097</v>
      </c>
      <c r="B24712" s="4" t="s">
        <v>31101</v>
      </c>
      <c r="C24712" s="5" t="str">
        <f>IFERROR(__xludf.DUMMYFUNCTION("GOOGLETRANSLATE(B24712,""en"",""fr"")"),"L'appareil photo se met à gauche et à droite pour montrer à la foule debout.")</f>
        <v>L'appareil photo se met à gauche et à droite pour montrer à la foule debout.</v>
      </c>
    </row>
    <row r="24713">
      <c r="A24713" s="4" t="s">
        <v>31102</v>
      </c>
      <c r="B24713" s="4" t="s">
        <v>31103</v>
      </c>
      <c r="C24713" s="5" t="str">
        <f>IFERROR(__xludf.DUMMYFUNCTION("GOOGLETRANSLATE(B24713,""en"",""fr"")"),"Un mur est peint par deux hommes.")</f>
        <v>Un mur est peint par deux hommes.</v>
      </c>
    </row>
    <row r="24714">
      <c r="A24714" s="4" t="s">
        <v>31102</v>
      </c>
      <c r="B24714" s="4" t="s">
        <v>31104</v>
      </c>
      <c r="C24714" s="5" t="str">
        <f>IFERROR(__xludf.DUMMYFUNCTION("GOOGLETRANSLATE(B24714,""en"",""fr"")"),"Ils raccrochent ensuite des décorations murales qui sont en apparence de papier peint.")</f>
        <v>Ils raccrochent ensuite des décorations murales qui sont en apparence de papier peint.</v>
      </c>
    </row>
    <row r="24715">
      <c r="A24715" s="4" t="s">
        <v>31105</v>
      </c>
      <c r="B24715" s="4" t="s">
        <v>31106</v>
      </c>
      <c r="C24715" s="5" t="str">
        <f>IFERROR(__xludf.DUMMYFUNCTION("GOOGLETRANSLATE(B24715,""en"",""fr"")"),"Un couple apparaît à l'écran, parlant de danser le tango.")</f>
        <v>Un couple apparaît à l'écran, parlant de danser le tango.</v>
      </c>
    </row>
    <row r="24716">
      <c r="A24716" s="4" t="s">
        <v>31105</v>
      </c>
      <c r="B24716" s="4" t="s">
        <v>31107</v>
      </c>
      <c r="C24716" s="5" t="str">
        <f>IFERROR(__xludf.DUMMYFUNCTION("GOOGLETRANSLATE(B24716,""en"",""fr"")"),"Ils commencent à montrer différentes étapes de la danse pendant qu'ils parlent.")</f>
        <v>Ils commencent à montrer différentes étapes de la danse pendant qu'ils parlent.</v>
      </c>
    </row>
    <row r="24717">
      <c r="A24717" s="4" t="s">
        <v>31105</v>
      </c>
      <c r="B24717" s="4" t="s">
        <v>31108</v>
      </c>
      <c r="C24717" s="5" t="str">
        <f>IFERROR(__xludf.DUMMYFUNCTION("GOOGLETRANSLATE(B24717,""en"",""fr"")"),"Ils avancent et d'avant en arrière, démontrant le tango.")</f>
        <v>Ils avancent et d'avant en arrière, démontrant le tango.</v>
      </c>
    </row>
    <row r="24718">
      <c r="A24718" s="4" t="s">
        <v>31105</v>
      </c>
      <c r="B24718" s="4" t="s">
        <v>31109</v>
      </c>
      <c r="C24718" s="5" t="str">
        <f>IFERROR(__xludf.DUMMYFUNCTION("GOOGLETRANSLATE(B24718,""en"",""fr"")"),"Ils dansent ensuite ensemble pour la caméra.")</f>
        <v>Ils dansent ensuite ensemble pour la caméra.</v>
      </c>
    </row>
    <row r="24719">
      <c r="A24719" s="4" t="s">
        <v>31110</v>
      </c>
      <c r="B24719" s="4" t="s">
        <v>31111</v>
      </c>
      <c r="C24719" s="5" t="str">
        <f>IFERROR(__xludf.DUMMYFUNCTION("GOOGLETRANSLATE(B24719,""en"",""fr"")"),"Les joueurs se tiennent sur la touche avant un match de volley-ball sur la plage.")</f>
        <v>Les joueurs se tiennent sur la touche avant un match de volley-ball sur la plage.</v>
      </c>
    </row>
    <row r="24720">
      <c r="A24720" s="4" t="s">
        <v>31110</v>
      </c>
      <c r="B24720" s="4" t="s">
        <v>31112</v>
      </c>
      <c r="C24720" s="5" t="str">
        <f>IFERROR(__xludf.DUMMYFUNCTION("GOOGLETRANSLATE(B24720,""en"",""fr"")"),"Les joueurs marchent sur le terrain et prennent des positions pour le match.")</f>
        <v>Les joueurs marchent sur le terrain et prennent des positions pour le match.</v>
      </c>
    </row>
    <row r="24721">
      <c r="A24721" s="4" t="s">
        <v>31110</v>
      </c>
      <c r="B24721" s="4" t="s">
        <v>31113</v>
      </c>
      <c r="C24721" s="5" t="str">
        <f>IFERROR(__xludf.DUMMYFUNCTION("GOOGLETRANSLATE(B24721,""en"",""fr"")"),"Les équipes jouent un jeu de plage de beach-volley.")</f>
        <v>Les équipes jouent un jeu de plage de beach-volley.</v>
      </c>
    </row>
    <row r="24722">
      <c r="A24722" s="4" t="s">
        <v>31110</v>
      </c>
      <c r="B24722" s="4" t="s">
        <v>31114</v>
      </c>
      <c r="C24722" s="5" t="str">
        <f>IFERROR(__xludf.DUMMYFUNCTION("GOOGLETRANSLATE(B24722,""en"",""fr"")"),"Les joueurs se serrent la main et se félicitent.")</f>
        <v>Les joueurs se serrent la main et se félicitent.</v>
      </c>
    </row>
    <row r="24723">
      <c r="A24723" s="4" t="s">
        <v>31115</v>
      </c>
      <c r="B24723" s="4" t="s">
        <v>31116</v>
      </c>
      <c r="C24723" s="5" t="str">
        <f>IFERROR(__xludf.DUMMYFUNCTION("GOOGLETRANSLATE(B24723,""en"",""fr"")"),"Un jeune homme parle tout en montrant un saxophone.")</f>
        <v>Un jeune homme parle tout en montrant un saxophone.</v>
      </c>
    </row>
    <row r="24724">
      <c r="A24724" s="4" t="s">
        <v>31115</v>
      </c>
      <c r="B24724" s="4" t="s">
        <v>31117</v>
      </c>
      <c r="C24724" s="5" t="str">
        <f>IFERROR(__xludf.DUMMYFUNCTION("GOOGLETRANSLATE(B24724,""en"",""fr"")"),"Le jeune homme pointe les clés du saxophone en parlant.")</f>
        <v>Le jeune homme pointe les clés du saxophone en parlant.</v>
      </c>
    </row>
    <row r="24725">
      <c r="A24725" s="4" t="s">
        <v>31115</v>
      </c>
      <c r="B24725" s="4" t="s">
        <v>31118</v>
      </c>
      <c r="C24725" s="5" t="str">
        <f>IFERROR(__xludf.DUMMYFUNCTION("GOOGLETRANSLATE(B24725,""en"",""fr"")"),"Ensuite, le jeune homme attache le saxophone avec un ruban bleu sur son cou.")</f>
        <v>Ensuite, le jeune homme attache le saxophone avec un ruban bleu sur son cou.</v>
      </c>
    </row>
    <row r="24726">
      <c r="A24726" s="4" t="s">
        <v>31115</v>
      </c>
      <c r="B24726" s="6" t="s">
        <v>31119</v>
      </c>
      <c r="C24726" s="5" t="str">
        <f>IFERROR(__xludf.DUMMYFUNCTION("GOOGLETRANSLATE(B24726,""en"",""fr"")"),"Après, le jeune homme met la bouche sur l'embout buccal du saxophone, puis il continue à expliquer.")</f>
        <v>Après, le jeune homme met la bouche sur l'embout buccal du saxophone, puis il continue à expliquer.</v>
      </c>
    </row>
    <row r="24727">
      <c r="A24727" s="4" t="s">
        <v>31120</v>
      </c>
      <c r="B24727" s="4" t="s">
        <v>31121</v>
      </c>
      <c r="C24727" s="5" t="str">
        <f>IFERROR(__xludf.DUMMYFUNCTION("GOOGLETRANSLATE(B24727,""en"",""fr"")"),"Un coiffeur explique comment couper une coupe de cheveux d'homme.")</f>
        <v>Un coiffeur explique comment couper une coupe de cheveux d'homme.</v>
      </c>
    </row>
    <row r="24728">
      <c r="A24728" s="4" t="s">
        <v>31120</v>
      </c>
      <c r="B24728" s="6" t="s">
        <v>31122</v>
      </c>
      <c r="C24728" s="5" t="str">
        <f>IFERROR(__xludf.DUMMYFUNCTION("GOOGLETRANSLATE(B24728,""en"",""fr"")"),"La coiffure Sylist prépare les cheveux en sections avec quelques clips et commence à couper les cheveux avec un rasoir en plumes et met un clip dans les cheveux sur la tête et procède à couper les cheveux avec des ciseaux faisant des couches.")</f>
        <v>La coiffure Sylist prépare les cheveux en sections avec quelques clips et commence à couper les cheveux avec un rasoir en plumes et met un clip dans les cheveux sur la tête et procède à couper les cheveux avec des ciseaux faisant des couches.</v>
      </c>
    </row>
    <row r="24729">
      <c r="A24729" s="4" t="s">
        <v>31120</v>
      </c>
      <c r="B24729" s="4" t="s">
        <v>31123</v>
      </c>
      <c r="C24729" s="5" t="str">
        <f>IFERROR(__xludf.DUMMYFUNCTION("GOOGLETRANSLATE(B24729,""en"",""fr"")"),"La coiffeuse utilise ensuite un séchoir de souffleur de cheveux pour rafraîchir les cheveux en utilisant ses doigts.")</f>
        <v>La coiffeuse utilise ensuite un séchoir de souffleur de cheveux pour rafraîchir les cheveux en utilisant ses doigts.</v>
      </c>
    </row>
    <row r="24730">
      <c r="A24730" s="4" t="s">
        <v>31120</v>
      </c>
      <c r="B24730" s="4" t="s">
        <v>31124</v>
      </c>
      <c r="C24730" s="5" t="str">
        <f>IFERROR(__xludf.DUMMYFUNCTION("GOOGLETRANSLATE(B24730,""en"",""fr"")"),"La coiffeuse utilise alors uniquement ses doigts pour rafraîchir les cheveux.")</f>
        <v>La coiffeuse utilise alors uniquement ses doigts pour rafraîchir les cheveux.</v>
      </c>
    </row>
    <row r="24731">
      <c r="A24731" s="4" t="s">
        <v>31120</v>
      </c>
      <c r="B24731" s="4" t="s">
        <v>31125</v>
      </c>
      <c r="C24731" s="5" t="str">
        <f>IFERROR(__xludf.DUMMYFUNCTION("GOOGLETRANSLATE(B24731,""en"",""fr"")"),"Un gros plan de Theman et la coupe finale et un gros plan du coiffeur.")</f>
        <v>Un gros plan de Theman et la coupe finale et un gros plan du coiffeur.</v>
      </c>
    </row>
    <row r="24732">
      <c r="A24732" s="4" t="s">
        <v>31126</v>
      </c>
      <c r="B24732" s="4" t="s">
        <v>31127</v>
      </c>
      <c r="C24732" s="5" t="str">
        <f>IFERROR(__xludf.DUMMYFUNCTION("GOOGLETRANSLATE(B24732,""en"",""fr"")"),"Une main borde la zone lâche du papier peint.")</f>
        <v>Une main borde la zone lâche du papier peint.</v>
      </c>
    </row>
    <row r="24733">
      <c r="A24733" s="4" t="s">
        <v>31126</v>
      </c>
      <c r="B24733" s="4" t="s">
        <v>31128</v>
      </c>
      <c r="C24733" s="5" t="str">
        <f>IFERROR(__xludf.DUMMYFUNCTION("GOOGLETRANSLATE(B24733,""en"",""fr"")"),"La main met la pâte d'un bol à l'arrière du papier peint lâche.")</f>
        <v>La main met la pâte d'un bol à l'arrière du papier peint lâche.</v>
      </c>
    </row>
    <row r="24734">
      <c r="A24734" s="4" t="s">
        <v>31126</v>
      </c>
      <c r="B24734" s="4" t="s">
        <v>31129</v>
      </c>
      <c r="C24734" s="5" t="str">
        <f>IFERROR(__xludf.DUMMYFUNCTION("GOOGLETRANSLATE(B24734,""en"",""fr"")"),"La main lance un gommage sur le papier peint lâche.")</f>
        <v>La main lance un gommage sur le papier peint lâche.</v>
      </c>
    </row>
    <row r="24735">
      <c r="A24735" s="4" t="s">
        <v>31126</v>
      </c>
      <c r="B24735" s="4" t="s">
        <v>31130</v>
      </c>
      <c r="C24735" s="5" t="str">
        <f>IFERROR(__xludf.DUMMYFUNCTION("GOOGLETRANSLATE(B24735,""en"",""fr"")"),"La main tient un sèche-linge et l'autre main roule un appareil pour réparer le papier peint lâche.")</f>
        <v>La main tient un sèche-linge et l'autre main roule un appareil pour réparer le papier peint lâche.</v>
      </c>
    </row>
    <row r="24736">
      <c r="A24736" s="4" t="s">
        <v>31126</v>
      </c>
      <c r="B24736" s="4" t="s">
        <v>31131</v>
      </c>
      <c r="C24736" s="5" t="str">
        <f>IFERROR(__xludf.DUMMYFUNCTION("GOOGLETRANSLATE(B24736,""en"",""fr"")"),"La main passe rapidement un gommage à travers le papier peint réparé.")</f>
        <v>La main passe rapidement un gommage à travers le papier peint réparé.</v>
      </c>
    </row>
    <row r="24737">
      <c r="A24737" s="4" t="s">
        <v>31132</v>
      </c>
      <c r="B24737" s="4" t="s">
        <v>31133</v>
      </c>
      <c r="C24737" s="5" t="str">
        <f>IFERROR(__xludf.DUMMYFUNCTION("GOOGLETRANSLATE(B24737,""en"",""fr"")"),"Une femme présente sa vidéo de décoration intérieure, debout à côté d'une chaise.")</f>
        <v>Une femme présente sa vidéo de décoration intérieure, debout à côté d'une chaise.</v>
      </c>
    </row>
    <row r="24738">
      <c r="A24738" s="4" t="s">
        <v>31132</v>
      </c>
      <c r="B24738" s="4" t="s">
        <v>31134</v>
      </c>
      <c r="C24738" s="5" t="str">
        <f>IFERROR(__xludf.DUMMYFUNCTION("GOOGLETRANSLATE(B24738,""en"",""fr"")"),"Elle frotte d'abord la saleté de la chaise avec une éponge.")</f>
        <v>Elle frotte d'abord la saleté de la chaise avec une éponge.</v>
      </c>
    </row>
    <row r="24739">
      <c r="A24739" s="4" t="s">
        <v>31132</v>
      </c>
      <c r="B24739" s="4" t="s">
        <v>31135</v>
      </c>
      <c r="C24739" s="5" t="str">
        <f>IFERROR(__xludf.DUMMYFUNCTION("GOOGLETRANSLATE(B24739,""en"",""fr"")"),"Ensuite, elle applique une peinture en argent sur la chaise.")</f>
        <v>Ensuite, elle applique une peinture en argent sur la chaise.</v>
      </c>
    </row>
    <row r="24740">
      <c r="A24740" s="4" t="s">
        <v>31132</v>
      </c>
      <c r="B24740" s="4" t="s">
        <v>31136</v>
      </c>
      <c r="C24740" s="5" t="str">
        <f>IFERROR(__xludf.DUMMYFUNCTION("GOOGLETRANSLATE(B24740,""en"",""fr"")"),"Elle plonge ensuite son pinceau dans une peinture bleue pour couvrir le siège, le dos, puis les bras / jambes de la chaise.")</f>
        <v>Elle plonge ensuite son pinceau dans une peinture bleue pour couvrir le siège, le dos, puis les bras / jambes de la chaise.</v>
      </c>
    </row>
    <row r="24741">
      <c r="A24741" s="4" t="s">
        <v>31132</v>
      </c>
      <c r="B24741" s="4" t="s">
        <v>31137</v>
      </c>
      <c r="C24741" s="5" t="str">
        <f>IFERROR(__xludf.DUMMYFUNCTION("GOOGLETRANSLATE(B24741,""en"",""fr"")"),"Enfin, elle place des pochoirs sur la chaise et peint l'intérieur blanc pour décorer.")</f>
        <v>Enfin, elle place des pochoirs sur la chaise et peint l'intérieur blanc pour décorer.</v>
      </c>
    </row>
    <row r="24742">
      <c r="A24742" s="4" t="s">
        <v>31138</v>
      </c>
      <c r="B24742" s="4" t="s">
        <v>31139</v>
      </c>
      <c r="C24742" s="5" t="str">
        <f>IFERROR(__xludf.DUMMYFUNCTION("GOOGLETRANSLATE(B24742,""en"",""fr"")"),"Les hommes sont assis dans une table Jack Black dans un casino et le concessionnaire diffuse les cartes aux joueurs.")</f>
        <v>Les hommes sont assis dans une table Jack Black dans un casino et le concessionnaire diffuse les cartes aux joueurs.</v>
      </c>
    </row>
    <row r="24743">
      <c r="A24743" s="4" t="s">
        <v>31138</v>
      </c>
      <c r="B24743" s="4" t="s">
        <v>31140</v>
      </c>
      <c r="C24743" s="5" t="str">
        <f>IFERROR(__xludf.DUMMYFUNCTION("GOOGLETRANSLATE(B24743,""en"",""fr"")"),"L'homme parle à la caméra.")</f>
        <v>L'homme parle à la caméra.</v>
      </c>
    </row>
    <row r="24744">
      <c r="A24744" s="4" t="s">
        <v>31138</v>
      </c>
      <c r="B24744" s="4" t="s">
        <v>31141</v>
      </c>
      <c r="C24744" s="5" t="str">
        <f>IFERROR(__xludf.DUMMYFUNCTION("GOOGLETRANSLATE(B24744,""en"",""fr"")"),"La concessionnaire parle devant la caméra.")</f>
        <v>La concessionnaire parle devant la caméra.</v>
      </c>
    </row>
    <row r="24745">
      <c r="A24745" s="4" t="s">
        <v>31138</v>
      </c>
      <c r="B24745" s="4" t="s">
        <v>31142</v>
      </c>
      <c r="C24745" s="5" t="str">
        <f>IFERROR(__xludf.DUMMYFUNCTION("GOOGLETRANSLATE(B24745,""en"",""fr"")"),"L'homme se tient devant la machine à sous en parlant à la caméra.")</f>
        <v>L'homme se tient devant la machine à sous en parlant à la caméra.</v>
      </c>
    </row>
    <row r="24746">
      <c r="A24746" s="4" t="s">
        <v>31143</v>
      </c>
      <c r="B24746" s="6" t="s">
        <v>31144</v>
      </c>
      <c r="C24746" s="5" t="str">
        <f>IFERROR(__xludf.DUMMYFUNCTION("GOOGLETRANSLATE(B24746,""en"",""fr"")"),"Divers outils et produits sont disposés sur une table et transitions en un homme marchant devant un miroir et mettant la lotion sur son visage.")</f>
        <v>Divers outils et produits sont disposés sur une table et transitions en un homme marchant devant un miroir et mettant la lotion sur son visage.</v>
      </c>
    </row>
    <row r="24747">
      <c r="A24747" s="4" t="s">
        <v>31143</v>
      </c>
      <c r="B24747" s="4" t="s">
        <v>31145</v>
      </c>
      <c r="C24747" s="5" t="str">
        <f>IFERROR(__xludf.DUMMYFUNCTION("GOOGLETRANSLATE(B24747,""en"",""fr"")"),"Il met ensuite de la crème sur son visage et se rasage tout autour de son visage.")</f>
        <v>Il met ensuite de la crème sur son visage et se rasage tout autour de son visage.</v>
      </c>
    </row>
    <row r="24748">
      <c r="A24748" s="4" t="s">
        <v>31143</v>
      </c>
      <c r="B24748" s="4" t="s">
        <v>31146</v>
      </c>
      <c r="C24748" s="5" t="str">
        <f>IFERROR(__xludf.DUMMYFUNCTION("GOOGLETRANSLATE(B24748,""en"",""fr"")"),"Il essuie ensuite le visage avec un chiffon et s'éloigne du miroir.")</f>
        <v>Il essuie ensuite le visage avec un chiffon et s'éloigne du miroir.</v>
      </c>
    </row>
    <row r="24749">
      <c r="A24749" s="4" t="s">
        <v>31147</v>
      </c>
      <c r="B24749" s="4" t="s">
        <v>31148</v>
      </c>
      <c r="C24749" s="5" t="str">
        <f>IFERROR(__xludf.DUMMYFUNCTION("GOOGLETRANSLATE(B24749,""en"",""fr"")"),"Un homme parle à la caméra devant les vélos.")</f>
        <v>Un homme parle à la caméra devant les vélos.</v>
      </c>
    </row>
    <row r="24750">
      <c r="A24750" s="4" t="s">
        <v>31147</v>
      </c>
      <c r="B24750" s="4" t="s">
        <v>31149</v>
      </c>
      <c r="C24750" s="5" t="str">
        <f>IFERROR(__xludf.DUMMYFUNCTION("GOOGLETRANSLATE(B24750,""en"",""fr"")"),"L'homme met une pièce sur un vélo sur travail.")</f>
        <v>L'homme met une pièce sur un vélo sur travail.</v>
      </c>
    </row>
    <row r="24751">
      <c r="A24751" s="4" t="s">
        <v>31147</v>
      </c>
      <c r="B24751" s="4" t="s">
        <v>31150</v>
      </c>
      <c r="C24751" s="5" t="str">
        <f>IFERROR(__xludf.DUMMYFUNCTION("GOOGLETRANSLATE(B24751,""en"",""fr"")"),"L'homme resserre la pièce sur le vélo.")</f>
        <v>L'homme resserre la pièce sur le vélo.</v>
      </c>
    </row>
    <row r="24752">
      <c r="A24752" s="4" t="s">
        <v>31151</v>
      </c>
      <c r="B24752" s="6" t="s">
        <v>31152</v>
      </c>
      <c r="C24752" s="5" t="str">
        <f>IFERROR(__xludf.DUMMYFUNCTION("GOOGLETRANSLATE(B24752,""en"",""fr"")"),"La foule est assise sur la chaise, les enfants et les jeunes sont assis à table avec une minuterie résolvant les cubes de Rubik, tandis qu'un homme avec une grosse barbe parle devant la caméra.")</f>
        <v>La foule est assise sur la chaise, les enfants et les jeunes sont assis à table avec une minuterie résolvant les cubes de Rubik, tandis qu'un homme avec une grosse barbe parle devant la caméra.</v>
      </c>
    </row>
    <row r="24753">
      <c r="A24753" s="4" t="s">
        <v>31151</v>
      </c>
      <c r="B24753" s="6" t="s">
        <v>31153</v>
      </c>
      <c r="C24753" s="5" t="str">
        <f>IFERROR(__xludf.DUMMYFUNCTION("GOOGLETRANSLATE(B24753,""en"",""fr"")"),"Les garçons résolvent le Rubik's Cube One est aveugle, on le résout d'une main, d'autres résolvent avec les deux mains.")</f>
        <v>Les garçons résolvent le Rubik's Cube One est aveugle, on le résout d'une main, d'autres résolvent avec les deux mains.</v>
      </c>
    </row>
    <row r="24754">
      <c r="A24754" s="4" t="s">
        <v>31154</v>
      </c>
      <c r="B24754" s="6" t="s">
        <v>31155</v>
      </c>
      <c r="C24754" s="5" t="str">
        <f>IFERROR(__xludf.DUMMYFUNCTION("GOOGLETRANSLATE(B24754,""en"",""fr"")"),"Les jetons noirs et jaunes glissent sur le sol tandis que les personnes tenant des bâtons organisent les jetons sur un triangle peint.")</f>
        <v>Les jetons noirs et jaunes glissent sur le sol tandis que les personnes tenant des bâtons organisent les jetons sur un triangle peint.</v>
      </c>
    </row>
    <row r="24755">
      <c r="A24755" s="4" t="s">
        <v>31154</v>
      </c>
      <c r="B24755" s="4" t="s">
        <v>31156</v>
      </c>
      <c r="C24755" s="5" t="str">
        <f>IFERROR(__xludf.DUMMYFUNCTION("GOOGLETRANSLATE(B24755,""en"",""fr"")"),"Les tout-petits marchent sur le trottoir et traversent la route en marchant sur les jetons.")</f>
        <v>Les tout-petits marchent sur le trottoir et traversent la route en marchant sur les jetons.</v>
      </c>
    </row>
    <row r="24756">
      <c r="A24756" s="4" t="s">
        <v>31157</v>
      </c>
      <c r="B24756" s="4" t="s">
        <v>31158</v>
      </c>
      <c r="C24756" s="5" t="str">
        <f>IFERROR(__xludf.DUMMYFUNCTION("GOOGLETRANSLATE(B24756,""en"",""fr"")"),"Une personne skie rapidement dans une colline couverte de neige.")</f>
        <v>Une personne skie rapidement dans une colline couverte de neige.</v>
      </c>
    </row>
    <row r="24757">
      <c r="A24757" s="4" t="s">
        <v>31157</v>
      </c>
      <c r="B24757" s="4" t="s">
        <v>31159</v>
      </c>
      <c r="C24757" s="5" t="str">
        <f>IFERROR(__xludf.DUMMYFUNCTION("GOOGLETRANSLATE(B24757,""en"",""fr"")"),"Les gens sont sur des intertubes, la luge le long de la neige.")</f>
        <v>Les gens sont sur des intertubes, la luge le long de la neige.</v>
      </c>
    </row>
    <row r="24758">
      <c r="A24758" s="4" t="s">
        <v>31160</v>
      </c>
      <c r="B24758" s="4" t="s">
        <v>31161</v>
      </c>
      <c r="C24758" s="5" t="str">
        <f>IFERROR(__xludf.DUMMYFUNCTION("GOOGLETRANSLATE(B24758,""en"",""fr"")"),"Deux équipes jouent à lancer des balles pour frapper un adversaire.")</f>
        <v>Deux équipes jouent à lancer des balles pour frapper un adversaire.</v>
      </c>
    </row>
    <row r="24759">
      <c r="A24759" s="4" t="s">
        <v>31160</v>
      </c>
      <c r="B24759" s="4" t="s">
        <v>31162</v>
      </c>
      <c r="C24759" s="5" t="str">
        <f>IFERROR(__xludf.DUMMYFUNCTION("GOOGLETRANSLATE(B24759,""en"",""fr"")"),"Deux garçons avancent au centre et lancent les balles, puis ils retournent chez lui.")</f>
        <v>Deux garçons avancent au centre et lancent les balles, puis ils retournent chez lui.</v>
      </c>
    </row>
    <row r="24760">
      <c r="A24760" s="4" t="s">
        <v>31160</v>
      </c>
      <c r="B24760" s="4" t="s">
        <v>31163</v>
      </c>
      <c r="C24760" s="5" t="str">
        <f>IFERROR(__xludf.DUMMYFUNCTION("GOOGLETRANSLATE(B24760,""en"",""fr"")"),"Après, l'autre équipe avance des balles et frappe un joueur portant un t-shirt violet.")</f>
        <v>Après, l'autre équipe avance des balles et frappe un joueur portant un t-shirt violet.</v>
      </c>
    </row>
    <row r="24761">
      <c r="A24761" s="4" t="s">
        <v>31160</v>
      </c>
      <c r="B24761" s="4" t="s">
        <v>31164</v>
      </c>
      <c r="C24761" s="5" t="str">
        <f>IFERROR(__xludf.DUMMYFUNCTION("GOOGLETRANSLATE(B24761,""en"",""fr"")"),"Ils continuent à jouer à tour de rôle pour frapper les balles.")</f>
        <v>Ils continuent à jouer à tour de rôle pour frapper les balles.</v>
      </c>
    </row>
    <row r="24762">
      <c r="A24762" s="4" t="s">
        <v>31160</v>
      </c>
      <c r="B24762" s="4" t="s">
        <v>31165</v>
      </c>
      <c r="C24762" s="5" t="str">
        <f>IFERROR(__xludf.DUMMYFUNCTION("GOOGLETRANSLATE(B24762,""en"",""fr"")"),"Les gens s'occupent des balles des joueurs, puis ils vont au centre pour frapper une autre équipe avec les balles.")</f>
        <v>Les gens s'occupent des balles des joueurs, puis ils vont au centre pour frapper une autre équipe avec les balles.</v>
      </c>
    </row>
    <row r="24763">
      <c r="A24763" s="4" t="s">
        <v>31166</v>
      </c>
      <c r="B24763" s="6" t="s">
        <v>31167</v>
      </c>
      <c r="C24763" s="5" t="str">
        <f>IFERROR(__xludf.DUMMYFUNCTION("GOOGLETRANSLATE(B24763,""en"",""fr"")"),"Une femme et un homme pratiquant un coup de pied dans un gymnase où d'autres personnes s'entraînent également, puis sa femme parle.")</f>
        <v>Une femme et un homme pratiquant un coup de pied dans un gymnase où d'autres personnes s'entraînent également, puis sa femme parle.</v>
      </c>
    </row>
    <row r="24764">
      <c r="A24764" s="4" t="s">
        <v>31166</v>
      </c>
      <c r="B24764" s="6" t="s">
        <v>31168</v>
      </c>
      <c r="C24764" s="5" t="str">
        <f>IFERROR(__xludf.DUMMYFUNCTION("GOOGLETRANSLATE(B24764,""en"",""fr"")"),"Des voitures courent dans une ville avec un soldat tenant une arme, une famille dans la rue, des gens qui marchent et une voiture s'assoient de la courbe.")</f>
        <v>Des voitures courent dans une ville avec un soldat tenant une arme, une famille dans la rue, des gens qui marchent et une voiture s'assoient de la courbe.</v>
      </c>
    </row>
    <row r="24765">
      <c r="A24765" s="4" t="s">
        <v>31166</v>
      </c>
      <c r="B24765" s="4" t="s">
        <v>31169</v>
      </c>
      <c r="C24765" s="5" t="str">
        <f>IFERROR(__xludf.DUMMYFUNCTION("GOOGLETRANSLATE(B24765,""en"",""fr"")"),"La femme parle d'une pièce, puis elle s'entraîne avec d'autres dans un gymnase, puis une dame du gymnase parle.")</f>
        <v>La femme parle d'une pièce, puis elle s'entraîne avec d'autres dans un gymnase, puis une dame du gymnase parle.</v>
      </c>
    </row>
    <row r="24766">
      <c r="A24766" s="4" t="s">
        <v>31166</v>
      </c>
      <c r="B24766" s="4" t="s">
        <v>31170</v>
      </c>
      <c r="C24766" s="5" t="str">
        <f>IFERROR(__xludf.DUMMYFUNCTION("GOOGLETRANSLATE(B24766,""en"",""fr"")"),"Aux terminaux, les trophées sont affichés.")</f>
        <v>Aux terminaux, les trophées sont affichés.</v>
      </c>
    </row>
    <row r="24767">
      <c r="A24767" s="4" t="s">
        <v>31171</v>
      </c>
      <c r="B24767" s="6" t="s">
        <v>31172</v>
      </c>
      <c r="C24767" s="5" t="str">
        <f>IFERROR(__xludf.DUMMYFUNCTION("GOOGLETRANSLATE(B24767,""en"",""fr"")"),"Un homme interprète des arts martiaux qui se battent avec des gens dans un film, puis une grande porte proche et une femme aide l'homme à se battre.")</f>
        <v>Un homme interprète des arts martiaux qui se battent avec des gens dans un film, puis une grande porte proche et une femme aide l'homme à se battre.</v>
      </c>
    </row>
    <row r="24768">
      <c r="A24768" s="4" t="s">
        <v>31171</v>
      </c>
      <c r="B24768" s="4" t="s">
        <v>31173</v>
      </c>
      <c r="C24768" s="5" t="str">
        <f>IFERROR(__xludf.DUMMYFUNCTION("GOOGLETRANSLATE(B24768,""en"",""fr"")"),"L'homme et la femme sont sur une rivière en combat, puis ont suspendu ses jambes à un arbre.")</f>
        <v>L'homme et la femme sont sur une rivière en combat, puis ont suspendu ses jambes à un arbre.</v>
      </c>
    </row>
    <row r="24769">
      <c r="A24769" s="4" t="s">
        <v>31171</v>
      </c>
      <c r="B24769" s="6" t="s">
        <v>31174</v>
      </c>
      <c r="C24769" s="5" t="str">
        <f>IFERROR(__xludf.DUMMYFUNCTION("GOOGLETRANSLATE(B24769,""en"",""fr"")"),"Les canons tirent une maison et un village, après un combat de l'armée dans un champ et des canons détruisent les maisons dans un village.")</f>
        <v>Les canons tirent une maison et un village, après un combat de l'armée dans un champ et des canons détruisent les maisons dans un village.</v>
      </c>
    </row>
    <row r="24770">
      <c r="A24770" s="4" t="s">
        <v>31171</v>
      </c>
      <c r="B24770" s="4" t="s">
        <v>31175</v>
      </c>
      <c r="C24770" s="5" t="str">
        <f>IFERROR(__xludf.DUMMYFUNCTION("GOOGLETRANSLATE(B24770,""en"",""fr"")"),"Un homme donne à l'homme une grosse pièce d'or, après que l'homme se bat avec les gens.")</f>
        <v>Un homme donne à l'homme une grosse pièce d'or, après que l'homme se bat avec les gens.</v>
      </c>
    </row>
    <row r="24771">
      <c r="A24771" s="4" t="s">
        <v>31176</v>
      </c>
      <c r="B24771" s="4" t="s">
        <v>27419</v>
      </c>
      <c r="C24771" s="5" t="str">
        <f>IFERROR(__xludf.DUMMYFUNCTION("GOOGLETRANSLATE(B24771,""en"",""fr"")"),"Une petite fille traverse les bars de singe.")</f>
        <v>Une petite fille traverse les bars de singe.</v>
      </c>
    </row>
    <row r="24772">
      <c r="A24772" s="4" t="s">
        <v>31176</v>
      </c>
      <c r="B24772" s="4" t="s">
        <v>31177</v>
      </c>
      <c r="C24772" s="5" t="str">
        <f>IFERROR(__xludf.DUMMYFUNCTION("GOOGLETRANSLATE(B24772,""en"",""fr"")"),"Elle balance sa jambe.")</f>
        <v>Elle balance sa jambe.</v>
      </c>
    </row>
    <row r="24773">
      <c r="A24773" s="4" t="s">
        <v>31176</v>
      </c>
      <c r="B24773" s="4" t="s">
        <v>31178</v>
      </c>
      <c r="C24773" s="5" t="str">
        <f>IFERROR(__xludf.DUMMYFUNCTION("GOOGLETRANSLATE(B24773,""en"",""fr"")"),"Elle tombe au sol.")</f>
        <v>Elle tombe au sol.</v>
      </c>
    </row>
    <row r="24774">
      <c r="A24774" s="4" t="s">
        <v>31179</v>
      </c>
      <c r="B24774" s="4" t="s">
        <v>31180</v>
      </c>
      <c r="C24774" s="5" t="str">
        <f>IFERROR(__xludf.DUMMYFUNCTION("GOOGLETRANSLATE(B24774,""en"",""fr"")"),"L'homme fait acrobatie des déplacements dans un tapis.")</f>
        <v>L'homme fait acrobatie des déplacements dans un tapis.</v>
      </c>
    </row>
    <row r="24775">
      <c r="A24775" s="4" t="s">
        <v>31179</v>
      </c>
      <c r="B24775" s="4" t="s">
        <v>31181</v>
      </c>
      <c r="C24775" s="5" t="str">
        <f>IFERROR(__xludf.DUMMYFUNCTION("GOOGLETRANSLATE(B24775,""en"",""fr"")"),"Un autre homme coule sur un tapis en arrière-plan.")</f>
        <v>Un autre homme coule sur un tapis en arrière-plan.</v>
      </c>
    </row>
    <row r="24776">
      <c r="A24776" s="4" t="s">
        <v>31179</v>
      </c>
      <c r="B24776" s="4" t="s">
        <v>31182</v>
      </c>
      <c r="C24776" s="5" t="str">
        <f>IFERROR(__xludf.DUMMYFUNCTION("GOOGLETRANSLATE(B24776,""en"",""fr"")"),"Plusieurs rediffusions de mouvements acrobatiques se produisent.")</f>
        <v>Plusieurs rediffusions de mouvements acrobatiques se produisent.</v>
      </c>
    </row>
    <row r="24777">
      <c r="A24777" s="4" t="s">
        <v>31179</v>
      </c>
      <c r="B24777" s="4" t="s">
        <v>31183</v>
      </c>
      <c r="C24777" s="5" t="str">
        <f>IFERROR(__xludf.DUMMYFUNCTION("GOOGLETRANSLATE(B24777,""en"",""fr"")"),"Le jeune homme court et embrasse ce qui semble être son entraîneur.")</f>
        <v>Le jeune homme court et embrasse ce qui semble être son entraîneur.</v>
      </c>
    </row>
    <row r="24778">
      <c r="A24778" s="4" t="s">
        <v>31179</v>
      </c>
      <c r="B24778" s="4" t="s">
        <v>31184</v>
      </c>
      <c r="C24778" s="5" t="str">
        <f>IFERROR(__xludf.DUMMYFUNCTION("GOOGLETRANSLATE(B24778,""en"",""fr"")"),"Un autre ensemble de rediffusions se produit.")</f>
        <v>Un autre ensemble de rediffusions se produit.</v>
      </c>
    </row>
    <row r="24779">
      <c r="A24779" s="4" t="s">
        <v>31179</v>
      </c>
      <c r="B24779" s="4" t="s">
        <v>31185</v>
      </c>
      <c r="C24779" s="5" t="str">
        <f>IFERROR(__xludf.DUMMYFUNCTION("GOOGLETRANSLATE(B24779,""en"",""fr"")"),"Les mots traversent l'écran dirigeant les gens vers les réseaux sociaux et les sites Web.")</f>
        <v>Les mots traversent l'écran dirigeant les gens vers les réseaux sociaux et les sites Web.</v>
      </c>
    </row>
    <row r="24780">
      <c r="A24780" s="4" t="s">
        <v>31186</v>
      </c>
      <c r="B24780" s="4" t="s">
        <v>31187</v>
      </c>
      <c r="C24780" s="5" t="str">
        <f>IFERROR(__xludf.DUMMYFUNCTION("GOOGLETRANSLATE(B24780,""en"",""fr"")"),"Un gros plan de nourriture est disposé sur la table et mène à un homme en train de sortir des bouffées d'un pipe de narguilé.")</f>
        <v>Un gros plan de nourriture est disposé sur la table et mène à un homme en train de sortir des bouffées d'un pipe de narguilé.</v>
      </c>
    </row>
    <row r="24781">
      <c r="A24781" s="4" t="s">
        <v>31186</v>
      </c>
      <c r="B24781" s="6" t="s">
        <v>31188</v>
      </c>
      <c r="C24781" s="5" t="str">
        <f>IFERROR(__xludf.DUMMYFUNCTION("GOOGLETRANSLATE(B24781,""en"",""fr"")"),"L'homme souffle des anneaux de fumée ainsi que de plusieurs autres boissons tout en parlant à la caméra et en se déplaçant à divers endroits de la maison.")</f>
        <v>L'homme souffle des anneaux de fumée ainsi que de plusieurs autres boissons tout en parlant à la caméra et en se déplaçant à divers endroits de la maison.</v>
      </c>
    </row>
    <row r="24782">
      <c r="A24782" s="4" t="s">
        <v>31189</v>
      </c>
      <c r="B24782" s="4" t="s">
        <v>31190</v>
      </c>
      <c r="C24782" s="5" t="str">
        <f>IFERROR(__xludf.DUMMYFUNCTION("GOOGLETRANSLATE(B24782,""en"",""fr"")"),"Un petit garçon roule en ligne dans une allée.")</f>
        <v>Un petit garçon roule en ligne dans une allée.</v>
      </c>
    </row>
    <row r="24783">
      <c r="A24783" s="4" t="s">
        <v>31189</v>
      </c>
      <c r="B24783" s="4" t="s">
        <v>31191</v>
      </c>
      <c r="C24783" s="5" t="str">
        <f>IFERROR(__xludf.DUMMYFUNCTION("GOOGLETRANSLATE(B24783,""en"",""fr"")"),"Il agite ses bras, essayant de garder son équilibre.")</f>
        <v>Il agite ses bras, essayant de garder son équilibre.</v>
      </c>
    </row>
    <row r="24784">
      <c r="A24784" s="4" t="s">
        <v>31189</v>
      </c>
      <c r="B24784" s="4" t="s">
        <v>31192</v>
      </c>
      <c r="C24784" s="5" t="str">
        <f>IFERROR(__xludf.DUMMYFUNCTION("GOOGLETRANSLATE(B24784,""en"",""fr"")"),"Il court, puis tombe sur les patins.")</f>
        <v>Il court, puis tombe sur les patins.</v>
      </c>
    </row>
    <row r="24785">
      <c r="A24785" s="4" t="s">
        <v>31193</v>
      </c>
      <c r="B24785" s="6" t="s">
        <v>31194</v>
      </c>
      <c r="C24785" s="5" t="str">
        <f>IFERROR(__xludf.DUMMYFUNCTION("GOOGLETRANSLATE(B24785,""en"",""fr"")"),"Deux sumos sont sur les côtés d'un anneau et le refuge est au milieu tandis que les gens sont dans des sables assis, ils les regardent.")</f>
        <v>Deux sumos sont sur les côtés d'un anneau et le refuge est au milieu tandis que les gens sont dans des sables assis, ils les regardent.</v>
      </c>
    </row>
    <row r="24786">
      <c r="A24786" s="4" t="s">
        <v>31193</v>
      </c>
      <c r="B24786" s="4" t="s">
        <v>31195</v>
      </c>
      <c r="C24786" s="5" t="str">
        <f>IFERROR(__xludf.DUMMYFUNCTION("GOOGLETRANSLATE(B24786,""en"",""fr"")"),"Sumo commence à lutter et est tombé sur le ring.")</f>
        <v>Sumo commence à lutter et est tombé sur le ring.</v>
      </c>
    </row>
    <row r="24787">
      <c r="A24787" s="4" t="s">
        <v>31196</v>
      </c>
      <c r="B24787" s="4" t="s">
        <v>31197</v>
      </c>
      <c r="C24787" s="5" t="str">
        <f>IFERROR(__xludf.DUMMYFUNCTION("GOOGLETRANSLATE(B24787,""en"",""fr"")"),"Un garçon aide son père à pousser une tondeuse.")</f>
        <v>Un garçon aide son père à pousser une tondeuse.</v>
      </c>
    </row>
    <row r="24788">
      <c r="A24788" s="4" t="s">
        <v>31196</v>
      </c>
      <c r="B24788" s="4" t="s">
        <v>31198</v>
      </c>
      <c r="C24788" s="5" t="str">
        <f>IFERROR(__xludf.DUMMYFUNCTION("GOOGLETRANSLATE(B24788,""en"",""fr"")"),"Ils reviennent à la caméra.")</f>
        <v>Ils reviennent à la caméra.</v>
      </c>
    </row>
    <row r="24789">
      <c r="A24789" s="4" t="s">
        <v>31196</v>
      </c>
      <c r="B24789" s="4" t="s">
        <v>31199</v>
      </c>
      <c r="C24789" s="5" t="str">
        <f>IFERROR(__xludf.DUMMYFUNCTION("GOOGLETRANSLATE(B24789,""en"",""fr"")"),"Une personne va debout près de la clôture.")</f>
        <v>Une personne va debout près de la clôture.</v>
      </c>
    </row>
    <row r="24790">
      <c r="A24790" s="4" t="s">
        <v>31200</v>
      </c>
      <c r="B24790" s="4" t="s">
        <v>31201</v>
      </c>
      <c r="C24790" s="5" t="str">
        <f>IFERROR(__xludf.DUMMYFUNCTION("GOOGLETRANSLATE(B24790,""en"",""fr"")"),"Une personne est vue en train de couper un morceau de carrelage de toit et de marteler le tuile pour un toit.")</f>
        <v>Une personne est vue en train de couper un morceau de carrelage de toit et de marteler le tuile pour un toit.</v>
      </c>
    </row>
    <row r="24791">
      <c r="A24791" s="4" t="s">
        <v>31200</v>
      </c>
      <c r="B24791" s="4" t="s">
        <v>31202</v>
      </c>
      <c r="C24791" s="5" t="str">
        <f>IFERROR(__xludf.DUMMYFUNCTION("GOOGLETRANSLATE(B24791,""en"",""fr"")"),"Il marche en marquant le tissu et en clouant une longue planche à travers.")</f>
        <v>Il marche en marquant le tissu et en clouant une longue planche à travers.</v>
      </c>
    </row>
    <row r="24792">
      <c r="A24792" s="4" t="s">
        <v>31203</v>
      </c>
      <c r="B24792" s="4" t="s">
        <v>31204</v>
      </c>
      <c r="C24792" s="5" t="str">
        <f>IFERROR(__xludf.DUMMYFUNCTION("GOOGLETRANSLATE(B24792,""en"",""fr"")"),"Un graphique est vu avec le titre de logo.")</f>
        <v>Un graphique est vu avec le titre de logo.</v>
      </c>
    </row>
    <row r="24793">
      <c r="A24793" s="4" t="s">
        <v>31203</v>
      </c>
      <c r="B24793" s="4" t="s">
        <v>31205</v>
      </c>
      <c r="C24793" s="5" t="str">
        <f>IFERROR(__xludf.DUMMYFUNCTION("GOOGLETRANSLATE(B24793,""en"",""fr"")"),"Une carte Google montre différents emplacements de la ville.")</f>
        <v>Une carte Google montre différents emplacements de la ville.</v>
      </c>
    </row>
    <row r="24794">
      <c r="A24794" s="4" t="s">
        <v>31203</v>
      </c>
      <c r="B24794" s="6" t="s">
        <v>31206</v>
      </c>
      <c r="C24794" s="5" t="str">
        <f>IFERROR(__xludf.DUMMYFUNCTION("GOOGLETRANSLATE(B24794,""en"",""fr"")"),"Les coéquipiers des combinaisons de sauts naviguent dans un cours d'obstacles en bois en bois visant des pistolets de paintball.")</f>
        <v>Les coéquipiers des combinaisons de sauts naviguent dans un cours d'obstacles en bois en bois visant des pistolets de paintball.</v>
      </c>
    </row>
    <row r="24795">
      <c r="A24795" s="4" t="s">
        <v>31203</v>
      </c>
      <c r="B24795" s="4" t="s">
        <v>31207</v>
      </c>
      <c r="C24795" s="5" t="str">
        <f>IFERROR(__xludf.DUMMYFUNCTION("GOOGLETRANSLATE(B24795,""en"",""fr"")"),"Les hommes reçoivent de l'équipement d'une boutique de location comprenant des vêtements et des armes.")</f>
        <v>Les hommes reçoivent de l'équipement d'une boutique de location comprenant des vêtements et des armes.</v>
      </c>
    </row>
    <row r="24796">
      <c r="A24796" s="4" t="s">
        <v>31203</v>
      </c>
      <c r="B24796" s="4" t="s">
        <v>31208</v>
      </c>
      <c r="C24796" s="5" t="str">
        <f>IFERROR(__xludf.DUMMYFUNCTION("GOOGLETRANSLATE(B24796,""en"",""fr"")"),"Les deux équipes marchent ensemble en entrant dans le parcours pour jouer.")</f>
        <v>Les deux équipes marchent ensemble en entrant dans le parcours pour jouer.</v>
      </c>
    </row>
    <row r="24797">
      <c r="A24797" s="4" t="s">
        <v>31203</v>
      </c>
      <c r="B24797" s="4" t="s">
        <v>31209</v>
      </c>
      <c r="C24797" s="5" t="str">
        <f>IFERROR(__xludf.DUMMYFUNCTION("GOOGLETRANSLATE(B24797,""en"",""fr"")"),"Les hommes remplissent leurs armes à feu de munitions.")</f>
        <v>Les hommes remplissent leurs armes à feu de munitions.</v>
      </c>
    </row>
    <row r="24798">
      <c r="A24798" s="4" t="s">
        <v>31203</v>
      </c>
      <c r="B24798" s="4" t="s">
        <v>31210</v>
      </c>
      <c r="C24798" s="5" t="str">
        <f>IFERROR(__xludf.DUMMYFUNCTION("GOOGLETRANSLATE(B24798,""en"",""fr"")"),"Les coéquipiers naviguent à travers un cours avec des obstacles gonflables visant des adversaires.")</f>
        <v>Les coéquipiers naviguent à travers un cours avec des obstacles gonflables visant des adversaires.</v>
      </c>
    </row>
    <row r="24799">
      <c r="A24799" s="4" t="s">
        <v>31203</v>
      </c>
      <c r="B24799" s="4" t="s">
        <v>31211</v>
      </c>
      <c r="C24799" s="5" t="str">
        <f>IFERROR(__xludf.DUMMYFUNCTION("GOOGLETRANSLATE(B24799,""en"",""fr"")"),"Un homme est frappé dans le masque facial pour mettre fin au jeu.")</f>
        <v>Un homme est frappé dans le masque facial pour mettre fin au jeu.</v>
      </c>
    </row>
    <row r="24800">
      <c r="A24800" s="4" t="s">
        <v>31212</v>
      </c>
      <c r="B24800" s="4" t="s">
        <v>31213</v>
      </c>
      <c r="C24800" s="5" t="str">
        <f>IFERROR(__xludf.DUMMYFUNCTION("GOOGLETRANSLATE(B24800,""en"",""fr"")"),"Un homme est assis en jouant à la batterie, avec une femme qui lui a demandé de se tenir à côté de lui.")</f>
        <v>Un homme est assis en jouant à la batterie, avec une femme qui lui a demandé de se tenir à côté de lui.</v>
      </c>
    </row>
    <row r="24801">
      <c r="A24801" s="4" t="s">
        <v>31212</v>
      </c>
      <c r="B24801" s="4" t="s">
        <v>31214</v>
      </c>
      <c r="C24801" s="5" t="str">
        <f>IFERROR(__xludf.DUMMYFUNCTION("GOOGLETRANSLATE(B24801,""en"",""fr"")"),"Il frappe les tambours d'avant en arrière pendant qu'ils parlent.")</f>
        <v>Il frappe les tambours d'avant en arrière pendant qu'ils parlent.</v>
      </c>
    </row>
    <row r="24802">
      <c r="A24802" s="4" t="s">
        <v>31212</v>
      </c>
      <c r="B24802" s="4" t="s">
        <v>31215</v>
      </c>
      <c r="C24802" s="5" t="str">
        <f>IFERROR(__xludf.DUMMYFUNCTION("GOOGLETRANSLATE(B24802,""en"",""fr"")"),"Il parle ensuite beaucoup sur la façon de jouer les congas.")</f>
        <v>Il parle ensuite beaucoup sur la façon de jouer les congas.</v>
      </c>
    </row>
    <row r="24803">
      <c r="A24803" s="4" t="s">
        <v>31212</v>
      </c>
      <c r="B24803" s="4" t="s">
        <v>31216</v>
      </c>
      <c r="C24803" s="5" t="str">
        <f>IFERROR(__xludf.DUMMYFUNCTION("GOOGLETRANSLATE(B24803,""en"",""fr"")"),"Il démontre en jouant davantage en parlant.")</f>
        <v>Il démontre en jouant davantage en parlant.</v>
      </c>
    </row>
    <row r="24804">
      <c r="A24804" s="4" t="s">
        <v>31217</v>
      </c>
      <c r="B24804" s="4" t="s">
        <v>31218</v>
      </c>
      <c r="C24804" s="5" t="str">
        <f>IFERROR(__xludf.DUMMYFUNCTION("GOOGLETRANSLATE(B24804,""en"",""fr"")"),"Une main est montrée sur une table avec différentes fournitures.")</f>
        <v>Une main est montrée sur une table avec différentes fournitures.</v>
      </c>
    </row>
    <row r="24805">
      <c r="A24805" s="4" t="s">
        <v>31217</v>
      </c>
      <c r="B24805" s="4" t="s">
        <v>31219</v>
      </c>
      <c r="C24805" s="5" t="str">
        <f>IFERROR(__xludf.DUMMYFUNCTION("GOOGLETRANSLATE(B24805,""en"",""fr"")"),"Un homme est vu en prenant toutes les parties d'un vélo d'une boîte.")</f>
        <v>Un homme est vu en prenant toutes les parties d'un vélo d'une boîte.</v>
      </c>
    </row>
    <row r="24806">
      <c r="A24806" s="4" t="s">
        <v>31217</v>
      </c>
      <c r="B24806" s="4" t="s">
        <v>31220</v>
      </c>
      <c r="C24806" s="5" t="str">
        <f>IFERROR(__xludf.DUMMYFUNCTION("GOOGLETRANSLATE(B24806,""en"",""fr"")"),"Il assemble le vélo dans la cour.")</f>
        <v>Il assemble le vélo dans la cour.</v>
      </c>
    </row>
    <row r="24807">
      <c r="A24807" s="4" t="s">
        <v>31221</v>
      </c>
      <c r="B24807" s="4" t="s">
        <v>31222</v>
      </c>
      <c r="C24807" s="5" t="str">
        <f>IFERROR(__xludf.DUMMYFUNCTION("GOOGLETRANSLATE(B24807,""en"",""fr"")"),"Un arbre est vu à côté d'une route.")</f>
        <v>Un arbre est vu à côté d'une route.</v>
      </c>
    </row>
    <row r="24808">
      <c r="A24808" s="4" t="s">
        <v>31221</v>
      </c>
      <c r="B24808" s="4" t="s">
        <v>31223</v>
      </c>
      <c r="C24808" s="5" t="str">
        <f>IFERROR(__xludf.DUMMYFUNCTION("GOOGLETRANSLATE(B24808,""en"",""fr"")"),"Un homme montre comment paillir au fond de l'arbre.")</f>
        <v>Un homme montre comment paillir au fond de l'arbre.</v>
      </c>
    </row>
    <row r="24809">
      <c r="A24809" s="4" t="s">
        <v>31221</v>
      </c>
      <c r="B24809" s="4" t="s">
        <v>31224</v>
      </c>
      <c r="C24809" s="5" t="str">
        <f>IFERROR(__xludf.DUMMYFUNCTION("GOOGLETRANSLATE(B24809,""en"",""fr"")"),"Il répand le paillis uniformément pendant qu'il donne des instructions.")</f>
        <v>Il répand le paillis uniformément pendant qu'il donne des instructions.</v>
      </c>
    </row>
    <row r="24810">
      <c r="A24810" s="4" t="s">
        <v>31225</v>
      </c>
      <c r="B24810" s="4" t="s">
        <v>31226</v>
      </c>
      <c r="C24810" s="5" t="str">
        <f>IFERROR(__xludf.DUMMYFUNCTION("GOOGLETRANSLATE(B24810,""en"",""fr"")"),"Une fille joue avec sa queue de poney tressée.")</f>
        <v>Une fille joue avec sa queue de poney tressée.</v>
      </c>
    </row>
    <row r="24811">
      <c r="A24811" s="4" t="s">
        <v>31225</v>
      </c>
      <c r="B24811" s="4" t="s">
        <v>31227</v>
      </c>
      <c r="C24811" s="5" t="str">
        <f>IFERROR(__xludf.DUMMYFUNCTION("GOOGLETRANSLATE(B24811,""en"",""fr"")"),"La fille tord ses cheveux ensemble en deux sections.")</f>
        <v>La fille tord ses cheveux ensemble en deux sections.</v>
      </c>
    </row>
    <row r="24812">
      <c r="A24812" s="4" t="s">
        <v>31225</v>
      </c>
      <c r="B24812" s="4" t="s">
        <v>31228</v>
      </c>
      <c r="C24812" s="5" t="str">
        <f>IFERROR(__xludf.DUMMYFUNCTION("GOOGLETRANSLATE(B24812,""en"",""fr"")"),"La fille traite l'extrémité des cheveux tordus.")</f>
        <v>La fille traite l'extrémité des cheveux tordus.</v>
      </c>
    </row>
    <row r="24813">
      <c r="A24813" s="4" t="s">
        <v>31225</v>
      </c>
      <c r="B24813" s="4" t="s">
        <v>31229</v>
      </c>
      <c r="C24813" s="5" t="str">
        <f>IFERROR(__xludf.DUMMYFUNCTION("GOOGLETRANSLATE(B24813,""en"",""fr"")"),"La fille sépare les tresses et les détache.")</f>
        <v>La fille sépare les tresses et les détache.</v>
      </c>
    </row>
    <row r="24814">
      <c r="A24814" s="4" t="s">
        <v>31225</v>
      </c>
      <c r="B24814" s="4" t="s">
        <v>31230</v>
      </c>
      <c r="C24814" s="5" t="str">
        <f>IFERROR(__xludf.DUMMYFUNCTION("GOOGLETRANSLATE(B24814,""en"",""fr"")"),"La fille tire les tresses dans ses cheveux pour les rendre plus moelleux.")</f>
        <v>La fille tire les tresses dans ses cheveux pour les rendre plus moelleux.</v>
      </c>
    </row>
    <row r="24815">
      <c r="A24815" s="4" t="s">
        <v>31225</v>
      </c>
      <c r="B24815" s="4" t="s">
        <v>31231</v>
      </c>
      <c r="C24815" s="5" t="str">
        <f>IFERROR(__xludf.DUMMYFUNCTION("GOOGLETRANSLATE(B24815,""en"",""fr"")"),"La fille utilise un fer plat sur ses cheveux.")</f>
        <v>La fille utilise un fer plat sur ses cheveux.</v>
      </c>
    </row>
    <row r="24816">
      <c r="A24816" s="4" t="s">
        <v>31225</v>
      </c>
      <c r="B24816" s="4" t="s">
        <v>31232</v>
      </c>
      <c r="C24816" s="5" t="str">
        <f>IFERROR(__xludf.DUMMYFUNCTION("GOOGLETRANSLATE(B24816,""en"",""fr"")"),"La fille tient deux chiens et danses.")</f>
        <v>La fille tient deux chiens et danses.</v>
      </c>
    </row>
    <row r="24817">
      <c r="A24817" s="4" t="s">
        <v>31233</v>
      </c>
      <c r="B24817" s="4" t="s">
        <v>31234</v>
      </c>
      <c r="C24817" s="5" t="str">
        <f>IFERROR(__xludf.DUMMYFUNCTION("GOOGLETRANSLATE(B24817,""en"",""fr"")"),"Un graphique texte est vu avec un titre et une description.")</f>
        <v>Un graphique texte est vu avec un titre et une description.</v>
      </c>
    </row>
    <row r="24818">
      <c r="A24818" s="4" t="s">
        <v>31233</v>
      </c>
      <c r="B24818" s="4" t="s">
        <v>31235</v>
      </c>
      <c r="C24818" s="5" t="str">
        <f>IFERROR(__xludf.DUMMYFUNCTION("GOOGLETRANSLATE(B24818,""en"",""fr"")"),"Un homme se tient sur un toit et perce des morceaux de bois vers le bas.")</f>
        <v>Un homme se tient sur un toit et perce des morceaux de bois vers le bas.</v>
      </c>
    </row>
    <row r="24819">
      <c r="A24819" s="4" t="s">
        <v>31233</v>
      </c>
      <c r="B24819" s="4" t="s">
        <v>31236</v>
      </c>
      <c r="C24819" s="5" t="str">
        <f>IFERROR(__xludf.DUMMYFUNCTION("GOOGLETRANSLATE(B24819,""en"",""fr"")"),"Les crédits sont visibles pour la vidéo avec un site Web.")</f>
        <v>Les crédits sont visibles pour la vidéo avec un site Web.</v>
      </c>
    </row>
    <row r="24820">
      <c r="A24820" s="4" t="s">
        <v>31237</v>
      </c>
      <c r="B24820" s="4" t="s">
        <v>31238</v>
      </c>
      <c r="C24820" s="5" t="str">
        <f>IFERROR(__xludf.DUMMYFUNCTION("GOOGLETRANSLATE(B24820,""en"",""fr"")"),"Un grand glacier de glace est montré dans l'eau.")</f>
        <v>Un grand glacier de glace est montré dans l'eau.</v>
      </c>
    </row>
    <row r="24821">
      <c r="A24821" s="4" t="s">
        <v>31237</v>
      </c>
      <c r="B24821" s="4" t="s">
        <v>31239</v>
      </c>
      <c r="C24821" s="5" t="str">
        <f>IFERROR(__xludf.DUMMYFUNCTION("GOOGLETRANSLATE(B24821,""en"",""fr"")"),"Un bateau tire une personne sur des skis derrière le bateau.")</f>
        <v>Un bateau tire une personne sur des skis derrière le bateau.</v>
      </c>
    </row>
    <row r="24822">
      <c r="A24822" s="4" t="s">
        <v>31237</v>
      </c>
      <c r="B24822" s="4" t="s">
        <v>31240</v>
      </c>
      <c r="C24822" s="5" t="str">
        <f>IFERROR(__xludf.DUMMYFUNCTION("GOOGLETRANSLATE(B24822,""en"",""fr"")"),"La personne flotte dans l'eau.")</f>
        <v>La personne flotte dans l'eau.</v>
      </c>
    </row>
    <row r="24823">
      <c r="A24823" s="4" t="s">
        <v>31241</v>
      </c>
      <c r="B24823" s="4" t="s">
        <v>31242</v>
      </c>
      <c r="C24823" s="5" t="str">
        <f>IFERROR(__xludf.DUMMYFUNCTION("GOOGLETRANSLATE(B24823,""en"",""fr"")"),"Un athlète tourne et lance un tir sur un large terrain de jeu d'un stade.")</f>
        <v>Un athlète tourne et lance un tir sur un large terrain de jeu d'un stade.</v>
      </c>
    </row>
    <row r="24824">
      <c r="A24824" s="4" t="s">
        <v>31241</v>
      </c>
      <c r="B24824" s="4" t="s">
        <v>31243</v>
      </c>
      <c r="C24824" s="5" t="str">
        <f>IFERROR(__xludf.DUMMYFUNCTION("GOOGLETRANSLATE(B24824,""en"",""fr"")"),"L'homme célèbre et donne un coup de pouce.")</f>
        <v>L'homme célèbre et donne un coup de pouce.</v>
      </c>
    </row>
    <row r="24825">
      <c r="A24825" s="4" t="s">
        <v>31241</v>
      </c>
      <c r="B24825" s="4" t="s">
        <v>31244</v>
      </c>
      <c r="C24825" s="5" t="str">
        <f>IFERROR(__xludf.DUMMYFUNCTION("GOOGLETRANSLATE(B24825,""en"",""fr"")"),"Un deuxième athlète en chemise grise lance un tir.")</f>
        <v>Un deuxième athlète en chemise grise lance un tir.</v>
      </c>
    </row>
    <row r="24826">
      <c r="A24826" s="4" t="s">
        <v>31241</v>
      </c>
      <c r="B24826" s="4" t="s">
        <v>31245</v>
      </c>
      <c r="C24826" s="5" t="str">
        <f>IFERROR(__xludf.DUMMYFUNCTION("GOOGLETRANSLATE(B24826,""en"",""fr"")"),"Le ballon atterrit dans l'herbe et l'homme est déçu du lancer et s'éloigne.")</f>
        <v>Le ballon atterrit dans l'herbe et l'homme est déçu du lancer et s'éloigne.</v>
      </c>
    </row>
    <row r="24827">
      <c r="A24827" s="4" t="s">
        <v>31241</v>
      </c>
      <c r="B24827" s="6" t="s">
        <v>31246</v>
      </c>
      <c r="C24827" s="5" t="str">
        <f>IFERROR(__xludf.DUMMYFUNCTION("GOOGLETRANSLATE(B24827,""en"",""fr"")"),"Un grand homme en chemise jaune et bandeau tourne et jette un coup de fer qui vire à gauche du champ.")</f>
        <v>Un grand homme en chemise jaune et bandeau tourne et jette un coup de fer qui vire à gauche du champ.</v>
      </c>
    </row>
    <row r="24828">
      <c r="A24828" s="4" t="s">
        <v>31241</v>
      </c>
      <c r="B24828" s="4" t="s">
        <v>31247</v>
      </c>
      <c r="C24828" s="5" t="str">
        <f>IFERROR(__xludf.DUMMYFUNCTION("GOOGLETRANSLATE(B24828,""en"",""fr"")"),"L'homme est satisfait de son tir et pompe son poing.")</f>
        <v>L'homme est satisfait de son tir et pompe son poing.</v>
      </c>
    </row>
    <row r="24829">
      <c r="A24829" s="4" t="s">
        <v>31241</v>
      </c>
      <c r="B24829" s="4" t="s">
        <v>31248</v>
      </c>
      <c r="C24829" s="5" t="str">
        <f>IFERROR(__xludf.DUMMYFUNCTION("GOOGLETRANSLATE(B24829,""en"",""fr"")"),"L'homme donne High Fives à ses coéquipiers.")</f>
        <v>L'homme donne High Fives à ses coéquipiers.</v>
      </c>
    </row>
    <row r="24830">
      <c r="A24830" s="4" t="s">
        <v>31241</v>
      </c>
      <c r="B24830" s="4" t="s">
        <v>31249</v>
      </c>
      <c r="C24830" s="5" t="str">
        <f>IFERROR(__xludf.DUMMYFUNCTION("GOOGLETRANSLATE(B24830,""en"",""fr"")"),"Une grille de balles est vue dans l'herbe derrière les scores du jeu.")</f>
        <v>Une grille de balles est vue dans l'herbe derrière les scores du jeu.</v>
      </c>
    </row>
    <row r="24831">
      <c r="A24831" s="4" t="s">
        <v>31241</v>
      </c>
      <c r="B24831" s="4" t="s">
        <v>31250</v>
      </c>
      <c r="C24831" s="5" t="str">
        <f>IFERROR(__xludf.DUMMYFUNCTION("GOOGLETRANSLATE(B24831,""en"",""fr"")"),"L'homme attend son score sur la piste parmi les autres athlètes en arrière-plan.")</f>
        <v>L'homme attend son score sur la piste parmi les autres athlètes en arrière-plan.</v>
      </c>
    </row>
    <row r="24832">
      <c r="A24832" s="4" t="s">
        <v>31251</v>
      </c>
      <c r="B24832" s="4" t="s">
        <v>31252</v>
      </c>
      <c r="C24832" s="5" t="str">
        <f>IFERROR(__xludf.DUMMYFUNCTION("GOOGLETRANSLATE(B24832,""en"",""fr"")"),"Les gens soignent et brossent des chiens dans un établissement public.")</f>
        <v>Les gens soignent et brossent des chiens dans un établissement public.</v>
      </c>
    </row>
    <row r="24833">
      <c r="A24833" s="4" t="s">
        <v>31251</v>
      </c>
      <c r="B24833" s="4" t="s">
        <v>31253</v>
      </c>
      <c r="C24833" s="5" t="str">
        <f>IFERROR(__xludf.DUMMYFUNCTION("GOOGLETRANSLATE(B24833,""en"",""fr"")"),"Les femmes prennent des soucis des chiens qui ont les cheveux longs.")</f>
        <v>Les femmes prennent des soucis des chiens qui ont les cheveux longs.</v>
      </c>
    </row>
    <row r="24834">
      <c r="A24834" s="4" t="s">
        <v>31251</v>
      </c>
      <c r="B24834" s="4" t="s">
        <v>31254</v>
      </c>
      <c r="C24834" s="5" t="str">
        <f>IFERROR(__xludf.DUMMYFUNCTION("GOOGLETRANSLATE(B24834,""en"",""fr"")"),"Une femme prend les soucis d'un caniche, tandis que d'autres femmes caressent un gros chien.")</f>
        <v>Une femme prend les soucis d'un caniche, tandis que d'autres femmes caressent un gros chien.</v>
      </c>
    </row>
    <row r="24835">
      <c r="A24835" s="4" t="s">
        <v>31251</v>
      </c>
      <c r="B24835" s="4" t="s">
        <v>31255</v>
      </c>
      <c r="C24835" s="5" t="str">
        <f>IFERROR(__xludf.DUMMYFUNCTION("GOOGLETRANSLATE(B24835,""en"",""fr"")"),"Une femme parle à l'avant un chien en caressant.")</f>
        <v>Une femme parle à l'avant un chien en caressant.</v>
      </c>
    </row>
    <row r="24836">
      <c r="A24836" s="4" t="s">
        <v>31256</v>
      </c>
      <c r="B24836" s="4" t="s">
        <v>31257</v>
      </c>
      <c r="C24836" s="5" t="str">
        <f>IFERROR(__xludf.DUMMYFUNCTION("GOOGLETRANSLATE(B24836,""en"",""fr"")"),"Un homme est montré interprétant une chanson dans les bureaux de Google à Londres.")</f>
        <v>Un homme est montré interprétant une chanson dans les bureaux de Google à Londres.</v>
      </c>
    </row>
    <row r="24837">
      <c r="A24837" s="4" t="s">
        <v>31256</v>
      </c>
      <c r="B24837" s="4" t="s">
        <v>31258</v>
      </c>
      <c r="C24837" s="5" t="str">
        <f>IFERROR(__xludf.DUMMYFUNCTION("GOOGLETRANSLATE(B24837,""en"",""fr"")"),"Ils se tiennent à l'intérieur d'un espace de bureau et jouent de la flûte.")</f>
        <v>Ils se tiennent à l'intérieur d'un espace de bureau et jouent de la flûte.</v>
      </c>
    </row>
    <row r="24838">
      <c r="A24838" s="4" t="s">
        <v>31256</v>
      </c>
      <c r="B24838" s="4" t="s">
        <v>31259</v>
      </c>
      <c r="C24838" s="5" t="str">
        <f>IFERROR(__xludf.DUMMYFUNCTION("GOOGLETRANSLATE(B24838,""en"",""fr"")"),"L'homme commence vraiment à y entrer et à applaudir très passionnément un peuple qui regarde.")</f>
        <v>L'homme commence vraiment à y entrer et à applaudir très passionnément un peuple qui regarde.</v>
      </c>
    </row>
    <row r="24839">
      <c r="A24839" s="4" t="s">
        <v>31256</v>
      </c>
      <c r="B24839" s="4" t="s">
        <v>31260</v>
      </c>
      <c r="C24839" s="5" t="str">
        <f>IFERROR(__xludf.DUMMYFUNCTION("GOOGLETRANSLATE(B24839,""en"",""fr"")"),"Un gros plan est montré qu'il jouait encore et encore.")</f>
        <v>Un gros plan est montré qu'il jouait encore et encore.</v>
      </c>
    </row>
    <row r="24840">
      <c r="A24840" s="4" t="s">
        <v>31256</v>
      </c>
      <c r="B24840" s="4" t="s">
        <v>31261</v>
      </c>
      <c r="C24840" s="5" t="str">
        <f>IFERROR(__xludf.DUMMYFUNCTION("GOOGLETRANSLATE(B24840,""en"",""fr"")"),"Il termine ensuite la chanson à une partie d'applaudissements et sort du cadre.")</f>
        <v>Il termine ensuite la chanson à une partie d'applaudissements et sort du cadre.</v>
      </c>
    </row>
    <row r="24841">
      <c r="A24841" s="4" t="s">
        <v>31262</v>
      </c>
      <c r="B24841" s="4" t="s">
        <v>31263</v>
      </c>
      <c r="C24841" s="5" t="str">
        <f>IFERROR(__xludf.DUMMYFUNCTION("GOOGLETRANSLATE(B24841,""en"",""fr"")"),"Un homme est vu à genoux sur le sol tout en tenant un fer à fer dans ses mains.")</f>
        <v>Un homme est vu à genoux sur le sol tout en tenant un fer à fer dans ses mains.</v>
      </c>
    </row>
    <row r="24842">
      <c r="A24842" s="4" t="s">
        <v>31262</v>
      </c>
      <c r="B24842" s="4" t="s">
        <v>31264</v>
      </c>
      <c r="C24842" s="5" t="str">
        <f>IFERROR(__xludf.DUMMYFUNCTION("GOOGLETRANSLATE(B24842,""en"",""fr"")"),"Il se penche avec le fer pour repasser la chemise et la pose.")</f>
        <v>Il se penche avec le fer pour repasser la chemise et la pose.</v>
      </c>
    </row>
    <row r="24843">
      <c r="A24843" s="4" t="s">
        <v>31262</v>
      </c>
      <c r="B24843" s="4" t="s">
        <v>31265</v>
      </c>
      <c r="C24843" s="5" t="str">
        <f>IFERROR(__xludf.DUMMYFUNCTION("GOOGLETRANSLATE(B24843,""en"",""fr"")"),"Ensuite, il couvre ses oreilles et détourne le regard de douleur.")</f>
        <v>Ensuite, il couvre ses oreilles et détourne le regard de douleur.</v>
      </c>
    </row>
    <row r="24844">
      <c r="A24844" s="4" t="s">
        <v>31266</v>
      </c>
      <c r="B24844" s="4" t="s">
        <v>31267</v>
      </c>
      <c r="C24844" s="5" t="str">
        <f>IFERROR(__xludf.DUMMYFUNCTION("GOOGLETRANSLATE(B24844,""en"",""fr"")"),"Un homme en chemise et chapeau blanc est assis.")</f>
        <v>Un homme en chemise et chapeau blanc est assis.</v>
      </c>
    </row>
    <row r="24845">
      <c r="A24845" s="4" t="s">
        <v>31266</v>
      </c>
      <c r="B24845" s="4" t="s">
        <v>31268</v>
      </c>
      <c r="C24845" s="5" t="str">
        <f>IFERROR(__xludf.DUMMYFUNCTION("GOOGLETRANSLATE(B24845,""en"",""fr"")"),"Il joue deux tambours devant lui.")</f>
        <v>Il joue deux tambours devant lui.</v>
      </c>
    </row>
    <row r="24846">
      <c r="A24846" s="4" t="s">
        <v>31266</v>
      </c>
      <c r="B24846" s="4" t="s">
        <v>31269</v>
      </c>
      <c r="C24846" s="5" t="str">
        <f>IFERROR(__xludf.DUMMYFUNCTION("GOOGLETRANSLATE(B24846,""en"",""fr"")"),"Il arrête de les jouer et s'assoit droit.")</f>
        <v>Il arrête de les jouer et s'assoit droit.</v>
      </c>
    </row>
    <row r="24847">
      <c r="A24847" s="4" t="s">
        <v>31270</v>
      </c>
      <c r="B24847" s="4" t="s">
        <v>31271</v>
      </c>
      <c r="C24847" s="5" t="str">
        <f>IFERROR(__xludf.DUMMYFUNCTION("GOOGLETRANSLATE(B24847,""en"",""fr"")"),"Un garçon sert une balle de tennis.")</f>
        <v>Un garçon sert une balle de tennis.</v>
      </c>
    </row>
    <row r="24848">
      <c r="A24848" s="4" t="s">
        <v>31270</v>
      </c>
      <c r="B24848" s="4" t="s">
        <v>31272</v>
      </c>
      <c r="C24848" s="5" t="str">
        <f>IFERROR(__xludf.DUMMYFUNCTION("GOOGLETRANSLATE(B24848,""en"",""fr"")"),"Il en sert ensuite deux autres.")</f>
        <v>Il en sert ensuite deux autres.</v>
      </c>
    </row>
    <row r="24849">
      <c r="A24849" s="4" t="s">
        <v>31270</v>
      </c>
      <c r="B24849" s="4" t="s">
        <v>31273</v>
      </c>
      <c r="C24849" s="5" t="str">
        <f>IFERROR(__xludf.DUMMYFUNCTION("GOOGLETRANSLATE(B24849,""en"",""fr"")"),"Le garçon se retourne et s'éloigne.")</f>
        <v>Le garçon se retourne et s'éloigne.</v>
      </c>
    </row>
    <row r="24850">
      <c r="A24850" s="4" t="s">
        <v>31274</v>
      </c>
      <c r="B24850" s="4" t="s">
        <v>31275</v>
      </c>
      <c r="C24850" s="5" t="str">
        <f>IFERROR(__xludf.DUMMYFUNCTION("GOOGLETRANSLATE(B24850,""en"",""fr"")"),"Un adolescent parle et tient une laisse de chien tandis qu'un jeune homme caresse un chien sur un canapé.")</f>
        <v>Un adolescent parle et tient une laisse de chien tandis qu'un jeune homme caresse un chien sur un canapé.</v>
      </c>
    </row>
    <row r="24851">
      <c r="A24851" s="4" t="s">
        <v>31274</v>
      </c>
      <c r="B24851" s="4" t="s">
        <v>31276</v>
      </c>
      <c r="C24851" s="5" t="str">
        <f>IFERROR(__xludf.DUMMYFUNCTION("GOOGLETRANSLATE(B24851,""en"",""fr"")"),"Ensuite, l'adolescent coule avec le chien était que d'autres jeunes jouaient Frisbee, après les discussions pour adolescents.")</f>
        <v>Ensuite, l'adolescent coule avec le chien était que d'autres jeunes jouaient Frisbee, après les discussions pour adolescents.</v>
      </c>
    </row>
    <row r="24852">
      <c r="A24852" s="4" t="s">
        <v>31274</v>
      </c>
      <c r="B24852" s="4" t="s">
        <v>31277</v>
      </c>
      <c r="C24852" s="5" t="str">
        <f>IFERROR(__xludf.DUMMYFUNCTION("GOOGLETRANSLATE(B24852,""en"",""fr"")"),"Une femme lit un livre penché sur une machine à soda de distributeur.")</f>
        <v>Une femme lit un livre penché sur une machine à soda de distributeur.</v>
      </c>
    </row>
    <row r="24853">
      <c r="A24853" s="4" t="s">
        <v>31274</v>
      </c>
      <c r="B24853" s="4" t="s">
        <v>31278</v>
      </c>
      <c r="C24853" s="5" t="str">
        <f>IFERROR(__xludf.DUMMYFUNCTION("GOOGLETRANSLATE(B24853,""en"",""fr"")"),"Un homme marche sur un chien dans un parking et la rue.")</f>
        <v>Un homme marche sur un chien dans un parking et la rue.</v>
      </c>
    </row>
    <row r="24854">
      <c r="A24854" s="4" t="s">
        <v>31274</v>
      </c>
      <c r="B24854" s="4" t="s">
        <v>31279</v>
      </c>
      <c r="C24854" s="5" t="str">
        <f>IFERROR(__xludf.DUMMYFUNCTION("GOOGLETRANSLATE(B24854,""en"",""fr"")"),"Après, l'adolescent et le jeune homme sont à l'intérieur.")</f>
        <v>Après, l'adolescent et le jeune homme sont à l'intérieur.</v>
      </c>
    </row>
    <row r="24855">
      <c r="A24855" s="4" t="s">
        <v>31280</v>
      </c>
      <c r="B24855" s="4" t="s">
        <v>31281</v>
      </c>
      <c r="C24855" s="5" t="str">
        <f>IFERROR(__xludf.DUMMYFUNCTION("GOOGLETRANSLATE(B24855,""en"",""fr"")"),"La vidéo commence par un jeu de curling projeté à partir des frais généraux.")</f>
        <v>La vidéo commence par un jeu de curling projeté à partir des frais généraux.</v>
      </c>
    </row>
    <row r="24856">
      <c r="A24856" s="4" t="s">
        <v>31280</v>
      </c>
      <c r="B24856" s="4" t="s">
        <v>31282</v>
      </c>
      <c r="C24856" s="5" t="str">
        <f>IFERROR(__xludf.DUMMYFUNCTION("GOOGLETRANSLATE(B24856,""en"",""fr"")"),"La caméra montre ensuite une dame patinant sur la glace.")</f>
        <v>La caméra montre ensuite une dame patinant sur la glace.</v>
      </c>
    </row>
    <row r="24857">
      <c r="A24857" s="4" t="s">
        <v>31280</v>
      </c>
      <c r="B24857" s="4" t="s">
        <v>31283</v>
      </c>
      <c r="C24857" s="5" t="str">
        <f>IFERROR(__xludf.DUMMYFUNCTION("GOOGLETRANSLATE(B24857,""en"",""fr"")"),"Ensuite, la caméra se concentre sur le jeu de curling montrant une dame sur le point de tirer.")</f>
        <v>Ensuite, la caméra se concentre sur le jeu de curling montrant une dame sur le point de tirer.</v>
      </c>
    </row>
    <row r="24858">
      <c r="A24858" s="4" t="s">
        <v>31280</v>
      </c>
      <c r="B24858" s="4" t="s">
        <v>31284</v>
      </c>
      <c r="C24858" s="5" t="str">
        <f>IFERROR(__xludf.DUMMYFUNCTION("GOOGLETRANSLATE(B24858,""en"",""fr"")"),"Ils reviennent à l'angle aérien du jeu pendant que la dame se prépare à tirer.")</f>
        <v>Ils reviennent à l'angle aérien du jeu pendant que la dame se prépare à tirer.</v>
      </c>
    </row>
    <row r="24859">
      <c r="A24859" s="4" t="s">
        <v>31280</v>
      </c>
      <c r="B24859" s="4" t="s">
        <v>31285</v>
      </c>
      <c r="C24859" s="5" t="str">
        <f>IFERROR(__xludf.DUMMYFUNCTION("GOOGLETRANSLATE(B24859,""en"",""fr"")"),"D'autres joueurs sont montrés en regardant avec prévision.")</f>
        <v>D'autres joueurs sont montrés en regardant avec prévision.</v>
      </c>
    </row>
    <row r="24860">
      <c r="A24860" s="4" t="s">
        <v>31280</v>
      </c>
      <c r="B24860" s="4" t="s">
        <v>31286</v>
      </c>
      <c r="C24860" s="5" t="str">
        <f>IFERROR(__xludf.DUMMYFUNCTION("GOOGLETRANSLATE(B24860,""en"",""fr"")"),"Le joueur fait le tir et la caméra suit.")</f>
        <v>Le joueur fait le tir et la caméra suit.</v>
      </c>
    </row>
    <row r="24861">
      <c r="A24861" s="4" t="s">
        <v>31280</v>
      </c>
      <c r="B24861" s="4" t="s">
        <v>31287</v>
      </c>
      <c r="C24861" s="5" t="str">
        <f>IFERROR(__xludf.DUMMYFUNCTION("GOOGLETRANSLATE(B24861,""en"",""fr"")"),"La foule applaudit et une rediffusion du tir est montrée.")</f>
        <v>La foule applaudit et une rediffusion du tir est montrée.</v>
      </c>
    </row>
    <row r="24862">
      <c r="A24862" s="4" t="s">
        <v>31288</v>
      </c>
      <c r="B24862" s="4" t="s">
        <v>31289</v>
      </c>
      <c r="C24862" s="5" t="str">
        <f>IFERROR(__xludf.DUMMYFUNCTION("GOOGLETRANSLATE(B24862,""en"",""fr"")"),"Une personne est seule à l'intérieur à l'intérieur.")</f>
        <v>Une personne est seule à l'intérieur à l'intérieur.</v>
      </c>
    </row>
    <row r="24863">
      <c r="A24863" s="4" t="s">
        <v>31288</v>
      </c>
      <c r="B24863" s="4" t="s">
        <v>31290</v>
      </c>
      <c r="C24863" s="5" t="str">
        <f>IFERROR(__xludf.DUMMYFUNCTION("GOOGLETRANSLATE(B24863,""en"",""fr"")"),"La personne est en zigzague avec sa planche sur une pente.")</f>
        <v>La personne est en zigzague avec sa planche sur une pente.</v>
      </c>
    </row>
    <row r="24864">
      <c r="A24864" s="4" t="s">
        <v>31288</v>
      </c>
      <c r="B24864" s="4" t="s">
        <v>31291</v>
      </c>
      <c r="C24864" s="5" t="str">
        <f>IFERROR(__xludf.DUMMYFUNCTION("GOOGLETRANSLATE(B24864,""en"",""fr"")"),"La personne se retourne au bout de la pente avec les bras étendus.")</f>
        <v>La personne se retourne au bout de la pente avec les bras étendus.</v>
      </c>
    </row>
    <row r="24865">
      <c r="A24865" s="4" t="s">
        <v>31292</v>
      </c>
      <c r="B24865" s="4" t="s">
        <v>31293</v>
      </c>
      <c r="C24865" s="5" t="str">
        <f>IFERROR(__xludf.DUMMYFUNCTION("GOOGLETRANSLATE(B24865,""en"",""fr"")"),"Un jeune homme est vu assis derrière un ensemble de tambours tenant des bâtons.")</f>
        <v>Un jeune homme est vu assis derrière un ensemble de tambours tenant des bâtons.</v>
      </c>
    </row>
    <row r="24866">
      <c r="A24866" s="4" t="s">
        <v>31292</v>
      </c>
      <c r="B24866" s="4" t="s">
        <v>31294</v>
      </c>
      <c r="C24866" s="5" t="str">
        <f>IFERROR(__xludf.DUMMYFUNCTION("GOOGLETRANSLATE(B24866,""en"",""fr"")"),"L'homme commence à jouer de la batterie en continu tandis que la caméra capture ses mouvements.")</f>
        <v>L'homme commence à jouer de la batterie en continu tandis que la caméra capture ses mouvements.</v>
      </c>
    </row>
    <row r="24867">
      <c r="A24867" s="4" t="s">
        <v>31292</v>
      </c>
      <c r="B24867" s="4" t="s">
        <v>31295</v>
      </c>
      <c r="C24867" s="5" t="str">
        <f>IFERROR(__xludf.DUMMYFUNCTION("GOOGLETRANSLATE(B24867,""en"",""fr"")"),"Il est toujours vu jouer de la batterie et se termine avec ses mains.")</f>
        <v>Il est toujours vu jouer de la batterie et se termine avec ses mains.</v>
      </c>
    </row>
    <row r="24868">
      <c r="A24868" s="4" t="s">
        <v>31296</v>
      </c>
      <c r="B24868" s="4" t="s">
        <v>31297</v>
      </c>
      <c r="C24868" s="5" t="str">
        <f>IFERROR(__xludf.DUMMYFUNCTION("GOOGLETRANSLATE(B24868,""en"",""fr"")"),"Un tout-petit frappe une piñata avec une batte pendant qu'il tourne.")</f>
        <v>Un tout-petit frappe une piñata avec une batte pendant qu'il tourne.</v>
      </c>
    </row>
    <row r="24869">
      <c r="A24869" s="4" t="s">
        <v>31296</v>
      </c>
      <c r="B24869" s="4" t="s">
        <v>31298</v>
      </c>
      <c r="C24869" s="5" t="str">
        <f>IFERROR(__xludf.DUMMYFUNCTION("GOOGLETRANSLATE(B24869,""en"",""fr"")"),"Une personne est près du garçon montrant un bras.")</f>
        <v>Une personne est près du garçon montrant un bras.</v>
      </c>
    </row>
    <row r="24870">
      <c r="A24870" s="4" t="s">
        <v>31299</v>
      </c>
      <c r="B24870" s="4" t="s">
        <v>31300</v>
      </c>
      <c r="C24870" s="5" t="str">
        <f>IFERROR(__xludf.DUMMYFUNCTION("GOOGLETRANSLATE(B24870,""en"",""fr"")"),"La scène indique l'écume de rivière avec un fond noir.")</f>
        <v>La scène indique l'écume de rivière avec un fond noir.</v>
      </c>
    </row>
    <row r="24871">
      <c r="A24871" s="4" t="s">
        <v>31299</v>
      </c>
      <c r="B24871" s="4" t="s">
        <v>31301</v>
      </c>
      <c r="C24871" s="5" t="str">
        <f>IFERROR(__xludf.DUMMYFUNCTION("GOOGLETRANSLATE(B24871,""en"",""fr"")"),"Un kayak descend une rivière pendant qu'une personne pagaye.")</f>
        <v>Un kayak descend une rivière pendant qu'une personne pagaye.</v>
      </c>
    </row>
    <row r="24872">
      <c r="A24872" s="4" t="s">
        <v>31299</v>
      </c>
      <c r="B24872" s="4" t="s">
        <v>31302</v>
      </c>
      <c r="C24872" s="5" t="str">
        <f>IFERROR(__xludf.DUMMYFUNCTION("GOOGLETRANSLATE(B24872,""en"",""fr"")"),"Un écran est livré avec des mots.")</f>
        <v>Un écran est livré avec des mots.</v>
      </c>
    </row>
    <row r="24873">
      <c r="A24873" s="4" t="s">
        <v>31303</v>
      </c>
      <c r="B24873" s="6" t="s">
        <v>31304</v>
      </c>
      <c r="C24873" s="5" t="str">
        <f>IFERROR(__xludf.DUMMYFUNCTION("GOOGLETRANSLATE(B24873,""en"",""fr"")"),"Un petit groupe de personnes est vu assis dans un radeau avec des gros plans de leurs pieds et des pagaies sont montrées.")</f>
        <v>Un petit groupe de personnes est vu assis dans un radeau avec des gros plans de leurs pieds et des pagaies sont montrées.</v>
      </c>
    </row>
    <row r="24874">
      <c r="A24874" s="4" t="s">
        <v>31303</v>
      </c>
      <c r="B24874" s="4" t="s">
        <v>31305</v>
      </c>
      <c r="C24874" s="5" t="str">
        <f>IFERROR(__xludf.DUMMYFUNCTION("GOOGLETRANSLATE(B24874,""en"",""fr"")"),"Un homme parle du groupe et les mène en pagayant sur une rivière.")</f>
        <v>Un homme parle du groupe et les mène en pagayant sur une rivière.</v>
      </c>
    </row>
    <row r="24875">
      <c r="A24875" s="4" t="s">
        <v>31303</v>
      </c>
      <c r="B24875" s="6" t="s">
        <v>31306</v>
      </c>
      <c r="C24875" s="5" t="str">
        <f>IFERROR(__xludf.DUMMYFUNCTION("GOOGLETRANSLATE(B24875,""en"",""fr"")"),"Le groupe continue de monter sur la rivière en montrant des gros plans de travail et se terminant par un logo sur l'écran.")</f>
        <v>Le groupe continue de monter sur la rivière en montrant des gros plans de travail et se terminant par un logo sur l'écran.</v>
      </c>
    </row>
    <row r="24876">
      <c r="A24876" s="4" t="s">
        <v>31307</v>
      </c>
      <c r="B24876" s="4" t="s">
        <v>31308</v>
      </c>
      <c r="C24876" s="5" t="str">
        <f>IFERROR(__xludf.DUMMYFUNCTION("GOOGLETRANSLATE(B24876,""en"",""fr"")"),"Un taureau noir est nargué d'un mannequin accroché à une corde alors que le taureau se précipite sur le mannequin.")</f>
        <v>Un taureau noir est nargué d'un mannequin accroché à une corde alors que le taureau se précipite sur le mannequin.</v>
      </c>
    </row>
    <row r="24877">
      <c r="A24877" s="4" t="s">
        <v>31307</v>
      </c>
      <c r="B24877" s="6" t="s">
        <v>31309</v>
      </c>
      <c r="C24877" s="5" t="str">
        <f>IFERROR(__xludf.DUMMYFUNCTION("GOOGLETRANSLATE(B24877,""en"",""fr"")"),"Un homme avec un parapluie vert et blanc nargue un taureau noir sur une corde tandis que les spectateurs narguent également le taureau du côté sur un mur.")</f>
        <v>Un homme avec un parapluie vert et blanc nargue un taureau noir sur une corde tandis que les spectateurs narguent également le taureau du côté sur un mur.</v>
      </c>
    </row>
    <row r="24878">
      <c r="A24878" s="4" t="s">
        <v>31307</v>
      </c>
      <c r="B24878" s="6" t="s">
        <v>31310</v>
      </c>
      <c r="C24878" s="5" t="str">
        <f>IFERROR(__xludf.DUMMYFUNCTION("GOOGLETRANSLATE(B24878,""en"",""fr"")"),"Le taureau noir se précipite sur un autre mannequin et le mannequin se fait prendre sur le klaxon des Bulls alors que le taureau s'enfuit après d'autres cibles de railleries.")</f>
        <v>Le taureau noir se précipite sur un autre mannequin et le mannequin se fait prendre sur le klaxon des Bulls alors que le taureau s'enfuit après d'autres cibles de railleries.</v>
      </c>
    </row>
    <row r="24879">
      <c r="A24879" s="4" t="s">
        <v>31311</v>
      </c>
      <c r="B24879" s="4" t="s">
        <v>31312</v>
      </c>
      <c r="C24879" s="5" t="str">
        <f>IFERROR(__xludf.DUMMYFUNCTION("GOOGLETRANSLATE(B24879,""en"",""fr"")"),"Un homme tient une hache dans la forêt.")</f>
        <v>Un homme tient une hache dans la forêt.</v>
      </c>
    </row>
    <row r="24880">
      <c r="A24880" s="4" t="s">
        <v>31311</v>
      </c>
      <c r="B24880" s="4" t="s">
        <v>31313</v>
      </c>
      <c r="C24880" s="5" t="str">
        <f>IFERROR(__xludf.DUMMYFUNCTION("GOOGLETRANSLATE(B24880,""en"",""fr"")"),"Il parle et adapte un grand moignon.")</f>
        <v>Il parle et adapte un grand moignon.</v>
      </c>
    </row>
    <row r="24881">
      <c r="A24881" s="4" t="s">
        <v>31311</v>
      </c>
      <c r="B24881" s="4" t="s">
        <v>31314</v>
      </c>
      <c r="C24881" s="5" t="str">
        <f>IFERROR(__xludf.DUMMYFUNCTION("GOOGLETRANSLATE(B24881,""en"",""fr"")"),"Il utilise la hache pour diviser le bois.")</f>
        <v>Il utilise la hache pour diviser le bois.</v>
      </c>
    </row>
    <row r="24882">
      <c r="A24882" s="4" t="s">
        <v>31315</v>
      </c>
      <c r="B24882" s="4" t="s">
        <v>31316</v>
      </c>
      <c r="C24882" s="5" t="str">
        <f>IFERROR(__xludf.DUMMYFUNCTION("GOOGLETRANSLATE(B24882,""en"",""fr"")"),"Nous voyons une dame rebondir sur une ligne lâche.")</f>
        <v>Nous voyons une dame rebondir sur une ligne lâche.</v>
      </c>
    </row>
    <row r="24883">
      <c r="A24883" s="4" t="s">
        <v>31315</v>
      </c>
      <c r="B24883" s="4" t="s">
        <v>31317</v>
      </c>
      <c r="C24883" s="5" t="str">
        <f>IFERROR(__xludf.DUMMYFUNCTION("GOOGLETRANSLATE(B24883,""en"",""fr"")"),"La dame s'assoit à genoux.")</f>
        <v>La dame s'assoit à genoux.</v>
      </c>
    </row>
    <row r="24884">
      <c r="A24884" s="4" t="s">
        <v>31315</v>
      </c>
      <c r="B24884" s="4" t="s">
        <v>31318</v>
      </c>
      <c r="C24884" s="5" t="str">
        <f>IFERROR(__xludf.DUMMYFUNCTION("GOOGLETRANSLATE(B24884,""en"",""fr"")"),"L'homme en arrière-plan ramasse la neige.")</f>
        <v>L'homme en arrière-plan ramasse la neige.</v>
      </c>
    </row>
    <row r="24885">
      <c r="A24885" s="4" t="s">
        <v>31315</v>
      </c>
      <c r="B24885" s="4" t="s">
        <v>31319</v>
      </c>
      <c r="C24885" s="5" t="str">
        <f>IFERROR(__xludf.DUMMYFUNCTION("GOOGLETRANSLATE(B24885,""en"",""fr"")"),"La Lady Falls de la ligne Slack.")</f>
        <v>La Lady Falls de la ligne Slack.</v>
      </c>
    </row>
    <row r="24886">
      <c r="A24886" s="4" t="s">
        <v>31315</v>
      </c>
      <c r="B24886" s="4" t="s">
        <v>31320</v>
      </c>
      <c r="C24886" s="5" t="str">
        <f>IFERROR(__xludf.DUMMYFUNCTION("GOOGLETRANSLATE(B24886,""en"",""fr"")"),"Nous voyons un homme rebondir sur la ligne Slack.")</f>
        <v>Nous voyons un homme rebondir sur la ligne Slack.</v>
      </c>
    </row>
    <row r="24887">
      <c r="A24887" s="4" t="s">
        <v>31315</v>
      </c>
      <c r="B24887" s="4" t="s">
        <v>31321</v>
      </c>
      <c r="C24887" s="5" t="str">
        <f>IFERROR(__xludf.DUMMYFUNCTION("GOOGLETRANSLATE(B24887,""en"",""fr"")"),"Nous retournons à la première dame rebondissant.")</f>
        <v>Nous retournons à la première dame rebondissant.</v>
      </c>
    </row>
    <row r="24888">
      <c r="A24888" s="4" t="s">
        <v>31315</v>
      </c>
      <c r="B24888" s="4" t="s">
        <v>31322</v>
      </c>
      <c r="C24888" s="5" t="str">
        <f>IFERROR(__xludf.DUMMYFUNCTION("GOOGLETRANSLATE(B24888,""en"",""fr"")"),"La dame saute de la ligne de mou et revient.")</f>
        <v>La dame saute de la ligne de mou et revient.</v>
      </c>
    </row>
    <row r="24889">
      <c r="A24889" s="4" t="s">
        <v>31315</v>
      </c>
      <c r="B24889" s="4" t="s">
        <v>31323</v>
      </c>
      <c r="C24889" s="5" t="str">
        <f>IFERROR(__xludf.DUMMYFUNCTION("GOOGLETRANSLATE(B24889,""en"",""fr"")"),"La dame tourne en rebondissant.")</f>
        <v>La dame tourne en rebondissant.</v>
      </c>
    </row>
    <row r="24890">
      <c r="A24890" s="4" t="s">
        <v>31315</v>
      </c>
      <c r="B24890" s="4" t="s">
        <v>31324</v>
      </c>
      <c r="C24890" s="5" t="str">
        <f>IFERROR(__xludf.DUMMYFUNCTION("GOOGLETRANSLATE(B24890,""en"",""fr"")"),"La dame saute alors est de retour.")</f>
        <v>La dame saute alors est de retour.</v>
      </c>
    </row>
    <row r="24891">
      <c r="A24891" s="4" t="s">
        <v>31325</v>
      </c>
      <c r="B24891" s="4" t="s">
        <v>31326</v>
      </c>
      <c r="C24891" s="5" t="str">
        <f>IFERROR(__xludf.DUMMYFUNCTION("GOOGLETRANSLATE(B24891,""en"",""fr"")"),"Un groupe d'hommes est assis à l'extérieur en jouant des instruments ensemble.")</f>
        <v>Un groupe d'hommes est assis à l'extérieur en jouant des instruments ensemble.</v>
      </c>
    </row>
    <row r="24892">
      <c r="A24892" s="4" t="s">
        <v>31325</v>
      </c>
      <c r="B24892" s="6" t="s">
        <v>31327</v>
      </c>
      <c r="C24892" s="5" t="str">
        <f>IFERROR(__xludf.DUMMYFUNCTION("GOOGLETRANSLATE(B24892,""en"",""fr"")"),"L'un des hommes remet un autre un bâton fait en flûte et il s'assoit et commence à commencer à jouer dessus.")</f>
        <v>L'un des hommes remet un autre un bâton fait en flûte et il s'assoit et commence à commencer à jouer dessus.</v>
      </c>
    </row>
    <row r="24893">
      <c r="A24893" s="4" t="s">
        <v>31325</v>
      </c>
      <c r="B24893" s="4" t="s">
        <v>31328</v>
      </c>
      <c r="C24893" s="5" t="str">
        <f>IFERROR(__xludf.DUMMYFUNCTION("GOOGLETRANSLATE(B24893,""en"",""fr"")"),"L'homme commence à jouer du saxophone avec lui.")</f>
        <v>L'homme commence à jouer du saxophone avec lui.</v>
      </c>
    </row>
    <row r="24894">
      <c r="A24894" s="4" t="s">
        <v>31325</v>
      </c>
      <c r="B24894" s="4" t="s">
        <v>31329</v>
      </c>
      <c r="C24894" s="5" t="str">
        <f>IFERROR(__xludf.DUMMYFUNCTION("GOOGLETRANSLATE(B24894,""en"",""fr"")"),"Les autres hommes se joignent tous et ils font tous de la musique ensemble, passant un bon moment.")</f>
        <v>Les autres hommes se joignent tous et ils font tous de la musique ensemble, passant un bon moment.</v>
      </c>
    </row>
    <row r="24895">
      <c r="A24895" s="4" t="s">
        <v>31330</v>
      </c>
      <c r="B24895" s="4" t="s">
        <v>31331</v>
      </c>
      <c r="C24895" s="5" t="str">
        <f>IFERROR(__xludf.DUMMYFUNCTION("GOOGLETRANSLATE(B24895,""en"",""fr"")"),"Une personne monte un cheval dans un champ donnant un coup de pied avec un bâton incurvé.")</f>
        <v>Une personne monte un cheval dans un champ donnant un coup de pied avec un bâton incurvé.</v>
      </c>
    </row>
    <row r="24896">
      <c r="A24896" s="4" t="s">
        <v>31330</v>
      </c>
      <c r="B24896" s="4" t="s">
        <v>31332</v>
      </c>
      <c r="C24896" s="5" t="str">
        <f>IFERROR(__xludf.DUMMYFUNCTION("GOOGLETRANSLATE(B24896,""en"",""fr"")"),"Les gens jouent au polo sur le terrain en chevauchant des chevaux.")</f>
        <v>Les gens jouent au polo sur le terrain en chevauchant des chevaux.</v>
      </c>
    </row>
    <row r="24897">
      <c r="A24897" s="4" t="s">
        <v>31330</v>
      </c>
      <c r="B24897" s="4" t="s">
        <v>31333</v>
      </c>
      <c r="C24897" s="5" t="str">
        <f>IFERROR(__xludf.DUMMYFUNCTION("GOOGLETRANSLATE(B24897,""en"",""fr"")"),"L'homme avec le bâton incurvé court derrière les autres joueurs et conteste le ballon et les scores.")</f>
        <v>L'homme avec le bâton incurvé court derrière les autres joueurs et conteste le ballon et les scores.</v>
      </c>
    </row>
    <row r="24898">
      <c r="A24898" s="4" t="s">
        <v>31330</v>
      </c>
      <c r="B24898" s="4" t="s">
        <v>31334</v>
      </c>
      <c r="C24898" s="5" t="str">
        <f>IFERROR(__xludf.DUMMYFUNCTION("GOOGLETRANSLATE(B24898,""en"",""fr"")"),"Après, la personne court derrière un joueur avec un t-shirt bleu pour frapper le ballon et marquer.")</f>
        <v>Après, la personne court derrière un joueur avec un t-shirt bleu pour frapper le ballon et marquer.</v>
      </c>
    </row>
    <row r="24899">
      <c r="A24899" s="4" t="s">
        <v>31335</v>
      </c>
      <c r="B24899" s="4" t="s">
        <v>31336</v>
      </c>
      <c r="C24899" s="5" t="str">
        <f>IFERROR(__xludf.DUMMYFUNCTION("GOOGLETRANSLATE(B24899,""en"",""fr"")"),"Un homme est vu allongé sur le sol en tenant son ventre.")</f>
        <v>Un homme est vu allongé sur le sol en tenant son ventre.</v>
      </c>
    </row>
    <row r="24900">
      <c r="A24900" s="4" t="s">
        <v>31335</v>
      </c>
      <c r="B24900" s="4" t="s">
        <v>31337</v>
      </c>
      <c r="C24900" s="5" t="str">
        <f>IFERROR(__xludf.DUMMYFUNCTION("GOOGLETRANSLATE(B24900,""en"",""fr"")"),"Il commence à se déplacer de haut en bas sur le sol tout en tenant sa taille.")</f>
        <v>Il commence à se déplacer de haut en bas sur le sol tout en tenant sa taille.</v>
      </c>
    </row>
    <row r="24901">
      <c r="A24901" s="4" t="s">
        <v>31335</v>
      </c>
      <c r="B24901" s="4" t="s">
        <v>31338</v>
      </c>
      <c r="C24901" s="5" t="str">
        <f>IFERROR(__xludf.DUMMYFUNCTION("GOOGLETRANSLATE(B24901,""en"",""fr"")"),"Il continue de se déplacer de haut en bas pendant que la caméra capture ses mouvements.")</f>
        <v>Il continue de se déplacer de haut en bas pendant que la caméra capture ses mouvements.</v>
      </c>
    </row>
    <row r="24902">
      <c r="A24902" s="4" t="s">
        <v>31339</v>
      </c>
      <c r="B24902" s="4" t="s">
        <v>31340</v>
      </c>
      <c r="C24902" s="5" t="str">
        <f>IFERROR(__xludf.DUMMYFUNCTION("GOOGLETRANSLATE(B24902,""en"",""fr"")"),"Un gros plan d'une personne tenant un sac est montré et suit avec la personne qui retire les articles.")</f>
        <v>Un gros plan d'une personne tenant un sac est montré et suit avec la personne qui retire les articles.</v>
      </c>
    </row>
    <row r="24903">
      <c r="A24903" s="4" t="s">
        <v>31339</v>
      </c>
      <c r="B24903" s="4" t="s">
        <v>31341</v>
      </c>
      <c r="C24903" s="5" t="str">
        <f>IFERROR(__xludf.DUMMYFUNCTION("GOOGLETRANSLATE(B24903,""en"",""fr"")"),"Il jette les articles et dirige une planche sur un ski.")</f>
        <v>Il jette les articles et dirige une planche sur un ski.</v>
      </c>
    </row>
    <row r="24904">
      <c r="A24904" s="4" t="s">
        <v>31339</v>
      </c>
      <c r="B24904" s="4" t="s">
        <v>31342</v>
      </c>
      <c r="C24904" s="5" t="str">
        <f>IFERROR(__xludf.DUMMYFUNCTION("GOOGLETRANSLATE(B24904,""en"",""fr"")"),"Il frotte enfin le ski à nouveau et place le capuchon sur le bar.")</f>
        <v>Il frotte enfin le ski à nouveau et place le capuchon sur le bar.</v>
      </c>
    </row>
    <row r="24905">
      <c r="A24905" s="4" t="s">
        <v>31343</v>
      </c>
      <c r="B24905" s="4" t="s">
        <v>31344</v>
      </c>
      <c r="C24905" s="5" t="str">
        <f>IFERROR(__xludf.DUMMYFUNCTION("GOOGLETRANSLATE(B24905,""en"",""fr"")"),"Un homme coupe une grande encoche dans un lox avec une hache.")</f>
        <v>Un homme coupe une grande encoche dans un lox avec une hache.</v>
      </c>
    </row>
    <row r="24906">
      <c r="A24906" s="4" t="s">
        <v>31343</v>
      </c>
      <c r="B24906" s="4" t="s">
        <v>31345</v>
      </c>
      <c r="C24906" s="5" t="str">
        <f>IFERROR(__xludf.DUMMYFUNCTION("GOOGLETRANSLATE(B24906,""en"",""fr"")"),"L'homme utilise sa main gantée pour brosser le bois éclaté de la bûche.")</f>
        <v>L'homme utilise sa main gantée pour brosser le bois éclaté de la bûche.</v>
      </c>
    </row>
    <row r="24907">
      <c r="A24907" s="4" t="s">
        <v>31346</v>
      </c>
      <c r="B24907" s="6" t="s">
        <v>31347</v>
      </c>
      <c r="C24907" s="5" t="str">
        <f>IFERROR(__xludf.DUMMYFUNCTION("GOOGLETRANSLATE(B24907,""en"",""fr"")"),"Une introduction mène à une femme effectuant plusieurs astuces différentes avec un chien et montrant du texte sur la façon d'effectuer l'astuce.")</f>
        <v>Une introduction mène à une femme effectuant plusieurs astuces différentes avec un chien et montrant du texte sur la façon d'effectuer l'astuce.</v>
      </c>
    </row>
    <row r="24908">
      <c r="A24908" s="4" t="s">
        <v>31346</v>
      </c>
      <c r="B24908" s="4" t="s">
        <v>31348</v>
      </c>
      <c r="C24908" s="5" t="str">
        <f>IFERROR(__xludf.DUMMYFUNCTION("GOOGLETRANSLATE(B24908,""en"",""fr"")"),"La femme continue de jouer des tours avec le chien et de se terminer en marchant vers la caméra.")</f>
        <v>La femme continue de jouer des tours avec le chien et de se terminer en marchant vers la caméra.</v>
      </c>
    </row>
    <row r="24909">
      <c r="A24909" s="4" t="s">
        <v>31349</v>
      </c>
      <c r="B24909" s="4" t="s">
        <v>31350</v>
      </c>
      <c r="C24909" s="5" t="str">
        <f>IFERROR(__xludf.DUMMYFUNCTION("GOOGLETRANSLATE(B24909,""en"",""fr"")"),"Un tas de joueurs et de tirs de billard sont montrés.")</f>
        <v>Un tas de joueurs et de tirs de billard sont montrés.</v>
      </c>
    </row>
    <row r="24910">
      <c r="A24910" s="4" t="s">
        <v>31349</v>
      </c>
      <c r="B24910" s="4" t="s">
        <v>31351</v>
      </c>
      <c r="C24910" s="5" t="str">
        <f>IFERROR(__xludf.DUMMYFUNCTION("GOOGLETRANSLATE(B24910,""en"",""fr"")"),"Les coups de feu sont des coups de truc dans la seconde moitié de la vidéo.")</f>
        <v>Les coups de feu sont des coups de truc dans la seconde moitié de la vidéo.</v>
      </c>
    </row>
    <row r="24911">
      <c r="A24911" s="4" t="s">
        <v>31352</v>
      </c>
      <c r="B24911" s="4" t="s">
        <v>31353</v>
      </c>
      <c r="C24911" s="5" t="str">
        <f>IFERROR(__xludf.DUMMYFUNCTION("GOOGLETRANSLATE(B24911,""en"",""fr"")"),"Les mots ""mon éteinte à cheval échoue"" apparaît.")</f>
        <v>Les mots "mon éteinte à cheval échoue" apparaît.</v>
      </c>
    </row>
    <row r="24912">
      <c r="A24912" s="4" t="s">
        <v>31352</v>
      </c>
      <c r="B24912" s="4" t="s">
        <v>31354</v>
      </c>
      <c r="C24912" s="5" t="str">
        <f>IFERROR(__xludf.DUMMYFUNCTION("GOOGLETRANSLATE(B24912,""en"",""fr"")"),"Une fille chevauchant un cheval blanc ne fait pas que son cheval fasse des sauts sur une piste.")</f>
        <v>Une fille chevauchant un cheval blanc ne fait pas que son cheval fasse des sauts sur une piste.</v>
      </c>
    </row>
    <row r="24913">
      <c r="A24913" s="4" t="s">
        <v>31352</v>
      </c>
      <c r="B24913" s="4" t="s">
        <v>31355</v>
      </c>
      <c r="C24913" s="5" t="str">
        <f>IFERROR(__xludf.DUMMYFUNCTION("GOOGLETRANSLATE(B24913,""en"",""fr"")"),"Une chanson joue sur la vidéo.")</f>
        <v>Une chanson joue sur la vidéo.</v>
      </c>
    </row>
    <row r="24914">
      <c r="A24914" s="4" t="s">
        <v>31356</v>
      </c>
      <c r="B24914" s="4" t="s">
        <v>31357</v>
      </c>
      <c r="C24914" s="5" t="str">
        <f>IFERROR(__xludf.DUMMYFUNCTION("GOOGLETRANSLATE(B24914,""en"",""fr"")"),"Un écran noir avec trois rangées d'écriture arabe est montré.")</f>
        <v>Un écran noir avec trois rangées d'écriture arabe est montré.</v>
      </c>
    </row>
    <row r="24915">
      <c r="A24915" s="4" t="s">
        <v>31356</v>
      </c>
      <c r="B24915" s="4" t="s">
        <v>31358</v>
      </c>
      <c r="C24915" s="5" t="str">
        <f>IFERROR(__xludf.DUMMYFUNCTION("GOOGLETRANSLATE(B24915,""en"",""fr"")"),"Une jeune fille entre ensuite dans la salle de bain et commence à se laver les mains.")</f>
        <v>Une jeune fille entre ensuite dans la salle de bain et commence à se laver les mains.</v>
      </c>
    </row>
    <row r="24916">
      <c r="A24916" s="4" t="s">
        <v>31356</v>
      </c>
      <c r="B24916" s="4" t="s">
        <v>31359</v>
      </c>
      <c r="C24916" s="5" t="str">
        <f>IFERROR(__xludf.DUMMYFUNCTION("GOOGLETRANSLATE(B24916,""en"",""fr"")"),"Alors qu'elle continue, elle commence à parler et à décrire le processus, puis plus d'écriture apparaît.")</f>
        <v>Alors qu'elle continue, elle commence à parler et à décrire le processus, puis plus d'écriture apparaît.</v>
      </c>
    </row>
    <row r="24917">
      <c r="A24917" s="4" t="s">
        <v>31360</v>
      </c>
      <c r="B24917" s="6" t="s">
        <v>31361</v>
      </c>
      <c r="C24917" s="5" t="str">
        <f>IFERROR(__xludf.DUMMYFUNCTION("GOOGLETRANSLATE(B24917,""en"",""fr"")"),"La caméra se reproduit pour montrer un hôtel avec des lanternes rouges en l'air et des corbeaux de personnes debout et en regardant par-dessus la plage.")</f>
        <v>La caméra se reproduit pour montrer un hôtel avec des lanternes rouges en l'air et des corbeaux de personnes debout et en regardant par-dessus la plage.</v>
      </c>
    </row>
    <row r="24918">
      <c r="A24918" s="4" t="s">
        <v>31360</v>
      </c>
      <c r="B24918" s="4" t="s">
        <v>31362</v>
      </c>
      <c r="C24918" s="5" t="str">
        <f>IFERROR(__xludf.DUMMYFUNCTION("GOOGLETRANSLATE(B24918,""en"",""fr"")"),"Un homme chevauche un Jetski devant une grande vague d'eau sale.")</f>
        <v>Un homme chevauche un Jetski devant une grande vague d'eau sale.</v>
      </c>
    </row>
    <row r="24919">
      <c r="A24919" s="4" t="s">
        <v>31360</v>
      </c>
      <c r="B24919" s="4" t="s">
        <v>31363</v>
      </c>
      <c r="C24919" s="5" t="str">
        <f>IFERROR(__xludf.DUMMYFUNCTION("GOOGLETRANSLATE(B24919,""en"",""fr"")"),"Un voilier est influencé par une grande vague.")</f>
        <v>Un voilier est influencé par une grande vague.</v>
      </c>
    </row>
    <row r="24920">
      <c r="A24920" s="4" t="s">
        <v>31360</v>
      </c>
      <c r="B24920" s="4" t="s">
        <v>31364</v>
      </c>
      <c r="C24920" s="5" t="str">
        <f>IFERROR(__xludf.DUMMYFUNCTION("GOOGLETRANSLATE(B24920,""en"",""fr"")"),"Une dame surfait sur une grande vague alors qu'un bateau monte à côté de son tournage.")</f>
        <v>Une dame surfait sur une grande vague alors qu'un bateau monte à côté de son tournage.</v>
      </c>
    </row>
    <row r="24921">
      <c r="A24921" s="4" t="s">
        <v>31360</v>
      </c>
      <c r="B24921" s="4" t="s">
        <v>31365</v>
      </c>
      <c r="C24921" s="5" t="str">
        <f>IFERROR(__xludf.DUMMYFUNCTION("GOOGLETRANSLATE(B24921,""en"",""fr"")"),"Nous voyons à nouveau le bateau dans l'eau se balancer.")</f>
        <v>Nous voyons à nouveau le bateau dans l'eau se balancer.</v>
      </c>
    </row>
    <row r="24922">
      <c r="A24922" s="4" t="s">
        <v>31360</v>
      </c>
      <c r="B24922" s="4" t="s">
        <v>31366</v>
      </c>
      <c r="C24922" s="5" t="str">
        <f>IFERROR(__xludf.DUMMYFUNCTION("GOOGLETRANSLATE(B24922,""en"",""fr"")"),"Nous voyons des gens surfer sur les grandes vagues de la rivière.")</f>
        <v>Nous voyons des gens surfer sur les grandes vagues de la rivière.</v>
      </c>
    </row>
    <row r="24923">
      <c r="A24923" s="4" t="s">
        <v>31360</v>
      </c>
      <c r="B24923" s="4" t="s">
        <v>31367</v>
      </c>
      <c r="C24923" s="5" t="str">
        <f>IFERROR(__xludf.DUMMYFUNCTION("GOOGLETRANSLATE(B24923,""en"",""fr"")"),"Un homme fait une main sur une planche de surf en surfant.")</f>
        <v>Un homme fait une main sur une planche de surf en surfant.</v>
      </c>
    </row>
    <row r="24924">
      <c r="A24924" s="4" t="s">
        <v>31368</v>
      </c>
      <c r="B24924" s="4" t="s">
        <v>31369</v>
      </c>
      <c r="C24924" s="5" t="str">
        <f>IFERROR(__xludf.DUMMYFUNCTION("GOOGLETRANSLATE(B24924,""en"",""fr"")"),"Un groupe de grands arbres est entouré d'eau.")</f>
        <v>Un groupe de grands arbres est entouré d'eau.</v>
      </c>
    </row>
    <row r="24925">
      <c r="A24925" s="4" t="s">
        <v>31368</v>
      </c>
      <c r="B24925" s="4" t="s">
        <v>31370</v>
      </c>
      <c r="C24925" s="5" t="str">
        <f>IFERROR(__xludf.DUMMYFUNCTION("GOOGLETRANSLATE(B24925,""en"",""fr"")"),"Nous voyons la vaste eau de l'océan autour de nous.")</f>
        <v>Nous voyons la vaste eau de l'océan autour de nous.</v>
      </c>
    </row>
    <row r="24926">
      <c r="A24926" s="4" t="s">
        <v>31368</v>
      </c>
      <c r="B24926" s="4" t="s">
        <v>31371</v>
      </c>
      <c r="C24926" s="5" t="str">
        <f>IFERROR(__xludf.DUMMYFUNCTION("GOOGLETRANSLATE(B24926,""en"",""fr"")"),"Nous voyons ensuite plusieurs personnes alors qu'ils se détendent sur un bateau.")</f>
        <v>Nous voyons ensuite plusieurs personnes alors qu'ils se détendent sur un bateau.</v>
      </c>
    </row>
    <row r="24927">
      <c r="A24927" s="4" t="s">
        <v>31372</v>
      </c>
      <c r="B24927" s="4" t="s">
        <v>31373</v>
      </c>
      <c r="C24927" s="5" t="str">
        <f>IFERROR(__xludf.DUMMYFUNCTION("GOOGLETRANSLATE(B24927,""en"",""fr"")"),"Un homme parle puis marche dans la rue jusqu'à arriver dans un magasin de crème glacée.")</f>
        <v>Un homme parle puis marche dans la rue jusqu'à arriver dans un magasin de crème glacée.</v>
      </c>
    </row>
    <row r="24928">
      <c r="A24928" s="4" t="s">
        <v>31372</v>
      </c>
      <c r="B24928" s="4" t="s">
        <v>31374</v>
      </c>
      <c r="C24928" s="5" t="str">
        <f>IFERROR(__xludf.DUMMYFUNCTION("GOOGLETRANSLATE(B24928,""en"",""fr"")"),"Une femme montre un cornet de chocolat et de vanille, et une fille aime une glace.")</f>
        <v>Une femme montre un cornet de chocolat et de vanille, et une fille aime une glace.</v>
      </c>
    </row>
    <row r="24929">
      <c r="A24929" s="4" t="s">
        <v>31372</v>
      </c>
      <c r="B24929" s="4" t="s">
        <v>31375</v>
      </c>
      <c r="C24929" s="5" t="str">
        <f>IFERROR(__xludf.DUMMYFUNCTION("GOOGLETRANSLATE(B24929,""en"",""fr"")"),"Les gens achètent de la glace et un enfant élever pour voir de la crème glacée.")</f>
        <v>Les gens achètent de la glace et un enfant élever pour voir de la crème glacée.</v>
      </c>
    </row>
    <row r="24930">
      <c r="A24930" s="4" t="s">
        <v>31372</v>
      </c>
      <c r="B24930" s="4" t="s">
        <v>31376</v>
      </c>
      <c r="C24930" s="5" t="str">
        <f>IFERROR(__xludf.DUMMYFUNCTION("GOOGLETRANSLATE(B24930,""en"",""fr"")"),"L'homme lèche une glace dans la boutique, puis il fait semblant de lécher une glace sur une photo.")</f>
        <v>L'homme lèche une glace dans la boutique, puis il fait semblant de lécher une glace sur une photo.</v>
      </c>
    </row>
    <row r="24931">
      <c r="A24931" s="4" t="s">
        <v>31377</v>
      </c>
      <c r="B24931" s="4" t="s">
        <v>31378</v>
      </c>
      <c r="C24931" s="5" t="str">
        <f>IFERROR(__xludf.DUMMYFUNCTION("GOOGLETRANSLATE(B24931,""en"",""fr"")"),"Une femme lance des fléchettes sur une planche de fléchettes.")</f>
        <v>Une femme lance des fléchettes sur une planche de fléchettes.</v>
      </c>
    </row>
    <row r="24932">
      <c r="A24932" s="4" t="s">
        <v>31377</v>
      </c>
      <c r="B24932" s="4" t="s">
        <v>31379</v>
      </c>
      <c r="C24932" s="5" t="str">
        <f>IFERROR(__xludf.DUMMYFUNCTION("GOOGLETRANSLATE(B24932,""en"",""fr"")"),"La planche DART est indiquée sur le mur.")</f>
        <v>La planche DART est indiquée sur le mur.</v>
      </c>
    </row>
    <row r="24933">
      <c r="A24933" s="4" t="s">
        <v>31377</v>
      </c>
      <c r="B24933" s="4" t="s">
        <v>31380</v>
      </c>
      <c r="C24933" s="5" t="str">
        <f>IFERROR(__xludf.DUMMYFUNCTION("GOOGLETRANSLATE(B24933,""en"",""fr"")"),"Elle continue de jeter des fléchettes sur le plancher de fléchettes.")</f>
        <v>Elle continue de jeter des fléchettes sur le plancher de fléchettes.</v>
      </c>
    </row>
    <row r="24934">
      <c r="A24934" s="4" t="s">
        <v>31377</v>
      </c>
      <c r="B24934" s="4" t="s">
        <v>31381</v>
      </c>
      <c r="C24934" s="5" t="str">
        <f>IFERROR(__xludf.DUMMYFUNCTION("GOOGLETRANSLATE(B24934,""en"",""fr"")"),"Elle retire les fléchettes de la planche de fléchettes.")</f>
        <v>Elle retire les fléchettes de la planche de fléchettes.</v>
      </c>
    </row>
    <row r="24935">
      <c r="A24935" s="4" t="s">
        <v>31382</v>
      </c>
      <c r="B24935" s="4" t="s">
        <v>31383</v>
      </c>
      <c r="C24935" s="5" t="str">
        <f>IFERROR(__xludf.DUMMYFUNCTION("GOOGLETRANSLATE(B24935,""en"",""fr"")"),"Un homme coupe le centre d'une bûche avec une hache tout en se tenant sur le journal.")</f>
        <v>Un homme coupe le centre d'une bûche avec une hache tout en se tenant sur le journal.</v>
      </c>
    </row>
    <row r="24936">
      <c r="A24936" s="4" t="s">
        <v>31382</v>
      </c>
      <c r="B24936" s="4" t="s">
        <v>31384</v>
      </c>
      <c r="C24936" s="5" t="str">
        <f>IFERROR(__xludf.DUMMYFUNCTION("GOOGLETRANSLATE(B24936,""en"",""fr"")"),"L'homme se tient sur la bûche tenant la hache avec la main droite.")</f>
        <v>L'homme se tient sur la bûche tenant la hache avec la main droite.</v>
      </c>
    </row>
    <row r="24937">
      <c r="A24937" s="4" t="s">
        <v>31382</v>
      </c>
      <c r="B24937" s="4" t="s">
        <v>31385</v>
      </c>
      <c r="C24937" s="5" t="str">
        <f>IFERROR(__xludf.DUMMYFUNCTION("GOOGLETRANSLATE(B24937,""en"",""fr"")"),"Ensuite, l'homme continue de couper le journal.")</f>
        <v>Ensuite, l'homme continue de couper le journal.</v>
      </c>
    </row>
    <row r="24938">
      <c r="A24938" s="4" t="s">
        <v>31382</v>
      </c>
      <c r="B24938" s="4" t="s">
        <v>31386</v>
      </c>
      <c r="C24938" s="5" t="str">
        <f>IFERROR(__xludf.DUMMYFUNCTION("GOOGLETRANSLATE(B24938,""en"",""fr"")"),"Après, deux personnes marchent sur l'homme, et on prend du bois dégagé de la bûche.")</f>
        <v>Après, deux personnes marchent sur l'homme, et on prend du bois dégagé de la bûche.</v>
      </c>
    </row>
    <row r="24939">
      <c r="A24939" s="4" t="s">
        <v>31387</v>
      </c>
      <c r="B24939" s="4" t="s">
        <v>31388</v>
      </c>
      <c r="C24939" s="5" t="str">
        <f>IFERROR(__xludf.DUMMYFUNCTION("GOOGLETRANSLATE(B24939,""en"",""fr"")"),"Un toiletteur pour chien brosse le manteau d'un chien avec une brosse qui est assis sur une table.")</f>
        <v>Un toiletteur pour chien brosse le manteau d'un chien avec une brosse qui est assis sur une table.</v>
      </c>
    </row>
    <row r="24940">
      <c r="A24940" s="4" t="s">
        <v>31387</v>
      </c>
      <c r="B24940" s="4" t="s">
        <v>31389</v>
      </c>
      <c r="C24940" s="5" t="str">
        <f>IFERROR(__xludf.DUMMYFUNCTION("GOOGLETRANSLATE(B24940,""en"",""fr"")"),"Les pinceaux sont vus par eux-mêmes de près.")</f>
        <v>Les pinceaux sont vus par eux-mêmes de près.</v>
      </c>
    </row>
    <row r="24941">
      <c r="A24941" s="4" t="s">
        <v>31387</v>
      </c>
      <c r="B24941" s="4" t="s">
        <v>31390</v>
      </c>
      <c r="C24941" s="5" t="str">
        <f>IFERROR(__xludf.DUMMYFUNCTION("GOOGLETRANSLATE(B24941,""en"",""fr"")"),"Le toiletteur tient le pinceau pour le voir fermé.")</f>
        <v>Le toiletteur tient le pinceau pour le voir fermé.</v>
      </c>
    </row>
    <row r="24942">
      <c r="A24942" s="4" t="s">
        <v>31387</v>
      </c>
      <c r="B24942" s="4" t="s">
        <v>31391</v>
      </c>
      <c r="C24942" s="5" t="str">
        <f>IFERROR(__xludf.DUMMYFUNCTION("GOOGLETRANSLATE(B24942,""en"",""fr"")"),"Le toiletteur enlève les cheveux de la brosse et les met dans une pile.")</f>
        <v>Le toiletteur enlève les cheveux de la brosse et les met dans une pile.</v>
      </c>
    </row>
    <row r="24943">
      <c r="A24943" s="4" t="s">
        <v>31392</v>
      </c>
      <c r="B24943" s="4" t="s">
        <v>31393</v>
      </c>
      <c r="C24943" s="5" t="str">
        <f>IFERROR(__xludf.DUMMYFUNCTION("GOOGLETRANSLATE(B24943,""en"",""fr"")"),"Un homme se tient à côté d'un petit toit.")</f>
        <v>Un homme se tient à côté d'un petit toit.</v>
      </c>
    </row>
    <row r="24944">
      <c r="A24944" s="4" t="s">
        <v>31392</v>
      </c>
      <c r="B24944" s="4" t="s">
        <v>31394</v>
      </c>
      <c r="C24944" s="5" t="str">
        <f>IFERROR(__xludf.DUMMYFUNCTION("GOOGLETRANSLATE(B24944,""en"",""fr"")"),"Il tient un morceau de métal.")</f>
        <v>Il tient un morceau de métal.</v>
      </c>
    </row>
    <row r="24945">
      <c r="A24945" s="4" t="s">
        <v>31392</v>
      </c>
      <c r="B24945" s="4" t="s">
        <v>31395</v>
      </c>
      <c r="C24945" s="5" t="str">
        <f>IFERROR(__xludf.DUMMYFUNCTION("GOOGLETRANSLATE(B24945,""en"",""fr"")"),"Il place du métal le long du toit.")</f>
        <v>Il place du métal le long du toit.</v>
      </c>
    </row>
    <row r="24946">
      <c r="A24946" s="4" t="s">
        <v>31392</v>
      </c>
      <c r="B24946" s="4" t="s">
        <v>31396</v>
      </c>
      <c r="C24946" s="5" t="str">
        <f>IFERROR(__xludf.DUMMYFUNCTION("GOOGLETRANSLATE(B24946,""en"",""fr"")"),"Il attache les pièces en toute sécurité.")</f>
        <v>Il attache les pièces en toute sécurité.</v>
      </c>
    </row>
    <row r="24947">
      <c r="A24947" s="4" t="s">
        <v>31397</v>
      </c>
      <c r="B24947" s="4" t="s">
        <v>31398</v>
      </c>
      <c r="C24947" s="5" t="str">
        <f>IFERROR(__xludf.DUMMYFUNCTION("GOOGLETRANSLATE(B24947,""en"",""fr"")"),"Un gros plan du visage d'une personne est montré ainsi que la conduite et la présentation d'un jouet de planche de surf.")</f>
        <v>Un gros plan du visage d'une personne est montré ainsi que la conduite et la présentation d'un jouet de planche de surf.</v>
      </c>
    </row>
    <row r="24948">
      <c r="A24948" s="4" t="s">
        <v>31397</v>
      </c>
      <c r="B24948" s="6" t="s">
        <v>31399</v>
      </c>
      <c r="C24948" s="5" t="str">
        <f>IFERROR(__xludf.DUMMYFUNCTION("GOOGLETRANSLATE(B24948,""en"",""fr"")"),"L'homme contrôle la machine le long de l'eau en faisant des sauts et des astuces et en parlant à la caméra.")</f>
        <v>L'homme contrôle la machine le long de l'eau en faisant des sauts et des astuces et en parlant à la caméra.</v>
      </c>
    </row>
    <row r="24949">
      <c r="A24949" s="4" t="s">
        <v>31400</v>
      </c>
      <c r="B24949" s="4" t="s">
        <v>31401</v>
      </c>
      <c r="C24949" s="5" t="str">
        <f>IFERROR(__xludf.DUMMYFUNCTION("GOOGLETRANSLATE(B24949,""en"",""fr"")"),"Un creux dans une pièce est montré.")</f>
        <v>Un creux dans une pièce est montré.</v>
      </c>
    </row>
    <row r="24950">
      <c r="A24950" s="4" t="s">
        <v>31400</v>
      </c>
      <c r="B24950" s="4" t="s">
        <v>31402</v>
      </c>
      <c r="C24950" s="5" t="str">
        <f>IFERROR(__xludf.DUMMYFUNCTION("GOOGLETRANSLATE(B24950,""en"",""fr"")"),"Les fenêtres d'une maison sont affichées.")</f>
        <v>Les fenêtres d'une maison sont affichées.</v>
      </c>
    </row>
    <row r="24951">
      <c r="A24951" s="4" t="s">
        <v>31400</v>
      </c>
      <c r="B24951" s="4" t="s">
        <v>31403</v>
      </c>
      <c r="C24951" s="5" t="str">
        <f>IFERROR(__xludf.DUMMYFUNCTION("GOOGLETRANSLATE(B24951,""en"",""fr"")"),"Un plancher de bois franc dans une maison est montré.")</f>
        <v>Un plancher de bois franc dans une maison est montré.</v>
      </c>
    </row>
    <row r="24952">
      <c r="A24952" s="4" t="s">
        <v>31400</v>
      </c>
      <c r="B24952" s="4" t="s">
        <v>31404</v>
      </c>
      <c r="C24952" s="5" t="str">
        <f>IFERROR(__xludf.DUMMYFUNCTION("GOOGLETRANSLATE(B24952,""en"",""fr"")"),"Il y a des boîtes de peinture assises sur le sol.")</f>
        <v>Il y a des boîtes de peinture assises sur le sol.</v>
      </c>
    </row>
    <row r="24953">
      <c r="A24953" s="4" t="s">
        <v>31405</v>
      </c>
      <c r="B24953" s="4" t="s">
        <v>31406</v>
      </c>
      <c r="C24953" s="5" t="str">
        <f>IFERROR(__xludf.DUMMYFUNCTION("GOOGLETRANSLATE(B24953,""en"",""fr"")"),"Une femme pose ses mains sur une table avec des trottoirs de lavage pour obtenir une manucure.")</f>
        <v>Une femme pose ses mains sur une table avec des trottoirs de lavage pour obtenir une manucure.</v>
      </c>
    </row>
    <row r="24954">
      <c r="A24954" s="4" t="s">
        <v>31405</v>
      </c>
      <c r="B24954" s="6" t="s">
        <v>31407</v>
      </c>
      <c r="C24954" s="5" t="str">
        <f>IFERROR(__xludf.DUMMYFUNCTION("GOOGLETRANSLATE(B24954,""en"",""fr"")"),"La manucure met du vernis à ongles transparent en verre sur ses ongles, puis ramasse un petit sac de paillettes rouges.")</f>
        <v>La manucure met du vernis à ongles transparent en verre sur ses ongles, puis ramasse un petit sac de paillettes rouges.</v>
      </c>
    </row>
    <row r="24955">
      <c r="A24955" s="4" t="s">
        <v>31405</v>
      </c>
      <c r="B24955" s="4" t="s">
        <v>31408</v>
      </c>
      <c r="C24955" s="5" t="str">
        <f>IFERROR(__xludf.DUMMYFUNCTION("GOOGLETRANSLATE(B24955,""en"",""fr"")"),"Le manucure commence à mettre de petites décorations amusantes pour rendre l'ongle jolie.")</f>
        <v>Le manucure commence à mettre de petites décorations amusantes pour rendre l'ongle jolie.</v>
      </c>
    </row>
    <row r="24956">
      <c r="A24956" s="4" t="s">
        <v>31405</v>
      </c>
      <c r="B24956" s="4" t="s">
        <v>31409</v>
      </c>
      <c r="C24956" s="5" t="str">
        <f>IFERROR(__xludf.DUMMYFUNCTION("GOOGLETRANSLATE(B24956,""en"",""fr"")"),"Ensuite, elle obtient les trucs gluants et passe par-dessus les ongles pour les empêcher de se détacher.")</f>
        <v>Ensuite, elle obtient les trucs gluants et passe par-dessus les ongles pour les empêcher de se détacher.</v>
      </c>
    </row>
    <row r="24957">
      <c r="A24957" s="4" t="s">
        <v>31410</v>
      </c>
      <c r="B24957" s="4" t="s">
        <v>31411</v>
      </c>
      <c r="C24957" s="5" t="str">
        <f>IFERROR(__xludf.DUMMYFUNCTION("GOOGLETRANSLATE(B24957,""en"",""fr"")"),"Une grande foule de filles entre dans le cadre tenant des barreaux puis a posé les barres sur le sol.")</f>
        <v>Une grande foule de filles entre dans le cadre tenant des barreaux puis a posé les barres sur le sol.</v>
      </c>
    </row>
    <row r="24958">
      <c r="A24958" s="4" t="s">
        <v>31410</v>
      </c>
      <c r="B24958" s="6" t="s">
        <v>31412</v>
      </c>
      <c r="C24958" s="5" t="str">
        <f>IFERROR(__xludf.DUMMYFUNCTION("GOOGLETRANSLATE(B24958,""en"",""fr"")"),"Les filles interprètent ensuite une routine de danse en déplaçant les bars tout autour et se terminent avec elles tenant une pose et sortant de la scène.")</f>
        <v>Les filles interprètent ensuite une routine de danse en déplaçant les bars tout autour et se terminent avec elles tenant une pose et sortant de la scène.</v>
      </c>
    </row>
    <row r="24959">
      <c r="A24959" s="4" t="s">
        <v>31413</v>
      </c>
      <c r="B24959" s="6" t="s">
        <v>31414</v>
      </c>
      <c r="C24959" s="5" t="str">
        <f>IFERROR(__xludf.DUMMYFUNCTION("GOOGLETRANSLATE(B24959,""en"",""fr"")"),"Il y a un homme portant un chapeau et une chemise de couleur beige debout sur les rives d'une rivière jouant son harmonica.")</f>
        <v>Il y a un homme portant un chapeau et une chemise de couleur beige debout sur les rives d'une rivière jouant son harmonica.</v>
      </c>
    </row>
    <row r="24960">
      <c r="A24960" s="4" t="s">
        <v>31413</v>
      </c>
      <c r="B24960" s="4" t="s">
        <v>31415</v>
      </c>
      <c r="C24960" s="5" t="str">
        <f>IFERROR(__xludf.DUMMYFUNCTION("GOOGLETRANSLATE(B24960,""en"",""fr"")"),"Il y a une rivière immobile derrière lui.")</f>
        <v>Il y a une rivière immobile derrière lui.</v>
      </c>
    </row>
    <row r="24961">
      <c r="A24961" s="4" t="s">
        <v>31413</v>
      </c>
      <c r="B24961" s="4" t="s">
        <v>31416</v>
      </c>
      <c r="C24961" s="5" t="str">
        <f>IFERROR(__xludf.DUMMYFUNCTION("GOOGLETRANSLATE(B24961,""en"",""fr"")"),"Il continue de jouer son harmonica avec un air apaisant.")</f>
        <v>Il continue de jouer son harmonica avec un air apaisant.</v>
      </c>
    </row>
    <row r="24962">
      <c r="A24962" s="4" t="s">
        <v>31413</v>
      </c>
      <c r="B24962" s="4" t="s">
        <v>31417</v>
      </c>
      <c r="C24962" s="5" t="str">
        <f>IFERROR(__xludf.DUMMYFUNCTION("GOOGLETRANSLATE(B24962,""en"",""fr"")"),"Après avoir cessé de jouer, il pose ses mains.")</f>
        <v>Après avoir cessé de jouer, il pose ses mains.</v>
      </c>
    </row>
    <row r="24963">
      <c r="A24963" s="4" t="s">
        <v>31418</v>
      </c>
      <c r="B24963" s="4" t="s">
        <v>31419</v>
      </c>
      <c r="C24963" s="5" t="str">
        <f>IFERROR(__xludf.DUMMYFUNCTION("GOOGLETRANSLATE(B24963,""en"",""fr"")"),"Une femme détache une paire de chaussures jusqu'à la moitié et soulevez les langues.")</f>
        <v>Une femme détache une paire de chaussures jusqu'à la moitié et soulevez les langues.</v>
      </c>
    </row>
    <row r="24964">
      <c r="A24964" s="4" t="s">
        <v>31418</v>
      </c>
      <c r="B24964" s="4" t="s">
        <v>31420</v>
      </c>
      <c r="C24964" s="5" t="str">
        <f>IFERROR(__xludf.DUMMYFUNCTION("GOOGLETRANSLATE(B24964,""en"",""fr"")"),"Ensuite, la femme a mis un pied et attache la chaussure derrière la langue.")</f>
        <v>Ensuite, la femme a mis un pied et attache la chaussure derrière la langue.</v>
      </c>
    </row>
    <row r="24965">
      <c r="A24965" s="4" t="s">
        <v>31418</v>
      </c>
      <c r="B24965" s="4" t="s">
        <v>31421</v>
      </c>
      <c r="C24965" s="5" t="str">
        <f>IFERROR(__xludf.DUMMYFUNCTION("GOOGLETRANSLATE(B24965,""en"",""fr"")"),"Ensuite, la personne a mis les autres pieds et attacher la chaussure, puis elle met la langue.")</f>
        <v>Ensuite, la personne a mis les autres pieds et attacher la chaussure, puis elle met la langue.</v>
      </c>
    </row>
    <row r="24966">
      <c r="A24966" s="4" t="s">
        <v>31418</v>
      </c>
      <c r="B24966" s="4" t="s">
        <v>31422</v>
      </c>
      <c r="C24966" s="5" t="str">
        <f>IFERROR(__xludf.DUMMYFUNCTION("GOOGLETRANSLATE(B24966,""en"",""fr"")"),"La femme parle et montre ses chaussures et ses pantalons maigres.")</f>
        <v>La femme parle et montre ses chaussures et ses pantalons maigres.</v>
      </c>
    </row>
    <row r="24967">
      <c r="A24967" s="4" t="s">
        <v>31423</v>
      </c>
      <c r="B24967" s="6" t="s">
        <v>31424</v>
      </c>
      <c r="C24967" s="5" t="str">
        <f>IFERROR(__xludf.DUMMYFUNCTION("GOOGLETRANSLATE(B24967,""en"",""fr"")"),"Une femme est vue entrer dans une fosse avec un grand homme, puis commence à courir les unes avec les autres.")</f>
        <v>Une femme est vue entrer dans une fosse avec un grand homme, puis commence à courir les unes avec les autres.</v>
      </c>
    </row>
    <row r="24968">
      <c r="A24968" s="4" t="s">
        <v>31423</v>
      </c>
      <c r="B24968" s="6" t="s">
        <v>31425</v>
      </c>
      <c r="C24968" s="5" t="str">
        <f>IFERROR(__xludf.DUMMYFUNCTION("GOOGLETRANSLATE(B24968,""en"",""fr"")"),"La femme grimpe alors sur l'homme pendant qu'il la tourne et elle le met dans un serrure de tête.")</f>
        <v>La femme grimpe alors sur l'homme pendant qu'il la tourne et elle le met dans un serrure de tête.</v>
      </c>
    </row>
    <row r="24969">
      <c r="A24969" s="4" t="s">
        <v>31423</v>
      </c>
      <c r="B24969" s="4" t="s">
        <v>31426</v>
      </c>
      <c r="C24969" s="5" t="str">
        <f>IFERROR(__xludf.DUMMYFUNCTION("GOOGLETRANSLATE(B24969,""en"",""fr"")"),"Les deux s'inclinent les uns contre les autres et la femme se tient à côté de l'hôte qui secoua les mains.")</f>
        <v>Les deux s'inclinent les uns contre les autres et la femme se tient à côté de l'hôte qui secoua les mains.</v>
      </c>
    </row>
    <row r="24970">
      <c r="A24970" s="4" t="s">
        <v>31427</v>
      </c>
      <c r="B24970" s="4" t="s">
        <v>31428</v>
      </c>
      <c r="C24970" s="5" t="str">
        <f>IFERROR(__xludf.DUMMYFUNCTION("GOOGLETRANSLATE(B24970,""en"",""fr"")"),"Il y a plusieurs personnes rassemblées dans un gymnase extérieur.")</f>
        <v>Il y a plusieurs personnes rassemblées dans un gymnase extérieur.</v>
      </c>
    </row>
    <row r="24971">
      <c r="A24971" s="4" t="s">
        <v>31427</v>
      </c>
      <c r="B24971" s="6" t="s">
        <v>31429</v>
      </c>
      <c r="C24971" s="5" t="str">
        <f>IFERROR(__xludf.DUMMYFUNCTION("GOOGLETRANSLATE(B24971,""en"",""fr"")"),"Il y a des gens debout et assis dans les gradins qui regardent environ douze étudiants de groupe se produire.")</f>
        <v>Il y a des gens debout et assis dans les gradins qui regardent environ douze étudiants de groupe se produire.</v>
      </c>
    </row>
    <row r="24972">
      <c r="A24972" s="4" t="s">
        <v>31427</v>
      </c>
      <c r="B24972" s="4" t="s">
        <v>31430</v>
      </c>
      <c r="C24972" s="5" t="str">
        <f>IFERROR(__xludf.DUMMYFUNCTION("GOOGLETRANSLATE(B24972,""en"",""fr"")"),"La plupart des joueurs battent sur les instruments de percussion dans un air rythmique.")</f>
        <v>La plupart des joueurs battent sur les instruments de percussion dans un air rythmique.</v>
      </c>
    </row>
    <row r="24973">
      <c r="A24973" s="4" t="s">
        <v>31427</v>
      </c>
      <c r="B24973" s="4" t="s">
        <v>31431</v>
      </c>
      <c r="C24973" s="5" t="str">
        <f>IFERROR(__xludf.DUMMYFUNCTION("GOOGLETRANSLATE(B24973,""en"",""fr"")"),"Les joueurs de percussion commencent à faire le tour en cercle pendant qu'ils jouent les instruments.")</f>
        <v>Les joueurs de percussion commencent à faire le tour en cercle pendant qu'ils jouent les instruments.</v>
      </c>
    </row>
    <row r="24974">
      <c r="A24974" s="4" t="s">
        <v>31432</v>
      </c>
      <c r="B24974" s="4" t="s">
        <v>31433</v>
      </c>
      <c r="C24974" s="5" t="str">
        <f>IFERROR(__xludf.DUMMYFUNCTION("GOOGLETRANSLATE(B24974,""en"",""fr"")"),"Un gros plan d'une guitare est vu avec une main en train de cueillir les cordes.")</f>
        <v>Un gros plan d'une guitare est vu avec une main en train de cueillir les cordes.</v>
      </c>
    </row>
    <row r="24975">
      <c r="A24975" s="4" t="s">
        <v>31432</v>
      </c>
      <c r="B24975" s="4" t="s">
        <v>31434</v>
      </c>
      <c r="C24975" s="5" t="str">
        <f>IFERROR(__xludf.DUMMYFUNCTION("GOOGLETRANSLATE(B24975,""en"",""fr"")"),"Un homme est alors vu chanter dans un microphone tout en jouant de la guitare.")</f>
        <v>Un homme est alors vu chanter dans un microphone tout en jouant de la guitare.</v>
      </c>
    </row>
    <row r="24976">
      <c r="A24976" s="4" t="s">
        <v>31432</v>
      </c>
      <c r="B24976" s="4" t="s">
        <v>31435</v>
      </c>
      <c r="C24976" s="5" t="str">
        <f>IFERROR(__xludf.DUMMYFUNCTION("GOOGLETRANSLATE(B24976,""en"",""fr"")"),"L'homme bouge les doigts de haut en bas de la guitare tout en chantant dans le microphone.")</f>
        <v>L'homme bouge les doigts de haut en bas de la guitare tout en chantant dans le microphone.</v>
      </c>
    </row>
    <row r="24977">
      <c r="A24977" s="4" t="s">
        <v>31436</v>
      </c>
      <c r="B24977" s="4" t="s">
        <v>31437</v>
      </c>
      <c r="C24977" s="5" t="str">
        <f>IFERROR(__xludf.DUMMYFUNCTION("GOOGLETRANSLATE(B24977,""en"",""fr"")"),"Les hommes se tiennent dans un grand champ tirant une corde épaisse.")</f>
        <v>Les hommes se tiennent dans un grand champ tirant une corde épaisse.</v>
      </c>
    </row>
    <row r="24978">
      <c r="A24978" s="4" t="s">
        <v>31436</v>
      </c>
      <c r="B24978" s="4" t="s">
        <v>31438</v>
      </c>
      <c r="C24978" s="5" t="str">
        <f>IFERROR(__xludf.DUMMYFUNCTION("GOOGLETRANSLATE(B24978,""en"",""fr"")"),"Les hommes marchent sur les côtés de la corde et se préparent à tirer la corde.")</f>
        <v>Les hommes marchent sur les côtés de la corde et se préparent à tirer la corde.</v>
      </c>
    </row>
    <row r="24979">
      <c r="A24979" s="4" t="s">
        <v>31436</v>
      </c>
      <c r="B24979" s="4" t="s">
        <v>31439</v>
      </c>
      <c r="C24979" s="5" t="str">
        <f>IFERROR(__xludf.DUMMYFUNCTION("GOOGLETRANSLATE(B24979,""en"",""fr"")"),"Les hommes commencent à tirer la corde des deux côtés.")</f>
        <v>Les hommes commencent à tirer la corde des deux côtés.</v>
      </c>
    </row>
    <row r="24980">
      <c r="A24980" s="4" t="s">
        <v>31440</v>
      </c>
      <c r="B24980" s="4" t="s">
        <v>31441</v>
      </c>
      <c r="C24980" s="5" t="str">
        <f>IFERROR(__xludf.DUMMYFUNCTION("GOOGLETRANSLATE(B24980,""en"",""fr"")"),"Une personne montre une brosse et un nettoyage et verse la clairière dans un évier.")</f>
        <v>Une personne montre une brosse et un nettoyage et verse la clairière dans un évier.</v>
      </c>
    </row>
    <row r="24981">
      <c r="A24981" s="4" t="s">
        <v>31440</v>
      </c>
      <c r="B24981" s="4" t="s">
        <v>31442</v>
      </c>
      <c r="C24981" s="5" t="str">
        <f>IFERROR(__xludf.DUMMYFUNCTION("GOOGLETRANSLATE(B24981,""en"",""fr"")"),"Il frotte l'évier avec la brosse créant une mousse dans l'eau pendant que la facette fonctionne.")</f>
        <v>Il frotte l'évier avec la brosse créant une mousse dans l'eau pendant que la facette fonctionne.</v>
      </c>
    </row>
    <row r="24982">
      <c r="A24982" s="4" t="s">
        <v>31440</v>
      </c>
      <c r="B24982" s="4" t="s">
        <v>31443</v>
      </c>
      <c r="C24982" s="5" t="str">
        <f>IFERROR(__xludf.DUMMYFUNCTION("GOOGLETRANSLATE(B24982,""en"",""fr"")"),"Il continue de frotter l'évier avec la brosse jusqu'à ce que l'évier soit propre.")</f>
        <v>Il continue de frotter l'évier avec la brosse jusqu'à ce que l'évier soit propre.</v>
      </c>
    </row>
    <row r="24983">
      <c r="A24983" s="4" t="s">
        <v>31440</v>
      </c>
      <c r="B24983" s="4" t="s">
        <v>31444</v>
      </c>
      <c r="C24983" s="5" t="str">
        <f>IFERROR(__xludf.DUMMYFUNCTION("GOOGLETRANSLATE(B24983,""en"",""fr"")"),"Il essuie une serviette en papier autour de l'évier avec l'eau continue de courir.")</f>
        <v>Il essuie une serviette en papier autour de l'évier avec l'eau continue de courir.</v>
      </c>
    </row>
    <row r="24984">
      <c r="A24984" s="4" t="s">
        <v>31445</v>
      </c>
      <c r="B24984" s="4" t="s">
        <v>31446</v>
      </c>
      <c r="C24984" s="5" t="str">
        <f>IFERROR(__xludf.DUMMYFUNCTION("GOOGLETRANSLATE(B24984,""en"",""fr"")"),"Un gars est dehors pour jouer d'une guitare.")</f>
        <v>Un gars est dehors pour jouer d'une guitare.</v>
      </c>
    </row>
    <row r="24985">
      <c r="A24985" s="4" t="s">
        <v>31445</v>
      </c>
      <c r="B24985" s="4" t="s">
        <v>31447</v>
      </c>
      <c r="C24985" s="5" t="str">
        <f>IFERROR(__xludf.DUMMYFUNCTION("GOOGLETRANSLATE(B24985,""en"",""fr"")"),"Un garçon monte un scooter.")</f>
        <v>Un garçon monte un scooter.</v>
      </c>
    </row>
    <row r="24986">
      <c r="A24986" s="4" t="s">
        <v>31445</v>
      </c>
      <c r="B24986" s="4" t="s">
        <v>31448</v>
      </c>
      <c r="C24986" s="5" t="str">
        <f>IFERROR(__xludf.DUMMYFUNCTION("GOOGLETRANSLATE(B24986,""en"",""fr"")"),"Un enfant glisse sur une diapositive.")</f>
        <v>Un enfant glisse sur une diapositive.</v>
      </c>
    </row>
    <row r="24987">
      <c r="A24987" s="4" t="s">
        <v>31445</v>
      </c>
      <c r="B24987" s="4" t="s">
        <v>31449</v>
      </c>
      <c r="C24987" s="5" t="str">
        <f>IFERROR(__xludf.DUMMYFUNCTION("GOOGLETRANSLATE(B24987,""en"",""fr"")"),"Les enfants et un adulte font la queue.")</f>
        <v>Les enfants et un adulte font la queue.</v>
      </c>
    </row>
    <row r="24988">
      <c r="A24988" s="4" t="s">
        <v>31445</v>
      </c>
      <c r="B24988" s="4" t="s">
        <v>31450</v>
      </c>
      <c r="C24988" s="5" t="str">
        <f>IFERROR(__xludf.DUMMYFUNCTION("GOOGLETRANSLATE(B24988,""en"",""fr"")"),"Le garçon se dirige vers la ligne.")</f>
        <v>Le garçon se dirige vers la ligne.</v>
      </c>
    </row>
    <row r="24989">
      <c r="A24989" s="4" t="s">
        <v>31451</v>
      </c>
      <c r="B24989" s="4" t="s">
        <v>31452</v>
      </c>
      <c r="C24989" s="5" t="str">
        <f>IFERROR(__xludf.DUMMYFUNCTION("GOOGLETRANSLATE(B24989,""en"",""fr"")"),"Une dame portant un maillot UCA donne un tutoriel sur les différents mouvements de pointe.")</f>
        <v>Une dame portant un maillot UCA donne un tutoriel sur les différents mouvements de pointe.</v>
      </c>
    </row>
    <row r="24990">
      <c r="A24990" s="4" t="s">
        <v>31451</v>
      </c>
      <c r="B24990" s="6" t="s">
        <v>31453</v>
      </c>
      <c r="C24990" s="5" t="str">
        <f>IFERROR(__xludf.DUMMYFUNCTION("GOOGLETRANSLATE(B24990,""en"",""fr"")"),"Pendant qu'elle parle, plusieurs pom-pom girls montrent les différentes poses et étirements qui sont souvent réalisés par les pom-pom girls pour améliorer la flexibilité.")</f>
        <v>Pendant qu'elle parle, plusieurs pom-pom girls montrent les différentes poses et étirements qui sont souvent réalisés par les pom-pom girls pour améliorer la flexibilité.</v>
      </c>
    </row>
    <row r="24991">
      <c r="A24991" s="4" t="s">
        <v>31451</v>
      </c>
      <c r="B24991" s="6" t="s">
        <v>31454</v>
      </c>
      <c r="C24991" s="5" t="str">
        <f>IFERROR(__xludf.DUMMYFUNCTION("GOOGLETRANSLATE(B24991,""en"",""fr"")"),"La dame continue d'expliquer comment certaines poses aident à améliorer la flexibilité générale dans les pom-pom girls.")</f>
        <v>La dame continue d'expliquer comment certaines poses aident à améliorer la flexibilité générale dans les pom-pom girls.</v>
      </c>
    </row>
    <row r="24992">
      <c r="A24992" s="4" t="s">
        <v>31455</v>
      </c>
      <c r="B24992" s="4" t="s">
        <v>31456</v>
      </c>
      <c r="C24992" s="5" t="str">
        <f>IFERROR(__xludf.DUMMYFUNCTION("GOOGLETRANSLATE(B24992,""en"",""fr"")"),"Un groupe de motards se tient sur la ligne de départ.")</f>
        <v>Un groupe de motards se tient sur la ligne de départ.</v>
      </c>
    </row>
    <row r="24993">
      <c r="A24993" s="4" t="s">
        <v>31455</v>
      </c>
      <c r="B24993" s="4" t="s">
        <v>31457</v>
      </c>
      <c r="C24993" s="5" t="str">
        <f>IFERROR(__xludf.DUMMYFUNCTION("GOOGLETRANSLATE(B24993,""en"",""fr"")"),"Soudain, tous les vélos tombent d'une scène.")</f>
        <v>Soudain, tous les vélos tombent d'une scène.</v>
      </c>
    </row>
    <row r="24994">
      <c r="A24994" s="4" t="s">
        <v>31455</v>
      </c>
      <c r="B24994" s="4" t="s">
        <v>31458</v>
      </c>
      <c r="C24994" s="5" t="str">
        <f>IFERROR(__xludf.DUMMYFUNCTION("GOOGLETRANSLATE(B24994,""en"",""fr"")"),"La scène de la chute des motards est répétée plusieurs fois.")</f>
        <v>La scène de la chute des motards est répétée plusieurs fois.</v>
      </c>
    </row>
    <row r="24995">
      <c r="A24995" s="4" t="s">
        <v>31459</v>
      </c>
      <c r="B24995" s="4" t="s">
        <v>31460</v>
      </c>
      <c r="C24995" s="5" t="str">
        <f>IFERROR(__xludf.DUMMYFUNCTION("GOOGLETRANSLATE(B24995,""en"",""fr"")"),"La vidéo est tournée dans une vue à la première personne le long d'une pente enneigée.")</f>
        <v>La vidéo est tournée dans une vue à la première personne le long d'une pente enneigée.</v>
      </c>
    </row>
    <row r="24996">
      <c r="A24996" s="4" t="s">
        <v>31459</v>
      </c>
      <c r="B24996" s="4" t="s">
        <v>31461</v>
      </c>
      <c r="C24996" s="5" t="str">
        <f>IFERROR(__xludf.DUMMYFUNCTION("GOOGLETRANSLATE(B24996,""en"",""fr"")"),"La personne commence au sommet de la pente, montant un tube.")</f>
        <v>La personne commence au sommet de la pente, montant un tube.</v>
      </c>
    </row>
    <row r="24997">
      <c r="A24997" s="4" t="s">
        <v>31459</v>
      </c>
      <c r="B24997" s="4" t="s">
        <v>31462</v>
      </c>
      <c r="C24997" s="5" t="str">
        <f>IFERROR(__xludf.DUMMYFUNCTION("GOOGLETRANSLATE(B24997,""en"",""fr"")"),"Ils glissent rapidement vers le bas et voyagent sur le chemin enneigé.")</f>
        <v>Ils glissent rapidement vers le bas et voyagent sur le chemin enneigé.</v>
      </c>
    </row>
    <row r="24998">
      <c r="A24998" s="4" t="s">
        <v>31459</v>
      </c>
      <c r="B24998" s="4" t="s">
        <v>31463</v>
      </c>
      <c r="C24998" s="5" t="str">
        <f>IFERROR(__xludf.DUMMYFUNCTION("GOOGLETRANSLATE(B24998,""en"",""fr"")"),"En bas, un grand tas de tubes empêche la personne de glisser plus loin.")</f>
        <v>En bas, un grand tas de tubes empêche la personne de glisser plus loin.</v>
      </c>
    </row>
    <row r="24999">
      <c r="A24999" s="4" t="s">
        <v>31459</v>
      </c>
      <c r="B24999" s="4" t="s">
        <v>31464</v>
      </c>
      <c r="C24999" s="5" t="str">
        <f>IFERROR(__xludf.DUMMYFUNCTION("GOOGLETRANSLATE(B24999,""en"",""fr"")"),"L'appareil photo se déroule à un autre groupe de personnes qui ont également fini de glisser sur la pente.")</f>
        <v>L'appareil photo se déroule à un autre groupe de personnes qui ont également fini de glisser sur la pente.</v>
      </c>
    </row>
    <row r="25000">
      <c r="A25000" s="4" t="s">
        <v>31465</v>
      </c>
      <c r="B25000" s="4" t="s">
        <v>31466</v>
      </c>
      <c r="C25000" s="5" t="str">
        <f>IFERROR(__xludf.DUMMYFUNCTION("GOOGLETRANSLATE(B25000,""en"",""fr"")"),"Un homme en chemise noire tourne et lance une balle sur le terrain.")</f>
        <v>Un homme en chemise noire tourne et lance une balle sur le terrain.</v>
      </c>
    </row>
    <row r="25001">
      <c r="A25001" s="4" t="s">
        <v>31465</v>
      </c>
      <c r="B25001" s="4" t="s">
        <v>31467</v>
      </c>
      <c r="C25001" s="5" t="str">
        <f>IFERROR(__xludf.DUMMYFUNCTION("GOOGLETRANSLATE(B25001,""en"",""fr"")"),"Un homme dans les tribunes applaudit pour lui.")</f>
        <v>Un homme dans les tribunes applaudit pour lui.</v>
      </c>
    </row>
    <row r="25002">
      <c r="A25002" s="4" t="s">
        <v>31465</v>
      </c>
      <c r="B25002" s="4" t="s">
        <v>31468</v>
      </c>
      <c r="C25002" s="5" t="str">
        <f>IFERROR(__xludf.DUMMYFUNCTION("GOOGLETRANSLATE(B25002,""en"",""fr"")"),"Un autre homme tourne et lance une balle sur le terrain.")</f>
        <v>Un autre homme tourne et lance une balle sur le terrain.</v>
      </c>
    </row>
    <row r="25003">
      <c r="A25003" s="4" t="s">
        <v>31469</v>
      </c>
      <c r="B25003" s="4" t="s">
        <v>31470</v>
      </c>
      <c r="C25003" s="5" t="str">
        <f>IFERROR(__xludf.DUMMYFUNCTION("GOOGLETRANSLATE(B25003,""en"",""fr"")"),"Une femme joue de la guitare sur scène.")</f>
        <v>Une femme joue de la guitare sur scène.</v>
      </c>
    </row>
    <row r="25004">
      <c r="A25004" s="4" t="s">
        <v>31469</v>
      </c>
      <c r="B25004" s="4" t="s">
        <v>31471</v>
      </c>
      <c r="C25004" s="5" t="str">
        <f>IFERROR(__xludf.DUMMYFUNCTION("GOOGLETRANSLATE(B25004,""en"",""fr"")"),"La dame chante dans le microphone.")</f>
        <v>La dame chante dans le microphone.</v>
      </c>
    </row>
    <row r="25005">
      <c r="A25005" s="4" t="s">
        <v>31469</v>
      </c>
      <c r="B25005" s="4" t="s">
        <v>31472</v>
      </c>
      <c r="C25005" s="5" t="str">
        <f>IFERROR(__xludf.DUMMYFUNCTION("GOOGLETRANSLATE(B25005,""en"",""fr"")"),"La dame prend une pause dans le chant.")</f>
        <v>La dame prend une pause dans le chant.</v>
      </c>
    </row>
    <row r="25006">
      <c r="A25006" s="4" t="s">
        <v>31469</v>
      </c>
      <c r="B25006" s="4" t="s">
        <v>31473</v>
      </c>
      <c r="C25006" s="5" t="str">
        <f>IFERROR(__xludf.DUMMYFUNCTION("GOOGLETRANSLATE(B25006,""en"",""fr"")"),"La dame recommence à chanter.")</f>
        <v>La dame recommence à chanter.</v>
      </c>
    </row>
    <row r="25007">
      <c r="A25007" s="4" t="s">
        <v>31469</v>
      </c>
      <c r="B25007" s="4" t="s">
        <v>31474</v>
      </c>
      <c r="C25007" s="5" t="str">
        <f>IFERROR(__xludf.DUMMYFUNCTION("GOOGLETRANSLATE(B25007,""en"",""fr"")"),"La dame arrête de chanter puis recule au microphone.")</f>
        <v>La dame arrête de chanter puis recule au microphone.</v>
      </c>
    </row>
    <row r="25008">
      <c r="A25008" s="4" t="s">
        <v>31475</v>
      </c>
      <c r="B25008" s="4" t="s">
        <v>31476</v>
      </c>
      <c r="C25008" s="5" t="str">
        <f>IFERROR(__xludf.DUMMYFUNCTION("GOOGLETRANSLATE(B25008,""en"",""fr"")"),"Une jeune femme vêtue d'un justaucorps rose et de Tuto commence à se promener sur une grande scène.")</f>
        <v>Une jeune femme vêtue d'un justaucorps rose et de Tuto commence à se promener sur une grande scène.</v>
      </c>
    </row>
    <row r="25009">
      <c r="A25009" s="4" t="s">
        <v>31475</v>
      </c>
      <c r="B25009" s="6" t="s">
        <v>31477</v>
      </c>
      <c r="C25009" s="5" t="str">
        <f>IFERROR(__xludf.DUMMYFUNCTION("GOOGLETRANSLATE(B25009,""en"",""fr"")"),"Alors qu'elle continue sa routine, elle continue de faire des sauts de ballet et de balancer ses bras et de se tordre comme une ballerine.")</f>
        <v>Alors qu'elle continue sa routine, elle continue de faire des sauts de ballet et de balancer ses bras et de se tordre comme une ballerine.</v>
      </c>
    </row>
    <row r="25010">
      <c r="A25010" s="4" t="s">
        <v>31475</v>
      </c>
      <c r="B25010" s="4" t="s">
        <v>31478</v>
      </c>
      <c r="C25010" s="5" t="str">
        <f>IFERROR(__xludf.DUMMYFUNCTION("GOOGLETRANSLATE(B25010,""en"",""fr"")"),"Derrière elle, un château apparaît sur le mur alors que la fille sourit et regarde la foule.")</f>
        <v>Derrière elle, un château apparaît sur le mur alors que la fille sourit et regarde la foule.</v>
      </c>
    </row>
    <row r="25011">
      <c r="A25011" s="4" t="s">
        <v>31479</v>
      </c>
      <c r="B25011" s="6" t="s">
        <v>31480</v>
      </c>
      <c r="C25011" s="5" t="str">
        <f>IFERROR(__xludf.DUMMYFUNCTION("GOOGLETRANSLATE(B25011,""en"",""fr"")"),"Un athlète est vu se diriger vers un ensemble de bars inégaux et commence à effectuer une routine de gymnastique sur les bars.")</f>
        <v>Un athlète est vu se diriger vers un ensemble de bars inégaux et commence à effectuer une routine de gymnastique sur les bars.</v>
      </c>
    </row>
    <row r="25012">
      <c r="A25012" s="4" t="s">
        <v>31479</v>
      </c>
      <c r="B25012" s="6" t="s">
        <v>31481</v>
      </c>
      <c r="C25012" s="5" t="str">
        <f>IFERROR(__xludf.DUMMYFUNCTION("GOOGLETRANSLATE(B25012,""en"",""fr"")"),"Il continue de se déplacer sur les barres et se termine en sautant sur le côté avec ses bras.")</f>
        <v>Il continue de se déplacer sur les barres et se termine en sautant sur le côté avec ses bras.</v>
      </c>
    </row>
    <row r="25013">
      <c r="A25013" s="4" t="s">
        <v>31482</v>
      </c>
      <c r="B25013" s="4" t="s">
        <v>31483</v>
      </c>
      <c r="C25013" s="5" t="str">
        <f>IFERROR(__xludf.DUMMYFUNCTION("GOOGLETRANSLATE(B25013,""en"",""fr"")"),"Il y a beaucoup de gens qui roulent dans de petits tamponneurs qui peuvent s'adapter à 1 ou 2 personnes.")</f>
        <v>Il y a beaucoup de gens qui roulent dans de petits tamponneurs qui peuvent s'adapter à 1 ou 2 personnes.</v>
      </c>
    </row>
    <row r="25014">
      <c r="A25014" s="4" t="s">
        <v>31482</v>
      </c>
      <c r="B25014" s="6" t="s">
        <v>31484</v>
      </c>
      <c r="C25014" s="5" t="str">
        <f>IFERROR(__xludf.DUMMYFUNCTION("GOOGLETRANSLATE(B25014,""en"",""fr"")"),"Une femme dans une voiture de pare-chocs bleue se heurte à la partie du métal moyen et elle semble coincée et ne peut pas bouger mais soudain elle recommence à bouger.")</f>
        <v>Une femme dans une voiture de pare-chocs bleue se heurte à la partie du métal moyen et elle semble coincée et ne peut pas bouger mais soudain elle recommence à bouger.</v>
      </c>
    </row>
    <row r="25015">
      <c r="A25015" s="4" t="s">
        <v>31482</v>
      </c>
      <c r="B25015" s="6" t="s">
        <v>31485</v>
      </c>
      <c r="C25015" s="5" t="str">
        <f>IFERROR(__xludf.DUMMYFUNCTION("GOOGLETRANSLATE(B25015,""en"",""fr"")"),"Tout le monde continue de rouler sur ses tamponneurs après que la femme se soit reprochée et finalement ils s'arrêtent tous.")</f>
        <v>Tout le monde continue de rouler sur ses tamponneurs après que la femme se soit reprochée et finalement ils s'arrêtent tous.</v>
      </c>
    </row>
    <row r="25016">
      <c r="A25016" s="4" t="s">
        <v>31486</v>
      </c>
      <c r="B25016" s="4" t="s">
        <v>31487</v>
      </c>
      <c r="C25016" s="5" t="str">
        <f>IFERROR(__xludf.DUMMYFUNCTION("GOOGLETRANSLATE(B25016,""en"",""fr"")"),"Un homme monte un cheval noir au ralenti.")</f>
        <v>Un homme monte un cheval noir au ralenti.</v>
      </c>
    </row>
    <row r="25017">
      <c r="A25017" s="4" t="s">
        <v>31486</v>
      </c>
      <c r="B25017" s="6" t="s">
        <v>31488</v>
      </c>
      <c r="C25017" s="5" t="str">
        <f>IFERROR(__xludf.DUMMYFUNCTION("GOOGLETRANSLATE(B25017,""en"",""fr"")"),"Les gens sont montrés en essayant de sauter des clôtures dans plusieurs scènes, tombant ou les briser à travers les vitesses du cou.")</f>
        <v>Les gens sont montrés en essayant de sauter des clôtures dans plusieurs scènes, tombant ou les briser à travers les vitesses du cou.</v>
      </c>
    </row>
    <row r="25018">
      <c r="A25018" s="4" t="s">
        <v>31486</v>
      </c>
      <c r="B25018" s="4" t="s">
        <v>31489</v>
      </c>
      <c r="C25018" s="5" t="str">
        <f>IFERROR(__xludf.DUMMYFUNCTION("GOOGLETRANSLATE(B25018,""en"",""fr"")"),"Alors que le cavalier s'éloigne, les mots pensez-vous que c'est facile? Apparaissent à l'écran.")</f>
        <v>Alors que le cavalier s'éloigne, les mots pensez-vous que c'est facile? Apparaissent à l'écran.</v>
      </c>
    </row>
    <row r="25019">
      <c r="A25019" s="4" t="s">
        <v>31490</v>
      </c>
      <c r="B25019" s="6" t="s">
        <v>31491</v>
      </c>
      <c r="C25019" s="5" t="str">
        <f>IFERROR(__xludf.DUMMYFUNCTION("GOOGLETRANSLATE(B25019,""en"",""fr"")"),"Une caméra se déroule entre une personne et le caméraman et mène à un homme assis devant un tambour.")</f>
        <v>Une caméra se déroule entre une personne et le caméraman et mène à un homme assis devant un tambour.</v>
      </c>
    </row>
    <row r="25020">
      <c r="A25020" s="4" t="s">
        <v>31490</v>
      </c>
      <c r="B25020" s="4" t="s">
        <v>31492</v>
      </c>
      <c r="C25020" s="5" t="str">
        <f>IFERROR(__xludf.DUMMYFUNCTION("GOOGLETRANSLATE(B25020,""en"",""fr"")"),"L'homme joue ensuite la batterie en continu et un autre homme entre et chante et danse.")</f>
        <v>L'homme joue ensuite la batterie en continu et un autre homme entre et chante et danse.</v>
      </c>
    </row>
    <row r="25021">
      <c r="A25021" s="4" t="s">
        <v>31490</v>
      </c>
      <c r="B25021" s="4" t="s">
        <v>31493</v>
      </c>
      <c r="C25021" s="5" t="str">
        <f>IFERROR(__xludf.DUMMYFUNCTION("GOOGLETRANSLATE(B25021,""en"",""fr"")"),"Un autre homme est montré de près et se remet au batteur puis au plafond.")</f>
        <v>Un autre homme est montré de près et se remet au batteur puis au plafond.</v>
      </c>
    </row>
    <row r="25022">
      <c r="A25022" s="4" t="s">
        <v>31494</v>
      </c>
      <c r="B25022" s="4" t="s">
        <v>31495</v>
      </c>
      <c r="C25022" s="5" t="str">
        <f>IFERROR(__xludf.DUMMYFUNCTION("GOOGLETRANSLATE(B25022,""en"",""fr"")"),"Plusieurs personnes sont dans une salle de danse et un instructeur vient alors qu'ils commencent à danser.")</f>
        <v>Plusieurs personnes sont dans une salle de danse et un instructeur vient alors qu'ils commencent à danser.</v>
      </c>
    </row>
    <row r="25023">
      <c r="A25023" s="4" t="s">
        <v>31494</v>
      </c>
      <c r="B25023" s="4" t="s">
        <v>31496</v>
      </c>
      <c r="C25023" s="5" t="str">
        <f>IFERROR(__xludf.DUMMYFUNCTION("GOOGLETRANSLATE(B25023,""en"",""fr"")"),"Les six personnes continuent de danser d'un côté à l'autre, faisant des flèches comme une danse jamaïcaine.")</f>
        <v>Les six personnes continuent de danser d'un côté à l'autre, faisant des flèches comme une danse jamaïcaine.</v>
      </c>
    </row>
    <row r="25024">
      <c r="A25024" s="4" t="s">
        <v>31494</v>
      </c>
      <c r="B25024" s="4" t="s">
        <v>31497</v>
      </c>
      <c r="C25024" s="5" t="str">
        <f>IFERROR(__xludf.DUMMYFUNCTION("GOOGLETRANSLATE(B25024,""en"",""fr"")"),"Au fur et à mesure qu'il continue, les étapes sont répétées et jette des bottes de poing dans l'air.")</f>
        <v>Au fur et à mesure qu'il continue, les étapes sont répétées et jette des bottes de poing dans l'air.</v>
      </c>
    </row>
    <row r="25025">
      <c r="A25025" s="4" t="s">
        <v>31498</v>
      </c>
      <c r="B25025" s="4" t="s">
        <v>31499</v>
      </c>
      <c r="C25025" s="5" t="str">
        <f>IFERROR(__xludf.DUMMYFUNCTION("GOOGLETRANSLATE(B25025,""en"",""fr"")"),"Une personne parle en regardant sa voiture glacée.")</f>
        <v>Une personne parle en regardant sa voiture glacée.</v>
      </c>
    </row>
    <row r="25026">
      <c r="A25026" s="4" t="s">
        <v>31498</v>
      </c>
      <c r="B25026" s="4" t="s">
        <v>31500</v>
      </c>
      <c r="C25026" s="5" t="str">
        <f>IFERROR(__xludf.DUMMYFUNCTION("GOOGLETRANSLATE(B25026,""en"",""fr"")"),"Il utilise un outil pour gratter la glace du pare-brise.")</f>
        <v>Il utilise un outil pour gratter la glace du pare-brise.</v>
      </c>
    </row>
    <row r="25027">
      <c r="A25027" s="4" t="s">
        <v>31498</v>
      </c>
      <c r="B25027" s="4" t="s">
        <v>31501</v>
      </c>
      <c r="C25027" s="5" t="str">
        <f>IFERROR(__xludf.DUMMYFUNCTION("GOOGLETRANSLATE(B25027,""en"",""fr"")"),"Il continue de gratter jusqu'à ce qu'il puisse voir conduire.")</f>
        <v>Il continue de gratter jusqu'à ce qu'il puisse voir conduire.</v>
      </c>
    </row>
    <row r="25028">
      <c r="A25028" s="4" t="s">
        <v>31502</v>
      </c>
      <c r="B25028" s="4" t="s">
        <v>31503</v>
      </c>
      <c r="C25028" s="5" t="str">
        <f>IFERROR(__xludf.DUMMYFUNCTION("GOOGLETRANSLATE(B25028,""en"",""fr"")"),"Il y a de la fumée et des lumières et des mots à l'écran.")</f>
        <v>Il y a de la fumée et des lumières et des mots à l'écran.</v>
      </c>
    </row>
    <row r="25029">
      <c r="A25029" s="4" t="s">
        <v>31502</v>
      </c>
      <c r="B25029" s="4" t="s">
        <v>31504</v>
      </c>
      <c r="C25029" s="5" t="str">
        <f>IFERROR(__xludf.DUMMYFUNCTION("GOOGLETRANSLATE(B25029,""en"",""fr"")"),"La fumée roule autour d'un chapeau.")</f>
        <v>La fumée roule autour d'un chapeau.</v>
      </c>
    </row>
    <row r="25030">
      <c r="A25030" s="4" t="s">
        <v>31502</v>
      </c>
      <c r="B25030" s="4" t="s">
        <v>31505</v>
      </c>
      <c r="C25030" s="5" t="str">
        <f>IFERROR(__xludf.DUMMYFUNCTION("GOOGLETRANSLATE(B25030,""en"",""fr"")"),"Une personne souffle de la fumée de son nez et des anneaux de fumée.")</f>
        <v>Une personne souffle de la fumée de son nez et des anneaux de fumée.</v>
      </c>
    </row>
    <row r="25031">
      <c r="A25031" s="4" t="s">
        <v>31502</v>
      </c>
      <c r="B25031" s="4" t="s">
        <v>31506</v>
      </c>
      <c r="C25031" s="5" t="str">
        <f>IFERROR(__xludf.DUMMYFUNCTION("GOOGLETRANSLATE(B25031,""en"",""fr"")"),"La caméra s'inverse et il continue de souffler de la fumée.")</f>
        <v>La caméra s'inverse et il continue de souffler de la fumée.</v>
      </c>
    </row>
    <row r="25032">
      <c r="A25032" s="4" t="s">
        <v>31502</v>
      </c>
      <c r="B25032" s="4" t="s">
        <v>31507</v>
      </c>
      <c r="C25032" s="5" t="str">
        <f>IFERROR(__xludf.DUMMYFUNCTION("GOOGLETRANSLATE(B25032,""en"",""fr"")"),"Les mots tout est violet.")</f>
        <v>Les mots tout est violet.</v>
      </c>
    </row>
    <row r="25033">
      <c r="A25033" s="4" t="s">
        <v>31502</v>
      </c>
      <c r="B25033" s="4" t="s">
        <v>31508</v>
      </c>
      <c r="C25033" s="5" t="str">
        <f>IFERROR(__xludf.DUMMYFUNCTION("GOOGLETRANSLATE(B25033,""en"",""fr"")"),"La fumée continue de souffler et les mots modifiés de Jarron Jones arrivent.")</f>
        <v>La fumée continue de souffler et les mots modifiés de Jarron Jones arrivent.</v>
      </c>
    </row>
    <row r="25034">
      <c r="A25034" s="4" t="s">
        <v>31502</v>
      </c>
      <c r="B25034" s="4" t="s">
        <v>31509</v>
      </c>
      <c r="C25034" s="5" t="str">
        <f>IFERROR(__xludf.DUMMYFUNCTION("GOOGLETRANSLATE(B25034,""en"",""fr"")"),"L'homme continue de souffler de la fumée dans l'air.")</f>
        <v>L'homme continue de souffler de la fumée dans l'air.</v>
      </c>
    </row>
    <row r="25035">
      <c r="A25035" s="4" t="s">
        <v>31510</v>
      </c>
      <c r="B25035" s="4" t="s">
        <v>31511</v>
      </c>
      <c r="C25035" s="5" t="str">
        <f>IFERROR(__xludf.DUMMYFUNCTION("GOOGLETRANSLATE(B25035,""en"",""fr"")"),"Il y a 5 personnes différentes assises sur des chaises jouant des accordéons qui ont des pianos attachés à eux.")</f>
        <v>Il y a 5 personnes différentes assises sur des chaises jouant des accordéons qui ont des pianos attachés à eux.</v>
      </c>
    </row>
    <row r="25036">
      <c r="A25036" s="4" t="s">
        <v>31510</v>
      </c>
      <c r="B25036" s="4" t="s">
        <v>31512</v>
      </c>
      <c r="C25036" s="5" t="str">
        <f>IFERROR(__xludf.DUMMYFUNCTION("GOOGLETRANSLATE(B25036,""en"",""fr"")"),"Il y a 2 femmes, et 3 hommes et tous, semblent très sérieux sur ce qu'ils font.")</f>
        <v>Il y a 2 femmes, et 3 hommes et tous, semblent très sérieux sur ce qu'ils font.</v>
      </c>
    </row>
    <row r="25037">
      <c r="A25037" s="4" t="s">
        <v>31510</v>
      </c>
      <c r="B25037" s="6" t="s">
        <v>31513</v>
      </c>
      <c r="C25037" s="5" t="str">
        <f>IFERROR(__xludf.DUMMYFUNCTION("GOOGLETRANSLATE(B25037,""en"",""fr"")"),"Ils appuient tous des touches différentes pour faire des sons de mélange et ils n'utilisent pas beaucoup l'accordéon.")</f>
        <v>Ils appuient tous des touches différentes pour faire des sons de mélange et ils n'utilisent pas beaucoup l'accordéon.</v>
      </c>
    </row>
    <row r="25038">
      <c r="A25038" s="4" t="s">
        <v>31514</v>
      </c>
      <c r="B25038" s="4" t="s">
        <v>31515</v>
      </c>
      <c r="C25038" s="5" t="str">
        <f>IFERROR(__xludf.DUMMYFUNCTION("GOOGLETRANSLATE(B25038,""en"",""fr"")"),"Les hommes expliquent le jeu de bière de jeu, tandis que les gens participent au tournoi.")</f>
        <v>Les hommes expliquent le jeu de bière de jeu, tandis que les gens participent au tournoi.</v>
      </c>
    </row>
    <row r="25039">
      <c r="A25039" s="4" t="s">
        <v>31514</v>
      </c>
      <c r="B25039" s="4" t="s">
        <v>31516</v>
      </c>
      <c r="C25039" s="5" t="str">
        <f>IFERROR(__xludf.DUMMYFUNCTION("GOOGLETRANSLATE(B25039,""en"",""fr"")"),"Deux personnes portent des vêtements drôles et des perruques blanches.")</f>
        <v>Deux personnes portent des vêtements drôles et des perruques blanches.</v>
      </c>
    </row>
    <row r="25040">
      <c r="A25040" s="4" t="s">
        <v>31514</v>
      </c>
      <c r="B25040" s="6" t="s">
        <v>31517</v>
      </c>
      <c r="C25040" s="5" t="str">
        <f>IFERROR(__xludf.DUMMYFUNCTION("GOOGLETRANSLATE(B25040,""en"",""fr"")"),"Plusieurs personnes concourent la bière Pong dans une table pleine de tasses avec de la bière, puis une personne gagne et les gens félicitent le vainqueur.")</f>
        <v>Plusieurs personnes concourent la bière Pong dans une table pleine de tasses avec de la bière, puis une personne gagne et les gens félicitent le vainqueur.</v>
      </c>
    </row>
    <row r="25041">
      <c r="A25041" s="4" t="s">
        <v>31514</v>
      </c>
      <c r="B25041" s="6" t="s">
        <v>31518</v>
      </c>
      <c r="C25041" s="5" t="str">
        <f>IFERROR(__xludf.DUMMYFUNCTION("GOOGLETRANSLATE(B25041,""en"",""fr"")"),"Ensuite, les gens jouent à Beer Pong infructueux, puis un homme lance le ballon dans la Coupe Far, puis les gens étreignent le vainqueur qui reçoit un prix.")</f>
        <v>Ensuite, les gens jouent à Beer Pong infructueux, puis un homme lance le ballon dans la Coupe Far, puis les gens étreignent le vainqueur qui reçoit un prix.</v>
      </c>
    </row>
    <row r="25042">
      <c r="A25042" s="4" t="s">
        <v>31514</v>
      </c>
      <c r="B25042" s="4" t="s">
        <v>31519</v>
      </c>
      <c r="C25042" s="5" t="str">
        <f>IFERROR(__xludf.DUMMYFUNCTION("GOOGLETRANSLATE(B25042,""en"",""fr"")"),"Une personne prend des photos au gagnant.")</f>
        <v>Une personne prend des photos au gagnant.</v>
      </c>
    </row>
    <row r="25043">
      <c r="A25043" s="4" t="s">
        <v>31520</v>
      </c>
      <c r="B25043" s="4" t="s">
        <v>31521</v>
      </c>
      <c r="C25043" s="5" t="str">
        <f>IFERROR(__xludf.DUMMYFUNCTION("GOOGLETRANSLATE(B25043,""en"",""fr"")"),"Nous voyons une illustration de guitare sur la scène d'ouverture.")</f>
        <v>Nous voyons une illustration de guitare sur la scène d'ouverture.</v>
      </c>
    </row>
    <row r="25044">
      <c r="A25044" s="4" t="s">
        <v>31520</v>
      </c>
      <c r="B25044" s="4" t="s">
        <v>31522</v>
      </c>
      <c r="C25044" s="5" t="str">
        <f>IFERROR(__xludf.DUMMYFUNCTION("GOOGLETRANSLATE(B25044,""en"",""fr"")"),"Nous voyons un homme frapper la guitare comme la batterie.")</f>
        <v>Nous voyons un homme frapper la guitare comme la batterie.</v>
      </c>
    </row>
    <row r="25045">
      <c r="A25045" s="4" t="s">
        <v>31520</v>
      </c>
      <c r="B25045" s="4" t="s">
        <v>31523</v>
      </c>
      <c r="C25045" s="5" t="str">
        <f>IFERROR(__xludf.DUMMYFUNCTION("GOOGLETRANSLATE(B25045,""en"",""fr"")"),"L'homme joue une chanson sur la guitare et nous voyons brièvement la chanson et le nom de l'artiste à l'écran.")</f>
        <v>L'homme joue une chanson sur la guitare et nous voyons brièvement la chanson et le nom de l'artiste à l'écran.</v>
      </c>
    </row>
    <row r="25046">
      <c r="A25046" s="4" t="s">
        <v>31520</v>
      </c>
      <c r="B25046" s="4" t="s">
        <v>31524</v>
      </c>
      <c r="C25046" s="5" t="str">
        <f>IFERROR(__xludf.DUMMYFUNCTION("GOOGLETRANSLATE(B25046,""en"",""fr"")"),"Nous nous concentrons sur la main gauche de l'homme sur le cou de guitare.")</f>
        <v>Nous nous concentrons sur la main gauche de l'homme sur le cou de guitare.</v>
      </c>
    </row>
    <row r="25047">
      <c r="A25047" s="4" t="s">
        <v>31520</v>
      </c>
      <c r="B25047" s="4" t="s">
        <v>31525</v>
      </c>
      <c r="C25047" s="5" t="str">
        <f>IFERROR(__xludf.DUMMYFUNCTION("GOOGLETRANSLATE(B25047,""en"",""fr"")"),"L'homme finit et cesse de jouer.")</f>
        <v>L'homme finit et cesse de jouer.</v>
      </c>
    </row>
    <row r="25048">
      <c r="A25048" s="4" t="s">
        <v>31520</v>
      </c>
      <c r="B25048" s="4" t="s">
        <v>31526</v>
      </c>
      <c r="C25048" s="5" t="str">
        <f>IFERROR(__xludf.DUMMYFUNCTION("GOOGLETRANSLATE(B25048,""en"",""fr"")"),"Nous revoyons l'illustration.")</f>
        <v>Nous revoyons l'illustration.</v>
      </c>
    </row>
    <row r="25049">
      <c r="A25049" s="4" t="s">
        <v>31527</v>
      </c>
      <c r="B25049" s="4" t="s">
        <v>31528</v>
      </c>
      <c r="C25049" s="5" t="str">
        <f>IFERROR(__xludf.DUMMYFUNCTION("GOOGLETRANSLATE(B25049,""en"",""fr"")"),"Une personne court et jette un javelot.")</f>
        <v>Une personne court et jette un javelot.</v>
      </c>
    </row>
    <row r="25050">
      <c r="A25050" s="4" t="s">
        <v>31527</v>
      </c>
      <c r="B25050" s="4" t="s">
        <v>31529</v>
      </c>
      <c r="C25050" s="5" t="str">
        <f>IFERROR(__xludf.DUMMYFUNCTION("GOOGLETRANSLATE(B25050,""en"",""fr"")"),"Il y a des gens qui les regardent derrière une clôture.")</f>
        <v>Il y a des gens qui les regardent derrière une clôture.</v>
      </c>
    </row>
    <row r="25051">
      <c r="A25051" s="4" t="s">
        <v>31527</v>
      </c>
      <c r="B25051" s="4" t="s">
        <v>31530</v>
      </c>
      <c r="C25051" s="5" t="str">
        <f>IFERROR(__xludf.DUMMYFUNCTION("GOOGLETRANSLATE(B25051,""en"",""fr"")"),"Un parapluie vert se trouve à côté de la piste.")</f>
        <v>Un parapluie vert se trouve à côté de la piste.</v>
      </c>
    </row>
    <row r="25052">
      <c r="A25052" s="4" t="s">
        <v>31531</v>
      </c>
      <c r="B25052" s="6" t="s">
        <v>31532</v>
      </c>
      <c r="C25052" s="5" t="str">
        <f>IFERROR(__xludf.DUMMYFUNCTION("GOOGLETRANSLATE(B25052,""en"",""fr"")"),"Deux personnes donnent un reportage sur l'importance de porter un écran solaire et de parler entre eux.")</f>
        <v>Deux personnes donnent un reportage sur l'importance de porter un écran solaire et de parler entre eux.</v>
      </c>
    </row>
    <row r="25053">
      <c r="A25053" s="4" t="s">
        <v>31531</v>
      </c>
      <c r="B25053" s="4" t="s">
        <v>31533</v>
      </c>
      <c r="C25053" s="5" t="str">
        <f>IFERROR(__xludf.DUMMYFUNCTION("GOOGLETRANSLATE(B25053,""en"",""fr"")"),"Les gens sont montrés à l'extérieur en mettant un écran solaire.")</f>
        <v>Les gens sont montrés à l'extérieur en mettant un écran solaire.</v>
      </c>
    </row>
    <row r="25054">
      <c r="A25054" s="4" t="s">
        <v>31531</v>
      </c>
      <c r="B25054" s="4" t="s">
        <v>31534</v>
      </c>
      <c r="C25054" s="5" t="str">
        <f>IFERROR(__xludf.DUMMYFUNCTION("GOOGLETRANSLATE(B25054,""en"",""fr"")"),"Les actualités parlent ensuite à la fin.")</f>
        <v>Les actualités parlent ensuite à la fin.</v>
      </c>
    </row>
    <row r="25055">
      <c r="A25055" s="4" t="s">
        <v>31535</v>
      </c>
      <c r="B25055" s="4" t="s">
        <v>31536</v>
      </c>
      <c r="C25055" s="5" t="str">
        <f>IFERROR(__xludf.DUMMYFUNCTION("GOOGLETRANSLATE(B25055,""en"",""fr"")"),"Un homme en chemise blanche met une tuile sur le sol.")</f>
        <v>Un homme en chemise blanche met une tuile sur le sol.</v>
      </c>
    </row>
    <row r="25056">
      <c r="A25056" s="4" t="s">
        <v>31535</v>
      </c>
      <c r="B25056" s="4" t="s">
        <v>31537</v>
      </c>
      <c r="C25056" s="5" t="str">
        <f>IFERROR(__xludf.DUMMYFUNCTION("GOOGLETRANSLATE(B25056,""en"",""fr"")"),"L'homme pointe à côté de la tuile se tient alors.")</f>
        <v>L'homme pointe à côté de la tuile se tient alors.</v>
      </c>
    </row>
    <row r="25057">
      <c r="A25057" s="4" t="s">
        <v>31535</v>
      </c>
      <c r="B25057" s="4" t="s">
        <v>31538</v>
      </c>
      <c r="C25057" s="5" t="str">
        <f>IFERROR(__xludf.DUMMYFUNCTION("GOOGLETRANSLATE(B25057,""en"",""fr"")"),"La caméra zoome sur la tuile.")</f>
        <v>La caméra zoome sur la tuile.</v>
      </c>
    </row>
    <row r="25058">
      <c r="A25058" s="4" t="s">
        <v>31539</v>
      </c>
      <c r="B25058" s="4" t="s">
        <v>31540</v>
      </c>
      <c r="C25058" s="5" t="str">
        <f>IFERROR(__xludf.DUMMYFUNCTION("GOOGLETRANSLATE(B25058,""en"",""fr"")"),"La vidéo commence par un gros plan de deux jeunes garçons.")</f>
        <v>La vidéo commence par un gros plan de deux jeunes garçons.</v>
      </c>
    </row>
    <row r="25059">
      <c r="A25059" s="4" t="s">
        <v>31539</v>
      </c>
      <c r="B25059" s="4" t="s">
        <v>31541</v>
      </c>
      <c r="C25059" s="5" t="str">
        <f>IFERROR(__xludf.DUMMYFUNCTION("GOOGLETRANSLATE(B25059,""en"",""fr"")"),"Une diapositive de titre est ensuite montrée, puis montre plusieurs ingrédients utilisés dans une recette de cookies.")</f>
        <v>Une diapositive de titre est ensuite montrée, puis montre plusieurs ingrédients utilisés dans une recette de cookies.</v>
      </c>
    </row>
    <row r="25060">
      <c r="A25060" s="4" t="s">
        <v>31539</v>
      </c>
      <c r="B25060" s="4" t="s">
        <v>31542</v>
      </c>
      <c r="C25060" s="5" t="str">
        <f>IFERROR(__xludf.DUMMYFUNCTION("GOOGLETRANSLATE(B25060,""en"",""fr"")"),"La vidéo montre ensuite les deux garçons en mélangeant des ingrédients.")</f>
        <v>La vidéo montre ensuite les deux garçons en mélangeant des ingrédients.</v>
      </c>
    </row>
    <row r="25061">
      <c r="A25061" s="4" t="s">
        <v>31539</v>
      </c>
      <c r="B25061" s="4" t="s">
        <v>31543</v>
      </c>
      <c r="C25061" s="5" t="str">
        <f>IFERROR(__xludf.DUMMYFUNCTION("GOOGLETRANSLATE(B25061,""en"",""fr"")"),"Ils roulent la pâte en boules et les placent dans un four.")</f>
        <v>Ils roulent la pâte en boules et les placent dans un four.</v>
      </c>
    </row>
    <row r="25062">
      <c r="A25062" s="4" t="s">
        <v>31539</v>
      </c>
      <c r="B25062" s="4" t="s">
        <v>31544</v>
      </c>
      <c r="C25062" s="5" t="str">
        <f>IFERROR(__xludf.DUMMYFUNCTION("GOOGLETRANSLATE(B25062,""en"",""fr"")"),"Les garçons sortent les biscuits du four et commencent à les manger.")</f>
        <v>Les garçons sortent les biscuits du four et commencent à les manger.</v>
      </c>
    </row>
    <row r="25063">
      <c r="A25063" s="4" t="s">
        <v>31545</v>
      </c>
      <c r="B25063" s="4" t="s">
        <v>31546</v>
      </c>
      <c r="C25063" s="5" t="str">
        <f>IFERROR(__xludf.DUMMYFUNCTION("GOOGLETRANSLATE(B25063,""en"",""fr"")"),"Une intro mène à une femme qui se prépare à sauter et se retourne autour et autour des bars.")</f>
        <v>Une intro mène à une femme qui se prépare à sauter et se retourne autour et autour des bars.</v>
      </c>
    </row>
    <row r="25064">
      <c r="A25064" s="4" t="s">
        <v>31545</v>
      </c>
      <c r="B25064" s="6" t="s">
        <v>31547</v>
      </c>
      <c r="C25064" s="5" t="str">
        <f>IFERROR(__xludf.DUMMYFUNCTION("GOOGLETRANSLATE(B25064,""en"",""fr"")"),"Elle continue sa routine de gymnastique en feuilletant les barreaux avec un bar la repérant et elle finit en mettant ses bras.")</f>
        <v>Elle continue sa routine de gymnastique en feuilletant les barreaux avec un bar la repérant et elle finit en mettant ses bras.</v>
      </c>
    </row>
    <row r="25065">
      <c r="A25065" s="4" t="s">
        <v>31548</v>
      </c>
      <c r="B25065" s="4" t="s">
        <v>31549</v>
      </c>
      <c r="C25065" s="5" t="str">
        <f>IFERROR(__xludf.DUMMYFUNCTION("GOOGLETRANSLATE(B25065,""en"",""fr"")"),"Un homme portant un tablier se voit frotter plusieurs plats tout en les jetant dans un évier.")</f>
        <v>Un homme portant un tablier se voit frotter plusieurs plats tout en les jetant dans un évier.</v>
      </c>
    </row>
    <row r="25066">
      <c r="A25066" s="4" t="s">
        <v>31548</v>
      </c>
      <c r="B25066" s="4" t="s">
        <v>31550</v>
      </c>
      <c r="C25066" s="5" t="str">
        <f>IFERROR(__xludf.DUMMYFUNCTION("GOOGLETRANSLATE(B25066,""en"",""fr"")"),"L'homme continue de frotter la vaisselle tout en les jetant immédiatement dans un puits d'eau.")</f>
        <v>L'homme continue de frotter la vaisselle tout en les jetant immédiatement dans un puits d'eau.</v>
      </c>
    </row>
    <row r="25067">
      <c r="A25067" s="4" t="s">
        <v>31551</v>
      </c>
      <c r="B25067" s="4" t="s">
        <v>31552</v>
      </c>
      <c r="C25067" s="5" t="str">
        <f>IFERROR(__xludf.DUMMYFUNCTION("GOOGLETRANSLATE(B25067,""en"",""fr"")"),"Nous voyons une séquence d'ouverture avec des flashs.")</f>
        <v>Nous voyons une séquence d'ouverture avec des flashs.</v>
      </c>
    </row>
    <row r="25068">
      <c r="A25068" s="4" t="s">
        <v>31551</v>
      </c>
      <c r="B25068" s="4" t="s">
        <v>31553</v>
      </c>
      <c r="C25068" s="5" t="str">
        <f>IFERROR(__xludf.DUMMYFUNCTION("GOOGLETRANSLATE(B25068,""en"",""fr"")"),"Nous voyons deux hommes dans une cour poussant un objet dans l'herbe.")</f>
        <v>Nous voyons deux hommes dans une cour poussant un objet dans l'herbe.</v>
      </c>
    </row>
    <row r="25069">
      <c r="A25069" s="4" t="s">
        <v>31551</v>
      </c>
      <c r="B25069" s="4" t="s">
        <v>31554</v>
      </c>
      <c r="C25069" s="5" t="str">
        <f>IFERROR(__xludf.DUMMYFUNCTION("GOOGLETRANSLATE(B25069,""en"",""fr"")"),"Nous voyons une tache de terre dans l'herbe.")</f>
        <v>Nous voyons une tache de terre dans l'herbe.</v>
      </c>
    </row>
    <row r="25070">
      <c r="A25070" s="4" t="s">
        <v>31551</v>
      </c>
      <c r="B25070" s="4" t="s">
        <v>31555</v>
      </c>
      <c r="C25070" s="5" t="str">
        <f>IFERROR(__xludf.DUMMYFUNCTION("GOOGLETRANSLATE(B25070,""en"",""fr"")"),"Nous voyons le moniteur sur l'appareil.")</f>
        <v>Nous voyons le moniteur sur l'appareil.</v>
      </c>
    </row>
    <row r="25071">
      <c r="A25071" s="4" t="s">
        <v>31551</v>
      </c>
      <c r="B25071" s="4" t="s">
        <v>31556</v>
      </c>
      <c r="C25071" s="5" t="str">
        <f>IFERROR(__xludf.DUMMYFUNCTION("GOOGLETRANSLATE(B25071,""en"",""fr"")"),"Nous voyons un arbre dans une ronde de saleté.")</f>
        <v>Nous voyons un arbre dans une ronde de saleté.</v>
      </c>
    </row>
    <row r="25072">
      <c r="A25072" s="4" t="s">
        <v>31551</v>
      </c>
      <c r="B25072" s="4" t="s">
        <v>31557</v>
      </c>
      <c r="C25072" s="5" t="str">
        <f>IFERROR(__xludf.DUMMYFUNCTION("GOOGLETRANSLATE(B25072,""en"",""fr"")"),"Nous voyons une racine dans la cour.")</f>
        <v>Nous voyons une racine dans la cour.</v>
      </c>
    </row>
    <row r="25073">
      <c r="A25073" s="4" t="s">
        <v>31551</v>
      </c>
      <c r="B25073" s="4" t="s">
        <v>31558</v>
      </c>
      <c r="C25073" s="5" t="str">
        <f>IFERROR(__xludf.DUMMYFUNCTION("GOOGLETRANSLATE(B25073,""en"",""fr"")"),"Nous voyons les crédits de fin et l'écran s'estompe.")</f>
        <v>Nous voyons les crédits de fin et l'écran s'estompe.</v>
      </c>
    </row>
    <row r="25074">
      <c r="A25074" s="4" t="s">
        <v>31559</v>
      </c>
      <c r="B25074" s="4" t="s">
        <v>31560</v>
      </c>
      <c r="C25074" s="5" t="str">
        <f>IFERROR(__xludf.DUMMYFUNCTION("GOOGLETRANSLATE(B25074,""en"",""fr"")"),"Une fille en chemise noire et un short rose peint une clôture en bois.")</f>
        <v>Une fille en chemise noire et un short rose peint une clôture en bois.</v>
      </c>
    </row>
    <row r="25075">
      <c r="A25075" s="4" t="s">
        <v>31559</v>
      </c>
      <c r="B25075" s="4" t="s">
        <v>13650</v>
      </c>
      <c r="C25075" s="5" t="str">
        <f>IFERROR(__xludf.DUMMYFUNCTION("GOOGLETRANSLATE(B25075,""en"",""fr"")"),"Les mots viennent sur l'écran.")</f>
        <v>Les mots viennent sur l'écran.</v>
      </c>
    </row>
    <row r="25076">
      <c r="A25076" s="4" t="s">
        <v>31561</v>
      </c>
      <c r="B25076" s="4" t="s">
        <v>31562</v>
      </c>
      <c r="C25076" s="5" t="str">
        <f>IFERROR(__xludf.DUMMYFUNCTION("GOOGLETRANSLATE(B25076,""en"",""fr"")"),"Deux personnes se tiennent dans une pièce.")</f>
        <v>Deux personnes se tiennent dans une pièce.</v>
      </c>
    </row>
    <row r="25077">
      <c r="A25077" s="4" t="s">
        <v>31561</v>
      </c>
      <c r="B25077" s="4" t="s">
        <v>31563</v>
      </c>
      <c r="C25077" s="5" t="str">
        <f>IFERROR(__xludf.DUMMYFUNCTION("GOOGLETRANSLATE(B25077,""en"",""fr"")"),"Ils commencent à jouer à un jeu de balle murale.")</f>
        <v>Ils commencent à jouer à un jeu de balle murale.</v>
      </c>
    </row>
    <row r="25078">
      <c r="A25078" s="4" t="s">
        <v>31561</v>
      </c>
      <c r="B25078" s="4" t="s">
        <v>31564</v>
      </c>
      <c r="C25078" s="5" t="str">
        <f>IFERROR(__xludf.DUMMYFUNCTION("GOOGLETRANSLATE(B25078,""en"",""fr"")"),"Ils balancent leurs raquettes en frappant le ballon.")</f>
        <v>Ils balancent leurs raquettes en frappant le ballon.</v>
      </c>
    </row>
    <row r="25079">
      <c r="A25079" s="4" t="s">
        <v>31565</v>
      </c>
      <c r="B25079" s="4" t="s">
        <v>31566</v>
      </c>
      <c r="C25079" s="5" t="str">
        <f>IFERROR(__xludf.DUMMYFUNCTION("GOOGLETRANSLATE(B25079,""en"",""fr"")"),"Les gens courent sur le terrain en jouant à la crosse.")</f>
        <v>Les gens courent sur le terrain en jouant à la crosse.</v>
      </c>
    </row>
    <row r="25080">
      <c r="A25080" s="4" t="s">
        <v>31565</v>
      </c>
      <c r="B25080" s="4" t="s">
        <v>31567</v>
      </c>
      <c r="C25080" s="5" t="str">
        <f>IFERROR(__xludf.DUMMYFUNCTION("GOOGLETRANSLATE(B25080,""en"",""fr"")"),"La foule les regarde jouer.")</f>
        <v>La foule les regarde jouer.</v>
      </c>
    </row>
    <row r="25081">
      <c r="A25081" s="4" t="s">
        <v>31565</v>
      </c>
      <c r="B25081" s="4" t="s">
        <v>31568</v>
      </c>
      <c r="C25081" s="5" t="str">
        <f>IFERROR(__xludf.DUMMYFUNCTION("GOOGLETRANSLATE(B25081,""en"",""fr"")"),"Un logo noir et blanc est illustré à l'écran.")</f>
        <v>Un logo noir et blanc est illustré à l'écran.</v>
      </c>
    </row>
    <row r="25082">
      <c r="A25082" s="4" t="s">
        <v>31569</v>
      </c>
      <c r="B25082" s="4" t="s">
        <v>31570</v>
      </c>
      <c r="C25082" s="5" t="str">
        <f>IFERROR(__xludf.DUMMYFUNCTION("GOOGLETRANSLATE(B25082,""en"",""fr"")"),"Un grand arbre de Noël est assis dans une pièce.")</f>
        <v>Un grand arbre de Noël est assis dans une pièce.</v>
      </c>
    </row>
    <row r="25083">
      <c r="A25083" s="4" t="s">
        <v>31569</v>
      </c>
      <c r="B25083" s="4" t="s">
        <v>31571</v>
      </c>
      <c r="C25083" s="5" t="str">
        <f>IFERROR(__xludf.DUMMYFUNCTION("GOOGLETRANSLATE(B25083,""en"",""fr"")"),"Un homme et une femme mettent des lumières sur l'arbre de Noël.")</f>
        <v>Un homme et une femme mettent des lumières sur l'arbre de Noël.</v>
      </c>
    </row>
    <row r="25084">
      <c r="A25084" s="4" t="s">
        <v>31569</v>
      </c>
      <c r="B25084" s="4" t="s">
        <v>31572</v>
      </c>
      <c r="C25084" s="5" t="str">
        <f>IFERROR(__xludf.DUMMYFUNCTION("GOOGLETRANSLATE(B25084,""en"",""fr"")"),"Un chien se promène dans l'arbre de Noël.")</f>
        <v>Un chien se promène dans l'arbre de Noël.</v>
      </c>
    </row>
    <row r="25085">
      <c r="A25085" s="4" t="s">
        <v>31573</v>
      </c>
      <c r="B25085" s="4" t="s">
        <v>31574</v>
      </c>
      <c r="C25085" s="5" t="str">
        <f>IFERROR(__xludf.DUMMYFUNCTION("GOOGLETRANSLATE(B25085,""en"",""fr"")"),"Un ensemble de garçons pour les tout-petits se tiendra contre le mur pour parler et jouer avec des brosses à dents.")</f>
        <v>Un ensemble de garçons pour les tout-petits se tiendra contre le mur pour parler et jouer avec des brosses à dents.</v>
      </c>
    </row>
    <row r="25086">
      <c r="A25086" s="4" t="s">
        <v>31573</v>
      </c>
      <c r="B25086" s="4" t="s">
        <v>31575</v>
      </c>
      <c r="C25086" s="5" t="str">
        <f>IFERROR(__xludf.DUMMYFUNCTION("GOOGLETRANSLATE(B25086,""en"",""fr"")"),"Ils commencent tous les deux à se brosser les dents férocement sans aucun dentifrice ni eau.")</f>
        <v>Ils commencent tous les deux à se brosser les dents férocement sans aucun dentifrice ni eau.</v>
      </c>
    </row>
    <row r="25087">
      <c r="A25087" s="4" t="s">
        <v>31576</v>
      </c>
      <c r="B25087" s="4" t="s">
        <v>31577</v>
      </c>
      <c r="C25087" s="5" t="str">
        <f>IFERROR(__xludf.DUMMYFUNCTION("GOOGLETRANSLATE(B25087,""en"",""fr"")"),"Une intro arrive sur l'écran montrant un immeuble de grande hauteur.")</f>
        <v>Une intro arrive sur l'écran montrant un immeuble de grande hauteur.</v>
      </c>
    </row>
    <row r="25088">
      <c r="A25088" s="4" t="s">
        <v>31576</v>
      </c>
      <c r="B25088" s="6" t="s">
        <v>31578</v>
      </c>
      <c r="C25088" s="5" t="str">
        <f>IFERROR(__xludf.DUMMYFUNCTION("GOOGLETRANSLATE(B25088,""en"",""fr"")"),"Ensuite, un homme est montré en train de se préparer et de mettre plusieurs engins qu'il peut se connecter à une ceinture.")</f>
        <v>Ensuite, un homme est montré en train de se préparer et de mettre plusieurs engins qu'il peut se connecter à une ceinture.</v>
      </c>
    </row>
    <row r="25089">
      <c r="A25089" s="4" t="s">
        <v>31576</v>
      </c>
      <c r="B25089" s="4" t="s">
        <v>31579</v>
      </c>
      <c r="C25089" s="5" t="str">
        <f>IFERROR(__xludf.DUMMYFUNCTION("GOOGLETRANSLATE(B25089,""en"",""fr"")"),"On lui montre ensuite laver les fenêtres du très grand bâtiment.")</f>
        <v>On lui montre ensuite laver les fenêtres du très grand bâtiment.</v>
      </c>
    </row>
    <row r="25090">
      <c r="A25090" s="4" t="s">
        <v>31576</v>
      </c>
      <c r="B25090" s="4" t="s">
        <v>31580</v>
      </c>
      <c r="C25090" s="5" t="str">
        <f>IFERROR(__xludf.DUMMYFUNCTION("GOOGLETRANSLATE(B25090,""en"",""fr"")"),"Il utilise un scrapper l'écran d'un autocollant de l'une des fenêtres.")</f>
        <v>Il utilise un scrapper l'écran d'un autocollant de l'une des fenêtres.</v>
      </c>
    </row>
    <row r="25091">
      <c r="A25091" s="4" t="s">
        <v>31576</v>
      </c>
      <c r="B25091" s="4" t="s">
        <v>31581</v>
      </c>
      <c r="C25091" s="5" t="str">
        <f>IFERROR(__xludf.DUMMYFUNCTION("GOOGLETRANSLATE(B25091,""en"",""fr"")"),"Il est des spectacles plongeant une laveuse dans un seau et lavant les fenêtres du rez-de-chaussée.")</f>
        <v>Il est des spectacles plongeant une laveuse dans un seau et lavant les fenêtres du rez-de-chaussée.</v>
      </c>
    </row>
    <row r="25092">
      <c r="A25092" s="4" t="s">
        <v>31576</v>
      </c>
      <c r="B25092" s="4" t="s">
        <v>31582</v>
      </c>
      <c r="C25092" s="5" t="str">
        <f>IFERROR(__xludf.DUMMYFUNCTION("GOOGLETRANSLATE(B25092,""en"",""fr"")"),"Plusieurs des fournitures de lavage des fenêtres sont à nouveau affichées avant la fin de la vidéo.")</f>
        <v>Plusieurs des fournitures de lavage des fenêtres sont à nouveau affichées avant la fin de la vidéo.</v>
      </c>
    </row>
    <row r="25093">
      <c r="A25093" s="4" t="s">
        <v>31583</v>
      </c>
      <c r="B25093" s="4" t="s">
        <v>31584</v>
      </c>
      <c r="C25093" s="5" t="str">
        <f>IFERROR(__xludf.DUMMYFUNCTION("GOOGLETRANSLATE(B25093,""en"",""fr"")"),"Une femme montre des marches de tango se déplacer et se retourner en parlant.")</f>
        <v>Une femme montre des marches de tango se déplacer et se retourner en parlant.</v>
      </c>
    </row>
    <row r="25094">
      <c r="A25094" s="4" t="s">
        <v>31583</v>
      </c>
      <c r="B25094" s="4" t="s">
        <v>31585</v>
      </c>
      <c r="C25094" s="5" t="str">
        <f>IFERROR(__xludf.DUMMYFUNCTION("GOOGLETRANSLATE(B25094,""en"",""fr"")"),"Ensuite, l'homme se déplace en montrant des marches de tango.")</f>
        <v>Ensuite, l'homme se déplace en montrant des marches de tango.</v>
      </c>
    </row>
    <row r="25095">
      <c r="A25095" s="4" t="s">
        <v>31583</v>
      </c>
      <c r="B25095" s="4" t="s">
        <v>31586</v>
      </c>
      <c r="C25095" s="5" t="str">
        <f>IFERROR(__xludf.DUMMYFUNCTION("GOOGLETRANSLATE(B25095,""en"",""fr"")"),"Après, la femme et l'homme dansent Tango ensemble pendant que l'homme parle.")</f>
        <v>Après, la femme et l'homme dansent Tango ensemble pendant que l'homme parle.</v>
      </c>
    </row>
    <row r="25096">
      <c r="A25096" s="4" t="s">
        <v>31587</v>
      </c>
      <c r="B25096" s="4" t="s">
        <v>31588</v>
      </c>
      <c r="C25096" s="5" t="str">
        <f>IFERROR(__xludf.DUMMYFUNCTION("GOOGLETRANSLATE(B25096,""en"",""fr"")"),"Une photo d'une côte insulaire est représentée avec des vagues bleues calmes qui se lèvent contre les rochers.")</f>
        <v>Une photo d'une côte insulaire est représentée avec des vagues bleues calmes qui se lèvent contre les rochers.</v>
      </c>
    </row>
    <row r="25097">
      <c r="A25097" s="4" t="s">
        <v>31587</v>
      </c>
      <c r="B25097" s="4" t="s">
        <v>31589</v>
      </c>
      <c r="C25097" s="5" t="str">
        <f>IFERROR(__xludf.DUMMYFUNCTION("GOOGLETRANSLATE(B25097,""en"",""fr"")"),"Un mâle apparaît soudainement et commence à courir vers l'eau avec une planche de surf.")</f>
        <v>Un mâle apparaît soudainement et commence à courir vers l'eau avec une planche de surf.</v>
      </c>
    </row>
    <row r="25098">
      <c r="A25098" s="4" t="s">
        <v>31587</v>
      </c>
      <c r="B25098" s="4" t="s">
        <v>31590</v>
      </c>
      <c r="C25098" s="5" t="str">
        <f>IFERROR(__xludf.DUMMYFUNCTION("GOOGLETRANSLATE(B25098,""en"",""fr"")"),"L'homme commence à surfer sur les vagues alors que plusieurs personnes s'asseyent sur la plage en le regardant.")</f>
        <v>L'homme commence à surfer sur les vagues alors que plusieurs personnes s'asseyent sur la plage en le regardant.</v>
      </c>
    </row>
    <row r="25099">
      <c r="A25099" s="4" t="s">
        <v>31587</v>
      </c>
      <c r="B25099" s="6" t="s">
        <v>31591</v>
      </c>
      <c r="C25099" s="5" t="str">
        <f>IFERROR(__xludf.DUMMYFUNCTION("GOOGLETRANSLATE(B25099,""en"",""fr"")"),"Après un certain temps, le mâle quitte l'eau et s'assoit sur la colline avec la planche de surf puis s'éloigne.")</f>
        <v>Après un certain temps, le mâle quitte l'eau et s'assoit sur la colline avec la planche de surf puis s'éloigne.</v>
      </c>
    </row>
    <row r="25100">
      <c r="A25100" s="4" t="s">
        <v>31592</v>
      </c>
      <c r="B25100" s="4" t="s">
        <v>31593</v>
      </c>
      <c r="C25100" s="5" t="str">
        <f>IFERROR(__xludf.DUMMYFUNCTION("GOOGLETRANSLATE(B25100,""en"",""fr"")"),"Une femme tend à un jeune garçon un bâton avec une petite fille attirant son attention.")</f>
        <v>Une femme tend à un jeune garçon un bâton avec une petite fille attirant son attention.</v>
      </c>
    </row>
    <row r="25101">
      <c r="A25101" s="4" t="s">
        <v>31592</v>
      </c>
      <c r="B25101" s="4" t="s">
        <v>31594</v>
      </c>
      <c r="C25101" s="5" t="str">
        <f>IFERROR(__xludf.DUMMYFUNCTION("GOOGLETRANSLATE(B25101,""en"",""fr"")"),"La pinata est levée et le garçon commence à se balancer à l'objet.")</f>
        <v>La pinata est levée et le garçon commence à se balancer à l'objet.</v>
      </c>
    </row>
    <row r="25102">
      <c r="A25102" s="4" t="s">
        <v>31592</v>
      </c>
      <c r="B25102" s="6" t="s">
        <v>31595</v>
      </c>
      <c r="C25102" s="5" t="str">
        <f>IFERROR(__xludf.DUMMYFUNCTION("GOOGLETRANSLATE(B25102,""en"",""fr"")"),"La caméra se déroule autour des gens qui regardent pendant qu'il frappe la pinata et un petit garçon est vu applaudir derrière lui.")</f>
        <v>La caméra se déroule autour des gens qui regardent pendant qu'il frappe la pinata et un petit garçon est vu applaudir derrière lui.</v>
      </c>
    </row>
    <row r="25103">
      <c r="A25103" s="4" t="s">
        <v>31596</v>
      </c>
      <c r="B25103" s="4" t="s">
        <v>31597</v>
      </c>
      <c r="C25103" s="5" t="str">
        <f>IFERROR(__xludf.DUMMYFUNCTION("GOOGLETRANSLATE(B25103,""en"",""fr"")"),"Un homme en chemise violette parle à la caméra.")</f>
        <v>Un homme en chemise violette parle à la caméra.</v>
      </c>
    </row>
    <row r="25104">
      <c r="A25104" s="4" t="s">
        <v>31596</v>
      </c>
      <c r="B25104" s="4" t="s">
        <v>31598</v>
      </c>
      <c r="C25104" s="5" t="str">
        <f>IFERROR(__xludf.DUMMYFUNCTION("GOOGLETRANSLATE(B25104,""en"",""fr"")"),"Il commence à grimper sur des planches de bois sur un mur.")</f>
        <v>Il commence à grimper sur des planches de bois sur un mur.</v>
      </c>
    </row>
    <row r="25105">
      <c r="A25105" s="4" t="s">
        <v>31596</v>
      </c>
      <c r="B25105" s="4" t="s">
        <v>31599</v>
      </c>
      <c r="C25105" s="5" t="str">
        <f>IFERROR(__xludf.DUMMYFUNCTION("GOOGLETRANSLATE(B25105,""en"",""fr"")"),"Il descend du mur et continue de parler.")</f>
        <v>Il descend du mur et continue de parler.</v>
      </c>
    </row>
    <row r="25106">
      <c r="A25106" s="4" t="s">
        <v>31600</v>
      </c>
      <c r="B25106" s="6" t="s">
        <v>31601</v>
      </c>
      <c r="C25106" s="5" t="str">
        <f>IFERROR(__xludf.DUMMYFUNCTION("GOOGLETRANSLATE(B25106,""en"",""fr"")"),"Diverses photos de nourriture sont représentées, suivis d'une personne qui coupe les légumes et mélangeant divers ingrédients dans un pot.")</f>
        <v>Diverses photos de nourriture sont représentées, suivis d'une personne qui coupe les légumes et mélangeant divers ingrédients dans un pot.</v>
      </c>
    </row>
    <row r="25107">
      <c r="A25107" s="4" t="s">
        <v>31600</v>
      </c>
      <c r="B25107" s="4" t="s">
        <v>31602</v>
      </c>
      <c r="C25107" s="5" t="str">
        <f>IFERROR(__xludf.DUMMYFUNCTION("GOOGLETRANSLATE(B25107,""en"",""fr"")"),"Il coupe ensuite un morceau de pain, ramasse l'intérieur et fait des friches de la viande.")</f>
        <v>Il coupe ensuite un morceau de pain, ramasse l'intérieur et fait des friches de la viande.</v>
      </c>
    </row>
    <row r="25108">
      <c r="A25108" s="4" t="s">
        <v>31600</v>
      </c>
      <c r="B25108" s="6" t="s">
        <v>31603</v>
      </c>
      <c r="C25108" s="5" t="str">
        <f>IFERROR(__xludf.DUMMYFUNCTION("GOOGLETRANSLATE(B25108,""en"",""fr"")"),"Enfin, il verse tous les ingrédients dans le bol de pause, l'enroule dans du papier d'aluminium et montre plus de photos du sandwich.")</f>
        <v>Enfin, il verse tous les ingrédients dans le bol de pause, l'enroule dans du papier d'aluminium et montre plus de photos du sandwich.</v>
      </c>
    </row>
    <row r="25109">
      <c r="A25109" s="4" t="s">
        <v>31604</v>
      </c>
      <c r="B25109" s="4" t="s">
        <v>31605</v>
      </c>
      <c r="C25109" s="5" t="str">
        <f>IFERROR(__xludf.DUMMYFUNCTION("GOOGLETRANSLATE(B25109,""en"",""fr"")"),"Un homme se tient devant une caméra.")</f>
        <v>Un homme se tient devant une caméra.</v>
      </c>
    </row>
    <row r="25110">
      <c r="A25110" s="4" t="s">
        <v>31604</v>
      </c>
      <c r="B25110" s="4" t="s">
        <v>31606</v>
      </c>
      <c r="C25110" s="5" t="str">
        <f>IFERROR(__xludf.DUMMYFUNCTION("GOOGLETRANSLATE(B25110,""en"",""fr"")"),"Il commence à jouer une harmonique pour la caméra.")</f>
        <v>Il commence à jouer une harmonique pour la caméra.</v>
      </c>
    </row>
    <row r="25111">
      <c r="A25111" s="4" t="s">
        <v>31604</v>
      </c>
      <c r="B25111" s="4" t="s">
        <v>31607</v>
      </c>
      <c r="C25111" s="5" t="str">
        <f>IFERROR(__xludf.DUMMYFUNCTION("GOOGLETRANSLATE(B25111,""en"",""fr"")"),"Il se balance dans les allers-retours dans la musique au fur et à mesure.")</f>
        <v>Il se balance dans les allers-retours dans la musique au fur et à mesure.</v>
      </c>
    </row>
    <row r="25112">
      <c r="A25112" s="4" t="s">
        <v>31608</v>
      </c>
      <c r="B25112" s="4" t="s">
        <v>31609</v>
      </c>
      <c r="C25112" s="5" t="str">
        <f>IFERROR(__xludf.DUMMYFUNCTION("GOOGLETRANSLATE(B25112,""en"",""fr"")"),"Un homme ferme les yeux tout en faisant tailler et peigné sa barbe.")</f>
        <v>Un homme ferme les yeux tout en faisant tailler et peigné sa barbe.</v>
      </c>
    </row>
    <row r="25113">
      <c r="A25113" s="4" t="s">
        <v>31608</v>
      </c>
      <c r="B25113" s="4" t="s">
        <v>31610</v>
      </c>
      <c r="C25113" s="5" t="str">
        <f>IFERROR(__xludf.DUMMYFUNCTION("GOOGLETRANSLATE(B25113,""en"",""fr"")"),"L'homme a maintenant une barbe presque rasée et se fait raser le cou.")</f>
        <v>L'homme a maintenant une barbe presque rasée et se fait raser le cou.</v>
      </c>
    </row>
    <row r="25114">
      <c r="A25114" s="4" t="s">
        <v>31608</v>
      </c>
      <c r="B25114" s="6" t="s">
        <v>31611</v>
      </c>
      <c r="C25114" s="5" t="str">
        <f>IFERROR(__xludf.DUMMYFUNCTION("GOOGLETRANSLATE(B25114,""en"",""fr"")"),"L'homme a un rasage de la crème sur le cou et le côté et se fait raser de près sa barbe avec un rasoir dans un mouvement vers le bas.")</f>
        <v>L'homme a un rasage de la crème sur le cou et le côté et se fait raser de près sa barbe avec un rasoir dans un mouvement vers le bas.</v>
      </c>
    </row>
    <row r="25115">
      <c r="A25115" s="4" t="s">
        <v>31608</v>
      </c>
      <c r="B25115" s="4" t="s">
        <v>31612</v>
      </c>
      <c r="C25115" s="5" t="str">
        <f>IFERROR(__xludf.DUMMYFUNCTION("GOOGLETRANSLATE(B25115,""en"",""fr"")"),"Son visage se fait enrouler après avoir été rasé.")</f>
        <v>Son visage se fait enrouler après avoir été rasé.</v>
      </c>
    </row>
    <row r="25116">
      <c r="A25116" s="4" t="s">
        <v>31608</v>
      </c>
      <c r="B25116" s="4" t="s">
        <v>31613</v>
      </c>
      <c r="C25116" s="5" t="str">
        <f>IFERROR(__xludf.DUMMYFUNCTION("GOOGLETRANSLATE(B25116,""en"",""fr"")"),"Un homme frotte quelque chose sur ses mains et le tape sur le visage de l'autre homme.")</f>
        <v>Un homme frotte quelque chose sur ses mains et le tape sur le visage de l'autre homme.</v>
      </c>
    </row>
    <row r="25117">
      <c r="A25117" s="4" t="s">
        <v>31608</v>
      </c>
      <c r="B25117" s="4" t="s">
        <v>31614</v>
      </c>
      <c r="C25117" s="5" t="str">
        <f>IFERROR(__xludf.DUMMYFUNCTION("GOOGLETRANSLATE(B25117,""en"",""fr"")"),"Son visage est tapoté avec la serviette à la fin.")</f>
        <v>Son visage est tapoté avec la serviette à la fin.</v>
      </c>
    </row>
    <row r="25118">
      <c r="A25118" s="4" t="s">
        <v>31615</v>
      </c>
      <c r="B25118" s="6" t="s">
        <v>31616</v>
      </c>
      <c r="C25118" s="5" t="str">
        <f>IFERROR(__xludf.DUMMYFUNCTION("GOOGLETRANSLATE(B25118,""en"",""fr"")"),"À l'intérieur de la maison sur le canapé, deux hommes sont assis, l'un d'eux parle avec désinvolture pendant un certain temps, l'autre tient son bras sur un oreiller.")</f>
        <v>À l'intérieur de la maison sur le canapé, deux hommes sont assis, l'un d'eux parle avec désinvolture pendant un certain temps, l'autre tient son bras sur un oreiller.</v>
      </c>
    </row>
    <row r="25119">
      <c r="A25119" s="4" t="s">
        <v>31615</v>
      </c>
      <c r="B25119" s="6" t="s">
        <v>31617</v>
      </c>
      <c r="C25119" s="5" t="str">
        <f>IFERROR(__xludf.DUMMYFUNCTION("GOOGLETRANSLATE(B25119,""en"",""fr"")"),"L'homme peint ses ongles de doigt ses amis, il semble avoir aussi fait des ongles de quelqu'un d'autre et a fait un petit cœur rouge.")</f>
        <v>L'homme peint ses ongles de doigt ses amis, il semble avoir aussi fait des ongles de quelqu'un d'autre et a fait un petit cœur rouge.</v>
      </c>
    </row>
    <row r="25120">
      <c r="A25120" s="4" t="s">
        <v>31615</v>
      </c>
      <c r="B25120" s="6" t="s">
        <v>31618</v>
      </c>
      <c r="C25120" s="5" t="str">
        <f>IFERROR(__xludf.DUMMYFUNCTION("GOOGLETRANSLATE(B25120,""en"",""fr"")"),"L'homme parle et il est très excité de le faire, il continue de remettre le haut du vernis pour y avoir plus de peinture.")</f>
        <v>L'homme parle et il est très excité de le faire, il continue de remettre le haut du vernis pour y avoir plus de peinture.</v>
      </c>
    </row>
    <row r="25121">
      <c r="A25121" s="4" t="s">
        <v>31615</v>
      </c>
      <c r="B25121" s="4" t="s">
        <v>31619</v>
      </c>
      <c r="C25121" s="5" t="str">
        <f>IFERROR(__xludf.DUMMYFUNCTION("GOOGLETRANSLATE(B25121,""en"",""fr"")"),"Il frotte en plaisantant le visage de l'autre homme et continue de prendre son temps à peindre ses ongles.")</f>
        <v>Il frotte en plaisantant le visage de l'autre homme et continue de prendre son temps à peindre ses ongles.</v>
      </c>
    </row>
    <row r="25122">
      <c r="A25122" s="4" t="s">
        <v>31620</v>
      </c>
      <c r="B25122" s="4" t="s">
        <v>31621</v>
      </c>
      <c r="C25122" s="5" t="str">
        <f>IFERROR(__xludf.DUMMYFUNCTION("GOOGLETRANSLATE(B25122,""en"",""fr"")"),"Il y a deux enfants debout dans un double évier en acier inoxydable dans une maison résidentielle.")</f>
        <v>Il y a deux enfants debout dans un double évier en acier inoxydable dans une maison résidentielle.</v>
      </c>
    </row>
    <row r="25123">
      <c r="A25123" s="4" t="s">
        <v>31620</v>
      </c>
      <c r="B25123" s="6" t="s">
        <v>31622</v>
      </c>
      <c r="C25123" s="5" t="str">
        <f>IFERROR(__xludf.DUMMYFUNCTION("GOOGLETRANSLATE(B25123,""en"",""fr"")"),"Le plus grand enfant déplace les plats du côté droit de l'évier vers le côté gauche de l'évier un par un tandis que le petit enfant tient sur une brosse à bouteille orange et ne déplace aucune vaisselle.")</f>
        <v>Le plus grand enfant déplace les plats du côté droit de l'évier vers le côté gauche de l'évier un par un tandis que le petit enfant tient sur une brosse à bouteille orange et ne déplace aucune vaisselle.</v>
      </c>
    </row>
    <row r="25124">
      <c r="A25124" s="4" t="s">
        <v>31620</v>
      </c>
      <c r="B25124" s="6" t="s">
        <v>31623</v>
      </c>
      <c r="C25124" s="5" t="str">
        <f>IFERROR(__xludf.DUMMYFUNCTION("GOOGLETRANSLATE(B25124,""en"",""fr"")"),"Les deux enfants se tournent vers la caméra derrière eux et le plus âgé fait un grand sourire tandis que le petit fait un très petit sourire.")</f>
        <v>Les deux enfants se tournent vers la caméra derrière eux et le plus âgé fait un grand sourire tandis que le petit fait un très petit sourire.</v>
      </c>
    </row>
    <row r="25125">
      <c r="A25125" s="4" t="s">
        <v>31624</v>
      </c>
      <c r="B25125" s="4" t="s">
        <v>31625</v>
      </c>
      <c r="C25125" s="5" t="str">
        <f>IFERROR(__xludf.DUMMYFUNCTION("GOOGLETRANSLATE(B25125,""en"",""fr"")"),"Un gymnaste soulève un poids jusqu'à ce que ses épaules, puis le soulèvent au-dessus de sa tête.")</f>
        <v>Un gymnaste soulève un poids jusqu'à ce que ses épaules, puis le soulèvent au-dessus de sa tête.</v>
      </c>
    </row>
    <row r="25126">
      <c r="A25126" s="4" t="s">
        <v>31624</v>
      </c>
      <c r="B25126" s="4" t="s">
        <v>31626</v>
      </c>
      <c r="C25126" s="5" t="str">
        <f>IFERROR(__xludf.DUMMYFUNCTION("GOOGLETRANSLATE(B25126,""en"",""fr"")"),"L'homme a laissé le poids tomber sur le sol.")</f>
        <v>L'homme a laissé le poids tomber sur le sol.</v>
      </c>
    </row>
    <row r="25127">
      <c r="A25127" s="4" t="s">
        <v>31627</v>
      </c>
      <c r="B25127" s="6" t="s">
        <v>31628</v>
      </c>
      <c r="C25127" s="5" t="str">
        <f>IFERROR(__xludf.DUMMYFUNCTION("GOOGLETRANSLATE(B25127,""en"",""fr"")"),"Un homme est vu parler à la caméra derrière un bureau et mène à des spectacles de personnes roulant sur des planches à roulettes.")</f>
        <v>Un homme est vu parler à la caméra derrière un bureau et mène à des spectacles de personnes roulant sur des planches à roulettes.</v>
      </c>
    </row>
    <row r="25128">
      <c r="A25128" s="4" t="s">
        <v>31627</v>
      </c>
      <c r="B25128" s="4" t="s">
        <v>31629</v>
      </c>
      <c r="C25128" s="5" t="str">
        <f>IFERROR(__xludf.DUMMYFUNCTION("GOOGLETRANSLATE(B25128,""en"",""fr"")"),"Plus de photos de lui qui parlent sont montrées ainsi que les gens font des astuces sur les planches à roulettes.")</f>
        <v>Plus de photos de lui qui parlent sont montrées ainsi que les gens font des astuces sur les planches à roulettes.</v>
      </c>
    </row>
    <row r="25129">
      <c r="A25129" s="4" t="s">
        <v>31630</v>
      </c>
      <c r="B25129" s="4" t="s">
        <v>31631</v>
      </c>
      <c r="C25129" s="5" t="str">
        <f>IFERROR(__xludf.DUMMYFUNCTION("GOOGLETRANSLATE(B25129,""en"",""fr"")"),"Un grand groupe de personnes se tient debout et se promène dans plusieurs piles de tubes intérieurs et un bus.")</f>
        <v>Un grand groupe de personnes se tient debout et se promène dans plusieurs piles de tubes intérieurs et un bus.</v>
      </c>
    </row>
    <row r="25130">
      <c r="A25130" s="4" t="s">
        <v>31630</v>
      </c>
      <c r="B25130" s="4" t="s">
        <v>31632</v>
      </c>
      <c r="C25130" s="5" t="str">
        <f>IFERROR(__xludf.DUMMYFUNCTION("GOOGLETRANSLATE(B25130,""en"",""fr"")"),"Deux jeunes enfants sont assis dans l'un des sièges en bus.")</f>
        <v>Deux jeunes enfants sont assis dans l'un des sièges en bus.</v>
      </c>
    </row>
    <row r="25131">
      <c r="A25131" s="4" t="s">
        <v>31630</v>
      </c>
      <c r="B25131" s="4" t="s">
        <v>31633</v>
      </c>
      <c r="C25131" s="5" t="str">
        <f>IFERROR(__xludf.DUMMYFUNCTION("GOOGLETRANSLATE(B25131,""en"",""fr"")"),"Un groupe d'adultes roule dans le bus à parler.")</f>
        <v>Un groupe d'adultes roule dans le bus à parler.</v>
      </c>
    </row>
    <row r="25132">
      <c r="A25132" s="4" t="s">
        <v>31630</v>
      </c>
      <c r="B25132" s="6" t="s">
        <v>31634</v>
      </c>
      <c r="C25132" s="5" t="str">
        <f>IFERROR(__xludf.DUMMYFUNCTION("GOOGLETRANSLATE(B25132,""en"",""fr"")"),"Plusieurs enfants sont dans leurs tubes intérieurs dans l'eau, parmi d'autres personnes flottant sur des tubes intérieurs dans l'eau.")</f>
        <v>Plusieurs enfants sont dans leurs tubes intérieurs dans l'eau, parmi d'autres personnes flottant sur des tubes intérieurs dans l'eau.</v>
      </c>
    </row>
    <row r="25133">
      <c r="A25133" s="4" t="s">
        <v>31630</v>
      </c>
      <c r="B25133" s="4" t="s">
        <v>31635</v>
      </c>
      <c r="C25133" s="5" t="str">
        <f>IFERROR(__xludf.DUMMYFUNCTION("GOOGLETRANSLATE(B25133,""en"",""fr"")"),"Plusieurs personnes sont présentées dans des canoës avec des personnes en tubes intérieurs en arrière-plan.")</f>
        <v>Plusieurs personnes sont présentées dans des canoës avec des personnes en tubes intérieurs en arrière-plan.</v>
      </c>
    </row>
    <row r="25134">
      <c r="A25134" s="4" t="s">
        <v>31630</v>
      </c>
      <c r="B25134" s="4" t="s">
        <v>31636</v>
      </c>
      <c r="C25134" s="5" t="str">
        <f>IFERROR(__xludf.DUMMYFUNCTION("GOOGLETRANSLATE(B25134,""en"",""fr"")"),"Une jeune fille s'enfonce au milieu de son tube intérieur et saute la tête trempée.")</f>
        <v>Une jeune fille s'enfonce au milieu de son tube intérieur et saute la tête trempée.</v>
      </c>
    </row>
    <row r="25135">
      <c r="A25135" s="4" t="s">
        <v>31630</v>
      </c>
      <c r="B25135" s="4" t="s">
        <v>31637</v>
      </c>
      <c r="C25135" s="5" t="str">
        <f>IFERROR(__xludf.DUMMYFUNCTION("GOOGLETRANSLATE(B25135,""en"",""fr"")"),"Quelqu'un montre une vue à la première personne flottant sur la rivière.")</f>
        <v>Quelqu'un montre une vue à la première personne flottant sur la rivière.</v>
      </c>
    </row>
    <row r="25136">
      <c r="A25136" s="4" t="s">
        <v>31630</v>
      </c>
      <c r="B25136" s="4" t="s">
        <v>31638</v>
      </c>
      <c r="C25136" s="5" t="str">
        <f>IFERROR(__xludf.DUMMYFUNCTION("GOOGLETRANSLATE(B25136,""en"",""fr"")"),"Diverses autres personnes sont présentées dans les tubes intérieurs et les canoës dans l'eau.")</f>
        <v>Diverses autres personnes sont présentées dans les tubes intérieurs et les canoës dans l'eau.</v>
      </c>
    </row>
    <row r="25137">
      <c r="A25137" s="4" t="s">
        <v>31630</v>
      </c>
      <c r="B25137" s="4" t="s">
        <v>31639</v>
      </c>
      <c r="C25137" s="5" t="str">
        <f>IFERROR(__xludf.DUMMYFUNCTION("GOOGLETRANSLATE(B25137,""en"",""fr"")"),"Quelques personnes sont vues acheter de la nourriture auprès de deux femmes dans un stand de concession.")</f>
        <v>Quelques personnes sont vues acheter de la nourriture auprès de deux femmes dans un stand de concession.</v>
      </c>
    </row>
    <row r="25138">
      <c r="A25138" s="4" t="s">
        <v>31630</v>
      </c>
      <c r="B25138" s="4" t="s">
        <v>31640</v>
      </c>
      <c r="C25138" s="5" t="str">
        <f>IFERROR(__xludf.DUMMYFUNCTION("GOOGLETRANSLATE(B25138,""en"",""fr"")"),"Un homme tient un jeune garçon dans un gilet de vie qui a l'air de dormir.")</f>
        <v>Un homme tient un jeune garçon dans un gilet de vie qui a l'air de dormir.</v>
      </c>
    </row>
    <row r="25139">
      <c r="A25139" s="4" t="s">
        <v>31641</v>
      </c>
      <c r="B25139" s="4" t="s">
        <v>31642</v>
      </c>
      <c r="C25139" s="5" t="str">
        <f>IFERROR(__xludf.DUMMYFUNCTION("GOOGLETRANSLATE(B25139,""en"",""fr"")"),"Une jeune fille grimpe à travers les barres de singe à l'extérieur d'un bâtiment.")</f>
        <v>Une jeune fille grimpe à travers les barres de singe à l'extérieur d'un bâtiment.</v>
      </c>
    </row>
    <row r="25140">
      <c r="A25140" s="4" t="s">
        <v>31641</v>
      </c>
      <c r="B25140" s="4" t="s">
        <v>31643</v>
      </c>
      <c r="C25140" s="5" t="str">
        <f>IFERROR(__xludf.DUMMYFUNCTION("GOOGLETRANSLATE(B25140,""en"",""fr"")"),"Elle se balance de chaque échelon, déplaçant son corps vers l'avant à la fois.")</f>
        <v>Elle se balance de chaque échelon, déplaçant son corps vers l'avant à la fois.</v>
      </c>
    </row>
    <row r="25141">
      <c r="A25141" s="4" t="s">
        <v>31641</v>
      </c>
      <c r="B25141" s="4" t="s">
        <v>31644</v>
      </c>
      <c r="C25141" s="5" t="str">
        <f>IFERROR(__xludf.DUMMYFUNCTION("GOOGLETRANSLATE(B25141,""en"",""fr"")"),"Quand elle atteint l'autre extrémité, elle se retourne et commence à revenir au début.")</f>
        <v>Quand elle atteint l'autre extrémité, elle se retourne et commence à revenir au début.</v>
      </c>
    </row>
    <row r="25142">
      <c r="A25142" s="4" t="s">
        <v>31645</v>
      </c>
      <c r="B25142" s="4" t="s">
        <v>31646</v>
      </c>
      <c r="C25142" s="5" t="str">
        <f>IFERROR(__xludf.DUMMYFUNCTION("GOOGLETRANSLATE(B25142,""en"",""fr"")"),"Un homme dans une salle de sport se dirige vers une haltère.")</f>
        <v>Un homme dans une salle de sport se dirige vers une haltère.</v>
      </c>
    </row>
    <row r="25143">
      <c r="A25143" s="4" t="s">
        <v>31645</v>
      </c>
      <c r="B25143" s="4" t="s">
        <v>31647</v>
      </c>
      <c r="C25143" s="5" t="str">
        <f>IFERROR(__xludf.DUMMYFUNCTION("GOOGLETRANSLATE(B25143,""en"",""fr"")"),"L'homme soulève l'haltère de sa poitrine, puis au-dessus de sa tête.")</f>
        <v>L'homme soulève l'haltère de sa poitrine, puis au-dessus de sa tête.</v>
      </c>
    </row>
    <row r="25144">
      <c r="A25144" s="4" t="s">
        <v>31645</v>
      </c>
      <c r="B25144" s="4" t="s">
        <v>31648</v>
      </c>
      <c r="C25144" s="5" t="str">
        <f>IFERROR(__xludf.DUMMYFUNCTION("GOOGLETRANSLATE(B25144,""en"",""fr"")"),"L'homme laisse tomber le poids.")</f>
        <v>L'homme laisse tomber le poids.</v>
      </c>
    </row>
    <row r="25145">
      <c r="A25145" s="4" t="s">
        <v>31645</v>
      </c>
      <c r="B25145" s="4" t="s">
        <v>31649</v>
      </c>
      <c r="C25145" s="5" t="str">
        <f>IFERROR(__xludf.DUMMYFUNCTION("GOOGLETRANSLATE(B25145,""en"",""fr"")"),"L'homme embrasse les hommes derrière lui.")</f>
        <v>L'homme embrasse les hommes derrière lui.</v>
      </c>
    </row>
    <row r="25146">
      <c r="A25146" s="4" t="s">
        <v>31645</v>
      </c>
      <c r="B25146" s="4" t="s">
        <v>31650</v>
      </c>
      <c r="C25146" s="5" t="str">
        <f>IFERROR(__xludf.DUMMYFUNCTION("GOOGLETRANSLATE(B25146,""en"",""fr"")"),"Un homme en rouge se déroule et saute sur l'homme du levage de poids.")</f>
        <v>Un homme en rouge se déroule et saute sur l'homme du levage de poids.</v>
      </c>
    </row>
    <row r="25147">
      <c r="A25147" s="4" t="s">
        <v>31645</v>
      </c>
      <c r="B25147" s="4" t="s">
        <v>31651</v>
      </c>
      <c r="C25147" s="5" t="str">
        <f>IFERROR(__xludf.DUMMYFUNCTION("GOOGLETRANSLATE(B25147,""en"",""fr"")"),"L'homme en rouge s'éloigne en riant.")</f>
        <v>L'homme en rouge s'éloigne en riant.</v>
      </c>
    </row>
    <row r="25148">
      <c r="A25148" s="4" t="s">
        <v>31652</v>
      </c>
      <c r="B25148" s="4" t="s">
        <v>31653</v>
      </c>
      <c r="C25148" s="5" t="str">
        <f>IFERROR(__xludf.DUMMYFUNCTION("GOOGLETRANSLATE(B25148,""en"",""fr"")"),"Une personne dans une chemise noire est frappée par une balle.")</f>
        <v>Une personne dans une chemise noire est frappée par une balle.</v>
      </c>
    </row>
    <row r="25149">
      <c r="A25149" s="4" t="s">
        <v>31652</v>
      </c>
      <c r="B25149" s="4" t="s">
        <v>31654</v>
      </c>
      <c r="C25149" s="5" t="str">
        <f>IFERROR(__xludf.DUMMYFUNCTION("GOOGLETRANSLATE(B25149,""en"",""fr"")"),"Les gens debout sur la plage jettent une boule orange.")</f>
        <v>Les gens debout sur la plage jettent une boule orange.</v>
      </c>
    </row>
    <row r="25150">
      <c r="A25150" s="4" t="s">
        <v>31652</v>
      </c>
      <c r="B25150" s="4" t="s">
        <v>31655</v>
      </c>
      <c r="C25150" s="5" t="str">
        <f>IFERROR(__xludf.DUMMYFUNCTION("GOOGLETRANSLATE(B25150,""en"",""fr"")"),"Il y a des gens qui nagent dans l'eau derrière eux.")</f>
        <v>Il y a des gens qui nagent dans l'eau derrière eux.</v>
      </c>
    </row>
    <row r="25151">
      <c r="A25151" s="4" t="s">
        <v>31656</v>
      </c>
      <c r="B25151" s="6" t="s">
        <v>31657</v>
      </c>
      <c r="C25151" s="5" t="str">
        <f>IFERROR(__xludf.DUMMYFUNCTION("GOOGLETRANSLATE(B25151,""en"",""fr"")"),"Un paquet transparent de boucles à cheveux flexibles douces est illustré sur une table noire alors qu'une main ramasse un curler violet non emballé et en fige.")</f>
        <v>Un paquet transparent de boucles à cheveux flexibles douces est illustré sur une table noire alors qu'une main ramasse un curler violet non emballé et en fige.</v>
      </c>
    </row>
    <row r="25152">
      <c r="A25152" s="4" t="s">
        <v>31656</v>
      </c>
      <c r="B25152" s="6" t="s">
        <v>31658</v>
      </c>
      <c r="C25152" s="5" t="str">
        <f>IFERROR(__xludf.DUMMYFUNCTION("GOOGLETRANSLATE(B25152,""en"",""fr"")"),"La main retourne le sac de sorte que le contenu soit représenté par la bouche du sac avant de manipuler les bigoudis violets et roses lâches.")</f>
        <v>La main retourne le sac de sorte que le contenu soit représenté par la bouche du sac avant de manipuler les bigoudis violets et roses lâches.</v>
      </c>
    </row>
    <row r="25153">
      <c r="A25153" s="4" t="s">
        <v>31656</v>
      </c>
      <c r="B25153" s="6" t="s">
        <v>31659</v>
      </c>
      <c r="C25153" s="5" t="str">
        <f>IFERROR(__xludf.DUMMYFUNCTION("GOOGLETRANSLATE(B25153,""en"",""fr"")"),"La main continue de faire des allers-retours entre la manipulation des deux bigoudis lâches et le dos complet des bigoudis avant la fin de la vidéo.")</f>
        <v>La main continue de faire des allers-retours entre la manipulation des deux bigoudis lâches et le dos complet des bigoudis avant la fin de la vidéo.</v>
      </c>
    </row>
    <row r="25154">
      <c r="A25154" s="4" t="s">
        <v>31660</v>
      </c>
      <c r="B25154" s="6" t="s">
        <v>31661</v>
      </c>
      <c r="C25154" s="5" t="str">
        <f>IFERROR(__xludf.DUMMYFUNCTION("GOOGLETRANSLATE(B25154,""en"",""fr"")"),"Une intro vidéo en noir et blanc apparaît avec des effets spéciaux d'un lettrage asiatique apparaissant tandis que différentes images de personnes sont affichées.")</f>
        <v>Une intro vidéo en noir et blanc apparaît avec des effets spéciaux d'un lettrage asiatique apparaissant tandis que différentes images de personnes sont affichées.</v>
      </c>
    </row>
    <row r="25155">
      <c r="A25155" s="4" t="s">
        <v>31660</v>
      </c>
      <c r="B25155" s="6" t="s">
        <v>31662</v>
      </c>
      <c r="C25155" s="5" t="str">
        <f>IFERROR(__xludf.DUMMYFUNCTION("GOOGLETRANSLATE(B25155,""en"",""fr"")"),"Un homme asiatique sourit maintenant et parle à la caméra alors qu'il s'assoit devant un microphone dans un studio, puis il chante alors qu'il joue sur un piano noir alors qu'il lit la musique à partir de feuilles de musique sur le piano.")</f>
        <v>Un homme asiatique sourit maintenant et parle à la caméra alors qu'il s'assoit devant un microphone dans un studio, puis il chante alors qu'il joue sur un piano noir alors qu'il lit la musique à partir de feuilles de musique sur le piano.</v>
      </c>
    </row>
    <row r="25156">
      <c r="A25156" s="4" t="s">
        <v>31660</v>
      </c>
      <c r="B25156" s="4" t="s">
        <v>31663</v>
      </c>
      <c r="C25156" s="5" t="str">
        <f>IFERROR(__xludf.DUMMYFUNCTION("GOOGLETRANSLATE(B25156,""en"",""fr"")"),"Lorsque l'homme a fini de chanter et de jouer, il se tourne vers la caméra et fait un grand sourire.")</f>
        <v>Lorsque l'homme a fini de chanter et de jouer, il se tourne vers la caméra et fait un grand sourire.</v>
      </c>
    </row>
    <row r="25157">
      <c r="A25157" s="4" t="s">
        <v>31660</v>
      </c>
      <c r="B25157" s="4" t="s">
        <v>31664</v>
      </c>
      <c r="C25157" s="5" t="str">
        <f>IFERROR(__xludf.DUMMYFUNCTION("GOOGLETRANSLATE(B25157,""en"",""fr"")"),"Un écran noir apparaît et le lettrage blanc apparaît en bas à droite.")</f>
        <v>Un écran noir apparaît et le lettrage blanc apparaît en bas à droite.</v>
      </c>
    </row>
    <row r="25158">
      <c r="A25158" s="4" t="s">
        <v>31665</v>
      </c>
      <c r="B25158" s="6" t="s">
        <v>31666</v>
      </c>
      <c r="C25158" s="5" t="str">
        <f>IFERROR(__xludf.DUMMYFUNCTION("GOOGLETRANSLATE(B25158,""en"",""fr"")"),"Docto parle dans une salle de conseil et mélange des liquides dans un tube à essai préparant le café et parle à la caméra de Benefis of the Coffee.")</f>
        <v>Docto parle dans une salle de conseil et mélange des liquides dans un tube à essai préparant le café et parle à la caméra de Benefis of the Coffee.</v>
      </c>
    </row>
    <row r="25159">
      <c r="A25159" s="4" t="s">
        <v>31665</v>
      </c>
      <c r="B25159" s="4" t="s">
        <v>31667</v>
      </c>
      <c r="C25159" s="5" t="str">
        <f>IFERROR(__xludf.DUMMYFUNCTION("GOOGLETRANSLATE(B25159,""en"",""fr"")"),"Le café est servi dans une tasse et est montré les avantages du café dans le corps.")</f>
        <v>Le café est servi dans une tasse et est montré les avantages du café dans le corps.</v>
      </c>
    </row>
    <row r="25160">
      <c r="A25160" s="4" t="s">
        <v>31668</v>
      </c>
      <c r="B25160" s="4" t="s">
        <v>31669</v>
      </c>
      <c r="C25160" s="5" t="str">
        <f>IFERROR(__xludf.DUMMYFUNCTION("GOOGLETRANSLATE(B25160,""en"",""fr"")"),"Un homme s'agenouille dans son équipement d'escrime.")</f>
        <v>Un homme s'agenouille dans son équipement d'escrime.</v>
      </c>
    </row>
    <row r="25161">
      <c r="A25161" s="4" t="s">
        <v>31668</v>
      </c>
      <c r="B25161" s="4" t="s">
        <v>31670</v>
      </c>
      <c r="C25161" s="5" t="str">
        <f>IFERROR(__xludf.DUMMYFUNCTION("GOOGLETRANSLATE(B25161,""en"",""fr"")"),"Un homme s'approche de lui, le dos tourné pendant qu'ils parlent.")</f>
        <v>Un homme s'approche de lui, le dos tourné pendant qu'ils parlent.</v>
      </c>
    </row>
    <row r="25162">
      <c r="A25162" s="4" t="s">
        <v>31668</v>
      </c>
      <c r="B25162" s="4" t="s">
        <v>31671</v>
      </c>
      <c r="C25162" s="5" t="str">
        <f>IFERROR(__xludf.DUMMYFUNCTION("GOOGLETRANSLATE(B25162,""en"",""fr"")"),"L'homme se tient et s'engage dans une clôture avec un adversaire, tous deux attachés à des câbles derrière eux.")</f>
        <v>L'homme se tient et s'engage dans une clôture avec un adversaire, tous deux attachés à des câbles derrière eux.</v>
      </c>
    </row>
    <row r="25163">
      <c r="A25163" s="4" t="s">
        <v>31672</v>
      </c>
      <c r="B25163" s="4" t="s">
        <v>31673</v>
      </c>
      <c r="C25163" s="5" t="str">
        <f>IFERROR(__xludf.DUMMYFUNCTION("GOOGLETRANSLATE(B25163,""en"",""fr"")"),"Un homme portant une chemise bleue et un homme portant une chemise de fléchette entrent dans une scène entourée d'une foule.")</f>
        <v>Un homme portant une chemise bleue et un homme portant une chemise de fléchette entrent dans une scène entourée d'une foule.</v>
      </c>
    </row>
    <row r="25164">
      <c r="A25164" s="4" t="s">
        <v>31672</v>
      </c>
      <c r="B25164" s="4" t="s">
        <v>31674</v>
      </c>
      <c r="C25164" s="5" t="str">
        <f>IFERROR(__xludf.DUMMYFUNCTION("GOOGLETRANSLATE(B25164,""en"",""fr"")"),"Les deux hommes concournent du papier, des ciseaux et du rock sur le devant un juge.")</f>
        <v>Les deux hommes concournent du papier, des ciseaux et du rock sur le devant un juge.</v>
      </c>
    </row>
    <row r="25165">
      <c r="A25165" s="4" t="s">
        <v>31672</v>
      </c>
      <c r="B25165" s="4" t="s">
        <v>31675</v>
      </c>
      <c r="C25165" s="5" t="str">
        <f>IFERROR(__xludf.DUMMYFUNCTION("GOOGLETRANSLATE(B25165,""en"",""fr"")"),"Les deux hommes continuent en compétition pendant que le juge donne le départ.")</f>
        <v>Les deux hommes continuent en compétition pendant que le juge donne le départ.</v>
      </c>
    </row>
    <row r="25166">
      <c r="A25166" s="4" t="s">
        <v>31672</v>
      </c>
      <c r="B25166" s="6" t="s">
        <v>31676</v>
      </c>
      <c r="C25166" s="5" t="str">
        <f>IFERROR(__xludf.DUMMYFUNCTION("GOOGLETRANSLATE(B25166,""en"",""fr"")"),"Ensuite, les deux hommes continuent de participer, après que l'homme portant une chemise noire remporte la compétition et que les gens applaudissent.")</f>
        <v>Ensuite, les deux hommes continuent de participer, après que l'homme portant une chemise noire remporte la compétition et que les gens applaudissent.</v>
      </c>
    </row>
    <row r="25167">
      <c r="A25167" s="4" t="s">
        <v>31677</v>
      </c>
      <c r="B25167" s="4" t="s">
        <v>31678</v>
      </c>
      <c r="C25167" s="5" t="str">
        <f>IFERROR(__xludf.DUMMYFUNCTION("GOOGLETRANSLATE(B25167,""en"",""fr"")"),"Un gars portant une chemise à plaid rouge montre un tutoriel sur la façon de couper et de tailler les arbres dans un jardin.")</f>
        <v>Un gars portant une chemise à plaid rouge montre un tutoriel sur la façon de couper et de tailler les arbres dans un jardin.</v>
      </c>
    </row>
    <row r="25168">
      <c r="A25168" s="4" t="s">
        <v>31677</v>
      </c>
      <c r="B25168" s="4" t="s">
        <v>31679</v>
      </c>
      <c r="C25168" s="5" t="str">
        <f>IFERROR(__xludf.DUMMYFUNCTION("GOOGLETRANSLATE(B25168,""en"",""fr"")"),"Il utilise une paire de cisaillements de jardin pour couper les feuilles excessives cultivées sur les arbres.")</f>
        <v>Il utilise une paire de cisaillements de jardin pour couper les feuilles excessives cultivées sur les arbres.</v>
      </c>
    </row>
    <row r="25169">
      <c r="A25169" s="4" t="s">
        <v>31677</v>
      </c>
      <c r="B25169" s="4" t="s">
        <v>31680</v>
      </c>
      <c r="C25169" s="5" t="str">
        <f>IFERROR(__xludf.DUMMYFUNCTION("GOOGLETRANSLATE(B25169,""en"",""fr"")"),"Il montre ensuite comment fermer les arbres et les arbustes en utilisant des boules d'engrais.")</f>
        <v>Il montre ensuite comment fermer les arbres et les arbustes en utilisant des boules d'engrais.</v>
      </c>
    </row>
    <row r="25170">
      <c r="A25170" s="4" t="s">
        <v>31677</v>
      </c>
      <c r="B25170" s="4" t="s">
        <v>31681</v>
      </c>
      <c r="C25170" s="5" t="str">
        <f>IFERROR(__xludf.DUMMYFUNCTION("GOOGLETRANSLATE(B25170,""en"",""fr"")"),"Il a ensuite utilisé un engrais liquide sur les arbres et les plantes pour les fortifier.")</f>
        <v>Il a ensuite utilisé un engrais liquide sur les arbres et les plantes pour les fortifier.</v>
      </c>
    </row>
    <row r="25171">
      <c r="A25171" s="4" t="s">
        <v>31677</v>
      </c>
      <c r="B25171" s="4" t="s">
        <v>31682</v>
      </c>
      <c r="C25171" s="5" t="str">
        <f>IFERROR(__xludf.DUMMYFUNCTION("GOOGLETRANSLATE(B25171,""en"",""fr"")"),"Il fait finalement parcourir les arbres et les plantes avec un tuyau pour terminer le processus.")</f>
        <v>Il fait finalement parcourir les arbres et les plantes avec un tuyau pour terminer le processus.</v>
      </c>
    </row>
    <row r="25172">
      <c r="A25172" s="4" t="s">
        <v>31683</v>
      </c>
      <c r="B25172" s="4" t="s">
        <v>31684</v>
      </c>
      <c r="C25172" s="5" t="str">
        <f>IFERROR(__xludf.DUMMYFUNCTION("GOOGLETRANSLATE(B25172,""en"",""fr"")"),"Nous voyons un feu rouge puis le titre.")</f>
        <v>Nous voyons un feu rouge puis le titre.</v>
      </c>
    </row>
    <row r="25173">
      <c r="A25173" s="4" t="s">
        <v>31683</v>
      </c>
      <c r="B25173" s="4" t="s">
        <v>31685</v>
      </c>
      <c r="C25173" s="5" t="str">
        <f>IFERROR(__xludf.DUMMYFUNCTION("GOOGLETRANSLATE(B25173,""en"",""fr"")"),"Un équipement de motard d'un homme est montré.")</f>
        <v>Un équipement de motard d'un homme est montré.</v>
      </c>
    </row>
    <row r="25174">
      <c r="A25174" s="4" t="s">
        <v>31683</v>
      </c>
      <c r="B25174" s="4" t="s">
        <v>31686</v>
      </c>
      <c r="C25174" s="5" t="str">
        <f>IFERROR(__xludf.DUMMYFUNCTION("GOOGLETRANSLATE(B25174,""en"",""fr"")"),"On nous montre le terrain.")</f>
        <v>On nous montre le terrain.</v>
      </c>
    </row>
    <row r="25175">
      <c r="A25175" s="4" t="s">
        <v>31683</v>
      </c>
      <c r="B25175" s="4" t="s">
        <v>31687</v>
      </c>
      <c r="C25175" s="5" t="str">
        <f>IFERROR(__xludf.DUMMYFUNCTION("GOOGLETRANSLATE(B25175,""en"",""fr"")"),"Les coureurs décollent sur leurs vélos.")</f>
        <v>Les coureurs décollent sur leurs vélos.</v>
      </c>
    </row>
    <row r="25176">
      <c r="A25176" s="4" t="s">
        <v>31683</v>
      </c>
      <c r="B25176" s="4" t="s">
        <v>31688</v>
      </c>
      <c r="C25176" s="5" t="str">
        <f>IFERROR(__xludf.DUMMYFUNCTION("GOOGLETRANSLATE(B25176,""en"",""fr"")"),"Nous les voyons rouler sur tous les types de terrain.")</f>
        <v>Nous les voyons rouler sur tous les types de terrain.</v>
      </c>
    </row>
    <row r="25177">
      <c r="A25177" s="4" t="s">
        <v>31683</v>
      </c>
      <c r="B25177" s="4" t="s">
        <v>31689</v>
      </c>
      <c r="C25177" s="5" t="str">
        <f>IFERROR(__xludf.DUMMYFUNCTION("GOOGLETRANSLATE(B25177,""en"",""fr"")"),"Nous voyons un tir aérien des motards.")</f>
        <v>Nous voyons un tir aérien des motards.</v>
      </c>
    </row>
    <row r="25178">
      <c r="A25178" s="4" t="s">
        <v>31683</v>
      </c>
      <c r="B25178" s="4" t="s">
        <v>31690</v>
      </c>
      <c r="C25178" s="5" t="str">
        <f>IFERROR(__xludf.DUMMYFUNCTION("GOOGLETRANSLATE(B25178,""en"",""fr"")"),"Nous voyons un lac et un chien suivi d'un vélo dans une rue.")</f>
        <v>Nous voyons un lac et un chien suivi d'un vélo dans une rue.</v>
      </c>
    </row>
    <row r="25179">
      <c r="A25179" s="4" t="s">
        <v>31683</v>
      </c>
      <c r="B25179" s="4" t="s">
        <v>31691</v>
      </c>
      <c r="C25179" s="5" t="str">
        <f>IFERROR(__xludf.DUMMYFUNCTION("GOOGLETRANSLATE(B25179,""en"",""fr"")"),"Un homme utilise un couteau pour ouvrir une noix de coco.")</f>
        <v>Un homme utilise un couteau pour ouvrir une noix de coco.</v>
      </c>
    </row>
    <row r="25180">
      <c r="A25180" s="4" t="s">
        <v>31683</v>
      </c>
      <c r="B25180" s="4" t="s">
        <v>31692</v>
      </c>
      <c r="C25180" s="5" t="str">
        <f>IFERROR(__xludf.DUMMYFUNCTION("GOOGLETRANSLATE(B25180,""en"",""fr"")"),"Nous retournons dans les motards en train de faire des cascades.")</f>
        <v>Nous retournons dans les motards en train de faire des cascades.</v>
      </c>
    </row>
    <row r="25181">
      <c r="A25181" s="4" t="s">
        <v>31683</v>
      </c>
      <c r="B25181" s="4" t="s">
        <v>31693</v>
      </c>
      <c r="C25181" s="5" t="str">
        <f>IFERROR(__xludf.DUMMYFUNCTION("GOOGLETRANSLATE(B25181,""en"",""fr"")"),"Nous voyons deux motards voler dans le ciel.")</f>
        <v>Nous voyons deux motards voler dans le ciel.</v>
      </c>
    </row>
    <row r="25182">
      <c r="A25182" s="4" t="s">
        <v>31683</v>
      </c>
      <c r="B25182" s="4" t="s">
        <v>31694</v>
      </c>
      <c r="C25182" s="5" t="str">
        <f>IFERROR(__xludf.DUMMYFUNCTION("GOOGLETRANSLATE(B25182,""en"",""fr"")"),"Nous voyons ensuite trois motards assis toujours sur leurs vélos.")</f>
        <v>Nous voyons ensuite trois motards assis toujours sur leurs vélos.</v>
      </c>
    </row>
    <row r="25183">
      <c r="A25183" s="4" t="s">
        <v>31683</v>
      </c>
      <c r="B25183" s="4" t="s">
        <v>31695</v>
      </c>
      <c r="C25183" s="5" t="str">
        <f>IFERROR(__xludf.DUMMYFUNCTION("GOOGLETRANSLATE(B25183,""en"",""fr"")"),"Nous voyons la carte de titre de fin.")</f>
        <v>Nous voyons la carte de titre de fin.</v>
      </c>
    </row>
    <row r="25184">
      <c r="A25184" s="4" t="s">
        <v>31696</v>
      </c>
      <c r="B25184" s="4" t="s">
        <v>31697</v>
      </c>
      <c r="C25184" s="5" t="str">
        <f>IFERROR(__xludf.DUMMYFUNCTION("GOOGLETRANSLATE(B25184,""en"",""fr"")"),"Un jeune garçon gymnastique monte sur un bar et commence à faire des flips et d'autres choses.")</f>
        <v>Un jeune garçon gymnastique monte sur un bar et commence à faire des flips et d'autres choses.</v>
      </c>
    </row>
    <row r="25185">
      <c r="A25185" s="4" t="s">
        <v>31696</v>
      </c>
      <c r="B25185" s="4" t="s">
        <v>31698</v>
      </c>
      <c r="C25185" s="5" t="str">
        <f>IFERROR(__xludf.DUMMYFUNCTION("GOOGLETRANSLATE(B25185,""en"",""fr"")"),"Il semble qu'il soit jugé pour un tournoi.")</f>
        <v>Il semble qu'il soit jugé pour un tournoi.</v>
      </c>
    </row>
    <row r="25186">
      <c r="A25186" s="4" t="s">
        <v>31696</v>
      </c>
      <c r="B25186" s="4" t="s">
        <v>31699</v>
      </c>
      <c r="C25186" s="5" t="str">
        <f>IFERROR(__xludf.DUMMYFUNCTION("GOOGLETRANSLATE(B25186,""en"",""fr"")"),"Il est dans les bars à faire très bien, a l'air génial et s'amuse en le faisant.")</f>
        <v>Il est dans les bars à faire très bien, a l'air génial et s'amuse en le faisant.</v>
      </c>
    </row>
    <row r="25187">
      <c r="A25187" s="4" t="s">
        <v>31696</v>
      </c>
      <c r="B25187" s="4" t="s">
        <v>31700</v>
      </c>
      <c r="C25187" s="5" t="str">
        <f>IFERROR(__xludf.DUMMYFUNCTION("GOOGLETRANSLATE(B25187,""en"",""fr"")"),"Ensuite, il atterrit et pose et le public est montré.")</f>
        <v>Ensuite, il atterrit et pose et le public est montré.</v>
      </c>
    </row>
    <row r="25188">
      <c r="A25188" s="4" t="s">
        <v>31701</v>
      </c>
      <c r="B25188" s="4" t="s">
        <v>31702</v>
      </c>
      <c r="C25188" s="5" t="str">
        <f>IFERROR(__xludf.DUMMYFUNCTION("GOOGLETRANSLATE(B25188,""en"",""fr"")"),"Un homme se tient titulaire d'un violon et d'un arc à discuter de ses caractéristiques.")</f>
        <v>Un homme se tient titulaire d'un violon et d'un arc à discuter de ses caractéristiques.</v>
      </c>
    </row>
    <row r="25189">
      <c r="A25189" s="4" t="s">
        <v>31701</v>
      </c>
      <c r="B25189" s="4" t="s">
        <v>31703</v>
      </c>
      <c r="C25189" s="5" t="str">
        <f>IFERROR(__xludf.DUMMYFUNCTION("GOOGLETRANSLATE(B25189,""en"",""fr"")"),"L'homme met l'instrument sous son menton et resserre l'arc.")</f>
        <v>L'homme met l'instrument sous son menton et resserre l'arc.</v>
      </c>
    </row>
    <row r="25190">
      <c r="A25190" s="4" t="s">
        <v>31701</v>
      </c>
      <c r="B25190" s="4" t="s">
        <v>31704</v>
      </c>
      <c r="C25190" s="5" t="str">
        <f>IFERROR(__xludf.DUMMYFUNCTION("GOOGLETRANSLATE(B25190,""en"",""fr"")"),"L'homme défait les cordes d'arc et les rap autour du violon.")</f>
        <v>L'homme défait les cordes d'arc et les rap autour du violon.</v>
      </c>
    </row>
    <row r="25191">
      <c r="A25191" s="4" t="s">
        <v>31701</v>
      </c>
      <c r="B25191" s="4" t="s">
        <v>31705</v>
      </c>
      <c r="C25191" s="5" t="str">
        <f>IFERROR(__xludf.DUMMYFUNCTION("GOOGLETRANSLATE(B25191,""en"",""fr"")"),"L'homme joue une chanson sur le violon.")</f>
        <v>L'homme joue une chanson sur le violon.</v>
      </c>
    </row>
    <row r="25192">
      <c r="A25192" s="4" t="s">
        <v>31706</v>
      </c>
      <c r="B25192" s="4" t="s">
        <v>31707</v>
      </c>
      <c r="C25192" s="5" t="str">
        <f>IFERROR(__xludf.DUMMYFUNCTION("GOOGLETRANSLATE(B25192,""en"",""fr"")"),"Une éclaboussure verte apparaît contre une noyade blanche.")</f>
        <v>Une éclaboussure verte apparaît contre une noyade blanche.</v>
      </c>
    </row>
    <row r="25193">
      <c r="A25193" s="4" t="s">
        <v>31706</v>
      </c>
      <c r="B25193" s="6" t="s">
        <v>31708</v>
      </c>
      <c r="C25193" s="5" t="str">
        <f>IFERROR(__xludf.DUMMYFUNCTION("GOOGLETRANSLATE(B25193,""en"",""fr"")"),"Ensuite, une série de mots apparaît sur l'écran et montrant diverses images décrivant les termes.")</f>
        <v>Ensuite, une série de mots apparaît sur l'écran et montrant diverses images décrivant les termes.</v>
      </c>
    </row>
    <row r="25194">
      <c r="A25194" s="4" t="s">
        <v>31706</v>
      </c>
      <c r="B25194" s="4" t="s">
        <v>31709</v>
      </c>
      <c r="C25194" s="5" t="str">
        <f>IFERROR(__xludf.DUMMYFUNCTION("GOOGLETRANSLATE(B25194,""en"",""fr"")"),"Un homme est ensuite montré debout sur une échelle pose du papier peint.")</f>
        <v>Un homme est ensuite montré debout sur une échelle pose du papier peint.</v>
      </c>
    </row>
    <row r="25195">
      <c r="A25195" s="4" t="s">
        <v>31706</v>
      </c>
      <c r="B25195" s="4" t="s">
        <v>31710</v>
      </c>
      <c r="C25195" s="5" t="str">
        <f>IFERROR(__xludf.DUMMYFUNCTION("GOOGLETRANSLATE(B25195,""en"",""fr"")"),"Après, l'homme coupe le papier peint et gagne de l'aide tout en mettant le papier sur le toit.")</f>
        <v>Après, l'homme coupe le papier peint et gagne de l'aide tout en mettant le papier sur le toit.</v>
      </c>
    </row>
    <row r="25196">
      <c r="A25196" s="4" t="s">
        <v>31706</v>
      </c>
      <c r="B25196" s="4" t="s">
        <v>31711</v>
      </c>
      <c r="C25196" s="5" t="str">
        <f>IFERROR(__xludf.DUMMYFUNCTION("GOOGLETRANSLATE(B25196,""en"",""fr"")"),"Les deux finissent et donnent à chacun un high cinq.")</f>
        <v>Les deux finissent et donnent à chacun un high cinq.</v>
      </c>
    </row>
    <row r="25197">
      <c r="A25197" s="4" t="s">
        <v>31706</v>
      </c>
      <c r="B25197" s="4" t="s">
        <v>31712</v>
      </c>
      <c r="C25197" s="5" t="str">
        <f>IFERROR(__xludf.DUMMYFUNCTION("GOOGLETRANSLATE(B25197,""en"",""fr"")"),"Enfin, plusieurs pièces sont affichées affichant le travail qu'ils ont accompli.")</f>
        <v>Enfin, plusieurs pièces sont affichées affichant le travail qu'ils ont accompli.</v>
      </c>
    </row>
    <row r="25198">
      <c r="A25198" s="4" t="s">
        <v>31713</v>
      </c>
      <c r="B25198" s="4" t="s">
        <v>31714</v>
      </c>
      <c r="C25198" s="5" t="str">
        <f>IFERROR(__xludf.DUMMYFUNCTION("GOOGLETRANSLATE(B25198,""en"",""fr"")"),"Une jeune fille est vue parler à la caméra en jouant avec ses cheveux.")</f>
        <v>Une jeune fille est vue parler à la caméra en jouant avec ses cheveux.</v>
      </c>
    </row>
    <row r="25199">
      <c r="A25199" s="4" t="s">
        <v>31713</v>
      </c>
      <c r="B25199" s="4" t="s">
        <v>31715</v>
      </c>
      <c r="C25199" s="5" t="str">
        <f>IFERROR(__xludf.DUMMYFUNCTION("GOOGLETRANSLATE(B25199,""en"",""fr"")"),"Elle pointe sa chemise et mène à ses cheveux en parlant à la caméra.")</f>
        <v>Elle pointe sa chemise et mène à ses cheveux en parlant à la caméra.</v>
      </c>
    </row>
    <row r="25200">
      <c r="A25200" s="4" t="s">
        <v>31716</v>
      </c>
      <c r="B25200" s="4" t="s">
        <v>31717</v>
      </c>
      <c r="C25200" s="5" t="str">
        <f>IFERROR(__xludf.DUMMYFUNCTION("GOOGLETRANSLATE(B25200,""en"",""fr"")"),"Une personne est vue nager sous l'eau en utilisant du matériel de plongée et tirer une corde à ses côtés.")</f>
        <v>Une personne est vue nager sous l'eau en utilisant du matériel de plongée et tirer une corde à ses côtés.</v>
      </c>
    </row>
    <row r="25201">
      <c r="A25201" s="4" t="s">
        <v>31716</v>
      </c>
      <c r="B25201" s="4" t="s">
        <v>31718</v>
      </c>
      <c r="C25201" s="5" t="str">
        <f>IFERROR(__xludf.DUMMYFUNCTION("GOOGLETRANSLATE(B25201,""en"",""fr"")"),"Elle attrape ensuite un poisson et est revu dans un bikini nageant autour d'une baleine.")</f>
        <v>Elle attrape ensuite un poisson et est revu dans un bikini nageant autour d'une baleine.</v>
      </c>
    </row>
    <row r="25202">
      <c r="A25202" s="4" t="s">
        <v>31716</v>
      </c>
      <c r="B25202" s="6" t="s">
        <v>31719</v>
      </c>
      <c r="C25202" s="5" t="str">
        <f>IFERROR(__xludf.DUMMYFUNCTION("GOOGLETRANSLATE(B25202,""en"",""fr"")"),"Plus de photos d'un dauphin sont représentées sautant dans l'eau et se termine par du texte à travers l'écran.")</f>
        <v>Plus de photos d'un dauphin sont représentées sautant dans l'eau et se termine par du texte à travers l'écran.</v>
      </c>
    </row>
    <row r="25203">
      <c r="A25203" s="4" t="s">
        <v>31720</v>
      </c>
      <c r="B25203" s="6" t="s">
        <v>31721</v>
      </c>
      <c r="C25203" s="5" t="str">
        <f>IFERROR(__xludf.DUMMYFUNCTION("GOOGLETRANSLATE(B25203,""en"",""fr"")"),"Un jeune homme chamois est assis sur une machine avec un siège coulissant présentant des techniques de levage de poids.")</f>
        <v>Un jeune homme chamois est assis sur une machine avec un siège coulissant présentant des techniques de levage de poids.</v>
      </c>
    </row>
    <row r="25204">
      <c r="A25204" s="4" t="s">
        <v>31720</v>
      </c>
      <c r="B25204" s="4" t="s">
        <v>31722</v>
      </c>
      <c r="C25204" s="5" t="str">
        <f>IFERROR(__xludf.DUMMYFUNCTION("GOOGLETRANSLATE(B25204,""en"",""fr"")"),"Il glisse ensuite en arrière, met ses pieds dans les cordes et commence à attacher ses chaussures.")</f>
        <v>Il glisse ensuite en arrière, met ses pieds dans les cordes et commence à attacher ses chaussures.</v>
      </c>
    </row>
    <row r="25205">
      <c r="A25205" s="4" t="s">
        <v>31720</v>
      </c>
      <c r="B25205" s="6" t="s">
        <v>31723</v>
      </c>
      <c r="C25205" s="5" t="str">
        <f>IFERROR(__xludf.DUMMYFUNCTION("GOOGLETRANSLATE(B25205,""en"",""fr"")"),"Une fois terminé, l'homme attrape la corde et se déplace d'avant en arrière tout en tirant la corde pour faire de l'exercice.")</f>
        <v>Une fois terminé, l'homme attrape la corde et se déplace d'avant en arrière tout en tirant la corde pour faire de l'exercice.</v>
      </c>
    </row>
    <row r="25206">
      <c r="A25206" s="4" t="s">
        <v>31720</v>
      </c>
      <c r="B25206" s="4" t="s">
        <v>31724</v>
      </c>
      <c r="C25206" s="5" t="str">
        <f>IFERROR(__xludf.DUMMYFUNCTION("GOOGLETRANSLATE(B25206,""en"",""fr"")"),"Maintenant, il a fini, il laisse tomber les cordes et recommence à parler.")</f>
        <v>Maintenant, il a fini, il laisse tomber les cordes et recommence à parler.</v>
      </c>
    </row>
    <row r="25207">
      <c r="A25207" s="4" t="s">
        <v>31725</v>
      </c>
      <c r="B25207" s="4" t="s">
        <v>31726</v>
      </c>
      <c r="C25207" s="5" t="str">
        <f>IFERROR(__xludf.DUMMYFUNCTION("GOOGLETRANSLATE(B25207,""en"",""fr"")"),"Une famille réarrange les meubles dans un salon.")</f>
        <v>Une famille réarrange les meubles dans un salon.</v>
      </c>
    </row>
    <row r="25208">
      <c r="A25208" s="4" t="s">
        <v>31725</v>
      </c>
      <c r="B25208" s="4" t="s">
        <v>31727</v>
      </c>
      <c r="C25208" s="5" t="str">
        <f>IFERROR(__xludf.DUMMYFUNCTION("GOOGLETRANSLATE(B25208,""en"",""fr"")"),"Ils ont installé un arbre de Noël dans le coin de la pièce.")</f>
        <v>Ils ont installé un arbre de Noël dans le coin de la pièce.</v>
      </c>
    </row>
    <row r="25209">
      <c r="A25209" s="4" t="s">
        <v>31725</v>
      </c>
      <c r="B25209" s="4" t="s">
        <v>31728</v>
      </c>
      <c r="C25209" s="5" t="str">
        <f>IFERROR(__xludf.DUMMYFUNCTION("GOOGLETRANSLATE(B25209,""en"",""fr"")"),"Ils mettent des lumières sur l'arbre.")</f>
        <v>Ils mettent des lumières sur l'arbre.</v>
      </c>
    </row>
    <row r="25210">
      <c r="A25210" s="4" t="s">
        <v>31725</v>
      </c>
      <c r="B25210" s="4" t="s">
        <v>31729</v>
      </c>
      <c r="C25210" s="5" t="str">
        <f>IFERROR(__xludf.DUMMYFUNCTION("GOOGLETRANSLATE(B25210,""en"",""fr"")"),"Ils mettent des ampoules sur l'arbre.")</f>
        <v>Ils mettent des ampoules sur l'arbre.</v>
      </c>
    </row>
    <row r="25211">
      <c r="A25211" s="4" t="s">
        <v>31725</v>
      </c>
      <c r="B25211" s="4" t="s">
        <v>31730</v>
      </c>
      <c r="C25211" s="5" t="str">
        <f>IFERROR(__xludf.DUMMYFUNCTION("GOOGLETRANSLATE(B25211,""en"",""fr"")"),"Une petite fille fait un tour devant l'arbre.")</f>
        <v>Une petite fille fait un tour devant l'arbre.</v>
      </c>
    </row>
    <row r="25212">
      <c r="A25212" s="4" t="s">
        <v>31731</v>
      </c>
      <c r="B25212" s="4" t="s">
        <v>31732</v>
      </c>
      <c r="C25212" s="5" t="str">
        <f>IFERROR(__xludf.DUMMYFUNCTION("GOOGLETRANSLATE(B25212,""en"",""fr"")"),"Un homme est à l'intérieur d'une salle de sport avec une balle.")</f>
        <v>Un homme est à l'intérieur d'une salle de sport avec une balle.</v>
      </c>
    </row>
    <row r="25213">
      <c r="A25213" s="4" t="s">
        <v>31731</v>
      </c>
      <c r="B25213" s="4" t="s">
        <v>31733</v>
      </c>
      <c r="C25213" s="5" t="str">
        <f>IFERROR(__xludf.DUMMYFUNCTION("GOOGLETRANSLATE(B25213,""en"",""fr"")"),"Il rejoint une équipe, jouant à un jeu de football.")</f>
        <v>Il rejoint une équipe, jouant à un jeu de football.</v>
      </c>
    </row>
    <row r="25214">
      <c r="A25214" s="4" t="s">
        <v>31731</v>
      </c>
      <c r="B25214" s="4" t="s">
        <v>31734</v>
      </c>
      <c r="C25214" s="5" t="str">
        <f>IFERROR(__xludf.DUMMYFUNCTION("GOOGLETRANSLATE(B25214,""en"",""fr"")"),"Ils lancent le ballon d'avant en arrière sur le terrain.")</f>
        <v>Ils lancent le ballon d'avant en arrière sur le terrain.</v>
      </c>
    </row>
    <row r="25215">
      <c r="A25215" s="4" t="s">
        <v>31735</v>
      </c>
      <c r="B25215" s="4" t="s">
        <v>31736</v>
      </c>
      <c r="C25215" s="5" t="str">
        <f>IFERROR(__xludf.DUMMYFUNCTION("GOOGLETRANSLATE(B25215,""en"",""fr"")"),"Les hommes se tiennent dans un champ Geen Grssy jouant du croquet.")</f>
        <v>Les hommes se tiennent dans un champ Geen Grssy jouant du croquet.</v>
      </c>
    </row>
    <row r="25216">
      <c r="A25216" s="4" t="s">
        <v>31735</v>
      </c>
      <c r="B25216" s="4" t="s">
        <v>31737</v>
      </c>
      <c r="C25216" s="5" t="str">
        <f>IFERROR(__xludf.DUMMYFUNCTION("GOOGLETRANSLATE(B25216,""en"",""fr"")"),"Les gens sont assis sur le terrain autour du jeu de croquet.")</f>
        <v>Les gens sont assis sur le terrain autour du jeu de croquet.</v>
      </c>
    </row>
    <row r="25217">
      <c r="A25217" s="4" t="s">
        <v>31735</v>
      </c>
      <c r="B25217" s="4" t="s">
        <v>31738</v>
      </c>
      <c r="C25217" s="5" t="str">
        <f>IFERROR(__xludf.DUMMYFUNCTION("GOOGLETRANSLATE(B25217,""en"",""fr"")"),"L'homme portant un uniforme blanc parle à la caméra sur le terrain.")</f>
        <v>L'homme portant un uniforme blanc parle à la caméra sur le terrain.</v>
      </c>
    </row>
    <row r="25218">
      <c r="A25218" s="4" t="s">
        <v>31735</v>
      </c>
      <c r="B25218" s="4" t="s">
        <v>31739</v>
      </c>
      <c r="C25218" s="5" t="str">
        <f>IFERROR(__xludf.DUMMYFUNCTION("GOOGLETRANSLATE(B25218,""en"",""fr"")"),"Un homme et une femme parlent à la caméra.")</f>
        <v>Un homme et une femme parlent à la caméra.</v>
      </c>
    </row>
    <row r="25219">
      <c r="A25219" s="4" t="s">
        <v>31740</v>
      </c>
      <c r="B25219" s="4" t="s">
        <v>31741</v>
      </c>
      <c r="C25219" s="5" t="str">
        <f>IFERROR(__xludf.DUMMYFUNCTION("GOOGLETRANSLATE(B25219,""en"",""fr"")"),"Nous voyons une personne debout sur un stepper d'escalier.")</f>
        <v>Nous voyons une personne debout sur un stepper d'escalier.</v>
      </c>
    </row>
    <row r="25220">
      <c r="A25220" s="4" t="s">
        <v>31740</v>
      </c>
      <c r="B25220" s="4" t="s">
        <v>31742</v>
      </c>
      <c r="C25220" s="5" t="str">
        <f>IFERROR(__xludf.DUMMYFUNCTION("GOOGLETRANSLATE(B25220,""en"",""fr"")"),"La personne éloigne un cordon.")</f>
        <v>La personne éloigne un cordon.</v>
      </c>
    </row>
    <row r="25221">
      <c r="A25221" s="4" t="s">
        <v>31740</v>
      </c>
      <c r="B25221" s="4" t="s">
        <v>31743</v>
      </c>
      <c r="C25221" s="5" t="str">
        <f>IFERROR(__xludf.DUMMYFUNCTION("GOOGLETRANSLATE(B25221,""en"",""fr"")"),"L'homme commence à marcher sur le pas de pas.")</f>
        <v>L'homme commence à marcher sur le pas de pas.</v>
      </c>
    </row>
    <row r="25222">
      <c r="A25222" s="4" t="s">
        <v>31740</v>
      </c>
      <c r="B25222" s="4" t="s">
        <v>31744</v>
      </c>
      <c r="C25222" s="5" t="str">
        <f>IFERROR(__xludf.DUMMYFUNCTION("GOOGLETRANSLATE(B25222,""en"",""fr"")"),"La personne soulève sa main droite.")</f>
        <v>La personne soulève sa main droite.</v>
      </c>
    </row>
    <row r="25223">
      <c r="A25223" s="4" t="s">
        <v>31745</v>
      </c>
      <c r="B25223" s="4" t="s">
        <v>31746</v>
      </c>
      <c r="C25223" s="5" t="str">
        <f>IFERROR(__xludf.DUMMYFUNCTION("GOOGLETRANSLATE(B25223,""en"",""fr"")"),"Un homme est vu parler à la caméra et l'emmente en aidant un homme à tirer plusieurs paniers.")</f>
        <v>Un homme est vu parler à la caméra et l'emmente en aidant un homme à tirer plusieurs paniers.</v>
      </c>
    </row>
    <row r="25224">
      <c r="A25224" s="4" t="s">
        <v>31745</v>
      </c>
      <c r="B25224" s="4" t="s">
        <v>31747</v>
      </c>
      <c r="C25224" s="5" t="str">
        <f>IFERROR(__xludf.DUMMYFUNCTION("GOOGLETRANSLATE(B25224,""en"",""fr"")"),"L'entraîneur est ensuite vu instruire un grand groupe d'enfants lorsqu'ils tirent des paniers encore et encore.")</f>
        <v>L'entraîneur est ensuite vu instruire un grand groupe d'enfants lorsqu'ils tirent des paniers encore et encore.</v>
      </c>
    </row>
    <row r="25225">
      <c r="A25225" s="4" t="s">
        <v>31748</v>
      </c>
      <c r="B25225" s="4" t="s">
        <v>31749</v>
      </c>
      <c r="C25225" s="5" t="str">
        <f>IFERROR(__xludf.DUMMYFUNCTION("GOOGLETRANSLATE(B25225,""en"",""fr"")"),"La fumée remplit une pièce sombre vide.")</f>
        <v>La fumée remplit une pièce sombre vide.</v>
      </c>
    </row>
    <row r="25226">
      <c r="A25226" s="4" t="s">
        <v>31748</v>
      </c>
      <c r="B25226" s="4" t="s">
        <v>31750</v>
      </c>
      <c r="C25226" s="5" t="str">
        <f>IFERROR(__xludf.DUMMYFUNCTION("GOOGLETRANSLATE(B25226,""en"",""fr"")"),"Des mots apparaissent à l'écran, suivis de l'apparition d'hommes qui sont kickboxing.")</f>
        <v>Des mots apparaissent à l'écran, suivis de l'apparition d'hommes qui sont kickboxing.</v>
      </c>
    </row>
    <row r="25227">
      <c r="A25227" s="4" t="s">
        <v>31748</v>
      </c>
      <c r="B25227" s="4" t="s">
        <v>31751</v>
      </c>
      <c r="C25227" s="5" t="str">
        <f>IFERROR(__xludf.DUMMYFUNCTION("GOOGLETRANSLATE(B25227,""en"",""fr"")"),"Un groupe joue des instruments derrière eux pendant qu'ils se battent.")</f>
        <v>Un groupe joue des instruments derrière eux pendant qu'ils se battent.</v>
      </c>
    </row>
    <row r="25228">
      <c r="A25228" s="4" t="s">
        <v>31748</v>
      </c>
      <c r="B25228" s="4" t="s">
        <v>31752</v>
      </c>
      <c r="C25228" s="5" t="str">
        <f>IFERROR(__xludf.DUMMYFUNCTION("GOOGLETRANSLATE(B25228,""en"",""fr"")"),"Les deux hommes mettent fin au combat avec un câlin.")</f>
        <v>Les deux hommes mettent fin au combat avec un câlin.</v>
      </c>
    </row>
    <row r="25229">
      <c r="A25229" s="4" t="s">
        <v>31753</v>
      </c>
      <c r="B25229" s="4" t="s">
        <v>31754</v>
      </c>
      <c r="C25229" s="5" t="str">
        <f>IFERROR(__xludf.DUMMYFUNCTION("GOOGLETRANSLATE(B25229,""en"",""fr"")"),"Deux hommes sont dans une pièce en train de jouer au rang de rangée de rangs.")</f>
        <v>Deux hommes sont dans une pièce en train de jouer au rang de rangée de rangs.</v>
      </c>
    </row>
    <row r="25230">
      <c r="A25230" s="4" t="s">
        <v>31753</v>
      </c>
      <c r="B25230" s="4" t="s">
        <v>31755</v>
      </c>
      <c r="C25230" s="5" t="str">
        <f>IFERROR(__xludf.DUMMYFUNCTION("GOOGLETRANSLATE(B25230,""en"",""fr"")"),"Deux hommes jouent à prendre un selfie dans un salon.")</f>
        <v>Deux hommes jouent à prendre un selfie dans un salon.</v>
      </c>
    </row>
    <row r="25231">
      <c r="A25231" s="4" t="s">
        <v>31753</v>
      </c>
      <c r="B25231" s="4" t="s">
        <v>31756</v>
      </c>
      <c r="C25231" s="5" t="str">
        <f>IFERROR(__xludf.DUMMYFUNCTION("GOOGLETRANSLATE(B25231,""en"",""fr"")"),"L'homme se tient dans le salon en jouant à la bière Pong et sort sa chemise.")</f>
        <v>L'homme se tient dans le salon en jouant à la bière Pong et sort sa chemise.</v>
      </c>
    </row>
    <row r="25232">
      <c r="A25232" s="4" t="s">
        <v>31753</v>
      </c>
      <c r="B25232" s="4" t="s">
        <v>31757</v>
      </c>
      <c r="C25232" s="5" t="str">
        <f>IFERROR(__xludf.DUMMYFUNCTION("GOOGLETRANSLATE(B25232,""en"",""fr"")"),"L'homme se tient dans le salon en tenant une raquette de tennis et en frappant une balle.")</f>
        <v>L'homme se tient dans le salon en tenant une raquette de tennis et en frappant une balle.</v>
      </c>
    </row>
    <row r="25233">
      <c r="A25233" s="4" t="s">
        <v>31753</v>
      </c>
      <c r="B25233" s="6" t="s">
        <v>31758</v>
      </c>
      <c r="C25233" s="5" t="str">
        <f>IFERROR(__xludf.DUMMYFUNCTION("GOOGLETRANSLATE(B25233,""en"",""fr"")"),"Deux hommes se tiennent dans le vivant avec de la bière Pong et font d'autres jeux de tir avec une bouteille de whisky.")</f>
        <v>Deux hommes se tiennent dans le vivant avec de la bière Pong et font d'autres jeux de tir avec une bouteille de whisky.</v>
      </c>
    </row>
    <row r="25234">
      <c r="A25234" s="4" t="s">
        <v>31759</v>
      </c>
      <c r="B25234" s="6" t="s">
        <v>31760</v>
      </c>
      <c r="C25234" s="5" t="str">
        <f>IFERROR(__xludf.DUMMYFUNCTION("GOOGLETRANSLATE(B25234,""en"",""fr"")"),"Une femme est vue parler à la caméra tout en tenant divers objets et commence à se brosser les cheveux.")</f>
        <v>Une femme est vue parler à la caméra tout en tenant divers objets et commence à se brosser les cheveux.</v>
      </c>
    </row>
    <row r="25235">
      <c r="A25235" s="4" t="s">
        <v>31759</v>
      </c>
      <c r="B25235" s="4" t="s">
        <v>31761</v>
      </c>
      <c r="C25235" s="5" t="str">
        <f>IFERROR(__xludf.DUMMYFUNCTION("GOOGLETRANSLATE(B25235,""en"",""fr"")"),"Elle attache ses cheveux tout en parlant et en tenant plusieurs pinceaux à l'heure du signe.")</f>
        <v>Elle attache ses cheveux tout en parlant et en tenant plusieurs pinceaux à l'heure du signe.</v>
      </c>
    </row>
    <row r="25236">
      <c r="A25236" s="4" t="s">
        <v>31762</v>
      </c>
      <c r="B25236" s="4" t="s">
        <v>31763</v>
      </c>
      <c r="C25236" s="5" t="str">
        <f>IFERROR(__xludf.DUMMYFUNCTION("GOOGLETRANSLATE(B25236,""en"",""fr"")"),"Un artiste de piercing corporel est vu percer le nombril d'une femme.")</f>
        <v>Un artiste de piercing corporel est vu percer le nombril d'une femme.</v>
      </c>
    </row>
    <row r="25237">
      <c r="A25237" s="4" t="s">
        <v>31762</v>
      </c>
      <c r="B25237" s="4" t="s">
        <v>31764</v>
      </c>
      <c r="C25237" s="5" t="str">
        <f>IFERROR(__xludf.DUMMYFUNCTION("GOOGLETRANSLATE(B25237,""en"",""fr"")"),"Initialement, il utilise un outil de perçage pour faire l'incision sur le nombril.")</f>
        <v>Initialement, il utilise un outil de perçage pour faire l'incision sur le nombril.</v>
      </c>
    </row>
    <row r="25238">
      <c r="A25238" s="4" t="s">
        <v>31762</v>
      </c>
      <c r="B25238" s="4" t="s">
        <v>31765</v>
      </c>
      <c r="C25238" s="5" t="str">
        <f>IFERROR(__xludf.DUMMYFUNCTION("GOOGLETRANSLATE(B25238,""en"",""fr"")"),"Ensuite, il insère le piercing et s'assure que c'est sécurisé.")</f>
        <v>Ensuite, il insère le piercing et s'assure que c'est sécurisé.</v>
      </c>
    </row>
    <row r="25239">
      <c r="A25239" s="4" t="s">
        <v>31762</v>
      </c>
      <c r="B25239" s="4" t="s">
        <v>31766</v>
      </c>
      <c r="C25239" s="5" t="str">
        <f>IFERROR(__xludf.DUMMYFUNCTION("GOOGLETRANSLATE(B25239,""en"",""fr"")"),"Qu'il utilise un essuyage et nettoie la zone.")</f>
        <v>Qu'il utilise un essuyage et nettoie la zone.</v>
      </c>
    </row>
    <row r="25240">
      <c r="A25240" s="4" t="s">
        <v>31762</v>
      </c>
      <c r="B25240" s="4" t="s">
        <v>31767</v>
      </c>
      <c r="C25240" s="5" t="str">
        <f>IFERROR(__xludf.DUMMYFUNCTION("GOOGLETRANSLATE(B25240,""en"",""fr"")"),"Ensuite, la fille se lève à son ami et regarde dans le miroir.")</f>
        <v>Ensuite, la fille se lève à son ami et regarde dans le miroir.</v>
      </c>
    </row>
    <row r="25241">
      <c r="A25241" s="4" t="s">
        <v>31762</v>
      </c>
      <c r="B25241" s="4" t="s">
        <v>31768</v>
      </c>
      <c r="C25241" s="5" t="str">
        <f>IFERROR(__xludf.DUMMYFUNCTION("GOOGLETRANSLATE(B25241,""en"",""fr"")"),"À la fin, la caméra se retourne et parle à la caméra avec autorité.")</f>
        <v>À la fin, la caméra se retourne et parle à la caméra avec autorité.</v>
      </c>
    </row>
    <row r="25242">
      <c r="A25242" s="4" t="s">
        <v>31769</v>
      </c>
      <c r="B25242" s="4" t="s">
        <v>31770</v>
      </c>
      <c r="C25242" s="5" t="str">
        <f>IFERROR(__xludf.DUMMYFUNCTION("GOOGLETRANSLATE(B25242,""en"",""fr"")"),"Un homme se tient dans une grande pièce.")</f>
        <v>Un homme se tient dans une grande pièce.</v>
      </c>
    </row>
    <row r="25243">
      <c r="A25243" s="4" t="s">
        <v>31769</v>
      </c>
      <c r="B25243" s="4" t="s">
        <v>31771</v>
      </c>
      <c r="C25243" s="5" t="str">
        <f>IFERROR(__xludf.DUMMYFUNCTION("GOOGLETRANSLATE(B25243,""en"",""fr"")"),"Il saute ensuite sur les poutres.")</f>
        <v>Il saute ensuite sur les poutres.</v>
      </c>
    </row>
    <row r="25244">
      <c r="A25244" s="4" t="s">
        <v>31769</v>
      </c>
      <c r="B25244" s="4" t="s">
        <v>31772</v>
      </c>
      <c r="C25244" s="5" t="str">
        <f>IFERROR(__xludf.DUMMYFUNCTION("GOOGLETRANSLATE(B25244,""en"",""fr"")"),"Il se balance ensuite sur le faisceau.")</f>
        <v>Il se balance ensuite sur le faisceau.</v>
      </c>
    </row>
    <row r="25245">
      <c r="A25245" s="4" t="s">
        <v>31769</v>
      </c>
      <c r="B25245" s="4" t="s">
        <v>31773</v>
      </c>
      <c r="C25245" s="5" t="str">
        <f>IFERROR(__xludf.DUMMYFUNCTION("GOOGLETRANSLATE(B25245,""en"",""fr"")"),"Il fait plusieurs flips et astuces.")</f>
        <v>Il fait plusieurs flips et astuces.</v>
      </c>
    </row>
    <row r="25246">
      <c r="A25246" s="4" t="s">
        <v>31774</v>
      </c>
      <c r="B25246" s="4" t="s">
        <v>31775</v>
      </c>
      <c r="C25246" s="5" t="str">
        <f>IFERROR(__xludf.DUMMYFUNCTION("GOOGLETRANSLATE(B25246,""en"",""fr"")"),"Un homme roule sur une planche à roulettes sur une route de banlieue.")</f>
        <v>Un homme roule sur une planche à roulettes sur une route de banlieue.</v>
      </c>
    </row>
    <row r="25247">
      <c r="A25247" s="4" t="s">
        <v>31774</v>
      </c>
      <c r="B25247" s="4" t="s">
        <v>31776</v>
      </c>
      <c r="C25247" s="5" t="str">
        <f>IFERROR(__xludf.DUMMYFUNCTION("GOOGLETRANSLATE(B25247,""en"",""fr"")"),"Deux autres sont représentés lorsque l'homme de la caméra les repére par derrière.")</f>
        <v>Deux autres sont représentés lorsque l'homme de la caméra les repére par derrière.</v>
      </c>
    </row>
    <row r="25248">
      <c r="A25248" s="4" t="s">
        <v>31774</v>
      </c>
      <c r="B25248" s="4" t="s">
        <v>31777</v>
      </c>
      <c r="C25248" s="5" t="str">
        <f>IFERROR(__xludf.DUMMYFUNCTION("GOOGLETRANSLATE(B25248,""en"",""fr"")"),"Il les pousse, les gardant à un rythme rapide.")</f>
        <v>Il les pousse, les gardant à un rythme rapide.</v>
      </c>
    </row>
    <row r="25249">
      <c r="A25249" s="4" t="s">
        <v>31778</v>
      </c>
      <c r="B25249" s="4" t="s">
        <v>31779</v>
      </c>
      <c r="C25249" s="5" t="str">
        <f>IFERROR(__xludf.DUMMYFUNCTION("GOOGLETRANSLATE(B25249,""en"",""fr"")"),"Un athlète saute avec un poteau pour passer la barre horizontale, puis il tombe sur le tapis mousseux.")</f>
        <v>Un athlète saute avec un poteau pour passer la barre horizontale, puis il tombe sur le tapis mousseux.</v>
      </c>
    </row>
    <row r="25250">
      <c r="A25250" s="4" t="s">
        <v>31778</v>
      </c>
      <c r="B25250" s="4" t="s">
        <v>31780</v>
      </c>
      <c r="C25250" s="5" t="str">
        <f>IFERROR(__xludf.DUMMYFUNCTION("GOOGLETRANSLATE(B25250,""en"",""fr"")"),"Ensuite, il y a un flash en arrière du saut à la perche de voûte.")</f>
        <v>Ensuite, il y a un flash en arrière du saut à la perche de voûte.</v>
      </c>
    </row>
    <row r="25251">
      <c r="A25251" s="4" t="s">
        <v>31781</v>
      </c>
      <c r="B25251" s="6" t="s">
        <v>31782</v>
      </c>
      <c r="C25251" s="5" t="str">
        <f>IFERROR(__xludf.DUMMYFUNCTION("GOOGLETRANSLATE(B25251,""en"",""fr"")"),"Une femme est vue assise derrière une table de poker et des cartes de concessionnaires tandis que d'autres font de même dans le dos.")</f>
        <v>Une femme est vue assise derrière une table de poker et des cartes de concessionnaires tandis que d'autres font de même dans le dos.</v>
      </c>
    </row>
    <row r="25252">
      <c r="A25252" s="4" t="s">
        <v>31781</v>
      </c>
      <c r="B25252" s="4" t="s">
        <v>31783</v>
      </c>
      <c r="C25252" s="5" t="str">
        <f>IFERROR(__xludf.DUMMYFUNCTION("GOOGLETRANSLATE(B25252,""en"",""fr"")"),"La femme continue de traiter des cartes sur la table tout en regardant et en souriant à la caméra.")</f>
        <v>La femme continue de traiter des cartes sur la table tout en regardant et en souriant à la caméra.</v>
      </c>
    </row>
    <row r="25253">
      <c r="A25253" s="4" t="s">
        <v>31784</v>
      </c>
      <c r="B25253" s="4" t="s">
        <v>31785</v>
      </c>
      <c r="C25253" s="5" t="str">
        <f>IFERROR(__xludf.DUMMYFUNCTION("GOOGLETRANSLATE(B25253,""en"",""fr"")"),"Plusieurs clips sont représentés de personnes tenant des raquettes de tennis et frappant une balle au loin.")</f>
        <v>Plusieurs clips sont représentés de personnes tenant des raquettes de tennis et frappant une balle au loin.</v>
      </c>
    </row>
    <row r="25254">
      <c r="A25254" s="4" t="s">
        <v>31784</v>
      </c>
      <c r="B25254" s="4" t="s">
        <v>31786</v>
      </c>
      <c r="C25254" s="5" t="str">
        <f>IFERROR(__xludf.DUMMYFUNCTION("GOOGLETRANSLATE(B25254,""en"",""fr"")"),"Le texte est affiché à travers l'écran et d'autres photos sont montrées des personnes démontrant.")</f>
        <v>Le texte est affiché à travers l'écran et d'autres photos sont montrées des personnes démontrant.</v>
      </c>
    </row>
    <row r="25255">
      <c r="A25255" s="4" t="s">
        <v>31784</v>
      </c>
      <c r="B25255" s="6" t="s">
        <v>31787</v>
      </c>
      <c r="C25255" s="5" t="str">
        <f>IFERROR(__xludf.DUMMYFUNCTION("GOOGLETRANSLATE(B25255,""en"",""fr"")"),"Les gens continuent de frapper les balles autour du terrain pendant que la caméra capture leurs mouvements.")</f>
        <v>Les gens continuent de frapper les balles autour du terrain pendant que la caméra capture leurs mouvements.</v>
      </c>
    </row>
    <row r="25256">
      <c r="A25256" s="4" t="s">
        <v>31788</v>
      </c>
      <c r="B25256" s="6" t="s">
        <v>31789</v>
      </c>
      <c r="C25256" s="5" t="str">
        <f>IFERROR(__xludf.DUMMYFUNCTION("GOOGLETRANSLATE(B25256,""en"",""fr"")"),"Les deux filles s'embrassent et la fille qui porte la robe bleue passe légèrement devant l'autre fille.")</f>
        <v>Les deux filles s'embrassent et la fille qui porte la robe bleue passe légèrement devant l'autre fille.</v>
      </c>
    </row>
    <row r="25257">
      <c r="A25257" s="4" t="s">
        <v>31788</v>
      </c>
      <c r="B25257" s="4" t="s">
        <v>31790</v>
      </c>
      <c r="C25257" s="5" t="str">
        <f>IFERROR(__xludf.DUMMYFUNCTION("GOOGLETRANSLATE(B25257,""en"",""fr"")"),"Puis elle revient vers elle et la serre dans ses bras et s'enfuit à nouveau d'elle.")</f>
        <v>Puis elle revient vers elle et la serre dans ses bras et s'enfuit à nouveau d'elle.</v>
      </c>
    </row>
    <row r="25258">
      <c r="A25258" s="4" t="s">
        <v>31791</v>
      </c>
      <c r="B25258" s="4" t="s">
        <v>31792</v>
      </c>
      <c r="C25258" s="5" t="str">
        <f>IFERROR(__xludf.DUMMYFUNCTION("GOOGLETRANSLATE(B25258,""en"",""fr"")"),"Nous voyons un homme parler à la caméra tout en tenant un accordéon.")</f>
        <v>Nous voyons un homme parler à la caméra tout en tenant un accordéon.</v>
      </c>
    </row>
    <row r="25259">
      <c r="A25259" s="4" t="s">
        <v>31791</v>
      </c>
      <c r="B25259" s="4" t="s">
        <v>31793</v>
      </c>
      <c r="C25259" s="5" t="str">
        <f>IFERROR(__xludf.DUMMYFUNCTION("GOOGLETRANSLATE(B25259,""en"",""fr"")"),"L'homme joue ensuite l'accordéon et nous le voyons de près.")</f>
        <v>L'homme joue ensuite l'accordéon et nous le voyons de près.</v>
      </c>
    </row>
    <row r="25260">
      <c r="A25260" s="4" t="s">
        <v>31791</v>
      </c>
      <c r="B25260" s="4" t="s">
        <v>31794</v>
      </c>
      <c r="C25260" s="5" t="str">
        <f>IFERROR(__xludf.DUMMYFUNCTION("GOOGLETRANSLATE(B25260,""en"",""fr"")"),"L'homme tient une note et ses mains tremblent.")</f>
        <v>L'homme tient une note et ses mains tremblent.</v>
      </c>
    </row>
    <row r="25261">
      <c r="A25261" s="4" t="s">
        <v>31791</v>
      </c>
      <c r="B25261" s="4" t="s">
        <v>31795</v>
      </c>
      <c r="C25261" s="5" t="str">
        <f>IFERROR(__xludf.DUMMYFUNCTION("GOOGLETRANSLATE(B25261,""en"",""fr"")"),"Nous faisons un zoom arrière et l'homme cesse de jouer.")</f>
        <v>Nous faisons un zoom arrière et l'homme cesse de jouer.</v>
      </c>
    </row>
    <row r="25262">
      <c r="A25262" s="4" t="s">
        <v>31796</v>
      </c>
      <c r="B25262" s="6" t="s">
        <v>31797</v>
      </c>
      <c r="C25262" s="5" t="str">
        <f>IFERROR(__xludf.DUMMYFUNCTION("GOOGLETRANSLATE(B25262,""en"",""fr"")"),"On voit un grand groupe de personnes courir sur une piste et se transforme en plusieurs autres personnes en cours d'exécution.")</f>
        <v>On voit un grand groupe de personnes courir sur une piste et se transforme en plusieurs autres personnes en cours d'exécution.</v>
      </c>
    </row>
    <row r="25263">
      <c r="A25263" s="4" t="s">
        <v>31796</v>
      </c>
      <c r="B25263" s="6" t="s">
        <v>31798</v>
      </c>
      <c r="C25263" s="5" t="str">
        <f>IFERROR(__xludf.DUMMYFUNCTION("GOOGLETRANSLATE(B25263,""en"",""fr"")"),"Deux filles vérifient leurs poignets tandis que l'on parle à la caméra et plusieurs coups de bracelet sont affichés.")</f>
        <v>Deux filles vérifient leurs poignets tandis que l'on parle à la caméra et plusieurs coups de bracelet sont affichés.</v>
      </c>
    </row>
    <row r="25264">
      <c r="A25264" s="4" t="s">
        <v>31796</v>
      </c>
      <c r="B25264" s="6" t="s">
        <v>31799</v>
      </c>
      <c r="C25264" s="5" t="str">
        <f>IFERROR(__xludf.DUMMYFUNCTION("GOOGLETRANSLATE(B25264,""en"",""fr"")"),"Plus de gens sont interviewés tout en portant les bracelets et montrent comment ils fonctionnent pendant que beaucoup courent.")</f>
        <v>Plus de gens sont interviewés tout en portant les bracelets et montrent comment ils fonctionnent pendant que beaucoup courent.</v>
      </c>
    </row>
    <row r="25265">
      <c r="A25265" s="4" t="s">
        <v>31800</v>
      </c>
      <c r="B25265" s="4" t="s">
        <v>31801</v>
      </c>
      <c r="C25265" s="5" t="str">
        <f>IFERROR(__xludf.DUMMYFUNCTION("GOOGLETRANSLATE(B25265,""en"",""fr"")"),"Nous voyons des hommes sur un bateau, une scie apparaît alors un homme dans un hamac.")</f>
        <v>Nous voyons des hommes sur un bateau, une scie apparaît alors un homme dans un hamac.</v>
      </c>
    </row>
    <row r="25266">
      <c r="A25266" s="4" t="s">
        <v>31800</v>
      </c>
      <c r="B25266" s="6" t="s">
        <v>31802</v>
      </c>
      <c r="C25266" s="5" t="str">
        <f>IFERROR(__xludf.DUMMYFUNCTION("GOOGLETRANSLATE(B25266,""en"",""fr"")"),"L'homme se lève et va à sa tondeuse et crée quelque chose sur un puits de roue et l'attache à la tondeuse et à la porte du hangar.")</f>
        <v>L'homme se lève et va à sa tondeuse et crée quelque chose sur un puits de roue et l'attache à la tondeuse et à la porte du hangar.</v>
      </c>
    </row>
    <row r="25267">
      <c r="A25267" s="4" t="s">
        <v>31800</v>
      </c>
      <c r="B25267" s="4" t="s">
        <v>31803</v>
      </c>
      <c r="C25267" s="5" t="str">
        <f>IFERROR(__xludf.DUMMYFUNCTION("GOOGLETRANSLATE(B25267,""en"",""fr"")"),"L'homme permet à la tondeuse de tourner autour de l'objet et de couper l'herbe.")</f>
        <v>L'homme permet à la tondeuse de tourner autour de l'objet et de couper l'herbe.</v>
      </c>
    </row>
    <row r="25268">
      <c r="A25268" s="4" t="s">
        <v>31800</v>
      </c>
      <c r="B25268" s="4" t="s">
        <v>31804</v>
      </c>
      <c r="C25268" s="5" t="str">
        <f>IFERROR(__xludf.DUMMYFUNCTION("GOOGLETRANSLATE(B25268,""en"",""fr"")"),"Il tire ensuite l'objet dans le hangar sur la ligne et la porte se rapproche.")</f>
        <v>Il tire ensuite l'objet dans le hangar sur la ligne et la porte se rapproche.</v>
      </c>
    </row>
    <row r="25269">
      <c r="A25269" s="4" t="s">
        <v>31805</v>
      </c>
      <c r="B25269" s="4" t="s">
        <v>31806</v>
      </c>
      <c r="C25269" s="5" t="str">
        <f>IFERROR(__xludf.DUMMYFUNCTION("GOOGLETRANSLATE(B25269,""en"",""fr"")"),"Un ADD affiche un site Web sur une entreprise appelée HappyDogz.")</f>
        <v>Un ADD affiche un site Web sur une entreprise appelée HappyDogz.</v>
      </c>
    </row>
    <row r="25270">
      <c r="A25270" s="4" t="s">
        <v>31805</v>
      </c>
      <c r="B25270" s="6" t="s">
        <v>31807</v>
      </c>
      <c r="C25270" s="5" t="str">
        <f>IFERROR(__xludf.DUMMYFUNCTION("GOOGLETRANSLATE(B25270,""en"",""fr"")"),"Ensuite, un homme apparaît tiré par un chien, puis ajoute des informations d'affichage sur une laisse de chien rétractable.")</f>
        <v>Ensuite, un homme apparaît tiré par un chien, puis ajoute des informations d'affichage sur une laisse de chien rétractable.</v>
      </c>
    </row>
    <row r="25271">
      <c r="A25271" s="4" t="s">
        <v>31805</v>
      </c>
      <c r="B25271" s="4" t="s">
        <v>31808</v>
      </c>
      <c r="C25271" s="5" t="str">
        <f>IFERROR(__xludf.DUMMYFUNCTION("GOOGLETRANSLATE(B25271,""en"",""fr"")"),"Après, un couple tire deux chiens de laisse.")</f>
        <v>Après, un couple tire deux chiens de laisse.</v>
      </c>
    </row>
    <row r="25272">
      <c r="A25272" s="4" t="s">
        <v>31805</v>
      </c>
      <c r="B25272" s="4" t="s">
        <v>31809</v>
      </c>
      <c r="C25272" s="5" t="str">
        <f>IFERROR(__xludf.DUMMYFUNCTION("GOOGLETRANSLATE(B25272,""en"",""fr"")"),"Après, ajoute des informations d'affichage sur la laisse.")</f>
        <v>Après, ajoute des informations d'affichage sur la laisse.</v>
      </c>
    </row>
    <row r="25273">
      <c r="A25273" s="4" t="s">
        <v>31810</v>
      </c>
      <c r="B25273" s="4" t="s">
        <v>31811</v>
      </c>
      <c r="C25273" s="5" t="str">
        <f>IFERROR(__xludf.DUMMYFUNCTION("GOOGLETRANSLATE(B25273,""en"",""fr"")"),"Une pirotation sculptée avec une lumière dedans brille sur un comptoir.")</f>
        <v>Une pirotation sculptée avec une lumière dedans brille sur un comptoir.</v>
      </c>
    </row>
    <row r="25274">
      <c r="A25274" s="4" t="s">
        <v>31810</v>
      </c>
      <c r="B25274" s="4" t="s">
        <v>31812</v>
      </c>
      <c r="C25274" s="5" t="str">
        <f>IFERROR(__xludf.DUMMYFUNCTION("GOOGLETRANSLATE(B25274,""en"",""fr"")"),"Les fournitures pour la sculpture sont ensuite indiquées.")</f>
        <v>Les fournitures pour la sculpture sont ensuite indiquées.</v>
      </c>
    </row>
    <row r="25275">
      <c r="A25275" s="4" t="s">
        <v>31810</v>
      </c>
      <c r="B25275" s="4" t="s">
        <v>31813</v>
      </c>
      <c r="C25275" s="5" t="str">
        <f>IFERROR(__xludf.DUMMYFUNCTION("GOOGLETRANSLATE(B25275,""en"",""fr"")"),"Une femme coupe le dessus de la citrouille, vidant les graines.")</f>
        <v>Une femme coupe le dessus de la citrouille, vidant les graines.</v>
      </c>
    </row>
    <row r="25276">
      <c r="A25276" s="4" t="s">
        <v>31810</v>
      </c>
      <c r="B25276" s="4" t="s">
        <v>31814</v>
      </c>
      <c r="C25276" s="5" t="str">
        <f>IFERROR(__xludf.DUMMYFUNCTION("GOOGLETRANSLATE(B25276,""en"",""fr"")"),"Elle sculpte ensuite les lignes tracées pour découper le design.")</f>
        <v>Elle sculpte ensuite les lignes tracées pour découper le design.</v>
      </c>
    </row>
    <row r="25277">
      <c r="A25277" s="4" t="s">
        <v>31810</v>
      </c>
      <c r="B25277" s="4" t="s">
        <v>31815</v>
      </c>
      <c r="C25277" s="5" t="str">
        <f>IFERROR(__xludf.DUMMYFUNCTION("GOOGLETRANSLATE(B25277,""en"",""fr"")"),"Quand elle a terminé, une lumière de thé est placée à l'intérieur de la citrouille et allumée.")</f>
        <v>Quand elle a terminé, une lumière de thé est placée à l'intérieur de la citrouille et allumée.</v>
      </c>
    </row>
    <row r="25278">
      <c r="A25278" s="4" t="s">
        <v>31816</v>
      </c>
      <c r="B25278" s="4" t="s">
        <v>16436</v>
      </c>
      <c r="C25278" s="5" t="str">
        <f>IFERROR(__xludf.DUMMYFUNCTION("GOOGLETRANSLATE(B25278,""en"",""fr"")"),"Une femme s'agenouille sur un tapis bleu.")</f>
        <v>Une femme s'agenouille sur un tapis bleu.</v>
      </c>
    </row>
    <row r="25279">
      <c r="A25279" s="4" t="s">
        <v>31816</v>
      </c>
      <c r="B25279" s="4" t="s">
        <v>31817</v>
      </c>
      <c r="C25279" s="5" t="str">
        <f>IFERROR(__xludf.DUMMYFUNCTION("GOOGLETRANSLATE(B25279,""en"",""fr"")"),"Elle a une barre de poids en métal sur ses épaules.")</f>
        <v>Elle a une barre de poids en métal sur ses épaules.</v>
      </c>
    </row>
    <row r="25280">
      <c r="A25280" s="4" t="s">
        <v>31816</v>
      </c>
      <c r="B25280" s="4" t="s">
        <v>31818</v>
      </c>
      <c r="C25280" s="5" t="str">
        <f>IFERROR(__xludf.DUMMYFUNCTION("GOOGLETRANSLATE(B25280,""en"",""fr"")"),"Elle se déplace de haut en bas en soulevant le poids.")</f>
        <v>Elle se déplace de haut en bas en soulevant le poids.</v>
      </c>
    </row>
    <row r="25281">
      <c r="A25281" s="4" t="s">
        <v>31819</v>
      </c>
      <c r="B25281" s="4" t="s">
        <v>31820</v>
      </c>
      <c r="C25281" s="5" t="str">
        <f>IFERROR(__xludf.DUMMYFUNCTION("GOOGLETRANSLATE(B25281,""en"",""fr"")"),"Une femme est vue en parlant à la caméra tout en tenant une bouteille de crème solaire.")</f>
        <v>Une femme est vue en parlant à la caméra tout en tenant une bouteille de crème solaire.</v>
      </c>
    </row>
    <row r="25282">
      <c r="A25282" s="4" t="s">
        <v>31819</v>
      </c>
      <c r="B25282" s="4" t="s">
        <v>31821</v>
      </c>
      <c r="C25282" s="5" t="str">
        <f>IFERROR(__xludf.DUMMYFUNCTION("GOOGLETRANSLATE(B25282,""en"",""fr"")"),"Elle ouvre ensuite la bouteille et utilise un support sur le côté.")</f>
        <v>Elle ouvre ensuite la bouteille et utilise un support sur le côté.</v>
      </c>
    </row>
    <row r="25283">
      <c r="A25283" s="4" t="s">
        <v>31819</v>
      </c>
      <c r="B25283" s="4" t="s">
        <v>31822</v>
      </c>
      <c r="C25283" s="5" t="str">
        <f>IFERROR(__xludf.DUMMYFUNCTION("GOOGLETRANSLATE(B25283,""en"",""fr"")"),"Elle montre le support tout en parlant à la caméra.")</f>
        <v>Elle montre le support tout en parlant à la caméra.</v>
      </c>
    </row>
    <row r="25284">
      <c r="A25284" s="4" t="s">
        <v>31823</v>
      </c>
      <c r="B25284" s="4" t="s">
        <v>31824</v>
      </c>
      <c r="C25284" s="5" t="str">
        <f>IFERROR(__xludf.DUMMYFUNCTION("GOOGLETRANSLATE(B25284,""en"",""fr"")"),"Plusieurs personnes sont vues les uns les autres en tenant des bâtons et en regardant autour de lui.")</f>
        <v>Plusieurs personnes sont vues les uns les autres en tenant des bâtons et en regardant autour de lui.</v>
      </c>
    </row>
    <row r="25285">
      <c r="A25285" s="4" t="s">
        <v>31823</v>
      </c>
      <c r="B25285" s="6" t="s">
        <v>31825</v>
      </c>
      <c r="C25285" s="5" t="str">
        <f>IFERROR(__xludf.DUMMYFUNCTION("GOOGLETRANSLATE(B25285,""en"",""fr"")"),"Les gens ont frappé une balle sur une pelouse à la fois et sont vus rire et se sourir les uns aux autres.")</f>
        <v>Les gens ont frappé une balle sur une pelouse à la fois et sont vus rire et se sourir les uns aux autres.</v>
      </c>
    </row>
    <row r="25286">
      <c r="A25286" s="4" t="s">
        <v>31826</v>
      </c>
      <c r="B25286" s="4" t="s">
        <v>31827</v>
      </c>
      <c r="C25286" s="5" t="str">
        <f>IFERROR(__xludf.DUMMYFUNCTION("GOOGLETRANSLATE(B25286,""en"",""fr"")"),"Un homme se balance sur une poutre d'équilibre.")</f>
        <v>Un homme se balance sur une poutre d'équilibre.</v>
      </c>
    </row>
    <row r="25287">
      <c r="A25287" s="4" t="s">
        <v>31826</v>
      </c>
      <c r="B25287" s="4" t="s">
        <v>31828</v>
      </c>
      <c r="C25287" s="5" t="str">
        <f>IFERROR(__xludf.DUMMYFUNCTION("GOOGLETRANSLATE(B25287,""en"",""fr"")"),"Il saute et met ses mains en l'air.")</f>
        <v>Il saute et met ses mains en l'air.</v>
      </c>
    </row>
    <row r="25288">
      <c r="A25288" s="4" t="s">
        <v>31826</v>
      </c>
      <c r="B25288" s="4" t="s">
        <v>31829</v>
      </c>
      <c r="C25288" s="5" t="str">
        <f>IFERROR(__xludf.DUMMYFUNCTION("GOOGLETRANSLATE(B25288,""en"",""fr"")"),"Il revient sur le faisceau d'équilibre.")</f>
        <v>Il revient sur le faisceau d'équilibre.</v>
      </c>
    </row>
    <row r="25289">
      <c r="A25289" s="4" t="s">
        <v>31830</v>
      </c>
      <c r="B25289" s="6" t="s">
        <v>31831</v>
      </c>
      <c r="C25289" s="5" t="str">
        <f>IFERROR(__xludf.DUMMYFUNCTION("GOOGLETRANSLATE(B25289,""en"",""fr"")"),"Un homme est dans une piste de bowling vêtu de vêtements de bowling, de chaussures et de gants alors qu'il roule à tour de rôle le ballon dans la voie et frappant les épingles.")</f>
        <v>Un homme est dans une piste de bowling vêtu de vêtements de bowling, de chaussures et de gants alors qu'il roule à tour de rôle le ballon dans la voie et frappant les épingles.</v>
      </c>
    </row>
    <row r="25290">
      <c r="A25290" s="4" t="s">
        <v>31830</v>
      </c>
      <c r="B25290" s="6" t="s">
        <v>31832</v>
      </c>
      <c r="C25290" s="5" t="str">
        <f>IFERROR(__xludf.DUMMYFUNCTION("GOOGLETRANSLATE(B25290,""en"",""fr"")"),"L'homme attrape le ballon du retour et tient le ballon et se tient là pendant un certain temps en regardant la voie, et quand il le roule enfin, il fait une grève.")</f>
        <v>L'homme attrape le ballon du retour et tient le ballon et se tient là pendant un certain temps en regardant la voie, et quand il le roule enfin, il fait une grève.</v>
      </c>
    </row>
    <row r="25291">
      <c r="A25291" s="4" t="s">
        <v>31830</v>
      </c>
      <c r="B25291" s="4" t="s">
        <v>31833</v>
      </c>
      <c r="C25291" s="5" t="str">
        <f>IFERROR(__xludf.DUMMYFUNCTION("GOOGLETRANSLATE(B25291,""en"",""fr"")"),"Lorsque la grève est terminée, elle rejoue ensuite au ralenti.")</f>
        <v>Lorsque la grève est terminée, elle rejoue ensuite au ralenti.</v>
      </c>
    </row>
    <row r="25292">
      <c r="A25292" s="4" t="s">
        <v>31834</v>
      </c>
      <c r="B25292" s="6" t="s">
        <v>31835</v>
      </c>
      <c r="C25292" s="5" t="str">
        <f>IFERROR(__xludf.DUMMYFUNCTION("GOOGLETRANSLATE(B25292,""en"",""fr"")"),"Une vue sur un sommet d'un toit avec des pailles de pin montrées éparpillées partout apparaît et une bannière au bas de Say ""Si vous avez de la paille de pin sur votre toit, appelez-nous 678-887-9479.")</f>
        <v>Une vue sur un sommet d'un toit avec des pailles de pin montrées éparpillées partout apparaît et une bannière au bas de Say "Si vous avez de la paille de pin sur votre toit, appelez-nous 678-887-9479.</v>
      </c>
    </row>
    <row r="25293">
      <c r="A25293" s="4" t="s">
        <v>31834</v>
      </c>
      <c r="B25293" s="6" t="s">
        <v>31836</v>
      </c>
      <c r="C25293" s="5" t="str">
        <f>IFERROR(__xludf.DUMMYFUNCTION("GOOGLETRANSLATE(B25293,""en"",""fr"")"),"Un homme est maintenant au sommet du toit et il a un ventilateur dans sa main droite, un bâton de métal dans sa main gauche pour équilibre, et il marche le long du toit en soufflant toutes les paises de pin.")</f>
        <v>Un homme est maintenant au sommet du toit et il a un ventilateur dans sa main droite, un bâton de métal dans sa main gauche pour équilibre, et il marche le long du toit en soufflant toutes les paises de pin.</v>
      </c>
    </row>
    <row r="25294">
      <c r="A25294" s="4" t="s">
        <v>31834</v>
      </c>
      <c r="B25294" s="4" t="s">
        <v>31837</v>
      </c>
      <c r="C25294" s="5" t="str">
        <f>IFERROR(__xludf.DUMMYFUNCTION("GOOGLETRANSLATE(B25294,""en"",""fr"")"),"La dernière vue est du toit nettoyé et le site Web est affiché en bas de l'écran.")</f>
        <v>La dernière vue est du toit nettoyé et le site Web est affiché en bas de l'écran.</v>
      </c>
    </row>
    <row r="25295">
      <c r="A25295" s="4" t="s">
        <v>31838</v>
      </c>
      <c r="B25295" s="4" t="s">
        <v>31839</v>
      </c>
      <c r="C25295" s="5" t="str">
        <f>IFERROR(__xludf.DUMMYFUNCTION("GOOGLETRANSLATE(B25295,""en"",""fr"")"),"Un homme est pose de tapis dans une pièce.")</f>
        <v>Un homme est pose de tapis dans une pièce.</v>
      </c>
    </row>
    <row r="25296">
      <c r="A25296" s="4" t="s">
        <v>31838</v>
      </c>
      <c r="B25296" s="4" t="s">
        <v>31840</v>
      </c>
      <c r="C25296" s="5" t="str">
        <f>IFERROR(__xludf.DUMMYFUNCTION("GOOGLETRANSLATE(B25296,""en"",""fr"")"),"Une femme regarde des échantillons de tapis dans un magasin.")</f>
        <v>Une femme regarde des échantillons de tapis dans un magasin.</v>
      </c>
    </row>
    <row r="25297">
      <c r="A25297" s="4" t="s">
        <v>31838</v>
      </c>
      <c r="B25297" s="4" t="s">
        <v>31841</v>
      </c>
      <c r="C25297" s="5" t="str">
        <f>IFERROR(__xludf.DUMMYFUNCTION("GOOGLETRANSLATE(B25297,""en"",""fr"")"),"Les hommes sont à genoux pour installer des planchers de bois franc.")</f>
        <v>Les hommes sont à genoux pour installer des planchers de bois franc.</v>
      </c>
    </row>
    <row r="25298">
      <c r="A25298" s="4" t="s">
        <v>31842</v>
      </c>
      <c r="B25298" s="6" t="s">
        <v>31843</v>
      </c>
      <c r="C25298" s="5" t="str">
        <f>IFERROR(__xludf.DUMMYFUNCTION("GOOGLETRANSLATE(B25298,""en"",""fr"")"),"Un homme athlétique est vu debout au début d'une longue piste avec plusieurs personnes debout.")</f>
        <v>Un homme athlétique est vu debout au début d'une longue piste avec plusieurs personnes debout.</v>
      </c>
    </row>
    <row r="25299">
      <c r="A25299" s="4" t="s">
        <v>31842</v>
      </c>
      <c r="B25299" s="6" t="s">
        <v>31844</v>
      </c>
      <c r="C25299" s="5" t="str">
        <f>IFERROR(__xludf.DUMMYFUNCTION("GOOGLETRANSLATE(B25299,""en"",""fr"")"),"Il commence à courir sur la piste et à sauter avec quelques autres qui se promènent autour de lui au loin.")</f>
        <v>Il commence à courir sur la piste et à sauter avec quelques autres qui se promènent autour de lui au loin.</v>
      </c>
    </row>
    <row r="25300">
      <c r="A25300" s="4" t="s">
        <v>31845</v>
      </c>
      <c r="B25300" s="4" t="s">
        <v>31846</v>
      </c>
      <c r="C25300" s="5" t="str">
        <f>IFERROR(__xludf.DUMMYFUNCTION("GOOGLETRANSLATE(B25300,""en"",""fr"")"),"Un public est rassemblé dans un gymnase pour regarder le gymnaste sur le cheval Pommel.")</f>
        <v>Un public est rassemblé dans un gymnase pour regarder le gymnaste sur le cheval Pommel.</v>
      </c>
    </row>
    <row r="25301">
      <c r="A25301" s="4" t="s">
        <v>31845</v>
      </c>
      <c r="B25301" s="4" t="s">
        <v>31847</v>
      </c>
      <c r="C25301" s="5" t="str">
        <f>IFERROR(__xludf.DUMMYFUNCTION("GOOGLETRANSLATE(B25301,""en"",""fr"")"),"Il se concentre, puis monte pour commencer sa routine.")</f>
        <v>Il se concentre, puis monte pour commencer sa routine.</v>
      </c>
    </row>
    <row r="25302">
      <c r="A25302" s="4" t="s">
        <v>31845</v>
      </c>
      <c r="B25302" s="6" t="s">
        <v>31848</v>
      </c>
      <c r="C25302" s="5" t="str">
        <f>IFERROR(__xludf.DUMMYFUNCTION("GOOGLETRANSLATE(B25302,""en"",""fr"")"),"Il fonctionne d'abord un, puis un deuxième assiette impressionnante tout en saisissant une poignée avec les deux mains.")</f>
        <v>Il fonctionne d'abord un, puis un deuxième assiette impressionnante tout en saisissant une poignée avec les deux mains.</v>
      </c>
    </row>
    <row r="25303">
      <c r="A25303" s="4" t="s">
        <v>31845</v>
      </c>
      <c r="B25303" s="4" t="s">
        <v>31849</v>
      </c>
      <c r="C25303" s="5" t="str">
        <f>IFERROR(__xludf.DUMMYFUNCTION("GOOGLETRANSLATE(B25303,""en"",""fr"")"),"Il complète sa routine, puis termine par un démontage sans faille aux applaudissements.")</f>
        <v>Il complète sa routine, puis termine par un démontage sans faille aux applaudissements.</v>
      </c>
    </row>
    <row r="25304">
      <c r="A25304" s="4" t="s">
        <v>31850</v>
      </c>
      <c r="B25304" s="4" t="s">
        <v>31851</v>
      </c>
      <c r="C25304" s="5" t="str">
        <f>IFERROR(__xludf.DUMMYFUNCTION("GOOGLETRANSLATE(B25304,""en"",""fr"")"),"Un homme est vu jeter une fléchette sur la caméra tout en regardant au loin.")</f>
        <v>Un homme est vu jeter une fléchette sur la caméra tout en regardant au loin.</v>
      </c>
    </row>
    <row r="25305">
      <c r="A25305" s="4" t="s">
        <v>31850</v>
      </c>
      <c r="B25305" s="4" t="s">
        <v>31852</v>
      </c>
      <c r="C25305" s="5" t="str">
        <f>IFERROR(__xludf.DUMMYFUNCTION("GOOGLETRANSLATE(B25305,""en"",""fr"")"),"Plusieurs plans sont montrés de lui en lançant ainsi que du texte qui traverse l'écran.")</f>
        <v>Plusieurs plans sont montrés de lui en lançant ainsi que du texte qui traverse l'écran.</v>
      </c>
    </row>
    <row r="25306">
      <c r="A25306" s="4" t="s">
        <v>31850</v>
      </c>
      <c r="B25306" s="4" t="s">
        <v>31853</v>
      </c>
      <c r="C25306" s="5" t="str">
        <f>IFERROR(__xludf.DUMMYFUNCTION("GOOGLETRANSLATE(B25306,""en"",""fr"")"),"L'homme continue de jeter encore et encore.")</f>
        <v>L'homme continue de jeter encore et encore.</v>
      </c>
    </row>
    <row r="25307">
      <c r="A25307" s="4" t="s">
        <v>31854</v>
      </c>
      <c r="B25307" s="4" t="s">
        <v>31855</v>
      </c>
      <c r="C25307" s="5" t="str">
        <f>IFERROR(__xludf.DUMMYFUNCTION("GOOGLETRANSLATE(B25307,""en"",""fr"")"),"Une femme montre comment couvrir un gâteau de glaçage à l'aide d'une spatule.")</f>
        <v>Une femme montre comment couvrir un gâteau de glaçage à l'aide d'une spatule.</v>
      </c>
    </row>
    <row r="25308">
      <c r="A25308" s="4" t="s">
        <v>31854</v>
      </c>
      <c r="B25308" s="4" t="s">
        <v>31856</v>
      </c>
      <c r="C25308" s="5" t="str">
        <f>IFERROR(__xludf.DUMMYFUNCTION("GOOGLETRANSLATE(B25308,""en"",""fr"")"),"Ensuite, elle explique comment nettoyer la bordure du gâteau à l'aide d'un tissu.")</f>
        <v>Ensuite, elle explique comment nettoyer la bordure du gâteau à l'aide d'un tissu.</v>
      </c>
    </row>
    <row r="25309">
      <c r="A25309" s="4" t="s">
        <v>31857</v>
      </c>
      <c r="B25309" s="6" t="s">
        <v>31858</v>
      </c>
      <c r="C25309" s="5" t="str">
        <f>IFERROR(__xludf.DUMMYFUNCTION("GOOGLETRANSLATE(B25309,""en"",""fr"")"),"Un gros plan d'un téléphone est affiché ainsi qu'une personne se réveillant, se brossant les dents et sortant de la porte.")</f>
        <v>Un gros plan d'un téléphone est affiché ainsi qu'une personne se réveillant, se brossant les dents et sortant de la porte.</v>
      </c>
    </row>
    <row r="25310">
      <c r="A25310" s="4" t="s">
        <v>31857</v>
      </c>
      <c r="B25310" s="4" t="s">
        <v>31859</v>
      </c>
      <c r="C25310" s="5" t="str">
        <f>IFERROR(__xludf.DUMMYFUNCTION("GOOGLETRANSLATE(B25310,""en"",""fr"")"),"Les gros plans sont représentés des personnes qui montent sur un lifting de ski ainsi que sur une montagne.")</f>
        <v>Les gros plans sont représentés des personnes qui montent sur un lifting de ski ainsi que sur une montagne.</v>
      </c>
    </row>
    <row r="25311">
      <c r="A25311" s="4" t="s">
        <v>31857</v>
      </c>
      <c r="B25311" s="4" t="s">
        <v>31860</v>
      </c>
      <c r="C25311" s="5" t="str">
        <f>IFERROR(__xludf.DUMMYFUNCTION("GOOGLETRANSLATE(B25311,""en"",""fr"")"),"Les gens à zoomer sur la caméra en regardant de près et en agitant les uns contre les autres.")</f>
        <v>Les gens à zoomer sur la caméra en regardant de près et en agitant les uns contre les autres.</v>
      </c>
    </row>
    <row r="25312">
      <c r="A25312" s="4" t="s">
        <v>31861</v>
      </c>
      <c r="B25312" s="4" t="s">
        <v>31862</v>
      </c>
      <c r="C25312" s="5" t="str">
        <f>IFERROR(__xludf.DUMMYFUNCTION("GOOGLETRANSLATE(B25312,""en"",""fr"")"),"Une personne est vue debout dans une pièce proche, tenant une raquette de tennis.")</f>
        <v>Une personne est vue debout dans une pièce proche, tenant une raquette de tennis.</v>
      </c>
    </row>
    <row r="25313">
      <c r="A25313" s="4" t="s">
        <v>31861</v>
      </c>
      <c r="B25313" s="4" t="s">
        <v>31863</v>
      </c>
      <c r="C25313" s="5" t="str">
        <f>IFERROR(__xludf.DUMMYFUNCTION("GOOGLETRANSLATE(B25313,""en"",""fr"")"),"La personne commence alors à frapper le ballon avec la raquette et à se promener.")</f>
        <v>La personne commence alors à frapper le ballon avec la raquette et à se promener.</v>
      </c>
    </row>
    <row r="25314">
      <c r="A25314" s="4" t="s">
        <v>31861</v>
      </c>
      <c r="B25314" s="4" t="s">
        <v>31864</v>
      </c>
      <c r="C25314" s="5" t="str">
        <f>IFERROR(__xludf.DUMMYFUNCTION("GOOGLETRANSLATE(B25314,""en"",""fr"")"),"Une autre personne est vue marcher dans le cadre aussi bien que.")</f>
        <v>Une autre personne est vue marcher dans le cadre aussi bien que.</v>
      </c>
    </row>
    <row r="25315">
      <c r="A25315" s="4" t="s">
        <v>31865</v>
      </c>
      <c r="B25315" s="4" t="s">
        <v>31866</v>
      </c>
      <c r="C25315" s="5" t="str">
        <f>IFERROR(__xludf.DUMMYFUNCTION("GOOGLETRANSLATE(B25315,""en"",""fr"")"),"Deux enfants sont à l'extérieur.")</f>
        <v>Deux enfants sont à l'extérieur.</v>
      </c>
    </row>
    <row r="25316">
      <c r="A25316" s="4" t="s">
        <v>31865</v>
      </c>
      <c r="B25316" s="4" t="s">
        <v>31867</v>
      </c>
      <c r="C25316" s="5" t="str">
        <f>IFERROR(__xludf.DUMMYFUNCTION("GOOGLETRANSLATE(B25316,""en"",""fr"")"),"Deux adultes s'agenouillent sur le sol en tenant une corde de saut pour un enfant.")</f>
        <v>Deux adultes s'agenouillent sur le sol en tenant une corde de saut pour un enfant.</v>
      </c>
    </row>
    <row r="25317">
      <c r="A25317" s="4" t="s">
        <v>31865</v>
      </c>
      <c r="B25317" s="4" t="s">
        <v>31868</v>
      </c>
      <c r="C25317" s="5" t="str">
        <f>IFERROR(__xludf.DUMMYFUNCTION("GOOGLETRANSLATE(B25317,""en"",""fr"")"),"La femme parle à la caméra.")</f>
        <v>La femme parle à la caméra.</v>
      </c>
    </row>
    <row r="25318">
      <c r="A25318" s="4" t="s">
        <v>31865</v>
      </c>
      <c r="B25318" s="4" t="s">
        <v>31869</v>
      </c>
      <c r="C25318" s="5" t="str">
        <f>IFERROR(__xludf.DUMMYFUNCTION("GOOGLETRANSLATE(B25318,""en"",""fr"")"),"Un garçon renverse un verre sur son visage tout en sautant.")</f>
        <v>Un garçon renverse un verre sur son visage tout en sautant.</v>
      </c>
    </row>
    <row r="25319">
      <c r="A25319" s="4" t="s">
        <v>31870</v>
      </c>
      <c r="B25319" s="4" t="s">
        <v>31871</v>
      </c>
      <c r="C25319" s="5" t="str">
        <f>IFERROR(__xludf.DUMMYFUNCTION("GOOGLETRANSLATE(B25319,""en"",""fr"")"),"La femme porte un harnais et monte dans un hélicoptère au-dessus et vole au-dessus d'un volcan.")</f>
        <v>La femme porte un harnais et monte dans un hélicoptère au-dessus et vole au-dessus d'un volcan.</v>
      </c>
    </row>
    <row r="25320">
      <c r="A25320" s="4" t="s">
        <v>31870</v>
      </c>
      <c r="B25320" s="4" t="s">
        <v>31872</v>
      </c>
      <c r="C25320" s="5" t="str">
        <f>IFERROR(__xludf.DUMMYFUNCTION("GOOGLETRANSLATE(B25320,""en"",""fr"")"),"Un homme et une femme sont suspendus à la porte de l'hélicoptère tient à une corde et font un saut.")</f>
        <v>Un homme et une femme sont suspendus à la porte de l'hélicoptère tient à une corde et font un saut.</v>
      </c>
    </row>
    <row r="25321">
      <c r="A25321" s="4" t="s">
        <v>31870</v>
      </c>
      <c r="B25321" s="4" t="s">
        <v>31873</v>
      </c>
      <c r="C25321" s="5" t="str">
        <f>IFERROR(__xludf.DUMMYFUNCTION("GOOGLETRANSLATE(B25321,""en"",""fr"")"),"L'homme et la femme sont dans le pays en train de parler à un couple.")</f>
        <v>L'homme et la femme sont dans le pays en train de parler à un couple.</v>
      </c>
    </row>
    <row r="25322">
      <c r="A25322" s="4" t="s">
        <v>31874</v>
      </c>
      <c r="B25322" s="4" t="s">
        <v>31875</v>
      </c>
      <c r="C25322" s="5" t="str">
        <f>IFERROR(__xludf.DUMMYFUNCTION("GOOGLETRANSLATE(B25322,""en"",""fr"")"),"Homme devant une voiture avec le capot ouvert.")</f>
        <v>Homme devant une voiture avec le capot ouvert.</v>
      </c>
    </row>
    <row r="25323">
      <c r="A25323" s="4" t="s">
        <v>31874</v>
      </c>
      <c r="B25323" s="4" t="s">
        <v>31876</v>
      </c>
      <c r="C25323" s="5" t="str">
        <f>IFERROR(__xludf.DUMMYFUNCTION("GOOGLETRANSLATE(B25323,""en"",""fr"")"),"L'homme marche à travers les bois et ty pour allumer un feu de bois.")</f>
        <v>L'homme marche à travers les bois et ty pour allumer un feu de bois.</v>
      </c>
    </row>
    <row r="25324">
      <c r="A25324" s="4" t="s">
        <v>31877</v>
      </c>
      <c r="B25324" s="4" t="s">
        <v>31878</v>
      </c>
      <c r="C25324" s="5" t="str">
        <f>IFERROR(__xludf.DUMMYFUNCTION("GOOGLETRANSLATE(B25324,""en"",""fr"")"),"Quelqu'un caresse la peinture bleue de haut en bas sur une clôture.")</f>
        <v>Quelqu'un caresse la peinture bleue de haut en bas sur une clôture.</v>
      </c>
    </row>
    <row r="25325">
      <c r="A25325" s="4" t="s">
        <v>31877</v>
      </c>
      <c r="B25325" s="4" t="s">
        <v>31879</v>
      </c>
      <c r="C25325" s="5" t="str">
        <f>IFERROR(__xludf.DUMMYFUNCTION("GOOGLETRANSLATE(B25325,""en"",""fr"")"),"Ils ont remis le pinceau dans la peinture pour rassembler plus de peinture.")</f>
        <v>Ils ont remis le pinceau dans la peinture pour rassembler plus de peinture.</v>
      </c>
    </row>
    <row r="25326">
      <c r="A25326" s="4" t="s">
        <v>31877</v>
      </c>
      <c r="B25326" s="4" t="s">
        <v>31880</v>
      </c>
      <c r="C25326" s="5" t="str">
        <f>IFERROR(__xludf.DUMMYFUNCTION("GOOGLETRANSLATE(B25326,""en"",""fr"")"),"Continuez ensuite à procéder à la peinture de la clôture.")</f>
        <v>Continuez ensuite à procéder à la peinture de la clôture.</v>
      </c>
    </row>
    <row r="25327">
      <c r="A25327" s="4" t="s">
        <v>31877</v>
      </c>
      <c r="B25327" s="4" t="s">
        <v>31881</v>
      </c>
      <c r="C25327" s="5" t="str">
        <f>IFERROR(__xludf.DUMMYFUNCTION("GOOGLETRANSLATE(B25327,""en"",""fr"")"),"Ils le font plusieurs fois en essayant de couvrir tout le brun.")</f>
        <v>Ils le font plusieurs fois en essayant de couvrir tout le brun.</v>
      </c>
    </row>
    <row r="25328">
      <c r="A25328" s="4" t="s">
        <v>31882</v>
      </c>
      <c r="B25328" s="6" t="s">
        <v>31883</v>
      </c>
      <c r="C25328" s="5" t="str">
        <f>IFERROR(__xludf.DUMMYFUNCTION("GOOGLETRANSLATE(B25328,""en"",""fr"")"),"Un homme est vu debout devant un enfant qui tient une pinata tandis que d'autres se restent et regardent.")</f>
        <v>Un homme est vu debout devant un enfant qui tient une pinata tandis que d'autres se restent et regardent.</v>
      </c>
    </row>
    <row r="25329">
      <c r="A25329" s="4" t="s">
        <v>31882</v>
      </c>
      <c r="B25329" s="4" t="s">
        <v>31884</v>
      </c>
      <c r="C25329" s="5" t="str">
        <f>IFERROR(__xludf.DUMMYFUNCTION("GOOGLETRANSLATE(B25329,""en"",""fr"")"),"Le garçon plié aveugle fait alors plusieurs balançoires à la pinata pendant que les enfants s'assoient et regardent.")</f>
        <v>Le garçon plié aveugle fait alors plusieurs balançoires à la pinata pendant que les enfants s'assoient et regardent.</v>
      </c>
    </row>
    <row r="25330">
      <c r="A25330" s="4" t="s">
        <v>31885</v>
      </c>
      <c r="B25330" s="4" t="s">
        <v>31886</v>
      </c>
      <c r="C25330" s="5" t="str">
        <f>IFERROR(__xludf.DUMMYFUNCTION("GOOGLETRANSLATE(B25330,""en"",""fr"")"),"Il y a une femme dans un débardeur jaune et des collants noirs faisant une corde de saut dans une salle de sport.")</f>
        <v>Il y a une femme dans un débardeur jaune et des collants noirs faisant une corde de saut dans une salle de sport.</v>
      </c>
    </row>
    <row r="25331">
      <c r="A25331" s="4" t="s">
        <v>31885</v>
      </c>
      <c r="B25331" s="4" t="s">
        <v>31887</v>
      </c>
      <c r="C25331" s="5" t="str">
        <f>IFERROR(__xludf.DUMMYFUNCTION("GOOGLETRANSLATE(B25331,""en"",""fr"")"),"Elle saute de manière rythmique sans s'arrêter sur la surface du plancher de bois franc.")</f>
        <v>Elle saute de manière rythmique sans s'arrêter sur la surface du plancher de bois franc.</v>
      </c>
    </row>
    <row r="25332">
      <c r="A25332" s="4" t="s">
        <v>31885</v>
      </c>
      <c r="B25332" s="4" t="s">
        <v>31888</v>
      </c>
      <c r="C25332" s="5" t="str">
        <f>IFERROR(__xludf.DUMMYFUNCTION("GOOGLETRANSLATE(B25332,""en"",""fr"")"),"Après avoir terminé, une personne debout devant elle lui donne un coup de pouce et lui applaudit.")</f>
        <v>Après avoir terminé, une personne debout devant elle lui donne un coup de pouce et lui applaudit.</v>
      </c>
    </row>
    <row r="25333">
      <c r="A25333" s="4" t="s">
        <v>31889</v>
      </c>
      <c r="B25333" s="4" t="s">
        <v>31890</v>
      </c>
      <c r="C25333" s="5" t="str">
        <f>IFERROR(__xludf.DUMMYFUNCTION("GOOGLETRANSLATE(B25333,""en"",""fr"")"),"Une femme est assise dans une pièce à parler.")</f>
        <v>Une femme est assise dans une pièce à parler.</v>
      </c>
    </row>
    <row r="25334">
      <c r="A25334" s="4" t="s">
        <v>31889</v>
      </c>
      <c r="B25334" s="4" t="s">
        <v>31891</v>
      </c>
      <c r="C25334" s="5" t="str">
        <f>IFERROR(__xludf.DUMMYFUNCTION("GOOGLETRANSLATE(B25334,""en"",""fr"")"),"Il y a un chat blanc sur le lit derrière elle.")</f>
        <v>Il y a un chat blanc sur le lit derrière elle.</v>
      </c>
    </row>
    <row r="25335">
      <c r="A25335" s="4" t="s">
        <v>31889</v>
      </c>
      <c r="B25335" s="4" t="s">
        <v>31892</v>
      </c>
      <c r="C25335" s="5" t="str">
        <f>IFERROR(__xludf.DUMMYFUNCTION("GOOGLETRANSLATE(B25335,""en"",""fr"")"),"Elle commence à tresser ses cheveux sur le côté.")</f>
        <v>Elle commence à tresser ses cheveux sur le côté.</v>
      </c>
    </row>
    <row r="25336">
      <c r="A25336" s="4" t="s">
        <v>31889</v>
      </c>
      <c r="B25336" s="4" t="s">
        <v>31893</v>
      </c>
      <c r="C25336" s="5" t="str">
        <f>IFERROR(__xludf.DUMMYFUNCTION("GOOGLETRANSLATE(B25336,""en"",""fr"")"),"Elle continue de parler et souffle un baiser à la caméra.")</f>
        <v>Elle continue de parler et souffle un baiser à la caméra.</v>
      </c>
    </row>
    <row r="25337">
      <c r="A25337" s="4" t="s">
        <v>31894</v>
      </c>
      <c r="B25337" s="4" t="s">
        <v>31895</v>
      </c>
      <c r="C25337" s="5" t="str">
        <f>IFERROR(__xludf.DUMMYFUNCTION("GOOGLETRANSLATE(B25337,""en"",""fr"")"),"Une femme est vue en parlant à la caméra tout en tenant un pinceau et un seau.")</f>
        <v>Une femme est vue en parlant à la caméra tout en tenant un pinceau et un seau.</v>
      </c>
    </row>
    <row r="25338">
      <c r="A25338" s="4" t="s">
        <v>31894</v>
      </c>
      <c r="B25338" s="4" t="s">
        <v>31896</v>
      </c>
      <c r="C25338" s="5" t="str">
        <f>IFERROR(__xludf.DUMMYFUNCTION("GOOGLETRANSLATE(B25338,""en"",""fr"")"),"Elle peint un meuble à côté d'elle tout en tenant une brosse.")</f>
        <v>Elle peint un meuble à côté d'elle tout en tenant une brosse.</v>
      </c>
    </row>
    <row r="25339">
      <c r="A25339" s="4" t="s">
        <v>31894</v>
      </c>
      <c r="B25339" s="4" t="s">
        <v>31897</v>
      </c>
      <c r="C25339" s="5" t="str">
        <f>IFERROR(__xludf.DUMMYFUNCTION("GOOGLETRANSLATE(B25339,""en"",""fr"")"),"Elle tient plus d'objets tout en y plongeant les pinceaux et l'utilise sur les meubles.")</f>
        <v>Elle tient plus d'objets tout en y plongeant les pinceaux et l'utilise sur les meubles.</v>
      </c>
    </row>
    <row r="25340">
      <c r="A25340" s="4" t="s">
        <v>31898</v>
      </c>
      <c r="B25340" s="4" t="s">
        <v>31899</v>
      </c>
      <c r="C25340" s="5" t="str">
        <f>IFERROR(__xludf.DUMMYFUNCTION("GOOGLETRANSLATE(B25340,""en"",""fr"")"),"Une femme qui rapporte parle à une caméra avec un comportement sérieux.")</f>
        <v>Une femme qui rapporte parle à une caméra avec un comportement sérieux.</v>
      </c>
    </row>
    <row r="25341">
      <c r="A25341" s="4" t="s">
        <v>31898</v>
      </c>
      <c r="B25341" s="6" t="s">
        <v>31900</v>
      </c>
      <c r="C25341" s="5" t="str">
        <f>IFERROR(__xludf.DUMMYFUNCTION("GOOGLETRANSLATE(B25341,""en"",""fr"")"),"Un homme décompresse son violon dans le sac et joue un peu pour la caméra pendant que le journaliste commente.")</f>
        <v>Un homme décompresse son violon dans le sac et joue un peu pour la caméra pendant que le journaliste commente.</v>
      </c>
    </row>
    <row r="25342">
      <c r="A25342" s="4" t="s">
        <v>31898</v>
      </c>
      <c r="B25342" s="4" t="s">
        <v>31901</v>
      </c>
      <c r="C25342" s="5" t="str">
        <f>IFERROR(__xludf.DUMMYFUNCTION("GOOGLETRANSLATE(B25342,""en"",""fr"")"),"Il commence à avoir du mal à jouer avec son état et montre une intervention chirurgicale sur la façon de le réparer.")</f>
        <v>Il commence à avoir du mal à jouer avec son état et montre une intervention chirurgicale sur la façon de le réparer.</v>
      </c>
    </row>
    <row r="25343">
      <c r="A25343" s="4" t="s">
        <v>31898</v>
      </c>
      <c r="B25343" s="6" t="s">
        <v>31902</v>
      </c>
      <c r="C25343" s="5" t="str">
        <f>IFERROR(__xludf.DUMMYFUNCTION("GOOGLETRANSLATE(B25343,""en"",""fr"")"),"Le journaliste affirme que l'homme est meilleur que jamais et montre ses progrès en jouant un violon dans un spectacle.")</f>
        <v>Le journaliste affirme que l'homme est meilleur que jamais et montre ses progrès en jouant un violon dans un spectacle.</v>
      </c>
    </row>
    <row r="25344">
      <c r="A25344" s="4" t="s">
        <v>31903</v>
      </c>
      <c r="B25344" s="4" t="s">
        <v>31904</v>
      </c>
      <c r="C25344" s="5" t="str">
        <f>IFERROR(__xludf.DUMMYFUNCTION("GOOGLETRANSLATE(B25344,""en"",""fr"")"),"Un homme se tient à la ligne de départ en applaudissant les mains, les gens regardent.")</f>
        <v>Un homme se tient à la ligne de départ en applaudissant les mains, les gens regardent.</v>
      </c>
    </row>
    <row r="25345">
      <c r="A25345" s="4" t="s">
        <v>31903</v>
      </c>
      <c r="B25345" s="4" t="s">
        <v>31905</v>
      </c>
      <c r="C25345" s="5" t="str">
        <f>IFERROR(__xludf.DUMMYFUNCTION("GOOGLETRANSLATE(B25345,""en"",""fr"")"),"Il décolle en courant et fait un saut en longueur.")</f>
        <v>Il décolle en courant et fait un saut en longueur.</v>
      </c>
    </row>
    <row r="25346">
      <c r="A25346" s="4" t="s">
        <v>31903</v>
      </c>
      <c r="B25346" s="4" t="s">
        <v>31906</v>
      </c>
      <c r="C25346" s="5" t="str">
        <f>IFERROR(__xludf.DUMMYFUNCTION("GOOGLETRANSLATE(B25346,""en"",""fr"")"),"Il salue le grand public applaudissant.")</f>
        <v>Il salue le grand public applaudissant.</v>
      </c>
    </row>
    <row r="25347">
      <c r="A25347" s="4" t="s">
        <v>31903</v>
      </c>
      <c r="B25347" s="4" t="s">
        <v>31907</v>
      </c>
      <c r="C25347" s="5" t="str">
        <f>IFERROR(__xludf.DUMMYFUNCTION("GOOGLETRANSLATE(B25347,""en"",""fr"")"),"Un autre homme attend sur la ligne de départ avant de s'accélérer dans le saut en longueur.")</f>
        <v>Un autre homme attend sur la ligne de départ avant de s'accélérer dans le saut en longueur.</v>
      </c>
    </row>
    <row r="25348">
      <c r="A25348" s="4" t="s">
        <v>31903</v>
      </c>
      <c r="B25348" s="4" t="s">
        <v>31908</v>
      </c>
      <c r="C25348" s="5" t="str">
        <f>IFERROR(__xludf.DUMMYFUNCTION("GOOGLETRANSLATE(B25348,""en"",""fr"")"),"Il regarde la foule qui est modérée.")</f>
        <v>Il regarde la foule qui est modérée.</v>
      </c>
    </row>
    <row r="25349">
      <c r="A25349" s="4" t="s">
        <v>31903</v>
      </c>
      <c r="B25349" s="4" t="s">
        <v>31909</v>
      </c>
      <c r="C25349" s="5" t="str">
        <f>IFERROR(__xludf.DUMMYFUNCTION("GOOGLETRANSLATE(B25349,""en"",""fr"")"),"Il s'éloigne en regardant le sol.")</f>
        <v>Il s'éloigne en regardant le sol.</v>
      </c>
    </row>
    <row r="25350">
      <c r="A25350" s="4" t="s">
        <v>31903</v>
      </c>
      <c r="B25350" s="4" t="s">
        <v>31910</v>
      </c>
      <c r="C25350" s="5" t="str">
        <f>IFERROR(__xludf.DUMMYFUNCTION("GOOGLETRANSLATE(B25350,""en"",""fr"")"),"Un autre homme attend sur la ligne de départ avant de courir dans un longjump.")</f>
        <v>Un autre homme attend sur la ligne de départ avant de courir dans un longjump.</v>
      </c>
    </row>
    <row r="25351">
      <c r="A25351" s="4" t="s">
        <v>31903</v>
      </c>
      <c r="B25351" s="4" t="s">
        <v>31911</v>
      </c>
      <c r="C25351" s="5" t="str">
        <f>IFERROR(__xludf.DUMMYFUNCTION("GOOGLETRANSLATE(B25351,""en"",""fr"")"),"Il agite à la foule reconnaissante et s'enfuit en souriant et en célébrant.")</f>
        <v>Il agite à la foule reconnaissante et s'enfuit en souriant et en célébrant.</v>
      </c>
    </row>
    <row r="25352">
      <c r="A25352" s="4" t="s">
        <v>31912</v>
      </c>
      <c r="B25352" s="4" t="s">
        <v>31913</v>
      </c>
      <c r="C25352" s="5" t="str">
        <f>IFERROR(__xludf.DUMMYFUNCTION("GOOGLETRANSLATE(B25352,""en"",""fr"")"),"Une personne est vue allongée sur le sol avec une autre personne qui coulait de derrière.")</f>
        <v>Une personne est vue allongée sur le sol avec une autre personne qui coulait de derrière.</v>
      </c>
    </row>
    <row r="25353">
      <c r="A25353" s="4" t="s">
        <v>31912</v>
      </c>
      <c r="B25353" s="4" t="s">
        <v>31914</v>
      </c>
      <c r="C25353" s="5" t="str">
        <f>IFERROR(__xludf.DUMMYFUNCTION("GOOGLETRANSLATE(B25353,""en"",""fr"")"),"La personne qui coule tombe alors et les autres qui les entourent aident et boivent de l'eau.")</f>
        <v>La personne qui coule tombe alors et les autres qui les entourent aident et boivent de l'eau.</v>
      </c>
    </row>
    <row r="25354">
      <c r="A25354" s="4" t="s">
        <v>31915</v>
      </c>
      <c r="B25354" s="4" t="s">
        <v>31916</v>
      </c>
      <c r="C25354" s="5" t="str">
        <f>IFERROR(__xludf.DUMMYFUNCTION("GOOGLETRANSLATE(B25354,""en"",""fr"")"),"Les joueurs jouent à la crosse dans une arène de hockey.")</f>
        <v>Les joueurs jouent à la crosse dans une arène de hockey.</v>
      </c>
    </row>
    <row r="25355">
      <c r="A25355" s="4" t="s">
        <v>31915</v>
      </c>
      <c r="B25355" s="4" t="s">
        <v>31917</v>
      </c>
      <c r="C25355" s="5" t="str">
        <f>IFERROR(__xludf.DUMMYFUNCTION("GOOGLETRANSLATE(B25355,""en"",""fr"")"),"Les joueurs quittent l'arène.")</f>
        <v>Les joueurs quittent l'arène.</v>
      </c>
    </row>
    <row r="25356">
      <c r="A25356" s="4" t="s">
        <v>31915</v>
      </c>
      <c r="B25356" s="4" t="s">
        <v>31918</v>
      </c>
      <c r="C25356" s="5" t="str">
        <f>IFERROR(__xludf.DUMMYFUNCTION("GOOGLETRANSLATE(B25356,""en"",""fr"")"),"Un joueur d'équipe vert court vers la fenêtre claire.")</f>
        <v>Un joueur d'équipe vert court vers la fenêtre claire.</v>
      </c>
    </row>
    <row r="25357">
      <c r="A25357" s="4" t="s">
        <v>31919</v>
      </c>
      <c r="B25357" s="4" t="s">
        <v>31920</v>
      </c>
      <c r="C25357" s="5" t="str">
        <f>IFERROR(__xludf.DUMMYFUNCTION("GOOGLETRANSLATE(B25357,""en"",""fr"")"),"Une caméra se déroule autour d'un McDonalds et mène à un homme en parlant à un caissier.")</f>
        <v>Une caméra se déroule autour d'un McDonalds et mène à un homme en parlant à un caissier.</v>
      </c>
    </row>
    <row r="25358">
      <c r="A25358" s="4" t="s">
        <v>31919</v>
      </c>
      <c r="B25358" s="4" t="s">
        <v>31921</v>
      </c>
      <c r="C25358" s="5" t="str">
        <f>IFERROR(__xludf.DUMMYFUNCTION("GOOGLETRANSLATE(B25358,""en"",""fr"")"),"Plusieurs plans sont ensuite montrés de personnes jouant des ciseaux en papier de roche avec des employés.")</f>
        <v>Plusieurs plans sont ensuite montrés de personnes jouant des ciseaux en papier de roche avec des employés.</v>
      </c>
    </row>
    <row r="25359">
      <c r="A25359" s="4" t="s">
        <v>31919</v>
      </c>
      <c r="B25359" s="4" t="s">
        <v>31922</v>
      </c>
      <c r="C25359" s="5" t="str">
        <f>IFERROR(__xludf.DUMMYFUNCTION("GOOGLETRANSLATE(B25359,""en"",""fr"")"),"Lorsque les gens gagnent le jeu, ils obtiennent une glace gratuite.")</f>
        <v>Lorsque les gens gagnent le jeu, ils obtiennent une glace gratuite.</v>
      </c>
    </row>
    <row r="25360">
      <c r="A25360" s="4" t="s">
        <v>31923</v>
      </c>
      <c r="B25360" s="4" t="s">
        <v>31924</v>
      </c>
      <c r="C25360" s="5" t="str">
        <f>IFERROR(__xludf.DUMMYFUNCTION("GOOGLETRANSLATE(B25360,""en"",""fr"")"),"Un réfrigérateur est vu s'ouvrir avec deux personnes saisissant un morceau de fromage.")</f>
        <v>Un réfrigérateur est vu s'ouvrir avec deux personnes saisissant un morceau de fromage.</v>
      </c>
    </row>
    <row r="25361">
      <c r="A25361" s="4" t="s">
        <v>31923</v>
      </c>
      <c r="B25361" s="4" t="s">
        <v>31925</v>
      </c>
      <c r="C25361" s="5" t="str">
        <f>IFERROR(__xludf.DUMMYFUNCTION("GOOGLETRANSLATE(B25361,""en"",""fr"")"),"Les deux hommes se battent alors commencent à jouer à un jeu de ciseaux de papier rock.")</f>
        <v>Les deux hommes se battent alors commencent à jouer à un jeu de ciseaux de papier rock.</v>
      </c>
    </row>
    <row r="25362">
      <c r="A25362" s="4" t="s">
        <v>31923</v>
      </c>
      <c r="B25362" s="6" t="s">
        <v>31926</v>
      </c>
      <c r="C25362" s="5" t="str">
        <f>IFERROR(__xludf.DUMMYFUNCTION("GOOGLETRANSLATE(B25362,""en"",""fr"")"),"Ils utilisent divers outils et objets pour jouer ainsi que des versions plus petites d'eux-mêmes qui continuent de se mettre en arrière.")</f>
        <v>Ils utilisent divers outils et objets pour jouer ainsi que des versions plus petites d'eux-mêmes qui continuent de se mettre en arrière.</v>
      </c>
    </row>
    <row r="25363">
      <c r="A25363" s="4" t="s">
        <v>31927</v>
      </c>
      <c r="B25363" s="4" t="s">
        <v>31928</v>
      </c>
      <c r="C25363" s="5" t="str">
        <f>IFERROR(__xludf.DUMMYFUNCTION("GOOGLETRANSLATE(B25363,""en"",""fr"")"),"Nous voyons un écran d'ouverture puis une femme assise.")</f>
        <v>Nous voyons un écran d'ouverture puis une femme assise.</v>
      </c>
    </row>
    <row r="25364">
      <c r="A25364" s="4" t="s">
        <v>31927</v>
      </c>
      <c r="B25364" s="4" t="s">
        <v>31929</v>
      </c>
      <c r="C25364" s="5" t="str">
        <f>IFERROR(__xludf.DUMMYFUNCTION("GOOGLETRANSLATE(B25364,""en"",""fr"")"),"Nous voyons une personne couper les cheveux longs avec un niveau.")</f>
        <v>Nous voyons une personne couper les cheveux longs avec un niveau.</v>
      </c>
    </row>
    <row r="25365">
      <c r="A25365" s="4" t="s">
        <v>31927</v>
      </c>
      <c r="B25365" s="4" t="s">
        <v>31930</v>
      </c>
      <c r="C25365" s="5" t="str">
        <f>IFERROR(__xludf.DUMMYFUNCTION("GOOGLETRANSLATE(B25365,""en"",""fr"")"),"La personne brosse ensuite ses cheveux émoussés.")</f>
        <v>La personne brosse ensuite ses cheveux émoussés.</v>
      </c>
    </row>
    <row r="25366">
      <c r="A25366" s="4" t="s">
        <v>31927</v>
      </c>
      <c r="B25366" s="4" t="s">
        <v>31931</v>
      </c>
      <c r="C25366" s="5" t="str">
        <f>IFERROR(__xludf.DUMMYFUNCTION("GOOGLETRANSLATE(B25366,""en"",""fr"")"),"La dame se retourne et sourit.")</f>
        <v>La dame se retourne et sourit.</v>
      </c>
    </row>
    <row r="25367">
      <c r="A25367" s="4" t="s">
        <v>31927</v>
      </c>
      <c r="B25367" s="4" t="s">
        <v>31932</v>
      </c>
      <c r="C25367" s="5" t="str">
        <f>IFERROR(__xludf.DUMMYFUNCTION("GOOGLETRANSLATE(B25367,""en"",""fr"")"),"Nous voyons un avant et après.")</f>
        <v>Nous voyons un avant et après.</v>
      </c>
    </row>
    <row r="25368">
      <c r="A25368" s="4" t="s">
        <v>31927</v>
      </c>
      <c r="B25368" s="4" t="s">
        <v>31933</v>
      </c>
      <c r="C25368" s="5" t="str">
        <f>IFERROR(__xludf.DUMMYFUNCTION("GOOGLETRANSLATE(B25368,""en"",""fr"")"),"Nous voyons ensuite des scènes de personnes utilisant l'outil.")</f>
        <v>Nous voyons ensuite des scènes de personnes utilisant l'outil.</v>
      </c>
    </row>
    <row r="25369">
      <c r="A25369" s="4" t="s">
        <v>31927</v>
      </c>
      <c r="B25369" s="4" t="s">
        <v>31934</v>
      </c>
      <c r="C25369" s="5" t="str">
        <f>IFERROR(__xludf.DUMMYFUNCTION("GOOGLETRANSLATE(B25369,""en"",""fr"")"),"Nous voyons l'outil en blanc et bleu.")</f>
        <v>Nous voyons l'outil en blanc et bleu.</v>
      </c>
    </row>
    <row r="25370">
      <c r="A25370" s="4" t="s">
        <v>31927</v>
      </c>
      <c r="B25370" s="4" t="s">
        <v>31935</v>
      </c>
      <c r="C25370" s="5" t="str">
        <f>IFERROR(__xludf.DUMMYFUNCTION("GOOGLETRANSLATE(B25370,""en"",""fr"")"),"L'écran de clôture est vu.")</f>
        <v>L'écran de clôture est vu.</v>
      </c>
    </row>
    <row r="25371">
      <c r="A25371" s="4" t="s">
        <v>31936</v>
      </c>
      <c r="B25371" s="4" t="s">
        <v>31937</v>
      </c>
      <c r="C25371" s="5" t="str">
        <f>IFERROR(__xludf.DUMMYFUNCTION("GOOGLETRANSLATE(B25371,""en"",""fr"")"),"Un groupe de nageurs est sur une plongée.")</f>
        <v>Un groupe de nageurs est sur une plongée.</v>
      </c>
    </row>
    <row r="25372">
      <c r="A25372" s="4" t="s">
        <v>31936</v>
      </c>
      <c r="B25372" s="4" t="s">
        <v>31938</v>
      </c>
      <c r="C25372" s="5" t="str">
        <f>IFERROR(__xludf.DUMMYFUNCTION("GOOGLETRANSLATE(B25372,""en"",""fr"")"),"Un homme tombe du tableau très soudainement.")</f>
        <v>Un homme tombe du tableau très soudainement.</v>
      </c>
    </row>
    <row r="25373">
      <c r="A25373" s="4" t="s">
        <v>31936</v>
      </c>
      <c r="B25373" s="4" t="s">
        <v>31939</v>
      </c>
      <c r="C25373" s="5" t="str">
        <f>IFERROR(__xludf.DUMMYFUNCTION("GOOGLETRANSLATE(B25373,""en"",""fr"")"),"Il frappe d'autres niveaux en descendant dans l'eau.")</f>
        <v>Il frappe d'autres niveaux en descendant dans l'eau.</v>
      </c>
    </row>
    <row r="25374">
      <c r="A25374" s="4" t="s">
        <v>31940</v>
      </c>
      <c r="B25374" s="4" t="s">
        <v>31941</v>
      </c>
      <c r="C25374" s="5" t="str">
        <f>IFERROR(__xludf.DUMMYFUNCTION("GOOGLETRANSLATE(B25374,""en"",""fr"")"),"Une femme fait de l'exercice sur une machine.")</f>
        <v>Une femme fait de l'exercice sur une machine.</v>
      </c>
    </row>
    <row r="25375">
      <c r="A25375" s="4" t="s">
        <v>31940</v>
      </c>
      <c r="B25375" s="4" t="s">
        <v>31942</v>
      </c>
      <c r="C25375" s="5" t="str">
        <f>IFERROR(__xludf.DUMMYFUNCTION("GOOGLETRANSLATE(B25375,""en"",""fr"")"),"Elle va à une vitesse assez rapide, vous pouvez la voir descendre et repartir.")</f>
        <v>Elle va à une vitesse assez rapide, vous pouvez la voir descendre et repartir.</v>
      </c>
    </row>
    <row r="25376">
      <c r="A25376" s="4" t="s">
        <v>31940</v>
      </c>
      <c r="B25376" s="6" t="s">
        <v>31943</v>
      </c>
      <c r="C25376" s="5" t="str">
        <f>IFERROR(__xludf.DUMMYFUNCTION("GOOGLETRANSLATE(B25376,""en"",""fr"")"),"Elle place ses mains autour d'un morceau et cela lui permet de faire sa foulée et sa vitesse ainsi que son rythme cardiaque et ses trucs.")</f>
        <v>Elle place ses mains autour d'un morceau et cela lui permet de faire sa foulée et sa vitesse ainsi que son rythme cardiaque et ses trucs.</v>
      </c>
    </row>
    <row r="25377">
      <c r="A25377" s="4" t="s">
        <v>31940</v>
      </c>
      <c r="B25377" s="4" t="s">
        <v>31944</v>
      </c>
      <c r="C25377" s="5" t="str">
        <f>IFERROR(__xludf.DUMMYFUNCTION("GOOGLETRANSLATE(B25377,""en"",""fr"")"),"Elle change la vitesse et boit de l'eau et continue.")</f>
        <v>Elle change la vitesse et boit de l'eau et continue.</v>
      </c>
    </row>
    <row r="25378">
      <c r="A25378" s="4" t="s">
        <v>31945</v>
      </c>
      <c r="B25378" s="4" t="s">
        <v>31946</v>
      </c>
      <c r="C25378" s="5" t="str">
        <f>IFERROR(__xludf.DUMMYFUNCTION("GOOGLETRANSLATE(B25378,""en"",""fr"")"),"Une balle rouillée est représentée dans un type de rampe fabriquée par l'homme.")</f>
        <v>Une balle rouillée est représentée dans un type de rampe fabriquée par l'homme.</v>
      </c>
    </row>
    <row r="25379">
      <c r="A25379" s="4" t="s">
        <v>31945</v>
      </c>
      <c r="B25379" s="6" t="s">
        <v>31947</v>
      </c>
      <c r="C25379" s="5" t="str">
        <f>IFERROR(__xludf.DUMMYFUNCTION("GOOGLETRANSLATE(B25379,""en"",""fr"")"),"Plusieurs athlètes olympiques sont ensuite montrés en mettant le tir par le cou et en le jetant et en faisant mesurer leur distance.")</f>
        <v>Plusieurs athlètes olympiques sont ensuite montrés en mettant le tir par le cou et en le jetant et en faisant mesurer leur distance.</v>
      </c>
    </row>
    <row r="25380">
      <c r="A25380" s="4" t="s">
        <v>31945</v>
      </c>
      <c r="B25380" s="6" t="s">
        <v>31948</v>
      </c>
      <c r="C25380" s="5" t="str">
        <f>IFERROR(__xludf.DUMMYFUNCTION("GOOGLETRANSLATE(B25380,""en"",""fr"")"),"Un tableau de bord noir est finalement montré et ils commencent à donner au vainqueur la médaille et à montrer le drapeau du pays que la personne représente.")</f>
        <v>Un tableau de bord noir est finalement montré et ils commencent à donner au vainqueur la médaille et à montrer le drapeau du pays que la personne représente.</v>
      </c>
    </row>
    <row r="25381">
      <c r="A25381" s="4" t="s">
        <v>31949</v>
      </c>
      <c r="B25381" s="4" t="s">
        <v>31950</v>
      </c>
      <c r="C25381" s="5" t="str">
        <f>IFERROR(__xludf.DUMMYFUNCTION("GOOGLETRANSLATE(B25381,""en"",""fr"")"),"Une femme en blouse de laboratoire est dans une salle de reprise de l'hôpital.")</f>
        <v>Une femme en blouse de laboratoire est dans une salle de reprise de l'hôpital.</v>
      </c>
    </row>
    <row r="25382">
      <c r="A25382" s="4" t="s">
        <v>31949</v>
      </c>
      <c r="B25382" s="4" t="s">
        <v>31951</v>
      </c>
      <c r="C25382" s="5" t="str">
        <f>IFERROR(__xludf.DUMMYFUNCTION("GOOGLETRANSLATE(B25382,""en"",""fr"")"),"Elle sobre bien ses mains avec du savon.")</f>
        <v>Elle sobre bien ses mains avec du savon.</v>
      </c>
    </row>
    <row r="25383">
      <c r="A25383" s="4" t="s">
        <v>31949</v>
      </c>
      <c r="B25383" s="4" t="s">
        <v>31952</v>
      </c>
      <c r="C25383" s="5" t="str">
        <f>IFERROR(__xludf.DUMMYFUNCTION("GOOGLETRANSLATE(B25383,""en"",""fr"")"),"Elle les rince et les sèche ensuite à fond.")</f>
        <v>Elle les rince et les sèche ensuite à fond.</v>
      </c>
    </row>
    <row r="25384">
      <c r="A25384" s="4" t="s">
        <v>31953</v>
      </c>
      <c r="B25384" s="4" t="s">
        <v>31954</v>
      </c>
      <c r="C25384" s="5" t="str">
        <f>IFERROR(__xludf.DUMMYFUNCTION("GOOGLETRANSLATE(B25384,""en"",""fr"")"),"Un homme tire une botte sur son pied assis sur une chaise à l'intérieur.")</f>
        <v>Un homme tire une botte sur son pied assis sur une chaise à l'intérieur.</v>
      </c>
    </row>
    <row r="25385">
      <c r="A25385" s="4" t="s">
        <v>31953</v>
      </c>
      <c r="B25385" s="4" t="s">
        <v>31955</v>
      </c>
      <c r="C25385" s="5" t="str">
        <f>IFERROR(__xludf.DUMMYFUNCTION("GOOGLETRANSLATE(B25385,""en"",""fr"")"),"L'homme attache les sangles sur le bateau.")</f>
        <v>L'homme attache les sangles sur le bateau.</v>
      </c>
    </row>
    <row r="25386">
      <c r="A25386" s="4" t="s">
        <v>31953</v>
      </c>
      <c r="B25386" s="4" t="s">
        <v>31956</v>
      </c>
      <c r="C25386" s="5" t="str">
        <f>IFERROR(__xludf.DUMMYFUNCTION("GOOGLETRANSLATE(B25386,""en"",""fr"")"),"Une personne montre à l'homme comment fixer les sangles sur le démarrage.")</f>
        <v>Une personne montre à l'homme comment fixer les sangles sur le démarrage.</v>
      </c>
    </row>
    <row r="25387">
      <c r="A25387" s="4" t="s">
        <v>31953</v>
      </c>
      <c r="B25387" s="4" t="s">
        <v>31957</v>
      </c>
      <c r="C25387" s="5" t="str">
        <f>IFERROR(__xludf.DUMMYFUNCTION("GOOGLETRANSLATE(B25387,""en"",""fr"")"),"L'homme secoue tout en essayant de finir de mettre les chaussures.")</f>
        <v>L'homme secoue tout en essayant de finir de mettre les chaussures.</v>
      </c>
    </row>
    <row r="25388">
      <c r="A25388" s="4" t="s">
        <v>31958</v>
      </c>
      <c r="B25388" s="4" t="s">
        <v>31959</v>
      </c>
      <c r="C25388" s="5" t="str">
        <f>IFERROR(__xludf.DUMMYFUNCTION("GOOGLETRANSLATE(B25388,""en"",""fr"")"),"Un homme plus âgé est vu parler à la caméra tout en tenant une boule de tennis et une raquette à la main.")</f>
        <v>Un homme plus âgé est vu parler à la caméra tout en tenant une boule de tennis et une raquette à la main.</v>
      </c>
    </row>
    <row r="25389">
      <c r="A25389" s="4" t="s">
        <v>31958</v>
      </c>
      <c r="B25389" s="6" t="s">
        <v>31960</v>
      </c>
      <c r="C25389" s="5" t="str">
        <f>IFERROR(__xludf.DUMMYFUNCTION("GOOGLETRANSLATE(B25389,""en"",""fr"")"),"Il déplace la raquette et le ballon pour démontrer comment servir correctement le ballon, suivi par lui servant le ballon au ralenti.")</f>
        <v>Il déplace la raquette et le ballon pour démontrer comment servir correctement le ballon, suivi par lui servant le ballon au ralenti.</v>
      </c>
    </row>
    <row r="25390">
      <c r="A25390" s="4" t="s">
        <v>31958</v>
      </c>
      <c r="B25390" s="4" t="s">
        <v>31961</v>
      </c>
      <c r="C25390" s="5" t="str">
        <f>IFERROR(__xludf.DUMMYFUNCTION("GOOGLETRANSLATE(B25390,""en"",""fr"")"),"Le même coup est montré plusieurs fois pour montrer comment effectuer correctement ce service.")</f>
        <v>Le même coup est montré plusieurs fois pour montrer comment effectuer correctement ce service.</v>
      </c>
    </row>
    <row r="25391">
      <c r="A25391" s="4" t="s">
        <v>31962</v>
      </c>
      <c r="B25391" s="4" t="s">
        <v>31963</v>
      </c>
      <c r="C25391" s="5" t="str">
        <f>IFERROR(__xludf.DUMMYFUNCTION("GOOGLETRANSLATE(B25391,""en"",""fr"")"),"Une course de vélo BMX intérieure se produit.")</f>
        <v>Une course de vélo BMX intérieure se produit.</v>
      </c>
    </row>
    <row r="25392">
      <c r="A25392" s="4" t="s">
        <v>31962</v>
      </c>
      <c r="B25392" s="4" t="s">
        <v>31964</v>
      </c>
      <c r="C25392" s="5" t="str">
        <f>IFERROR(__xludf.DUMMYFUNCTION("GOOGLETRANSLATE(B25392,""en"",""fr"")"),"Après le départ, tout le monde parcourt la piste le plus rapidement possible.")</f>
        <v>Après le départ, tout le monde parcourt la piste le plus rapidement possible.</v>
      </c>
    </row>
    <row r="25393">
      <c r="A25393" s="4" t="s">
        <v>31965</v>
      </c>
      <c r="B25393" s="4" t="s">
        <v>31966</v>
      </c>
      <c r="C25393" s="5" t="str">
        <f>IFERROR(__xludf.DUMMYFUNCTION("GOOGLETRANSLATE(B25393,""en"",""fr"")"),"L'homme en violet parle à la caméra.")</f>
        <v>L'homme en violet parle à la caméra.</v>
      </c>
    </row>
    <row r="25394">
      <c r="A25394" s="4" t="s">
        <v>31965</v>
      </c>
      <c r="B25394" s="4" t="s">
        <v>31967</v>
      </c>
      <c r="C25394" s="5" t="str">
        <f>IFERROR(__xludf.DUMMYFUNCTION("GOOGLETRANSLATE(B25394,""en"",""fr"")"),"L'homme en violet avance en pas lents.")</f>
        <v>L'homme en violet avance en pas lents.</v>
      </c>
    </row>
    <row r="25395">
      <c r="A25395" s="4" t="s">
        <v>31965</v>
      </c>
      <c r="B25395" s="4" t="s">
        <v>31968</v>
      </c>
      <c r="C25395" s="5" t="str">
        <f>IFERROR(__xludf.DUMMYFUNCTION("GOOGLETRANSLATE(B25395,""en"",""fr"")"),"L'homme en gris montre comment marcher.")</f>
        <v>L'homme en gris montre comment marcher.</v>
      </c>
    </row>
    <row r="25396">
      <c r="A25396" s="4" t="s">
        <v>31965</v>
      </c>
      <c r="B25396" s="4" t="s">
        <v>31969</v>
      </c>
      <c r="C25396" s="5" t="str">
        <f>IFERROR(__xludf.DUMMYFUNCTION("GOOGLETRANSLATE(B25396,""en"",""fr"")"),"L'homme en gris démontre différents sauts.")</f>
        <v>L'homme en gris démontre différents sauts.</v>
      </c>
    </row>
    <row r="25397">
      <c r="A25397" s="4" t="s">
        <v>31970</v>
      </c>
      <c r="B25397" s="4" t="s">
        <v>31971</v>
      </c>
      <c r="C25397" s="5" t="str">
        <f>IFERROR(__xludf.DUMMYFUNCTION("GOOGLETRANSLATE(B25397,""en"",""fr"")"),"Un gros plan d'une fraise est montré.")</f>
        <v>Un gros plan d'une fraise est montré.</v>
      </c>
    </row>
    <row r="25398">
      <c r="A25398" s="4" t="s">
        <v>31970</v>
      </c>
      <c r="B25398" s="4" t="s">
        <v>31972</v>
      </c>
      <c r="C25398" s="5" t="str">
        <f>IFERROR(__xludf.DUMMYFUNCTION("GOOGLETRANSLATE(B25398,""en"",""fr"")"),"Une femme parle avec un éventail d'aquarelles.")</f>
        <v>Une femme parle avec un éventail d'aquarelles.</v>
      </c>
    </row>
    <row r="25399">
      <c r="A25399" s="4" t="s">
        <v>31970</v>
      </c>
      <c r="B25399" s="4" t="s">
        <v>31973</v>
      </c>
      <c r="C25399" s="5" t="str">
        <f>IFERROR(__xludf.DUMMYFUNCTION("GOOGLETRANSLATE(B25399,""en"",""fr"")"),"Elle montre comment utiliser les aquarelles pour créer de l'art sur une toile.")</f>
        <v>Elle montre comment utiliser les aquarelles pour créer de l'art sur une toile.</v>
      </c>
    </row>
    <row r="25400">
      <c r="A25400" s="4" t="s">
        <v>31974</v>
      </c>
      <c r="B25400" s="4" t="s">
        <v>31975</v>
      </c>
      <c r="C25400" s="5" t="str">
        <f>IFERROR(__xludf.DUMMYFUNCTION("GOOGLETRANSLATE(B25400,""en"",""fr"")"),"Il y a une femme dans une chemise rose et un short noir qui entraîne un chien sur une grande pelouse ouverte.")</f>
        <v>Il y a une femme dans une chemise rose et un short noir qui entraîne un chien sur une grande pelouse ouverte.</v>
      </c>
    </row>
    <row r="25401">
      <c r="A25401" s="4" t="s">
        <v>31974</v>
      </c>
      <c r="B25401" s="4" t="s">
        <v>31976</v>
      </c>
      <c r="C25401" s="5" t="str">
        <f>IFERROR(__xludf.DUMMYFUNCTION("GOOGLETRANSLATE(B25401,""en"",""fr"")"),"Elle lance des disques frisbee de couleur rose pour que le chien coure et s'approche.")</f>
        <v>Elle lance des disques frisbee de couleur rose pour que le chien coure et s'approche.</v>
      </c>
    </row>
    <row r="25402">
      <c r="A25402" s="4" t="s">
        <v>31974</v>
      </c>
      <c r="B25402" s="4" t="s">
        <v>31977</v>
      </c>
      <c r="C25402" s="5" t="str">
        <f>IFERROR(__xludf.DUMMYFUNCTION("GOOGLETRANSLATE(B25402,""en"",""fr"")"),"Chaque fois qu'elle jette le disque, le chien est excité et court et récupére le disque pour elle.")</f>
        <v>Chaque fois qu'elle jette le disque, le chien est excité et court et récupére le disque pour elle.</v>
      </c>
    </row>
    <row r="25403">
      <c r="A25403" s="4" t="s">
        <v>31974</v>
      </c>
      <c r="B25403" s="4" t="s">
        <v>31978</v>
      </c>
      <c r="C25403" s="5" t="str">
        <f>IFERROR(__xludf.DUMMYFUNCTION("GOOGLETRANSLATE(B25403,""en"",""fr"")"),"Le chien est bien formé pour attraper le disque dans sa bouche presque à chaque fois sans le manquer.")</f>
        <v>Le chien est bien formé pour attraper le disque dans sa bouche presque à chaque fois sans le manquer.</v>
      </c>
    </row>
    <row r="25404">
      <c r="A25404" s="4" t="s">
        <v>31974</v>
      </c>
      <c r="B25404" s="4" t="s">
        <v>31979</v>
      </c>
      <c r="C25404" s="5" t="str">
        <f>IFERROR(__xludf.DUMMYFUNCTION("GOOGLETRANSLATE(B25404,""en"",""fr"")"),"Il y a peu de gens debout et regardent l'entraîneur et le chien.")</f>
        <v>Il y a peu de gens debout et regardent l'entraîneur et le chien.</v>
      </c>
    </row>
    <row r="25405">
      <c r="A25405" s="4" t="s">
        <v>31980</v>
      </c>
      <c r="B25405" s="4" t="s">
        <v>31981</v>
      </c>
      <c r="C25405" s="5" t="str">
        <f>IFERROR(__xludf.DUMMYFUNCTION("GOOGLETRANSLATE(B25405,""en"",""fr"")"),"Un emblème apparaît à l'écran.")</f>
        <v>Un emblème apparaît à l'écran.</v>
      </c>
    </row>
    <row r="25406">
      <c r="A25406" s="4" t="s">
        <v>31980</v>
      </c>
      <c r="B25406" s="4" t="s">
        <v>31982</v>
      </c>
      <c r="C25406" s="5" t="str">
        <f>IFERROR(__xludf.DUMMYFUNCTION("GOOGLETRANSLATE(B25406,""en"",""fr"")"),"Une vue du soleil est vue entre les nuages.")</f>
        <v>Une vue du soleil est vue entre les nuages.</v>
      </c>
    </row>
    <row r="25407">
      <c r="A25407" s="4" t="s">
        <v>31980</v>
      </c>
      <c r="B25407" s="4" t="s">
        <v>31983</v>
      </c>
      <c r="C25407" s="5" t="str">
        <f>IFERROR(__xludf.DUMMYFUNCTION("GOOGLETRANSLATE(B25407,""en"",""fr"")"),"Une femme s'approche d'un jeune garçon qui a son pantalon, s'accroupissant devant un seau.")</f>
        <v>Une femme s'approche d'un jeune garçon qui a son pantalon, s'accroupissant devant un seau.</v>
      </c>
    </row>
    <row r="25408">
      <c r="A25408" s="4" t="s">
        <v>31980</v>
      </c>
      <c r="B25408" s="4" t="s">
        <v>31984</v>
      </c>
      <c r="C25408" s="5" t="str">
        <f>IFERROR(__xludf.DUMMYFUNCTION("GOOGLETRANSLATE(B25408,""en"",""fr"")"),"Elle lui crie dessus et le traîne.")</f>
        <v>Elle lui crie dessus et le traîne.</v>
      </c>
    </row>
    <row r="25409">
      <c r="A25409" s="4" t="s">
        <v>31980</v>
      </c>
      <c r="B25409" s="4" t="s">
        <v>31985</v>
      </c>
      <c r="C25409" s="5" t="str">
        <f>IFERROR(__xludf.DUMMYFUNCTION("GOOGLETRANSLATE(B25409,""en"",""fr"")"),"Elle lui montre comment faire mousser ses mains de savon.")</f>
        <v>Elle lui montre comment faire mousser ses mains de savon.</v>
      </c>
    </row>
    <row r="25410">
      <c r="A25410" s="4" t="s">
        <v>31980</v>
      </c>
      <c r="B25410" s="4" t="s">
        <v>31986</v>
      </c>
      <c r="C25410" s="5" t="str">
        <f>IFERROR(__xludf.DUMMYFUNCTION("GOOGLETRANSLATE(B25410,""en"",""fr"")"),"Ensuite, le groupe de femmes rassemblées parlent pendant que le garçon regarde et écoute.")</f>
        <v>Ensuite, le groupe de femmes rassemblées parlent pendant que le garçon regarde et écoute.</v>
      </c>
    </row>
    <row r="25411">
      <c r="A25411" s="4" t="s">
        <v>31980</v>
      </c>
      <c r="B25411" s="4" t="s">
        <v>31987</v>
      </c>
      <c r="C25411" s="5" t="str">
        <f>IFERROR(__xludf.DUMMYFUNCTION("GOOGLETRANSLATE(B25411,""en"",""fr"")"),"Les femmes ont l'air triste alors qu'elle s'éloigne.")</f>
        <v>Les femmes ont l'air triste alors qu'elle s'éloigne.</v>
      </c>
    </row>
    <row r="25412">
      <c r="A25412" s="4" t="s">
        <v>31980</v>
      </c>
      <c r="B25412" s="4" t="s">
        <v>31988</v>
      </c>
      <c r="C25412" s="5" t="str">
        <f>IFERROR(__xludf.DUMMYFUNCTION("GOOGLETRANSLATE(B25412,""en"",""fr"")"),"Un garçon et une femme s'approchent pour parler à une autre femme, et elle a l'air bouleversée.")</f>
        <v>Un garçon et une femme s'approchent pour parler à une autre femme, et elle a l'air bouleversée.</v>
      </c>
    </row>
    <row r="25413">
      <c r="A25413" s="4" t="s">
        <v>31980</v>
      </c>
      <c r="B25413" s="4" t="s">
        <v>31989</v>
      </c>
      <c r="C25413" s="5" t="str">
        <f>IFERROR(__xludf.DUMMYFUNCTION("GOOGLETRANSLATE(B25413,""en"",""fr"")"),"Un médecin est montré en parlant de mains sales aux femmes.")</f>
        <v>Un médecin est montré en parlant de mains sales aux femmes.</v>
      </c>
    </row>
    <row r="25414">
      <c r="A25414" s="4" t="s">
        <v>31980</v>
      </c>
      <c r="B25414" s="6" t="s">
        <v>31990</v>
      </c>
      <c r="C25414" s="5" t="str">
        <f>IFERROR(__xludf.DUMMYFUNCTION("GOOGLETRANSLATE(B25414,""en"",""fr"")"),"Ils sont ensuite montrés à l'extérieur, se lavant les mains et frissonnent le garçon alors qu'ils montrent comment ne pas être sale.")</f>
        <v>Ils sont ensuite montrés à l'extérieur, se lavant les mains et frissonnent le garçon alors qu'ils montrent comment ne pas être sale.</v>
      </c>
    </row>
    <row r="25415">
      <c r="A25415" s="4" t="s">
        <v>31980</v>
      </c>
      <c r="B25415" s="4" t="s">
        <v>31991</v>
      </c>
      <c r="C25415" s="5" t="str">
        <f>IFERROR(__xludf.DUMMYFUNCTION("GOOGLETRANSLATE(B25415,""en"",""fr"")"),"Le groupe saute en l'air pour célébrer.")</f>
        <v>Le groupe saute en l'air pour célébrer.</v>
      </c>
    </row>
    <row r="25416">
      <c r="A25416" s="4" t="s">
        <v>31992</v>
      </c>
      <c r="B25416" s="6" t="s">
        <v>31993</v>
      </c>
      <c r="C25416" s="5" t="str">
        <f>IFERROR(__xludf.DUMMYFUNCTION("GOOGLETRANSLATE(B25416,""en"",""fr"")"),"Deux filles sont vues agiter à la caméra tandis que l'une prend un verre et l'autre joue avec ses cheveux.")</f>
        <v>Deux filles sont vues agiter à la caméra tandis que l'une prend un verre et l'autre joue avec ses cheveux.</v>
      </c>
    </row>
    <row r="25417">
      <c r="A25417" s="4" t="s">
        <v>31992</v>
      </c>
      <c r="B25417" s="6" t="s">
        <v>31994</v>
      </c>
      <c r="C25417" s="5" t="str">
        <f>IFERROR(__xludf.DUMMYFUNCTION("GOOGLETRANSLATE(B25417,""en"",""fr"")"),"Les filles se promènent un peu suivie de boire dans un verre et de faire des visages drôles à la caméra.")</f>
        <v>Les filles se promènent un peu suivie de boire dans un verre et de faire des visages drôles à la caméra.</v>
      </c>
    </row>
    <row r="25418">
      <c r="A25418" s="4" t="s">
        <v>31995</v>
      </c>
      <c r="B25418" s="6" t="s">
        <v>31996</v>
      </c>
      <c r="C25418" s="5" t="str">
        <f>IFERROR(__xludf.DUMMYFUNCTION("GOOGLETRANSLATE(B25418,""en"",""fr"")"),"Une femme est montrée se promenant dans une cuisine qui tournait sur un robinet et L laissant l'évier se remplir d'eau.")</f>
        <v>Une femme est montrée se promenant dans une cuisine qui tournait sur un robinet et L laissant l'évier se remplir d'eau.</v>
      </c>
    </row>
    <row r="25419">
      <c r="A25419" s="4" t="s">
        <v>31995</v>
      </c>
      <c r="B25419" s="4" t="s">
        <v>31997</v>
      </c>
      <c r="C25419" s="5" t="str">
        <f>IFERROR(__xludf.DUMMYFUNCTION("GOOGLETRANSLATE(B25419,""en"",""fr"")"),"On lui montre des gants, en pulvérisant un nettoyant autour de l'évier et en frottant avec une brosse.")</f>
        <v>On lui montre des gants, en pulvérisant un nettoyant autour de l'évier et en frottant avec une brosse.</v>
      </c>
    </row>
    <row r="25420">
      <c r="A25420" s="4" t="s">
        <v>31995</v>
      </c>
      <c r="B25420" s="4" t="s">
        <v>31998</v>
      </c>
      <c r="C25420" s="5" t="str">
        <f>IFERROR(__xludf.DUMMYFUNCTION("GOOGLETRANSLATE(B25420,""en"",""fr"")"),"Elle sourit au produit de nettoyage et se déroule sur l'étiquette affichée.")</f>
        <v>Elle sourit au produit de nettoyage et se déroule sur l'étiquette affichée.</v>
      </c>
    </row>
    <row r="25421">
      <c r="A25421" s="4" t="s">
        <v>31999</v>
      </c>
      <c r="B25421" s="4" t="s">
        <v>32000</v>
      </c>
      <c r="C25421" s="5" t="str">
        <f>IFERROR(__xludf.DUMMYFUNCTION("GOOGLETRANSLATE(B25421,""en"",""fr"")"),"Un homme en troncs de natation est à l'extérieur, se fixant dans l'équipement.")</f>
        <v>Un homme en troncs de natation est à l'extérieur, se fixant dans l'équipement.</v>
      </c>
    </row>
    <row r="25422">
      <c r="A25422" s="4" t="s">
        <v>31999</v>
      </c>
      <c r="B25422" s="4" t="s">
        <v>32001</v>
      </c>
      <c r="C25422" s="5" t="str">
        <f>IFERROR(__xludf.DUMMYFUNCTION("GOOGLETRANSLATE(B25422,""en"",""fr"")"),"Il monte sur un parasail et monte dans l'eau.")</f>
        <v>Il monte sur un parasail et monte dans l'eau.</v>
      </c>
    </row>
    <row r="25423">
      <c r="A25423" s="4" t="s">
        <v>31999</v>
      </c>
      <c r="B25423" s="4" t="s">
        <v>32002</v>
      </c>
      <c r="C25423" s="5" t="str">
        <f>IFERROR(__xludf.DUMMYFUNCTION("GOOGLETRANSLATE(B25423,""en"",""fr"")"),"Il commence à naviguer sur une planche de surf, se tenant fermement alors qu'il accélère.")</f>
        <v>Il commence à naviguer sur une planche de surf, se tenant fermement alors qu'il accélère.</v>
      </c>
    </row>
    <row r="25424">
      <c r="A25424" s="4" t="s">
        <v>31999</v>
      </c>
      <c r="B25424" s="4" t="s">
        <v>32003</v>
      </c>
      <c r="C25424" s="5" t="str">
        <f>IFERROR(__xludf.DUMMYFUNCTION("GOOGLETRANSLATE(B25424,""en"",""fr"")"),"Il s'arrête ensuite dans l'eau, se penchant sur son côté.")</f>
        <v>Il s'arrête ensuite dans l'eau, se penchant sur son côté.</v>
      </c>
    </row>
    <row r="25425">
      <c r="A25425" s="4" t="s">
        <v>32004</v>
      </c>
      <c r="B25425" s="4" t="s">
        <v>32005</v>
      </c>
      <c r="C25425" s="5" t="str">
        <f>IFERROR(__xludf.DUMMYFUNCTION("GOOGLETRANSLATE(B25425,""en"",""fr"")"),"Un enfant joue de la marelle sur le sol.")</f>
        <v>Un enfant joue de la marelle sur le sol.</v>
      </c>
    </row>
    <row r="25426">
      <c r="A25426" s="4" t="s">
        <v>32004</v>
      </c>
      <c r="B25426" s="4" t="s">
        <v>32006</v>
      </c>
      <c r="C25426" s="5" t="str">
        <f>IFERROR(__xludf.DUMMYFUNCTION("GOOGLETRANSLATE(B25426,""en"",""fr"")"),"Ils font des allers-retours sur le tableau de la marelle.")</f>
        <v>Ils font des allers-retours sur le tableau de la marelle.</v>
      </c>
    </row>
    <row r="25427">
      <c r="A25427" s="4" t="s">
        <v>32004</v>
      </c>
      <c r="B25427" s="4" t="s">
        <v>32007</v>
      </c>
      <c r="C25427" s="5" t="str">
        <f>IFERROR(__xludf.DUMMYFUNCTION("GOOGLETRANSLATE(B25427,""en"",""fr"")"),"Ils se penchent pour ramasser quelque chose.")</f>
        <v>Ils se penchent pour ramasser quelque chose.</v>
      </c>
    </row>
    <row r="25428">
      <c r="A25428" s="4" t="s">
        <v>32008</v>
      </c>
      <c r="B25428" s="4" t="s">
        <v>32009</v>
      </c>
      <c r="C25428" s="5" t="str">
        <f>IFERROR(__xludf.DUMMYFUNCTION("GOOGLETRANSLATE(B25428,""en"",""fr"")"),"Un chien est montré en montant des marches vers un bâtiment.")</f>
        <v>Un chien est montré en montant des marches vers un bâtiment.</v>
      </c>
    </row>
    <row r="25429">
      <c r="A25429" s="4" t="s">
        <v>32008</v>
      </c>
      <c r="B25429" s="4" t="s">
        <v>32010</v>
      </c>
      <c r="C25429" s="5" t="str">
        <f>IFERROR(__xludf.DUMMYFUNCTION("GOOGLETRANSLATE(B25429,""en"",""fr"")"),"Ils entrent à l'intérieur et c'est un salon de toilettage pour chiens.")</f>
        <v>Ils entrent à l'intérieur et c'est un salon de toilettage pour chiens.</v>
      </c>
    </row>
    <row r="25430">
      <c r="A25430" s="4" t="s">
        <v>32008</v>
      </c>
      <c r="B25430" s="4" t="s">
        <v>32011</v>
      </c>
      <c r="C25430" s="5" t="str">
        <f>IFERROR(__xludf.DUMMYFUNCTION("GOOGLETRANSLATE(B25430,""en"",""fr"")"),"Plusieurs signes dans une autre langue sont affichés avant l'allumage de l'équipement.")</f>
        <v>Plusieurs signes dans une autre langue sont affichés avant l'allumage de l'équipement.</v>
      </c>
    </row>
    <row r="25431">
      <c r="A25431" s="4" t="s">
        <v>32008</v>
      </c>
      <c r="B25431" s="4" t="s">
        <v>32012</v>
      </c>
      <c r="C25431" s="5" t="str">
        <f>IFERROR(__xludf.DUMMYFUNCTION("GOOGLETRANSLATE(B25431,""en"",""fr"")"),"Le chien est rincé, savonné, baigné et coupé sur la machine.")</f>
        <v>Le chien est rincé, savonné, baigné et coupé sur la machine.</v>
      </c>
    </row>
    <row r="25432">
      <c r="A25432" s="4" t="s">
        <v>32013</v>
      </c>
      <c r="B25432" s="4" t="s">
        <v>32014</v>
      </c>
      <c r="C25432" s="5" t="str">
        <f>IFERROR(__xludf.DUMMYFUNCTION("GOOGLETRANSLATE(B25432,""en"",""fr"")"),"Un front de magasin est vu de l'extérieur.")</f>
        <v>Un front de magasin est vu de l'extérieur.</v>
      </c>
    </row>
    <row r="25433">
      <c r="A25433" s="4" t="s">
        <v>32013</v>
      </c>
      <c r="B25433" s="4" t="s">
        <v>32015</v>
      </c>
      <c r="C25433" s="5" t="str">
        <f>IFERROR(__xludf.DUMMYFUNCTION("GOOGLETRANSLATE(B25433,""en"",""fr"")"),"Un propriétaire de magasin se tient derrière un mur d'affichage et discute.")</f>
        <v>Un propriétaire de magasin se tient derrière un mur d'affichage et discute.</v>
      </c>
    </row>
    <row r="25434">
      <c r="A25434" s="4" t="s">
        <v>32013</v>
      </c>
      <c r="B25434" s="4" t="s">
        <v>32016</v>
      </c>
      <c r="C25434" s="5" t="str">
        <f>IFERROR(__xludf.DUMMYFUNCTION("GOOGLETRANSLATE(B25434,""en"",""fr"")"),"Les joueurs de paintball traversent un terrain herbeux avec des obstacles et visent leurs armes.")</f>
        <v>Les joueurs de paintball traversent un terrain herbeux avec des obstacles et visent leurs armes.</v>
      </c>
    </row>
    <row r="25435">
      <c r="A25435" s="4" t="s">
        <v>32013</v>
      </c>
      <c r="B25435" s="4" t="s">
        <v>32017</v>
      </c>
      <c r="C25435" s="5" t="str">
        <f>IFERROR(__xludf.DUMMYFUNCTION("GOOGLETRANSLATE(B25435,""en"",""fr"")"),"Le propriétaire du magasin affiche différents masques pour le sport.")</f>
        <v>Le propriétaire du magasin affiche différents masques pour le sport.</v>
      </c>
    </row>
    <row r="25436">
      <c r="A25436" s="4" t="s">
        <v>32018</v>
      </c>
      <c r="B25436" s="6" t="s">
        <v>32019</v>
      </c>
      <c r="C25436" s="5" t="str">
        <f>IFERROR(__xludf.DUMMYFUNCTION("GOOGLETRANSLATE(B25436,""en"",""fr"")"),"Un groupe de personnes est vu debout autour d'une table de baby-foot en jouant un jeu les uns avec les autres en utilisant les poteaux pour jouer.")</f>
        <v>Un groupe de personnes est vu debout autour d'une table de baby-foot en jouant un jeu les uns avec les autres en utilisant les poteaux pour jouer.</v>
      </c>
    </row>
    <row r="25437">
      <c r="A25437" s="4" t="s">
        <v>32018</v>
      </c>
      <c r="B25437" s="6" t="s">
        <v>32020</v>
      </c>
      <c r="C25437" s="5" t="str">
        <f>IFERROR(__xludf.DUMMYFUNCTION("GOOGLETRANSLATE(B25437,""en"",""fr"")"),"Les hommes continuent de jouer au jeu et la quatrième tandis que la caméra les capture d'en haut et deux s'éloignent à la fin.")</f>
        <v>Les hommes continuent de jouer au jeu et la quatrième tandis que la caméra les capture d'en haut et deux s'éloignent à la fin.</v>
      </c>
    </row>
    <row r="25438">
      <c r="A25438" s="4" t="s">
        <v>32021</v>
      </c>
      <c r="B25438" s="4" t="s">
        <v>32022</v>
      </c>
      <c r="C25438" s="5" t="str">
        <f>IFERROR(__xludf.DUMMYFUNCTION("GOOGLETRANSLATE(B25438,""en"",""fr"")"),"Un homme en chemise bleue boit un grand verre de bière.")</f>
        <v>Un homme en chemise bleue boit un grand verre de bière.</v>
      </c>
    </row>
    <row r="25439">
      <c r="A25439" s="4" t="s">
        <v>32021</v>
      </c>
      <c r="B25439" s="4" t="s">
        <v>32023</v>
      </c>
      <c r="C25439" s="5" t="str">
        <f>IFERROR(__xludf.DUMMYFUNCTION("GOOGLETRANSLATE(B25439,""en"",""fr"")"),"L'homme blond à côté de lui applaudie.")</f>
        <v>L'homme blond à côté de lui applaudie.</v>
      </c>
    </row>
    <row r="25440">
      <c r="A25440" s="4" t="s">
        <v>32021</v>
      </c>
      <c r="B25440" s="4" t="s">
        <v>32024</v>
      </c>
      <c r="C25440" s="5" t="str">
        <f>IFERROR(__xludf.DUMMYFUNCTION("GOOGLETRANSLATE(B25440,""en"",""fr"")"),"L'homme en chemise bleue a terminé sa boisson et l'a posée, et l'homme blonde a applaudi.")</f>
        <v>L'homme en chemise bleue a terminé sa boisson et l'a posée, et l'homme blonde a applaudi.</v>
      </c>
    </row>
    <row r="25441">
      <c r="A25441" s="4" t="s">
        <v>32025</v>
      </c>
      <c r="B25441" s="4" t="s">
        <v>32026</v>
      </c>
      <c r="C25441" s="5" t="str">
        <f>IFERROR(__xludf.DUMMYFUNCTION("GOOGLETRANSLATE(B25441,""en"",""fr"")"),"L'homme est debout en parallèle faisant de la gymnastique dans un gymnase couvert.")</f>
        <v>L'homme est debout en parallèle faisant de la gymnastique dans un gymnase couvert.</v>
      </c>
    </row>
    <row r="25442">
      <c r="A25442" s="4" t="s">
        <v>32025</v>
      </c>
      <c r="B25442" s="4" t="s">
        <v>32027</v>
      </c>
      <c r="C25442" s="5" t="str">
        <f>IFERROR(__xludf.DUMMYFUNCTION("GOOGLETRANSLATE(B25442,""en"",""fr"")"),"Les gens sont dans des teraces qui regardent l'homme.")</f>
        <v>Les gens sont dans des teraces qui regardent l'homme.</v>
      </c>
    </row>
    <row r="25443">
      <c r="A25443" s="4" t="s">
        <v>32028</v>
      </c>
      <c r="B25443" s="4" t="s">
        <v>32029</v>
      </c>
      <c r="C25443" s="5" t="str">
        <f>IFERROR(__xludf.DUMMYFUNCTION("GOOGLETRANSLATE(B25443,""en"",""fr"")"),"Une fille portant un manteau blanche de capuche est à côté de l'homme et une femme sur le côté d'une table de billard.")</f>
        <v>Une fille portant un manteau blanche de capuche est à côté de l'homme et une femme sur le côté d'une table de billard.</v>
      </c>
    </row>
    <row r="25444">
      <c r="A25444" s="4" t="s">
        <v>32028</v>
      </c>
      <c r="B25444" s="4" t="s">
        <v>32030</v>
      </c>
      <c r="C25444" s="5" t="str">
        <f>IFERROR(__xludf.DUMMYFUNCTION("GOOGLETRANSLATE(B25444,""en"",""fr"")"),"Ensuite, la fille marche et enlève le manteau, puis elle prend un bâton de signature et se plit sur les deux hommes avant.")</f>
        <v>Ensuite, la fille marche et enlève le manteau, puis elle prend un bâton de signature et se plit sur les deux hommes avant.</v>
      </c>
    </row>
    <row r="25445">
      <c r="A25445" s="4" t="s">
        <v>32028</v>
      </c>
      <c r="B25445" s="6" t="s">
        <v>32031</v>
      </c>
      <c r="C25445" s="5" t="str">
        <f>IFERROR(__xludf.DUMMYFUNCTION("GOOGLETRANSLATE(B25445,""en"",""fr"")"),"Après, la fille se retourne et attrape la chemise de garçon tout en faisant un geste sexy, puis elle se retourne pour jouer à nouveau.")</f>
        <v>Après, la fille se retourne et attrape la chemise de garçon tout en faisant un geste sexy, puis elle se retourne pour jouer à nouveau.</v>
      </c>
    </row>
    <row r="25446">
      <c r="A25446" s="4" t="s">
        <v>32028</v>
      </c>
      <c r="B25446" s="4" t="s">
        <v>32032</v>
      </c>
      <c r="C25446" s="5" t="str">
        <f>IFERROR(__xludf.DUMMYFUNCTION("GOOGLETRANSLATE(B25446,""en"",""fr"")"),"Un homme veut toucher la crosse d'une fille.")</f>
        <v>Un homme veut toucher la crosse d'une fille.</v>
      </c>
    </row>
    <row r="25447">
      <c r="A25447" s="4" t="s">
        <v>32033</v>
      </c>
      <c r="B25447" s="4" t="s">
        <v>32034</v>
      </c>
      <c r="C25447" s="5" t="str">
        <f>IFERROR(__xludf.DUMMYFUNCTION("GOOGLETRANSLATE(B25447,""en"",""fr"")"),"Une fille dans une tenue violette monte sur une poutre d'équilibre.")</f>
        <v>Une fille dans une tenue violette monte sur une poutre d'équilibre.</v>
      </c>
    </row>
    <row r="25448">
      <c r="A25448" s="4" t="s">
        <v>32033</v>
      </c>
      <c r="B25448" s="4" t="s">
        <v>32035</v>
      </c>
      <c r="C25448" s="5" t="str">
        <f>IFERROR(__xludf.DUMMYFUNCTION("GOOGLETRANSLATE(B25448,""en"",""fr"")"),"Elle fait une routine de gymnastique sur la poutre d'équilibre.")</f>
        <v>Elle fait une routine de gymnastique sur la poutre d'équilibre.</v>
      </c>
    </row>
    <row r="25449">
      <c r="A25449" s="4" t="s">
        <v>32033</v>
      </c>
      <c r="B25449" s="4" t="s">
        <v>20674</v>
      </c>
      <c r="C25449" s="5" t="str">
        <f>IFERROR(__xludf.DUMMYFUNCTION("GOOGLETRANSLATE(B25449,""en"",""fr"")"),"Elle démonte et atterrit sur le tapis avec ses mains en l'air.")</f>
        <v>Elle démonte et atterrit sur le tapis avec ses mains en l'air.</v>
      </c>
    </row>
    <row r="25450">
      <c r="A25450" s="4" t="s">
        <v>32036</v>
      </c>
      <c r="B25450" s="4" t="s">
        <v>32037</v>
      </c>
      <c r="C25450" s="5" t="str">
        <f>IFERROR(__xludf.DUMMYFUNCTION("GOOGLETRANSLATE(B25450,""en"",""fr"")"),"Un athlète marche sur un champ à l'extérieur.")</f>
        <v>Un athlète marche sur un champ à l'extérieur.</v>
      </c>
    </row>
    <row r="25451">
      <c r="A25451" s="4" t="s">
        <v>32036</v>
      </c>
      <c r="B25451" s="4" t="s">
        <v>32038</v>
      </c>
      <c r="C25451" s="5" t="str">
        <f>IFERROR(__xludf.DUMMYFUNCTION("GOOGLETRANSLATE(B25451,""en"",""fr"")"),"Il court avec un javelot en l'air.")</f>
        <v>Il court avec un javelot en l'air.</v>
      </c>
    </row>
    <row r="25452">
      <c r="A25452" s="4" t="s">
        <v>32036</v>
      </c>
      <c r="B25452" s="4" t="s">
        <v>32039</v>
      </c>
      <c r="C25452" s="5" t="str">
        <f>IFERROR(__xludf.DUMMYFUNCTION("GOOGLETRANSLATE(B25452,""en"",""fr"")"),"Il lance le javelot aussi loin que possible, répétant plusieurs fois.")</f>
        <v>Il lance le javelot aussi loin que possible, répétant plusieurs fois.</v>
      </c>
    </row>
    <row r="25453">
      <c r="A25453" s="4" t="s">
        <v>32040</v>
      </c>
      <c r="B25453" s="4" t="s">
        <v>32041</v>
      </c>
      <c r="C25453" s="5" t="str">
        <f>IFERROR(__xludf.DUMMYFUNCTION("GOOGLETRANSLATE(B25453,""en"",""fr"")"),"Une femme est devant une table, tenant un chat.")</f>
        <v>Une femme est devant une table, tenant un chat.</v>
      </c>
    </row>
    <row r="25454">
      <c r="A25454" s="4" t="s">
        <v>32040</v>
      </c>
      <c r="B25454" s="4" t="s">
        <v>32042</v>
      </c>
      <c r="C25454" s="5" t="str">
        <f>IFERROR(__xludf.DUMMYFUNCTION("GOOGLETRANSLATE(B25454,""en"",""fr"")"),"Elle caresse le chat pour le calmer.")</f>
        <v>Elle caresse le chat pour le calmer.</v>
      </c>
    </row>
    <row r="25455">
      <c r="A25455" s="4" t="s">
        <v>32040</v>
      </c>
      <c r="B25455" s="4" t="s">
        <v>32043</v>
      </c>
      <c r="C25455" s="5" t="str">
        <f>IFERROR(__xludf.DUMMYFUNCTION("GOOGLETRANSLATE(B25455,""en"",""fr"")"),"Elle coupe ensuite doucement ses ongles.")</f>
        <v>Elle coupe ensuite doucement ses ongles.</v>
      </c>
    </row>
    <row r="25456">
      <c r="A25456" s="4" t="s">
        <v>32044</v>
      </c>
      <c r="B25456" s="4" t="s">
        <v>32045</v>
      </c>
      <c r="C25456" s="5" t="str">
        <f>IFERROR(__xludf.DUMMYFUNCTION("GOOGLETRANSLATE(B25456,""en"",""fr"")"),"Il semble qu'ils regardent à la télévision un jeu de football.")</f>
        <v>Il semble qu'ils regardent à la télévision un jeu de football.</v>
      </c>
    </row>
    <row r="25457">
      <c r="A25457" s="4" t="s">
        <v>32044</v>
      </c>
      <c r="B25457" s="4" t="s">
        <v>32046</v>
      </c>
      <c r="C25457" s="5" t="str">
        <f>IFERROR(__xludf.DUMMYFUNCTION("GOOGLETRANSLATE(B25457,""en"",""fr"")"),"La station montre de quel canal il est surveillé.")</f>
        <v>La station montre de quel canal il est surveillé.</v>
      </c>
    </row>
    <row r="25458">
      <c r="A25458" s="4" t="s">
        <v>32044</v>
      </c>
      <c r="B25458" s="4" t="s">
        <v>32047</v>
      </c>
      <c r="C25458" s="5" t="str">
        <f>IFERROR(__xludf.DUMMYFUNCTION("GOOGLETRANSLATE(B25458,""en"",""fr"")"),"Les femmes sur le terrain courent en essayant d'obtenir le ballon.")</f>
        <v>Les femmes sur le terrain courent en essayant d'obtenir le ballon.</v>
      </c>
    </row>
    <row r="25459">
      <c r="A25459" s="4" t="s">
        <v>32044</v>
      </c>
      <c r="B25459" s="4" t="s">
        <v>32048</v>
      </c>
      <c r="C25459" s="5" t="str">
        <f>IFERROR(__xludf.DUMMYFUNCTION("GOOGLETRANSLATE(B25459,""en"",""fr"")"),"L'une des femmes s'efforce de l'objectif.")</f>
        <v>L'une des femmes s'efforce de l'objectif.</v>
      </c>
    </row>
    <row r="25460">
      <c r="A25460" s="4" t="s">
        <v>32049</v>
      </c>
      <c r="B25460" s="4" t="s">
        <v>32050</v>
      </c>
      <c r="C25460" s="5" t="str">
        <f>IFERROR(__xludf.DUMMYFUNCTION("GOOGLETRANSLATE(B25460,""en"",""fr"")"),"Un homme se lève et jette un rocher.")</f>
        <v>Un homme se lève et jette un rocher.</v>
      </c>
    </row>
    <row r="25461">
      <c r="A25461" s="4" t="s">
        <v>32049</v>
      </c>
      <c r="B25461" s="4" t="s">
        <v>32051</v>
      </c>
      <c r="C25461" s="5" t="str">
        <f>IFERROR(__xludf.DUMMYFUNCTION("GOOGLETRANSLATE(B25461,""en"",""fr"")"),"Les gens se tiennent debout et le regardent.")</f>
        <v>Les gens se tiennent debout et le regardent.</v>
      </c>
    </row>
    <row r="25462">
      <c r="A25462" s="4" t="s">
        <v>32049</v>
      </c>
      <c r="B25462" s="4" t="s">
        <v>32052</v>
      </c>
      <c r="C25462" s="5" t="str">
        <f>IFERROR(__xludf.DUMMYFUNCTION("GOOGLETRANSLATE(B25462,""en"",""fr"")"),"Un homme entre dans une calèche et s'éloigne.")</f>
        <v>Un homme entre dans une calèche et s'éloigne.</v>
      </c>
    </row>
    <row r="25463">
      <c r="A25463" s="4" t="s">
        <v>32053</v>
      </c>
      <c r="B25463" s="4" t="s">
        <v>32054</v>
      </c>
      <c r="C25463" s="5" t="str">
        <f>IFERROR(__xludf.DUMMYFUNCTION("GOOGLETRANSLATE(B25463,""en"",""fr"")"),"Nous voyons un garçon se brosser les dents et danser dans la salle de bain.")</f>
        <v>Nous voyons un garçon se brosser les dents et danser dans la salle de bain.</v>
      </c>
    </row>
    <row r="25464">
      <c r="A25464" s="4" t="s">
        <v>32053</v>
      </c>
      <c r="B25464" s="4" t="s">
        <v>32055</v>
      </c>
      <c r="C25464" s="5" t="str">
        <f>IFERROR(__xludf.DUMMYFUNCTION("GOOGLETRANSLATE(B25464,""en"",""fr"")"),"Le garçon s'arrête et regarde le pinceau.")</f>
        <v>Le garçon s'arrête et regarde le pinceau.</v>
      </c>
    </row>
    <row r="25465">
      <c r="A25465" s="4" t="s">
        <v>32053</v>
      </c>
      <c r="B25465" s="4" t="s">
        <v>32056</v>
      </c>
      <c r="C25465" s="5" t="str">
        <f>IFERROR(__xludf.DUMMYFUNCTION("GOOGLETRANSLATE(B25465,""en"",""fr"")"),"Le garçon revient au brossage et à la danse.")</f>
        <v>Le garçon revient au brossage et à la danse.</v>
      </c>
    </row>
    <row r="25466">
      <c r="A25466" s="4" t="s">
        <v>32053</v>
      </c>
      <c r="B25466" s="4" t="s">
        <v>32057</v>
      </c>
      <c r="C25466" s="5" t="str">
        <f>IFERROR(__xludf.DUMMYFUNCTION("GOOGLETRANSLATE(B25466,""en"",""fr"")"),"Le garçon tient un instant sur l'évier.")</f>
        <v>Le garçon tient un instant sur l'évier.</v>
      </c>
    </row>
    <row r="25467">
      <c r="A25467" s="4" t="s">
        <v>32053</v>
      </c>
      <c r="B25467" s="4" t="s">
        <v>32058</v>
      </c>
      <c r="C25467" s="5" t="str">
        <f>IFERROR(__xludf.DUMMYFUNCTION("GOOGLETRANSLATE(B25467,""en"",""fr"")"),"Le garçon tient à nouveau l'évier.")</f>
        <v>Le garçon tient à nouveau l'évier.</v>
      </c>
    </row>
    <row r="25468">
      <c r="A25468" s="4" t="s">
        <v>32059</v>
      </c>
      <c r="B25468" s="6" t="s">
        <v>32060</v>
      </c>
      <c r="C25468" s="5" t="str">
        <f>IFERROR(__xludf.DUMMYFUNCTION("GOOGLETRANSLATE(B25468,""en"",""fr"")"),"Un gros plan d'un mur est représenté avec de l'eau pulvérisant sur les côtés qui mène à plusieurs images ainsi que des personnes pulvérisant le sol.")</f>
        <v>Un gros plan d'un mur est représenté avec de l'eau pulvérisant sur les côtés qui mène à plusieurs images ainsi que des personnes pulvérisant le sol.</v>
      </c>
    </row>
    <row r="25469">
      <c r="A25469" s="4" t="s">
        <v>32059</v>
      </c>
      <c r="B25469" s="6" t="s">
        <v>32061</v>
      </c>
      <c r="C25469" s="5" t="str">
        <f>IFERROR(__xludf.DUMMYFUNCTION("GOOGLETRANSLATE(B25469,""en"",""fr"")"),"De plus en plus de gens sont vus pulvériser un camion ainsi que des voitures soulevées sur une machine pendant que d'autres photos sont affichées.")</f>
        <v>De plus en plus de gens sont vus pulvériser un camion ainsi que des voitures soulevées sur une machine pendant que d'autres photos sont affichées.</v>
      </c>
    </row>
    <row r="25470">
      <c r="A25470" s="4" t="s">
        <v>32062</v>
      </c>
      <c r="B25470" s="4" t="s">
        <v>32063</v>
      </c>
      <c r="C25470" s="5" t="str">
        <f>IFERROR(__xludf.DUMMYFUNCTION("GOOGLETRANSLATE(B25470,""en"",""fr"")"),"Cet homme est montré debout sur le toit en disant quelques mots.")</f>
        <v>Cet homme est montré debout sur le toit en disant quelques mots.</v>
      </c>
    </row>
    <row r="25471">
      <c r="A25471" s="4" t="s">
        <v>32062</v>
      </c>
      <c r="B25471" s="4" t="s">
        <v>32064</v>
      </c>
      <c r="C25471" s="5" t="str">
        <f>IFERROR(__xludf.DUMMYFUNCTION("GOOGLETRANSLATE(B25471,""en"",""fr"")"),"Puis il commence à retirer certaines parties du bois du toit et il empile toutes les carreaux.")</f>
        <v>Puis il commence à retirer certaines parties du bois du toit et il empile toutes les carreaux.</v>
      </c>
    </row>
    <row r="25472">
      <c r="A25472" s="4" t="s">
        <v>32062</v>
      </c>
      <c r="B25472" s="4" t="s">
        <v>32065</v>
      </c>
      <c r="C25472" s="5" t="str">
        <f>IFERROR(__xludf.DUMMYFUNCTION("GOOGLETRANSLATE(B25472,""en"",""fr"")"),"Ensuite, il les met là où ils devraient aller pour faire une partie complète sur le toit.")</f>
        <v>Ensuite, il les met là où ils devraient aller pour faire une partie complète sur le toit.</v>
      </c>
    </row>
    <row r="25473">
      <c r="A25473" s="4" t="s">
        <v>32066</v>
      </c>
      <c r="B25473" s="4" t="s">
        <v>32067</v>
      </c>
      <c r="C25473" s="5" t="str">
        <f>IFERROR(__xludf.DUMMYFUNCTION("GOOGLETRANSLATE(B25473,""en"",""fr"")"),"Un homme fait un barbecue dans une cour en chantant avec des gens montrant des boissons dans des canettes et des tasses.")</f>
        <v>Un homme fait un barbecue dans une cour en chantant avec des gens montrant des boissons dans des canettes et des tasses.</v>
      </c>
    </row>
    <row r="25474">
      <c r="A25474" s="4" t="s">
        <v>32066</v>
      </c>
      <c r="B25474" s="4" t="s">
        <v>32068</v>
      </c>
      <c r="C25474" s="5" t="str">
        <f>IFERROR(__xludf.DUMMYFUNCTION("GOOGLETRANSLATE(B25474,""en"",""fr"")"),"Ensuite, les gens marchent dans un bar et chantent à l'intérieur de la bière.")</f>
        <v>Ensuite, les gens marchent dans un bar et chantent à l'intérieur de la bière.</v>
      </c>
    </row>
    <row r="25475">
      <c r="A25475" s="4" t="s">
        <v>32066</v>
      </c>
      <c r="B25475" s="4" t="s">
        <v>32069</v>
      </c>
      <c r="C25475" s="5" t="str">
        <f>IFERROR(__xludf.DUMMYFUNCTION("GOOGLETRANSLATE(B25475,""en"",""fr"")"),"Les femmes servent des boissons dans une fontaine.")</f>
        <v>Les femmes servent des boissons dans une fontaine.</v>
      </c>
    </row>
    <row r="25476">
      <c r="A25476" s="4" t="s">
        <v>32066</v>
      </c>
      <c r="B25476" s="4" t="s">
        <v>32070</v>
      </c>
      <c r="C25476" s="5" t="str">
        <f>IFERROR(__xludf.DUMMYFUNCTION("GOOGLETRANSLATE(B25476,""en"",""fr"")"),"Un homme parle à l'avant un microphone et les gens continuent de chanter et de montrer de la bière.")</f>
        <v>Un homme parle à l'avant un microphone et les gens continuent de chanter et de montrer de la bière.</v>
      </c>
    </row>
    <row r="25477">
      <c r="A25477" s="4" t="s">
        <v>32066</v>
      </c>
      <c r="B25477" s="4" t="s">
        <v>32071</v>
      </c>
      <c r="C25477" s="5" t="str">
        <f>IFERROR(__xludf.DUMMYFUNCTION("GOOGLETRANSLATE(B25477,""en"",""fr"")"),"Ensuite, les gens chantent à nouveau, boivent et dansent à l'extérieur.")</f>
        <v>Ensuite, les gens chantent à nouveau, boivent et dansent à l'extérieur.</v>
      </c>
    </row>
    <row r="25478">
      <c r="A25478" s="4" t="s">
        <v>32072</v>
      </c>
      <c r="B25478" s="6" t="s">
        <v>32073</v>
      </c>
      <c r="C25478" s="5" t="str">
        <f>IFERROR(__xludf.DUMMYFUNCTION("GOOGLETRANSLATE(B25478,""en"",""fr"")"),"Une femme est vue en parlant à la caméra et mène à des clips de ses exercices AB interprètes en parlant à la caméra.")</f>
        <v>Une femme est vue en parlant à la caméra et mène à des clips de ses exercices AB interprètes en parlant à la caméra.</v>
      </c>
    </row>
    <row r="25479">
      <c r="A25479" s="4" t="s">
        <v>32072</v>
      </c>
      <c r="B25479" s="6" t="s">
        <v>32074</v>
      </c>
      <c r="C25479" s="5" t="str">
        <f>IFERROR(__xludf.DUMMYFUNCTION("GOOGLETRANSLATE(B25479,""en"",""fr"")"),"La femme montre comment faire une bonne assemblée en déplaçant ses bras à différents endroits et en parlant à la caméra.")</f>
        <v>La femme montre comment faire une bonne assemblée en déplaçant ses bras à différents endroits et en parlant à la caméra.</v>
      </c>
    </row>
    <row r="25480">
      <c r="A25480" s="4" t="s">
        <v>32075</v>
      </c>
      <c r="B25480" s="4" t="s">
        <v>32076</v>
      </c>
      <c r="C25480" s="5" t="str">
        <f>IFERROR(__xludf.DUMMYFUNCTION("GOOGLETRANSLATE(B25480,""en"",""fr"")"),"Une personne montre un bol de crème glacée à Disneyland.")</f>
        <v>Une personne montre un bol de crème glacée à Disneyland.</v>
      </c>
    </row>
    <row r="25481">
      <c r="A25481" s="4" t="s">
        <v>32075</v>
      </c>
      <c r="B25481" s="4" t="s">
        <v>32077</v>
      </c>
      <c r="C25481" s="5" t="str">
        <f>IFERROR(__xludf.DUMMYFUNCTION("GOOGLETRANSLATE(B25481,""en"",""fr"")"),"La personne aime le bol de glace.")</f>
        <v>La personne aime le bol de glace.</v>
      </c>
    </row>
    <row r="25482">
      <c r="A25482" s="4" t="s">
        <v>32075</v>
      </c>
      <c r="B25482" s="4" t="s">
        <v>32078</v>
      </c>
      <c r="C25482" s="5" t="str">
        <f>IFERROR(__xludf.DUMMYFUNCTION("GOOGLETRANSLATE(B25482,""en"",""fr"")"),"Un chariot roule le long d'une rue avec un conducteur suspendu par la fenêtre.")</f>
        <v>Un chariot roule le long d'une rue avec un conducteur suspendu par la fenêtre.</v>
      </c>
    </row>
    <row r="25483">
      <c r="A25483" s="4" t="s">
        <v>32075</v>
      </c>
      <c r="B25483" s="4" t="s">
        <v>32079</v>
      </c>
      <c r="C25483" s="5" t="str">
        <f>IFERROR(__xludf.DUMMYFUNCTION("GOOGLETRANSLATE(B25483,""en"",""fr"")"),"Une rue animée est vue avec de nombreuses personnes marchant et en regardant une voiture de chariot garée.")</f>
        <v>Une rue animée est vue avec de nombreuses personnes marchant et en regardant une voiture de chariot garée.</v>
      </c>
    </row>
    <row r="25484">
      <c r="A25484" s="4" t="s">
        <v>32080</v>
      </c>
      <c r="B25484" s="4" t="s">
        <v>32081</v>
      </c>
      <c r="C25484" s="5" t="str">
        <f>IFERROR(__xludf.DUMMYFUNCTION("GOOGLETRANSLATE(B25484,""en"",""fr"")"),"Un jet ski est garé et un homme en conduit un.")</f>
        <v>Un jet ski est garé et un homme en conduit un.</v>
      </c>
    </row>
    <row r="25485">
      <c r="A25485" s="4" t="s">
        <v>32080</v>
      </c>
      <c r="B25485" s="6" t="s">
        <v>32082</v>
      </c>
      <c r="C25485" s="5" t="str">
        <f>IFERROR(__xludf.DUMMYFUNCTION("GOOGLETRANSLATE(B25485,""en"",""fr"")"),"Nous voyons le nom d'un homme à l'écran et un homme derrière un bateau et un homme à réaction et se retourner.")</f>
        <v>Nous voyons le nom d'un homme à l'écran et un homme derrière un bateau et un homme à réaction et se retourner.</v>
      </c>
    </row>
    <row r="25486">
      <c r="A25486" s="4" t="s">
        <v>32080</v>
      </c>
      <c r="B25486" s="4" t="s">
        <v>32083</v>
      </c>
      <c r="C25486" s="5" t="str">
        <f>IFERROR(__xludf.DUMMYFUNCTION("GOOGLETRANSLATE(B25486,""en"",""fr"")"),"Deux hommes en jet ski secouent les cheveux.")</f>
        <v>Deux hommes en jet ski secouent les cheveux.</v>
      </c>
    </row>
    <row r="25487">
      <c r="A25487" s="4" t="s">
        <v>32080</v>
      </c>
      <c r="B25487" s="4" t="s">
        <v>32084</v>
      </c>
      <c r="C25487" s="5" t="str">
        <f>IFERROR(__xludf.DUMMYFUNCTION("GOOGLETRANSLATE(B25487,""en"",""fr"")"),"Un nom de personne est à l'écran et nous voyons un jet ski.")</f>
        <v>Un nom de personne est à l'écran et nous voyons un jet ski.</v>
      </c>
    </row>
    <row r="25488">
      <c r="A25488" s="4" t="s">
        <v>32080</v>
      </c>
      <c r="B25488" s="4" t="s">
        <v>32085</v>
      </c>
      <c r="C25488" s="5" t="str">
        <f>IFERROR(__xludf.DUMMYFUNCTION("GOOGLETRANSLATE(B25488,""en"",""fr"")"),"Un autre nom et un autre homme sur le jet ski.")</f>
        <v>Un autre nom et un autre homme sur le jet ski.</v>
      </c>
    </row>
    <row r="25489">
      <c r="A25489" s="4" t="s">
        <v>32080</v>
      </c>
      <c r="B25489" s="4" t="s">
        <v>32086</v>
      </c>
      <c r="C25489" s="5" t="str">
        <f>IFERROR(__xludf.DUMMYFUNCTION("GOOGLETRANSLATE(B25489,""en"",""fr"")"),"Nous voyons l'homme alors qu'il se prépare à skier à rouler derrière le bateau.")</f>
        <v>Nous voyons l'homme alors qu'il se prépare à skier à rouler derrière le bateau.</v>
      </c>
    </row>
    <row r="25490">
      <c r="A25490" s="4" t="s">
        <v>32080</v>
      </c>
      <c r="B25490" s="4" t="s">
        <v>32087</v>
      </c>
      <c r="C25490" s="5" t="str">
        <f>IFERROR(__xludf.DUMMYFUNCTION("GOOGLETRANSLATE(B25490,""en"",""fr"")"),"Nous voyons le lac puis les crédits de clôture.")</f>
        <v>Nous voyons le lac puis les crédits de clôture.</v>
      </c>
    </row>
    <row r="25491">
      <c r="A25491" s="4" t="s">
        <v>32088</v>
      </c>
      <c r="B25491" s="4" t="s">
        <v>32089</v>
      </c>
      <c r="C25491" s="5" t="str">
        <f>IFERROR(__xludf.DUMMYFUNCTION("GOOGLETRANSLATE(B25491,""en"",""fr"")"),"Nous voyons un écran noir et les crédits.")</f>
        <v>Nous voyons un écran noir et les crédits.</v>
      </c>
    </row>
    <row r="25492">
      <c r="A25492" s="4" t="s">
        <v>32088</v>
      </c>
      <c r="B25492" s="4" t="s">
        <v>32090</v>
      </c>
      <c r="C25492" s="5" t="str">
        <f>IFERROR(__xludf.DUMMYFUNCTION("GOOGLETRANSLATE(B25492,""en"",""fr"")"),"Une personne coupe les cheveux d'un homme.")</f>
        <v>Une personne coupe les cheveux d'un homme.</v>
      </c>
    </row>
    <row r="25493">
      <c r="A25493" s="4" t="s">
        <v>32088</v>
      </c>
      <c r="B25493" s="4" t="s">
        <v>32091</v>
      </c>
      <c r="C25493" s="5" t="str">
        <f>IFERROR(__xludf.DUMMYFUNCTION("GOOGLETRANSLATE(B25493,""en"",""fr"")"),"Ils passent à un rasoir électrique à l'arrière.")</f>
        <v>Ils passent à un rasoir électrique à l'arrière.</v>
      </c>
    </row>
    <row r="25494">
      <c r="A25494" s="4" t="s">
        <v>32088</v>
      </c>
      <c r="B25494" s="4" t="s">
        <v>32092</v>
      </c>
      <c r="C25494" s="5" t="str">
        <f>IFERROR(__xludf.DUMMYFUNCTION("GOOGLETRANSLATE(B25494,""en"",""fr"")"),"La personne utilise le rasoir sur la main.")</f>
        <v>La personne utilise le rasoir sur la main.</v>
      </c>
    </row>
    <row r="25495">
      <c r="A25495" s="4" t="s">
        <v>32088</v>
      </c>
      <c r="B25495" s="4" t="s">
        <v>32093</v>
      </c>
      <c r="C25495" s="5" t="str">
        <f>IFERROR(__xludf.DUMMYFUNCTION("GOOGLETRANSLATE(B25495,""en"",""fr"")"),"L'écran change en noir pendant un moment.")</f>
        <v>L'écran change en noir pendant un moment.</v>
      </c>
    </row>
    <row r="25496">
      <c r="A25496" s="4" t="s">
        <v>32088</v>
      </c>
      <c r="B25496" s="4" t="s">
        <v>32094</v>
      </c>
      <c r="C25496" s="5" t="str">
        <f>IFERROR(__xludf.DUMMYFUNCTION("GOOGLETRANSLATE(B25496,""en"",""fr"")"),"Nous voyons l'écran changer à nouveau et la personne tapisse l'arrière de la tête de l'homme.")</f>
        <v>Nous voyons l'écran changer à nouveau et la personne tapisse l'arrière de la tête de l'homme.</v>
      </c>
    </row>
    <row r="25497">
      <c r="A25497" s="4" t="s">
        <v>32088</v>
      </c>
      <c r="B25497" s="4" t="s">
        <v>32095</v>
      </c>
      <c r="C25497" s="5" t="str">
        <f>IFERROR(__xludf.DUMMYFUNCTION("GOOGLETRANSLATE(B25497,""en"",""fr"")"),"Le barbier touche le bord du rasoir.")</f>
        <v>Le barbier touche le bord du rasoir.</v>
      </c>
    </row>
    <row r="25498">
      <c r="A25498" s="4" t="s">
        <v>32088</v>
      </c>
      <c r="B25498" s="4" t="s">
        <v>32096</v>
      </c>
      <c r="C25498" s="5" t="str">
        <f>IFERROR(__xludf.DUMMYFUNCTION("GOOGLETRANSLATE(B25498,""en"",""fr"")"),"L'écran s'estompe au noir et le rouleau de crédits de fin.")</f>
        <v>L'écran s'estompe au noir et le rouleau de crédits de fin.</v>
      </c>
    </row>
    <row r="25499">
      <c r="A25499" s="4" t="s">
        <v>32097</v>
      </c>
      <c r="B25499" s="4" t="s">
        <v>32098</v>
      </c>
      <c r="C25499" s="5" t="str">
        <f>IFERROR(__xludf.DUMMYFUNCTION("GOOGLETRANSLATE(B25499,""en"",""fr"")"),"Un groupe de personnes roule dans divers canoës sur une rivière.")</f>
        <v>Un groupe de personnes roule dans divers canoës sur une rivière.</v>
      </c>
    </row>
    <row r="25500">
      <c r="A25500" s="4" t="s">
        <v>32097</v>
      </c>
      <c r="B25500" s="4" t="s">
        <v>32099</v>
      </c>
      <c r="C25500" s="5" t="str">
        <f>IFERROR(__xludf.DUMMYFUNCTION("GOOGLETRANSLATE(B25500,""en"",""fr"")"),"Un homme tire une flamme dans les airs, suivi de plusieurs autres également.")</f>
        <v>Un homme tire une flamme dans les airs, suivi de plusieurs autres également.</v>
      </c>
    </row>
    <row r="25501">
      <c r="A25501" s="4" t="s">
        <v>32097</v>
      </c>
      <c r="B25501" s="4" t="s">
        <v>32100</v>
      </c>
      <c r="C25501" s="5" t="str">
        <f>IFERROR(__xludf.DUMMYFUNCTION("GOOGLETRANSLATE(B25501,""en"",""fr"")"),"La caméra se déroule autour du groupe de personnes déguisées en pirates et dans d'autres costumes divers.")</f>
        <v>La caméra se déroule autour du groupe de personnes déguisées en pirates et dans d'autres costumes divers.</v>
      </c>
    </row>
    <row r="25502">
      <c r="A25502" s="4" t="s">
        <v>32101</v>
      </c>
      <c r="B25502" s="4" t="s">
        <v>32102</v>
      </c>
      <c r="C25502" s="5" t="str">
        <f>IFERROR(__xludf.DUMMYFUNCTION("GOOGLETRANSLATE(B25502,""en"",""fr"")"),"Plusieurs personnes sont vues saisir des skis ainsi que des voitures se sont alignées et des personnes qui se parlent.")</f>
        <v>Plusieurs personnes sont vues saisir des skis ainsi que des voitures se sont alignées et des personnes qui se parlent.</v>
      </c>
    </row>
    <row r="25503">
      <c r="A25503" s="4" t="s">
        <v>32101</v>
      </c>
      <c r="B25503" s="4" t="s">
        <v>32103</v>
      </c>
      <c r="C25503" s="5" t="str">
        <f>IFERROR(__xludf.DUMMYFUNCTION("GOOGLETRANSLATE(B25503,""en"",""fr"")"),"Cela mène à plusieurs clips de skieurs roulant dans les montagnes les uns après les autres.")</f>
        <v>Cela mène à plusieurs clips de skieurs roulant dans les montagnes les uns après les autres.</v>
      </c>
    </row>
    <row r="25504">
      <c r="A25504" s="4" t="s">
        <v>32101</v>
      </c>
      <c r="B25504" s="4" t="s">
        <v>32104</v>
      </c>
      <c r="C25504" s="5" t="str">
        <f>IFERROR(__xludf.DUMMYFUNCTION("GOOGLETRANSLATE(B25504,""en"",""fr"")"),"Les gens sont montrés en train de monter ensemble ainsi qu'un solo et se termine avec un homme qui donne un coup de pied à la caméra.")</f>
        <v>Les gens sont montrés en train de monter ensemble ainsi qu'un solo et se termine avec un homme qui donne un coup de pied à la caméra.</v>
      </c>
    </row>
    <row r="25505">
      <c r="A25505" s="4" t="s">
        <v>32105</v>
      </c>
      <c r="B25505" s="6" t="s">
        <v>32106</v>
      </c>
      <c r="C25505" s="5" t="str">
        <f>IFERROR(__xludf.DUMMYFUNCTION("GOOGLETRANSLATE(B25505,""en"",""fr"")"),"L'athlète met ses baskets rouges, puis il a parlé à la caméra, puis court dans le champ de suivi intérieur.")</f>
        <v>L'athlète met ses baskets rouges, puis il a parlé à la caméra, puis court dans le champ de suivi intérieur.</v>
      </c>
    </row>
    <row r="25506">
      <c r="A25506" s="4" t="s">
        <v>32105</v>
      </c>
      <c r="B25506" s="6" t="s">
        <v>32107</v>
      </c>
      <c r="C25506" s="5" t="str">
        <f>IFERROR(__xludf.DUMMYFUNCTION("GOOGLETRANSLATE(B25506,""en"",""fr"")"),"Il se reposa un peu, puis son entraîneur a une interview, puis la scène change où l'athlète a commencé à s'entraîner, courir, puis a fait un saut de poteau.")</f>
        <v>Il se reposa un peu, puis son entraîneur a une interview, puis la scène change où l'athlète a commencé à s'entraîner, courir, puis a fait un saut de poteau.</v>
      </c>
    </row>
    <row r="25507">
      <c r="A25507" s="4" t="s">
        <v>32105</v>
      </c>
      <c r="B25507" s="4" t="s">
        <v>32108</v>
      </c>
      <c r="C25507" s="5" t="str">
        <f>IFERROR(__xludf.DUMMYFUNCTION("GOOGLETRANSLATE(B25507,""en"",""fr"")"),"Il a fait des exercices et des étirements.")</f>
        <v>Il a fait des exercices et des étirements.</v>
      </c>
    </row>
    <row r="25508">
      <c r="A25508" s="4" t="s">
        <v>32109</v>
      </c>
      <c r="B25508" s="4" t="s">
        <v>32110</v>
      </c>
      <c r="C25508" s="5" t="str">
        <f>IFERROR(__xludf.DUMMYFUNCTION("GOOGLETRANSLATE(B25508,""en"",""fr"")"),"Un garçon dans une chemise orange joue un jeu vidéo.")</f>
        <v>Un garçon dans une chemise orange joue un jeu vidéo.</v>
      </c>
    </row>
    <row r="25509">
      <c r="A25509" s="4" t="s">
        <v>32109</v>
      </c>
      <c r="B25509" s="4" t="s">
        <v>32111</v>
      </c>
      <c r="C25509" s="5" t="str">
        <f>IFERROR(__xludf.DUMMYFUNCTION("GOOGLETRANSLATE(B25509,""en"",""fr"")"),"La scène change dans le jeu lui-même.")</f>
        <v>La scène change dans le jeu lui-même.</v>
      </c>
    </row>
    <row r="25510">
      <c r="A25510" s="4" t="s">
        <v>32109</v>
      </c>
      <c r="B25510" s="4" t="s">
        <v>32112</v>
      </c>
      <c r="C25510" s="5" t="str">
        <f>IFERROR(__xludf.DUMMYFUNCTION("GOOGLETRANSLATE(B25510,""en"",""fr"")"),"La scène revient au garçon.")</f>
        <v>La scène revient au garçon.</v>
      </c>
    </row>
    <row r="25511">
      <c r="A25511" s="4" t="s">
        <v>32109</v>
      </c>
      <c r="B25511" s="4" t="s">
        <v>32113</v>
      </c>
      <c r="C25511" s="5" t="str">
        <f>IFERROR(__xludf.DUMMYFUNCTION("GOOGLETRANSLATE(B25511,""en"",""fr"")"),"La caméra zoome sur le contrôleur.")</f>
        <v>La caméra zoome sur le contrôleur.</v>
      </c>
    </row>
    <row r="25512">
      <c r="A25512" s="4" t="s">
        <v>32109</v>
      </c>
      <c r="B25512" s="4" t="s">
        <v>32114</v>
      </c>
      <c r="C25512" s="5" t="str">
        <f>IFERROR(__xludf.DUMMYFUNCTION("GOOGLETRANSLATE(B25512,""en"",""fr"")"),"La scène remonte au jeu.")</f>
        <v>La scène remonte au jeu.</v>
      </c>
    </row>
    <row r="25513">
      <c r="A25513" s="4" t="s">
        <v>32109</v>
      </c>
      <c r="B25513" s="4" t="s">
        <v>32115</v>
      </c>
      <c r="C25513" s="5" t="str">
        <f>IFERROR(__xludf.DUMMYFUNCTION("GOOGLETRANSLATE(B25513,""en"",""fr"")"),"Il y a un gros plan du visage du garçon.")</f>
        <v>Il y a un gros plan du visage du garçon.</v>
      </c>
    </row>
    <row r="25514">
      <c r="A25514" s="4" t="s">
        <v>32109</v>
      </c>
      <c r="B25514" s="4" t="s">
        <v>32116</v>
      </c>
      <c r="C25514" s="5" t="str">
        <f>IFERROR(__xludf.DUMMYFUNCTION("GOOGLETRANSLATE(B25514,""en"",""fr"")"),"La caméra montre le téléviseur à l'arrière de la tête du garçon.")</f>
        <v>La caméra montre le téléviseur à l'arrière de la tête du garçon.</v>
      </c>
    </row>
    <row r="25515">
      <c r="A25515" s="4" t="s">
        <v>32109</v>
      </c>
      <c r="B25515" s="4" t="s">
        <v>32117</v>
      </c>
      <c r="C25515" s="5" t="str">
        <f>IFERROR(__xludf.DUMMYFUNCTION("GOOGLETRANSLATE(B25515,""en"",""fr"")"),"Le jeu joue jusqu'à la fin.")</f>
        <v>Le jeu joue jusqu'à la fin.</v>
      </c>
    </row>
    <row r="25516">
      <c r="A25516" s="4" t="s">
        <v>32109</v>
      </c>
      <c r="B25516" s="4" t="s">
        <v>32118</v>
      </c>
      <c r="C25516" s="5" t="str">
        <f>IFERROR(__xludf.DUMMYFUNCTION("GOOGLETRANSLATE(B25516,""en"",""fr"")"),"Le garçon dit quelque chose et la télévision a des chiffres dessus.")</f>
        <v>Le garçon dit quelque chose et la télévision a des chiffres dessus.</v>
      </c>
    </row>
    <row r="25517">
      <c r="A25517" s="4" t="s">
        <v>32109</v>
      </c>
      <c r="B25517" s="4" t="s">
        <v>32119</v>
      </c>
      <c r="C25517" s="5" t="str">
        <f>IFERROR(__xludf.DUMMYFUNCTION("GOOGLETRANSLATE(B25517,""en"",""fr"")"),"Le garçon parle à nouveau.")</f>
        <v>Le garçon parle à nouveau.</v>
      </c>
    </row>
    <row r="25518">
      <c r="A25518" s="4" t="s">
        <v>32109</v>
      </c>
      <c r="B25518" s="4" t="s">
        <v>32120</v>
      </c>
      <c r="C25518" s="5" t="str">
        <f>IFERROR(__xludf.DUMMYFUNCTION("GOOGLETRANSLATE(B25518,""en"",""fr"")"),"Le garçon se lève et quitte la pièce.")</f>
        <v>Le garçon se lève et quitte la pièce.</v>
      </c>
    </row>
    <row r="25519">
      <c r="A25519" s="4" t="s">
        <v>32109</v>
      </c>
      <c r="B25519" s="4" t="s">
        <v>32121</v>
      </c>
      <c r="C25519" s="5" t="str">
        <f>IFERROR(__xludf.DUMMYFUNCTION("GOOGLETRANSLATE(B25519,""en"",""fr"")"),"Il va à la salle de bain et se frotte les yeux.")</f>
        <v>Il va à la salle de bain et se frotte les yeux.</v>
      </c>
    </row>
    <row r="25520">
      <c r="A25520" s="4" t="s">
        <v>32109</v>
      </c>
      <c r="B25520" s="4" t="s">
        <v>32122</v>
      </c>
      <c r="C25520" s="5" t="str">
        <f>IFERROR(__xludf.DUMMYFUNCTION("GOOGLETRANSLATE(B25520,""en"",""fr"")"),"Il regarde dans le miroir puis atteint le lavage du visage et en met dans sa main.")</f>
        <v>Il regarde dans le miroir puis atteint le lavage du visage et en met dans sa main.</v>
      </c>
    </row>
    <row r="25521">
      <c r="A25521" s="4" t="s">
        <v>32109</v>
      </c>
      <c r="B25521" s="4" t="s">
        <v>32123</v>
      </c>
      <c r="C25521" s="5" t="str">
        <f>IFERROR(__xludf.DUMMYFUNCTION("GOOGLETRANSLATE(B25521,""en"",""fr"")"),"Il jette le lavage du visage sur la machine à laver.")</f>
        <v>Il jette le lavage du visage sur la machine à laver.</v>
      </c>
    </row>
    <row r="25522">
      <c r="A25522" s="4" t="s">
        <v>32109</v>
      </c>
      <c r="B25522" s="4" t="s">
        <v>32124</v>
      </c>
      <c r="C25522" s="5" t="str">
        <f>IFERROR(__xludf.DUMMYFUNCTION("GOOGLETRANSLATE(B25522,""en"",""fr"")"),"Il met sa tête dans l'évier et se lave le visage avec colère.")</f>
        <v>Il met sa tête dans l'évier et se lave le visage avec colère.</v>
      </c>
    </row>
    <row r="25523">
      <c r="A25523" s="4" t="s">
        <v>32109</v>
      </c>
      <c r="B25523" s="4" t="s">
        <v>32125</v>
      </c>
      <c r="C25523" s="5" t="str">
        <f>IFERROR(__xludf.DUMMYFUNCTION("GOOGLETRANSLATE(B25523,""en"",""fr"")"),"Quand il regarde à nouveau dans le miroir, c'est un vieil homme.")</f>
        <v>Quand il regarde à nouveau dans le miroir, c'est un vieil homme.</v>
      </c>
    </row>
    <row r="25524">
      <c r="A25524" s="4" t="s">
        <v>32109</v>
      </c>
      <c r="B25524" s="4" t="s">
        <v>32126</v>
      </c>
      <c r="C25524" s="5" t="str">
        <f>IFERROR(__xludf.DUMMYFUNCTION("GOOGLETRANSLATE(B25524,""en"",""fr"")"),"Il tombe au sol.")</f>
        <v>Il tombe au sol.</v>
      </c>
    </row>
    <row r="25525">
      <c r="A25525" s="4" t="s">
        <v>32109</v>
      </c>
      <c r="B25525" s="4" t="s">
        <v>32127</v>
      </c>
      <c r="C25525" s="5" t="str">
        <f>IFERROR(__xludf.DUMMYFUNCTION("GOOGLETRANSLATE(B25525,""en"",""fr"")"),"Il se lave à nouveau le visage et cette fois, il se tourne vers un crâne.")</f>
        <v>Il se lave à nouveau le visage et cette fois, il se tourne vers un crâne.</v>
      </c>
    </row>
    <row r="25526">
      <c r="A25526" s="4" t="s">
        <v>32109</v>
      </c>
      <c r="B25526" s="4" t="s">
        <v>32128</v>
      </c>
      <c r="C25526" s="5" t="str">
        <f>IFERROR(__xludf.DUMMYFUNCTION("GOOGLETRANSLATE(B25526,""en"",""fr"")"),"Il se frotte le visage et le crâne tombe dans l'évier.")</f>
        <v>Il se frotte le visage et le crâne tombe dans l'évier.</v>
      </c>
    </row>
    <row r="25527">
      <c r="A25527" s="4" t="s">
        <v>32129</v>
      </c>
      <c r="B25527" s="4" t="s">
        <v>32130</v>
      </c>
      <c r="C25527" s="5" t="str">
        <f>IFERROR(__xludf.DUMMYFUNCTION("GOOGLETRANSLATE(B25527,""en"",""fr"")"),"Une personne a la main sur l'objectif.")</f>
        <v>Une personne a la main sur l'objectif.</v>
      </c>
    </row>
    <row r="25528">
      <c r="A25528" s="4" t="s">
        <v>32129</v>
      </c>
      <c r="B25528" s="4" t="s">
        <v>32131</v>
      </c>
      <c r="C25528" s="5" t="str">
        <f>IFERROR(__xludf.DUMMYFUNCTION("GOOGLETRANSLATE(B25528,""en"",""fr"")"),"Nous voyons ensuite un enfant en ski gris devant l'opérateur de la caméra.")</f>
        <v>Nous voyons ensuite un enfant en ski gris devant l'opérateur de la caméra.</v>
      </c>
    </row>
    <row r="25529">
      <c r="A25529" s="4" t="s">
        <v>32129</v>
      </c>
      <c r="B25529" s="4" t="s">
        <v>32132</v>
      </c>
      <c r="C25529" s="5" t="str">
        <f>IFERROR(__xludf.DUMMYFUNCTION("GOOGLETRANSLATE(B25529,""en"",""fr"")"),"L'enfant tombe de ses skis et se couche dans la neige.")</f>
        <v>L'enfant tombe de ses skis et se couche dans la neige.</v>
      </c>
    </row>
    <row r="25530">
      <c r="A25530" s="4" t="s">
        <v>32129</v>
      </c>
      <c r="B25530" s="4" t="s">
        <v>32133</v>
      </c>
      <c r="C25530" s="5" t="str">
        <f>IFERROR(__xludf.DUMMYFUNCTION("GOOGLETRANSLATE(B25530,""en"",""fr"")"),"La personne de la caméra s'arrête et essuie la neige des lunettes pour enfants et éteint la caméra.")</f>
        <v>La personne de la caméra s'arrête et essuie la neige des lunettes pour enfants et éteint la caméra.</v>
      </c>
    </row>
    <row r="25531">
      <c r="A25531" s="4" t="s">
        <v>32134</v>
      </c>
      <c r="B25531" s="4" t="s">
        <v>32135</v>
      </c>
      <c r="C25531" s="5" t="str">
        <f>IFERROR(__xludf.DUMMYFUNCTION("GOOGLETRANSLATE(B25531,""en"",""fr"")"),"Un cheval est derrière une porte jaune alors qu'un homme est assis sur le dessus en tenant une corde.")</f>
        <v>Un cheval est derrière une porte jaune alors qu'un homme est assis sur le dessus en tenant une corde.</v>
      </c>
    </row>
    <row r="25532">
      <c r="A25532" s="4" t="s">
        <v>32134</v>
      </c>
      <c r="B25532" s="4" t="s">
        <v>32136</v>
      </c>
      <c r="C25532" s="5" t="str">
        <f>IFERROR(__xludf.DUMMYFUNCTION("GOOGLETRANSLATE(B25532,""en"",""fr"")"),"La porte est ouverte et un veau noir se déroule dans le champ de la saleté.")</f>
        <v>La porte est ouverte et un veau noir se déroule dans le champ de la saleté.</v>
      </c>
    </row>
    <row r="25533">
      <c r="A25533" s="4" t="s">
        <v>32134</v>
      </c>
      <c r="B25533" s="4" t="s">
        <v>32137</v>
      </c>
      <c r="C25533" s="5" t="str">
        <f>IFERROR(__xludf.DUMMYFUNCTION("GOOGLETRANSLATE(B25533,""en"",""fr"")"),"Presque instantanément, l'homme jette son lasso et saute pour sécuriser la vache.")</f>
        <v>Presque instantanément, l'homme jette son lasso et saute pour sécuriser la vache.</v>
      </c>
    </row>
    <row r="25534">
      <c r="A25534" s="4" t="s">
        <v>32134</v>
      </c>
      <c r="B25534" s="6" t="s">
        <v>32138</v>
      </c>
      <c r="C25534" s="5" t="str">
        <f>IFERROR(__xludf.DUMMYFUNCTION("GOOGLETRANSLATE(B25534,""en"",""fr"")"),"Une fois terminé, l'homme revient sur le cheval et d'autres personnes sortent pour sortir le mollet.")</f>
        <v>Une fois terminé, l'homme revient sur le cheval et d'autres personnes sortent pour sortir le mollet.</v>
      </c>
    </row>
    <row r="25535">
      <c r="A25535" s="4" t="s">
        <v>32139</v>
      </c>
      <c r="B25535" s="4" t="s">
        <v>32140</v>
      </c>
      <c r="C25535" s="5" t="str">
        <f>IFERROR(__xludf.DUMMYFUNCTION("GOOGLETRANSLATE(B25535,""en"",""fr"")"),"Une caméra se rapproche d'une fille pointant vers son œil dans le miroir.")</f>
        <v>Une caméra se rapproche d'une fille pointant vers son œil dans le miroir.</v>
      </c>
    </row>
    <row r="25536">
      <c r="A25536" s="4" t="s">
        <v>32139</v>
      </c>
      <c r="B25536" s="4" t="s">
        <v>32141</v>
      </c>
      <c r="C25536" s="5" t="str">
        <f>IFERROR(__xludf.DUMMYFUNCTION("GOOGLETRANSLATE(B25536,""en"",""fr"")"),"Elle se penche ensuite vers l'avant et colle son visage sous l'eau qui le frottant le long de son visage.")</f>
        <v>Elle se penche ensuite vers l'avant et colle son visage sous l'eau qui le frottant le long de son visage.</v>
      </c>
    </row>
    <row r="25537">
      <c r="A25537" s="4" t="s">
        <v>32142</v>
      </c>
      <c r="B25537" s="4" t="s">
        <v>32143</v>
      </c>
      <c r="C25537" s="5" t="str">
        <f>IFERROR(__xludf.DUMMYFUNCTION("GOOGLETRANSLATE(B25537,""en"",""fr"")"),"Une femme est vue en tenant un accordéon tout en secouant ses poings en l'air.")</f>
        <v>Une femme est vue en tenant un accordéon tout en secouant ses poings en l'air.</v>
      </c>
    </row>
    <row r="25538">
      <c r="A25538" s="4" t="s">
        <v>32142</v>
      </c>
      <c r="B25538" s="4" t="s">
        <v>32144</v>
      </c>
      <c r="C25538" s="5" t="str">
        <f>IFERROR(__xludf.DUMMYFUNCTION("GOOGLETRANSLATE(B25538,""en"",""fr"")"),"Un groupe est vu marcher derrière elle et commence à jouer pendant qu'elle le fait.")</f>
        <v>Un groupe est vu marcher derrière elle et commence à jouer pendant qu'elle le fait.</v>
      </c>
    </row>
    <row r="25539">
      <c r="A25539" s="4" t="s">
        <v>32142</v>
      </c>
      <c r="B25539" s="4" t="s">
        <v>32145</v>
      </c>
      <c r="C25539" s="5" t="str">
        <f>IFERROR(__xludf.DUMMYFUNCTION("GOOGLETRANSLATE(B25539,""en"",""fr"")"),"La fille continue de jouer avec le groupe et se termine en regardant la caméra.")</f>
        <v>La fille continue de jouer avec le groupe et se termine en regardant la caméra.</v>
      </c>
    </row>
    <row r="25540">
      <c r="A25540" s="4" t="s">
        <v>32146</v>
      </c>
      <c r="B25540" s="4" t="s">
        <v>32147</v>
      </c>
      <c r="C25540" s="5" t="str">
        <f>IFERROR(__xludf.DUMMYFUNCTION("GOOGLETRANSLATE(B25540,""en"",""fr"")"),"Un homme est vu debout dans un champ, l'œil fermé et immobile.")</f>
        <v>Un homme est vu debout dans un champ, l'œil fermé et immobile.</v>
      </c>
    </row>
    <row r="25541">
      <c r="A25541" s="4" t="s">
        <v>32146</v>
      </c>
      <c r="B25541" s="4" t="s">
        <v>32148</v>
      </c>
      <c r="C25541" s="5" t="str">
        <f>IFERROR(__xludf.DUMMYFUNCTION("GOOGLETRANSLATE(B25541,""en"",""fr"")"),"L'homme commence alors à bouger ses bras et ses jambes autour de son corps.")</f>
        <v>L'homme commence alors à bouger ses bras et ses jambes autour de son corps.</v>
      </c>
    </row>
    <row r="25542">
      <c r="A25542" s="4" t="s">
        <v>32146</v>
      </c>
      <c r="B25542" s="4" t="s">
        <v>32149</v>
      </c>
      <c r="C25542" s="5" t="str">
        <f>IFERROR(__xludf.DUMMYFUNCTION("GOOGLETRANSLATE(B25542,""en"",""fr"")"),"Il continue de déplacer son corps avec ses yeux fermés.")</f>
        <v>Il continue de déplacer son corps avec ses yeux fermés.</v>
      </c>
    </row>
    <row r="25543">
      <c r="A25543" s="4" t="s">
        <v>32150</v>
      </c>
      <c r="B25543" s="4" t="s">
        <v>32151</v>
      </c>
      <c r="C25543" s="5" t="str">
        <f>IFERROR(__xludf.DUMMYFUNCTION("GOOGLETRANSLATE(B25543,""en"",""fr"")"),"Une femme est allongée sur une table préparée pour le perçage de l'oreille.")</f>
        <v>Une femme est allongée sur une table préparée pour le perçage de l'oreille.</v>
      </c>
    </row>
    <row r="25544">
      <c r="A25544" s="4" t="s">
        <v>32150</v>
      </c>
      <c r="B25544" s="4" t="s">
        <v>32152</v>
      </c>
      <c r="C25544" s="5" t="str">
        <f>IFERROR(__xludf.DUMMYFUNCTION("GOOGLETRANSLATE(B25544,""en"",""fr"")"),"La personne responsable de l'opération perce l'oreille à deux endroits avec une petite tige.")</f>
        <v>La personne responsable de l'opération perce l'oreille à deux endroits avec une petite tige.</v>
      </c>
    </row>
    <row r="25545">
      <c r="A25545" s="4" t="s">
        <v>32150</v>
      </c>
      <c r="B25545" s="4" t="s">
        <v>32153</v>
      </c>
      <c r="C25545" s="5" t="str">
        <f>IFERROR(__xludf.DUMMYFUNCTION("GOOGLETRANSLATE(B25545,""en"",""fr"")"),"La personne applique un bouchon à une extrémité de la tige.")</f>
        <v>La personne applique un bouchon à une extrémité de la tige.</v>
      </c>
    </row>
    <row r="25546">
      <c r="A25546" s="4" t="s">
        <v>32150</v>
      </c>
      <c r="B25546" s="4" t="s">
        <v>32154</v>
      </c>
      <c r="C25546" s="5" t="str">
        <f>IFERROR(__xludf.DUMMYFUNCTION("GOOGLETRANSLATE(B25546,""en"",""fr"")"),"La personne pousse une tige différente à travers les trous créés par le piercing initial.")</f>
        <v>La personne pousse une tige différente à travers les trous créés par le piercing initial.</v>
      </c>
    </row>
    <row r="25547">
      <c r="A25547" s="4" t="s">
        <v>32150</v>
      </c>
      <c r="B25547" s="4" t="s">
        <v>32155</v>
      </c>
      <c r="C25547" s="5" t="str">
        <f>IFERROR(__xludf.DUMMYFUNCTION("GOOGLETRANSLATE(B25547,""en"",""fr"")"),"La personne coiffe la nouvelle tige aux deux extrémités.")</f>
        <v>La personne coiffe la nouvelle tige aux deux extrémités.</v>
      </c>
    </row>
    <row r="25548">
      <c r="A25548" s="4" t="s">
        <v>32150</v>
      </c>
      <c r="B25548" s="4" t="s">
        <v>32156</v>
      </c>
      <c r="C25548" s="5" t="str">
        <f>IFERROR(__xludf.DUMMYFUNCTION("GOOGLETRANSLATE(B25548,""en"",""fr"")"),"La femme montre son nouveau perçage et sourit.")</f>
        <v>La femme montre son nouveau perçage et sourit.</v>
      </c>
    </row>
    <row r="25549">
      <c r="A25549" s="4" t="s">
        <v>32157</v>
      </c>
      <c r="B25549" s="4" t="s">
        <v>32158</v>
      </c>
      <c r="C25549" s="5" t="str">
        <f>IFERROR(__xludf.DUMMYFUNCTION("GOOGLETRANSLATE(B25549,""en"",""fr"")"),"Un jeune enfant est vu souriant à la caméra et commence à grimper à travers les barres de singe.")</f>
        <v>Un jeune enfant est vu souriant à la caméra et commence à grimper à travers les barres de singe.</v>
      </c>
    </row>
    <row r="25550">
      <c r="A25550" s="4" t="s">
        <v>32157</v>
      </c>
      <c r="B25550" s="4" t="s">
        <v>32159</v>
      </c>
      <c r="C25550" s="5" t="str">
        <f>IFERROR(__xludf.DUMMYFUNCTION("GOOGLETRANSLATE(B25550,""en"",""fr"")"),"Elle arrive de l'autre côté puis agite à la caméra.")</f>
        <v>Elle arrive de l'autre côté puis agite à la caméra.</v>
      </c>
    </row>
    <row r="25551">
      <c r="A25551" s="4" t="s">
        <v>32160</v>
      </c>
      <c r="B25551" s="4" t="s">
        <v>32161</v>
      </c>
      <c r="C25551" s="5" t="str">
        <f>IFERROR(__xludf.DUMMYFUNCTION("GOOGLETRANSLATE(B25551,""en"",""fr"")"),"Une personne tient de petits objets entre leurs mains.")</f>
        <v>Une personne tient de petits objets entre leurs mains.</v>
      </c>
    </row>
    <row r="25552">
      <c r="A25552" s="4" t="s">
        <v>32160</v>
      </c>
      <c r="B25552" s="4" t="s">
        <v>32162</v>
      </c>
      <c r="C25552" s="5" t="str">
        <f>IFERROR(__xludf.DUMMYFUNCTION("GOOGLETRANSLATE(B25552,""en"",""fr"")"),"La personne applique des objets en continu à une surface en bois.")</f>
        <v>La personne applique des objets en continu à une surface en bois.</v>
      </c>
    </row>
    <row r="25553">
      <c r="A25553" s="4" t="s">
        <v>32160</v>
      </c>
      <c r="B25553" s="4" t="s">
        <v>32163</v>
      </c>
      <c r="C25553" s="5" t="str">
        <f>IFERROR(__xludf.DUMMYFUNCTION("GOOGLETRANSLATE(B25553,""en"",""fr"")"),"Lorsque la personne frotte sur le plus petit objet, il met un résidu blanc à la surface.")</f>
        <v>Lorsque la personne frotte sur le plus petit objet, il met un résidu blanc à la surface.</v>
      </c>
    </row>
    <row r="25554">
      <c r="A25554" s="4" t="s">
        <v>32160</v>
      </c>
      <c r="B25554" s="4" t="s">
        <v>32164</v>
      </c>
      <c r="C25554" s="5" t="str">
        <f>IFERROR(__xludf.DUMMYFUNCTION("GOOGLETRANSLATE(B25554,""en"",""fr"")"),"Lorsque la personne frotte sur l'objet brun, il retire le résidu.")</f>
        <v>Lorsque la personne frotte sur l'objet brun, il retire le résidu.</v>
      </c>
    </row>
    <row r="25555">
      <c r="A25555" s="4" t="s">
        <v>32165</v>
      </c>
      <c r="B25555" s="4" t="s">
        <v>32166</v>
      </c>
      <c r="C25555" s="5" t="str">
        <f>IFERROR(__xludf.DUMMYFUNCTION("GOOGLETRANSLATE(B25555,""en"",""fr"")"),"Un homme est montré assis devant plusieurs tambours et frappant un rythme.")</f>
        <v>Un homme est montré assis devant plusieurs tambours et frappant un rythme.</v>
      </c>
    </row>
    <row r="25556">
      <c r="A25556" s="4" t="s">
        <v>32165</v>
      </c>
      <c r="B25556" s="4" t="s">
        <v>32167</v>
      </c>
      <c r="C25556" s="5" t="str">
        <f>IFERROR(__xludf.DUMMYFUNCTION("GOOGLETRANSLATE(B25556,""en"",""fr"")"),"Il parle à la caméra de sa chanson et de ce qu'il prévoit de jouer.")</f>
        <v>Il parle à la caméra de sa chanson et de ce qu'il prévoit de jouer.</v>
      </c>
    </row>
    <row r="25557">
      <c r="A25557" s="4" t="s">
        <v>32165</v>
      </c>
      <c r="B25557" s="4" t="s">
        <v>32168</v>
      </c>
      <c r="C25557" s="5" t="str">
        <f>IFERROR(__xludf.DUMMYFUNCTION("GOOGLETRANSLATE(B25557,""en"",""fr"")"),"L'homme continue de jouer pendant que la caméra se met en place et sur lui en jouant à la batterie.")</f>
        <v>L'homme continue de jouer pendant que la caméra se met en place et sur lui en jouant à la batterie.</v>
      </c>
    </row>
    <row r="25558">
      <c r="A25558" s="4" t="s">
        <v>32169</v>
      </c>
      <c r="B25558" s="4" t="s">
        <v>32170</v>
      </c>
      <c r="C25558" s="5" t="str">
        <f>IFERROR(__xludf.DUMMYFUNCTION("GOOGLETRANSLATE(B25558,""en"",""fr"")"),"Un gymnaste noir se prépare à se produire sur une exposition de bar parallèle.")</f>
        <v>Un gymnaste noir se prépare à se produire sur une exposition de bar parallèle.</v>
      </c>
    </row>
    <row r="25559">
      <c r="A25559" s="4" t="s">
        <v>32169</v>
      </c>
      <c r="B25559" s="6" t="s">
        <v>32171</v>
      </c>
      <c r="C25559" s="5" t="str">
        <f>IFERROR(__xludf.DUMMYFUNCTION("GOOGLETRANSLATE(B25559,""en"",""fr"")"),"L'homme monte la barre parallèle et va dans un assiette et effectue une série de tours et de mouvements.")</f>
        <v>L'homme monte la barre parallèle et va dans un assiette et effectue une série de tours et de mouvements.</v>
      </c>
    </row>
    <row r="25560">
      <c r="A25560" s="4" t="s">
        <v>32169</v>
      </c>
      <c r="B25560" s="4" t="s">
        <v>32172</v>
      </c>
      <c r="C25560" s="5" t="str">
        <f>IFERROR(__xludf.DUMMYFUNCTION("GOOGLETRANSLATE(B25560,""en"",""fr"")"),"La gymnaste va dans sa démonstration et atterrit un atterrissage parfait sur le tapis.")</f>
        <v>La gymnaste va dans sa démonstration et atterrit un atterrissage parfait sur le tapis.</v>
      </c>
    </row>
    <row r="25561">
      <c r="A25561" s="4" t="s">
        <v>32173</v>
      </c>
      <c r="B25561" s="4" t="s">
        <v>32174</v>
      </c>
      <c r="C25561" s="5" t="str">
        <f>IFERROR(__xludf.DUMMYFUNCTION("GOOGLETRANSLATE(B25561,""en"",""fr"")"),"Un homme raccroche du papier peint.")</f>
        <v>Un homme raccroche du papier peint.</v>
      </c>
    </row>
    <row r="25562">
      <c r="A25562" s="4" t="s">
        <v>32173</v>
      </c>
      <c r="B25562" s="4" t="s">
        <v>32175</v>
      </c>
      <c r="C25562" s="5" t="str">
        <f>IFERROR(__xludf.DUMMYFUNCTION("GOOGLETRANSLATE(B25562,""en"",""fr"")"),"Il regarde la caméra.")</f>
        <v>Il regarde la caméra.</v>
      </c>
    </row>
    <row r="25563">
      <c r="A25563" s="4" t="s">
        <v>32173</v>
      </c>
      <c r="B25563" s="4" t="s">
        <v>32176</v>
      </c>
      <c r="C25563" s="5" t="str">
        <f>IFERROR(__xludf.DUMMYFUNCTION("GOOGLETRANSLATE(B25563,""en"",""fr"")"),"Il descend de l'échelle de pas.")</f>
        <v>Il descend de l'échelle de pas.</v>
      </c>
    </row>
    <row r="25564">
      <c r="A25564" s="4" t="s">
        <v>32173</v>
      </c>
      <c r="B25564" s="4" t="s">
        <v>32177</v>
      </c>
      <c r="C25564" s="5" t="str">
        <f>IFERROR(__xludf.DUMMYFUNCTION("GOOGLETRANSLATE(B25564,""en"",""fr"")"),"Une chaise apparaît avec le papier peint.")</f>
        <v>Une chaise apparaît avec le papier peint.</v>
      </c>
    </row>
    <row r="25565">
      <c r="A25565" s="4" t="s">
        <v>32173</v>
      </c>
      <c r="B25565" s="4" t="s">
        <v>32178</v>
      </c>
      <c r="C25565" s="5" t="str">
        <f>IFERROR(__xludf.DUMMYFUNCTION("GOOGLETRANSLATE(B25565,""en"",""fr"")"),"L'homme élimine le journal.")</f>
        <v>L'homme élimine le journal.</v>
      </c>
    </row>
    <row r="25566">
      <c r="A25566" s="4" t="s">
        <v>32179</v>
      </c>
      <c r="B25566" s="4" t="s">
        <v>32180</v>
      </c>
      <c r="C25566" s="5" t="str">
        <f>IFERROR(__xludf.DUMMYFUNCTION("GOOGLETRANSLATE(B25566,""en"",""fr"")"),"Il y a une table de billard avec des balles de billard dessus.")</f>
        <v>Il y a une table de billard avec des balles de billard dessus.</v>
      </c>
    </row>
    <row r="25567">
      <c r="A25567" s="4" t="s">
        <v>32179</v>
      </c>
      <c r="B25567" s="4" t="s">
        <v>32181</v>
      </c>
      <c r="C25567" s="5" t="str">
        <f>IFERROR(__xludf.DUMMYFUNCTION("GOOGLETRANSLATE(B25567,""en"",""fr"")"),"Une personne a une piscine à la main.")</f>
        <v>Une personne a une piscine à la main.</v>
      </c>
    </row>
    <row r="25568">
      <c r="A25568" s="4" t="s">
        <v>32179</v>
      </c>
      <c r="B25568" s="4" t="s">
        <v>32182</v>
      </c>
      <c r="C25568" s="5" t="str">
        <f>IFERROR(__xludf.DUMMYFUNCTION("GOOGLETRANSLATE(B25568,""en"",""fr"")"),"Ils ont frappé le ballon dans les autres balles.")</f>
        <v>Ils ont frappé le ballon dans les autres balles.</v>
      </c>
    </row>
    <row r="25569">
      <c r="A25569" s="4" t="s">
        <v>32183</v>
      </c>
      <c r="B25569" s="4" t="s">
        <v>32184</v>
      </c>
      <c r="C25569" s="5" t="str">
        <f>IFERROR(__xludf.DUMMYFUNCTION("GOOGLETRANSLATE(B25569,""en"",""fr"")"),"Un gymmatoteur se tient en tenue est le bras et saute sur une poutre.")</f>
        <v>Un gymmatoteur se tient en tenue est le bras et saute sur une poutre.</v>
      </c>
    </row>
    <row r="25570">
      <c r="A25570" s="4" t="s">
        <v>32183</v>
      </c>
      <c r="B25570" s="4" t="s">
        <v>32185</v>
      </c>
      <c r="C25570" s="5" t="str">
        <f>IFERROR(__xludf.DUMMYFUNCTION("GOOGLETRANSLATE(B25570,""en"",""fr"")"),"Il bouge ses bras et se tourne autour et autour d'un ensemble de barres.")</f>
        <v>Il bouge ses bras et se tourne autour et autour d'un ensemble de barres.</v>
      </c>
    </row>
    <row r="25571">
      <c r="A25571" s="4" t="s">
        <v>32183</v>
      </c>
      <c r="B25571" s="4" t="s">
        <v>32186</v>
      </c>
      <c r="C25571" s="5" t="str">
        <f>IFERROR(__xludf.DUMMYFUNCTION("GOOGLETRANSLATE(B25571,""en"",""fr"")"),"Il fait des mains et des flips et saute pour terminer sa routine.")</f>
        <v>Il fait des mains et des flips et saute pour terminer sa routine.</v>
      </c>
    </row>
    <row r="25572">
      <c r="A25572" s="4" t="s">
        <v>32187</v>
      </c>
      <c r="B25572" s="4" t="s">
        <v>32188</v>
      </c>
      <c r="C25572" s="5" t="str">
        <f>IFERROR(__xludf.DUMMYFUNCTION("GOOGLETRANSLATE(B25572,""en"",""fr"")"),"Un homme met un harnais sur un pont.")</f>
        <v>Un homme met un harnais sur un pont.</v>
      </c>
    </row>
    <row r="25573">
      <c r="A25573" s="4" t="s">
        <v>32187</v>
      </c>
      <c r="B25573" s="4" t="s">
        <v>32189</v>
      </c>
      <c r="C25573" s="5" t="str">
        <f>IFERROR(__xludf.DUMMYFUNCTION("GOOGLETRANSLATE(B25573,""en"",""fr"")"),"Il saute du pont et l'élastique saute par-dessus un plan d'eau.")</f>
        <v>Il saute du pont et l'élastique saute par-dessus un plan d'eau.</v>
      </c>
    </row>
    <row r="25574">
      <c r="A25574" s="4" t="s">
        <v>32187</v>
      </c>
      <c r="B25574" s="4" t="s">
        <v>32190</v>
      </c>
      <c r="C25574" s="5" t="str">
        <f>IFERROR(__xludf.DUMMYFUNCTION("GOOGLETRANSLATE(B25574,""en"",""fr"")"),"Un bateau monte et le met dans le bateau.")</f>
        <v>Un bateau monte et le met dans le bateau.</v>
      </c>
    </row>
    <row r="25575">
      <c r="A25575" s="4" t="s">
        <v>32191</v>
      </c>
      <c r="B25575" s="6" t="s">
        <v>32192</v>
      </c>
      <c r="C25575" s="5" t="str">
        <f>IFERROR(__xludf.DUMMYFUNCTION("GOOGLETRANSLATE(B25575,""en"",""fr"")"),"Une fille déguisée en garçon manqué et un garçon vêtu d'une chemise rouge se tient dans une pièce en face des autres dans une pièce en désordre.")</f>
        <v>Une fille déguisée en garçon manqué et un garçon vêtu d'une chemise rouge se tient dans une pièce en face des autres dans une pièce en désordre.</v>
      </c>
    </row>
    <row r="25576">
      <c r="A25576" s="4" t="s">
        <v>32191</v>
      </c>
      <c r="B25576" s="4" t="s">
        <v>32193</v>
      </c>
      <c r="C25576" s="5" t="str">
        <f>IFERROR(__xludf.DUMMYFUNCTION("GOOGLETRANSLATE(B25576,""en"",""fr"")"),"Les deux commencent à se saisir et ils commencent à danser de la salsa.")</f>
        <v>Les deux commencent à se saisir et ils commencent à danser de la salsa.</v>
      </c>
    </row>
    <row r="25577">
      <c r="A25577" s="4" t="s">
        <v>32191</v>
      </c>
      <c r="B25577" s="4" t="s">
        <v>32194</v>
      </c>
      <c r="C25577" s="5" t="str">
        <f>IFERROR(__xludf.DUMMYFUNCTION("GOOGLETRANSLATE(B25577,""en"",""fr"")"),"Ils continuent de danser et se tournent autour et font un certain type de danse de salsa.")</f>
        <v>Ils continuent de danser et se tournent autour et font un certain type de danse de salsa.</v>
      </c>
    </row>
    <row r="25578">
      <c r="A25578" s="4" t="s">
        <v>32195</v>
      </c>
      <c r="B25578" s="4" t="s">
        <v>32196</v>
      </c>
      <c r="C25578" s="5" t="str">
        <f>IFERROR(__xludf.DUMMYFUNCTION("GOOGLETRANSLATE(B25578,""en"",""fr"")"),"Cette femme est montrée debout au même endroit pendant un petit moment.")</f>
        <v>Cette femme est montrée debout au même endroit pendant un petit moment.</v>
      </c>
    </row>
    <row r="25579">
      <c r="A25579" s="4" t="s">
        <v>32195</v>
      </c>
      <c r="B25579" s="4" t="s">
        <v>32197</v>
      </c>
      <c r="C25579" s="5" t="str">
        <f>IFERROR(__xludf.DUMMYFUNCTION("GOOGLETRANSLATE(B25579,""en"",""fr"")"),"Puis elle se déplace pour jeter le ballon en l'air et elle revient à la position dans laquelle elle se trouvait.")</f>
        <v>Puis elle se déplace pour jeter le ballon en l'air et elle revient à la position dans laquelle elle se trouvait.</v>
      </c>
    </row>
    <row r="25580">
      <c r="A25580" s="4" t="s">
        <v>32195</v>
      </c>
      <c r="B25580" s="6" t="s">
        <v>32198</v>
      </c>
      <c r="C25580" s="5" t="str">
        <f>IFERROR(__xludf.DUMMYFUNCTION("GOOGLETRANSLATE(B25580,""en"",""fr"")"),"Puis elle saute en arrière et se retourne pour lancer le ballon à une petite distance, sauf qu'elle n'est pas positionnée à droite cette fois.")</f>
        <v>Puis elle saute en arrière et se retourne pour lancer le ballon à une petite distance, sauf qu'elle n'est pas positionnée à droite cette fois.</v>
      </c>
    </row>
    <row r="25581">
      <c r="A25581" s="4" t="s">
        <v>32199</v>
      </c>
      <c r="B25581" s="4" t="s">
        <v>32200</v>
      </c>
      <c r="C25581" s="5" t="str">
        <f>IFERROR(__xludf.DUMMYFUNCTION("GOOGLETRANSLATE(B25581,""en"",""fr"")"),"Un panneau apparaît dans une cour et une camionnette rouge descend sur la route.")</f>
        <v>Un panneau apparaît dans une cour et une camionnette rouge descend sur la route.</v>
      </c>
    </row>
    <row r="25582">
      <c r="A25582" s="4" t="s">
        <v>32199</v>
      </c>
      <c r="B25582" s="4" t="s">
        <v>32201</v>
      </c>
      <c r="C25582" s="5" t="str">
        <f>IFERROR(__xludf.DUMMYFUNCTION("GOOGLETRANSLATE(B25582,""en"",""fr"")"),"Après, un homme apparaît de tubes dans une trace d'eau sous le pont.")</f>
        <v>Après, un homme apparaît de tubes dans une trace d'eau sous le pont.</v>
      </c>
    </row>
    <row r="25583">
      <c r="A25583" s="4" t="s">
        <v>32199</v>
      </c>
      <c r="B25583" s="6" t="s">
        <v>32202</v>
      </c>
      <c r="C25583" s="5" t="str">
        <f>IFERROR(__xludf.DUMMYFUNCTION("GOOGLETRANSLATE(B25583,""en"",""fr"")"),"Alors qu'il continue sur la rivière, il frappe quelques rochers en cours de route et commence à se balancer de haut en bas avant de revenir devant la camionnette rouge.")</f>
        <v>Alors qu'il continue sur la rivière, il frappe quelques rochers en cours de route et commence à se balancer de haut en bas avant de revenir devant la camionnette rouge.</v>
      </c>
    </row>
    <row r="25584">
      <c r="A25584" s="4" t="s">
        <v>32203</v>
      </c>
      <c r="B25584" s="4" t="s">
        <v>32204</v>
      </c>
      <c r="C25584" s="5" t="str">
        <f>IFERROR(__xludf.DUMMYFUNCTION("GOOGLETRANSLATE(B25584,""en"",""fr"")"),"Une femme voit rire avec un groupe de personnes et un homme frappant l'autre.")</f>
        <v>Une femme voit rire avec un groupe de personnes et un homme frappant l'autre.</v>
      </c>
    </row>
    <row r="25585">
      <c r="A25585" s="4" t="s">
        <v>32203</v>
      </c>
      <c r="B25585" s="4" t="s">
        <v>32205</v>
      </c>
      <c r="C25585" s="5" t="str">
        <f>IFERROR(__xludf.DUMMYFUNCTION("GOOGLETRANSLATE(B25585,""en"",""fr"")"),"Une personne tend à un homme un ensemble de fléchettes qui les jettent ensuite au loin.")</f>
        <v>Une personne tend à un homme un ensemble de fléchettes qui les jettent ensuite au loin.</v>
      </c>
    </row>
    <row r="25586">
      <c r="A25586" s="4" t="s">
        <v>32203</v>
      </c>
      <c r="B25586" s="4" t="s">
        <v>32206</v>
      </c>
      <c r="C25586" s="5" t="str">
        <f>IFERROR(__xludf.DUMMYFUNCTION("GOOGLETRANSLATE(B25586,""en"",""fr"")"),"Les gens continuent de parler pendant que la caméra se déroule tout autour d'eux.")</f>
        <v>Les gens continuent de parler pendant que la caméra se déroule tout autour d'eux.</v>
      </c>
    </row>
    <row r="25587">
      <c r="A25587" s="4" t="s">
        <v>32207</v>
      </c>
      <c r="B25587" s="6" t="s">
        <v>32208</v>
      </c>
      <c r="C25587" s="5" t="str">
        <f>IFERROR(__xludf.DUMMYFUNCTION("GOOGLETRANSLATE(B25587,""en"",""fr"")"),"Il y a deux gars debout sur un grand tapis bleu dans une salle de sport et ils portent tous les deux des shorts et une paire de gants de boxe.")</f>
        <v>Il y a deux gars debout sur un grand tapis bleu dans une salle de sport et ils portent tous les deux des shorts et une paire de gants de boxe.</v>
      </c>
    </row>
    <row r="25588">
      <c r="A25588" s="4" t="s">
        <v>32207</v>
      </c>
      <c r="B25588" s="6" t="s">
        <v>32209</v>
      </c>
      <c r="C25588" s="5" t="str">
        <f>IFERROR(__xludf.DUMMYFUNCTION("GOOGLETRANSLATE(B25588,""en"",""fr"")"),"Les hommes s'affrontent et ils commencent à frapper et à se donner des coups de pied avec de brefs moments de s'arrêter entre leurs coups de poing et leurs coups de pied.")</f>
        <v>Les hommes s'affrontent et ils commencent à frapper et à se donner des coups de pied avec de brefs moments de s'arrêter entre leurs coups de poing et leurs coups de pied.</v>
      </c>
    </row>
    <row r="25589">
      <c r="A25589" s="4" t="s">
        <v>32207</v>
      </c>
      <c r="B25589" s="6" t="s">
        <v>32210</v>
      </c>
      <c r="C25589" s="5" t="str">
        <f>IFERROR(__xludf.DUMMYFUNCTION("GOOGLETRANSLATE(B25589,""en"",""fr"")"),"L'un des gars donne un coup de pied à l'autre trop fort et celui qui a été donné des coups de pied devient fou, arrache ses gants de ses mains, s'éloigne et jette avec colère ses gants.")</f>
        <v>L'un des gars donne un coup de pied à l'autre trop fort et celui qui a été donné des coups de pied devient fou, arrache ses gants de ses mains, s'éloigne et jette avec colère ses gants.</v>
      </c>
    </row>
    <row r="25590">
      <c r="A25590" s="4" t="s">
        <v>32211</v>
      </c>
      <c r="B25590" s="4" t="s">
        <v>32212</v>
      </c>
      <c r="C25590" s="5" t="str">
        <f>IFERROR(__xludf.DUMMYFUNCTION("GOOGLETRANSLATE(B25590,""en"",""fr"")"),"Un gars s'incline tout en se tenant dehors.")</f>
        <v>Un gars s'incline tout en se tenant dehors.</v>
      </c>
    </row>
    <row r="25591">
      <c r="A25591" s="4" t="s">
        <v>32211</v>
      </c>
      <c r="B25591" s="4" t="s">
        <v>32213</v>
      </c>
      <c r="C25591" s="5" t="str">
        <f>IFERROR(__xludf.DUMMYFUNCTION("GOOGLETRANSLATE(B25591,""en"",""fr"")"),"Le gars commence à faire du karaté dehors.")</f>
        <v>Le gars commence à faire du karaté dehors.</v>
      </c>
    </row>
    <row r="25592">
      <c r="A25592" s="4" t="s">
        <v>32211</v>
      </c>
      <c r="B25592" s="4" t="s">
        <v>32214</v>
      </c>
      <c r="C25592" s="5" t="str">
        <f>IFERROR(__xludf.DUMMYFUNCTION("GOOGLETRANSLATE(B25592,""en"",""fr"")"),"Le gars fait du karaté à l'intérieur puis part.")</f>
        <v>Le gars fait du karaté à l'intérieur puis part.</v>
      </c>
    </row>
    <row r="25593">
      <c r="A25593" s="4" t="s">
        <v>32211</v>
      </c>
      <c r="B25593" s="4" t="s">
        <v>32215</v>
      </c>
      <c r="C25593" s="5" t="str">
        <f>IFERROR(__xludf.DUMMYFUNCTION("GOOGLETRANSLATE(B25593,""en"",""fr"")"),"Un chien se tient avec un pull.")</f>
        <v>Un chien se tient avec un pull.</v>
      </c>
    </row>
    <row r="25594">
      <c r="A25594" s="4" t="s">
        <v>32216</v>
      </c>
      <c r="B25594" s="6" t="s">
        <v>32217</v>
      </c>
      <c r="C25594" s="5" t="str">
        <f>IFERROR(__xludf.DUMMYFUNCTION("GOOGLETRANSLATE(B25594,""en"",""fr"")"),"On voit deux personnes parler à la caméra avec une tenant une casserole et l'autre lui remettant des ingrédients.")</f>
        <v>On voit deux personnes parler à la caméra avec une tenant une casserole et l'autre lui remettant des ingrédients.</v>
      </c>
    </row>
    <row r="25595">
      <c r="A25595" s="4" t="s">
        <v>32216</v>
      </c>
      <c r="B25595" s="4" t="s">
        <v>32218</v>
      </c>
      <c r="C25595" s="5" t="str">
        <f>IFERROR(__xludf.DUMMYFUNCTION("GOOGLETRANSLATE(B25595,""en"",""fr"")"),"L'autre mélange ensuite les ingrédients dans un bol et le pomme dans une casserole.")</f>
        <v>L'autre mélange ensuite les ingrédients dans un bol et le pomme dans une casserole.</v>
      </c>
    </row>
    <row r="25596">
      <c r="A25596" s="4" t="s">
        <v>32216</v>
      </c>
      <c r="B25596" s="6" t="s">
        <v>32219</v>
      </c>
      <c r="C25596" s="5" t="str">
        <f>IFERROR(__xludf.DUMMYFUNCTION("GOOGLETRANSLATE(B25596,""en"",""fr"")"),"Plus de gens viennent prendre une bouchée ainsi qu'un jeune garçon aidant et l'homme qui continue de cuisiner.")</f>
        <v>Plus de gens viennent prendre une bouchée ainsi qu'un jeune garçon aidant et l'homme qui continue de cuisiner.</v>
      </c>
    </row>
    <row r="25597">
      <c r="A25597" s="4" t="s">
        <v>32220</v>
      </c>
      <c r="B25597" s="4" t="s">
        <v>32221</v>
      </c>
      <c r="C25597" s="5" t="str">
        <f>IFERROR(__xludf.DUMMYFUNCTION("GOOGLETRANSLATE(B25597,""en"",""fr"")"),"Un homme portant des lunettes est vu entrer dans le cadre et jouer un accordéon.")</f>
        <v>Un homme portant des lunettes est vu entrer dans le cadre et jouer un accordéon.</v>
      </c>
    </row>
    <row r="25598">
      <c r="A25598" s="4" t="s">
        <v>32220</v>
      </c>
      <c r="B25598" s="4" t="s">
        <v>32222</v>
      </c>
      <c r="C25598" s="5" t="str">
        <f>IFERROR(__xludf.DUMMYFUNCTION("GOOGLETRANSLATE(B25598,""en"",""fr"")"),"L'homme continue de jouer tout en regardant au loin et s'arrête en souriant à la caméra.")</f>
        <v>L'homme continue de jouer tout en regardant au loin et s'arrête en souriant à la caméra.</v>
      </c>
    </row>
    <row r="25599">
      <c r="A25599" s="4" t="s">
        <v>32223</v>
      </c>
      <c r="B25599" s="4" t="s">
        <v>32224</v>
      </c>
      <c r="C25599" s="5" t="str">
        <f>IFERROR(__xludf.DUMMYFUNCTION("GOOGLETRANSLATE(B25599,""en"",""fr"")"),"Deux jeunes filles sont dans un gymnase et elles font une manière latérale qui se déroule sur un bar au milieu du gymnase.")</f>
        <v>Deux jeunes filles sont dans un gymnase et elles font une manière latérale qui se déroule sur un bar au milieu du gymnase.</v>
      </c>
    </row>
    <row r="25600">
      <c r="A25600" s="4" t="s">
        <v>32223</v>
      </c>
      <c r="B25600" s="4" t="s">
        <v>32225</v>
      </c>
      <c r="C25600" s="5" t="str">
        <f>IFERROR(__xludf.DUMMYFUNCTION("GOOGLETRANSLATE(B25600,""en"",""fr"")"),"La vidéo est ensuite rejouée au ralenti et encore une fois à une vitesse plus rapide.")</f>
        <v>La vidéo est ensuite rejouée au ralenti et encore une fois à une vitesse plus rapide.</v>
      </c>
    </row>
    <row r="25601">
      <c r="A25601" s="4" t="s">
        <v>32226</v>
      </c>
      <c r="B25601" s="6" t="s">
        <v>32227</v>
      </c>
      <c r="C25601" s="5" t="str">
        <f>IFERROR(__xludf.DUMMYFUNCTION("GOOGLETRANSLATE(B25601,""en"",""fr"")"),"4 hommes sont dans un carré en faisant une pause dans la danse tandis que les gens sont rassemblés autour d'eux en les regardant danser et font des tours devant beaucoup de magasins.")</f>
        <v>4 hommes sont dans un carré en faisant une pause dans la danse tandis que les gens sont rassemblés autour d'eux en les regardant danser et font des tours devant beaucoup de magasins.</v>
      </c>
    </row>
    <row r="25602">
      <c r="A25602" s="4" t="s">
        <v>32226</v>
      </c>
      <c r="B25602" s="4" t="s">
        <v>32228</v>
      </c>
      <c r="C25602" s="5" t="str">
        <f>IFERROR(__xludf.DUMMYFUNCTION("GOOGLETRANSLATE(B25602,""en"",""fr"")"),"Les noms des danseurs de pause sont affichés à l'écran.")</f>
        <v>Les noms des danseurs de pause sont affichés à l'écran.</v>
      </c>
    </row>
    <row r="25603">
      <c r="A25603" s="4" t="s">
        <v>32229</v>
      </c>
      <c r="B25603" s="4" t="s">
        <v>32230</v>
      </c>
      <c r="C25603" s="5" t="str">
        <f>IFERROR(__xludf.DUMMYFUNCTION("GOOGLETRANSLATE(B25603,""en"",""fr"")"),"Nous voyons une jeune fille allumer une cigarette.")</f>
        <v>Nous voyons une jeune fille allumer une cigarette.</v>
      </c>
    </row>
    <row r="25604">
      <c r="A25604" s="4" t="s">
        <v>32229</v>
      </c>
      <c r="B25604" s="4" t="s">
        <v>32231</v>
      </c>
      <c r="C25604" s="5" t="str">
        <f>IFERROR(__xludf.DUMMYFUNCTION("GOOGLETRANSLATE(B25604,""en"",""fr"")"),"Elle sort ensuite la cigarette de sa bouche et parle.")</f>
        <v>Elle sort ensuite la cigarette de sa bouche et parle.</v>
      </c>
    </row>
    <row r="25605">
      <c r="A25605" s="4" t="s">
        <v>32229</v>
      </c>
      <c r="B25605" s="4" t="s">
        <v>32232</v>
      </c>
      <c r="C25605" s="5" t="str">
        <f>IFERROR(__xludf.DUMMYFUNCTION("GOOGLETRANSLATE(B25605,""en"",""fr"")"),"Elle tend le briquet à une autre personne et met sa main sur sa hanche.")</f>
        <v>Elle tend le briquet à une autre personne et met sa main sur sa hanche.</v>
      </c>
    </row>
    <row r="25606">
      <c r="A25606" s="4" t="s">
        <v>32233</v>
      </c>
      <c r="B25606" s="6" t="s">
        <v>32234</v>
      </c>
      <c r="C25606" s="5" t="str">
        <f>IFERROR(__xludf.DUMMYFUNCTION("GOOGLETRANSLATE(B25606,""en"",""fr"")"),"Un homme se tient à l'extérieur d'une maison parlant avec un gros poteau d'argent dans sa main qui a une corde jaune attachée.")</f>
        <v>Un homme se tient à l'extérieur d'une maison parlant avec un gros poteau d'argent dans sa main qui a une corde jaune attachée.</v>
      </c>
    </row>
    <row r="25607">
      <c r="A25607" s="4" t="s">
        <v>32233</v>
      </c>
      <c r="B25607" s="6" t="s">
        <v>32235</v>
      </c>
      <c r="C25607" s="5" t="str">
        <f>IFERROR(__xludf.DUMMYFUNCTION("GOOGLETRANSLATE(B25607,""en"",""fr"")"),"L'homme commence à nettoyer l'intérieur d'une porte en verre coulissante avec son poteau et son brosse et se lave autour de la base et de l'intérieur de la fenêtre.")</f>
        <v>L'homme commence à nettoyer l'intérieur d'une porte en verre coulissante avec son poteau et son brosse et se lave autour de la base et de l'intérieur de la fenêtre.</v>
      </c>
    </row>
    <row r="25608">
      <c r="A25608" s="4" t="s">
        <v>32233</v>
      </c>
      <c r="B25608" s="6" t="s">
        <v>32236</v>
      </c>
      <c r="C25608" s="5" t="str">
        <f>IFERROR(__xludf.DUMMYFUNCTION("GOOGLETRANSLATE(B25608,""en"",""fr"")"),"L'homme s'arrête alors et commence à parler à la caméra et à pointer vers la fenêtre avant qu'il ne puisse faire le bye.")</f>
        <v>L'homme s'arrête alors et commence à parler à la caméra et à pointer vers la fenêtre avant qu'il ne puisse faire le bye.</v>
      </c>
    </row>
    <row r="25609">
      <c r="A25609" s="4" t="s">
        <v>32237</v>
      </c>
      <c r="B25609" s="4" t="s">
        <v>32238</v>
      </c>
      <c r="C25609" s="5" t="str">
        <f>IFERROR(__xludf.DUMMYFUNCTION("GOOGLETRANSLATE(B25609,""en"",""fr"")"),"Un petit enfant est vu en espérant le sol lorsqu'une femme mène dans des danseurs plus jeunes.")</f>
        <v>Un petit enfant est vu en espérant le sol lorsqu'une femme mène dans des danseurs plus jeunes.</v>
      </c>
    </row>
    <row r="25610">
      <c r="A25610" s="4" t="s">
        <v>32237</v>
      </c>
      <c r="B25610" s="4" t="s">
        <v>32239</v>
      </c>
      <c r="C25610" s="5" t="str">
        <f>IFERROR(__xludf.DUMMYFUNCTION("GOOGLETRANSLATE(B25610,""en"",""fr"")"),"Elle aligne les filles devant une grande foule et les enfants commencent à danser sur scène.")</f>
        <v>Elle aligne les filles devant une grande foule et les enfants commencent à danser sur scène.</v>
      </c>
    </row>
    <row r="25611">
      <c r="A25611" s="4" t="s">
        <v>32237</v>
      </c>
      <c r="B25611" s="4" t="s">
        <v>32240</v>
      </c>
      <c r="C25611" s="5" t="str">
        <f>IFERROR(__xludf.DUMMYFUNCTION("GOOGLETRANSLATE(B25611,""en"",""fr"")"),"Les petits continuent de danser et de faire tournoyer sur scène et de sortir de la scène.")</f>
        <v>Les petits continuent de danser et de faire tournoyer sur scène et de sortir de la scène.</v>
      </c>
    </row>
    <row r="25612">
      <c r="A25612" s="4" t="s">
        <v>32241</v>
      </c>
      <c r="B25612" s="4" t="s">
        <v>32242</v>
      </c>
      <c r="C25612" s="5" t="str">
        <f>IFERROR(__xludf.DUMMYFUNCTION("GOOGLETRANSLATE(B25612,""en"",""fr"")"),"Les femmes de différentes nationalités concournent des sauts en longueur est un stade.")</f>
        <v>Les femmes de différentes nationalités concournent des sauts en longueur est un stade.</v>
      </c>
    </row>
    <row r="25613">
      <c r="A25613" s="4" t="s">
        <v>32241</v>
      </c>
      <c r="B25613" s="4" t="s">
        <v>32243</v>
      </c>
      <c r="C25613" s="5" t="str">
        <f>IFERROR(__xludf.DUMMYFUNCTION("GOOGLETRANSLATE(B25613,""en"",""fr"")"),"Les femmes continuent de concurrencer le saut en longueur.")</f>
        <v>Les femmes continuent de concurrencer le saut en longueur.</v>
      </c>
    </row>
    <row r="25614">
      <c r="A25614" s="4" t="s">
        <v>32241</v>
      </c>
      <c r="B25614" s="6" t="s">
        <v>32244</v>
      </c>
      <c r="C25614" s="5" t="str">
        <f>IFERROR(__xludf.DUMMYFUNCTION("GOOGLETRANSLATE(B25614,""en"",""fr"")"),"Un athlète court, puis saute et saute en avant pour effectuer un saut en longueur tandis que les juges tiennent des bâtons pour mesurer.")</f>
        <v>Un athlète court, puis saute et saute en avant pour effectuer un saut en longueur tandis que les juges tiennent des bâtons pour mesurer.</v>
      </c>
    </row>
    <row r="25615">
      <c r="A25615" s="4" t="s">
        <v>32245</v>
      </c>
      <c r="B25615" s="6" t="s">
        <v>32246</v>
      </c>
      <c r="C25615" s="5" t="str">
        <f>IFERROR(__xludf.DUMMYFUNCTION("GOOGLETRANSLATE(B25615,""en"",""fr"")"),"L'homme est debout dans un champ vert se préparant à faire un coup de cricket, un autre homme le montre et enlève le chapeau et les lunettes de soleil et l'homme est vraiment en sueur et se prépare à faire le tir et à marquer ce qu'il a fait, ils apprécie"&amp;"nt et s'embrassez-vous et l'homme lance le ballon.")</f>
        <v>L'homme est debout dans un champ vert se préparant à faire un coup de cricket, un autre homme le montre et enlève le chapeau et les lunettes de soleil et l'homme est vraiment en sueur et se prépare à faire le tir et à marquer ce qu'il a fait, ils apprécient et s'embrassez-vous et l'homme lance le ballon.</v>
      </c>
    </row>
    <row r="25616">
      <c r="A25616" s="4" t="s">
        <v>32245</v>
      </c>
      <c r="B25616" s="4" t="s">
        <v>32247</v>
      </c>
      <c r="C25616" s="5" t="str">
        <f>IFERROR(__xludf.DUMMYFUNCTION("GOOGLETRANSLATE(B25616,""en"",""fr"")"),"Les hommes s'assoient sur un canapé dans un salon et se parlent et à la caméra.")</f>
        <v>Les hommes s'assoient sur un canapé dans un salon et se parlent et à la caméra.</v>
      </c>
    </row>
    <row r="25617">
      <c r="A25617" s="4" t="s">
        <v>32245</v>
      </c>
      <c r="B25617" s="4" t="s">
        <v>32248</v>
      </c>
      <c r="C25617" s="5" t="str">
        <f>IFERROR(__xludf.DUMMYFUNCTION("GOOGLETRANSLATE(B25617,""en"",""fr"")"),"Le gagnant et les informations de la vidéo sont affichés.")</f>
        <v>Le gagnant et les informations de la vidéo sont affichés.</v>
      </c>
    </row>
    <row r="25618">
      <c r="A25618" s="4" t="s">
        <v>32249</v>
      </c>
      <c r="B25618" s="4" t="s">
        <v>32250</v>
      </c>
      <c r="C25618" s="5" t="str">
        <f>IFERROR(__xludf.DUMMYFUNCTION("GOOGLETRANSLATE(B25618,""en"",""fr"")"),"Un écran de titre apparaît en lettres rouges puis s'estompe dans une classe d'arts martiaux.")</f>
        <v>Un écran de titre apparaît en lettres rouges puis s'estompe dans une classe d'arts martiaux.</v>
      </c>
    </row>
    <row r="25619">
      <c r="A25619" s="4" t="s">
        <v>32249</v>
      </c>
      <c r="B25619" s="6" t="s">
        <v>32251</v>
      </c>
      <c r="C25619" s="5" t="str">
        <f>IFERROR(__xludf.DUMMYFUNCTION("GOOGLETRANSLATE(B25619,""en"",""fr"")"),"Dans une petite classe d'arts martiaux, les élèves sont rassemblés, chantant, applaudissant et jouant des instruments autour d'un petit cercle pour 5 matchs de capoeira où les combattants dansant et balançant leurs jambes et leurs bras et à la fin de chaq"&amp;"ue match, les combattants secouent la main, étreignent et étreignière toucher les musiciens.")</f>
        <v>Dans une petite classe d'arts martiaux, les élèves sont rassemblés, chantant, applaudissant et jouant des instruments autour d'un petit cercle pour 5 matchs de capoeira où les combattants dansant et balançant leurs jambes et leurs bras et à la fin de chaque match, les combattants secouent la main, étreignent et étreignière toucher les musiciens.</v>
      </c>
    </row>
    <row r="25620">
      <c r="A25620" s="4" t="s">
        <v>32249</v>
      </c>
      <c r="B25620" s="4" t="s">
        <v>32252</v>
      </c>
      <c r="C25620" s="5" t="str">
        <f>IFERROR(__xludf.DUMMYFUNCTION("GOOGLETRANSLATE(B25620,""en"",""fr"")"),"Puis un écran de clôture avec un logo pour l'école Capoeira.")</f>
        <v>Puis un écran de clôture avec un logo pour l'école Capoeira.</v>
      </c>
    </row>
    <row r="25621">
      <c r="A25621" s="4" t="s">
        <v>32253</v>
      </c>
      <c r="B25621" s="4" t="s">
        <v>32254</v>
      </c>
      <c r="C25621" s="5" t="str">
        <f>IFERROR(__xludf.DUMMYFUNCTION("GOOGLETRANSLATE(B25621,""en"",""fr"")"),"Une caméra tire diverses plans tout autour d'une ville et d'un magasin de chaussures.")</f>
        <v>Une caméra tire diverses plans tout autour d'une ville et d'un magasin de chaussures.</v>
      </c>
    </row>
    <row r="25622">
      <c r="A25622" s="4" t="s">
        <v>32253</v>
      </c>
      <c r="B25622" s="4" t="s">
        <v>32255</v>
      </c>
      <c r="C25622" s="5" t="str">
        <f>IFERROR(__xludf.DUMMYFUNCTION("GOOGLETRANSLATE(B25622,""en"",""fr"")"),"Des centaines de personnes se promènent dans une zone et vérifient les chaussures.")</f>
        <v>Des centaines de personnes se promènent dans une zone et vérifient les chaussures.</v>
      </c>
    </row>
    <row r="25623">
      <c r="A25623" s="4" t="s">
        <v>32253</v>
      </c>
      <c r="B25623" s="4" t="s">
        <v>32256</v>
      </c>
      <c r="C25623" s="5" t="str">
        <f>IFERROR(__xludf.DUMMYFUNCTION("GOOGLETRANSLATE(B25623,""en"",""fr"")"),"Un homme parle à une femme des chaussures qu'elle aime porter.")</f>
        <v>Un homme parle à une femme des chaussures qu'elle aime porter.</v>
      </c>
    </row>
    <row r="25624">
      <c r="A25624" s="4" t="s">
        <v>32253</v>
      </c>
      <c r="B25624" s="4" t="s">
        <v>32257</v>
      </c>
      <c r="C25624" s="5" t="str">
        <f>IFERROR(__xludf.DUMMYFUNCTION("GOOGLETRANSLATE(B25624,""en"",""fr"")"),"Les gens dansent et profitent de l'événement ensemble.")</f>
        <v>Les gens dansent et profitent de l'événement ensemble.</v>
      </c>
    </row>
    <row r="25625">
      <c r="A25625" s="4" t="s">
        <v>32253</v>
      </c>
      <c r="B25625" s="4" t="s">
        <v>32258</v>
      </c>
      <c r="C25625" s="5" t="str">
        <f>IFERROR(__xludf.DUMMYFUNCTION("GOOGLETRANSLATE(B25625,""en"",""fr"")"),"Il y a de nombreux aliments à l'événement.")</f>
        <v>Il y a de nombreux aliments à l'événement.</v>
      </c>
    </row>
    <row r="25626">
      <c r="A25626" s="4" t="s">
        <v>32253</v>
      </c>
      <c r="B25626" s="4" t="s">
        <v>32259</v>
      </c>
      <c r="C25626" s="5" t="str">
        <f>IFERROR(__xludf.DUMMYFUNCTION("GOOGLETRANSLATE(B25626,""en"",""fr"")"),"Plusieurs coureurs s'apprêtent à commencer une course.")</f>
        <v>Plusieurs coureurs s'apprêtent à commencer une course.</v>
      </c>
    </row>
    <row r="25627">
      <c r="A25627" s="4" t="s">
        <v>32253</v>
      </c>
      <c r="B25627" s="4" t="s">
        <v>32260</v>
      </c>
      <c r="C25627" s="5" t="str">
        <f>IFERROR(__xludf.DUMMYFUNCTION("GOOGLETRANSLATE(B25627,""en"",""fr"")"),"La course commence et les gens se déroulent très vite.")</f>
        <v>La course commence et les gens se déroulent très vite.</v>
      </c>
    </row>
    <row r="25628">
      <c r="A25628" s="4" t="s">
        <v>32253</v>
      </c>
      <c r="B25628" s="4" t="s">
        <v>32261</v>
      </c>
      <c r="C25628" s="5" t="str">
        <f>IFERROR(__xludf.DUMMYFUNCTION("GOOGLETRANSLATE(B25628,""en"",""fr"")"),"Plusieurs personnes sont interviewées pendant la course.")</f>
        <v>Plusieurs personnes sont interviewées pendant la course.</v>
      </c>
    </row>
    <row r="25629">
      <c r="A25629" s="4" t="s">
        <v>32253</v>
      </c>
      <c r="B25629" s="4" t="s">
        <v>32262</v>
      </c>
      <c r="C25629" s="5" t="str">
        <f>IFERROR(__xludf.DUMMYFUNCTION("GOOGLETRANSLATE(B25629,""en"",""fr"")"),"L'homme qui remporte la course tombe sur la ligne d'arrivée.")</f>
        <v>L'homme qui remporte la course tombe sur la ligne d'arrivée.</v>
      </c>
    </row>
    <row r="25630">
      <c r="A25630" s="4" t="s">
        <v>32253</v>
      </c>
      <c r="B25630" s="4" t="s">
        <v>32263</v>
      </c>
      <c r="C25630" s="5" t="str">
        <f>IFERROR(__xludf.DUMMYFUNCTION("GOOGLETRANSLATE(B25630,""en"",""fr"")"),"Plusieurs autres personnes sont montrées en terminant.")</f>
        <v>Plusieurs autres personnes sont montrées en terminant.</v>
      </c>
    </row>
    <row r="25631">
      <c r="A25631" s="4" t="s">
        <v>32264</v>
      </c>
      <c r="B25631" s="4" t="s">
        <v>32265</v>
      </c>
      <c r="C25631" s="5" t="str">
        <f>IFERROR(__xludf.DUMMYFUNCTION("GOOGLETRANSLATE(B25631,""en"",""fr"")"),"Une liste d'ingrédients est affichée et les éléments sont dans une table blanche.")</f>
        <v>Une liste d'ingrédients est affichée et les éléments sont dans une table blanche.</v>
      </c>
    </row>
    <row r="25632">
      <c r="A25632" s="4" t="s">
        <v>32264</v>
      </c>
      <c r="B25632" s="4" t="s">
        <v>32266</v>
      </c>
      <c r="C25632" s="5" t="str">
        <f>IFERROR(__xludf.DUMMYFUNCTION("GOOGLETRANSLATE(B25632,""en"",""fr"")"),"Fist Un sac de thé est de la sumerge dans l'eau bouillie et a ajouté du sirop dans une tasse Starbucks.")</f>
        <v>Fist Un sac de thé est de la sumerge dans l'eau bouillie et a ajouté du sirop dans une tasse Starbucks.</v>
      </c>
    </row>
    <row r="25633">
      <c r="A25633" s="4" t="s">
        <v>32267</v>
      </c>
      <c r="B25633" s="4" t="s">
        <v>32268</v>
      </c>
      <c r="C25633" s="5" t="str">
        <f>IFERROR(__xludf.DUMMYFUNCTION("GOOGLETRANSLATE(B25633,""en"",""fr"")"),"Une annonce de la station d'information apparaît à l'écran.")</f>
        <v>Une annonce de la station d'information apparaît à l'écran.</v>
      </c>
    </row>
    <row r="25634">
      <c r="A25634" s="4" t="s">
        <v>32267</v>
      </c>
      <c r="B25634" s="4" t="s">
        <v>32269</v>
      </c>
      <c r="C25634" s="5" t="str">
        <f>IFERROR(__xludf.DUMMYFUNCTION("GOOGLETRANSLATE(B25634,""en"",""fr"")"),"Nous voyons deux journalistes à l'extérieur, discutant avec des membres d'une équipe de course.")</f>
        <v>Nous voyons deux journalistes à l'extérieur, discutant avec des membres d'une équipe de course.</v>
      </c>
    </row>
    <row r="25635">
      <c r="A25635" s="4" t="s">
        <v>32267</v>
      </c>
      <c r="B25635" s="4" t="s">
        <v>32270</v>
      </c>
      <c r="C25635" s="5" t="str">
        <f>IFERROR(__xludf.DUMMYFUNCTION("GOOGLETRANSLATE(B25635,""en"",""fr"")"),"Ils se préparent à une course, dont l'une est enceinte.")</f>
        <v>Ils se préparent à une course, dont l'une est enceinte.</v>
      </c>
    </row>
    <row r="25636">
      <c r="A25636" s="4" t="s">
        <v>32267</v>
      </c>
      <c r="B25636" s="4" t="s">
        <v>32271</v>
      </c>
      <c r="C25636" s="5" t="str">
        <f>IFERROR(__xludf.DUMMYFUNCTION("GOOGLETRANSLATE(B25636,""en"",""fr"")"),"La foule est montrée en marchant vers le début de la course.")</f>
        <v>La foule est montrée en marchant vers le début de la course.</v>
      </c>
    </row>
    <row r="25637">
      <c r="A25637" s="4" t="s">
        <v>32272</v>
      </c>
      <c r="B25637" s="4" t="s">
        <v>32273</v>
      </c>
      <c r="C25637" s="5" t="str">
        <f>IFERROR(__xludf.DUMMYFUNCTION("GOOGLETRANSLATE(B25637,""en"",""fr"")"),"Une femme est dans une cuisine, parlant devant une gamme de fixations de sandwich.")</f>
        <v>Une femme est dans une cuisine, parlant devant une gamme de fixations de sandwich.</v>
      </c>
    </row>
    <row r="25638">
      <c r="A25638" s="4" t="s">
        <v>32272</v>
      </c>
      <c r="B25638" s="4" t="s">
        <v>32274</v>
      </c>
      <c r="C25638" s="5" t="str">
        <f>IFERROR(__xludf.DUMMYFUNCTION("GOOGLETRANSLATE(B25638,""en"",""fr"")"),"Elle ouvre le pain et applique de la viande, du fromage, des cornichons et de la moutarde.")</f>
        <v>Elle ouvre le pain et applique de la viande, du fromage, des cornichons et de la moutarde.</v>
      </c>
    </row>
    <row r="25639">
      <c r="A25639" s="4" t="s">
        <v>32272</v>
      </c>
      <c r="B25639" s="4" t="s">
        <v>32275</v>
      </c>
      <c r="C25639" s="5" t="str">
        <f>IFERROR(__xludf.DUMMYFUNCTION("GOOGLETRANSLATE(B25639,""en"",""fr"")"),"Elle ferme les sandwichs et les met dans une presse de panini chauffée.")</f>
        <v>Elle ferme les sandwichs et les met dans une presse de panini chauffée.</v>
      </c>
    </row>
    <row r="25640">
      <c r="A25640" s="4" t="s">
        <v>32272</v>
      </c>
      <c r="B25640" s="4" t="s">
        <v>32276</v>
      </c>
      <c r="C25640" s="5" t="str">
        <f>IFERROR(__xludf.DUMMYFUNCTION("GOOGLETRANSLATE(B25640,""en"",""fr"")"),"Elle retire les sandwichs lorsqu'ils sont grillés et les associent.")</f>
        <v>Elle retire les sandwichs lorsqu'ils sont grillés et les associent.</v>
      </c>
    </row>
    <row r="25641">
      <c r="A25641" s="4" t="s">
        <v>32277</v>
      </c>
      <c r="B25641" s="6" t="s">
        <v>32278</v>
      </c>
      <c r="C25641" s="5" t="str">
        <f>IFERROR(__xludf.DUMMYFUNCTION("GOOGLETRANSLATE(B25641,""en"",""fr"")"),"Il y a deux hommes dans l'eau portant des combinaisons et allongés sur leurs planches de surf pendant qu'ils conduisent une vague.")</f>
        <v>Il y a deux hommes dans l'eau portant des combinaisons et allongés sur leurs planches de surf pendant qu'ils conduisent une vague.</v>
      </c>
    </row>
    <row r="25642">
      <c r="A25642" s="4" t="s">
        <v>32277</v>
      </c>
      <c r="B25642" s="6" t="s">
        <v>32279</v>
      </c>
      <c r="C25642" s="5" t="str">
        <f>IFERROR(__xludf.DUMMYFUNCTION("GOOGLETRANSLATE(B25642,""en"",""fr"")"),"L'homme de la caméra est dans un bateau en mouvement rapide et il continue de filmer les surfeurs qui montent toujours sur la vague, mais maintenant ils se lèvent.")</f>
        <v>L'homme de la caméra est dans un bateau en mouvement rapide et il continue de filmer les surfeurs qui montent toujours sur la vague, mais maintenant ils se lèvent.</v>
      </c>
    </row>
    <row r="25643">
      <c r="A25643" s="4" t="s">
        <v>32277</v>
      </c>
      <c r="B25643" s="6" t="s">
        <v>32280</v>
      </c>
      <c r="C25643" s="5" t="str">
        <f>IFERROR(__xludf.DUMMYFUNCTION("GOOGLETRANSLATE(B25643,""en"",""fr"")"),"Le surfeur qui est devant est heureux de monter sur la vague pendant si longtemps qu'il lève ses deux bras dans les airs, puis le baisse.")</f>
        <v>Le surfeur qui est devant est heureux de monter sur la vague pendant si longtemps qu'il lève ses deux bras dans les airs, puis le baisse.</v>
      </c>
    </row>
    <row r="25644">
      <c r="A25644" s="4" t="s">
        <v>32277</v>
      </c>
      <c r="B25644" s="6" t="s">
        <v>32281</v>
      </c>
      <c r="C25644" s="5" t="str">
        <f>IFERROR(__xludf.DUMMYFUNCTION("GOOGLETRANSLATE(B25644,""en"",""fr"")"),"Le surfeur à l'arrière commence à perdre l'équilibre et tombe de sa planche tandis que l'homme à l'avant se lève toujours.")</f>
        <v>Le surfeur à l'arrière commence à perdre l'équilibre et tombe de sa planche tandis que l'homme à l'avant se lève toujours.</v>
      </c>
    </row>
    <row r="25645">
      <c r="A25645" s="4" t="s">
        <v>32282</v>
      </c>
      <c r="B25645" s="6" t="s">
        <v>32283</v>
      </c>
      <c r="C25645" s="5" t="str">
        <f>IFERROR(__xludf.DUMMYFUNCTION("GOOGLETRANSLATE(B25645,""en"",""fr"")"),"Une femme coupe les ongles des jambes arrière d'un chat avec une coupe-ongles, tandis qu'une personne retient le chat.")</f>
        <v>Une femme coupe les ongles des jambes arrière d'un chat avec une coupe-ongles, tandis qu'une personne retient le chat.</v>
      </c>
    </row>
    <row r="25646">
      <c r="A25646" s="4" t="s">
        <v>32282</v>
      </c>
      <c r="B25646" s="4" t="s">
        <v>32284</v>
      </c>
      <c r="C25646" s="5" t="str">
        <f>IFERROR(__xludf.DUMMYFUNCTION("GOOGLETRANSLATE(B25646,""en"",""fr"")"),"Ensuite, la femme se tient devant le chat, et la personne tient le chat d'un cou.")</f>
        <v>Ensuite, la femme se tient devant le chat, et la personne tient le chat d'un cou.</v>
      </c>
    </row>
    <row r="25647">
      <c r="A25647" s="4" t="s">
        <v>32282</v>
      </c>
      <c r="B25647" s="4" t="s">
        <v>32285</v>
      </c>
      <c r="C25647" s="5" t="str">
        <f>IFERROR(__xludf.DUMMYFUNCTION("GOOGLETRANSLATE(B25647,""en"",""fr"")"),"Après, la femme coupe les ongles des pattes avant, mais le chat donne un coup de pied.")</f>
        <v>Après, la femme coupe les ongles des pattes avant, mais le chat donne un coup de pied.</v>
      </c>
    </row>
    <row r="25648">
      <c r="A25648" s="4" t="s">
        <v>32282</v>
      </c>
      <c r="B25648" s="4" t="s">
        <v>32286</v>
      </c>
      <c r="C25648" s="5" t="str">
        <f>IFERROR(__xludf.DUMMYFUNCTION("GOOGLETRANSLATE(B25648,""en"",""fr"")"),"Une personne portant des vêtements noirs entre dans la pièce.")</f>
        <v>Une personne portant des vêtements noirs entre dans la pièce.</v>
      </c>
    </row>
    <row r="25649">
      <c r="A25649" s="4" t="s">
        <v>32287</v>
      </c>
      <c r="B25649" s="4" t="s">
        <v>356</v>
      </c>
      <c r="C25649" s="5" t="str">
        <f>IFERROR(__xludf.DUMMYFUNCTION("GOOGLETRANSLATE(B25649,""en"",""fr"")"),"La vidéo commence par une séquence de titre.")</f>
        <v>La vidéo commence par une séquence de titre.</v>
      </c>
    </row>
    <row r="25650">
      <c r="A25650" s="4" t="s">
        <v>32287</v>
      </c>
      <c r="B25650" s="4" t="s">
        <v>32288</v>
      </c>
      <c r="C25650" s="5" t="str">
        <f>IFERROR(__xludf.DUMMYFUNCTION("GOOGLETRANSLATE(B25650,""en"",""fr"")"),"Plusieurs clips de joueurs de baseball sont montrés en jouant au jeu.")</f>
        <v>Plusieurs clips de joueurs de baseball sont montrés en jouant au jeu.</v>
      </c>
    </row>
    <row r="25651">
      <c r="A25651" s="4" t="s">
        <v>32287</v>
      </c>
      <c r="B25651" s="4" t="s">
        <v>32289</v>
      </c>
      <c r="C25651" s="5" t="str">
        <f>IFERROR(__xludf.DUMMYFUNCTION("GOOGLETRANSLATE(B25651,""en"",""fr"")"),"À un moment donné, il montre un joueur se disputant avec un arbitre.")</f>
        <v>À un moment donné, il montre un joueur se disputant avec un arbitre.</v>
      </c>
    </row>
    <row r="25652">
      <c r="A25652" s="4" t="s">
        <v>32287</v>
      </c>
      <c r="B25652" s="4" t="s">
        <v>32290</v>
      </c>
      <c r="C25652" s="5" t="str">
        <f>IFERROR(__xludf.DUMMYFUNCTION("GOOGLETRANSLATE(B25652,""en"",""fr"")"),"La vidéo se termine par une autre séquence de titre.")</f>
        <v>La vidéo se termine par une autre séquence de titre.</v>
      </c>
    </row>
    <row r="25653">
      <c r="A25653" s="4" t="s">
        <v>32291</v>
      </c>
      <c r="B25653" s="6" t="s">
        <v>32292</v>
      </c>
      <c r="C25653" s="5" t="str">
        <f>IFERROR(__xludf.DUMMYFUNCTION("GOOGLETRANSLATE(B25653,""en"",""fr"")"),"Un homme portant des écouteurs est vu parler dans un microphone et commence à jouer une harmonica dans le micro.")</f>
        <v>Un homme portant des écouteurs est vu parler dans un microphone et commence à jouer une harmonica dans le micro.</v>
      </c>
    </row>
    <row r="25654">
      <c r="A25654" s="4" t="s">
        <v>32291</v>
      </c>
      <c r="B25654" s="4" t="s">
        <v>32293</v>
      </c>
      <c r="C25654" s="5" t="str">
        <f>IFERROR(__xludf.DUMMYFUNCTION("GOOGLETRANSLATE(B25654,""en"",""fr"")"),"L'homme continue de jouer et la caméra se termine par un gros plan de l'instrument.")</f>
        <v>L'homme continue de jouer et la caméra se termine par un gros plan de l'instrument.</v>
      </c>
    </row>
    <row r="25655">
      <c r="A25655" s="4" t="s">
        <v>32294</v>
      </c>
      <c r="B25655" s="4" t="s">
        <v>32295</v>
      </c>
      <c r="C25655" s="5" t="str">
        <f>IFERROR(__xludf.DUMMYFUNCTION("GOOGLETRANSLATE(B25655,""en"",""fr"")"),"Un petit groupe de personnes est vu debout dans une pièce avec une femme debout devant.")</f>
        <v>Un petit groupe de personnes est vu debout dans une pièce avec une femme debout devant.</v>
      </c>
    </row>
    <row r="25656">
      <c r="A25656" s="4" t="s">
        <v>32294</v>
      </c>
      <c r="B25656" s="4" t="s">
        <v>32296</v>
      </c>
      <c r="C25656" s="5" t="str">
        <f>IFERROR(__xludf.DUMMYFUNCTION("GOOGLETRANSLATE(B25656,""en"",""fr"")"),"La femme commence alors à danser avec les femmes tout en la suivant.")</f>
        <v>La femme commence alors à danser avec les femmes tout en la suivant.</v>
      </c>
    </row>
    <row r="25657">
      <c r="A25657" s="4" t="s">
        <v>32294</v>
      </c>
      <c r="B25657" s="4" t="s">
        <v>32297</v>
      </c>
      <c r="C25657" s="5" t="str">
        <f>IFERROR(__xludf.DUMMYFUNCTION("GOOGLETRANSLATE(B25657,""en"",""fr"")"),"Les femmes changent de place avec des hommes puis commencent à suivre la femme dansant.")</f>
        <v>Les femmes changent de place avec des hommes puis commencent à suivre la femme dansant.</v>
      </c>
    </row>
    <row r="25658">
      <c r="A25658" s="4" t="s">
        <v>32298</v>
      </c>
      <c r="B25658" s="4" t="s">
        <v>32299</v>
      </c>
      <c r="C25658" s="5" t="str">
        <f>IFERROR(__xludf.DUMMYFUNCTION("GOOGLETRANSLATE(B25658,""en"",""fr"")"),"Une femme dans une chemise bleue marche le long d'une ligne lâche.")</f>
        <v>Une femme dans une chemise bleue marche le long d'une ligne lâche.</v>
      </c>
    </row>
    <row r="25659">
      <c r="A25659" s="4" t="s">
        <v>32298</v>
      </c>
      <c r="B25659" s="4" t="s">
        <v>32300</v>
      </c>
      <c r="C25659" s="5" t="str">
        <f>IFERROR(__xludf.DUMMYFUNCTION("GOOGLETRANSLATE(B25659,""en"",""fr"")"),"Elle tombe et attrape la corde.")</f>
        <v>Elle tombe et attrape la corde.</v>
      </c>
    </row>
    <row r="25660">
      <c r="A25660" s="4" t="s">
        <v>32301</v>
      </c>
      <c r="B25660" s="4" t="s">
        <v>32302</v>
      </c>
      <c r="C25660" s="5" t="str">
        <f>IFERROR(__xludf.DUMMYFUNCTION("GOOGLETRANSLATE(B25660,""en"",""fr"")"),"Plusieurs personnes sont rassemblées dans un lac.")</f>
        <v>Plusieurs personnes sont rassemblées dans un lac.</v>
      </c>
    </row>
    <row r="25661">
      <c r="A25661" s="4" t="s">
        <v>32301</v>
      </c>
      <c r="B25661" s="4" t="s">
        <v>32303</v>
      </c>
      <c r="C25661" s="5" t="str">
        <f>IFERROR(__xludf.DUMMYFUNCTION("GOOGLETRANSLATE(B25661,""en"",""fr"")"),"Les images sont montrées des gens qui posent avec des cerfs-volants et volants.")</f>
        <v>Les images sont montrées des gens qui posent avec des cerfs-volants et volants.</v>
      </c>
    </row>
    <row r="25662">
      <c r="A25662" s="4" t="s">
        <v>32301</v>
      </c>
      <c r="B25662" s="4" t="s">
        <v>32304</v>
      </c>
      <c r="C25662" s="5" t="str">
        <f>IFERROR(__xludf.DUMMYFUNCTION("GOOGLETRANSLATE(B25662,""en"",""fr"")"),"On les voit ensuite voler les cerfs-volants sur une plage.")</f>
        <v>On les voit ensuite voler les cerfs-volants sur une plage.</v>
      </c>
    </row>
    <row r="25663">
      <c r="A25663" s="4" t="s">
        <v>32305</v>
      </c>
      <c r="B25663" s="4" t="s">
        <v>32306</v>
      </c>
      <c r="C25663" s="5" t="str">
        <f>IFERROR(__xludf.DUMMYFUNCTION("GOOGLETRANSLATE(B25663,""en"",""fr"")"),"Un assortiment de lignes de tambour est présenté à pratiquer à divers endroits.")</f>
        <v>Un assortiment de lignes de tambour est présenté à pratiquer à divers endroits.</v>
      </c>
    </row>
    <row r="25664">
      <c r="A25664" s="4" t="s">
        <v>32305</v>
      </c>
      <c r="B25664" s="6" t="s">
        <v>32307</v>
      </c>
      <c r="C25664" s="5" t="str">
        <f>IFERROR(__xludf.DUMMYFUNCTION("GOOGLETRANSLATE(B25664,""en"",""fr"")"),"Plusieurs écoles sont présentées et le SB4TS est dans le coin inférieur droit en tant que groupe en chemises bleues et pantalons noirs commence à effectuer et à faire diverses formations.")</f>
        <v>Plusieurs écoles sont présentées et le SB4TS est dans le coin inférieur droit en tant que groupe en chemises bleues et pantalons noirs commence à effectuer et à faire diverses formations.</v>
      </c>
    </row>
    <row r="25665">
      <c r="A25665" s="4" t="s">
        <v>32308</v>
      </c>
      <c r="B25665" s="4" t="s">
        <v>32309</v>
      </c>
      <c r="C25665" s="5" t="str">
        <f>IFERROR(__xludf.DUMMYFUNCTION("GOOGLETRANSLATE(B25665,""en"",""fr"")"),"Un restaurant Gyros est montré de l'extérieur.")</f>
        <v>Un restaurant Gyros est montré de l'extérieur.</v>
      </c>
    </row>
    <row r="25666">
      <c r="A25666" s="4" t="s">
        <v>32308</v>
      </c>
      <c r="B25666" s="4" t="s">
        <v>32310</v>
      </c>
      <c r="C25666" s="5" t="str">
        <f>IFERROR(__xludf.DUMMYFUNCTION("GOOGLETRANSLATE(B25666,""en"",""fr"")"),"Nous entrons et le chef commence à parler à la caméra.")</f>
        <v>Nous entrons et le chef commence à parler à la caméra.</v>
      </c>
    </row>
    <row r="25667">
      <c r="A25667" s="4" t="s">
        <v>32308</v>
      </c>
      <c r="B25667" s="4" t="s">
        <v>32311</v>
      </c>
      <c r="C25667" s="5" t="str">
        <f>IFERROR(__xludf.DUMMYFUNCTION("GOOGLETRANSLATE(B25667,""en"",""fr"")"),"Il montre comment faire un sandwich gyroscopique.")</f>
        <v>Il montre comment faire un sandwich gyroscopique.</v>
      </c>
    </row>
    <row r="25668">
      <c r="A25668" s="4" t="s">
        <v>32308</v>
      </c>
      <c r="B25668" s="6" t="s">
        <v>32312</v>
      </c>
      <c r="C25668" s="5" t="str">
        <f>IFERROR(__xludf.DUMMYFUNCTION("GOOGLETRANSLATE(B25668,""en"",""fr"")"),"Il place tous les ingrédients sur le comptoir, rasage la viande et commence à les empiler à l'intérieur du pita.")</f>
        <v>Il place tous les ingrédients sur le comptoir, rasage la viande et commence à les empiler à l'intérieur du pita.</v>
      </c>
    </row>
    <row r="25669">
      <c r="A25669" s="4" t="s">
        <v>32308</v>
      </c>
      <c r="B25669" s="4" t="s">
        <v>32313</v>
      </c>
      <c r="C25669" s="5" t="str">
        <f>IFERROR(__xludf.DUMMYFUNCTION("GOOGLETRANSLATE(B25669,""en"",""fr"")"),"Il continue de parler pour la caméra, puis sert un gyro à la caméra.")</f>
        <v>Il continue de parler pour la caméra, puis sert un gyro à la caméra.</v>
      </c>
    </row>
    <row r="25670">
      <c r="A25670" s="4" t="s">
        <v>32308</v>
      </c>
      <c r="B25670" s="4" t="s">
        <v>32314</v>
      </c>
      <c r="C25670" s="5" t="str">
        <f>IFERROR(__xludf.DUMMYFUNCTION("GOOGLETRANSLATE(B25670,""en"",""fr"")"),"L'homme le mange, hochant la tête avec approbation.")</f>
        <v>L'homme le mange, hochant la tête avec approbation.</v>
      </c>
    </row>
    <row r="25671">
      <c r="A25671" s="4" t="s">
        <v>32315</v>
      </c>
      <c r="B25671" s="4" t="s">
        <v>32316</v>
      </c>
      <c r="C25671" s="5" t="str">
        <f>IFERROR(__xludf.DUMMYFUNCTION("GOOGLETRANSLATE(B25671,""en"",""fr"")"),"Un homme est vu créer des étincelles sur un poteau en métal tout en le déplaçant sur le côté.")</f>
        <v>Un homme est vu créer des étincelles sur un poteau en métal tout en le déplaçant sur le côté.</v>
      </c>
    </row>
    <row r="25672">
      <c r="A25672" s="4" t="s">
        <v>32315</v>
      </c>
      <c r="B25672" s="4" t="s">
        <v>32317</v>
      </c>
      <c r="C25672" s="5" t="str">
        <f>IFERROR(__xludf.DUMMYFUNCTION("GOOGLETRANSLATE(B25672,""en"",""fr"")"),"Il pose ensuite la torche et zoome sur la barre.")</f>
        <v>Il pose ensuite la torche et zoome sur la barre.</v>
      </c>
    </row>
    <row r="25673">
      <c r="A25673" s="4" t="s">
        <v>32318</v>
      </c>
      <c r="B25673" s="4" t="s">
        <v>32319</v>
      </c>
      <c r="C25673" s="5" t="str">
        <f>IFERROR(__xludf.DUMMYFUNCTION("GOOGLETRANSLATE(B25673,""en"",""fr"")"),"Une personne marche un cheval dans une arène.")</f>
        <v>Une personne marche un cheval dans une arène.</v>
      </c>
    </row>
    <row r="25674">
      <c r="A25674" s="4" t="s">
        <v>32318</v>
      </c>
      <c r="B25674" s="4" t="s">
        <v>32320</v>
      </c>
      <c r="C25674" s="5" t="str">
        <f>IFERROR(__xludf.DUMMYFUNCTION("GOOGLETRANSLATE(B25674,""en"",""fr"")"),"Ils commencent à brosser la fourrure du cheval.")</f>
        <v>Ils commencent à brosser la fourrure du cheval.</v>
      </c>
    </row>
    <row r="25675">
      <c r="A25675" s="4" t="s">
        <v>32318</v>
      </c>
      <c r="B25675" s="4" t="s">
        <v>32321</v>
      </c>
      <c r="C25675" s="5" t="str">
        <f>IFERROR(__xludf.DUMMYFUNCTION("GOOGLETRANSLATE(B25675,""en"",""fr"")"),"Ils brossent l'oreille du cheval.")</f>
        <v>Ils brossent l'oreille du cheval.</v>
      </c>
    </row>
    <row r="25676">
      <c r="A25676" s="4" t="s">
        <v>32318</v>
      </c>
      <c r="B25676" s="4" t="s">
        <v>32322</v>
      </c>
      <c r="C25676" s="5" t="str">
        <f>IFERROR(__xludf.DUMMYFUNCTION("GOOGLETRANSLATE(B25676,""en"",""fr"")"),"Ils brossent le visage du cheval.")</f>
        <v>Ils brossent le visage du cheval.</v>
      </c>
    </row>
    <row r="25677">
      <c r="A25677" s="4" t="s">
        <v>32323</v>
      </c>
      <c r="B25677" s="6" t="s">
        <v>32324</v>
      </c>
      <c r="C25677" s="5" t="str">
        <f>IFERROR(__xludf.DUMMYFUNCTION("GOOGLETRANSLATE(B25677,""en"",""fr"")"),"Un homme avec deux enfants est vu parler à la caméra avec un jetant les mains et les a conduits en se déplaçant rapidement.")</f>
        <v>Un homme avec deux enfants est vu parler à la caméra avec un jetant les mains et les a conduits en se déplaçant rapidement.</v>
      </c>
    </row>
    <row r="25678">
      <c r="A25678" s="4" t="s">
        <v>32323</v>
      </c>
      <c r="B25678" s="6" t="s">
        <v>32325</v>
      </c>
      <c r="C25678" s="5" t="str">
        <f>IFERROR(__xludf.DUMMYFUNCTION("GOOGLETRANSLATE(B25678,""en"",""fr"")"),"Les enfants se tiennent sur une chaise en prenant des ornements d'un arbre tout en remontant et quatrième à la table pour placer les objets.")</f>
        <v>Les enfants se tiennent sur une chaise en prenant des ornements d'un arbre tout en remontant et quatrième à la table pour placer les objets.</v>
      </c>
    </row>
    <row r="25679">
      <c r="A25679" s="4" t="s">
        <v>32323</v>
      </c>
      <c r="B25679" s="6" t="s">
        <v>32326</v>
      </c>
      <c r="C25679" s="5" t="str">
        <f>IFERROR(__xludf.DUMMYFUNCTION("GOOGLETRANSLATE(B25679,""en"",""fr"")"),"Les enfants balayent ensuite le sol tout en dansant et en s'amusant et en terminant par tous les signes de la caméra.")</f>
        <v>Les enfants balayent ensuite le sol tout en dansant et en s'amusant et en terminant par tous les signes de la caméra.</v>
      </c>
    </row>
    <row r="25680">
      <c r="A25680" s="4" t="s">
        <v>32327</v>
      </c>
      <c r="B25680" s="6" t="s">
        <v>32328</v>
      </c>
      <c r="C25680" s="5" t="str">
        <f>IFERROR(__xludf.DUMMYFUNCTION("GOOGLETRANSLATE(B25680,""en"",""fr"")"),"Un homme est vu assis sur un équipement d'exercice et commence à se remettre en arrière et quatrième sur la machine.")</f>
        <v>Un homme est vu assis sur un équipement d'exercice et commence à se remettre en arrière et quatrième sur la machine.</v>
      </c>
    </row>
    <row r="25681">
      <c r="A25681" s="4" t="s">
        <v>32327</v>
      </c>
      <c r="B25681" s="6" t="s">
        <v>32329</v>
      </c>
      <c r="C25681" s="5" t="str">
        <f>IFERROR(__xludf.DUMMYFUNCTION("GOOGLETRANSLATE(B25681,""en"",""fr"")"),"L'homme continue de reculer un quatrième tout en tirant son corps en arrière et se termine en se déclenchant et en bougeant ses pieds.")</f>
        <v>L'homme continue de reculer un quatrième tout en tirant son corps en arrière et se termine en se déclenchant et en bougeant ses pieds.</v>
      </c>
    </row>
    <row r="25682">
      <c r="A25682" s="4" t="s">
        <v>32330</v>
      </c>
      <c r="B25682" s="4" t="s">
        <v>32331</v>
      </c>
      <c r="C25682" s="5" t="str">
        <f>IFERROR(__xludf.DUMMYFUNCTION("GOOGLETRANSLATE(B25682,""en"",""fr"")"),"Un concessionnaire traite des cartes dans une table de blackjack.")</f>
        <v>Un concessionnaire traite des cartes dans une table de blackjack.</v>
      </c>
    </row>
    <row r="25683">
      <c r="A25683" s="4" t="s">
        <v>32330</v>
      </c>
      <c r="B25683" s="4" t="s">
        <v>32332</v>
      </c>
      <c r="C25683" s="5" t="str">
        <f>IFERROR(__xludf.DUMMYFUNCTION("GOOGLETRANSLATE(B25683,""en"",""fr"")"),"Les gens sont assis autour de la table en jouant.")</f>
        <v>Les gens sont assis autour de la table en jouant.</v>
      </c>
    </row>
    <row r="25684">
      <c r="A25684" s="4" t="s">
        <v>32330</v>
      </c>
      <c r="B25684" s="4" t="s">
        <v>32333</v>
      </c>
      <c r="C25684" s="5" t="str">
        <f>IFERROR(__xludf.DUMMYFUNCTION("GOOGLETRANSLATE(B25684,""en"",""fr"")"),"Un homme en chemise blanche se tient debout à côté de la table.")</f>
        <v>Un homme en chemise blanche se tient debout à côté de la table.</v>
      </c>
    </row>
    <row r="25685">
      <c r="A25685" s="4" t="s">
        <v>32334</v>
      </c>
      <c r="B25685" s="4" t="s">
        <v>32335</v>
      </c>
      <c r="C25685" s="5" t="str">
        <f>IFERROR(__xludf.DUMMYFUNCTION("GOOGLETRANSLATE(B25685,""en"",""fr"")"),"Une jeune fille montre comment faire une tresse dans les cheveux en couches.")</f>
        <v>Une jeune fille montre comment faire une tresse dans les cheveux en couches.</v>
      </c>
    </row>
    <row r="25686">
      <c r="A25686" s="4" t="s">
        <v>32334</v>
      </c>
      <c r="B25686" s="4" t="s">
        <v>32336</v>
      </c>
      <c r="C25686" s="5" t="str">
        <f>IFERROR(__xludf.DUMMYFUNCTION("GOOGLETRANSLATE(B25686,""en"",""fr"")"),"Elle commence par se brosser les cheveux.")</f>
        <v>Elle commence par se brosser les cheveux.</v>
      </c>
    </row>
    <row r="25687">
      <c r="A25687" s="4" t="s">
        <v>32334</v>
      </c>
      <c r="B25687" s="4" t="s">
        <v>32337</v>
      </c>
      <c r="C25687" s="5" t="str">
        <f>IFERROR(__xludf.DUMMYFUNCTION("GOOGLETRANSLATE(B25687,""en"",""fr"")"),"Puis elle apporte tous ses cheveux sur son côté droit et commence à tresser les cheveux en une seule tresse.")</f>
        <v>Puis elle apporte tous ses cheveux sur son côté droit et commence à tresser les cheveux en une seule tresse.</v>
      </c>
    </row>
    <row r="25688">
      <c r="A25688" s="4" t="s">
        <v>32334</v>
      </c>
      <c r="B25688" s="4" t="s">
        <v>32338</v>
      </c>
      <c r="C25688" s="5" t="str">
        <f>IFERROR(__xludf.DUMMYFUNCTION("GOOGLETRANSLATE(B25688,""en"",""fr"")"),"Elle prend ensuite une cravate et la lie autour du fond de sa tresse.")</f>
        <v>Elle prend ensuite une cravate et la lie autour du fond de sa tresse.</v>
      </c>
    </row>
    <row r="25689">
      <c r="A25689" s="4" t="s">
        <v>32334</v>
      </c>
      <c r="B25689" s="6" t="s">
        <v>32339</v>
      </c>
      <c r="C25689" s="5" t="str">
        <f>IFERROR(__xludf.DUMMYFUNCTION("GOOGLETRANSLATE(B25689,""en"",""fr"")"),"Elle sort du gel capillaire d'un récipient orange et les utilise sur les pointes de sa tresse pour lisser les cheveux.")</f>
        <v>Elle sort du gel capillaire d'un récipient orange et les utilise sur les pointes de sa tresse pour lisser les cheveux.</v>
      </c>
    </row>
    <row r="25690">
      <c r="A25690" s="4" t="s">
        <v>32334</v>
      </c>
      <c r="B25690" s="4" t="s">
        <v>32340</v>
      </c>
      <c r="C25690" s="5" t="str">
        <f>IFERROR(__xludf.DUMMYFUNCTION("GOOGLETRANSLATE(B25690,""en"",""fr"")"),"Elle tresse en outre la partie inférieure de sa tresse jusqu'à la fin et attache une autre naissance à cheveux autour.")</f>
        <v>Elle tresse en outre la partie inférieure de sa tresse jusqu'à la fin et attache une autre naissance à cheveux autour.</v>
      </c>
    </row>
    <row r="25691">
      <c r="A25691" s="4" t="s">
        <v>32334</v>
      </c>
      <c r="B25691" s="4" t="s">
        <v>32341</v>
      </c>
      <c r="C25691" s="5" t="str">
        <f>IFERROR(__xludf.DUMMYFUNCTION("GOOGLETRANSLATE(B25691,""en"",""fr"")"),"Puis elle prend une épingle à bobby et épingle les cheveux courts à l'avant à l'arrière de sa tête.")</f>
        <v>Puis elle prend une épingle à bobby et épingle les cheveux courts à l'avant à l'arrière de sa tête.</v>
      </c>
    </row>
    <row r="25692">
      <c r="A25692" s="4" t="s">
        <v>32334</v>
      </c>
      <c r="B25692" s="4" t="s">
        <v>32342</v>
      </c>
      <c r="C25692" s="5" t="str">
        <f>IFERROR(__xludf.DUMMYFUNCTION("GOOGLETRANSLATE(B25692,""en"",""fr"")"),"Elle sécurise la broche dans ses cheveux et fait un bon revoir.")</f>
        <v>Elle sécurise la broche dans ses cheveux et fait un bon revoir.</v>
      </c>
    </row>
    <row r="25693">
      <c r="A25693" s="4" t="s">
        <v>32343</v>
      </c>
      <c r="B25693" s="4" t="s">
        <v>32344</v>
      </c>
      <c r="C25693" s="5" t="str">
        <f>IFERROR(__xludf.DUMMYFUNCTION("GOOGLETRANSLATE(B25693,""en"",""fr"")"),"Deux personnes sont vues debout avec une descente sur une piste et dans un sable.")</f>
        <v>Deux personnes sont vues debout avec une descente sur une piste et dans un sable.</v>
      </c>
    </row>
    <row r="25694">
      <c r="A25694" s="4" t="s">
        <v>32343</v>
      </c>
      <c r="B25694" s="4" t="s">
        <v>32345</v>
      </c>
      <c r="C25694" s="5" t="str">
        <f>IFERROR(__xludf.DUMMYFUNCTION("GOOGLETRANSLATE(B25694,""en"",""fr"")"),"L'homme se pose tandis qu'un autre soulève un drapeau et s'éloigne de la piste.")</f>
        <v>L'homme se pose tandis qu'un autre soulève un drapeau et s'éloigne de la piste.</v>
      </c>
    </row>
    <row r="25695">
      <c r="A25695" s="4" t="s">
        <v>32346</v>
      </c>
      <c r="B25695" s="6" t="s">
        <v>32347</v>
      </c>
      <c r="C25695" s="5" t="str">
        <f>IFERROR(__xludf.DUMMYFUNCTION("GOOGLETRANSLATE(B25695,""en"",""fr"")"),"Une fille est vue assise à une table tenant divers objets dans ses mains et les poussant tous ensemble.")</f>
        <v>Une fille est vue assise à une table tenant divers objets dans ses mains et les poussant tous ensemble.</v>
      </c>
    </row>
    <row r="25696">
      <c r="A25696" s="4" t="s">
        <v>32346</v>
      </c>
      <c r="B25696" s="6" t="s">
        <v>32348</v>
      </c>
      <c r="C25696" s="5" t="str">
        <f>IFERROR(__xludf.DUMMYFUNCTION("GOOGLETRANSLATE(B25696,""en"",""fr"")"),"Elle frotte ensuite une aiguille sur une boule de coton puis la poussant sur un crayon et enveloppant du fil autour de lui.")</f>
        <v>Elle frotte ensuite une aiguille sur une boule de coton puis la poussant sur un crayon et enveloppant du fil autour de lui.</v>
      </c>
    </row>
    <row r="25697">
      <c r="A25697" s="4" t="s">
        <v>32346</v>
      </c>
      <c r="B25697" s="4" t="s">
        <v>32349</v>
      </c>
      <c r="C25697" s="5" t="str">
        <f>IFERROR(__xludf.DUMMYFUNCTION("GOOGLETRANSLATE(B25697,""en"",""fr"")"),"Elle tient ensuite une boîte d'un produit, puis versant plusieurs liquides dans un bol.")</f>
        <v>Elle tient ensuite une boîte d'un produit, puis versant plusieurs liquides dans un bol.</v>
      </c>
    </row>
    <row r="25698">
      <c r="A25698" s="4" t="s">
        <v>32346</v>
      </c>
      <c r="B25698" s="6" t="s">
        <v>32350</v>
      </c>
      <c r="C25698" s="5" t="str">
        <f>IFERROR(__xludf.DUMMYFUNCTION("GOOGLETRANSLATE(B25698,""en"",""fr"")"),"Elle plonge ensuite l'aiguille à l'encre et utilisant le crayon pour dessiner un design sur sa jambe, le frottant avec un chiffon à la fin.")</f>
        <v>Elle plonge ensuite l'aiguille à l'encre et utilisant le crayon pour dessiner un design sur sa jambe, le frottant avec un chiffon à la fin.</v>
      </c>
    </row>
    <row r="25699">
      <c r="A25699" s="4" t="s">
        <v>32351</v>
      </c>
      <c r="B25699" s="4" t="s">
        <v>32352</v>
      </c>
      <c r="C25699" s="5" t="str">
        <f>IFERROR(__xludf.DUMMYFUNCTION("GOOGLETRANSLATE(B25699,""en"",""fr"")"),"Une planche à fléchettes à prédominance sombre est vide.")</f>
        <v>Une planche à fléchettes à prédominance sombre est vide.</v>
      </c>
    </row>
    <row r="25700">
      <c r="A25700" s="4" t="s">
        <v>32351</v>
      </c>
      <c r="B25700" s="4" t="s">
        <v>32353</v>
      </c>
      <c r="C25700" s="5" t="str">
        <f>IFERROR(__xludf.DUMMYFUNCTION("GOOGLETRANSLATE(B25700,""en"",""fr"")"),"Un gars jette une fléchette au tableau Dart.")</f>
        <v>Un gars jette une fléchette au tableau Dart.</v>
      </c>
    </row>
    <row r="25701">
      <c r="A25701" s="4" t="s">
        <v>32351</v>
      </c>
      <c r="B25701" s="4" t="s">
        <v>32354</v>
      </c>
      <c r="C25701" s="5" t="str">
        <f>IFERROR(__xludf.DUMMYFUNCTION("GOOGLETRANSLATE(B25701,""en"",""fr"")"),"La fléchette frappe la bullseye.")</f>
        <v>La fléchette frappe la bullseye.</v>
      </c>
    </row>
    <row r="25702">
      <c r="A25702" s="4" t="s">
        <v>32355</v>
      </c>
      <c r="B25702" s="4" t="s">
        <v>32356</v>
      </c>
      <c r="C25702" s="5" t="str">
        <f>IFERROR(__xludf.DUMMYFUNCTION("GOOGLETRANSLATE(B25702,""en"",""fr"")"),"Un petit groupe de personnes est vu en train de marcher sur le tapis rouge et de se parler.")</f>
        <v>Un petit groupe de personnes est vu en train de marcher sur le tapis rouge et de se parler.</v>
      </c>
    </row>
    <row r="25703">
      <c r="A25703" s="4" t="s">
        <v>32355</v>
      </c>
      <c r="B25703" s="6" t="s">
        <v>32357</v>
      </c>
      <c r="C25703" s="5" t="str">
        <f>IFERROR(__xludf.DUMMYFUNCTION("GOOGLETRANSLATE(B25703,""en"",""fr"")"),"Un athlète est ensuite vu parler avec un nouvel hôte et plusieurs plans de lui jouant et monte à cheval sont montrés.")</f>
        <v>Un athlète est ensuite vu parler avec un nouvel hôte et plusieurs plans de lui jouant et monte à cheval sont montrés.</v>
      </c>
    </row>
    <row r="25704">
      <c r="A25704" s="4" t="s">
        <v>32355</v>
      </c>
      <c r="B25704" s="4" t="s">
        <v>32358</v>
      </c>
      <c r="C25704" s="5" t="str">
        <f>IFERROR(__xludf.DUMMYFUNCTION("GOOGLETRANSLATE(B25704,""en"",""fr"")"),"Plus de clips sont montrés de lui pratiquer un sport et de parler à l'hôte et de serrer la main.")</f>
        <v>Plus de clips sont montrés de lui pratiquer un sport et de parler à l'hôte et de serrer la main.</v>
      </c>
    </row>
    <row r="25705">
      <c r="A25705" s="4" t="s">
        <v>32359</v>
      </c>
      <c r="B25705" s="4" t="s">
        <v>32360</v>
      </c>
      <c r="C25705" s="5" t="str">
        <f>IFERROR(__xludf.DUMMYFUNCTION("GOOGLETRANSLATE(B25705,""en"",""fr"")"),"Une femme fait un tatouage au bras d'une fille tout en nettoyant avec un mouchoir.")</f>
        <v>Une femme fait un tatouage au bras d'une fille tout en nettoyant avec un mouchoir.</v>
      </c>
    </row>
    <row r="25706">
      <c r="A25706" s="4" t="s">
        <v>32359</v>
      </c>
      <c r="B25706" s="4" t="s">
        <v>32361</v>
      </c>
      <c r="C25706" s="5" t="str">
        <f>IFERROR(__xludf.DUMMYFUNCTION("GOOGLETRANSLATE(B25706,""en"",""fr"")"),"La fille fait des gestes de douleur au visage.")</f>
        <v>La fille fait des gestes de douleur au visage.</v>
      </c>
    </row>
    <row r="25707">
      <c r="A25707" s="4" t="s">
        <v>32362</v>
      </c>
      <c r="B25707" s="6" t="s">
        <v>32363</v>
      </c>
      <c r="C25707" s="5" t="str">
        <f>IFERROR(__xludf.DUMMYFUNCTION("GOOGLETRANSLATE(B25707,""en"",""fr"")"),"Une photo du film Forest Gump est montrée avec l'homme jouant au ping-pong en plusieurs coups et lui riant à la fin.")</f>
        <v>Une photo du film Forest Gump est montrée avec l'homme jouant au ping-pong en plusieurs coups et lui riant à la fin.</v>
      </c>
    </row>
    <row r="25708">
      <c r="A25708" s="4" t="s">
        <v>32362</v>
      </c>
      <c r="B25708" s="6" t="s">
        <v>32364</v>
      </c>
      <c r="C25708" s="5" t="str">
        <f>IFERROR(__xludf.DUMMYFUNCTION("GOOGLETRANSLATE(B25708,""en"",""fr"")"),"Plus de clips sont montrés des acteurs qui jouent les uns avec les autres et un homme montrant les images sur un ordinateur tout en parlant à la caméra.")</f>
        <v>Plus de clips sont montrés des acteurs qui jouent les uns avec les autres et un homme montrant les images sur un ordinateur tout en parlant à la caméra.</v>
      </c>
    </row>
    <row r="25709">
      <c r="A25709" s="4" t="s">
        <v>32362</v>
      </c>
      <c r="B25709" s="6" t="s">
        <v>32365</v>
      </c>
      <c r="C25709" s="5" t="str">
        <f>IFERROR(__xludf.DUMMYFUNCTION("GOOGLETRANSLATE(B25709,""en"",""fr"")"),"Tom Hanks est interviewé plusieurs fois sur l'événement, puis s'assoit à la fin en jouant.")</f>
        <v>Tom Hanks est interviewé plusieurs fois sur l'événement, puis s'assoit à la fin en jouant.</v>
      </c>
    </row>
    <row r="25710">
      <c r="A25710" s="4" t="s">
        <v>32366</v>
      </c>
      <c r="B25710" s="4" t="s">
        <v>32367</v>
      </c>
      <c r="C25710" s="5" t="str">
        <f>IFERROR(__xludf.DUMMYFUNCTION("GOOGLETRANSLATE(B25710,""en"",""fr"")"),"Une femme vêtue de tout noir avec une visière et des lunettes de soleil parle en tenant une pagaie.")</f>
        <v>Une femme vêtue de tout noir avec une visière et des lunettes de soleil parle en tenant une pagaie.</v>
      </c>
    </row>
    <row r="25711">
      <c r="A25711" s="4" t="s">
        <v>32366</v>
      </c>
      <c r="B25711" s="4" t="s">
        <v>32368</v>
      </c>
      <c r="C25711" s="5" t="str">
        <f>IFERROR(__xludf.DUMMYFUNCTION("GOOGLETRANSLATE(B25711,""en"",""fr"")"),"Une fois qu'elle a fini de parler, elle commence le kayak avec son chien blanc entre ses jambes.")</f>
        <v>Une fois qu'elle a fini de parler, elle commence le kayak avec son chien blanc entre ses jambes.</v>
      </c>
    </row>
    <row r="25712">
      <c r="A25712" s="4" t="s">
        <v>32366</v>
      </c>
      <c r="B25712" s="6" t="s">
        <v>32369</v>
      </c>
      <c r="C25712" s="5" t="str">
        <f>IFERROR(__xludf.DUMMYFUNCTION("GOOGLETRANSLATE(B25712,""en"",""fr"")"),"Maintenant, la femme est hors de l'eau et commence à faire des exercices de bras avec la pagaie derrière sa tête le soulevant de haut en bas.")</f>
        <v>Maintenant, la femme est hors de l'eau et commence à faire des exercices de bras avec la pagaie derrière sa tête le soulevant de haut en bas.</v>
      </c>
    </row>
    <row r="25713">
      <c r="A25713" s="4" t="s">
        <v>32366</v>
      </c>
      <c r="B25713" s="6" t="s">
        <v>32370</v>
      </c>
      <c r="C25713" s="5" t="str">
        <f>IFERROR(__xludf.DUMMYFUNCTION("GOOGLETRANSLATE(B25713,""en"",""fr"")"),"Elle ajoute ensuite les jambes et commence à faire des fentes dans l'herbe avant de continuer à faire des boucles avec ses mains.")</f>
        <v>Elle ajoute ensuite les jambes et commence à faire des fentes dans l'herbe avant de continuer à faire des boucles avec ses mains.</v>
      </c>
    </row>
    <row r="25714">
      <c r="A25714" s="4" t="s">
        <v>32366</v>
      </c>
      <c r="B25714" s="4" t="s">
        <v>32371</v>
      </c>
      <c r="C25714" s="5" t="str">
        <f>IFERROR(__xludf.DUMMYFUNCTION("GOOGLETRANSLATE(B25714,""en"",""fr"")"),"La dame a maintenant déménagé dans un patio et se coucher à plat sur son dos en faisant des exercices de jambe.")</f>
        <v>La dame a maintenant déménagé dans un patio et se coucher à plat sur son dos en faisant des exercices de jambe.</v>
      </c>
    </row>
    <row r="25715">
      <c r="A25715" s="4" t="s">
        <v>32372</v>
      </c>
      <c r="B25715" s="4" t="s">
        <v>32373</v>
      </c>
      <c r="C25715" s="5" t="str">
        <f>IFERROR(__xludf.DUMMYFUNCTION("GOOGLETRANSLATE(B25715,""en"",""fr"")"),"Une fille se tient à l'extérieur dans un champ qui parle et du hula.")</f>
        <v>Une fille se tient à l'extérieur dans un champ qui parle et du hula.</v>
      </c>
    </row>
    <row r="25716">
      <c r="A25716" s="4" t="s">
        <v>32372</v>
      </c>
      <c r="B25716" s="4" t="s">
        <v>32374</v>
      </c>
      <c r="C25716" s="5" t="str">
        <f>IFERROR(__xludf.DUMMYFUNCTION("GOOGLETRANSLATE(B25716,""en"",""fr"")"),"Une autre fille essaie alors de faire la même chose mais elle ne réussit pas.")</f>
        <v>Une autre fille essaie alors de faire la même chose mais elle ne réussit pas.</v>
      </c>
    </row>
    <row r="25717">
      <c r="A25717" s="4" t="s">
        <v>32372</v>
      </c>
      <c r="B25717" s="4" t="s">
        <v>32375</v>
      </c>
      <c r="C25717" s="5" t="str">
        <f>IFERROR(__xludf.DUMMYFUNCTION("GOOGLETRANSLATE(B25717,""en"",""fr"")"),"La première fille revient et le fait sans effort alors que la deuxième fille a encore du mal.")</f>
        <v>La première fille revient et le fait sans effort alors que la deuxième fille a encore du mal.</v>
      </c>
    </row>
    <row r="25718">
      <c r="A25718" s="4" t="s">
        <v>32372</v>
      </c>
      <c r="B25718" s="4" t="s">
        <v>32376</v>
      </c>
      <c r="C25718" s="5" t="str">
        <f>IFERROR(__xludf.DUMMYFUNCTION("GOOGLETRANSLATE(B25718,""en"",""fr"")"),"Pour le dernier tour, la fille commence à faire du cerceau et boit du soda et traverse l'herbe.")</f>
        <v>Pour le dernier tour, la fille commence à faire du cerceau et boit du soda et traverse l'herbe.</v>
      </c>
    </row>
    <row r="25719">
      <c r="A25719" s="4" t="s">
        <v>32377</v>
      </c>
      <c r="B25719" s="6" t="s">
        <v>32378</v>
      </c>
      <c r="C25719" s="5" t="str">
        <f>IFERROR(__xludf.DUMMYFUNCTION("GOOGLETRANSLATE(B25719,""en"",""fr"")"),"Un noir et brun se tient contre le mur alors qu'une personne déplace un vide comme une machine d'avant en arrière sur sa fourrure.")</f>
        <v>Un noir et brun se tient contre le mur alors qu'une personne déplace un vide comme une machine d'avant en arrière sur sa fourrure.</v>
      </c>
    </row>
    <row r="25720">
      <c r="A25720" s="4" t="s">
        <v>32377</v>
      </c>
      <c r="B25720" s="6" t="s">
        <v>32379</v>
      </c>
      <c r="C25720" s="5" t="str">
        <f>IFERROR(__xludf.DUMMYFUNCTION("GOOGLETRANSLATE(B25720,""en"",""fr"")"),"Une fois son dos terminé, la personne fait les jambes puis soulève sa queue et fait le trou, mais le chien commence à s'éloigner.")</f>
        <v>Une fois son dos terminé, la personne fait les jambes puis soulève sa queue et fait le trou, mais le chien commence à s'éloigner.</v>
      </c>
    </row>
    <row r="25721">
      <c r="A25721" s="4" t="s">
        <v>32377</v>
      </c>
      <c r="B25721" s="4" t="s">
        <v>32380</v>
      </c>
      <c r="C25721" s="5" t="str">
        <f>IFERROR(__xludf.DUMMYFUNCTION("GOOGLETRANSLATE(B25721,""en"",""fr"")"),"Les femmes doivent ensuite attraper le chien et le tenir pour terminer sa tâche.")</f>
        <v>Les femmes doivent ensuite attraper le chien et le tenir pour terminer sa tâche.</v>
      </c>
    </row>
    <row r="25722">
      <c r="A25722" s="4" t="s">
        <v>32377</v>
      </c>
      <c r="B25722" s="4" t="s">
        <v>32381</v>
      </c>
      <c r="C25722" s="5" t="str">
        <f>IFERROR(__xludf.DUMMYFUNCTION("GOOGLETRANSLATE(B25722,""en"",""fr"")"),"Une fois terminée, elle sort les cheveux de l'aspirateur et les jette dans un gros sac poubelle noir.")</f>
        <v>Une fois terminée, elle sort les cheveux de l'aspirateur et les jette dans un gros sac poubelle noir.</v>
      </c>
    </row>
    <row r="25723">
      <c r="A25723" s="4" t="s">
        <v>32382</v>
      </c>
      <c r="B25723" s="4" t="s">
        <v>32383</v>
      </c>
      <c r="C25723" s="5" t="str">
        <f>IFERROR(__xludf.DUMMYFUNCTION("GOOGLETRANSLATE(B25723,""en"",""fr"")"),"Une femme blonde dirige des sauts et tourne un atterrissage sur le rembourrage.")</f>
        <v>Une femme blonde dirige des sauts et tourne un atterrissage sur le rembourrage.</v>
      </c>
    </row>
    <row r="25724">
      <c r="A25724" s="4" t="s">
        <v>32382</v>
      </c>
      <c r="B25724" s="4" t="s">
        <v>32384</v>
      </c>
      <c r="C25724" s="5" t="str">
        <f>IFERROR(__xludf.DUMMYFUNCTION("GOOGLETRANSLATE(B25724,""en"",""fr"")"),"Une autre femme court et saute et elle ne fait pas qu'elle tombe sur l'herbe.")</f>
        <v>Une autre femme court et saute et elle ne fait pas qu'elle tombe sur l'herbe.</v>
      </c>
    </row>
    <row r="25725">
      <c r="A25725" s="4" t="s">
        <v>32382</v>
      </c>
      <c r="B25725" s="4" t="s">
        <v>32385</v>
      </c>
      <c r="C25725" s="5" t="str">
        <f>IFERROR(__xludf.DUMMYFUNCTION("GOOGLETRANSLATE(B25725,""en"",""fr"")"),"Elle a complètement raté le saut et frappe le poteau lorsqu'elle tombe.")</f>
        <v>Elle a complètement raté le saut et frappe le poteau lorsqu'elle tombe.</v>
      </c>
    </row>
    <row r="25726">
      <c r="A25726" s="4" t="s">
        <v>32382</v>
      </c>
      <c r="B25726" s="4" t="s">
        <v>32386</v>
      </c>
      <c r="C25726" s="5" t="str">
        <f>IFERROR(__xludf.DUMMYFUNCTION("GOOGLETRANSLATE(B25726,""en"",""fr"")"),"Elle rit sur le sol et un homme arrive pour l'aider.")</f>
        <v>Elle rit sur le sol et un homme arrive pour l'aider.</v>
      </c>
    </row>
    <row r="25727">
      <c r="A25727" s="4" t="s">
        <v>32387</v>
      </c>
      <c r="B25727" s="4" t="s">
        <v>32388</v>
      </c>
      <c r="C25727" s="5" t="str">
        <f>IFERROR(__xludf.DUMMYFUNCTION("GOOGLETRANSLATE(B25727,""en"",""fr"")"),"Un groupe de personnes est assis dans un sauna entièrement vêtu.")</f>
        <v>Un groupe de personnes est assis dans un sauna entièrement vêtu.</v>
      </c>
    </row>
    <row r="25728">
      <c r="A25728" s="4" t="s">
        <v>32387</v>
      </c>
      <c r="B25728" s="4" t="s">
        <v>32389</v>
      </c>
      <c r="C25728" s="5" t="str">
        <f>IFERROR(__xludf.DUMMYFUNCTION("GOOGLETRANSLATE(B25728,""en"",""fr"")"),"Un gars se lève avec un violon.")</f>
        <v>Un gars se lève avec un violon.</v>
      </c>
    </row>
    <row r="25729">
      <c r="A25729" s="4" t="s">
        <v>32387</v>
      </c>
      <c r="B25729" s="4" t="s">
        <v>32390</v>
      </c>
      <c r="C25729" s="5" t="str">
        <f>IFERROR(__xludf.DUMMYFUNCTION("GOOGLETRANSLATE(B25729,""en"",""fr"")"),"Le gars commence à jouer du violon et de danser.")</f>
        <v>Le gars commence à jouer du violon et de danser.</v>
      </c>
    </row>
    <row r="25730">
      <c r="A25730" s="4" t="s">
        <v>32387</v>
      </c>
      <c r="B25730" s="4" t="s">
        <v>32391</v>
      </c>
      <c r="C25730" s="5" t="str">
        <f>IFERROR(__xludf.DUMMYFUNCTION("GOOGLETRANSLATE(B25730,""en"",""fr"")"),"Le gars lance sa chaussure en dansant.")</f>
        <v>Le gars lance sa chaussure en dansant.</v>
      </c>
    </row>
    <row r="25731">
      <c r="A25731" s="4" t="s">
        <v>32387</v>
      </c>
      <c r="B25731" s="4" t="s">
        <v>32392</v>
      </c>
      <c r="C25731" s="5" t="str">
        <f>IFERROR(__xludf.DUMMYFUNCTION("GOOGLETRANSLATE(B25731,""en"",""fr"")"),"Le gars s'assoit et joue le violon.")</f>
        <v>Le gars s'assoit et joue le violon.</v>
      </c>
    </row>
    <row r="25732">
      <c r="A25732" s="4" t="s">
        <v>32393</v>
      </c>
      <c r="B25732" s="4" t="s">
        <v>32394</v>
      </c>
      <c r="C25732" s="5" t="str">
        <f>IFERROR(__xludf.DUMMYFUNCTION("GOOGLETRANSLATE(B25732,""en"",""fr"")"),"Une personne est vue monter sur une planche avec un cerf-volant le long de l'océan se déplaçant à un rythme rapide.")</f>
        <v>Une personne est vue monter sur une planche avec un cerf-volant le long de l'océan se déplaçant à un rythme rapide.</v>
      </c>
    </row>
    <row r="25733">
      <c r="A25733" s="4" t="s">
        <v>32393</v>
      </c>
      <c r="B25733" s="4" t="s">
        <v>32395</v>
      </c>
      <c r="C25733" s="5" t="str">
        <f>IFERROR(__xludf.DUMMYFUNCTION("GOOGLETRANSLATE(B25733,""en"",""fr"")"),"La personne continue de rouler et finit par se écraser tandis que la caméra zoome sur le cavalier.")</f>
        <v>La personne continue de rouler et finit par se écraser tandis que la caméra zoome sur le cavalier.</v>
      </c>
    </row>
    <row r="25734">
      <c r="A25734" s="4" t="s">
        <v>32396</v>
      </c>
      <c r="B25734" s="6" t="s">
        <v>32397</v>
      </c>
      <c r="C25734" s="5" t="str">
        <f>IFERROR(__xludf.DUMMYFUNCTION("GOOGLETRANSLATE(B25734,""en"",""fr"")"),"Un groupe de garçons se tient dans une pièce avec de nombreuses tasses de bière claires sur une table, ils se tiennent tous.")</f>
        <v>Un groupe de garçons se tient dans une pièce avec de nombreuses tasses de bière claires sur une table, ils se tiennent tous.</v>
      </c>
    </row>
    <row r="25735">
      <c r="A25735" s="4" t="s">
        <v>32396</v>
      </c>
      <c r="B25735" s="6" t="s">
        <v>32398</v>
      </c>
      <c r="C25735" s="5" t="str">
        <f>IFERROR(__xludf.DUMMYFUNCTION("GOOGLETRANSLATE(B25735,""en"",""fr"")"),"Les garçons parlent, se moquent et se taquinent avant de commencer un jeu de bière sur une longue table à l'aide d'une gamme de tasses claires en forme de triangle.")</f>
        <v>Les garçons parlent, se moquent et se taquinent avant de commencer un jeu de bière sur une longue table à l'aide d'une gamme de tasses claires en forme de triangle.</v>
      </c>
    </row>
    <row r="25736">
      <c r="A25736" s="4" t="s">
        <v>32396</v>
      </c>
      <c r="B25736" s="4" t="s">
        <v>32399</v>
      </c>
      <c r="C25736" s="5" t="str">
        <f>IFERROR(__xludf.DUMMYFUNCTION("GOOGLETRANSLATE(B25736,""en"",""fr"")"),"L'un des ping-pongs atterrit dans la tasse et l'un des garçons commence à boire la bière.")</f>
        <v>L'un des ping-pongs atterrit dans la tasse et l'un des garçons commence à boire la bière.</v>
      </c>
    </row>
    <row r="25737">
      <c r="A25737" s="4" t="s">
        <v>32396</v>
      </c>
      <c r="B25737" s="6" t="s">
        <v>32400</v>
      </c>
      <c r="C25737" s="5" t="str">
        <f>IFERROR(__xludf.DUMMYFUNCTION("GOOGLETRANSLATE(B25737,""en"",""fr"")"),"Le groupe continue de jouer à Beer Pong lorsqu'un dernier joueur est capable de lancer et de décrocher une balle de ping-pong tout en se tenant avec le dos aux tasses à quel point les garçons célèbrent et rient.")</f>
        <v>Le groupe continue de jouer à Beer Pong lorsqu'un dernier joueur est capable de lancer et de décrocher une balle de ping-pong tout en se tenant avec le dos aux tasses à quel point les garçons célèbrent et rient.</v>
      </c>
    </row>
    <row r="25738">
      <c r="A25738" s="4" t="s">
        <v>32401</v>
      </c>
      <c r="B25738" s="6" t="s">
        <v>32402</v>
      </c>
      <c r="C25738" s="5" t="str">
        <f>IFERROR(__xludf.DUMMYFUNCTION("GOOGLETRANSLATE(B25738,""en"",""fr"")"),"Un petit groupe de personnes se voit serrer la main et se tenir debout, suivi par un homme sifflant et des gens qui courent.")</f>
        <v>Un petit groupe de personnes se voit serrer la main et se tenir debout, suivi par un homme sifflant et des gens qui courent.</v>
      </c>
    </row>
    <row r="25739">
      <c r="A25739" s="4" t="s">
        <v>32401</v>
      </c>
      <c r="B25739" s="6" t="s">
        <v>32403</v>
      </c>
      <c r="C25739" s="5" t="str">
        <f>IFERROR(__xludf.DUMMYFUNCTION("GOOGLETRANSLATE(B25739,""en"",""fr"")"),"Les gens jouent ensuite à un jeu de football les uns avec les autres, montant de haut en bas sur le terrain de sable tandis que les entraîneurs crient sur le côté et un but est bloqué.")</f>
        <v>Les gens jouent ensuite à un jeu de football les uns avec les autres, montant de haut en bas sur le terrain de sable tandis que les entraîneurs crient sur le côté et un but est bloqué.</v>
      </c>
    </row>
    <row r="25740">
      <c r="A25740" s="4" t="s">
        <v>32404</v>
      </c>
      <c r="B25740" s="4" t="s">
        <v>32405</v>
      </c>
      <c r="C25740" s="5" t="str">
        <f>IFERROR(__xludf.DUMMYFUNCTION("GOOGLETRANSLATE(B25740,""en"",""fr"")"),"Deux hommes sont montrés assis à une table, les bras croisés.")</f>
        <v>Deux hommes sont montrés assis à une table, les bras croisés.</v>
      </c>
    </row>
    <row r="25741">
      <c r="A25741" s="4" t="s">
        <v>32404</v>
      </c>
      <c r="B25741" s="4" t="s">
        <v>32406</v>
      </c>
      <c r="C25741" s="5" t="str">
        <f>IFERROR(__xludf.DUMMYFUNCTION("GOOGLETRANSLATE(B25741,""en"",""fr"")"),"Ils se saisissent la main et commencent un match de lutte de bras avec l'un criant à l'autre.")</f>
        <v>Ils se saisissent la main et commencent un match de lutte de bras avec l'un criant à l'autre.</v>
      </c>
    </row>
    <row r="25742">
      <c r="A25742" s="4" t="s">
        <v>32404</v>
      </c>
      <c r="B25742" s="4" t="s">
        <v>32407</v>
      </c>
      <c r="C25742" s="5" t="str">
        <f>IFERROR(__xludf.DUMMYFUNCTION("GOOGLETRANSLATE(B25742,""en"",""fr"")"),"L'un gagne presque mais l'autre recule rapidement et gagne en criant et en poussant.")</f>
        <v>L'un gagne presque mais l'autre recule rapidement et gagne en criant et en poussant.</v>
      </c>
    </row>
    <row r="25743">
      <c r="A25743" s="4" t="s">
        <v>32408</v>
      </c>
      <c r="B25743" s="4" t="s">
        <v>32409</v>
      </c>
      <c r="C25743" s="5" t="str">
        <f>IFERROR(__xludf.DUMMYFUNCTION("GOOGLETRANSLATE(B25743,""en"",""fr"")"),"Une femme plus âgée assise à la table en lisant son document.")</f>
        <v>Une femme plus âgée assise à la table en lisant son document.</v>
      </c>
    </row>
    <row r="25744">
      <c r="A25744" s="4" t="s">
        <v>32408</v>
      </c>
      <c r="B25744" s="4" t="s">
        <v>32410</v>
      </c>
      <c r="C25744" s="5" t="str">
        <f>IFERROR(__xludf.DUMMYFUNCTION("GOOGLETRANSLATE(B25744,""en"",""fr"")"),"Son mari vient derrière elle et le lit avec elle.")</f>
        <v>Son mari vient derrière elle et le lit avec elle.</v>
      </c>
    </row>
    <row r="25745">
      <c r="A25745" s="4" t="s">
        <v>32408</v>
      </c>
      <c r="B25745" s="4" t="s">
        <v>32411</v>
      </c>
      <c r="C25745" s="5" t="str">
        <f>IFERROR(__xludf.DUMMYFUNCTION("GOOGLETRANSLATE(B25745,""en"",""fr"")"),"Les couvreurs sont sur le toit en résolvant certains problèmes, mettant de nouveaux bardeaux.")</f>
        <v>Les couvreurs sont sur le toit en résolvant certains problèmes, mettant de nouveaux bardeaux.</v>
      </c>
    </row>
    <row r="25746">
      <c r="A25746" s="4" t="s">
        <v>32408</v>
      </c>
      <c r="B25746" s="4" t="s">
        <v>32412</v>
      </c>
      <c r="C25746" s="5" t="str">
        <f>IFERROR(__xludf.DUMMYFUNCTION("GOOGLETRANSLATE(B25746,""en"",""fr"")"),"Une femme au téléphone avec l'entreprise monte et remet le téléphone à son mari.")</f>
        <v>Une femme au téléphone avec l'entreprise monte et remet le téléphone à son mari.</v>
      </c>
    </row>
    <row r="25747">
      <c r="A25747" s="4" t="s">
        <v>32413</v>
      </c>
      <c r="B25747" s="4" t="s">
        <v>32414</v>
      </c>
      <c r="C25747" s="5" t="str">
        <f>IFERROR(__xludf.DUMMYFUNCTION("GOOGLETRANSLATE(B25747,""en"",""fr"")"),"Un homme entre dans une salle de sport et se plie devant un poids.")</f>
        <v>Un homme entre dans une salle de sport et se plie devant un poids.</v>
      </c>
    </row>
    <row r="25748">
      <c r="A25748" s="4" t="s">
        <v>32413</v>
      </c>
      <c r="B25748" s="4" t="s">
        <v>32415</v>
      </c>
      <c r="C25748" s="5" t="str">
        <f>IFERROR(__xludf.DUMMYFUNCTION("GOOGLETRANSLATE(B25748,""en"",""fr"")"),"L'homme essaie de soulever le poids deux fois et le laisse tomber.")</f>
        <v>L'homme essaie de soulever le poids deux fois et le laisse tomber.</v>
      </c>
    </row>
    <row r="25749">
      <c r="A25749" s="4" t="s">
        <v>32413</v>
      </c>
      <c r="B25749" s="4" t="s">
        <v>32416</v>
      </c>
      <c r="C25749" s="5" t="str">
        <f>IFERROR(__xludf.DUMMYFUNCTION("GOOGLETRANSLATE(B25749,""en"",""fr"")"),"L'homme soulève le poids trois fois et s'éloigne.")</f>
        <v>L'homme soulève le poids trois fois et s'éloigne.</v>
      </c>
    </row>
    <row r="25750">
      <c r="A25750" s="4" t="s">
        <v>32413</v>
      </c>
      <c r="B25750" s="4" t="s">
        <v>32417</v>
      </c>
      <c r="C25750" s="5" t="str">
        <f>IFERROR(__xludf.DUMMYFUNCTION("GOOGLETRANSLATE(B25750,""en"",""fr"")"),"L'homme soulève le poids deux fois.")</f>
        <v>L'homme soulève le poids deux fois.</v>
      </c>
    </row>
    <row r="25751">
      <c r="A25751" s="4" t="s">
        <v>32413</v>
      </c>
      <c r="B25751" s="4" t="s">
        <v>32418</v>
      </c>
      <c r="C25751" s="5" t="str">
        <f>IFERROR(__xludf.DUMMYFUNCTION("GOOGLETRANSLATE(B25751,""en"",""fr"")"),"L'homme soulève le poids trois fois et s'éloigne.")</f>
        <v>L'homme soulève le poids trois fois et s'éloigne.</v>
      </c>
    </row>
    <row r="25752">
      <c r="A25752" s="4" t="s">
        <v>32413</v>
      </c>
      <c r="B25752" s="4" t="s">
        <v>32419</v>
      </c>
      <c r="C25752" s="5" t="str">
        <f>IFERROR(__xludf.DUMMYFUNCTION("GOOGLETRANSLATE(B25752,""en"",""fr"")"),"L'homme soulève le poids de deux dents et élimine sa ceinture de levage de poids.")</f>
        <v>L'homme soulève le poids de deux dents et élimine sa ceinture de levage de poids.</v>
      </c>
    </row>
    <row r="25753">
      <c r="A25753" s="4" t="s">
        <v>32420</v>
      </c>
      <c r="B25753" s="4" t="s">
        <v>32421</v>
      </c>
      <c r="C25753" s="5" t="str">
        <f>IFERROR(__xludf.DUMMYFUNCTION("GOOGLETRANSLATE(B25753,""en"",""fr"")"),"La petite fille est sortie de la pièce.")</f>
        <v>La petite fille est sortie de la pièce.</v>
      </c>
    </row>
    <row r="25754">
      <c r="A25754" s="4" t="s">
        <v>32420</v>
      </c>
      <c r="B25754" s="4" t="s">
        <v>32422</v>
      </c>
      <c r="C25754" s="5" t="str">
        <f>IFERROR(__xludf.DUMMYFUNCTION("GOOGLETRANSLATE(B25754,""en"",""fr"")"),"Le garçon met la bouteille sous le lit et la tient puis la boit.")</f>
        <v>Le garçon met la bouteille sous le lit et la tient puis la boit.</v>
      </c>
    </row>
    <row r="25755">
      <c r="A25755" s="4" t="s">
        <v>32420</v>
      </c>
      <c r="B25755" s="4" t="s">
        <v>32423</v>
      </c>
      <c r="C25755" s="5" t="str">
        <f>IFERROR(__xludf.DUMMYFUNCTION("GOOGLETRANSLATE(B25755,""en"",""fr"")"),"Le garçon est retourné au lit et a fait semblant de dormir pendant que la fille retournait dans la pièce.")</f>
        <v>Le garçon est retourné au lit et a fait semblant de dormir pendant que la fille retournait dans la pièce.</v>
      </c>
    </row>
    <row r="25756">
      <c r="A25756" s="4" t="s">
        <v>32424</v>
      </c>
      <c r="B25756" s="4" t="s">
        <v>32425</v>
      </c>
      <c r="C25756" s="5" t="str">
        <f>IFERROR(__xludf.DUMMYFUNCTION("GOOGLETRANSLATE(B25756,""en"",""fr"")"),"Un grand groupe de personnes se voit errer dans une zone avec une femme qui les dépasse.")</f>
        <v>Un grand groupe de personnes se voit errer dans une zone avec une femme qui les dépasse.</v>
      </c>
    </row>
    <row r="25757">
      <c r="A25757" s="4" t="s">
        <v>32424</v>
      </c>
      <c r="B25757" s="4" t="s">
        <v>32426</v>
      </c>
      <c r="C25757" s="5" t="str">
        <f>IFERROR(__xludf.DUMMYFUNCTION("GOOGLETRANSLATE(B25757,""en"",""fr"")"),"La femme est vue en parlant à la caméra et continue de courir autour de la plage.")</f>
        <v>La femme est vue en parlant à la caméra et continue de courir autour de la plage.</v>
      </c>
    </row>
    <row r="25758">
      <c r="A25758" s="4" t="s">
        <v>32424</v>
      </c>
      <c r="B25758" s="6" t="s">
        <v>32427</v>
      </c>
      <c r="C25758" s="5" t="str">
        <f>IFERROR(__xludf.DUMMYFUNCTION("GOOGLETRANSLATE(B25758,""en"",""fr"")"),"Elle longe la promenade ainsi que les antérieures et se termine avec elle courir une course et être interviewée.")</f>
        <v>Elle longe la promenade ainsi que les antérieures et se termine avec elle courir une course et être interviewée.</v>
      </c>
    </row>
    <row r="25759">
      <c r="A25759" s="4" t="s">
        <v>32428</v>
      </c>
      <c r="B25759" s="4" t="s">
        <v>32429</v>
      </c>
      <c r="C25759" s="5" t="str">
        <f>IFERROR(__xludf.DUMMYFUNCTION("GOOGLETRANSLATE(B25759,""en"",""fr"")"),"On voit des mains de personnes jouer un piano qui s'éloigne de la personne qui joue.")</f>
        <v>On voit des mains de personnes jouer un piano qui s'éloigne de la personne qui joue.</v>
      </c>
    </row>
    <row r="25760">
      <c r="A25760" s="4" t="s">
        <v>32428</v>
      </c>
      <c r="B25760" s="4" t="s">
        <v>32430</v>
      </c>
      <c r="C25760" s="5" t="str">
        <f>IFERROR(__xludf.DUMMYFUNCTION("GOOGLETRANSLATE(B25760,""en"",""fr"")"),"Les gens sont vus souriant et agitent à la caméra pendant que l'homme continue de jouer du piano.")</f>
        <v>Les gens sont vus souriant et agitent à la caméra pendant que l'homme continue de jouer du piano.</v>
      </c>
    </row>
    <row r="25761">
      <c r="A25761" s="4" t="s">
        <v>32428</v>
      </c>
      <c r="B25761" s="4" t="s">
        <v>32431</v>
      </c>
      <c r="C25761" s="5" t="str">
        <f>IFERROR(__xludf.DUMMYFUNCTION("GOOGLETRANSLATE(B25761,""en"",""fr"")"),"La caméra le capture de partout en jouant au piano ainsi que en chantant à la caméra.")</f>
        <v>La caméra le capture de partout en jouant au piano ainsi que en chantant à la caméra.</v>
      </c>
    </row>
    <row r="25762">
      <c r="A25762" s="4" t="s">
        <v>32432</v>
      </c>
      <c r="B25762" s="4" t="s">
        <v>32433</v>
      </c>
      <c r="C25762" s="5" t="str">
        <f>IFERROR(__xludf.DUMMYFUNCTION("GOOGLETRANSLATE(B25762,""en"",""fr"")"),"Une gymnaste portant un justaucorps magenta se produit sur le bar à cheval.")</f>
        <v>Une gymnaste portant un justaucorps magenta se produit sur le bar à cheval.</v>
      </c>
    </row>
    <row r="25763">
      <c r="A25763" s="4" t="s">
        <v>32432</v>
      </c>
      <c r="B25763" s="4" t="s">
        <v>32434</v>
      </c>
      <c r="C25763" s="5" t="str">
        <f>IFERROR(__xludf.DUMMYFUNCTION("GOOGLETRANSLATE(B25763,""en"",""fr"")"),"Il y a un panel de juges assis en face d'elle et l'évaluer.")</f>
        <v>Il y a un panel de juges assis en face d'elle et l'évaluer.</v>
      </c>
    </row>
    <row r="25764">
      <c r="A25764" s="4" t="s">
        <v>32432</v>
      </c>
      <c r="B25764" s="4" t="s">
        <v>32435</v>
      </c>
      <c r="C25764" s="5" t="str">
        <f>IFERROR(__xludf.DUMMYFUNCTION("GOOGLETRANSLATE(B25764,""en"",""fr"")"),"Elle se tient droit sur le bar et fait une torsion et un coup de pouce.")</f>
        <v>Elle se tient droit sur le bar et fait une torsion et un coup de pouce.</v>
      </c>
    </row>
    <row r="25765">
      <c r="A25765" s="4" t="s">
        <v>32432</v>
      </c>
      <c r="B25765" s="4" t="s">
        <v>32436</v>
      </c>
      <c r="C25765" s="5" t="str">
        <f>IFERROR(__xludf.DUMMYFUNCTION("GOOGLETRANSLATE(B25765,""en"",""fr"")"),"Elle continue de faire avec succès des flips avant sur la barre de cheval.")</f>
        <v>Elle continue de faire avec succès des flips avant sur la barre de cheval.</v>
      </c>
    </row>
    <row r="25766">
      <c r="A25766" s="4" t="s">
        <v>32432</v>
      </c>
      <c r="B25766" s="4" t="s">
        <v>32437</v>
      </c>
      <c r="C25766" s="5" t="str">
        <f>IFERROR(__xludf.DUMMYFUNCTION("GOOGLETRANSLATE(B25766,""en"",""fr"")"),"Elle complète son tour après avoir sauté du bar à cheval en faisant un retournement du dos.")</f>
        <v>Elle complète son tour après avoir sauté du bar à cheval en faisant un retournement du dos.</v>
      </c>
    </row>
    <row r="25767">
      <c r="A25767" s="4" t="s">
        <v>32432</v>
      </c>
      <c r="B25767" s="4" t="s">
        <v>32438</v>
      </c>
      <c r="C25767" s="5" t="str">
        <f>IFERROR(__xludf.DUMMYFUNCTION("GOOGLETRANSLATE(B25767,""en"",""fr"")"),"Ensuite, le gymnaste s'éloigne de la zone de la performance.")</f>
        <v>Ensuite, le gymnaste s'éloigne de la zone de la performance.</v>
      </c>
    </row>
    <row r="25768">
      <c r="A25768" s="4" t="s">
        <v>32439</v>
      </c>
      <c r="B25768" s="4" t="s">
        <v>32440</v>
      </c>
      <c r="C25768" s="5" t="str">
        <f>IFERROR(__xludf.DUMMYFUNCTION("GOOGLETRANSLATE(B25768,""en"",""fr"")"),"Plusieurs plans d'un pont sont représentés ainsi qu'un signe et des gens debout sur le rebord.")</f>
        <v>Plusieurs plans d'un pont sont représentés ainsi qu'un signe et des gens debout sur le rebord.</v>
      </c>
    </row>
    <row r="25769">
      <c r="A25769" s="4" t="s">
        <v>32439</v>
      </c>
      <c r="B25769" s="4" t="s">
        <v>32441</v>
      </c>
      <c r="C25769" s="5" t="str">
        <f>IFERROR(__xludf.DUMMYFUNCTION("GOOGLETRANSLATE(B25769,""en"",""fr"")"),"Deux hommes, alors Bungee, sautent du côté du pont et sont montrés se balançant en utilisant leurs jambes.")</f>
        <v>Deux hommes, alors Bungee, sautent du côté du pont et sont montrés se balançant en utilisant leurs jambes.</v>
      </c>
    </row>
    <row r="25770">
      <c r="A25770" s="4" t="s">
        <v>32442</v>
      </c>
      <c r="B25770" s="4" t="s">
        <v>32443</v>
      </c>
      <c r="C25770" s="5" t="str">
        <f>IFERROR(__xludf.DUMMYFUNCTION("GOOGLETRANSLATE(B25770,""en"",""fr"")"),"Un homme est vu parler à la caméra et mène à des coups d'eau bouillonnant dans un pot.")</f>
        <v>Un homme est vu parler à la caméra et mène à des coups d'eau bouillonnant dans un pot.</v>
      </c>
    </row>
    <row r="25771">
      <c r="A25771" s="4" t="s">
        <v>32442</v>
      </c>
      <c r="B25771" s="4" t="s">
        <v>32444</v>
      </c>
      <c r="C25771" s="5" t="str">
        <f>IFERROR(__xludf.DUMMYFUNCTION("GOOGLETRANSLATE(B25771,""en"",""fr"")"),"Il prend une bouchée des pâtes et se termine avec lui toujours souriant à la caméra.")</f>
        <v>Il prend une bouchée des pâtes et se termine avec lui toujours souriant à la caméra.</v>
      </c>
    </row>
    <row r="25772">
      <c r="A25772" s="4" t="s">
        <v>32445</v>
      </c>
      <c r="B25772" s="4" t="s">
        <v>32446</v>
      </c>
      <c r="C25772" s="5" t="str">
        <f>IFERROR(__xludf.DUMMYFUNCTION("GOOGLETRANSLATE(B25772,""en"",""fr"")"),"Un gros plan d'un canapé est vu suivi par une personne marchant dans et hors du cadre.")</f>
        <v>Un gros plan d'un canapé est vu suivi par une personne marchant dans et hors du cadre.</v>
      </c>
    </row>
    <row r="25773">
      <c r="A25773" s="4" t="s">
        <v>32445</v>
      </c>
      <c r="B25773" s="4" t="s">
        <v>32447</v>
      </c>
      <c r="C25773" s="5" t="str">
        <f>IFERROR(__xludf.DUMMYFUNCTION("GOOGLETRANSLATE(B25773,""en"",""fr"")"),"La personne s'assoit alors et tient les pieds.")</f>
        <v>La personne s'assoit alors et tient les pieds.</v>
      </c>
    </row>
    <row r="25774">
      <c r="A25774" s="4" t="s">
        <v>32445</v>
      </c>
      <c r="B25774" s="4" t="s">
        <v>32448</v>
      </c>
      <c r="C25774" s="5" t="str">
        <f>IFERROR(__xludf.DUMMYFUNCTION("GOOGLETRANSLATE(B25774,""en"",""fr"")"),"La personne met ensuite une paire de chaussures et sort du cadre.")</f>
        <v>La personne met ensuite une paire de chaussures et sort du cadre.</v>
      </c>
    </row>
    <row r="25775">
      <c r="A25775" s="4" t="s">
        <v>32449</v>
      </c>
      <c r="B25775" s="4" t="s">
        <v>32450</v>
      </c>
      <c r="C25775" s="5" t="str">
        <f>IFERROR(__xludf.DUMMYFUNCTION("GOOGLETRANSLATE(B25775,""en"",""fr"")"),"Un homme portant une chemise noire est assis et joue de la guitare devant une toile de fond noire.")</f>
        <v>Un homme portant une chemise noire est assis et joue de la guitare devant une toile de fond noire.</v>
      </c>
    </row>
    <row r="25776">
      <c r="A25776" s="4" t="s">
        <v>32449</v>
      </c>
      <c r="B25776" s="4" t="s">
        <v>32451</v>
      </c>
      <c r="C25776" s="5" t="str">
        <f>IFERROR(__xludf.DUMMYFUNCTION("GOOGLETRANSLATE(B25776,""en"",""fr"")"),"Au départ, il commence à jouer la guitare lentement pour trouver le rythme approprié.")</f>
        <v>Au départ, il commence à jouer la guitare lentement pour trouver le rythme approprié.</v>
      </c>
    </row>
    <row r="25777">
      <c r="A25777" s="4" t="s">
        <v>32449</v>
      </c>
      <c r="B25777" s="4" t="s">
        <v>32452</v>
      </c>
      <c r="C25777" s="5" t="str">
        <f>IFERROR(__xludf.DUMMYFUNCTION("GOOGLETRANSLATE(B25777,""en"",""fr"")"),"Qu'il commence à jouer les notes de plus en plus vite.")</f>
        <v>Qu'il commence à jouer les notes de plus en plus vite.</v>
      </c>
    </row>
    <row r="25778">
      <c r="A25778" s="4" t="s">
        <v>32449</v>
      </c>
      <c r="B25778" s="4" t="s">
        <v>32453</v>
      </c>
      <c r="C25778" s="5" t="str">
        <f>IFERROR(__xludf.DUMMYFUNCTION("GOOGLETRANSLATE(B25778,""en"",""fr"")"),"En fin de compte, il regarde la guitare et ajuste ses doigts alors qu'il finit de jouer la chanson.")</f>
        <v>En fin de compte, il regarde la guitare et ajuste ses doigts alors qu'il finit de jouer la chanson.</v>
      </c>
    </row>
    <row r="25779">
      <c r="A25779" s="4" t="s">
        <v>32454</v>
      </c>
      <c r="B25779" s="4" t="s">
        <v>32455</v>
      </c>
      <c r="C25779" s="5" t="str">
        <f>IFERROR(__xludf.DUMMYFUNCTION("GOOGLETRANSLATE(B25779,""en"",""fr"")"),"Nous voyons des gens mettre de l'électronique sur une table de baby-foot.")</f>
        <v>Nous voyons des gens mettre de l'électronique sur une table de baby-foot.</v>
      </c>
    </row>
    <row r="25780">
      <c r="A25780" s="4" t="s">
        <v>32454</v>
      </c>
      <c r="B25780" s="4" t="s">
        <v>32456</v>
      </c>
      <c r="C25780" s="5" t="str">
        <f>IFERROR(__xludf.DUMMYFUNCTION("GOOGLETRANSLATE(B25780,""en"",""fr"")"),"Nous voyons les bars bouger puis voyons deux hommes assis à table.")</f>
        <v>Nous voyons les bars bouger puis voyons deux hommes assis à table.</v>
      </c>
    </row>
    <row r="25781">
      <c r="A25781" s="4" t="s">
        <v>32454</v>
      </c>
      <c r="B25781" s="4" t="s">
        <v>32457</v>
      </c>
      <c r="C25781" s="5" t="str">
        <f>IFERROR(__xludf.DUMMYFUNCTION("GOOGLETRANSLATE(B25781,""en"",""fr"")"),"Nous voyons un groupe de personnes jouant au baby-foot dans une pièce étroite.")</f>
        <v>Nous voyons un groupe de personnes jouant au baby-foot dans une pièce étroite.</v>
      </c>
    </row>
    <row r="25782">
      <c r="A25782" s="4" t="s">
        <v>32458</v>
      </c>
      <c r="B25782" s="4" t="s">
        <v>32459</v>
      </c>
      <c r="C25782" s="5" t="str">
        <f>IFERROR(__xludf.DUMMYFUNCTION("GOOGLETRANSLATE(B25782,""en"",""fr"")"),"Un grand groupe de personnes se tient sur un pont.")</f>
        <v>Un grand groupe de personnes se tient sur un pont.</v>
      </c>
    </row>
    <row r="25783">
      <c r="A25783" s="4" t="s">
        <v>32458</v>
      </c>
      <c r="B25783" s="4" t="s">
        <v>32460</v>
      </c>
      <c r="C25783" s="5" t="str">
        <f>IFERROR(__xludf.DUMMYFUNCTION("GOOGLETRANSLATE(B25783,""en"",""fr"")"),"Ils regardent les eaux rapides en dessous.")</f>
        <v>Ils regardent les eaux rapides en dessous.</v>
      </c>
    </row>
    <row r="25784">
      <c r="A25784" s="4" t="s">
        <v>32458</v>
      </c>
      <c r="B25784" s="4" t="s">
        <v>32461</v>
      </c>
      <c r="C25784" s="5" t="str">
        <f>IFERROR(__xludf.DUMMYFUNCTION("GOOGLETRANSLATE(B25784,""en"",""fr"")"),"Plusieurs personnes sur des canoës traversent le pont, qui est la ligne d'arrivée.")</f>
        <v>Plusieurs personnes sur des canoës traversent le pont, qui est la ligne d'arrivée.</v>
      </c>
    </row>
    <row r="25785">
      <c r="A25785" s="4" t="s">
        <v>32462</v>
      </c>
      <c r="B25785" s="4" t="s">
        <v>32463</v>
      </c>
      <c r="C25785" s="5" t="str">
        <f>IFERROR(__xludf.DUMMYFUNCTION("GOOGLETRANSLATE(B25785,""en"",""fr"")"),"Un modèle portant un bikini ouvre la scène et parle derrière un écran I-Pad.")</f>
        <v>Un modèle portant un bikini ouvre la scène et parle derrière un écran I-Pad.</v>
      </c>
    </row>
    <row r="25786">
      <c r="A25786" s="4" t="s">
        <v>32462</v>
      </c>
      <c r="B25786" s="4" t="s">
        <v>32464</v>
      </c>
      <c r="C25786" s="5" t="str">
        <f>IFERROR(__xludf.DUMMYFUNCTION("GOOGLETRANSLATE(B25786,""en"",""fr"")"),"Un repas est cuit dans une poêle.")</f>
        <v>Un repas est cuit dans une poêle.</v>
      </c>
    </row>
    <row r="25787">
      <c r="A25787" s="4" t="s">
        <v>32462</v>
      </c>
      <c r="B25787" s="4" t="s">
        <v>32465</v>
      </c>
      <c r="C25787" s="5" t="str">
        <f>IFERROR(__xludf.DUMMYFUNCTION("GOOGLETRANSLATE(B25787,""en"",""fr"")"),"Les gens roulent sur un bateau et attrapent du poisson.")</f>
        <v>Les gens roulent sur un bateau et attrapent du poisson.</v>
      </c>
    </row>
    <row r="25788">
      <c r="A25788" s="4" t="s">
        <v>32462</v>
      </c>
      <c r="B25788" s="4" t="s">
        <v>32466</v>
      </c>
      <c r="C25788" s="5" t="str">
        <f>IFERROR(__xludf.DUMMYFUNCTION("GOOGLETRANSLATE(B25788,""en"",""fr"")"),"Les surfeurs conduisent de grandes vagues dans l'océan.")</f>
        <v>Les surfeurs conduisent de grandes vagues dans l'océan.</v>
      </c>
    </row>
    <row r="25789">
      <c r="A25789" s="4" t="s">
        <v>32462</v>
      </c>
      <c r="B25789" s="4" t="s">
        <v>32467</v>
      </c>
      <c r="C25789" s="5" t="str">
        <f>IFERROR(__xludf.DUMMYFUNCTION("GOOGLETRANSLATE(B25789,""en"",""fr"")"),"Les jet skis tirent des surfeurs vers des vagues dans l'océan.")</f>
        <v>Les jet skis tirent des surfeurs vers des vagues dans l'océan.</v>
      </c>
    </row>
    <row r="25790">
      <c r="A25790" s="4" t="s">
        <v>32468</v>
      </c>
      <c r="B25790" s="4" t="s">
        <v>32469</v>
      </c>
      <c r="C25790" s="5" t="str">
        <f>IFERROR(__xludf.DUMMYFUNCTION("GOOGLETRANSLATE(B25790,""en"",""fr"")"),"Nous voyons une équipe de plaisanciers dans une compétition dans la mer.")</f>
        <v>Nous voyons une équipe de plaisanciers dans une compétition dans la mer.</v>
      </c>
    </row>
    <row r="25791">
      <c r="A25791" s="4" t="s">
        <v>32468</v>
      </c>
      <c r="B25791" s="4" t="s">
        <v>32470</v>
      </c>
      <c r="C25791" s="5" t="str">
        <f>IFERROR(__xludf.DUMMYFUNCTION("GOOGLETRANSLATE(B25791,""en"",""fr"")"),"Nous voyons la course commencer et les plaisanciers décoller.")</f>
        <v>Nous voyons la course commencer et les plaisanciers décoller.</v>
      </c>
    </row>
    <row r="25792">
      <c r="A25792" s="4" t="s">
        <v>32468</v>
      </c>
      <c r="B25792" s="4" t="s">
        <v>32471</v>
      </c>
      <c r="C25792" s="5" t="str">
        <f>IFERROR(__xludf.DUMMYFUNCTION("GOOGLETRANSLATE(B25792,""en"",""fr"")"),"Ils passent un petit bateau dans l'eau.")</f>
        <v>Ils passent un petit bateau dans l'eau.</v>
      </c>
    </row>
    <row r="25793">
      <c r="A25793" s="4" t="s">
        <v>32468</v>
      </c>
      <c r="B25793" s="4" t="s">
        <v>32472</v>
      </c>
      <c r="C25793" s="5" t="str">
        <f>IFERROR(__xludf.DUMMYFUNCTION("GOOGLETRANSLATE(B25793,""en"",""fr"")"),"Nous voyons une équipe de près.")</f>
        <v>Nous voyons une équipe de près.</v>
      </c>
    </row>
    <row r="25794">
      <c r="A25794" s="4" t="s">
        <v>32468</v>
      </c>
      <c r="B25794" s="4" t="s">
        <v>32473</v>
      </c>
      <c r="C25794" s="5" t="str">
        <f>IFERROR(__xludf.DUMMYFUNCTION("GOOGLETRANSLATE(B25794,""en"",""fr"")"),"Nous voyons une planche de score à l'écran.")</f>
        <v>Nous voyons une planche de score à l'écran.</v>
      </c>
    </row>
    <row r="25795">
      <c r="A25795" s="4" t="s">
        <v>32468</v>
      </c>
      <c r="B25795" s="4" t="s">
        <v>32474</v>
      </c>
      <c r="C25795" s="5" t="str">
        <f>IFERROR(__xludf.DUMMYFUNCTION("GOOGLETRANSLATE(B25795,""en"",""fr"")"),"Les coureurs passent une bannière et nous revoyons l'équipe verte.")</f>
        <v>Les coureurs passent une bannière et nous revoyons l'équipe verte.</v>
      </c>
    </row>
    <row r="25796">
      <c r="A25796" s="4" t="s">
        <v>32468</v>
      </c>
      <c r="B25796" s="4" t="s">
        <v>32475</v>
      </c>
      <c r="C25796" s="5" t="str">
        <f>IFERROR(__xludf.DUMMYFUNCTION("GOOGLETRANSLATE(B25796,""en"",""fr"")"),"La course est terminée et nous voyons la foule applaudir.")</f>
        <v>La course est terminée et nous voyons la foule applaudir.</v>
      </c>
    </row>
    <row r="25797">
      <c r="A25797" s="4" t="s">
        <v>32468</v>
      </c>
      <c r="B25797" s="4" t="s">
        <v>32476</v>
      </c>
      <c r="C25797" s="5" t="str">
        <f>IFERROR(__xludf.DUMMYFUNCTION("GOOGLETRANSLATE(B25797,""en"",""fr"")"),"Nous voyons les derniers scores et la scène se termine.")</f>
        <v>Nous voyons les derniers scores et la scène se termine.</v>
      </c>
    </row>
    <row r="25798">
      <c r="A25798" s="4" t="s">
        <v>32477</v>
      </c>
      <c r="B25798" s="6" t="s">
        <v>32478</v>
      </c>
      <c r="C25798" s="5" t="str">
        <f>IFERROR(__xludf.DUMMYFUNCTION("GOOGLETRANSLATE(B25798,""en"",""fr"")"),"Une femme est vue en organisant un segment d'actualités avec un homme et mène à une personne sortir un chien et caresser le chien.")</f>
        <v>Une femme est vue en organisant un segment d'actualités avec un homme et mène à une personne sortir un chien et caresser le chien.</v>
      </c>
    </row>
    <row r="25799">
      <c r="A25799" s="4" t="s">
        <v>32477</v>
      </c>
      <c r="B25799" s="6" t="s">
        <v>32479</v>
      </c>
      <c r="C25799" s="5" t="str">
        <f>IFERROR(__xludf.DUMMYFUNCTION("GOOGLETRANSLATE(B25799,""en"",""fr"")"),"L'homme montre ensuite comment soigner correctement le chien pendant que l'hôte continue de parler et de caresser le chien.")</f>
        <v>L'homme montre ensuite comment soigner correctement le chien pendant que l'hôte continue de parler et de caresser le chien.</v>
      </c>
    </row>
    <row r="25800">
      <c r="A25800" s="4" t="s">
        <v>32480</v>
      </c>
      <c r="B25800" s="4" t="s">
        <v>32481</v>
      </c>
      <c r="C25800" s="5" t="str">
        <f>IFERROR(__xludf.DUMMYFUNCTION("GOOGLETRANSLATE(B25800,""en"",""fr"")"),"Un homme est vu rouler sur le sillage d'eau à bord d'un bateau.")</f>
        <v>Un homme est vu rouler sur le sillage d'eau à bord d'un bateau.</v>
      </c>
    </row>
    <row r="25801">
      <c r="A25801" s="4" t="s">
        <v>32480</v>
      </c>
      <c r="B25801" s="4" t="s">
        <v>32482</v>
      </c>
      <c r="C25801" s="5" t="str">
        <f>IFERROR(__xludf.DUMMYFUNCTION("GOOGLETRANSLATE(B25801,""en"",""fr"")"),"L'homme est montré dans plusieurs clips effectuant une astuce avec des effets de la caméra pointent vers ses mouvements.")</f>
        <v>L'homme est montré dans plusieurs clips effectuant une astuce avec des effets de la caméra pointent vers ses mouvements.</v>
      </c>
    </row>
    <row r="25802">
      <c r="A25802" s="4" t="s">
        <v>32480</v>
      </c>
      <c r="B25802" s="4" t="s">
        <v>32483</v>
      </c>
      <c r="C25802" s="5" t="str">
        <f>IFERROR(__xludf.DUMMYFUNCTION("GOOGLETRANSLATE(B25802,""en"",""fr"")"),"L'homme continue de rouler sur le tableau tandis que le texte semble donner des instructions.")</f>
        <v>L'homme continue de rouler sur le tableau tandis que le texte semble donner des instructions.</v>
      </c>
    </row>
    <row r="25803">
      <c r="A25803" s="4" t="s">
        <v>32484</v>
      </c>
      <c r="B25803" s="4" t="s">
        <v>32485</v>
      </c>
      <c r="C25803" s="5" t="str">
        <f>IFERROR(__xludf.DUMMYFUNCTION("GOOGLETRANSLATE(B25803,""en"",""fr"")"),"Il y a un grand gymnase où trois gymnastes effectuent une gymnastique.")</f>
        <v>Il y a un grand gymnase où trois gymnastes effectuent une gymnastique.</v>
      </c>
    </row>
    <row r="25804">
      <c r="A25804" s="4" t="s">
        <v>32484</v>
      </c>
      <c r="B25804" s="6" t="s">
        <v>32486</v>
      </c>
      <c r="C25804" s="5" t="str">
        <f>IFERROR(__xludf.DUMMYFUNCTION("GOOGLETRANSLATE(B25804,""en"",""fr"")"),"Il y a une gymnaste dans les justaucorps orange qui se balancent sur la tige et une autre gymnaste à côté de lui se balançant également sur les barres.")</f>
        <v>Il y a une gymnaste dans les justaucorps orange qui se balancent sur la tige et une autre gymnaste à côté de lui se balançant également sur les barres.</v>
      </c>
    </row>
    <row r="25805">
      <c r="A25805" s="4" t="s">
        <v>32484</v>
      </c>
      <c r="B25805" s="6" t="s">
        <v>32487</v>
      </c>
      <c r="C25805" s="5" t="str">
        <f>IFERROR(__xludf.DUMMYFUNCTION("GOOGLETRANSLATE(B25805,""en"",""fr"")"),"Ils se balancent tous les deux à l'envers et se tiennent sur leurs mains pendant quelques secondes avant de se balancer.")</f>
        <v>Ils se balancent tous les deux à l'envers et se tiennent sur leurs mains pendant quelques secondes avant de se balancer.</v>
      </c>
    </row>
    <row r="25806">
      <c r="A25806" s="4" t="s">
        <v>32484</v>
      </c>
      <c r="B25806" s="4" t="s">
        <v>32488</v>
      </c>
      <c r="C25806" s="5" t="str">
        <f>IFERROR(__xludf.DUMMYFUNCTION("GOOGLETRANSLATE(B25806,""en"",""fr"")"),"Le troisième gymnaste se produit derrière eux, faisant des flips avant et arrière.")</f>
        <v>Le troisième gymnaste se produit derrière eux, faisant des flips avant et arrière.</v>
      </c>
    </row>
    <row r="25807">
      <c r="A25807" s="4" t="s">
        <v>32484</v>
      </c>
      <c r="B25807" s="6" t="s">
        <v>32489</v>
      </c>
      <c r="C25807" s="5" t="str">
        <f>IFERROR(__xludf.DUMMYFUNCTION("GOOGLETRANSLATE(B25807,""en"",""fr"")"),"La gymnaste dans les justaucorps orange fait une autre balançoire avant, puis descend les barreaux et s'éloigne.")</f>
        <v>La gymnaste dans les justaucorps orange fait une autre balançoire avant, puis descend les barreaux et s'éloigne.</v>
      </c>
    </row>
    <row r="25808">
      <c r="A25808" s="4" t="s">
        <v>32490</v>
      </c>
      <c r="B25808" s="4" t="s">
        <v>32491</v>
      </c>
      <c r="C25808" s="5" t="str">
        <f>IFERROR(__xludf.DUMMYFUNCTION("GOOGLETRANSLATE(B25808,""en"",""fr"")"),"Une femme noire est représentée dans une pièce avec une écharpe noire autour de sa tête.")</f>
        <v>Une femme noire est représentée dans une pièce avec une écharpe noire autour de sa tête.</v>
      </c>
    </row>
    <row r="25809">
      <c r="A25809" s="4" t="s">
        <v>32490</v>
      </c>
      <c r="B25809" s="4" t="s">
        <v>32492</v>
      </c>
      <c r="C25809" s="5" t="str">
        <f>IFERROR(__xludf.DUMMYFUNCTION("GOOGLETRANSLATE(B25809,""en"",""fr"")"),"Les taches noires sur son visage sont ensuite zoomées et elle commence à appliquer quelque chose dessus.")</f>
        <v>Les taches noires sur son visage sont ensuite zoomées et elle commence à appliquer quelque chose dessus.</v>
      </c>
    </row>
    <row r="25810">
      <c r="A25810" s="4" t="s">
        <v>32490</v>
      </c>
      <c r="B25810" s="6" t="s">
        <v>32493</v>
      </c>
      <c r="C25810" s="5" t="str">
        <f>IFERROR(__xludf.DUMMYFUNCTION("GOOGLETRANSLATE(B25810,""en"",""fr"")"),"Ensuite, elle prend du spray et cela rend sa peau extrêmement grasse et elle continue de parler jusqu'à la fin de la vidéo.")</f>
        <v>Ensuite, elle prend du spray et cela rend sa peau extrêmement grasse et elle continue de parler jusqu'à la fin de la vidéo.</v>
      </c>
    </row>
    <row r="25811">
      <c r="A25811" s="4" t="s">
        <v>32494</v>
      </c>
      <c r="B25811" s="4" t="s">
        <v>32495</v>
      </c>
      <c r="C25811" s="5" t="str">
        <f>IFERROR(__xludf.DUMMYFUNCTION("GOOGLETRANSLATE(B25811,""en"",""fr"")"),"Nous voyons un arbre avec des feuilles souffler dans le vent.")</f>
        <v>Nous voyons un arbre avec des feuilles souffler dans le vent.</v>
      </c>
    </row>
    <row r="25812">
      <c r="A25812" s="4" t="s">
        <v>32494</v>
      </c>
      <c r="B25812" s="4" t="s">
        <v>32496</v>
      </c>
      <c r="C25812" s="5" t="str">
        <f>IFERROR(__xludf.DUMMYFUNCTION("GOOGLETRANSLATE(B25812,""en"",""fr"")"),"Un homme ratisse sa cour et parle à la caméra.")</f>
        <v>Un homme ratisse sa cour et parle à la caméra.</v>
      </c>
    </row>
    <row r="25813">
      <c r="A25813" s="4" t="s">
        <v>32494</v>
      </c>
      <c r="B25813" s="4" t="s">
        <v>32497</v>
      </c>
      <c r="C25813" s="5" t="str">
        <f>IFERROR(__xludf.DUMMYFUNCTION("GOOGLETRANSLATE(B25813,""en"",""fr"")"),"L'homme choisit un râteau de quatre.")</f>
        <v>L'homme choisit un râteau de quatre.</v>
      </c>
    </row>
    <row r="25814">
      <c r="A25814" s="4" t="s">
        <v>32494</v>
      </c>
      <c r="B25814" s="4" t="s">
        <v>32498</v>
      </c>
      <c r="C25814" s="5" t="str">
        <f>IFERROR(__xludf.DUMMYFUNCTION("GOOGLETRANSLATE(B25814,""en"",""fr"")"),"L'homme jette de l'herbe dans les ordures.")</f>
        <v>L'homme jette de l'herbe dans les ordures.</v>
      </c>
    </row>
    <row r="25815">
      <c r="A25815" s="4" t="s">
        <v>32494</v>
      </c>
      <c r="B25815" s="4" t="s">
        <v>32499</v>
      </c>
      <c r="C25815" s="5" t="str">
        <f>IFERROR(__xludf.DUMMYFUNCTION("GOOGLETRANSLATE(B25815,""en"",""fr"")"),"L'homme reprend et sent une brindille avec des feuilles.")</f>
        <v>L'homme reprend et sent une brindille avec des feuilles.</v>
      </c>
    </row>
    <row r="25816">
      <c r="A25816" s="4" t="s">
        <v>32494</v>
      </c>
      <c r="B25816" s="4" t="s">
        <v>32500</v>
      </c>
      <c r="C25816" s="5" t="str">
        <f>IFERROR(__xludf.DUMMYFUNCTION("GOOGLETRANSLATE(B25816,""en"",""fr"")"),"L'homme jette son râteau dans la cour.")</f>
        <v>L'homme jette son râteau dans la cour.</v>
      </c>
    </row>
    <row r="25817">
      <c r="A25817" s="4" t="s">
        <v>32494</v>
      </c>
      <c r="B25817" s="4" t="s">
        <v>32501</v>
      </c>
      <c r="C25817" s="5" t="str">
        <f>IFERROR(__xludf.DUMMYFUNCTION("GOOGLETRANSLATE(B25817,""en"",""fr"")"),"L'homme saupouda les feuilles dans la cour et les rasage.")</f>
        <v>L'homme saupouda les feuilles dans la cour et les rasage.</v>
      </c>
    </row>
    <row r="25818">
      <c r="A25818" s="4" t="s">
        <v>32494</v>
      </c>
      <c r="B25818" s="4" t="s">
        <v>32502</v>
      </c>
      <c r="C25818" s="5" t="str">
        <f>IFERROR(__xludf.DUMMYFUNCTION("GOOGLETRANSLATE(B25818,""en"",""fr"")"),"Nous voyons ensuite les brindilles et repartient.")</f>
        <v>Nous voyons ensuite les brindilles et repartient.</v>
      </c>
    </row>
    <row r="25819">
      <c r="A25819" s="4" t="s">
        <v>32503</v>
      </c>
      <c r="B25819" s="4" t="s">
        <v>32504</v>
      </c>
      <c r="C25819" s="5" t="str">
        <f>IFERROR(__xludf.DUMMYFUNCTION("GOOGLETRANSLATE(B25819,""en"",""fr"")"),"Un travailleur masculin se dirige vers un éléphant.")</f>
        <v>Un travailleur masculin se dirige vers un éléphant.</v>
      </c>
    </row>
    <row r="25820">
      <c r="A25820" s="4" t="s">
        <v>32503</v>
      </c>
      <c r="B25820" s="4" t="s">
        <v>32505</v>
      </c>
      <c r="C25820" s="5" t="str">
        <f>IFERROR(__xludf.DUMMYFUNCTION("GOOGLETRANSLATE(B25820,""en"",""fr"")"),"Il donne une fléchette à l'éléphant.")</f>
        <v>Il donne une fléchette à l'éléphant.</v>
      </c>
    </row>
    <row r="25821">
      <c r="A25821" s="4" t="s">
        <v>32503</v>
      </c>
      <c r="B25821" s="4" t="s">
        <v>32506</v>
      </c>
      <c r="C25821" s="5" t="str">
        <f>IFERROR(__xludf.DUMMYFUNCTION("GOOGLETRANSLATE(B25821,""en"",""fr"")"),"L'éléphant et une femme jettent à tour de rôle des fléchettes sur leurs cibles.")</f>
        <v>L'éléphant et une femme jettent à tour de rôle des fléchettes sur leurs cibles.</v>
      </c>
    </row>
    <row r="25822">
      <c r="A25822" s="4" t="s">
        <v>32507</v>
      </c>
      <c r="B25822" s="4" t="s">
        <v>32508</v>
      </c>
      <c r="C25822" s="5" t="str">
        <f>IFERROR(__xludf.DUMMYFUNCTION("GOOGLETRANSLATE(B25822,""en"",""fr"")"),"Un jeune homme est vu assis au fond d'une piscine.")</f>
        <v>Un jeune homme est vu assis au fond d'une piscine.</v>
      </c>
    </row>
    <row r="25823">
      <c r="A25823" s="4" t="s">
        <v>32507</v>
      </c>
      <c r="B25823" s="4" t="s">
        <v>32509</v>
      </c>
      <c r="C25823" s="5" t="str">
        <f>IFERROR(__xludf.DUMMYFUNCTION("GOOGLETRANSLATE(B25823,""en"",""fr"")"),"Il commence à se rapprocher de la caméra en souriant.")</f>
        <v>Il commence à se rapprocher de la caméra en souriant.</v>
      </c>
    </row>
    <row r="25824">
      <c r="A25824" s="4" t="s">
        <v>32507</v>
      </c>
      <c r="B25824" s="4" t="s">
        <v>32510</v>
      </c>
      <c r="C25824" s="5" t="str">
        <f>IFERROR(__xludf.DUMMYFUNCTION("GOOGLETRANSLATE(B25824,""en"",""fr"")"),"Il tombe ensuite sur le mur et se déplace vers le haut.")</f>
        <v>Il tombe ensuite sur le mur et se déplace vers le haut.</v>
      </c>
    </row>
    <row r="25825">
      <c r="A25825" s="4" t="s">
        <v>32511</v>
      </c>
      <c r="B25825" s="4" t="s">
        <v>32512</v>
      </c>
      <c r="C25825" s="5" t="str">
        <f>IFERROR(__xludf.DUMMYFUNCTION("GOOGLETRANSLATE(B25825,""en"",""fr"")"),"Divers tirs sont représentés de l'océan ainsi que des bateaux roulant le long de l'eau.")</f>
        <v>Divers tirs sont représentés de l'océan ainsi que des bateaux roulant le long de l'eau.</v>
      </c>
    </row>
    <row r="25826">
      <c r="A25826" s="4" t="s">
        <v>32511</v>
      </c>
      <c r="B25826" s="4" t="s">
        <v>32513</v>
      </c>
      <c r="C25826" s="5" t="str">
        <f>IFERROR(__xludf.DUMMYFUNCTION("GOOGLETRANSLATE(B25826,""en"",""fr"")"),"Les gens sont vus allongés sur des plages et se parlent et roulent derrière des bateaux.")</f>
        <v>Les gens sont vus allongés sur des plages et se parlent et roulent derrière des bateaux.</v>
      </c>
    </row>
    <row r="25827">
      <c r="A25827" s="4" t="s">
        <v>32511</v>
      </c>
      <c r="B25827" s="4" t="s">
        <v>32514</v>
      </c>
      <c r="C25827" s="5" t="str">
        <f>IFERROR(__xludf.DUMMYFUNCTION("GOOGLETRANSLATE(B25827,""en"",""fr"")"),"Des gros plans de poissons sont vus ainsi que des personnes qui roulent et surfent l'eau.")</f>
        <v>Des gros plans de poissons sont vus ainsi que des personnes qui roulent et surfent l'eau.</v>
      </c>
    </row>
    <row r="25828">
      <c r="A25828" s="4" t="s">
        <v>32515</v>
      </c>
      <c r="B25828" s="4" t="s">
        <v>32516</v>
      </c>
      <c r="C25828" s="5" t="str">
        <f>IFERROR(__xludf.DUMMYFUNCTION("GOOGLETRANSLATE(B25828,""en"",""fr"")"),"Les athlètes effectuent un saut en hauteur avec succès dans un stade plein de gens.")</f>
        <v>Les athlètes effectuent un saut en hauteur avec succès dans un stade plein de gens.</v>
      </c>
    </row>
    <row r="25829">
      <c r="A25829" s="4" t="s">
        <v>32515</v>
      </c>
      <c r="B25829" s="4" t="s">
        <v>32517</v>
      </c>
      <c r="C25829" s="5" t="str">
        <f>IFERROR(__xludf.DUMMYFUNCTION("GOOGLETRANSLATE(B25829,""en"",""fr"")"),"Un athlète saute, mais touchez la tige horizontale.")</f>
        <v>Un athlète saute, mais touchez la tige horizontale.</v>
      </c>
    </row>
    <row r="25830">
      <c r="A25830" s="4" t="s">
        <v>32515</v>
      </c>
      <c r="B25830" s="4" t="s">
        <v>32518</v>
      </c>
      <c r="C25830" s="5" t="str">
        <f>IFERROR(__xludf.DUMMYFUNCTION("GOOGLETRANSLATE(B25830,""en"",""fr"")"),"D'autres athlètes effectuent un saut en hauteur dans une compétition sur le devant un corbeau.")</f>
        <v>D'autres athlètes effectuent un saut en hauteur dans une compétition sur le devant un corbeau.</v>
      </c>
    </row>
    <row r="25831">
      <c r="A25831" s="4" t="s">
        <v>32519</v>
      </c>
      <c r="B25831" s="4" t="s">
        <v>32520</v>
      </c>
      <c r="C25831" s="5" t="str">
        <f>IFERROR(__xludf.DUMMYFUNCTION("GOOGLETRANSLATE(B25831,""en"",""fr"")"),"Une femme marche sur un terrain pour rouler.")</f>
        <v>Une femme marche sur un terrain pour rouler.</v>
      </c>
    </row>
    <row r="25832">
      <c r="A25832" s="4" t="s">
        <v>32519</v>
      </c>
      <c r="B25832" s="4" t="s">
        <v>32521</v>
      </c>
      <c r="C25832" s="5" t="str">
        <f>IFERROR(__xludf.DUMMYFUNCTION("GOOGLETRANSLATE(B25832,""en"",""fr"")"),"La queue des chevaux est tressée et elle porte du rose.")</f>
        <v>La queue des chevaux est tressée et elle porte du rose.</v>
      </c>
    </row>
    <row r="25833">
      <c r="A25833" s="4" t="s">
        <v>32519</v>
      </c>
      <c r="B25833" s="4" t="s">
        <v>32522</v>
      </c>
      <c r="C25833" s="5" t="str">
        <f>IFERROR(__xludf.DUMMYFUNCTION("GOOGLETRANSLATE(B25833,""en"",""fr"")"),"La dame monte sur le cheval et le roule en frappant une balle.")</f>
        <v>La dame monte sur le cheval et le roule en frappant une balle.</v>
      </c>
    </row>
    <row r="25834">
      <c r="A25834" s="4" t="s">
        <v>32519</v>
      </c>
      <c r="B25834" s="4" t="s">
        <v>32523</v>
      </c>
      <c r="C25834" s="5" t="str">
        <f>IFERROR(__xludf.DUMMYFUNCTION("GOOGLETRANSLATE(B25834,""en"",""fr"")"),"La queue des chevaux n'est plus tressée alors qu'ils roulent dans le sable.")</f>
        <v>La queue des chevaux n'est plus tressée alors qu'ils roulent dans le sable.</v>
      </c>
    </row>
    <row r="25835">
      <c r="A25835" s="4" t="s">
        <v>32524</v>
      </c>
      <c r="B25835" s="6" t="s">
        <v>32525</v>
      </c>
      <c r="C25835" s="5" t="str">
        <f>IFERROR(__xludf.DUMMYFUNCTION("GOOGLETRANSLATE(B25835,""en"",""fr"")"),"Trois femmes sont assises dans une pièce derrière la table à tricot des écharpes et des chapeaux avant qu'un logo n'apparaisse.")</f>
        <v>Trois femmes sont assises dans une pièce derrière la table à tricot des écharpes et des chapeaux avant qu'un logo n'apparaisse.</v>
      </c>
    </row>
    <row r="25836">
      <c r="A25836" s="4" t="s">
        <v>32524</v>
      </c>
      <c r="B25836" s="4" t="s">
        <v>32526</v>
      </c>
      <c r="C25836" s="5" t="str">
        <f>IFERROR(__xludf.DUMMYFUNCTION("GOOGLETRANSLATE(B25836,""en"",""fr"")"),"Ils réapparaissent tous et commencent à tricoter un foulard violet pendant qu'ils parlent.")</f>
        <v>Ils réapparaissent tous et commencent à tricoter un foulard violet pendant qu'ils parlent.</v>
      </c>
    </row>
    <row r="25837">
      <c r="A25837" s="4" t="s">
        <v>32524</v>
      </c>
      <c r="B25837" s="4" t="s">
        <v>32527</v>
      </c>
      <c r="C25837" s="5" t="str">
        <f>IFERROR(__xludf.DUMMYFUNCTION("GOOGLETRANSLATE(B25837,""en"",""fr"")"),"Ensuite, chaque femme commence à parler et à montrer des photos de qui il fait le vêtement spécial.")</f>
        <v>Ensuite, chaque femme commence à parler et à montrer des photos de qui il fait le vêtement spécial.</v>
      </c>
    </row>
    <row r="25838">
      <c r="A25838" s="4" t="s">
        <v>32528</v>
      </c>
      <c r="B25838" s="4" t="s">
        <v>32529</v>
      </c>
      <c r="C25838" s="5" t="str">
        <f>IFERROR(__xludf.DUMMYFUNCTION("GOOGLETRANSLATE(B25838,""en"",""fr"")"),"L'homme torse nu fait des craquements.")</f>
        <v>L'homme torse nu fait des craquements.</v>
      </c>
    </row>
    <row r="25839">
      <c r="A25839" s="4" t="s">
        <v>32528</v>
      </c>
      <c r="B25839" s="4" t="s">
        <v>32530</v>
      </c>
      <c r="C25839" s="5" t="str">
        <f>IFERROR(__xludf.DUMMYFUNCTION("GOOGLETRANSLATE(B25839,""en"",""fr"")"),"La femme fait des craquements pendant que ses jambes sont sur une machine.")</f>
        <v>La femme fait des craquements pendant que ses jambes sont sur une machine.</v>
      </c>
    </row>
    <row r="25840">
      <c r="A25840" s="4" t="s">
        <v>32528</v>
      </c>
      <c r="B25840" s="4" t="s">
        <v>32531</v>
      </c>
      <c r="C25840" s="5" t="str">
        <f>IFERROR(__xludf.DUMMYFUNCTION("GOOGLETRANSLATE(B25840,""en"",""fr"")"),"La femme tient les pieds de l'homme alors qu'il craque.")</f>
        <v>La femme tient les pieds de l'homme alors qu'il craque.</v>
      </c>
    </row>
    <row r="25841">
      <c r="A25841" s="4" t="s">
        <v>32528</v>
      </c>
      <c r="B25841" s="4" t="s">
        <v>32532</v>
      </c>
      <c r="C25841" s="5" t="str">
        <f>IFERROR(__xludf.DUMMYFUNCTION("GOOGLETRANSLATE(B25841,""en"",""fr"")"),"L'homme bouge ses jambes pendant qu'il a une grosse boule de yoga sous ses jambes.")</f>
        <v>L'homme bouge ses jambes pendant qu'il a une grosse boule de yoga sous ses jambes.</v>
      </c>
    </row>
    <row r="25842">
      <c r="A25842" s="4" t="s">
        <v>32533</v>
      </c>
      <c r="B25842" s="4" t="s">
        <v>32534</v>
      </c>
      <c r="C25842" s="5" t="str">
        <f>IFERROR(__xludf.DUMMYFUNCTION("GOOGLETRANSLATE(B25842,""en"",""fr"")"),"Deux motards conduisent leurs vélos à moteur à travers un terrain accidenté.")</f>
        <v>Deux motards conduisent leurs vélos à moteur à travers un terrain accidenté.</v>
      </c>
    </row>
    <row r="25843">
      <c r="A25843" s="4" t="s">
        <v>32533</v>
      </c>
      <c r="B25843" s="4" t="s">
        <v>32535</v>
      </c>
      <c r="C25843" s="5" t="str">
        <f>IFERROR(__xludf.DUMMYFUNCTION("GOOGLETRANSLATE(B25843,""en"",""fr"")"),"Ils sont vêtus d'un équipement de vélo avec des casques protecteurs et des vêtements.")</f>
        <v>Ils sont vêtus d'un équipement de vélo avec des casques protecteurs et des vêtements.</v>
      </c>
    </row>
    <row r="25844">
      <c r="A25844" s="4" t="s">
        <v>32533</v>
      </c>
      <c r="B25844" s="4" t="s">
        <v>32536</v>
      </c>
      <c r="C25844" s="5" t="str">
        <f>IFERROR(__xludf.DUMMYFUNCTION("GOOGLETRANSLATE(B25844,""en"",""fr"")"),"Ils vont sur des pentes vallonnées et un terrain inégal sur leurs motos.")</f>
        <v>Ils vont sur des pentes vallonnées et un terrain inégal sur leurs motos.</v>
      </c>
    </row>
    <row r="25845">
      <c r="A25845" s="4" t="s">
        <v>32533</v>
      </c>
      <c r="B25845" s="4" t="s">
        <v>32537</v>
      </c>
      <c r="C25845" s="5" t="str">
        <f>IFERROR(__xludf.DUMMYFUNCTION("GOOGLETRANSLATE(B25845,""en"",""fr"")"),"Ils passent par des routes de terre extrêmement raides et dangereuses à grande vitesse.")</f>
        <v>Ils passent par des routes de terre extrêmement raides et dangereuses à grande vitesse.</v>
      </c>
    </row>
    <row r="25846">
      <c r="A25846" s="4" t="s">
        <v>32533</v>
      </c>
      <c r="B25846" s="4" t="s">
        <v>32538</v>
      </c>
      <c r="C25846" s="5" t="str">
        <f>IFERROR(__xludf.DUMMYFUNCTION("GOOGLETRANSLATE(B25846,""en"",""fr"")"),"Ils passent également en revue des rampes créées sur le chemin de terre.")</f>
        <v>Ils passent également en revue des rampes créées sur le chemin de terre.</v>
      </c>
    </row>
    <row r="25847">
      <c r="A25847" s="4" t="s">
        <v>32533</v>
      </c>
      <c r="B25847" s="4" t="s">
        <v>32539</v>
      </c>
      <c r="C25847" s="5" t="str">
        <f>IFERROR(__xludf.DUMMYFUNCTION("GOOGLETRANSLATE(B25847,""en"",""fr"")"),"Ils continuent de faire du vélo à travers la saleté à grande vitesse car ils créent un nuage de poussière derrière eux.")</f>
        <v>Ils continuent de faire du vélo à travers la saleté à grande vitesse car ils créent un nuage de poussière derrière eux.</v>
      </c>
    </row>
    <row r="25848">
      <c r="A25848" s="4" t="s">
        <v>32540</v>
      </c>
      <c r="B25848" s="6" t="s">
        <v>32541</v>
      </c>
      <c r="C25848" s="5" t="str">
        <f>IFERROR(__xludf.DUMMYFUNCTION("GOOGLETRANSLATE(B25848,""en"",""fr"")"),"Un écran noir apparaît et un triangle noir avec des lumières bleues et vertes illuminantes apparaissant dans le lettrage de fantaisie du milieu et rouge apparaît au milieu et lisez ""Lovey's Nails"".")</f>
        <v>Un écran noir apparaît et un triangle noir avec des lumières bleues et vertes illuminantes apparaissant dans le lettrage de fantaisie du milieu et rouge apparaît au milieu et lisez "Lovey's Nails".</v>
      </c>
    </row>
    <row r="25849">
      <c r="A25849" s="4" t="s">
        <v>32540</v>
      </c>
      <c r="B25849" s="6" t="s">
        <v>32542</v>
      </c>
      <c r="C25849" s="5" t="str">
        <f>IFERROR(__xludf.DUMMYFUNCTION("GOOGLETRANSLATE(B25849,""en"",""fr"")"),"Plus de lettrage apparaît sur différents écrans noirs et ensemble, ils lisent des ""ongles maléfiques"" et ""pour une utilisation plus facile à utiliser des pointes de ongles si vous avez des puntas rojas si tiennes américains"".")</f>
        <v>Plus de lettrage apparaît sur différents écrans noirs et ensemble, ils lisent des "ongles maléfiques" et "pour une utilisation plus facile à utiliser des pointes de ongles si vous avez des puntas rojas si tiennes américains".</v>
      </c>
    </row>
    <row r="25850">
      <c r="A25850" s="4" t="s">
        <v>32540</v>
      </c>
      <c r="B25850" s="6" t="s">
        <v>32543</v>
      </c>
      <c r="C25850" s="5" t="str">
        <f>IFERROR(__xludf.DUMMYFUNCTION("GOOGLETRANSLATE(B25850,""en"",""fr"")"),"La femme retire maintenant le vernis à ongles de ses ongles sur sa main gauche, applique de l'huile, puis super colle de faux ongles sur sa main gauche et coupe les faux ongles à plomb dans une forme pointue.")</f>
        <v>La femme retire maintenant le vernis à ongles de ses ongles sur sa main gauche, applique de l'huile, puis super colle de faux ongles sur sa main gauche et coupe les faux ongles à plomb dans une forme pointue.</v>
      </c>
    </row>
    <row r="25851">
      <c r="A25851" s="4" t="s">
        <v>32540</v>
      </c>
      <c r="B25851" s="6" t="s">
        <v>32544</v>
      </c>
      <c r="C25851" s="5" t="str">
        <f>IFERROR(__xludf.DUMMYFUNCTION("GOOGLETRANSLATE(B25851,""en"",""fr"")"),"La femme ouvre alors un petit récipient de liquide rouge épais, prend un pinceau et l'applique à ses faux ongles pointus à pendaison et applique quelques couches sur chaque faux clou à plomb, puis une fois le rouge séché, elle applique ensuite le liquide "&amp;"épais coloré de la chair Sur l'ensemble de l'ongle, il y a les pointes rouges, les façonne, les fichiers, les ponçonne, puis les brosses de la poudre avec une brosse.")</f>
        <v>La femme ouvre alors un petit récipient de liquide rouge épais, prend un pinceau et l'applique à ses faux ongles pointus à pendaison et applique quelques couches sur chaque faux clou à plomb, puis une fois le rouge séché, elle applique ensuite le liquide épais coloré de la chair Sur l'ensemble de l'ongle, il y a les pointes rouges, les façonne, les fichiers, les ponçonne, puis les brosses de la poudre avec une brosse.</v>
      </c>
    </row>
    <row r="25852">
      <c r="A25852" s="4" t="s">
        <v>32540</v>
      </c>
      <c r="B25852" s="6" t="s">
        <v>32545</v>
      </c>
      <c r="C25852" s="5" t="str">
        <f>IFERROR(__xludf.DUMMYFUNCTION("GOOGLETRANSLATE(B25852,""en"",""fr"")"),"La femme peint ensuite le haut des ongles avec une couche claire, puis retourne les ongles et peint également le dessous et met ses deux mains pour montrer à quoi elle ressemble sur le dessous ainsi que le haut.")</f>
        <v>La femme peint ensuite le haut des ongles avec une couche claire, puis retourne les ongles et peint également le dessous et met ses deux mains pour montrer à quoi elle ressemble sur le dessous ainsi que le haut.</v>
      </c>
    </row>
    <row r="25853">
      <c r="A25853" s="4" t="s">
        <v>32540</v>
      </c>
      <c r="B25853" s="6" t="s">
        <v>32546</v>
      </c>
      <c r="C25853" s="5" t="str">
        <f>IFERROR(__xludf.DUMMYFUNCTION("GOOGLETRANSLATE(B25853,""en"",""fr"")"),"La femme montre maintenant un gros plan de son visage alors qu'elle montre le près de son visage, puis tient un rouge à lèvres MAC qui s'appelle ""Russian Red"" et elle l'applique à ses lèvres puis sourit et montre ses ongles et lèvres nouvellement faits "&amp;"par le montrant à quelques angles, puis en terminant avec des images encore tirées et le mot Shio sur le dernier coup encore.")</f>
        <v>La femme montre maintenant un gros plan de son visage alors qu'elle montre le près de son visage, puis tient un rouge à lèvres MAC qui s'appelle "Russian Red" et elle l'applique à ses lèvres puis sourit et montre ses ongles et lèvres nouvellement faits par le montrant à quelques angles, puis en terminant avec des images encore tirées et le mot Shio sur le dernier coup encore.</v>
      </c>
    </row>
    <row r="25854">
      <c r="A25854" s="4" t="s">
        <v>32547</v>
      </c>
      <c r="B25854" s="6" t="s">
        <v>32548</v>
      </c>
      <c r="C25854" s="5" t="str">
        <f>IFERROR(__xludf.DUMMYFUNCTION("GOOGLETRANSLATE(B25854,""en"",""fr"")"),"Deux équipes jouent au hockey sur glace, l'équipe blanche marque et les gens des Bleaches applaudissent, puis les équipes rouges marquent pour son équipe, puis ils continuent de jouer.")</f>
        <v>Deux équipes jouent au hockey sur glace, l'équipe blanche marque et les gens des Bleaches applaudissent, puis les équipes rouges marquent pour son équipe, puis ils continuent de jouer.</v>
      </c>
    </row>
    <row r="25855">
      <c r="A25855" s="4" t="s">
        <v>32547</v>
      </c>
      <c r="B25855" s="4" t="s">
        <v>32549</v>
      </c>
      <c r="C25855" s="5" t="str">
        <f>IFERROR(__xludf.DUMMYFUNCTION("GOOGLETRANSLATE(B25855,""en"",""fr"")"),"L'équipe blanche marque et les joueurs s'embrassent, applaudit la foule.")</f>
        <v>L'équipe blanche marque et les joueurs s'embrassent, applaudit la foule.</v>
      </c>
    </row>
    <row r="25856">
      <c r="A25856" s="4" t="s">
        <v>32547</v>
      </c>
      <c r="B25856" s="4" t="s">
        <v>32550</v>
      </c>
      <c r="C25856" s="5" t="str">
        <f>IFERROR(__xludf.DUMMYFUNCTION("GOOGLETRANSLATE(B25856,""en"",""fr"")"),"Après le score de l'équipe rouge.")</f>
        <v>Après le score de l'équipe rouge.</v>
      </c>
    </row>
    <row r="25857">
      <c r="A25857" s="4" t="s">
        <v>32547</v>
      </c>
      <c r="B25857" s="4" t="s">
        <v>32551</v>
      </c>
      <c r="C25857" s="5" t="str">
        <f>IFERROR(__xludf.DUMMYFUNCTION("GOOGLETRANSLATE(B25857,""en"",""fr"")"),"Les joueurs se rendent dans les vestiaires en mi-temps.")</f>
        <v>Les joueurs se rendent dans les vestiaires en mi-temps.</v>
      </c>
    </row>
    <row r="25858">
      <c r="A25858" s="4" t="s">
        <v>32547</v>
      </c>
      <c r="B25858" s="4" t="s">
        <v>32552</v>
      </c>
      <c r="C25858" s="5" t="str">
        <f>IFERROR(__xludf.DUMMYFUNCTION("GOOGLETRANSLATE(B25858,""en"",""fr"")"),"Ensuite, les joueurs continuent de jouer et l'équipe rouge marque et remporte la compétition.")</f>
        <v>Ensuite, les joueurs continuent de jouer et l'équipe rouge marque et remporte la compétition.</v>
      </c>
    </row>
    <row r="25859">
      <c r="A25859" s="4" t="s">
        <v>32553</v>
      </c>
      <c r="B25859" s="4" t="s">
        <v>32554</v>
      </c>
      <c r="C25859" s="5" t="str">
        <f>IFERROR(__xludf.DUMMYFUNCTION("GOOGLETRANSLATE(B25859,""en"",""fr"")"),"Les gens jouent de la batterie dans une pièce.")</f>
        <v>Les gens jouent de la batterie dans une pièce.</v>
      </c>
    </row>
    <row r="25860">
      <c r="A25860" s="4" t="s">
        <v>32553</v>
      </c>
      <c r="B25860" s="4" t="s">
        <v>32555</v>
      </c>
      <c r="C25860" s="5" t="str">
        <f>IFERROR(__xludf.DUMMYFUNCTION("GOOGLETRANSLATE(B25860,""en"",""fr"")"),"Ils commencent à marcher d'avant en arrière dans la pièce.")</f>
        <v>Ils commencent à marcher d'avant en arrière dans la pièce.</v>
      </c>
    </row>
    <row r="25861">
      <c r="A25861" s="4" t="s">
        <v>32553</v>
      </c>
      <c r="B25861" s="4" t="s">
        <v>32556</v>
      </c>
      <c r="C25861" s="5" t="str">
        <f>IFERROR(__xludf.DUMMYFUNCTION("GOOGLETRANSLATE(B25861,""en"",""fr"")"),"Une personne à l'arrière joue les symboles.")</f>
        <v>Une personne à l'arrière joue les symboles.</v>
      </c>
    </row>
    <row r="25862">
      <c r="A25862" s="4" t="s">
        <v>32557</v>
      </c>
      <c r="B25862" s="6" t="s">
        <v>32558</v>
      </c>
      <c r="C25862" s="5" t="str">
        <f>IFERROR(__xludf.DUMMYFUNCTION("GOOGLETRANSLATE(B25862,""en"",""fr"")"),"Une caméra se déroule dans une pièce et mène dans une pièce à frotter du papier et à mettre une boîte au milieu.")</f>
        <v>Une caméra se déroule dans une pièce et mène dans une pièce à frotter du papier et à mettre une boîte au milieu.</v>
      </c>
    </row>
    <row r="25863">
      <c r="A25863" s="4" t="s">
        <v>32557</v>
      </c>
      <c r="B25863" s="4" t="s">
        <v>32559</v>
      </c>
      <c r="C25863" s="5" t="str">
        <f>IFERROR(__xludf.DUMMYFUNCTION("GOOGLETRANSLATE(B25863,""en"",""fr"")"),"La femme enveloppe la boîte dans du papier et poussant sur les côtés.")</f>
        <v>La femme enveloppe la boîte dans du papier et poussant sur les côtés.</v>
      </c>
    </row>
    <row r="25864">
      <c r="A25864" s="4" t="s">
        <v>32557</v>
      </c>
      <c r="B25864" s="6" t="s">
        <v>32560</v>
      </c>
      <c r="C25864" s="5" t="str">
        <f>IFERROR(__xludf.DUMMYFUNCTION("GOOGLETRANSLATE(B25864,""en"",""fr"")"),"Elle enregistre les côtés et utilise un ruban pour attacher la boîte et se termine en le déballant et en montrant ce qu'il y a à l'intérieur.")</f>
        <v>Elle enregistre les côtés et utilise un ruban pour attacher la boîte et se termine en le déballant et en montrant ce qu'il y a à l'intérieur.</v>
      </c>
    </row>
    <row r="25865">
      <c r="A25865" s="4" t="s">
        <v>32561</v>
      </c>
      <c r="B25865" s="6" t="s">
        <v>32562</v>
      </c>
      <c r="C25865" s="5" t="str">
        <f>IFERROR(__xludf.DUMMYFUNCTION("GOOGLETRANSLATE(B25865,""en"",""fr"")"),"Le bruit de fraude de la machine à écrire va au début et le titre d'une histoire qui a été tapé est montré.")</f>
        <v>Le bruit de fraude de la machine à écrire va au début et le titre d'une histoire qui a été tapé est montré.</v>
      </c>
    </row>
    <row r="25866">
      <c r="A25866" s="4" t="s">
        <v>32561</v>
      </c>
      <c r="B25866" s="6" t="s">
        <v>32563</v>
      </c>
      <c r="C25866" s="5" t="str">
        <f>IFERROR(__xludf.DUMMYFUNCTION("GOOGLETRANSLATE(B25866,""en"",""fr"")"),"Ensuite, deux hommes se sont montrés pelleter la neige à l'extérieur des statues et du sol et lorsqu'ils ont terminé, quelqu'un tombe au sol.")</f>
        <v>Ensuite, deux hommes se sont montrés pelleter la neige à l'extérieur des statues et du sol et lorsqu'ils ont terminé, quelqu'un tombe au sol.</v>
      </c>
    </row>
    <row r="25867">
      <c r="A25867" s="4" t="s">
        <v>32564</v>
      </c>
      <c r="B25867" s="4" t="s">
        <v>32565</v>
      </c>
      <c r="C25867" s="5" t="str">
        <f>IFERROR(__xludf.DUMMYFUNCTION("GOOGLETRANSLATE(B25867,""en"",""fr"")"),"Les personnes, y compris les agents de sécurité, se tiennent derrière une clôture dans un centre commercial.")</f>
        <v>Les personnes, y compris les agents de sécurité, se tiennent derrière une clôture dans un centre commercial.</v>
      </c>
    </row>
    <row r="25868">
      <c r="A25868" s="4" t="s">
        <v>32564</v>
      </c>
      <c r="B25868" s="4" t="s">
        <v>32566</v>
      </c>
      <c r="C25868" s="5" t="str">
        <f>IFERROR(__xludf.DUMMYFUNCTION("GOOGLETRANSLATE(B25868,""en"",""fr"")"),"Nous voyons un jeune homme dans une veste de fantaisie parler et jeter des fléchettes à travers la pièce.")</f>
        <v>Nous voyons un jeune homme dans une veste de fantaisie parler et jeter des fléchettes à travers la pièce.</v>
      </c>
    </row>
    <row r="25869">
      <c r="A25869" s="4" t="s">
        <v>32564</v>
      </c>
      <c r="B25869" s="4" t="s">
        <v>32567</v>
      </c>
      <c r="C25869" s="5" t="str">
        <f>IFERROR(__xludf.DUMMYFUNCTION("GOOGLETRANSLATE(B25869,""en"",""fr"")"),"L'homme cesse de jeter et se plisse un instant puis continue de lancer.")</f>
        <v>L'homme cesse de jeter et se plisse un instant puis continue de lancer.</v>
      </c>
    </row>
    <row r="25870">
      <c r="A25870" s="4" t="s">
        <v>32564</v>
      </c>
      <c r="B25870" s="4" t="s">
        <v>32568</v>
      </c>
      <c r="C25870" s="5" t="str">
        <f>IFERROR(__xludf.DUMMYFUNCTION("GOOGLETRANSLATE(B25870,""en"",""fr"")"),"Une dame essuie quelque chose du visage de l'homme et l'homme et son entourage commencent à quitter la région.")</f>
        <v>Une dame essuie quelque chose du visage de l'homme et l'homme et son entourage commencent à quitter la région.</v>
      </c>
    </row>
    <row r="25871">
      <c r="A25871" s="4" t="s">
        <v>32569</v>
      </c>
      <c r="B25871" s="4" t="s">
        <v>32570</v>
      </c>
      <c r="C25871" s="5" t="str">
        <f>IFERROR(__xludf.DUMMYFUNCTION("GOOGLETRANSLATE(B25871,""en"",""fr"")"),"L'homme portant un casque bleu est un kayak dans la rivière montrant comment utiliser une rangée.")</f>
        <v>L'homme portant un casque bleu est un kayak dans la rivière montrant comment utiliser une rangée.</v>
      </c>
    </row>
    <row r="25872">
      <c r="A25872" s="4" t="s">
        <v>32569</v>
      </c>
      <c r="B25872" s="4" t="s">
        <v>32571</v>
      </c>
      <c r="C25872" s="5" t="str">
        <f>IFERROR(__xludf.DUMMYFUNCTION("GOOGLETRANSLATE(B25872,""en"",""fr"")"),"L'homme dans la rivière est assis en kayak jaune tenant une rangée.")</f>
        <v>L'homme dans la rivière est assis en kayak jaune tenant une rangée.</v>
      </c>
    </row>
    <row r="25873">
      <c r="A25873" s="4" t="s">
        <v>32569</v>
      </c>
      <c r="B25873" s="4" t="s">
        <v>32572</v>
      </c>
      <c r="C25873" s="5" t="str">
        <f>IFERROR(__xludf.DUMMYFUNCTION("GOOGLETRANSLATE(B25873,""en"",""fr"")"),"L'homme se bat contre le courant dans un kayak.")</f>
        <v>L'homme se bat contre le courant dans un kayak.</v>
      </c>
    </row>
    <row r="25874">
      <c r="A25874" s="4" t="s">
        <v>32573</v>
      </c>
      <c r="B25874" s="4" t="s">
        <v>32574</v>
      </c>
      <c r="C25874" s="5" t="str">
        <f>IFERROR(__xludf.DUMMYFUNCTION("GOOGLETRANSLATE(B25874,""en"",""fr"")"),"Nous voyons une boîte sur le tissu.")</f>
        <v>Nous voyons une boîte sur le tissu.</v>
      </c>
    </row>
    <row r="25875">
      <c r="A25875" s="4" t="s">
        <v>32573</v>
      </c>
      <c r="B25875" s="4" t="s">
        <v>32575</v>
      </c>
      <c r="C25875" s="5" t="str">
        <f>IFERROR(__xludf.DUMMYFUNCTION("GOOGLETRANSLATE(B25875,""en"",""fr"")"),"Une personne enroule la boîte dans le tissu et l'attache.")</f>
        <v>Une personne enroule la boîte dans le tissu et l'attache.</v>
      </c>
    </row>
    <row r="25876">
      <c r="A25876" s="4" t="s">
        <v>32573</v>
      </c>
      <c r="B25876" s="4" t="s">
        <v>32576</v>
      </c>
      <c r="C25876" s="5" t="str">
        <f>IFERROR(__xludf.DUMMYFUNCTION("GOOGLETRANSLATE(B25876,""en"",""fr"")"),"Nous voyons la personne envelopper des bouteilles dans le tissu ensemble.")</f>
        <v>Nous voyons la personne envelopper des bouteilles dans le tissu ensemble.</v>
      </c>
    </row>
    <row r="25877">
      <c r="A25877" s="4" t="s">
        <v>32573</v>
      </c>
      <c r="B25877" s="4" t="s">
        <v>32577</v>
      </c>
      <c r="C25877" s="5" t="str">
        <f>IFERROR(__xludf.DUMMYFUNCTION("GOOGLETRANSLATE(B25877,""en"",""fr"")"),"Ils ont ensuite mis deux bouteilles dans un sac et l'attachent.")</f>
        <v>Ils ont ensuite mis deux bouteilles dans un sac et l'attachent.</v>
      </c>
    </row>
    <row r="25878">
      <c r="A25878" s="4" t="s">
        <v>32573</v>
      </c>
      <c r="B25878" s="4" t="s">
        <v>1380</v>
      </c>
      <c r="C25878" s="5" t="str">
        <f>IFERROR(__xludf.DUMMYFUNCTION("GOOGLETRANSLATE(B25878,""en"",""fr"")"),"Nous voyons ensuite les crédits de fin.")</f>
        <v>Nous voyons ensuite les crédits de fin.</v>
      </c>
    </row>
    <row r="25879">
      <c r="A25879" s="4" t="s">
        <v>32578</v>
      </c>
      <c r="B25879" s="4" t="s">
        <v>32579</v>
      </c>
      <c r="C25879" s="5" t="str">
        <f>IFERROR(__xludf.DUMMYFUNCTION("GOOGLETRANSLATE(B25879,""en"",""fr"")"),"Nous voyons les écrans d'ouverture verts.")</f>
        <v>Nous voyons les écrans d'ouverture verts.</v>
      </c>
    </row>
    <row r="25880">
      <c r="A25880" s="4" t="s">
        <v>32578</v>
      </c>
      <c r="B25880" s="4" t="s">
        <v>32580</v>
      </c>
      <c r="C25880" s="5" t="str">
        <f>IFERROR(__xludf.DUMMYFUNCTION("GOOGLETRANSLATE(B25880,""en"",""fr"")"),"Nous voyons ensuite une personne pelleter la neige avec un poussoir.")</f>
        <v>Nous voyons ensuite une personne pelleter la neige avec un poussoir.</v>
      </c>
    </row>
    <row r="25881">
      <c r="A25881" s="4" t="s">
        <v>32578</v>
      </c>
      <c r="B25881" s="4" t="s">
        <v>32581</v>
      </c>
      <c r="C25881" s="5" t="str">
        <f>IFERROR(__xludf.DUMMYFUNCTION("GOOGLETRANSLATE(B25881,""en"",""fr"")"),"Nous voyons un écran de titre.")</f>
        <v>Nous voyons un écran de titre.</v>
      </c>
    </row>
    <row r="25882">
      <c r="A25882" s="4" t="s">
        <v>32578</v>
      </c>
      <c r="B25882" s="4" t="s">
        <v>32582</v>
      </c>
      <c r="C25882" s="5" t="str">
        <f>IFERROR(__xludf.DUMMYFUNCTION("GOOGLETRANSLATE(B25882,""en"",""fr"")"),"Nous, un homme, labourant une patinoire avec sa pelle.")</f>
        <v>Nous, un homme, labourant une patinoire avec sa pelle.</v>
      </c>
    </row>
    <row r="25883">
      <c r="A25883" s="4" t="s">
        <v>32578</v>
      </c>
      <c r="B25883" s="4" t="s">
        <v>32583</v>
      </c>
      <c r="C25883" s="5" t="str">
        <f>IFERROR(__xludf.DUMMYFUNCTION("GOOGLETRANSLATE(B25883,""en"",""fr"")"),"Nous voyons ensuite l'écran du produit.")</f>
        <v>Nous voyons ensuite l'écran du produit.</v>
      </c>
    </row>
    <row r="25884">
      <c r="A25884" s="4" t="s">
        <v>32578</v>
      </c>
      <c r="B25884" s="4" t="s">
        <v>27504</v>
      </c>
      <c r="C25884" s="5" t="str">
        <f>IFERROR(__xludf.DUMMYFUNCTION("GOOGLETRANSLATE(B25884,""en"",""fr"")"),"Nous voyons un écran de titre de clôture.")</f>
        <v>Nous voyons un écran de titre de clôture.</v>
      </c>
    </row>
    <row r="25885">
      <c r="A25885" s="4" t="s">
        <v>32584</v>
      </c>
      <c r="B25885" s="4" t="s">
        <v>32585</v>
      </c>
      <c r="C25885" s="5" t="str">
        <f>IFERROR(__xludf.DUMMYFUNCTION("GOOGLETRANSLATE(B25885,""en"",""fr"")"),"Une fille en chemise bleue tient un paquet de faux ongles de doigt.")</f>
        <v>Une fille en chemise bleue tient un paquet de faux ongles de doigt.</v>
      </c>
    </row>
    <row r="25886">
      <c r="A25886" s="4" t="s">
        <v>32584</v>
      </c>
      <c r="B25886" s="4" t="s">
        <v>32586</v>
      </c>
      <c r="C25886" s="5" t="str">
        <f>IFERROR(__xludf.DUMMYFUNCTION("GOOGLETRANSLATE(B25886,""en"",""fr"")"),"Elle les colle sur ses ongles.")</f>
        <v>Elle les colle sur ses ongles.</v>
      </c>
    </row>
    <row r="25887">
      <c r="A25887" s="4" t="s">
        <v>32584</v>
      </c>
      <c r="B25887" s="4" t="s">
        <v>32587</v>
      </c>
      <c r="C25887" s="5" t="str">
        <f>IFERROR(__xludf.DUMMYFUNCTION("GOOGLETRANSLATE(B25887,""en"",""fr"")"),"Elle montre ses ongles à la caméra.")</f>
        <v>Elle montre ses ongles à la caméra.</v>
      </c>
    </row>
    <row r="25888">
      <c r="A25888" s="4" t="s">
        <v>32588</v>
      </c>
      <c r="B25888" s="4" t="s">
        <v>32589</v>
      </c>
      <c r="C25888" s="5" t="str">
        <f>IFERROR(__xludf.DUMMYFUNCTION("GOOGLETRANSLATE(B25888,""en"",""fr"")"),"Un groupe de personnes se tiendra devant une table de blackjack.")</f>
        <v>Un groupe de personnes se tiendra devant une table de blackjack.</v>
      </c>
    </row>
    <row r="25889">
      <c r="A25889" s="4" t="s">
        <v>32588</v>
      </c>
      <c r="B25889" s="4" t="s">
        <v>32590</v>
      </c>
      <c r="C25889" s="5" t="str">
        <f>IFERROR(__xludf.DUMMYFUNCTION("GOOGLETRANSLATE(B25889,""en"",""fr"")"),"Le joueur de blackjack place des cartes sur la table.")</f>
        <v>Le joueur de blackjack place des cartes sur la table.</v>
      </c>
    </row>
    <row r="25890">
      <c r="A25890" s="4" t="s">
        <v>32591</v>
      </c>
      <c r="B25890" s="6" t="s">
        <v>32592</v>
      </c>
      <c r="C25890" s="5" t="str">
        <f>IFERROR(__xludf.DUMMYFUNCTION("GOOGLETRANSLATE(B25890,""en"",""fr"")"),"Le liquide est illustré à être versé dans un bol, suivi d'une personne qui tranchant un ananas et de la pomme et les mélangeant dans un bol.")</f>
        <v>Le liquide est illustré à être versé dans un bol, suivi d'une personne qui tranchant un ananas et de la pomme et les mélangeant dans un bol.</v>
      </c>
    </row>
    <row r="25891">
      <c r="A25891" s="4" t="s">
        <v>32591</v>
      </c>
      <c r="B25891" s="6" t="s">
        <v>32593</v>
      </c>
      <c r="C25891" s="5" t="str">
        <f>IFERROR(__xludf.DUMMYFUNCTION("GOOGLETRANSLATE(B25891,""en"",""fr"")"),"La personne coupe ensuite plus de fruits et l'ajoute au bol et le mélange tout autour pour créer un bol de fruits.")</f>
        <v>La personne coupe ensuite plus de fruits et l'ajoute au bol et le mélange tout autour pour créer un bol de fruits.</v>
      </c>
    </row>
    <row r="25892">
      <c r="A25892" s="4" t="s">
        <v>32594</v>
      </c>
      <c r="B25892" s="6" t="s">
        <v>32595</v>
      </c>
      <c r="C25892" s="5" t="str">
        <f>IFERROR(__xludf.DUMMYFUNCTION("GOOGLETRANSLATE(B25892,""en"",""fr"")"),"Une femme est à l'extérieur dans un grand champ vert qui parle, tenant un arc et une flèche devant un papier blanc avec une grande cible.")</f>
        <v>Une femme est à l'extérieur dans un grand champ vert qui parle, tenant un arc et une flèche devant un papier blanc avec une grande cible.</v>
      </c>
    </row>
    <row r="25893">
      <c r="A25893" s="4" t="s">
        <v>32594</v>
      </c>
      <c r="B25893" s="4" t="s">
        <v>32596</v>
      </c>
      <c r="C25893" s="5" t="str">
        <f>IFERROR(__xludf.DUMMYFUNCTION("GOOGLETRANSLATE(B25893,""en"",""fr"")"),"Avant de commencer, elle assemble l'arc dans la flèche et frappe la planche.")</f>
        <v>Avant de commencer, elle assemble l'arc dans la flèche et frappe la planche.</v>
      </c>
    </row>
    <row r="25894">
      <c r="A25894" s="4" t="s">
        <v>32594</v>
      </c>
      <c r="B25894" s="6" t="s">
        <v>32597</v>
      </c>
      <c r="C25894" s="5" t="str">
        <f>IFERROR(__xludf.DUMMYFUNCTION("GOOGLETRANSLATE(B25894,""en"",""fr"")"),"Elle démontre ensuite la bonne façon de remettre l'arc dans leur à nouveau et comment vous devez tenir la flèche avant de la relâcher.")</f>
        <v>Elle démontre ensuite la bonne façon de remettre l'arc dans leur à nouveau et comment vous devez tenir la flèche avant de la relâcher.</v>
      </c>
    </row>
    <row r="25895">
      <c r="A25895" s="4" t="s">
        <v>32594</v>
      </c>
      <c r="B25895" s="4" t="s">
        <v>32598</v>
      </c>
      <c r="C25895" s="5" t="str">
        <f>IFERROR(__xludf.DUMMYFUNCTION("GOOGLETRANSLATE(B25895,""en"",""fr"")"),"Après, une rangée de personnes est montrée et ils commencent tous à tirer sur leurs arcs et leurs flèches.")</f>
        <v>Après, une rangée de personnes est montrée et ils commencent tous à tirer sur leurs arcs et leurs flèches.</v>
      </c>
    </row>
    <row r="25896">
      <c r="A25896" s="4" t="s">
        <v>32599</v>
      </c>
      <c r="B25896" s="6" t="s">
        <v>32600</v>
      </c>
      <c r="C25896" s="5" t="str">
        <f>IFERROR(__xludf.DUMMYFUNCTION("GOOGLETRANSLATE(B25896,""en"",""fr"")"),"Un petit garçon portant un sweat à capuche bleu et jaune et un pantalon de survêtement gris dans un court de tennis en plein air.")</f>
        <v>Un petit garçon portant un sweat à capuche bleu et jaune et un pantalon de survêtement gris dans un court de tennis en plein air.</v>
      </c>
    </row>
    <row r="25897">
      <c r="A25897" s="4" t="s">
        <v>32599</v>
      </c>
      <c r="B25897" s="4" t="s">
        <v>32601</v>
      </c>
      <c r="C25897" s="5" t="str">
        <f>IFERROR(__xludf.DUMMYFUNCTION("GOOGLETRANSLATE(B25897,""en"",""fr"")"),"Il tient une raquette bleue alors qu'il rebondit la balle de tennis jaune et orange sur le terrain.")</f>
        <v>Il tient une raquette bleue alors qu'il rebondit la balle de tennis jaune et orange sur le terrain.</v>
      </c>
    </row>
    <row r="25898">
      <c r="A25898" s="4" t="s">
        <v>32599</v>
      </c>
      <c r="B25898" s="4" t="s">
        <v>32602</v>
      </c>
      <c r="C25898" s="5" t="str">
        <f>IFERROR(__xludf.DUMMYFUNCTION("GOOGLETRANSLATE(B25898,""en"",""fr"")"),"Il commence par son premier service où le ballon frappe le filet.")</f>
        <v>Il commence par son premier service où le ballon frappe le filet.</v>
      </c>
    </row>
    <row r="25899">
      <c r="A25899" s="4" t="s">
        <v>32599</v>
      </c>
      <c r="B25899" s="4" t="s">
        <v>32603</v>
      </c>
      <c r="C25899" s="5" t="str">
        <f>IFERROR(__xludf.DUMMYFUNCTION("GOOGLETRANSLATE(B25899,""en"",""fr"")"),"Puis il prend une autre balle, le rebondit et sert à nouveau.")</f>
        <v>Puis il prend une autre balle, le rebondit et sert à nouveau.</v>
      </c>
    </row>
    <row r="25900">
      <c r="A25900" s="4" t="s">
        <v>32599</v>
      </c>
      <c r="B25900" s="4" t="s">
        <v>32604</v>
      </c>
      <c r="C25900" s="5" t="str">
        <f>IFERROR(__xludf.DUMMYFUNCTION("GOOGLETRANSLATE(B25900,""en"",""fr"")"),"Le ballon passe sur le filet et tombe de l'autre côté du terrain.")</f>
        <v>Le ballon passe sur le filet et tombe de l'autre côté du terrain.</v>
      </c>
    </row>
    <row r="25901">
      <c r="A25901" s="4" t="s">
        <v>32599</v>
      </c>
      <c r="B25901" s="4" t="s">
        <v>32605</v>
      </c>
      <c r="C25901" s="5" t="str">
        <f>IFERROR(__xludf.DUMMYFUNCTION("GOOGLETRANSLATE(B25901,""en"",""fr"")"),"Il obtient une autre balle pour la troisième fois et la laisse tomber de ses mains tout en essayant de servir.")</f>
        <v>Il obtient une autre balle pour la troisième fois et la laisse tomber de ses mains tout en essayant de servir.</v>
      </c>
    </row>
    <row r="25902">
      <c r="A25902" s="4" t="s">
        <v>32606</v>
      </c>
      <c r="B25902" s="4" t="s">
        <v>32607</v>
      </c>
      <c r="C25902" s="5" t="str">
        <f>IFERROR(__xludf.DUMMYFUNCTION("GOOGLETRANSLATE(B25902,""en"",""fr"")"),"Une petite fille est à un jeu de récompenses Dart de parc d'attractions.")</f>
        <v>Une petite fille est à un jeu de récompenses Dart de parc d'attractions.</v>
      </c>
    </row>
    <row r="25903">
      <c r="A25903" s="4" t="s">
        <v>32606</v>
      </c>
      <c r="B25903" s="6" t="s">
        <v>32608</v>
      </c>
      <c r="C25903" s="5" t="str">
        <f>IFERROR(__xludf.DUMMYFUNCTION("GOOGLETRANSLATE(B25903,""en"",""fr"")"),"Une dame qui travaille sur le stand vient et lui demande combien de fléchettes elle aimerait utiliser, elle donne à la fille les fléchettes.")</f>
        <v>Une dame qui travaille sur le stand vient et lui demande combien de fléchettes elle aimerait utiliser, elle donne à la fille les fléchettes.</v>
      </c>
    </row>
    <row r="25904">
      <c r="A25904" s="4" t="s">
        <v>32606</v>
      </c>
      <c r="B25904" s="6" t="s">
        <v>32609</v>
      </c>
      <c r="C25904" s="5" t="str">
        <f>IFERROR(__xludf.DUMMYFUNCTION("GOOGLETRANSLATE(B25904,""en"",""fr"")"),"La fille commence à lancer des fléchettes, elle est capable de frapper un ballon, elle demande de l'aide mais ne l'obtient pas.")</f>
        <v>La fille commence à lancer des fléchettes, elle est capable de frapper un ballon, elle demande de l'aide mais ne l'obtient pas.</v>
      </c>
    </row>
    <row r="25905">
      <c r="A25905" s="4" t="s">
        <v>32610</v>
      </c>
      <c r="B25905" s="4" t="s">
        <v>32611</v>
      </c>
      <c r="C25905" s="5" t="str">
        <f>IFERROR(__xludf.DUMMYFUNCTION("GOOGLETRANSLATE(B25905,""en"",""fr"")"),"Nous voyons le titre sur un fond noir.")</f>
        <v>Nous voyons le titre sur un fond noir.</v>
      </c>
    </row>
    <row r="25906">
      <c r="A25906" s="4" t="s">
        <v>32610</v>
      </c>
      <c r="B25906" s="4" t="s">
        <v>32612</v>
      </c>
      <c r="C25906" s="5" t="str">
        <f>IFERROR(__xludf.DUMMYFUNCTION("GOOGLETRANSLATE(B25906,""en"",""fr"")"),"Nous voyons un couteau et un aigueur et un homme les tenant.")</f>
        <v>Nous voyons un couteau et un aigueur et un homme les tenant.</v>
      </c>
    </row>
    <row r="25907">
      <c r="A25907" s="4" t="s">
        <v>32610</v>
      </c>
      <c r="B25907" s="4" t="s">
        <v>32613</v>
      </c>
      <c r="C25907" s="5" t="str">
        <f>IFERROR(__xludf.DUMMYFUNCTION("GOOGLETRANSLATE(B25907,""en"",""fr"")"),"Nous voyons l'homme couper une tomate et du papier.")</f>
        <v>Nous voyons l'homme couper une tomate et du papier.</v>
      </c>
    </row>
    <row r="25908">
      <c r="A25908" s="4" t="s">
        <v>32610</v>
      </c>
      <c r="B25908" s="4" t="s">
        <v>32614</v>
      </c>
      <c r="C25908" s="5" t="str">
        <f>IFERROR(__xludf.DUMMYFUNCTION("GOOGLETRANSLATE(B25908,""en"",""fr"")"),"La personne utilise des aigrences puis coupe facilement la tomate et le papier.")</f>
        <v>La personne utilise des aigrences puis coupe facilement la tomate et le papier.</v>
      </c>
    </row>
    <row r="25909">
      <c r="A25909" s="4" t="s">
        <v>32610</v>
      </c>
      <c r="B25909" s="4" t="s">
        <v>32615</v>
      </c>
      <c r="C25909" s="5" t="str">
        <f>IFERROR(__xludf.DUMMYFUNCTION("GOOGLETRANSLATE(B25909,""en"",""fr"")"),"Aiguiser un couteau différent et coupe une tomate et nous montre l'ajusteur.")</f>
        <v>Aiguiser un couteau différent et coupe une tomate et nous montre l'ajusteur.</v>
      </c>
    </row>
    <row r="25910">
      <c r="A25910" s="4" t="s">
        <v>32610</v>
      </c>
      <c r="B25910" s="4" t="s">
        <v>19168</v>
      </c>
      <c r="C25910" s="5" t="str">
        <f>IFERROR(__xludf.DUMMYFUNCTION("GOOGLETRANSLATE(B25910,""en"",""fr"")"),"Nous voyons les crédits de fin pour la vidéo.")</f>
        <v>Nous voyons les crédits de fin pour la vidéo.</v>
      </c>
    </row>
    <row r="25911">
      <c r="A25911" s="4" t="s">
        <v>32616</v>
      </c>
      <c r="B25911" s="6" t="s">
        <v>32617</v>
      </c>
      <c r="C25911" s="5" t="str">
        <f>IFERROR(__xludf.DUMMYFUNCTION("GOOGLETRANSLATE(B25911,""en"",""fr"")"),"Une publicité commerciale d'un coupeur de citrouille, d'un couteau à citrouille et d'une lumière de citrouille est montrée à l'aide d'une famille de deux garçons et d'une mère préparant des citrouilles pour la démonstration.")</f>
        <v>Une publicité commerciale d'un coupeur de citrouille, d'un couteau à citrouille et d'une lumière de citrouille est montrée à l'aide d'une famille de deux garçons et d'une mère préparant des citrouilles pour la démonstration.</v>
      </c>
    </row>
    <row r="25912">
      <c r="A25912" s="4" t="s">
        <v>32616</v>
      </c>
      <c r="B25912" s="4" t="s">
        <v>32618</v>
      </c>
      <c r="C25912" s="5" t="str">
        <f>IFERROR(__xludf.DUMMYFUNCTION("GOOGLETRANSLATE(B25912,""en"",""fr"")"),"Un petit garçon est montré à l'aide d'un coupeur de citrouille pour couper les visages en citrouille.")</f>
        <v>Un petit garçon est montré à l'aide d'un coupeur de citrouille pour couper les visages en citrouille.</v>
      </c>
    </row>
    <row r="25913">
      <c r="A25913" s="4" t="s">
        <v>32616</v>
      </c>
      <c r="B25913" s="4" t="s">
        <v>32619</v>
      </c>
      <c r="C25913" s="5" t="str">
        <f>IFERROR(__xludf.DUMMYFUNCTION("GOOGLETRANSLATE(B25913,""en"",""fr"")"),"Le garçon est ensuite montré en sortant une citrouille à l'aide d'un scoop de citrouille.")</f>
        <v>Le garçon est ensuite montré en sortant une citrouille à l'aide d'un scoop de citrouille.</v>
      </c>
    </row>
    <row r="25914">
      <c r="A25914" s="4" t="s">
        <v>32616</v>
      </c>
      <c r="B25914" s="6" t="s">
        <v>32620</v>
      </c>
      <c r="C25914" s="5" t="str">
        <f>IFERROR(__xludf.DUMMYFUNCTION("GOOGLETRANSLATE(B25914,""en"",""fr"")"),"Un garçon est ensuite montré en plaçant une lumière de citrouille à l'intérieur d'une citrouille alors que la mère se penche et sourit entre les deux garçons et les citrouilles finies qui ont maintenant sculpté des visages avec des lumières éclatantes à l"&amp;"'intérieur.")</f>
        <v>Un garçon est ensuite montré en plaçant une lumière de citrouille à l'intérieur d'une citrouille alors que la mère se penche et sourit entre les deux garçons et les citrouilles finies qui ont maintenant sculpté des visages avec des lumières éclatantes à l'intérieur.</v>
      </c>
    </row>
    <row r="25915">
      <c r="A25915" s="4" t="s">
        <v>32621</v>
      </c>
      <c r="B25915" s="6" t="s">
        <v>32622</v>
      </c>
      <c r="C25915" s="5" t="str">
        <f>IFERROR(__xludf.DUMMYFUNCTION("GOOGLETRANSLATE(B25915,""en"",""fr"")"),"Des dizaines de personnes sont vues monter sur une grande colline poussiéreuse tandis que la caméra se déroule autour de personnes qui roulent sur des vélos de terre.")</f>
        <v>Des dizaines de personnes sont vues monter sur une grande colline poussiéreuse tandis que la caméra se déroule autour de personnes qui roulent sur des vélos de terre.</v>
      </c>
    </row>
    <row r="25916">
      <c r="A25916" s="4" t="s">
        <v>32621</v>
      </c>
      <c r="B25916" s="6" t="s">
        <v>32623</v>
      </c>
      <c r="C25916" s="5" t="str">
        <f>IFERROR(__xludf.DUMMYFUNCTION("GOOGLETRANSLATE(B25916,""en"",""fr"")"),"Les gens roulent tout le long du chemin tandis que plusieurs autres regardent sur le côté et suivent les coureurs alors que la continuation de rouler le long de la piste.")</f>
        <v>Les gens roulent tout le long du chemin tandis que plusieurs autres regardent sur le côté et suivent les coureurs alors que la continuation de rouler le long de la piste.</v>
      </c>
    </row>
    <row r="25917">
      <c r="A25917" s="4" t="s">
        <v>32624</v>
      </c>
      <c r="B25917" s="4" t="s">
        <v>32625</v>
      </c>
      <c r="C25917" s="5" t="str">
        <f>IFERROR(__xludf.DUMMYFUNCTION("GOOGLETRANSLATE(B25917,""en"",""fr"")"),"Un groupe de femmes jouent du hockey sur le terrain sur un champ extérieur couvert d'herbe.")</f>
        <v>Un groupe de femmes jouent du hockey sur le terrain sur un champ extérieur couvert d'herbe.</v>
      </c>
    </row>
    <row r="25918">
      <c r="A25918" s="4" t="s">
        <v>32624</v>
      </c>
      <c r="B25918" s="4" t="s">
        <v>32626</v>
      </c>
      <c r="C25918" s="5" t="str">
        <f>IFERROR(__xludf.DUMMYFUNCTION("GOOGLETRANSLATE(B25918,""en"",""fr"")"),"Les femmes courent après une balle blanche sur le terrain tout en tenant des bâtons de hockey.")</f>
        <v>Les femmes courent après une balle blanche sur le terrain tout en tenant des bâtons de hockey.</v>
      </c>
    </row>
    <row r="25919">
      <c r="A25919" s="4" t="s">
        <v>32624</v>
      </c>
      <c r="B25919" s="6" t="s">
        <v>32627</v>
      </c>
      <c r="C25919" s="5" t="str">
        <f>IFERROR(__xludf.DUMMYFUNCTION("GOOGLETRANSLATE(B25919,""en"",""fr"")"),"L'équipe rouge et l'équipe bleue continuent de jouer au hockey sur le terrain tandis qu'un arbitre regarde et un garde garde le but.")</f>
        <v>L'équipe rouge et l'équipe bleue continuent de jouer au hockey sur le terrain tandis qu'un arbitre regarde et un garde garde le but.</v>
      </c>
    </row>
    <row r="25920">
      <c r="A25920" s="4" t="s">
        <v>32628</v>
      </c>
      <c r="B25920" s="4" t="s">
        <v>32629</v>
      </c>
      <c r="C25920" s="5" t="str">
        <f>IFERROR(__xludf.DUMMYFUNCTION("GOOGLETRANSLATE(B25920,""en"",""fr"")"),"Certains hommes jouent à la piscine pendant que les chiens de trois boxer regardent.")</f>
        <v>Certains hommes jouent à la piscine pendant que les chiens de trois boxer regardent.</v>
      </c>
    </row>
    <row r="25921">
      <c r="A25921" s="4" t="s">
        <v>32628</v>
      </c>
      <c r="B25921" s="4" t="s">
        <v>32630</v>
      </c>
      <c r="C25921" s="5" t="str">
        <f>IFERROR(__xludf.DUMMYFUNCTION("GOOGLETRANSLATE(B25921,""en"",""fr"")"),"Les boxeurs se tiennent près de la table de billard, essayant de se casser sur les balles alors qu'ils sont abattus avec les indices.")</f>
        <v>Les boxeurs se tiennent près de la table de billard, essayant de se casser sur les balles alors qu'ils sont abattus avec les indices.</v>
      </c>
    </row>
    <row r="25922">
      <c r="A25922" s="4" t="s">
        <v>32631</v>
      </c>
      <c r="B25922" s="4" t="s">
        <v>32632</v>
      </c>
      <c r="C25922" s="5" t="str">
        <f>IFERROR(__xludf.DUMMYFUNCTION("GOOGLETRANSLATE(B25922,""en"",""fr"")"),"Un homme définit une minuterie sur une table.")</f>
        <v>Un homme définit une minuterie sur une table.</v>
      </c>
    </row>
    <row r="25923">
      <c r="A25923" s="4" t="s">
        <v>32631</v>
      </c>
      <c r="B25923" s="4" t="s">
        <v>32633</v>
      </c>
      <c r="C25923" s="5" t="str">
        <f>IFERROR(__xludf.DUMMYFUNCTION("GOOGLETRANSLATE(B25923,""en"",""fr"")"),"Il essaie ensuite de solver un puzzle de blocs de couleurs.")</f>
        <v>Il essaie ensuite de solver un puzzle de blocs de couleurs.</v>
      </c>
    </row>
    <row r="25924">
      <c r="A25924" s="4" t="s">
        <v>32631</v>
      </c>
      <c r="B25924" s="4" t="s">
        <v>32634</v>
      </c>
      <c r="C25924" s="5" t="str">
        <f>IFERROR(__xludf.DUMMYFUNCTION("GOOGLETRANSLATE(B25924,""en"",""fr"")"),"Il termine le puzzle en un peu plus de 8 secondes.")</f>
        <v>Il termine le puzzle en un peu plus de 8 secondes.</v>
      </c>
    </row>
    <row r="25925">
      <c r="A25925" s="4" t="s">
        <v>32635</v>
      </c>
      <c r="B25925" s="4" t="s">
        <v>32636</v>
      </c>
      <c r="C25925" s="5" t="str">
        <f>IFERROR(__xludf.DUMMYFUNCTION("GOOGLETRANSLATE(B25925,""en"",""fr"")"),"Une fille se tient avec un cerceau à la main.")</f>
        <v>Une fille se tient avec un cerceau à la main.</v>
      </c>
    </row>
    <row r="25926">
      <c r="A25926" s="4" t="s">
        <v>32635</v>
      </c>
      <c r="B25926" s="4" t="s">
        <v>32637</v>
      </c>
      <c r="C25926" s="5" t="str">
        <f>IFERROR(__xludf.DUMMYFUNCTION("GOOGLETRANSLATE(B25926,""en"",""fr"")"),"La fille parle à la caméra.")</f>
        <v>La fille parle à la caméra.</v>
      </c>
    </row>
    <row r="25927">
      <c r="A25927" s="4" t="s">
        <v>32635</v>
      </c>
      <c r="B25927" s="4" t="s">
        <v>32638</v>
      </c>
      <c r="C25927" s="5" t="str">
        <f>IFERROR(__xludf.DUMMYFUNCTION("GOOGLETRANSLATE(B25927,""en"",""fr"")"),"La fille démontre le cerceau.")</f>
        <v>La fille démontre le cerceau.</v>
      </c>
    </row>
    <row r="25928">
      <c r="A25928" s="4" t="s">
        <v>32635</v>
      </c>
      <c r="B25928" s="4" t="s">
        <v>32639</v>
      </c>
      <c r="C25928" s="5" t="str">
        <f>IFERROR(__xludf.DUMMYFUNCTION("GOOGLETRANSLATE(B25928,""en"",""fr"")"),"La fille laisse tomber le cerceau et pose.")</f>
        <v>La fille laisse tomber le cerceau et pose.</v>
      </c>
    </row>
    <row r="25929">
      <c r="A25929" s="4" t="s">
        <v>32640</v>
      </c>
      <c r="B25929" s="4" t="s">
        <v>32641</v>
      </c>
      <c r="C25929" s="5" t="str">
        <f>IFERROR(__xludf.DUMMYFUNCTION("GOOGLETRANSLATE(B25929,""en"",""fr"")"),"Une ligne de motards se prépare pour une course à vélo en terre.")</f>
        <v>Une ligne de motards se prépare pour une course à vélo en terre.</v>
      </c>
    </row>
    <row r="25930">
      <c r="A25930" s="4" t="s">
        <v>32640</v>
      </c>
      <c r="B25930" s="6" t="s">
        <v>32642</v>
      </c>
      <c r="C25930" s="5" t="str">
        <f>IFERROR(__xludf.DUMMYFUNCTION("GOOGLETRANSLATE(B25930,""en"",""fr"")"),"Ils décollent, courent sur des collines et dans des coins pointus, certains tombant de leurs vélos et le donnant des coups de pied avec colère.")</f>
        <v>Ils décollent, courent sur des collines et dans des coins pointus, certains tombant de leurs vélos et le donnant des coups de pied avec colère.</v>
      </c>
    </row>
    <row r="25931">
      <c r="A25931" s="4" t="s">
        <v>32643</v>
      </c>
      <c r="B25931" s="6" t="s">
        <v>32644</v>
      </c>
      <c r="C25931" s="5" t="str">
        <f>IFERROR(__xludf.DUMMYFUNCTION("GOOGLETRANSLATE(B25931,""en"",""fr"")"),"Un garçon est assis dans une pièce et parle à une caméra tout en maintenant comment utiliser une cigarette électronique.")</f>
        <v>Un garçon est assis dans une pièce et parle à une caméra tout en maintenant comment utiliser une cigarette électronique.</v>
      </c>
    </row>
    <row r="25932">
      <c r="A25932" s="4" t="s">
        <v>32643</v>
      </c>
      <c r="B25932" s="4" t="s">
        <v>32645</v>
      </c>
      <c r="C25932" s="5" t="str">
        <f>IFERROR(__xludf.DUMMYFUNCTION("GOOGLETRANSLATE(B25932,""en"",""fr"")"),"Le garçon dévisse la cigarette pour révéler le mécanisme intérieur.")</f>
        <v>Le garçon dévisse la cigarette pour révéler le mécanisme intérieur.</v>
      </c>
    </row>
    <row r="25933">
      <c r="A25933" s="4" t="s">
        <v>32643</v>
      </c>
      <c r="B25933" s="6" t="s">
        <v>32646</v>
      </c>
      <c r="C25933" s="5" t="str">
        <f>IFERROR(__xludf.DUMMYFUNCTION("GOOGLETRANSLATE(B25933,""en"",""fr"")"),"Le garçon revient la cigarette et commence à le fumer alors qu'une femme passe en arrière-plan, puis il continue de parler à la caméra.")</f>
        <v>Le garçon revient la cigarette et commence à le fumer alors qu'une femme passe en arrière-plan, puis il continue de parler à la caméra.</v>
      </c>
    </row>
    <row r="25934">
      <c r="A25934" s="4" t="s">
        <v>32647</v>
      </c>
      <c r="B25934" s="6" t="s">
        <v>32648</v>
      </c>
      <c r="C25934" s="5" t="str">
        <f>IFERROR(__xludf.DUMMYFUNCTION("GOOGLETRANSLATE(B25934,""en"",""fr"")"),"Les gros plans de tissu sont représentés et conduisent à un homme les mettre sur un mur et une femme qui parle à un grand d'hommes.")</f>
        <v>Les gros plans de tissu sont représentés et conduisent à un homme les mettre sur un mur et une femme qui parle à un grand d'hommes.</v>
      </c>
    </row>
    <row r="25935">
      <c r="A25935" s="4" t="s">
        <v>32647</v>
      </c>
      <c r="B25935" s="4" t="s">
        <v>32649</v>
      </c>
      <c r="C25935" s="5" t="str">
        <f>IFERROR(__xludf.DUMMYFUNCTION("GOOGLETRANSLATE(B25935,""en"",""fr"")"),"Une personne présente du papier sur une table et montre aux hommes comment mettre correctement le papier peint.")</f>
        <v>Une personne présente du papier sur une table et montre aux hommes comment mettre correctement le papier peint.</v>
      </c>
    </row>
    <row r="25936">
      <c r="A25936" s="4" t="s">
        <v>32647</v>
      </c>
      <c r="B25936" s="6" t="s">
        <v>32650</v>
      </c>
      <c r="C25936" s="5" t="str">
        <f>IFERROR(__xludf.DUMMYFUNCTION("GOOGLETRANSLATE(B25936,""en"",""fr"")"),"Un homme parle ensuite à la caméra et se termine par des informations présentées et l'homme pose plus de papier.")</f>
        <v>Un homme parle ensuite à la caméra et se termine par des informations présentées et l'homme pose plus de papier.</v>
      </c>
    </row>
    <row r="25937">
      <c r="A25937" s="4" t="s">
        <v>32651</v>
      </c>
      <c r="B25937" s="4" t="s">
        <v>32652</v>
      </c>
      <c r="C25937" s="5" t="str">
        <f>IFERROR(__xludf.DUMMYFUNCTION("GOOGLETRANSLATE(B25937,""en"",""fr"")"),"Une femme athlétique est vue debout dans un cercle se déplaçant au ralenti en tenant une discussion.")</f>
        <v>Une femme athlétique est vue debout dans un cercle se déplaçant au ralenti en tenant une discussion.</v>
      </c>
    </row>
    <row r="25938">
      <c r="A25938" s="4" t="s">
        <v>32651</v>
      </c>
      <c r="B25938" s="4" t="s">
        <v>32653</v>
      </c>
      <c r="C25938" s="5" t="str">
        <f>IFERROR(__xludf.DUMMYFUNCTION("GOOGLETRANSLATE(B25938,""en"",""fr"")"),"Elle se tourne ensuite tout en tenant l'objet, puis en le jetant sur la distance.")</f>
        <v>Elle se tourne ensuite tout en tenant l'objet, puis en le jetant sur la distance.</v>
      </c>
    </row>
    <row r="25939">
      <c r="A25939" s="4" t="s">
        <v>32654</v>
      </c>
      <c r="B25939" s="4" t="s">
        <v>32655</v>
      </c>
      <c r="C25939" s="5" t="str">
        <f>IFERROR(__xludf.DUMMYFUNCTION("GOOGLETRANSLATE(B25939,""en"",""fr"")"),"Un homme en chemise grise est assis sur une chaise.")</f>
        <v>Un homme en chemise grise est assis sur une chaise.</v>
      </c>
    </row>
    <row r="25940">
      <c r="A25940" s="4" t="s">
        <v>32654</v>
      </c>
      <c r="B25940" s="4" t="s">
        <v>32656</v>
      </c>
      <c r="C25940" s="5" t="str">
        <f>IFERROR(__xludf.DUMMYFUNCTION("GOOGLETRANSLATE(B25940,""en"",""fr"")"),"L'homme pointe une toile vide avec son pinceau alors qu'il continue de parler.")</f>
        <v>L'homme pointe une toile vide avec son pinceau alors qu'il continue de parler.</v>
      </c>
    </row>
    <row r="25941">
      <c r="A25941" s="4" t="s">
        <v>32654</v>
      </c>
      <c r="B25941" s="4" t="s">
        <v>32657</v>
      </c>
      <c r="C25941" s="5" t="str">
        <f>IFERROR(__xludf.DUMMYFUNCTION("GOOGLETRANSLATE(B25941,""en"",""fr"")"),"L'homme tient sa brosse, trempe le pinceau sur les couleurs et a commencé à peindre sur la plus grande toile.")</f>
        <v>L'homme tient sa brosse, trempe le pinceau sur les couleurs et a commencé à peindre sur la plus grande toile.</v>
      </c>
    </row>
    <row r="25942">
      <c r="A25942" s="4" t="s">
        <v>32658</v>
      </c>
      <c r="B25942" s="4" t="s">
        <v>32659</v>
      </c>
      <c r="C25942" s="5" t="str">
        <f>IFERROR(__xludf.DUMMYFUNCTION("GOOGLETRANSLATE(B25942,""en"",""fr"")"),"Une femme est vue en souriant et en parlant à la caméra.")</f>
        <v>Une femme est vue en souriant et en parlant à la caméra.</v>
      </c>
    </row>
    <row r="25943">
      <c r="A25943" s="4" t="s">
        <v>32658</v>
      </c>
      <c r="B25943" s="4" t="s">
        <v>32660</v>
      </c>
      <c r="C25943" s="5" t="str">
        <f>IFERROR(__xludf.DUMMYFUNCTION("GOOGLETRANSLATE(B25943,""en"",""fr"")"),"Un autre homme est vu assis derrière elle avec un autre homme devant.")</f>
        <v>Un autre homme est vu assis derrière elle avec un autre homme devant.</v>
      </c>
    </row>
    <row r="25944">
      <c r="A25944" s="4" t="s">
        <v>32658</v>
      </c>
      <c r="B25944" s="4" t="s">
        <v>32661</v>
      </c>
      <c r="C25944" s="5" t="str">
        <f>IFERROR(__xludf.DUMMYFUNCTION("GOOGLETRANSLATE(B25944,""en"",""fr"")"),"La femme continue de parler pendant que l'homme à l'avant nettoie les chaussures de l'autre.")</f>
        <v>La femme continue de parler pendant que l'homme à l'avant nettoie les chaussures de l'autre.</v>
      </c>
    </row>
    <row r="25945">
      <c r="A25945" s="4" t="s">
        <v>32662</v>
      </c>
      <c r="B25945" s="4" t="s">
        <v>32663</v>
      </c>
      <c r="C25945" s="5" t="str">
        <f>IFERROR(__xludf.DUMMYFUNCTION("GOOGLETRANSLATE(B25945,""en"",""fr"")"),"Les gens jouent au football dans une arène intérieure.")</f>
        <v>Les gens jouent au football dans une arène intérieure.</v>
      </c>
    </row>
    <row r="25946">
      <c r="A25946" s="4" t="s">
        <v>32662</v>
      </c>
      <c r="B25946" s="4" t="s">
        <v>32664</v>
      </c>
      <c r="C25946" s="5" t="str">
        <f>IFERROR(__xludf.DUMMYFUNCTION("GOOGLETRANSLATE(B25946,""en"",""fr"")"),"Ils tirent et font un but dans le filet.")</f>
        <v>Ils tirent et font un but dans le filet.</v>
      </c>
    </row>
    <row r="25947">
      <c r="A25947" s="4" t="s">
        <v>32662</v>
      </c>
      <c r="B25947" s="4" t="s">
        <v>32665</v>
      </c>
      <c r="C25947" s="5" t="str">
        <f>IFERROR(__xludf.DUMMYFUNCTION("GOOGLETRANSLATE(B25947,""en"",""fr"")"),"Les joueurs servent sur le terrain.")</f>
        <v>Les joueurs servent sur le terrain.</v>
      </c>
    </row>
    <row r="25948">
      <c r="A25948" s="4" t="s">
        <v>32666</v>
      </c>
      <c r="B25948" s="4" t="s">
        <v>32667</v>
      </c>
      <c r="C25948" s="5" t="str">
        <f>IFERROR(__xludf.DUMMYFUNCTION("GOOGLETRANSLATE(B25948,""en"",""fr"")"),"Une personne polir une chaussure avec un doigt enveloppé.")</f>
        <v>Une personne polir une chaussure avec un doigt enveloppé.</v>
      </c>
    </row>
    <row r="25949">
      <c r="A25949" s="4" t="s">
        <v>32666</v>
      </c>
      <c r="B25949" s="4" t="s">
        <v>32668</v>
      </c>
      <c r="C25949" s="5" t="str">
        <f>IFERROR(__xludf.DUMMYFUNCTION("GOOGLETRANSLATE(B25949,""en"",""fr"")"),"Ensuite, la personne attrape la pâte polonaise et l'eau pour polir la chaussure.")</f>
        <v>Ensuite, la personne attrape la pâte polonaise et l'eau pour polir la chaussure.</v>
      </c>
    </row>
    <row r="25950">
      <c r="A25950" s="4" t="s">
        <v>32666</v>
      </c>
      <c r="B25950" s="4" t="s">
        <v>32669</v>
      </c>
      <c r="C25950" s="5" t="str">
        <f>IFERROR(__xludf.DUMMYFUNCTION("GOOGLETRANSLATE(B25950,""en"",""fr"")"),"Après, la personne a mis une goutte d'eau sur la chaussure et continue de polir.")</f>
        <v>Après, la personne a mis une goutte d'eau sur la chaussure et continue de polir.</v>
      </c>
    </row>
    <row r="25951">
      <c r="A25951" s="4" t="s">
        <v>32670</v>
      </c>
      <c r="B25951" s="4" t="s">
        <v>32671</v>
      </c>
      <c r="C25951" s="5" t="str">
        <f>IFERROR(__xludf.DUMMYFUNCTION("GOOGLETRANSLATE(B25951,""en"",""fr"")"),"Des cadeaux enveloppés sont montrés alignés.")</f>
        <v>Des cadeaux enveloppés sont montrés alignés.</v>
      </c>
    </row>
    <row r="25952">
      <c r="A25952" s="4" t="s">
        <v>32670</v>
      </c>
      <c r="B25952" s="4" t="s">
        <v>32672</v>
      </c>
      <c r="C25952" s="5" t="str">
        <f>IFERROR(__xludf.DUMMYFUNCTION("GOOGLETRANSLATE(B25952,""en"",""fr"")"),"Une personne déroule du papier d'emballage et utilise une règle pour le maintenir.")</f>
        <v>Une personne déroule du papier d'emballage et utilise une règle pour le maintenir.</v>
      </c>
    </row>
    <row r="25953">
      <c r="A25953" s="4" t="s">
        <v>32670</v>
      </c>
      <c r="B25953" s="4" t="s">
        <v>32673</v>
      </c>
      <c r="C25953" s="5" t="str">
        <f>IFERROR(__xludf.DUMMYFUNCTION("GOOGLETRANSLATE(B25953,""en"",""fr"")"),"Une boîte est réglée sur le papier d'emballage.")</f>
        <v>Une boîte est réglée sur le papier d'emballage.</v>
      </c>
    </row>
    <row r="25954">
      <c r="A25954" s="4" t="s">
        <v>32670</v>
      </c>
      <c r="B25954" s="4" t="s">
        <v>32674</v>
      </c>
      <c r="C25954" s="5" t="str">
        <f>IFERROR(__xludf.DUMMYFUNCTION("GOOGLETRANSLATE(B25954,""en"",""fr"")"),"La personne commence à enrouler le présent.")</f>
        <v>La personne commence à enrouler le présent.</v>
      </c>
    </row>
    <row r="25955">
      <c r="A25955" s="4" t="s">
        <v>32670</v>
      </c>
      <c r="B25955" s="4" t="s">
        <v>32675</v>
      </c>
      <c r="C25955" s="5" t="str">
        <f>IFERROR(__xludf.DUMMYFUNCTION("GOOGLETRANSLATE(B25955,""en"",""fr"")"),"Ils coupent le papier.")</f>
        <v>Ils coupent le papier.</v>
      </c>
    </row>
    <row r="25956">
      <c r="A25956" s="4" t="s">
        <v>32670</v>
      </c>
      <c r="B25956" s="4" t="s">
        <v>32676</v>
      </c>
      <c r="C25956" s="5" t="str">
        <f>IFERROR(__xludf.DUMMYFUNCTION("GOOGLETRANSLATE(B25956,""en"",""fr"")"),"Ils continuent d'envelopper le présent.")</f>
        <v>Ils continuent d'envelopper le présent.</v>
      </c>
    </row>
    <row r="25957">
      <c r="A25957" s="4" t="s">
        <v>32670</v>
      </c>
      <c r="B25957" s="4" t="s">
        <v>32677</v>
      </c>
      <c r="C25957" s="5" t="str">
        <f>IFERROR(__xludf.DUMMYFUNCTION("GOOGLETRANSLATE(B25957,""en"",""fr"")"),"Ils utilisent du ruban adhésif pour maintenir le papier.")</f>
        <v>Ils utilisent du ruban adhésif pour maintenir le papier.</v>
      </c>
    </row>
    <row r="25958">
      <c r="A25958" s="4" t="s">
        <v>32670</v>
      </c>
      <c r="B25958" s="4" t="s">
        <v>32678</v>
      </c>
      <c r="C25958" s="5" t="str">
        <f>IFERROR(__xludf.DUMMYFUNCTION("GOOGLETRANSLATE(B25958,""en"",""fr"")"),"Ils plient du papier de soie pour s'enrouler autour du milieu de la boîte.")</f>
        <v>Ils plient du papier de soie pour s'enrouler autour du milieu de la boîte.</v>
      </c>
    </row>
    <row r="25959">
      <c r="A25959" s="4" t="s">
        <v>32670</v>
      </c>
      <c r="B25959" s="4" t="s">
        <v>32679</v>
      </c>
      <c r="C25959" s="5" t="str">
        <f>IFERROR(__xludf.DUMMYFUNCTION("GOOGLETRANSLATE(B25959,""en"",""fr"")"),"Ils enveloppent le ruban de bouclage autour de la boîte et l'attachent à un arc.")</f>
        <v>Ils enveloppent le ruban de bouclage autour de la boîte et l'attachent à un arc.</v>
      </c>
    </row>
    <row r="25960">
      <c r="A25960" s="4" t="s">
        <v>32670</v>
      </c>
      <c r="B25960" s="4" t="s">
        <v>32680</v>
      </c>
      <c r="C25960" s="5" t="str">
        <f>IFERROR(__xludf.DUMMYFUNCTION("GOOGLETRANSLATE(B25960,""en"",""fr"")"),"L'utilisation des ciseaux pour boucler les extrémités de l'arc.")</f>
        <v>L'utilisation des ciseaux pour boucler les extrémités de l'arc.</v>
      </c>
    </row>
    <row r="25961">
      <c r="A25961" s="4" t="s">
        <v>32670</v>
      </c>
      <c r="B25961" s="4" t="s">
        <v>32681</v>
      </c>
      <c r="C25961" s="5" t="str">
        <f>IFERROR(__xludf.DUMMYFUNCTION("GOOGLETRANSLATE(B25961,""en"",""fr"")"),"Ils collent une fleur d'argent dans le présent.")</f>
        <v>Ils collent une fleur d'argent dans le présent.</v>
      </c>
    </row>
    <row r="25962">
      <c r="A25962" s="4" t="s">
        <v>32682</v>
      </c>
      <c r="B25962" s="4" t="s">
        <v>32683</v>
      </c>
      <c r="C25962" s="5" t="str">
        <f>IFERROR(__xludf.DUMMYFUNCTION("GOOGLETRANSLATE(B25962,""en"",""fr"")"),"Ceci est une vidéo pour les conseils de lutte ARM.")</f>
        <v>Ceci est une vidéo pour les conseils de lutte ARM.</v>
      </c>
    </row>
    <row r="25963">
      <c r="A25963" s="4" t="s">
        <v>32682</v>
      </c>
      <c r="B25963" s="4" t="s">
        <v>32684</v>
      </c>
      <c r="C25963" s="5" t="str">
        <f>IFERROR(__xludf.DUMMYFUNCTION("GOOGLETRANSLATE(B25963,""en"",""fr"")"),"Un écran avec une légende est montré décrivant la vidéo.")</f>
        <v>Un écran avec une légende est montré décrivant la vidéo.</v>
      </c>
    </row>
    <row r="25964">
      <c r="A25964" s="4" t="s">
        <v>32682</v>
      </c>
      <c r="B25964" s="6" t="s">
        <v>32685</v>
      </c>
      <c r="C25964" s="5" t="str">
        <f>IFERROR(__xludf.DUMMYFUNCTION("GOOGLETRANSLATE(B25964,""en"",""fr"")"),"Il y a deux hommes à une table de lutte à bras Un homme dans un t-shirt blanc et des lunettes informe sur la façon de se préparer correctement à un match de lutte de bras avec la position, la position du bras, la position du doigt, le placement du poignet"&amp;", la position corporelle, le corps et le mouvement des bras .")</f>
        <v>Il y a deux hommes à une table de lutte à bras Un homme dans un t-shirt blanc et des lunettes informe sur la façon de se préparer correctement à un match de lutte de bras avec la position, la position du bras, la position du doigt, le placement du poignet, la position corporelle, le corps et le mouvement des bras .</v>
      </c>
    </row>
    <row r="25965">
      <c r="A25965" s="4" t="s">
        <v>32682</v>
      </c>
      <c r="B25965" s="4" t="s">
        <v>32686</v>
      </c>
      <c r="C25965" s="5" t="str">
        <f>IFERROR(__xludf.DUMMYFUNCTION("GOOGLETRANSLATE(B25965,""en"",""fr"")"),"Un autre écran noir apparaît avec des légendes.")</f>
        <v>Un autre écran noir apparaît avec des légendes.</v>
      </c>
    </row>
    <row r="25966">
      <c r="A25966" s="4" t="s">
        <v>32682</v>
      </c>
      <c r="B25966" s="6" t="s">
        <v>32687</v>
      </c>
      <c r="C25966" s="5" t="str">
        <f>IFERROR(__xludf.DUMMYFUNCTION("GOOGLETRANSLATE(B25966,""en"",""fr"")"),"L'homme dans le t-shirt blanc montre plusieurs façons de se tenir debout lors d'un match de lutte de bras avec les deux pieds sur le sol et d'enrouler une jambe autour de la table de lutte du bras.")</f>
        <v>L'homme dans le t-shirt blanc montre plusieurs façons de se tenir debout lors d'un match de lutte de bras avec les deux pieds sur le sol et d'enrouler une jambe autour de la table de lutte du bras.</v>
      </c>
    </row>
    <row r="25967">
      <c r="A25967" s="4" t="s">
        <v>32682</v>
      </c>
      <c r="B25967" s="4" t="s">
        <v>32688</v>
      </c>
      <c r="C25967" s="5" t="str">
        <f>IFERROR(__xludf.DUMMYFUNCTION("GOOGLETRANSLATE(B25967,""en"",""fr"")"),"Un autre écran noir apparaît avec la légende pour trouver des clubs de lutte des bras.")</f>
        <v>Un autre écran noir apparaît avec la légende pour trouver des clubs de lutte des bras.</v>
      </c>
    </row>
    <row r="25968">
      <c r="A25968" s="4" t="s">
        <v>32682</v>
      </c>
      <c r="B25968" s="6" t="s">
        <v>32689</v>
      </c>
      <c r="C25968" s="5" t="str">
        <f>IFERROR(__xludf.DUMMYFUNCTION("GOOGLETRANSLATE(B25968,""en"",""fr"")"),"L'homme dans les lunettes alors qu'il était encore à la table de lutte à bras avec l'autre homme donne une adresse de site Web et des sites de médias sociaux.")</f>
        <v>L'homme dans les lunettes alors qu'il était encore à la table de lutte à bras avec l'autre homme donne une adresse de site Web et des sites de médias sociaux.</v>
      </c>
    </row>
    <row r="25969">
      <c r="A25969" s="4" t="s">
        <v>32682</v>
      </c>
      <c r="B25969" s="4" t="s">
        <v>32690</v>
      </c>
      <c r="C25969" s="5" t="str">
        <f>IFERROR(__xludf.DUMMYFUNCTION("GOOGLETRANSLATE(B25969,""en"",""fr"")"),"L'écran devient noir et il y a des crédits qui roulent suivis d'un nom d'entreprise.")</f>
        <v>L'écran devient noir et il y a des crédits qui roulent suivis d'un nom d'entreprise.</v>
      </c>
    </row>
    <row r="25970">
      <c r="A25970" s="4" t="s">
        <v>32691</v>
      </c>
      <c r="B25970" s="4" t="s">
        <v>32692</v>
      </c>
      <c r="C25970" s="5" t="str">
        <f>IFERROR(__xludf.DUMMYFUNCTION("GOOGLETRANSLATE(B25970,""en"",""fr"")"),"Un homme chauve parle et deux photos d'un jeune mâle avec de beaux cheveux clignotent à l'écran.")</f>
        <v>Un homme chauve parle et deux photos d'un jeune mâle avec de beaux cheveux clignotent à l'écran.</v>
      </c>
    </row>
    <row r="25971">
      <c r="A25971" s="4" t="s">
        <v>32691</v>
      </c>
      <c r="B25971" s="6" t="s">
        <v>32693</v>
      </c>
      <c r="C25971" s="5" t="str">
        <f>IFERROR(__xludf.DUMMYFUNCTION("GOOGLETRANSLATE(B25971,""en"",""fr"")"),"L'homme commence alors à travailler avec une tête de mannequin qui a une coiffure similaire à celle du garçon sur les photos et il montre comment la coupe de cheveux a été réalisée tout en bourdonnant, en coupant, en peignant et en peignant les cheveux.")</f>
        <v>L'homme commence alors à travailler avec une tête de mannequin qui a une coiffure similaire à celle du garçon sur les photos et il montre comment la coupe de cheveux a été réalisée tout en bourdonnant, en coupant, en peignant et en peignant les cheveux.</v>
      </c>
    </row>
    <row r="25972">
      <c r="A25972" s="4" t="s">
        <v>32691</v>
      </c>
      <c r="B25972" s="4" t="s">
        <v>32694</v>
      </c>
      <c r="C25972" s="5" t="str">
        <f>IFERROR(__xludf.DUMMYFUNCTION("GOOGLETRANSLATE(B25972,""en"",""fr"")"),"Un écran noir avec des lettres blanches apparaît et ils lisent ""Merci pour l'assistance! Veuillez vous abonner !!"".")</f>
        <v>Un écran noir avec des lettres blanches apparaît et ils lisent "Merci pour l'assistance! Veuillez vous abonner !!".</v>
      </c>
    </row>
    <row r="25973">
      <c r="A25973" s="4" t="s">
        <v>32695</v>
      </c>
      <c r="B25973" s="4" t="s">
        <v>32696</v>
      </c>
      <c r="C25973" s="5" t="str">
        <f>IFERROR(__xludf.DUMMYFUNCTION("GOOGLETRANSLATE(B25973,""en"",""fr"")"),"Un homme plus âgé passe une balle à un groupe de petits enfants et finit par donner un coup de pied au ballon.")</f>
        <v>Un homme plus âgé passe une balle à un groupe de petits enfants et finit par donner un coup de pied au ballon.</v>
      </c>
    </row>
    <row r="25974">
      <c r="A25974" s="4" t="s">
        <v>32695</v>
      </c>
      <c r="B25974" s="4" t="s">
        <v>32697</v>
      </c>
      <c r="C25974" s="5" t="str">
        <f>IFERROR(__xludf.DUMMYFUNCTION("GOOGLETRANSLATE(B25974,""en"",""fr"")"),"L'homme court alors que les autres enfants courent et courent jusqu'au marbre.")</f>
        <v>L'homme court alors que les autres enfants courent et courent jusqu'au marbre.</v>
      </c>
    </row>
    <row r="25975">
      <c r="A25975" s="4" t="s">
        <v>32695</v>
      </c>
      <c r="B25975" s="4" t="s">
        <v>32698</v>
      </c>
      <c r="C25975" s="5" t="str">
        <f>IFERROR(__xludf.DUMMYFUNCTION("GOOGLETRANSLATE(B25975,""en"",""fr"")"),"Une femme court devant la base avec le ballon et l'homme trébuche sur elle.")</f>
        <v>Une femme court devant la base avec le ballon et l'homme trébuche sur elle.</v>
      </c>
    </row>
    <row r="25976">
      <c r="A25976" s="4" t="s">
        <v>32695</v>
      </c>
      <c r="B25976" s="4" t="s">
        <v>32699</v>
      </c>
      <c r="C25976" s="5" t="str">
        <f>IFERROR(__xludf.DUMMYFUNCTION("GOOGLETRANSLATE(B25976,""en"",""fr"")"),"Il l'aide comme eux tous les deux.")</f>
        <v>Il l'aide comme eux tous les deux.</v>
      </c>
    </row>
    <row r="25977">
      <c r="A25977" s="4" t="s">
        <v>32700</v>
      </c>
      <c r="B25977" s="4" t="s">
        <v>32701</v>
      </c>
      <c r="C25977" s="5" t="str">
        <f>IFERROR(__xludf.DUMMYFUNCTION("GOOGLETRANSLATE(B25977,""en"",""fr"")"),"Les Cowboys participent à un concours de rodéo.")</f>
        <v>Les Cowboys participent à un concours de rodéo.</v>
      </c>
    </row>
    <row r="25978">
      <c r="A25978" s="4" t="s">
        <v>32700</v>
      </c>
      <c r="B25978" s="4" t="s">
        <v>32702</v>
      </c>
      <c r="C25978" s="5" t="str">
        <f>IFERROR(__xludf.DUMMYFUNCTION("GOOGLETRANSLATE(B25978,""en"",""fr"")"),"Les hommes sortent des chevaux des portes et corde un taureau avant de démonter et de se attacher leurs jambes.")</f>
        <v>Les hommes sortent des chevaux des portes et corde un taureau avant de démonter et de se attacher leurs jambes.</v>
      </c>
    </row>
    <row r="25979">
      <c r="A25979" s="4" t="s">
        <v>32700</v>
      </c>
      <c r="B25979" s="4" t="s">
        <v>32703</v>
      </c>
      <c r="C25979" s="5" t="str">
        <f>IFERROR(__xludf.DUMMYFUNCTION("GOOGLETRANSLATE(B25979,""en"",""fr"")"),"Le vainqueur agite son chapeau et est félicité par les autres coureurs.")</f>
        <v>Le vainqueur agite son chapeau et est félicité par les autres coureurs.</v>
      </c>
    </row>
    <row r="25980">
      <c r="A25980" s="4" t="s">
        <v>32704</v>
      </c>
      <c r="B25980" s="6" t="s">
        <v>32705</v>
      </c>
      <c r="C25980" s="5" t="str">
        <f>IFERROR(__xludf.DUMMYFUNCTION("GOOGLETRANSLATE(B25980,""en"",""fr"")"),"Un homme parle à la caméra alors qu'il était assis dans un ensemble de batterie tandis qu'un autre homme joue de la batterie en arrière-plan.")</f>
        <v>Un homme parle à la caméra alors qu'il était assis dans un ensemble de batterie tandis qu'un autre homme joue de la batterie en arrière-plan.</v>
      </c>
    </row>
    <row r="25981">
      <c r="A25981" s="4" t="s">
        <v>32704</v>
      </c>
      <c r="B25981" s="4" t="s">
        <v>32706</v>
      </c>
      <c r="C25981" s="5" t="str">
        <f>IFERROR(__xludf.DUMMYFUNCTION("GOOGLETRANSLATE(B25981,""en"",""fr"")"),"Le premier homme joue la batterie.")</f>
        <v>Le premier homme joue la batterie.</v>
      </c>
    </row>
    <row r="25982">
      <c r="A25982" s="4" t="s">
        <v>32704</v>
      </c>
      <c r="B25982" s="4" t="s">
        <v>32707</v>
      </c>
      <c r="C25982" s="5" t="str">
        <f>IFERROR(__xludf.DUMMYFUNCTION("GOOGLETRANSLATE(B25982,""en"",""fr"")"),"Le premier homme arrête de jouer et se tourne vers la caméra.")</f>
        <v>Le premier homme arrête de jouer et se tourne vers la caméra.</v>
      </c>
    </row>
    <row r="25983">
      <c r="A25983" s="4" t="s">
        <v>32708</v>
      </c>
      <c r="B25983" s="4" t="s">
        <v>32709</v>
      </c>
      <c r="C25983" s="5" t="str">
        <f>IFERROR(__xludf.DUMMYFUNCTION("GOOGLETRANSLATE(B25983,""en"",""fr"")"),"Nous voyons l'écran d'ouverture blanc.")</f>
        <v>Nous voyons l'écran d'ouverture blanc.</v>
      </c>
    </row>
    <row r="25984">
      <c r="A25984" s="4" t="s">
        <v>32708</v>
      </c>
      <c r="B25984" s="4" t="s">
        <v>32710</v>
      </c>
      <c r="C25984" s="5" t="str">
        <f>IFERROR(__xludf.DUMMYFUNCTION("GOOGLETRANSLATE(B25984,""en"",""fr"")"),"Un homme en saut vole un sac sur son épaule et laisse une banque.")</f>
        <v>Un homme en saut vole un sac sur son épaule et laisse une banque.</v>
      </c>
    </row>
    <row r="25985">
      <c r="A25985" s="4" t="s">
        <v>32708</v>
      </c>
      <c r="B25985" s="4" t="s">
        <v>32711</v>
      </c>
      <c r="C25985" s="5" t="str">
        <f>IFERROR(__xludf.DUMMYFUNCTION("GOOGLETRANSLATE(B25985,""en"",""fr"")"),"L'homme en saut vole des flics d'une rue de la ville.")</f>
        <v>L'homme en saut vole des flics d'une rue de la ville.</v>
      </c>
    </row>
    <row r="25986">
      <c r="A25986" s="4" t="s">
        <v>32708</v>
      </c>
      <c r="B25986" s="4" t="s">
        <v>32712</v>
      </c>
      <c r="C25986" s="5" t="str">
        <f>IFERROR(__xludf.DUMMYFUNCTION("GOOGLETRANSLATE(B25986,""en"",""fr"")"),"L'homme pousse à travers un marché.")</f>
        <v>L'homme pousse à travers un marché.</v>
      </c>
    </row>
    <row r="25987">
      <c r="A25987" s="4" t="s">
        <v>32708</v>
      </c>
      <c r="B25987" s="4" t="s">
        <v>32713</v>
      </c>
      <c r="C25987" s="5" t="str">
        <f>IFERROR(__xludf.DUMMYFUNCTION("GOOGLETRANSLATE(B25987,""en"",""fr"")"),"L'homme saute par-dessus une poussette poussée par une dame.")</f>
        <v>L'homme saute par-dessus une poussette poussée par une dame.</v>
      </c>
    </row>
    <row r="25988">
      <c r="A25988" s="4" t="s">
        <v>32708</v>
      </c>
      <c r="B25988" s="4" t="s">
        <v>32714</v>
      </c>
      <c r="C25988" s="5" t="str">
        <f>IFERROR(__xludf.DUMMYFUNCTION("GOOGLETRANSLATE(B25988,""en"",""fr"")"),"L'homme saute par-dessus un camion et sur une clôture perdant les flics.")</f>
        <v>L'homme saute par-dessus un camion et sur une clôture perdant les flics.</v>
      </c>
    </row>
    <row r="25989">
      <c r="A25989" s="4" t="s">
        <v>32708</v>
      </c>
      <c r="B25989" s="4" t="s">
        <v>32715</v>
      </c>
      <c r="C25989" s="5" t="str">
        <f>IFERROR(__xludf.DUMMYFUNCTION("GOOGLETRANSLATE(B25989,""en"",""fr"")"),"L'homme traverse un skate park dans une rue de la ville et en haut des escaliers.")</f>
        <v>L'homme traverse un skate park dans une rue de la ville et en haut des escaliers.</v>
      </c>
    </row>
    <row r="25990">
      <c r="A25990" s="4" t="s">
        <v>32708</v>
      </c>
      <c r="B25990" s="4" t="s">
        <v>32716</v>
      </c>
      <c r="C25990" s="5" t="str">
        <f>IFERROR(__xludf.DUMMYFUNCTION("GOOGLETRANSLATE(B25990,""en"",""fr"")"),"L'homme ouvre le sac et compte son argent.")</f>
        <v>L'homme ouvre le sac et compte son argent.</v>
      </c>
    </row>
    <row r="25991">
      <c r="A25991" s="4" t="s">
        <v>32708</v>
      </c>
      <c r="B25991" s="4" t="s">
        <v>27504</v>
      </c>
      <c r="C25991" s="5" t="str">
        <f>IFERROR(__xludf.DUMMYFUNCTION("GOOGLETRANSLATE(B25991,""en"",""fr"")"),"Nous voyons un écran de titre de clôture.")</f>
        <v>Nous voyons un écran de titre de clôture.</v>
      </c>
    </row>
    <row r="25992">
      <c r="A25992" s="4" t="s">
        <v>32717</v>
      </c>
      <c r="B25992" s="6" t="s">
        <v>32718</v>
      </c>
      <c r="C25992" s="5" t="str">
        <f>IFERROR(__xludf.DUMMYFUNCTION("GOOGLETRANSLATE(B25992,""en"",""fr"")"),"Un grand groupe de personnes est toutes vu rouler dans des tampants et conduire autour d'une piste, se heurtant les uns aux autres.")</f>
        <v>Un grand groupe de personnes est toutes vu rouler dans des tampants et conduire autour d'une piste, se heurtant les uns aux autres.</v>
      </c>
    </row>
    <row r="25993">
      <c r="A25993" s="4" t="s">
        <v>32717</v>
      </c>
      <c r="B25993" s="4" t="s">
        <v>32719</v>
      </c>
      <c r="C25993" s="5" t="str">
        <f>IFERROR(__xludf.DUMMYFUNCTION("GOOGLETRANSLATE(B25993,""en"",""fr"")"),"Les gens continuent de rouler et se terminent avec un homme et deux enfants qui sortent.")</f>
        <v>Les gens continuent de rouler et se terminent avec un homme et deux enfants qui sortent.</v>
      </c>
    </row>
    <row r="25994">
      <c r="A25994" s="4" t="s">
        <v>32720</v>
      </c>
      <c r="B25994" s="4" t="s">
        <v>32721</v>
      </c>
      <c r="C25994" s="5" t="str">
        <f>IFERROR(__xludf.DUMMYFUNCTION("GOOGLETRANSLATE(B25994,""en"",""fr"")"),"Une introduction sur l'écran introduisant une vidéo de lancement d'hiver.")</f>
        <v>Une introduction sur l'écran introduisant une vidéo de lancement d'hiver.</v>
      </c>
    </row>
    <row r="25995">
      <c r="A25995" s="4" t="s">
        <v>32720</v>
      </c>
      <c r="B25995" s="4" t="s">
        <v>32722</v>
      </c>
      <c r="C25995" s="5" t="str">
        <f>IFERROR(__xludf.DUMMYFUNCTION("GOOGLETRANSLATE(B25995,""en"",""fr"")"),"Un homme tourne en cercle et complète le lancer en célébrant sa distance.")</f>
        <v>Un homme tourne en cercle et complète le lancer en célébrant sa distance.</v>
      </c>
    </row>
    <row r="25996">
      <c r="A25996" s="4" t="s">
        <v>32720</v>
      </c>
      <c r="B25996" s="4" t="s">
        <v>32723</v>
      </c>
      <c r="C25996" s="5" t="str">
        <f>IFERROR(__xludf.DUMMYFUNCTION("GOOGLETRANSLATE(B25996,""en"",""fr"")"),"Il se prépare à un autre lancer en se mettant en position.")</f>
        <v>Il se prépare à un autre lancer en se mettant en position.</v>
      </c>
    </row>
    <row r="25997">
      <c r="A25997" s="4" t="s">
        <v>32720</v>
      </c>
      <c r="B25997" s="4" t="s">
        <v>32724</v>
      </c>
      <c r="C25997" s="5" t="str">
        <f>IFERROR(__xludf.DUMMYFUNCTION("GOOGLETRANSLATE(B25997,""en"",""fr"")"),"Il termine le lancer et se prépare pour un autre.")</f>
        <v>Il termine le lancer et se prépare pour un autre.</v>
      </c>
    </row>
    <row r="25998">
      <c r="A25998" s="4" t="s">
        <v>32720</v>
      </c>
      <c r="B25998" s="4" t="s">
        <v>32725</v>
      </c>
      <c r="C25998" s="5" t="str">
        <f>IFERROR(__xludf.DUMMYFUNCTION("GOOGLETRANSLATE(B25998,""en"",""fr"")"),"Il termine le prochain lancer et se prépare pour le suivant.")</f>
        <v>Il termine le prochain lancer et se prépare pour le suivant.</v>
      </c>
    </row>
    <row r="25999">
      <c r="A25999" s="4" t="s">
        <v>32720</v>
      </c>
      <c r="B25999" s="4" t="s">
        <v>32726</v>
      </c>
      <c r="C25999" s="5" t="str">
        <f>IFERROR(__xludf.DUMMYFUNCTION("GOOGLETRANSLATE(B25999,""en"",""fr"")"),"Il termine le dernier lancer et célèbre à nouveau une bonne distance.")</f>
        <v>Il termine le dernier lancer et célèbre à nouveau une bonne distance.</v>
      </c>
    </row>
    <row r="26000">
      <c r="A26000" s="4" t="s">
        <v>32720</v>
      </c>
      <c r="B26000" s="4" t="s">
        <v>32727</v>
      </c>
      <c r="C26000" s="5" t="str">
        <f>IFERROR(__xludf.DUMMYFUNCTION("GOOGLETRANSLATE(B26000,""en"",""fr"")"),"La vidéo se termine par du texte affiché à l'écran.")</f>
        <v>La vidéo se termine par du texte affiché à l'écran.</v>
      </c>
    </row>
    <row r="26001">
      <c r="A26001" s="4" t="s">
        <v>32728</v>
      </c>
      <c r="B26001" s="4" t="s">
        <v>32729</v>
      </c>
      <c r="C26001" s="5" t="str">
        <f>IFERROR(__xludf.DUMMYFUNCTION("GOOGLETRANSLATE(B26001,""en"",""fr"")"),"Deux filles pratiquent des mouvements de danse devant leur téléviseur dans leur salon.")</f>
        <v>Deux filles pratiquent des mouvements de danse devant leur téléviseur dans leur salon.</v>
      </c>
    </row>
    <row r="26002">
      <c r="A26002" s="4" t="s">
        <v>32728</v>
      </c>
      <c r="B26002" s="4" t="s">
        <v>32730</v>
      </c>
      <c r="C26002" s="5" t="str">
        <f>IFERROR(__xludf.DUMMYFUNCTION("GOOGLETRANSLATE(B26002,""en"",""fr"")"),"L'une des filles porte une chemise rouge et l'autre porte une chemise bleu foncé.")</f>
        <v>L'une des filles porte une chemise rouge et l'autre porte une chemise bleu foncé.</v>
      </c>
    </row>
    <row r="26003">
      <c r="A26003" s="4" t="s">
        <v>32728</v>
      </c>
      <c r="B26003" s="4" t="s">
        <v>32731</v>
      </c>
      <c r="C26003" s="5" t="str">
        <f>IFERROR(__xludf.DUMMYFUNCTION("GOOGLETRANSLATE(B26003,""en"",""fr"")"),"Ils pratiquent la danse de la salle de bal.")</f>
        <v>Ils pratiquent la danse de la salle de bal.</v>
      </c>
    </row>
    <row r="26004">
      <c r="A26004" s="4" t="s">
        <v>32728</v>
      </c>
      <c r="B26004" s="4" t="s">
        <v>32732</v>
      </c>
      <c r="C26004" s="5" t="str">
        <f>IFERROR(__xludf.DUMMYFUNCTION("GOOGLETRANSLATE(B26004,""en"",""fr"")"),"Ils se balancent à tour de rôle et tournonnent autour des mains les uns des autres pendant qu'ils tournent en rond.")</f>
        <v>Ils se balancent à tour de rôle et tournonnent autour des mains les uns des autres pendant qu'ils tournent en rond.</v>
      </c>
    </row>
    <row r="26005">
      <c r="A26005" s="4" t="s">
        <v>32728</v>
      </c>
      <c r="B26005" s="4" t="s">
        <v>32733</v>
      </c>
      <c r="C26005" s="5" t="str">
        <f>IFERROR(__xludf.DUMMYFUNCTION("GOOGLETRANSLATE(B26005,""en"",""fr"")"),"Ils suivent également un schéma de leurs mouvements de jambes car ils suivent les étapes rythmiquement.")</f>
        <v>Ils suivent également un schéma de leurs mouvements de jambes car ils suivent les étapes rythmiquement.</v>
      </c>
    </row>
    <row r="26006">
      <c r="A26006" s="4" t="s">
        <v>32728</v>
      </c>
      <c r="B26006" s="4" t="s">
        <v>32734</v>
      </c>
      <c r="C26006" s="5" t="str">
        <f>IFERROR(__xludf.DUMMYFUNCTION("GOOGLETRANSLATE(B26006,""en"",""fr"")"),"Après avoir fini, ils gloussent et s'éloignent tous les deux.")</f>
        <v>Après avoir fini, ils gloussent et s'éloignent tous les deux.</v>
      </c>
    </row>
    <row r="26007">
      <c r="A26007" s="4" t="s">
        <v>32735</v>
      </c>
      <c r="B26007" s="4" t="s">
        <v>32736</v>
      </c>
      <c r="C26007" s="5" t="str">
        <f>IFERROR(__xludf.DUMMYFUNCTION("GOOGLETRANSLATE(B26007,""en"",""fr"")"),"Une image immobile est représentée avec les mots Walk Walk à travers l'Amérique montré dessus.")</f>
        <v>Une image immobile est représentée avec les mots Walk Walk à travers l'Amérique montré dessus.</v>
      </c>
    </row>
    <row r="26008">
      <c r="A26008" s="4" t="s">
        <v>32735</v>
      </c>
      <c r="B26008" s="6" t="s">
        <v>32737</v>
      </c>
      <c r="C26008" s="5" t="str">
        <f>IFERROR(__xludf.DUMMYFUNCTION("GOOGLETRANSLATE(B26008,""en"",""fr"")"),"Un couple d'âge moyen est ensuite montré en train de se rendre sur des bûches en parlant avec leurs chiens errant derrière eux et un autre homme assis sur un gros rocher de rocher.")</f>
        <v>Un couple d'âge moyen est ensuite montré en train de se rendre sur des bûches en parlant avec leurs chiens errant derrière eux et un autre homme assis sur un gros rocher de rocher.</v>
      </c>
    </row>
    <row r="26009">
      <c r="A26009" s="4" t="s">
        <v>32735</v>
      </c>
      <c r="B26009" s="4" t="s">
        <v>32738</v>
      </c>
      <c r="C26009" s="5" t="str">
        <f>IFERROR(__xludf.DUMMYFUNCTION("GOOGLETRANSLATE(B26009,""en"",""fr"")"),"Ensuite, plusieurs images de chiens sont montrées, puis la femme réapparaît seule.")</f>
        <v>Ensuite, plusieurs images de chiens sont montrées, puis la femme réapparaît seule.</v>
      </c>
    </row>
    <row r="26010">
      <c r="A26010" s="4" t="s">
        <v>32735</v>
      </c>
      <c r="B26010" s="4" t="s">
        <v>32739</v>
      </c>
      <c r="C26010" s="5" t="str">
        <f>IFERROR(__xludf.DUMMYFUNCTION("GOOGLETRANSLATE(B26010,""en"",""fr"")"),"Ensuite, un autre ensemble d'images est montré où les chiens sont aidés par les vétérinaires.")</f>
        <v>Ensuite, un autre ensemble d'images est montré où les chiens sont aidés par les vétérinaires.</v>
      </c>
    </row>
    <row r="26011">
      <c r="A26011" s="4" t="s">
        <v>32735</v>
      </c>
      <c r="B26011" s="4" t="s">
        <v>32740</v>
      </c>
      <c r="C26011" s="5" t="str">
        <f>IFERROR(__xludf.DUMMYFUNCTION("GOOGLETRANSLATE(B26011,""en"",""fr"")"),"L'homme réapparaît ensuite avec la dame et ils recommencent à parler.")</f>
        <v>L'homme réapparaît ensuite avec la dame et ils recommencent à parler.</v>
      </c>
    </row>
    <row r="26012">
      <c r="A26012" s="4" t="s">
        <v>32735</v>
      </c>
      <c r="B26012" s="4" t="s">
        <v>32741</v>
      </c>
      <c r="C26012" s="5" t="str">
        <f>IFERROR(__xludf.DUMMYFUNCTION("GOOGLETRANSLATE(B26012,""en"",""fr"")"),"Enfin, l'homme s'en va et un écran noir apparaît montrant plusieurs sites Web.")</f>
        <v>Enfin, l'homme s'en va et un écran noir apparaît montrant plusieurs sites Web.</v>
      </c>
    </row>
    <row r="26013">
      <c r="A26013" s="4" t="s">
        <v>32742</v>
      </c>
      <c r="B26013" s="4" t="s">
        <v>32743</v>
      </c>
      <c r="C26013" s="5" t="str">
        <f>IFERROR(__xludf.DUMMYFUNCTION("GOOGLETRANSLATE(B26013,""en"",""fr"")"),"Certains garçons sont à l'intérieur d'une salle de sport.")</f>
        <v>Certains garçons sont à l'intérieur d'une salle de sport.</v>
      </c>
    </row>
    <row r="26014">
      <c r="A26014" s="4" t="s">
        <v>32742</v>
      </c>
      <c r="B26014" s="4" t="s">
        <v>32744</v>
      </c>
      <c r="C26014" s="5" t="str">
        <f>IFERROR(__xludf.DUMMYFUNCTION("GOOGLETRANSLATE(B26014,""en"",""fr"")"),"Ils empilent à tour de rôle un tas de pneus.")</f>
        <v>Ils empilent à tour de rôle un tas de pneus.</v>
      </c>
    </row>
    <row r="26015">
      <c r="A26015" s="4" t="s">
        <v>32742</v>
      </c>
      <c r="B26015" s="4" t="s">
        <v>32745</v>
      </c>
      <c r="C26015" s="5" t="str">
        <f>IFERROR(__xludf.DUMMYFUNCTION("GOOGLETRANSLATE(B26015,""en"",""fr"")"),"Après chaque ajout, l'un d'eux saute et se tient en haut.")</f>
        <v>Après chaque ajout, l'un d'eux saute et se tient en haut.</v>
      </c>
    </row>
    <row r="26016">
      <c r="A26016" s="4" t="s">
        <v>32746</v>
      </c>
      <c r="B26016" s="4" t="s">
        <v>32747</v>
      </c>
      <c r="C26016" s="5" t="str">
        <f>IFERROR(__xludf.DUMMYFUNCTION("GOOGLETRANSLATE(B26016,""en"",""fr"")"),"L'homme est dans un gymnase oofed qui étire sa jambe et fait de l'exercice devant une chaise.")</f>
        <v>L'homme est dans un gymnase oofed qui étire sa jambe et fait de l'exercice devant une chaise.</v>
      </c>
    </row>
    <row r="26017">
      <c r="A26017" s="4" t="s">
        <v>32746</v>
      </c>
      <c r="B26017" s="4" t="s">
        <v>32748</v>
      </c>
      <c r="C26017" s="5" t="str">
        <f>IFERROR(__xludf.DUMMYFUNCTION("GOOGLETRANSLATE(B26017,""en"",""fr"")"),"L'homme plie l'autre jambe et l'étire.")</f>
        <v>L'homme plie l'autre jambe et l'étire.</v>
      </c>
    </row>
    <row r="26018">
      <c r="A26018" s="4" t="s">
        <v>32749</v>
      </c>
      <c r="B26018" s="4" t="s">
        <v>32750</v>
      </c>
      <c r="C26018" s="5" t="str">
        <f>IFERROR(__xludf.DUMMYFUNCTION("GOOGLETRANSLATE(B26018,""en"",""fr"")"),"Un homme s'agenouille pour prendre un poids pendant qu'un homme le regarde.")</f>
        <v>Un homme s'agenouille pour prendre un poids pendant qu'un homme le regarde.</v>
      </c>
    </row>
    <row r="26019">
      <c r="A26019" s="4" t="s">
        <v>32749</v>
      </c>
      <c r="B26019" s="4" t="s">
        <v>32751</v>
      </c>
      <c r="C26019" s="5" t="str">
        <f>IFERROR(__xludf.DUMMYFUNCTION("GOOGLETRANSLATE(B26019,""en"",""fr"")"),"Un homme de grossesse topless pratiquant le poids derrière l'homme.")</f>
        <v>Un homme de grossesse topless pratiquant le poids derrière l'homme.</v>
      </c>
    </row>
    <row r="26020">
      <c r="A26020" s="4" t="s">
        <v>32749</v>
      </c>
      <c r="B26020" s="4" t="s">
        <v>32752</v>
      </c>
      <c r="C26020" s="5" t="str">
        <f>IFERROR(__xludf.DUMMYFUNCTION("GOOGLETRANSLATE(B26020,""en"",""fr"")"),"Une personne soulève un poids sur le dos.")</f>
        <v>Une personne soulève un poids sur le dos.</v>
      </c>
    </row>
    <row r="26021">
      <c r="A26021" s="4" t="s">
        <v>32749</v>
      </c>
      <c r="B26021" s="4" t="s">
        <v>32753</v>
      </c>
      <c r="C26021" s="5" t="str">
        <f>IFERROR(__xludf.DUMMYFUNCTION("GOOGLETRANSLATE(B26021,""en"",""fr"")"),"Ensuite, l'homme soulève le poids, après avoir laissé tomber le poids sur le sol.")</f>
        <v>Ensuite, l'homme soulève le poids, après avoir laissé tomber le poids sur le sol.</v>
      </c>
    </row>
    <row r="26022">
      <c r="A26022" s="4" t="s">
        <v>32749</v>
      </c>
      <c r="B26022" s="4" t="s">
        <v>32754</v>
      </c>
      <c r="C26022" s="5" t="str">
        <f>IFERROR(__xludf.DUMMYFUNCTION("GOOGLETRANSLATE(B26022,""en"",""fr"")"),"Encore une fois, l'homme s'agenouille à nouveau et soulève le poids au-dessus de sa tête, puis le laisse tomber.")</f>
        <v>Encore une fois, l'homme s'agenouille à nouveau et soulève le poids au-dessus de sa tête, puis le laisse tomber.</v>
      </c>
    </row>
    <row r="26023">
      <c r="A26023" s="4" t="s">
        <v>32755</v>
      </c>
      <c r="B26023" s="4" t="s">
        <v>32756</v>
      </c>
      <c r="C26023" s="5" t="str">
        <f>IFERROR(__xludf.DUMMYFUNCTION("GOOGLETRANSLATE(B26023,""en"",""fr"")"),"Deux hommes sont assis à une table.")</f>
        <v>Deux hommes sont assis à une table.</v>
      </c>
    </row>
    <row r="26024">
      <c r="A26024" s="4" t="s">
        <v>32755</v>
      </c>
      <c r="B26024" s="4" t="s">
        <v>32757</v>
      </c>
      <c r="C26024" s="5" t="str">
        <f>IFERROR(__xludf.DUMMYFUNCTION("GOOGLETRANSLATE(B26024,""en"",""fr"")"),"L'homme le plus proche des crochets de la caméra.")</f>
        <v>L'homme le plus proche des crochets de la caméra.</v>
      </c>
    </row>
    <row r="26025">
      <c r="A26025" s="4" t="s">
        <v>32755</v>
      </c>
      <c r="B26025" s="4" t="s">
        <v>32758</v>
      </c>
      <c r="C26025" s="5" t="str">
        <f>IFERROR(__xludf.DUMMYFUNCTION("GOOGLETRANSLATE(B26025,""en"",""fr"")"),"L'homme le plus proche de la caméra se gratte l'oreille.")</f>
        <v>L'homme le plus proche de la caméra se gratte l'oreille.</v>
      </c>
    </row>
    <row r="26026">
      <c r="A26026" s="4" t="s">
        <v>32759</v>
      </c>
      <c r="B26026" s="4" t="s">
        <v>32760</v>
      </c>
      <c r="C26026" s="5" t="str">
        <f>IFERROR(__xludf.DUMMYFUNCTION("GOOGLETRANSLATE(B26026,""en"",""fr"")"),"Une personne tient un javelot et se prépare à le lancer.")</f>
        <v>Une personne tient un javelot et se prépare à le lancer.</v>
      </c>
    </row>
    <row r="26027">
      <c r="A26027" s="4" t="s">
        <v>32759</v>
      </c>
      <c r="B26027" s="4" t="s">
        <v>32761</v>
      </c>
      <c r="C26027" s="5" t="str">
        <f>IFERROR(__xludf.DUMMYFUNCTION("GOOGLETRANSLATE(B26027,""en"",""fr"")"),"Ensuite, l'homme court et lance le javelot.")</f>
        <v>Ensuite, l'homme court et lance le javelot.</v>
      </c>
    </row>
    <row r="26028">
      <c r="A26028" s="4" t="s">
        <v>32762</v>
      </c>
      <c r="B26028" s="4" t="s">
        <v>32763</v>
      </c>
      <c r="C26028" s="5" t="str">
        <f>IFERROR(__xludf.DUMMYFUNCTION("GOOGLETRANSLATE(B26028,""en"",""fr"")"),"Une femme montre comment appliquer du papier peint sur un mur.")</f>
        <v>Une femme montre comment appliquer du papier peint sur un mur.</v>
      </c>
    </row>
    <row r="26029">
      <c r="A26029" s="4" t="s">
        <v>32762</v>
      </c>
      <c r="B26029" s="4" t="s">
        <v>32764</v>
      </c>
      <c r="C26029" s="5" t="str">
        <f>IFERROR(__xludf.DUMMYFUNCTION("GOOGLETRANSLATE(B26029,""en"",""fr"")"),"Une femme occupe les différents outils nécessaires pour appliquer du papier peint.")</f>
        <v>Une femme occupe les différents outils nécessaires pour appliquer du papier peint.</v>
      </c>
    </row>
    <row r="26030">
      <c r="A26030" s="4" t="s">
        <v>32762</v>
      </c>
      <c r="B26030" s="6" t="s">
        <v>32765</v>
      </c>
      <c r="C26030" s="5" t="str">
        <f>IFERROR(__xludf.DUMMYFUNCTION("GOOGLETRANSLATE(B26030,""en"",""fr"")"),"La femme démontre le processus avant d'appliquer le document dans de courts segments de démonstration.")</f>
        <v>La femme démontre le processus avant d'appliquer le document dans de courts segments de démonstration.</v>
      </c>
    </row>
    <row r="26031">
      <c r="A26031" s="4" t="s">
        <v>32762</v>
      </c>
      <c r="B26031" s="4" t="s">
        <v>32766</v>
      </c>
      <c r="C26031" s="5" t="str">
        <f>IFERROR(__xludf.DUMMYFUNCTION("GOOGLETRANSLATE(B26031,""en"",""fr"")"),"La femme commence alors à appliquer le papier peint sur un mur étape par étape.")</f>
        <v>La femme commence alors à appliquer le papier peint sur un mur étape par étape.</v>
      </c>
    </row>
    <row r="26032">
      <c r="A26032" s="4" t="s">
        <v>32767</v>
      </c>
      <c r="B26032" s="4" t="s">
        <v>32768</v>
      </c>
      <c r="C26032" s="5" t="str">
        <f>IFERROR(__xludf.DUMMYFUNCTION("GOOGLETRANSLATE(B26032,""en"",""fr"")"),"Les pieds nus d'une personne sont montrés en montant un escalier.")</f>
        <v>Les pieds nus d'une personne sont montrés en montant un escalier.</v>
      </c>
    </row>
    <row r="26033">
      <c r="A26033" s="4" t="s">
        <v>32767</v>
      </c>
      <c r="B26033" s="4" t="s">
        <v>32769</v>
      </c>
      <c r="C26033" s="5" t="str">
        <f>IFERROR(__xludf.DUMMYFUNCTION("GOOGLETRANSLATE(B26033,""en"",""fr"")"),"Ensuite, différents hommes sont montrés en plongée au ralenti sur le bord de plongée dans l'eau.")</f>
        <v>Ensuite, différents hommes sont montrés en plongée au ralenti sur le bord de plongée dans l'eau.</v>
      </c>
    </row>
    <row r="26034">
      <c r="A26034" s="4" t="s">
        <v>32767</v>
      </c>
      <c r="B26034" s="4" t="s">
        <v>32770</v>
      </c>
      <c r="C26034" s="5" t="str">
        <f>IFERROR(__xludf.DUMMYFUNCTION("GOOGLETRANSLATE(B26034,""en"",""fr"")"),"Les femmes et les garçons sautent également, chacun atterrissant dans une piscine extérieure.")</f>
        <v>Les femmes et les garçons sautent également, chacun atterrissant dans une piscine extérieure.</v>
      </c>
    </row>
    <row r="26035">
      <c r="A26035" s="4" t="s">
        <v>32771</v>
      </c>
      <c r="B26035" s="4" t="s">
        <v>32772</v>
      </c>
      <c r="C26035" s="5" t="str">
        <f>IFERROR(__xludf.DUMMYFUNCTION("GOOGLETRANSLATE(B26035,""en"",""fr"")"),"Une femelle est allongée sur son dos à faire de l'exercice à l'intérieur d'une salle de sport.")</f>
        <v>Une femelle est allongée sur son dos à faire de l'exercice à l'intérieur d'une salle de sport.</v>
      </c>
    </row>
    <row r="26036">
      <c r="A26036" s="4" t="s">
        <v>32771</v>
      </c>
      <c r="B26036" s="4" t="s">
        <v>32773</v>
      </c>
      <c r="C26036" s="5" t="str">
        <f>IFERROR(__xludf.DUMMYFUNCTION("GOOGLETRANSLATE(B26036,""en"",""fr"")"),"Elle porte du noir et du rose et a l'air très confortable pendant qu'elle s'entraîne.")</f>
        <v>Elle porte du noir et du rose et a l'air très confortable pendant qu'elle s'entraîne.</v>
      </c>
    </row>
    <row r="26037">
      <c r="A26037" s="4" t="s">
        <v>32771</v>
      </c>
      <c r="B26037" s="4" t="s">
        <v>32774</v>
      </c>
      <c r="C26037" s="5" t="str">
        <f>IFERROR(__xludf.DUMMYFUNCTION("GOOGLETRANSLATE(B26037,""en"",""fr"")"),"Elle élève ses bras et ses jambes jusqu'au centre de son corps.")</f>
        <v>Elle élève ses bras et ses jambes jusqu'au centre de son corps.</v>
      </c>
    </row>
    <row r="26038">
      <c r="A26038" s="4" t="s">
        <v>32771</v>
      </c>
      <c r="B26038" s="4" t="s">
        <v>32775</v>
      </c>
      <c r="C26038" s="5" t="str">
        <f>IFERROR(__xludf.DUMMYFUNCTION("GOOGLETRANSLATE(B26038,""en"",""fr"")"),"Elle le fait à plusieurs reprises pendant un petit moment.")</f>
        <v>Elle le fait à plusieurs reprises pendant un petit moment.</v>
      </c>
    </row>
    <row r="26039">
      <c r="A26039" s="4" t="s">
        <v>32776</v>
      </c>
      <c r="B26039" s="4" t="s">
        <v>19329</v>
      </c>
      <c r="C26039" s="5" t="str">
        <f>IFERROR(__xludf.DUMMYFUNCTION("GOOGLETRANSLATE(B26039,""en"",""fr"")"),"Nous voyons un jeu de hockey jouer.")</f>
        <v>Nous voyons un jeu de hockey jouer.</v>
      </c>
    </row>
    <row r="26040">
      <c r="A26040" s="4" t="s">
        <v>32776</v>
      </c>
      <c r="B26040" s="4" t="s">
        <v>32777</v>
      </c>
      <c r="C26040" s="5" t="str">
        <f>IFERROR(__xludf.DUMMYFUNCTION("GOOGLETRANSLATE(B26040,""en"",""fr"")"),"Les joueurs se précipitent sur le terrain et commencent à se battre.")</f>
        <v>Les joueurs se précipitent sur le terrain et commencent à se battre.</v>
      </c>
    </row>
    <row r="26041">
      <c r="A26041" s="4" t="s">
        <v>32776</v>
      </c>
      <c r="B26041" s="4" t="s">
        <v>32778</v>
      </c>
      <c r="C26041" s="5" t="str">
        <f>IFERROR(__xludf.DUMMYFUNCTION("GOOGLETRANSLATE(B26041,""en"",""fr"")"),"Une personne frappe quelqu'un dans la tête.")</f>
        <v>Une personne frappe quelqu'un dans la tête.</v>
      </c>
    </row>
    <row r="26042">
      <c r="A26042" s="4" t="s">
        <v>32776</v>
      </c>
      <c r="B26042" s="4" t="s">
        <v>32779</v>
      </c>
      <c r="C26042" s="5" t="str">
        <f>IFERROR(__xludf.DUMMYFUNCTION("GOOGLETRANSLATE(B26042,""en"",""fr"")"),"L'entraîneur essaie de combattre un autre entraîneur.")</f>
        <v>L'entraîneur essaie de combattre un autre entraîneur.</v>
      </c>
    </row>
    <row r="26043">
      <c r="A26043" s="4" t="s">
        <v>32776</v>
      </c>
      <c r="B26043" s="4" t="s">
        <v>32780</v>
      </c>
      <c r="C26043" s="5" t="str">
        <f>IFERROR(__xludf.DUMMYFUNCTION("GOOGLETRANSLATE(B26043,""en"",""fr"")"),"Un homme grimpe sur le balcon pour essayer de se battre.")</f>
        <v>Un homme grimpe sur le balcon pour essayer de se battre.</v>
      </c>
    </row>
    <row r="26044">
      <c r="A26044" s="4" t="s">
        <v>32776</v>
      </c>
      <c r="B26044" s="4" t="s">
        <v>32781</v>
      </c>
      <c r="C26044" s="5" t="str">
        <f>IFERROR(__xludf.DUMMYFUNCTION("GOOGLETRANSLATE(B26044,""en"",""fr"")"),"L'équipe rouge se rassemble et s'embrasse.")</f>
        <v>L'équipe rouge se rassemble et s'embrasse.</v>
      </c>
    </row>
    <row r="26045">
      <c r="A26045" s="4" t="s">
        <v>32782</v>
      </c>
      <c r="B26045" s="4" t="s">
        <v>32783</v>
      </c>
      <c r="C26045" s="5" t="str">
        <f>IFERROR(__xludf.DUMMYFUNCTION("GOOGLETRANSLATE(B26045,""en"",""fr"")"),"Un entraîneur de volleyball se tient près d'un filet tenant une balle et parle.")</f>
        <v>Un entraîneur de volleyball se tient près d'un filet tenant une balle et parle.</v>
      </c>
    </row>
    <row r="26046">
      <c r="A26046" s="4" t="s">
        <v>32782</v>
      </c>
      <c r="B26046" s="4" t="s">
        <v>32784</v>
      </c>
      <c r="C26046" s="5" t="str">
        <f>IFERROR(__xludf.DUMMYFUNCTION("GOOGLETRANSLATE(B26046,""en"",""fr"")"),"Deux groupes de filles courent au milieu d'un tribunal pour saisir des balles de volley.")</f>
        <v>Deux groupes de filles courent au milieu d'un tribunal pour saisir des balles de volley.</v>
      </c>
    </row>
    <row r="26047">
      <c r="A26047" s="4" t="s">
        <v>32782</v>
      </c>
      <c r="B26047" s="4" t="s">
        <v>32785</v>
      </c>
      <c r="C26047" s="5" t="str">
        <f>IFERROR(__xludf.DUMMYFUNCTION("GOOGLETRANSLATE(B26047,""en"",""fr"")"),"Ils se jettent les couilles.")</f>
        <v>Ils se jettent les couilles.</v>
      </c>
    </row>
    <row r="26048">
      <c r="A26048" s="4" t="s">
        <v>32782</v>
      </c>
      <c r="B26048" s="4" t="s">
        <v>32786</v>
      </c>
      <c r="C26048" s="5" t="str">
        <f>IFERROR(__xludf.DUMMYFUNCTION("GOOGLETRANSLATE(B26048,""en"",""fr"")"),"L'entraîneur est vu donner des instructions.")</f>
        <v>L'entraîneur est vu donner des instructions.</v>
      </c>
    </row>
    <row r="26049">
      <c r="A26049" s="4" t="s">
        <v>32782</v>
      </c>
      <c r="B26049" s="4" t="s">
        <v>32787</v>
      </c>
      <c r="C26049" s="5" t="str">
        <f>IFERROR(__xludf.DUMMYFUNCTION("GOOGLETRANSLATE(B26049,""en"",""fr"")"),"Les filles continuent de se jeter les couilles.")</f>
        <v>Les filles continuent de se jeter les couilles.</v>
      </c>
    </row>
    <row r="26050">
      <c r="A26050" s="4" t="s">
        <v>32782</v>
      </c>
      <c r="B26050" s="4" t="s">
        <v>32788</v>
      </c>
      <c r="C26050" s="5" t="str">
        <f>IFERROR(__xludf.DUMMYFUNCTION("GOOGLETRANSLATE(B26050,""en"",""fr"")"),"Deux filles se tiennent à côté de la touche.")</f>
        <v>Deux filles se tiennent à côté de la touche.</v>
      </c>
    </row>
    <row r="26051">
      <c r="A26051" s="4" t="s">
        <v>32789</v>
      </c>
      <c r="B26051" s="4" t="s">
        <v>32790</v>
      </c>
      <c r="C26051" s="5" t="str">
        <f>IFERROR(__xludf.DUMMYFUNCTION("GOOGLETRANSLATE(B26051,""en"",""fr"")"),"Les gens s'ennuient dans un salon.")</f>
        <v>Les gens s'ennuient dans un salon.</v>
      </c>
    </row>
    <row r="26052">
      <c r="A26052" s="4" t="s">
        <v>32789</v>
      </c>
      <c r="B26052" s="4" t="s">
        <v>32791</v>
      </c>
      <c r="C26052" s="5" t="str">
        <f>IFERROR(__xludf.DUMMYFUNCTION("GOOGLETRANSLATE(B26052,""en"",""fr"")"),"Un homme marche en tenant une table de pong de bière portable.")</f>
        <v>Un homme marche en tenant une table de pong de bière portable.</v>
      </c>
    </row>
    <row r="26053">
      <c r="A26053" s="4" t="s">
        <v>32789</v>
      </c>
      <c r="B26053" s="4" t="s">
        <v>32792</v>
      </c>
      <c r="C26053" s="5" t="str">
        <f>IFERROR(__xludf.DUMMYFUNCTION("GOOGLETRANSLATE(B26053,""en"",""fr"")"),"Les gens sont excités pour lui.")</f>
        <v>Les gens sont excités pour lui.</v>
      </c>
    </row>
    <row r="26054">
      <c r="A26054" s="4" t="s">
        <v>32789</v>
      </c>
      <c r="B26054" s="4" t="s">
        <v>32793</v>
      </c>
      <c r="C26054" s="5" t="str">
        <f>IFERROR(__xludf.DUMMYFUNCTION("GOOGLETRANSLATE(B26054,""en"",""fr"")"),"Ils jouent quelques tours de bière.")</f>
        <v>Ils jouent quelques tours de bière.</v>
      </c>
    </row>
    <row r="26055">
      <c r="A26055" s="4" t="s">
        <v>32789</v>
      </c>
      <c r="B26055" s="4" t="s">
        <v>32794</v>
      </c>
      <c r="C26055" s="5" t="str">
        <f>IFERROR(__xludf.DUMMYFUNCTION("GOOGLETRANSLATE(B26055,""en"",""fr"")"),"Un homme tient une balle de ping-pong devant un groupe de personnes.")</f>
        <v>Un homme tient une balle de ping-pong devant un groupe de personnes.</v>
      </c>
    </row>
    <row r="26056">
      <c r="A26056" s="4" t="s">
        <v>32789</v>
      </c>
      <c r="B26056" s="4" t="s">
        <v>32795</v>
      </c>
      <c r="C26056" s="5" t="str">
        <f>IFERROR(__xludf.DUMMYFUNCTION("GOOGLETRANSLATE(B26056,""en"",""fr"")"),"Le texte apparaît à l'écran.")</f>
        <v>Le texte apparaît à l'écran.</v>
      </c>
    </row>
    <row r="26057">
      <c r="A26057" s="4" t="s">
        <v>32796</v>
      </c>
      <c r="B26057" s="4" t="s">
        <v>32797</v>
      </c>
      <c r="C26057" s="5" t="str">
        <f>IFERROR(__xludf.DUMMYFUNCTION("GOOGLETRANSLATE(B26057,""en"",""fr"")"),"Un skateur est venu rouler sur une route escarpée.")</f>
        <v>Un skateur est venu rouler sur une route escarpée.</v>
      </c>
    </row>
    <row r="26058">
      <c r="A26058" s="4" t="s">
        <v>32796</v>
      </c>
      <c r="B26058" s="4" t="s">
        <v>32798</v>
      </c>
      <c r="C26058" s="5" t="str">
        <f>IFERROR(__xludf.DUMMYFUNCTION("GOOGLETRANSLATE(B26058,""en"",""fr"")"),"Les planchistes roulent au milieu des rues publiques.")</f>
        <v>Les planchistes roulent au milieu des rues publiques.</v>
      </c>
    </row>
    <row r="26059">
      <c r="A26059" s="4" t="s">
        <v>32796</v>
      </c>
      <c r="B26059" s="4" t="s">
        <v>32799</v>
      </c>
      <c r="C26059" s="5" t="str">
        <f>IFERROR(__xludf.DUMMYFUNCTION("GOOGLETRANSLATE(B26059,""en"",""fr"")"),"Les mots ""Fair Oaks Longboard"" avec des crédits apparaissent sur les patineurs.")</f>
        <v>Les mots "Fair Oaks Longboard" avec des crédits apparaissent sur les patineurs.</v>
      </c>
    </row>
    <row r="26060">
      <c r="A26060" s="4" t="s">
        <v>32800</v>
      </c>
      <c r="B26060" s="4" t="s">
        <v>32801</v>
      </c>
      <c r="C26060" s="5" t="str">
        <f>IFERROR(__xludf.DUMMYFUNCTION("GOOGLETRANSLATE(B26060,""en"",""fr"")"),"Un chat est allongé sur le dos sur le canapé.")</f>
        <v>Un chat est allongé sur le dos sur le canapé.</v>
      </c>
    </row>
    <row r="26061">
      <c r="A26061" s="4" t="s">
        <v>32800</v>
      </c>
      <c r="B26061" s="4" t="s">
        <v>32802</v>
      </c>
      <c r="C26061" s="5" t="str">
        <f>IFERROR(__xludf.DUMMYFUNCTION("GOOGLETRANSLATE(B26061,""en"",""fr"")"),"Une personne ramasse le chat et la pose sur ses genoux.")</f>
        <v>Une personne ramasse le chat et la pose sur ses genoux.</v>
      </c>
    </row>
    <row r="26062">
      <c r="A26062" s="4" t="s">
        <v>32800</v>
      </c>
      <c r="B26062" s="4" t="s">
        <v>32803</v>
      </c>
      <c r="C26062" s="5" t="str">
        <f>IFERROR(__xludf.DUMMYFUNCTION("GOOGLETRANSLATE(B26062,""en"",""fr"")"),"Ils commencent à couper les ongles des chats.")</f>
        <v>Ils commencent à couper les ongles des chats.</v>
      </c>
    </row>
    <row r="26063">
      <c r="A26063" s="4" t="s">
        <v>32804</v>
      </c>
      <c r="B26063" s="4" t="s">
        <v>32805</v>
      </c>
      <c r="C26063" s="5" t="str">
        <f>IFERROR(__xludf.DUMMYFUNCTION("GOOGLETRANSLATE(B26063,""en"",""fr"")"),"Il y a une femme en bikini qui passe devant des gens avec des cerceaux.")</f>
        <v>Il y a une femme en bikini qui passe devant des gens avec des cerceaux.</v>
      </c>
    </row>
    <row r="26064">
      <c r="A26064" s="4" t="s">
        <v>32804</v>
      </c>
      <c r="B26064" s="6" t="s">
        <v>32806</v>
      </c>
      <c r="C26064" s="5" t="str">
        <f>IFERROR(__xludf.DUMMYFUNCTION("GOOGLETRANSLATE(B26064,""en"",""fr"")"),"Elle va à l'herbe et elle commence à cercler en rond, elle passe un très bon moment à danser et à cercer.")</f>
        <v>Elle va à l'herbe et elle commence à cercler en rond, elle passe un très bon moment à danser et à cercer.</v>
      </c>
    </row>
    <row r="26065">
      <c r="A26065" s="4" t="s">
        <v>32804</v>
      </c>
      <c r="B26065" s="4" t="s">
        <v>32807</v>
      </c>
      <c r="C26065" s="5" t="str">
        <f>IFERROR(__xludf.DUMMYFUNCTION("GOOGLETRANSLATE(B26065,""en"",""fr"")"),"Ensuite, d'autres personnes dansent et font aussi des cerveaux, faisant des astuces et profitez de la journée.")</f>
        <v>Ensuite, d'autres personnes dansent et font aussi des cerveaux, faisant des astuces et profitez de la journée.</v>
      </c>
    </row>
    <row r="26066">
      <c r="A26066" s="4" t="s">
        <v>32804</v>
      </c>
      <c r="B26066" s="4" t="s">
        <v>32808</v>
      </c>
      <c r="C26066" s="5" t="str">
        <f>IFERROR(__xludf.DUMMYFUNCTION("GOOGLETRANSLATE(B26066,""en"",""fr"")"),"Tout le monde regarde les deux filles à l'extérieur du magasin.")</f>
        <v>Tout le monde regarde les deux filles à l'extérieur du magasin.</v>
      </c>
    </row>
    <row r="26067">
      <c r="A26067" s="4" t="s">
        <v>32809</v>
      </c>
      <c r="B26067" s="4" t="s">
        <v>32810</v>
      </c>
      <c r="C26067" s="5" t="str">
        <f>IFERROR(__xludf.DUMMYFUNCTION("GOOGLETRANSLATE(B26067,""en"",""fr"")"),"Une petite fille est à l'extérieur un jour de neige.")</f>
        <v>Une petite fille est à l'extérieur un jour de neige.</v>
      </c>
    </row>
    <row r="26068">
      <c r="A26068" s="4" t="s">
        <v>32809</v>
      </c>
      <c r="B26068" s="4" t="s">
        <v>32811</v>
      </c>
      <c r="C26068" s="5" t="str">
        <f>IFERROR(__xludf.DUMMYFUNCTION("GOOGLETRANSLATE(B26068,""en"",""fr"")"),"Elle joue de la marelle qui est dessinée sur l'allée.")</f>
        <v>Elle joue de la marelle qui est dessinée sur l'allée.</v>
      </c>
    </row>
    <row r="26069">
      <c r="A26069" s="4" t="s">
        <v>32809</v>
      </c>
      <c r="B26069" s="4" t="s">
        <v>32812</v>
      </c>
      <c r="C26069" s="5" t="str">
        <f>IFERROR(__xludf.DUMMYFUNCTION("GOOGLETRANSLATE(B26069,""en"",""fr"")"),"Elle saute le long de chaque carré, puis se retourne et remonte au début.")</f>
        <v>Elle saute le long de chaque carré, puis se retourne et remonte au début.</v>
      </c>
    </row>
    <row r="26070">
      <c r="A26070" s="4" t="s">
        <v>32813</v>
      </c>
      <c r="B26070" s="4" t="s">
        <v>32814</v>
      </c>
      <c r="C26070" s="5" t="str">
        <f>IFERROR(__xludf.DUMMYFUNCTION("GOOGLETRANSLATE(B26070,""en"",""fr"")"),"Une serviette et un verre sont sur une table à côté d'un morceau de mousse et de métal.")</f>
        <v>Une serviette et un verre sont sur une table à côté d'un morceau de mousse et de métal.</v>
      </c>
    </row>
    <row r="26071">
      <c r="A26071" s="4" t="s">
        <v>32813</v>
      </c>
      <c r="B26071" s="4" t="s">
        <v>32815</v>
      </c>
      <c r="C26071" s="5" t="str">
        <f>IFERROR(__xludf.DUMMYFUNCTION("GOOGLETRANSLATE(B26071,""en"",""fr"")"),"Un outil est montré par un homme qui le tient.")</f>
        <v>Un outil est montré par un homme qui le tient.</v>
      </c>
    </row>
    <row r="26072">
      <c r="A26072" s="4" t="s">
        <v>32813</v>
      </c>
      <c r="B26072" s="4" t="s">
        <v>32816</v>
      </c>
      <c r="C26072" s="5" t="str">
        <f>IFERROR(__xludf.DUMMYFUNCTION("GOOGLETRANSLATE(B26072,""en"",""fr"")"),"Le métal est utilisé pour aiguiser un couteau devant lui.")</f>
        <v>Le métal est utilisé pour aiguiser un couteau devant lui.</v>
      </c>
    </row>
    <row r="26073">
      <c r="A26073" s="4" t="s">
        <v>32817</v>
      </c>
      <c r="B26073" s="6" t="s">
        <v>32818</v>
      </c>
      <c r="C26073" s="5" t="str">
        <f>IFERROR(__xludf.DUMMYFUNCTION("GOOGLETRANSLATE(B26073,""en"",""fr"")"),"Un groupe de personnes est vu traîner dans une zone avec plusieurs debout autour d'un match de pong de bière.")</f>
        <v>Un groupe de personnes est vu traîner dans une zone avec plusieurs debout autour d'un match de pong de bière.</v>
      </c>
    </row>
    <row r="26074">
      <c r="A26074" s="4" t="s">
        <v>32817</v>
      </c>
      <c r="B26074" s="4" t="s">
        <v>32819</v>
      </c>
      <c r="C26074" s="5" t="str">
        <f>IFERROR(__xludf.DUMMYFUNCTION("GOOGLETRANSLATE(B26074,""en"",""fr"")"),"Les gens jouent à Beer Pong en arrière et quatrième et une femme prend un verre à la fin qui est dégoûtant.")</f>
        <v>Les gens jouent à Beer Pong en arrière et quatrième et une femme prend un verre à la fin qui est dégoûtant.</v>
      </c>
    </row>
    <row r="26075">
      <c r="A26075" s="4" t="s">
        <v>32820</v>
      </c>
      <c r="B26075" s="4" t="s">
        <v>32821</v>
      </c>
      <c r="C26075" s="5" t="str">
        <f>IFERROR(__xludf.DUMMYFUNCTION("GOOGLETRANSLATE(B26075,""en"",""fr"")"),"Un cours de danse chorégle une routine et tout le monde est généralement synchronisé les uns avec les autres.")</f>
        <v>Un cours de danse chorégle une routine et tout le monde est généralement synchronisé les uns avec les autres.</v>
      </c>
    </row>
    <row r="26076">
      <c r="A26076" s="4" t="s">
        <v>32820</v>
      </c>
      <c r="B26076" s="4" t="s">
        <v>32822</v>
      </c>
      <c r="C26076" s="5" t="str">
        <f>IFERROR(__xludf.DUMMYFUNCTION("GOOGLETRANSLATE(B26076,""en"",""fr"")"),"Ils se déplacent d'avant en arrière, de haut en bas et secouent la poitrine.")</f>
        <v>Ils se déplacent d'avant en arrière, de haut en bas et secouent la poitrine.</v>
      </c>
    </row>
    <row r="26077">
      <c r="A26077" s="4" t="s">
        <v>32823</v>
      </c>
      <c r="B26077" s="6" t="s">
        <v>32824</v>
      </c>
      <c r="C26077" s="5" t="str">
        <f>IFERROR(__xludf.DUMMYFUNCTION("GOOGLETRANSLATE(B26077,""en"",""fr"")"),"Un homme dans une tenue d'inspiration asiatique blanche se dresse à l'extérieur, entourée d'arbres, sur l'herbe, et effectue plusieurs mouvements lents arts martiaux et de méditation.")</f>
        <v>Un homme dans une tenue d'inspiration asiatique blanche se dresse à l'extérieur, entourée d'arbres, sur l'herbe, et effectue plusieurs mouvements lents arts martiaux et de méditation.</v>
      </c>
    </row>
    <row r="26078">
      <c r="A26078" s="4" t="s">
        <v>32823</v>
      </c>
      <c r="B26078" s="6" t="s">
        <v>32825</v>
      </c>
      <c r="C26078" s="5" t="str">
        <f>IFERROR(__xludf.DUMMYFUNCTION("GOOGLETRANSLATE(B26078,""en"",""fr"")"),"La scène commence par une parcelle verte nue d'herbe coupée entourée de grands arbres et un bâtiment en arrière-plan au-delà du feuillage.")</f>
        <v>La scène commence par une parcelle verte nue d'herbe coupée entourée de grands arbres et un bâtiment en arrière-plan au-delà du feuillage.</v>
      </c>
    </row>
    <row r="26079">
      <c r="A26079" s="4" t="s">
        <v>32823</v>
      </c>
      <c r="B26079" s="6" t="s">
        <v>32826</v>
      </c>
      <c r="C26079" s="5" t="str">
        <f>IFERROR(__xludf.DUMMYFUNCTION("GOOGLETRANSLATE(B26079,""en"",""fr"")"),"L'homme court dans le cadre dans le centre de l'herbe, se concentre et fait un ascenseur de jambe suivi de plusieurs mouvements de main lents de haut en bas et autour.")</f>
        <v>L'homme court dans le cadre dans le centre de l'herbe, se concentre et fait un ascenseur de jambe suivi de plusieurs mouvements de main lents de haut en bas et autour.</v>
      </c>
    </row>
    <row r="26080">
      <c r="A26080" s="4" t="s">
        <v>32823</v>
      </c>
      <c r="B26080" s="6" t="s">
        <v>32827</v>
      </c>
      <c r="C26080" s="5" t="str">
        <f>IFERROR(__xludf.DUMMYFUNCTION("GOOGLETRANSLATE(B26080,""en"",""fr"")"),"L'homme continue d'effectuer des mouvements d'arts martiaux lents en utilisant les pieds, les mains, les genoux et les épaules se déplaçant autour du patch de gazon et piétant parfois ses pieds sur le sol.")</f>
        <v>L'homme continue d'effectuer des mouvements d'arts martiaux lents en utilisant les pieds, les mains, les genoux et les épaules se déplaçant autour du patch de gazon et piétant parfois ses pieds sur le sol.</v>
      </c>
    </row>
    <row r="26081">
      <c r="A26081" s="4" t="s">
        <v>32828</v>
      </c>
      <c r="B26081" s="4" t="s">
        <v>32829</v>
      </c>
      <c r="C26081" s="5" t="str">
        <f>IFERROR(__xludf.DUMMYFUNCTION("GOOGLETRANSLATE(B26081,""en"",""fr"")"),"Il s'agit d'un film sur la façon d'appliquer un sceau sur un toit.")</f>
        <v>Il s'agit d'un film sur la façon d'appliquer un sceau sur un toit.</v>
      </c>
    </row>
    <row r="26082">
      <c r="A26082" s="4" t="s">
        <v>32828</v>
      </c>
      <c r="B26082" s="4" t="s">
        <v>32830</v>
      </c>
      <c r="C26082" s="5" t="str">
        <f>IFERROR(__xludf.DUMMYFUNCTION("GOOGLETRANSLATE(B26082,""en"",""fr"")"),"Des choses noires sont mises sur le côté du toit.")</f>
        <v>Des choses noires sont mises sur le côté du toit.</v>
      </c>
    </row>
    <row r="26083">
      <c r="A26083" s="4" t="s">
        <v>32828</v>
      </c>
      <c r="B26083" s="4" t="s">
        <v>32831</v>
      </c>
      <c r="C26083" s="5" t="str">
        <f>IFERROR(__xludf.DUMMYFUNCTION("GOOGLETRANSLATE(B26083,""en"",""fr"")"),"Le toit est scellé.")</f>
        <v>Le toit est scellé.</v>
      </c>
    </row>
    <row r="26084">
      <c r="A26084" s="4" t="s">
        <v>32832</v>
      </c>
      <c r="B26084" s="6" t="s">
        <v>32833</v>
      </c>
      <c r="C26084" s="5" t="str">
        <f>IFERROR(__xludf.DUMMYFUNCTION("GOOGLETRANSLATE(B26084,""en"",""fr"")"),"On voit un grand groupe de personnes jouer un match de guerre les uns avec les autres et s'arrêter sur une corde les unes contre les autres.")</f>
        <v>On voit un grand groupe de personnes jouer un match de guerre les uns avec les autres et s'arrêter sur une corde les unes contre les autres.</v>
      </c>
    </row>
    <row r="26085">
      <c r="A26085" s="4" t="s">
        <v>32832</v>
      </c>
      <c r="B26085" s="6" t="s">
        <v>32834</v>
      </c>
      <c r="C26085" s="5" t="str">
        <f>IFERROR(__xludf.DUMMYFUNCTION("GOOGLETRANSLATE(B26085,""en"",""fr"")"),"Les gens continuent de jouer les uns avec les autres et se terminent avec une équipe et la foule applaudissant.")</f>
        <v>Les gens continuent de jouer les uns avec les autres et se terminent avec une équipe et la foule applaudissant.</v>
      </c>
    </row>
    <row r="26086">
      <c r="A26086" s="4" t="s">
        <v>32835</v>
      </c>
      <c r="B26086" s="4" t="s">
        <v>32836</v>
      </c>
      <c r="C26086" s="5" t="str">
        <f>IFERROR(__xludf.DUMMYFUNCTION("GOOGLETRANSLATE(B26086,""en"",""fr"")"),"Un graphique s'affiche à l'écran pour un site Web sur les exercices de basket-ball.")</f>
        <v>Un graphique s'affiche à l'écran pour un site Web sur les exercices de basket-ball.</v>
      </c>
    </row>
    <row r="26087">
      <c r="A26087" s="4" t="s">
        <v>32835</v>
      </c>
      <c r="B26087" s="4" t="s">
        <v>32837</v>
      </c>
      <c r="C26087" s="5" t="str">
        <f>IFERROR(__xludf.DUMMYFUNCTION("GOOGLETRANSLATE(B26087,""en"",""fr"")"),"Certains jeunes hommes sur un terrain de basket en salle sont présentés en faisant des exercices de basket-ball.")</f>
        <v>Certains jeunes hommes sur un terrain de basket en salle sont présentés en faisant des exercices de basket-ball.</v>
      </c>
    </row>
    <row r="26088">
      <c r="A26088" s="4" t="s">
        <v>32835</v>
      </c>
      <c r="B26088" s="6" t="s">
        <v>32838</v>
      </c>
      <c r="C26088" s="5" t="str">
        <f>IFERROR(__xludf.DUMMYFUNCTION("GOOGLETRANSLATE(B26088,""en"",""fr"")"),"Un homme plus âgé commence à expliquer les exercices tandis que plus de séquences sont montrées des joueurs les démontrant.")</f>
        <v>Un homme plus âgé commence à expliquer les exercices tandis que plus de séquences sont montrées des joueurs les démontrant.</v>
      </c>
    </row>
    <row r="26089">
      <c r="A26089" s="4" t="s">
        <v>32835</v>
      </c>
      <c r="B26089" s="6" t="s">
        <v>32839</v>
      </c>
      <c r="C26089" s="5" t="str">
        <f>IFERROR(__xludf.DUMMYFUNCTION("GOOGLETRANSLATE(B26089,""en"",""fr"")"),"L'écran devient noir et plus de texte rappelle à la visionneuse de visiter le site Web pour plus d'informations.")</f>
        <v>L'écran devient noir et plus de texte rappelle à la visionneuse de visiter le site Web pour plus d'informations.</v>
      </c>
    </row>
    <row r="26090">
      <c r="A26090" s="4" t="s">
        <v>32840</v>
      </c>
      <c r="B26090" s="6" t="s">
        <v>32841</v>
      </c>
      <c r="C26090" s="5" t="str">
        <f>IFERROR(__xludf.DUMMYFUNCTION("GOOGLETRANSLATE(B26090,""en"",""fr"")"),"Une femme parle à une autre debout devant des casiers verts dans un couloir, un homme se dirige vers les filles tenant des roses jaunes sur sa main.")</f>
        <v>Une femme parle à une autre debout devant des casiers verts dans un couloir, un homme se dirige vers les filles tenant des roses jaunes sur sa main.</v>
      </c>
    </row>
    <row r="26091">
      <c r="A26091" s="4" t="s">
        <v>32840</v>
      </c>
      <c r="B26091" s="4" t="s">
        <v>32842</v>
      </c>
      <c r="C26091" s="5" t="str">
        <f>IFERROR(__xludf.DUMMYFUNCTION("GOOGLETRANSLATE(B26091,""en"",""fr"")"),"Une femme marche dans le couloir en tenant un rince-bouche et en parlant à la caméra.")</f>
        <v>Une femme marche dans le couloir en tenant un rince-bouche et en parlant à la caméra.</v>
      </c>
    </row>
    <row r="26092">
      <c r="A26092" s="4" t="s">
        <v>32840</v>
      </c>
      <c r="B26092" s="4" t="s">
        <v>32843</v>
      </c>
      <c r="C26092" s="5" t="str">
        <f>IFERROR(__xludf.DUMMYFUNCTION("GOOGLETRANSLATE(B26092,""en"",""fr"")"),"La femme est devant un lavage des mains nettoyant sa bouche avec un rince-bouche.")</f>
        <v>La femme est devant un lavage des mains nettoyant sa bouche avec un rince-bouche.</v>
      </c>
    </row>
    <row r="26093">
      <c r="A26093" s="4" t="s">
        <v>32840</v>
      </c>
      <c r="B26093" s="4" t="s">
        <v>32844</v>
      </c>
      <c r="C26093" s="5" t="str">
        <f>IFERROR(__xludf.DUMMYFUNCTION("GOOGLETRANSLATE(B26093,""en"",""fr"")"),"La femme est dans le couloir et parle aux garçons et ils semblent impressionnés par son haleine fraîche.")</f>
        <v>La femme est dans le couloir et parle aux garçons et ils semblent impressionnés par son haleine fraîche.</v>
      </c>
    </row>
    <row r="26094">
      <c r="A26094" s="4" t="s">
        <v>32845</v>
      </c>
      <c r="B26094" s="4" t="s">
        <v>32846</v>
      </c>
      <c r="C26094" s="5" t="str">
        <f>IFERROR(__xludf.DUMMYFUNCTION("GOOGLETRANSLATE(B26094,""en"",""fr"")"),"Un enfant dans un casque est montré.")</f>
        <v>Un enfant dans un casque est montré.</v>
      </c>
    </row>
    <row r="26095">
      <c r="A26095" s="4" t="s">
        <v>32845</v>
      </c>
      <c r="B26095" s="4" t="s">
        <v>32847</v>
      </c>
      <c r="C26095" s="5" t="str">
        <f>IFERROR(__xludf.DUMMYFUNCTION("GOOGLETRANSLATE(B26095,""en"",""fr"")"),"Plusieurs autres enfants en casque sur les vélos montent d'une rampe.")</f>
        <v>Plusieurs autres enfants en casque sur les vélos montent d'une rampe.</v>
      </c>
    </row>
    <row r="26096">
      <c r="A26096" s="4" t="s">
        <v>32845</v>
      </c>
      <c r="B26096" s="4" t="s">
        <v>32848</v>
      </c>
      <c r="C26096" s="5" t="str">
        <f>IFERROR(__xludf.DUMMYFUNCTION("GOOGLETRANSLATE(B26096,""en"",""fr"")"),"Un homme les longe.")</f>
        <v>Un homme les longe.</v>
      </c>
    </row>
    <row r="26097">
      <c r="A26097" s="4" t="s">
        <v>32845</v>
      </c>
      <c r="B26097" s="4" t="s">
        <v>32849</v>
      </c>
      <c r="C26097" s="5" t="str">
        <f>IFERROR(__xludf.DUMMYFUNCTION("GOOGLETRANSLATE(B26097,""en"",""fr"")"),"La ligne d'arrivée croisée.")</f>
        <v>La ligne d'arrivée croisée.</v>
      </c>
    </row>
    <row r="26098">
      <c r="A26098" s="4" t="s">
        <v>32850</v>
      </c>
      <c r="B26098" s="6" t="s">
        <v>32851</v>
      </c>
      <c r="C26098" s="5" t="str">
        <f>IFERROR(__xludf.DUMMYFUNCTION("GOOGLETRANSLATE(B26098,""en"",""fr"")"),"Un clip vidéo à effet spécial apparaît avec quelqu'un qui coule sur un tapis roulant et des mots blancs au milieu de l'écran qui lisent ""CityNews Health"".")</f>
        <v>Un clip vidéo à effet spécial apparaît avec quelqu'un qui coule sur un tapis roulant et des mots blancs au milieu de l'écran qui lisent "CityNews Health".</v>
      </c>
    </row>
    <row r="26099">
      <c r="A26099" s="4" t="s">
        <v>32850</v>
      </c>
      <c r="B26099" s="6" t="s">
        <v>32852</v>
      </c>
      <c r="C26099" s="5" t="str">
        <f>IFERROR(__xludf.DUMMYFUNCTION("GOOGLETRANSLATE(B26099,""en"",""fr"")"),"Un journal homme et femme apparaissent assis sur des tabourets, tous deux vêtus de tenue de travail et parlant à la caméra et les uns aux autres.")</f>
        <v>Un journal homme et femme apparaissent assis sur des tabourets, tous deux vêtus de tenue de travail et parlant à la caméra et les uns aux autres.</v>
      </c>
    </row>
    <row r="26100">
      <c r="A26100" s="4" t="s">
        <v>32850</v>
      </c>
      <c r="B26100" s="6" t="s">
        <v>32853</v>
      </c>
      <c r="C26100" s="5" t="str">
        <f>IFERROR(__xludf.DUMMYFUNCTION("GOOGLETRANSLATE(B26100,""en"",""fr"")"),"La femme de presse est maintenant montrée à l'extérieur et parle aux gens sur une plage, et des clips de personnes qui brontent, appliquant la lotion Sunntan, et différents types de lotions suntan sont du spectacle.")</f>
        <v>La femme de presse est maintenant montrée à l'extérieur et parle aux gens sur une plage, et des clips de personnes qui brontent, appliquant la lotion Sunntan, et différents types de lotions suntan sont du spectacle.</v>
      </c>
    </row>
    <row r="26101">
      <c r="A26101" s="4" t="s">
        <v>32850</v>
      </c>
      <c r="B26101" s="6" t="s">
        <v>32854</v>
      </c>
      <c r="C26101" s="5" t="str">
        <f>IFERROR(__xludf.DUMMYFUNCTION("GOOGLETRANSLATE(B26101,""en"",""fr"")"),"La femme de presse est maintenant assise sur la plage, tenant une bouteille de lotion Sunntan et commence à appliquer une lotion partout sur son bras.")</f>
        <v>La femme de presse est maintenant assise sur la plage, tenant une bouteille de lotion Sunntan et commence à appliquer une lotion partout sur son bras.</v>
      </c>
    </row>
    <row r="26102">
      <c r="A26102" s="4" t="s">
        <v>32850</v>
      </c>
      <c r="B26102" s="6" t="s">
        <v>32855</v>
      </c>
      <c r="C26102" s="5" t="str">
        <f>IFERROR(__xludf.DUMMYFUNCTION("GOOGLETRANSLATE(B26102,""en"",""fr"")"),"Un nouveau clip apparaît avec la femme de presse interviewant un médecin, puis une femme est montrée assise sur une chaise pendant que le médecin se lève debout, et la bannière ci-dessous est son nom est ""Dr Paul Cohen Dermatologue"" et divers clips de p"&amp;"ersonnes Jouer au soleil jouent entre lui, parlant.")</f>
        <v>Un nouveau clip apparaît avec la femme de presse interviewant un médecin, puis une femme est montrée assise sur une chaise pendant que le médecin se lève debout, et la bannière ci-dessous est son nom est "Dr Paul Cohen Dermatologue" et divers clips de personnes Jouer au soleil jouent entre lui, parlant.</v>
      </c>
    </row>
    <row r="26103">
      <c r="A26103" s="4" t="s">
        <v>32850</v>
      </c>
      <c r="B26103" s="6" t="s">
        <v>32856</v>
      </c>
      <c r="C26103" s="5" t="str">
        <f>IFERROR(__xludf.DUMMYFUNCTION("GOOGLETRANSLATE(B26103,""en"",""fr"")"),"La femme de presse est de retour à l'intérieur avec l'homme avec qui elle a été montrée plus tôt et ils se terminent avec un sourire.")</f>
        <v>La femme de presse est de retour à l'intérieur avec l'homme avec qui elle a été montrée plus tôt et ils se terminent avec un sourire.</v>
      </c>
    </row>
    <row r="26104">
      <c r="A26104" s="4" t="s">
        <v>32857</v>
      </c>
      <c r="B26104" s="4" t="s">
        <v>32858</v>
      </c>
      <c r="C26104" s="5" t="str">
        <f>IFERROR(__xludf.DUMMYFUNCTION("GOOGLETRANSLATE(B26104,""en"",""fr"")"),"Plusieurs clips sont représentés des hommes qui se parlent les uns aux autres ainsi que de rouler sur un vélo de saleté.")</f>
        <v>Plusieurs clips sont représentés des hommes qui se parlent les uns aux autres ainsi que de rouler sur un vélo de saleté.</v>
      </c>
    </row>
    <row r="26105">
      <c r="A26105" s="4" t="s">
        <v>32857</v>
      </c>
      <c r="B26105" s="4" t="s">
        <v>32859</v>
      </c>
      <c r="C26105" s="5" t="str">
        <f>IFERROR(__xludf.DUMMYFUNCTION("GOOGLETRANSLATE(B26105,""en"",""fr"")"),"Plus de clips sont montrés des personnes qui roulent et applaudissent les uns avec les autres.")</f>
        <v>Plus de clips sont montrés des personnes qui roulent et applaudissent les uns avec les autres.</v>
      </c>
    </row>
    <row r="26106">
      <c r="A26106" s="4" t="s">
        <v>32857</v>
      </c>
      <c r="B26106" s="4" t="s">
        <v>32860</v>
      </c>
      <c r="C26106" s="5" t="str">
        <f>IFERROR(__xludf.DUMMYFUNCTION("GOOGLETRANSLATE(B26106,""en"",""fr"")"),"Les coureurs continuent de faire le tour de la piste et de montrer des sauts à la fin.")</f>
        <v>Les coureurs continuent de faire le tour de la piste et de montrer des sauts à la fin.</v>
      </c>
    </row>
    <row r="26107">
      <c r="A26107" s="4" t="s">
        <v>32861</v>
      </c>
      <c r="B26107" s="4" t="s">
        <v>32862</v>
      </c>
      <c r="C26107" s="5" t="str">
        <f>IFERROR(__xludf.DUMMYFUNCTION("GOOGLETRANSLATE(B26107,""en"",""fr"")"),"Un gros burguer est dans une table.")</f>
        <v>Un gros burguer est dans une table.</v>
      </c>
    </row>
    <row r="26108">
      <c r="A26108" s="4" t="s">
        <v>32861</v>
      </c>
      <c r="B26108" s="4" t="s">
        <v>32863</v>
      </c>
      <c r="C26108" s="5" t="str">
        <f>IFERROR(__xludf.DUMMYFUNCTION("GOOGLETRANSLATE(B26108,""en"",""fr"")"),"La femme parle à la caméra ponçage I devant un mur avec beaucoup de fonds d'écran.")</f>
        <v>La femme parle à la caméra ponçage I devant un mur avec beaucoup de fonds d'écran.</v>
      </c>
    </row>
    <row r="26109">
      <c r="A26109" s="4" t="s">
        <v>32861</v>
      </c>
      <c r="B26109" s="6" t="s">
        <v>32864</v>
      </c>
      <c r="C26109" s="5" t="str">
        <f>IFERROR(__xludf.DUMMYFUNCTION("GOOGLETRANSLATE(B26109,""en"",""fr"")"),"Femme, prenez un sandwich et étalez du beurre, puis mettez des cornichons, du fromage cheddar, de la confiture et du porc, puis SE a mis du beurre sur le dessus et le griller, lorsque le sandwich est prêt est coupé dans la moitié et qu'il est servir dans "&amp;"une assiette.")</f>
        <v>Femme, prenez un sandwich et étalez du beurre, puis mettez des cornichons, du fromage cheddar, de la confiture et du porc, puis SE a mis du beurre sur le dessus et le griller, lorsque le sandwich est prêt est coupé dans la moitié et qu'il est servir dans une assiette.</v>
      </c>
    </row>
    <row r="26110">
      <c r="A26110" s="4" t="s">
        <v>32865</v>
      </c>
      <c r="B26110" s="4" t="s">
        <v>32866</v>
      </c>
      <c r="C26110" s="5" t="str">
        <f>IFERROR(__xludf.DUMMYFUNCTION("GOOGLETRANSLATE(B26110,""en"",""fr"")"),"Les gens roulent sur un plancher sur un étage brun.")</f>
        <v>Les gens roulent sur un plancher sur un étage brun.</v>
      </c>
    </row>
    <row r="26111">
      <c r="A26111" s="4" t="s">
        <v>32865</v>
      </c>
      <c r="B26111" s="4" t="s">
        <v>32867</v>
      </c>
      <c r="C26111" s="5" t="str">
        <f>IFERROR(__xludf.DUMMYFUNCTION("GOOGLETRANSLATE(B26111,""en"",""fr"")"),"La voiture exceptionnelle rouge d'un garçon est coincée sur la colonne.")</f>
        <v>La voiture exceptionnelle rouge d'un garçon est coincée sur la colonne.</v>
      </c>
    </row>
    <row r="26112">
      <c r="A26112" s="4" t="s">
        <v>32865</v>
      </c>
      <c r="B26112" s="4" t="s">
        <v>32868</v>
      </c>
      <c r="C26112" s="5" t="str">
        <f>IFERROR(__xludf.DUMMYFUNCTION("GOOGLETRANSLATE(B26112,""en"",""fr"")"),"Une dame dans un jilbab noir vagues.")</f>
        <v>Une dame dans un jilbab noir vagues.</v>
      </c>
    </row>
    <row r="26113">
      <c r="A26113" s="4" t="s">
        <v>32865</v>
      </c>
      <c r="B26113" s="4" t="s">
        <v>32869</v>
      </c>
      <c r="C26113" s="5" t="str">
        <f>IFERROR(__xludf.DUMMYFUNCTION("GOOGLETRANSLATE(B26113,""en"",""fr"")"),"La Lady Bumper Car entreprend avec un homme.")</f>
        <v>La Lady Bumper Car entreprend avec un homme.</v>
      </c>
    </row>
    <row r="26114">
      <c r="A26114" s="4" t="s">
        <v>32865</v>
      </c>
      <c r="B26114" s="4" t="s">
        <v>32870</v>
      </c>
      <c r="C26114" s="5" t="str">
        <f>IFERROR(__xludf.DUMMYFUNCTION("GOOGLETRANSLATE(B26114,""en"",""fr"")"),"Un gars traverse le sol brun.")</f>
        <v>Un gars traverse le sol brun.</v>
      </c>
    </row>
    <row r="26115">
      <c r="A26115" s="4" t="s">
        <v>32871</v>
      </c>
      <c r="B26115" s="6" t="s">
        <v>32872</v>
      </c>
      <c r="C26115" s="5" t="str">
        <f>IFERROR(__xludf.DUMMYFUNCTION("GOOGLETRANSLATE(B26115,""en"",""fr"")"),"On voit un homme mettre des produits dans les cheveux d'une femme suivis d'un sèche-cheveux et de les brosser.")</f>
        <v>On voit un homme mettre des produits dans les cheveux d'une femme suivis d'un sèche-cheveux et de les brosser.</v>
      </c>
    </row>
    <row r="26116">
      <c r="A26116" s="4" t="s">
        <v>32871</v>
      </c>
      <c r="B26116" s="4" t="s">
        <v>32873</v>
      </c>
      <c r="C26116" s="5" t="str">
        <f>IFERROR(__xludf.DUMMYFUNCTION("GOOGLETRANSLATE(B26116,""en"",""fr"")"),"La personne coupe ensuite les cheveux de la femme plusieurs pouces tout en se déplaçant plus lentement à la fin.")</f>
        <v>La personne coupe ensuite les cheveux de la femme plusieurs pouces tout en se déplaçant plus lentement à la fin.</v>
      </c>
    </row>
    <row r="26117">
      <c r="A26117" s="4" t="s">
        <v>32874</v>
      </c>
      <c r="B26117" s="4" t="s">
        <v>32875</v>
      </c>
      <c r="C26117" s="5" t="str">
        <f>IFERROR(__xludf.DUMMYFUNCTION("GOOGLETRANSLATE(B26117,""en"",""fr"")"),"Un groupe de modèles est rassemblé lors d'un lavage de voiture.")</f>
        <v>Un groupe de modèles est rassemblé lors d'un lavage de voiture.</v>
      </c>
    </row>
    <row r="26118">
      <c r="A26118" s="4" t="s">
        <v>32874</v>
      </c>
      <c r="B26118" s="4" t="s">
        <v>32876</v>
      </c>
      <c r="C26118" s="5" t="str">
        <f>IFERROR(__xludf.DUMMYFUNCTION("GOOGLETRANSLATE(B26118,""en"",""fr"")"),"Les voitures s'arrêtent et la femme utilise du savon pour du savon sur les voitures.")</f>
        <v>Les voitures s'arrêtent et la femme utilise du savon pour du savon sur les voitures.</v>
      </c>
    </row>
    <row r="26119">
      <c r="A26119" s="4" t="s">
        <v>32874</v>
      </c>
      <c r="B26119" s="4" t="s">
        <v>32877</v>
      </c>
      <c r="C26119" s="5" t="str">
        <f>IFERROR(__xludf.DUMMYFUNCTION("GOOGLETRANSLATE(B26119,""en"",""fr"")"),"Ils rincent et essuient ensuite les voitures.")</f>
        <v>Ils rincent et essuient ensuite les voitures.</v>
      </c>
    </row>
    <row r="26120">
      <c r="A26120" s="4" t="s">
        <v>32878</v>
      </c>
      <c r="B26120" s="4" t="s">
        <v>32879</v>
      </c>
      <c r="C26120" s="5" t="str">
        <f>IFERROR(__xludf.DUMMYFUNCTION("GOOGLETRANSLATE(B26120,""en"",""fr"")"),"Un petit garçon joue dans le gymnase de la jungle pendant qu'un homme lui parle et des disques.")</f>
        <v>Un petit garçon joue dans le gymnase de la jungle pendant qu'un homme lui parle et des disques.</v>
      </c>
    </row>
    <row r="26121">
      <c r="A26121" s="4" t="s">
        <v>32878</v>
      </c>
      <c r="B26121" s="4" t="s">
        <v>32880</v>
      </c>
      <c r="C26121" s="5" t="str">
        <f>IFERROR(__xludf.DUMMYFUNCTION("GOOGLETRANSLATE(B26121,""en"",""fr"")"),"Il monte les escaliers et glisse plusieurs fois la diapositive.")</f>
        <v>Il monte les escaliers et glisse plusieurs fois la diapositive.</v>
      </c>
    </row>
    <row r="26122">
      <c r="A26122" s="4" t="s">
        <v>32878</v>
      </c>
      <c r="B26122" s="4" t="s">
        <v>32881</v>
      </c>
      <c r="C26122" s="5" t="str">
        <f>IFERROR(__xludf.DUMMYFUNCTION("GOOGLETRANSLATE(B26122,""en"",""fr"")"),"Quand il a fini, il passe et embrasse une dame en fauteuil roulant.")</f>
        <v>Quand il a fini, il passe et embrasse une dame en fauteuil roulant.</v>
      </c>
    </row>
    <row r="26123">
      <c r="A26123" s="4" t="s">
        <v>32882</v>
      </c>
      <c r="B26123" s="4" t="s">
        <v>32883</v>
      </c>
      <c r="C26123" s="5" t="str">
        <f>IFERROR(__xludf.DUMMYFUNCTION("GOOGLETRANSLATE(B26123,""en"",""fr"")"),"Il y a un spécialiste de l'amélioration de la maison démontrant comment retirer le papier peint des murs.")</f>
        <v>Il y a un spécialiste de l'amélioration de la maison démontrant comment retirer le papier peint des murs.</v>
      </c>
    </row>
    <row r="26124">
      <c r="A26124" s="4" t="s">
        <v>32882</v>
      </c>
      <c r="B26124" s="6" t="s">
        <v>32884</v>
      </c>
      <c r="C26124" s="5" t="str">
        <f>IFERROR(__xludf.DUMMYFUNCTION("GOOGLETRANSLATE(B26124,""en"",""fr"")"),"Il commence en préparant l'espace en éloignant les meubles des murs et en couvrant les meubles avec des draps en plastique pour la protection.")</f>
        <v>Il commence en préparant l'espace en éloignant les meubles des murs et en couvrant les meubles avec des draps en plastique pour la protection.</v>
      </c>
    </row>
    <row r="26125">
      <c r="A26125" s="4" t="s">
        <v>32882</v>
      </c>
      <c r="B26125" s="4" t="s">
        <v>32885</v>
      </c>
      <c r="C26125" s="5" t="str">
        <f>IFERROR(__xludf.DUMMYFUNCTION("GOOGLETRANSLATE(B26125,""en"",""fr"")"),"Il supprime également les traitements de fenêtre des fenêtres.")</f>
        <v>Il supprime également les traitements de fenêtre des fenêtres.</v>
      </c>
    </row>
    <row r="26126">
      <c r="A26126" s="4" t="s">
        <v>32882</v>
      </c>
      <c r="B26126" s="6" t="s">
        <v>32886</v>
      </c>
      <c r="C26126" s="5" t="str">
        <f>IFERROR(__xludf.DUMMYFUNCTION("GOOGLETRANSLATE(B26126,""en"",""fr"")"),"Il montre comment prendre des mesures de précaution en ce qui concerne le câblage électrique et les commutateurs et les circuits.")</f>
        <v>Il montre comment prendre des mesures de précaution en ce qui concerne le câblage électrique et les commutateurs et les circuits.</v>
      </c>
    </row>
    <row r="26127">
      <c r="A26127" s="4" t="s">
        <v>32882</v>
      </c>
      <c r="B26127" s="4" t="s">
        <v>32887</v>
      </c>
      <c r="C26127" s="5" t="str">
        <f>IFERROR(__xludf.DUMMYFUNCTION("GOOGLETRANSLATE(B26127,""en"",""fr"")"),"Ensuite, il montre comment utiliser les ventilateurs pour ventiler la pièce.")</f>
        <v>Ensuite, il montre comment utiliser les ventilateurs pour ventiler la pièce.</v>
      </c>
    </row>
    <row r="26128">
      <c r="A26128" s="4" t="s">
        <v>32882</v>
      </c>
      <c r="B26128" s="4" t="s">
        <v>32888</v>
      </c>
      <c r="C26128" s="5" t="str">
        <f>IFERROR(__xludf.DUMMYFUNCTION("GOOGLETRANSLATE(B26128,""en"",""fr"")"),"Il prend un foulard et commence à parcourir le papier peint.")</f>
        <v>Il prend un foulard et commence à parcourir le papier peint.</v>
      </c>
    </row>
    <row r="26129">
      <c r="A26129" s="4" t="s">
        <v>32882</v>
      </c>
      <c r="B26129" s="4" t="s">
        <v>32889</v>
      </c>
      <c r="C26129" s="5" t="str">
        <f>IFERROR(__xludf.DUMMYFUNCTION("GOOGLETRANSLATE(B26129,""en"",""fr"")"),"Il utilise un rouleau de peinture pour tremper le papier peint pour un retrait facile.")</f>
        <v>Il utilise un rouleau de peinture pour tremper le papier peint pour un retrait facile.</v>
      </c>
    </row>
    <row r="26130">
      <c r="A26130" s="4" t="s">
        <v>32882</v>
      </c>
      <c r="B26130" s="4" t="s">
        <v>32890</v>
      </c>
      <c r="C26130" s="5" t="str">
        <f>IFERROR(__xludf.DUMMYFUNCTION("GOOGLETRANSLATE(B26130,""en"",""fr"")"),"Il montre ensuite comment la vapeur peut également être utilisée pour desserrer le papier peint.")</f>
        <v>Il montre ensuite comment la vapeur peut également être utilisée pour desserrer le papier peint.</v>
      </c>
    </row>
    <row r="26131">
      <c r="A26131" s="4" t="s">
        <v>32882</v>
      </c>
      <c r="B26131" s="4" t="s">
        <v>32891</v>
      </c>
      <c r="C26131" s="5" t="str">
        <f>IFERROR(__xludf.DUMMYFUNCTION("GOOGLETRANSLATE(B26131,""en"",""fr"")"),"Puis il commence à décoller lentement du papier du mur.")</f>
        <v>Puis il commence à décoller lentement du papier du mur.</v>
      </c>
    </row>
    <row r="26132">
      <c r="A26132" s="4" t="s">
        <v>32882</v>
      </c>
      <c r="B26132" s="4" t="s">
        <v>32892</v>
      </c>
      <c r="C26132" s="5" t="str">
        <f>IFERROR(__xludf.DUMMYFUNCTION("GOOGLETRANSLATE(B26132,""en"",""fr"")"),"Il recouvre la surface et utilise un outil plat pour éliminer tout papier peint tenace.")</f>
        <v>Il recouvre la surface et utilise un outil plat pour éliminer tout papier peint tenace.</v>
      </c>
    </row>
    <row r="26133">
      <c r="A26133" s="4" t="s">
        <v>32882</v>
      </c>
      <c r="B26133" s="4" t="s">
        <v>32893</v>
      </c>
      <c r="C26133" s="5" t="str">
        <f>IFERROR(__xludf.DUMMYFUNCTION("GOOGLETRANSLATE(B26133,""en"",""fr"")"),"Il utilise enfin une éponge et de l'eau de savon pour nettoyer le mur pour éliminer tout papier peint résiduel.")</f>
        <v>Il utilise enfin une éponge et de l'eau de savon pour nettoyer le mur pour éliminer tout papier peint résiduel.</v>
      </c>
    </row>
    <row r="26134">
      <c r="A26134" s="4" t="s">
        <v>32882</v>
      </c>
      <c r="B26134" s="4" t="s">
        <v>32894</v>
      </c>
      <c r="C26134" s="5" t="str">
        <f>IFERROR(__xludf.DUMMYFUNCTION("GOOGLETRANSLATE(B26134,""en"",""fr"")"),"Il montre comment appliquer Primer pour préparer le mur pour la peinture.")</f>
        <v>Il montre comment appliquer Primer pour préparer le mur pour la peinture.</v>
      </c>
    </row>
    <row r="26135">
      <c r="A26135" s="4" t="s">
        <v>32882</v>
      </c>
      <c r="B26135" s="4" t="s">
        <v>32895</v>
      </c>
      <c r="C26135" s="5" t="str">
        <f>IFERROR(__xludf.DUMMYFUNCTION("GOOGLETRANSLATE(B26135,""en"",""fr"")"),"Des informations sur la façon d'utiliser ces techniques sont fournies sur le site Web de la société Lowe.")</f>
        <v>Des informations sur la façon d'utiliser ces techniques sont fournies sur le site Web de la société Lowe.</v>
      </c>
    </row>
    <row r="26136">
      <c r="A26136" s="4" t="s">
        <v>32896</v>
      </c>
      <c r="B26136" s="6" t="s">
        <v>32897</v>
      </c>
      <c r="C26136" s="5" t="str">
        <f>IFERROR(__xludf.DUMMYFUNCTION("GOOGLETRANSLATE(B26136,""en"",""fr"")"),"Le chef ponçonne devant un coutner avec des ingrédients hachés dans différentes assiettes et parle à la caméra.")</f>
        <v>Le chef ponçonne devant un coutner avec des ingrédients hachés dans différentes assiettes et parle à la caméra.</v>
      </c>
    </row>
    <row r="26137">
      <c r="A26137" s="4" t="s">
        <v>32896</v>
      </c>
      <c r="B26137" s="4" t="s">
        <v>32898</v>
      </c>
      <c r="C26137" s="5" t="str">
        <f>IFERROR(__xludf.DUMMYFUNCTION("GOOGLETRANSLATE(B26137,""en"",""fr"")"),"L'homme vaporisez de l'huile sur la poêle et ajoutez le mélange des œufs et des légumes.")</f>
        <v>L'homme vaporisez de l'huile sur la poêle et ajoutez le mélange des œufs et des légumes.</v>
      </c>
    </row>
    <row r="26138">
      <c r="A26138" s="4" t="s">
        <v>32896</v>
      </c>
      <c r="B26138" s="4" t="s">
        <v>32899</v>
      </c>
      <c r="C26138" s="5" t="str">
        <f>IFERROR(__xludf.DUMMYFUNCTION("GOOGLETRANSLATE(B26138,""en"",""fr"")"),"L'homme est debout dans la cuisine en parlant à la caméra en donnant une recette.")</f>
        <v>L'homme est debout dans la cuisine en parlant à la caméra en donnant une recette.</v>
      </c>
    </row>
    <row r="26139">
      <c r="A26139" s="4" t="s">
        <v>32900</v>
      </c>
      <c r="B26139" s="4" t="s">
        <v>32901</v>
      </c>
      <c r="C26139" s="5" t="str">
        <f>IFERROR(__xludf.DUMMYFUNCTION("GOOGLETRANSLATE(B26139,""en"",""fr"")"),"Deux équipes sont sur le jeu sur le terrain en essayant de marquer.")</f>
        <v>Deux équipes sont sur le jeu sur le terrain en essayant de marquer.</v>
      </c>
    </row>
    <row r="26140">
      <c r="A26140" s="4" t="s">
        <v>32900</v>
      </c>
      <c r="B26140" s="4" t="s">
        <v>32902</v>
      </c>
      <c r="C26140" s="5" t="str">
        <f>IFERROR(__xludf.DUMMYFUNCTION("GOOGLETRANSLATE(B26140,""en"",""fr"")"),"L'un des joueurs de l'équipe bleue tombe sur le terrain.")</f>
        <v>L'un des joueurs de l'équipe bleue tombe sur le terrain.</v>
      </c>
    </row>
    <row r="26141">
      <c r="A26141" s="4" t="s">
        <v>32900</v>
      </c>
      <c r="B26141" s="6" t="s">
        <v>32903</v>
      </c>
      <c r="C26141" s="5" t="str">
        <f>IFERROR(__xludf.DUMMYFUNCTION("GOOGLETRANSLATE(B26141,""en"",""fr"")"),"Un autre joueur bleu retire le ballon des limites, le met en jeu et frappe dans le jeu.")</f>
        <v>Un autre joueur bleu retire le ballon des limites, le met en jeu et frappe dans le jeu.</v>
      </c>
    </row>
    <row r="26142">
      <c r="A26142" s="4" t="s">
        <v>32900</v>
      </c>
      <c r="B26142" s="4" t="s">
        <v>32904</v>
      </c>
      <c r="C26142" s="5" t="str">
        <f>IFERROR(__xludf.DUMMYFUNCTION("GOOGLETRANSLATE(B26142,""en"",""fr"")"),"Les entraîneurs de Te commencent à sauter avec joie ainsi que les joueurs.")</f>
        <v>Les entraîneurs de Te commencent à sauter avec joie ainsi que les joueurs.</v>
      </c>
    </row>
    <row r="26143">
      <c r="A26143" s="4" t="s">
        <v>32905</v>
      </c>
      <c r="B26143" s="4" t="s">
        <v>32906</v>
      </c>
      <c r="C26143" s="5" t="str">
        <f>IFERROR(__xludf.DUMMYFUNCTION("GOOGLETRANSLATE(B26143,""en"",""fr"")"),"Deux hommes mélangent des balais sur un sol avec un autre le tirant sur une ficelle.")</f>
        <v>Deux hommes mélangent des balais sur un sol avec un autre le tirant sur une ficelle.</v>
      </c>
    </row>
    <row r="26144">
      <c r="A26144" s="4" t="s">
        <v>32905</v>
      </c>
      <c r="B26144" s="4" t="s">
        <v>32907</v>
      </c>
      <c r="C26144" s="5" t="str">
        <f>IFERROR(__xludf.DUMMYFUNCTION("GOOGLETRANSLATE(B26144,""en"",""fr"")"),"Un homme suit derrière et les deux mélanges finissent par déplacer la rondelle dans un trou.")</f>
        <v>Un homme suit derrière et les deux mélanges finissent par déplacer la rondelle dans un trou.</v>
      </c>
    </row>
    <row r="26145">
      <c r="A26145" s="4" t="s">
        <v>32905</v>
      </c>
      <c r="B26145" s="4" t="s">
        <v>32908</v>
      </c>
      <c r="C26145" s="5" t="str">
        <f>IFERROR(__xludf.DUMMYFUNCTION("GOOGLETRANSLATE(B26145,""en"",""fr"")"),"Les trois hommes se réjouissent les uns avec les autres et se font de gros câlins.")</f>
        <v>Les trois hommes se réjouissent les uns avec les autres et se font de gros câlins.</v>
      </c>
    </row>
    <row r="26146">
      <c r="A26146" s="4" t="s">
        <v>32909</v>
      </c>
      <c r="B26146" s="4" t="s">
        <v>32910</v>
      </c>
      <c r="C26146" s="5" t="str">
        <f>IFERROR(__xludf.DUMMYFUNCTION("GOOGLETRANSLATE(B26146,""en"",""fr"")"),"La vidéo commence par un gros plan d'un pneu dans une boutique automobile.")</f>
        <v>La vidéo commence par un gros plan d'un pneu dans une boutique automobile.</v>
      </c>
    </row>
    <row r="26147">
      <c r="A26147" s="4" t="s">
        <v>32909</v>
      </c>
      <c r="B26147" s="4" t="s">
        <v>32911</v>
      </c>
      <c r="C26147" s="5" t="str">
        <f>IFERROR(__xludf.DUMMYFUNCTION("GOOGLETRANSLATE(B26147,""en"",""fr"")"),"Le caméraman utilise sa main pour montrer un endroit spécifique sur le pneu et zoome plus près.")</f>
        <v>Le caméraman utilise sa main pour montrer un endroit spécifique sur le pneu et zoome plus près.</v>
      </c>
    </row>
    <row r="26148">
      <c r="A26148" s="4" t="s">
        <v>32909</v>
      </c>
      <c r="B26148" s="4" t="s">
        <v>32912</v>
      </c>
      <c r="C26148" s="5" t="str">
        <f>IFERROR(__xludf.DUMMYFUNCTION("GOOGLETRANSLATE(B26148,""en"",""fr"")"),"L'homme pose la caméra et commence à travailler sur le pneu.")</f>
        <v>L'homme pose la caméra et commence à travailler sur le pneu.</v>
      </c>
    </row>
    <row r="26149">
      <c r="A26149" s="4" t="s">
        <v>32909</v>
      </c>
      <c r="B26149" s="4" t="s">
        <v>32913</v>
      </c>
      <c r="C26149" s="5" t="str">
        <f>IFERROR(__xludf.DUMMYFUNCTION("GOOGLETRANSLATE(B26149,""en"",""fr"")"),"Il attrape à nouveau l'appareil photo pour montrer différentes vis.")</f>
        <v>Il attrape à nouveau l'appareil photo pour montrer différentes vis.</v>
      </c>
    </row>
    <row r="26150">
      <c r="A26150" s="4" t="s">
        <v>32909</v>
      </c>
      <c r="B26150" s="4" t="s">
        <v>32914</v>
      </c>
      <c r="C26150" s="5" t="str">
        <f>IFERROR(__xludf.DUMMYFUNCTION("GOOGLETRANSLATE(B26150,""en"",""fr"")"),"La vidéo se termine montrant les deux côtés du pneu.")</f>
        <v>La vidéo se termine montrant les deux côtés du pneu.</v>
      </c>
    </row>
    <row r="26151">
      <c r="A26151" s="4" t="s">
        <v>32915</v>
      </c>
      <c r="B26151" s="4" t="s">
        <v>32916</v>
      </c>
      <c r="C26151" s="5" t="str">
        <f>IFERROR(__xludf.DUMMYFUNCTION("GOOGLETRANSLATE(B26151,""en"",""fr"")"),"L'appareil photo se déroule sur les murs d'un stand de douche.")</f>
        <v>L'appareil photo se déroule sur les murs d'un stand de douche.</v>
      </c>
    </row>
    <row r="26152">
      <c r="A26152" s="4" t="s">
        <v>32915</v>
      </c>
      <c r="B26152" s="4" t="s">
        <v>32917</v>
      </c>
      <c r="C26152" s="5" t="str">
        <f>IFERROR(__xludf.DUMMYFUNCTION("GOOGLETRANSLATE(B26152,""en"",""fr"")"),"Un homme enduit et installe des carreaux sur le mur.")</f>
        <v>Un homme enduit et installe des carreaux sur le mur.</v>
      </c>
    </row>
    <row r="26153">
      <c r="A26153" s="4" t="s">
        <v>32915</v>
      </c>
      <c r="B26153" s="4" t="s">
        <v>24144</v>
      </c>
      <c r="C26153" s="5" t="str">
        <f>IFERROR(__xludf.DUMMYFUNCTION("GOOGLETRANSLATE(B26153,""en"",""fr"")"),"L'homme parle à la caméra.")</f>
        <v>L'homme parle à la caméra.</v>
      </c>
    </row>
    <row r="26154">
      <c r="A26154" s="4" t="s">
        <v>32915</v>
      </c>
      <c r="B26154" s="4" t="s">
        <v>32918</v>
      </c>
      <c r="C26154" s="5" t="str">
        <f>IFERROR(__xludf.DUMMYFUNCTION("GOOGLETRANSLATE(B26154,""en"",""fr"")"),"L'homme applique du coulis aux lacunes entre les carreaux.")</f>
        <v>L'homme applique du coulis aux lacunes entre les carreaux.</v>
      </c>
    </row>
    <row r="26155">
      <c r="A26155" s="4" t="s">
        <v>32915</v>
      </c>
      <c r="B26155" s="4" t="s">
        <v>32919</v>
      </c>
      <c r="C26155" s="5" t="str">
        <f>IFERROR(__xludf.DUMMYFUNCTION("GOOGLETRANSLATE(B26155,""en"",""fr"")"),"L'homme mesure et coupe une tuile pour l'installation sous la douche.")</f>
        <v>L'homme mesure et coupe une tuile pour l'installation sous la douche.</v>
      </c>
    </row>
    <row r="26156">
      <c r="A26156" s="4" t="s">
        <v>32915</v>
      </c>
      <c r="B26156" s="4" t="s">
        <v>32920</v>
      </c>
      <c r="C26156" s="5" t="str">
        <f>IFERROR(__xludf.DUMMYFUNCTION("GOOGLETRANSLATE(B26156,""en"",""fr"")"),"L'homme installe le plat de savon.")</f>
        <v>L'homme installe le plat de savon.</v>
      </c>
    </row>
    <row r="26157">
      <c r="A26157" s="4" t="s">
        <v>32915</v>
      </c>
      <c r="B26157" s="4" t="s">
        <v>32921</v>
      </c>
      <c r="C26157" s="5" t="str">
        <f>IFERROR(__xludf.DUMMYFUNCTION("GOOGLETRANSLATE(B26157,""en"",""fr"")"),"Le texte de défilement est affiché sur un écran bleu.")</f>
        <v>Le texte de défilement est affiché sur un écran bleu.</v>
      </c>
    </row>
    <row r="26158">
      <c r="A26158" s="4" t="s">
        <v>32922</v>
      </c>
      <c r="B26158" s="4" t="s">
        <v>32923</v>
      </c>
      <c r="C26158" s="5" t="str">
        <f>IFERROR(__xludf.DUMMYFUNCTION("GOOGLETRANSLATE(B26158,""en"",""fr"")"),"Il y a une installation ouverte uniquement pour les jeux de bière afin que les gens puissent jouer.")</f>
        <v>Il y a une installation ouverte uniquement pour les jeux de bière afin que les gens puissent jouer.</v>
      </c>
    </row>
    <row r="26159">
      <c r="A26159" s="4" t="s">
        <v>32922</v>
      </c>
      <c r="B26159" s="4" t="s">
        <v>32924</v>
      </c>
      <c r="C26159" s="5" t="str">
        <f>IFERROR(__xludf.DUMMYFUNCTION("GOOGLETRANSLATE(B26159,""en"",""fr"")"),"Tout le monde adore ça et est excité d'être là avec d'autres personnes qui aiment jouer.")</f>
        <v>Tout le monde adore ça et est excité d'être là avec d'autres personnes qui aiment jouer.</v>
      </c>
    </row>
    <row r="26160">
      <c r="A26160" s="4" t="s">
        <v>32922</v>
      </c>
      <c r="B26160" s="6" t="s">
        <v>32925</v>
      </c>
      <c r="C26160" s="5" t="str">
        <f>IFERROR(__xludf.DUMMYFUNCTION("GOOGLETRANSLATE(B26160,""en"",""fr"")"),"Beaucoup de groupes différents jouent et en parlent ainsi que de jouer des ciseaux en papier de rock pour voir qui arrive en premier.")</f>
        <v>Beaucoup de groupes différents jouent et en parlent ainsi que de jouer des ciseaux en papier de rock pour voir qui arrive en premier.</v>
      </c>
    </row>
    <row r="26161">
      <c r="A26161" s="4" t="s">
        <v>32922</v>
      </c>
      <c r="B26161" s="4" t="s">
        <v>32926</v>
      </c>
      <c r="C26161" s="5" t="str">
        <f>IFERROR(__xludf.DUMMYFUNCTION("GOOGLETRANSLATE(B26161,""en"",""fr"")"),"Celui qui est le gagnant reçoit un chèque à la fin du match.")</f>
        <v>Celui qui est le gagnant reçoit un chèque à la fin du match.</v>
      </c>
    </row>
    <row r="26162">
      <c r="A26162" s="4" t="s">
        <v>32927</v>
      </c>
      <c r="B26162" s="6" t="s">
        <v>32928</v>
      </c>
      <c r="C26162" s="5" t="str">
        <f>IFERROR(__xludf.DUMMYFUNCTION("GOOGLETRANSLATE(B26162,""en"",""fr"")"),"Un grand groupe de personnes est dans un centre commercial et regarde les gens installer une zone avec un grand sol noir et un grand mur noir.")</f>
        <v>Un grand groupe de personnes est dans un centre commercial et regarde les gens installer une zone avec un grand sol noir et un grand mur noir.</v>
      </c>
    </row>
    <row r="26163">
      <c r="A26163" s="4" t="s">
        <v>32927</v>
      </c>
      <c r="B26163" s="6" t="s">
        <v>32929</v>
      </c>
      <c r="C26163" s="5" t="str">
        <f>IFERROR(__xludf.DUMMYFUNCTION("GOOGLETRANSLATE(B26163,""en"",""fr"")"),"Soudain, il y a des gens illuminés portant des costumes légers qui dansent sur la zone noire et ils changent de 1 à 7 personnes, et alternent les couleurs de costume du blanc, puis vers le rouge, puis de retour au blanc.")</f>
        <v>Soudain, il y a des gens illuminés portant des costumes légers qui dansent sur la zone noire et ils changent de 1 à 7 personnes, et alternent les couleurs de costume du blanc, puis vers le rouge, puis de retour au blanc.</v>
      </c>
    </row>
    <row r="26164">
      <c r="A26164" s="4" t="s">
        <v>32927</v>
      </c>
      <c r="B26164" s="4" t="s">
        <v>32930</v>
      </c>
      <c r="C26164" s="5" t="str">
        <f>IFERROR(__xludf.DUMMYFUNCTION("GOOGLETRANSLATE(B26164,""en"",""fr"")"),"Leurs costumes légers sortent et la danse est terminée.")</f>
        <v>Leurs costumes légers sortent et la danse est terminée.</v>
      </c>
    </row>
    <row r="26165">
      <c r="A26165" s="4" t="s">
        <v>32931</v>
      </c>
      <c r="B26165" s="4" t="s">
        <v>32932</v>
      </c>
      <c r="C26165" s="5" t="str">
        <f>IFERROR(__xludf.DUMMYFUNCTION("GOOGLETRANSLATE(B26165,""en"",""fr"")"),"Un homme conduisant un tracteur en mouvement se promène et regarde vers l'avant.")</f>
        <v>Un homme conduisant un tracteur en mouvement se promène et regarde vers l'avant.</v>
      </c>
    </row>
    <row r="26166">
      <c r="A26166" s="4" t="s">
        <v>32931</v>
      </c>
      <c r="B26166" s="4" t="s">
        <v>32933</v>
      </c>
      <c r="C26166" s="5" t="str">
        <f>IFERROR(__xludf.DUMMYFUNCTION("GOOGLETRANSLATE(B26166,""en"",""fr"")"),"Il recommence à se déplacer sur la machine à couper l'herbe et à diriger l'instrument.")</f>
        <v>Il recommence à se déplacer sur la machine à couper l'herbe et à diriger l'instrument.</v>
      </c>
    </row>
    <row r="26167">
      <c r="A26167" s="4" t="s">
        <v>32931</v>
      </c>
      <c r="B26167" s="4" t="s">
        <v>32934</v>
      </c>
      <c r="C26167" s="5" t="str">
        <f>IFERROR(__xludf.DUMMYFUNCTION("GOOGLETRANSLATE(B26167,""en"",""fr"")"),"Un homme sur un vélo regarde et rit et l'homme finit par s'en sortir.")</f>
        <v>Un homme sur un vélo regarde et rit et l'homme finit par s'en sortir.</v>
      </c>
    </row>
    <row r="26168">
      <c r="A26168" s="4" t="s">
        <v>32935</v>
      </c>
      <c r="B26168" s="4" t="s">
        <v>32936</v>
      </c>
      <c r="C26168" s="5" t="str">
        <f>IFERROR(__xludf.DUMMYFUNCTION("GOOGLETRANSLATE(B26168,""en"",""fr"")"),"Un artiste de tatouage est montré, entrecoupé les artistes parlant à la caméra, donnant des tatouages.")</f>
        <v>Un artiste de tatouage est montré, entrecoupé les artistes parlant à la caméra, donnant des tatouages.</v>
      </c>
    </row>
    <row r="26169">
      <c r="A26169" s="4" t="s">
        <v>32935</v>
      </c>
      <c r="B26169" s="6" t="s">
        <v>32937</v>
      </c>
      <c r="C26169" s="5" t="str">
        <f>IFERROR(__xludf.DUMMYFUNCTION("GOOGLETRANSLATE(B26169,""en"",""fr"")"),"Ils montrent diverses images de leur travail fini couplé à l'injection active de l'encre et à la création de conceptions.")</f>
        <v>Ils montrent diverses images de leur travail fini couplé à l'injection active de l'encre et à la création de conceptions.</v>
      </c>
    </row>
    <row r="26170">
      <c r="A26170" s="4" t="s">
        <v>32938</v>
      </c>
      <c r="B26170" s="4" t="s">
        <v>32939</v>
      </c>
      <c r="C26170" s="5" t="str">
        <f>IFERROR(__xludf.DUMMYFUNCTION("GOOGLETRANSLATE(B26170,""en"",""fr"")"),"Un garçon traverse la scène avec un casque et une épée.")</f>
        <v>Un garçon traverse la scène avec un casque et une épée.</v>
      </c>
    </row>
    <row r="26171">
      <c r="A26171" s="4" t="s">
        <v>32938</v>
      </c>
      <c r="B26171" s="4" t="s">
        <v>32940</v>
      </c>
      <c r="C26171" s="5" t="str">
        <f>IFERROR(__xludf.DUMMYFUNCTION("GOOGLETRANSLATE(B26171,""en"",""fr"")"),"Le garçon rencontre un autre garçon où des visages de bébé sont montrés sur leurs visages.")</f>
        <v>Le garçon rencontre un autre garçon où des visages de bébé sont montrés sur leurs visages.</v>
      </c>
    </row>
    <row r="26172">
      <c r="A26172" s="4" t="s">
        <v>32938</v>
      </c>
      <c r="B26172" s="4" t="s">
        <v>32941</v>
      </c>
      <c r="C26172" s="5" t="str">
        <f>IFERROR(__xludf.DUMMYFUNCTION("GOOGLETRANSLATE(B26172,""en"",""fr"")"),"Un homme montrant que je suis chauve est au-dessus de sa tête.")</f>
        <v>Un homme montrant que je suis chauve est au-dessus de sa tête.</v>
      </c>
    </row>
    <row r="26173">
      <c r="A26173" s="4" t="s">
        <v>32938</v>
      </c>
      <c r="B26173" s="4" t="s">
        <v>32942</v>
      </c>
      <c r="C26173" s="5" t="str">
        <f>IFERROR(__xludf.DUMMYFUNCTION("GOOGLETRANSLATE(B26173,""en"",""fr"")"),"Les garçons se séparent alors que des points d'interrogation apparaissent au-dessus de leur tête.")</f>
        <v>Les garçons se séparent alors que des points d'interrogation apparaissent au-dessus de leur tête.</v>
      </c>
    </row>
    <row r="26174">
      <c r="A26174" s="4" t="s">
        <v>32938</v>
      </c>
      <c r="B26174" s="4" t="s">
        <v>32943</v>
      </c>
      <c r="C26174" s="5" t="str">
        <f>IFERROR(__xludf.DUMMYFUNCTION("GOOGLETRANSLATE(B26174,""en"",""fr"")"),"Une description de la vidéo est affichée.")</f>
        <v>Une description de la vidéo est affichée.</v>
      </c>
    </row>
    <row r="26175">
      <c r="A26175" s="4" t="s">
        <v>32938</v>
      </c>
      <c r="B26175" s="4" t="s">
        <v>32944</v>
      </c>
      <c r="C26175" s="5" t="str">
        <f>IFERROR(__xludf.DUMMYFUNCTION("GOOGLETRANSLATE(B26175,""en"",""fr"")"),"Les garçon continuent de s'effondrer sur la scène.")</f>
        <v>Les garçon continuent de s'effondrer sur la scène.</v>
      </c>
    </row>
    <row r="26176">
      <c r="A26176" s="4" t="s">
        <v>32938</v>
      </c>
      <c r="B26176" s="4" t="s">
        <v>32945</v>
      </c>
      <c r="C26176" s="5" t="str">
        <f>IFERROR(__xludf.DUMMYFUNCTION("GOOGLETRANSLATE(B26176,""en"",""fr"")"),"Les citations de prétendus sont montrées au-dessus de leur tête et ils continuent de s'efforcer.")</f>
        <v>Les citations de prétendus sont montrées au-dessus de leur tête et ils continuent de s'efforcer.</v>
      </c>
    </row>
    <row r="26177">
      <c r="A26177" s="4" t="s">
        <v>32938</v>
      </c>
      <c r="B26177" s="4" t="s">
        <v>32946</v>
      </c>
      <c r="C26177" s="5" t="str">
        <f>IFERROR(__xludf.DUMMYFUNCTION("GOOGLETRANSLATE(B26177,""en"",""fr"")"),"Le garçon à gauche se transforme en flammes et ils se remettent et continuent de s'efforcer.")</f>
        <v>Le garçon à gauche se transforme en flammes et ils se remettent et continuent de s'efforcer.</v>
      </c>
    </row>
    <row r="26178">
      <c r="A26178" s="4" t="s">
        <v>32938</v>
      </c>
      <c r="B26178" s="4" t="s">
        <v>32947</v>
      </c>
      <c r="C26178" s="5" t="str">
        <f>IFERROR(__xludf.DUMMYFUNCTION("GOOGLETRANSLATE(B26178,""en"",""fr"")"),"La scène s'allume en vert et ils se séparent et reviennent à Spar.")</f>
        <v>La scène s'allume en vert et ils se séparent et reviennent à Spar.</v>
      </c>
    </row>
    <row r="26179">
      <c r="A26179" s="4" t="s">
        <v>32938</v>
      </c>
      <c r="B26179" s="4" t="s">
        <v>32948</v>
      </c>
      <c r="C26179" s="5" t="str">
        <f>IFERROR(__xludf.DUMMYFUNCTION("GOOGLETRANSLATE(B26179,""en"",""fr"")"),"La scène s'allume en bleu tandis que des citations stupides apparaissent sur le garçon sur la tête des droits.")</f>
        <v>La scène s'allume en bleu tandis que des citations stupides apparaissent sur le garçon sur la tête des droits.</v>
      </c>
    </row>
    <row r="26180">
      <c r="A26180" s="4" t="s">
        <v>32949</v>
      </c>
      <c r="B26180" s="4" t="s">
        <v>32950</v>
      </c>
      <c r="C26180" s="5" t="str">
        <f>IFERROR(__xludf.DUMMYFUNCTION("GOOGLETRANSLATE(B26180,""en"",""fr"")"),"Un homme monte un cheval dans une arène.")</f>
        <v>Un homme monte un cheval dans une arène.</v>
      </c>
    </row>
    <row r="26181">
      <c r="A26181" s="4" t="s">
        <v>32949</v>
      </c>
      <c r="B26181" s="4" t="s">
        <v>32951</v>
      </c>
      <c r="C26181" s="5" t="str">
        <f>IFERROR(__xludf.DUMMYFUNCTION("GOOGLETRANSLATE(B26181,""en"",""fr"")"),"Il saute du cheval et attache un mollet.")</f>
        <v>Il saute du cheval et attache un mollet.</v>
      </c>
    </row>
    <row r="26182">
      <c r="A26182" s="4" t="s">
        <v>32949</v>
      </c>
      <c r="B26182" s="4" t="s">
        <v>32952</v>
      </c>
      <c r="C26182" s="5" t="str">
        <f>IFERROR(__xludf.DUMMYFUNCTION("GOOGLETRANSLATE(B26182,""en"",""fr"")"),"Il se lève et revient sur son cheval.")</f>
        <v>Il se lève et revient sur son cheval.</v>
      </c>
    </row>
    <row r="26183">
      <c r="A26183" s="4" t="s">
        <v>32949</v>
      </c>
      <c r="B26183" s="4" t="s">
        <v>32953</v>
      </c>
      <c r="C26183" s="5" t="str">
        <f>IFERROR(__xludf.DUMMYFUNCTION("GOOGLETRANSLATE(B26183,""en"",""fr"")"),"Deux personnes viennent poser le veau sur l'arène.")</f>
        <v>Deux personnes viennent poser le veau sur l'arène.</v>
      </c>
    </row>
    <row r="26184">
      <c r="A26184" s="4" t="s">
        <v>32954</v>
      </c>
      <c r="B26184" s="4" t="s">
        <v>32955</v>
      </c>
      <c r="C26184" s="5" t="str">
        <f>IFERROR(__xludf.DUMMYFUNCTION("GOOGLETRANSLATE(B26184,""en"",""fr"")"),"Un homme est vu parler à la caméra tout en tenant un grattoir.")</f>
        <v>Un homme est vu parler à la caméra tout en tenant un grattoir.</v>
      </c>
    </row>
    <row r="26185">
      <c r="A26185" s="4" t="s">
        <v>32954</v>
      </c>
      <c r="B26185" s="4" t="s">
        <v>32956</v>
      </c>
      <c r="C26185" s="5" t="str">
        <f>IFERROR(__xludf.DUMMYFUNCTION("GOOGLETRANSLATE(B26185,""en"",""fr"")"),"Il pousse le grattoir le long de la voiture tout en parlant à la caméra.")</f>
        <v>Il pousse le grattoir le long de la voiture tout en parlant à la caméra.</v>
      </c>
    </row>
    <row r="26186">
      <c r="A26186" s="4" t="s">
        <v>32954</v>
      </c>
      <c r="B26186" s="4" t="s">
        <v>32957</v>
      </c>
      <c r="C26186" s="5" t="str">
        <f>IFERROR(__xludf.DUMMYFUNCTION("GOOGLETRANSLATE(B26186,""en"",""fr"")"),"À la fin, il glisse dans la neige.")</f>
        <v>À la fin, il glisse dans la neige.</v>
      </c>
    </row>
    <row r="26187">
      <c r="A26187" s="4" t="s">
        <v>32958</v>
      </c>
      <c r="B26187" s="4" t="s">
        <v>32959</v>
      </c>
      <c r="C26187" s="5" t="str">
        <f>IFERROR(__xludf.DUMMYFUNCTION("GOOGLETRANSLATE(B26187,""en"",""fr"")"),"Un groupe de personnes se produit dans un récital de Baton de vacances.")</f>
        <v>Un groupe de personnes se produit dans un récital de Baton de vacances.</v>
      </c>
    </row>
    <row r="26188">
      <c r="A26188" s="4" t="s">
        <v>32958</v>
      </c>
      <c r="B26188" s="4" t="s">
        <v>32960</v>
      </c>
      <c r="C26188" s="5" t="str">
        <f>IFERROR(__xludf.DUMMYFUNCTION("GOOGLETRANSLATE(B26188,""en"",""fr"")"),"Les filles continuent de danser, de monter et de descendre et de faire tournoyer le bâton.")</f>
        <v>Les filles continuent de danser, de monter et de descendre et de faire tournoyer le bâton.</v>
      </c>
    </row>
    <row r="26189">
      <c r="A26189" s="4" t="s">
        <v>32958</v>
      </c>
      <c r="B26189" s="4" t="s">
        <v>32961</v>
      </c>
      <c r="C26189" s="5" t="str">
        <f>IFERROR(__xludf.DUMMYFUNCTION("GOOGLETRANSLATE(B26189,""en"",""fr"")"),"Les lumières commencent à scintiller et les filles forment une ligne droite à l'arrière de la scène.")</f>
        <v>Les lumières commencent à scintiller et les filles forment une ligne droite à l'arrière de la scène.</v>
      </c>
    </row>
    <row r="26190">
      <c r="A26190" s="4" t="s">
        <v>32958</v>
      </c>
      <c r="B26190" s="4" t="s">
        <v>32962</v>
      </c>
      <c r="C26190" s="5" t="str">
        <f>IFERROR(__xludf.DUMMYFUNCTION("GOOGLETRANSLATE(B26190,""en"",""fr"")"),"Pendant le récital, les filles font la même routine, mais au lieu d'une ligne horizontale, forment une ligne verticale.")</f>
        <v>Pendant le récital, les filles font la même routine, mais au lieu d'une ligne horizontale, forment une ligne verticale.</v>
      </c>
    </row>
    <row r="26191">
      <c r="A26191" s="4" t="s">
        <v>32958</v>
      </c>
      <c r="B26191" s="4" t="s">
        <v>32963</v>
      </c>
      <c r="C26191" s="5" t="str">
        <f>IFERROR(__xludf.DUMMYFUNCTION("GOOGLETRANSLATE(B26191,""en"",""fr"")"),"Une fois qu'ils ont terminé, ils se déplacent vers l'arrière de la scène et dansent derrière les rideaux.")</f>
        <v>Une fois qu'ils ont terminé, ils se déplacent vers l'arrière de la scène et dansent derrière les rideaux.</v>
      </c>
    </row>
    <row r="26192">
      <c r="A26192" s="4" t="s">
        <v>32964</v>
      </c>
      <c r="B26192" s="4" t="s">
        <v>32965</v>
      </c>
      <c r="C26192" s="5" t="str">
        <f>IFERROR(__xludf.DUMMYFUNCTION("GOOGLETRANSLATE(B26192,""en"",""fr"")"),"Un homme met une tenue de Matador dans une pièce.")</f>
        <v>Un homme met une tenue de Matador dans une pièce.</v>
      </c>
    </row>
    <row r="26193">
      <c r="A26193" s="4" t="s">
        <v>32964</v>
      </c>
      <c r="B26193" s="4" t="s">
        <v>32966</v>
      </c>
      <c r="C26193" s="5" t="str">
        <f>IFERROR(__xludf.DUMMYFUNCTION("GOOGLETRANSLATE(B26193,""en"",""fr"")"),"Un matador se bat avec un bol utilisant une cape rouge dans un stade.")</f>
        <v>Un matador se bat avec un bol utilisant une cape rouge dans un stade.</v>
      </c>
    </row>
    <row r="26194">
      <c r="A26194" s="4" t="s">
        <v>32964</v>
      </c>
      <c r="B26194" s="4" t="s">
        <v>32967</v>
      </c>
      <c r="C26194" s="5" t="str">
        <f>IFERROR(__xludf.DUMMYFUNCTION("GOOGLETRANSLATE(B26194,""en"",""fr"")"),"Les garçons s'entraînent en utilisant le Cape rouge ensemble dans l'arène.")</f>
        <v>Les garçons s'entraînent en utilisant le Cape rouge ensemble dans l'arène.</v>
      </c>
    </row>
    <row r="26195">
      <c r="A26195" s="4" t="s">
        <v>32964</v>
      </c>
      <c r="B26195" s="6" t="s">
        <v>32968</v>
      </c>
      <c r="C26195" s="5" t="str">
        <f>IFERROR(__xludf.DUMMYFUNCTION("GOOGLETRANSLATE(B26195,""en"",""fr"")"),"Les gens obtiennent des autographes du Matador et sont vus dans la rue interviewant l'événement.")</f>
        <v>Les gens obtiennent des autographes du Matador et sont vus dans la rue interviewant l'événement.</v>
      </c>
    </row>
    <row r="26196">
      <c r="A26196" s="4" t="s">
        <v>32964</v>
      </c>
      <c r="B26196" s="4" t="s">
        <v>32969</v>
      </c>
      <c r="C26196" s="5" t="str">
        <f>IFERROR(__xludf.DUMMYFUNCTION("GOOGLETRANSLATE(B26196,""en"",""fr"")"),"Le taureau court et charge le matador à distance.")</f>
        <v>Le taureau court et charge le matador à distance.</v>
      </c>
    </row>
    <row r="26197">
      <c r="A26197" s="4" t="s">
        <v>32964</v>
      </c>
      <c r="B26197" s="4" t="s">
        <v>32970</v>
      </c>
      <c r="C26197" s="5" t="str">
        <f>IFERROR(__xludf.DUMMYFUNCTION("GOOGLETRANSLATE(B26197,""en"",""fr"")"),"Le Matador applaudit la foule avec le dos face au taureau.")</f>
        <v>Le Matador applaudit la foule avec le dos face au taureau.</v>
      </c>
    </row>
    <row r="26198">
      <c r="A26198" s="4" t="s">
        <v>32971</v>
      </c>
      <c r="B26198" s="6" t="s">
        <v>32972</v>
      </c>
      <c r="C26198" s="5" t="str">
        <f>IFERROR(__xludf.DUMMYFUNCTION("GOOGLETRANSLATE(B26198,""en"",""fr"")"),"Un homme, en t-shirt noir, se tient seul dans une cuisine, parle à une caméra d'une manière animée et prépare un sandwich au beurre d'arachide et à la gelée.")</f>
        <v>Un homme, en t-shirt noir, se tient seul dans une cuisine, parle à une caméra d'une manière animée et prépare un sandwich au beurre d'arachide et à la gelée.</v>
      </c>
    </row>
    <row r="26199">
      <c r="A26199" s="4" t="s">
        <v>32971</v>
      </c>
      <c r="B26199" s="6" t="s">
        <v>32973</v>
      </c>
      <c r="C26199" s="5" t="str">
        <f>IFERROR(__xludf.DUMMYFUNCTION("GOOGLETRANSLATE(B26199,""en"",""fr"")"),"L'homme tient un pot de beurre d'arachide et une bouteille de gelée après avoir retiré deux morceaux de pain tout en se tenant devant un comptoir de cuisine.")</f>
        <v>L'homme tient un pot de beurre d'arachide et une bouteille de gelée après avoir retiré deux morceaux de pain tout en se tenant devant un comptoir de cuisine.</v>
      </c>
    </row>
    <row r="26200">
      <c r="A26200" s="4" t="s">
        <v>32971</v>
      </c>
      <c r="B26200" s="4" t="s">
        <v>32974</v>
      </c>
      <c r="C26200" s="5" t="str">
        <f>IFERROR(__xludf.DUMMYFUNCTION("GOOGLETRANSLATE(B26200,""en"",""fr"")"),"L'homme met la gelée et le beurre d'arachide sur le pain.")</f>
        <v>L'homme met la gelée et le beurre d'arachide sur le pain.</v>
      </c>
    </row>
    <row r="26201">
      <c r="A26201" s="4" t="s">
        <v>32971</v>
      </c>
      <c r="B26201" s="6" t="s">
        <v>32975</v>
      </c>
      <c r="C26201" s="5" t="str">
        <f>IFERROR(__xludf.DUMMYFUNCTION("GOOGLETRANSLATE(B26201,""en"",""fr"")"),"L'homme mord le sandwich, recommence à parler, claque le sandwich sur une assiette et s'éloigne.")</f>
        <v>L'homme mord le sandwich, recommence à parler, claque le sandwich sur une assiette et s'éloigne.</v>
      </c>
    </row>
    <row r="26202">
      <c r="A26202" s="4" t="s">
        <v>32976</v>
      </c>
      <c r="B26202" s="4" t="s">
        <v>32977</v>
      </c>
      <c r="C26202" s="5" t="str">
        <f>IFERROR(__xludf.DUMMYFUNCTION("GOOGLETRANSLATE(B26202,""en"",""fr"")"),"Les gens sont montrés sur un terrain de volley-ball alors qu'ils se réchauffent.")</f>
        <v>Les gens sont montrés sur un terrain de volley-ball alors qu'ils se réchauffent.</v>
      </c>
    </row>
    <row r="26203">
      <c r="A26203" s="4" t="s">
        <v>32976</v>
      </c>
      <c r="B26203" s="4" t="s">
        <v>32978</v>
      </c>
      <c r="C26203" s="5" t="str">
        <f>IFERROR(__xludf.DUMMYFUNCTION("GOOGLETRANSLATE(B26203,""en"",""fr"")"),"Les filles votent le ballon d'avant en arrière sur le filet.")</f>
        <v>Les filles votent le ballon d'avant en arrière sur le filet.</v>
      </c>
    </row>
    <row r="26204">
      <c r="A26204" s="4" t="s">
        <v>32976</v>
      </c>
      <c r="B26204" s="4" t="s">
        <v>32979</v>
      </c>
      <c r="C26204" s="5" t="str">
        <f>IFERROR(__xludf.DUMMYFUNCTION("GOOGLETRANSLATE(B26204,""en"",""fr"")"),"Ils essaient de garder le ballon de leurs adversaires alors que le jeu commence vraiment.")</f>
        <v>Ils essaient de garder le ballon de leurs adversaires alors que le jeu commence vraiment.</v>
      </c>
    </row>
    <row r="26205">
      <c r="A26205" s="4" t="s">
        <v>32980</v>
      </c>
      <c r="B26205" s="6" t="s">
        <v>32981</v>
      </c>
      <c r="C26205" s="5" t="str">
        <f>IFERROR(__xludf.DUMMYFUNCTION("GOOGLETRANSLATE(B26205,""en"",""fr"")"),"Une femme est vue en parlant à la caméra en tenant diverses vadrouilles et en les présentant à la caméra.")</f>
        <v>Une femme est vue en parlant à la caméra en tenant diverses vadrouilles et en les présentant à la caméra.</v>
      </c>
    </row>
    <row r="26206">
      <c r="A26206" s="4" t="s">
        <v>32980</v>
      </c>
      <c r="B26206" s="4" t="s">
        <v>32982</v>
      </c>
      <c r="C26206" s="5" t="str">
        <f>IFERROR(__xludf.DUMMYFUNCTION("GOOGLETRANSLATE(B26206,""en"",""fr"")"),"Elle plonge ensuite les vadrouilles dans un seau et les lave le long du sol.")</f>
        <v>Elle plonge ensuite les vadrouilles dans un seau et les lave le long du sol.</v>
      </c>
    </row>
    <row r="26207">
      <c r="A26207" s="4" t="s">
        <v>32980</v>
      </c>
      <c r="B26207" s="6" t="s">
        <v>32983</v>
      </c>
      <c r="C26207" s="5" t="str">
        <f>IFERROR(__xludf.DUMMYFUNCTION("GOOGLETRANSLATE(B26207,""en"",""fr"")"),"Elle continue de parler tout en brandissant les vadrouilles et les démonter et montrer comment ils fonctionnent.")</f>
        <v>Elle continue de parler tout en brandissant les vadrouilles et les démonter et montrer comment ils fonctionnent.</v>
      </c>
    </row>
    <row r="26208">
      <c r="A26208" s="4" t="s">
        <v>32984</v>
      </c>
      <c r="B26208" s="4" t="s">
        <v>32985</v>
      </c>
      <c r="C26208" s="5" t="str">
        <f>IFERROR(__xludf.DUMMYFUNCTION("GOOGLETRANSLATE(B26208,""en"",""fr"")"),"Un groupe d'hommes et de garçons est sur une colline enneigée.")</f>
        <v>Un groupe d'hommes et de garçons est sur une colline enneigée.</v>
      </c>
    </row>
    <row r="26209">
      <c r="A26209" s="4" t="s">
        <v>32984</v>
      </c>
      <c r="B26209" s="4" t="s">
        <v>32986</v>
      </c>
      <c r="C26209" s="5" t="str">
        <f>IFERROR(__xludf.DUMMYFUNCTION("GOOGLETRANSLATE(B26209,""en"",""fr"")"),"Ils lobent des boules de neige et roulent sur les voitures, puis ils skient en bas de la colline.")</f>
        <v>Ils lobent des boules de neige et roulent sur les voitures, puis ils skient en bas de la colline.</v>
      </c>
    </row>
    <row r="26210">
      <c r="A26210" s="4" t="s">
        <v>32984</v>
      </c>
      <c r="B26210" s="4" t="s">
        <v>32987</v>
      </c>
      <c r="C26210" s="5" t="str">
        <f>IFERROR(__xludf.DUMMYFUNCTION("GOOGLETRANSLATE(B26210,""en"",""fr"")"),"On leur montre le ski et l'exécution de nombreuses astuces, tournant et retournent au fur et à mesure.")</f>
        <v>On leur montre le ski et l'exécution de nombreuses astuces, tournant et retournent au fur et à mesure.</v>
      </c>
    </row>
    <row r="26211">
      <c r="A26211" s="4" t="s">
        <v>32988</v>
      </c>
      <c r="B26211" s="4" t="s">
        <v>32989</v>
      </c>
      <c r="C26211" s="5" t="str">
        <f>IFERROR(__xludf.DUMMYFUNCTION("GOOGLETRANSLATE(B26211,""en"",""fr"")"),"Nous voyons un garçon jouer un accordéon.")</f>
        <v>Nous voyons un garçon jouer un accordéon.</v>
      </c>
    </row>
    <row r="26212">
      <c r="A26212" s="4" t="s">
        <v>32988</v>
      </c>
      <c r="B26212" s="4" t="s">
        <v>32990</v>
      </c>
      <c r="C26212" s="5" t="str">
        <f>IFERROR(__xludf.DUMMYFUNCTION("GOOGLETRANSLATE(B26212,""en"",""fr"")"),"Le garçon glisse sa main sur les clés.")</f>
        <v>Le garçon glisse sa main sur les clés.</v>
      </c>
    </row>
    <row r="26213">
      <c r="A26213" s="4" t="s">
        <v>32988</v>
      </c>
      <c r="B26213" s="4" t="s">
        <v>32991</v>
      </c>
      <c r="C26213" s="5" t="str">
        <f>IFERROR(__xludf.DUMMYFUNCTION("GOOGLETRANSLATE(B26213,""en"",""fr"")"),"Un morceau de papier entre en scène en bas à droite.")</f>
        <v>Un morceau de papier entre en scène en bas à droite.</v>
      </c>
    </row>
    <row r="26214">
      <c r="A26214" s="4" t="s">
        <v>32988</v>
      </c>
      <c r="B26214" s="4" t="s">
        <v>32992</v>
      </c>
      <c r="C26214" s="5" t="str">
        <f>IFERROR(__xludf.DUMMYFUNCTION("GOOGLETRANSLATE(B26214,""en"",""fr"")"),"Le garçon finit et l'écran devient noir.")</f>
        <v>Le garçon finit et l'écran devient noir.</v>
      </c>
    </row>
    <row r="26215">
      <c r="A26215" s="4" t="s">
        <v>32993</v>
      </c>
      <c r="B26215" s="4" t="s">
        <v>25249</v>
      </c>
      <c r="C26215" s="5" t="str">
        <f>IFERROR(__xludf.DUMMYFUNCTION("GOOGLETRANSLATE(B26215,""en"",""fr"")"),"Les crédits des clips sont affichés.")</f>
        <v>Les crédits des clips sont affichés.</v>
      </c>
    </row>
    <row r="26216">
      <c r="A26216" s="4" t="s">
        <v>32993</v>
      </c>
      <c r="B26216" s="4" t="s">
        <v>32994</v>
      </c>
      <c r="C26216" s="5" t="str">
        <f>IFERROR(__xludf.DUMMYFUNCTION("GOOGLETRANSLATE(B26216,""en"",""fr"")"),"La main fore un trou avec un outil électrique.")</f>
        <v>La main fore un trou avec un outil électrique.</v>
      </c>
    </row>
    <row r="26217">
      <c r="A26217" s="4" t="s">
        <v>32993</v>
      </c>
      <c r="B26217" s="4" t="s">
        <v>32995</v>
      </c>
      <c r="C26217" s="5" t="str">
        <f>IFERROR(__xludf.DUMMYFUNCTION("GOOGLETRANSLATE(B26217,""en"",""fr"")"),"La main visit deux clous dans des trous avec un outil électrique.")</f>
        <v>La main visit deux clous dans des trous avec un outil électrique.</v>
      </c>
    </row>
    <row r="26218">
      <c r="A26218" s="4" t="s">
        <v>32993</v>
      </c>
      <c r="B26218" s="4" t="s">
        <v>32996</v>
      </c>
      <c r="C26218" s="5" t="str">
        <f>IFERROR(__xludf.DUMMYFUNCTION("GOOGLETRANSLATE(B26218,""en"",""fr"")"),"La personne part avec l'outil électrique.")</f>
        <v>La personne part avec l'outil électrique.</v>
      </c>
    </row>
    <row r="26219">
      <c r="A26219" s="4" t="s">
        <v>32997</v>
      </c>
      <c r="B26219" s="4" t="s">
        <v>32998</v>
      </c>
      <c r="C26219" s="5" t="str">
        <f>IFERROR(__xludf.DUMMYFUNCTION("GOOGLETRANSLATE(B26219,""en"",""fr"")"),"Plusieurs enfants sont dans une piscine en jouant à une partie de water-polo.")</f>
        <v>Plusieurs enfants sont dans une piscine en jouant à une partie de water-polo.</v>
      </c>
    </row>
    <row r="26220">
      <c r="A26220" s="4" t="s">
        <v>32997</v>
      </c>
      <c r="B26220" s="4" t="s">
        <v>32999</v>
      </c>
      <c r="C26220" s="5" t="str">
        <f>IFERROR(__xludf.DUMMYFUNCTION("GOOGLETRANSLATE(B26220,""en"",""fr"")"),"L'une des filles obtient le ballon et fait un tir dans le filet pendant que la foule applaudit.")</f>
        <v>L'une des filles obtient le ballon et fait un tir dans le filet pendant que la foule applaudit.</v>
      </c>
    </row>
    <row r="26221">
      <c r="A26221" s="4" t="s">
        <v>32997</v>
      </c>
      <c r="B26221" s="4" t="s">
        <v>33000</v>
      </c>
      <c r="C26221" s="5" t="str">
        <f>IFERROR(__xludf.DUMMYFUNCTION("GOOGLETRANSLATE(B26221,""en"",""fr"")"),"Le jeu se réinitialise et les équipes recommencent à jouer.")</f>
        <v>Le jeu se réinitialise et les équipes recommencent à jouer.</v>
      </c>
    </row>
    <row r="26222">
      <c r="A26222" s="4" t="s">
        <v>33001</v>
      </c>
      <c r="B26222" s="4" t="s">
        <v>33002</v>
      </c>
      <c r="C26222" s="5" t="str">
        <f>IFERROR(__xludf.DUMMYFUNCTION("GOOGLETRANSLATE(B26222,""en"",""fr"")"),"Deux hommes sont montrés parlant lors d'une fête jouant Pong avec deux autres hommes.")</f>
        <v>Deux hommes sont montrés parlant lors d'une fête jouant Pong avec deux autres hommes.</v>
      </c>
    </row>
    <row r="26223">
      <c r="A26223" s="4" t="s">
        <v>33001</v>
      </c>
      <c r="B26223" s="6" t="s">
        <v>33003</v>
      </c>
      <c r="C26223" s="5" t="str">
        <f>IFERROR(__xludf.DUMMYFUNCTION("GOOGLETRANSLATE(B26223,""en"",""fr"")"),"Les hommes continuent de mettre les balles dans les tasses en arrière et le quatrième et l'une saute à l'arrière de l'autre.")</f>
        <v>Les hommes continuent de mettre les balles dans les tasses en arrière et le quatrième et l'une saute à l'arrière de l'autre.</v>
      </c>
    </row>
    <row r="26224">
      <c r="A26224" s="4" t="s">
        <v>33004</v>
      </c>
      <c r="B26224" s="4" t="s">
        <v>33005</v>
      </c>
      <c r="C26224" s="5" t="str">
        <f>IFERROR(__xludf.DUMMYFUNCTION("GOOGLETRANSLATE(B26224,""en"",""fr"")"),"Un évier est couvert de saleté.")</f>
        <v>Un évier est couvert de saleté.</v>
      </c>
    </row>
    <row r="26225">
      <c r="A26225" s="4" t="s">
        <v>33004</v>
      </c>
      <c r="B26225" s="4" t="s">
        <v>33006</v>
      </c>
      <c r="C26225" s="5" t="str">
        <f>IFERROR(__xludf.DUMMYFUNCTION("GOOGLETRANSLATE(B26225,""en"",""fr"")"),"Une bouteille est maintenue à la caméra.")</f>
        <v>Une bouteille est maintenue à la caméra.</v>
      </c>
    </row>
    <row r="26226">
      <c r="A26226" s="4" t="s">
        <v>33004</v>
      </c>
      <c r="B26226" s="4" t="s">
        <v>33007</v>
      </c>
      <c r="C26226" s="5" t="str">
        <f>IFERROR(__xludf.DUMMYFUNCTION("GOOGLETRANSLATE(B26226,""en"",""fr"")"),"L'eau passe sur une éponge.")</f>
        <v>L'eau passe sur une éponge.</v>
      </c>
    </row>
    <row r="26227">
      <c r="A26227" s="4" t="s">
        <v>33004</v>
      </c>
      <c r="B26227" s="4" t="s">
        <v>33008</v>
      </c>
      <c r="C26227" s="5" t="str">
        <f>IFERROR(__xludf.DUMMYFUNCTION("GOOGLETRANSLATE(B26227,""en"",""fr"")"),"La solution est versée sur l'éponge et l'évier est nettoyé.")</f>
        <v>La solution est versée sur l'éponge et l'évier est nettoyé.</v>
      </c>
    </row>
    <row r="26228">
      <c r="A26228" s="4" t="s">
        <v>33009</v>
      </c>
      <c r="B26228" s="6" t="s">
        <v>33010</v>
      </c>
      <c r="C26228" s="5" t="str">
        <f>IFERROR(__xludf.DUMMYFUNCTION("GOOGLETRANSLATE(B26228,""en"",""fr"")"),"Un adolescent portant une chemise blanche et un pantalon de survêtement noir tire des cerceaux dans un terrain de basket en plein air.")</f>
        <v>Un adolescent portant une chemise blanche et un pantalon de survêtement noir tire des cerceaux dans un terrain de basket en plein air.</v>
      </c>
    </row>
    <row r="26229">
      <c r="A26229" s="4" t="s">
        <v>33009</v>
      </c>
      <c r="B26229" s="4" t="s">
        <v>33011</v>
      </c>
      <c r="C26229" s="5" t="str">
        <f>IFERROR(__xludf.DUMMYFUNCTION("GOOGLETRANSLATE(B26229,""en"",""fr"")"),"Il y a quelques cônes disposés autour de la cour.")</f>
        <v>Il y a quelques cônes disposés autour de la cour.</v>
      </c>
    </row>
    <row r="26230">
      <c r="A26230" s="4" t="s">
        <v>33009</v>
      </c>
      <c r="B26230" s="4" t="s">
        <v>33012</v>
      </c>
      <c r="C26230" s="5" t="str">
        <f>IFERROR(__xludf.DUMMYFUNCTION("GOOGLETRANSLATE(B26230,""en"",""fr"")"),"Le garçon continue de courir, de dribble et de tirer des cerceaux avec le basket.")</f>
        <v>Le garçon continue de courir, de dribble et de tirer des cerceaux avec le basket.</v>
      </c>
    </row>
    <row r="26231">
      <c r="A26231" s="4" t="s">
        <v>33009</v>
      </c>
      <c r="B26231" s="4" t="s">
        <v>33013</v>
      </c>
      <c r="C26231" s="5" t="str">
        <f>IFERROR(__xludf.DUMMYFUNCTION("GOOGLETRANSLATE(B26231,""en"",""fr"")"),"Il frappe un coup de feu et fait un panier puis arrête de jouer.")</f>
        <v>Il frappe un coup de feu et fait un panier puis arrête de jouer.</v>
      </c>
    </row>
    <row r="26232">
      <c r="A26232" s="4" t="s">
        <v>33014</v>
      </c>
      <c r="B26232" s="4" t="s">
        <v>33015</v>
      </c>
      <c r="C26232" s="5" t="str">
        <f>IFERROR(__xludf.DUMMYFUNCTION("GOOGLETRANSLATE(B26232,""en"",""fr"")"),"Une carte est représentée, puis deux gros poissons sont représentés dans l'eau alors qu'un oiseau flotte à travers l'eau.")</f>
        <v>Une carte est représentée, puis deux gros poissons sont représentés dans l'eau alors qu'un oiseau flotte à travers l'eau.</v>
      </c>
    </row>
    <row r="26233">
      <c r="A26233" s="4" t="s">
        <v>33014</v>
      </c>
      <c r="B26233" s="4" t="s">
        <v>33016</v>
      </c>
      <c r="C26233" s="5" t="str">
        <f>IFERROR(__xludf.DUMMYFUNCTION("GOOGLETRANSLATE(B26233,""en"",""fr"")"),"Deux hommes sont sur un bateau et ils naviguent sur l'eau sur le poisson.")</f>
        <v>Deux hommes sont sur un bateau et ils naviguent sur l'eau sur le poisson.</v>
      </c>
    </row>
    <row r="26234">
      <c r="A26234" s="4" t="s">
        <v>33014</v>
      </c>
      <c r="B26234" s="4" t="s">
        <v>33017</v>
      </c>
      <c r="C26234" s="5" t="str">
        <f>IFERROR(__xludf.DUMMYFUNCTION("GOOGLETRANSLATE(B26234,""en"",""fr"")"),"Une vue sous-marine est ensuite montrée et vous pouvez voir le bas du corps des canards.")</f>
        <v>Une vue sous-marine est ensuite montrée et vous pouvez voir le bas du corps des canards.</v>
      </c>
    </row>
    <row r="26235">
      <c r="A26235" s="4" t="s">
        <v>33014</v>
      </c>
      <c r="B26235" s="4" t="s">
        <v>33018</v>
      </c>
      <c r="C26235" s="5" t="str">
        <f>IFERROR(__xludf.DUMMYFUNCTION("GOOGLETRANSLATE(B26235,""en"",""fr"")"),"Plusieurs hommes et bateaux sont ensuite présentés et un courrier attrape un poisson.")</f>
        <v>Plusieurs hommes et bateaux sont ensuite présentés et un courrier attrape un poisson.</v>
      </c>
    </row>
    <row r="26236">
      <c r="A26236" s="4" t="s">
        <v>33014</v>
      </c>
      <c r="B26236" s="6" t="s">
        <v>33019</v>
      </c>
      <c r="C26236" s="5" t="str">
        <f>IFERROR(__xludf.DUMMYFUNCTION("GOOGLETRANSLATE(B26236,""en"",""fr"")"),"Après, un homme vêtu de tout noir est sous l'eau et un hélicoptère d'eau est illustré, puis l'homme remonte sous l'eau en tenant la caméra et en jouant avec de gros poissons.")</f>
        <v>Après, un homme vêtu de tout noir est sous l'eau et un hélicoptère d'eau est illustré, puis l'homme remonte sous l'eau en tenant la caméra et en jouant avec de gros poissons.</v>
      </c>
    </row>
    <row r="26237">
      <c r="A26237" s="4" t="s">
        <v>33014</v>
      </c>
      <c r="B26237" s="6" t="s">
        <v>33020</v>
      </c>
      <c r="C26237" s="5" t="str">
        <f>IFERROR(__xludf.DUMMYFUNCTION("GOOGLETRANSLATE(B26237,""en"",""fr"")"),"D'autres sont montrés et les hommes continuent de sauter du bateau et de montrer leurs conclusions sous l'eau et de jeter de l'eau sur eux-mêmes et une autre carte est montrée.")</f>
        <v>D'autres sont montrés et les hommes continuent de sauter du bateau et de montrer leurs conclusions sous l'eau et de jeter de l'eau sur eux-mêmes et une autre carte est montrée.</v>
      </c>
    </row>
    <row r="26238">
      <c r="A26238" s="4" t="s">
        <v>33021</v>
      </c>
      <c r="B26238" s="4" t="s">
        <v>33022</v>
      </c>
      <c r="C26238" s="5" t="str">
        <f>IFERROR(__xludf.DUMMYFUNCTION("GOOGLETRANSLATE(B26238,""en"",""fr"")"),"Deux personnes jouent au racquetball.")</f>
        <v>Deux personnes jouent au racquetball.</v>
      </c>
    </row>
    <row r="26239">
      <c r="A26239" s="4" t="s">
        <v>33021</v>
      </c>
      <c r="B26239" s="4" t="s">
        <v>33023</v>
      </c>
      <c r="C26239" s="5" t="str">
        <f>IFERROR(__xludf.DUMMYFUNCTION("GOOGLETRANSLATE(B26239,""en"",""fr"")"),"Le ballon arrive derrière les joueurs.")</f>
        <v>Le ballon arrive derrière les joueurs.</v>
      </c>
    </row>
    <row r="26240">
      <c r="A26240" s="4" t="s">
        <v>33021</v>
      </c>
      <c r="B26240" s="4" t="s">
        <v>33024</v>
      </c>
      <c r="C26240" s="5" t="str">
        <f>IFERROR(__xludf.DUMMYFUNCTION("GOOGLETRANSLATE(B26240,""en"",""fr"")"),"Ils reprennent jouer et sauter.")</f>
        <v>Ils reprennent jouer et sauter.</v>
      </c>
    </row>
    <row r="26241">
      <c r="A26241" s="4" t="s">
        <v>33021</v>
      </c>
      <c r="B26241" s="4" t="s">
        <v>33025</v>
      </c>
      <c r="C26241" s="5" t="str">
        <f>IFERROR(__xludf.DUMMYFUNCTION("GOOGLETRANSLATE(B26241,""en"",""fr"")"),"Le ballon passe à nouveau par les joueurs.")</f>
        <v>Le ballon passe à nouveau par les joueurs.</v>
      </c>
    </row>
    <row r="26242">
      <c r="A26242" s="4" t="s">
        <v>33021</v>
      </c>
      <c r="B26242" s="4" t="s">
        <v>33026</v>
      </c>
      <c r="C26242" s="5" t="str">
        <f>IFERROR(__xludf.DUMMYFUNCTION("GOOGLETRANSLATE(B26242,""en"",""fr"")"),"L'homme en jaune redémarre un nouveau match.")</f>
        <v>L'homme en jaune redémarre un nouveau match.</v>
      </c>
    </row>
    <row r="26243">
      <c r="A26243" s="4" t="s">
        <v>33021</v>
      </c>
      <c r="B26243" s="4" t="s">
        <v>33027</v>
      </c>
      <c r="C26243" s="5" t="str">
        <f>IFERROR(__xludf.DUMMYFUNCTION("GOOGLETRANSLATE(B26243,""en"",""fr"")"),"L'homme en bleu se promène vers la fenêtre et déconne avec un autocollant.")</f>
        <v>L'homme en bleu se promène vers la fenêtre et déconne avec un autocollant.</v>
      </c>
    </row>
    <row r="26244">
      <c r="A26244" s="4" t="s">
        <v>33021</v>
      </c>
      <c r="B26244" s="4" t="s">
        <v>33028</v>
      </c>
      <c r="C26244" s="5" t="str">
        <f>IFERROR(__xludf.DUMMYFUNCTION("GOOGLETRANSLATE(B26244,""en"",""fr"")"),"L'homme en jaune essaie de redémarrer un nouveau match.")</f>
        <v>L'homme en jaune essaie de redémarrer un nouveau match.</v>
      </c>
    </row>
    <row r="26245">
      <c r="A26245" s="4" t="s">
        <v>33021</v>
      </c>
      <c r="B26245" s="4" t="s">
        <v>33029</v>
      </c>
      <c r="C26245" s="5" t="str">
        <f>IFERROR(__xludf.DUMMYFUNCTION("GOOGLETRANSLATE(B26245,""en"",""fr"")"),"L'homme en bleu frappe le ballon dans le coin et il recule.")</f>
        <v>L'homme en bleu frappe le ballon dans le coin et il recule.</v>
      </c>
    </row>
    <row r="26246">
      <c r="A26246" s="4" t="s">
        <v>33021</v>
      </c>
      <c r="B26246" s="4" t="s">
        <v>33030</v>
      </c>
      <c r="C26246" s="5" t="str">
        <f>IFERROR(__xludf.DUMMYFUNCTION("GOOGLETRANSLATE(B26246,""en"",""fr"")"),"Ils commencent une autre manche de racquetball.")</f>
        <v>Ils commencent une autre manche de racquetball.</v>
      </c>
    </row>
    <row r="26247">
      <c r="A26247" s="4" t="s">
        <v>33031</v>
      </c>
      <c r="B26247" s="4" t="s">
        <v>33032</v>
      </c>
      <c r="C26247" s="5" t="str">
        <f>IFERROR(__xludf.DUMMYFUNCTION("GOOGLETRANSLATE(B26247,""en"",""fr"")"),"Une fille se fait percer le nez.")</f>
        <v>Une fille se fait percer le nez.</v>
      </c>
    </row>
    <row r="26248">
      <c r="A26248" s="4" t="s">
        <v>33031</v>
      </c>
      <c r="B26248" s="4" t="s">
        <v>33033</v>
      </c>
      <c r="C26248" s="5" t="str">
        <f>IFERROR(__xludf.DUMMYFUNCTION("GOOGLETRANSLATE(B26248,""en"",""fr"")"),"Le nez est nettoyé avant le piercing.")</f>
        <v>Le nez est nettoyé avant le piercing.</v>
      </c>
    </row>
    <row r="26249">
      <c r="A26249" s="4" t="s">
        <v>33031</v>
      </c>
      <c r="B26249" s="4" t="s">
        <v>33034</v>
      </c>
      <c r="C26249" s="5" t="str">
        <f>IFERROR(__xludf.DUMMYFUNCTION("GOOGLETRANSLATE(B26249,""en"",""fr"")"),"Elle parle à la caméra.")</f>
        <v>Elle parle à la caméra.</v>
      </c>
    </row>
    <row r="26250">
      <c r="A26250" s="4" t="s">
        <v>33031</v>
      </c>
      <c r="B26250" s="4" t="s">
        <v>33035</v>
      </c>
      <c r="C26250" s="5" t="str">
        <f>IFERROR(__xludf.DUMMYFUNCTION("GOOGLETRANSLATE(B26250,""en"",""fr"")"),"L'homme perce le nez.")</f>
        <v>L'homme perce le nez.</v>
      </c>
    </row>
    <row r="26251">
      <c r="A26251" s="4" t="s">
        <v>33036</v>
      </c>
      <c r="B26251" s="4" t="s">
        <v>33037</v>
      </c>
      <c r="C26251" s="5" t="str">
        <f>IFERROR(__xludf.DUMMYFUNCTION("GOOGLETRANSLATE(B26251,""en"",""fr"")"),"Un paysage d'une résidence est montré.")</f>
        <v>Un paysage d'une résidence est montré.</v>
      </c>
    </row>
    <row r="26252">
      <c r="A26252" s="4" t="s">
        <v>33036</v>
      </c>
      <c r="B26252" s="6" t="s">
        <v>33038</v>
      </c>
      <c r="C26252" s="5" t="str">
        <f>IFERROR(__xludf.DUMMYFUNCTION("GOOGLETRANSLATE(B26252,""en"",""fr"")"),"Un homme apparaît de derrière une haie et il tient un coupe-haie vert citron et il commence à faire le tour de ses haies et commence à les couper d'abord en haut, puis il se concentre sur les côtés et vers le bas.")</f>
        <v>Un homme apparaît de derrière une haie et il tient un coupe-haie vert citron et il commence à faire le tour de ses haies et commence à les couper d'abord en haut, puis il se concentre sur les côtés et vers le bas.</v>
      </c>
    </row>
    <row r="26253">
      <c r="A26253" s="4" t="s">
        <v>33036</v>
      </c>
      <c r="B26253" s="4" t="s">
        <v>33039</v>
      </c>
      <c r="C26253" s="5" t="str">
        <f>IFERROR(__xludf.DUMMYFUNCTION("GOOGLETRANSLATE(B26253,""en"",""fr"")"),"L'homme déplace ensuite son coupe-haies et se concentre sur le dessus des haies.")</f>
        <v>L'homme déplace ensuite son coupe-haies et se concentre sur le dessus des haies.</v>
      </c>
    </row>
    <row r="26254">
      <c r="A26254" s="4" t="s">
        <v>33040</v>
      </c>
      <c r="B26254" s="6" t="s">
        <v>33041</v>
      </c>
      <c r="C26254" s="5" t="str">
        <f>IFERROR(__xludf.DUMMYFUNCTION("GOOGLETRANSLATE(B26254,""en"",""fr"")"),"Quatre personnes sont vues frapper une balle autour d'un dos de gymnase et quatrième du mur avec une raquette de tennis.")</f>
        <v>Quatre personnes sont vues frapper une balle autour d'un dos de gymnase et quatrième du mur avec une raquette de tennis.</v>
      </c>
    </row>
    <row r="26255">
      <c r="A26255" s="4" t="s">
        <v>33040</v>
      </c>
      <c r="B26255" s="4" t="s">
        <v>33042</v>
      </c>
      <c r="C26255" s="5" t="str">
        <f>IFERROR(__xludf.DUMMYFUNCTION("GOOGLETRANSLATE(B26255,""en"",""fr"")"),"Les hommes continuent de jouer les uns avec les autres et se terminent en se serrant la main.")</f>
        <v>Les hommes continuent de jouer les uns avec les autres et se terminent en se serrant la main.</v>
      </c>
    </row>
    <row r="26256">
      <c r="A26256" s="4" t="s">
        <v>33043</v>
      </c>
      <c r="B26256" s="4" t="s">
        <v>33044</v>
      </c>
      <c r="C26256" s="5" t="str">
        <f>IFERROR(__xludf.DUMMYFUNCTION("GOOGLETRANSLATE(B26256,""en"",""fr"")"),"Un homme est vu debout devant la caméra tenant un ensemble de cornemas.")</f>
        <v>Un homme est vu debout devant la caméra tenant un ensemble de cornemas.</v>
      </c>
    </row>
    <row r="26257">
      <c r="A26257" s="4" t="s">
        <v>33043</v>
      </c>
      <c r="B26257" s="4" t="s">
        <v>20772</v>
      </c>
      <c r="C26257" s="5" t="str">
        <f>IFERROR(__xludf.DUMMYFUNCTION("GOOGLETRANSLATE(B26257,""en"",""fr"")"),"L'homme commence alors à jouer de l'instrument devant la caméra.")</f>
        <v>L'homme commence alors à jouer de l'instrument devant la caméra.</v>
      </c>
    </row>
    <row r="26258">
      <c r="A26258" s="4" t="s">
        <v>33043</v>
      </c>
      <c r="B26258" s="4" t="s">
        <v>33045</v>
      </c>
      <c r="C26258" s="5" t="str">
        <f>IFERROR(__xludf.DUMMYFUNCTION("GOOGLETRANSLATE(B26258,""en"",""fr"")"),"L'homme continue de jouer tout en faisant des pauses ici et là et en montrant du texte à la fin.")</f>
        <v>L'homme continue de jouer tout en faisant des pauses ici et là et en montrant du texte à la fin.</v>
      </c>
    </row>
    <row r="26259">
      <c r="A26259" s="4" t="s">
        <v>33046</v>
      </c>
      <c r="B26259" s="4" t="s">
        <v>33047</v>
      </c>
      <c r="C26259" s="5" t="str">
        <f>IFERROR(__xludf.DUMMYFUNCTION("GOOGLETRANSLATE(B26259,""en"",""fr"")"),"Une femme est vue en train de ratir la pelouse tandis que trois chiens se tiennent près d'elle et tiennent des jouets.")</f>
        <v>Une femme est vue en train de ratir la pelouse tandis que trois chiens se tiennent près d'elle et tiennent des jouets.</v>
      </c>
    </row>
    <row r="26260">
      <c r="A26260" s="4" t="s">
        <v>33046</v>
      </c>
      <c r="B26260" s="6" t="s">
        <v>33048</v>
      </c>
      <c r="C26260" s="5" t="str">
        <f>IFERROR(__xludf.DUMMYFUNCTION("GOOGLETRANSLATE(B26260,""en"",""fr"")"),"La femme continue de ratir alors que le chien erre autour d'elle avec des jouets et elle les ramasse progressivement et les jette pour les chiens.")</f>
        <v>La femme continue de ratir alors que le chien erre autour d'elle avec des jouets et elle les ramasse progressivement et les jette pour les chiens.</v>
      </c>
    </row>
    <row r="26261">
      <c r="A26261" s="4" t="s">
        <v>33049</v>
      </c>
      <c r="B26261" s="4" t="s">
        <v>33050</v>
      </c>
      <c r="C26261" s="5" t="str">
        <f>IFERROR(__xludf.DUMMYFUNCTION("GOOGLETRANSLATE(B26261,""en"",""fr"")"),"Il y a plusieurs hommes jouant au foos balle dans une pièce intérieure qui a des panneaux en bois.")</f>
        <v>Il y a plusieurs hommes jouant au foos balle dans une pièce intérieure qui a des panneaux en bois.</v>
      </c>
    </row>
    <row r="26262">
      <c r="A26262" s="4" t="s">
        <v>33049</v>
      </c>
      <c r="B26262" s="4" t="s">
        <v>33051</v>
      </c>
      <c r="C26262" s="5" t="str">
        <f>IFERROR(__xludf.DUMMYFUNCTION("GOOGLETRANSLATE(B26262,""en"",""fr"")"),"Ils sont tous absorbés dans le jeu alors qu'ils frappent le ballon dans les deux sens.")</f>
        <v>Ils sont tous absorbés dans le jeu alors qu'ils frappent le ballon dans les deux sens.</v>
      </c>
    </row>
    <row r="26263">
      <c r="A26263" s="4" t="s">
        <v>33052</v>
      </c>
      <c r="B26263" s="6" t="s">
        <v>33053</v>
      </c>
      <c r="C26263" s="5" t="str">
        <f>IFERROR(__xludf.DUMMYFUNCTION("GOOGLETRANSLATE(B26263,""en"",""fr"")"),"Une femme se penche en avant en étendant son bras gauche gauche à l'avant et en levant sa jambe tout en ayant la main droite sur son épaule.")</f>
        <v>Une femme se penche en avant en étendant son bras gauche gauche à l'avant et en levant sa jambe tout en ayant la main droite sur son épaule.</v>
      </c>
    </row>
    <row r="26264">
      <c r="A26264" s="4" t="s">
        <v>33052</v>
      </c>
      <c r="B26264" s="4" t="s">
        <v>33054</v>
      </c>
      <c r="C26264" s="5" t="str">
        <f>IFERROR(__xludf.DUMMYFUNCTION("GOOGLETRANSLATE(B26264,""en"",""fr"")"),"Ensuite, la femme se tourne vers la gauche et lance une balle et tourne son corps.")</f>
        <v>Ensuite, la femme se tourne vers la gauche et lance une balle et tourne son corps.</v>
      </c>
    </row>
    <row r="26265">
      <c r="A26265" s="4" t="s">
        <v>33055</v>
      </c>
      <c r="B26265" s="4" t="s">
        <v>33056</v>
      </c>
      <c r="C26265" s="5" t="str">
        <f>IFERROR(__xludf.DUMMYFUNCTION("GOOGLETRANSLATE(B26265,""en"",""fr"")"),"Une femme dirige une classe de garçons et de filles en exercice.")</f>
        <v>Une femme dirige une classe de garçons et de filles en exercice.</v>
      </c>
    </row>
    <row r="26266">
      <c r="A26266" s="4" t="s">
        <v>33055</v>
      </c>
      <c r="B26266" s="4" t="s">
        <v>33057</v>
      </c>
      <c r="C26266" s="5" t="str">
        <f>IFERROR(__xludf.DUMMYFUNCTION("GOOGLETRANSLATE(B26266,""en"",""fr"")"),"Ils utilisent des steppers pour sauter de haut en bas et d'un côté à l'autre.")</f>
        <v>Ils utilisent des steppers pour sauter de haut en bas et d'un côté à l'autre.</v>
      </c>
    </row>
    <row r="26267">
      <c r="A26267" s="4" t="s">
        <v>33055</v>
      </c>
      <c r="B26267" s="4" t="s">
        <v>33058</v>
      </c>
      <c r="C26267" s="5" t="str">
        <f>IFERROR(__xludf.DUMMYFUNCTION("GOOGLETRANSLATE(B26267,""en"",""fr"")"),"Ensuite, ils courent en place, sautant sur et hors des steppers.")</f>
        <v>Ensuite, ils courent en place, sautant sur et hors des steppers.</v>
      </c>
    </row>
    <row r="26268">
      <c r="A26268" s="4" t="s">
        <v>33055</v>
      </c>
      <c r="B26268" s="4" t="s">
        <v>33059</v>
      </c>
      <c r="C26268" s="5" t="str">
        <f>IFERROR(__xludf.DUMMYFUNCTION("GOOGLETRANSLATE(B26268,""en"",""fr"")"),"Ils ralentissent, se refroidissant avant de les applaudir.")</f>
        <v>Ils ralentissent, se refroidissant avant de les applaudir.</v>
      </c>
    </row>
    <row r="26269">
      <c r="A26269" s="4" t="s">
        <v>33060</v>
      </c>
      <c r="B26269" s="4" t="s">
        <v>33061</v>
      </c>
      <c r="C26269" s="5" t="str">
        <f>IFERROR(__xludf.DUMMYFUNCTION("GOOGLETRANSLATE(B26269,""en"",""fr"")"),"La femme est dans la sous-division de la mer et un homme est derrière elle.")</f>
        <v>La femme est dans la sous-division de la mer et un homme est derrière elle.</v>
      </c>
    </row>
    <row r="26270">
      <c r="A26270" s="4" t="s">
        <v>33060</v>
      </c>
      <c r="B26270" s="4" t="s">
        <v>33062</v>
      </c>
      <c r="C26270" s="5" t="str">
        <f>IFERROR(__xludf.DUMMYFUNCTION("GOOGLETRANSLATE(B26270,""en"",""fr"")"),"Ils regardent les poissons et les troncs.")</f>
        <v>Ils regardent les poissons et les troncs.</v>
      </c>
    </row>
    <row r="26271">
      <c r="A26271" s="4" t="s">
        <v>33060</v>
      </c>
      <c r="B26271" s="4" t="s">
        <v>33063</v>
      </c>
      <c r="C26271" s="5" t="str">
        <f>IFERROR(__xludf.DUMMYFUNCTION("GOOGLETRANSLATE(B26271,""en"",""fr"")"),"Les hommes plongent sous la mer sous la mer.")</f>
        <v>Les hommes plongent sous la mer sous la mer.</v>
      </c>
    </row>
    <row r="26272">
      <c r="A26272" s="4" t="s">
        <v>33064</v>
      </c>
      <c r="B26272" s="4" t="s">
        <v>33065</v>
      </c>
      <c r="C26272" s="5" t="str">
        <f>IFERROR(__xludf.DUMMYFUNCTION("GOOGLETRANSLATE(B26272,""en"",""fr"")"),"Un groupe de garçons est aligné, jouant de la batterie.")</f>
        <v>Un groupe de garçons est aligné, jouant de la batterie.</v>
      </c>
    </row>
    <row r="26273">
      <c r="A26273" s="4" t="s">
        <v>33064</v>
      </c>
      <c r="B26273" s="4" t="s">
        <v>33066</v>
      </c>
      <c r="C26273" s="5" t="str">
        <f>IFERROR(__xludf.DUMMYFUNCTION("GOOGLETRANSLATE(B26273,""en"",""fr"")"),"Quelques équipes sont à l'intérieur de la piscine.")</f>
        <v>Quelques équipes sont à l'intérieur de la piscine.</v>
      </c>
    </row>
    <row r="26274">
      <c r="A26274" s="4" t="s">
        <v>33064</v>
      </c>
      <c r="B26274" s="4" t="s">
        <v>27454</v>
      </c>
      <c r="C26274" s="5" t="str">
        <f>IFERROR(__xludf.DUMMYFUNCTION("GOOGLETRANSLATE(B26274,""en"",""fr"")"),"Ils jouent à un jeu de water-polo.")</f>
        <v>Ils jouent à un jeu de water-polo.</v>
      </c>
    </row>
    <row r="26275">
      <c r="A26275" s="4" t="s">
        <v>33067</v>
      </c>
      <c r="B26275" s="4" t="s">
        <v>33068</v>
      </c>
      <c r="C26275" s="5" t="str">
        <f>IFERROR(__xludf.DUMMYFUNCTION("GOOGLETRANSLATE(B26275,""en"",""fr"")"),"Une femme est vue parler à quelqu'un hors caméra et mène à elle-même en jouant à la batterie.")</f>
        <v>Une femme est vue parler à quelqu'un hors caméra et mène à elle-même en jouant à la batterie.</v>
      </c>
    </row>
    <row r="26276">
      <c r="A26276" s="4" t="s">
        <v>33067</v>
      </c>
      <c r="B26276" s="4" t="s">
        <v>33069</v>
      </c>
      <c r="C26276" s="5" t="str">
        <f>IFERROR(__xludf.DUMMYFUNCTION("GOOGLETRANSLATE(B26276,""en"",""fr"")"),"Un autre homme entre dans le cadre et commence à jouer de la batterie avec une femme.")</f>
        <v>Un autre homme entre dans le cadre et commence à jouer de la batterie avec une femme.</v>
      </c>
    </row>
    <row r="26277">
      <c r="A26277" s="4" t="s">
        <v>33067</v>
      </c>
      <c r="B26277" s="6" t="s">
        <v>33070</v>
      </c>
      <c r="C26277" s="5" t="str">
        <f>IFERROR(__xludf.DUMMYFUNCTION("GOOGLETRANSLATE(B26277,""en"",""fr"")"),"Un petit enfant apparaît un peu devant la femme pendant qu'elle et l'homme jouent toujours de la batterie.")</f>
        <v>Un petit enfant apparaît un peu devant la femme pendant qu'elle et l'homme jouent toujours de la batterie.</v>
      </c>
    </row>
    <row r="26278">
      <c r="A26278" s="4" t="s">
        <v>33071</v>
      </c>
      <c r="B26278" s="6" t="s">
        <v>33072</v>
      </c>
      <c r="C26278" s="5" t="str">
        <f>IFERROR(__xludf.DUMMYFUNCTION("GOOGLETRANSLATE(B26278,""en"",""fr"")"),"Un grand groupe de personnes est vu jouer au Dodgeball les uns contre les autres et en rejetant le ballon et quatrième.")</f>
        <v>Un grand groupe de personnes est vu jouer au Dodgeball les uns contre les autres et en rejetant le ballon et quatrième.</v>
      </c>
    </row>
    <row r="26279">
      <c r="A26279" s="4" t="s">
        <v>33071</v>
      </c>
      <c r="B26279" s="6" t="s">
        <v>33073</v>
      </c>
      <c r="C26279" s="5" t="str">
        <f>IFERROR(__xludf.DUMMYFUNCTION("GOOGLETRANSLATE(B26279,""en"",""fr"")"),"Beaucoup de gens regardent le match sur la touche alors que les gens continuent de jouer pendant que certains tombent et entrent et sortent du cadre.")</f>
        <v>Beaucoup de gens regardent le match sur la touche alors que les gens continuent de jouer pendant que certains tombent et entrent et sortent du cadre.</v>
      </c>
    </row>
    <row r="26280">
      <c r="A26280" s="4" t="s">
        <v>33074</v>
      </c>
      <c r="B26280" s="4" t="s">
        <v>33075</v>
      </c>
      <c r="C26280" s="5" t="str">
        <f>IFERROR(__xludf.DUMMYFUNCTION("GOOGLETRANSLATE(B26280,""en"",""fr"")"),"Une femme asiatique se tient debout tout en tenant une carte qui a des lettres en or à l'arrière.")</f>
        <v>Une femme asiatique se tient debout tout en tenant une carte qui a des lettres en or à l'arrière.</v>
      </c>
    </row>
    <row r="26281">
      <c r="A26281" s="4" t="s">
        <v>33074</v>
      </c>
      <c r="B26281" s="6" t="s">
        <v>33076</v>
      </c>
      <c r="C26281" s="5" t="str">
        <f>IFERROR(__xludf.DUMMYFUNCTION("GOOGLETRANSLATE(B26281,""en"",""fr"")"),"Un clip commence à jouer et il montre divers hommes dans un grand champ en jouant au croquet pendant que les spectateurs regardent.")</f>
        <v>Un clip commence à jouer et il montre divers hommes dans un grand champ en jouant au croquet pendant que les spectateurs regardent.</v>
      </c>
    </row>
    <row r="26282">
      <c r="A26282" s="4" t="s">
        <v>33074</v>
      </c>
      <c r="B26282" s="4" t="s">
        <v>33077</v>
      </c>
      <c r="C26282" s="5" t="str">
        <f>IFERROR(__xludf.DUMMYFUNCTION("GOOGLETRANSLATE(B26282,""en"",""fr"")"),"Un jeune homme est ensuite présenté avec une grande tasse en argent qui lui est remise par un homme plus âgé.")</f>
        <v>Un jeune homme est ensuite présenté avec une grande tasse en argent qui lui est remise par un homme plus âgé.</v>
      </c>
    </row>
    <row r="26283">
      <c r="A26283" s="4" t="s">
        <v>33078</v>
      </c>
      <c r="B26283" s="4" t="s">
        <v>33079</v>
      </c>
      <c r="C26283" s="5" t="str">
        <f>IFERROR(__xludf.DUMMYFUNCTION("GOOGLETRANSLATE(B26283,""en"",""fr"")"),"Une femme allait sur son dos en faisant des abdos.")</f>
        <v>Une femme allait sur son dos en faisant des abdos.</v>
      </c>
    </row>
    <row r="26284">
      <c r="A26284" s="4" t="s">
        <v>33078</v>
      </c>
      <c r="B26284" s="4" t="s">
        <v>33080</v>
      </c>
      <c r="C26284" s="5" t="str">
        <f>IFERROR(__xludf.DUMMYFUNCTION("GOOGLETRANSLATE(B26284,""en"",""fr"")"),"La femme lève son genoux à la poitrine et tire la tête avec ses mains.")</f>
        <v>La femme lève son genoux à la poitrine et tire la tête avec ses mains.</v>
      </c>
    </row>
    <row r="26285">
      <c r="A26285" s="4" t="s">
        <v>33078</v>
      </c>
      <c r="B26285" s="4" t="s">
        <v>33081</v>
      </c>
      <c r="C26285" s="5" t="str">
        <f>IFERROR(__xludf.DUMMYFUNCTION("GOOGLETRANSLATE(B26285,""en"",""fr"")"),"Ensuite, la femme s'arrête et une approche de chien d'elle.")</f>
        <v>Ensuite, la femme s'arrête et une approche de chien d'elle.</v>
      </c>
    </row>
    <row r="26286">
      <c r="A26286" s="4" t="s">
        <v>33082</v>
      </c>
      <c r="B26286" s="4" t="s">
        <v>33083</v>
      </c>
      <c r="C26286" s="5" t="str">
        <f>IFERROR(__xludf.DUMMYFUNCTION("GOOGLETRANSLATE(B26286,""en"",""fr"")"),"Une jeune équipe de garçons est dans un gymnase lors d'un match de karaté.")</f>
        <v>Une jeune équipe de garçons est dans un gymnase lors d'un match de karaté.</v>
      </c>
    </row>
    <row r="26287">
      <c r="A26287" s="4" t="s">
        <v>33082</v>
      </c>
      <c r="B26287" s="6" t="s">
        <v>33084</v>
      </c>
      <c r="C26287" s="5" t="str">
        <f>IFERROR(__xludf.DUMMYFUNCTION("GOOGLETRANSLATE(B26287,""en"",""fr"")"),"Une femme emmène son fils au tapis et commence à réparer son tapis et à le préparer à faire face à son adversaire.")</f>
        <v>Une femme emmène son fils au tapis et commence à réparer son tapis et à le préparer à faire face à son adversaire.</v>
      </c>
    </row>
    <row r="26288">
      <c r="A26288" s="4" t="s">
        <v>33082</v>
      </c>
      <c r="B26288" s="4" t="s">
        <v>33085</v>
      </c>
      <c r="C26288" s="5" t="str">
        <f>IFERROR(__xludf.DUMMYFUNCTION("GOOGLETRANSLATE(B26288,""en"",""fr"")"),"Les deux individus se dirigent vers le tapis et l'arbitre leur donne le signal pour commencer.")</f>
        <v>Les deux individus se dirigent vers le tapis et l'arbitre leur donne le signal pour commencer.</v>
      </c>
    </row>
    <row r="26289">
      <c r="A26289" s="4" t="s">
        <v>33082</v>
      </c>
      <c r="B26289" s="4" t="s">
        <v>33086</v>
      </c>
      <c r="C26289" s="5" t="str">
        <f>IFERROR(__xludf.DUMMYFUNCTION("GOOGLETRANSLATE(B26289,""en"",""fr"")"),"À l'approche du garçon, il donne un coup de pied à son adversaire à la tête.")</f>
        <v>À l'approche du garçon, il donne un coup de pied à son adversaire à la tête.</v>
      </c>
    </row>
    <row r="26290">
      <c r="A26290" s="4" t="s">
        <v>33082</v>
      </c>
      <c r="B26290" s="6" t="s">
        <v>33087</v>
      </c>
      <c r="C26290" s="5" t="str">
        <f>IFERROR(__xludf.DUMMYFUNCTION("GOOGLETRANSLATE(B26290,""en"",""fr"")"),"Le garçon qui est botté tombe sur le sol et sa mère se précipite pour s'assurer qu'il va bien pendant que l'autre garçon prend un genou.")</f>
        <v>Le garçon qui est botté tombe sur le sol et sa mère se précipite pour s'assurer qu'il va bien pendant que l'autre garçon prend un genou.</v>
      </c>
    </row>
    <row r="26291">
      <c r="A26291" s="4" t="s">
        <v>33082</v>
      </c>
      <c r="B26291" s="6" t="s">
        <v>33088</v>
      </c>
      <c r="C26291" s="5" t="str">
        <f>IFERROR(__xludf.DUMMYFUNCTION("GOOGLETRANSLATE(B26291,""en"",""fr"")"),"Une fois que le garçon va bien, l'arbitre commence à faire plusieurs gestes de la main et ils concluent le match, le jeune garçon se rend chez sa mère et se dirige vers qui ait jamais la caméra.")</f>
        <v>Une fois que le garçon va bien, l'arbitre commence à faire plusieurs gestes de la main et ils concluent le match, le jeune garçon se rend chez sa mère et se dirige vers qui ait jamais la caméra.</v>
      </c>
    </row>
    <row r="26292">
      <c r="A26292" s="4" t="s">
        <v>33089</v>
      </c>
      <c r="B26292" s="6" t="s">
        <v>33090</v>
      </c>
      <c r="C26292" s="5" t="str">
        <f>IFERROR(__xludf.DUMMYFUNCTION("GOOGLETRANSLATE(B26292,""en"",""fr"")"),"Un homme aux yeux bandés est vu assis à une table avec une minuterie venant à côté de lui en essayant de résoudre un cube Rubix.")</f>
        <v>Un homme aux yeux bandés est vu assis à une table avec une minuterie venant à côté de lui en essayant de résoudre un cube Rubix.</v>
      </c>
    </row>
    <row r="26293">
      <c r="A26293" s="4" t="s">
        <v>33089</v>
      </c>
      <c r="B26293" s="4" t="s">
        <v>33091</v>
      </c>
      <c r="C26293" s="5" t="str">
        <f>IFERROR(__xludf.DUMMYFUNCTION("GOOGLETRANSLATE(B26293,""en"",""fr"")"),"L'homme termine le cube et la minuterie s'arrête tandis qu'une personne debout à côté de lui enregistre son temps.")</f>
        <v>L'homme termine le cube et la minuterie s'arrête tandis qu'une personne debout à côté de lui enregistre son temps.</v>
      </c>
    </row>
    <row r="26294">
      <c r="A26294" s="4" t="s">
        <v>33089</v>
      </c>
      <c r="B26294" s="6" t="s">
        <v>33092</v>
      </c>
      <c r="C26294" s="5" t="str">
        <f>IFERROR(__xludf.DUMMYFUNCTION("GOOGLETRANSLATE(B26294,""en"",""fr"")"),"Un autre homme est vu se promener en arrière-plan tandis que la caméra se déroule à plus de gens qui résolvent les cubes.")</f>
        <v>Un autre homme est vu se promener en arrière-plan tandis que la caméra se déroule à plus de gens qui résolvent les cubes.</v>
      </c>
    </row>
    <row r="26295">
      <c r="A26295" s="4" t="s">
        <v>33093</v>
      </c>
      <c r="B26295" s="4" t="s">
        <v>33094</v>
      </c>
      <c r="C26295" s="5" t="str">
        <f>IFERROR(__xludf.DUMMYFUNCTION("GOOGLETRANSLATE(B26295,""en"",""fr"")"),"Une fille est montrée sur le sol de la gymnastique se préparant à faire une routine de bâton.")</f>
        <v>Une fille est montrée sur le sol de la gymnastique se préparant à faire une routine de bâton.</v>
      </c>
    </row>
    <row r="26296">
      <c r="A26296" s="4" t="s">
        <v>33093</v>
      </c>
      <c r="B26296" s="4" t="s">
        <v>33095</v>
      </c>
      <c r="C26296" s="5" t="str">
        <f>IFERROR(__xludf.DUMMYFUNCTION("GOOGLETRANSLATE(B26296,""en"",""fr"")"),"La routine commence alors qu'elle commence à danser sur le sol et à faire tournoyer ses matraques.")</f>
        <v>La routine commence alors qu'elle commence à danser sur le sol et à faire tournoyer ses matraques.</v>
      </c>
    </row>
    <row r="26297">
      <c r="A26297" s="4" t="s">
        <v>33093</v>
      </c>
      <c r="B26297" s="4" t="s">
        <v>33096</v>
      </c>
      <c r="C26297" s="5" t="str">
        <f>IFERROR(__xludf.DUMMYFUNCTION("GOOGLETRANSLATE(B26297,""en"",""fr"")"),"La routine se termine et elle sort de la scène alors que la foule applaudit.")</f>
        <v>La routine se termine et elle sort de la scène alors que la foule applaudit.</v>
      </c>
    </row>
    <row r="26298">
      <c r="A26298" s="4" t="s">
        <v>33097</v>
      </c>
      <c r="B26298" s="4" t="s">
        <v>33098</v>
      </c>
      <c r="C26298" s="5" t="str">
        <f>IFERROR(__xludf.DUMMYFUNCTION("GOOGLETRANSLATE(B26298,""en"",""fr"")"),"Une personne est vue se déplacer le long de l'eau tout en étant montrée au ralenti.")</f>
        <v>Une personne est vue se déplacer le long de l'eau tout en étant montrée au ralenti.</v>
      </c>
    </row>
    <row r="26299">
      <c r="A26299" s="4" t="s">
        <v>33097</v>
      </c>
      <c r="B26299" s="4" t="s">
        <v>33099</v>
      </c>
      <c r="C26299" s="5" t="str">
        <f>IFERROR(__xludf.DUMMYFUNCTION("GOOGLETRANSLATE(B26299,""en"",""fr"")"),"La personne se pousse sous l'eau et continue de se déplacer en dessous.")</f>
        <v>La personne se pousse sous l'eau et continue de se déplacer en dessous.</v>
      </c>
    </row>
    <row r="26300">
      <c r="A26300" s="4" t="s">
        <v>33097</v>
      </c>
      <c r="B26300" s="4" t="s">
        <v>33100</v>
      </c>
      <c r="C26300" s="5" t="str">
        <f>IFERROR(__xludf.DUMMYFUNCTION("GOOGLETRANSLATE(B26300,""en"",""fr"")"),"La caméra capture l'homme sous plusieurs angles.")</f>
        <v>La caméra capture l'homme sous plusieurs angles.</v>
      </c>
    </row>
    <row r="26301">
      <c r="A26301" s="4" t="s">
        <v>33101</v>
      </c>
      <c r="B26301" s="4" t="s">
        <v>33102</v>
      </c>
      <c r="C26301" s="5" t="str">
        <f>IFERROR(__xludf.DUMMYFUNCTION("GOOGLETRANSLATE(B26301,""en"",""fr"")"),"Il y a des plans de vue lointains des zones autour de Los Angeles, d'Hollywood et des zones environnantes.")</f>
        <v>Il y a des plans de vue lointains des zones autour de Los Angeles, d'Hollywood et des zones environnantes.</v>
      </c>
    </row>
    <row r="26302">
      <c r="A26302" s="4" t="s">
        <v>33101</v>
      </c>
      <c r="B26302" s="4" t="s">
        <v>33103</v>
      </c>
      <c r="C26302" s="5" t="str">
        <f>IFERROR(__xludf.DUMMYFUNCTION("GOOGLETRANSLATE(B26302,""en"",""fr"")"),"Un homme parle ensuite derrière une table pleine d'ingrédients et d'ustensiles de cuisine.")</f>
        <v>Un homme parle ensuite derrière une table pleine d'ingrédients et d'ustensiles de cuisine.</v>
      </c>
    </row>
    <row r="26303">
      <c r="A26303" s="4" t="s">
        <v>33101</v>
      </c>
      <c r="B26303" s="4" t="s">
        <v>33104</v>
      </c>
      <c r="C26303" s="5" t="str">
        <f>IFERROR(__xludf.DUMMYFUNCTION("GOOGLETRANSLATE(B26303,""en"",""fr"")"),"L'homme montre ensuite certains de ses légumes et ingrédients et les sent.")</f>
        <v>L'homme montre ensuite certains de ses légumes et ingrédients et les sent.</v>
      </c>
    </row>
    <row r="26304">
      <c r="A26304" s="4" t="s">
        <v>33101</v>
      </c>
      <c r="B26304" s="4" t="s">
        <v>33105</v>
      </c>
      <c r="C26304" s="5" t="str">
        <f>IFERROR(__xludf.DUMMYFUNCTION("GOOGLETRANSLATE(B26304,""en"",""fr"")"),"Il commence à cuisiner en serrant un citron dans un bol de légumes trempés.")</f>
        <v>Il commence à cuisiner en serrant un citron dans un bol de légumes trempés.</v>
      </c>
    </row>
    <row r="26305">
      <c r="A26305" s="4" t="s">
        <v>33101</v>
      </c>
      <c r="B26305" s="6" t="s">
        <v>33106</v>
      </c>
      <c r="C26305" s="5" t="str">
        <f>IFERROR(__xludf.DUMMYFUNCTION("GOOGLETRANSLATE(B26305,""en"",""fr"")"),"Ensuite, il met les oignons, le jus de citron, le poivre, l'huile, qu'il sent et quelques autres légumes sur une assiette.")</f>
        <v>Ensuite, il met les oignons, le jus de citron, le poivre, l'huile, qu'il sent et quelques autres légumes sur une assiette.</v>
      </c>
    </row>
    <row r="26306">
      <c r="A26306" s="4" t="s">
        <v>33101</v>
      </c>
      <c r="B26306" s="4" t="s">
        <v>33107</v>
      </c>
      <c r="C26306" s="5" t="str">
        <f>IFERROR(__xludf.DUMMYFUNCTION("GOOGLETRANSLATE(B26306,""en"",""fr"")"),"Il déchiquet le fromage sur un endroit avec un déchiqueteur.")</f>
        <v>Il déchiquet le fromage sur un endroit avec un déchiqueteur.</v>
      </c>
    </row>
    <row r="26307">
      <c r="A26307" s="4" t="s">
        <v>33101</v>
      </c>
      <c r="B26307" s="4" t="s">
        <v>33108</v>
      </c>
      <c r="C26307" s="5" t="str">
        <f>IFERROR(__xludf.DUMMYFUNCTION("GOOGLETRANSLATE(B26307,""en"",""fr"")"),"Il met le fromage râpé sur l'assiette d'origine.")</f>
        <v>Il met le fromage râpé sur l'assiette d'origine.</v>
      </c>
    </row>
    <row r="26308">
      <c r="A26308" s="4" t="s">
        <v>33101</v>
      </c>
      <c r="B26308" s="4" t="s">
        <v>33109</v>
      </c>
      <c r="C26308" s="5" t="str">
        <f>IFERROR(__xludf.DUMMYFUNCTION("GOOGLETRANSLATE(B26308,""en"",""fr"")"),"Après, il choisit des herbes et les place dans une assiette.")</f>
        <v>Après, il choisit des herbes et les place dans une assiette.</v>
      </c>
    </row>
    <row r="26309">
      <c r="A26309" s="4" t="s">
        <v>33101</v>
      </c>
      <c r="B26309" s="4" t="s">
        <v>33110</v>
      </c>
      <c r="C26309" s="5" t="str">
        <f>IFERROR(__xludf.DUMMYFUNCTION("GOOGLETRANSLATE(B26309,""en"",""fr"")"),"Il ajoute ensuite du sel et plus de poivre à l'assiette d'origine.")</f>
        <v>Il ajoute ensuite du sel et plus de poivre à l'assiette d'origine.</v>
      </c>
    </row>
    <row r="26310">
      <c r="A26310" s="4" t="s">
        <v>33101</v>
      </c>
      <c r="B26310" s="4" t="s">
        <v>33111</v>
      </c>
      <c r="C26310" s="5" t="str">
        <f>IFERROR(__xludf.DUMMYFUNCTION("GOOGLETRANSLATE(B26310,""en"",""fr"")"),"Il parle ensuite d'une bouteille d'huile et en ajoute à l'assiette d'origine.")</f>
        <v>Il parle ensuite d'une bouteille d'huile et en ajoute à l'assiette d'origine.</v>
      </c>
    </row>
    <row r="26311">
      <c r="A26311" s="4" t="s">
        <v>33101</v>
      </c>
      <c r="B26311" s="4" t="s">
        <v>33112</v>
      </c>
      <c r="C26311" s="5" t="str">
        <f>IFERROR(__xludf.DUMMYFUNCTION("GOOGLETRANSLATE(B26311,""en"",""fr"")"),"Il ajoute également un type d'huile différent à la plaque.")</f>
        <v>Il ajoute également un type d'huile différent à la plaque.</v>
      </c>
    </row>
    <row r="26312">
      <c r="A26312" s="4" t="s">
        <v>33101</v>
      </c>
      <c r="B26312" s="4" t="s">
        <v>33113</v>
      </c>
      <c r="C26312" s="5" t="str">
        <f>IFERROR(__xludf.DUMMYFUNCTION("GOOGLETRANSLATE(B26312,""en"",""fr"")"),"Il y a alors différents clips et angles de l'assiette de nourriture finie.")</f>
        <v>Il y a alors différents clips et angles de l'assiette de nourriture finie.</v>
      </c>
    </row>
    <row r="26313">
      <c r="A26313" s="4" t="s">
        <v>33114</v>
      </c>
      <c r="B26313" s="4" t="s">
        <v>33115</v>
      </c>
      <c r="C26313" s="5" t="str">
        <f>IFERROR(__xludf.DUMMYFUNCTION("GOOGLETRANSLATE(B26313,""en"",""fr"")"),"Un homme complète un grand ensemble de pompes, puis introduit les concepts de Dodgeball.")</f>
        <v>Un homme complète un grand ensemble de pompes, puis introduit les concepts de Dodgeball.</v>
      </c>
    </row>
    <row r="26314">
      <c r="A26314" s="4" t="s">
        <v>33114</v>
      </c>
      <c r="B26314" s="4" t="s">
        <v>33116</v>
      </c>
      <c r="C26314" s="5" t="str">
        <f>IFERROR(__xludf.DUMMYFUNCTION("GOOGLETRANSLATE(B26314,""en"",""fr"")"),"Un graphique est illustré à la cour.")</f>
        <v>Un graphique est illustré à la cour.</v>
      </c>
    </row>
    <row r="26315">
      <c r="A26315" s="4" t="s">
        <v>33114</v>
      </c>
      <c r="B26315" s="4" t="s">
        <v>33117</v>
      </c>
      <c r="C26315" s="5" t="str">
        <f>IFERROR(__xludf.DUMMYFUNCTION("GOOGLETRANSLATE(B26315,""en"",""fr"")"),"Les deux équipes s'alignent pour jouer les unes contre les autres.")</f>
        <v>Les deux équipes s'alignent pour jouer les unes contre les autres.</v>
      </c>
    </row>
    <row r="26316">
      <c r="A26316" s="4" t="s">
        <v>33114</v>
      </c>
      <c r="B26316" s="4" t="s">
        <v>33118</v>
      </c>
      <c r="C26316" s="5" t="str">
        <f>IFERROR(__xludf.DUMMYFUNCTION("GOOGLETRANSLATE(B26316,""en"",""fr"")"),"Les concepts de gouverner les gens et de bloquer le ballon sont introduits.")</f>
        <v>Les concepts de gouverner les gens et de bloquer le ballon sont introduits.</v>
      </c>
    </row>
    <row r="26317">
      <c r="A26317" s="4" t="s">
        <v>33114</v>
      </c>
      <c r="B26317" s="4" t="s">
        <v>33119</v>
      </c>
      <c r="C26317" s="5" t="str">
        <f>IFERROR(__xludf.DUMMYFUNCTION("GOOGLETRANSLATE(B26317,""en"",""fr"")"),"Les équipes se félicitent, montrant l'esprit sportif.")</f>
        <v>Les équipes se félicitent, montrant l'esprit sportif.</v>
      </c>
    </row>
    <row r="26318">
      <c r="A26318" s="4" t="s">
        <v>33114</v>
      </c>
      <c r="B26318" s="4" t="s">
        <v>33120</v>
      </c>
      <c r="C26318" s="5" t="str">
        <f>IFERROR(__xludf.DUMMYFUNCTION("GOOGLETRANSLATE(B26318,""en"",""fr"")"),"Plus de règles sont affichées à l'écran, mettant en évidence la sécurité des joueurs.")</f>
        <v>Plus de règles sont affichées à l'écran, mettant en évidence la sécurité des joueurs.</v>
      </c>
    </row>
    <row r="26319">
      <c r="A26319" s="4" t="s">
        <v>33121</v>
      </c>
      <c r="B26319" s="6" t="s">
        <v>33122</v>
      </c>
      <c r="C26319" s="5" t="str">
        <f>IFERROR(__xludf.DUMMYFUNCTION("GOOGLETRANSLATE(B26319,""en"",""fr"")"),"Une personne est vue dans plusieurs plans différents effectuant des tours le long de l'eau tandis que d'autres roulent autour de lui.")</f>
        <v>Une personne est vue dans plusieurs plans différents effectuant des tours le long de l'eau tandis que d'autres roulent autour de lui.</v>
      </c>
    </row>
    <row r="26320">
      <c r="A26320" s="4" t="s">
        <v>33121</v>
      </c>
      <c r="B26320" s="4" t="s">
        <v>33123</v>
      </c>
      <c r="C26320" s="5" t="str">
        <f>IFERROR(__xludf.DUMMYFUNCTION("GOOGLETRANSLATE(B26320,""en"",""fr"")"),"L'homme continue d'effectuer des astuces le long de l'eau et se termine avec la vidéo s'estompant en noir.")</f>
        <v>L'homme continue d'effectuer des astuces le long de l'eau et se termine avec la vidéo s'estompant en noir.</v>
      </c>
    </row>
    <row r="26321">
      <c r="A26321" s="4" t="s">
        <v>33124</v>
      </c>
      <c r="B26321" s="4" t="s">
        <v>33125</v>
      </c>
      <c r="C26321" s="5" t="str">
        <f>IFERROR(__xludf.DUMMYFUNCTION("GOOGLETRANSLATE(B26321,""en"",""fr"")"),"Un chiffre vert marche dans la rue.")</f>
        <v>Un chiffre vert marche dans la rue.</v>
      </c>
    </row>
    <row r="26322">
      <c r="A26322" s="4" t="s">
        <v>33124</v>
      </c>
      <c r="B26322" s="4" t="s">
        <v>33126</v>
      </c>
      <c r="C26322" s="5" t="str">
        <f>IFERROR(__xludf.DUMMYFUNCTION("GOOGLETRANSLATE(B26322,""en"",""fr"")"),"Un flux sans fin d'autres figures vertes apparaît.")</f>
        <v>Un flux sans fin d'autres figures vertes apparaît.</v>
      </c>
    </row>
    <row r="26323">
      <c r="A26323" s="4" t="s">
        <v>33124</v>
      </c>
      <c r="B26323" s="4" t="s">
        <v>33127</v>
      </c>
      <c r="C26323" s="5" t="str">
        <f>IFERROR(__xludf.DUMMYFUNCTION("GOOGLETRANSLATE(B26323,""en"",""fr"")"),"Chacune des figures marche sur un chien.")</f>
        <v>Chacune des figures marche sur un chien.</v>
      </c>
    </row>
    <row r="26324">
      <c r="A26324" s="4" t="s">
        <v>33124</v>
      </c>
      <c r="B26324" s="4" t="s">
        <v>33128</v>
      </c>
      <c r="C26324" s="5" t="str">
        <f>IFERROR(__xludf.DUMMYFUNCTION("GOOGLETRANSLATE(B26324,""en"",""fr"")"),"Le clip semble être une boucle.")</f>
        <v>Le clip semble être une boucle.</v>
      </c>
    </row>
    <row r="26325">
      <c r="A26325" s="4" t="s">
        <v>33129</v>
      </c>
      <c r="B26325" s="4" t="s">
        <v>33130</v>
      </c>
      <c r="C26325" s="5" t="str">
        <f>IFERROR(__xludf.DUMMYFUNCTION("GOOGLETRANSLATE(B26325,""en"",""fr"")"),"Les gens sont assis dans des kayaks sur une rivière.")</f>
        <v>Les gens sont assis dans des kayaks sur une rivière.</v>
      </c>
    </row>
    <row r="26326">
      <c r="A26326" s="4" t="s">
        <v>33129</v>
      </c>
      <c r="B26326" s="4" t="s">
        <v>33131</v>
      </c>
      <c r="C26326" s="5" t="str">
        <f>IFERROR(__xludf.DUMMYFUNCTION("GOOGLETRANSLATE(B26326,""en"",""fr"")"),"Ils rament leurs rames.")</f>
        <v>Ils rament leurs rames.</v>
      </c>
    </row>
    <row r="26327">
      <c r="A26327" s="4" t="s">
        <v>33129</v>
      </c>
      <c r="B26327" s="4" t="s">
        <v>33132</v>
      </c>
      <c r="C26327" s="5" t="str">
        <f>IFERROR(__xludf.DUMMYFUNCTION("GOOGLETRANSLATE(B26327,""en"",""fr"")"),"Les gens se tiennent sur la plage avec des médailles autour de leur cou.")</f>
        <v>Les gens se tiennent sur la plage avec des médailles autour de leur cou.</v>
      </c>
    </row>
    <row r="26328">
      <c r="A26328" s="4" t="s">
        <v>33133</v>
      </c>
      <c r="B26328" s="4" t="s">
        <v>33134</v>
      </c>
      <c r="C26328" s="5" t="str">
        <f>IFERROR(__xludf.DUMMYFUNCTION("GOOGLETRANSLATE(B26328,""en"",""fr"")"),"Nous voyons un homme courir sur une piste.")</f>
        <v>Nous voyons un homme courir sur une piste.</v>
      </c>
    </row>
    <row r="26329">
      <c r="A26329" s="4" t="s">
        <v>33133</v>
      </c>
      <c r="B26329" s="4" t="s">
        <v>33135</v>
      </c>
      <c r="C26329" s="5" t="str">
        <f>IFERROR(__xludf.DUMMYFUNCTION("GOOGLETRANSLATE(B26329,""en"",""fr"")"),"L'homme utilise un long bâton pour effectuer un saut en longueur.")</f>
        <v>L'homme utilise un long bâton pour effectuer un saut en longueur.</v>
      </c>
    </row>
    <row r="26330">
      <c r="A26330" s="4" t="s">
        <v>33133</v>
      </c>
      <c r="B26330" s="4" t="s">
        <v>33136</v>
      </c>
      <c r="C26330" s="5" t="str">
        <f>IFERROR(__xludf.DUMMYFUNCTION("GOOGLETRANSLATE(B26330,""en"",""fr"")"),"Nous voyons ensuite l'homme tenter et échouer à plusieurs reprises le saut en longueur.")</f>
        <v>Nous voyons ensuite l'homme tenter et échouer à plusieurs reprises le saut en longueur.</v>
      </c>
    </row>
    <row r="26331">
      <c r="A26331" s="4" t="s">
        <v>33133</v>
      </c>
      <c r="B26331" s="4" t="s">
        <v>33137</v>
      </c>
      <c r="C26331" s="5" t="str">
        <f>IFERROR(__xludf.DUMMYFUNCTION("GOOGLETRANSLATE(B26331,""en"",""fr"")"),"Nous voyons la chemise de l'homme rester coincé sur le poteau.")</f>
        <v>Nous voyons la chemise de l'homme rester coincé sur le poteau.</v>
      </c>
    </row>
    <row r="26332">
      <c r="A26332" s="4" t="s">
        <v>33138</v>
      </c>
      <c r="B26332" s="4" t="s">
        <v>33139</v>
      </c>
      <c r="C26332" s="5" t="str">
        <f>IFERROR(__xludf.DUMMYFUNCTION("GOOGLETRANSLATE(B26332,""en"",""fr"")"),"Un gros plan de tambours est vu suivi par une personne entrant dans le cadre.")</f>
        <v>Un gros plan de tambours est vu suivi par une personne entrant dans le cadre.</v>
      </c>
    </row>
    <row r="26333">
      <c r="A26333" s="4" t="s">
        <v>33138</v>
      </c>
      <c r="B26333" s="4" t="s">
        <v>33140</v>
      </c>
      <c r="C26333" s="5" t="str">
        <f>IFERROR(__xludf.DUMMYFUNCTION("GOOGLETRANSLATE(B26333,""en"",""fr"")"),"La personne s'assoit devant les tambours et commence à les jouer en continu.")</f>
        <v>La personne s'assoit devant les tambours et commence à les jouer en continu.</v>
      </c>
    </row>
    <row r="26334">
      <c r="A26334" s="4" t="s">
        <v>33138</v>
      </c>
      <c r="B26334" s="6" t="s">
        <v>33141</v>
      </c>
      <c r="C26334" s="5" t="str">
        <f>IFERROR(__xludf.DUMMYFUNCTION("GOOGLETRANSLATE(B26334,""en"",""fr"")"),"L'homme continue de jouer de la batterie de plus en plus vite tandis que la caméra capture ses mouvements.")</f>
        <v>L'homme continue de jouer de la batterie de plus en plus vite tandis que la caméra capture ses mouvements.</v>
      </c>
    </row>
    <row r="26335">
      <c r="A26335" s="4" t="s">
        <v>33142</v>
      </c>
      <c r="B26335" s="4" t="s">
        <v>33143</v>
      </c>
      <c r="C26335" s="5" t="str">
        <f>IFERROR(__xludf.DUMMYFUNCTION("GOOGLETRANSLATE(B26335,""en"",""fr"")"),"Un homme est vu pousser une tondeuse à gazon le long d'une cour et déplacer la machine tout autour de la cour.")</f>
        <v>Un homme est vu pousser une tondeuse à gazon le long d'une cour et déplacer la machine tout autour de la cour.</v>
      </c>
    </row>
    <row r="26336">
      <c r="A26336" s="4" t="s">
        <v>33142</v>
      </c>
      <c r="B26336" s="6" t="s">
        <v>33144</v>
      </c>
      <c r="C26336" s="5" t="str">
        <f>IFERROR(__xludf.DUMMYFUNCTION("GOOGLETRANSLATE(B26336,""en"",""fr"")"),"Un autre homme est vu en train de saisir une machine d'un camion alors que l'autre homme continue de tondre la pelouse.")</f>
        <v>Un autre homme est vu en train de saisir une machine d'un camion alors que l'autre homme continue de tondre la pelouse.</v>
      </c>
    </row>
    <row r="26337">
      <c r="A26337" s="4" t="s">
        <v>33145</v>
      </c>
      <c r="B26337" s="4" t="s">
        <v>33146</v>
      </c>
      <c r="C26337" s="5" t="str">
        <f>IFERROR(__xludf.DUMMYFUNCTION("GOOGLETRANSLATE(B26337,""en"",""fr"")"),"Une femme enceinte se déplace lentement dans une pièce.")</f>
        <v>Une femme enceinte se déplace lentement dans une pièce.</v>
      </c>
    </row>
    <row r="26338">
      <c r="A26338" s="4" t="s">
        <v>33145</v>
      </c>
      <c r="B26338" s="4" t="s">
        <v>33147</v>
      </c>
      <c r="C26338" s="5" t="str">
        <f>IFERROR(__xludf.DUMMYFUNCTION("GOOGLETRANSLATE(B26338,""en"",""fr"")"),"Elle se déplace d'un côté à l'autre au fur et à mesure.")</f>
        <v>Elle se déplace d'un côté à l'autre au fur et à mesure.</v>
      </c>
    </row>
    <row r="26339">
      <c r="A26339" s="4" t="s">
        <v>33145</v>
      </c>
      <c r="B26339" s="4" t="s">
        <v>33148</v>
      </c>
      <c r="C26339" s="5" t="str">
        <f>IFERROR(__xludf.DUMMYFUNCTION("GOOGLETRANSLATE(B26339,""en"",""fr"")"),"Elle soulève ses pieds et ses bras, faisant plusieurs mouvements d'arts martiaux.")</f>
        <v>Elle soulève ses pieds et ses bras, faisant plusieurs mouvements d'arts martiaux.</v>
      </c>
    </row>
    <row r="26340">
      <c r="A26340" s="4" t="s">
        <v>33149</v>
      </c>
      <c r="B26340" s="4" t="s">
        <v>33150</v>
      </c>
      <c r="C26340" s="5" t="str">
        <f>IFERROR(__xludf.DUMMYFUNCTION("GOOGLETRANSLATE(B26340,""en"",""fr"")"),"Un homme est vu assis sur une chaise regarder nerveusement la caméra tandis qu'un autre homme s'assoit derrière lui.")</f>
        <v>Un homme est vu assis sur une chaise regarder nerveusement la caméra tandis qu'un autre homme s'assoit derrière lui.</v>
      </c>
    </row>
    <row r="26341">
      <c r="A26341" s="4" t="s">
        <v>33149</v>
      </c>
      <c r="B26341" s="6" t="s">
        <v>33151</v>
      </c>
      <c r="C26341" s="5" t="str">
        <f>IFERROR(__xludf.DUMMYFUNCTION("GOOGLETRANSLATE(B26341,""en"",""fr"")"),"L'homme commence alors à tatouer la poitrine de l'homme et l'homme lève les yeux dans la caméra de temps en temps.")</f>
        <v>L'homme commence alors à tatouer la poitrine de l'homme et l'homme lève les yeux dans la caméra de temps en temps.</v>
      </c>
    </row>
    <row r="26342">
      <c r="A26342" s="4" t="s">
        <v>33152</v>
      </c>
      <c r="B26342" s="4" t="s">
        <v>33153</v>
      </c>
      <c r="C26342" s="5" t="str">
        <f>IFERROR(__xludf.DUMMYFUNCTION("GOOGLETRANSLATE(B26342,""en"",""fr"")"),"Il y a une femme montrée en jetant des couteaux dans le bois et en les sortant.")</f>
        <v>Il y a une femme montrée en jetant des couteaux dans le bois et en les sortant.</v>
      </c>
    </row>
    <row r="26343">
      <c r="A26343" s="4" t="s">
        <v>33152</v>
      </c>
      <c r="B26343" s="4" t="s">
        <v>33154</v>
      </c>
      <c r="C26343" s="5" t="str">
        <f>IFERROR(__xludf.DUMMYFUNCTION("GOOGLETRANSLATE(B26343,""en"",""fr"")"),"En fin de compte, les autres personnes qui sont là s'assoient toutes et mangent des sucettes glacées.")</f>
        <v>En fin de compte, les autres personnes qui sont là s'assoient toutes et mangent des sucettes glacées.</v>
      </c>
    </row>
    <row r="26344">
      <c r="A26344" s="4" t="s">
        <v>33155</v>
      </c>
      <c r="B26344" s="4" t="s">
        <v>33156</v>
      </c>
      <c r="C26344" s="5" t="str">
        <f>IFERROR(__xludf.DUMMYFUNCTION("GOOGLETRANSLATE(B26344,""en"",""fr"")"),"Un homme portant un t-shirt gris se tient sur un bureau avec un moniteur d'ordinateur affichant une minuterie.")</f>
        <v>Un homme portant un t-shirt gris se tient sur un bureau avec un moniteur d'ordinateur affichant une minuterie.</v>
      </c>
    </row>
    <row r="26345">
      <c r="A26345" s="4" t="s">
        <v>33155</v>
      </c>
      <c r="B26345" s="4" t="s">
        <v>33157</v>
      </c>
      <c r="C26345" s="5" t="str">
        <f>IFERROR(__xludf.DUMMYFUNCTION("GOOGLETRANSLATE(B26345,""en"",""fr"")"),"L'homme tient un cube de Rubik et commence la minuterie alors qu'il commence à résoudre le cube de Rubik.")</f>
        <v>L'homme tient un cube de Rubik et commence la minuterie alors qu'il commence à résoudre le cube de Rubik.</v>
      </c>
    </row>
    <row r="26346">
      <c r="A26346" s="4" t="s">
        <v>33155</v>
      </c>
      <c r="B26346" s="4" t="s">
        <v>33158</v>
      </c>
      <c r="C26346" s="5" t="str">
        <f>IFERROR(__xludf.DUMMYFUNCTION("GOOGLETRANSLATE(B26346,""en"",""fr"")"),"Alors que l'homme complète le cube de Rubik, il laisse tomber le puzzle et arrête la minuterie à 26 secondes.")</f>
        <v>Alors que l'homme complète le cube de Rubik, il laisse tomber le puzzle et arrête la minuterie à 26 secondes.</v>
      </c>
    </row>
    <row r="26347">
      <c r="A26347" s="4" t="s">
        <v>33159</v>
      </c>
      <c r="B26347" s="4" t="s">
        <v>33160</v>
      </c>
      <c r="C26347" s="5" t="str">
        <f>IFERROR(__xludf.DUMMYFUNCTION("GOOGLETRANSLATE(B26347,""en"",""fr"")"),"Nous voyons un écran de titre d'ouverture noir.")</f>
        <v>Nous voyons un écran de titre d'ouverture noir.</v>
      </c>
    </row>
    <row r="26348">
      <c r="A26348" s="4" t="s">
        <v>33159</v>
      </c>
      <c r="B26348" s="4" t="s">
        <v>33161</v>
      </c>
      <c r="C26348" s="5" t="str">
        <f>IFERROR(__xludf.DUMMYFUNCTION("GOOGLETRANSLATE(B26348,""en"",""fr"")"),"Nous voyons un bateau flottant dans l'océan et des gens assis sur le bateau.")</f>
        <v>Nous voyons un bateau flottant dans l'océan et des gens assis sur le bateau.</v>
      </c>
    </row>
    <row r="26349">
      <c r="A26349" s="4" t="s">
        <v>33159</v>
      </c>
      <c r="B26349" s="4" t="s">
        <v>33162</v>
      </c>
      <c r="C26349" s="5" t="str">
        <f>IFERROR(__xludf.DUMMYFUNCTION("GOOGLETRANSLATE(B26349,""en"",""fr"")"),"Trois personnes sont sous l'eau en équipement de plongée en regardant le Sealfe.")</f>
        <v>Trois personnes sont sous l'eau en équipement de plongée en regardant le Sealfe.</v>
      </c>
    </row>
    <row r="26350">
      <c r="A26350" s="4" t="s">
        <v>33159</v>
      </c>
      <c r="B26350" s="4" t="s">
        <v>33163</v>
      </c>
      <c r="C26350" s="5" t="str">
        <f>IFERROR(__xludf.DUMMYFUNCTION("GOOGLETRANSLATE(B26350,""en"",""fr"")"),"Nous voyons un homme et une femme nageant ensemble et la dame agite à la caméra.")</f>
        <v>Nous voyons un homme et une femme nageant ensemble et la dame agite à la caméra.</v>
      </c>
    </row>
    <row r="26351">
      <c r="A26351" s="4" t="s">
        <v>33159</v>
      </c>
      <c r="B26351" s="4" t="s">
        <v>33164</v>
      </c>
      <c r="C26351" s="5" t="str">
        <f>IFERROR(__xludf.DUMMYFUNCTION("GOOGLETRANSLATE(B26351,""en"",""fr"")"),"La dame fait un signe d'explosion avec ses mains et ses vagues.")</f>
        <v>La dame fait un signe d'explosion avec ses mains et ses vagues.</v>
      </c>
    </row>
    <row r="26352">
      <c r="A26352" s="4" t="s">
        <v>33159</v>
      </c>
      <c r="B26352" s="4" t="s">
        <v>33165</v>
      </c>
      <c r="C26352" s="5" t="str">
        <f>IFERROR(__xludf.DUMMYFUNCTION("GOOGLETRANSLATE(B26352,""en"",""fr"")"),"La dame sort sa bouche et hausse les épaules.")</f>
        <v>La dame sort sa bouche et hausse les épaules.</v>
      </c>
    </row>
    <row r="26353">
      <c r="A26353" s="4" t="s">
        <v>33159</v>
      </c>
      <c r="B26353" s="4" t="s">
        <v>33166</v>
      </c>
      <c r="C26353" s="5" t="str">
        <f>IFERROR(__xludf.DUMMYFUNCTION("GOOGLETRANSLATE(B26353,""en"",""fr"")"),"Nous voyons les gens sur le bateau et l'homme et la fille s'embrasser.")</f>
        <v>Nous voyons les gens sur le bateau et l'homme et la fille s'embrasser.</v>
      </c>
    </row>
    <row r="26354">
      <c r="A26354" s="4" t="s">
        <v>33159</v>
      </c>
      <c r="B26354" s="4" t="s">
        <v>33167</v>
      </c>
      <c r="C26354" s="5" t="str">
        <f>IFERROR(__xludf.DUMMYFUNCTION("GOOGLETRANSLATE(B26354,""en"",""fr"")"),"Nous voyons un ballon haut dans le ciel.")</f>
        <v>Nous voyons un ballon haut dans le ciel.</v>
      </c>
    </row>
    <row r="26355">
      <c r="A26355" s="4" t="s">
        <v>33168</v>
      </c>
      <c r="B26355" s="4" t="s">
        <v>33169</v>
      </c>
      <c r="C26355" s="5" t="str">
        <f>IFERROR(__xludf.DUMMYFUNCTION("GOOGLETRANSLATE(B26355,""en"",""fr"")"),"Trois hommes en blanc font des mouvements de karaté dans une pièce.")</f>
        <v>Trois hommes en blanc font des mouvements de karaté dans une pièce.</v>
      </c>
    </row>
    <row r="26356">
      <c r="A26356" s="4" t="s">
        <v>33168</v>
      </c>
      <c r="B26356" s="4" t="s">
        <v>33170</v>
      </c>
      <c r="C26356" s="5" t="str">
        <f>IFERROR(__xludf.DUMMYFUNCTION("GOOGLETRANSLATE(B26356,""en"",""fr"")"),"Ils font quelques coups de pied dans les airs.")</f>
        <v>Ils font quelques coups de pied dans les airs.</v>
      </c>
    </row>
    <row r="26357">
      <c r="A26357" s="4" t="s">
        <v>33168</v>
      </c>
      <c r="B26357" s="4" t="s">
        <v>33171</v>
      </c>
      <c r="C26357" s="5" t="str">
        <f>IFERROR(__xludf.DUMMYFUNCTION("GOOGLETRANSLATE(B26357,""en"",""fr"")"),"Deux des hommes commencent à se battre.")</f>
        <v>Deux des hommes commencent à se battre.</v>
      </c>
    </row>
    <row r="26358">
      <c r="A26358" s="4" t="s">
        <v>33172</v>
      </c>
      <c r="B26358" s="4" t="s">
        <v>33173</v>
      </c>
      <c r="C26358" s="5" t="str">
        <f>IFERROR(__xludf.DUMMYFUNCTION("GOOGLETRANSLATE(B26358,""en"",""fr"")"),"Une grande boule bleue est jetée dans l'air.")</f>
        <v>Une grande boule bleue est jetée dans l'air.</v>
      </c>
    </row>
    <row r="26359">
      <c r="A26359" s="4" t="s">
        <v>33172</v>
      </c>
      <c r="B26359" s="4" t="s">
        <v>33174</v>
      </c>
      <c r="C26359" s="5" t="str">
        <f>IFERROR(__xludf.DUMMYFUNCTION("GOOGLETRANSLATE(B26359,""en"",""fr"")"),"Un enfant court pour attraper une grande balle bleue.")</f>
        <v>Un enfant court pour attraper une grande balle bleue.</v>
      </c>
    </row>
    <row r="26360">
      <c r="A26360" s="4" t="s">
        <v>33172</v>
      </c>
      <c r="B26360" s="4" t="s">
        <v>33175</v>
      </c>
      <c r="C26360" s="5" t="str">
        <f>IFERROR(__xludf.DUMMYFUNCTION("GOOGLETRANSLATE(B26360,""en"",""fr"")"),"L'enfant tombe sur la pelouse.")</f>
        <v>L'enfant tombe sur la pelouse.</v>
      </c>
    </row>
    <row r="26361">
      <c r="A26361" s="4" t="s">
        <v>33176</v>
      </c>
      <c r="B26361" s="4" t="s">
        <v>33177</v>
      </c>
      <c r="C26361" s="5" t="str">
        <f>IFERROR(__xludf.DUMMYFUNCTION("GOOGLETRANSLATE(B26361,""en"",""fr"")"),"Une femme arrive sur l'écran pour présenter une vidéo sur l'entraînement.")</f>
        <v>Une femme arrive sur l'écran pour présenter une vidéo sur l'entraînement.</v>
      </c>
    </row>
    <row r="26362">
      <c r="A26362" s="4" t="s">
        <v>33176</v>
      </c>
      <c r="B26362" s="4" t="s">
        <v>33178</v>
      </c>
      <c r="C26362" s="5" t="str">
        <f>IFERROR(__xludf.DUMMYFUNCTION("GOOGLETRANSLATE(B26362,""en"",""fr"")"),"La même femme est montrée lorsqu'elle enseigne un cours de spin avec plusieurs participants.")</f>
        <v>La même femme est montrée lorsqu'elle enseigne un cours de spin avec plusieurs participants.</v>
      </c>
    </row>
    <row r="26363">
      <c r="A26363" s="4" t="s">
        <v>33176</v>
      </c>
      <c r="B26363" s="4" t="s">
        <v>33179</v>
      </c>
      <c r="C26363" s="5" t="str">
        <f>IFERROR(__xludf.DUMMYFUNCTION("GOOGLETRANSLATE(B26363,""en"",""fr"")"),"Elle fait une pause du vélo et fait des exercices abdominaux sur le sol.")</f>
        <v>Elle fait une pause du vélo et fait des exercices abdominaux sur le sol.</v>
      </c>
    </row>
    <row r="26364">
      <c r="A26364" s="4" t="s">
        <v>33176</v>
      </c>
      <c r="B26364" s="4" t="s">
        <v>33180</v>
      </c>
      <c r="C26364" s="5" t="str">
        <f>IFERROR(__xludf.DUMMYFUNCTION("GOOGLETRANSLATE(B26364,""en"",""fr"")"),"La vidéo se termine par le crédit de clôture indiqué à la fin.")</f>
        <v>La vidéo se termine par le crédit de clôture indiqué à la fin.</v>
      </c>
    </row>
    <row r="26365">
      <c r="A26365" s="4" t="s">
        <v>33181</v>
      </c>
      <c r="B26365" s="4" t="s">
        <v>33182</v>
      </c>
      <c r="C26365" s="5" t="str">
        <f>IFERROR(__xludf.DUMMYFUNCTION("GOOGLETRANSLATE(B26365,""en"",""fr"")"),"Une personne est assise sur un ordinateur portable et un puzzle de cube.")</f>
        <v>Une personne est assise sur un ordinateur portable et un puzzle de cube.</v>
      </c>
    </row>
    <row r="26366">
      <c r="A26366" s="4" t="s">
        <v>33181</v>
      </c>
      <c r="B26366" s="4" t="s">
        <v>33183</v>
      </c>
      <c r="C26366" s="5" t="str">
        <f>IFERROR(__xludf.DUMMYFUNCTION("GOOGLETRANSLATE(B26366,""en"",""fr"")"),"Ensuite, la personne résout un puzzle de cube.")</f>
        <v>Ensuite, la personne résout un puzzle de cube.</v>
      </c>
    </row>
    <row r="26367">
      <c r="A26367" s="4" t="s">
        <v>33181</v>
      </c>
      <c r="B26367" s="4" t="s">
        <v>33184</v>
      </c>
      <c r="C26367" s="5" t="str">
        <f>IFERROR(__xludf.DUMMYFUNCTION("GOOGLETRANSLATE(B26367,""en"",""fr"")"),"Après, la personne résout le puzzle du cube le met sur l'ordinateur portable.")</f>
        <v>Après, la personne résout le puzzle du cube le met sur l'ordinateur portable.</v>
      </c>
    </row>
    <row r="26368">
      <c r="A26368" s="4" t="s">
        <v>33185</v>
      </c>
      <c r="B26368" s="4" t="s">
        <v>33186</v>
      </c>
      <c r="C26368" s="5" t="str">
        <f>IFERROR(__xludf.DUMMYFUNCTION("GOOGLETRANSLATE(B26368,""en"",""fr"")"),"Un groupe de personnes fait de l'exercice dans un cours d'aérobic.")</f>
        <v>Un groupe de personnes fait de l'exercice dans un cours d'aérobic.</v>
      </c>
    </row>
    <row r="26369">
      <c r="A26369" s="4" t="s">
        <v>33185</v>
      </c>
      <c r="B26369" s="4" t="s">
        <v>33187</v>
      </c>
      <c r="C26369" s="5" t="str">
        <f>IFERROR(__xludf.DUMMYFUNCTION("GOOGLETRANSLATE(B26369,""en"",""fr"")"),"Ils utilisent un stepper, dansant et sautent sur et hors de l'équipement.")</f>
        <v>Ils utilisent un stepper, dansant et sautent sur et hors de l'équipement.</v>
      </c>
    </row>
    <row r="26370">
      <c r="A26370" s="4" t="s">
        <v>33188</v>
      </c>
      <c r="B26370" s="4" t="s">
        <v>33189</v>
      </c>
      <c r="C26370" s="5" t="str">
        <f>IFERROR(__xludf.DUMMYFUNCTION("GOOGLETRANSLATE(B26370,""en"",""fr"")"),"Deux petits enfants sont vus à l'extérieur par un swingset.")</f>
        <v>Deux petits enfants sont vus à l'extérieur par un swingset.</v>
      </c>
    </row>
    <row r="26371">
      <c r="A26371" s="4" t="s">
        <v>33188</v>
      </c>
      <c r="B26371" s="4" t="s">
        <v>33190</v>
      </c>
      <c r="C26371" s="5" t="str">
        <f>IFERROR(__xludf.DUMMYFUNCTION("GOOGLETRANSLATE(B26371,""en"",""fr"")"),"On oscille en arrière et quatrième tandis que l'autre se dresse sur le côté.")</f>
        <v>On oscille en arrière et quatrième tandis que l'autre se dresse sur le côté.</v>
      </c>
    </row>
    <row r="26372">
      <c r="A26372" s="4" t="s">
        <v>33188</v>
      </c>
      <c r="B26372" s="4" t="s">
        <v>33191</v>
      </c>
      <c r="C26372" s="5" t="str">
        <f>IFERROR(__xludf.DUMMYFUNCTION("GOOGLETRANSLATE(B26372,""en"",""fr"")"),"Un homme donne un coup de pied à l'autre garçon et il se penche.")</f>
        <v>Un homme donne un coup de pied à l'autre garçon et il se penche.</v>
      </c>
    </row>
    <row r="26373">
      <c r="A26373" s="4" t="s">
        <v>33192</v>
      </c>
      <c r="B26373" s="4" t="s">
        <v>33193</v>
      </c>
      <c r="C26373" s="5" t="str">
        <f>IFERROR(__xludf.DUMMYFUNCTION("GOOGLETRANSLATE(B26373,""en"",""fr"")"),"La bière et d'autres alcools sont représentés sur un comptoir dans une cuisine.")</f>
        <v>La bière et d'autres alcools sont représentés sur un comptoir dans une cuisine.</v>
      </c>
    </row>
    <row r="26374">
      <c r="A26374" s="4" t="s">
        <v>33192</v>
      </c>
      <c r="B26374" s="4" t="s">
        <v>33194</v>
      </c>
      <c r="C26374" s="5" t="str">
        <f>IFERROR(__xludf.DUMMYFUNCTION("GOOGLETRANSLATE(B26374,""en"",""fr"")"),"Un homme prend un pichet de bière et commence à parler à la caméra.")</f>
        <v>Un homme prend un pichet de bière et commence à parler à la caméra.</v>
      </c>
    </row>
    <row r="26375">
      <c r="A26375" s="4" t="s">
        <v>33192</v>
      </c>
      <c r="B26375" s="4" t="s">
        <v>33195</v>
      </c>
      <c r="C26375" s="5" t="str">
        <f>IFERROR(__xludf.DUMMYFUNCTION("GOOGLETRANSLATE(B26375,""en"",""fr"")"),"L'homme continue de boire tout le lanceur de la bière.")</f>
        <v>L'homme continue de boire tout le lanceur de la bière.</v>
      </c>
    </row>
    <row r="26376">
      <c r="A26376" s="4" t="s">
        <v>33196</v>
      </c>
      <c r="B26376" s="4" t="s">
        <v>33197</v>
      </c>
      <c r="C26376" s="5" t="str">
        <f>IFERROR(__xludf.DUMMYFUNCTION("GOOGLETRANSLATE(B26376,""en"",""fr"")"),"Une dame parle dans une cuisine avec une médaille à l'écran et nous voyons des plans de gâteau et de cuisine.")</f>
        <v>Une dame parle dans une cuisine avec une médaille à l'écran et nous voyons des plans de gâteau et de cuisine.</v>
      </c>
    </row>
    <row r="26377">
      <c r="A26377" s="4" t="s">
        <v>33196</v>
      </c>
      <c r="B26377" s="4" t="s">
        <v>33198</v>
      </c>
      <c r="C26377" s="5" t="str">
        <f>IFERROR(__xludf.DUMMYFUNCTION("GOOGLETRANSLATE(B26377,""en"",""fr"")"),"Nous voyons la dame faire un gâteau et donner des instructions.")</f>
        <v>Nous voyons la dame faire un gâteau et donner des instructions.</v>
      </c>
    </row>
    <row r="26378">
      <c r="A26378" s="4" t="s">
        <v>33196</v>
      </c>
      <c r="B26378" s="4" t="s">
        <v>33199</v>
      </c>
      <c r="C26378" s="5" t="str">
        <f>IFERROR(__xludf.DUMMYFUNCTION("GOOGLETRANSLATE(B26378,""en"",""fr"")"),"La dame prend et prépare ses moules à gâteau.")</f>
        <v>La dame prend et prépare ses moules à gâteau.</v>
      </c>
    </row>
    <row r="26379">
      <c r="A26379" s="4" t="s">
        <v>33196</v>
      </c>
      <c r="B26379" s="6" t="s">
        <v>33200</v>
      </c>
      <c r="C26379" s="5" t="str">
        <f>IFERROR(__xludf.DUMMYFUNCTION("GOOGLETRANSLATE(B26379,""en"",""fr"")"),"La dame mélange ses ingrédients secs puis les mélange dans le mélangeur avec du colorant alimentaire rouge et les verse dans des casseroles à gâteau cuisent et les refroidit sur des racks.")</f>
        <v>La dame mélange ses ingrédients secs puis les mélange dans le mélangeur avec du colorant alimentaire rouge et les verse dans des casseroles à gâteau cuisent et les refroidit sur des racks.</v>
      </c>
    </row>
    <row r="26380">
      <c r="A26380" s="4" t="s">
        <v>33196</v>
      </c>
      <c r="B26380" s="4" t="s">
        <v>33201</v>
      </c>
      <c r="C26380" s="5" t="str">
        <f>IFERROR(__xludf.DUMMYFUNCTION("GOOGLETRANSLATE(B26380,""en"",""fr"")"),"La dame fait du glaçage dans le mélangeur et met le glaçage entre les couches de gâteau et sur le dessus.")</f>
        <v>La dame fait du glaçage dans le mélangeur et met le glaçage entre les couches de gâteau et sur le dessus.</v>
      </c>
    </row>
    <row r="26381">
      <c r="A26381" s="4" t="s">
        <v>33196</v>
      </c>
      <c r="B26381" s="4" t="s">
        <v>33202</v>
      </c>
      <c r="C26381" s="5" t="str">
        <f>IFERROR(__xludf.DUMMYFUNCTION("GOOGLETRANSLATE(B26381,""en"",""fr"")"),"La dame coupe le gâteau et nous voyons l'écran du titre de fin.")</f>
        <v>La dame coupe le gâteau et nous voyons l'écran du titre de fin.</v>
      </c>
    </row>
    <row r="26382">
      <c r="A26382" s="4" t="s">
        <v>33203</v>
      </c>
      <c r="B26382" s="6" t="s">
        <v>33204</v>
      </c>
      <c r="C26382" s="5" t="str">
        <f>IFERROR(__xludf.DUMMYFUNCTION("GOOGLETRANSLATE(B26382,""en"",""fr"")"),"Une femme portant un casque protecteur parle à la caméra tout en se tenant à l'extérieur à côté d'un palmier.")</f>
        <v>Une femme portant un casque protecteur parle à la caméra tout en se tenant à l'extérieur à côté d'un palmier.</v>
      </c>
    </row>
    <row r="26383">
      <c r="A26383" s="4" t="s">
        <v>33203</v>
      </c>
      <c r="B26383" s="4" t="s">
        <v>33205</v>
      </c>
      <c r="C26383" s="5" t="str">
        <f>IFERROR(__xludf.DUMMYFUNCTION("GOOGLETRANSLATE(B26383,""en"",""fr"")"),"La femme est debout sur un trottoir portant des rollers et du matériel de protection.")</f>
        <v>La femme est debout sur un trottoir portant des rollers et du matériel de protection.</v>
      </c>
    </row>
    <row r="26384">
      <c r="A26384" s="4" t="s">
        <v>33203</v>
      </c>
      <c r="B26384" s="6" t="s">
        <v>33206</v>
      </c>
      <c r="C26384" s="5" t="str">
        <f>IFERROR(__xludf.DUMMYFUNCTION("GOOGLETRANSLATE(B26384,""en"",""fr"")"),"La femme parle de la caméra et démontre différentes techniques de patinage sur le trottoir.")</f>
        <v>La femme parle de la caméra et démontre différentes techniques de patinage sur le trottoir.</v>
      </c>
    </row>
    <row r="26385">
      <c r="A26385" s="4" t="s">
        <v>33207</v>
      </c>
      <c r="B26385" s="4" t="s">
        <v>33208</v>
      </c>
      <c r="C26385" s="5" t="str">
        <f>IFERROR(__xludf.DUMMYFUNCTION("GOOGLETRANSLATE(B26385,""en"",""fr"")"),"Nous voyons deux garçons dans un train parler.")</f>
        <v>Nous voyons deux garçons dans un train parler.</v>
      </c>
    </row>
    <row r="26386">
      <c r="A26386" s="4" t="s">
        <v>33207</v>
      </c>
      <c r="B26386" s="4" t="s">
        <v>33209</v>
      </c>
      <c r="C26386" s="5" t="str">
        <f>IFERROR(__xludf.DUMMYFUNCTION("GOOGLETRANSLATE(B26386,""en"",""fr"")"),"Il fait noir dans un tunnel.")</f>
        <v>Il fait noir dans un tunnel.</v>
      </c>
    </row>
    <row r="26387">
      <c r="A26387" s="4" t="s">
        <v>33207</v>
      </c>
      <c r="B26387" s="4" t="s">
        <v>33210</v>
      </c>
      <c r="C26387" s="5" t="str">
        <f>IFERROR(__xludf.DUMMYFUNCTION("GOOGLETRANSLATE(B26387,""en"",""fr"")"),"Quelqu'un jette quelque chose sur un garçon.")</f>
        <v>Quelqu'un jette quelque chose sur un garçon.</v>
      </c>
    </row>
    <row r="26388">
      <c r="A26388" s="4" t="s">
        <v>33207</v>
      </c>
      <c r="B26388" s="4" t="s">
        <v>33211</v>
      </c>
      <c r="C26388" s="5" t="str">
        <f>IFERROR(__xludf.DUMMYFUNCTION("GOOGLETRANSLATE(B26388,""en"",""fr"")"),"Nous voyons les garçons rouler sur des planches à roulettes dans une rue résidentielle.")</f>
        <v>Nous voyons les garçons rouler sur des planches à roulettes dans une rue résidentielle.</v>
      </c>
    </row>
    <row r="26389">
      <c r="A26389" s="4" t="s">
        <v>33207</v>
      </c>
      <c r="B26389" s="4" t="s">
        <v>33212</v>
      </c>
      <c r="C26389" s="5" t="str">
        <f>IFERROR(__xludf.DUMMYFUNCTION("GOOGLETRANSLATE(B26389,""en"",""fr"")"),"Un homme monte en descente en arrière.")</f>
        <v>Un homme monte en descente en arrière.</v>
      </c>
    </row>
    <row r="26390">
      <c r="A26390" s="4" t="s">
        <v>33207</v>
      </c>
      <c r="B26390" s="4" t="s">
        <v>33213</v>
      </c>
      <c r="C26390" s="5" t="str">
        <f>IFERROR(__xludf.DUMMYFUNCTION("GOOGLETRANSLATE(B26390,""en"",""fr"")"),"Nous voyons un garçon tomber de sa planche à roulettes.")</f>
        <v>Nous voyons un garçon tomber de sa planche à roulettes.</v>
      </c>
    </row>
    <row r="26391">
      <c r="A26391" s="4" t="s">
        <v>33207</v>
      </c>
      <c r="B26391" s="4" t="s">
        <v>33214</v>
      </c>
      <c r="C26391" s="5" t="str">
        <f>IFERROR(__xludf.DUMMYFUNCTION("GOOGLETRANSLATE(B26391,""en"",""fr"")"),"Nous voyons un numéro trois sur un mur.")</f>
        <v>Nous voyons un numéro trois sur un mur.</v>
      </c>
    </row>
    <row r="26392">
      <c r="A26392" s="4" t="s">
        <v>33207</v>
      </c>
      <c r="B26392" s="4" t="s">
        <v>33215</v>
      </c>
      <c r="C26392" s="5" t="str">
        <f>IFERROR(__xludf.DUMMYFUNCTION("GOOGLETRANSLATE(B26392,""en"",""fr"")"),"Nous voyons une personne sauter de sa planche à roulettes.")</f>
        <v>Nous voyons une personne sauter de sa planche à roulettes.</v>
      </c>
    </row>
    <row r="26393">
      <c r="A26393" s="4" t="s">
        <v>33216</v>
      </c>
      <c r="B26393" s="4" t="s">
        <v>33217</v>
      </c>
      <c r="C26393" s="5" t="str">
        <f>IFERROR(__xludf.DUMMYFUNCTION("GOOGLETRANSLATE(B26393,""en"",""fr"")"),"Une intro mène à une femme qui regarde dans le miroir et se maquille.")</f>
        <v>Une intro mène à une femme qui regarde dans le miroir et se maquille.</v>
      </c>
    </row>
    <row r="26394">
      <c r="A26394" s="4" t="s">
        <v>33216</v>
      </c>
      <c r="B26394" s="4" t="s">
        <v>33218</v>
      </c>
      <c r="C26394" s="5" t="str">
        <f>IFERROR(__xludf.DUMMYFUNCTION("GOOGLETRANSLATE(B26394,""en"",""fr"")"),"Elle met des lunettes et regarde le miroir.")</f>
        <v>Elle met des lunettes et regarde le miroir.</v>
      </c>
    </row>
    <row r="26395">
      <c r="A26395" s="4" t="s">
        <v>33216</v>
      </c>
      <c r="B26395" s="4" t="s">
        <v>33219</v>
      </c>
      <c r="C26395" s="5" t="str">
        <f>IFERROR(__xludf.DUMMYFUNCTION("GOOGLETRANSLATE(B26395,""en"",""fr"")"),"Elle se détourne et se termine par un logo montré.")</f>
        <v>Elle se détourne et se termine par un logo montré.</v>
      </c>
    </row>
    <row r="26396">
      <c r="A26396" s="4" t="s">
        <v>33220</v>
      </c>
      <c r="B26396" s="4" t="s">
        <v>33221</v>
      </c>
      <c r="C26396" s="5" t="str">
        <f>IFERROR(__xludf.DUMMYFUNCTION("GOOGLETRANSLATE(B26396,""en"",""fr"")"),"Un groupe de joueurs de crosse est montré sur un terrain.")</f>
        <v>Un groupe de joueurs de crosse est montré sur un terrain.</v>
      </c>
    </row>
    <row r="26397">
      <c r="A26397" s="4" t="s">
        <v>33220</v>
      </c>
      <c r="B26397" s="4" t="s">
        <v>33222</v>
      </c>
      <c r="C26397" s="5" t="str">
        <f>IFERROR(__xludf.DUMMYFUNCTION("GOOGLETRANSLATE(B26397,""en"",""fr"")"),"Ils courent, essayant de s'éloigner les uns des autres.")</f>
        <v>Ils courent, essayant de s'éloigner les uns des autres.</v>
      </c>
    </row>
    <row r="26398">
      <c r="A26398" s="4" t="s">
        <v>33220</v>
      </c>
      <c r="B26398" s="4" t="s">
        <v>33223</v>
      </c>
      <c r="C26398" s="5" t="str">
        <f>IFERROR(__xludf.DUMMYFUNCTION("GOOGLETRANSLATE(B26398,""en"",""fr"")"),"Ils sont montrés en jouant au ralenti.")</f>
        <v>Ils sont montrés en jouant au ralenti.</v>
      </c>
    </row>
    <row r="26399">
      <c r="A26399" s="4" t="s">
        <v>33224</v>
      </c>
      <c r="B26399" s="4" t="s">
        <v>33225</v>
      </c>
      <c r="C26399" s="5" t="str">
        <f>IFERROR(__xludf.DUMMYFUNCTION("GOOGLETRANSLATE(B26399,""en"",""fr"")"),"Un homme portant un revêtement en plastique est montré en train de manger de la glace.")</f>
        <v>Un homme portant un revêtement en plastique est montré en train de manger de la glace.</v>
      </c>
    </row>
    <row r="26400">
      <c r="A26400" s="4" t="s">
        <v>33224</v>
      </c>
      <c r="B26400" s="6" t="s">
        <v>33226</v>
      </c>
      <c r="C26400" s="5" t="str">
        <f>IFERROR(__xludf.DUMMYFUNCTION("GOOGLETRANSLATE(B26400,""en"",""fr"")"),"Nous voyons l'intérieur d'une plante, où les biscuits sont écrasés et mis dans des récipients de glace à la vanille, puis triés.")</f>
        <v>Nous voyons l'intérieur d'une plante, où les biscuits sont écrasés et mis dans des récipients de glace à la vanille, puis triés.</v>
      </c>
    </row>
    <row r="26401">
      <c r="A26401" s="4" t="s">
        <v>33224</v>
      </c>
      <c r="B26401" s="6" t="s">
        <v>33227</v>
      </c>
      <c r="C26401" s="5" t="str">
        <f>IFERROR(__xludf.DUMMYFUNCTION("GOOGLETRANSLATE(B26401,""en"",""fr"")"),"La crème glacée remplit les pintes et est mélangée dans une voûte géante avant que d'autres ingrédients ne soient ajoutés et les pintes remplies.")</f>
        <v>La crème glacée remplit les pintes et est mélangée dans une voûte géante avant que d'autres ingrédients ne soient ajoutés et les pintes remplies.</v>
      </c>
    </row>
    <row r="26402">
      <c r="A26402" s="4" t="s">
        <v>33224</v>
      </c>
      <c r="B26402" s="4" t="s">
        <v>33228</v>
      </c>
      <c r="C26402" s="5" t="str">
        <f>IFERROR(__xludf.DUMMYFUNCTION("GOOGLETRANSLATE(B26402,""en"",""fr"")"),"Nous voyons ensuite des popsicles créées, avant qu'un homme et une femme ne se montrent en train de manger les friandises.")</f>
        <v>Nous voyons ensuite des popsicles créées, avant qu'un homme et une femme ne se montrent en train de manger les friandises.</v>
      </c>
    </row>
    <row r="26403">
      <c r="A26403" s="4" t="s">
        <v>33229</v>
      </c>
      <c r="B26403" s="4" t="s">
        <v>33230</v>
      </c>
      <c r="C26403" s="5" t="str">
        <f>IFERROR(__xludf.DUMMYFUNCTION("GOOGLETRANSLATE(B26403,""en"",""fr"")"),"Un homme portant des gants contient une paire de pinces et met un objet entre les deux.")</f>
        <v>Un homme portant des gants contient une paire de pinces et met un objet entre les deux.</v>
      </c>
    </row>
    <row r="26404">
      <c r="A26404" s="4" t="s">
        <v>33229</v>
      </c>
      <c r="B26404" s="4" t="s">
        <v>33231</v>
      </c>
      <c r="C26404" s="5" t="str">
        <f>IFERROR(__xludf.DUMMYFUNCTION("GOOGLETRANSLATE(B26404,""en"",""fr"")"),"Il déclenche l'objet pour créer une flamme et met son masque pour se protéger.")</f>
        <v>Il déclenche l'objet pour créer une flamme et met son masque pour se protéger.</v>
      </c>
    </row>
    <row r="26405">
      <c r="A26405" s="4" t="s">
        <v>33229</v>
      </c>
      <c r="B26405" s="4" t="s">
        <v>33232</v>
      </c>
      <c r="C26405" s="5" t="str">
        <f>IFERROR(__xludf.DUMMYFUNCTION("GOOGLETRANSLATE(B26405,""en"",""fr"")"),"Il continue de flamber l'objet et montre ce qu'il a brûlé.")</f>
        <v>Il continue de flamber l'objet et montre ce qu'il a brûlé.</v>
      </c>
    </row>
    <row r="26406">
      <c r="A26406" s="4" t="s">
        <v>33233</v>
      </c>
      <c r="B26406" s="4" t="s">
        <v>33234</v>
      </c>
      <c r="C26406" s="5" t="str">
        <f>IFERROR(__xludf.DUMMYFUNCTION("GOOGLETRANSLATE(B26406,""en"",""fr"")"),"Un garçon saute sur une plongée en haut.")</f>
        <v>Un garçon saute sur une plongée en haut.</v>
      </c>
    </row>
    <row r="26407">
      <c r="A26407" s="4" t="s">
        <v>33233</v>
      </c>
      <c r="B26407" s="4" t="s">
        <v>33235</v>
      </c>
      <c r="C26407" s="5" t="str">
        <f>IFERROR(__xludf.DUMMYFUNCTION("GOOGLETRANSLATE(B26407,""en"",""fr"")"),"Ensuite, le garçon saute et se retourne trois fois, mais tombe sur son dos en faisant un gros éclaboussures.")</f>
        <v>Ensuite, le garçon saute et se retourne trois fois, mais tombe sur son dos en faisant un gros éclaboussures.</v>
      </c>
    </row>
    <row r="26408">
      <c r="A26408" s="4" t="s">
        <v>33236</v>
      </c>
      <c r="B26408" s="4" t="s">
        <v>33237</v>
      </c>
      <c r="C26408" s="5" t="str">
        <f>IFERROR(__xludf.DUMMYFUNCTION("GOOGLETRANSLATE(B26408,""en"",""fr"")"),"Un jeune homme enfonce une chemise sur une planche à repasser dans un couloir.")</f>
        <v>Un jeune homme enfonce une chemise sur une planche à repasser dans un couloir.</v>
      </c>
    </row>
    <row r="26409">
      <c r="A26409" s="4" t="s">
        <v>33236</v>
      </c>
      <c r="B26409" s="4" t="s">
        <v>33238</v>
      </c>
      <c r="C26409" s="5" t="str">
        <f>IFERROR(__xludf.DUMMYFUNCTION("GOOGLETRANSLATE(B26409,""en"",""fr"")"),"L'homme ajuste la caméra et revient au repassage.")</f>
        <v>L'homme ajuste la caméra et revient au repassage.</v>
      </c>
    </row>
    <row r="26410">
      <c r="A26410" s="4" t="s">
        <v>33236</v>
      </c>
      <c r="B26410" s="4" t="s">
        <v>33239</v>
      </c>
      <c r="C26410" s="5" t="str">
        <f>IFERROR(__xludf.DUMMYFUNCTION("GOOGLETRANSLATE(B26410,""en"",""fr"")"),"L'homme termine le repassage et détourne la caméra.")</f>
        <v>L'homme termine le repassage et détourne la caméra.</v>
      </c>
    </row>
    <row r="26411">
      <c r="A26411" s="4" t="s">
        <v>33240</v>
      </c>
      <c r="B26411" s="4" t="s">
        <v>33241</v>
      </c>
      <c r="C26411" s="5" t="str">
        <f>IFERROR(__xludf.DUMMYFUNCTION("GOOGLETRANSLATE(B26411,""en"",""fr"")"),"Un homme en chemise rouge s'agenouille.")</f>
        <v>Un homme en chemise rouge s'agenouille.</v>
      </c>
    </row>
    <row r="26412">
      <c r="A26412" s="4" t="s">
        <v>33240</v>
      </c>
      <c r="B26412" s="4" t="s">
        <v>33242</v>
      </c>
      <c r="C26412" s="5" t="str">
        <f>IFERROR(__xludf.DUMMYFUNCTION("GOOGLETRANSLATE(B26412,""en"",""fr"")"),"Un autre homme dans une chemise noire se tient debout devant lui.")</f>
        <v>Un autre homme dans une chemise noire se tient debout devant lui.</v>
      </c>
    </row>
    <row r="26413">
      <c r="A26413" s="4" t="s">
        <v>33240</v>
      </c>
      <c r="B26413" s="4" t="s">
        <v>33243</v>
      </c>
      <c r="C26413" s="5" t="str">
        <f>IFERROR(__xludf.DUMMYFUNCTION("GOOGLETRANSLATE(B26413,""en"",""fr"")"),"Ils réparent quelque chose sur un vélo.")</f>
        <v>Ils réparent quelque chose sur un vélo.</v>
      </c>
    </row>
    <row r="26414">
      <c r="A26414" s="4" t="s">
        <v>33244</v>
      </c>
      <c r="B26414" s="4" t="s">
        <v>33245</v>
      </c>
      <c r="C26414" s="5" t="str">
        <f>IFERROR(__xludf.DUMMYFUNCTION("GOOGLETRANSLATE(B26414,""en"",""fr"")"),"Une femme explique comment envelopper une boîte avec du papier cadeau.")</f>
        <v>Une femme explique comment envelopper une boîte avec du papier cadeau.</v>
      </c>
    </row>
    <row r="26415">
      <c r="A26415" s="4" t="s">
        <v>33244</v>
      </c>
      <c r="B26415" s="4" t="s">
        <v>33246</v>
      </c>
      <c r="C26415" s="5" t="str">
        <f>IFERROR(__xludf.DUMMYFUNCTION("GOOGLETRANSLATE(B26415,""en"",""fr"")"),"Ensuite, la femme coupe le papier et s'enroule autour de la boîte à l'aide de ruban adhésif.")</f>
        <v>Ensuite, la femme coupe le papier et s'enroule autour de la boîte à l'aide de ruban adhésif.</v>
      </c>
    </row>
    <row r="26416">
      <c r="A26416" s="4" t="s">
        <v>33244</v>
      </c>
      <c r="B26416" s="6" t="s">
        <v>33247</v>
      </c>
      <c r="C26416" s="5" t="str">
        <f>IFERROR(__xludf.DUMMYFUNCTION("GOOGLETRANSLATE(B26416,""en"",""fr"")"),"Après, la femme plie les côtés du papier et coupe un morceau pour s'adapter à la boîte, puis mettre du ruban adhésif pour joindre les extrémités tout en expliquant.")</f>
        <v>Après, la femme plie les côtés du papier et coupe un morceau pour s'adapter à la boîte, puis mettre du ruban adhésif pour joindre les extrémités tout en expliquant.</v>
      </c>
    </row>
    <row r="26417">
      <c r="A26417" s="4" t="s">
        <v>33248</v>
      </c>
      <c r="B26417" s="4" t="s">
        <v>33249</v>
      </c>
      <c r="C26417" s="5" t="str">
        <f>IFERROR(__xludf.DUMMYFUNCTION("GOOGLETRANSLATE(B26417,""en"",""fr"")"),"Une jeune fille est vue lécher un cornet de crème glacée pendant que la caméra la regardant manger.")</f>
        <v>Une jeune fille est vue lécher un cornet de crème glacée pendant que la caméra la regardant manger.</v>
      </c>
    </row>
    <row r="26418">
      <c r="A26418" s="4" t="s">
        <v>33248</v>
      </c>
      <c r="B26418" s="4" t="s">
        <v>33250</v>
      </c>
      <c r="C26418" s="5" t="str">
        <f>IFERROR(__xludf.DUMMYFUNCTION("GOOGLETRANSLATE(B26418,""en"",""fr"")"),"Elle continue de manger le cornet de crème glacée et de regarder au loin.")</f>
        <v>Elle continue de manger le cornet de crème glacée et de regarder au loin.</v>
      </c>
    </row>
    <row r="26419">
      <c r="A26419" s="4" t="s">
        <v>33251</v>
      </c>
      <c r="B26419" s="4" t="s">
        <v>33252</v>
      </c>
      <c r="C26419" s="5" t="str">
        <f>IFERROR(__xludf.DUMMYFUNCTION("GOOGLETRANSLATE(B26419,""en"",""fr"")"),"Un homme en jean et en tshirt roule un rouleau de peinture dans le plateau.")</f>
        <v>Un homme en jean et en tshirt roule un rouleau de peinture dans le plateau.</v>
      </c>
    </row>
    <row r="26420">
      <c r="A26420" s="4" t="s">
        <v>33251</v>
      </c>
      <c r="B26420" s="6" t="s">
        <v>33253</v>
      </c>
      <c r="C26420" s="5" t="str">
        <f>IFERROR(__xludf.DUMMYFUNCTION("GOOGLETRANSLATE(B26420,""en"",""fr"")"),"L'homme applique plus de peinture à la clôture avec un rouleau et d'obtenir plus de peinture jusqu'à ce qu'il soulève le rouleau et est satisfait.")</f>
        <v>L'homme applique plus de peinture à la clôture avec un rouleau et d'obtenir plus de peinture jusqu'à ce qu'il soulève le rouleau et est satisfait.</v>
      </c>
    </row>
    <row r="26421">
      <c r="A26421" s="4" t="s">
        <v>33251</v>
      </c>
      <c r="B26421" s="4" t="s">
        <v>33254</v>
      </c>
      <c r="C26421" s="5" t="str">
        <f>IFERROR(__xludf.DUMMYFUNCTION("GOOGLETRANSLATE(B26421,""en"",""fr"")"),"L'homme obtient plus de peinture sur son pinceau du plateau.")</f>
        <v>L'homme obtient plus de peinture sur son pinceau du plateau.</v>
      </c>
    </row>
    <row r="26422">
      <c r="A26422" s="4" t="s">
        <v>33251</v>
      </c>
      <c r="B26422" s="4" t="s">
        <v>33255</v>
      </c>
      <c r="C26422" s="5" t="str">
        <f>IFERROR(__xludf.DUMMYFUNCTION("GOOGLETRANSLATE(B26422,""en"",""fr"")"),"L'homme termine la peinture de la section de la clôture, puis décroche son rouleau.")</f>
        <v>L'homme termine la peinture de la section de la clôture, puis décroche son rouleau.</v>
      </c>
    </row>
    <row r="26423">
      <c r="A26423" s="4" t="s">
        <v>33256</v>
      </c>
      <c r="B26423" s="4" t="s">
        <v>33257</v>
      </c>
      <c r="C26423" s="5" t="str">
        <f>IFERROR(__xludf.DUMMYFUNCTION("GOOGLETRANSLATE(B26423,""en"",""fr"")"),"Plusieurs personnes sont le longboard et le vélo sur une colline.")</f>
        <v>Plusieurs personnes sont le longboard et le vélo sur une colline.</v>
      </c>
    </row>
    <row r="26424">
      <c r="A26424" s="4" t="s">
        <v>33256</v>
      </c>
      <c r="B26424" s="4" t="s">
        <v>33258</v>
      </c>
      <c r="C26424" s="5" t="str">
        <f>IFERROR(__xludf.DUMMYFUNCTION("GOOGLETRANSLATE(B26424,""en"",""fr"")"),"Une personne a un gant blanc et tient la personne devant elle.")</f>
        <v>Une personne a un gant blanc et tient la personne devant elle.</v>
      </c>
    </row>
    <row r="26425">
      <c r="A26425" s="4" t="s">
        <v>33256</v>
      </c>
      <c r="B26425" s="4" t="s">
        <v>33259</v>
      </c>
      <c r="C26425" s="5" t="str">
        <f>IFERROR(__xludf.DUMMYFUNCTION("GOOGLETRANSLATE(B26425,""en"",""fr"")"),"Les mots vont à l'écran à la fin.")</f>
        <v>Les mots vont à l'écran à la fin.</v>
      </c>
    </row>
    <row r="26426">
      <c r="A26426" s="4" t="s">
        <v>33260</v>
      </c>
      <c r="B26426" s="4" t="s">
        <v>33261</v>
      </c>
      <c r="C26426" s="5" t="str">
        <f>IFERROR(__xludf.DUMMYFUNCTION("GOOGLETRANSLATE(B26426,""en"",""fr"")"),"L'homme est du snowboard descendant une colline glissant en zigzags passant de petits drapeaux.")</f>
        <v>L'homme est du snowboard descendant une colline glissant en zigzags passant de petits drapeaux.</v>
      </c>
    </row>
    <row r="26427">
      <c r="A26427" s="4" t="s">
        <v>33260</v>
      </c>
      <c r="B26427" s="4" t="s">
        <v>33262</v>
      </c>
      <c r="C26427" s="5" t="str">
        <f>IFERROR(__xludf.DUMMYFUNCTION("GOOGLETRANSLATE(B26427,""en"",""fr"")"),"L'homme parle à la caméra dans une pièce sombre.")</f>
        <v>L'homme parle à la caméra dans une pièce sombre.</v>
      </c>
    </row>
    <row r="26428">
      <c r="A26428" s="4" t="s">
        <v>33260</v>
      </c>
      <c r="B26428" s="6" t="s">
        <v>33263</v>
      </c>
      <c r="C26428" s="5" t="str">
        <f>IFERROR(__xludf.DUMMYFUNCTION("GOOGLETRANSLATE(B26428,""en"",""fr"")"),"L'homme est du snowboard sur la pente enneigée et une vidéo montre la bonne position du corps en allant d'un côté à l'autre.")</f>
        <v>L'homme est du snowboard sur la pente enneigée et une vidéo montre la bonne position du corps en allant d'un côté à l'autre.</v>
      </c>
    </row>
    <row r="26429">
      <c r="A26429" s="4" t="s">
        <v>33264</v>
      </c>
      <c r="B26429" s="4" t="s">
        <v>33265</v>
      </c>
      <c r="C26429" s="5" t="str">
        <f>IFERROR(__xludf.DUMMYFUNCTION("GOOGLETRANSLATE(B26429,""en"",""fr"")"),"Un homme et une fille sont vus glisser dans le cadre portant uniquement des chaussettes et une longue chemise.")</f>
        <v>Un homme et une fille sont vus glisser dans le cadre portant uniquement des chaussettes et une longue chemise.</v>
      </c>
    </row>
    <row r="26430">
      <c r="A26430" s="4" t="s">
        <v>33264</v>
      </c>
      <c r="B26430" s="4" t="s">
        <v>33266</v>
      </c>
      <c r="C26430" s="5" t="str">
        <f>IFERROR(__xludf.DUMMYFUNCTION("GOOGLETRANSLATE(B26430,""en"",""fr"")"),"Les deux sont vus tenant des vadrouilles et commencent à chanter les uns avec les autres.")</f>
        <v>Les deux sont vus tenant des vadrouilles et commencent à chanter les uns avec les autres.</v>
      </c>
    </row>
    <row r="26431">
      <c r="A26431" s="4" t="s">
        <v>33264</v>
      </c>
      <c r="B26431" s="4" t="s">
        <v>33267</v>
      </c>
      <c r="C26431" s="5" t="str">
        <f>IFERROR(__xludf.DUMMYFUNCTION("GOOGLETRANSLATE(B26431,""en"",""fr"")"),"Les deux continuent de danser et de chanter les uns avec les autres.")</f>
        <v>Les deux continuent de danser et de chanter les uns avec les autres.</v>
      </c>
    </row>
    <row r="26432">
      <c r="A26432" s="4" t="s">
        <v>33268</v>
      </c>
      <c r="B26432" s="4" t="s">
        <v>33269</v>
      </c>
      <c r="C26432" s="5" t="str">
        <f>IFERROR(__xludf.DUMMYFUNCTION("GOOGLETRANSLATE(B26432,""en"",""fr"")"),"Diver de plongée nage et glisse sous l'eau dans l'océan près d'une face rocheuse.")</f>
        <v>Diver de plongée nage et glisse sous l'eau dans l'océan près d'une face rocheuse.</v>
      </c>
    </row>
    <row r="26433">
      <c r="A26433" s="4" t="s">
        <v>33268</v>
      </c>
      <c r="B26433" s="4" t="s">
        <v>33270</v>
      </c>
      <c r="C26433" s="5" t="str">
        <f>IFERROR(__xludf.DUMMYFUNCTION("GOOGLETRANSLATE(B26433,""en"",""fr"")"),"Les plongeurs de plongée font des gestes et des blagues de la main.")</f>
        <v>Les plongeurs de plongée font des gestes et des blagues de la main.</v>
      </c>
    </row>
    <row r="26434">
      <c r="A26434" s="4" t="s">
        <v>33268</v>
      </c>
      <c r="B26434" s="4" t="s">
        <v>33271</v>
      </c>
      <c r="C26434" s="5" t="str">
        <f>IFERROR(__xludf.DUMMYFUNCTION("GOOGLETRANSLATE(B26434,""en"",""fr"")"),"Les hommes nagent de près en vue.")</f>
        <v>Les hommes nagent de près en vue.</v>
      </c>
    </row>
    <row r="26435">
      <c r="A26435" s="4" t="s">
        <v>33272</v>
      </c>
      <c r="B26435" s="6" t="s">
        <v>33273</v>
      </c>
      <c r="C26435" s="5" t="str">
        <f>IFERROR(__xludf.DUMMYFUNCTION("GOOGLETRANSLATE(B26435,""en"",""fr"")"),"Un gros plan de skis est montré suivi par une personne qui se pousse à l'aide de bâtons et de ski sur la montagne.")</f>
        <v>Un gros plan de skis est montré suivi par une personne qui se pousse à l'aide de bâtons et de ski sur la montagne.</v>
      </c>
    </row>
    <row r="26436">
      <c r="A26436" s="4" t="s">
        <v>33272</v>
      </c>
      <c r="B26436" s="6" t="s">
        <v>33274</v>
      </c>
      <c r="C26436" s="5" t="str">
        <f>IFERROR(__xludf.DUMMYFUNCTION("GOOGLETRANSLATE(B26436,""en"",""fr"")"),"La personne descendant continuellement sur la montagne en utilisant les skis et en zoomant les gens et en s'arrêtant au fond.")</f>
        <v>La personne descendant continuellement sur la montagne en utilisant les skis et en zoomant les gens et en s'arrêtant au fond.</v>
      </c>
    </row>
    <row r="26437">
      <c r="A26437" s="4" t="s">
        <v>33275</v>
      </c>
      <c r="B26437" s="4" t="s">
        <v>33276</v>
      </c>
      <c r="C26437" s="5" t="str">
        <f>IFERROR(__xludf.DUMMYFUNCTION("GOOGLETRANSLATE(B26437,""en"",""fr"")"),"Un homme est vu debout et met ses bras à ses côtés.")</f>
        <v>Un homme est vu debout et met ses bras à ses côtés.</v>
      </c>
    </row>
    <row r="26438">
      <c r="A26438" s="4" t="s">
        <v>33275</v>
      </c>
      <c r="B26438" s="4" t="s">
        <v>33277</v>
      </c>
      <c r="C26438" s="5" t="str">
        <f>IFERROR(__xludf.DUMMYFUNCTION("GOOGLETRANSLATE(B26438,""en"",""fr"")"),"L'homme saute ensuite sur un ensemble de barres inégales et commence à effectuer une routine de gymnastique.")</f>
        <v>L'homme saute ensuite sur un ensemble de barres inégales et commence à effectuer une routine de gymnastique.</v>
      </c>
    </row>
    <row r="26439">
      <c r="A26439" s="4" t="s">
        <v>33275</v>
      </c>
      <c r="B26439" s="4" t="s">
        <v>33278</v>
      </c>
      <c r="C26439" s="5" t="str">
        <f>IFERROR(__xludf.DUMMYFUNCTION("GOOGLETRANSLATE(B26439,""en"",""fr"")"),"L'homme se tourne tout autour et se termine en sautant du côté avec ses bras vers le haut.")</f>
        <v>L'homme se tourne tout autour et se termine en sautant du côté avec ses bras vers le haut.</v>
      </c>
    </row>
    <row r="26440">
      <c r="A26440" s="4" t="s">
        <v>33279</v>
      </c>
      <c r="B26440" s="4" t="s">
        <v>33280</v>
      </c>
      <c r="C26440" s="5" t="str">
        <f>IFERROR(__xludf.DUMMYFUNCTION("GOOGLETRANSLATE(B26440,""en"",""fr"")"),"Deux femmes lancent la vaisselle dans la cuisine.")</f>
        <v>Deux femmes lancent la vaisselle dans la cuisine.</v>
      </c>
    </row>
    <row r="26441">
      <c r="A26441" s="4" t="s">
        <v>33279</v>
      </c>
      <c r="B26441" s="4" t="s">
        <v>33281</v>
      </c>
      <c r="C26441" s="5" t="str">
        <f>IFERROR(__xludf.DUMMYFUNCTION("GOOGLETRANSLATE(B26441,""en"",""fr"")"),"Ils font des allers-retours sur la cuisine.")</f>
        <v>Ils font des allers-retours sur la cuisine.</v>
      </c>
    </row>
    <row r="26442">
      <c r="A26442" s="4" t="s">
        <v>33279</v>
      </c>
      <c r="B26442" s="4" t="s">
        <v>33282</v>
      </c>
      <c r="C26442" s="5" t="str">
        <f>IFERROR(__xludf.DUMMYFUNCTION("GOOGLETRANSLATE(B26442,""en"",""fr"")"),"La scène est en mouvement très rapide.")</f>
        <v>La scène est en mouvement très rapide.</v>
      </c>
    </row>
    <row r="26443">
      <c r="A26443" s="4" t="s">
        <v>33283</v>
      </c>
      <c r="B26443" s="4" t="s">
        <v>33284</v>
      </c>
      <c r="C26443" s="5" t="str">
        <f>IFERROR(__xludf.DUMMYFUNCTION("GOOGLETRANSLATE(B26443,""en"",""fr"")"),"Un homme et une femme sont assis ensemble sur une scène.")</f>
        <v>Un homme et une femme sont assis ensemble sur une scène.</v>
      </c>
    </row>
    <row r="26444">
      <c r="A26444" s="4" t="s">
        <v>33283</v>
      </c>
      <c r="B26444" s="4" t="s">
        <v>33285</v>
      </c>
      <c r="C26444" s="5" t="str">
        <f>IFERROR(__xludf.DUMMYFUNCTION("GOOGLETRANSLATE(B26444,""en"",""fr"")"),"Ils parlent de la danse du tango.")</f>
        <v>Ils parlent de la danse du tango.</v>
      </c>
    </row>
    <row r="26445">
      <c r="A26445" s="4" t="s">
        <v>33283</v>
      </c>
      <c r="B26445" s="4" t="s">
        <v>33286</v>
      </c>
      <c r="C26445" s="5" t="str">
        <f>IFERROR(__xludf.DUMMYFUNCTION("GOOGLETRANSLATE(B26445,""en"",""fr"")"),"Ils tournent et tournonnent devant un public.")</f>
        <v>Ils tournent et tournonnent devant un public.</v>
      </c>
    </row>
    <row r="26446">
      <c r="A26446" s="4" t="s">
        <v>33287</v>
      </c>
      <c r="B26446" s="4" t="s">
        <v>33288</v>
      </c>
      <c r="C26446" s="5" t="str">
        <f>IFERROR(__xludf.DUMMYFUNCTION("GOOGLETRANSLATE(B26446,""en"",""fr"")"),"Une nouvelle est donnée sur la marche d'une slackline.")</f>
        <v>Une nouvelle est donnée sur la marche d'une slackline.</v>
      </c>
    </row>
    <row r="26447">
      <c r="A26447" s="4" t="s">
        <v>33287</v>
      </c>
      <c r="B26447" s="4" t="s">
        <v>33289</v>
      </c>
      <c r="C26447" s="5" t="str">
        <f>IFERROR(__xludf.DUMMYFUNCTION("GOOGLETRANSLATE(B26447,""en"",""fr"")"),"Les gens de tous niveaux marchent, mentent et méditent sur la corde.")</f>
        <v>Les gens de tous niveaux marchent, mentent et méditent sur la corde.</v>
      </c>
    </row>
    <row r="26448">
      <c r="A26448" s="4" t="s">
        <v>33287</v>
      </c>
      <c r="B26448" s="4" t="s">
        <v>33290</v>
      </c>
      <c r="C26448" s="5" t="str">
        <f>IFERROR(__xludf.DUMMYFUNCTION("GOOGLETRANSLATE(B26448,""en"",""fr"")"),"Certaines personnes marchent sur des canoers venant en sens inverse.")</f>
        <v>Certaines personnes marchent sur des canoers venant en sens inverse.</v>
      </c>
    </row>
    <row r="26449">
      <c r="A26449" s="4" t="s">
        <v>33291</v>
      </c>
      <c r="B26449" s="4" t="s">
        <v>33292</v>
      </c>
      <c r="C26449" s="5" t="str">
        <f>IFERROR(__xludf.DUMMYFUNCTION("GOOGLETRANSLATE(B26449,""en"",""fr"")"),"Une femme a mis du rouge à lèvres sur ses lèvres sur le devant un miroir.")</f>
        <v>Une femme a mis du rouge à lèvres sur ses lèvres sur le devant un miroir.</v>
      </c>
    </row>
    <row r="26450">
      <c r="A26450" s="4" t="s">
        <v>33291</v>
      </c>
      <c r="B26450" s="4" t="s">
        <v>33293</v>
      </c>
      <c r="C26450" s="5" t="str">
        <f>IFERROR(__xludf.DUMMYFUNCTION("GOOGLETRANSLATE(B26450,""en"",""fr"")"),"Puis elle rie avec d'autres adolescents à côté d'elle.")</f>
        <v>Puis elle rie avec d'autres adolescents à côté d'elle.</v>
      </c>
    </row>
    <row r="26451">
      <c r="A26451" s="4" t="s">
        <v>33294</v>
      </c>
      <c r="B26451" s="4" t="s">
        <v>33295</v>
      </c>
      <c r="C26451" s="5" t="str">
        <f>IFERROR(__xludf.DUMMYFUNCTION("GOOGLETRANSLATE(B26451,""en"",""fr"")"),"Un homme parle à une caméra dans sa salle de bain.")</f>
        <v>Un homme parle à une caméra dans sa salle de bain.</v>
      </c>
    </row>
    <row r="26452">
      <c r="A26452" s="4" t="s">
        <v>33294</v>
      </c>
      <c r="B26452" s="4" t="s">
        <v>33296</v>
      </c>
      <c r="C26452" s="5" t="str">
        <f>IFERROR(__xludf.DUMMYFUNCTION("GOOGLETRANSLATE(B26452,""en"",""fr"")"),"On lui montre ensuite le brossage, la pulvérisation et le coiffage des cheveux d'une femme avant de les tresser.")</f>
        <v>On lui montre ensuite le brossage, la pulvérisation et le coiffage des cheveux d'une femme avant de les tresser.</v>
      </c>
    </row>
    <row r="26453">
      <c r="A26453" s="4" t="s">
        <v>33294</v>
      </c>
      <c r="B26453" s="4" t="s">
        <v>33297</v>
      </c>
      <c r="C26453" s="5" t="str">
        <f>IFERROR(__xludf.DUMMYFUNCTION("GOOGLETRANSLATE(B26453,""en"",""fr"")"),"Elle pose pour la caméra quand il a terminé.")</f>
        <v>Elle pose pour la caméra quand il a terminé.</v>
      </c>
    </row>
    <row r="26454">
      <c r="A26454" s="4" t="s">
        <v>33298</v>
      </c>
      <c r="B26454" s="4" t="s">
        <v>33299</v>
      </c>
      <c r="C26454" s="5" t="str">
        <f>IFERROR(__xludf.DUMMYFUNCTION("GOOGLETRANSLATE(B26454,""en"",""fr"")"),"L'homme enseigne à quatre femmes la cuisine.")</f>
        <v>L'homme enseigne à quatre femmes la cuisine.</v>
      </c>
    </row>
    <row r="26455">
      <c r="A26455" s="4" t="s">
        <v>33298</v>
      </c>
      <c r="B26455" s="4" t="s">
        <v>33300</v>
      </c>
      <c r="C26455" s="5" t="str">
        <f>IFERROR(__xludf.DUMMYFUNCTION("GOOGLETRANSLATE(B26455,""en"",""fr"")"),"L'homme ajoute de l'huile, des oignons, de l'ail et des poivrons dans un pot.")</f>
        <v>L'homme ajoute de l'huile, des oignons, de l'ail et des poivrons dans un pot.</v>
      </c>
    </row>
    <row r="26456">
      <c r="A26456" s="4" t="s">
        <v>33298</v>
      </c>
      <c r="B26456" s="4" t="s">
        <v>33301</v>
      </c>
      <c r="C26456" s="5" t="str">
        <f>IFERROR(__xludf.DUMMYFUNCTION("GOOGLETRANSLATE(B26456,""en"",""fr"")"),"L'homme ajoute des palourdes au pot.")</f>
        <v>L'homme ajoute des palourdes au pot.</v>
      </c>
    </row>
    <row r="26457">
      <c r="A26457" s="4" t="s">
        <v>33298</v>
      </c>
      <c r="B26457" s="4" t="s">
        <v>33302</v>
      </c>
      <c r="C26457" s="5" t="str">
        <f>IFERROR(__xludf.DUMMYFUNCTION("GOOGLETRANSLATE(B26457,""en"",""fr"")"),"L'homme ajoute du bouillon au pot.")</f>
        <v>L'homme ajoute du bouillon au pot.</v>
      </c>
    </row>
    <row r="26458">
      <c r="A26458" s="4" t="s">
        <v>33298</v>
      </c>
      <c r="B26458" s="4" t="s">
        <v>33303</v>
      </c>
      <c r="C26458" s="5" t="str">
        <f>IFERROR(__xludf.DUMMYFUNCTION("GOOGLETRANSLATE(B26458,""en"",""fr"")"),"L'homme bouille les pâtes dans un pot séparé.")</f>
        <v>L'homme bouille les pâtes dans un pot séparé.</v>
      </c>
    </row>
    <row r="26459">
      <c r="A26459" s="4" t="s">
        <v>33298</v>
      </c>
      <c r="B26459" s="4" t="s">
        <v>33304</v>
      </c>
      <c r="C26459" s="5" t="str">
        <f>IFERROR(__xludf.DUMMYFUNCTION("GOOGLETRANSLATE(B26459,""en"",""fr"")"),"Les femmes se rassemblent autour d'un pot pour voir les pâtes.")</f>
        <v>Les femmes se rassemblent autour d'un pot pour voir les pâtes.</v>
      </c>
    </row>
    <row r="26460">
      <c r="A26460" s="4" t="s">
        <v>33298</v>
      </c>
      <c r="B26460" s="4" t="s">
        <v>33305</v>
      </c>
      <c r="C26460" s="5" t="str">
        <f>IFERROR(__xludf.DUMMYFUNCTION("GOOGLETRANSLATE(B26460,""en"",""fr"")"),"L'homme finit la sauce et le verse dans un pot.")</f>
        <v>L'homme finit la sauce et le verse dans un pot.</v>
      </c>
    </row>
    <row r="26461">
      <c r="A26461" s="4" t="s">
        <v>33298</v>
      </c>
      <c r="B26461" s="4" t="s">
        <v>33306</v>
      </c>
      <c r="C26461" s="5" t="str">
        <f>IFERROR(__xludf.DUMMYFUNCTION("GOOGLETRANSLATE(B26461,""en"",""fr"")"),"L'homme ajoute les pâtes.")</f>
        <v>L'homme ajoute les pâtes.</v>
      </c>
    </row>
    <row r="26462">
      <c r="A26462" s="4" t="s">
        <v>33298</v>
      </c>
      <c r="B26462" s="4" t="s">
        <v>33307</v>
      </c>
      <c r="C26462" s="5" t="str">
        <f>IFERROR(__xludf.DUMMYFUNCTION("GOOGLETRANSLATE(B26462,""en"",""fr"")"),"L'homme ajoute les pâtes à l'assiette.")</f>
        <v>L'homme ajoute les pâtes à l'assiette.</v>
      </c>
    </row>
    <row r="26463">
      <c r="A26463" s="4" t="s">
        <v>33298</v>
      </c>
      <c r="B26463" s="4" t="s">
        <v>33308</v>
      </c>
      <c r="C26463" s="5" t="str">
        <f>IFERROR(__xludf.DUMMYFUNCTION("GOOGLETRANSLATE(B26463,""en"",""fr"")"),"Les femmes essaient le plat de pâtes.")</f>
        <v>Les femmes essaient le plat de pâtes.</v>
      </c>
    </row>
    <row r="26464">
      <c r="A26464" s="4" t="s">
        <v>33298</v>
      </c>
      <c r="B26464" s="4" t="s">
        <v>33309</v>
      </c>
      <c r="C26464" s="5" t="str">
        <f>IFERROR(__xludf.DUMMYFUNCTION("GOOGLETRANSLATE(B26464,""en"",""fr"")"),"Tout le monde rit et semble heureux.")</f>
        <v>Tout le monde rit et semble heureux.</v>
      </c>
    </row>
    <row r="26465">
      <c r="A26465" s="4" t="s">
        <v>33298</v>
      </c>
      <c r="B26465" s="4" t="s">
        <v>33310</v>
      </c>
      <c r="C26465" s="5" t="str">
        <f>IFERROR(__xludf.DUMMYFUNCTION("GOOGLETRANSLATE(B26465,""en"",""fr"")"),"L'homme commence à crier des billets.")</f>
        <v>L'homme commence à crier des billets.</v>
      </c>
    </row>
    <row r="26466">
      <c r="A26466" s="4" t="s">
        <v>33298</v>
      </c>
      <c r="B26466" s="4" t="s">
        <v>33311</v>
      </c>
      <c r="C26466" s="5" t="str">
        <f>IFERROR(__xludf.DUMMYFUNCTION("GOOGLETRANSLATE(B26466,""en"",""fr"")"),"Les femmes cuisinent le plat que l'homme venait de leur apprendre à faire.")</f>
        <v>Les femmes cuisinent le plat que l'homme venait de leur apprendre à faire.</v>
      </c>
    </row>
    <row r="26467">
      <c r="A26467" s="4" t="s">
        <v>33298</v>
      </c>
      <c r="B26467" s="4" t="s">
        <v>33312</v>
      </c>
      <c r="C26467" s="5" t="str">
        <f>IFERROR(__xludf.DUMMYFUNCTION("GOOGLETRANSLATE(B26467,""en"",""fr"")"),"L'homme les aide et leur donne des pointeurs.")</f>
        <v>L'homme les aide et leur donne des pointeurs.</v>
      </c>
    </row>
    <row r="26468">
      <c r="A26468" s="4" t="s">
        <v>33298</v>
      </c>
      <c r="B26468" s="4" t="s">
        <v>33313</v>
      </c>
      <c r="C26468" s="5" t="str">
        <f>IFERROR(__xludf.DUMMYFUNCTION("GOOGLETRANSLATE(B26468,""en"",""fr"")"),"Les femmes ont l'air anxieuses alors qu'elles essaient de cuisiner.")</f>
        <v>Les femmes ont l'air anxieuses alors qu'elles essaient de cuisiner.</v>
      </c>
    </row>
    <row r="26469">
      <c r="A26469" s="4" t="s">
        <v>33298</v>
      </c>
      <c r="B26469" s="4" t="s">
        <v>33314</v>
      </c>
      <c r="C26469" s="5" t="str">
        <f>IFERROR(__xludf.DUMMYFUNCTION("GOOGLETRANSLATE(B26469,""en"",""fr"")"),"Les serveurs commencent à servir les assiettes.")</f>
        <v>Les serveurs commencent à servir les assiettes.</v>
      </c>
    </row>
    <row r="26470">
      <c r="A26470" s="4" t="s">
        <v>33315</v>
      </c>
      <c r="B26470" s="4" t="s">
        <v>33316</v>
      </c>
      <c r="C26470" s="5" t="str">
        <f>IFERROR(__xludf.DUMMYFUNCTION("GOOGLETRANSLATE(B26470,""en"",""fr"")"),"Un travailleur de la construction se tient dans un bâtiment, tenant une vadrouille et un seau.")</f>
        <v>Un travailleur de la construction se tient dans un bâtiment, tenant une vadrouille et un seau.</v>
      </c>
    </row>
    <row r="26471">
      <c r="A26471" s="4" t="s">
        <v>33315</v>
      </c>
      <c r="B26471" s="4" t="s">
        <v>33317</v>
      </c>
      <c r="C26471" s="5" t="str">
        <f>IFERROR(__xludf.DUMMYFUNCTION("GOOGLETRANSLATE(B26471,""en"",""fr"")"),"Il montre le seau et la solution, puis émousse le sol dans une démonstration.")</f>
        <v>Il montre le seau et la solution, puis émousse le sol dans une démonstration.</v>
      </c>
    </row>
    <row r="26472">
      <c r="A26472" s="4" t="s">
        <v>33315</v>
      </c>
      <c r="B26472" s="4" t="s">
        <v>33318</v>
      </c>
      <c r="C26472" s="5" t="str">
        <f>IFERROR(__xludf.DUMMYFUNCTION("GOOGLETRANSLATE(B26472,""en"",""fr"")"),"Il obtient le sol complètement propre et brillant avant de se tenir de côté.")</f>
        <v>Il obtient le sol complètement propre et brillant avant de se tenir de côté.</v>
      </c>
    </row>
    <row r="26473">
      <c r="A26473" s="4" t="s">
        <v>33319</v>
      </c>
      <c r="B26473" s="4" t="s">
        <v>33320</v>
      </c>
      <c r="C26473" s="5" t="str">
        <f>IFERROR(__xludf.DUMMYFUNCTION("GOOGLETRANSLATE(B26473,""en"",""fr"")"),"La femme se tient dans un salon tenant un fer à fer.")</f>
        <v>La femme se tient dans un salon tenant un fer à fer.</v>
      </c>
    </row>
    <row r="26474">
      <c r="A26474" s="4" t="s">
        <v>33319</v>
      </c>
      <c r="B26474" s="4" t="s">
        <v>33321</v>
      </c>
      <c r="C26474" s="5" t="str">
        <f>IFERROR(__xludf.DUMMYFUNCTION("GOOGLETRANSLATE(B26474,""en"",""fr"")"),"La femme portant une chemise rose repose une chemise bleue.")</f>
        <v>La femme portant une chemise rose repose une chemise bleue.</v>
      </c>
    </row>
    <row r="26475">
      <c r="A26475" s="4" t="s">
        <v>33319</v>
      </c>
      <c r="B26475" s="4" t="s">
        <v>33322</v>
      </c>
      <c r="C26475" s="5" t="str">
        <f>IFERROR(__xludf.DUMMYFUNCTION("GOOGLETRANSLATE(B26475,""en"",""fr"")"),"Le salon calme est avec de vieux meubles.")</f>
        <v>Le salon calme est avec de vieux meubles.</v>
      </c>
    </row>
    <row r="26476">
      <c r="A26476" s="4" t="s">
        <v>33323</v>
      </c>
      <c r="B26476" s="4" t="s">
        <v>33324</v>
      </c>
      <c r="C26476" s="5" t="str">
        <f>IFERROR(__xludf.DUMMYFUNCTION("GOOGLETRANSLATE(B26476,""en"",""fr"")"),"Une femme ratisse les feuilles dans un gros tas.")</f>
        <v>Une femme ratisse les feuilles dans un gros tas.</v>
      </c>
    </row>
    <row r="26477">
      <c r="A26477" s="4" t="s">
        <v>33323</v>
      </c>
      <c r="B26477" s="4" t="s">
        <v>33325</v>
      </c>
      <c r="C26477" s="5" t="str">
        <f>IFERROR(__xludf.DUMMYFUNCTION("GOOGLETRANSLATE(B26477,""en"",""fr"")"),"Un homme dirige une tondeuse à gazon sur les feuilles.")</f>
        <v>Un homme dirige une tondeuse à gazon sur les feuilles.</v>
      </c>
    </row>
    <row r="26478">
      <c r="A26478" s="4" t="s">
        <v>33323</v>
      </c>
      <c r="B26478" s="4" t="s">
        <v>33326</v>
      </c>
      <c r="C26478" s="5" t="str">
        <f>IFERROR(__xludf.DUMMYFUNCTION("GOOGLETRANSLATE(B26478,""en"",""fr"")"),"Il met certaines des feuilles dans un lit de jardin.")</f>
        <v>Il met certaines des feuilles dans un lit de jardin.</v>
      </c>
    </row>
    <row r="26479">
      <c r="A26479" s="4" t="s">
        <v>33327</v>
      </c>
      <c r="B26479" s="4" t="s">
        <v>33328</v>
      </c>
      <c r="C26479" s="5" t="str">
        <f>IFERROR(__xludf.DUMMYFUNCTION("GOOGLETRANSLATE(B26479,""en"",""fr"")"),"Une femme est vue en parlant à la caméra et mène à son repassage d'un pantalon.")</f>
        <v>Une femme est vue en parlant à la caméra et mène à son repassage d'un pantalon.</v>
      </c>
    </row>
    <row r="26480">
      <c r="A26480" s="4" t="s">
        <v>33327</v>
      </c>
      <c r="B26480" s="4" t="s">
        <v>33329</v>
      </c>
      <c r="C26480" s="5" t="str">
        <f>IFERROR(__xludf.DUMMYFUNCTION("GOOGLETRANSLATE(B26480,""en"",""fr"")"),"La femme continue de repasser le pantalon en déplaçant le fer de haut en bas.")</f>
        <v>La femme continue de repasser le pantalon en déplaçant le fer de haut en bas.</v>
      </c>
    </row>
    <row r="26481">
      <c r="A26481" s="4" t="s">
        <v>33330</v>
      </c>
      <c r="B26481" s="4" t="s">
        <v>33331</v>
      </c>
      <c r="C26481" s="5" t="str">
        <f>IFERROR(__xludf.DUMMYFUNCTION("GOOGLETRANSLATE(B26481,""en"",""fr"")"),"Nous voyons beaucoup d'assiette de nourriture fantaisie.")</f>
        <v>Nous voyons beaucoup d'assiette de nourriture fantaisie.</v>
      </c>
    </row>
    <row r="26482">
      <c r="A26482" s="4" t="s">
        <v>33330</v>
      </c>
      <c r="B26482" s="4" t="s">
        <v>33332</v>
      </c>
      <c r="C26482" s="5" t="str">
        <f>IFERROR(__xludf.DUMMYFUNCTION("GOOGLETRANSLATE(B26482,""en"",""fr"")"),"Nous zoomez ensuite sur les plaques.")</f>
        <v>Nous zoomez ensuite sur les plaques.</v>
      </c>
    </row>
    <row r="26483">
      <c r="A26483" s="4" t="s">
        <v>33330</v>
      </c>
      <c r="B26483" s="4" t="s">
        <v>33333</v>
      </c>
      <c r="C26483" s="5" t="str">
        <f>IFERROR(__xludf.DUMMYFUNCTION("GOOGLETRANSLATE(B26483,""en"",""fr"")"),"Nous voyons une ombre sur les assiettes.")</f>
        <v>Nous voyons une ombre sur les assiettes.</v>
      </c>
    </row>
    <row r="26484">
      <c r="A26484" s="4" t="s">
        <v>33330</v>
      </c>
      <c r="B26484" s="4" t="s">
        <v>33334</v>
      </c>
      <c r="C26484" s="5" t="str">
        <f>IFERROR(__xludf.DUMMYFUNCTION("GOOGLETRANSLATE(B26484,""en"",""fr"")"),"Un homme à droite ramasse quelques assiettes.")</f>
        <v>Un homme à droite ramasse quelques assiettes.</v>
      </c>
    </row>
    <row r="26485">
      <c r="A26485" s="4" t="s">
        <v>33335</v>
      </c>
      <c r="B26485" s="4" t="s">
        <v>33336</v>
      </c>
      <c r="C26485" s="5" t="str">
        <f>IFERROR(__xludf.DUMMYFUNCTION("GOOGLETRANSLATE(B26485,""en"",""fr"")"),"Une femme portant un équipement d'entraînement est debout et accrochée à un très long sac de punch.")</f>
        <v>Une femme portant un équipement d'entraînement est debout et accrochée à un très long sac de punch.</v>
      </c>
    </row>
    <row r="26486">
      <c r="A26486" s="4" t="s">
        <v>33335</v>
      </c>
      <c r="B26486" s="4" t="s">
        <v>33337</v>
      </c>
      <c r="C26486" s="5" t="str">
        <f>IFERROR(__xludf.DUMMYFUNCTION("GOOGLETRANSLATE(B26486,""en"",""fr"")"),"Soudain, la femme saute et chevauche le sac.")</f>
        <v>Soudain, la femme saute et chevauche le sac.</v>
      </c>
    </row>
    <row r="26487">
      <c r="A26487" s="4" t="s">
        <v>33335</v>
      </c>
      <c r="B26487" s="6" t="s">
        <v>33338</v>
      </c>
      <c r="C26487" s="5" t="str">
        <f>IFERROR(__xludf.DUMMYFUNCTION("GOOGLETRANSLATE(B26487,""en"",""fr"")"),"Lentement, la femme laisse tomber sa moitié supérieure de son corps tout en chevauchant le sac, et fait 5 siarines pendant que le sac balance avec elle.")</f>
        <v>Lentement, la femme laisse tomber sa moitié supérieure de son corps tout en chevauchant le sac, et fait 5 siarines pendant que le sac balance avec elle.</v>
      </c>
    </row>
    <row r="26488">
      <c r="A26488" s="4" t="s">
        <v>33335</v>
      </c>
      <c r="B26488" s="4" t="s">
        <v>33339</v>
      </c>
      <c r="C26488" s="5" t="str">
        <f>IFERROR(__xludf.DUMMYFUNCTION("GOOGLETRANSLATE(B26488,""en"",""fr"")"),"La femme tient le sac, sourit, puis saute.")</f>
        <v>La femme tient le sac, sourit, puis saute.</v>
      </c>
    </row>
    <row r="26489">
      <c r="A26489" s="4" t="s">
        <v>33340</v>
      </c>
      <c r="B26489" s="4" t="s">
        <v>33341</v>
      </c>
      <c r="C26489" s="5" t="str">
        <f>IFERROR(__xludf.DUMMYFUNCTION("GOOGLETRANSLATE(B26489,""en"",""fr"")"),"Une femme et une jeune fille nagent dans une piscine.")</f>
        <v>Une femme et une jeune fille nagent dans une piscine.</v>
      </c>
    </row>
    <row r="26490">
      <c r="A26490" s="4" t="s">
        <v>33340</v>
      </c>
      <c r="B26490" s="4" t="s">
        <v>33342</v>
      </c>
      <c r="C26490" s="5" t="str">
        <f>IFERROR(__xludf.DUMMYFUNCTION("GOOGLETRANSLATE(B26490,""en"",""fr"")"),"La jeune fille s'accroche à la femme en nage.")</f>
        <v>La jeune fille s'accroche à la femme en nage.</v>
      </c>
    </row>
    <row r="26491">
      <c r="A26491" s="4" t="s">
        <v>33340</v>
      </c>
      <c r="B26491" s="4" t="s">
        <v>33343</v>
      </c>
      <c r="C26491" s="5" t="str">
        <f>IFERROR(__xludf.DUMMYFUNCTION("GOOGLETRANSLATE(B26491,""en"",""fr"")"),"La jeune fille laisse aller nager près de la femme.")</f>
        <v>La jeune fille laisse aller nager près de la femme.</v>
      </c>
    </row>
    <row r="26492">
      <c r="A26492" s="4" t="s">
        <v>33340</v>
      </c>
      <c r="B26492" s="4" t="s">
        <v>33344</v>
      </c>
      <c r="C26492" s="5" t="str">
        <f>IFERROR(__xludf.DUMMYFUNCTION("GOOGLETRANSLATE(B26492,""en"",""fr"")"),"La jeune fille et la femme se tiennent la main et nagent à la surface de la piscine.")</f>
        <v>La jeune fille et la femme se tiennent la main et nagent à la surface de la piscine.</v>
      </c>
    </row>
    <row r="26493">
      <c r="A26493" s="4" t="s">
        <v>33340</v>
      </c>
      <c r="B26493" s="4" t="s">
        <v>33345</v>
      </c>
      <c r="C26493" s="5" t="str">
        <f>IFERROR(__xludf.DUMMYFUNCTION("GOOGLETRANSLATE(B26493,""en"",""fr"")"),"La femme s'accroche à la fille.")</f>
        <v>La femme s'accroche à la fille.</v>
      </c>
    </row>
    <row r="26494">
      <c r="A26494" s="4" t="s">
        <v>33346</v>
      </c>
      <c r="B26494" s="4" t="s">
        <v>33347</v>
      </c>
      <c r="C26494" s="5" t="str">
        <f>IFERROR(__xludf.DUMMYFUNCTION("GOOGLETRANSLATE(B26494,""en"",""fr"")"),"Un grand groupe de personnes coule autour d'une fosse de sable qui donne un coup de pied à un ballon de football.")</f>
        <v>Un grand groupe de personnes coule autour d'une fosse de sable qui donne un coup de pied à un ballon de football.</v>
      </c>
    </row>
    <row r="26495">
      <c r="A26495" s="4" t="s">
        <v>33346</v>
      </c>
      <c r="B26495" s="4" t="s">
        <v>33348</v>
      </c>
      <c r="C26495" s="5" t="str">
        <f>IFERROR(__xludf.DUMMYFUNCTION("GOOGLETRANSLATE(B26495,""en"",""fr"")"),"Les gens continuent de jouer au football les uns avec les autres et attendent un appel à la fin.")</f>
        <v>Les gens continuent de jouer au football les uns avec les autres et attendent un appel à la fin.</v>
      </c>
    </row>
    <row r="26496">
      <c r="A26496" s="4" t="s">
        <v>33349</v>
      </c>
      <c r="B26496" s="4" t="s">
        <v>33350</v>
      </c>
      <c r="C26496" s="5" t="str">
        <f>IFERROR(__xludf.DUMMYFUNCTION("GOOGLETRANSLATE(B26496,""en"",""fr"")"),"Une femme tient un chaton sur ses genoux.")</f>
        <v>Une femme tient un chaton sur ses genoux.</v>
      </c>
    </row>
    <row r="26497">
      <c r="A26497" s="4" t="s">
        <v>33349</v>
      </c>
      <c r="B26497" s="4" t="s">
        <v>33351</v>
      </c>
      <c r="C26497" s="5" t="str">
        <f>IFERROR(__xludf.DUMMYFUNCTION("GOOGLETRANSLATE(B26497,""en"",""fr"")"),"Un gars coupe les ongles sur le chat.")</f>
        <v>Un gars coupe les ongles sur le chat.</v>
      </c>
    </row>
    <row r="26498">
      <c r="A26498" s="4" t="s">
        <v>33352</v>
      </c>
      <c r="B26498" s="4" t="s">
        <v>33353</v>
      </c>
      <c r="C26498" s="5" t="str">
        <f>IFERROR(__xludf.DUMMYFUNCTION("GOOGLETRANSLATE(B26498,""en"",""fr"")"),"Deux femmes bodybuilder sont assises à une table.")</f>
        <v>Deux femmes bodybuilder sont assises à une table.</v>
      </c>
    </row>
    <row r="26499">
      <c r="A26499" s="4" t="s">
        <v>33352</v>
      </c>
      <c r="B26499" s="4" t="s">
        <v>33354</v>
      </c>
      <c r="C26499" s="5" t="str">
        <f>IFERROR(__xludf.DUMMYFUNCTION("GOOGLETRANSLATE(B26499,""en"",""fr"")"),"Ce sont des bras de bras, se disputent pour gagner.")</f>
        <v>Ce sont des bras de bras, se disputent pour gagner.</v>
      </c>
    </row>
    <row r="26500">
      <c r="A26500" s="4" t="s">
        <v>33352</v>
      </c>
      <c r="B26500" s="4" t="s">
        <v>33355</v>
      </c>
      <c r="C26500" s="5" t="str">
        <f>IFERROR(__xludf.DUMMYFUNCTION("GOOGLETRANSLATE(B26500,""en"",""fr"")"),"Lorsqu'il y a un vainqueur, les deux femmes se serrent la main.")</f>
        <v>Lorsqu'il y a un vainqueur, les deux femmes se serrent la main.</v>
      </c>
    </row>
    <row r="26501">
      <c r="A26501" s="4" t="s">
        <v>33356</v>
      </c>
      <c r="B26501" s="4" t="s">
        <v>33357</v>
      </c>
      <c r="C26501" s="5" t="str">
        <f>IFERROR(__xludf.DUMMYFUNCTION("GOOGLETRANSLATE(B26501,""en"",""fr"")"),"L'équipe verte et blanche descend du sol.")</f>
        <v>L'équipe verte et blanche descend du sol.</v>
      </c>
    </row>
    <row r="26502">
      <c r="A26502" s="4" t="s">
        <v>33356</v>
      </c>
      <c r="B26502" s="4" t="s">
        <v>33358</v>
      </c>
      <c r="C26502" s="5" t="str">
        <f>IFERROR(__xludf.DUMMYFUNCTION("GOOGLETRANSLATE(B26502,""en"",""fr"")"),"L'équipe verte et blanche tire la corde dans un concours de remorqueur de guerre.")</f>
        <v>L'équipe verte et blanche tire la corde dans un concours de remorqueur de guerre.</v>
      </c>
    </row>
    <row r="26503">
      <c r="A26503" s="4" t="s">
        <v>33356</v>
      </c>
      <c r="B26503" s="4" t="s">
        <v>33359</v>
      </c>
      <c r="C26503" s="5" t="str">
        <f>IFERROR(__xludf.DUMMYFUNCTION("GOOGLETRANSLATE(B26503,""en"",""fr"")"),"L'équipe rouge et noir tire la corde dans un concours de remorqueur de guerre.")</f>
        <v>L'équipe rouge et noir tire la corde dans un concours de remorqueur de guerre.</v>
      </c>
    </row>
    <row r="26504">
      <c r="A26504" s="4" t="s">
        <v>33356</v>
      </c>
      <c r="B26504" s="4" t="s">
        <v>33360</v>
      </c>
      <c r="C26504" s="5" t="str">
        <f>IFERROR(__xludf.DUMMYFUNCTION("GOOGLETRANSLATE(B26504,""en"",""fr"")"),"L'équipe verte et blanche prend à plusieurs reprises des mesures et le public encourage.")</f>
        <v>L'équipe verte et blanche prend à plusieurs reprises des mesures et le public encourage.</v>
      </c>
    </row>
    <row r="26505">
      <c r="A26505" s="4" t="s">
        <v>33356</v>
      </c>
      <c r="B26505" s="4" t="s">
        <v>33361</v>
      </c>
      <c r="C26505" s="5" t="str">
        <f>IFERROR(__xludf.DUMMYFUNCTION("GOOGLETRANSLATE(B26505,""en"",""fr"")"),"L'équipe verte et blanche se tient debout en tenant la corde.")</f>
        <v>L'équipe verte et blanche se tient debout en tenant la corde.</v>
      </c>
    </row>
    <row r="26506">
      <c r="A26506" s="4" t="s">
        <v>33362</v>
      </c>
      <c r="B26506" s="4" t="s">
        <v>33363</v>
      </c>
      <c r="C26506" s="5" t="str">
        <f>IFERROR(__xludf.DUMMYFUNCTION("GOOGLETRANSLATE(B26506,""en"",""fr"")"),"Un homme en chemise jaune est sur ses genoux superposant du ciment sur le sol.")</f>
        <v>Un homme en chemise jaune est sur ses genoux superposant du ciment sur le sol.</v>
      </c>
    </row>
    <row r="26507">
      <c r="A26507" s="4" t="s">
        <v>33362</v>
      </c>
      <c r="B26507" s="4" t="s">
        <v>33364</v>
      </c>
      <c r="C26507" s="5" t="str">
        <f>IFERROR(__xludf.DUMMYFUNCTION("GOOGLETRANSLATE(B26507,""en"",""fr"")"),"Il s'arrête une seconde et lève les yeux.")</f>
        <v>Il s'arrête une seconde et lève les yeux.</v>
      </c>
    </row>
    <row r="26508">
      <c r="A26508" s="4" t="s">
        <v>33362</v>
      </c>
      <c r="B26508" s="4" t="s">
        <v>33365</v>
      </c>
      <c r="C26508" s="5" t="str">
        <f>IFERROR(__xludf.DUMMYFUNCTION("GOOGLETRANSLATE(B26508,""en"",""fr"")"),"L'homme recommence à superposer le sol avec du ciment.")</f>
        <v>L'homme recommence à superposer le sol avec du ciment.</v>
      </c>
    </row>
    <row r="26509">
      <c r="A26509" s="4" t="s">
        <v>33366</v>
      </c>
      <c r="B26509" s="6" t="s">
        <v>33367</v>
      </c>
      <c r="C26509" s="5" t="str">
        <f>IFERROR(__xludf.DUMMYFUNCTION("GOOGLETRANSLATE(B26509,""en"",""fr"")"),"Un jeune garçon est vu en train de sortir une vadrouille d'un seau suivi par lui poussant la vadrouille sur le sol.")</f>
        <v>Un jeune garçon est vu en train de sortir une vadrouille d'un seau suivi par lui poussant la vadrouille sur le sol.</v>
      </c>
    </row>
    <row r="26510">
      <c r="A26510" s="4" t="s">
        <v>33366</v>
      </c>
      <c r="B26510" s="6" t="s">
        <v>33368</v>
      </c>
      <c r="C26510" s="5" t="str">
        <f>IFERROR(__xludf.DUMMYFUNCTION("GOOGLETRANSLATE(B26510,""en"",""fr"")"),"La caméra se déroule sur une femme au loin et le garçon continuant à pousser la vadrouille le long du sol.")</f>
        <v>La caméra se déroule sur une femme au loin et le garçon continuant à pousser la vadrouille le long du sol.</v>
      </c>
    </row>
    <row r="26511">
      <c r="A26511" s="4" t="s">
        <v>33369</v>
      </c>
      <c r="B26511" s="4" t="s">
        <v>33370</v>
      </c>
      <c r="C26511" s="5" t="str">
        <f>IFERROR(__xludf.DUMMYFUNCTION("GOOGLETRANSLATE(B26511,""en"",""fr"")"),"Une personne répand les branches sur un arbre de Noël.")</f>
        <v>Une personne répand les branches sur un arbre de Noël.</v>
      </c>
    </row>
    <row r="26512">
      <c r="A26512" s="4" t="s">
        <v>33369</v>
      </c>
      <c r="B26512" s="4" t="s">
        <v>33371</v>
      </c>
      <c r="C26512" s="5" t="str">
        <f>IFERROR(__xludf.DUMMYFUNCTION("GOOGLETRANSLATE(B26512,""en"",""fr"")"),"La personne draps des brins de guirlandes brillantes autour de l'arbre.")</f>
        <v>La personne draps des brins de guirlandes brillantes autour de l'arbre.</v>
      </c>
    </row>
    <row r="26513">
      <c r="A26513" s="4" t="s">
        <v>33369</v>
      </c>
      <c r="B26513" s="4" t="s">
        <v>33372</v>
      </c>
      <c r="C26513" s="5" t="str">
        <f>IFERROR(__xludf.DUMMYFUNCTION("GOOGLETRANSLATE(B26513,""en"",""fr"")"),"La personne accroche des ampoules de Noël sur l'arbre.")</f>
        <v>La personne accroche des ampoules de Noël sur l'arbre.</v>
      </c>
    </row>
    <row r="26514">
      <c r="A26514" s="4" t="s">
        <v>33369</v>
      </c>
      <c r="B26514" s="4" t="s">
        <v>33373</v>
      </c>
      <c r="C26514" s="5" t="str">
        <f>IFERROR(__xludf.DUMMYFUNCTION("GOOGLETRANSLATE(B26514,""en"",""fr"")"),"Un enfant vient et regarde la personne décorer l'arbre puis court en jouant.")</f>
        <v>Un enfant vient et regarde la personne décorer l'arbre puis court en jouant.</v>
      </c>
    </row>
    <row r="26515">
      <c r="A26515" s="4" t="s">
        <v>33369</v>
      </c>
      <c r="B26515" s="4" t="s">
        <v>33374</v>
      </c>
      <c r="C26515" s="5" t="str">
        <f>IFERROR(__xludf.DUMMYFUNCTION("GOOGLETRANSLATE(B26515,""en"",""fr"")"),"La personne enroule un morceau de tissu transparent à ranger.")</f>
        <v>La personne enroule un morceau de tissu transparent à ranger.</v>
      </c>
    </row>
    <row r="26516">
      <c r="A26516" s="4" t="s">
        <v>33375</v>
      </c>
      <c r="B26516" s="4" t="s">
        <v>33376</v>
      </c>
      <c r="C26516" s="5" t="str">
        <f>IFERROR(__xludf.DUMMYFUNCTION("GOOGLETRANSLATE(B26516,""en"",""fr"")"),"Diverses scènes de foule dans une arène de taureaux sont présentées.")</f>
        <v>Diverses scènes de foule dans une arène de taureaux sont présentées.</v>
      </c>
    </row>
    <row r="26517">
      <c r="A26517" s="4" t="s">
        <v>33375</v>
      </c>
      <c r="B26517" s="4" t="s">
        <v>33377</v>
      </c>
      <c r="C26517" s="5" t="str">
        <f>IFERROR(__xludf.DUMMYFUNCTION("GOOGLETRANSLATE(B26517,""en"",""fr"")"),"Les matadors sortent dans la zone du ring.")</f>
        <v>Les matadors sortent dans la zone du ring.</v>
      </c>
    </row>
    <row r="26518">
      <c r="A26518" s="4" t="s">
        <v>33375</v>
      </c>
      <c r="B26518" s="4" t="s">
        <v>33378</v>
      </c>
      <c r="C26518" s="5" t="str">
        <f>IFERROR(__xludf.DUMMYFUNCTION("GOOGLETRANSLATE(B26518,""en"",""fr"")"),"Un défilé de chevaux et de cavaliers est montré.")</f>
        <v>Un défilé de chevaux et de cavaliers est montré.</v>
      </c>
    </row>
    <row r="26519">
      <c r="A26519" s="4" t="s">
        <v>33375</v>
      </c>
      <c r="B26519" s="4" t="s">
        <v>33379</v>
      </c>
      <c r="C26519" s="5" t="str">
        <f>IFERROR(__xludf.DUMMYFUNCTION("GOOGLETRANSLATE(B26519,""en"",""fr"")"),"Des scènes de matadors interagissant avec les taureaux sont montrées.")</f>
        <v>Des scènes de matadors interagissant avec les taureaux sont montrées.</v>
      </c>
    </row>
    <row r="26520">
      <c r="A26520" s="4" t="s">
        <v>33375</v>
      </c>
      <c r="B26520" s="4" t="s">
        <v>33380</v>
      </c>
      <c r="C26520" s="5" t="str">
        <f>IFERROR(__xludf.DUMMYFUNCTION("GOOGLETRANSLATE(B26520,""en"",""fr"")"),"La foule applaudit un matador.")</f>
        <v>La foule applaudit un matador.</v>
      </c>
    </row>
    <row r="26521">
      <c r="A26521" s="4" t="s">
        <v>33375</v>
      </c>
      <c r="B26521" s="4" t="s">
        <v>33381</v>
      </c>
      <c r="C26521" s="5" t="str">
        <f>IFERROR(__xludf.DUMMYFUNCTION("GOOGLETRANSLATE(B26521,""en"",""fr"")"),"Les matadors sont hissés sur les épaules des gens et défilés.")</f>
        <v>Les matadors sont hissés sur les épaules des gens et défilés.</v>
      </c>
    </row>
    <row r="26522">
      <c r="A26522" s="4" t="s">
        <v>33382</v>
      </c>
      <c r="B26522" s="4" t="s">
        <v>33383</v>
      </c>
      <c r="C26522" s="5" t="str">
        <f>IFERROR(__xludf.DUMMYFUNCTION("GOOGLETRANSLATE(B26522,""en"",""fr"")"),"La femme s'appuie sur la table de billard en se concentrant sur le ballon.")</f>
        <v>La femme s'appuie sur la table de billard en se concentrant sur le ballon.</v>
      </c>
    </row>
    <row r="26523">
      <c r="A26523" s="4" t="s">
        <v>33382</v>
      </c>
      <c r="B26523" s="4" t="s">
        <v>33384</v>
      </c>
      <c r="C26523" s="5" t="str">
        <f>IFERROR(__xludf.DUMMYFUNCTION("GOOGLETRANSLATE(B26523,""en"",""fr"")"),"La femme a frappé le ballon et a applaudi.")</f>
        <v>La femme a frappé le ballon et a applaudi.</v>
      </c>
    </row>
    <row r="26524">
      <c r="A26524" s="4" t="s">
        <v>33382</v>
      </c>
      <c r="B26524" s="4" t="s">
        <v>33385</v>
      </c>
      <c r="C26524" s="5" t="str">
        <f>IFERROR(__xludf.DUMMYFUNCTION("GOOGLETRANSLATE(B26524,""en"",""fr"")"),"La femme a de nouveau frappé le ballon et a commencé à sauter.")</f>
        <v>La femme a de nouveau frappé le ballon et a commencé à sauter.</v>
      </c>
    </row>
    <row r="26525">
      <c r="A26525" s="4" t="s">
        <v>33386</v>
      </c>
      <c r="B26525" s="4" t="s">
        <v>33387</v>
      </c>
      <c r="C26525" s="5" t="str">
        <f>IFERROR(__xludf.DUMMYFUNCTION("GOOGLETRANSLATE(B26525,""en"",""fr"")"),"Un homme dans un justaucorps souffle dans ses mains se réchauffant pour commencer à courir.")</f>
        <v>Un homme dans un justaucorps souffle dans ses mains se réchauffant pour commencer à courir.</v>
      </c>
    </row>
    <row r="26526">
      <c r="A26526" s="4" t="s">
        <v>33386</v>
      </c>
      <c r="B26526" s="4" t="s">
        <v>33388</v>
      </c>
      <c r="C26526" s="5" t="str">
        <f>IFERROR(__xludf.DUMMYFUNCTION("GOOGLETRANSLATE(B26526,""en"",""fr"")"),"Une fois qu'il commence, il va super rapidement en sautant et dans le sable.")</f>
        <v>Une fois qu'il commence, il va super rapidement en sautant et dans le sable.</v>
      </c>
    </row>
    <row r="26527">
      <c r="A26527" s="4" t="s">
        <v>33386</v>
      </c>
      <c r="B26527" s="4" t="s">
        <v>33389</v>
      </c>
      <c r="C26527" s="5" t="str">
        <f>IFERROR(__xludf.DUMMYFUNCTION("GOOGLETRANSLATE(B26527,""en"",""fr"")"),"Ils montrent une rediffusion de sa course et de sa terre au ralenti.")</f>
        <v>Ils montrent une rediffusion de sa course et de sa terre au ralenti.</v>
      </c>
    </row>
    <row r="26528">
      <c r="A26528" s="4" t="s">
        <v>33386</v>
      </c>
      <c r="B26528" s="4" t="s">
        <v>33390</v>
      </c>
      <c r="C26528" s="5" t="str">
        <f>IFERROR(__xludf.DUMMYFUNCTION("GOOGLETRANSLATE(B26528,""en"",""fr"")"),"Quand il a fini, il se promène dans l'arène tout en étant suivi d'une caméra.")</f>
        <v>Quand il a fini, il se promène dans l'arène tout en étant suivi d'une caméra.</v>
      </c>
    </row>
    <row r="26529">
      <c r="A26529" s="4" t="s">
        <v>33391</v>
      </c>
      <c r="B26529" s="6" t="s">
        <v>33392</v>
      </c>
      <c r="C26529" s="5" t="str">
        <f>IFERROR(__xludf.DUMMYFUNCTION("GOOGLETRANSLATE(B26529,""en"",""fr"")"),"Une petite fille se tient dans une cuisine et commence à serrer un citron dans un bol à eau, une personne se tient à côté.")</f>
        <v>Une petite fille se tient dans une cuisine et commence à serrer un citron dans un bol à eau, une personne se tient à côté.</v>
      </c>
    </row>
    <row r="26530">
      <c r="A26530" s="4" t="s">
        <v>33391</v>
      </c>
      <c r="B26530" s="6" t="s">
        <v>33393</v>
      </c>
      <c r="C26530" s="5" t="str">
        <f>IFERROR(__xludf.DUMMYFUNCTION("GOOGLETRANSLATE(B26530,""en"",""fr"")"),"Lttle Girl lui suce le doigt et sourit pendant qu'une femme marche dans la cuisine et met quelque chose au comptoir.")</f>
        <v>Lttle Girl lui suce le doigt et sourit pendant qu'une femme marche dans la cuisine et met quelque chose au comptoir.</v>
      </c>
    </row>
    <row r="26531">
      <c r="A26531" s="4" t="s">
        <v>33391</v>
      </c>
      <c r="B26531" s="4" t="s">
        <v>33394</v>
      </c>
      <c r="C26531" s="5" t="str">
        <f>IFERROR(__xludf.DUMMYFUNCTION("GOOGLETRANSLATE(B26531,""en"",""fr"")"),"La petite fille se tient dans la cuisine avec sa bouche ouverte et joue avec ses cheveux.")</f>
        <v>La petite fille se tient dans la cuisine avec sa bouche ouverte et joue avec ses cheveux.</v>
      </c>
    </row>
    <row r="26532">
      <c r="A26532" s="4" t="s">
        <v>33391</v>
      </c>
      <c r="B26532" s="6" t="s">
        <v>33395</v>
      </c>
      <c r="C26532" s="5" t="str">
        <f>IFERROR(__xludf.DUMMYFUNCTION("GOOGLETRANSLATE(B26532,""en"",""fr"")"),"La fille commence à promener un assiet au front d'un comptoir avec un bol de fruits et à parler à la caméra, à recommencer dans la cuisine et à continuer de citrons dans le bol d'eau, la femme commence à l'aider.")</f>
        <v>La fille commence à promener un assiet au front d'un comptoir avec un bol de fruits et à parler à la caméra, à recommencer dans la cuisine et à continuer de citrons dans le bol d'eau, la femme commence à l'aider.</v>
      </c>
    </row>
    <row r="26533">
      <c r="A26533" s="4" t="s">
        <v>33391</v>
      </c>
      <c r="B26533" s="6" t="s">
        <v>33396</v>
      </c>
      <c r="C26533" s="5" t="str">
        <f>IFERROR(__xludf.DUMMYFUNCTION("GOOGLETRANSLATE(B26533,""en"",""fr"")"),"La femme nettoie les mains dans l'évier et la fille marche dans la cuisine et continue de serrer les citrons.")</f>
        <v>La femme nettoie les mains dans l'évier et la fille marche dans la cuisine et continue de serrer les citrons.</v>
      </c>
    </row>
    <row r="26534">
      <c r="A26534" s="4" t="s">
        <v>33397</v>
      </c>
      <c r="B26534" s="4" t="s">
        <v>33398</v>
      </c>
      <c r="C26534" s="5" t="str">
        <f>IFERROR(__xludf.DUMMYFUNCTION("GOOGLETRANSLATE(B26534,""en"",""fr"")"),"Un homme est vu pose sur le sol sur le sol à l'aide d'une machine et d'autres aidant.")</f>
        <v>Un homme est vu pose sur le sol sur le sol à l'aide d'une machine et d'autres aidant.</v>
      </c>
    </row>
    <row r="26535">
      <c r="A26535" s="4" t="s">
        <v>33397</v>
      </c>
      <c r="B26535" s="6" t="s">
        <v>33399</v>
      </c>
      <c r="C26535" s="5" t="str">
        <f>IFERROR(__xludf.DUMMYFUNCTION("GOOGLETRANSLATE(B26535,""en"",""fr"")"),"Plusieurs plans sont illustrés aux hommes qui poussent le sol et en utilisant une torche en dessous pour le maintenir en place.")</f>
        <v>Plusieurs plans sont illustrés aux hommes qui poussent le sol et en utilisant une torche en dessous pour le maintenir en place.</v>
      </c>
    </row>
    <row r="26536">
      <c r="A26536" s="4" t="s">
        <v>33397</v>
      </c>
      <c r="B26536" s="6" t="s">
        <v>33400</v>
      </c>
      <c r="C26536" s="5" t="str">
        <f>IFERROR(__xludf.DUMMYFUNCTION("GOOGLETRANSLATE(B26536,""en"",""fr"")"),"L'homme continue de travailler tout en montrant la vapeur sur les tapis chauds et le toit fini avec fait.")</f>
        <v>L'homme continue de travailler tout en montrant la vapeur sur les tapis chauds et le toit fini avec fait.</v>
      </c>
    </row>
    <row r="26537">
      <c r="A26537" s="4" t="s">
        <v>33401</v>
      </c>
      <c r="B26537" s="4" t="s">
        <v>33402</v>
      </c>
      <c r="C26537" s="5" t="str">
        <f>IFERROR(__xludf.DUMMYFUNCTION("GOOGLETRANSLATE(B26537,""en"",""fr"")"),"Une grande vague s'écrase vers le rivage.")</f>
        <v>Une grande vague s'écrase vers le rivage.</v>
      </c>
    </row>
    <row r="26538">
      <c r="A26538" s="4" t="s">
        <v>33401</v>
      </c>
      <c r="B26538" s="4" t="s">
        <v>33403</v>
      </c>
      <c r="C26538" s="5" t="str">
        <f>IFERROR(__xludf.DUMMYFUNCTION("GOOGLETRANSLATE(B26538,""en"",""fr"")"),"Un surfeur est montré en déchirant l'eau.")</f>
        <v>Un surfeur est montré en déchirant l'eau.</v>
      </c>
    </row>
    <row r="26539">
      <c r="A26539" s="4" t="s">
        <v>33401</v>
      </c>
      <c r="B26539" s="4" t="s">
        <v>33404</v>
      </c>
      <c r="C26539" s="5" t="str">
        <f>IFERROR(__xludf.DUMMYFUNCTION("GOOGLETRANSLATE(B26539,""en"",""fr"")"),"Un arc-en-ciel apparaît, puis nous voyons des bateaux sur la plage et plus de surfeurs dans les vagues.")</f>
        <v>Un arc-en-ciel apparaît, puis nous voyons des bateaux sur la plage et plus de surfeurs dans les vagues.</v>
      </c>
    </row>
    <row r="26540">
      <c r="A26540" s="4" t="s">
        <v>33405</v>
      </c>
      <c r="B26540" s="4" t="s">
        <v>33406</v>
      </c>
      <c r="C26540" s="5" t="str">
        <f>IFERROR(__xludf.DUMMYFUNCTION("GOOGLETRANSLATE(B26540,""en"",""fr"")"),"Un journaliste parle d'une collecte de fonds locale tenue par une école maternelle.")</f>
        <v>Un journaliste parle d'une collecte de fonds locale tenue par une école maternelle.</v>
      </c>
    </row>
    <row r="26541">
      <c r="A26541" s="4" t="s">
        <v>33405</v>
      </c>
      <c r="B26541" s="4" t="s">
        <v>33407</v>
      </c>
      <c r="C26541" s="5" t="str">
        <f>IFERROR(__xludf.DUMMYFUNCTION("GOOGLETRANSLATE(B26541,""en"",""fr"")"),"Plusieurs personnes sont rassemblées pour soutenir la cause.")</f>
        <v>Plusieurs personnes sont rassemblées pour soutenir la cause.</v>
      </c>
    </row>
    <row r="26542">
      <c r="A26542" s="4" t="s">
        <v>33405</v>
      </c>
      <c r="B26542" s="6" t="s">
        <v>33408</v>
      </c>
      <c r="C26542" s="5" t="str">
        <f>IFERROR(__xludf.DUMMYFUNCTION("GOOGLETRANSLATE(B26542,""en"",""fr"")"),"Il y a un stand de limonade où les gens achètent de la limonade pour donner de l'argent pour une cause.")</f>
        <v>Il y a un stand de limonade où les gens achètent de la limonade pour donner de l'argent pour une cause.</v>
      </c>
    </row>
    <row r="26543">
      <c r="A26543" s="4" t="s">
        <v>33405</v>
      </c>
      <c r="B26543" s="4" t="s">
        <v>33409</v>
      </c>
      <c r="C26543" s="5" t="str">
        <f>IFERROR(__xludf.DUMMYFUNCTION("GOOGLETRANSLATE(B26543,""en"",""fr"")"),"L'un des parents parle au journaliste de l'information de la collecte de fonds.")</f>
        <v>L'un des parents parle au journaliste de l'information de la collecte de fonds.</v>
      </c>
    </row>
    <row r="26544">
      <c r="A26544" s="4" t="s">
        <v>33405</v>
      </c>
      <c r="B26544" s="4" t="s">
        <v>33410</v>
      </c>
      <c r="C26544" s="5" t="str">
        <f>IFERROR(__xludf.DUMMYFUNCTION("GOOGLETRANSLATE(B26544,""en"",""fr"")"),"Trois autres parents sont debout discutent en sirotant la limonade.")</f>
        <v>Trois autres parents sont debout discutent en sirotant la limonade.</v>
      </c>
    </row>
    <row r="26545">
      <c r="A26545" s="4" t="s">
        <v>33405</v>
      </c>
      <c r="B26545" s="4" t="s">
        <v>33411</v>
      </c>
      <c r="C26545" s="5" t="str">
        <f>IFERROR(__xludf.DUMMYFUNCTION("GOOGLETRANSLATE(B26545,""en"",""fr"")"),"Une photo de la jeune fille, Hannah est montrée pour qui la collecte de fonds a été détenue.")</f>
        <v>Une photo de la jeune fille, Hannah est montrée pour qui la collecte de fonds a été détenue.</v>
      </c>
    </row>
    <row r="26546">
      <c r="A26546" s="4" t="s">
        <v>33412</v>
      </c>
      <c r="B26546" s="4" t="s">
        <v>33413</v>
      </c>
      <c r="C26546" s="5" t="str">
        <f>IFERROR(__xludf.DUMMYFUNCTION("GOOGLETRANSLATE(B26546,""en"",""fr"")"),"Les pom-pom girls avec leurs mains dans la joie.")</f>
        <v>Les pom-pom girls avec leurs mains dans la joie.</v>
      </c>
    </row>
    <row r="26547">
      <c r="A26547" s="4" t="s">
        <v>33412</v>
      </c>
      <c r="B26547" s="4" t="s">
        <v>33414</v>
      </c>
      <c r="C26547" s="5" t="str">
        <f>IFERROR(__xludf.DUMMYFUNCTION("GOOGLETRANSLATE(B26547,""en"",""fr"")"),"Ils vont sur le sol et restent immobiles.")</f>
        <v>Ils vont sur le sol et restent immobiles.</v>
      </c>
    </row>
    <row r="26548">
      <c r="A26548" s="4" t="s">
        <v>33412</v>
      </c>
      <c r="B26548" s="4" t="s">
        <v>33415</v>
      </c>
      <c r="C26548" s="5" t="str">
        <f>IFERROR(__xludf.DUMMYFUNCTION("GOOGLETRANSLATE(B26548,""en"",""fr"")"),"Ils effectuent une routine de pointe.")</f>
        <v>Ils effectuent une routine de pointe.</v>
      </c>
    </row>
    <row r="26549">
      <c r="A26549" s="4" t="s">
        <v>33412</v>
      </c>
      <c r="B26549" s="4" t="s">
        <v>33416</v>
      </c>
      <c r="C26549" s="5" t="str">
        <f>IFERROR(__xludf.DUMMYFUNCTION("GOOGLETRANSLATE(B26549,""en"",""fr"")"),"Quatre filles sont levées et tiennent les jambes.")</f>
        <v>Quatre filles sont levées et tiennent les jambes.</v>
      </c>
    </row>
    <row r="26550">
      <c r="A26550" s="4" t="s">
        <v>33412</v>
      </c>
      <c r="B26550" s="4" t="s">
        <v>33417</v>
      </c>
      <c r="C26550" s="5" t="str">
        <f>IFERROR(__xludf.DUMMYFUNCTION("GOOGLETRANSLATE(B26550,""en"",""fr"")"),"Deux filles sont soulevées dans les airs et deux filles sont retournées, puis deux filles soulèvent les deux filles.")</f>
        <v>Deux filles sont soulevées dans les airs et deux filles sont retournées, puis deux filles soulèvent les deux filles.</v>
      </c>
    </row>
    <row r="26551">
      <c r="A26551" s="4" t="s">
        <v>33412</v>
      </c>
      <c r="B26551" s="4" t="s">
        <v>33418</v>
      </c>
      <c r="C26551" s="5" t="str">
        <f>IFERROR(__xludf.DUMMYFUNCTION("GOOGLETRANSLATE(B26551,""en"",""fr"")"),"Quatre filles sont levées et contiennent deux autres filles et un tiers est ajouté.")</f>
        <v>Quatre filles sont levées et contiennent deux autres filles et un tiers est ajouté.</v>
      </c>
    </row>
    <row r="26552">
      <c r="A26552" s="4" t="s">
        <v>33412</v>
      </c>
      <c r="B26552" s="4" t="s">
        <v>33419</v>
      </c>
      <c r="C26552" s="5" t="str">
        <f>IFERROR(__xludf.DUMMYFUNCTION("GOOGLETRANSLATE(B26552,""en"",""fr"")"),"Deux filles à l'avant ont tenu un panneau rouge.")</f>
        <v>Deux filles à l'avant ont tenu un panneau rouge.</v>
      </c>
    </row>
    <row r="26553">
      <c r="A26553" s="4" t="s">
        <v>33412</v>
      </c>
      <c r="B26553" s="4" t="s">
        <v>33420</v>
      </c>
      <c r="C26553" s="5" t="str">
        <f>IFERROR(__xludf.DUMMYFUNCTION("GOOGLETRANSLATE(B26553,""en"",""fr"")"),"Trois filles sont levées et elles tiennent chacune une autre fille sur leurs épaules.")</f>
        <v>Trois filles sont levées et elles tiennent chacune une autre fille sur leurs épaules.</v>
      </c>
    </row>
    <row r="26554">
      <c r="A26554" s="4" t="s">
        <v>33421</v>
      </c>
      <c r="B26554" s="4" t="s">
        <v>33422</v>
      </c>
      <c r="C26554" s="5" t="str">
        <f>IFERROR(__xludf.DUMMYFUNCTION("GOOGLETRANSLATE(B26554,""en"",""fr"")"),"Plusieurs individus jouent les uns contre les autres dans un match de football de table.")</f>
        <v>Plusieurs individus jouent les uns contre les autres dans un match de football de table.</v>
      </c>
    </row>
    <row r="26555">
      <c r="A26555" s="4" t="s">
        <v>33421</v>
      </c>
      <c r="B26555" s="4" t="s">
        <v>33423</v>
      </c>
      <c r="C26555" s="5" t="str">
        <f>IFERROR(__xludf.DUMMYFUNCTION("GOOGLETRANSLATE(B26555,""en"",""fr"")"),"Deux individus passent en arrière-plan.")</f>
        <v>Deux individus passent en arrière-plan.</v>
      </c>
    </row>
    <row r="26556">
      <c r="A26556" s="4" t="s">
        <v>33421</v>
      </c>
      <c r="B26556" s="4" t="s">
        <v>33424</v>
      </c>
      <c r="C26556" s="5" t="str">
        <f>IFERROR(__xludf.DUMMYFUNCTION("GOOGLETRANSLATE(B26556,""en"",""fr"")"),"Deux autres individus passent en arrière-plan.")</f>
        <v>Deux autres individus passent en arrière-plan.</v>
      </c>
    </row>
    <row r="26557">
      <c r="A26557" s="4" t="s">
        <v>33425</v>
      </c>
      <c r="B26557" s="4" t="s">
        <v>33426</v>
      </c>
      <c r="C26557" s="5" t="str">
        <f>IFERROR(__xludf.DUMMYFUNCTION("GOOGLETRANSLATE(B26557,""en"",""fr"")"),"Deux jeunes enfants sont sa mère debout dans une vaisselle de lavage de cuisine.")</f>
        <v>Deux jeunes enfants sont sa mère debout dans une vaisselle de lavage de cuisine.</v>
      </c>
    </row>
    <row r="26558">
      <c r="A26558" s="4" t="s">
        <v>33425</v>
      </c>
      <c r="B26558" s="4" t="s">
        <v>33427</v>
      </c>
      <c r="C26558" s="5" t="str">
        <f>IFERROR(__xludf.DUMMYFUNCTION("GOOGLETRANSLATE(B26558,""en"",""fr"")"),"La petite fille prend une éponge bleue nettoie son plat, puis descend et commence à se promener.")</f>
        <v>La petite fille prend une éponge bleue nettoie son plat, puis descend et commence à se promener.</v>
      </c>
    </row>
    <row r="26559">
      <c r="A26559" s="4" t="s">
        <v>33425</v>
      </c>
      <c r="B26559" s="6" t="s">
        <v>33428</v>
      </c>
      <c r="C26559" s="5" t="str">
        <f>IFERROR(__xludf.DUMMYFUNCTION("GOOGLETRANSLATE(B26559,""en"",""fr"")"),"La mère et le fils sont toujours à l'évier et elle se tient à côté de lui et l'aide également à nettoyer son plat.")</f>
        <v>La mère et le fils sont toujours à l'évier et elle se tient à côté de lui et l'aide également à nettoyer son plat.</v>
      </c>
    </row>
    <row r="26560">
      <c r="A26560" s="4" t="s">
        <v>33429</v>
      </c>
      <c r="B26560" s="6" t="s">
        <v>33430</v>
      </c>
      <c r="C26560" s="5" t="str">
        <f>IFERROR(__xludf.DUMMYFUNCTION("GOOGLETRANSLATE(B26560,""en"",""fr"")"),"Un groupe de personnes, d'enfants et de familles vivent, voyagent et pêchez à la glace sur un vaste terrain couvert de glace et de neige.")</f>
        <v>Un groupe de personnes, d'enfants et de familles vivent, voyagent et pêchez à la glace sur un vaste terrain couvert de glace et de neige.</v>
      </c>
    </row>
    <row r="26561">
      <c r="A26561" s="4" t="s">
        <v>33429</v>
      </c>
      <c r="B26561" s="6" t="s">
        <v>33431</v>
      </c>
      <c r="C26561" s="5" t="str">
        <f>IFERROR(__xludf.DUMMYFUNCTION("GOOGLETRANSLATE(B26561,""en"",""fr"")"),"Un groupe d'hommes et une femme parlent à une caméra tout en présentant des poissons capturés et vivent la pêche dans des trous de glace sur un terrain couvert de neige et de glace.")</f>
        <v>Un groupe d'hommes et une femme parlent à une caméra tout en présentant des poissons capturés et vivent la pêche dans des trous de glace sur un terrain couvert de neige et de glace.</v>
      </c>
    </row>
    <row r="26562">
      <c r="A26562" s="4" t="s">
        <v>33429</v>
      </c>
      <c r="B26562" s="4" t="s">
        <v>33432</v>
      </c>
      <c r="C26562" s="5" t="str">
        <f>IFERROR(__xludf.DUMMYFUNCTION("GOOGLETRANSLATE(B26562,""en"",""fr"")"),"Plusieurs personnes pêchent dans des trous de glace avec des enfants à proximité tandis que d'autres traversent le terrain de glace.")</f>
        <v>Plusieurs personnes pêchent dans des trous de glace avec des enfants à proximité tandis que d'autres traversent le terrain de glace.</v>
      </c>
    </row>
    <row r="26563">
      <c r="A26563" s="4" t="s">
        <v>33429</v>
      </c>
      <c r="B26563" s="6" t="s">
        <v>33433</v>
      </c>
      <c r="C26563" s="5" t="str">
        <f>IFERROR(__xludf.DUMMYFUNCTION("GOOGLETRANSLATE(B26563,""en"",""fr"")"),"Les poissons sont représentés, des animaux locaux originaires de la région, des toilettes, des voitures sur la glace, des enfants, des personnes tenant des poissons juste capturés et des trous de glace d'où les poissons viennent avec des chiens tirant des"&amp;" traîneaux de neige.")</f>
        <v>Les poissons sont représentés, des animaux locaux originaires de la région, des toilettes, des voitures sur la glace, des enfants, des personnes tenant des poissons juste capturés et des trous de glace d'où les poissons viennent avec des chiens tirant des traîneaux de neige.</v>
      </c>
    </row>
    <row r="26564">
      <c r="A26564" s="4" t="s">
        <v>33434</v>
      </c>
      <c r="B26564" s="4" t="s">
        <v>33435</v>
      </c>
      <c r="C26564" s="5" t="str">
        <f>IFERROR(__xludf.DUMMYFUNCTION("GOOGLETRANSLATE(B26564,""en"",""fr"")"),"Une fille est vue assise à l'extérieur et en tenant une bouteille de crème solaire tout en parlant à la caméra.")</f>
        <v>Une fille est vue assise à l'extérieur et en tenant une bouteille de crème solaire tout en parlant à la caméra.</v>
      </c>
    </row>
    <row r="26565">
      <c r="A26565" s="4" t="s">
        <v>33434</v>
      </c>
      <c r="B26565" s="4" t="s">
        <v>33436</v>
      </c>
      <c r="C26565" s="5" t="str">
        <f>IFERROR(__xludf.DUMMYFUNCTION("GOOGLETRANSLATE(B26565,""en"",""fr"")"),"La fille secoue ensuite la bouteille, la verse dans ses mains et la frotte sur tout son corps.")</f>
        <v>La fille secoue ensuite la bouteille, la verse dans ses mains et la frotte sur tout son corps.</v>
      </c>
    </row>
    <row r="26566">
      <c r="A26566" s="4" t="s">
        <v>33437</v>
      </c>
      <c r="B26566" s="4" t="s">
        <v>33438</v>
      </c>
      <c r="C26566" s="5" t="str">
        <f>IFERROR(__xludf.DUMMYFUNCTION("GOOGLETRANSLATE(B26566,""en"",""fr"")"),"Une grande piste est montrée avec plusieurs personnes qui descendent sur des tubes à la fois.")</f>
        <v>Une grande piste est montrée avec plusieurs personnes qui descendent sur des tubes à la fois.</v>
      </c>
    </row>
    <row r="26567">
      <c r="A26567" s="4" t="s">
        <v>33437</v>
      </c>
      <c r="B26567" s="4" t="s">
        <v>33439</v>
      </c>
      <c r="C26567" s="5" t="str">
        <f>IFERROR(__xludf.DUMMYFUNCTION("GOOGLETRANSLATE(B26567,""en"",""fr"")"),"Un homme enregistre un gros plan d'un tube et le poussant dans une femme debout dans la neige.")</f>
        <v>Un homme enregistre un gros plan d'un tube et le poussant dans une femme debout dans la neige.</v>
      </c>
    </row>
    <row r="26568">
      <c r="A26568" s="4" t="s">
        <v>33437</v>
      </c>
      <c r="B26568" s="4" t="s">
        <v>33440</v>
      </c>
      <c r="C26568" s="5" t="str">
        <f>IFERROR(__xludf.DUMMYFUNCTION("GOOGLETRANSLATE(B26568,""en"",""fr"")"),"Elle commence à parler sur son téléphone et le même clip est à nouveau affiché au ralenti.")</f>
        <v>Elle commence à parler sur son téléphone et le même clip est à nouveau affiché au ralenti.</v>
      </c>
    </row>
    <row r="26569">
      <c r="A26569" s="4" t="s">
        <v>33441</v>
      </c>
      <c r="B26569" s="4" t="s">
        <v>33442</v>
      </c>
      <c r="C26569" s="5" t="str">
        <f>IFERROR(__xludf.DUMMYFUNCTION("GOOGLETRANSLATE(B26569,""en"",""fr"")"),"Une femme parle montrant une chaussure, puis elle la nettoie avec un tissu.")</f>
        <v>Une femme parle montrant une chaussure, puis elle la nettoie avec un tissu.</v>
      </c>
    </row>
    <row r="26570">
      <c r="A26570" s="4" t="s">
        <v>33441</v>
      </c>
      <c r="B26570" s="4" t="s">
        <v>33443</v>
      </c>
      <c r="C26570" s="5" t="str">
        <f>IFERROR(__xludf.DUMMYFUNCTION("GOOGLETRANSLATE(B26570,""en"",""fr"")"),"La femme met de l'huile dans un tissu et polissez la chaussure.")</f>
        <v>La femme met de l'huile dans un tissu et polissez la chaussure.</v>
      </c>
    </row>
    <row r="26571">
      <c r="A26571" s="4" t="s">
        <v>33441</v>
      </c>
      <c r="B26571" s="4" t="s">
        <v>33444</v>
      </c>
      <c r="C26571" s="5" t="str">
        <f>IFERROR(__xludf.DUMMYFUNCTION("GOOGLETRANSLATE(B26571,""en"",""fr"")"),"Ensuite, la femme prend du vernis à la chaussure et s'applique sur la chaussure.")</f>
        <v>Ensuite, la femme prend du vernis à la chaussure et s'applique sur la chaussure.</v>
      </c>
    </row>
    <row r="26572">
      <c r="A26572" s="4" t="s">
        <v>33445</v>
      </c>
      <c r="B26572" s="4" t="s">
        <v>33446</v>
      </c>
      <c r="C26572" s="5" t="str">
        <f>IFERROR(__xludf.DUMMYFUNCTION("GOOGLETRANSLATE(B26572,""en"",""fr"")"),"Une femme est en train de parahir dans l'océan.")</f>
        <v>Une femme est en train de parahir dans l'océan.</v>
      </c>
    </row>
    <row r="26573">
      <c r="A26573" s="4" t="s">
        <v>33445</v>
      </c>
      <c r="B26573" s="4" t="s">
        <v>33447</v>
      </c>
      <c r="C26573" s="5" t="str">
        <f>IFERROR(__xludf.DUMMYFUNCTION("GOOGLETRANSLATE(B26573,""en"",""fr"")"),"Elle passe par des vagues difficiles.")</f>
        <v>Elle passe par des vagues difficiles.</v>
      </c>
    </row>
    <row r="26574">
      <c r="A26574" s="4" t="s">
        <v>33445</v>
      </c>
      <c r="B26574" s="4" t="s">
        <v>33448</v>
      </c>
      <c r="C26574" s="5" t="str">
        <f>IFERROR(__xludf.DUMMYFUNCTION("GOOGLETRANSLATE(B26574,""en"",""fr"")"),"Elle passe sur une grande vague, ce qui la renverse.")</f>
        <v>Elle passe sur une grande vague, ce qui la renverse.</v>
      </c>
    </row>
    <row r="26575">
      <c r="A26575" s="4" t="s">
        <v>33449</v>
      </c>
      <c r="B26575" s="4" t="s">
        <v>33450</v>
      </c>
      <c r="C26575" s="5" t="str">
        <f>IFERROR(__xludf.DUMMYFUNCTION("GOOGLETRANSLATE(B26575,""en"",""fr"")"),"Une jeune femme est vue debout sur un terrain portant un chapeau et tenant une raquette de tennis.")</f>
        <v>Une jeune femme est vue debout sur un terrain portant un chapeau et tenant une raquette de tennis.</v>
      </c>
    </row>
    <row r="26576">
      <c r="A26576" s="4" t="s">
        <v>33449</v>
      </c>
      <c r="B26576" s="4" t="s">
        <v>33451</v>
      </c>
      <c r="C26576" s="5" t="str">
        <f>IFERROR(__xludf.DUMMYFUNCTION("GOOGLETRANSLATE(B26576,""en"",""fr"")"),"La fille lance ensuite le ballon en l'air et le frappe au loin.")</f>
        <v>La fille lance ensuite le ballon en l'air et le frappe au loin.</v>
      </c>
    </row>
    <row r="26577">
      <c r="A26577" s="4" t="s">
        <v>33449</v>
      </c>
      <c r="B26577" s="4" t="s">
        <v>33452</v>
      </c>
      <c r="C26577" s="5" t="str">
        <f>IFERROR(__xludf.DUMMYFUNCTION("GOOGLETRANSLATE(B26577,""en"",""fr"")"),"Elle regarde en arrière et sourit à la caméra.")</f>
        <v>Elle regarde en arrière et sourit à la caméra.</v>
      </c>
    </row>
    <row r="26578">
      <c r="A26578" s="4" t="s">
        <v>33453</v>
      </c>
      <c r="B26578" s="4" t="s">
        <v>33454</v>
      </c>
      <c r="C26578" s="5" t="str">
        <f>IFERROR(__xludf.DUMMYFUNCTION("GOOGLETRANSLATE(B26578,""en"",""fr"")"),"Un gros plan d'une voiture est vu suivi par des personnes entrant dans le cadre et lavant la voiture.")</f>
        <v>Un gros plan d'une voiture est vu suivi par des personnes entrant dans le cadre et lavant la voiture.</v>
      </c>
    </row>
    <row r="26579">
      <c r="A26579" s="4" t="s">
        <v>33453</v>
      </c>
      <c r="B26579" s="4" t="s">
        <v>33455</v>
      </c>
      <c r="C26579" s="5" t="str">
        <f>IFERROR(__xludf.DUMMYFUNCTION("GOOGLETRANSLATE(B26579,""en"",""fr"")"),"Les gens nettoient l'extérieur ainsi que l'intérieur et roulent la voiture à l'extérieur.")</f>
        <v>Les gens nettoient l'extérieur ainsi que l'intérieur et roulent la voiture à l'extérieur.</v>
      </c>
    </row>
    <row r="26580">
      <c r="A26580" s="4" t="s">
        <v>33453</v>
      </c>
      <c r="B26580" s="4" t="s">
        <v>33456</v>
      </c>
      <c r="C26580" s="5" t="str">
        <f>IFERROR(__xludf.DUMMYFUNCTION("GOOGLETRANSLATE(B26580,""en"",""fr"")"),"Ils garent la voiture et continuent de l'essuyer, suivis par le séchage à la fin.")</f>
        <v>Ils garent la voiture et continuent de l'essuyer, suivis par le séchage à la fin.</v>
      </c>
    </row>
    <row r="26581">
      <c r="A26581" s="4" t="s">
        <v>33457</v>
      </c>
      <c r="B26581" s="4" t="s">
        <v>33458</v>
      </c>
      <c r="C26581" s="5" t="str">
        <f>IFERROR(__xludf.DUMMYFUNCTION("GOOGLETRANSLATE(B26581,""en"",""fr"")"),"Les gens sur une rive se lancent sur des bateaux gonflés et des radeaux dans une rivière avec des eaux agitées.")</f>
        <v>Les gens sur une rive se lancent sur des bateaux gonflés et des radeaux dans une rivière avec des eaux agitées.</v>
      </c>
    </row>
    <row r="26582">
      <c r="A26582" s="4" t="s">
        <v>33457</v>
      </c>
      <c r="B26582" s="4" t="s">
        <v>33459</v>
      </c>
      <c r="C26582" s="5" t="str">
        <f>IFERROR(__xludf.DUMMYFUNCTION("GOOGLETRANSLATE(B26582,""en"",""fr"")"),"Deux hommes sont sur un canoë rouge.")</f>
        <v>Deux hommes sont sur un canoë rouge.</v>
      </c>
    </row>
    <row r="26583">
      <c r="A26583" s="4" t="s">
        <v>33457</v>
      </c>
      <c r="B26583" s="4" t="s">
        <v>33460</v>
      </c>
      <c r="C26583" s="5" t="str">
        <f>IFERROR(__xludf.DUMMYFUNCTION("GOOGLETRANSLATE(B26583,""en"",""fr"")"),"Un groupe de chevrons descend la rivière, également des gens du radeau de canoës.")</f>
        <v>Un groupe de chevrons descend la rivière, également des gens du radeau de canoës.</v>
      </c>
    </row>
    <row r="26584">
      <c r="A26584" s="4" t="s">
        <v>33457</v>
      </c>
      <c r="B26584" s="4" t="s">
        <v>33461</v>
      </c>
      <c r="C26584" s="5" t="str">
        <f>IFERROR(__xludf.DUMMYFUNCTION("GOOGLETRANSLATE(B26584,""en"",""fr"")"),"Les chevrons arrivent pour calmer les eaux, puis une équipe célèbre une victoire.")</f>
        <v>Les chevrons arrivent pour calmer les eaux, puis une équipe célèbre une victoire.</v>
      </c>
    </row>
    <row r="26585">
      <c r="A26585" s="4" t="s">
        <v>33462</v>
      </c>
      <c r="B26585" s="4" t="s">
        <v>33463</v>
      </c>
      <c r="C26585" s="5" t="str">
        <f>IFERROR(__xludf.DUMMYFUNCTION("GOOGLETRANSLATE(B26585,""en"",""fr"")"),"Une caméra se met à un homme assis et fumer une cigarette.")</f>
        <v>Une caméra se met à un homme assis et fumer une cigarette.</v>
      </c>
    </row>
    <row r="26586">
      <c r="A26586" s="4" t="s">
        <v>33462</v>
      </c>
      <c r="B26586" s="4" t="s">
        <v>33464</v>
      </c>
      <c r="C26586" s="5" t="str">
        <f>IFERROR(__xludf.DUMMYFUNCTION("GOOGLETRANSLATE(B26586,""en"",""fr"")"),"Un autre homme marche avec un chariot et commence à creuser à travers les ordures.")</f>
        <v>Un autre homme marche avec un chariot et commence à creuser à travers les ordures.</v>
      </c>
    </row>
    <row r="26587">
      <c r="A26587" s="4" t="s">
        <v>33462</v>
      </c>
      <c r="B26587" s="6" t="s">
        <v>33465</v>
      </c>
      <c r="C26587" s="5" t="str">
        <f>IFERROR(__xludf.DUMMYFUNCTION("GOOGLETRANSLATE(B26587,""en"",""fr"")"),"L'homme qui fume des cigarettes commence à parler au sans-abri de la façon dont la vie est nul et de la façon dont il peut se rapporter au sans-abri.")</f>
        <v>L'homme qui fume des cigarettes commence à parler au sans-abri de la façon dont la vie est nul et de la façon dont il peut se rapporter au sans-abri.</v>
      </c>
    </row>
    <row r="26588">
      <c r="A26588" s="4" t="s">
        <v>33466</v>
      </c>
      <c r="B26588" s="4" t="s">
        <v>33467</v>
      </c>
      <c r="C26588" s="5" t="str">
        <f>IFERROR(__xludf.DUMMYFUNCTION("GOOGLETRANSLATE(B26588,""en"",""fr"")"),"Nous voyons des images en plein air puis un homme dans une cuisine.")</f>
        <v>Nous voyons des images en plein air puis un homme dans une cuisine.</v>
      </c>
    </row>
    <row r="26589">
      <c r="A26589" s="4" t="s">
        <v>33466</v>
      </c>
      <c r="B26589" s="4" t="s">
        <v>33468</v>
      </c>
      <c r="C26589" s="5" t="str">
        <f>IFERROR(__xludf.DUMMYFUNCTION("GOOGLETRANSLATE(B26589,""en"",""fr"")"),"Nous voyons des ingrédients sur une table.")</f>
        <v>Nous voyons des ingrédients sur une table.</v>
      </c>
    </row>
    <row r="26590">
      <c r="A26590" s="4" t="s">
        <v>33466</v>
      </c>
      <c r="B26590" s="4" t="s">
        <v>33469</v>
      </c>
      <c r="C26590" s="5" t="str">
        <f>IFERROR(__xludf.DUMMYFUNCTION("GOOGLETRANSLATE(B26590,""en"",""fr"")"),"L'homme mélange les ingrédients dans un bol de mélangeur.")</f>
        <v>L'homme mélange les ingrédients dans un bol de mélangeur.</v>
      </c>
    </row>
    <row r="26591">
      <c r="A26591" s="4" t="s">
        <v>33466</v>
      </c>
      <c r="B26591" s="4" t="s">
        <v>33470</v>
      </c>
      <c r="C26591" s="5" t="str">
        <f>IFERROR(__xludf.DUMMYFUNCTION("GOOGLETRANSLATE(B26591,""en"",""fr"")"),"L'homme suscite le mélange puis remonte le mélangeur.")</f>
        <v>L'homme suscite le mélange puis remonte le mélangeur.</v>
      </c>
    </row>
    <row r="26592">
      <c r="A26592" s="4" t="s">
        <v>33466</v>
      </c>
      <c r="B26592" s="4" t="s">
        <v>33471</v>
      </c>
      <c r="C26592" s="5" t="str">
        <f>IFERROR(__xludf.DUMMYFUNCTION("GOOGLETRANSLATE(B26592,""en"",""fr"")"),"L'homme mélange le mélange et le verse dans des moules à gâteau.")</f>
        <v>L'homme mélange le mélange et le verse dans des moules à gâteau.</v>
      </c>
    </row>
    <row r="26593">
      <c r="A26593" s="4" t="s">
        <v>33466</v>
      </c>
      <c r="B26593" s="4" t="s">
        <v>33472</v>
      </c>
      <c r="C26593" s="5" t="str">
        <f>IFERROR(__xludf.DUMMYFUNCTION("GOOGLETRANSLATE(B26593,""en"",""fr"")"),"L'homme puise les casseroles puis met le gâteau au four.")</f>
        <v>L'homme puise les casseroles puis met le gâteau au four.</v>
      </c>
    </row>
    <row r="26594">
      <c r="A26594" s="4" t="s">
        <v>33466</v>
      </c>
      <c r="B26594" s="4" t="s">
        <v>33473</v>
      </c>
      <c r="C26594" s="5" t="str">
        <f>IFERROR(__xludf.DUMMYFUNCTION("GOOGLETRANSLATE(B26594,""en"",""fr"")"),"Nous voyons des ustensiles de cuisine, des cupcakes et l'homme à cuisiner.")</f>
        <v>Nous voyons des ustensiles de cuisine, des cupcakes et l'homme à cuisiner.</v>
      </c>
    </row>
    <row r="26595">
      <c r="A26595" s="4" t="s">
        <v>33466</v>
      </c>
      <c r="B26595" s="4" t="s">
        <v>33474</v>
      </c>
      <c r="C26595" s="5" t="str">
        <f>IFERROR(__xludf.DUMMYFUNCTION("GOOGLETRANSLATE(B26595,""en"",""fr"")"),"Voir ensuite l'écran d'extrémité lumineuse.")</f>
        <v>Voir ensuite l'écran d'extrémité lumineuse.</v>
      </c>
    </row>
    <row r="26596">
      <c r="A26596" s="4" t="s">
        <v>33475</v>
      </c>
      <c r="B26596" s="6" t="s">
        <v>33476</v>
      </c>
      <c r="C26596" s="5" t="str">
        <f>IFERROR(__xludf.DUMMYFUNCTION("GOOGLETRANSLATE(B26596,""en"",""fr"")"),"Un écran d'intro noire apparaît et il contient des mots blancs qui disent ""des éléments de gymnastique nommés bars parallèles"", puis ""Musique: Nightwish Where Was You Hier Night"", et le dernier écran comprend des mots étrangers un e-mail et un site We"&amp;"b.")</f>
        <v>Un écran d'intro noire apparaît et il contient des mots blancs qui disent "des éléments de gymnastique nommés bars parallèles", puis "Musique: Nightwish Where Was You Hier Night", et le dernier écran comprend des mots étrangers un e-mail et un site Web.</v>
      </c>
    </row>
    <row r="26597">
      <c r="A26597" s="4" t="s">
        <v>33475</v>
      </c>
      <c r="B26597" s="6" t="s">
        <v>33477</v>
      </c>
      <c r="C26597" s="5" t="str">
        <f>IFERROR(__xludf.DUMMYFUNCTION("GOOGLETRANSLATE(B26597,""en"",""fr"")"),"Divers clips courts de différents hommes sur différents bars parallèles dans les gymnases font des mains, se balancent sur eux et font diverses autres astuces alors que les spectateurs regardent.")</f>
        <v>Divers clips courts de différents hommes sur différents bars parallèles dans les gymnases font des mains, se balancent sur eux et font diverses autres astuces alors que les spectateurs regardent.</v>
      </c>
    </row>
    <row r="26598">
      <c r="A26598" s="4" t="s">
        <v>33475</v>
      </c>
      <c r="B26598" s="6" t="s">
        <v>33478</v>
      </c>
      <c r="C26598" s="5" t="str">
        <f>IFERROR(__xludf.DUMMYFUNCTION("GOOGLETRANSLATE(B26598,""en"",""fr"")"),"Le dernier homme sur les bars parallèles semble s'entraîner dans un gymnase sans grand groupe de spectateurs.")</f>
        <v>Le dernier homme sur les bars parallèles semble s'entraîner dans un gymnase sans grand groupe de spectateurs.</v>
      </c>
    </row>
    <row r="26599">
      <c r="A26599" s="4" t="s">
        <v>33479</v>
      </c>
      <c r="B26599" s="4" t="s">
        <v>33480</v>
      </c>
      <c r="C26599" s="5" t="str">
        <f>IFERROR(__xludf.DUMMYFUNCTION("GOOGLETRANSLATE(B26599,""en"",""fr"")"),"Un groupe de personnes effectue un simple pas d'aérobic par une journée ensoleillée.")</f>
        <v>Un groupe de personnes effectue un simple pas d'aérobic par une journée ensoleillée.</v>
      </c>
    </row>
    <row r="26600">
      <c r="A26600" s="4" t="s">
        <v>33479</v>
      </c>
      <c r="B26600" s="6" t="s">
        <v>33481</v>
      </c>
      <c r="C26600" s="5" t="str">
        <f>IFERROR(__xludf.DUMMYFUNCTION("GOOGLETRANSLATE(B26600,""en"",""fr"")"),"L'instructeur d'aérobic fait passer la classe à un nouveau mouvement d'aérobic dans lequel le groupe danse leurs bras devant eux et incorpore des applaudissements pendant qu'ils prennent des mesures.")</f>
        <v>L'instructeur d'aérobic fait passer la classe à un nouveau mouvement d'aérobic dans lequel le groupe danse leurs bras devant eux et incorpore des applaudissements pendant qu'ils prennent des mesures.</v>
      </c>
    </row>
    <row r="26601">
      <c r="A26601" s="4" t="s">
        <v>33479</v>
      </c>
      <c r="B26601" s="4" t="s">
        <v>33482</v>
      </c>
      <c r="C26601" s="5" t="str">
        <f>IFERROR(__xludf.DUMMYFUNCTION("GOOGLETRANSLATE(B26601,""en"",""fr"")"),"Leur prochain mouvement consiste à placer leurs mains vers le ciel alors qu'ils font un pas.")</f>
        <v>Leur prochain mouvement consiste à placer leurs mains vers le ciel alors qu'ils font un pas.</v>
      </c>
    </row>
    <row r="26602">
      <c r="A26602" s="4" t="s">
        <v>33483</v>
      </c>
      <c r="B26602" s="4" t="s">
        <v>33484</v>
      </c>
      <c r="C26602" s="5" t="str">
        <f>IFERROR(__xludf.DUMMYFUNCTION("GOOGLETRANSLATE(B26602,""en"",""fr"")"),"L'homme se tient devant un écran parlant à la caméra.")</f>
        <v>L'homme se tient devant un écran parlant à la caméra.</v>
      </c>
    </row>
    <row r="26603">
      <c r="A26603" s="4" t="s">
        <v>33483</v>
      </c>
      <c r="B26603" s="4" t="s">
        <v>33485</v>
      </c>
      <c r="C26603" s="5" t="str">
        <f>IFERROR(__xludf.DUMMYFUNCTION("GOOGLETRANSLATE(B26603,""en"",""fr"")"),"Une femme joue avec un chat et c'est dans une table avec un coup de ongles coupant les ongles du chat.")</f>
        <v>Une femme joue avec un chat et c'est dans une table avec un coup de ongles coupant les ongles du chat.</v>
      </c>
    </row>
    <row r="26604">
      <c r="A26604" s="4" t="s">
        <v>33486</v>
      </c>
      <c r="B26604" s="4" t="s">
        <v>33487</v>
      </c>
      <c r="C26604" s="5" t="str">
        <f>IFERROR(__xludf.DUMMYFUNCTION("GOOGLETRANSLATE(B26604,""en"",""fr"")"),"Une femme est vue chevauchant un taureau lorsque le taureau la fait tomber et que d'autres courent pour aider.")</f>
        <v>Une femme est vue chevauchant un taureau lorsque le taureau la fait tomber et que d'autres courent pour aider.</v>
      </c>
    </row>
    <row r="26605">
      <c r="A26605" s="4" t="s">
        <v>33486</v>
      </c>
      <c r="B26605" s="6" t="s">
        <v>33488</v>
      </c>
      <c r="C26605" s="5" t="str">
        <f>IFERROR(__xludf.DUMMYFUNCTION("GOOGLETRANSLATE(B26605,""en"",""fr"")"),"Plusieurs autres personnes sont montrées en essayant de narguer le taureau et de terminer en se blessant et d'autres aidant.")</f>
        <v>Plusieurs autres personnes sont montrées en essayant de narguer le taureau et de terminer en se blessant et d'autres aidant.</v>
      </c>
    </row>
    <row r="26606">
      <c r="A26606" s="4" t="s">
        <v>33489</v>
      </c>
      <c r="B26606" s="6" t="s">
        <v>33490</v>
      </c>
      <c r="C26606" s="5" t="str">
        <f>IFERROR(__xludf.DUMMYFUNCTION("GOOGLETRANSLATE(B26606,""en"",""fr"")"),"Un gros plan d'un instrument est montré suivi par une femme assise dans le cadre et parlant à la caméra.")</f>
        <v>Un gros plan d'un instrument est montré suivi par une femme assise dans le cadre et parlant à la caméra.</v>
      </c>
    </row>
    <row r="26607">
      <c r="A26607" s="4" t="s">
        <v>33489</v>
      </c>
      <c r="B26607" s="4" t="s">
        <v>33491</v>
      </c>
      <c r="C26607" s="5" t="str">
        <f>IFERROR(__xludf.DUMMYFUNCTION("GOOGLETRANSLATE(B26607,""en"",""fr"")"),"Elle ramasse ensuite la flûte et commence à jouer et s'arrête pour parler entre les deux.")</f>
        <v>Elle ramasse ensuite la flûte et commence à jouer et s'arrête pour parler entre les deux.</v>
      </c>
    </row>
    <row r="26608">
      <c r="A26608" s="4" t="s">
        <v>33489</v>
      </c>
      <c r="B26608" s="4" t="s">
        <v>33492</v>
      </c>
      <c r="C26608" s="5" t="str">
        <f>IFERROR(__xludf.DUMMYFUNCTION("GOOGLETRANSLATE(B26608,""en"",""fr"")"),"Elle joue à nouveau l'instrument et s'arrête pour le mettre et parler à la caméra.")</f>
        <v>Elle joue à nouveau l'instrument et s'arrête pour le mettre et parler à la caméra.</v>
      </c>
    </row>
    <row r="26609">
      <c r="A26609" s="4" t="s">
        <v>33493</v>
      </c>
      <c r="B26609" s="6" t="s">
        <v>33494</v>
      </c>
      <c r="C26609" s="5" t="str">
        <f>IFERROR(__xludf.DUMMYFUNCTION("GOOGLETRANSLATE(B26609,""en"",""fr"")"),"Un écran noir apparaît et les mots blancs rapidement survolent et ils disent ""ici, il est prêt pour plein écran"".")</f>
        <v>Un écran noir apparaît et les mots blancs rapidement survolent et ils disent "ici, il est prêt pour plein écran".</v>
      </c>
    </row>
    <row r="26610">
      <c r="A26610" s="4" t="s">
        <v>33493</v>
      </c>
      <c r="B26610" s="6" t="s">
        <v>33495</v>
      </c>
      <c r="C26610" s="5" t="str">
        <f>IFERROR(__xludf.DUMMYFUNCTION("GOOGLETRANSLATE(B26610,""en"",""fr"")"),"Une image d'une montagne enneigée apparaît et des mots blancs à l'écran disent ""Hartel Productions"".")</f>
        <v>Une image d'une montagne enneigée apparaît et des mots blancs à l'écran disent "Hartel Productions".</v>
      </c>
    </row>
    <row r="26611">
      <c r="A26611" s="4" t="s">
        <v>33493</v>
      </c>
      <c r="B26611" s="6" t="s">
        <v>33496</v>
      </c>
      <c r="C26611" s="5" t="str">
        <f>IFERROR(__xludf.DUMMYFUNCTION("GOOGLETRANSLATE(B26611,""en"",""fr"")"),"Une planche en bois apparaît dans une zone extérieure et «Clam Beach County Park Welcome North Day Use parking», puis en jaune, un texte semble que dire «la marche du chien».")</f>
        <v>Une planche en bois apparaît dans une zone extérieure et «Clam Beach County Park Welcome North Day Use parking», puis en jaune, un texte semble que dire «la marche du chien».</v>
      </c>
    </row>
    <row r="26612">
      <c r="A26612" s="4" t="s">
        <v>33493</v>
      </c>
      <c r="B26612" s="6" t="s">
        <v>33497</v>
      </c>
      <c r="C26612" s="5" t="str">
        <f>IFERROR(__xludf.DUMMYFUNCTION("GOOGLETRANSLATE(B26612,""en"",""fr"")"),"Diverses photos de personnes marchant avec des chiens ou marchant seules le long d'une route apparaissent avec diverses plans de la région et des titres de ce qu'ils sont.")</f>
        <v>Diverses photos de personnes marchant avec des chiens ou marchant seules le long d'une route apparaissent avec diverses plans de la région et des titres de ce qu'ils sont.</v>
      </c>
    </row>
    <row r="26613">
      <c r="A26613" s="4" t="s">
        <v>33493</v>
      </c>
      <c r="B26613" s="6" t="s">
        <v>33498</v>
      </c>
      <c r="C26613" s="5" t="str">
        <f>IFERROR(__xludf.DUMMYFUNCTION("GOOGLETRANSLATE(B26613,""en"",""fr"")"),"À la fin, il y a encore des photos de chiens qui se sont chargés dans une voiture, les chiens de la voiture, un homme chargé la voiture avec son marcheur, un panneau de clôture, puis des mots jaunes qui disent ""la fin"" et il s'estompe en noir.")</f>
        <v>À la fin, il y a encore des photos de chiens qui se sont chargés dans une voiture, les chiens de la voiture, un homme chargé la voiture avec son marcheur, un panneau de clôture, puis des mots jaunes qui disent "la fin" et il s'estompe en noir.</v>
      </c>
    </row>
    <row r="26614">
      <c r="A26614" s="4" t="s">
        <v>33499</v>
      </c>
      <c r="B26614" s="4" t="s">
        <v>33500</v>
      </c>
      <c r="C26614" s="5" t="str">
        <f>IFERROR(__xludf.DUMMYFUNCTION("GOOGLETRANSLATE(B26614,""en"",""fr"")"),"Une dame s'agenouille devant les buissons et les pourparlers.")</f>
        <v>Une dame s'agenouille devant les buissons et les pourparlers.</v>
      </c>
    </row>
    <row r="26615">
      <c r="A26615" s="4" t="s">
        <v>33499</v>
      </c>
      <c r="B26615" s="4" t="s">
        <v>33501</v>
      </c>
      <c r="C26615" s="5" t="str">
        <f>IFERROR(__xludf.DUMMYFUNCTION("GOOGLETRANSLATE(B26615,""en"",""fr"")"),"La dame utilise des cisaillements de jardinage pour couper la brousse.")</f>
        <v>La dame utilise des cisaillements de jardinage pour couper la brousse.</v>
      </c>
    </row>
    <row r="26616">
      <c r="A26616" s="4" t="s">
        <v>33499</v>
      </c>
      <c r="B26616" s="4" t="s">
        <v>33502</v>
      </c>
      <c r="C26616" s="5" t="str">
        <f>IFERROR(__xludf.DUMMYFUNCTION("GOOGLETRANSLATE(B26616,""en"",""fr"")"),"La dame se tient et coupe les buissons.")</f>
        <v>La dame se tient et coupe les buissons.</v>
      </c>
    </row>
    <row r="26617">
      <c r="A26617" s="4" t="s">
        <v>33499</v>
      </c>
      <c r="B26617" s="4" t="s">
        <v>33503</v>
      </c>
      <c r="C26617" s="5" t="str">
        <f>IFERROR(__xludf.DUMMYFUNCTION("GOOGLETRANSLATE(B26617,""en"",""fr"")"),"La Lady s'agenouille à nouveau et continue de parler à la caméra.")</f>
        <v>La Lady s'agenouille à nouveau et continue de parler à la caméra.</v>
      </c>
    </row>
    <row r="26618">
      <c r="A26618" s="4" t="s">
        <v>33504</v>
      </c>
      <c r="B26618" s="6" t="s">
        <v>33505</v>
      </c>
      <c r="C26618" s="5" t="str">
        <f>IFERROR(__xludf.DUMMYFUNCTION("GOOGLETRANSLATE(B26618,""en"",""fr"")"),"Une petite fille se tient dans sa salle de bain et démontrant comment elle se rince la bouche avec le lavage de la bouche.")</f>
        <v>Une petite fille se tient dans sa salle de bain et démontrant comment elle se rince la bouche avec le lavage de la bouche.</v>
      </c>
    </row>
    <row r="26619">
      <c r="A26619" s="4" t="s">
        <v>33504</v>
      </c>
      <c r="B26619" s="6" t="s">
        <v>33506</v>
      </c>
      <c r="C26619" s="5" t="str">
        <f>IFERROR(__xludf.DUMMYFUNCTION("GOOGLETRANSLATE(B26619,""en"",""fr"")"),"Elle prend une gorgée de bouche de Listerine provenait de sa tasse et la tient dans sa bouche pendant plusieurs secondes tandis que son frère aîné la basse.")</f>
        <v>Elle prend une gorgée de bouche de Listerine provenait de sa tasse et la tient dans sa bouche pendant plusieurs secondes tandis que son frère aîné la basse.</v>
      </c>
    </row>
    <row r="26620">
      <c r="A26620" s="4" t="s">
        <v>33504</v>
      </c>
      <c r="B26620" s="4" t="s">
        <v>33507</v>
      </c>
      <c r="C26620" s="5" t="str">
        <f>IFERROR(__xludf.DUMMYFUNCTION("GOOGLETRANSLATE(B26620,""en"",""fr"")"),"Une autre petite fille marche derrière elle et la regarde rincer.")</f>
        <v>Une autre petite fille marche derrière elle et la regarde rincer.</v>
      </c>
    </row>
    <row r="26621">
      <c r="A26621" s="4" t="s">
        <v>33504</v>
      </c>
      <c r="B26621" s="4" t="s">
        <v>33508</v>
      </c>
      <c r="C26621" s="5" t="str">
        <f>IFERROR(__xludf.DUMMYFUNCTION("GOOGLETRANSLATE(B26621,""en"",""fr"")"),"Elle tient la bouche dans sa bouche pendant longtemps, puis le crache dans l'évier.")</f>
        <v>Elle tient la bouche dans sa bouche pendant longtemps, puis le crache dans l'évier.</v>
      </c>
    </row>
    <row r="26622">
      <c r="A26622" s="4" t="s">
        <v>33509</v>
      </c>
      <c r="B26622" s="4" t="s">
        <v>33510</v>
      </c>
      <c r="C26622" s="5" t="str">
        <f>IFERROR(__xludf.DUMMYFUNCTION("GOOGLETRANSLATE(B26622,""en"",""fr"")"),"Un homme est vu parler avec une caméra très près de son visage.")</f>
        <v>Un homme est vu parler avec une caméra très près de son visage.</v>
      </c>
    </row>
    <row r="26623">
      <c r="A26623" s="4" t="s">
        <v>33509</v>
      </c>
      <c r="B26623" s="4" t="s">
        <v>33511</v>
      </c>
      <c r="C26623" s="5" t="str">
        <f>IFERROR(__xludf.DUMMYFUNCTION("GOOGLETRANSLATE(B26623,""en"",""fr"")"),"Un autre homme avec un casque est debout à proximité.")</f>
        <v>Un autre homme avec un casque est debout à proximité.</v>
      </c>
    </row>
    <row r="26624">
      <c r="A26624" s="4" t="s">
        <v>33509</v>
      </c>
      <c r="B26624" s="4" t="s">
        <v>33512</v>
      </c>
      <c r="C26624" s="5" t="str">
        <f>IFERROR(__xludf.DUMMYFUNCTION("GOOGLETRANSLATE(B26624,""en"",""fr"")"),"Un troisième homme est vu dans une voiture à côté de l'homme qui parle.")</f>
        <v>Un troisième homme est vu dans une voiture à côté de l'homme qui parle.</v>
      </c>
    </row>
    <row r="26625">
      <c r="A26625" s="4" t="s">
        <v>33509</v>
      </c>
      <c r="B26625" s="4" t="s">
        <v>33513</v>
      </c>
      <c r="C26625" s="5" t="str">
        <f>IFERROR(__xludf.DUMMYFUNCTION("GOOGLETRANSLATE(B26625,""en"",""fr"")"),"L'homme portant le casque commence dans la rue sur une planche à roulettes.")</f>
        <v>L'homme portant le casque commence dans la rue sur une planche à roulettes.</v>
      </c>
    </row>
    <row r="26626">
      <c r="A26626" s="4" t="s">
        <v>33509</v>
      </c>
      <c r="B26626" s="4" t="s">
        <v>33514</v>
      </c>
      <c r="C26626" s="5" t="str">
        <f>IFERROR(__xludf.DUMMYFUNCTION("GOOGLETRANSLATE(B26626,""en"",""fr"")"),"L'homme descend quelques collines très raides sur son skateboard.")</f>
        <v>L'homme descend quelques collines très raides sur son skateboard.</v>
      </c>
    </row>
    <row r="26627">
      <c r="A26627" s="4" t="s">
        <v>33509</v>
      </c>
      <c r="B26627" s="4" t="s">
        <v>33515</v>
      </c>
      <c r="C26627" s="5" t="str">
        <f>IFERROR(__xludf.DUMMYFUNCTION("GOOGLETRANSLATE(B26627,""en"",""fr"")"),"L'homme passe devant un panneau d'arrêt.")</f>
        <v>L'homme passe devant un panneau d'arrêt.</v>
      </c>
    </row>
    <row r="26628">
      <c r="A26628" s="4" t="s">
        <v>33509</v>
      </c>
      <c r="B26628" s="4" t="s">
        <v>33516</v>
      </c>
      <c r="C26628" s="5" t="str">
        <f>IFERROR(__xludf.DUMMYFUNCTION("GOOGLETRANSLATE(B26628,""en"",""fr"")"),"L'homme avec la caméra et l'homme dans la voiture suivent le tournage de l'homme sur la planche à roulettes.")</f>
        <v>L'homme avec la caméra et l'homme dans la voiture suivent le tournage de l'homme sur la planche à roulettes.</v>
      </c>
    </row>
    <row r="26629">
      <c r="A26629" s="4" t="s">
        <v>33509</v>
      </c>
      <c r="B26629" s="4" t="s">
        <v>33517</v>
      </c>
      <c r="C26629" s="5" t="str">
        <f>IFERROR(__xludf.DUMMYFUNCTION("GOOGLETRANSLATE(B26629,""en"",""fr"")"),"Après le panneau d'arrêt, la voiture passe l'homme sur la planche à roulettes.")</f>
        <v>Après le panneau d'arrêt, la voiture passe l'homme sur la planche à roulettes.</v>
      </c>
    </row>
    <row r="26630">
      <c r="A26630" s="4" t="s">
        <v>33509</v>
      </c>
      <c r="B26630" s="4" t="s">
        <v>33518</v>
      </c>
      <c r="C26630" s="5" t="str">
        <f>IFERROR(__xludf.DUMMYFUNCTION("GOOGLETRANSLATE(B26630,""en"",""fr"")"),"La voiture s'arrête et l'homme sur la planche à roulettes s'arrête juste devant eux et ramasse sa planche à roulettes.")</f>
        <v>La voiture s'arrête et l'homme sur la planche à roulettes s'arrête juste devant eux et ramasse sa planche à roulettes.</v>
      </c>
    </row>
    <row r="26631">
      <c r="A26631" s="4" t="s">
        <v>33519</v>
      </c>
      <c r="B26631" s="4" t="s">
        <v>33520</v>
      </c>
      <c r="C26631" s="5" t="str">
        <f>IFERROR(__xludf.DUMMYFUNCTION("GOOGLETRANSLATE(B26631,""en"",""fr"")"),"Un homme avec une guitare et un microphone interprète un morceau de musique.")</f>
        <v>Un homme avec une guitare et un microphone interprète un morceau de musique.</v>
      </c>
    </row>
    <row r="26632">
      <c r="A26632" s="4" t="s">
        <v>33519</v>
      </c>
      <c r="B26632" s="4" t="s">
        <v>33521</v>
      </c>
      <c r="C26632" s="5" t="str">
        <f>IFERROR(__xludf.DUMMYFUNCTION("GOOGLETRANSLATE(B26632,""en"",""fr"")"),"Un écran noir avec un graphique d'une guitare blanc et d'un site Web apparaissent.")</f>
        <v>Un écran noir avec un graphique d'une guitare blanc et d'un site Web apparaissent.</v>
      </c>
    </row>
    <row r="26633">
      <c r="A26633" s="4" t="s">
        <v>33519</v>
      </c>
      <c r="B26633" s="4" t="s">
        <v>33522</v>
      </c>
      <c r="C26633" s="5" t="str">
        <f>IFERROR(__xludf.DUMMYFUNCTION("GOOGLETRANSLATE(B26633,""en"",""fr"")"),"L'homme cesse de jouer, puis l'écran noir avec de la guitare blanche et du site Web réapparaissent.")</f>
        <v>L'homme cesse de jouer, puis l'écran noir avec de la guitare blanche et du site Web réapparaissent.</v>
      </c>
    </row>
    <row r="26634">
      <c r="A26634" s="4" t="s">
        <v>33523</v>
      </c>
      <c r="B26634" s="4" t="s">
        <v>33524</v>
      </c>
      <c r="C26634" s="5" t="str">
        <f>IFERROR(__xludf.DUMMYFUNCTION("GOOGLETRANSLATE(B26634,""en"",""fr"")"),"Un athlète est vu entrer en cercle et se préparer à lancer un lancer du poids.")</f>
        <v>Un athlète est vu entrer en cercle et se préparer à lancer un lancer du poids.</v>
      </c>
    </row>
    <row r="26635">
      <c r="A26635" s="4" t="s">
        <v>33523</v>
      </c>
      <c r="B26635" s="6" t="s">
        <v>33525</v>
      </c>
      <c r="C26635" s="5" t="str">
        <f>IFERROR(__xludf.DUMMYFUNCTION("GOOGLETRANSLATE(B26635,""en"",""fr"")"),"L'homme lance l'objet plusieurs fois après avoir tourné autour et plusieurs personnes qui regardent sur la touche.")</f>
        <v>L'homme lance l'objet plusieurs fois après avoir tourné autour et plusieurs personnes qui regardent sur la touche.</v>
      </c>
    </row>
    <row r="26636">
      <c r="A26636" s="4" t="s">
        <v>33526</v>
      </c>
      <c r="B26636" s="4" t="s">
        <v>33527</v>
      </c>
      <c r="C26636" s="5" t="str">
        <f>IFERROR(__xludf.DUMMYFUNCTION("GOOGLETRANSLATE(B26636,""en"",""fr"")"),"Un logo et les mots Master Lube TV apparaissent sur un écran noir.")</f>
        <v>Un logo et les mots Master Lube TV apparaissent sur un écran noir.</v>
      </c>
    </row>
    <row r="26637">
      <c r="A26637" s="4" t="s">
        <v>33526</v>
      </c>
      <c r="B26637" s="6" t="s">
        <v>33528</v>
      </c>
      <c r="C26637" s="5" t="str">
        <f>IFERROR(__xludf.DUMMYFUNCTION("GOOGLETRANSLATE(B26637,""en"",""fr"")"),"Un jeune homme se tient debout et parle dans une entreprise tandis que d'autres jeunes hommes nettoient et détaillent l'intérieur et l'extérieur d'un véhicule en argent.")</f>
        <v>Un jeune homme se tient debout et parle dans une entreprise tandis que d'autres jeunes hommes nettoient et détaillent l'intérieur et l'extérieur d'un véhicule en argent.</v>
      </c>
    </row>
    <row r="26638">
      <c r="A26638" s="4" t="s">
        <v>33526</v>
      </c>
      <c r="B26638" s="4" t="s">
        <v>33529</v>
      </c>
      <c r="C26638" s="5" t="str">
        <f>IFERROR(__xludf.DUMMYFUNCTION("GOOGLETRANSLATE(B26638,""en"",""fr"")"),"Le véhicule désormais nettoyé se retire du garage et s'éloigne de l'entreprise.")</f>
        <v>Le véhicule désormais nettoyé se retire du garage et s'éloigne de l'entreprise.</v>
      </c>
    </row>
    <row r="26639">
      <c r="A26639" s="4" t="s">
        <v>33526</v>
      </c>
      <c r="B26639" s="4" t="s">
        <v>33530</v>
      </c>
      <c r="C26639" s="5" t="str">
        <f>IFERROR(__xludf.DUMMYFUNCTION("GOOGLETRANSLATE(B26639,""en"",""fr"")"),"Le véhicule est maintenant stationné et deux jeunes hommes l'essuyent avec un chiffon sec.")</f>
        <v>Le véhicule est maintenant stationné et deux jeunes hommes l'essuyent avec un chiffon sec.</v>
      </c>
    </row>
    <row r="26640">
      <c r="A26640" s="4" t="s">
        <v>33526</v>
      </c>
      <c r="B26640" s="4" t="s">
        <v>33531</v>
      </c>
      <c r="C26640" s="5" t="str">
        <f>IFERROR(__xludf.DUMMYFUNCTION("GOOGLETRANSLATE(B26640,""en"",""fr"")"),"Plus de clips du jeune homme parlant en solo et tout le nettoyage qu'ils ont fait auparavant.")</f>
        <v>Plus de clips du jeune homme parlant en solo et tout le nettoyage qu'ils ont fait auparavant.</v>
      </c>
    </row>
    <row r="26641">
      <c r="A26641" s="4" t="s">
        <v>33526</v>
      </c>
      <c r="B26641" s="4" t="s">
        <v>33532</v>
      </c>
      <c r="C26641" s="5" t="str">
        <f>IFERROR(__xludf.DUMMYFUNCTION("GOOGLETRANSLATE(B26641,""en"",""fr"")"),"Un drapeau rouge, blanc et bleu avec les mots ""lavage de voiture à main"" souffle dans le vent.")</f>
        <v>Un drapeau rouge, blanc et bleu avec les mots "lavage de voiture à main" souffle dans le vent.</v>
      </c>
    </row>
    <row r="26642">
      <c r="A26642" s="4" t="s">
        <v>33526</v>
      </c>
      <c r="B26642" s="6" t="s">
        <v>33533</v>
      </c>
      <c r="C26642" s="5" t="str">
        <f>IFERROR(__xludf.DUMMYFUNCTION("GOOGLETRANSLATE(B26642,""en"",""fr"")"),"Plus de clips du jeune homme parlant en solo et des rediffusions des boucles de nettoyage alors que les mots sous l'homme se présentent et lisent ""Masterlube Hand Car Wash 750 Broadwater Ave (406) 294-5530.")</f>
        <v>Plus de clips du jeune homme parlant en solo et des rediffusions des boucles de nettoyage alors que les mots sous l'homme se présentent et lisent "Masterlube Hand Car Wash 750 Broadwater Ave (406) 294-5530.</v>
      </c>
    </row>
    <row r="26643">
      <c r="A26643" s="4" t="s">
        <v>33526</v>
      </c>
      <c r="B26643" s="4" t="s">
        <v>33534</v>
      </c>
      <c r="C26643" s="5" t="str">
        <f>IFERROR(__xludf.DUMMYFUNCTION("GOOGLETRANSLATE(B26643,""en"",""fr"")"),"Les drapeaux sont à nouveau affichés et il s'estompe à un écran noir avec un logo et les mots MasterLube.")</f>
        <v>Les drapeaux sont à nouveau affichés et il s'estompe à un écran noir avec un logo et les mots MasterLube.</v>
      </c>
    </row>
    <row r="26644">
      <c r="A26644" s="4" t="s">
        <v>33535</v>
      </c>
      <c r="B26644" s="6" t="s">
        <v>33536</v>
      </c>
      <c r="C26644" s="5" t="str">
        <f>IFERROR(__xludf.DUMMYFUNCTION("GOOGLETRANSLATE(B26644,""en"",""fr"")"),"De nombreuses images différentes de personnes de fitness clignotent à l'écran et le logo LA Muscle clignote rapidement.")</f>
        <v>De nombreuses images différentes de personnes de fitness clignotent à l'écran et le logo LA Muscle clignote rapidement.</v>
      </c>
    </row>
    <row r="26645">
      <c r="A26645" s="4" t="s">
        <v>33535</v>
      </c>
      <c r="B26645" s="6" t="s">
        <v>33537</v>
      </c>
      <c r="C26645" s="5" t="str">
        <f>IFERROR(__xludf.DUMMYFUNCTION("GOOGLETRANSLATE(B26645,""en"",""fr"")"),"Un groupe de personnes apparaît et ils sont sur des vélos à pédaler et font un atelier cardio tandis que l'homme à l'avant portant un bandeau parle tout le temps.")</f>
        <v>Un groupe de personnes apparaît et ils sont sur des vélos à pédaler et font un atelier cardio tandis que l'homme à l'avant portant un bandeau parle tout le temps.</v>
      </c>
    </row>
    <row r="26646">
      <c r="A26646" s="4" t="s">
        <v>33535</v>
      </c>
      <c r="B26646" s="6" t="s">
        <v>33538</v>
      </c>
      <c r="C26646" s="5" t="str">
        <f>IFERROR(__xludf.DUMMYFUNCTION("GOOGLETRANSLATE(B26646,""en"",""fr"")"),"L'écran outro apparaît et c'est un écran blanc qui chaussures le logo LA Muscle comme il l'a fait au début et les mots ""pour plus de visiter la télévision à point Lamuscle"".")</f>
        <v>L'écran outro apparaît et c'est un écran blanc qui chaussures le logo LA Muscle comme il l'a fait au début et les mots "pour plus de visiter la télévision à point Lamuscle".</v>
      </c>
    </row>
    <row r="26647">
      <c r="A26647" s="4" t="s">
        <v>33539</v>
      </c>
      <c r="B26647" s="4" t="s">
        <v>33540</v>
      </c>
      <c r="C26647" s="5" t="str">
        <f>IFERROR(__xludf.DUMMYFUNCTION("GOOGLETRANSLATE(B26647,""en"",""fr"")"),"Un homme termine un cube Rubiks.")</f>
        <v>Un homme termine un cube Rubiks.</v>
      </c>
    </row>
    <row r="26648">
      <c r="A26648" s="4" t="s">
        <v>33539</v>
      </c>
      <c r="B26648" s="4" t="s">
        <v>33541</v>
      </c>
      <c r="C26648" s="5" t="str">
        <f>IFERROR(__xludf.DUMMYFUNCTION("GOOGLETRANSLATE(B26648,""en"",""fr"")"),"Une minuterie est assise sur la table à côté de lui.")</f>
        <v>Une minuterie est assise sur la table à côté de lui.</v>
      </c>
    </row>
    <row r="26649">
      <c r="A26649" s="4" t="s">
        <v>33539</v>
      </c>
      <c r="B26649" s="4" t="s">
        <v>33542</v>
      </c>
      <c r="C26649" s="5" t="str">
        <f>IFERROR(__xludf.DUMMYFUNCTION("GOOGLETRANSLATE(B26649,""en"",""fr"")"),"Il place le cube Rubiks terminé sur la table.")</f>
        <v>Il place le cube Rubiks terminé sur la table.</v>
      </c>
    </row>
    <row r="26650">
      <c r="A26650" s="4" t="s">
        <v>33543</v>
      </c>
      <c r="B26650" s="4" t="s">
        <v>33544</v>
      </c>
      <c r="C26650" s="5" t="str">
        <f>IFERROR(__xludf.DUMMYFUNCTION("GOOGLETRANSLATE(B26650,""en"",""fr"")"),"Les gens coulent très rapidement sur la plage.")</f>
        <v>Les gens coulent très rapidement sur la plage.</v>
      </c>
    </row>
    <row r="26651">
      <c r="A26651" s="4" t="s">
        <v>33543</v>
      </c>
      <c r="B26651" s="4" t="s">
        <v>33545</v>
      </c>
      <c r="C26651" s="5" t="str">
        <f>IFERROR(__xludf.DUMMYFUNCTION("GOOGLETRANSLATE(B26651,""en"",""fr"")"),"Ensuite, ils commencent à faire des visages étranges vers la caméra.")</f>
        <v>Ensuite, ils commencent à faire des visages étranges vers la caméra.</v>
      </c>
    </row>
    <row r="26652">
      <c r="A26652" s="4" t="s">
        <v>33543</v>
      </c>
      <c r="B26652" s="4" t="s">
        <v>33546</v>
      </c>
      <c r="C26652" s="5" t="str">
        <f>IFERROR(__xludf.DUMMYFUNCTION("GOOGLETRANSLATE(B26652,""en"",""fr"")"),"Ils commencent à rebondir et à faire des astuces sur une sorte de corde gonflable.")</f>
        <v>Ils commencent à rebondir et à faire des astuces sur une sorte de corde gonflable.</v>
      </c>
    </row>
    <row r="26653">
      <c r="A26653" s="4" t="s">
        <v>33543</v>
      </c>
      <c r="B26653" s="4" t="s">
        <v>33547</v>
      </c>
      <c r="C26653" s="5" t="str">
        <f>IFERROR(__xludf.DUMMYFUNCTION("GOOGLETRANSLATE(B26653,""en"",""fr"")"),"Certains des astuces semblent être très extrêmes.")</f>
        <v>Certains des astuces semblent être très extrêmes.</v>
      </c>
    </row>
    <row r="26654">
      <c r="A26654" s="4" t="s">
        <v>33548</v>
      </c>
      <c r="B26654" s="6" t="s">
        <v>33549</v>
      </c>
      <c r="C26654" s="5" t="str">
        <f>IFERROR(__xludf.DUMMYFUNCTION("GOOGLETRANSLATE(B26654,""en"",""fr"")"),"Une femme est vue debout derrière une planche à repasser en reprenant une chemise tout en parlant à la caméra de temps en temps.")</f>
        <v>Une femme est vue debout derrière une planche à repasser en reprenant une chemise tout en parlant à la caméra de temps en temps.</v>
      </c>
    </row>
    <row r="26655">
      <c r="A26655" s="4" t="s">
        <v>33548</v>
      </c>
      <c r="B26655" s="4" t="s">
        <v>33550</v>
      </c>
      <c r="C26655" s="5" t="str">
        <f>IFERROR(__xludf.DUMMYFUNCTION("GOOGLETRANSLATE(B26655,""en"",""fr"")"),"Le déplace la chemise tout autour de la table en le reprenant et en le tenant à la fin.")</f>
        <v>Le déplace la chemise tout autour de la table en le reprenant et en le tenant à la fin.</v>
      </c>
    </row>
    <row r="26656">
      <c r="A26656" s="4" t="s">
        <v>33551</v>
      </c>
      <c r="B26656" s="4" t="s">
        <v>33552</v>
      </c>
      <c r="C26656" s="5" t="str">
        <f>IFERROR(__xludf.DUMMYFUNCTION("GOOGLETRANSLATE(B26656,""en"",""fr"")"),"Une femme aux cheveux longs, noirs et bouclés porte des vêtements décontractés, parle et s'accroupir sur un toit.")</f>
        <v>Une femme aux cheveux longs, noirs et bouclés porte des vêtements décontractés, parle et s'accroupir sur un toit.</v>
      </c>
    </row>
    <row r="26657">
      <c r="A26657" s="4" t="s">
        <v>33551</v>
      </c>
      <c r="B26657" s="6" t="s">
        <v>33553</v>
      </c>
      <c r="C26657" s="5" t="str">
        <f>IFERROR(__xludf.DUMMYFUNCTION("GOOGLETRANSLATE(B26657,""en"",""fr"")"),"La femme se lève ensuite et se dirige vers une partie du toit où elle soulève un bardeau noir sur le toit.")</f>
        <v>La femme se lève ensuite et se dirige vers une partie du toit où elle soulève un bardeau noir sur le toit.</v>
      </c>
    </row>
    <row r="26658">
      <c r="A26658" s="4" t="s">
        <v>33551</v>
      </c>
      <c r="B26658" s="4" t="s">
        <v>33554</v>
      </c>
      <c r="C26658" s="5" t="str">
        <f>IFERROR(__xludf.DUMMYFUNCTION("GOOGLETRANSLATE(B26658,""en"",""fr"")"),"La femme est maintenant debout sur le sol devant la maison en souriant et en parlant.")</f>
        <v>La femme est maintenant debout sur le sol devant la maison en souriant et en parlant.</v>
      </c>
    </row>
    <row r="26659">
      <c r="A26659" s="4" t="s">
        <v>33551</v>
      </c>
      <c r="B26659" s="4" t="s">
        <v>33555</v>
      </c>
      <c r="C26659" s="5" t="str">
        <f>IFERROR(__xludf.DUMMYFUNCTION("GOOGLETRANSLATE(B26659,""en"",""fr"")"),"Un grand camion s'arrête à la maison et un homme commence à décharger les bardeaux sur le toit.")</f>
        <v>Un grand camion s'arrête à la maison et un homme commence à décharger les bardeaux sur le toit.</v>
      </c>
    </row>
    <row r="26660">
      <c r="A26660" s="4" t="s">
        <v>33551</v>
      </c>
      <c r="B26660" s="6" t="s">
        <v>33556</v>
      </c>
      <c r="C26660" s="5" t="str">
        <f>IFERROR(__xludf.DUMMYFUNCTION("GOOGLETRANSLATE(B26660,""en"",""fr"")"),"La femme est de retour sur le toit avec une pelle et pelle à tous les vieux bardeaux, puis elle les jette dans une grande benne à ordures.")</f>
        <v>La femme est de retour sur le toit avec une pelle et pelle à tous les vieux bardeaux, puis elle les jette dans une grande benne à ordures.</v>
      </c>
    </row>
    <row r="26661">
      <c r="A26661" s="4" t="s">
        <v>33551</v>
      </c>
      <c r="B26661" s="6" t="s">
        <v>33557</v>
      </c>
      <c r="C26661" s="5" t="str">
        <f>IFERROR(__xludf.DUMMYFUNCTION("GOOGLETRANSLATE(B26661,""en"",""fr"")"),"Les hommes présentent maintenant de longs morceaux de matériau noir et les clouent dans le toit, ainsi que de clouer les bardeaux.")</f>
        <v>Les hommes présentent maintenant de longs morceaux de matériau noir et les clouent dans le toit, ainsi que de clouer les bardeaux.</v>
      </c>
    </row>
    <row r="26662">
      <c r="A26662" s="4" t="s">
        <v>33551</v>
      </c>
      <c r="B26662" s="4" t="s">
        <v>33558</v>
      </c>
      <c r="C26662" s="5" t="str">
        <f>IFERROR(__xludf.DUMMYFUNCTION("GOOGLETRANSLATE(B26662,""en"",""fr"")"),"Le toit est terminé et une vue de toute la maison est montrée pour montrer le toit fini.")</f>
        <v>Le toit est terminé et une vue de toute la maison est montrée pour montrer le toit fini.</v>
      </c>
    </row>
    <row r="26663">
      <c r="A26663" s="4" t="s">
        <v>33551</v>
      </c>
      <c r="B26663" s="4" t="s">
        <v>33559</v>
      </c>
      <c r="C26663" s="5" t="str">
        <f>IFERROR(__xludf.DUMMYFUNCTION("GOOGLETRANSLATE(B26663,""en"",""fr"")"),"La femme se tient devant la maison, souriant en parlant.")</f>
        <v>La femme se tient devant la maison, souriant en parlant.</v>
      </c>
    </row>
    <row r="26664">
      <c r="A26664" s="4" t="s">
        <v>33560</v>
      </c>
      <c r="B26664" s="4" t="s">
        <v>33561</v>
      </c>
      <c r="C26664" s="5" t="str">
        <f>IFERROR(__xludf.DUMMYFUNCTION("GOOGLETRANSLATE(B26664,""en"",""fr"")"),"Une caméra zoome sur deux personnes qui roulent ensemble dans un canoë.")</f>
        <v>Une caméra zoome sur deux personnes qui roulent ensemble dans un canoë.</v>
      </c>
    </row>
    <row r="26665">
      <c r="A26665" s="4" t="s">
        <v>33560</v>
      </c>
      <c r="B26665" s="4" t="s">
        <v>33562</v>
      </c>
      <c r="C26665" s="5" t="str">
        <f>IFERROR(__xludf.DUMMYFUNCTION("GOOGLETRANSLATE(B26665,""en"",""fr"")"),"La caméra se rapproche et capture les gens en pagayant plus loin dans la rivière.")</f>
        <v>La caméra se rapproche et capture les gens en pagayant plus loin dans la rivière.</v>
      </c>
    </row>
    <row r="26666">
      <c r="A26666" s="4" t="s">
        <v>33563</v>
      </c>
      <c r="B26666" s="4" t="s">
        <v>33564</v>
      </c>
      <c r="C26666" s="5" t="str">
        <f>IFERROR(__xludf.DUMMYFUNCTION("GOOGLETRANSLATE(B26666,""en"",""fr"")"),"Nous voyons un homme s'affronter et tenir un tambour.")</f>
        <v>Nous voyons un homme s'affronter et tenir un tambour.</v>
      </c>
    </row>
    <row r="26667">
      <c r="A26667" s="4" t="s">
        <v>33563</v>
      </c>
      <c r="B26667" s="4" t="s">
        <v>33565</v>
      </c>
      <c r="C26667" s="5" t="str">
        <f>IFERROR(__xludf.DUMMYFUNCTION("GOOGLETRANSLATE(B26667,""en"",""fr"")"),"Nous voyons ensuite l'homme jouer sur le tambour.")</f>
        <v>Nous voyons ensuite l'homme jouer sur le tambour.</v>
      </c>
    </row>
    <row r="26668">
      <c r="A26668" s="4" t="s">
        <v>33563</v>
      </c>
      <c r="B26668" s="4" t="s">
        <v>33566</v>
      </c>
      <c r="C26668" s="5" t="str">
        <f>IFERROR(__xludf.DUMMYFUNCTION("GOOGLETRANSLATE(B26668,""en"",""fr"")"),"L'homme frappe un tambour hors de la caméra à gauche.")</f>
        <v>L'homme frappe un tambour hors de la caméra à gauche.</v>
      </c>
    </row>
    <row r="26669">
      <c r="A26669" s="4" t="s">
        <v>33563</v>
      </c>
      <c r="B26669" s="4" t="s">
        <v>33567</v>
      </c>
      <c r="C26669" s="5" t="str">
        <f>IFERROR(__xludf.DUMMYFUNCTION("GOOGLETRANSLATE(B26669,""en"",""fr"")"),"L'homme traîne les mains sur le tambour.")</f>
        <v>L'homme traîne les mains sur le tambour.</v>
      </c>
    </row>
    <row r="26670">
      <c r="A26670" s="4" t="s">
        <v>33563</v>
      </c>
      <c r="B26670" s="4" t="s">
        <v>33568</v>
      </c>
      <c r="C26670" s="5" t="str">
        <f>IFERROR(__xludf.DUMMYFUNCTION("GOOGLETRANSLATE(B26670,""en"",""fr"")"),"L'homme cesse de payer la batterie.")</f>
        <v>L'homme cesse de payer la batterie.</v>
      </c>
    </row>
    <row r="26671">
      <c r="A26671" s="4" t="s">
        <v>33569</v>
      </c>
      <c r="B26671" s="4" t="s">
        <v>33570</v>
      </c>
      <c r="C26671" s="5" t="str">
        <f>IFERROR(__xludf.DUMMYFUNCTION("GOOGLETRANSLATE(B26671,""en"",""fr"")"),"Un enfant aide à pousser une tondeuse à gazon avec un adulte pour couper l'herbe.")</f>
        <v>Un enfant aide à pousser une tondeuse à gazon avec un adulte pour couper l'herbe.</v>
      </c>
    </row>
    <row r="26672">
      <c r="A26672" s="4" t="s">
        <v>33569</v>
      </c>
      <c r="B26672" s="4" t="s">
        <v>33571</v>
      </c>
      <c r="C26672" s="5" t="str">
        <f>IFERROR(__xludf.DUMMYFUNCTION("GOOGLETRANSLATE(B26672,""en"",""fr"")"),"Un homme mode la pelouse d'une grande cour avec un enfant qui regarde à proximité.")</f>
        <v>Un homme mode la pelouse d'une grande cour avec un enfant qui regarde à proximité.</v>
      </c>
    </row>
    <row r="26673">
      <c r="A26673" s="4" t="s">
        <v>33569</v>
      </c>
      <c r="B26673" s="6" t="s">
        <v>33572</v>
      </c>
      <c r="C26673" s="5" t="str">
        <f>IFERROR(__xludf.DUMMYFUNCTION("GOOGLETRANSLATE(B26673,""en"",""fr"")"),"L'homme vide le sac de topper de collection sur la tondeuse à gazon et le vide dans une poubelle et le roule.")</f>
        <v>L'homme vide le sac de topper de collection sur la tondeuse à gazon et le vide dans une poubelle et le roule.</v>
      </c>
    </row>
    <row r="26674">
      <c r="A26674" s="4" t="s">
        <v>33569</v>
      </c>
      <c r="B26674" s="4" t="s">
        <v>33573</v>
      </c>
      <c r="C26674" s="5" t="str">
        <f>IFERROR(__xludf.DUMMYFUNCTION("GOOGLETRANSLATE(B26674,""en"",""fr"")"),"L'enfant joue avec la tondeuse à gazon en désactivant.")</f>
        <v>L'enfant joue avec la tondeuse à gazon en désactivant.</v>
      </c>
    </row>
    <row r="26675">
      <c r="A26675" s="4" t="s">
        <v>33574</v>
      </c>
      <c r="B26675" s="4" t="s">
        <v>33575</v>
      </c>
      <c r="C26675" s="5" t="str">
        <f>IFERROR(__xludf.DUMMYFUNCTION("GOOGLETRANSLATE(B26675,""en"",""fr"")"),"Une personne lance une balle de tennis en l'air et frappe le ballon.")</f>
        <v>Une personne lance une balle de tennis en l'air et frappe le ballon.</v>
      </c>
    </row>
    <row r="26676">
      <c r="A26676" s="4" t="s">
        <v>33574</v>
      </c>
      <c r="B26676" s="4" t="s">
        <v>33576</v>
      </c>
      <c r="C26676" s="5" t="str">
        <f>IFERROR(__xludf.DUMMYFUNCTION("GOOGLETRANSLATE(B26676,""en"",""fr"")"),"Deux hommes commencent à parler de ce mouvement de tennis et de la façon dont vous devez tenir correctement votre raquette.")</f>
        <v>Deux hommes commencent à parler de ce mouvement de tennis et de la façon dont vous devez tenir correctement votre raquette.</v>
      </c>
    </row>
    <row r="26677">
      <c r="A26677" s="4" t="s">
        <v>33574</v>
      </c>
      <c r="B26677" s="4" t="s">
        <v>33577</v>
      </c>
      <c r="C26677" s="5" t="str">
        <f>IFERROR(__xludf.DUMMYFUNCTION("GOOGLETRANSLATE(B26677,""en"",""fr"")"),"L'homme montre comment lancer le ballon et comment se balancer.")</f>
        <v>L'homme montre comment lancer le ballon et comment se balancer.</v>
      </c>
    </row>
    <row r="26678">
      <c r="A26678" s="4" t="s">
        <v>33574</v>
      </c>
      <c r="B26678" s="4" t="s">
        <v>33578</v>
      </c>
      <c r="C26678" s="5" t="str">
        <f>IFERROR(__xludf.DUMMYFUNCTION("GOOGLETRANSLATE(B26678,""en"",""fr"")"),"L'homme continue de discuter quand frapper le ballon pour ce mouvement et comment l'exécuter correctement.")</f>
        <v>L'homme continue de discuter quand frapper le ballon pour ce mouvement et comment l'exécuter correctement.</v>
      </c>
    </row>
    <row r="26679">
      <c r="A26679" s="4" t="s">
        <v>33579</v>
      </c>
      <c r="B26679" s="6" t="s">
        <v>33580</v>
      </c>
      <c r="C26679" s="5" t="str">
        <f>IFERROR(__xludf.DUMMYFUNCTION("GOOGLETRANSLATE(B26679,""en"",""fr"")"),"Un homme portant une tenue de clôture blanche se dirige vers une femme en cuir avec ses mains attachées ensemble.")</f>
        <v>Un homme portant une tenue de clôture blanche se dirige vers une femme en cuir avec ses mains attachées ensemble.</v>
      </c>
    </row>
    <row r="26680">
      <c r="A26680" s="4" t="s">
        <v>33579</v>
      </c>
      <c r="B26680" s="4" t="s">
        <v>33581</v>
      </c>
      <c r="C26680" s="5" t="str">
        <f>IFERROR(__xludf.DUMMYFUNCTION("GOOGLETRANSLATE(B26680,""en"",""fr"")"),"Il tient sa taille et lui parle tout en regardant les hommes clôturer derrière eux.")</f>
        <v>Il tient sa taille et lui parle tout en regardant les hommes clôturer derrière eux.</v>
      </c>
    </row>
    <row r="26681">
      <c r="A26681" s="4" t="s">
        <v>33579</v>
      </c>
      <c r="B26681" s="4" t="s">
        <v>33582</v>
      </c>
      <c r="C26681" s="5" t="str">
        <f>IFERROR(__xludf.DUMMYFUNCTION("GOOGLETRANSLATE(B26681,""en"",""fr"")"),"Ils parlent à un autre couple avec défi et les hommes se préparent à se battre.")</f>
        <v>Ils parlent à un autre couple avec défi et les hommes se préparent à se battre.</v>
      </c>
    </row>
    <row r="26682">
      <c r="A26682" s="4" t="s">
        <v>33579</v>
      </c>
      <c r="B26682" s="4" t="s">
        <v>33583</v>
      </c>
      <c r="C26682" s="5" t="str">
        <f>IFERROR(__xludf.DUMMYFUNCTION("GOOGLETRANSLATE(B26682,""en"",""fr"")"),"Les hommes clôturent et quatrième lorsque le gentleman plus âgé se pince les yeux et se bat à nouveau.")</f>
        <v>Les hommes clôturent et quatrième lorsque le gentleman plus âgé se pince les yeux et se bat à nouveau.</v>
      </c>
    </row>
    <row r="26683">
      <c r="A26683" s="4" t="s">
        <v>33579</v>
      </c>
      <c r="B26683" s="4" t="s">
        <v>33584</v>
      </c>
      <c r="C26683" s="5" t="str">
        <f>IFERROR(__xludf.DUMMYFUNCTION("GOOGLETRANSLATE(B26683,""en"",""fr"")"),"Les hommes deviennent agités et on part avec une chemise.")</f>
        <v>Les hommes deviennent agités et on part avec une chemise.</v>
      </c>
    </row>
    <row r="26684">
      <c r="A26684" s="4" t="s">
        <v>33585</v>
      </c>
      <c r="B26684" s="4" t="s">
        <v>33586</v>
      </c>
      <c r="C26684" s="5" t="str">
        <f>IFERROR(__xludf.DUMMYFUNCTION("GOOGLETRANSLATE(B26684,""en"",""fr"")"),"Un homme portant un chapeau est vu tenant une raquette de tennis et faisant rebondir une balle de haut en bas.")</f>
        <v>Un homme portant un chapeau est vu tenant une raquette de tennis et faisant rebondir une balle de haut en bas.</v>
      </c>
    </row>
    <row r="26685">
      <c r="A26685" s="4" t="s">
        <v>33585</v>
      </c>
      <c r="B26685" s="4" t="s">
        <v>33587</v>
      </c>
      <c r="C26685" s="5" t="str">
        <f>IFERROR(__xludf.DUMMYFUNCTION("GOOGLETRANSLATE(B26685,""en"",""fr"")"),"L'homme sert ensuite le ballon et mène à un match de tennis entre quatre personnes.")</f>
        <v>L'homme sert ensuite le ballon et mène à un match de tennis entre quatre personnes.</v>
      </c>
    </row>
    <row r="26686">
      <c r="A26686" s="4" t="s">
        <v>33585</v>
      </c>
      <c r="B26686" s="6" t="s">
        <v>33588</v>
      </c>
      <c r="C26686" s="5" t="str">
        <f>IFERROR(__xludf.DUMMYFUNCTION("GOOGLETRANSLATE(B26686,""en"",""fr"")"),"L'annonceur rit alors que les autres coéquipiers se parlent et montraient à nouveau son coup au ralenti.")</f>
        <v>L'annonceur rit alors que les autres coéquipiers se parlent et montraient à nouveau son coup au ralenti.</v>
      </c>
    </row>
    <row r="26687">
      <c r="A26687" s="4" t="s">
        <v>33589</v>
      </c>
      <c r="B26687" s="4" t="s">
        <v>33590</v>
      </c>
      <c r="C26687" s="5" t="str">
        <f>IFERROR(__xludf.DUMMYFUNCTION("GOOGLETRANSLATE(B26687,""en"",""fr"")"),"Une équipe de hockey d'équipe verte et jaune est représentée et son emplacement est indiqué sur une carte.")</f>
        <v>Une équipe de hockey d'équipe verte et jaune est représentée et son emplacement est indiqué sur une carte.</v>
      </c>
    </row>
    <row r="26688">
      <c r="A26688" s="4" t="s">
        <v>33589</v>
      </c>
      <c r="B26688" s="4" t="s">
        <v>33591</v>
      </c>
      <c r="C26688" s="5" t="str">
        <f>IFERROR(__xludf.DUMMYFUNCTION("GOOGLETRANSLATE(B26688,""en"",""fr"")"),"La vidéo revient ensuite au jeu et montre le lieu dans lequel les équipes jouent.")</f>
        <v>La vidéo revient ensuite au jeu et montre le lieu dans lequel les équipes jouent.</v>
      </c>
    </row>
    <row r="26689">
      <c r="A26689" s="4" t="s">
        <v>33589</v>
      </c>
      <c r="B26689" s="6" t="s">
        <v>33592</v>
      </c>
      <c r="C26689" s="5" t="str">
        <f>IFERROR(__xludf.DUMMYFUNCTION("GOOGLETRANSLATE(B26689,""en"",""fr"")"),"Après, plusieurs joueurs sont montrés en patinant autour de la patinoire, puis un homme caucasien chauve est montré vêtu d'un polo noir commence à parler à la caméra.")</f>
        <v>Après, plusieurs joueurs sont montrés en patinant autour de la patinoire, puis un homme caucasien chauve est montré vêtu d'un polo noir commence à parler à la caméra.</v>
      </c>
    </row>
    <row r="26690">
      <c r="A26690" s="4" t="s">
        <v>33589</v>
      </c>
      <c r="B26690" s="6" t="s">
        <v>33593</v>
      </c>
      <c r="C26690" s="5" t="str">
        <f>IFERROR(__xludf.DUMMYFUNCTION("GOOGLETRANSLATE(B26690,""en"",""fr"")"),"Une fois terminé, le banc est tourné et le jeu commence avec l'arbitre entre les deux équipes et ils commencent à jouer.")</f>
        <v>Une fois terminé, le banc est tourné et le jeu commence avec l'arbitre entre les deux équipes et ils commencent à jouer.</v>
      </c>
    </row>
    <row r="26691">
      <c r="A26691" s="4" t="s">
        <v>33589</v>
      </c>
      <c r="B26691" s="6" t="s">
        <v>33594</v>
      </c>
      <c r="C26691" s="5" t="str">
        <f>IFERROR(__xludf.DUMMYFUNCTION("GOOGLETRANSLATE(B26691,""en"",""fr"")"),"Alors qu'ils continuent, l'homme chauve est des spectacles et continue de parler et ils continuent de clignoter entre lui, les joueurs et les jeux.")</f>
        <v>Alors qu'ils continuent, l'homme chauve est des spectacles et continue de parler et ils continuent de clignoter entre lui, les joueurs et les jeux.</v>
      </c>
    </row>
    <row r="26692">
      <c r="A26692" s="4" t="s">
        <v>33595</v>
      </c>
      <c r="B26692" s="6" t="s">
        <v>33596</v>
      </c>
      <c r="C26692" s="5" t="str">
        <f>IFERROR(__xludf.DUMMYFUNCTION("GOOGLETRANSLATE(B26692,""en"",""fr"")"),"Divers athlètes sont vus debout ensemble au milieu d'un grand stade et mène à une femme qui lance un lancer de poids puis s'éloigner.")</f>
        <v>Divers athlètes sont vus debout ensemble au milieu d'un grand stade et mène à une femme qui lance un lancer de poids puis s'éloigner.</v>
      </c>
    </row>
    <row r="26693">
      <c r="A26693" s="4" t="s">
        <v>33595</v>
      </c>
      <c r="B26693" s="6" t="s">
        <v>33597</v>
      </c>
      <c r="C26693" s="5" t="str">
        <f>IFERROR(__xludf.DUMMYFUNCTION("GOOGLETRANSLATE(B26693,""en"",""fr"")"),"Plusieurs autres personnes sont vues monter et lancer l'objet avec une femme coulant avec le drapeau américain et se tenir sur un podium avec d'autres.")</f>
        <v>Plusieurs autres personnes sont vues monter et lancer l'objet avec une femme coulant avec le drapeau américain et se tenir sur un podium avec d'autres.</v>
      </c>
    </row>
    <row r="26694">
      <c r="A26694" s="4" t="s">
        <v>33598</v>
      </c>
      <c r="B26694" s="6" t="s">
        <v>33599</v>
      </c>
      <c r="C26694" s="5" t="str">
        <f>IFERROR(__xludf.DUMMYFUNCTION("GOOGLETRANSLATE(B26694,""en"",""fr"")"),"La caméra zoome sur un chef tournant autour d'une spatule dans une casserole et mettant plus d'ingrédients dans la poêle.")</f>
        <v>La caméra zoome sur un chef tournant autour d'une spatule dans une casserole et mettant plus d'ingrédients dans la poêle.</v>
      </c>
    </row>
    <row r="26695">
      <c r="A26695" s="4" t="s">
        <v>33598</v>
      </c>
      <c r="B26695" s="4" t="s">
        <v>33600</v>
      </c>
      <c r="C26695" s="5" t="str">
        <f>IFERROR(__xludf.DUMMYFUNCTION("GOOGLETRANSLATE(B26695,""en"",""fr"")"),"Il remue autour du mélange et le presse sur le côté tout en déposant la spatule.")</f>
        <v>Il remue autour du mélange et le presse sur le côté tout en déposant la spatule.</v>
      </c>
    </row>
    <row r="26696">
      <c r="A26696" s="4" t="s">
        <v>33601</v>
      </c>
      <c r="B26696" s="4" t="s">
        <v>33602</v>
      </c>
      <c r="C26696" s="5" t="str">
        <f>IFERROR(__xludf.DUMMYFUNCTION("GOOGLETRANSLATE(B26696,""en"",""fr"")"),"Deux fils sont vus à travers et table avec une personne mettant une boîte sur le dessus.")</f>
        <v>Deux fils sont vus à travers et table avec une personne mettant une boîte sur le dessus.</v>
      </c>
    </row>
    <row r="26697">
      <c r="A26697" s="4" t="s">
        <v>33601</v>
      </c>
      <c r="B26697" s="4" t="s">
        <v>33603</v>
      </c>
      <c r="C26697" s="5" t="str">
        <f>IFERROR(__xludf.DUMMYFUNCTION("GOOGLETRANSLATE(B26697,""en"",""fr"")"),"La personne enroule la boîte avec des fils et attachant un arc sur le dessus.")</f>
        <v>La personne enroule la boîte avec des fils et attachant un arc sur le dessus.</v>
      </c>
    </row>
    <row r="26698">
      <c r="A26698" s="4" t="s">
        <v>33601</v>
      </c>
      <c r="B26698" s="4" t="s">
        <v>33604</v>
      </c>
      <c r="C26698" s="5" t="str">
        <f>IFERROR(__xludf.DUMMYFUNCTION("GOOGLETRANSLATE(B26698,""en"",""fr"")"),"La personne attache une canne à bonbons avec la boîte et la montre à la caméra.")</f>
        <v>La personne attache une canne à bonbons avec la boîte et la montre à la caméra.</v>
      </c>
    </row>
    <row r="26699">
      <c r="A26699" s="4" t="s">
        <v>33605</v>
      </c>
      <c r="B26699" s="4" t="s">
        <v>33606</v>
      </c>
      <c r="C26699" s="5" t="str">
        <f>IFERROR(__xludf.DUMMYFUNCTION("GOOGLETRANSLATE(B26699,""en"",""fr"")"),"On voit un homme tenant une perceuse électrique avec une pomme de terre à l'extrémité et des gens qui se décollent autour de lui.")</f>
        <v>On voit un homme tenant une perceuse électrique avec une pomme de terre à l'extrémité et des gens qui se décollent autour de lui.</v>
      </c>
    </row>
    <row r="26700">
      <c r="A26700" s="4" t="s">
        <v>33605</v>
      </c>
      <c r="B26700" s="4" t="s">
        <v>33607</v>
      </c>
      <c r="C26700" s="5" t="str">
        <f>IFERROR(__xludf.DUMMYFUNCTION("GOOGLETRANSLATE(B26700,""en"",""fr"")"),"L'homme allume le foret et décolle la pomme de terre avec une autre personne pointant sur le côté.")</f>
        <v>L'homme allume le foret et décolle la pomme de terre avec une autre personne pointant sur le côté.</v>
      </c>
    </row>
    <row r="26701">
      <c r="A26701" s="4" t="s">
        <v>33608</v>
      </c>
      <c r="B26701" s="6" t="s">
        <v>33609</v>
      </c>
      <c r="C26701" s="5" t="str">
        <f>IFERROR(__xludf.DUMMYFUNCTION("GOOGLETRANSLATE(B26701,""en"",""fr"")"),"Deux hommes sont vus se tenant les bras et conduisent dans les hommes en train de jouer un match de lutte de bras.")</f>
        <v>Deux hommes sont vus se tenant les bras et conduisent dans les hommes en train de jouer un match de lutte de bras.</v>
      </c>
    </row>
    <row r="26702">
      <c r="A26702" s="4" t="s">
        <v>33608</v>
      </c>
      <c r="B26702" s="6" t="s">
        <v>33610</v>
      </c>
      <c r="C26702" s="5" t="str">
        <f>IFERROR(__xludf.DUMMYFUNCTION("GOOGLETRANSLATE(B26702,""en"",""fr"")"),"Un homme fume une cigarette pendant qu'ils continuent de jouer et cet homme serpente en levant les bras.")</f>
        <v>Un homme fume une cigarette pendant qu'ils continuent de jouer et cet homme serpente en levant les bras.</v>
      </c>
    </row>
    <row r="26703">
      <c r="A26703" s="4" t="s">
        <v>33611</v>
      </c>
      <c r="B26703" s="4" t="s">
        <v>33612</v>
      </c>
      <c r="C26703" s="5" t="str">
        <f>IFERROR(__xludf.DUMMYFUNCTION("GOOGLETRANSLATE(B26703,""en"",""fr"")"),"Un homme est vu avec un grand poteau.")</f>
        <v>Un homme est vu avec un grand poteau.</v>
      </c>
    </row>
    <row r="26704">
      <c r="A26704" s="4" t="s">
        <v>33611</v>
      </c>
      <c r="B26704" s="4" t="s">
        <v>33613</v>
      </c>
      <c r="C26704" s="5" t="str">
        <f>IFERROR(__xludf.DUMMYFUNCTION("GOOGLETRANSLATE(B26704,""en"",""fr"")"),"Une grande foule est dans les tribunes en arrière-plan.")</f>
        <v>Une grande foule est dans les tribunes en arrière-plan.</v>
      </c>
    </row>
    <row r="26705">
      <c r="A26705" s="4" t="s">
        <v>33611</v>
      </c>
      <c r="B26705" s="4" t="s">
        <v>33614</v>
      </c>
      <c r="C26705" s="5" t="str">
        <f>IFERROR(__xludf.DUMMYFUNCTION("GOOGLETRANSLATE(B26705,""en"",""fr"")"),"L'homme avec le poteau coule et le jette puis touche le sol.")</f>
        <v>L'homme avec le poteau coule et le jette puis touche le sol.</v>
      </c>
    </row>
    <row r="26706">
      <c r="A26706" s="4" t="s">
        <v>33611</v>
      </c>
      <c r="B26706" s="4" t="s">
        <v>33615</v>
      </c>
      <c r="C26706" s="5" t="str">
        <f>IFERROR(__xludf.DUMMYFUNCTION("GOOGLETRANSLATE(B26706,""en"",""fr"")"),"Le poteau vole dans l'air et atterrit juste après le numéro 85 sur un champ.")</f>
        <v>Le poteau vole dans l'air et atterrit juste après le numéro 85 sur un champ.</v>
      </c>
    </row>
    <row r="26707">
      <c r="A26707" s="4" t="s">
        <v>33611</v>
      </c>
      <c r="B26707" s="4" t="s">
        <v>33616</v>
      </c>
      <c r="C26707" s="5" t="str">
        <f>IFERROR(__xludf.DUMMYFUNCTION("GOOGLETRANSLATE(B26707,""en"",""fr"")"),"Plusieurs hommes s'écoulent vers le poteau.")</f>
        <v>Plusieurs hommes s'écoulent vers le poteau.</v>
      </c>
    </row>
    <row r="26708">
      <c r="A26708" s="4" t="s">
        <v>33611</v>
      </c>
      <c r="B26708" s="4" t="s">
        <v>33617</v>
      </c>
      <c r="C26708" s="5" t="str">
        <f>IFERROR(__xludf.DUMMYFUNCTION("GOOGLETRANSLATE(B26708,""en"",""fr"")"),"Les hommes sont vus dans les tribunes applaudissant.")</f>
        <v>Les hommes sont vus dans les tribunes applaudissant.</v>
      </c>
    </row>
    <row r="26709">
      <c r="A26709" s="4" t="s">
        <v>33611</v>
      </c>
      <c r="B26709" s="4" t="s">
        <v>33618</v>
      </c>
      <c r="C26709" s="5" t="str">
        <f>IFERROR(__xludf.DUMMYFUNCTION("GOOGLETRANSLATE(B26709,""en"",""fr"")"),"L'homme qui a jeté le poteau est vu en mettant une veste.")</f>
        <v>L'homme qui a jeté le poteau est vu en mettant une veste.</v>
      </c>
    </row>
    <row r="26710">
      <c r="A26710" s="4" t="s">
        <v>33611</v>
      </c>
      <c r="B26710" s="4" t="s">
        <v>33619</v>
      </c>
      <c r="C26710" s="5" t="str">
        <f>IFERROR(__xludf.DUMMYFUNCTION("GOOGLETRANSLATE(B26710,""en"",""fr"")"),"Beaucoup de gens se promènent et s'assoient sur le terrain.")</f>
        <v>Beaucoup de gens se promènent et s'assoient sur le terrain.</v>
      </c>
    </row>
    <row r="26711">
      <c r="A26711" s="4" t="s">
        <v>33611</v>
      </c>
      <c r="B26711" s="4" t="s">
        <v>33620</v>
      </c>
      <c r="C26711" s="5" t="str">
        <f>IFERROR(__xludf.DUMMYFUNCTION("GOOGLETRANSLATE(B26711,""en"",""fr"")"),"L'homme est vu jeter à nouveau le poteau.")</f>
        <v>L'homme est vu jeter à nouveau le poteau.</v>
      </c>
    </row>
    <row r="26712">
      <c r="A26712" s="4" t="s">
        <v>33621</v>
      </c>
      <c r="B26712" s="6" t="s">
        <v>33622</v>
      </c>
      <c r="C26712" s="5" t="str">
        <f>IFERROR(__xludf.DUMMYFUNCTION("GOOGLETRANSLATE(B26712,""en"",""fr"")"),"Un gros plan d'une machine est montré en papier d'impression et mène aux personnes qui travaillent autour de l'image.")</f>
        <v>Un gros plan d'une machine est montré en papier d'impression et mène aux personnes qui travaillent autour de l'image.</v>
      </c>
    </row>
    <row r="26713">
      <c r="A26713" s="4" t="s">
        <v>33621</v>
      </c>
      <c r="B26713" s="6" t="s">
        <v>33623</v>
      </c>
      <c r="C26713" s="5" t="str">
        <f>IFERROR(__xludf.DUMMYFUNCTION("GOOGLETRANSLATE(B26713,""en"",""fr"")"),"Les gens continuent de travailler avec la machine à mettre du papier et de la mesurer et de la disposer sur une table.")</f>
        <v>Les gens continuent de travailler avec la machine à mettre du papier et de la mesurer et de la disposer sur une table.</v>
      </c>
    </row>
    <row r="26714">
      <c r="A26714" s="4" t="s">
        <v>33621</v>
      </c>
      <c r="B26714" s="4" t="s">
        <v>33624</v>
      </c>
      <c r="C26714" s="5" t="str">
        <f>IFERROR(__xludf.DUMMYFUNCTION("GOOGLETRANSLATE(B26714,""en"",""fr"")"),"Les gens sont ensuite vus suspendre le papier sur un mur et le présenter à la fin.")</f>
        <v>Les gens sont ensuite vus suspendre le papier sur un mur et le présenter à la fin.</v>
      </c>
    </row>
    <row r="26715">
      <c r="A26715" s="4" t="s">
        <v>33625</v>
      </c>
      <c r="B26715" s="4" t="s">
        <v>33626</v>
      </c>
      <c r="C26715" s="5" t="str">
        <f>IFERROR(__xludf.DUMMYFUNCTION("GOOGLETRANSLATE(B26715,""en"",""fr"")"),"Le trajet en voiture exceptionnelle est rempli de gens, déjà beaucoup s'écrasent.")</f>
        <v>Le trajet en voiture exceptionnelle est rempli de gens, déjà beaucoup s'écrasent.</v>
      </c>
    </row>
    <row r="26716">
      <c r="A26716" s="4" t="s">
        <v>33625</v>
      </c>
      <c r="B26716" s="4" t="s">
        <v>33627</v>
      </c>
      <c r="C26716" s="5" t="str">
        <f>IFERROR(__xludf.DUMMYFUNCTION("GOOGLETRANSLATE(B26716,""en"",""fr"")"),"Un homme clignote le signe de la paix à l'appareil photo, passant un bon moment.")</f>
        <v>Un homme clignote le signe de la paix à l'appareil photo, passant un bon moment.</v>
      </c>
    </row>
    <row r="26717">
      <c r="A26717" s="4" t="s">
        <v>33625</v>
      </c>
      <c r="B26717" s="4" t="s">
        <v>33628</v>
      </c>
      <c r="C26717" s="5" t="str">
        <f>IFERROR(__xludf.DUMMYFUNCTION("GOOGLETRANSLATE(B26717,""en"",""fr"")"),"La voiture 9 a finalement commencé mais il s'écrase à gauche et à droite.")</f>
        <v>La voiture 9 a finalement commencé mais il s'écrase à gauche et à droite.</v>
      </c>
    </row>
    <row r="26718">
      <c r="A26718" s="4" t="s">
        <v>33625</v>
      </c>
      <c r="B26718" s="4" t="s">
        <v>33629</v>
      </c>
      <c r="C26718" s="5" t="str">
        <f>IFERROR(__xludf.DUMMYFUNCTION("GOOGLETRANSLATE(B26718,""en"",""fr"")"),"Un homme s'inverse dans une autre voiture derrière lui.")</f>
        <v>Un homme s'inverse dans une autre voiture derrière lui.</v>
      </c>
    </row>
    <row r="26719">
      <c r="A26719" s="4" t="s">
        <v>33625</v>
      </c>
      <c r="B26719" s="4" t="s">
        <v>33630</v>
      </c>
      <c r="C26719" s="5" t="str">
        <f>IFERROR(__xludf.DUMMYFUNCTION("GOOGLETRANSLATE(B26719,""en"",""fr"")"),"Un grand empilement se produit au milieu de la piste.")</f>
        <v>Un grand empilement se produit au milieu de la piste.</v>
      </c>
    </row>
    <row r="26720">
      <c r="A26720" s="4" t="s">
        <v>33631</v>
      </c>
      <c r="B26720" s="4" t="s">
        <v>33632</v>
      </c>
      <c r="C26720" s="5" t="str">
        <f>IFERROR(__xludf.DUMMYFUNCTION("GOOGLETRANSLATE(B26720,""en"",""fr"")"),"Un homme est vu assis derrière un ensemble de batterie jouant à la batterie.")</f>
        <v>Un homme est vu assis derrière un ensemble de batterie jouant à la batterie.</v>
      </c>
    </row>
    <row r="26721">
      <c r="A26721" s="4" t="s">
        <v>33631</v>
      </c>
      <c r="B26721" s="4" t="s">
        <v>33633</v>
      </c>
      <c r="C26721" s="5" t="str">
        <f>IFERROR(__xludf.DUMMYFUNCTION("GOOGLETRANSLATE(B26721,""en"",""fr"")"),"La caméra se déroule tout autour de ses mouvements pendant qu'il parle à la caméra.")</f>
        <v>La caméra se déroule tout autour de ses mouvements pendant qu'il parle à la caméra.</v>
      </c>
    </row>
    <row r="26722">
      <c r="A26722" s="4" t="s">
        <v>33631</v>
      </c>
      <c r="B26722" s="6" t="s">
        <v>33634</v>
      </c>
      <c r="C26722" s="5" t="str">
        <f>IFERROR(__xludf.DUMMYFUNCTION("GOOGLETRANSLATE(B26722,""en"",""fr"")"),"Plus de tirs sont montrés de lui en jouant ainsi que du chant et d'autres personnes jouant des instruments autour de lui.")</f>
        <v>Plus de tirs sont montrés de lui en jouant ainsi que du chant et d'autres personnes jouant des instruments autour de lui.</v>
      </c>
    </row>
    <row r="26723">
      <c r="A26723" s="4" t="s">
        <v>33635</v>
      </c>
      <c r="B26723" s="4" t="s">
        <v>33636</v>
      </c>
      <c r="C26723" s="5" t="str">
        <f>IFERROR(__xludf.DUMMYFUNCTION("GOOGLETRANSLATE(B26723,""en"",""fr"")"),"Un garçon se prépare à faire un saut en hauteur dans une salle de sport.")</f>
        <v>Un garçon se prépare à faire un saut en hauteur dans une salle de sport.</v>
      </c>
    </row>
    <row r="26724">
      <c r="A26724" s="4" t="s">
        <v>33635</v>
      </c>
      <c r="B26724" s="4" t="s">
        <v>33637</v>
      </c>
      <c r="C26724" s="5" t="str">
        <f>IFERROR(__xludf.DUMMYFUNCTION("GOOGLETRANSLATE(B26724,""en"",""fr"")"),"Il décolle en courant avec le bâton de saut en hauteur.")</f>
        <v>Il décolle en courant avec le bâton de saut en hauteur.</v>
      </c>
    </row>
    <row r="26725">
      <c r="A26725" s="4" t="s">
        <v>33635</v>
      </c>
      <c r="B26725" s="4" t="s">
        <v>33638</v>
      </c>
      <c r="C26725" s="5" t="str">
        <f>IFERROR(__xludf.DUMMYFUNCTION("GOOGLETRANSLATE(B26725,""en"",""fr"")"),"Il fait le saut et atterrit sur les coussinets de sécurité.")</f>
        <v>Il fait le saut et atterrit sur les coussinets de sécurité.</v>
      </c>
    </row>
    <row r="26726">
      <c r="A26726" s="4" t="s">
        <v>33639</v>
      </c>
      <c r="B26726" s="4" t="s">
        <v>33640</v>
      </c>
      <c r="C26726" s="5" t="str">
        <f>IFERROR(__xludf.DUMMYFUNCTION("GOOGLETRANSLATE(B26726,""en"",""fr"")"),"Les mains d'une personne avec des ongles sont montrées, suivies de deux femmes parlant à la caméra.")</f>
        <v>Les mains d'une personne avec des ongles sont montrées, suivies de deux femmes parlant à la caméra.</v>
      </c>
    </row>
    <row r="26727">
      <c r="A26727" s="4" t="s">
        <v>33639</v>
      </c>
      <c r="B26727" s="6" t="s">
        <v>33641</v>
      </c>
      <c r="C26727" s="5" t="str">
        <f>IFERROR(__xludf.DUMMYFUNCTION("GOOGLETRANSLATE(B26727,""en"",""fr"")"),"Plusieurs objets sur papier sont montrés pendant que les femmes continuent de parler et on commence à faire des conceptions sur les ongles.")</f>
        <v>Plusieurs objets sur papier sont montrés pendant que les femmes continuent de parler et on commence à faire des conceptions sur les ongles.</v>
      </c>
    </row>
    <row r="26728">
      <c r="A26728" s="4" t="s">
        <v>33642</v>
      </c>
      <c r="B26728" s="4" t="s">
        <v>6958</v>
      </c>
      <c r="C26728" s="5" t="str">
        <f>IFERROR(__xludf.DUMMYFUNCTION("GOOGLETRANSLATE(B26728,""en"",""fr"")"),"Nous voyons un écran d'ouverture blanc.")</f>
        <v>Nous voyons un écran d'ouverture blanc.</v>
      </c>
    </row>
    <row r="26729">
      <c r="A26729" s="4" t="s">
        <v>33642</v>
      </c>
      <c r="B26729" s="4" t="s">
        <v>33643</v>
      </c>
      <c r="C26729" s="5" t="str">
        <f>IFERROR(__xludf.DUMMYFUNCTION("GOOGLETRANSLATE(B26729,""en"",""fr"")"),"Nous voyons ensuite un homme tenant quelque chose enveloppé dans un sac en plastique.")</f>
        <v>Nous voyons ensuite un homme tenant quelque chose enveloppé dans un sac en plastique.</v>
      </c>
    </row>
    <row r="26730">
      <c r="A26730" s="4" t="s">
        <v>33642</v>
      </c>
      <c r="B26730" s="4" t="s">
        <v>33644</v>
      </c>
      <c r="C26730" s="5" t="str">
        <f>IFERROR(__xludf.DUMMYFUNCTION("GOOGLETRANSLATE(B26730,""en"",""fr"")"),"Une femme rejoint l'homme.")</f>
        <v>Une femme rejoint l'homme.</v>
      </c>
    </row>
    <row r="26731">
      <c r="A26731" s="4" t="s">
        <v>33642</v>
      </c>
      <c r="B26731" s="4" t="s">
        <v>33645</v>
      </c>
      <c r="C26731" s="5" t="str">
        <f>IFERROR(__xludf.DUMMYFUNCTION("GOOGLETRANSLATE(B26731,""en"",""fr"")"),"L'homme ouvre le sac en plastique.")</f>
        <v>L'homme ouvre le sac en plastique.</v>
      </c>
    </row>
    <row r="26732">
      <c r="A26732" s="4" t="s">
        <v>33642</v>
      </c>
      <c r="B26732" s="4" t="s">
        <v>33646</v>
      </c>
      <c r="C26732" s="5" t="str">
        <f>IFERROR(__xludf.DUMMYFUNCTION("GOOGLETRANSLATE(B26732,""en"",""fr"")"),"Le cadeau Lady enroule la boîte pour l'homme.")</f>
        <v>Le cadeau Lady enroule la boîte pour l'homme.</v>
      </c>
    </row>
    <row r="26733">
      <c r="A26733" s="4" t="s">
        <v>33642</v>
      </c>
      <c r="B26733" s="4" t="s">
        <v>33647</v>
      </c>
      <c r="C26733" s="5" t="str">
        <f>IFERROR(__xludf.DUMMYFUNCTION("GOOGLETRANSLATE(B26733,""en"",""fr"")"),"L'homme prend un coup de feu sur l'emballage des cadeaux.")</f>
        <v>L'homme prend un coup de feu sur l'emballage des cadeaux.</v>
      </c>
    </row>
    <row r="26734">
      <c r="A26734" s="4" t="s">
        <v>33642</v>
      </c>
      <c r="B26734" s="4" t="s">
        <v>33648</v>
      </c>
      <c r="C26734" s="5" t="str">
        <f>IFERROR(__xludf.DUMMYFUNCTION("GOOGLETRANSLATE(B26734,""en"",""fr"")"),"La dame finit enveloppant le cadeau.")</f>
        <v>La dame finit enveloppant le cadeau.</v>
      </c>
    </row>
    <row r="26735">
      <c r="A26735" s="4" t="s">
        <v>33642</v>
      </c>
      <c r="B26735" s="4" t="s">
        <v>33649</v>
      </c>
      <c r="C26735" s="5" t="str">
        <f>IFERROR(__xludf.DUMMYFUNCTION("GOOGLETRANSLATE(B26735,""en"",""fr"")"),"L'homme plie un bord et la dame la bande.")</f>
        <v>L'homme plie un bord et la dame la bande.</v>
      </c>
    </row>
    <row r="26736">
      <c r="A26736" s="4" t="s">
        <v>33642</v>
      </c>
      <c r="B26736" s="4" t="s">
        <v>33650</v>
      </c>
      <c r="C26736" s="5" t="str">
        <f>IFERROR(__xludf.DUMMYFUNCTION("GOOGLETRANSLATE(B26736,""en"",""fr"")"),"L'homme présente la boîte à la caméra et parle.")</f>
        <v>L'homme présente la boîte à la caméra et parle.</v>
      </c>
    </row>
    <row r="26737">
      <c r="A26737" s="4" t="s">
        <v>33642</v>
      </c>
      <c r="B26737" s="4" t="s">
        <v>33651</v>
      </c>
      <c r="C26737" s="5" t="str">
        <f>IFERROR(__xludf.DUMMYFUNCTION("GOOGLETRANSLATE(B26737,""en"",""fr"")"),"L'écran de clôture est ensuite vu et il devient noir.")</f>
        <v>L'écran de clôture est ensuite vu et il devient noir.</v>
      </c>
    </row>
    <row r="26738">
      <c r="A26738" s="4" t="s">
        <v>33652</v>
      </c>
      <c r="B26738" s="4" t="s">
        <v>4448</v>
      </c>
      <c r="C26738" s="5" t="str">
        <f>IFERROR(__xludf.DUMMYFUNCTION("GOOGLETRANSLATE(B26738,""en"",""fr"")"),"Nous voyons l'écran du titre d'ouverture.")</f>
        <v>Nous voyons l'écran du titre d'ouverture.</v>
      </c>
    </row>
    <row r="26739">
      <c r="A26739" s="4" t="s">
        <v>33652</v>
      </c>
      <c r="B26739" s="4" t="s">
        <v>33653</v>
      </c>
      <c r="C26739" s="5" t="str">
        <f>IFERROR(__xludf.DUMMYFUNCTION("GOOGLETRANSLATE(B26739,""en"",""fr"")"),"Nous voyons un homme travailler sur un équipement.")</f>
        <v>Nous voyons un homme travailler sur un équipement.</v>
      </c>
    </row>
    <row r="26740">
      <c r="A26740" s="4" t="s">
        <v>33652</v>
      </c>
      <c r="B26740" s="4" t="s">
        <v>33654</v>
      </c>
      <c r="C26740" s="5" t="str">
        <f>IFERROR(__xludf.DUMMYFUNCTION("GOOGLETRANSLATE(B26740,""en"",""fr"")"),"L'homme chauffe le calfeutrage et le gratte.")</f>
        <v>L'homme chauffe le calfeutrage et le gratte.</v>
      </c>
    </row>
    <row r="26741">
      <c r="A26741" s="4" t="s">
        <v>33652</v>
      </c>
      <c r="B26741" s="4" t="s">
        <v>33655</v>
      </c>
      <c r="C26741" s="5" t="str">
        <f>IFERROR(__xludf.DUMMYFUNCTION("GOOGLETRANSLATE(B26741,""en"",""fr"")"),"L'écran clignote et l'homme met un nouveau calfeutrage.")</f>
        <v>L'écran clignote et l'homme met un nouveau calfeutrage.</v>
      </c>
    </row>
    <row r="26742">
      <c r="A26742" s="4" t="s">
        <v>33652</v>
      </c>
      <c r="B26742" s="4" t="s">
        <v>33656</v>
      </c>
      <c r="C26742" s="5" t="str">
        <f>IFERROR(__xludf.DUMMYFUNCTION("GOOGLETRANSLATE(B26742,""en"",""fr"")"),"L'homme s'arrête et pointe sur le calfeutrage, la scène finale est vue.")</f>
        <v>L'homme s'arrête et pointe sur le calfeutrage, la scène finale est vue.</v>
      </c>
    </row>
    <row r="26743">
      <c r="A26743" s="4" t="s">
        <v>33657</v>
      </c>
      <c r="B26743" s="4" t="s">
        <v>33658</v>
      </c>
      <c r="C26743" s="5" t="str">
        <f>IFERROR(__xludf.DUMMYFUNCTION("GOOGLETRANSLATE(B26743,""en"",""fr"")"),"L'homme porte un kimono noir et des mouvements de yoga Isdoing.")</f>
        <v>L'homme porte un kimono noir et des mouvements de yoga Isdoing.</v>
      </c>
    </row>
    <row r="26744">
      <c r="A26744" s="4" t="s">
        <v>33657</v>
      </c>
      <c r="B26744" s="4" t="s">
        <v>33659</v>
      </c>
      <c r="C26744" s="5" t="str">
        <f>IFERROR(__xludf.DUMMYFUNCTION("GOOGLETRANSLATE(B26744,""en"",""fr"")"),"L'homme se tient dans un grand champ herbeux vert.")</f>
        <v>L'homme se tient dans un grand champ herbeux vert.</v>
      </c>
    </row>
    <row r="26745">
      <c r="A26745" s="4" t="s">
        <v>33657</v>
      </c>
      <c r="B26745" s="4" t="s">
        <v>33660</v>
      </c>
      <c r="C26745" s="5" t="str">
        <f>IFERROR(__xludf.DUMMYFUNCTION("GOOGLETRANSLATE(B26745,""en"",""fr"")"),"L'homme marche lentement en pratiquant des mouvements de boxe.")</f>
        <v>L'homme marche lentement en pratiquant des mouvements de boxe.</v>
      </c>
    </row>
    <row r="26746">
      <c r="A26746" s="4" t="s">
        <v>33661</v>
      </c>
      <c r="B26746" s="4" t="s">
        <v>33662</v>
      </c>
      <c r="C26746" s="5" t="str">
        <f>IFERROR(__xludf.DUMMYFUNCTION("GOOGLETRANSLATE(B26746,""en"",""fr"")"),"Une femme et un homme sont montrés en nageant en arrière dans l'eau d'une piscine.")</f>
        <v>Une femme et un homme sont montrés en nageant en arrière dans l'eau d'une piscine.</v>
      </c>
    </row>
    <row r="26747">
      <c r="A26747" s="4" t="s">
        <v>33661</v>
      </c>
      <c r="B26747" s="4" t="s">
        <v>33663</v>
      </c>
      <c r="C26747" s="5" t="str">
        <f>IFERROR(__xludf.DUMMYFUNCTION("GOOGLETRANSLATE(B26747,""en"",""fr"")"),"Ils démontrent différentes techniques comme nage.")</f>
        <v>Ils démontrent différentes techniques comme nage.</v>
      </c>
    </row>
    <row r="26748">
      <c r="A26748" s="4" t="s">
        <v>33661</v>
      </c>
      <c r="B26748" s="4" t="s">
        <v>33664</v>
      </c>
      <c r="C26748" s="5" t="str">
        <f>IFERROR(__xludf.DUMMYFUNCTION("GOOGLETRANSLATE(B26748,""en"",""fr"")"),"Les noms des différentes méthodes apparaissent à l'écran entre les exemples.")</f>
        <v>Les noms des différentes méthodes apparaissent à l'écran entre les exemples.</v>
      </c>
    </row>
    <row r="26749">
      <c r="A26749" s="4" t="s">
        <v>33665</v>
      </c>
      <c r="B26749" s="4" t="s">
        <v>33666</v>
      </c>
      <c r="C26749" s="5" t="str">
        <f>IFERROR(__xludf.DUMMYFUNCTION("GOOGLETRANSLATE(B26749,""en"",""fr"")"),"Manis portant une chemise blanche et marche dans une herbe verte portant une tondeuse à gazon.")</f>
        <v>Manis portant une chemise blanche et marche dans une herbe verte portant une tondeuse à gazon.</v>
      </c>
    </row>
    <row r="26750">
      <c r="A26750" s="4" t="s">
        <v>33665</v>
      </c>
      <c r="B26750" s="4" t="s">
        <v>33667</v>
      </c>
      <c r="C26750" s="5" t="str">
        <f>IFERROR(__xludf.DUMMYFUNCTION("GOOGLETRANSLATE(B26750,""en"",""fr"")"),"Kid est debout sur le terrain en regardant l'homme avec la tondeuse à gazon.")</f>
        <v>Kid est debout sur le terrain en regardant l'homme avec la tondeuse à gazon.</v>
      </c>
    </row>
    <row r="26751">
      <c r="A26751" s="4" t="s">
        <v>33665</v>
      </c>
      <c r="B26751" s="4" t="s">
        <v>33668</v>
      </c>
      <c r="C26751" s="5" t="str">
        <f>IFERROR(__xludf.DUMMYFUNCTION("GOOGLETRANSLATE(B26751,""en"",""fr"")"),"L'homme se lève et étend la main pour tenir l'enfant.")</f>
        <v>L'homme se lève et étend la main pour tenir l'enfant.</v>
      </c>
    </row>
    <row r="26752">
      <c r="A26752" s="4" t="s">
        <v>33669</v>
      </c>
      <c r="B26752" s="4" t="s">
        <v>33670</v>
      </c>
      <c r="C26752" s="5" t="str">
        <f>IFERROR(__xludf.DUMMYFUNCTION("GOOGLETRANSLATE(B26752,""en"",""fr"")"),"Une femme est vue en parlant à la caméra tout en sortant un bâton dans ses mains.")</f>
        <v>Une femme est vue en parlant à la caméra tout en sortant un bâton dans ses mains.</v>
      </c>
    </row>
    <row r="26753">
      <c r="A26753" s="4" t="s">
        <v>33669</v>
      </c>
      <c r="B26753" s="4" t="s">
        <v>33671</v>
      </c>
      <c r="C26753" s="5" t="str">
        <f>IFERROR(__xludf.DUMMYFUNCTION("GOOGLETRANSLATE(B26753,""en"",""fr"")"),"Elle continue de parler à la caméra tout en tournant autour du bâton.")</f>
        <v>Elle continue de parler à la caméra tout en tournant autour du bâton.</v>
      </c>
    </row>
    <row r="26754">
      <c r="A26754" s="4" t="s">
        <v>33669</v>
      </c>
      <c r="B26754" s="4" t="s">
        <v>33672</v>
      </c>
      <c r="C26754" s="5" t="str">
        <f>IFERROR(__xludf.DUMMYFUNCTION("GOOGLETRANSLATE(B26754,""en"",""fr"")"),"Elle continue de tourner autour du bâton et de montrer comment la faire tournoyer correctement.")</f>
        <v>Elle continue de tourner autour du bâton et de montrer comment la faire tournoyer correctement.</v>
      </c>
    </row>
    <row r="26755">
      <c r="A26755" s="4" t="s">
        <v>33673</v>
      </c>
      <c r="B26755" s="4" t="s">
        <v>33674</v>
      </c>
      <c r="C26755" s="5" t="str">
        <f>IFERROR(__xludf.DUMMYFUNCTION("GOOGLETRANSLATE(B26755,""en"",""fr"")"),"Une dame et un homme s'agenouillent dans une bague de curling.")</f>
        <v>Une dame et un homme s'agenouillent dans une bague de curling.</v>
      </c>
    </row>
    <row r="26756">
      <c r="A26756" s="4" t="s">
        <v>33673</v>
      </c>
      <c r="B26756" s="4" t="s">
        <v>33675</v>
      </c>
      <c r="C26756" s="5" t="str">
        <f>IFERROR(__xludf.DUMMYFUNCTION("GOOGLETRANSLATE(B26756,""en"",""fr"")"),"Ils se parlent et un balai entre en scène.")</f>
        <v>Ils se parlent et un balai entre en scène.</v>
      </c>
    </row>
    <row r="26757">
      <c r="A26757" s="4" t="s">
        <v>33673</v>
      </c>
      <c r="B26757" s="4" t="s">
        <v>33676</v>
      </c>
      <c r="C26757" s="5" t="str">
        <f>IFERROR(__xludf.DUMMYFUNCTION("GOOGLETRANSLATE(B26757,""en"",""fr"")"),"Ils commencent à avancer.")</f>
        <v>Ils commencent à avancer.</v>
      </c>
    </row>
    <row r="26758">
      <c r="A26758" s="4" t="s">
        <v>33673</v>
      </c>
      <c r="B26758" s="4" t="s">
        <v>33677</v>
      </c>
      <c r="C26758" s="5" t="str">
        <f>IFERROR(__xludf.DUMMYFUNCTION("GOOGLETRANSLATE(B26758,""en"",""fr"")"),"L'homme s'arrête et la dame trébuche.")</f>
        <v>L'homme s'arrête et la dame trébuche.</v>
      </c>
    </row>
    <row r="26759">
      <c r="A26759" s="4" t="s">
        <v>33678</v>
      </c>
      <c r="B26759" s="6" t="s">
        <v>33679</v>
      </c>
      <c r="C26759" s="5" t="str">
        <f>IFERROR(__xludf.DUMMYFUNCTION("GOOGLETRANSLATE(B26759,""en"",""fr"")"),"Un homme se tient à l'intérieur, sur une plate-forme, devant trois spectateurs, et soulève une cloche de bar fortement pondérée.")</f>
        <v>Un homme se tient à l'intérieur, sur une plate-forme, devant trois spectateurs, et soulève une cloche de bar fortement pondérée.</v>
      </c>
    </row>
    <row r="26760">
      <c r="A26760" s="4" t="s">
        <v>33678</v>
      </c>
      <c r="B26760" s="4" t="s">
        <v>33680</v>
      </c>
      <c r="C26760" s="5" t="str">
        <f>IFERROR(__xludf.DUMMYFUNCTION("GOOGLETRANSLATE(B26760,""en"",""fr"")"),"Un homme s'approche d'une haltère sur le sol et se tient avant de se préparer à la soulever.")</f>
        <v>Un homme s'approche d'une haltère sur le sol et se tient avant de se préparer à la soulever.</v>
      </c>
    </row>
    <row r="26761">
      <c r="A26761" s="4" t="s">
        <v>33678</v>
      </c>
      <c r="B26761" s="4" t="s">
        <v>33681</v>
      </c>
      <c r="C26761" s="5" t="str">
        <f>IFERROR(__xludf.DUMMYFUNCTION("GOOGLETRANSLATE(B26761,""en"",""fr"")"),"L'homme se penche ensuite aux genoux et met ses mains sur la partie barre du poids.")</f>
        <v>L'homme se penche ensuite aux genoux et met ses mains sur la partie barre du poids.</v>
      </c>
    </row>
    <row r="26762">
      <c r="A26762" s="4" t="s">
        <v>33678</v>
      </c>
      <c r="B26762" s="6" t="s">
        <v>33682</v>
      </c>
      <c r="C26762" s="5" t="str">
        <f>IFERROR(__xludf.DUMMYFUNCTION("GOOGLETRANSLATE(B26762,""en"",""fr"")"),"L'homme soulève ensuite la cloche au-dessus de sa tête puis laisse la cloche tomber au sol où elle rebondit un peu à l'atterrissage tandis que l'homme se retourne et s'éloigne du poids.")</f>
        <v>L'homme soulève ensuite la cloche au-dessus de sa tête puis laisse la cloche tomber au sol où elle rebondit un peu à l'atterrissage tandis que l'homme se retourne et s'éloigne du poids.</v>
      </c>
    </row>
    <row r="26763">
      <c r="A26763" s="4" t="s">
        <v>33683</v>
      </c>
      <c r="B26763" s="6" t="s">
        <v>33684</v>
      </c>
      <c r="C26763" s="5" t="str">
        <f>IFERROR(__xludf.DUMMYFUNCTION("GOOGLETRANSLATE(B26763,""en"",""fr"")"),"Deux hommes décrivent l'escalade de plomb tandis qu'un homme dans une chemise vert vif grimpe un mur d'escalade, l'autre homme portant une chemise verte foncé tient la ligne de tête et explique le processus.")</f>
        <v>Deux hommes décrivent l'escalade de plomb tandis qu'un homme dans une chemise vert vif grimpe un mur d'escalade, l'autre homme portant une chemise verte foncé tient la ligne de tête et explique le processus.</v>
      </c>
    </row>
    <row r="26764">
      <c r="A26764" s="4" t="s">
        <v>33683</v>
      </c>
      <c r="B26764" s="6" t="s">
        <v>33685</v>
      </c>
      <c r="C26764" s="5" t="str">
        <f>IFERROR(__xludf.DUMMYFUNCTION("GOOGLETRANSLATE(B26764,""en"",""fr"")"),"L'homme dans la chemise verte foncée place une sangle et le lien vers le mur d'escalade et verse une corde à travers le clip.")</f>
        <v>L'homme dans la chemise verte foncée place une sangle et le lien vers le mur d'escalade et verse une corde à travers le clip.</v>
      </c>
    </row>
    <row r="26765">
      <c r="A26765" s="4" t="s">
        <v>33683</v>
      </c>
      <c r="B26765" s="4" t="s">
        <v>33686</v>
      </c>
      <c r="C26765" s="5" t="str">
        <f>IFERROR(__xludf.DUMMYFUNCTION("GOOGLETRANSLATE(B26765,""en"",""fr"")"),"L'homme inverse la position de la sangle et fait boucler la corde à travers le lien de l'œil de sangle.")</f>
        <v>L'homme inverse la position de la sangle et fait boucler la corde à travers le lien de l'œil de sangle.</v>
      </c>
    </row>
    <row r="26766">
      <c r="A26766" s="4" t="s">
        <v>33683</v>
      </c>
      <c r="B26766" s="4" t="s">
        <v>33687</v>
      </c>
      <c r="C26766" s="5" t="str">
        <f>IFERROR(__xludf.DUMMYFUNCTION("GOOGLETRANSLATE(B26766,""en"",""fr"")"),"L'homme dans la chemise vert vif continue de grimper au sommet du mur.")</f>
        <v>L'homme dans la chemise vert vif continue de grimper au sommet du mur.</v>
      </c>
    </row>
    <row r="26767">
      <c r="A26767" s="4" t="s">
        <v>33683</v>
      </c>
      <c r="B26767" s="4" t="s">
        <v>33688</v>
      </c>
      <c r="C26767" s="5" t="str">
        <f>IFERROR(__xludf.DUMMYFUNCTION("GOOGLETRANSLATE(B26767,""en"",""fr"")"),"L'homme dans la chemise vert foncé continue de parler à la caméra.")</f>
        <v>L'homme dans la chemise vert foncé continue de parler à la caméra.</v>
      </c>
    </row>
    <row r="26768">
      <c r="A26768" s="4" t="s">
        <v>33689</v>
      </c>
      <c r="B26768" s="4" t="s">
        <v>33690</v>
      </c>
      <c r="C26768" s="5" t="str">
        <f>IFERROR(__xludf.DUMMYFUNCTION("GOOGLETRANSLATE(B26768,""en"",""fr"")"),"Une femme lance quelque chose sur une autre.")</f>
        <v>Une femme lance quelque chose sur une autre.</v>
      </c>
    </row>
    <row r="26769">
      <c r="A26769" s="4" t="s">
        <v>33689</v>
      </c>
      <c r="B26769" s="4" t="s">
        <v>33691</v>
      </c>
      <c r="C26769" s="5" t="str">
        <f>IFERROR(__xludf.DUMMYFUNCTION("GOOGLETRANSLATE(B26769,""en"",""fr"")"),"Ensuite, les deux femmes jouent de la marelle.")</f>
        <v>Ensuite, les deux femmes jouent de la marelle.</v>
      </c>
    </row>
    <row r="26770">
      <c r="A26770" s="4" t="s">
        <v>33692</v>
      </c>
      <c r="B26770" s="4" t="s">
        <v>33693</v>
      </c>
      <c r="C26770" s="5" t="str">
        <f>IFERROR(__xludf.DUMMYFUNCTION("GOOGLETRANSLATE(B26770,""en"",""fr"")"),"Une femme est assise derrière un bureau en parlant à la caméra.")</f>
        <v>Une femme est assise derrière un bureau en parlant à la caméra.</v>
      </c>
    </row>
    <row r="26771">
      <c r="A26771" s="4" t="s">
        <v>33692</v>
      </c>
      <c r="B26771" s="4" t="s">
        <v>33694</v>
      </c>
      <c r="C26771" s="5" t="str">
        <f>IFERROR(__xludf.DUMMYFUNCTION("GOOGLETRANSLATE(B26771,""en"",""fr"")"),"Une femme entre dans une pièce et s'assoit dans un banc.")</f>
        <v>Une femme entre dans une pièce et s'assoit dans un banc.</v>
      </c>
    </row>
    <row r="26772">
      <c r="A26772" s="4" t="s">
        <v>33692</v>
      </c>
      <c r="B26772" s="4" t="s">
        <v>33695</v>
      </c>
      <c r="C26772" s="5" t="str">
        <f>IFERROR(__xludf.DUMMYFUNCTION("GOOGLETRANSLATE(B26772,""en"",""fr"")"),"La femme commence à tricoter.")</f>
        <v>La femme commence à tricoter.</v>
      </c>
    </row>
    <row r="26773">
      <c r="A26773" s="4" t="s">
        <v>33692</v>
      </c>
      <c r="B26773" s="4" t="s">
        <v>33696</v>
      </c>
      <c r="C26773" s="5" t="str">
        <f>IFERROR(__xludf.DUMMYFUNCTION("GOOGLETRANSLATE(B26773,""en"",""fr"")"),"La femme parle ensuite à la caméra.")</f>
        <v>La femme parle ensuite à la caméra.</v>
      </c>
    </row>
    <row r="26774">
      <c r="A26774" s="4" t="s">
        <v>33697</v>
      </c>
      <c r="B26774" s="4" t="s">
        <v>33698</v>
      </c>
      <c r="C26774" s="5" t="str">
        <f>IFERROR(__xludf.DUMMYFUNCTION("GOOGLETRANSLATE(B26774,""en"",""fr"")"),"Les enfants sautent dans un gymnase.")</f>
        <v>Les enfants sautent dans un gymnase.</v>
      </c>
    </row>
    <row r="26775">
      <c r="A26775" s="4" t="s">
        <v>33697</v>
      </c>
      <c r="B26775" s="4" t="s">
        <v>33699</v>
      </c>
      <c r="C26775" s="5" t="str">
        <f>IFERROR(__xludf.DUMMYFUNCTION("GOOGLETRANSLATE(B26775,""en"",""fr"")"),"Ils se retournent les uns sur les autres.")</f>
        <v>Ils se retournent les uns sur les autres.</v>
      </c>
    </row>
    <row r="26776">
      <c r="A26776" s="4" t="s">
        <v>33697</v>
      </c>
      <c r="B26776" s="4" t="s">
        <v>33700</v>
      </c>
      <c r="C26776" s="5" t="str">
        <f>IFERROR(__xludf.DUMMYFUNCTION("GOOGLETRANSLATE(B26776,""en"",""fr"")"),"Les gens du public applaudissent pour eux à la fin.")</f>
        <v>Les gens du public applaudissent pour eux à la fin.</v>
      </c>
    </row>
    <row r="26777">
      <c r="A26777" s="4" t="s">
        <v>33701</v>
      </c>
      <c r="B26777" s="4" t="s">
        <v>33702</v>
      </c>
      <c r="C26777" s="5" t="str">
        <f>IFERROR(__xludf.DUMMYFUNCTION("GOOGLETRANSLATE(B26777,""en"",""fr"")"),"Un gros plan des pieds d'une personne est vu ainsi que du texte à l'écran.")</f>
        <v>Un gros plan des pieds d'une personne est vu ainsi que du texte à l'écran.</v>
      </c>
    </row>
    <row r="26778">
      <c r="A26778" s="4" t="s">
        <v>33701</v>
      </c>
      <c r="B26778" s="4" t="s">
        <v>33703</v>
      </c>
      <c r="C26778" s="5" t="str">
        <f>IFERROR(__xludf.DUMMYFUNCTION("GOOGLETRANSLATE(B26778,""en"",""fr"")"),"La personne est vue enlever les lacets et courir les chaussures sous l'eau.")</f>
        <v>La personne est vue enlever les lacets et courir les chaussures sous l'eau.</v>
      </c>
    </row>
    <row r="26779">
      <c r="A26779" s="4" t="s">
        <v>33701</v>
      </c>
      <c r="B26779" s="4" t="s">
        <v>33704</v>
      </c>
      <c r="C26779" s="5" t="str">
        <f>IFERROR(__xludf.DUMMYFUNCTION("GOOGLETRANSLATE(B26779,""en"",""fr"")"),"La personne mélange les ingrédients dans un bol et frotte les chaussures à l'aide de la brosse à dents.")</f>
        <v>La personne mélange les ingrédients dans un bol et frotte les chaussures à l'aide de la brosse à dents.</v>
      </c>
    </row>
    <row r="26780">
      <c r="A26780" s="4" t="s">
        <v>33701</v>
      </c>
      <c r="B26780" s="4" t="s">
        <v>33705</v>
      </c>
      <c r="C26780" s="5" t="str">
        <f>IFERROR(__xludf.DUMMYFUNCTION("GOOGLETRANSLATE(B26780,""en"",""fr"")"),"Elle colle ensuite les chaussures dans le lavage et les montre par la suite.")</f>
        <v>Elle colle ensuite les chaussures dans le lavage et les montre par la suite.</v>
      </c>
    </row>
    <row r="26781">
      <c r="A26781" s="4" t="s">
        <v>33706</v>
      </c>
      <c r="B26781" s="4" t="s">
        <v>33707</v>
      </c>
      <c r="C26781" s="5" t="str">
        <f>IFERROR(__xludf.DUMMYFUNCTION("GOOGLETRANSLATE(B26781,""en"",""fr"")"),"Nous voyons un homme se préparer à jeter un marteau en athlétisme.")</f>
        <v>Nous voyons un homme se préparer à jeter un marteau en athlétisme.</v>
      </c>
    </row>
    <row r="26782">
      <c r="A26782" s="4" t="s">
        <v>33706</v>
      </c>
      <c r="B26782" s="4" t="s">
        <v>33708</v>
      </c>
      <c r="C26782" s="5" t="str">
        <f>IFERROR(__xludf.DUMMYFUNCTION("GOOGLETRANSLATE(B26782,""en"",""fr"")"),"L'homme secoue les jambes et se rend sur le terrain.")</f>
        <v>L'homme secoue les jambes et se rend sur le terrain.</v>
      </c>
    </row>
    <row r="26783">
      <c r="A26783" s="4" t="s">
        <v>33706</v>
      </c>
      <c r="B26783" s="4" t="s">
        <v>33709</v>
      </c>
      <c r="C26783" s="5" t="str">
        <f>IFERROR(__xludf.DUMMYFUNCTION("GOOGLETRANSLATE(B26783,""en"",""fr"")"),"L'homme tourne fort et jette le marteau.")</f>
        <v>L'homme tourne fort et jette le marteau.</v>
      </c>
    </row>
    <row r="26784">
      <c r="A26784" s="4" t="s">
        <v>33706</v>
      </c>
      <c r="B26784" s="4" t="s">
        <v>33710</v>
      </c>
      <c r="C26784" s="5" t="str">
        <f>IFERROR(__xludf.DUMMYFUNCTION("GOOGLETRANSLATE(B26784,""en"",""fr"")"),"Nous voyons le marteau alors qu'il traverse la piste.")</f>
        <v>Nous voyons le marteau alors qu'il traverse la piste.</v>
      </c>
    </row>
    <row r="26785">
      <c r="A26785" s="4" t="s">
        <v>33711</v>
      </c>
      <c r="B26785" s="4" t="s">
        <v>33712</v>
      </c>
      <c r="C26785" s="5" t="str">
        <f>IFERROR(__xludf.DUMMYFUNCTION("GOOGLETRANSLATE(B26785,""en"",""fr"")"),"Deux hommes se déroulent sur un terrain de jeu qui conduit à un abandon sur le sol.")</f>
        <v>Deux hommes se déroulent sur un terrain de jeu qui conduit à un abandon sur le sol.</v>
      </c>
    </row>
    <row r="26786">
      <c r="A26786" s="4" t="s">
        <v>33711</v>
      </c>
      <c r="B26786" s="4" t="s">
        <v>33713</v>
      </c>
      <c r="C26786" s="5" t="str">
        <f>IFERROR(__xludf.DUMMYFUNCTION("GOOGLETRANSLATE(B26786,""en"",""fr"")"),"La caméra zoome sur l'homme tombé pendant qu'ils rient tous ensemble.")</f>
        <v>La caméra zoome sur l'homme tombé pendant qu'ils rient tous ensemble.</v>
      </c>
    </row>
    <row r="26787">
      <c r="A26787" s="4" t="s">
        <v>33714</v>
      </c>
      <c r="B26787" s="6" t="s">
        <v>33715</v>
      </c>
      <c r="C26787" s="5" t="str">
        <f>IFERROR(__xludf.DUMMYFUNCTION("GOOGLETRANSLATE(B26787,""en"",""fr"")"),"Une fille monte sur un cheval blanc qui se trouve dans un parcours d'obstacles clos, mais il marche, trottant et coulant autour du périmètre en faisant des tours.")</f>
        <v>Une fille monte sur un cheval blanc qui se trouve dans un parcours d'obstacles clos, mais il marche, trottant et coulant autour du périmètre en faisant des tours.</v>
      </c>
    </row>
    <row r="26788">
      <c r="A26788" s="4" t="s">
        <v>33714</v>
      </c>
      <c r="B26788" s="6" t="s">
        <v>33716</v>
      </c>
      <c r="C26788" s="5" t="str">
        <f>IFERROR(__xludf.DUMMYFUNCTION("GOOGLETRANSLATE(B26788,""en"",""fr"")"),"Une autre fille est maintenant au centre et elle monte sur un cheval brun plus grand qui commence à marcher, à trotter et ils restent également sur le périmètre de la région.")</f>
        <v>Une autre fille est maintenant au centre et elle monte sur un cheval brun plus grand qui commence à marcher, à trotter et ils restent également sur le périmètre de la région.</v>
      </c>
    </row>
    <row r="26789">
      <c r="A26789" s="4" t="s">
        <v>33714</v>
      </c>
      <c r="B26789" s="6" t="s">
        <v>33717</v>
      </c>
      <c r="C26789" s="5" t="str">
        <f>IFERROR(__xludf.DUMMYFUNCTION("GOOGLETRANSLATE(B26789,""en"",""fr"")"),"Lorsque le cheval brun a fini de faire le tour dans les tours, il se dirige vers le cheval blanc qui est maintenant au milieu de la zone et il s'arrête.")</f>
        <v>Lorsque le cheval brun a fini de faire le tour dans les tours, il se dirige vers le cheval blanc qui est maintenant au milieu de la zone et il s'arrête.</v>
      </c>
    </row>
    <row r="26790">
      <c r="A26790" s="4" t="s">
        <v>33718</v>
      </c>
      <c r="B26790" s="4" t="s">
        <v>33719</v>
      </c>
      <c r="C26790" s="5" t="str">
        <f>IFERROR(__xludf.DUMMYFUNCTION("GOOGLETRANSLATE(B26790,""en"",""fr"")"),"Il y a plusieurs filles prêtes avec leurs cordes de saut dans un gymnase intérieur.")</f>
        <v>Il y a plusieurs filles prêtes avec leurs cordes de saut dans un gymnase intérieur.</v>
      </c>
    </row>
    <row r="26791">
      <c r="A26791" s="4" t="s">
        <v>33718</v>
      </c>
      <c r="B26791" s="4" t="s">
        <v>33720</v>
      </c>
      <c r="C26791" s="5" t="str">
        <f>IFERROR(__xludf.DUMMYFUNCTION("GOOGLETRANSLATE(B26791,""en"",""fr"")"),"Ils sont prêts à participer à la compétition.")</f>
        <v>Ils sont prêts à participer à la compétition.</v>
      </c>
    </row>
    <row r="26792">
      <c r="A26792" s="4" t="s">
        <v>33718</v>
      </c>
      <c r="B26792" s="4" t="s">
        <v>33721</v>
      </c>
      <c r="C26792" s="5" t="str">
        <f>IFERROR(__xludf.DUMMYFUNCTION("GOOGLETRANSLATE(B26792,""en"",""fr"")"),"Il y a plusieurs personnes assises et debout qui regardent les filles alors qu'elles sautent la corde.")</f>
        <v>Il y a plusieurs personnes assises et debout qui regardent les filles alors qu'elles sautent la corde.</v>
      </c>
    </row>
    <row r="26793">
      <c r="A26793" s="4" t="s">
        <v>33718</v>
      </c>
      <c r="B26793" s="4" t="s">
        <v>33722</v>
      </c>
      <c r="C26793" s="5" t="str">
        <f>IFERROR(__xludf.DUMMYFUNCTION("GOOGLETRANSLATE(B26793,""en"",""fr"")"),"Les filles se relayèrent et sautent la corde de manière relais.")</f>
        <v>Les filles se relayèrent et sautent la corde de manière relais.</v>
      </c>
    </row>
    <row r="26794">
      <c r="A26794" s="4" t="s">
        <v>33718</v>
      </c>
      <c r="B26794" s="6" t="s">
        <v>33723</v>
      </c>
      <c r="C26794" s="5" t="str">
        <f>IFERROR(__xludf.DUMMYFUNCTION("GOOGLETRANSLATE(B26794,""en"",""fr"")"),"Ils basculent entre les concurrents et passent d'un saut rapide à un saut plus lent et plus stable.")</f>
        <v>Ils basculent entre les concurrents et passent d'un saut rapide à un saut plus lent et plus stable.</v>
      </c>
    </row>
    <row r="26795">
      <c r="A26795" s="4" t="s">
        <v>33718</v>
      </c>
      <c r="B26795" s="4" t="s">
        <v>33724</v>
      </c>
      <c r="C26795" s="5" t="str">
        <f>IFERROR(__xludf.DUMMYFUNCTION("GOOGLETRANSLATE(B26795,""en"",""fr"")"),"Ils se relaient pendant qu'ils sautent.")</f>
        <v>Ils se relaient pendant qu'ils sautent.</v>
      </c>
    </row>
    <row r="26796">
      <c r="A26796" s="4" t="s">
        <v>33718</v>
      </c>
      <c r="B26796" s="4" t="s">
        <v>33725</v>
      </c>
      <c r="C26796" s="5" t="str">
        <f>IFERROR(__xludf.DUMMYFUNCTION("GOOGLETRANSLATE(B26796,""en"",""fr"")"),"Après s'être arrêtés, la foule applaudit et applaudit.")</f>
        <v>Après s'être arrêtés, la foule applaudit et applaudit.</v>
      </c>
    </row>
    <row r="26797">
      <c r="A26797" s="4" t="s">
        <v>33726</v>
      </c>
      <c r="B26797" s="4" t="s">
        <v>33727</v>
      </c>
      <c r="C26797" s="5" t="str">
        <f>IFERROR(__xludf.DUMMYFUNCTION("GOOGLETRANSLATE(B26797,""en"",""fr"")"),"Un groupe de personnes s'est rassemblé dans un tribunal en plein air.")</f>
        <v>Un groupe de personnes s'est rassemblé dans un tribunal en plein air.</v>
      </c>
    </row>
    <row r="26798">
      <c r="A26798" s="4" t="s">
        <v>33726</v>
      </c>
      <c r="B26798" s="4" t="s">
        <v>33728</v>
      </c>
      <c r="C26798" s="5" t="str">
        <f>IFERROR(__xludf.DUMMYFUNCTION("GOOGLETRANSLATE(B26798,""en"",""fr"")"),"Ils sont impliqués dans un jeu de curling.")</f>
        <v>Ils sont impliqués dans un jeu de curling.</v>
      </c>
    </row>
    <row r="26799">
      <c r="A26799" s="4" t="s">
        <v>33726</v>
      </c>
      <c r="B26799" s="4" t="s">
        <v>33729</v>
      </c>
      <c r="C26799" s="5" t="str">
        <f>IFERROR(__xludf.DUMMYFUNCTION("GOOGLETRANSLATE(B26799,""en"",""fr"")"),"Chaque personne utilise le bâton pour pousser la rondelle alors qu'une fille parle à la caméra.")</f>
        <v>Chaque personne utilise le bâton pour pousser la rondelle alors qu'une fille parle à la caméra.</v>
      </c>
    </row>
    <row r="26800">
      <c r="A26800" s="4" t="s">
        <v>33730</v>
      </c>
      <c r="B26800" s="4" t="s">
        <v>33731</v>
      </c>
      <c r="C26800" s="5" t="str">
        <f>IFERROR(__xludf.DUMMYFUNCTION("GOOGLETRANSLATE(B26800,""en"",""fr"")"),"Les enfants se tiennent dans un champ d'herbe verte volant des cerfs-volants.")</f>
        <v>Les enfants se tiennent dans un champ d'herbe verte volant des cerfs-volants.</v>
      </c>
    </row>
    <row r="26801">
      <c r="A26801" s="4" t="s">
        <v>33730</v>
      </c>
      <c r="B26801" s="4" t="s">
        <v>33732</v>
      </c>
      <c r="C26801" s="5" t="str">
        <f>IFERROR(__xludf.DUMMYFUNCTION("GOOGLETRANSLATE(B26801,""en"",""fr"")"),"L'homme portant une chemise blanche pilote le cerf-volant dans un champ de lage.")</f>
        <v>L'homme portant une chemise blanche pilote le cerf-volant dans un champ de lage.</v>
      </c>
    </row>
    <row r="26802">
      <c r="A26802" s="4" t="s">
        <v>33730</v>
      </c>
      <c r="B26802" s="4" t="s">
        <v>33733</v>
      </c>
      <c r="C26802" s="5" t="str">
        <f>IFERROR(__xludf.DUMMYFUNCTION("GOOGLETRANSLATE(B26802,""en"",""fr"")"),"Litle Kid portant une chemise orange regarde l'homme.")</f>
        <v>Litle Kid portant une chemise orange regarde l'homme.</v>
      </c>
    </row>
    <row r="26803">
      <c r="A26803" s="4" t="s">
        <v>33734</v>
      </c>
      <c r="B26803" s="6" t="s">
        <v>33735</v>
      </c>
      <c r="C26803" s="5" t="str">
        <f>IFERROR(__xludf.DUMMYFUNCTION("GOOGLETRANSLATE(B26803,""en"",""fr"")"),"La vidéo mène à plusieurs clips d'un joueur de hockey se déplaçant autour de la glace et des joueurs parlant à la caméra.")</f>
        <v>La vidéo mène à plusieurs clips d'un joueur de hockey se déplaçant autour de la glace et des joueurs parlant à la caméra.</v>
      </c>
    </row>
    <row r="26804">
      <c r="A26804" s="4" t="s">
        <v>33734</v>
      </c>
      <c r="B26804" s="6" t="s">
        <v>33736</v>
      </c>
      <c r="C26804" s="5" t="str">
        <f>IFERROR(__xludf.DUMMYFUNCTION("GOOGLETRANSLATE(B26804,""en"",""fr"")"),"Les gens continuent de patiner sur la glace tout en s'entraînant alors que les joueurs interviennent pour parler à la caméra.")</f>
        <v>Les gens continuent de patiner sur la glace tout en s'entraînant alors que les joueurs interviennent pour parler à la caméra.</v>
      </c>
    </row>
    <row r="26805">
      <c r="A26805" s="4" t="s">
        <v>33737</v>
      </c>
      <c r="B26805" s="4" t="s">
        <v>33738</v>
      </c>
      <c r="C26805" s="5" t="str">
        <f>IFERROR(__xludf.DUMMYFUNCTION("GOOGLETRANSLATE(B26805,""en"",""fr"")"),"Une intro du texte mène à plusieurs plans d'un entrepôt et des personnes travaillant avec des torches.")</f>
        <v>Une intro du texte mène à plusieurs plans d'un entrepôt et des personnes travaillant avec des torches.</v>
      </c>
    </row>
    <row r="26806">
      <c r="A26806" s="4" t="s">
        <v>33737</v>
      </c>
      <c r="B26806" s="4" t="s">
        <v>33739</v>
      </c>
      <c r="C26806" s="5" t="str">
        <f>IFERROR(__xludf.DUMMYFUNCTION("GOOGLETRANSLATE(B26806,""en"",""fr"")"),"Les gens sont vus utiliser des ordinateurs ainsi que des aimants qui conduisent à des gens qui font des gâteaux.")</f>
        <v>Les gens sont vus utiliser des ordinateurs ainsi que des aimants qui conduisent à des gens qui font des gâteaux.</v>
      </c>
    </row>
    <row r="26807">
      <c r="A26807" s="4" t="s">
        <v>33737</v>
      </c>
      <c r="B26807" s="6" t="s">
        <v>33740</v>
      </c>
      <c r="C26807" s="5" t="str">
        <f>IFERROR(__xludf.DUMMYFUNCTION("GOOGLETRANSLATE(B26807,""en"",""fr"")"),"Les gens utilisent plusieurs outils et matériaux pour fabriquer un grand gâteau qui se déplace et l'amène dans une exposition à la fin.")</f>
        <v>Les gens utilisent plusieurs outils et matériaux pour fabriquer un grand gâteau qui se déplace et l'amène dans une exposition à la fin.</v>
      </c>
    </row>
    <row r="26808">
      <c r="A26808" s="4" t="s">
        <v>33741</v>
      </c>
      <c r="B26808" s="4" t="s">
        <v>33742</v>
      </c>
      <c r="C26808" s="5" t="str">
        <f>IFERROR(__xludf.DUMMYFUNCTION("GOOGLETRANSLATE(B26808,""en"",""fr"")"),"Un groupe d'amis s'assoit ensemble contre une clôture dans un skate park.")</f>
        <v>Un groupe d'amis s'assoit ensemble contre une clôture dans un skate park.</v>
      </c>
    </row>
    <row r="26809">
      <c r="A26809" s="4" t="s">
        <v>33741</v>
      </c>
      <c r="B26809" s="4" t="s">
        <v>33743</v>
      </c>
      <c r="C26809" s="5" t="str">
        <f>IFERROR(__xludf.DUMMYFUNCTION("GOOGLETRANSLATE(B26809,""en"",""fr"")"),"Les gens sur les lames à rouleaux font des astuces sur une rampe sur les marches.")</f>
        <v>Les gens sur les lames à rouleaux font des astuces sur une rampe sur les marches.</v>
      </c>
    </row>
    <row r="26810">
      <c r="A26810" s="4" t="s">
        <v>33741</v>
      </c>
      <c r="B26810" s="4" t="s">
        <v>33744</v>
      </c>
      <c r="C26810" s="5" t="str">
        <f>IFERROR(__xludf.DUMMYFUNCTION("GOOGLETRANSLATE(B26810,""en"",""fr"")"),"Les gens sur les lames à roulettes font des astuces sur un banc au skate park.")</f>
        <v>Les gens sur les lames à roulettes font des astuces sur un banc au skate park.</v>
      </c>
    </row>
    <row r="26811">
      <c r="A26811" s="4" t="s">
        <v>33741</v>
      </c>
      <c r="B26811" s="4" t="s">
        <v>33745</v>
      </c>
      <c r="C26811" s="5" t="str">
        <f>IFERROR(__xludf.DUMMYFUNCTION("GOOGLETRANSLATE(B26811,""en"",""fr"")"),"Les gens font des camions sur une balustrade sur une rampe au skate park.")</f>
        <v>Les gens font des camions sur une balustrade sur une rampe au skate park.</v>
      </c>
    </row>
    <row r="26812">
      <c r="A26812" s="4" t="s">
        <v>33741</v>
      </c>
      <c r="B26812" s="4" t="s">
        <v>33746</v>
      </c>
      <c r="C26812" s="5" t="str">
        <f>IFERROR(__xludf.DUMMYFUNCTION("GOOGLETRANSLATE(B26812,""en"",""fr"")"),"Les patins à roulettes roulent sur des rampes de demi-tuyaux.")</f>
        <v>Les patins à roulettes roulent sur des rampes de demi-tuyaux.</v>
      </c>
    </row>
    <row r="26813">
      <c r="A26813" s="4" t="s">
        <v>33747</v>
      </c>
      <c r="B26813" s="4" t="s">
        <v>33748</v>
      </c>
      <c r="C26813" s="5" t="str">
        <f>IFERROR(__xludf.DUMMYFUNCTION("GOOGLETRANSLATE(B26813,""en"",""fr"")"),"Un gars grimpe dans les escaliers portant un amplificateur noir.")</f>
        <v>Un gars grimpe dans les escaliers portant un amplificateur noir.</v>
      </c>
    </row>
    <row r="26814">
      <c r="A26814" s="4" t="s">
        <v>33747</v>
      </c>
      <c r="B26814" s="4" t="s">
        <v>33749</v>
      </c>
      <c r="C26814" s="5" t="str">
        <f>IFERROR(__xludf.DUMMYFUNCTION("GOOGLETRANSLATE(B26814,""en"",""fr"")"),"Le gars franchit une porte qu'il a ouvert.")</f>
        <v>Le gars franchit une porte qu'il a ouvert.</v>
      </c>
    </row>
    <row r="26815">
      <c r="A26815" s="4" t="s">
        <v>33747</v>
      </c>
      <c r="B26815" s="4" t="s">
        <v>33750</v>
      </c>
      <c r="C26815" s="5" t="str">
        <f>IFERROR(__xludf.DUMMYFUNCTION("GOOGLETRANSLATE(B26815,""en"",""fr"")"),"Le gars joue une harmonica avec un microphone dans une main.")</f>
        <v>Le gars joue une harmonica avec un microphone dans une main.</v>
      </c>
    </row>
    <row r="26816">
      <c r="A26816" s="4" t="s">
        <v>33747</v>
      </c>
      <c r="B26816" s="4" t="s">
        <v>33751</v>
      </c>
      <c r="C26816" s="5" t="str">
        <f>IFERROR(__xludf.DUMMYFUNCTION("GOOGLETRANSLATE(B26816,""en"",""fr"")"),"Le gars joue de la guitare.")</f>
        <v>Le gars joue de la guitare.</v>
      </c>
    </row>
    <row r="26817">
      <c r="A26817" s="4" t="s">
        <v>33747</v>
      </c>
      <c r="B26817" s="4" t="s">
        <v>33752</v>
      </c>
      <c r="C26817" s="5" t="str">
        <f>IFERROR(__xludf.DUMMYFUNCTION("GOOGLETRANSLATE(B26817,""en"",""fr"")"),"L'amplificateur noir est affiché sur une table.")</f>
        <v>L'amplificateur noir est affiché sur une table.</v>
      </c>
    </row>
    <row r="26818">
      <c r="A26818" s="4" t="s">
        <v>33747</v>
      </c>
      <c r="B26818" s="4" t="s">
        <v>33753</v>
      </c>
      <c r="C26818" s="5" t="str">
        <f>IFERROR(__xludf.DUMMYFUNCTION("GOOGLETRANSLATE(B26818,""en"",""fr"")"),"L'amplificateur est affiché sur une table.")</f>
        <v>L'amplificateur est affiché sur une table.</v>
      </c>
    </row>
    <row r="26819">
      <c r="A26819" s="4" t="s">
        <v>33754</v>
      </c>
      <c r="B26819" s="4" t="s">
        <v>33755</v>
      </c>
      <c r="C26819" s="5" t="str">
        <f>IFERROR(__xludf.DUMMYFUNCTION("GOOGLETRANSLATE(B26819,""en"",""fr"")"),"Une femme est vue en parlant à la caméra avec divers ingrédients disposés ainsi que son nettoyage.")</f>
        <v>Une femme est vue en parlant à la caméra avec divers ingrédients disposés ainsi que son nettoyage.</v>
      </c>
    </row>
    <row r="26820">
      <c r="A26820" s="4" t="s">
        <v>33754</v>
      </c>
      <c r="B26820" s="4" t="s">
        <v>33756</v>
      </c>
      <c r="C26820" s="5" t="str">
        <f>IFERROR(__xludf.DUMMYFUNCTION("GOOGLETRANSLATE(B26820,""en"",""fr"")"),"Elle présente un journal et mélange divers ingrédients dans un flacon pulvérisateur.")</f>
        <v>Elle présente un journal et mélange divers ingrédients dans un flacon pulvérisateur.</v>
      </c>
    </row>
    <row r="26821">
      <c r="A26821" s="4" t="s">
        <v>33754</v>
      </c>
      <c r="B26821" s="4" t="s">
        <v>33757</v>
      </c>
      <c r="C26821" s="5" t="str">
        <f>IFERROR(__xludf.DUMMYFUNCTION("GOOGLETRANSLATE(B26821,""en"",""fr"")"),"Elle met des gants et utilisant le journal pour essuyer une fenêtre après l'avoir pulvérisée.")</f>
        <v>Elle met des gants et utilisant le journal pour essuyer une fenêtre après l'avoir pulvérisée.</v>
      </c>
    </row>
    <row r="26822">
      <c r="A26822" s="4" t="s">
        <v>33754</v>
      </c>
      <c r="B26822" s="4" t="s">
        <v>33758</v>
      </c>
      <c r="C26822" s="5" t="str">
        <f>IFERROR(__xludf.DUMMYFUNCTION("GOOGLETRANSLATE(B26822,""en"",""fr"")"),"Elle continue d'essuyer la fenêtre tout en parlant à la caméra.")</f>
        <v>Elle continue d'essuyer la fenêtre tout en parlant à la caméra.</v>
      </c>
    </row>
    <row r="26823">
      <c r="A26823" s="4" t="s">
        <v>33759</v>
      </c>
      <c r="B26823" s="4" t="s">
        <v>33760</v>
      </c>
      <c r="C26823" s="5" t="str">
        <f>IFERROR(__xludf.DUMMYFUNCTION("GOOGLETRANSLATE(B26823,""en"",""fr"")"),"Une fille se réchauffe et s'étire et attrape 2 grosses cordes.")</f>
        <v>Une fille se réchauffe et s'étire et attrape 2 grosses cordes.</v>
      </c>
    </row>
    <row r="26824">
      <c r="A26824" s="4" t="s">
        <v>33759</v>
      </c>
      <c r="B26824" s="4" t="s">
        <v>33761</v>
      </c>
      <c r="C26824" s="5" t="str">
        <f>IFERROR(__xludf.DUMMYFUNCTION("GOOGLETRANSLATE(B26824,""en"",""fr"")"),"Deux femmes tiennent chaque corde et la fille essaie de tirer les deux cordes à la fois.")</f>
        <v>Deux femmes tiennent chaque corde et la fille essaie de tirer les deux cordes à la fois.</v>
      </c>
    </row>
    <row r="26825">
      <c r="A26825" s="4" t="s">
        <v>33759</v>
      </c>
      <c r="B26825" s="4" t="s">
        <v>33762</v>
      </c>
      <c r="C26825" s="5" t="str">
        <f>IFERROR(__xludf.DUMMYFUNCTION("GOOGLETRANSLATE(B26825,""en"",""fr"")"),"Elle continue de tirer la corde et réussit à rapprocher les deux femmes.")</f>
        <v>Elle continue de tirer la corde et réussit à rapprocher les deux femmes.</v>
      </c>
    </row>
    <row r="26826">
      <c r="A26826" s="4" t="s">
        <v>33763</v>
      </c>
      <c r="B26826" s="4" t="s">
        <v>33764</v>
      </c>
      <c r="C26826" s="5" t="str">
        <f>IFERROR(__xludf.DUMMYFUNCTION("GOOGLETRANSLATE(B26826,""en"",""fr"")"),"Les vaches traversent des champs avec des hommes qui les poursuivent avec des bâtons.")</f>
        <v>Les vaches traversent des champs avec des hommes qui les poursuivent avec des bâtons.</v>
      </c>
    </row>
    <row r="26827">
      <c r="A26827" s="4" t="s">
        <v>33763</v>
      </c>
      <c r="B26827" s="4" t="s">
        <v>33765</v>
      </c>
      <c r="C26827" s="5" t="str">
        <f>IFERROR(__xludf.DUMMYFUNCTION("GOOGLETRANSLATE(B26827,""en"",""fr"")"),"Les hommes agitent les vaches et les font se battre entre eux.")</f>
        <v>Les hommes agitent les vaches et les font se battre entre eux.</v>
      </c>
    </row>
    <row r="26828">
      <c r="A26828" s="4" t="s">
        <v>33763</v>
      </c>
      <c r="B26828" s="4" t="s">
        <v>33766</v>
      </c>
      <c r="C26828" s="5" t="str">
        <f>IFERROR(__xludf.DUMMYFUNCTION("GOOGLETRANSLATE(B26828,""en"",""fr"")"),"Les hommes chantent et dansent autour des vaches.")</f>
        <v>Les hommes chantent et dansent autour des vaches.</v>
      </c>
    </row>
    <row r="26829">
      <c r="A26829" s="4" t="s">
        <v>33763</v>
      </c>
      <c r="B26829" s="4" t="s">
        <v>33767</v>
      </c>
      <c r="C26829" s="5" t="str">
        <f>IFERROR(__xludf.DUMMYFUNCTION("GOOGLETRANSLATE(B26829,""en"",""fr"")"),"Les médias interviewent des hommes de la foule.")</f>
        <v>Les médias interviewent des hommes de la foule.</v>
      </c>
    </row>
    <row r="26830">
      <c r="A26830" s="4" t="s">
        <v>33763</v>
      </c>
      <c r="B26830" s="4" t="s">
        <v>33768</v>
      </c>
      <c r="C26830" s="5" t="str">
        <f>IFERROR(__xludf.DUMMYFUNCTION("GOOGLETRANSLATE(B26830,""en"",""fr"")"),"Une journaliste tient un microphone lors d'un reportage.")</f>
        <v>Une journaliste tient un microphone lors d'un reportage.</v>
      </c>
    </row>
    <row r="26831">
      <c r="A26831" s="4" t="s">
        <v>33763</v>
      </c>
      <c r="B26831" s="4" t="s">
        <v>33769</v>
      </c>
      <c r="C26831" s="5" t="str">
        <f>IFERROR(__xludf.DUMMYFUNCTION("GOOGLETRANSLATE(B26831,""en"",""fr"")"),"Une grande foule d'hommes la suit.")</f>
        <v>Une grande foule d'hommes la suit.</v>
      </c>
    </row>
    <row r="26832">
      <c r="A26832" s="4" t="s">
        <v>33770</v>
      </c>
      <c r="B26832" s="4" t="s">
        <v>33771</v>
      </c>
      <c r="C26832" s="5" t="str">
        <f>IFERROR(__xludf.DUMMYFUNCTION("GOOGLETRANSLATE(B26832,""en"",""fr"")"),"Plusieurs personnes sont vues à genoux sur une plage aidant un petit enfant à faire des châteaux de sable.")</f>
        <v>Plusieurs personnes sont vues à genoux sur une plage aidant un petit enfant à faire des châteaux de sable.</v>
      </c>
    </row>
    <row r="26833">
      <c r="A26833" s="4" t="s">
        <v>33770</v>
      </c>
      <c r="B26833" s="6" t="s">
        <v>33772</v>
      </c>
      <c r="C26833" s="5" t="str">
        <f>IFERROR(__xludf.DUMMYFUNCTION("GOOGLETRANSLATE(B26833,""en"",""fr"")"),"Beaucoup de gens sont vus se promener dans la plage alors que le garçon et la femme plus âgée continuent de faire des châteaux de sable.")</f>
        <v>Beaucoup de gens sont vus se promener dans la plage alors que le garçon et la femme plus âgée continuent de faire des châteaux de sable.</v>
      </c>
    </row>
    <row r="26834">
      <c r="A26834" s="4" t="s">
        <v>33773</v>
      </c>
      <c r="B26834" s="4" t="s">
        <v>33774</v>
      </c>
      <c r="C26834" s="5" t="str">
        <f>IFERROR(__xludf.DUMMYFUNCTION("GOOGLETRANSLATE(B26834,""en"",""fr"")"),"Quelques grands ballons flottent sur l'eau de l'océan.")</f>
        <v>Quelques grands ballons flottent sur l'eau de l'océan.</v>
      </c>
    </row>
    <row r="26835">
      <c r="A26835" s="4" t="s">
        <v>33773</v>
      </c>
      <c r="B26835" s="4" t="s">
        <v>33775</v>
      </c>
      <c r="C26835" s="5" t="str">
        <f>IFERROR(__xludf.DUMMYFUNCTION("GOOGLETRANSLATE(B26835,""en"",""fr"")"),"Les plaisanciers concurrents sont montrés en cours de course dans l'eau.")</f>
        <v>Les plaisanciers concurrents sont montrés en cours de course dans l'eau.</v>
      </c>
    </row>
    <row r="26836">
      <c r="A26836" s="4" t="s">
        <v>33773</v>
      </c>
      <c r="B26836" s="4" t="s">
        <v>33776</v>
      </c>
      <c r="C26836" s="5" t="str">
        <f>IFERROR(__xludf.DUMMYFUNCTION("GOOGLETRANSLATE(B26836,""en"",""fr"")"),"Ils pagayent rapidement vers la marque d'arrivée.")</f>
        <v>Ils pagayent rapidement vers la marque d'arrivée.</v>
      </c>
    </row>
    <row r="26837">
      <c r="A26837" s="4" t="s">
        <v>33777</v>
      </c>
      <c r="B26837" s="4" t="s">
        <v>33778</v>
      </c>
      <c r="C26837" s="5" t="str">
        <f>IFERROR(__xludf.DUMMYFUNCTION("GOOGLETRANSLATE(B26837,""en"",""fr"")"),"Une fille court sur une piste au ralenti.")</f>
        <v>Une fille court sur une piste au ralenti.</v>
      </c>
    </row>
    <row r="26838">
      <c r="A26838" s="4" t="s">
        <v>33777</v>
      </c>
      <c r="B26838" s="4" t="s">
        <v>33779</v>
      </c>
      <c r="C26838" s="5" t="str">
        <f>IFERROR(__xludf.DUMMYFUNCTION("GOOGLETRANSLATE(B26838,""en"",""fr"")"),"Elle fait un énorme saut, se lançant sur un bar.")</f>
        <v>Elle fait un énorme saut, se lançant sur un bar.</v>
      </c>
    </row>
    <row r="26839">
      <c r="A26839" s="4" t="s">
        <v>33777</v>
      </c>
      <c r="B26839" s="4" t="s">
        <v>33780</v>
      </c>
      <c r="C26839" s="5" t="str">
        <f>IFERROR(__xludf.DUMMYFUNCTION("GOOGLETRANSLATE(B26839,""en"",""fr"")"),"Elle est montrée en réalisant à nouveau l'acte au ralenti.")</f>
        <v>Elle est montrée en réalisant à nouveau l'acte au ralenti.</v>
      </c>
    </row>
    <row r="26840">
      <c r="A26840" s="4" t="s">
        <v>33781</v>
      </c>
      <c r="B26840" s="4" t="s">
        <v>33782</v>
      </c>
      <c r="C26840" s="5" t="str">
        <f>IFERROR(__xludf.DUMMYFUNCTION("GOOGLETRANSLATE(B26840,""en"",""fr"")"),"Une fille frappe à une porte mais personne ne répond.")</f>
        <v>Une fille frappe à une porte mais personne ne répond.</v>
      </c>
    </row>
    <row r="26841">
      <c r="A26841" s="4" t="s">
        <v>33781</v>
      </c>
      <c r="B26841" s="4" t="s">
        <v>33783</v>
      </c>
      <c r="C26841" s="5" t="str">
        <f>IFERROR(__xludf.DUMMYFUNCTION("GOOGLETRANSLATE(B26841,""en"",""fr"")"),"Elle danse et prépare de la nourriture devant le poêle avec une autre femme.")</f>
        <v>Elle danse et prépare de la nourriture devant le poêle avec une autre femme.</v>
      </c>
    </row>
    <row r="26842">
      <c r="A26842" s="4" t="s">
        <v>33781</v>
      </c>
      <c r="B26842" s="4" t="s">
        <v>33784</v>
      </c>
      <c r="C26842" s="5" t="str">
        <f>IFERROR(__xludf.DUMMYFUNCTION("GOOGLETRANSLATE(B26842,""en"",""fr"")"),"Elle se bat, puis les deux filles se séparent.")</f>
        <v>Elle se bat, puis les deux filles se séparent.</v>
      </c>
    </row>
    <row r="26843">
      <c r="A26843" s="4" t="s">
        <v>33785</v>
      </c>
      <c r="B26843" s="4" t="s">
        <v>33786</v>
      </c>
      <c r="C26843" s="5" t="str">
        <f>IFERROR(__xludf.DUMMYFUNCTION("GOOGLETRANSLATE(B26843,""en"",""fr"")"),"Les gens sont dans une piscine jouant du water-polo.")</f>
        <v>Les gens sont dans une piscine jouant du water-polo.</v>
      </c>
    </row>
    <row r="26844">
      <c r="A26844" s="4" t="s">
        <v>33785</v>
      </c>
      <c r="B26844" s="4" t="s">
        <v>33787</v>
      </c>
      <c r="C26844" s="5" t="str">
        <f>IFERROR(__xludf.DUMMYFUNCTION("GOOGLETRANSLATE(B26844,""en"",""fr"")"),"Une femme marche à l'extérieur de la piscine.")</f>
        <v>Une femme marche à l'extérieur de la piscine.</v>
      </c>
    </row>
    <row r="26845">
      <c r="A26845" s="4" t="s">
        <v>33785</v>
      </c>
      <c r="B26845" s="4" t="s">
        <v>33788</v>
      </c>
      <c r="C26845" s="5" t="str">
        <f>IFERROR(__xludf.DUMMYFUNCTION("GOOGLETRANSLATE(B26845,""en"",""fr"")"),"Un homme se frotte le visage dans l'eau avant de sortir de l'eau.")</f>
        <v>Un homme se frotte le visage dans l'eau avant de sortir de l'eau.</v>
      </c>
    </row>
    <row r="26846">
      <c r="A26846" s="4" t="s">
        <v>33789</v>
      </c>
      <c r="B26846" s="4" t="s">
        <v>33790</v>
      </c>
      <c r="C26846" s="5" t="str">
        <f>IFERROR(__xludf.DUMMYFUNCTION("GOOGLETRANSLATE(B26846,""en"",""fr"")"),"Les statistiques vidéo expliquant comment faire des muffins omelette.")</f>
        <v>Les statistiques vidéo expliquant comment faire des muffins omelette.</v>
      </c>
    </row>
    <row r="26847">
      <c r="A26847" s="4" t="s">
        <v>33789</v>
      </c>
      <c r="B26847" s="4" t="s">
        <v>33791</v>
      </c>
      <c r="C26847" s="5" t="str">
        <f>IFERROR(__xludf.DUMMYFUNCTION("GOOGLETRANSLATE(B26847,""en"",""fr"")"),"Elle montre les ingrédients et raconte à quoi régler le four.")</f>
        <v>Elle montre les ingrédients et raconte à quoi régler le four.</v>
      </c>
    </row>
    <row r="26848">
      <c r="A26848" s="4" t="s">
        <v>33789</v>
      </c>
      <c r="B26848" s="4" t="s">
        <v>33792</v>
      </c>
      <c r="C26848" s="5" t="str">
        <f>IFERROR(__xludf.DUMMYFUNCTION("GOOGLETRANSLATE(B26848,""en"",""fr"")"),"Elle mélange tout ensemble et le remue avec l'assaisonnement.")</f>
        <v>Elle mélange tout ensemble et le remue avec l'assaisonnement.</v>
      </c>
    </row>
    <row r="26849">
      <c r="A26849" s="4" t="s">
        <v>33789</v>
      </c>
      <c r="B26849" s="4" t="s">
        <v>33793</v>
      </c>
      <c r="C26849" s="5" t="str">
        <f>IFERROR(__xludf.DUMMYFUNCTION("GOOGLETRANSLATE(B26849,""en"",""fr"")"),"Elle le met ensuite dans le plateau et dans le four pour cuire.")</f>
        <v>Elle le met ensuite dans le plateau et dans le four pour cuire.</v>
      </c>
    </row>
    <row r="26850">
      <c r="A26850" s="4" t="s">
        <v>33789</v>
      </c>
      <c r="B26850" s="4" t="s">
        <v>33794</v>
      </c>
      <c r="C26850" s="5" t="str">
        <f>IFERROR(__xludf.DUMMYFUNCTION("GOOGLETRANSLATE(B26850,""en"",""fr"")"),"Ensuite, elle le retire et montre le produit fini.")</f>
        <v>Ensuite, elle le retire et montre le produit fini.</v>
      </c>
    </row>
    <row r="26851">
      <c r="A26851" s="4" t="s">
        <v>33795</v>
      </c>
      <c r="B26851" s="4" t="s">
        <v>33796</v>
      </c>
      <c r="C26851" s="5" t="str">
        <f>IFERROR(__xludf.DUMMYFUNCTION("GOOGLETRANSLATE(B26851,""en"",""fr"")"),"Des photos des cheveux des gens sont montrées.")</f>
        <v>Des photos des cheveux des gens sont montrées.</v>
      </c>
    </row>
    <row r="26852">
      <c r="A26852" s="4" t="s">
        <v>33795</v>
      </c>
      <c r="B26852" s="4" t="s">
        <v>33797</v>
      </c>
      <c r="C26852" s="5" t="str">
        <f>IFERROR(__xludf.DUMMYFUNCTION("GOOGLETRANSLATE(B26852,""en"",""fr"")"),"Une femme en chemise rose a des photos de ses cheveux.")</f>
        <v>Une femme en chemise rose a des photos de ses cheveux.</v>
      </c>
    </row>
    <row r="26853">
      <c r="A26853" s="4" t="s">
        <v>33795</v>
      </c>
      <c r="B26853" s="4" t="s">
        <v>33798</v>
      </c>
      <c r="C26853" s="5" t="str">
        <f>IFERROR(__xludf.DUMMYFUNCTION("GOOGLETRANSLATE(B26853,""en"",""fr"")"),"Les mots viennent à l'écran à la fin.")</f>
        <v>Les mots viennent à l'écran à la fin.</v>
      </c>
    </row>
    <row r="26854">
      <c r="A26854" s="4" t="s">
        <v>33799</v>
      </c>
      <c r="B26854" s="4" t="s">
        <v>33800</v>
      </c>
      <c r="C26854" s="5" t="str">
        <f>IFERROR(__xludf.DUMMYFUNCTION("GOOGLETRANSLATE(B26854,""en"",""fr"")"),"Un groupe de gymnaste entre devant un côté d'un stade.")</f>
        <v>Un groupe de gymnaste entre devant un côté d'un stade.</v>
      </c>
    </row>
    <row r="26855">
      <c r="A26855" s="4" t="s">
        <v>33799</v>
      </c>
      <c r="B26855" s="6" t="s">
        <v>33801</v>
      </c>
      <c r="C26855" s="5" t="str">
        <f>IFERROR(__xludf.DUMMYFUNCTION("GOOGLETRANSLATE(B26855,""en"",""fr"")"),"Ensuite, une gymnaste est montrée sur la barre et fait plusieurs astuces composées de flips et de poils puis de se retourner pour atterrir et s'éloigner.")</f>
        <v>Ensuite, une gymnaste est montrée sur la barre et fait plusieurs astuces composées de flips et de poils puis de se retourner pour atterrir et s'éloigner.</v>
      </c>
    </row>
    <row r="26856">
      <c r="A26856" s="4" t="s">
        <v>33799</v>
      </c>
      <c r="B26856" s="6" t="s">
        <v>33802</v>
      </c>
      <c r="C26856" s="5" t="str">
        <f>IFERROR(__xludf.DUMMYFUNCTION("GOOGLETRANSLATE(B26856,""en"",""fr"")"),"Alors qu'un homme court près de lui, une rediffusion est montrée des cas où il a foiré, puis son score est montré.")</f>
        <v>Alors qu'un homme court près de lui, une rediffusion est montrée des cas où il a foiré, puis son score est montré.</v>
      </c>
    </row>
    <row r="26857">
      <c r="A26857" s="4" t="s">
        <v>33799</v>
      </c>
      <c r="B26857" s="6" t="s">
        <v>33803</v>
      </c>
      <c r="C26857" s="5" t="str">
        <f>IFERROR(__xludf.DUMMYFUNCTION("GOOGLETRANSLATE(B26857,""en"",""fr"")"),"Un autre homme est montré en faisant divers trucs et flips, mais au lieu d'être au-dessus de la barre, il commence sous la barre et vient sur le dessus pour faire un support de main avant de finalement se retourner.")</f>
        <v>Un autre homme est montré en faisant divers trucs et flips, mais au lieu d'être au-dessus de la barre, il commence sous la barre et vient sur le dessus pour faire un support de main avant de finalement se retourner.</v>
      </c>
    </row>
    <row r="26858">
      <c r="A26858" s="4" t="s">
        <v>33799</v>
      </c>
      <c r="B26858" s="6" t="s">
        <v>33804</v>
      </c>
      <c r="C26858" s="5" t="str">
        <f>IFERROR(__xludf.DUMMYFUNCTION("GOOGLETRANSLATE(B26858,""en"",""fr"")"),"Plusieurs autres équipes s'approchent du bar et ils commencent également à faire les mêmes astuces dans leur compétition.")</f>
        <v>Plusieurs autres équipes s'approchent du bar et ils commencent également à faire les mêmes astuces dans leur compétition.</v>
      </c>
    </row>
    <row r="26859">
      <c r="A26859" s="4" t="s">
        <v>33799</v>
      </c>
      <c r="B26859" s="4" t="s">
        <v>33805</v>
      </c>
      <c r="C26859" s="5" t="str">
        <f>IFERROR(__xludf.DUMMYFUNCTION("GOOGLETRANSLATE(B26859,""en"",""fr"")"),"Le vainqueur commence alors à agiter son drapeau et à agiter sa main à la foule.")</f>
        <v>Le vainqueur commence alors à agiter son drapeau et à agiter sa main à la foule.</v>
      </c>
    </row>
    <row r="26860">
      <c r="A26860" s="4" t="s">
        <v>33806</v>
      </c>
      <c r="B26860" s="4" t="s">
        <v>33807</v>
      </c>
      <c r="C26860" s="5" t="str">
        <f>IFERROR(__xludf.DUMMYFUNCTION("GOOGLETRANSLATE(B26860,""en"",""fr"")"),"Nous voyons un homme dans une pièce devant une étagère avec un cookie.")</f>
        <v>Nous voyons un homme dans une pièce devant une étagère avec un cookie.</v>
      </c>
    </row>
    <row r="26861">
      <c r="A26861" s="4" t="s">
        <v>33806</v>
      </c>
      <c r="B26861" s="4" t="s">
        <v>33808</v>
      </c>
      <c r="C26861" s="5" t="str">
        <f>IFERROR(__xludf.DUMMYFUNCTION("GOOGLETRANSLATE(B26861,""en"",""fr"")"),"Le cookie est arraché à l'homme.")</f>
        <v>Le cookie est arraché à l'homme.</v>
      </c>
    </row>
    <row r="26862">
      <c r="A26862" s="4" t="s">
        <v>33806</v>
      </c>
      <c r="B26862" s="4" t="s">
        <v>33809</v>
      </c>
      <c r="C26862" s="5" t="str">
        <f>IFERROR(__xludf.DUMMYFUNCTION("GOOGLETRANSLATE(B26862,""en"",""fr"")"),"Nous voyons le visage d'un jeune garçon.")</f>
        <v>Nous voyons le visage d'un jeune garçon.</v>
      </c>
    </row>
    <row r="26863">
      <c r="A26863" s="4" t="s">
        <v>33806</v>
      </c>
      <c r="B26863" s="4" t="s">
        <v>33810</v>
      </c>
      <c r="C26863" s="5" t="str">
        <f>IFERROR(__xludf.DUMMYFUNCTION("GOOGLETRANSLATE(B26863,""en"",""fr"")"),"Nous voyons des ingrédients ajoutés à un bol.")</f>
        <v>Nous voyons des ingrédients ajoutés à un bol.</v>
      </c>
    </row>
    <row r="26864">
      <c r="A26864" s="4" t="s">
        <v>33806</v>
      </c>
      <c r="B26864" s="4" t="s">
        <v>33811</v>
      </c>
      <c r="C26864" s="5" t="str">
        <f>IFERROR(__xludf.DUMMYFUNCTION("GOOGLETRANSLATE(B26864,""en"",""fr"")"),"Nous changeons et voyons un chat.")</f>
        <v>Nous changeons et voyons un chat.</v>
      </c>
    </row>
    <row r="26865">
      <c r="A26865" s="4" t="s">
        <v>33806</v>
      </c>
      <c r="B26865" s="4" t="s">
        <v>33812</v>
      </c>
      <c r="C26865" s="5" t="str">
        <f>IFERROR(__xludf.DUMMYFUNCTION("GOOGLETRANSLATE(B26865,""en"",""fr"")"),"Nous voyons des ingrédients dans un mélangeur, puis versons dans un bol puis réfrigéré.")</f>
        <v>Nous voyons des ingrédients dans un mélangeur, puis versons dans un bol puis réfrigéré.</v>
      </c>
    </row>
    <row r="26866">
      <c r="A26866" s="4" t="s">
        <v>33806</v>
      </c>
      <c r="B26866" s="4" t="s">
        <v>33813</v>
      </c>
      <c r="C26866" s="5" t="str">
        <f>IFERROR(__xludf.DUMMYFUNCTION("GOOGLETRANSLATE(B26866,""en"",""fr"")"),"Nous voyons le chat réapparaître.")</f>
        <v>Nous voyons le chat réapparaître.</v>
      </c>
    </row>
    <row r="26867">
      <c r="A26867" s="4" t="s">
        <v>33806</v>
      </c>
      <c r="B26867" s="4" t="s">
        <v>33814</v>
      </c>
      <c r="C26867" s="5" t="str">
        <f>IFERROR(__xludf.DUMMYFUNCTION("GOOGLETRANSLATE(B26867,""en"",""fr"")"),"Une personne façonne les balles et les recouvre dans du sucre en poudre.")</f>
        <v>Une personne façonne les balles et les recouvre dans du sucre en poudre.</v>
      </c>
    </row>
    <row r="26868">
      <c r="A26868" s="4" t="s">
        <v>33806</v>
      </c>
      <c r="B26868" s="4" t="s">
        <v>33815</v>
      </c>
      <c r="C26868" s="5" t="str">
        <f>IFERROR(__xludf.DUMMYFUNCTION("GOOGLETRANSLATE(B26868,""en"",""fr"")"),"Les cookies sont cuits.")</f>
        <v>Les cookies sont cuits.</v>
      </c>
    </row>
    <row r="26869">
      <c r="A26869" s="4" t="s">
        <v>33806</v>
      </c>
      <c r="B26869" s="4" t="s">
        <v>33816</v>
      </c>
      <c r="C26869" s="5" t="str">
        <f>IFERROR(__xludf.DUMMYFUNCTION("GOOGLETRANSLATE(B26869,""en"",""fr"")"),"Nous voyons l'homme parler avec une fille.")</f>
        <v>Nous voyons l'homme parler avec une fille.</v>
      </c>
    </row>
    <row r="26870">
      <c r="A26870" s="4" t="s">
        <v>33806</v>
      </c>
      <c r="B26870" s="4" t="s">
        <v>33817</v>
      </c>
      <c r="C26870" s="5" t="str">
        <f>IFERROR(__xludf.DUMMYFUNCTION("GOOGLETRANSLATE(B26870,""en"",""fr"")"),"Nous voyons les cookies et deux tasses.")</f>
        <v>Nous voyons les cookies et deux tasses.</v>
      </c>
    </row>
    <row r="26871">
      <c r="A26871" s="4" t="s">
        <v>33806</v>
      </c>
      <c r="B26871" s="4" t="s">
        <v>33818</v>
      </c>
      <c r="C26871" s="5" t="str">
        <f>IFERROR(__xludf.DUMMYFUNCTION("GOOGLETRANSLATE(B26871,""en"",""fr"")"),"Nous voyons l'homme avec deux enfants.")</f>
        <v>Nous voyons l'homme avec deux enfants.</v>
      </c>
    </row>
    <row r="26872">
      <c r="A26872" s="4" t="s">
        <v>33819</v>
      </c>
      <c r="B26872" s="4" t="s">
        <v>33820</v>
      </c>
      <c r="C26872" s="5" t="str">
        <f>IFERROR(__xludf.DUMMYFUNCTION("GOOGLETRANSLATE(B26872,""en"",""fr"")"),"Une femme est vue jouer un ensemble de cornemusettes pendant que les gens s'assoient autour d'elle et regardent.")</f>
        <v>Une femme est vue jouer un ensemble de cornemusettes pendant que les gens s'assoient autour d'elle et regardent.</v>
      </c>
    </row>
    <row r="26873">
      <c r="A26873" s="4" t="s">
        <v>33819</v>
      </c>
      <c r="B26873" s="6" t="s">
        <v>33821</v>
      </c>
      <c r="C26873" s="5" t="str">
        <f>IFERROR(__xludf.DUMMYFUNCTION("GOOGLETRANSLATE(B26873,""en"",""fr"")"),"La fille continue de jouer alors que la caméra la regarde déplacer ses mains le long de l'instrument et un homme debout à côté d'elle pour poser et jeter des changements.")</f>
        <v>La fille continue de jouer alors que la caméra la regarde déplacer ses mains le long de l'instrument et un homme debout à côté d'elle pour poser et jeter des changements.</v>
      </c>
    </row>
    <row r="26874">
      <c r="A26874" s="4" t="s">
        <v>33822</v>
      </c>
      <c r="B26874" s="4" t="s">
        <v>33823</v>
      </c>
      <c r="C26874" s="5" t="str">
        <f>IFERROR(__xludf.DUMMYFUNCTION("GOOGLETRANSLATE(B26874,""en"",""fr"")"),"Un homme est vu debout devant une grosse bûche tenant une hache dans ses mains.")</f>
        <v>Un homme est vu debout devant une grosse bûche tenant une hache dans ses mains.</v>
      </c>
    </row>
    <row r="26875">
      <c r="A26875" s="4" t="s">
        <v>33822</v>
      </c>
      <c r="B26875" s="4" t="s">
        <v>33824</v>
      </c>
      <c r="C26875" s="5" t="str">
        <f>IFERROR(__xludf.DUMMYFUNCTION("GOOGLETRANSLATE(B26875,""en"",""fr"")"),"Il tient la hache au-dessus de sa tête tout en regardant le journal.")</f>
        <v>Il tient la hache au-dessus de sa tête tout en regardant le journal.</v>
      </c>
    </row>
    <row r="26876">
      <c r="A26876" s="4" t="s">
        <v>33822</v>
      </c>
      <c r="B26876" s="4" t="s">
        <v>33825</v>
      </c>
      <c r="C26876" s="5" t="str">
        <f>IFERROR(__xludf.DUMMYFUNCTION("GOOGLETRANSLATE(B26876,""en"",""fr"")"),"Il balance la hache et coupe la bûche en deux.")</f>
        <v>Il balance la hache et coupe la bûche en deux.</v>
      </c>
    </row>
    <row r="26877">
      <c r="A26877" s="4" t="s">
        <v>33826</v>
      </c>
      <c r="B26877" s="4" t="s">
        <v>33827</v>
      </c>
      <c r="C26877" s="5" t="str">
        <f>IFERROR(__xludf.DUMMYFUNCTION("GOOGLETRANSLATE(B26877,""en"",""fr"")"),"Les gens sont dans une pièce se parler.")</f>
        <v>Les gens sont dans une pièce se parler.</v>
      </c>
    </row>
    <row r="26878">
      <c r="A26878" s="4" t="s">
        <v>33826</v>
      </c>
      <c r="B26878" s="4" t="s">
        <v>33828</v>
      </c>
      <c r="C26878" s="5" t="str">
        <f>IFERROR(__xludf.DUMMYFUNCTION("GOOGLETRANSLATE(B26878,""en"",""fr"")"),"Ensuite, les hommes rivalisent sur la lutte des bras et le gagnant a l'air heureux, tandis que les gens
 applaudir.")</f>
        <v>Ensuite, les hommes rivalisent sur la lutte des bras et le gagnant a l'air heureux, tandis que les gens
 applaudir.</v>
      </c>
    </row>
    <row r="26879">
      <c r="A26879" s="4" t="s">
        <v>33826</v>
      </c>
      <c r="B26879" s="4" t="s">
        <v>33829</v>
      </c>
      <c r="C26879" s="5" t="str">
        <f>IFERROR(__xludf.DUMMYFUNCTION("GOOGLETRANSLATE(B26879,""en"",""fr"")"),"Un homme boit de la bière dans une bouteille.")</f>
        <v>Un homme boit de la bière dans une bouteille.</v>
      </c>
    </row>
    <row r="26880">
      <c r="A26880" s="4" t="s">
        <v>33830</v>
      </c>
      <c r="B26880" s="6" t="s">
        <v>33831</v>
      </c>
      <c r="C26880" s="5" t="str">
        <f>IFERROR(__xludf.DUMMYFUNCTION("GOOGLETRANSLATE(B26880,""en"",""fr"")"),"Une personne est vue se promener sur un parcours de paintball et mène à des clips de personnes jouant au paintball et se parlent.")</f>
        <v>Une personne est vue se promener sur un parcours de paintball et mène à des clips de personnes jouant au paintball et se parlent.</v>
      </c>
    </row>
    <row r="26881">
      <c r="A26881" s="4" t="s">
        <v>33830</v>
      </c>
      <c r="B26881" s="6" t="s">
        <v>33832</v>
      </c>
      <c r="C26881" s="5" t="str">
        <f>IFERROR(__xludf.DUMMYFUNCTION("GOOGLETRANSLATE(B26881,""en"",""fr"")"),"Un homme pointe vers la caméra et mène à plus de photos de personnes jouant et travaillant entre elles.")</f>
        <v>Un homme pointe vers la caméra et mène à plus de photos de personnes jouant et travaillant entre elles.</v>
      </c>
    </row>
    <row r="26882">
      <c r="A26882" s="4" t="s">
        <v>33833</v>
      </c>
      <c r="B26882" s="4" t="s">
        <v>33834</v>
      </c>
      <c r="C26882" s="5" t="str">
        <f>IFERROR(__xludf.DUMMYFUNCTION("GOOGLETRANSLATE(B26882,""en"",""fr"")"),"Un gros plan d'un sandwich est montré suivi par des ingrédients et une femme parlant à la caméra.")</f>
        <v>Un gros plan d'un sandwich est montré suivi par des ingrédients et une femme parlant à la caméra.</v>
      </c>
    </row>
    <row r="26883">
      <c r="A26883" s="4" t="s">
        <v>33833</v>
      </c>
      <c r="B26883" s="6" t="s">
        <v>33835</v>
      </c>
      <c r="C26883" s="5" t="str">
        <f>IFERROR(__xludf.DUMMYFUNCTION("GOOGLETRANSLATE(B26883,""en"",""fr"")"),"Plusieurs ingrédients sont disposés et montrés de près un par un pendant que la femme les mélange toutes ensemble dans un bol.")</f>
        <v>Plusieurs ingrédients sont disposés et montrés de près un par un pendant que la femme les mélange toutes ensemble dans un bol.</v>
      </c>
    </row>
    <row r="26884">
      <c r="A26884" s="4" t="s">
        <v>33833</v>
      </c>
      <c r="B26884" s="6" t="s">
        <v>33836</v>
      </c>
      <c r="C26884" s="5" t="str">
        <f>IFERROR(__xludf.DUMMYFUNCTION("GOOGLETRANSLATE(B26884,""en"",""fr"")"),"Elle verse ensuite le mélange sur une tranche de pause et le présente sur une assiette tout en parlant en continu.")</f>
        <v>Elle verse ensuite le mélange sur une tranche de pause et le présente sur une assiette tout en parlant en continu.</v>
      </c>
    </row>
    <row r="26885">
      <c r="A26885" s="4" t="s">
        <v>33837</v>
      </c>
      <c r="B26885" s="6" t="s">
        <v>33838</v>
      </c>
      <c r="C26885" s="5" t="str">
        <f>IFERROR(__xludf.DUMMYFUNCTION("GOOGLETRANSLATE(B26885,""en"",""fr"")"),"Un homme met du papier peint sur le mur, il essaie de le mesurer juste pour qu'il soit même avec le reste.")</f>
        <v>Un homme met du papier peint sur le mur, il essaie de le mesurer juste pour qu'il soit même avec le reste.</v>
      </c>
    </row>
    <row r="26886">
      <c r="A26886" s="4" t="s">
        <v>33837</v>
      </c>
      <c r="B26886" s="6" t="s">
        <v>33839</v>
      </c>
      <c r="C26886" s="5" t="str">
        <f>IFERROR(__xludf.DUMMYFUNCTION("GOOGLETRANSLATE(B26886,""en"",""fr"")"),"Il coupe une partie du papier et retire la partie en plastique de l'arrière afin qu'il soit collant et commence à appuyer sur le côté adhésif sur le mur.")</f>
        <v>Il coupe une partie du papier et retire la partie en plastique de l'arrière afin qu'il soit collant et commence à appuyer sur le côté adhésif sur le mur.</v>
      </c>
    </row>
    <row r="26887">
      <c r="A26887" s="4" t="s">
        <v>33837</v>
      </c>
      <c r="B26887" s="4" t="s">
        <v>33840</v>
      </c>
      <c r="C26887" s="5" t="str">
        <f>IFERROR(__xludf.DUMMYFUNCTION("GOOGLETRANSLATE(B26887,""en"",""fr"")"),"Il commence à y ajouter de la pression afin que toutes les bulles sortent et que cela ait l'air bien et même.")</f>
        <v>Il commence à y ajouter de la pression afin que toutes les bulles sortent et que cela ait l'air bien et même.</v>
      </c>
    </row>
    <row r="26888">
      <c r="A26888" s="4" t="s">
        <v>33837</v>
      </c>
      <c r="B26888" s="6" t="s">
        <v>33841</v>
      </c>
      <c r="C26888" s="5" t="str">
        <f>IFERROR(__xludf.DUMMYFUNCTION("GOOGLETRANSLATE(B26888,""en"",""fr"")"),"Il se tient en arrière pour regarder le mur et s'assurer qu'il a l'air bien, puis montre une photo avant et après.")</f>
        <v>Il se tient en arrière pour regarder le mur et s'assurer qu'il a l'air bien, puis montre une photo avant et après.</v>
      </c>
    </row>
    <row r="26889">
      <c r="A26889" s="4" t="s">
        <v>33842</v>
      </c>
      <c r="B26889" s="4" t="s">
        <v>33843</v>
      </c>
      <c r="C26889" s="5" t="str">
        <f>IFERROR(__xludf.DUMMYFUNCTION("GOOGLETRANSLATE(B26889,""en"",""fr"")"),"Un homme s'agenouille sur un champ.")</f>
        <v>Un homme s'agenouille sur un champ.</v>
      </c>
    </row>
    <row r="26890">
      <c r="A26890" s="4" t="s">
        <v>33842</v>
      </c>
      <c r="B26890" s="4" t="s">
        <v>33844</v>
      </c>
      <c r="C26890" s="5" t="str">
        <f>IFERROR(__xludf.DUMMYFUNCTION("GOOGLETRANSLATE(B26890,""en"",""fr"")"),"Il prend une balle lourde et l'utilise pour effectuer de nombreuses techniques d'exercice.")</f>
        <v>Il prend une balle lourde et l'utilise pour effectuer de nombreuses techniques d'exercice.</v>
      </c>
    </row>
    <row r="26891">
      <c r="A26891" s="4" t="s">
        <v>33842</v>
      </c>
      <c r="B26891" s="4" t="s">
        <v>33845</v>
      </c>
      <c r="C26891" s="5" t="str">
        <f>IFERROR(__xludf.DUMMYFUNCTION("GOOGLETRANSLATE(B26891,""en"",""fr"")"),"Il le remet ensuite sur l'herbe.")</f>
        <v>Il le remet ensuite sur l'herbe.</v>
      </c>
    </row>
    <row r="26892">
      <c r="A26892" s="4" t="s">
        <v>33846</v>
      </c>
      <c r="B26892" s="4" t="s">
        <v>33847</v>
      </c>
      <c r="C26892" s="5" t="str">
        <f>IFERROR(__xludf.DUMMYFUNCTION("GOOGLETRANSLATE(B26892,""en"",""fr"")"),"Un bateau est vu rouler le long de l'eau avec un homme conduisant les autres.")</f>
        <v>Un bateau est vu rouler le long de l'eau avec un homme conduisant les autres.</v>
      </c>
    </row>
    <row r="26893">
      <c r="A26893" s="4" t="s">
        <v>33846</v>
      </c>
      <c r="B26893" s="4" t="s">
        <v>33848</v>
      </c>
      <c r="C26893" s="5" t="str">
        <f>IFERROR(__xludf.DUMMYFUNCTION("GOOGLETRANSLATE(B26893,""en"",""fr"")"),"Une personne est vue rouler sur le dos en faisant plusieurs flips et astuces sur sa planche.")</f>
        <v>Une personne est vue rouler sur le dos en faisant plusieurs flips et astuces sur sa planche.</v>
      </c>
    </row>
    <row r="26894">
      <c r="A26894" s="4" t="s">
        <v>33846</v>
      </c>
      <c r="B26894" s="6" t="s">
        <v>33849</v>
      </c>
      <c r="C26894" s="5" t="str">
        <f>IFERROR(__xludf.DUMMYFUNCTION("GOOGLETRANSLATE(B26894,""en"",""fr"")"),"Les gens regardent l'homme ainsi que la caméra alors qu'il continue de se retourner et de regarder la caméra.")</f>
        <v>Les gens regardent l'homme ainsi que la caméra alors qu'il continue de se retourner et de regarder la caméra.</v>
      </c>
    </row>
    <row r="26895">
      <c r="A26895" s="4" t="s">
        <v>33850</v>
      </c>
      <c r="B26895" s="4" t="s">
        <v>33851</v>
      </c>
      <c r="C26895" s="5" t="str">
        <f>IFERROR(__xludf.DUMMYFUNCTION("GOOGLETRANSLATE(B26895,""en"",""fr"")"),"Un homme fait du snowboard sur une colline de neige.")</f>
        <v>Un homme fait du snowboard sur une colline de neige.</v>
      </c>
    </row>
    <row r="26896">
      <c r="A26896" s="4" t="s">
        <v>33850</v>
      </c>
      <c r="B26896" s="4" t="s">
        <v>33852</v>
      </c>
      <c r="C26896" s="5" t="str">
        <f>IFERROR(__xludf.DUMMYFUNCTION("GOOGLETRANSLATE(B26896,""en"",""fr"")"),"Il saute dans les airs et fait des astuces sur les tuyaux.")</f>
        <v>Il saute dans les airs et fait des astuces sur les tuyaux.</v>
      </c>
    </row>
    <row r="26897">
      <c r="A26897" s="4" t="s">
        <v>33853</v>
      </c>
      <c r="B26897" s="4" t="s">
        <v>33854</v>
      </c>
      <c r="C26897" s="5" t="str">
        <f>IFERROR(__xludf.DUMMYFUNCTION("GOOGLETRANSLATE(B26897,""en"",""fr"")"),"Un homme se promène tout en ajustant une ceinture, avec de nombreuses autres personnes dans la pièce.")</f>
        <v>Un homme se promène tout en ajustant une ceinture, avec de nombreuses autres personnes dans la pièce.</v>
      </c>
    </row>
    <row r="26898">
      <c r="A26898" s="4" t="s">
        <v>33853</v>
      </c>
      <c r="B26898" s="4" t="s">
        <v>33855</v>
      </c>
      <c r="C26898" s="5" t="str">
        <f>IFERROR(__xludf.DUMMYFUNCTION("GOOGLETRANSLATE(B26898,""en"",""fr"")"),"L'homme marche dans un tunnel flanqué de plusieurs autres hommes.")</f>
        <v>L'homme marche dans un tunnel flanqué de plusieurs autres hommes.</v>
      </c>
    </row>
    <row r="26899">
      <c r="A26899" s="4" t="s">
        <v>33853</v>
      </c>
      <c r="B26899" s="4" t="s">
        <v>33856</v>
      </c>
      <c r="C26899" s="5" t="str">
        <f>IFERROR(__xludf.DUMMYFUNCTION("GOOGLETRANSLATE(B26899,""en"",""fr"")"),"L'homme monte sur une scène et fait la part des mains.")</f>
        <v>L'homme monte sur une scène et fait la part des mains.</v>
      </c>
    </row>
    <row r="26900">
      <c r="A26900" s="4" t="s">
        <v>33853</v>
      </c>
      <c r="B26900" s="4" t="s">
        <v>33857</v>
      </c>
      <c r="C26900" s="5" t="str">
        <f>IFERROR(__xludf.DUMMYFUNCTION("GOOGLETRANSLATE(B26900,""en"",""fr"")"),"L'homme marche devant une haltère de poids.")</f>
        <v>L'homme marche devant une haltère de poids.</v>
      </c>
    </row>
    <row r="26901">
      <c r="A26901" s="4" t="s">
        <v>33853</v>
      </c>
      <c r="B26901" s="4" t="s">
        <v>33858</v>
      </c>
      <c r="C26901" s="5" t="str">
        <f>IFERROR(__xludf.DUMMYFUNCTION("GOOGLETRANSLATE(B26901,""en"",""fr"")"),"L'homme soulève les poids.")</f>
        <v>L'homme soulève les poids.</v>
      </c>
    </row>
    <row r="26902">
      <c r="A26902" s="4" t="s">
        <v>33853</v>
      </c>
      <c r="B26902" s="4" t="s">
        <v>33859</v>
      </c>
      <c r="C26902" s="5" t="str">
        <f>IFERROR(__xludf.DUMMYFUNCTION("GOOGLETRANSLATE(B26902,""en"",""fr"")"),"L'homme laisse tomber les poids.")</f>
        <v>L'homme laisse tomber les poids.</v>
      </c>
    </row>
    <row r="26903">
      <c r="A26903" s="4" t="s">
        <v>33853</v>
      </c>
      <c r="B26903" s="4" t="s">
        <v>33860</v>
      </c>
      <c r="C26903" s="5" t="str">
        <f>IFERROR(__xludf.DUMMYFUNCTION("GOOGLETRANSLATE(B26903,""en"",""fr"")"),"L'homme quitte la scène alors que les préposés se déplacent vers le poids sur scène.")</f>
        <v>L'homme quitte la scène alors que les préposés se déplacent vers le poids sur scène.</v>
      </c>
    </row>
    <row r="26904">
      <c r="A26904" s="4" t="s">
        <v>33853</v>
      </c>
      <c r="B26904" s="4" t="s">
        <v>33861</v>
      </c>
      <c r="C26904" s="5" t="str">
        <f>IFERROR(__xludf.DUMMYFUNCTION("GOOGLETRANSLATE(B26904,""en"",""fr"")"),"Une rediffusion de l'ascenseur est représentée sous un angle différent.")</f>
        <v>Une rediffusion de l'ascenseur est représentée sous un angle différent.</v>
      </c>
    </row>
    <row r="26905">
      <c r="A26905" s="4" t="s">
        <v>33862</v>
      </c>
      <c r="B26905" s="4" t="s">
        <v>33863</v>
      </c>
      <c r="C26905" s="5" t="str">
        <f>IFERROR(__xludf.DUMMYFUNCTION("GOOGLETRANSLATE(B26905,""en"",""fr"")"),"Une dame se tient à la table avec des ingrédients sur la table.")</f>
        <v>Une dame se tient à la table avec des ingrédients sur la table.</v>
      </c>
    </row>
    <row r="26906">
      <c r="A26906" s="4" t="s">
        <v>33862</v>
      </c>
      <c r="B26906" s="6" t="s">
        <v>33864</v>
      </c>
      <c r="C26906" s="5" t="str">
        <f>IFERROR(__xludf.DUMMYFUNCTION("GOOGLETRANSLATE(B26906,""en"",""fr"")"),"La femme a pointé les ingrédients tels que les poivrons rouges, le céleri, les carottes, la poitrine de poulet, les olives, les gherkins marinés, l'huile d'olive dans la bouteille, le vin blanc dans la bouteille, la mayonnaise, la moutarde et le gruyère, "&amp;"le sel et le poivre.")</f>
        <v>La femme a pointé les ingrédients tels que les poivrons rouges, le céleri, les carottes, la poitrine de poulet, les olives, les gherkins marinés, l'huile d'olive dans la bouteille, le vin blanc dans la bouteille, la mayonnaise, la moutarde et le gruyère, le sel et le poivre.</v>
      </c>
    </row>
    <row r="26907">
      <c r="A26907" s="4" t="s">
        <v>33862</v>
      </c>
      <c r="B26907" s="6" t="s">
        <v>33865</v>
      </c>
      <c r="C26907" s="5" t="str">
        <f>IFERROR(__xludf.DUMMYFUNCTION("GOOGLETRANSLATE(B26907,""en"",""fr"")"),"La dame a touché les ingrédients dans les assiettes, puis elle a tranché le poulet, a mis la moutarde, la mayonnaise et l'huile d'olive dans un bol, puis a ajouté les légumes, puis l'assiette est représentée avec la salade de poulet.")</f>
        <v>La dame a touché les ingrédients dans les assiettes, puis elle a tranché le poulet, a mis la moutarde, la mayonnaise et l'huile d'olive dans un bol, puis a ajouté les légumes, puis l'assiette est représentée avec la salade de poulet.</v>
      </c>
    </row>
    <row r="26908">
      <c r="A26908" s="4" t="s">
        <v>33866</v>
      </c>
      <c r="B26908" s="4" t="s">
        <v>33867</v>
      </c>
      <c r="C26908" s="5" t="str">
        <f>IFERROR(__xludf.DUMMYFUNCTION("GOOGLETRANSLATE(B26908,""en"",""fr"")"),"Un cavalier en kayak pagaye contre le courant et manœuvrait d'avant en arrière avec ses hanches et sa pagaie.")</f>
        <v>Un cavalier en kayak pagaye contre le courant et manœuvrait d'avant en arrière avec ses hanches et sa pagaie.</v>
      </c>
    </row>
    <row r="26909">
      <c r="A26909" s="4" t="s">
        <v>33866</v>
      </c>
      <c r="B26909" s="4" t="s">
        <v>33868</v>
      </c>
      <c r="C26909" s="5" t="str">
        <f>IFERROR(__xludf.DUMMYFUNCTION("GOOGLETRANSLATE(B26909,""en"",""fr"")"),"Le cavalier de kayak plonge dans l'eau et se rétablit.")</f>
        <v>Le cavalier de kayak plonge dans l'eau et se rétablit.</v>
      </c>
    </row>
    <row r="26910">
      <c r="A26910" s="4" t="s">
        <v>33869</v>
      </c>
      <c r="B26910" s="4" t="s">
        <v>33870</v>
      </c>
      <c r="C26910" s="5" t="str">
        <f>IFERROR(__xludf.DUMMYFUNCTION("GOOGLETRANSLATE(B26910,""en"",""fr"")"),"Un jeu a lieu entre l'Argentine et le Pérou.")</f>
        <v>Un jeu a lieu entre l'Argentine et le Pérou.</v>
      </c>
    </row>
    <row r="26911">
      <c r="A26911" s="4" t="s">
        <v>33869</v>
      </c>
      <c r="B26911" s="4" t="s">
        <v>33871</v>
      </c>
      <c r="C26911" s="5" t="str">
        <f>IFERROR(__xludf.DUMMYFUNCTION("GOOGLETRANSLATE(B26911,""en"",""fr"")"),"Les gens dans les gradins bondés se rassemblent et se dispersent.")</f>
        <v>Les gens dans les gradins bondés se rassemblent et se dispersent.</v>
      </c>
    </row>
    <row r="26912">
      <c r="A26912" s="4" t="s">
        <v>33869</v>
      </c>
      <c r="B26912" s="4" t="s">
        <v>33872</v>
      </c>
      <c r="C26912" s="5" t="str">
        <f>IFERROR(__xludf.DUMMYFUNCTION("GOOGLETRANSLATE(B26912,""en"",""fr"")"),"Les hommes sont montrés sur le terrain, jouant au jeu et coupant le ballon.")</f>
        <v>Les hommes sont montrés sur le terrain, jouant au jeu et coupant le ballon.</v>
      </c>
    </row>
    <row r="26913">
      <c r="A26913" s="4" t="s">
        <v>33869</v>
      </c>
      <c r="B26913" s="4" t="s">
        <v>33873</v>
      </c>
      <c r="C26913" s="5" t="str">
        <f>IFERROR(__xludf.DUMMYFUNCTION("GOOGLETRANSLATE(B26913,""en"",""fr"")"),"Le tableau de bord est affiché à titre de comparaison à la fin du jeu.")</f>
        <v>Le tableau de bord est affiché à titre de comparaison à la fin du jeu.</v>
      </c>
    </row>
    <row r="26914">
      <c r="A26914" s="4" t="s">
        <v>33874</v>
      </c>
      <c r="B26914" s="4" t="s">
        <v>33875</v>
      </c>
      <c r="C26914" s="5" t="str">
        <f>IFERROR(__xludf.DUMMYFUNCTION("GOOGLETRANSLATE(B26914,""en"",""fr"")"),"Un grand toit est vu de près suivi d'une personne debout sur une échelle et poussant les carreaux.")</f>
        <v>Un grand toit est vu de près suivi d'une personne debout sur une échelle et poussant les carreaux.</v>
      </c>
    </row>
    <row r="26915">
      <c r="A26915" s="4" t="s">
        <v>33874</v>
      </c>
      <c r="B26915" s="6" t="s">
        <v>33876</v>
      </c>
      <c r="C26915" s="5" t="str">
        <f>IFERROR(__xludf.DUMMYFUNCTION("GOOGLETRANSLATE(B26915,""en"",""fr"")"),"Plus de gens sont vus travailler sur le toit en martelant des carreaux et en les poussant et en parlant à la caméra.")</f>
        <v>Plus de gens sont vus travailler sur le toit en martelant des carreaux et en les poussant et en parlant à la caméra.</v>
      </c>
    </row>
    <row r="26916">
      <c r="A26916" s="4" t="s">
        <v>33874</v>
      </c>
      <c r="B26916" s="6" t="s">
        <v>33877</v>
      </c>
      <c r="C26916" s="5" t="str">
        <f>IFERROR(__xludf.DUMMYFUNCTION("GOOGLETRANSLATE(B26916,""en"",""fr"")"),"La caméra continue de se décoller tout autour du toit ainsi que des bâtiments autour d'eux et les hommes qui continuent de fonctionner.")</f>
        <v>La caméra continue de se décoller tout autour du toit ainsi que des bâtiments autour d'eux et les hommes qui continuent de fonctionner.</v>
      </c>
    </row>
    <row r="26917">
      <c r="A26917" s="4" t="s">
        <v>33878</v>
      </c>
      <c r="B26917" s="4" t="s">
        <v>33879</v>
      </c>
      <c r="C26917" s="5" t="str">
        <f>IFERROR(__xludf.DUMMYFUNCTION("GOOGLETRANSLATE(B26917,""en"",""fr"")"),"Une fille est assise devant un canapé.")</f>
        <v>Une fille est assise devant un canapé.</v>
      </c>
    </row>
    <row r="26918">
      <c r="A26918" s="4" t="s">
        <v>33878</v>
      </c>
      <c r="B26918" s="4" t="s">
        <v>33880</v>
      </c>
      <c r="C26918" s="5" t="str">
        <f>IFERROR(__xludf.DUMMYFUNCTION("GOOGLETRANSLATE(B26918,""en"",""fr"")"),"Elle commence à jouer d'une flûte.")</f>
        <v>Elle commence à jouer d'une flûte.</v>
      </c>
    </row>
    <row r="26919">
      <c r="A26919" s="4" t="s">
        <v>33878</v>
      </c>
      <c r="B26919" s="4" t="s">
        <v>33881</v>
      </c>
      <c r="C26919" s="5" t="str">
        <f>IFERROR(__xludf.DUMMYFUNCTION("GOOGLETRANSLATE(B26919,""en"",""fr"")"),"Elle continue de jouer de la flûte blanc en regardant vers le bas.")</f>
        <v>Elle continue de jouer de la flûte blanc en regardant vers le bas.</v>
      </c>
    </row>
    <row r="26920">
      <c r="A26920" s="4" t="s">
        <v>33882</v>
      </c>
      <c r="B26920" s="4" t="s">
        <v>33883</v>
      </c>
      <c r="C26920" s="5" t="str">
        <f>IFERROR(__xludf.DUMMYFUNCTION("GOOGLETRANSLATE(B26920,""en"",""fr"")"),"Un homme se tient devant un mur rempli de produits capillaires.")</f>
        <v>Un homme se tient devant un mur rempli de produits capillaires.</v>
      </c>
    </row>
    <row r="26921">
      <c r="A26921" s="4" t="s">
        <v>33882</v>
      </c>
      <c r="B26921" s="4" t="s">
        <v>33884</v>
      </c>
      <c r="C26921" s="5" t="str">
        <f>IFERROR(__xludf.DUMMYFUNCTION("GOOGLETRANSLATE(B26921,""en"",""fr"")"),"Divers ciseaux et peignes sont disposés sur un tapis.")</f>
        <v>Divers ciseaux et peignes sont disposés sur un tapis.</v>
      </c>
    </row>
    <row r="26922">
      <c r="A26922" s="4" t="s">
        <v>33882</v>
      </c>
      <c r="B26922" s="4" t="s">
        <v>33885</v>
      </c>
      <c r="C26922" s="5" t="str">
        <f>IFERROR(__xludf.DUMMYFUNCTION("GOOGLETRANSLATE(B26922,""en"",""fr"")"),"Les serviettes de styliste de salon frotte ensuite les produits capillaires dans les cheveux de l'homme avec ses mains.")</f>
        <v>Les serviettes de styliste de salon frotte ensuite les produits capillaires dans les cheveux de l'homme avec ses mains.</v>
      </c>
    </row>
    <row r="26923">
      <c r="A26923" s="4" t="s">
        <v>33882</v>
      </c>
      <c r="B26923" s="4" t="s">
        <v>33886</v>
      </c>
      <c r="C26923" s="5" t="str">
        <f>IFERROR(__xludf.DUMMYFUNCTION("GOOGLETRANSLATE(B26923,""en"",""fr"")"),"Le styliste se cache les cheveux et les coupe avec des ciseaux.")</f>
        <v>Le styliste se cache les cheveux et les coupe avec des ciseaux.</v>
      </c>
    </row>
    <row r="26924">
      <c r="A26924" s="4" t="s">
        <v>33882</v>
      </c>
      <c r="B26924" s="4" t="s">
        <v>33887</v>
      </c>
      <c r="C26924" s="5" t="str">
        <f>IFERROR(__xludf.DUMMYFUNCTION("GOOGLETRANSLATE(B26924,""en"",""fr"")"),"Le styliste coupe les favoris et autour des oreilles.")</f>
        <v>Le styliste coupe les favoris et autour des oreilles.</v>
      </c>
    </row>
    <row r="26925">
      <c r="A26925" s="4" t="s">
        <v>33882</v>
      </c>
      <c r="B26925" s="6" t="s">
        <v>33888</v>
      </c>
      <c r="C26925" s="5" t="str">
        <f>IFERROR(__xludf.DUMMYFUNCTION("GOOGLETRANSLATE(B26925,""en"",""fr"")"),"Le styliste utilise ses mains pour coiffer les cheveux et les souffler à la fin de la coupe pour que la personne puisse le voir.")</f>
        <v>Le styliste utilise ses mains pour coiffer les cheveux et les souffler à la fin de la coupe pour que la personne puisse le voir.</v>
      </c>
    </row>
    <row r="26926">
      <c r="A26926" s="4" t="s">
        <v>33889</v>
      </c>
      <c r="B26926" s="4" t="s">
        <v>33890</v>
      </c>
      <c r="C26926" s="5" t="str">
        <f>IFERROR(__xludf.DUMMYFUNCTION("GOOGLETRANSLATE(B26926,""en"",""fr"")"),"Nous voyons un homme souriant avec des crédits courir à l'écran.")</f>
        <v>Nous voyons un homme souriant avec des crédits courir à l'écran.</v>
      </c>
    </row>
    <row r="26927">
      <c r="A26927" s="4" t="s">
        <v>33889</v>
      </c>
      <c r="B26927" s="4" t="s">
        <v>33891</v>
      </c>
      <c r="C26927" s="5" t="str">
        <f>IFERROR(__xludf.DUMMYFUNCTION("GOOGLETRANSLATE(B26927,""en"",""fr"")"),"Nous voyons un écran pédagogique.")</f>
        <v>Nous voyons un écran pédagogique.</v>
      </c>
    </row>
    <row r="26928">
      <c r="A26928" s="4" t="s">
        <v>33889</v>
      </c>
      <c r="B26928" s="4" t="s">
        <v>33892</v>
      </c>
      <c r="C26928" s="5" t="str">
        <f>IFERROR(__xludf.DUMMYFUNCTION("GOOGLETRANSLATE(B26928,""en"",""fr"")"),"Nous voyons deux hommes jouer à un jeu de squash.")</f>
        <v>Nous voyons deux hommes jouer à un jeu de squash.</v>
      </c>
    </row>
    <row r="26929">
      <c r="A26929" s="4" t="s">
        <v>33889</v>
      </c>
      <c r="B26929" s="4" t="s">
        <v>5107</v>
      </c>
      <c r="C26929" s="5" t="str">
        <f>IFERROR(__xludf.DUMMYFUNCTION("GOOGLETRANSLATE(B26929,""en"",""fr"")"),"Nous voyons ensuite l'écran du titre de fin.")</f>
        <v>Nous voyons ensuite l'écran du titre de fin.</v>
      </c>
    </row>
    <row r="26930">
      <c r="A26930" s="4" t="s">
        <v>33893</v>
      </c>
      <c r="B26930" s="6" t="s">
        <v>33894</v>
      </c>
      <c r="C26930" s="5" t="str">
        <f>IFERROR(__xludf.DUMMYFUNCTION("GOOGLETRANSLATE(B26930,""en"",""fr"")"),"La femme mange des flocons de son et met du mascara, se lavant les dents et nettoyait sa bouche avec un rince-bouche.")</f>
        <v>La femme mange des flocons de son et met du mascara, se lavant les dents et nettoyait sa bouche avec un rince-bouche.</v>
      </c>
    </row>
    <row r="26931">
      <c r="A26931" s="4" t="s">
        <v>33893</v>
      </c>
      <c r="B26931" s="4" t="s">
        <v>33895</v>
      </c>
      <c r="C26931" s="5" t="str">
        <f>IFERROR(__xludf.DUMMYFUNCTION("GOOGLETRANSLATE(B26931,""en"",""fr"")"),"Les journalistes parlent dans les nouvelles.")</f>
        <v>Les journalistes parlent dans les nouvelles.</v>
      </c>
    </row>
    <row r="26932">
      <c r="A26932" s="4" t="s">
        <v>33896</v>
      </c>
      <c r="B26932" s="4" t="s">
        <v>33897</v>
      </c>
      <c r="C26932" s="5" t="str">
        <f>IFERROR(__xludf.DUMMYFUNCTION("GOOGLETRANSLATE(B26932,""en"",""fr"")"),"Une femme se lave les mains sur un évier.")</f>
        <v>Une femme se lave les mains sur un évier.</v>
      </c>
    </row>
    <row r="26933">
      <c r="A26933" s="4" t="s">
        <v>33896</v>
      </c>
      <c r="B26933" s="4" t="s">
        <v>33898</v>
      </c>
      <c r="C26933" s="5" t="str">
        <f>IFERROR(__xludf.DUMMYFUNCTION("GOOGLETRANSLATE(B26933,""en"",""fr"")"),"Elle rince les mains dans l'évier.")</f>
        <v>Elle rince les mains dans l'évier.</v>
      </c>
    </row>
    <row r="26934">
      <c r="A26934" s="4" t="s">
        <v>33896</v>
      </c>
      <c r="B26934" s="4" t="s">
        <v>33899</v>
      </c>
      <c r="C26934" s="5" t="str">
        <f>IFERROR(__xludf.DUMMYFUNCTION("GOOGLETRANSLATE(B26934,""en"",""fr"")"),"Elle attrape une serviette en papier et sèche ses mains.")</f>
        <v>Elle attrape une serviette en papier et sèche ses mains.</v>
      </c>
    </row>
    <row r="26935">
      <c r="A26935" s="4" t="s">
        <v>33900</v>
      </c>
      <c r="B26935" s="4" t="s">
        <v>33901</v>
      </c>
      <c r="C26935" s="5" t="str">
        <f>IFERROR(__xludf.DUMMYFUNCTION("GOOGLETRANSLATE(B26935,""en"",""fr"")"),"Nous voyons l'écran de titre sur Gray.")</f>
        <v>Nous voyons l'écran de titre sur Gray.</v>
      </c>
    </row>
    <row r="26936">
      <c r="A26936" s="4" t="s">
        <v>33900</v>
      </c>
      <c r="B26936" s="4" t="s">
        <v>33902</v>
      </c>
      <c r="C26936" s="5" t="str">
        <f>IFERROR(__xludf.DUMMYFUNCTION("GOOGLETRANSLATE(B26936,""en"",""fr"")"),"Deux hommes jouent à la courge.")</f>
        <v>Deux hommes jouent à la courge.</v>
      </c>
    </row>
    <row r="26937">
      <c r="A26937" s="4" t="s">
        <v>33900</v>
      </c>
      <c r="B26937" s="4" t="s">
        <v>33903</v>
      </c>
      <c r="C26937" s="5" t="str">
        <f>IFERROR(__xludf.DUMMYFUNCTION("GOOGLETRANSLATE(B26937,""en"",""fr"")"),"Nous voyons une transition exhortant la pratique.")</f>
        <v>Nous voyons une transition exhortant la pratique.</v>
      </c>
    </row>
    <row r="26938">
      <c r="A26938" s="4" t="s">
        <v>33900</v>
      </c>
      <c r="B26938" s="4" t="s">
        <v>33904</v>
      </c>
      <c r="C26938" s="5" t="str">
        <f>IFERROR(__xludf.DUMMYFUNCTION("GOOGLETRANSLATE(B26938,""en"",""fr"")"),"Une transition commence mais ne change rien à rien.")</f>
        <v>Une transition commence mais ne change rien à rien.</v>
      </c>
    </row>
    <row r="26939">
      <c r="A26939" s="4" t="s">
        <v>33900</v>
      </c>
      <c r="B26939" s="4" t="s">
        <v>33905</v>
      </c>
      <c r="C26939" s="5" t="str">
        <f>IFERROR(__xludf.DUMMYFUNCTION("GOOGLETRANSLATE(B26939,""en"",""fr"")"),"L'homme en blanc essuie son front avec sa manche.")</f>
        <v>L'homme en blanc essuie son front avec sa manche.</v>
      </c>
    </row>
    <row r="26940">
      <c r="A26940" s="4" t="s">
        <v>33900</v>
      </c>
      <c r="B26940" s="4" t="s">
        <v>33906</v>
      </c>
      <c r="C26940" s="5" t="str">
        <f>IFERROR(__xludf.DUMMYFUNCTION("GOOGLETRANSLATE(B26940,""en"",""fr"")"),"Les crédits finaux montent sur l'écran.")</f>
        <v>Les crédits finaux montent sur l'écran.</v>
      </c>
    </row>
    <row r="26941">
      <c r="A26941" s="4" t="s">
        <v>33907</v>
      </c>
      <c r="B26941" s="4" t="s">
        <v>33908</v>
      </c>
      <c r="C26941" s="5" t="str">
        <f>IFERROR(__xludf.DUMMYFUNCTION("GOOGLETRANSLATE(B26941,""en"",""fr"")"),"Une femme s'agenouille sur le sol à côté d'un bureau.")</f>
        <v>Une femme s'agenouille sur le sol à côté d'un bureau.</v>
      </c>
    </row>
    <row r="26942">
      <c r="A26942" s="4" t="s">
        <v>33907</v>
      </c>
      <c r="B26942" s="4" t="s">
        <v>33909</v>
      </c>
      <c r="C26942" s="5" t="str">
        <f>IFERROR(__xludf.DUMMYFUNCTION("GOOGLETRANSLATE(B26942,""en"",""fr"")"),"Elle commence à peindre le bureau blanc avec un pinceau.")</f>
        <v>Elle commence à peindre le bureau blanc avec un pinceau.</v>
      </c>
    </row>
    <row r="26943">
      <c r="A26943" s="4" t="s">
        <v>33907</v>
      </c>
      <c r="B26943" s="4" t="s">
        <v>33910</v>
      </c>
      <c r="C26943" s="5" t="str">
        <f>IFERROR(__xludf.DUMMYFUNCTION("GOOGLETRANSLATE(B26943,""en"",""fr"")"),"Elle commence alors à peindre deux des tiroirs orange.")</f>
        <v>Elle commence alors à peindre deux des tiroirs orange.</v>
      </c>
    </row>
    <row r="26944">
      <c r="A26944" s="4" t="s">
        <v>33911</v>
      </c>
      <c r="B26944" s="4" t="s">
        <v>33912</v>
      </c>
      <c r="C26944" s="5" t="str">
        <f>IFERROR(__xludf.DUMMYFUNCTION("GOOGLETRANSLATE(B26944,""en"",""fr"")"),"Les hommes à tour de rôle jetant des fléchettes sur une planche de fléchettes.")</f>
        <v>Les hommes à tour de rôle jetant des fléchettes sur une planche de fléchettes.</v>
      </c>
    </row>
    <row r="26945">
      <c r="A26945" s="4" t="s">
        <v>33911</v>
      </c>
      <c r="B26945" s="4" t="s">
        <v>33913</v>
      </c>
      <c r="C26945" s="5" t="str">
        <f>IFERROR(__xludf.DUMMYFUNCTION("GOOGLETRANSLATE(B26945,""en"",""fr"")"),"Une femme dans la foule couple pour eux.")</f>
        <v>Une femme dans la foule couple pour eux.</v>
      </c>
    </row>
    <row r="26946">
      <c r="A26946" s="4" t="s">
        <v>33911</v>
      </c>
      <c r="B26946" s="4" t="s">
        <v>33914</v>
      </c>
      <c r="C26946" s="5" t="str">
        <f>IFERROR(__xludf.DUMMYFUNCTION("GOOGLETRANSLATE(B26946,""en"",""fr"")"),"Un homme prend un verre d'un verre.")</f>
        <v>Un homme prend un verre d'un verre.</v>
      </c>
    </row>
    <row r="26947">
      <c r="A26947" s="4" t="s">
        <v>33915</v>
      </c>
      <c r="B26947" s="4" t="s">
        <v>33916</v>
      </c>
      <c r="C26947" s="5" t="str">
        <f>IFERROR(__xludf.DUMMYFUNCTION("GOOGLETRANSLATE(B26947,""en"",""fr"")"),"Une personne ramera au bord d'un bateau.")</f>
        <v>Une personne ramera au bord d'un bateau.</v>
      </c>
    </row>
    <row r="26948">
      <c r="A26948" s="4" t="s">
        <v>33915</v>
      </c>
      <c r="B26948" s="4" t="s">
        <v>33917</v>
      </c>
      <c r="C26948" s="5" t="str">
        <f>IFERROR(__xludf.DUMMYFUNCTION("GOOGLETRANSLATE(B26948,""en"",""fr"")"),"La personne sort un crochet de pêche.")</f>
        <v>La personne sort un crochet de pêche.</v>
      </c>
    </row>
    <row r="26949">
      <c r="A26949" s="4" t="s">
        <v>33915</v>
      </c>
      <c r="B26949" s="4" t="s">
        <v>33918</v>
      </c>
      <c r="C26949" s="5" t="str">
        <f>IFERROR(__xludf.DUMMYFUNCTION("GOOGLETRANSLATE(B26949,""en"",""fr"")"),"La personne commence à pêcher à son bord.")</f>
        <v>La personne commence à pêcher à son bord.</v>
      </c>
    </row>
    <row r="26950">
      <c r="A26950" s="4" t="s">
        <v>33919</v>
      </c>
      <c r="B26950" s="6" t="s">
        <v>33920</v>
      </c>
      <c r="C26950" s="5" t="str">
        <f>IFERROR(__xludf.DUMMYFUNCTION("GOOGLETRANSLATE(B26950,""en"",""fr"")"),"Une femme est vue effectuer une routine de danse du ventre sur une grande scène avec d'autres personnes qui regardent sur les côtés.")</f>
        <v>Une femme est vue effectuer une routine de danse du ventre sur une grande scène avec d'autres personnes qui regardent sur les côtés.</v>
      </c>
    </row>
    <row r="26951">
      <c r="A26951" s="4" t="s">
        <v>33919</v>
      </c>
      <c r="B26951" s="6" t="s">
        <v>33921</v>
      </c>
      <c r="C26951" s="5" t="str">
        <f>IFERROR(__xludf.DUMMYFUNCTION("GOOGLETRANSLATE(B26951,""en"",""fr"")"),"La femme continue de danser et de tourner autour de la scène et se termine avec ses pose et qui s'éloigne.")</f>
        <v>La femme continue de danser et de tourner autour de la scène et se termine avec ses pose et qui s'éloigne.</v>
      </c>
    </row>
    <row r="26952">
      <c r="A26952" s="4" t="s">
        <v>33922</v>
      </c>
      <c r="B26952" s="4" t="s">
        <v>33923</v>
      </c>
      <c r="C26952" s="5" t="str">
        <f>IFERROR(__xludf.DUMMYFUNCTION("GOOGLETRANSLATE(B26952,""en"",""fr"")"),"Il y a un groupe d'étudiants de fanfare jouant les trompettes.")</f>
        <v>Il y a un groupe d'étudiants de fanfare jouant les trompettes.</v>
      </c>
    </row>
    <row r="26953">
      <c r="A26953" s="4" t="s">
        <v>33922</v>
      </c>
      <c r="B26953" s="4" t="s">
        <v>33924</v>
      </c>
      <c r="C26953" s="5" t="str">
        <f>IFERROR(__xludf.DUMMYFUNCTION("GOOGLETRANSLATE(B26953,""en"",""fr"")"),"Ils sont vêtus d'uniformes de couleur marron et jaune et de chapeaux blancs.")</f>
        <v>Ils sont vêtus d'uniformes de couleur marron et jaune et de chapeaux blancs.</v>
      </c>
    </row>
    <row r="26954">
      <c r="A26954" s="4" t="s">
        <v>33922</v>
      </c>
      <c r="B26954" s="4" t="s">
        <v>33925</v>
      </c>
      <c r="C26954" s="5" t="str">
        <f>IFERROR(__xludf.DUMMYFUNCTION("GOOGLETRANSLATE(B26954,""en"",""fr"")"),"Il y a des étudiants qui jouent de la batterie et des étudiants qui jouent de la trompette.")</f>
        <v>Il y a des étudiants qui jouent de la batterie et des étudiants qui jouent de la trompette.</v>
      </c>
    </row>
    <row r="26955">
      <c r="A26955" s="4" t="s">
        <v>33922</v>
      </c>
      <c r="B26955" s="4" t="s">
        <v>33926</v>
      </c>
      <c r="C26955" s="5" t="str">
        <f>IFERROR(__xludf.DUMMYFUNCTION("GOOGLETRANSLATE(B26955,""en"",""fr"")"),"Ils continuent de jouer du groupe alors qu'ils marchent dans les rues.")</f>
        <v>Ils continuent de jouer du groupe alors qu'ils marchent dans les rues.</v>
      </c>
    </row>
    <row r="26956">
      <c r="A26956" s="4" t="s">
        <v>33927</v>
      </c>
      <c r="B26956" s="4" t="s">
        <v>33928</v>
      </c>
      <c r="C26956" s="5" t="str">
        <f>IFERROR(__xludf.DUMMYFUNCTION("GOOGLETRANSLATE(B26956,""en"",""fr"")"),"Un lutteur sort et se met dans le ring.")</f>
        <v>Un lutteur sort et se met dans le ring.</v>
      </c>
    </row>
    <row r="26957">
      <c r="A26957" s="4" t="s">
        <v>33927</v>
      </c>
      <c r="B26957" s="4" t="s">
        <v>33929</v>
      </c>
      <c r="C26957" s="5" t="str">
        <f>IFERROR(__xludf.DUMMYFUNCTION("GOOGLETRANSLATE(B26957,""en"",""fr"")"),"Quelqu'un est allongé sur le ventre se tatouage sur le dos.")</f>
        <v>Quelqu'un est allongé sur le ventre se tatouage sur le dos.</v>
      </c>
    </row>
    <row r="26958">
      <c r="A26958" s="4" t="s">
        <v>33927</v>
      </c>
      <c r="B26958" s="4" t="s">
        <v>33930</v>
      </c>
      <c r="C26958" s="5" t="str">
        <f>IFERROR(__xludf.DUMMYFUNCTION("GOOGLETRANSLATE(B26958,""en"",""fr"")"),"Un homme dans une chemise rouge tatouage l'homme allongé.")</f>
        <v>Un homme dans une chemise rouge tatouage l'homme allongé.</v>
      </c>
    </row>
    <row r="26959">
      <c r="A26959" s="4" t="s">
        <v>33927</v>
      </c>
      <c r="B26959" s="4" t="s">
        <v>33931</v>
      </c>
      <c r="C26959" s="5" t="str">
        <f>IFERROR(__xludf.DUMMYFUNCTION("GOOGLETRANSLATE(B26959,""en"",""fr"")"),"Le lutteur est à nouveau illustré.")</f>
        <v>Le lutteur est à nouveau illustré.</v>
      </c>
    </row>
    <row r="26960">
      <c r="A26960" s="4" t="s">
        <v>33932</v>
      </c>
      <c r="B26960" s="6" t="s">
        <v>33933</v>
      </c>
      <c r="C26960" s="5" t="str">
        <f>IFERROR(__xludf.DUMMYFUNCTION("GOOGLETRANSLATE(B26960,""en"",""fr"")"),"Un acteur, Jason Stathom, est assis dans une chaise inclinable bleue parlant un animateur de télévision tard le soir du nom de Jimmy Fallon qui est assis derrière un bureau.")</f>
        <v>Un acteur, Jason Stathom, est assis dans une chaise inclinable bleue parlant un animateur de télévision tard le soir du nom de Jimmy Fallon qui est assis derrière un bureau.</v>
      </c>
    </row>
    <row r="26961">
      <c r="A26961" s="4" t="s">
        <v>33932</v>
      </c>
      <c r="B26961" s="4" t="s">
        <v>33934</v>
      </c>
      <c r="C26961" s="5" t="str">
        <f>IFERROR(__xludf.DUMMYFUNCTION("GOOGLETRANSLATE(B26961,""en"",""fr"")"),"Les deux continuent de parler, puis ils se lèvent tous les deux de la plaisanterie et se dirigent vers une table.")</f>
        <v>Les deux continuent de parler, puis ils se lèvent tous les deux de la plaisanterie et se dirigent vers une table.</v>
      </c>
    </row>
    <row r="26962">
      <c r="A26962" s="4" t="s">
        <v>33932</v>
      </c>
      <c r="B26962" s="4" t="s">
        <v>33935</v>
      </c>
      <c r="C26962" s="5" t="str">
        <f>IFERROR(__xludf.DUMMYFUNCTION("GOOGLETRANSLATE(B26962,""en"",""fr"")"),"Ils se tiennent tous les deux aux extrémités de la table et commencent à lutter et à parler des bras.")</f>
        <v>Ils se tiennent tous les deux aux extrémités de la table et commencent à lutter et à parler des bras.</v>
      </c>
    </row>
    <row r="26963">
      <c r="A26963" s="4" t="s">
        <v>33932</v>
      </c>
      <c r="B26963" s="4" t="s">
        <v>33936</v>
      </c>
      <c r="C26963" s="5" t="str">
        <f>IFERROR(__xludf.DUMMYFUNCTION("GOOGLETRANSLATE(B26963,""en"",""fr"")"),"Après une longue période de temps, l'acteur gagne et commence à applaudir pour lui-même.")</f>
        <v>Après une longue période de temps, l'acteur gagne et commence à applaudir pour lui-même.</v>
      </c>
    </row>
    <row r="26964">
      <c r="A26964" s="4" t="s">
        <v>33937</v>
      </c>
      <c r="B26964" s="4" t="s">
        <v>33938</v>
      </c>
      <c r="C26964" s="5" t="str">
        <f>IFERROR(__xludf.DUMMYFUNCTION("GOOGLETRANSLATE(B26964,""en"",""fr"")"),"Une femme en chemise blanche pose avec ses cheveux courts.")</f>
        <v>Une femme en chemise blanche pose avec ses cheveux courts.</v>
      </c>
    </row>
    <row r="26965">
      <c r="A26965" s="4" t="s">
        <v>33937</v>
      </c>
      <c r="B26965" s="6" t="s">
        <v>33939</v>
      </c>
      <c r="C26965" s="5" t="str">
        <f>IFERROR(__xludf.DUMMYFUNCTION("GOOGLETRANSLATE(B26965,""en"",""fr"")"),"Un homme en chemise blanche coupe les cheveux de la fille dans un studio avec un fond blanc, puis il a tressé l'arrière de ses cheveux, puis continue de couper et coiffer les cheveux de la fille.")</f>
        <v>Un homme en chemise blanche coupe les cheveux de la fille dans un studio avec un fond blanc, puis il a tressé l'arrière de ses cheveux, puis continue de couper et coiffer les cheveux de la fille.</v>
      </c>
    </row>
    <row r="26966">
      <c r="A26966" s="4" t="s">
        <v>33940</v>
      </c>
      <c r="B26966" s="6" t="s">
        <v>33941</v>
      </c>
      <c r="C26966" s="5" t="str">
        <f>IFERROR(__xludf.DUMMYFUNCTION("GOOGLETRANSLATE(B26966,""en"",""fr"")"),"Un homme est vu à genoux sur un sol suivi de coups de lui en mettant du plâtre et des carreaux vers le bas.")</f>
        <v>Un homme est vu à genoux sur un sol suivi de coups de lui en mettant du plâtre et des carreaux vers le bas.</v>
      </c>
    </row>
    <row r="26967">
      <c r="A26967" s="4" t="s">
        <v>33940</v>
      </c>
      <c r="B26967" s="6" t="s">
        <v>33942</v>
      </c>
      <c r="C26967" s="5" t="str">
        <f>IFERROR(__xludf.DUMMYFUNCTION("GOOGLETRANSLATE(B26967,""en"",""fr"")"),"Il perce ensuite dans un seau et dépose du plâtre, ainsi que de placer des carreaux sur le sol à nouveau et montrant plus de coups de son travail à la fin.")</f>
        <v>Il perce ensuite dans un seau et dépose du plâtre, ainsi que de placer des carreaux sur le sol à nouveau et montrant plus de coups de son travail à la fin.</v>
      </c>
    </row>
    <row r="26968">
      <c r="A26968" s="4" t="s">
        <v>33943</v>
      </c>
      <c r="B26968" s="4" t="s">
        <v>33944</v>
      </c>
      <c r="C26968" s="5" t="str">
        <f>IFERROR(__xludf.DUMMYFUNCTION("GOOGLETRANSLATE(B26968,""en"",""fr"")"),"Kid est debout devant la scène en jouant des congas.")</f>
        <v>Kid est debout devant la scène en jouant des congas.</v>
      </c>
    </row>
    <row r="26969">
      <c r="A26969" s="4" t="s">
        <v>33943</v>
      </c>
      <c r="B26969" s="4" t="s">
        <v>33945</v>
      </c>
      <c r="C26969" s="5" t="str">
        <f>IFERROR(__xludf.DUMMYFUNCTION("GOOGLETRANSLATE(B26969,""en"",""fr"")"),"Derrière lui se trouve une fille jouant du tambourin et un garçon jouant du triangle.")</f>
        <v>Derrière lui se trouve une fille jouant du tambourin et un garçon jouant du triangle.</v>
      </c>
    </row>
    <row r="26970">
      <c r="A26970" s="4" t="s">
        <v>33943</v>
      </c>
      <c r="B26970" s="4" t="s">
        <v>33946</v>
      </c>
      <c r="C26970" s="5" t="str">
        <f>IFERROR(__xludf.DUMMYFUNCTION("GOOGLETRANSLATE(B26970,""en"",""fr"")"),"En arrière-plan, les enfants debout sur scène jouent de la batterie.")</f>
        <v>En arrière-plan, les enfants debout sur scène jouent de la batterie.</v>
      </c>
    </row>
    <row r="26971">
      <c r="A26971" s="4" t="s">
        <v>33947</v>
      </c>
      <c r="B26971" s="4" t="s">
        <v>33948</v>
      </c>
      <c r="C26971" s="5" t="str">
        <f>IFERROR(__xludf.DUMMYFUNCTION("GOOGLETRANSLATE(B26971,""en"",""fr"")"),"Un homme est assis à une table.")</f>
        <v>Un homme est assis à une table.</v>
      </c>
    </row>
    <row r="26972">
      <c r="A26972" s="4" t="s">
        <v>33947</v>
      </c>
      <c r="B26972" s="4" t="s">
        <v>33949</v>
      </c>
      <c r="C26972" s="5" t="str">
        <f>IFERROR(__xludf.DUMMYFUNCTION("GOOGLETRANSLATE(B26972,""en"",""fr"")"),"Une femme monte sur la table et tombe dans ses bras.")</f>
        <v>Une femme monte sur la table et tombe dans ses bras.</v>
      </c>
    </row>
    <row r="26973">
      <c r="A26973" s="4" t="s">
        <v>33947</v>
      </c>
      <c r="B26973" s="4" t="s">
        <v>33950</v>
      </c>
      <c r="C26973" s="5" t="str">
        <f>IFERROR(__xludf.DUMMYFUNCTION("GOOGLETRANSLATE(B26973,""en"",""fr"")"),"Elle fait un retour au dos sur le sol.")</f>
        <v>Elle fait un retour au dos sur le sol.</v>
      </c>
    </row>
    <row r="26974">
      <c r="A26974" s="4" t="s">
        <v>33947</v>
      </c>
      <c r="B26974" s="4" t="s">
        <v>33951</v>
      </c>
      <c r="C26974" s="5" t="str">
        <f>IFERROR(__xludf.DUMMYFUNCTION("GOOGLETRANSLATE(B26974,""en"",""fr"")"),"Ils commencent à danser sur la piste de danse.")</f>
        <v>Ils commencent à danser sur la piste de danse.</v>
      </c>
    </row>
    <row r="26975">
      <c r="A26975" s="4" t="s">
        <v>33952</v>
      </c>
      <c r="B26975" s="4" t="s">
        <v>33953</v>
      </c>
      <c r="C26975" s="5" t="str">
        <f>IFERROR(__xludf.DUMMYFUNCTION("GOOGLETRANSLATE(B26975,""en"",""fr"")"),"Un homme est vu se pencher sur une clôture et se pencher en continu pour tremper la peinture dans un seau.")</f>
        <v>Un homme est vu se pencher sur une clôture et se pencher en continu pour tremper la peinture dans un seau.</v>
      </c>
    </row>
    <row r="26976">
      <c r="A26976" s="4" t="s">
        <v>33952</v>
      </c>
      <c r="B26976" s="6" t="s">
        <v>33954</v>
      </c>
      <c r="C26976" s="5" t="str">
        <f>IFERROR(__xludf.DUMMYFUNCTION("GOOGLETRANSLATE(B26976,""en"",""fr"")"),"La femme brosse la clôture en continu devant elle pendant que la caméra la capture par derrière.")</f>
        <v>La femme brosse la clôture en continu devant elle pendant que la caméra la capture par derrière.</v>
      </c>
    </row>
    <row r="26977">
      <c r="A26977" s="4" t="s">
        <v>33955</v>
      </c>
      <c r="B26977" s="4" t="s">
        <v>33956</v>
      </c>
      <c r="C26977" s="5" t="str">
        <f>IFERROR(__xludf.DUMMYFUNCTION("GOOGLETRANSLATE(B26977,""en"",""fr"")"),"Les voitures et les VR s'assoient à l'extérieur d'un centre de rodéo.")</f>
        <v>Les voitures et les VR s'assoient à l'extérieur d'un centre de rodéo.</v>
      </c>
    </row>
    <row r="26978">
      <c r="A26978" s="4" t="s">
        <v>33955</v>
      </c>
      <c r="B26978" s="4" t="s">
        <v>33957</v>
      </c>
      <c r="C26978" s="5" t="str">
        <f>IFERROR(__xludf.DUMMYFUNCTION("GOOGLETRANSLATE(B26978,""en"",""fr"")"),"Les Cowboys pratiquent leur travail de lasso.")</f>
        <v>Les Cowboys pratiquent leur travail de lasso.</v>
      </c>
    </row>
    <row r="26979">
      <c r="A26979" s="4" t="s">
        <v>33955</v>
      </c>
      <c r="B26979" s="4" t="s">
        <v>33958</v>
      </c>
      <c r="C26979" s="5" t="str">
        <f>IFERROR(__xludf.DUMMYFUNCTION("GOOGLETRANSLATE(B26979,""en"",""fr"")"),"Les gens achètent à l'intérieur du magasin du Rodeo Center.")</f>
        <v>Les gens achètent à l'intérieur du magasin du Rodeo Center.</v>
      </c>
    </row>
    <row r="26980">
      <c r="A26980" s="4" t="s">
        <v>33955</v>
      </c>
      <c r="B26980" s="4" t="s">
        <v>33959</v>
      </c>
      <c r="C26980" s="5" t="str">
        <f>IFERROR(__xludf.DUMMYFUNCTION("GOOGLETRANSLATE(B26980,""en"",""fr"")"),"Un jeune enfant attrape un mollet.")</f>
        <v>Un jeune enfant attrape un mollet.</v>
      </c>
    </row>
    <row r="26981">
      <c r="A26981" s="4" t="s">
        <v>33955</v>
      </c>
      <c r="B26981" s="4" t="s">
        <v>33960</v>
      </c>
      <c r="C26981" s="5" t="str">
        <f>IFERROR(__xludf.DUMMYFUNCTION("GOOGLETRANSLATE(B26981,""en"",""fr"")"),"Un cow-boy saute de son cheval pour contrôler le mollet qu'il a attrapé.")</f>
        <v>Un cow-boy saute de son cheval pour contrôler le mollet qu'il a attrapé.</v>
      </c>
    </row>
    <row r="26982">
      <c r="A26982" s="4" t="s">
        <v>33955</v>
      </c>
      <c r="B26982" s="4" t="s">
        <v>33961</v>
      </c>
      <c r="C26982" s="5" t="str">
        <f>IFERROR(__xludf.DUMMYFUNCTION("GOOGLETRANSLATE(B26982,""en"",""fr"")"),"Un autre cow-boy dans une chemise noire saute de son cheval.")</f>
        <v>Un autre cow-boy dans une chemise noire saute de son cheval.</v>
      </c>
    </row>
    <row r="26983">
      <c r="A26983" s="4" t="s">
        <v>33955</v>
      </c>
      <c r="B26983" s="4" t="s">
        <v>33962</v>
      </c>
      <c r="C26983" s="5" t="str">
        <f>IFERROR(__xludf.DUMMYFUNCTION("GOOGLETRANSLATE(B26983,""en"",""fr"")"),"Un homme dans une chemise rose lassos un mollet.")</f>
        <v>Un homme dans une chemise rose lassos un mollet.</v>
      </c>
    </row>
    <row r="26984">
      <c r="A26984" s="4" t="s">
        <v>33955</v>
      </c>
      <c r="B26984" s="4" t="s">
        <v>33963</v>
      </c>
      <c r="C26984" s="5" t="str">
        <f>IFERROR(__xludf.DUMMYFUNCTION("GOOGLETRANSLATE(B26984,""en"",""fr"")"),"Une femme sur un cheval attrape un mollet.")</f>
        <v>Une femme sur un cheval attrape un mollet.</v>
      </c>
    </row>
    <row r="26985">
      <c r="A26985" s="4" t="s">
        <v>33955</v>
      </c>
      <c r="B26985" s="4" t="s">
        <v>33964</v>
      </c>
      <c r="C26985" s="5" t="str">
        <f>IFERROR(__xludf.DUMMYFUNCTION("GOOGLETRANSLATE(B26985,""en"",""fr"")"),"Un autre homme saute de son cheval brun pour contrôler le mollet qu'il a attrapé.")</f>
        <v>Un autre homme saute de son cheval brun pour contrôler le mollet qu'il a attrapé.</v>
      </c>
    </row>
    <row r="26986">
      <c r="A26986" s="4" t="s">
        <v>33965</v>
      </c>
      <c r="B26986" s="4" t="s">
        <v>33966</v>
      </c>
      <c r="C26986" s="5" t="str">
        <f>IFERROR(__xludf.DUMMYFUNCTION("GOOGLETRANSLATE(B26986,""en"",""fr"")"),"Un homme soulève un gros poids du sol.")</f>
        <v>Un homme soulève un gros poids du sol.</v>
      </c>
    </row>
    <row r="26987">
      <c r="A26987" s="4" t="s">
        <v>33965</v>
      </c>
      <c r="B26987" s="4" t="s">
        <v>33967</v>
      </c>
      <c r="C26987" s="5" t="str">
        <f>IFERROR(__xludf.DUMMYFUNCTION("GOOGLETRANSLATE(B26987,""en"",""fr"")"),"Il le pousse sur sa tête avant de le laisser tomber sur le sol.")</f>
        <v>Il le pousse sur sa tête avant de le laisser tomber sur le sol.</v>
      </c>
    </row>
    <row r="26988">
      <c r="A26988" s="4" t="s">
        <v>33968</v>
      </c>
      <c r="B26988" s="4" t="s">
        <v>33969</v>
      </c>
      <c r="C26988" s="5" t="str">
        <f>IFERROR(__xludf.DUMMYFUNCTION("GOOGLETRANSLATE(B26988,""en"",""fr"")"),"Un homme lance une balle à son fils, qui l'attrape avec un bâton de crosse.")</f>
        <v>Un homme lance une balle à son fils, qui l'attrape avec un bâton de crosse.</v>
      </c>
    </row>
    <row r="26989">
      <c r="A26989" s="4" t="s">
        <v>33968</v>
      </c>
      <c r="B26989" s="4" t="s">
        <v>33970</v>
      </c>
      <c r="C26989" s="5" t="str">
        <f>IFERROR(__xludf.DUMMYFUNCTION("GOOGLETRANSLATE(B26989,""en"",""fr"")"),"Le garçon le retourne et il navigue à droite de l'homme.")</f>
        <v>Le garçon le retourne et il navigue à droite de l'homme.</v>
      </c>
    </row>
    <row r="26990">
      <c r="A26990" s="4" t="s">
        <v>33971</v>
      </c>
      <c r="B26990" s="6" t="s">
        <v>33972</v>
      </c>
      <c r="C26990" s="5" t="str">
        <f>IFERROR(__xludf.DUMMYFUNCTION("GOOGLETRANSLATE(B26990,""en"",""fr"")"),"Une femme est montrée sous différents angles se déplaçant sur une machine d'exercice et mène dans la terre tournante.")</f>
        <v>Une femme est montrée sous différents angles se déplaçant sur une machine d'exercice et mène dans la terre tournante.</v>
      </c>
    </row>
    <row r="26991">
      <c r="A26991" s="4" t="s">
        <v>33971</v>
      </c>
      <c r="B26991" s="4" t="s">
        <v>33973</v>
      </c>
      <c r="C26991" s="5" t="str">
        <f>IFERROR(__xludf.DUMMYFUNCTION("GOOGLETRANSLATE(B26991,""en"",""fr"")"),"Elle place un article sur la machine et plusieurs photos de santé sont présentées.")</f>
        <v>Elle place un article sur la machine et plusieurs photos de santé sont présentées.</v>
      </c>
    </row>
    <row r="26992">
      <c r="A26992" s="4" t="s">
        <v>33971</v>
      </c>
      <c r="B26992" s="4" t="s">
        <v>33974</v>
      </c>
      <c r="C26992" s="5" t="str">
        <f>IFERROR(__xludf.DUMMYFUNCTION("GOOGLETRANSLATE(B26992,""en"",""fr"")"),"Elle est à nouveau sur la machine à rouler et replie finalement la machine à la fin.")</f>
        <v>Elle est à nouveau sur la machine à rouler et replie finalement la machine à la fin.</v>
      </c>
    </row>
    <row r="26993">
      <c r="A26993" s="4" t="s">
        <v>33975</v>
      </c>
      <c r="B26993" s="4" t="s">
        <v>33976</v>
      </c>
      <c r="C26993" s="5" t="str">
        <f>IFERROR(__xludf.DUMMYFUNCTION("GOOGLETRANSLATE(B26993,""en"",""fr"")"),"Un homme parle devant un filet.")</f>
        <v>Un homme parle devant un filet.</v>
      </c>
    </row>
    <row r="26994">
      <c r="A26994" s="4" t="s">
        <v>33975</v>
      </c>
      <c r="B26994" s="4" t="s">
        <v>33977</v>
      </c>
      <c r="C26994" s="5" t="str">
        <f>IFERROR(__xludf.DUMMYFUNCTION("GOOGLETRANSLATE(B26994,""en"",""fr"")"),"Il s'accroupit sur le sol, traversant ses chevilles.")</f>
        <v>Il s'accroupit sur le sol, traversant ses chevilles.</v>
      </c>
    </row>
    <row r="26995">
      <c r="A26995" s="4" t="s">
        <v>33975</v>
      </c>
      <c r="B26995" s="4" t="s">
        <v>33978</v>
      </c>
      <c r="C26995" s="5" t="str">
        <f>IFERROR(__xludf.DUMMYFUNCTION("GOOGLETRANSLATE(B26995,""en"",""fr"")"),"Il avance ensuite et remonte plusieurs fois, s'étirant.")</f>
        <v>Il avance ensuite et remonte plusieurs fois, s'étirant.</v>
      </c>
    </row>
    <row r="26996">
      <c r="A26996" s="4" t="s">
        <v>33979</v>
      </c>
      <c r="B26996" s="4" t="s">
        <v>33980</v>
      </c>
      <c r="C26996" s="5" t="str">
        <f>IFERROR(__xludf.DUMMYFUNCTION("GOOGLETRANSLATE(B26996,""en"",""fr"")"),"Un homme est assis dans une pièce et discute.")</f>
        <v>Un homme est assis dans une pièce et discute.</v>
      </c>
    </row>
    <row r="26997">
      <c r="A26997" s="4" t="s">
        <v>33979</v>
      </c>
      <c r="B26997" s="4" t="s">
        <v>33981</v>
      </c>
      <c r="C26997" s="5" t="str">
        <f>IFERROR(__xludf.DUMMYFUNCTION("GOOGLETRANSLATE(B26997,""en"",""fr"")"),"L'homme tient une tasse de café en parlant.")</f>
        <v>L'homme tient une tasse de café en parlant.</v>
      </c>
    </row>
    <row r="26998">
      <c r="A26998" s="4" t="s">
        <v>33979</v>
      </c>
      <c r="B26998" s="4" t="s">
        <v>33982</v>
      </c>
      <c r="C26998" s="5" t="str">
        <f>IFERROR(__xludf.DUMMYFUNCTION("GOOGLETRANSLATE(B26998,""en"",""fr"")"),"L'homme prend quelques verres de la tasse de café.")</f>
        <v>L'homme prend quelques verres de la tasse de café.</v>
      </c>
    </row>
    <row r="26999">
      <c r="A26999" s="4" t="s">
        <v>33983</v>
      </c>
      <c r="B26999" s="4" t="s">
        <v>33984</v>
      </c>
      <c r="C26999" s="5" t="str">
        <f>IFERROR(__xludf.DUMMYFUNCTION("GOOGLETRANSLATE(B26999,""en"",""fr"")"),"Un tout-petit est assis devant une table, avec sa pièce maquillée sur la table.")</f>
        <v>Un tout-petit est assis devant une table, avec sa pièce maquillée sur la table.</v>
      </c>
    </row>
    <row r="27000">
      <c r="A27000" s="4" t="s">
        <v>33983</v>
      </c>
      <c r="B27000" s="4" t="s">
        <v>33985</v>
      </c>
      <c r="C27000" s="5" t="str">
        <f>IFERROR(__xludf.DUMMYFUNCTION("GOOGLETRANSLATE(B27000,""en"",""fr"")"),"Elle prend ensuite sa fondation et la met autour de son visage.")</f>
        <v>Elle prend ensuite sa fondation et la met autour de son visage.</v>
      </c>
    </row>
    <row r="27001">
      <c r="A27001" s="4" t="s">
        <v>33983</v>
      </c>
      <c r="B27001" s="6" t="s">
        <v>33986</v>
      </c>
      <c r="C27001" s="5" t="str">
        <f>IFERROR(__xludf.DUMMYFUNCTION("GOOGLETRANSLATE(B27001,""en"",""fr"")"),"Vient ensuite son ombre à paupières, puis ses lèvres mais elle finit par la laisser tomber sur le sol et doit passer sous la table pour l'obtenir.")</f>
        <v>Vient ensuite son ombre à paupières, puis ses lèvres mais elle finit par la laisser tomber sur le sol et doit passer sous la table pour l'obtenir.</v>
      </c>
    </row>
    <row r="27002">
      <c r="A27002" s="4" t="s">
        <v>33983</v>
      </c>
      <c r="B27002" s="6" t="s">
        <v>33987</v>
      </c>
      <c r="C27002" s="5" t="str">
        <f>IFERROR(__xludf.DUMMYFUNCTION("GOOGLETRANSLATE(B27002,""en"",""fr"")"),"Enfin, elle revient et ajoute la touche finale sur ses lèvres, elle finit ses lèvres et ajoute plus de couleur à ses joues.")</f>
        <v>Enfin, elle revient et ajoute la touche finale sur ses lèvres, elle finit ses lèvres et ajoute plus de couleur à ses joues.</v>
      </c>
    </row>
    <row r="27003">
      <c r="A27003" s="4" t="s">
        <v>33988</v>
      </c>
      <c r="B27003" s="4" t="s">
        <v>33989</v>
      </c>
      <c r="C27003" s="5" t="str">
        <f>IFERROR(__xludf.DUMMYFUNCTION("GOOGLETRANSLATE(B27003,""en"",""fr"")"),"Nous voyons des images qui ont été prises autour de DC.")</f>
        <v>Nous voyons des images qui ont été prises autour de DC.</v>
      </c>
    </row>
    <row r="27004">
      <c r="A27004" s="4" t="s">
        <v>33988</v>
      </c>
      <c r="B27004" s="4" t="s">
        <v>33990</v>
      </c>
      <c r="C27004" s="5" t="str">
        <f>IFERROR(__xludf.DUMMYFUNCTION("GOOGLETRANSLATE(B27004,""en"",""fr"")"),"Nous voyons un homme parler et des photos de planches à roulettes alors que les gens se réunissent dans une pièce.")</f>
        <v>Nous voyons un homme parler et des photos de planches à roulettes alors que les gens se réunissent dans une pièce.</v>
      </c>
    </row>
    <row r="27005">
      <c r="A27005" s="4" t="s">
        <v>33988</v>
      </c>
      <c r="B27005" s="4" t="s">
        <v>33991</v>
      </c>
      <c r="C27005" s="5" t="str">
        <f>IFERROR(__xludf.DUMMYFUNCTION("GOOGLETRANSLATE(B27005,""en"",""fr"")"),"Nous voyons Tony Hawk qui pointe vers d'autres personnes.")</f>
        <v>Nous voyons Tony Hawk qui pointe vers d'autres personnes.</v>
      </c>
    </row>
    <row r="27006">
      <c r="A27006" s="4" t="s">
        <v>33988</v>
      </c>
      <c r="B27006" s="4" t="s">
        <v>33992</v>
      </c>
      <c r="C27006" s="5" t="str">
        <f>IFERROR(__xludf.DUMMYFUNCTION("GOOGLETRANSLATE(B27006,""en"",""fr"")"),"Nous voyons des gens du skateboard dans la rue et autour de DC.")</f>
        <v>Nous voyons des gens du skateboard dans la rue et autour de DC.</v>
      </c>
    </row>
    <row r="27007">
      <c r="A27007" s="4" t="s">
        <v>33988</v>
      </c>
      <c r="B27007" s="4" t="s">
        <v>33993</v>
      </c>
      <c r="C27007" s="5" t="str">
        <f>IFERROR(__xludf.DUMMYFUNCTION("GOOGLETRANSLATE(B27007,""en"",""fr"")"),"Nous voyons un patineur nommé Shaun Gregoirie.")</f>
        <v>Nous voyons un patineur nommé Shaun Gregoirie.</v>
      </c>
    </row>
    <row r="27008">
      <c r="A27008" s="4" t="s">
        <v>33988</v>
      </c>
      <c r="B27008" s="4" t="s">
        <v>33994</v>
      </c>
      <c r="C27008" s="5" t="str">
        <f>IFERROR(__xludf.DUMMYFUNCTION("GOOGLETRANSLATE(B27008,""en"",""fr"")"),"Une dame détient un drapeau américain et parle.")</f>
        <v>Une dame détient un drapeau américain et parle.</v>
      </c>
    </row>
    <row r="27009">
      <c r="A27009" s="4" t="s">
        <v>33988</v>
      </c>
      <c r="B27009" s="4" t="s">
        <v>33995</v>
      </c>
      <c r="C27009" s="5" t="str">
        <f>IFERROR(__xludf.DUMMYFUNCTION("GOOGLETRANSLATE(B27009,""en"",""fr"")"),"Nous voyons une voiture de flic dans la rue.")</f>
        <v>Nous voyons une voiture de flic dans la rue.</v>
      </c>
    </row>
    <row r="27010">
      <c r="A27010" s="4" t="s">
        <v>33988</v>
      </c>
      <c r="B27010" s="4" t="s">
        <v>33996</v>
      </c>
      <c r="C27010" s="5" t="str">
        <f>IFERROR(__xludf.DUMMYFUNCTION("GOOGLETRANSLATE(B27010,""en"",""fr"")"),"Nous voyons Anthony Shetler assis et parler avant de patiner dans la rue.")</f>
        <v>Nous voyons Anthony Shetler assis et parler avant de patiner dans la rue.</v>
      </c>
    </row>
    <row r="27011">
      <c r="A27011" s="4" t="s">
        <v>33988</v>
      </c>
      <c r="B27011" s="4" t="s">
        <v>33997</v>
      </c>
      <c r="C27011" s="5" t="str">
        <f>IFERROR(__xludf.DUMMYFUNCTION("GOOGLETRANSLATE(B27011,""en"",""fr"")"),"Un homme saute et tombe.")</f>
        <v>Un homme saute et tombe.</v>
      </c>
    </row>
    <row r="27012">
      <c r="A27012" s="4" t="s">
        <v>33988</v>
      </c>
      <c r="B27012" s="4" t="s">
        <v>19168</v>
      </c>
      <c r="C27012" s="5" t="str">
        <f>IFERROR(__xludf.DUMMYFUNCTION("GOOGLETRANSLATE(B27012,""en"",""fr"")"),"Nous voyons les crédits de fin pour la vidéo.")</f>
        <v>Nous voyons les crédits de fin pour la vidéo.</v>
      </c>
    </row>
    <row r="27013">
      <c r="A27013" s="4" t="s">
        <v>33998</v>
      </c>
      <c r="B27013" s="4" t="s">
        <v>33999</v>
      </c>
      <c r="C27013" s="5" t="str">
        <f>IFERROR(__xludf.DUMMYFUNCTION("GOOGLETRANSLATE(B27013,""en"",""fr"")"),"Un homme est vu assis dans une voiture amenorée tenant un coup de pouce, puis commence à conduire.")</f>
        <v>Un homme est vu assis dans une voiture amenorée tenant un coup de pouce, puis commence à conduire.</v>
      </c>
    </row>
    <row r="27014">
      <c r="A27014" s="4" t="s">
        <v>33998</v>
      </c>
      <c r="B27014" s="4" t="s">
        <v>34000</v>
      </c>
      <c r="C27014" s="5" t="str">
        <f>IFERROR(__xludf.DUMMYFUNCTION("GOOGLETRANSLATE(B27014,""en"",""fr"")"),"Les gens continuent de se cogner les uns aux autres et se terminent avec eux debout.")</f>
        <v>Les gens continuent de se cogner les uns aux autres et se terminent avec eux debout.</v>
      </c>
    </row>
    <row r="27015">
      <c r="A27015" s="4" t="s">
        <v>34001</v>
      </c>
      <c r="B27015" s="4" t="s">
        <v>34002</v>
      </c>
      <c r="C27015" s="5" t="str">
        <f>IFERROR(__xludf.DUMMYFUNCTION("GOOGLETRANSLATE(B27015,""en"",""fr"")"),"Les jeunes garçons sont montrés en faisant une démo de karaté devant les juges.")</f>
        <v>Les jeunes garçons sont montrés en faisant une démo de karaté devant les juges.</v>
      </c>
    </row>
    <row r="27016">
      <c r="A27016" s="4" t="s">
        <v>34001</v>
      </c>
      <c r="B27016" s="4" t="s">
        <v>34003</v>
      </c>
      <c r="C27016" s="5" t="str">
        <f>IFERROR(__xludf.DUMMYFUNCTION("GOOGLETRANSLATE(B27016,""en"",""fr"")"),"Ils se déplacent d'avant en arrière et d'avant en arrière en effectuant divers coups de poing.")</f>
        <v>Ils se déplacent d'avant en arrière et d'avant en arrière en effectuant divers coups de poing.</v>
      </c>
    </row>
    <row r="27017">
      <c r="A27017" s="4" t="s">
        <v>34001</v>
      </c>
      <c r="B27017" s="4" t="s">
        <v>34004</v>
      </c>
      <c r="C27017" s="5" t="str">
        <f>IFERROR(__xludf.DUMMYFUNCTION("GOOGLETRANSLATE(B27017,""en"",""fr"")"),"Ils se détendent ensuite et prennent un arc pendant que les gens derrière eux applaudissent.")</f>
        <v>Ils se détendent ensuite et prennent un arc pendant que les gens derrière eux applaudissent.</v>
      </c>
    </row>
    <row r="27018">
      <c r="A27018" s="4" t="s">
        <v>34001</v>
      </c>
      <c r="B27018" s="4" t="s">
        <v>34005</v>
      </c>
      <c r="C27018" s="5" t="str">
        <f>IFERROR(__xludf.DUMMYFUNCTION("GOOGLETRANSLATE(B27018,""en"",""fr"")"),"Ils continuent ensuite leur routine de combat de jeu.")</f>
        <v>Ils continuent ensuite leur routine de combat de jeu.</v>
      </c>
    </row>
    <row r="27019">
      <c r="A27019" s="4" t="s">
        <v>34001</v>
      </c>
      <c r="B27019" s="4" t="s">
        <v>34006</v>
      </c>
      <c r="C27019" s="5" t="str">
        <f>IFERROR(__xludf.DUMMYFUNCTION("GOOGLETRANSLATE(B27019,""en"",""fr"")"),"Cela continue jusqu'à ce que le garçon termine sa routine pour applaudir, puis s'asseoir.")</f>
        <v>Cela continue jusqu'à ce que le garçon termine sa routine pour applaudir, puis s'asseoir.</v>
      </c>
    </row>
    <row r="27020">
      <c r="A27020" s="4" t="s">
        <v>34007</v>
      </c>
      <c r="B27020" s="4" t="s">
        <v>34008</v>
      </c>
      <c r="C27020" s="5" t="str">
        <f>IFERROR(__xludf.DUMMYFUNCTION("GOOGLETRANSLATE(B27020,""en"",""fr"")"),"Un homme porte des lunettes de soleil à l'intérieur d'un bâtiment.")</f>
        <v>Un homme porte des lunettes de soleil à l'intérieur d'un bâtiment.</v>
      </c>
    </row>
    <row r="27021">
      <c r="A27021" s="4" t="s">
        <v>34007</v>
      </c>
      <c r="B27021" s="4" t="s">
        <v>34009</v>
      </c>
      <c r="C27021" s="5" t="str">
        <f>IFERROR(__xludf.DUMMYFUNCTION("GOOGLETRANSLATE(B27021,""en"",""fr"")"),"Nous voyons un groupe de personnes dans le bâtiment alors qu'ils dansent aérobiement.")</f>
        <v>Nous voyons un groupe de personnes dans le bâtiment alors qu'ils dansent aérobiement.</v>
      </c>
    </row>
    <row r="27022">
      <c r="A27022" s="4" t="s">
        <v>34007</v>
      </c>
      <c r="B27022" s="4" t="s">
        <v>34010</v>
      </c>
      <c r="C27022" s="5" t="str">
        <f>IFERROR(__xludf.DUMMYFUNCTION("GOOGLETRANSLATE(B27022,""en"",""fr"")"),"Ils secouent à l'unisson, allant des allers-retours et côte à côte.")</f>
        <v>Ils secouent à l'unisson, allant des allers-retours et côte à côte.</v>
      </c>
    </row>
    <row r="27023">
      <c r="A27023" s="4" t="s">
        <v>34011</v>
      </c>
      <c r="B27023" s="4" t="s">
        <v>34012</v>
      </c>
      <c r="C27023" s="5" t="str">
        <f>IFERROR(__xludf.DUMMYFUNCTION("GOOGLETRANSLATE(B27023,""en"",""fr"")"),"Les gens se tiennent à l'extérieur en jouant au volleyball.")</f>
        <v>Les gens se tiennent à l'extérieur en jouant au volleyball.</v>
      </c>
    </row>
    <row r="27024">
      <c r="A27024" s="4" t="s">
        <v>34011</v>
      </c>
      <c r="B27024" s="4" t="s">
        <v>34013</v>
      </c>
      <c r="C27024" s="5" t="str">
        <f>IFERROR(__xludf.DUMMYFUNCTION("GOOGLETRANSLATE(B27024,""en"",""fr"")"),"Un homme en chemise noire parle à quelqu'un.")</f>
        <v>Un homme en chemise noire parle à quelqu'un.</v>
      </c>
    </row>
    <row r="27025">
      <c r="A27025" s="4" t="s">
        <v>34011</v>
      </c>
      <c r="B27025" s="4" t="s">
        <v>34014</v>
      </c>
      <c r="C27025" s="5" t="str">
        <f>IFERROR(__xludf.DUMMYFUNCTION("GOOGLETRANSLATE(B27025,""en"",""fr"")"),"Un homme dans une chemise grise a ses mains sur ses hanches.")</f>
        <v>Un homme dans une chemise grise a ses mains sur ses hanches.</v>
      </c>
    </row>
    <row r="27026">
      <c r="A27026" s="4" t="s">
        <v>34015</v>
      </c>
      <c r="B27026" s="4" t="s">
        <v>34016</v>
      </c>
      <c r="C27026" s="5" t="str">
        <f>IFERROR(__xludf.DUMMYFUNCTION("GOOGLETRANSLATE(B27026,""en"",""fr"")"),"Un homme s'agenouille sur le sol de ponçage d'un mur avec un ustensile d'argent.")</f>
        <v>Un homme s'agenouille sur le sol de ponçage d'un mur avec un ustensile d'argent.</v>
      </c>
    </row>
    <row r="27027">
      <c r="A27027" s="4" t="s">
        <v>34015</v>
      </c>
      <c r="B27027" s="4" t="s">
        <v>34017</v>
      </c>
      <c r="C27027" s="5" t="str">
        <f>IFERROR(__xludf.DUMMYFUNCTION("GOOGLETRANSLATE(B27027,""en"",""fr"")"),"L'homme se lève, regarde la caméra et continue de faire sa tâche.")</f>
        <v>L'homme se lève, regarde la caméra et continue de faire sa tâche.</v>
      </c>
    </row>
    <row r="27028">
      <c r="A27028" s="4" t="s">
        <v>34015</v>
      </c>
      <c r="B27028" s="4" t="s">
        <v>34018</v>
      </c>
      <c r="C27028" s="5" t="str">
        <f>IFERROR(__xludf.DUMMYFUNCTION("GOOGLETRANSLATE(B27028,""en"",""fr"")"),"Maintenant, l'homme est de retour à genoux et continue de faire ce qu'il faisait au début.")</f>
        <v>Maintenant, l'homme est de retour à genoux et continue de faire ce qu'il faisait au début.</v>
      </c>
    </row>
    <row r="27029">
      <c r="A27029" s="4" t="s">
        <v>34019</v>
      </c>
      <c r="B27029" s="4" t="s">
        <v>34020</v>
      </c>
      <c r="C27029" s="5" t="str">
        <f>IFERROR(__xludf.DUMMYFUNCTION("GOOGLETRANSLATE(B27029,""en"",""fr"")"),"Une femme est vue debout dans une salle de bain enveloppée dans une serviette.")</f>
        <v>Une femme est vue debout dans une salle de bain enveloppée dans une serviette.</v>
      </c>
    </row>
    <row r="27030">
      <c r="A27030" s="4" t="s">
        <v>34019</v>
      </c>
      <c r="B27030" s="4" t="s">
        <v>34021</v>
      </c>
      <c r="C27030" s="5" t="str">
        <f>IFERROR(__xludf.DUMMYFUNCTION("GOOGLETRANSLATE(B27030,""en"",""fr"")"),"La fille tient ses cheveux d'une main et se maquille avec l'autre.")</f>
        <v>La fille tient ses cheveux d'une main et se maquille avec l'autre.</v>
      </c>
    </row>
    <row r="27031">
      <c r="A27031" s="4" t="s">
        <v>34022</v>
      </c>
      <c r="B27031" s="6" t="s">
        <v>34023</v>
      </c>
      <c r="C27031" s="5" t="str">
        <f>IFERROR(__xludf.DUMMYFUNCTION("GOOGLETRANSLATE(B27031,""en"",""fr"")"),"Il y a un homme chauve avec une barbe de boucle debout dans sa salle de bain devant un grand miroir avec un rasoir électrique à la main.")</f>
        <v>Il y a un homme chauve avec une barbe de boucle debout dans sa salle de bain devant un grand miroir avec un rasoir électrique à la main.</v>
      </c>
    </row>
    <row r="27032">
      <c r="A27032" s="4" t="s">
        <v>34022</v>
      </c>
      <c r="B27032" s="4" t="s">
        <v>34024</v>
      </c>
      <c r="C27032" s="5" t="str">
        <f>IFERROR(__xludf.DUMMYFUNCTION("GOOGLETRANSLATE(B27032,""en"",""fr"")"),"Il montre comment se raser sa barbe et le maintenir.")</f>
        <v>Il montre comment se raser sa barbe et le maintenir.</v>
      </c>
    </row>
    <row r="27033">
      <c r="A27033" s="4" t="s">
        <v>34022</v>
      </c>
      <c r="B27033" s="4" t="s">
        <v>34025</v>
      </c>
      <c r="C27033" s="5" t="str">
        <f>IFERROR(__xludf.DUMMYFUNCTION("GOOGLETRANSLATE(B27033,""en"",""fr"")"),"Puis il commence à montrer comment utiliser la coupe-coupe pour sa barbe en ajustant la taille de la tondeuse.")</f>
        <v>Puis il commence à montrer comment utiliser la coupe-coupe pour sa barbe en ajustant la taille de la tondeuse.</v>
      </c>
    </row>
    <row r="27034">
      <c r="A27034" s="4" t="s">
        <v>34022</v>
      </c>
      <c r="B27034" s="4" t="s">
        <v>34026</v>
      </c>
      <c r="C27034" s="5" t="str">
        <f>IFERROR(__xludf.DUMMYFUNCTION("GOOGLETRANSLATE(B27034,""en"",""fr"")"),"Il rasage complètement sa barbe.")</f>
        <v>Il rasage complètement sa barbe.</v>
      </c>
    </row>
    <row r="27035">
      <c r="A27035" s="4" t="s">
        <v>34022</v>
      </c>
      <c r="B27035" s="4" t="s">
        <v>34027</v>
      </c>
      <c r="C27035" s="5" t="str">
        <f>IFERROR(__xludf.DUMMYFUNCTION("GOOGLETRANSLATE(B27035,""en"",""fr"")"),"Il touche ensuite sa peau pour voir à quel point le rasage est propre.")</f>
        <v>Il touche ensuite sa peau pour voir à quel point le rasage est propre.</v>
      </c>
    </row>
    <row r="27036">
      <c r="A27036" s="4" t="s">
        <v>34022</v>
      </c>
      <c r="B27036" s="4" t="s">
        <v>34028</v>
      </c>
      <c r="C27036" s="5" t="str">
        <f>IFERROR(__xludf.DUMMYFUNCTION("GOOGLETRANSLATE(B27036,""en"",""fr"")"),"Il enlève les cheveux du rasoir et le nettoie.")</f>
        <v>Il enlève les cheveux du rasoir et le nettoie.</v>
      </c>
    </row>
    <row r="27037">
      <c r="A27037" s="4" t="s">
        <v>34029</v>
      </c>
      <c r="B27037" s="4" t="s">
        <v>34030</v>
      </c>
      <c r="C27037" s="5" t="str">
        <f>IFERROR(__xludf.DUMMYFUNCTION("GOOGLETRANSLATE(B27037,""en"",""fr"")"),"Un homme en veste blanche ramasse un fer.")</f>
        <v>Un homme en veste blanche ramasse un fer.</v>
      </c>
    </row>
    <row r="27038">
      <c r="A27038" s="4" t="s">
        <v>34029</v>
      </c>
      <c r="B27038" s="4" t="s">
        <v>34031</v>
      </c>
      <c r="C27038" s="5" t="str">
        <f>IFERROR(__xludf.DUMMYFUNCTION("GOOGLETRANSLATE(B27038,""en"",""fr"")"),"Il place du papier d'aluminium sur une table.")</f>
        <v>Il place du papier d'aluminium sur une table.</v>
      </c>
    </row>
    <row r="27039">
      <c r="A27039" s="4" t="s">
        <v>34029</v>
      </c>
      <c r="B27039" s="4" t="s">
        <v>34032</v>
      </c>
      <c r="C27039" s="5" t="str">
        <f>IFERROR(__xludf.DUMMYFUNCTION("GOOGLETRANSLATE(B27039,""en"",""fr"")"),"Il met du pain sur le papier d'aluminium avec du beurre et du fromage.")</f>
        <v>Il met du pain sur le papier d'aluminium avec du beurre et du fromage.</v>
      </c>
    </row>
    <row r="27040">
      <c r="A27040" s="4" t="s">
        <v>34029</v>
      </c>
      <c r="B27040" s="4" t="s">
        <v>34033</v>
      </c>
      <c r="C27040" s="5" t="str">
        <f>IFERROR(__xludf.DUMMYFUNCTION("GOOGLETRANSLATE(B27040,""en"",""fr"")"),"Il met le fer sur le sandwich.")</f>
        <v>Il met le fer sur le sandwich.</v>
      </c>
    </row>
    <row r="27041">
      <c r="A27041" s="4" t="s">
        <v>34029</v>
      </c>
      <c r="B27041" s="4" t="s">
        <v>34034</v>
      </c>
      <c r="C27041" s="5" t="str">
        <f>IFERROR(__xludf.DUMMYFUNCTION("GOOGLETRANSLATE(B27041,""en"",""fr"")"),"Il ouvre le papier d'aluminium et coupe le sandwich en deux.")</f>
        <v>Il ouvre le papier d'aluminium et coupe le sandwich en deux.</v>
      </c>
    </row>
    <row r="27042">
      <c r="A27042" s="4" t="s">
        <v>34029</v>
      </c>
      <c r="B27042" s="4" t="s">
        <v>34035</v>
      </c>
      <c r="C27042" s="5" t="str">
        <f>IFERROR(__xludf.DUMMYFUNCTION("GOOGLETRANSLATE(B27042,""en"",""fr"")"),"Il prend un peu de sandwich.")</f>
        <v>Il prend un peu de sandwich.</v>
      </c>
    </row>
    <row r="27043">
      <c r="A27043" s="4" t="s">
        <v>34036</v>
      </c>
      <c r="B27043" s="6" t="s">
        <v>34037</v>
      </c>
      <c r="C27043" s="5" t="str">
        <f>IFERROR(__xludf.DUMMYFUNCTION("GOOGLETRANSLATE(B27043,""en"",""fr"")"),"Un athlète est vu se diriger vers une plate-forme et commence à se tourner et à jeter un objet au loin.")</f>
        <v>Un athlète est vu se diriger vers une plate-forme et commence à se tourner et à jeter un objet au loin.</v>
      </c>
    </row>
    <row r="27044">
      <c r="A27044" s="4" t="s">
        <v>34036</v>
      </c>
      <c r="B27044" s="6" t="s">
        <v>34038</v>
      </c>
      <c r="C27044" s="5" t="str">
        <f>IFERROR(__xludf.DUMMYFUNCTION("GOOGLETRANSLATE(B27044,""en"",""fr"")"),"Son lancer est à nouveau montré au ralenti et un autre homme est vu en train de tourner puis de jeter l'objet avec ses mains après.")</f>
        <v>Son lancer est à nouveau montré au ralenti et un autre homme est vu en train de tourner puis de jeter l'objet avec ses mains après.</v>
      </c>
    </row>
    <row r="27045">
      <c r="A27045" s="4" t="s">
        <v>34039</v>
      </c>
      <c r="B27045" s="6" t="s">
        <v>34040</v>
      </c>
      <c r="C27045" s="5" t="str">
        <f>IFERROR(__xludf.DUMMYFUNCTION("GOOGLETRANSLATE(B27045,""en"",""fr"")"),"Un homme est vu assis sur un équipement d'exercice et s'améliorant en arrière et quatrième sur une machine.")</f>
        <v>Un homme est vu assis sur un équipement d'exercice et s'améliorant en arrière et quatrième sur une machine.</v>
      </c>
    </row>
    <row r="27046">
      <c r="A27046" s="4" t="s">
        <v>34039</v>
      </c>
      <c r="B27046" s="6" t="s">
        <v>34041</v>
      </c>
      <c r="C27046" s="5" t="str">
        <f>IFERROR(__xludf.DUMMYFUNCTION("GOOGLETRANSLATE(B27046,""en"",""fr"")"),"L'homme continue de se remettre en arrière et quatrième alors que la caméra le capture sous plusieurs angles.")</f>
        <v>L'homme continue de se remettre en arrière et quatrième alors que la caméra le capture sous plusieurs angles.</v>
      </c>
    </row>
    <row r="27047">
      <c r="A27047" s="4" t="s">
        <v>34042</v>
      </c>
      <c r="B27047" s="4" t="s">
        <v>34043</v>
      </c>
      <c r="C27047" s="5" t="str">
        <f>IFERROR(__xludf.DUMMYFUNCTION("GOOGLETRANSLATE(B27047,""en"",""fr"")"),"L'homme se tient dans une piste de course et court pour faire un saut et les gens se tiennent autour de lui.")</f>
        <v>L'homme se tient dans une piste de course et court pour faire un saut et les gens se tiennent autour de lui.</v>
      </c>
    </row>
    <row r="27048">
      <c r="A27048" s="4" t="s">
        <v>34042</v>
      </c>
      <c r="B27048" s="4" t="s">
        <v>34044</v>
      </c>
      <c r="C27048" s="5" t="str">
        <f>IFERROR(__xludf.DUMMYFUNCTION("GOOGLETRANSLATE(B27048,""en"",""fr"")"),"L'homme est assis dans une pièce pour parler à la caméra.")</f>
        <v>L'homme est assis dans une pièce pour parler à la caméra.</v>
      </c>
    </row>
    <row r="27049">
      <c r="A27049" s="4" t="s">
        <v>34042</v>
      </c>
      <c r="B27049" s="4" t="s">
        <v>34045</v>
      </c>
      <c r="C27049" s="5" t="str">
        <f>IFERROR(__xludf.DUMMYFUNCTION("GOOGLETRANSLATE(B27049,""en"",""fr"")"),"L'homme court dans une piste de course et saute dans la poussière et l'homme est assis dans une pièce à parler.")</f>
        <v>L'homme court dans une piste de course et saute dans la poussière et l'homme est assis dans une pièce à parler.</v>
      </c>
    </row>
    <row r="27050">
      <c r="A27050" s="4" t="s">
        <v>34042</v>
      </c>
      <c r="B27050" s="4" t="s">
        <v>34046</v>
      </c>
      <c r="C27050" s="5" t="str">
        <f>IFERROR(__xludf.DUMMYFUNCTION("GOOGLETRANSLATE(B27050,""en"",""fr"")"),"Les joueurs courent en jouant au football américain et les spectateurs sont dans les terrasses.")</f>
        <v>Les joueurs courent en jouant au football américain et les spectateurs sont dans les terrasses.</v>
      </c>
    </row>
    <row r="27051">
      <c r="A27051" s="4" t="s">
        <v>34042</v>
      </c>
      <c r="B27051" s="4" t="s">
        <v>34047</v>
      </c>
      <c r="C27051" s="5" t="str">
        <f>IFERROR(__xludf.DUMMYFUNCTION("GOOGLETRANSLATE(B27051,""en"",""fr"")"),"Le vieil homme parle dans la salle et l'homme dans la piste de course court et pratique le saut.")</f>
        <v>Le vieil homme parle dans la salle et l'homme dans la piste de course court et pratique le saut.</v>
      </c>
    </row>
    <row r="27052">
      <c r="A27052" s="4" t="s">
        <v>34048</v>
      </c>
      <c r="B27052" s="6" t="s">
        <v>34049</v>
      </c>
      <c r="C27052" s="5" t="str">
        <f>IFERROR(__xludf.DUMMYFUNCTION("GOOGLETRANSLATE(B27052,""en"",""fr"")"),"Deux gros morceaux de papier de construction décoré sont représentés avec les mots joyeux anniversaire partout.")</f>
        <v>Deux gros morceaux de papier de construction décoré sont représentés avec les mots joyeux anniversaire partout.</v>
      </c>
    </row>
    <row r="27053">
      <c r="A27053" s="4" t="s">
        <v>34048</v>
      </c>
      <c r="B27053" s="4" t="s">
        <v>34050</v>
      </c>
      <c r="C27053" s="5" t="str">
        <f>IFERROR(__xludf.DUMMYFUNCTION("GOOGLETRANSLATE(B27053,""en"",""fr"")"),"Nous voyons ensuite des cadeaux enveloppés du même libellé.")</f>
        <v>Nous voyons ensuite des cadeaux enveloppés du même libellé.</v>
      </c>
    </row>
    <row r="27054">
      <c r="A27054" s="4" t="s">
        <v>34051</v>
      </c>
      <c r="B27054" s="4" t="s">
        <v>34052</v>
      </c>
      <c r="C27054" s="5" t="str">
        <f>IFERROR(__xludf.DUMMYFUNCTION("GOOGLETRANSLATE(B27054,""en"",""fr"")"),"Une paire de chaussures rapprochée est montrée suivie par diverses instructions de texte et outils disposés.")</f>
        <v>Une paire de chaussures rapprochée est montrée suivie par diverses instructions de texte et outils disposés.</v>
      </c>
    </row>
    <row r="27055">
      <c r="A27055" s="4" t="s">
        <v>34051</v>
      </c>
      <c r="B27055" s="6" t="s">
        <v>34053</v>
      </c>
      <c r="C27055" s="5" t="str">
        <f>IFERROR(__xludf.DUMMYFUNCTION("GOOGLETRANSLATE(B27055,""en"",""fr"")"),"Une personne est ensuite vue en train de frotter le spectacle avec un chiffon utilisant plusieurs ingrédients et zoomer sur la paire de chaussures épurée.")</f>
        <v>Une personne est ensuite vue en train de frotter le spectacle avec un chiffon utilisant plusieurs ingrédients et zoomer sur la paire de chaussures épurée.</v>
      </c>
    </row>
    <row r="27056">
      <c r="A27056" s="4" t="s">
        <v>34054</v>
      </c>
      <c r="B27056" s="4" t="s">
        <v>34055</v>
      </c>
      <c r="C27056" s="5" t="str">
        <f>IFERROR(__xludf.DUMMYFUNCTION("GOOGLETRANSLATE(B27056,""en"",""fr"")"),"Une femme se tient sur un plancher en bois.")</f>
        <v>Une femme se tient sur un plancher en bois.</v>
      </c>
    </row>
    <row r="27057">
      <c r="A27057" s="4" t="s">
        <v>34054</v>
      </c>
      <c r="B27057" s="4" t="s">
        <v>34056</v>
      </c>
      <c r="C27057" s="5" t="str">
        <f>IFERROR(__xludf.DUMMYFUNCTION("GOOGLETRANSLATE(B27057,""en"",""fr"")"),"Elle lève et baisse ses bras, change à différentes positions.")</f>
        <v>Elle lève et baisse ses bras, change à différentes positions.</v>
      </c>
    </row>
    <row r="27058">
      <c r="A27058" s="4" t="s">
        <v>34054</v>
      </c>
      <c r="B27058" s="4" t="s">
        <v>34057</v>
      </c>
      <c r="C27058" s="5" t="str">
        <f>IFERROR(__xludf.DUMMYFUNCTION("GOOGLETRANSLATE(B27058,""en"",""fr"")"),"Elle affiche des actes de Tai Chai pour la caméra.")</f>
        <v>Elle affiche des actes de Tai Chai pour la caméra.</v>
      </c>
    </row>
    <row r="27059">
      <c r="A27059" s="4" t="s">
        <v>34058</v>
      </c>
      <c r="B27059" s="4" t="s">
        <v>34059</v>
      </c>
      <c r="C27059" s="5" t="str">
        <f>IFERROR(__xludf.DUMMYFUNCTION("GOOGLETRANSLATE(B27059,""en"",""fr"")"),"Un homme est montré sur une scène, jouant un ensemble de batterie.")</f>
        <v>Un homme est montré sur une scène, jouant un ensemble de batterie.</v>
      </c>
    </row>
    <row r="27060">
      <c r="A27060" s="4" t="s">
        <v>34058</v>
      </c>
      <c r="B27060" s="4" t="s">
        <v>34060</v>
      </c>
      <c r="C27060" s="5" t="str">
        <f>IFERROR(__xludf.DUMMYFUNCTION("GOOGLETRANSLATE(B27060,""en"",""fr"")"),"La femme d'un côté joue Maracas.")</f>
        <v>La femme d'un côté joue Maracas.</v>
      </c>
    </row>
    <row r="27061">
      <c r="A27061" s="4" t="s">
        <v>34058</v>
      </c>
      <c r="B27061" s="4" t="s">
        <v>34061</v>
      </c>
      <c r="C27061" s="5" t="str">
        <f>IFERROR(__xludf.DUMMYFUNCTION("GOOGLETRANSLATE(B27061,""en"",""fr"")"),"L'homme de l'autre côté joue une guitare électrique.")</f>
        <v>L'homme de l'autre côté joue une guitare électrique.</v>
      </c>
    </row>
    <row r="27062">
      <c r="A27062" s="4" t="s">
        <v>34062</v>
      </c>
      <c r="B27062" s="4" t="s">
        <v>34063</v>
      </c>
      <c r="C27062" s="5" t="str">
        <f>IFERROR(__xludf.DUMMYFUNCTION("GOOGLETRANSLATE(B27062,""en"",""fr"")"),"Un homme est montré entrant dans une zone en cage circulaire avec un côté ouvert.")</f>
        <v>Un homme est montré entrant dans une zone en cage circulaire avec un côté ouvert.</v>
      </c>
    </row>
    <row r="27063">
      <c r="A27063" s="4" t="s">
        <v>34062</v>
      </c>
      <c r="B27063" s="4" t="s">
        <v>34064</v>
      </c>
      <c r="C27063" s="5" t="str">
        <f>IFERROR(__xludf.DUMMYFUNCTION("GOOGLETRANSLATE(B27063,""en"",""fr"")"),"L'homme commence à faire tourner une balle qui est attachée à une ficelle autour de lui.")</f>
        <v>L'homme commence à faire tourner une balle qui est attachée à une ficelle autour de lui.</v>
      </c>
    </row>
    <row r="27064">
      <c r="A27064" s="4" t="s">
        <v>34062</v>
      </c>
      <c r="B27064" s="4" t="s">
        <v>34065</v>
      </c>
      <c r="C27064" s="5" t="str">
        <f>IFERROR(__xludf.DUMMYFUNCTION("GOOGLETRANSLATE(B27064,""en"",""fr"")"),"L'homme commence à faire tourner son corps rapidement en rond.")</f>
        <v>L'homme commence à faire tourner son corps rapidement en rond.</v>
      </c>
    </row>
    <row r="27065">
      <c r="A27065" s="4" t="s">
        <v>34062</v>
      </c>
      <c r="B27065" s="4" t="s">
        <v>34066</v>
      </c>
      <c r="C27065" s="5" t="str">
        <f>IFERROR(__xludf.DUMMYFUNCTION("GOOGLETRANSLATE(B27065,""en"",""fr"")"),"L'homme lâche la corde et la balle vole dans l'air.")</f>
        <v>L'homme lâche la corde et la balle vole dans l'air.</v>
      </c>
    </row>
    <row r="27066">
      <c r="A27066" s="4" t="s">
        <v>34067</v>
      </c>
      <c r="B27066" s="4" t="s">
        <v>34068</v>
      </c>
      <c r="C27066" s="5" t="str">
        <f>IFERROR(__xludf.DUMMYFUNCTION("GOOGLETRANSLATE(B27066,""en"",""fr"")"),"Deux équipes jouent au polo tenant des poteaux pour donner un coup de pied à l'avant sur une foule dans un champ.")</f>
        <v>Deux équipes jouent au polo tenant des poteaux pour donner un coup de pied à l'avant sur une foule dans un champ.</v>
      </c>
    </row>
    <row r="27067">
      <c r="A27067" s="4" t="s">
        <v>34067</v>
      </c>
      <c r="B27067" s="4" t="s">
        <v>34069</v>
      </c>
      <c r="C27067" s="5" t="str">
        <f>IFERROR(__xludf.DUMMYFUNCTION("GOOGLETRANSLATE(B27067,""en"",""fr"")"),"Les gens se tiennent à côté des conseils de scores.")</f>
        <v>Les gens se tiennent à côté des conseils de scores.</v>
      </c>
    </row>
    <row r="27068">
      <c r="A27068" s="4" t="s">
        <v>34067</v>
      </c>
      <c r="B27068" s="6" t="s">
        <v>34070</v>
      </c>
      <c r="C27068" s="5" t="str">
        <f>IFERROR(__xludf.DUMMYFUNCTION("GOOGLETRANSLATE(B27068,""en"",""fr"")"),"Ensuite, un joueur monte la scène pour recevoir un trophée, après qu'une femme embrassait le vainqueur et d'autres joueurs sur scène, et que tous montent le trophée.")</f>
        <v>Ensuite, un joueur monte la scène pour recevoir un trophée, après qu'une femme embrassait le vainqueur et d'autres joueurs sur scène, et que tous montent le trophée.</v>
      </c>
    </row>
    <row r="27069">
      <c r="A27069" s="4" t="s">
        <v>34071</v>
      </c>
      <c r="B27069" s="4" t="s">
        <v>4448</v>
      </c>
      <c r="C27069" s="5" t="str">
        <f>IFERROR(__xludf.DUMMYFUNCTION("GOOGLETRANSLATE(B27069,""en"",""fr"")"),"Nous voyons l'écran du titre d'ouverture.")</f>
        <v>Nous voyons l'écran du titre d'ouverture.</v>
      </c>
    </row>
    <row r="27070">
      <c r="A27070" s="4" t="s">
        <v>34071</v>
      </c>
      <c r="B27070" s="4" t="s">
        <v>34072</v>
      </c>
      <c r="C27070" s="5" t="str">
        <f>IFERROR(__xludf.DUMMYFUNCTION("GOOGLETRANSLATE(B27070,""en"",""fr"")"),"Un homme tient un banc et ouvre les pièces afin qu'il puisse le configurer.")</f>
        <v>Un homme tient un banc et ouvre les pièces afin qu'il puisse le configurer.</v>
      </c>
    </row>
    <row r="27071">
      <c r="A27071" s="4" t="s">
        <v>34071</v>
      </c>
      <c r="B27071" s="4" t="s">
        <v>34073</v>
      </c>
      <c r="C27071" s="5" t="str">
        <f>IFERROR(__xludf.DUMMYFUNCTION("GOOGLETRANSLATE(B27071,""en"",""fr"")"),"Il colle une épingle et enfonce son ski.")</f>
        <v>Il colle une épingle et enfonce son ski.</v>
      </c>
    </row>
    <row r="27072">
      <c r="A27072" s="4" t="s">
        <v>34071</v>
      </c>
      <c r="B27072" s="4" t="s">
        <v>34074</v>
      </c>
      <c r="C27072" s="5" t="str">
        <f>IFERROR(__xludf.DUMMYFUNCTION("GOOGLETRANSLATE(B27072,""en"",""fr"")"),"Il cire ensuite le ski et retire la broche.")</f>
        <v>Il cire ensuite le ski et retire la broche.</v>
      </c>
    </row>
    <row r="27073">
      <c r="A27073" s="4" t="s">
        <v>34071</v>
      </c>
      <c r="B27073" s="4" t="s">
        <v>34075</v>
      </c>
      <c r="C27073" s="5" t="str">
        <f>IFERROR(__xludf.DUMMYFUNCTION("GOOGLETRANSLATE(B27073,""en"",""fr"")"),"Il ajuste les parties du banc.")</f>
        <v>Il ajuste les parties du banc.</v>
      </c>
    </row>
    <row r="27074">
      <c r="A27074" s="4" t="s">
        <v>34071</v>
      </c>
      <c r="B27074" s="4" t="s">
        <v>34076</v>
      </c>
      <c r="C27074" s="5" t="str">
        <f>IFERROR(__xludf.DUMMYFUNCTION("GOOGLETRANSLATE(B27074,""en"",""fr"")"),"Nous voyons le banc en coups avec les crédits de fin.")</f>
        <v>Nous voyons le banc en coups avec les crédits de fin.</v>
      </c>
    </row>
    <row r="27075">
      <c r="A27075" s="4" t="s">
        <v>34077</v>
      </c>
      <c r="B27075" s="4" t="s">
        <v>34078</v>
      </c>
      <c r="C27075" s="5" t="str">
        <f>IFERROR(__xludf.DUMMYFUNCTION("GOOGLETRANSLATE(B27075,""en"",""fr"")"),"Un homme sert une balle de tennis en jouant au tennis avec une personne dans un court de tennis.")</f>
        <v>Un homme sert une balle de tennis en jouant au tennis avec une personne dans un court de tennis.</v>
      </c>
    </row>
    <row r="27076">
      <c r="A27076" s="4" t="s">
        <v>34077</v>
      </c>
      <c r="B27076" s="4" t="s">
        <v>34079</v>
      </c>
      <c r="C27076" s="5" t="str">
        <f>IFERROR(__xludf.DUMMYFUNCTION("GOOGLETRANSLATE(B27076,""en"",""fr"")"),"Ensuite, l'homme sert à nouveau à une personne derrière le filet, tandis qu'un joueur se tient à côté de lui.")</f>
        <v>Ensuite, l'homme sert à nouveau à une personne derrière le filet, tandis qu'un joueur se tient à côté de lui.</v>
      </c>
    </row>
    <row r="27077">
      <c r="A27077" s="4" t="s">
        <v>34077</v>
      </c>
      <c r="B27077" s="4" t="s">
        <v>34080</v>
      </c>
      <c r="C27077" s="5" t="str">
        <f>IFERROR(__xludf.DUMMYFUNCTION("GOOGLETRANSLATE(B27077,""en"",""fr"")"),"Après, l'homme sert une balle mais personne n'est derrière le filet.")</f>
        <v>Après, l'homme sert une balle mais personne n'est derrière le filet.</v>
      </c>
    </row>
    <row r="27078">
      <c r="A27078" s="4" t="s">
        <v>34081</v>
      </c>
      <c r="B27078" s="6" t="s">
        <v>34082</v>
      </c>
      <c r="C27078" s="5" t="str">
        <f>IFERROR(__xludf.DUMMYFUNCTION("GOOGLETRANSLATE(B27078,""en"",""fr"")"),"Un homme chevauchant un cheval et balançant une corde autour est vu chasser après un mollet et finalement attraper l'animal avec sa corde.")</f>
        <v>Un homme chevauchant un cheval et balançant une corde autour est vu chasser après un mollet et finalement attraper l'animal avec sa corde.</v>
      </c>
    </row>
    <row r="27079">
      <c r="A27079" s="4" t="s">
        <v>34081</v>
      </c>
      <c r="B27079" s="4" t="s">
        <v>34083</v>
      </c>
      <c r="C27079" s="5" t="str">
        <f>IFERROR(__xludf.DUMMYFUNCTION("GOOGLETRANSLATE(B27079,""en"",""fr"")"),"Il tient le veau vers le bas et un autre homme sort pour aider l'homme à attacher le veau.")</f>
        <v>Il tient le veau vers le bas et un autre homme sort pour aider l'homme à attacher le veau.</v>
      </c>
    </row>
    <row r="27080">
      <c r="A27080" s="4" t="s">
        <v>34081</v>
      </c>
      <c r="B27080" s="4" t="s">
        <v>34084</v>
      </c>
      <c r="C27080" s="5" t="str">
        <f>IFERROR(__xludf.DUMMYFUNCTION("GOOGLETRANSLATE(B27080,""en"",""fr"")"),"Il attrape ensuite sa corde et sort de l'arène sur son cheval.")</f>
        <v>Il attrape ensuite sa corde et sort de l'arène sur son cheval.</v>
      </c>
    </row>
    <row r="27081">
      <c r="A27081" s="4" t="s">
        <v>34085</v>
      </c>
      <c r="B27081" s="4" t="s">
        <v>34086</v>
      </c>
      <c r="C27081" s="5" t="str">
        <f>IFERROR(__xludf.DUMMYFUNCTION("GOOGLETRANSLATE(B27081,""en"",""fr"")"),"Des meubles sont vus, y compris des armoires et des tables.")</f>
        <v>Des meubles sont vus, y compris des armoires et des tables.</v>
      </c>
    </row>
    <row r="27082">
      <c r="A27082" s="4" t="s">
        <v>34085</v>
      </c>
      <c r="B27082" s="4" t="s">
        <v>34087</v>
      </c>
      <c r="C27082" s="5" t="str">
        <f>IFERROR(__xludf.DUMMYFUNCTION("GOOGLETRANSLATE(B27082,""en"",""fr"")"),"Une personne ponce un morceau de bois avec une ponceuse électrique.")</f>
        <v>Une personne ponce un morceau de bois avec une ponceuse électrique.</v>
      </c>
    </row>
    <row r="27083">
      <c r="A27083" s="4" t="s">
        <v>34085</v>
      </c>
      <c r="B27083" s="4" t="s">
        <v>34088</v>
      </c>
      <c r="C27083" s="5" t="str">
        <f>IFERROR(__xludf.DUMMYFUNCTION("GOOGLETRANSLATE(B27083,""en"",""fr"")"),"Une personne ponce un morceau de bois à la main.")</f>
        <v>Une personne ponce un morceau de bois à la main.</v>
      </c>
    </row>
    <row r="27084">
      <c r="A27084" s="4" t="s">
        <v>34089</v>
      </c>
      <c r="B27084" s="4" t="s">
        <v>34090</v>
      </c>
      <c r="C27084" s="5" t="str">
        <f>IFERROR(__xludf.DUMMYFUNCTION("GOOGLETRANSLATE(B27084,""en"",""fr"")"),"Les gens font du vélo sur une piste.")</f>
        <v>Les gens font du vélo sur une piste.</v>
      </c>
    </row>
    <row r="27085">
      <c r="A27085" s="4" t="s">
        <v>34089</v>
      </c>
      <c r="B27085" s="4" t="s">
        <v>34091</v>
      </c>
      <c r="C27085" s="5" t="str">
        <f>IFERROR(__xludf.DUMMYFUNCTION("GOOGLETRANSLATE(B27085,""en"",""fr"")"),"Un homme s'écrase et atterrit sur la piste.")</f>
        <v>Un homme s'écrase et atterrit sur la piste.</v>
      </c>
    </row>
    <row r="27086">
      <c r="A27086" s="4" t="s">
        <v>34089</v>
      </c>
      <c r="B27086" s="4" t="s">
        <v>34092</v>
      </c>
      <c r="C27086" s="5" t="str">
        <f>IFERROR(__xludf.DUMMYFUNCTION("GOOGLETRANSLATE(B27086,""en"",""fr"")"),"Un homme en chapeau parle à la caméra.")</f>
        <v>Un homme en chapeau parle à la caméra.</v>
      </c>
    </row>
    <row r="27087">
      <c r="A27087" s="4" t="s">
        <v>34089</v>
      </c>
      <c r="B27087" s="4" t="s">
        <v>34093</v>
      </c>
      <c r="C27087" s="5" t="str">
        <f>IFERROR(__xludf.DUMMYFUNCTION("GOOGLETRANSLATE(B27087,""en"",""fr"")"),"Les gens continuent de faire du vélo sur la piste et de s'écraser.")</f>
        <v>Les gens continuent de faire du vélo sur la piste et de s'écraser.</v>
      </c>
    </row>
    <row r="27088">
      <c r="A27088" s="4" t="s">
        <v>34094</v>
      </c>
      <c r="B27088" s="4" t="s">
        <v>34095</v>
      </c>
      <c r="C27088" s="5" t="str">
        <f>IFERROR(__xludf.DUMMYFUNCTION("GOOGLETRANSLATE(B27088,""en"",""fr"")"),"Une caméra zoome sur un poids avec une personne debout à proximité.")</f>
        <v>Une caméra zoome sur un poids avec une personne debout à proximité.</v>
      </c>
    </row>
    <row r="27089">
      <c r="A27089" s="4" t="s">
        <v>34094</v>
      </c>
      <c r="B27089" s="4" t="s">
        <v>34096</v>
      </c>
      <c r="C27089" s="5" t="str">
        <f>IFERROR(__xludf.DUMMYFUNCTION("GOOGLETRANSLATE(B27089,""en"",""fr"")"),"Une femme se tient alors debout avec des poids dans ses mains et fait des fentes.")</f>
        <v>Une femme se tient alors debout avec des poids dans ses mains et fait des fentes.</v>
      </c>
    </row>
    <row r="27090">
      <c r="A27090" s="4" t="s">
        <v>34094</v>
      </c>
      <c r="B27090" s="4" t="s">
        <v>34097</v>
      </c>
      <c r="C27090" s="5" t="str">
        <f>IFERROR(__xludf.DUMMYFUNCTION("GOOGLETRANSLATE(B27090,""en"",""fr"")"),"Une deuxième femme arrive ainsi qu'un homme faisant divers mouvements de levage de poids.")</f>
        <v>Une deuxième femme arrive ainsi qu'un homme faisant divers mouvements de levage de poids.</v>
      </c>
    </row>
    <row r="27091">
      <c r="A27091" s="4" t="s">
        <v>34098</v>
      </c>
      <c r="B27091" s="4" t="s">
        <v>34099</v>
      </c>
      <c r="C27091" s="5" t="str">
        <f>IFERROR(__xludf.DUMMYFUNCTION("GOOGLETRANSLATE(B27091,""en"",""fr"")"),"Un bébé monte un swing dans le terrain de jeu.")</f>
        <v>Un bébé monte un swing dans le terrain de jeu.</v>
      </c>
    </row>
    <row r="27092">
      <c r="A27092" s="4" t="s">
        <v>34098</v>
      </c>
      <c r="B27092" s="4" t="s">
        <v>34100</v>
      </c>
      <c r="C27092" s="5" t="str">
        <f>IFERROR(__xludf.DUMMYFUNCTION("GOOGLETRANSLATE(B27092,""en"",""fr"")"),"Une main la pousse pendant qu'elle aime la balade.")</f>
        <v>Une main la pousse pendant qu'elle aime la balade.</v>
      </c>
    </row>
    <row r="27093">
      <c r="A27093" s="4" t="s">
        <v>34098</v>
      </c>
      <c r="B27093" s="4" t="s">
        <v>34101</v>
      </c>
      <c r="C27093" s="5" t="str">
        <f>IFERROR(__xludf.DUMMYFUNCTION("GOOGLETRANSLATE(B27093,""en"",""fr"")"),"L'homme commence à jouer avec elle.")</f>
        <v>L'homme commence à jouer avec elle.</v>
      </c>
    </row>
    <row r="27094">
      <c r="A27094" s="4" t="s">
        <v>34102</v>
      </c>
      <c r="B27094" s="4" t="s">
        <v>34103</v>
      </c>
      <c r="C27094" s="5" t="str">
        <f>IFERROR(__xludf.DUMMYFUNCTION("GOOGLETRANSLATE(B27094,""en"",""fr"")"),"Les gens courent dans un marathon dans la rue.")</f>
        <v>Les gens courent dans un marathon dans la rue.</v>
      </c>
    </row>
    <row r="27095">
      <c r="A27095" s="4" t="s">
        <v>34102</v>
      </c>
      <c r="B27095" s="4" t="s">
        <v>34104</v>
      </c>
      <c r="C27095" s="5" t="str">
        <f>IFERROR(__xludf.DUMMYFUNCTION("GOOGLETRANSLATE(B27095,""en"",""fr"")"),"Un homme dirige la course et court seul dans la rue.")</f>
        <v>Un homme dirige la course et court seul dans la rue.</v>
      </c>
    </row>
    <row r="27096">
      <c r="A27096" s="4" t="s">
        <v>34102</v>
      </c>
      <c r="B27096" s="4" t="s">
        <v>34105</v>
      </c>
      <c r="C27096" s="5" t="str">
        <f>IFERROR(__xludf.DUMMYFUNCTION("GOOGLETRANSLATE(B27096,""en"",""fr"")"),"Soudain, l'homme s'écrase dans la voiture et tombe.")</f>
        <v>Soudain, l'homme s'écrase dans la voiture et tombe.</v>
      </c>
    </row>
    <row r="27097">
      <c r="A27097" s="4" t="s">
        <v>34106</v>
      </c>
      <c r="B27097" s="4" t="s">
        <v>34107</v>
      </c>
      <c r="C27097" s="5" t="str">
        <f>IFERROR(__xludf.DUMMYFUNCTION("GOOGLETRANSLATE(B27097,""en"",""fr"")"),"Il y a un homme dans une chemise bleue entrant dans un grand bâtiment où il y a une arène d'escrime intérieure.")</f>
        <v>Il y a un homme dans une chemise bleue entrant dans un grand bâtiment où il y a une arène d'escrime intérieure.</v>
      </c>
    </row>
    <row r="27098">
      <c r="A27098" s="4" t="s">
        <v>34106</v>
      </c>
      <c r="B27098" s="4" t="s">
        <v>34108</v>
      </c>
      <c r="C27098" s="5" t="str">
        <f>IFERROR(__xludf.DUMMYFUNCTION("GOOGLETRANSLATE(B27098,""en"",""fr"")"),"Il entre dans l'arène et parle avec deux tireurs.")</f>
        <v>Il entre dans l'arène et parle avec deux tireurs.</v>
      </c>
    </row>
    <row r="27099">
      <c r="A27099" s="4" t="s">
        <v>34106</v>
      </c>
      <c r="B27099" s="4" t="s">
        <v>34109</v>
      </c>
      <c r="C27099" s="5" t="str">
        <f>IFERROR(__xludf.DUMMYFUNCTION("GOOGLETRANSLATE(B27099,""en"",""fr"")"),"L'un des tireurs met un costume de clôture sur l'homme.")</f>
        <v>L'un des tireurs met un costume de clôture sur l'homme.</v>
      </c>
    </row>
    <row r="27100">
      <c r="A27100" s="4" t="s">
        <v>34106</v>
      </c>
      <c r="B27100" s="4" t="s">
        <v>34110</v>
      </c>
      <c r="C27100" s="5" t="str">
        <f>IFERROR(__xludf.DUMMYFUNCTION("GOOGLETRANSLATE(B27100,""en"",""fr"")"),"Le tireur démontre alors et donne à l'homme une leçon de clôture.")</f>
        <v>Le tireur démontre alors et donne à l'homme une leçon de clôture.</v>
      </c>
    </row>
    <row r="27101">
      <c r="A27101" s="4" t="s">
        <v>34106</v>
      </c>
      <c r="B27101" s="4" t="s">
        <v>34111</v>
      </c>
      <c r="C27101" s="5" t="str">
        <f>IFERROR(__xludf.DUMMYFUNCTION("GOOGLETRANSLATE(B27101,""en"",""fr"")"),"Il montre à l'homme les différentes compétences impliquées dans l'escrime.")</f>
        <v>Il montre à l'homme les différentes compétences impliquées dans l'escrime.</v>
      </c>
    </row>
    <row r="27102">
      <c r="A27102" s="4" t="s">
        <v>34106</v>
      </c>
      <c r="B27102" s="4" t="s">
        <v>34112</v>
      </c>
      <c r="C27102" s="5" t="str">
        <f>IFERROR(__xludf.DUMMYFUNCTION("GOOGLETRANSLATE(B27102,""en"",""fr"")"),"L'homme est capable de manquer et d'échapper à chaque mouvement du tireur alors qu'il ne touche pas à l'épée.")</f>
        <v>L'homme est capable de manquer et d'échapper à chaque mouvement du tireur alors qu'il ne touche pas à l'épée.</v>
      </c>
    </row>
    <row r="27103">
      <c r="A27103" s="4" t="s">
        <v>34106</v>
      </c>
      <c r="B27103" s="4" t="s">
        <v>34113</v>
      </c>
      <c r="C27103" s="5" t="str">
        <f>IFERROR(__xludf.DUMMYFUNCTION("GOOGLETRANSLATE(B27103,""en"",""fr"")"),"Ensuite, les deux tireurs retirent leurs masques et se serrent la main.")</f>
        <v>Ensuite, les deux tireurs retirent leurs masques et se serrent la main.</v>
      </c>
    </row>
    <row r="27104">
      <c r="A27104" s="4" t="s">
        <v>34106</v>
      </c>
      <c r="B27104" s="4" t="s">
        <v>34114</v>
      </c>
      <c r="C27104" s="5" t="str">
        <f>IFERROR(__xludf.DUMMYFUNCTION("GOOGLETRANSLATE(B27104,""en"",""fr"")"),"Le Fencer parle de son expérience avec le Master Fencer.")</f>
        <v>Le Fencer parle de son expérience avec le Master Fencer.</v>
      </c>
    </row>
    <row r="27105">
      <c r="A27105" s="4" t="s">
        <v>34115</v>
      </c>
      <c r="B27105" s="6" t="s">
        <v>34116</v>
      </c>
      <c r="C27105" s="5" t="str">
        <f>IFERROR(__xludf.DUMMYFUNCTION("GOOGLETRANSLATE(B27105,""en"",""fr"")"),"Un jeu de crosse commence et un garçon du nom de Chase Madrid est des points forts qui font des scènes tout au long du jeu.")</f>
        <v>Un jeu de crosse commence et un garçon du nom de Chase Madrid est des points forts qui font des scènes tout au long du jeu.</v>
      </c>
    </row>
    <row r="27106">
      <c r="A27106" s="4" t="s">
        <v>34115</v>
      </c>
      <c r="B27106" s="6" t="s">
        <v>34117</v>
      </c>
      <c r="C27106" s="5" t="str">
        <f>IFERROR(__xludf.DUMMYFUNCTION("GOOGLETRANSLATE(B27106,""en"",""fr"")"),"Plusieurs jeux différents commencent et un cercle jaune est dessiné autour de lui pour chaque jeu lorsqu'il fait des allers-retours.")</f>
        <v>Plusieurs jeux différents commencent et un cercle jaune est dessiné autour de lui pour chaque jeu lorsqu'il fait des allers-retours.</v>
      </c>
    </row>
    <row r="27107">
      <c r="A27107" s="4" t="s">
        <v>34115</v>
      </c>
      <c r="B27107" s="6" t="s">
        <v>34118</v>
      </c>
      <c r="C27107" s="5" t="str">
        <f>IFERROR(__xludf.DUMMYFUNCTION("GOOGLETRANSLATE(B27107,""en"",""fr"")"),"Lorsque la bobine de surbrillance est terminée, un écran noir apparaît et affiche le lycée ainsi que le nom du joueur.")</f>
        <v>Lorsque la bobine de surbrillance est terminée, un écran noir apparaît et affiche le lycée ainsi que le nom du joueur.</v>
      </c>
    </row>
    <row r="27108">
      <c r="A27108" s="4" t="s">
        <v>34119</v>
      </c>
      <c r="B27108" s="6" t="s">
        <v>34120</v>
      </c>
      <c r="C27108" s="5" t="str">
        <f>IFERROR(__xludf.DUMMYFUNCTION("GOOGLETRANSLATE(B27108,""en"",""fr"")"),"Un homme est dans un parc, où lui et sa femme, qui tient un bébé, poussent deux petits enfants sur les balançoires.")</f>
        <v>Un homme est dans un parc, où lui et sa femme, qui tient un bébé, poussent deux petits enfants sur les balançoires.</v>
      </c>
    </row>
    <row r="27109">
      <c r="A27109" s="4" t="s">
        <v>34119</v>
      </c>
      <c r="B27109" s="4" t="s">
        <v>34121</v>
      </c>
      <c r="C27109" s="5" t="str">
        <f>IFERROR(__xludf.DUMMYFUNCTION("GOOGLETRANSLATE(B27109,""en"",""fr"")"),"La femme disparaît alors que l'homme continue de pousser.")</f>
        <v>La femme disparaît alors que l'homme continue de pousser.</v>
      </c>
    </row>
    <row r="27110">
      <c r="A27110" s="4" t="s">
        <v>34122</v>
      </c>
      <c r="B27110" s="4" t="s">
        <v>34123</v>
      </c>
      <c r="C27110" s="5" t="str">
        <f>IFERROR(__xludf.DUMMYFUNCTION("GOOGLETRANSLATE(B27110,""en"",""fr"")"),"Un petit groupe d'enfants se déplace autour d'un gymnase jetant des balles.")</f>
        <v>Un petit groupe d'enfants se déplace autour d'un gymnase jetant des balles.</v>
      </c>
    </row>
    <row r="27111">
      <c r="A27111" s="4" t="s">
        <v>34122</v>
      </c>
      <c r="B27111" s="4" t="s">
        <v>34124</v>
      </c>
      <c r="C27111" s="5" t="str">
        <f>IFERROR(__xludf.DUMMYFUNCTION("GOOGLETRANSLATE(B27111,""en"",""fr"")"),"Les enfants se jettent les balles tout en jouant à un jeu.")</f>
        <v>Les enfants se jettent les balles tout en jouant à un jeu.</v>
      </c>
    </row>
    <row r="27112">
      <c r="A27112" s="4" t="s">
        <v>34122</v>
      </c>
      <c r="B27112" s="4" t="s">
        <v>34125</v>
      </c>
      <c r="C27112" s="5" t="str">
        <f>IFERROR(__xludf.DUMMYFUNCTION("GOOGLETRANSLATE(B27112,""en"",""fr"")"),"Le jeu continue pendant que les enfants sautent et descendent.")</f>
        <v>Le jeu continue pendant que les enfants sautent et descendent.</v>
      </c>
    </row>
    <row r="27113">
      <c r="A27113" s="4" t="s">
        <v>34126</v>
      </c>
      <c r="B27113" s="4" t="s">
        <v>34127</v>
      </c>
      <c r="C27113" s="5" t="str">
        <f>IFERROR(__xludf.DUMMYFUNCTION("GOOGLETRANSLATE(B27113,""en"",""fr"")"),"Un homme danse dans une grande pièce.")</f>
        <v>Un homme danse dans une grande pièce.</v>
      </c>
    </row>
    <row r="27114">
      <c r="A27114" s="4" t="s">
        <v>34126</v>
      </c>
      <c r="B27114" s="4" t="s">
        <v>34128</v>
      </c>
      <c r="C27114" s="5" t="str">
        <f>IFERROR(__xludf.DUMMYFUNCTION("GOOGLETRANSLATE(B27114,""en"",""fr"")"),"Pendant qu'il fait la danse, il explique comment le faire.")</f>
        <v>Pendant qu'il fait la danse, il explique comment le faire.</v>
      </c>
    </row>
    <row r="27115">
      <c r="A27115" s="4" t="s">
        <v>34129</v>
      </c>
      <c r="B27115" s="6" t="s">
        <v>34130</v>
      </c>
      <c r="C27115" s="5" t="str">
        <f>IFERROR(__xludf.DUMMYFUNCTION("GOOGLETRANSLATE(B27115,""en"",""fr"")"),"Ces chevaux marchent seuls dans une zone herbeuse, puis une femme brossant les cheveux du cheval.")</f>
        <v>Ces chevaux marchent seuls dans une zone herbeuse, puis une femme brossant les cheveux du cheval.</v>
      </c>
    </row>
    <row r="27116">
      <c r="A27116" s="4" t="s">
        <v>34129</v>
      </c>
      <c r="B27116" s="6" t="s">
        <v>34131</v>
      </c>
      <c r="C27116" s="5" t="str">
        <f>IFERROR(__xludf.DUMMYFUNCTION("GOOGLETRANSLATE(B27116,""en"",""fr"")"),"La caméra zoome pour montrer le nez du cheval, puis la femme grimpe sur la selle du cheval pour la monter quelque part.")</f>
        <v>La caméra zoome pour montrer le nez du cheval, puis la femme grimpe sur la selle du cheval pour la monter quelque part.</v>
      </c>
    </row>
    <row r="27117">
      <c r="A27117" s="4" t="s">
        <v>34129</v>
      </c>
      <c r="B27117" s="4" t="s">
        <v>34132</v>
      </c>
      <c r="C27117" s="5" t="str">
        <f>IFERROR(__xludf.DUMMYFUNCTION("GOOGLETRANSLATE(B27117,""en"",""fr"")"),"Ensuite, deux autres personnes sont en train de monter dans le cheval dans des contextes différents.")</f>
        <v>Ensuite, deux autres personnes sont en train de monter dans le cheval dans des contextes différents.</v>
      </c>
    </row>
    <row r="27118">
      <c r="A27118" s="4" t="s">
        <v>34133</v>
      </c>
      <c r="B27118" s="4" t="s">
        <v>34134</v>
      </c>
      <c r="C27118" s="5" t="str">
        <f>IFERROR(__xludf.DUMMYFUNCTION("GOOGLETRANSLATE(B27118,""en"",""fr"")"),"Deux filles se trouvent à l'extérieur en train de parler avec des pieds croisés.")</f>
        <v>Deux filles se trouvent à l'extérieur en train de parler avec des pieds croisés.</v>
      </c>
    </row>
    <row r="27119">
      <c r="A27119" s="4" t="s">
        <v>34133</v>
      </c>
      <c r="B27119" s="6" t="s">
        <v>34135</v>
      </c>
      <c r="C27119" s="5" t="str">
        <f>IFERROR(__xludf.DUMMYFUNCTION("GOOGLETRANSLATE(B27119,""en"",""fr"")"),"L'une des filles tend l'autre un récipient dont elle sort un peu de papier qui lui dit quoi faire.")</f>
        <v>L'une des filles tend l'autre un récipient dont elle sort un peu de papier qui lui dit quoi faire.</v>
      </c>
    </row>
    <row r="27120">
      <c r="A27120" s="4" t="s">
        <v>34133</v>
      </c>
      <c r="B27120" s="4" t="s">
        <v>34136</v>
      </c>
      <c r="C27120" s="5" t="str">
        <f>IFERROR(__xludf.DUMMYFUNCTION("GOOGLETRANSLATE(B27120,""en"",""fr"")"),"Elle le lit et fait ensuite ce que le journal dit de faire.")</f>
        <v>Elle le lit et fait ensuite ce que le journal dit de faire.</v>
      </c>
    </row>
    <row r="27121">
      <c r="A27121" s="4" t="s">
        <v>34133</v>
      </c>
      <c r="B27121" s="6" t="s">
        <v>34137</v>
      </c>
      <c r="C27121" s="5" t="str">
        <f>IFERROR(__xludf.DUMMYFUNCTION("GOOGLETRANSLATE(B27121,""en"",""fr"")"),"Ils font à tour de rôle cela, en choisissant une note, puis en faisant la tâche que cela dit et ils s'amusent en le faisant.")</f>
        <v>Ils font à tour de rôle cela, en choisissant une note, puis en faisant la tâche que cela dit et ils s'amusent en le faisant.</v>
      </c>
    </row>
    <row r="27122">
      <c r="A27122" s="4" t="s">
        <v>34138</v>
      </c>
      <c r="B27122" s="4" t="s">
        <v>34139</v>
      </c>
      <c r="C27122" s="5" t="str">
        <f>IFERROR(__xludf.DUMMYFUNCTION("GOOGLETRANSLATE(B27122,""en"",""fr"")"),"L'eau éclaboussant sur une tour de montre.")</f>
        <v>L'eau éclaboussant sur une tour de montre.</v>
      </c>
    </row>
    <row r="27123">
      <c r="A27123" s="4" t="s">
        <v>34138</v>
      </c>
      <c r="B27123" s="4" t="s">
        <v>34140</v>
      </c>
      <c r="C27123" s="5" t="str">
        <f>IFERROR(__xludf.DUMMYFUNCTION("GOOGLETRANSLATE(B27123,""en"",""fr"")"),"Des gens assis sur la plage dans un bateau.")</f>
        <v>Des gens assis sur la plage dans un bateau.</v>
      </c>
    </row>
    <row r="27124">
      <c r="A27124" s="4" t="s">
        <v>34138</v>
      </c>
      <c r="B27124" s="4" t="s">
        <v>34141</v>
      </c>
      <c r="C27124" s="5" t="str">
        <f>IFERROR(__xludf.DUMMYFUNCTION("GOOGLETRANSLATE(B27124,""en"",""fr"")"),"La musique joue en arrière-plan alors que différentes personnes naviguent pendant différents clips.")</f>
        <v>La musique joue en arrière-plan alors que différentes personnes naviguent pendant différents clips.</v>
      </c>
    </row>
    <row r="27125">
      <c r="A27125" s="4" t="s">
        <v>34142</v>
      </c>
      <c r="B27125" s="4" t="s">
        <v>34143</v>
      </c>
      <c r="C27125" s="5" t="str">
        <f>IFERROR(__xludf.DUMMYFUNCTION("GOOGLETRANSLATE(B27125,""en"",""fr"")"),"Deux garçons en pantalon de karaté se débattent en arrière-plan.")</f>
        <v>Deux garçons en pantalon de karaté se débattent en arrière-plan.</v>
      </c>
    </row>
    <row r="27126">
      <c r="A27126" s="4" t="s">
        <v>34142</v>
      </c>
      <c r="B27126" s="4" t="s">
        <v>34144</v>
      </c>
      <c r="C27126" s="5" t="str">
        <f>IFERROR(__xludf.DUMMYFUNCTION("GOOGLETRANSLATE(B27126,""en"",""fr"")"),"Le groupe forme un cercle et deux des garçons commencent à s'efforcer dans une pratique des arts martiaux.")</f>
        <v>Le groupe forme un cercle et deux des garçons commencent à s'efforcer dans une pratique des arts martiaux.</v>
      </c>
    </row>
    <row r="27127">
      <c r="A27127" s="4" t="s">
        <v>34142</v>
      </c>
      <c r="B27127" s="4" t="s">
        <v>34145</v>
      </c>
      <c r="C27127" s="5" t="str">
        <f>IFERROR(__xludf.DUMMYFUNCTION("GOOGLETRANSLATE(B27127,""en"",""fr"")"),"Le garçon en haut rose fait un coup de pied en rotation.")</f>
        <v>Le garçon en haut rose fait un coup de pied en rotation.</v>
      </c>
    </row>
    <row r="27128">
      <c r="A27128" s="4" t="s">
        <v>34146</v>
      </c>
      <c r="B27128" s="4" t="s">
        <v>34147</v>
      </c>
      <c r="C27128" s="5" t="str">
        <f>IFERROR(__xludf.DUMMYFUNCTION("GOOGLETRANSLATE(B27128,""en"",""fr"")"),"Un groupe joue de la musique sur scène.")</f>
        <v>Un groupe joue de la musique sur scène.</v>
      </c>
    </row>
    <row r="27129">
      <c r="A27129" s="4" t="s">
        <v>34146</v>
      </c>
      <c r="B27129" s="4" t="s">
        <v>34148</v>
      </c>
      <c r="C27129" s="5" t="str">
        <f>IFERROR(__xludf.DUMMYFUNCTION("GOOGLETRANSLATE(B27129,""en"",""fr"")"),"Un homme joue intensément la batterie.")</f>
        <v>Un homme joue intensément la batterie.</v>
      </c>
    </row>
    <row r="27130">
      <c r="A27130" s="4" t="s">
        <v>34146</v>
      </c>
      <c r="B27130" s="4" t="s">
        <v>34149</v>
      </c>
      <c r="C27130" s="5" t="str">
        <f>IFERROR(__xludf.DUMMYFUNCTION("GOOGLETRANSLATE(B27130,""en"",""fr"")"),"Un grand écran montre le groupe ci-dessus.")</f>
        <v>Un grand écran montre le groupe ci-dessus.</v>
      </c>
    </row>
    <row r="27131">
      <c r="A27131" s="4" t="s">
        <v>34146</v>
      </c>
      <c r="B27131" s="4" t="s">
        <v>34150</v>
      </c>
      <c r="C27131" s="5" t="str">
        <f>IFERROR(__xludf.DUMMYFUNCTION("GOOGLETRANSLATE(B27131,""en"",""fr"")"),"Les gens jouent de la guitare sur scène.")</f>
        <v>Les gens jouent de la guitare sur scène.</v>
      </c>
    </row>
    <row r="27132">
      <c r="A27132" s="4" t="s">
        <v>34151</v>
      </c>
      <c r="B27132" s="4" t="s">
        <v>34152</v>
      </c>
      <c r="C27132" s="5" t="str">
        <f>IFERROR(__xludf.DUMMYFUNCTION("GOOGLETRANSLATE(B27132,""en"",""fr"")"),"Les joueurs courent en jouant à la crosse sur un champ d'herbe.")</f>
        <v>Les joueurs courent en jouant à la crosse sur un champ d'herbe.</v>
      </c>
    </row>
    <row r="27133">
      <c r="A27133" s="4" t="s">
        <v>34151</v>
      </c>
      <c r="B27133" s="4" t="s">
        <v>34153</v>
      </c>
      <c r="C27133" s="5" t="str">
        <f>IFERROR(__xludf.DUMMYFUNCTION("GOOGLETRANSLATE(B27133,""en"",""fr"")"),"Le public regarde et applaudie pour eux.")</f>
        <v>Le public regarde et applaudie pour eux.</v>
      </c>
    </row>
    <row r="27134">
      <c r="A27134" s="4" t="s">
        <v>34154</v>
      </c>
      <c r="B27134" s="4" t="s">
        <v>34155</v>
      </c>
      <c r="C27134" s="5" t="str">
        <f>IFERROR(__xludf.DUMMYFUNCTION("GOOGLETRANSLATE(B27134,""en"",""fr"")"),"Un homme chauve est vu parler à un appareil photo tout en se frottant la tête et en faisant des visages de grimace.")</f>
        <v>Un homme chauve est vu parler à un appareil photo tout en se frottant la tête et en faisant des visages de grimace.</v>
      </c>
    </row>
    <row r="27135">
      <c r="A27135" s="4" t="s">
        <v>34154</v>
      </c>
      <c r="B27135" s="6" t="s">
        <v>34156</v>
      </c>
      <c r="C27135" s="5" t="str">
        <f>IFERROR(__xludf.DUMMYFUNCTION("GOOGLETRANSLATE(B27135,""en"",""fr"")"),"Il continue de parler à la caméra et la vidéo se termine avec lui en agitant et en fermant la caméra.")</f>
        <v>Il continue de parler à la caméra et la vidéo se termine avec lui en agitant et en fermant la caméra.</v>
      </c>
    </row>
    <row r="27136">
      <c r="A27136" s="4" t="s">
        <v>34157</v>
      </c>
      <c r="B27136" s="4" t="s">
        <v>34158</v>
      </c>
      <c r="C27136" s="5" t="str">
        <f>IFERROR(__xludf.DUMMYFUNCTION("GOOGLETRANSLATE(B27136,""en"",""fr"")"),"Un groupe est montré ensemble et courir sur des vélos BMX dans une série de photos.")</f>
        <v>Un groupe est montré ensemble et courir sur des vélos BMX dans une série de photos.</v>
      </c>
    </row>
    <row r="27137">
      <c r="A27137" s="4" t="s">
        <v>34157</v>
      </c>
      <c r="B27137" s="4" t="s">
        <v>34159</v>
      </c>
      <c r="C27137" s="5" t="str">
        <f>IFERROR(__xludf.DUMMYFUNCTION("GOOGLETRANSLATE(B27137,""en"",""fr"")"),"Ensuite, nous voyons des gens sur des vélos, effectuant des cascades, faisant le tour d'un anneau et sautant des collines.")</f>
        <v>Ensuite, nous voyons des gens sur des vélos, effectuant des cascades, faisant le tour d'un anneau et sautant des collines.</v>
      </c>
    </row>
    <row r="27138">
      <c r="A27138" s="4" t="s">
        <v>34157</v>
      </c>
      <c r="B27138" s="4" t="s">
        <v>34160</v>
      </c>
      <c r="C27138" s="5" t="str">
        <f>IFERROR(__xludf.DUMMYFUNCTION("GOOGLETRANSLATE(B27138,""en"",""fr"")"),"Un motard vole dans les airs, puis nous voyons une dernière photo des gagnants avec leurs médailles.")</f>
        <v>Un motard vole dans les airs, puis nous voyons une dernière photo des gagnants avec leurs médailles.</v>
      </c>
    </row>
    <row r="27139">
      <c r="A27139" s="4" t="s">
        <v>34161</v>
      </c>
      <c r="B27139" s="4" t="s">
        <v>34162</v>
      </c>
      <c r="C27139" s="5" t="str">
        <f>IFERROR(__xludf.DUMMYFUNCTION("GOOGLETRANSLATE(B27139,""en"",""fr"")"),"Un homme dans une cour commence sa tondeuse à gazon.")</f>
        <v>Un homme dans une cour commence sa tondeuse à gazon.</v>
      </c>
    </row>
    <row r="27140">
      <c r="A27140" s="4" t="s">
        <v>34161</v>
      </c>
      <c r="B27140" s="4" t="s">
        <v>34163</v>
      </c>
      <c r="C27140" s="5" t="str">
        <f>IFERROR(__xludf.DUMMYFUNCTION("GOOGLETRANSLATE(B27140,""en"",""fr"")"),"L'homme mode sa pelouse avec des écouteurs sur ses oreilles alors que son chien se promène dans la cour.")</f>
        <v>L'homme mode sa pelouse avec des écouteurs sur ses oreilles alors que son chien se promène dans la cour.</v>
      </c>
    </row>
    <row r="27141">
      <c r="A27141" s="4" t="s">
        <v>34161</v>
      </c>
      <c r="B27141" s="4" t="s">
        <v>34164</v>
      </c>
      <c r="C27141" s="5" t="str">
        <f>IFERROR(__xludf.DUMMYFUNCTION("GOOGLETRANSLATE(B27141,""en"",""fr"")"),"Le chien court pour sortir de la tondeuse à gazon et quitte la scène.")</f>
        <v>Le chien court pour sortir de la tondeuse à gazon et quitte la scène.</v>
      </c>
    </row>
    <row r="27142">
      <c r="A27142" s="4" t="s">
        <v>34165</v>
      </c>
      <c r="B27142" s="4" t="s">
        <v>34166</v>
      </c>
      <c r="C27142" s="5" t="str">
        <f>IFERROR(__xludf.DUMMYFUNCTION("GOOGLETRANSLATE(B27142,""en"",""fr"")"),"Un chat est vu se lécher sur un lit tandis qu'une personne tente continuellement de couper ses griffes.")</f>
        <v>Un chat est vu se lécher sur un lit tandis qu'une personne tente continuellement de couper ses griffes.</v>
      </c>
    </row>
    <row r="27143">
      <c r="A27143" s="4" t="s">
        <v>34165</v>
      </c>
      <c r="B27143" s="4" t="s">
        <v>34167</v>
      </c>
      <c r="C27143" s="5" t="str">
        <f>IFERROR(__xludf.DUMMYFUNCTION("GOOGLETRANSLATE(B27143,""en"",""fr"")"),"La personne se gratte le chat pendant qu'elle continue de se lécher et tente à nouveau de couper ses griffes.")</f>
        <v>La personne se gratte le chat pendant qu'elle continue de se lécher et tente à nouveau de couper ses griffes.</v>
      </c>
    </row>
    <row r="27144">
      <c r="A27144" s="4" t="s">
        <v>34165</v>
      </c>
      <c r="B27144" s="4" t="s">
        <v>34168</v>
      </c>
      <c r="C27144" s="5" t="str">
        <f>IFERROR(__xludf.DUMMYFUNCTION("GOOGLETRANSLATE(B27144,""en"",""fr"")"),"Enfin, la personne joue avec le chat et la voiture continue de lécher.")</f>
        <v>Enfin, la personne joue avec le chat et la voiture continue de lécher.</v>
      </c>
    </row>
    <row r="27145">
      <c r="A27145" s="4" t="s">
        <v>34169</v>
      </c>
      <c r="B27145" s="4" t="s">
        <v>34170</v>
      </c>
      <c r="C27145" s="5" t="str">
        <f>IFERROR(__xludf.DUMMYFUNCTION("GOOGLETRANSLATE(B27145,""en"",""fr"")"),"Un gars rasait la jambe d'un homme.")</f>
        <v>Un gars rasait la jambe d'un homme.</v>
      </c>
    </row>
    <row r="27146">
      <c r="A27146" s="4" t="s">
        <v>34169</v>
      </c>
      <c r="B27146" s="4" t="s">
        <v>34171</v>
      </c>
      <c r="C27146" s="5" t="str">
        <f>IFERROR(__xludf.DUMMYFUNCTION("GOOGLETRANSLATE(B27146,""en"",""fr"")"),"Le mâle rit et dérange son short.")</f>
        <v>Le mâle rit et dérange son short.</v>
      </c>
    </row>
    <row r="27147">
      <c r="A27147" s="4" t="s">
        <v>34169</v>
      </c>
      <c r="B27147" s="4" t="s">
        <v>34172</v>
      </c>
      <c r="C27147" s="5" t="str">
        <f>IFERROR(__xludf.DUMMYFUNCTION("GOOGLETRANSLATE(B27147,""en"",""fr"")"),"Le gars rince le rasoir dans un bol bleu plein de liquide savonneux.")</f>
        <v>Le gars rince le rasoir dans un bol bleu plein de liquide savonneux.</v>
      </c>
    </row>
    <row r="27148">
      <c r="A27148" s="4" t="s">
        <v>34173</v>
      </c>
      <c r="B27148" s="4" t="s">
        <v>34174</v>
      </c>
      <c r="C27148" s="5" t="str">
        <f>IFERROR(__xludf.DUMMYFUNCTION("GOOGLETRANSLATE(B27148,""en"",""fr"")"),"Un homme tient un volleyball tout en se tenant sur un terrain et en parle.")</f>
        <v>Un homme tient un volleyball tout en se tenant sur un terrain et en parle.</v>
      </c>
    </row>
    <row r="27149">
      <c r="A27149" s="4" t="s">
        <v>34173</v>
      </c>
      <c r="B27149" s="4" t="s">
        <v>34175</v>
      </c>
      <c r="C27149" s="5" t="str">
        <f>IFERROR(__xludf.DUMMYFUNCTION("GOOGLETRANSLATE(B27149,""en"",""fr"")"),"Les joueuses s'entraînent et s'entraînent derrière lui pendant qu'il parle.")</f>
        <v>Les joueuses s'entraînent et s'entraînent derrière lui pendant qu'il parle.</v>
      </c>
    </row>
    <row r="27150">
      <c r="A27150" s="4" t="s">
        <v>34176</v>
      </c>
      <c r="B27150" s="4" t="s">
        <v>34177</v>
      </c>
      <c r="C27150" s="5" t="str">
        <f>IFERROR(__xludf.DUMMYFUNCTION("GOOGLETRANSLATE(B27150,""en"",""fr"")"),"Deux enfants en pyjama accrochent des ornements de Noël d'un arbre.")</f>
        <v>Deux enfants en pyjama accrochent des ornements de Noël d'un arbre.</v>
      </c>
    </row>
    <row r="27151">
      <c r="A27151" s="4" t="s">
        <v>34176</v>
      </c>
      <c r="B27151" s="4" t="s">
        <v>34178</v>
      </c>
      <c r="C27151" s="5" t="str">
        <f>IFERROR(__xludf.DUMMYFUNCTION("GOOGLETRANSLATE(B27151,""en"",""fr"")"),"Une fausse chauve-souris sort de l'arbre de Noël et fait peur aux enfants.")</f>
        <v>Une fausse chauve-souris sort de l'arbre de Noël et fait peur aux enfants.</v>
      </c>
    </row>
    <row r="27152">
      <c r="A27152" s="4" t="s">
        <v>34179</v>
      </c>
      <c r="B27152" s="4" t="s">
        <v>34180</v>
      </c>
      <c r="C27152" s="5" t="str">
        <f>IFERROR(__xludf.DUMMYFUNCTION("GOOGLETRANSLATE(B27152,""en"",""fr"")"),"Un homme se tient devant une remorque.")</f>
        <v>Un homme se tient devant une remorque.</v>
      </c>
    </row>
    <row r="27153">
      <c r="A27153" s="4" t="s">
        <v>34179</v>
      </c>
      <c r="B27153" s="4" t="s">
        <v>34181</v>
      </c>
      <c r="C27153" s="5" t="str">
        <f>IFERROR(__xludf.DUMMYFUNCTION("GOOGLETRANSLATE(B27153,""en"",""fr"")"),"Il commence à pelleter la neige devant la remorque.")</f>
        <v>Il commence à pelleter la neige devant la remorque.</v>
      </c>
    </row>
    <row r="27154">
      <c r="A27154" s="4" t="s">
        <v>34179</v>
      </c>
      <c r="B27154" s="4" t="s">
        <v>34182</v>
      </c>
      <c r="C27154" s="5" t="str">
        <f>IFERROR(__xludf.DUMMYFUNCTION("GOOGLETRANSLATE(B27154,""en"",""fr"")"),"Il met la pelle de neige dans la neige et continue de parler.")</f>
        <v>Il met la pelle de neige dans la neige et continue de parler.</v>
      </c>
    </row>
    <row r="27155">
      <c r="A27155" s="4" t="s">
        <v>34183</v>
      </c>
      <c r="B27155" s="4" t="s">
        <v>34184</v>
      </c>
      <c r="C27155" s="5" t="str">
        <f>IFERROR(__xludf.DUMMYFUNCTION("GOOGLETRANSLATE(B27155,""en"",""fr"")"),"Un petit enfant est vu assis dans un tube tandis que d'autres se tiennent autour de lui.")</f>
        <v>Un petit enfant est vu assis dans un tube tandis que d'autres se tiennent autour de lui.</v>
      </c>
    </row>
    <row r="27156">
      <c r="A27156" s="4" t="s">
        <v>34183</v>
      </c>
      <c r="B27156" s="4" t="s">
        <v>34185</v>
      </c>
      <c r="C27156" s="5" t="str">
        <f>IFERROR(__xludf.DUMMYFUNCTION("GOOGLETRANSLATE(B27156,""en"",""fr"")"),"Le garçon commence alors à rouler sur une colline enneigée dans le tube.")</f>
        <v>Le garçon commence alors à rouler sur une colline enneigée dans le tube.</v>
      </c>
    </row>
    <row r="27157">
      <c r="A27157" s="4" t="s">
        <v>34183</v>
      </c>
      <c r="B27157" s="4" t="s">
        <v>34186</v>
      </c>
      <c r="C27157" s="5" t="str">
        <f>IFERROR(__xludf.DUMMYFUNCTION("GOOGLETRANSLATE(B27157,""en"",""fr"")"),"Le garçon continue de rouler jusqu'à ce qu'il atteigne le fond.")</f>
        <v>Le garçon continue de rouler jusqu'à ce qu'il atteigne le fond.</v>
      </c>
    </row>
    <row r="27158">
      <c r="A27158" s="4" t="s">
        <v>34187</v>
      </c>
      <c r="B27158" s="4" t="s">
        <v>34188</v>
      </c>
      <c r="C27158" s="5" t="str">
        <f>IFERROR(__xludf.DUMMYFUNCTION("GOOGLETRANSLATE(B27158,""en"",""fr"")"),"Une femme se tient près d'un évier pendant qu'elle parle.")</f>
        <v>Une femme se tient près d'un évier pendant qu'elle parle.</v>
      </c>
    </row>
    <row r="27159">
      <c r="A27159" s="4" t="s">
        <v>34187</v>
      </c>
      <c r="B27159" s="4" t="s">
        <v>34189</v>
      </c>
      <c r="C27159" s="5" t="str">
        <f>IFERROR(__xludf.DUMMYFUNCTION("GOOGLETRANSLATE(B27159,""en"",""fr"")"),"Elle allume le robinet et assouplit l'évier.")</f>
        <v>Elle allume le robinet et assouplit l'évier.</v>
      </c>
    </row>
    <row r="27160">
      <c r="A27160" s="4" t="s">
        <v>34187</v>
      </c>
      <c r="B27160" s="4" t="s">
        <v>34190</v>
      </c>
      <c r="C27160" s="5" t="str">
        <f>IFERROR(__xludf.DUMMYFUNCTION("GOOGLETRANSLATE(B27160,""en"",""fr"")"),"Elle pulvérise l'évier avec un nettoyeur.")</f>
        <v>Elle pulvérise l'évier avec un nettoyeur.</v>
      </c>
    </row>
    <row r="27161">
      <c r="A27161" s="4" t="s">
        <v>34187</v>
      </c>
      <c r="B27161" s="4" t="s">
        <v>34191</v>
      </c>
      <c r="C27161" s="5" t="str">
        <f>IFERROR(__xludf.DUMMYFUNCTION("GOOGLETRANSLATE(B27161,""en"",""fr"")"),"Elle attrape une serviette en papier et essuie l'évier.")</f>
        <v>Elle attrape une serviette en papier et essuie l'évier.</v>
      </c>
    </row>
    <row r="27162">
      <c r="A27162" s="4" t="s">
        <v>34187</v>
      </c>
      <c r="B27162" s="4" t="s">
        <v>34192</v>
      </c>
      <c r="C27162" s="5" t="str">
        <f>IFERROR(__xludf.DUMMYFUNCTION("GOOGLETRANSLATE(B27162,""en"",""fr"")"),"Elle allume l'eau et assouplit l'évier.")</f>
        <v>Elle allume l'eau et assouplit l'évier.</v>
      </c>
    </row>
    <row r="27163">
      <c r="A27163" s="4" t="s">
        <v>34187</v>
      </c>
      <c r="B27163" s="4" t="s">
        <v>34193</v>
      </c>
      <c r="C27163" s="5" t="str">
        <f>IFERROR(__xludf.DUMMYFUNCTION("GOOGLETRANSLATE(B27163,""en"",""fr"")"),"Elle attrape une autre serviette en papier et essuie l'évier.")</f>
        <v>Elle attrape une autre serviette en papier et essuie l'évier.</v>
      </c>
    </row>
    <row r="27164">
      <c r="A27164" s="4" t="s">
        <v>34187</v>
      </c>
      <c r="B27164" s="4" t="s">
        <v>34194</v>
      </c>
      <c r="C27164" s="5" t="str">
        <f>IFERROR(__xludf.DUMMYFUNCTION("GOOGLETRANSLATE(B27164,""en"",""fr"")"),"Elle finit d'essayer l'évier et parle.")</f>
        <v>Elle finit d'essayer l'évier et parle.</v>
      </c>
    </row>
    <row r="27165">
      <c r="A27165" s="4" t="s">
        <v>34195</v>
      </c>
      <c r="B27165" s="4" t="s">
        <v>34196</v>
      </c>
      <c r="C27165" s="5" t="str">
        <f>IFERROR(__xludf.DUMMYFUNCTION("GOOGLETRANSLATE(B27165,""en"",""fr"")"),"Une équipe joue au basket contre une autre équipe.")</f>
        <v>Une équipe joue au basket contre une autre équipe.</v>
      </c>
    </row>
    <row r="27166">
      <c r="A27166" s="4" t="s">
        <v>34195</v>
      </c>
      <c r="B27166" s="4" t="s">
        <v>34197</v>
      </c>
      <c r="C27166" s="5" t="str">
        <f>IFERROR(__xludf.DUMMYFUNCTION("GOOGLETRANSLATE(B27166,""en"",""fr"")"),"Ils poursuivent le ballon partout sur le terrain.")</f>
        <v>Ils poursuivent le ballon partout sur le terrain.</v>
      </c>
    </row>
    <row r="27167">
      <c r="A27167" s="4" t="s">
        <v>34195</v>
      </c>
      <c r="B27167" s="4" t="s">
        <v>34198</v>
      </c>
      <c r="C27167" s="5" t="str">
        <f>IFERROR(__xludf.DUMMYFUNCTION("GOOGLETRANSLATE(B27167,""en"",""fr"")"),"Ils essaient de garder le ballon loin de leur adversaire, faisant des paniers au fur et à mesure.")</f>
        <v>Ils essaient de garder le ballon loin de leur adversaire, faisant des paniers au fur et à mesure.</v>
      </c>
    </row>
    <row r="27168">
      <c r="A27168" s="4" t="s">
        <v>34199</v>
      </c>
      <c r="B27168" s="4" t="s">
        <v>34200</v>
      </c>
      <c r="C27168" s="5" t="str">
        <f>IFERROR(__xludf.DUMMYFUNCTION("GOOGLETRANSLATE(B27168,""en"",""fr"")"),"Deux hommes se préparent pour un concours en faisant des ciseaux en papier rochers pour voir qui va en premier.")</f>
        <v>Deux hommes se préparent pour un concours en faisant des ciseaux en papier rochers pour voir qui va en premier.</v>
      </c>
    </row>
    <row r="27169">
      <c r="A27169" s="4" t="s">
        <v>34199</v>
      </c>
      <c r="B27169" s="4" t="s">
        <v>34201</v>
      </c>
      <c r="C27169" s="5" t="str">
        <f>IFERROR(__xludf.DUMMYFUNCTION("GOOGLETRANSLATE(B27169,""en"",""fr"")"),"Les hommes traversent les bras et ont commencé à boire les liquides pendant le concours.")</f>
        <v>Les hommes traversent les bras et ont commencé à boire les liquides pendant le concours.</v>
      </c>
    </row>
    <row r="27170">
      <c r="A27170" s="4" t="s">
        <v>34202</v>
      </c>
      <c r="B27170" s="4" t="s">
        <v>34203</v>
      </c>
      <c r="C27170" s="5" t="str">
        <f>IFERROR(__xludf.DUMMYFUNCTION("GOOGLETRANSLATE(B27170,""en"",""fr"")"),"Un gâteau au fromage Oreo est au-dessus d'une table.")</f>
        <v>Un gâteau au fromage Oreo est au-dessus d'une table.</v>
      </c>
    </row>
    <row r="27171">
      <c r="A27171" s="4" t="s">
        <v>34202</v>
      </c>
      <c r="B27171" s="6" t="s">
        <v>34204</v>
      </c>
      <c r="C27171" s="5" t="str">
        <f>IFERROR(__xludf.DUMMYFUNCTION("GOOGLETRANSLATE(B27171,""en"",""fr"")"),"Les Oreos sont dans un bol et la cuisinière les écrase et le beurre fondu et le mélange et le met dans une casserole.")</f>
        <v>Les Oreos sont dans un bol et la cuisinière les écrase et le beurre fondu et le mélange et le met dans une casserole.</v>
      </c>
    </row>
    <row r="27172">
      <c r="A27172" s="4" t="s">
        <v>34202</v>
      </c>
      <c r="B27172" s="4" t="s">
        <v>34205</v>
      </c>
      <c r="C27172" s="5" t="str">
        <f>IFERROR(__xludf.DUMMYFUNCTION("GOOGLETRANSLATE(B27172,""en"",""fr"")"),"La crème fouettée est fondu dans un bol et bat jusqu'à doubler son volume.")</f>
        <v>La crème fouettée est fondu dans un bol et bat jusqu'à doubler son volume.</v>
      </c>
    </row>
    <row r="27173">
      <c r="A27173" s="4" t="s">
        <v>34202</v>
      </c>
      <c r="B27173" s="6" t="s">
        <v>34206</v>
      </c>
      <c r="C27173" s="5" t="str">
        <f>IFERROR(__xludf.DUMMYFUNCTION("GOOGLETRANSLATE(B27173,""en"",""fr"")"),"Dans un autre bol, un fromage à la crème est mélangé avec du sucre et de la vanille et cassez des biscuits Oreo dans un bol et mélangez-le, puis déposez-le dans la poêle et complétez-le avec des biscuits Oreo.")</f>
        <v>Dans un autre bol, un fromage à la crème est mélangé avec du sucre et de la vanille et cassez des biscuits Oreo dans un bol et mélangez-le, puis déposez-le dans la poêle et complétez-le avec des biscuits Oreo.</v>
      </c>
    </row>
    <row r="27174">
      <c r="A27174" s="4" t="s">
        <v>34207</v>
      </c>
      <c r="B27174" s="6" t="s">
        <v>34208</v>
      </c>
      <c r="C27174" s="5" t="str">
        <f>IFERROR(__xludf.DUMMYFUNCTION("GOOGLETRANSLATE(B27174,""en"",""fr"")"),"Une femme est vue parler dans un microphone et mène à ses fléchettes en jetant la tête d'une personne après avoir tourné.")</f>
        <v>Une femme est vue parler dans un microphone et mène à ses fléchettes en jetant la tête d'une personne après avoir tourné.</v>
      </c>
    </row>
    <row r="27175">
      <c r="A27175" s="4" t="s">
        <v>34207</v>
      </c>
      <c r="B27175" s="4" t="s">
        <v>34209</v>
      </c>
      <c r="C27175" s="5" t="str">
        <f>IFERROR(__xludf.DUMMYFUNCTION("GOOGLETRANSLATE(B27175,""en"",""fr"")"),"La personne porte une tête de citrouille et plus de gens sont vus tenter de jeter des fléchettes.")</f>
        <v>La personne porte une tête de citrouille et plus de gens sont vus tenter de jeter des fléchettes.</v>
      </c>
    </row>
    <row r="27176">
      <c r="A27176" s="4" t="s">
        <v>34207</v>
      </c>
      <c r="B27176" s="4" t="s">
        <v>34210</v>
      </c>
      <c r="C27176" s="5" t="str">
        <f>IFERROR(__xludf.DUMMYFUNCTION("GOOGLETRANSLATE(B27176,""en"",""fr"")"),"À la fin, l'homme enlève la citrouille de sa tête.")</f>
        <v>À la fin, l'homme enlève la citrouille de sa tête.</v>
      </c>
    </row>
    <row r="27177">
      <c r="A27177" s="4" t="s">
        <v>34211</v>
      </c>
      <c r="B27177" s="4" t="s">
        <v>34212</v>
      </c>
      <c r="C27177" s="5" t="str">
        <f>IFERROR(__xludf.DUMMYFUNCTION("GOOGLETRANSLATE(B27177,""en"",""fr"")"),"Un homme est montré assis devant un arbre qui mélange des cartes lorsque quelqu'un lui tend un verre.")</f>
        <v>Un homme est montré assis devant un arbre qui mélange des cartes lorsque quelqu'un lui tend un verre.</v>
      </c>
    </row>
    <row r="27178">
      <c r="A27178" s="4" t="s">
        <v>34211</v>
      </c>
      <c r="B27178" s="4" t="s">
        <v>34213</v>
      </c>
      <c r="C27178" s="5" t="str">
        <f>IFERROR(__xludf.DUMMYFUNCTION("GOOGLETRANSLATE(B27178,""en"",""fr"")"),"Il dépose ensuite la boisson très rapidement et pointe celui qui a jeté la boisson.")</f>
        <v>Il dépose ensuite la boisson très rapidement et pointe celui qui a jeté la boisson.</v>
      </c>
    </row>
    <row r="27179">
      <c r="A27179" s="4" t="s">
        <v>34214</v>
      </c>
      <c r="B27179" s="6" t="s">
        <v>34215</v>
      </c>
      <c r="C27179" s="5" t="str">
        <f>IFERROR(__xludf.DUMMYFUNCTION("GOOGLETRANSLATE(B27179,""en"",""fr"")"),"Plusieurs images d'une boulangerie et d'un chef sont affichées, puis un petit gars animé se présente en montrant de quoi sera la vidéo.")</f>
        <v>Plusieurs images d'une boulangerie et d'un chef sont affichées, puis un petit gars animé se présente en montrant de quoi sera la vidéo.</v>
      </c>
    </row>
    <row r="27180">
      <c r="A27180" s="4" t="s">
        <v>34214</v>
      </c>
      <c r="B27180" s="4" t="s">
        <v>34216</v>
      </c>
      <c r="C27180" s="5" t="str">
        <f>IFERROR(__xludf.DUMMYFUNCTION("GOOGLETRANSLATE(B27180,""en"",""fr"")"),"Un vrai chef apparaît alors et commence à couper de petites couches de gâteaux et à les additionner.")</f>
        <v>Un vrai chef apparaît alors et commence à couper de petites couches de gâteaux et à les additionner.</v>
      </c>
    </row>
    <row r="27181">
      <c r="A27181" s="4" t="s">
        <v>34214</v>
      </c>
      <c r="B27181" s="6" t="s">
        <v>34217</v>
      </c>
      <c r="C27181" s="5" t="str">
        <f>IFERROR(__xludf.DUMMYFUNCTION("GOOGLETRANSLATE(B27181,""en"",""fr"")"),"Une fois que toutes les couches du gâteau sont découpées et glacées ensemble, le fondant est placé sur le gâteau ainsi que le glaçage et le désert est terminé.")</f>
        <v>Une fois que toutes les couches du gâteau sont découpées et glacées ensemble, le fondant est placé sur le gâteau ainsi que le glaçage et le désert est terminé.</v>
      </c>
    </row>
    <row r="27182">
      <c r="A27182" s="4" t="s">
        <v>34218</v>
      </c>
      <c r="B27182" s="6" t="s">
        <v>34219</v>
      </c>
      <c r="C27182" s="5" t="str">
        <f>IFERROR(__xludf.DUMMYFUNCTION("GOOGLETRANSLATE(B27182,""en"",""fr"")"),"Un groupe d'hommes torse nu est vu debout autour de l'extérieur d'une maison quand on attrape divers outils et les mains plus à un autre.")</f>
        <v>Un groupe d'hommes torse nu est vu debout autour de l'extérieur d'une maison quand on attrape divers outils et les mains plus à un autre.</v>
      </c>
    </row>
    <row r="27183">
      <c r="A27183" s="4" t="s">
        <v>34218</v>
      </c>
      <c r="B27183" s="6" t="s">
        <v>34220</v>
      </c>
      <c r="C27183" s="5" t="str">
        <f>IFERROR(__xludf.DUMMYFUNCTION("GOOGLETRANSLATE(B27183,""en"",""fr"")"),"Les hommes ont ensuite frappé une balle tout autour de la cour à travers les stands et se parler tout en buvant de l'eau.")</f>
        <v>Les hommes ont ensuite frappé une balle tout autour de la cour à travers les stands et se parler tout en buvant de l'eau.</v>
      </c>
    </row>
    <row r="27184">
      <c r="A27184" s="4" t="s">
        <v>34218</v>
      </c>
      <c r="B27184" s="4" t="s">
        <v>34221</v>
      </c>
      <c r="C27184" s="5" t="str">
        <f>IFERROR(__xludf.DUMMYFUNCTION("GOOGLETRANSLATE(B27184,""en"",""fr"")"),"Les hommes ont frappé le ballon plusieurs fois et continuent de se parler.")</f>
        <v>Les hommes ont frappé le ballon plusieurs fois et continuent de se parler.</v>
      </c>
    </row>
    <row r="27185">
      <c r="A27185" s="4" t="s">
        <v>34222</v>
      </c>
      <c r="B27185" s="4" t="s">
        <v>34223</v>
      </c>
      <c r="C27185" s="5" t="str">
        <f>IFERROR(__xludf.DUMMYFUNCTION("GOOGLETRANSLATE(B27185,""en"",""fr"")"),"Une jeune fille est montrée en prenant des vêtements mouillés notre seau.")</f>
        <v>Une jeune fille est montrée en prenant des vêtements mouillés notre seau.</v>
      </c>
    </row>
    <row r="27186">
      <c r="A27186" s="4" t="s">
        <v>34222</v>
      </c>
      <c r="B27186" s="4" t="s">
        <v>34224</v>
      </c>
      <c r="C27186" s="5" t="str">
        <f>IFERROR(__xludf.DUMMYFUNCTION("GOOGLETRANSLATE(B27186,""en"",""fr"")"),"Plusieurs personnes sont autour de ses vêtements et s'occupent d'eux.")</f>
        <v>Plusieurs personnes sont autour de ses vêtements et s'occupent d'eux.</v>
      </c>
    </row>
    <row r="27187">
      <c r="A27187" s="4" t="s">
        <v>34222</v>
      </c>
      <c r="B27187" s="4" t="s">
        <v>34225</v>
      </c>
      <c r="C27187" s="5" t="str">
        <f>IFERROR(__xludf.DUMMYFUNCTION("GOOGLETRANSLATE(B27187,""en"",""fr"")"),"Elle regarde la caméra et semble s'amuser.")</f>
        <v>Elle regarde la caméra et semble s'amuser.</v>
      </c>
    </row>
    <row r="27188">
      <c r="A27188" s="4" t="s">
        <v>34222</v>
      </c>
      <c r="B27188" s="4" t="s">
        <v>34226</v>
      </c>
      <c r="C27188" s="5" t="str">
        <f>IFERROR(__xludf.DUMMYFUNCTION("GOOGLETRANSLATE(B27188,""en"",""fr"")"),"Un jeune garçon saute devant la caméra et sourit.")</f>
        <v>Un jeune garçon saute devant la caméra et sourit.</v>
      </c>
    </row>
    <row r="27189">
      <c r="A27189" s="4" t="s">
        <v>34222</v>
      </c>
      <c r="B27189" s="6" t="s">
        <v>34227</v>
      </c>
      <c r="C27189" s="5" t="str">
        <f>IFERROR(__xludf.DUMMYFUNCTION("GOOGLETRANSLATE(B27189,""en"",""fr"")"),"Les petites filles continuent de rincer les vêtements dans le seau alors que le jeune garçon tourne le dos à la caméra.")</f>
        <v>Les petites filles continuent de rincer les vêtements dans le seau alors que le jeune garçon tourne le dos à la caméra.</v>
      </c>
    </row>
    <row r="27190">
      <c r="A27190" s="4" t="s">
        <v>34222</v>
      </c>
      <c r="B27190" s="4" t="s">
        <v>34228</v>
      </c>
      <c r="C27190" s="5" t="str">
        <f>IFERROR(__xludf.DUMMYFUNCTION("GOOGLETRANSLATE(B27190,""en"",""fr"")"),"La jeune fille continue son travail et est montrée très concentrée dans sa tâche.")</f>
        <v>La jeune fille continue son travail et est montrée très concentrée dans sa tâche.</v>
      </c>
    </row>
    <row r="27191">
      <c r="A27191" s="4" t="s">
        <v>34229</v>
      </c>
      <c r="B27191" s="4" t="s">
        <v>34230</v>
      </c>
      <c r="C27191" s="5" t="str">
        <f>IFERROR(__xludf.DUMMYFUNCTION("GOOGLETRANSLATE(B27191,""en"",""fr"")"),"L'eau tombe alors qu'un homme se tient sur un jet ski.")</f>
        <v>L'eau tombe alors qu'un homme se tient sur un jet ski.</v>
      </c>
    </row>
    <row r="27192">
      <c r="A27192" s="4" t="s">
        <v>34229</v>
      </c>
      <c r="B27192" s="4" t="s">
        <v>34231</v>
      </c>
      <c r="C27192" s="5" t="str">
        <f>IFERROR(__xludf.DUMMYFUNCTION("GOOGLETRANSLATE(B27192,""en"",""fr"")"),"Nous voyons l'homme en jet ski et effectuons des sauts sur un lac.")</f>
        <v>Nous voyons l'homme en jet ski et effectuons des sauts sur un lac.</v>
      </c>
    </row>
    <row r="27193">
      <c r="A27193" s="4" t="s">
        <v>34229</v>
      </c>
      <c r="B27193" s="4" t="s">
        <v>34232</v>
      </c>
      <c r="C27193" s="5" t="str">
        <f>IFERROR(__xludf.DUMMYFUNCTION("GOOGLETRANSLATE(B27193,""en"",""fr"")"),"L'homme skie avec sa main dans l'eau alors qu'il se penche.")</f>
        <v>L'homme skie avec sa main dans l'eau alors qu'il se penche.</v>
      </c>
    </row>
    <row r="27194">
      <c r="A27194" s="4" t="s">
        <v>34229</v>
      </c>
      <c r="B27194" s="4" t="s">
        <v>34233</v>
      </c>
      <c r="C27194" s="5" t="str">
        <f>IFERROR(__xludf.DUMMYFUNCTION("GOOGLETRANSLATE(B27194,""en"",""fr"")"),"Nous voyons le bateau nous passer avec le skieur en l'air.")</f>
        <v>Nous voyons le bateau nous passer avec le skieur en l'air.</v>
      </c>
    </row>
    <row r="27195">
      <c r="A27195" s="4" t="s">
        <v>34234</v>
      </c>
      <c r="B27195" s="4" t="s">
        <v>34235</v>
      </c>
      <c r="C27195" s="5" t="str">
        <f>IFERROR(__xludf.DUMMYFUNCTION("GOOGLETRANSLATE(B27195,""en"",""fr"")"),"Deux femmes et un homme marchent dans le couloir en regardant les tapis exposés.")</f>
        <v>Deux femmes et un homme marchent dans le couloir en regardant les tapis exposés.</v>
      </c>
    </row>
    <row r="27196">
      <c r="A27196" s="4" t="s">
        <v>34234</v>
      </c>
      <c r="B27196" s="6" t="s">
        <v>34236</v>
      </c>
      <c r="C27196" s="5" t="str">
        <f>IFERROR(__xludf.DUMMYFUNCTION("GOOGLETRANSLATE(B27196,""en"",""fr"")"),"Une camionnette rouge conduite par un homme est passée, puis un homme se dirigea vers la maison, puis un homme se accroche sur le sol tapissé en coupant un morceau ou un tapis brun, repasser le tapis, appuyer sur le tapis avec du métal lourd.")</f>
        <v>Une camionnette rouge conduite par un homme est passée, puis un homme se dirigea vers la maison, puis un homme se accroche sur le sol tapissé en coupant un morceau ou un tapis brun, repasser le tapis, appuyer sur le tapis avec du métal lourd.</v>
      </c>
    </row>
    <row r="27197">
      <c r="A27197" s="4" t="s">
        <v>34237</v>
      </c>
      <c r="B27197" s="6" t="s">
        <v>34238</v>
      </c>
      <c r="C27197" s="5" t="str">
        <f>IFERROR(__xludf.DUMMYFUNCTION("GOOGLETRANSLATE(B27197,""en"",""fr"")"),"Un homme et une femme grattent le gel des fenêtres d'une voiture garée, du pare-brise et des lames d'essuie-glace tandis qu'une deuxième femme leur parle du côté de la voiture dans la neige.")</f>
        <v>Un homme et une femme grattent le gel des fenêtres d'une voiture garée, du pare-brise et des lames d'essuie-glace tandis qu'une deuxième femme leur parle du côté de la voiture dans la neige.</v>
      </c>
    </row>
    <row r="27198">
      <c r="A27198" s="4" t="s">
        <v>34237</v>
      </c>
      <c r="B27198" s="6" t="s">
        <v>34239</v>
      </c>
      <c r="C27198" s="5" t="str">
        <f>IFERROR(__xludf.DUMMYFUNCTION("GOOGLETRANSLATE(B27198,""en"",""fr"")"),"Un homme dans un long manteau en laine noire gratte la glace du pare-brise d'une voiture bleue tandis qu'une femme dans un manteau à col en fourrure noire lui parle du côté de la voiture.")</f>
        <v>Un homme dans un long manteau en laine noire gratte la glace du pare-brise d'une voiture bleue tandis qu'une femme dans un manteau à col en fourrure noire lui parle du côté de la voiture.</v>
      </c>
    </row>
    <row r="27199">
      <c r="A27199" s="4" t="s">
        <v>34237</v>
      </c>
      <c r="B27199" s="6" t="s">
        <v>34240</v>
      </c>
      <c r="C27199" s="5" t="str">
        <f>IFERROR(__xludf.DUMMYFUNCTION("GOOGLETRANSLATE(B27199,""en"",""fr"")"),"Une deuxième femme commence à essuyer la neige des essuie-glaces de la voiture tout en parlant à la femme dans le manteau à capuche en fourrure.")</f>
        <v>Une deuxième femme commence à essuyer la neige des essuie-glaces de la voiture tout en parlant à la femme dans le manteau à capuche en fourrure.</v>
      </c>
    </row>
    <row r="27200">
      <c r="A27200" s="4" t="s">
        <v>34237</v>
      </c>
      <c r="B27200" s="6" t="s">
        <v>34241</v>
      </c>
      <c r="C27200" s="5" t="str">
        <f>IFERROR(__xludf.DUMMYFUNCTION("GOOGLETRANSLATE(B27200,""en"",""fr"")"),"L'homme monte sur le siège arrière de la voiture et ferme la porte derrière lui pendant que la femme dans le manteau à capuche en fourrure agite à l'autre femme qui se dirige vers la porte de la voiture côté conducteur.")</f>
        <v>L'homme monte sur le siège arrière de la voiture et ferme la porte derrière lui pendant que la femme dans le manteau à capuche en fourrure agite à l'autre femme qui se dirige vers la porte de la voiture côté conducteur.</v>
      </c>
    </row>
    <row r="27201">
      <c r="A27201" s="4" t="s">
        <v>34242</v>
      </c>
      <c r="B27201" s="4" t="s">
        <v>34243</v>
      </c>
      <c r="C27201" s="5" t="str">
        <f>IFERROR(__xludf.DUMMYFUNCTION("GOOGLETRANSLATE(B27201,""en"",""fr"")"),"Il y a quelques filles qui font de la gymnastique dans un gymnase.")</f>
        <v>Il y a quelques filles qui font de la gymnastique dans un gymnase.</v>
      </c>
    </row>
    <row r="27202">
      <c r="A27202" s="4" t="s">
        <v>34242</v>
      </c>
      <c r="B27202" s="4" t="s">
        <v>34244</v>
      </c>
      <c r="C27202" s="5" t="str">
        <f>IFERROR(__xludf.DUMMYFUNCTION("GOOGLETRANSLATE(B27202,""en"",""fr"")"),"Il y a une jeune fille portant un débardeur athlétique et un short faisant des retournements dans son arrière-cour.")</f>
        <v>Il y a une jeune fille portant un débardeur athlétique et un short faisant des retournements dans son arrière-cour.</v>
      </c>
    </row>
    <row r="27203">
      <c r="A27203" s="4" t="s">
        <v>34242</v>
      </c>
      <c r="B27203" s="4" t="s">
        <v>34245</v>
      </c>
      <c r="C27203" s="5" t="str">
        <f>IFERROR(__xludf.DUMMYFUNCTION("GOOGLETRANSLATE(B27203,""en"",""fr"")"),"Elle continue de soutenir les flips de manière rapide.")</f>
        <v>Elle continue de soutenir les flips de manière rapide.</v>
      </c>
    </row>
    <row r="27204">
      <c r="A27204" s="4" t="s">
        <v>34242</v>
      </c>
      <c r="B27204" s="4" t="s">
        <v>34246</v>
      </c>
      <c r="C27204" s="5" t="str">
        <f>IFERROR(__xludf.DUMMYFUNCTION("GOOGLETRANSLATE(B27204,""en"",""fr"")"),"Elle fait également un retour sur la plage.")</f>
        <v>Elle fait également un retour sur la plage.</v>
      </c>
    </row>
    <row r="27205">
      <c r="A27205" s="4" t="s">
        <v>34242</v>
      </c>
      <c r="B27205" s="4" t="s">
        <v>34247</v>
      </c>
      <c r="C27205" s="5" t="str">
        <f>IFERROR(__xludf.DUMMYFUNCTION("GOOGLETRANSLATE(B27205,""en"",""fr"")"),"Ensuite, elle fait d'autres flips de dos dans son arrière-cour et dans un parc.")</f>
        <v>Ensuite, elle fait d'autres flips de dos dans son arrière-cour et dans un parc.</v>
      </c>
    </row>
    <row r="27206">
      <c r="A27206" s="4" t="s">
        <v>34242</v>
      </c>
      <c r="B27206" s="4" t="s">
        <v>34248</v>
      </c>
      <c r="C27206" s="5" t="str">
        <f>IFERROR(__xludf.DUMMYFUNCTION("GOOGLETRANSLATE(B27206,""en"",""fr"")"),"La fille étire alors sa jambe vers l'arrière de sa tête pour faire ses orteils toucher sa tête.")</f>
        <v>La fille étire alors sa jambe vers l'arrière de sa tête pour faire ses orteils toucher sa tête.</v>
      </c>
    </row>
    <row r="27207">
      <c r="A27207" s="4" t="s">
        <v>34242</v>
      </c>
      <c r="B27207" s="6" t="s">
        <v>34249</v>
      </c>
      <c r="C27207" s="5" t="str">
        <f>IFERROR(__xludf.DUMMYFUNCTION("GOOGLETRANSLATE(B27207,""en"",""fr"")"),"Plusieurs photos de la fille sont montrées où elle a participé en tant que pom-pom girl et dans de nombreux événements de gymnastique.")</f>
        <v>Plusieurs photos de la fille sont montrées où elle a participé en tant que pom-pom girl et dans de nombreux événements de gymnastique.</v>
      </c>
    </row>
    <row r="27208">
      <c r="A27208" s="4" t="s">
        <v>34250</v>
      </c>
      <c r="B27208" s="4" t="s">
        <v>34251</v>
      </c>
      <c r="C27208" s="5" t="str">
        <f>IFERROR(__xludf.DUMMYFUNCTION("GOOGLETRANSLATE(B27208,""en"",""fr"")"),"Une femme est vue en parlant à la caméra pendant que des photos de maisons sont montrées.")</f>
        <v>Une femme est vue en parlant à la caméra pendant que des photos de maisons sont montrées.</v>
      </c>
    </row>
    <row r="27209">
      <c r="A27209" s="4" t="s">
        <v>34250</v>
      </c>
      <c r="B27209" s="4" t="s">
        <v>34252</v>
      </c>
      <c r="C27209" s="5" t="str">
        <f>IFERROR(__xludf.DUMMYFUNCTION("GOOGLETRANSLATE(B27209,""en"",""fr"")"),"On voit alors des chiens de toilettage et de retenir des prix.")</f>
        <v>On voit alors des chiens de toilettage et de retenir des prix.</v>
      </c>
    </row>
    <row r="27210">
      <c r="A27210" s="4" t="s">
        <v>34250</v>
      </c>
      <c r="B27210" s="4" t="s">
        <v>34253</v>
      </c>
      <c r="C27210" s="5" t="str">
        <f>IFERROR(__xludf.DUMMYFUNCTION("GOOGLETRANSLATE(B27210,""en"",""fr"")"),"La femme continue de parler à la caméra tandis que les chiens continuent d'être soignés derrière elle.")</f>
        <v>La femme continue de parler à la caméra tandis que les chiens continuent d'être soignés derrière elle.</v>
      </c>
    </row>
    <row r="27211">
      <c r="A27211" s="4" t="s">
        <v>34254</v>
      </c>
      <c r="B27211" s="6" t="s">
        <v>34255</v>
      </c>
      <c r="C27211" s="5" t="str">
        <f>IFERROR(__xludf.DUMMYFUNCTION("GOOGLETRANSLATE(B27211,""en"",""fr"")"),"Un homme parlant vêtu d'un équipement athlétique se tient sur un champ très vert et les mots en bas à gauche disent que son nom est Neil Macmillan et son titre est entraîneur-chef.")</f>
        <v>Un homme parlant vêtu d'un équipement athlétique se tient sur un champ très vert et les mots en bas à gauche disent que son nom est Neil Macmillan et son titre est entraîneur-chef.</v>
      </c>
    </row>
    <row r="27212">
      <c r="A27212" s="4" t="s">
        <v>34254</v>
      </c>
      <c r="B27212" s="6" t="s">
        <v>34256</v>
      </c>
      <c r="C27212" s="5" t="str">
        <f>IFERROR(__xludf.DUMMYFUNCTION("GOOGLETRANSLATE(B27212,""en"",""fr"")"),"Un grand groupe de filles vêtues d'équipements athlétiques est montrée en jouant au hockey terrestre, et les gens qui ne jouent pas sont habillés par temps froid.")</f>
        <v>Un grand groupe de filles vêtues d'équipements athlétiques est montrée en jouant au hockey terrestre, et les gens qui ne jouent pas sont habillés par temps froid.</v>
      </c>
    </row>
    <row r="27213">
      <c r="A27213" s="4" t="s">
        <v>34254</v>
      </c>
      <c r="B27213" s="6" t="s">
        <v>34257</v>
      </c>
      <c r="C27213" s="5" t="str">
        <f>IFERROR(__xludf.DUMMYFUNCTION("GOOGLETRANSLATE(B27213,""en"",""fr"")"),"Des clips de l'homme continuent de jouer et de tourner en montrant l'homme et les filles jouant au hockey terrestre jusqu'à ce qu'elles aient fini de jouer.")</f>
        <v>Des clips de l'homme continuent de jouer et de tourner en montrant l'homme et les filles jouant au hockey terrestre jusqu'à ce qu'elles aient fini de jouer.</v>
      </c>
    </row>
    <row r="27214">
      <c r="A27214" s="4" t="s">
        <v>34258</v>
      </c>
      <c r="B27214" s="4" t="s">
        <v>34259</v>
      </c>
      <c r="C27214" s="5" t="str">
        <f>IFERROR(__xludf.DUMMYFUNCTION("GOOGLETRANSLATE(B27214,""en"",""fr"")"),"Un garçon se soulève sur un morceau de métal étincelant.")</f>
        <v>Un garçon se soulève sur un morceau de métal étincelant.</v>
      </c>
    </row>
    <row r="27215">
      <c r="A27215" s="4" t="s">
        <v>34258</v>
      </c>
      <c r="B27215" s="4" t="s">
        <v>34260</v>
      </c>
      <c r="C27215" s="5" t="str">
        <f>IFERROR(__xludf.DUMMYFUNCTION("GOOGLETRANSLATE(B27215,""en"",""fr"")"),"Ensuite, le garçon élève son casque et les pourparlers.")</f>
        <v>Ensuite, le garçon élève son casque et les pourparlers.</v>
      </c>
    </row>
    <row r="27216">
      <c r="A27216" s="4" t="s">
        <v>34261</v>
      </c>
      <c r="B27216" s="4" t="s">
        <v>34262</v>
      </c>
      <c r="C27216" s="5" t="str">
        <f>IFERROR(__xludf.DUMMYFUNCTION("GOOGLETRANSLATE(B27216,""en"",""fr"")"),"Une femme ouvre la bouche et sourit à la caméra.")</f>
        <v>Une femme ouvre la bouche et sourit à la caméra.</v>
      </c>
    </row>
    <row r="27217">
      <c r="A27217" s="4" t="s">
        <v>34261</v>
      </c>
      <c r="B27217" s="4" t="s">
        <v>34263</v>
      </c>
      <c r="C27217" s="5" t="str">
        <f>IFERROR(__xludf.DUMMYFUNCTION("GOOGLETRANSLATE(B27217,""en"",""fr"")"),"Les gens passent, la navigation d'eau.")</f>
        <v>Les gens passent, la navigation d'eau.</v>
      </c>
    </row>
    <row r="27218">
      <c r="A27218" s="4" t="s">
        <v>34261</v>
      </c>
      <c r="B27218" s="4" t="s">
        <v>34264</v>
      </c>
      <c r="C27218" s="5" t="str">
        <f>IFERROR(__xludf.DUMMYFUNCTION("GOOGLETRANSLATE(B27218,""en"",""fr"")"),"Ils tournent et tournent dans l'eau pendant qu'ils naviguent.")</f>
        <v>Ils tournent et tournent dans l'eau pendant qu'ils naviguent.</v>
      </c>
    </row>
    <row r="27219">
      <c r="A27219" s="4" t="s">
        <v>34265</v>
      </c>
      <c r="B27219" s="4" t="s">
        <v>34266</v>
      </c>
      <c r="C27219" s="5" t="str">
        <f>IFERROR(__xludf.DUMMYFUNCTION("GOOGLETRANSLATE(B27219,""en"",""fr"")"),"Un homme fermant la porte de sa maison puis ouvrant la porte de sa voiture.")</f>
        <v>Un homme fermant la porte de sa maison puis ouvrant la porte de sa voiture.</v>
      </c>
    </row>
    <row r="27220">
      <c r="A27220" s="4" t="s">
        <v>34265</v>
      </c>
      <c r="B27220" s="6" t="s">
        <v>34267</v>
      </c>
      <c r="C27220" s="5" t="str">
        <f>IFERROR(__xludf.DUMMYFUNCTION("GOOGLETRANSLATE(B27220,""en"",""fr"")"),"Il monte dans la voiture et met les clés dans l'allumage et commence à descendre l'autoroute jusqu'à sa boutique.")</f>
        <v>Il monte dans la voiture et met les clés dans l'allumage et commence à descendre l'autoroute jusqu'à sa boutique.</v>
      </c>
    </row>
    <row r="27221">
      <c r="A27221" s="4" t="s">
        <v>34265</v>
      </c>
      <c r="B27221" s="4" t="s">
        <v>34268</v>
      </c>
      <c r="C27221" s="5" t="str">
        <f>IFERROR(__xludf.DUMMYFUNCTION("GOOGLETRANSLATE(B27221,""en"",""fr"")"),"Il obtient des planches et commence à les poncer les lissant.")</f>
        <v>Il obtient des planches et commence à les poncer les lissant.</v>
      </c>
    </row>
    <row r="27222">
      <c r="A27222" s="4" t="s">
        <v>34265</v>
      </c>
      <c r="B27222" s="4" t="s">
        <v>34269</v>
      </c>
      <c r="C27222" s="5" t="str">
        <f>IFERROR(__xludf.DUMMYFUNCTION("GOOGLETRANSLATE(B27222,""en"",""fr"")"),"Lorsque la journée est terminée, il éteint les lumières et se prépare pour le travail.")</f>
        <v>Lorsque la journée est terminée, il éteint les lumières et se prépare pour le travail.</v>
      </c>
    </row>
    <row r="27223">
      <c r="A27223" s="4" t="s">
        <v>34270</v>
      </c>
      <c r="B27223" s="6" t="s">
        <v>34271</v>
      </c>
      <c r="C27223" s="5" t="str">
        <f>IFERROR(__xludf.DUMMYFUNCTION("GOOGLETRANSLATE(B27223,""en"",""fr"")"),"Un homme se tient sur la glace en tenant une canne à pêche dans sa main droite et il y a un très petit trou dans la glace devant lui et il laisse tomber son crochet dans le trou et tire sur son poteau.")</f>
        <v>Un homme se tient sur la glace en tenant une canne à pêche dans sa main droite et il y a un très petit trou dans la glace devant lui et il laisse tomber son crochet dans le trou et tire sur son poteau.</v>
      </c>
    </row>
    <row r="27224">
      <c r="A27224" s="4" t="s">
        <v>34270</v>
      </c>
      <c r="B27224" s="6" t="s">
        <v>34272</v>
      </c>
      <c r="C27224" s="5" t="str">
        <f>IFERROR(__xludf.DUMMYFUNCTION("GOOGLETRANSLATE(B27224,""en"",""fr"")"),"L'homme tire ensuite le fil de pêche plusieurs fois et se tient là pour tenir sa canne à pêche, la déplacer et la serrer de temps en temps.")</f>
        <v>L'homme tire ensuite le fil de pêche plusieurs fois et se tient là pour tenir sa canne à pêche, la déplacer et la serrer de temps en temps.</v>
      </c>
    </row>
    <row r="27225">
      <c r="A27225" s="4" t="s">
        <v>34270</v>
      </c>
      <c r="B27225" s="6" t="s">
        <v>34273</v>
      </c>
      <c r="C27225" s="5" t="str">
        <f>IFERROR(__xludf.DUMMYFUNCTION("GOOGLETRANSLATE(B27225,""en"",""fr"")"),"L'extrémité du poteau commence à se plier et l'homme commence à tirer le poteau et à l'enrouler et il sort un poisson du trou et il atterrit sur la glace.")</f>
        <v>L'extrémité du poteau commence à se plier et l'homme commence à tirer le poteau et à l'enrouler et il sort un poisson du trou et il atterrit sur la glace.</v>
      </c>
    </row>
    <row r="27226">
      <c r="A27226" s="4" t="s">
        <v>34270</v>
      </c>
      <c r="B27226" s="6" t="s">
        <v>34274</v>
      </c>
      <c r="C27226" s="5" t="str">
        <f>IFERROR(__xludf.DUMMYFUNCTION("GOOGLETRANSLATE(B27226,""en"",""fr"")"),"L'homme attrape le poisson de la glace et le remet tout de suite dans le trou dont il vient de le retirer alors qu'il est toujours attaché au crochet et à son fil.")</f>
        <v>L'homme attrape le poisson de la glace et le remet tout de suite dans le trou dont il vient de le retirer alors qu'il est toujours attaché au crochet et à son fil.</v>
      </c>
    </row>
    <row r="27227">
      <c r="A27227" s="4" t="s">
        <v>34270</v>
      </c>
      <c r="B27227" s="6" t="s">
        <v>34275</v>
      </c>
      <c r="C27227" s="5" t="str">
        <f>IFERROR(__xludf.DUMMYFUNCTION("GOOGLETRANSLATE(B27227,""en"",""fr"")"),"L'homme commence alors à tirer sur le fil de pêche, tire son poteau vers le haut et vers le bas plusieurs fois, puis ajuste la caméra.")</f>
        <v>L'homme commence alors à tirer sur le fil de pêche, tire son poteau vers le haut et vers le bas plusieurs fois, puis ajuste la caméra.</v>
      </c>
    </row>
    <row r="27228">
      <c r="A27228" s="4" t="s">
        <v>34276</v>
      </c>
      <c r="B27228" s="4" t="s">
        <v>34277</v>
      </c>
      <c r="C27228" s="5" t="str">
        <f>IFERROR(__xludf.DUMMYFUNCTION("GOOGLETRANSLATE(B27228,""en"",""fr"")"),"L'écran de carreaux apparaît avec quelques noms.")</f>
        <v>L'écran de carreaux apparaît avec quelques noms.</v>
      </c>
    </row>
    <row r="27229">
      <c r="A27229" s="4" t="s">
        <v>34276</v>
      </c>
      <c r="B27229" s="4" t="s">
        <v>34278</v>
      </c>
      <c r="C27229" s="5" t="str">
        <f>IFERROR(__xludf.DUMMYFUNCTION("GOOGLETRANSLATE(B27229,""en"",""fr"")"),"Un homme commence à lancer un tir à plusieurs reprises alors que les noms font défiler en bas.")</f>
        <v>Un homme commence à lancer un tir à plusieurs reprises alors que les noms font défiler en bas.</v>
      </c>
    </row>
    <row r="27230">
      <c r="A27230" s="4" t="s">
        <v>34276</v>
      </c>
      <c r="B27230" s="4" t="s">
        <v>34279</v>
      </c>
      <c r="C27230" s="5" t="str">
        <f>IFERROR(__xludf.DUMMYFUNCTION("GOOGLETRANSLATE(B27230,""en"",""fr"")"),"Un groupe peut être vu derrière le regarder.")</f>
        <v>Un groupe peut être vu derrière le regarder.</v>
      </c>
    </row>
    <row r="27231">
      <c r="A27231" s="4" t="s">
        <v>34276</v>
      </c>
      <c r="B27231" s="4" t="s">
        <v>34280</v>
      </c>
      <c r="C27231" s="5" t="str">
        <f>IFERROR(__xludf.DUMMYFUNCTION("GOOGLETRANSLATE(B27231,""en"",""fr"")"),"Un homme est derrière le dernier jeté.")</f>
        <v>Un homme est derrière le dernier jeté.</v>
      </c>
    </row>
    <row r="27232">
      <c r="A27232" s="4" t="s">
        <v>34281</v>
      </c>
      <c r="B27232" s="4" t="s">
        <v>34282</v>
      </c>
      <c r="C27232" s="5" t="str">
        <f>IFERROR(__xludf.DUMMYFUNCTION("GOOGLETRANSLATE(B27232,""en"",""fr"")"),"Les mots apparaissent à l'écran avant qu'il ne devienne noir.")</f>
        <v>Les mots apparaissent à l'écran avant qu'il ne devienne noir.</v>
      </c>
    </row>
    <row r="27233">
      <c r="A27233" s="4" t="s">
        <v>34281</v>
      </c>
      <c r="B27233" s="4" t="s">
        <v>34283</v>
      </c>
      <c r="C27233" s="5" t="str">
        <f>IFERROR(__xludf.DUMMYFUNCTION("GOOGLETRANSLATE(B27233,""en"",""fr"")"),"Un homme apparaît, en utilisant des raclettes pour laver une fenêtre devant lui pendant qu'il parle.")</f>
        <v>Un homme apparaît, en utilisant des raclettes pour laver une fenêtre devant lui pendant qu'il parle.</v>
      </c>
    </row>
    <row r="27234">
      <c r="A27234" s="4" t="s">
        <v>34281</v>
      </c>
      <c r="B27234" s="4" t="s">
        <v>34284</v>
      </c>
      <c r="C27234" s="5" t="str">
        <f>IFERROR(__xludf.DUMMYFUNCTION("GOOGLETRANSLATE(B27234,""en"",""fr"")"),"Il applique généreusement du savon avant de le glisser avec le râteau.")</f>
        <v>Il applique généreusement du savon avant de le glisser avec le râteau.</v>
      </c>
    </row>
    <row r="27235">
      <c r="A27235" s="4" t="s">
        <v>34281</v>
      </c>
      <c r="B27235" s="4" t="s">
        <v>34285</v>
      </c>
      <c r="C27235" s="5" t="str">
        <f>IFERROR(__xludf.DUMMYFUNCTION("GOOGLETRANSLATE(B27235,""en"",""fr"")"),"Il cesse de nettoyer la fenêtre et dit quelques mots de clôture.")</f>
        <v>Il cesse de nettoyer la fenêtre et dit quelques mots de clôture.</v>
      </c>
    </row>
    <row r="27236">
      <c r="A27236" s="4" t="s">
        <v>34286</v>
      </c>
      <c r="B27236" s="4" t="s">
        <v>34287</v>
      </c>
      <c r="C27236" s="5" t="str">
        <f>IFERROR(__xludf.DUMMYFUNCTION("GOOGLETRANSLATE(B27236,""en"",""fr"")"),"Un athlète se dirige vers une poutre.")</f>
        <v>Un athlète se dirige vers une poutre.</v>
      </c>
    </row>
    <row r="27237">
      <c r="A27237" s="4" t="s">
        <v>34286</v>
      </c>
      <c r="B27237" s="6" t="s">
        <v>34288</v>
      </c>
      <c r="C27237" s="5" t="str">
        <f>IFERROR(__xludf.DUMMYFUNCTION("GOOGLETRANSLATE(B27237,""en"",""fr"")"),"Il monte rapidement, tournant et se retournant et sautant plusieurs fois entre les deux barres.")</f>
        <v>Il monte rapidement, tournant et se retournant et sautant plusieurs fois entre les deux barres.</v>
      </c>
    </row>
    <row r="27238">
      <c r="A27238" s="4" t="s">
        <v>34286</v>
      </c>
      <c r="B27238" s="4" t="s">
        <v>34289</v>
      </c>
      <c r="C27238" s="5" t="str">
        <f>IFERROR(__xludf.DUMMYFUNCTION("GOOGLETRANSLATE(B27238,""en"",""fr"")"),"Il démonte finalement, jetant ses bras en l'air avant de s'éloigner.")</f>
        <v>Il démonte finalement, jetant ses bras en l'air avant de s'éloigner.</v>
      </c>
    </row>
    <row r="27239">
      <c r="A27239" s="4" t="s">
        <v>34290</v>
      </c>
      <c r="B27239" s="4" t="s">
        <v>34291</v>
      </c>
      <c r="C27239" s="5" t="str">
        <f>IFERROR(__xludf.DUMMYFUNCTION("GOOGLETRANSLATE(B27239,""en"",""fr"")"),"Un homme fait des tatouages ​​sur la tête arrière et le cou d'une personne.")</f>
        <v>Un homme fait des tatouages ​​sur la tête arrière et le cou d'une personne.</v>
      </c>
    </row>
    <row r="27240">
      <c r="A27240" s="4" t="s">
        <v>34290</v>
      </c>
      <c r="B27240" s="4" t="s">
        <v>34292</v>
      </c>
      <c r="C27240" s="5" t="str">
        <f>IFERROR(__xludf.DUMMYFUNCTION("GOOGLETRANSLATE(B27240,""en"",""fr"")"),"Ensuite, l'homme nettoie la tête et le cou avec un tissu blanc.")</f>
        <v>Ensuite, l'homme nettoie la tête et le cou avec un tissu blanc.</v>
      </c>
    </row>
    <row r="27241">
      <c r="A27241" s="4" t="s">
        <v>34290</v>
      </c>
      <c r="B27241" s="4" t="s">
        <v>34293</v>
      </c>
      <c r="C27241" s="5" t="str">
        <f>IFERROR(__xludf.DUMMYFUNCTION("GOOGLETRANSLATE(B27241,""en"",""fr"")"),"Après, l'homme continue de faire le tatouage sur le côté de la tête tout en nettoyant la peinture.")</f>
        <v>Après, l'homme continue de faire le tatouage sur le côté de la tête tout en nettoyant la peinture.</v>
      </c>
    </row>
    <row r="27242">
      <c r="A27242" s="4" t="s">
        <v>34294</v>
      </c>
      <c r="B27242" s="4" t="s">
        <v>34295</v>
      </c>
      <c r="C27242" s="5" t="str">
        <f>IFERROR(__xludf.DUMMYFUNCTION("GOOGLETRANSLATE(B27242,""en"",""fr"")"),"Une femme dans un justaucorps noir parle sur une scène.")</f>
        <v>Une femme dans un justaucorps noir parle sur une scène.</v>
      </c>
    </row>
    <row r="27243">
      <c r="A27243" s="4" t="s">
        <v>34294</v>
      </c>
      <c r="B27243" s="4" t="s">
        <v>34296</v>
      </c>
      <c r="C27243" s="5" t="str">
        <f>IFERROR(__xludf.DUMMYFUNCTION("GOOGLETRANSLATE(B27243,""en"",""fr"")"),"Elle commence à danser pour la caméra.")</f>
        <v>Elle commence à danser pour la caméra.</v>
      </c>
    </row>
    <row r="27244">
      <c r="A27244" s="4" t="s">
        <v>34294</v>
      </c>
      <c r="B27244" s="4" t="s">
        <v>34297</v>
      </c>
      <c r="C27244" s="5" t="str">
        <f>IFERROR(__xludf.DUMMYFUNCTION("GOOGLETRANSLATE(B27244,""en"",""fr"")"),"Elle montre plusieurs mouvements de danse comme elle les fait.")</f>
        <v>Elle montre plusieurs mouvements de danse comme elle les fait.</v>
      </c>
    </row>
    <row r="27245">
      <c r="A27245" s="4" t="s">
        <v>34298</v>
      </c>
      <c r="B27245" s="4" t="s">
        <v>34299</v>
      </c>
      <c r="C27245" s="5" t="str">
        <f>IFERROR(__xludf.DUMMYFUNCTION("GOOGLETRANSLATE(B27245,""en"",""fr"")"),"Deux personnes jouent à un jeu de crosse.")</f>
        <v>Deux personnes jouent à un jeu de crosse.</v>
      </c>
    </row>
    <row r="27246">
      <c r="A27246" s="4" t="s">
        <v>34298</v>
      </c>
      <c r="B27246" s="4" t="s">
        <v>34300</v>
      </c>
      <c r="C27246" s="5" t="str">
        <f>IFERROR(__xludf.DUMMYFUNCTION("GOOGLETRANSLATE(B27246,""en"",""fr"")"),"Ils tirent sur le but et font valoir le point.")</f>
        <v>Ils tirent sur le but et font valoir le point.</v>
      </c>
    </row>
    <row r="27247">
      <c r="A27247" s="4" t="s">
        <v>34301</v>
      </c>
      <c r="B27247" s="4" t="s">
        <v>34302</v>
      </c>
      <c r="C27247" s="5" t="str">
        <f>IFERROR(__xludf.DUMMYFUNCTION("GOOGLETRANSLATE(B27247,""en"",""fr"")"),"Une petite fille dans une pièce debout devant quelques chaises frappe une Dora Pinata.")</f>
        <v>Une petite fille dans une pièce debout devant quelques chaises frappe une Dora Pinata.</v>
      </c>
    </row>
    <row r="27248">
      <c r="A27248" s="4" t="s">
        <v>34301</v>
      </c>
      <c r="B27248" s="4" t="s">
        <v>34303</v>
      </c>
      <c r="C27248" s="5" t="str">
        <f>IFERROR(__xludf.DUMMYFUNCTION("GOOGLETRANSLATE(B27248,""en"",""fr"")"),"Elle le frappe plusieurs fois, puis c'est au tour de quelqu'un d'autre.")</f>
        <v>Elle le frappe plusieurs fois, puis c'est au tour de quelqu'un d'autre.</v>
      </c>
    </row>
    <row r="27249">
      <c r="A27249" s="4" t="s">
        <v>34301</v>
      </c>
      <c r="B27249" s="6" t="s">
        <v>34304</v>
      </c>
      <c r="C27249" s="5" t="str">
        <f>IFERROR(__xludf.DUMMYFUNCTION("GOOGLETRANSLATE(B27249,""en"",""fr"")"),"Une fille plus âgée le frappe si fort qu'elle ne se casse pas, mais toute la pinata tombe et les adultes doivent le remettre.")</f>
        <v>Une fille plus âgée le frappe si fort qu'elle ne se casse pas, mais toute la pinata tombe et les adultes doivent le remettre.</v>
      </c>
    </row>
    <row r="27250">
      <c r="A27250" s="4" t="s">
        <v>34301</v>
      </c>
      <c r="B27250" s="6" t="s">
        <v>34305</v>
      </c>
      <c r="C27250" s="5" t="str">
        <f>IFERROR(__xludf.DUMMYFUNCTION("GOOGLETRANSLATE(B27250,""en"",""fr"")"),"Après que tout le monde ait pris son tun, la petite fille redevient, lorsque le frappe ne fonctionne pas, ils attrapent tous un morceau de ficelle et le tirent.")</f>
        <v>Après que tout le monde ait pris son tun, la petite fille redevient, lorsque le frappe ne fonctionne pas, ils attrapent tous un morceau de ficelle et le tirent.</v>
      </c>
    </row>
    <row r="27251">
      <c r="A27251" s="4" t="s">
        <v>34306</v>
      </c>
      <c r="B27251" s="4" t="s">
        <v>34307</v>
      </c>
      <c r="C27251" s="5" t="str">
        <f>IFERROR(__xludf.DUMMYFUNCTION("GOOGLETRANSLATE(B27251,""en"",""fr"")"),"Les gens se trouvent dans un tribunal qui s'étend et fait de l'exercice, sautant la corde et l'haltérophilie.")</f>
        <v>Les gens se trouvent dans un tribunal qui s'étend et fait de l'exercice, sautant la corde et l'haltérophilie.</v>
      </c>
    </row>
    <row r="27252">
      <c r="A27252" s="4" t="s">
        <v>34306</v>
      </c>
      <c r="B27252" s="6" t="s">
        <v>34308</v>
      </c>
      <c r="C27252" s="5" t="str">
        <f>IFERROR(__xludf.DUMMYFUNCTION("GOOGLETRANSLATE(B27252,""en"",""fr"")"),"L'homme parle à la caméra et aux gens qui pratiquaient la capoeira, faisant des suicides et l'haltérophilie se forment.")</f>
        <v>L'homme parle à la caméra et aux gens qui pratiquaient la capoeira, faisant des suicides et l'haltérophilie se forment.</v>
      </c>
    </row>
    <row r="27253">
      <c r="A27253" s="4" t="s">
        <v>34309</v>
      </c>
      <c r="B27253" s="4" t="s">
        <v>34310</v>
      </c>
      <c r="C27253" s="5" t="str">
        <f>IFERROR(__xludf.DUMMYFUNCTION("GOOGLETRANSLATE(B27253,""en"",""fr"")"),"Un homme et une ancre pour femme parlent derrière un bureau et plusieurs téléviseurs.")</f>
        <v>Un homme et une ancre pour femme parlent derrière un bureau et plusieurs téléviseurs.</v>
      </c>
    </row>
    <row r="27254">
      <c r="A27254" s="4" t="s">
        <v>34309</v>
      </c>
      <c r="B27254" s="4" t="s">
        <v>34311</v>
      </c>
      <c r="C27254" s="5" t="str">
        <f>IFERROR(__xludf.DUMMYFUNCTION("GOOGLETRANSLATE(B27254,""en"",""fr"")"),"La femme est ensuite montrée seule et elle commence à parler.")</f>
        <v>La femme est ensuite montrée seule et elle commence à parler.</v>
      </c>
    </row>
    <row r="27255">
      <c r="A27255" s="4" t="s">
        <v>34309</v>
      </c>
      <c r="B27255" s="6" t="s">
        <v>34312</v>
      </c>
      <c r="C27255" s="5" t="str">
        <f>IFERROR(__xludf.DUMMYFUNCTION("GOOGLETRANSLATE(B27255,""en"",""fr"")"),"Une patinoire apparaît alors et une femme commence à entraîner un homme sur des techniques spécifiques pour un match.")</f>
        <v>Une patinoire apparaît alors et une femme commence à entraîner un homme sur des techniques spécifiques pour un match.</v>
      </c>
    </row>
    <row r="27256">
      <c r="A27256" s="4" t="s">
        <v>34309</v>
      </c>
      <c r="B27256" s="4" t="s">
        <v>34313</v>
      </c>
      <c r="C27256" s="5" t="str">
        <f>IFERROR(__xludf.DUMMYFUNCTION("GOOGLETRANSLATE(B27256,""en"",""fr"")"),"Elle a une brève interview et continue d'entraîner les gens sur le curling.")</f>
        <v>Elle a une brève interview et continue d'entraîner les gens sur le curling.</v>
      </c>
    </row>
    <row r="27257">
      <c r="A27257" s="4" t="s">
        <v>34309</v>
      </c>
      <c r="B27257" s="6" t="s">
        <v>34314</v>
      </c>
      <c r="C27257" s="5" t="str">
        <f>IFERROR(__xludf.DUMMYFUNCTION("GOOGLETRANSLATE(B27257,""en"",""fr"")"),"Plus de gens sont dans le gymnase et ils continuent de curler et plus d'instructeurs commencent à avoir des entretiens.")</f>
        <v>Plus de gens sont dans le gymnase et ils continuent de curler et plus d'instructeurs commencent à avoir des entretiens.</v>
      </c>
    </row>
    <row r="27258">
      <c r="A27258" s="4" t="s">
        <v>34309</v>
      </c>
      <c r="B27258" s="4" t="s">
        <v>34315</v>
      </c>
      <c r="C27258" s="5" t="str">
        <f>IFERROR(__xludf.DUMMYFUNCTION("GOOGLETRANSLATE(B27258,""en"",""fr"")"),"Les clips sont indiqués à partir d'un véritable jeu de curling et les gens commencent à attendre contre le mur.")</f>
        <v>Les clips sont indiqués à partir d'un véritable jeu de curling et les gens commencent à attendre contre le mur.</v>
      </c>
    </row>
    <row r="27259">
      <c r="A27259" s="4" t="s">
        <v>34316</v>
      </c>
      <c r="B27259" s="4" t="s">
        <v>34317</v>
      </c>
      <c r="C27259" s="5" t="str">
        <f>IFERROR(__xludf.DUMMYFUNCTION("GOOGLETRANSLATE(B27259,""en"",""fr"")"),"Il y a un champ avec un cerf-volant qui y est allongé.")</f>
        <v>Il y a un champ avec un cerf-volant qui y est allongé.</v>
      </c>
    </row>
    <row r="27260">
      <c r="A27260" s="4" t="s">
        <v>34316</v>
      </c>
      <c r="B27260" s="4" t="s">
        <v>34318</v>
      </c>
      <c r="C27260" s="5" t="str">
        <f>IFERROR(__xludf.DUMMYFUNCTION("GOOGLETRANSLATE(B27260,""en"",""fr"")"),"Un homme se prépare à piloter le cerf-volant.")</f>
        <v>Un homme se prépare à piloter le cerf-volant.</v>
      </c>
    </row>
    <row r="27261">
      <c r="A27261" s="4" t="s">
        <v>34316</v>
      </c>
      <c r="B27261" s="4" t="s">
        <v>34319</v>
      </c>
      <c r="C27261" s="5" t="str">
        <f>IFERROR(__xludf.DUMMYFUNCTION("GOOGLETRANSLATE(B27261,""en"",""fr"")"),"Le cerf-volant est en l'air et monte en flèche.")</f>
        <v>Le cerf-volant est en l'air et monte en flèche.</v>
      </c>
    </row>
    <row r="27262">
      <c r="A27262" s="4" t="s">
        <v>34320</v>
      </c>
      <c r="B27262" s="6" t="s">
        <v>34321</v>
      </c>
      <c r="C27262" s="5" t="str">
        <f>IFERROR(__xludf.DUMMYFUNCTION("GOOGLETRANSLATE(B27262,""en"",""fr"")"),"Un homme portant de très grandes lunettes parle dans un microphone noir tandis que les gens derrière lui dansent jusqu'à ce qu'il pointe dans leur direction et qu'ils se dispersent tous de la piste de danse.")</f>
        <v>Un homme portant de très grandes lunettes parle dans un microphone noir tandis que les gens derrière lui dansent jusqu'à ce qu'il pointe dans leur direction et qu'ils se dispersent tous de la piste de danse.</v>
      </c>
    </row>
    <row r="27263">
      <c r="A27263" s="4" t="s">
        <v>34320</v>
      </c>
      <c r="B27263" s="6" t="s">
        <v>34322</v>
      </c>
      <c r="C27263" s="5" t="str">
        <f>IFERROR(__xludf.DUMMYFUNCTION("GOOGLETRANSLATE(B27263,""en"",""fr"")"),"Les hommes sont vêtus de costumes rouges et chacun se relâche dans la danse seul car des mots à l'écran nomment peut-être le danseur.")</f>
        <v>Les hommes sont vêtus de costumes rouges et chacun se relâche dans la danse seul car des mots à l'écran nomment peut-être le danseur.</v>
      </c>
    </row>
    <row r="27264">
      <c r="A27264" s="4" t="s">
        <v>34320</v>
      </c>
      <c r="B27264" s="6" t="s">
        <v>34323</v>
      </c>
      <c r="C27264" s="5" t="str">
        <f>IFERROR(__xludf.DUMMYFUNCTION("GOOGLETRANSLATE(B27264,""en"",""fr"")"),"Lorsque le dernier homme danse, ils s'arrêtent tous et frappent une pose et DJ qui joue tout ce temps continue de jouer de la musique à sa station de DJ.")</f>
        <v>Lorsque le dernier homme danse, ils s'arrêtent tous et frappent une pose et DJ qui joue tout ce temps continue de jouer de la musique à sa station de DJ.</v>
      </c>
    </row>
    <row r="27265">
      <c r="A27265" s="4" t="s">
        <v>34324</v>
      </c>
      <c r="B27265" s="4" t="s">
        <v>34325</v>
      </c>
      <c r="C27265" s="5" t="str">
        <f>IFERROR(__xludf.DUMMYFUNCTION("GOOGLETRANSLATE(B27265,""en"",""fr"")"),"Une femme et un homme effectue une lutte de bras.")</f>
        <v>Une femme et un homme effectue une lutte de bras.</v>
      </c>
    </row>
    <row r="27266">
      <c r="A27266" s="4" t="s">
        <v>34324</v>
      </c>
      <c r="B27266" s="4" t="s">
        <v>34326</v>
      </c>
      <c r="C27266" s="5" t="str">
        <f>IFERROR(__xludf.DUMMYFUNCTION("GOOGLETRANSLATE(B27266,""en"",""fr"")"),"L'homme soulève sa manche de t-shirt jusqu'à l'épaule.")</f>
        <v>L'homme soulève sa manche de t-shirt jusqu'à l'épaule.</v>
      </c>
    </row>
    <row r="27267">
      <c r="A27267" s="4" t="s">
        <v>34324</v>
      </c>
      <c r="B27267" s="4" t="s">
        <v>34327</v>
      </c>
      <c r="C27267" s="5" t="str">
        <f>IFERROR(__xludf.DUMMYFUNCTION("GOOGLETRANSLATE(B27267,""en"",""fr"")"),"Un homme marche dans une pièce derrière les lutteurs.")</f>
        <v>Un homme marche dans une pièce derrière les lutteurs.</v>
      </c>
    </row>
    <row r="27268">
      <c r="A27268" s="4" t="s">
        <v>34324</v>
      </c>
      <c r="B27268" s="6" t="s">
        <v>34328</v>
      </c>
      <c r="C27268" s="5" t="str">
        <f>IFERROR(__xludf.DUMMYFUNCTION("GOOGLETRANSLATE(B27268,""en"",""fr"")"),"L'homme plie le bras de la femme, mais la femme rejette son bras et plie le bras de l'homme et gagne.")</f>
        <v>L'homme plie le bras de la femme, mais la femme rejette son bras et plie le bras de l'homme et gagne.</v>
      </c>
    </row>
    <row r="27269">
      <c r="A27269" s="4" t="s">
        <v>34329</v>
      </c>
      <c r="B27269" s="4" t="s">
        <v>34330</v>
      </c>
      <c r="C27269" s="5" t="str">
        <f>IFERROR(__xludf.DUMMYFUNCTION("GOOGLETRANSLATE(B27269,""en"",""fr"")"),"Un homme émeut les branches mortes des tiges de plante portant des fruits en hiver.")</f>
        <v>Un homme émeut les branches mortes des tiges de plante portant des fruits en hiver.</v>
      </c>
    </row>
    <row r="27270">
      <c r="A27270" s="4" t="s">
        <v>34329</v>
      </c>
      <c r="B27270" s="6" t="s">
        <v>34331</v>
      </c>
      <c r="C27270" s="5" t="str">
        <f>IFERROR(__xludf.DUMMYFUNCTION("GOOGLETRANSLATE(B27270,""en"",""fr"")"),"Un homme, dans un champ de saleté et de fruits avec des branches nues de l'hiver, commence à tailler des branches mortes des plantes fruitières avec un outil d'élagage et une hache de guerre.")</f>
        <v>Un homme, dans un champ de saleté et de fruits avec des branches nues de l'hiver, commence à tailler des branches mortes des plantes fruitières avec un outil d'élagage et une hache de guerre.</v>
      </c>
    </row>
    <row r="27271">
      <c r="A27271" s="4" t="s">
        <v>34329</v>
      </c>
      <c r="B27271" s="6" t="s">
        <v>34332</v>
      </c>
      <c r="C27271" s="5" t="str">
        <f>IFERROR(__xludf.DUMMYFUNCTION("GOOGLETRANSLATE(B27271,""en"",""fr"")"),"Une image des plantes dans des mois de fruits apparaît avant de retourner à l'homme sur le terrain en train de tailler les branches mortes.")</f>
        <v>Une image des plantes dans des mois de fruits apparaît avant de retourner à l'homme sur le terrain en train de tailler les branches mortes.</v>
      </c>
    </row>
    <row r="27272">
      <c r="A27272" s="4" t="s">
        <v>34333</v>
      </c>
      <c r="B27272" s="6" t="s">
        <v>34334</v>
      </c>
      <c r="C27272" s="5" t="str">
        <f>IFERROR(__xludf.DUMMYFUNCTION("GOOGLETRANSLATE(B27272,""en"",""fr"")"),"Une personne est montrée effectuant une plongée sur une planche tandis que quelques personnes regardent sur la touche et applaudissent.")</f>
        <v>Une personne est montrée effectuant une plongée sur une planche tandis que quelques personnes regardent sur la touche et applaudissent.</v>
      </c>
    </row>
    <row r="27273">
      <c r="A27273" s="4" t="s">
        <v>34333</v>
      </c>
      <c r="B27273" s="6" t="s">
        <v>34335</v>
      </c>
      <c r="C27273" s="5" t="str">
        <f>IFERROR(__xludf.DUMMYFUNCTION("GOOGLETRANSLATE(B27273,""en"",""fr"")"),"La personne effectue plusieurs astuces supplémentaires sur la plongée élevée tandis que plus de gens regardent sur les côtés.")</f>
        <v>La personne effectue plusieurs astuces supplémentaires sur la plongée élevée tandis que plus de gens regardent sur les côtés.</v>
      </c>
    </row>
    <row r="27274">
      <c r="A27274" s="4" t="s">
        <v>34336</v>
      </c>
      <c r="B27274" s="4" t="s">
        <v>34337</v>
      </c>
      <c r="C27274" s="5" t="str">
        <f>IFERROR(__xludf.DUMMYFUNCTION("GOOGLETRANSLATE(B27274,""en"",""fr"")"),"Les enfants conduisent des voitures tamponneuses dans un carnaval.")</f>
        <v>Les enfants conduisent des voitures tamponneuses dans un carnaval.</v>
      </c>
    </row>
    <row r="27275">
      <c r="A27275" s="4" t="s">
        <v>34336</v>
      </c>
      <c r="B27275" s="6" t="s">
        <v>34338</v>
      </c>
      <c r="C27275" s="5" t="str">
        <f>IFERROR(__xludf.DUMMYFUNCTION("GOOGLETRANSLATE(B27275,""en"",""fr"")"),"Une petite fille se cogne sur le mur et se coince avec d'autres voitures, puis la fille se libère et continue de rouler.")</f>
        <v>Une petite fille se cogne sur le mur et se coince avec d'autres voitures, puis la fille se libère et continue de rouler.</v>
      </c>
    </row>
    <row r="27276">
      <c r="A27276" s="4" t="s">
        <v>34336</v>
      </c>
      <c r="B27276" s="4" t="s">
        <v>34339</v>
      </c>
      <c r="C27276" s="5" t="str">
        <f>IFERROR(__xludf.DUMMYFUNCTION("GOOGLETRANSLATE(B27276,""en"",""fr"")"),"La petite fille est coincée avec d'autres enfants, puis elle se libère puis monte dans la voiture exceptionnelle.")</f>
        <v>La petite fille est coincée avec d'autres enfants, puis elle se libère puis monte dans la voiture exceptionnelle.</v>
      </c>
    </row>
    <row r="27277">
      <c r="A27277" s="4" t="s">
        <v>34340</v>
      </c>
      <c r="B27277" s="4" t="s">
        <v>34341</v>
      </c>
      <c r="C27277" s="5" t="str">
        <f>IFERROR(__xludf.DUMMYFUNCTION("GOOGLETRANSLATE(B27277,""en"",""fr"")"),"Une personne montre comment faire un mini plateau de sandwich à la viande et au fromage avec garniture.")</f>
        <v>Une personne montre comment faire un mini plateau de sandwich à la viande et au fromage avec garniture.</v>
      </c>
    </row>
    <row r="27278">
      <c r="A27278" s="4" t="s">
        <v>34340</v>
      </c>
      <c r="B27278" s="4" t="s">
        <v>34342</v>
      </c>
      <c r="C27278" s="5" t="str">
        <f>IFERROR(__xludf.DUMMYFUNCTION("GOOGLETRANSLATE(B27278,""en"",""fr"")"),"Un grand plateau de sandwichs préparés.")</f>
        <v>Un grand plateau de sandwichs préparés.</v>
      </c>
    </row>
    <row r="27279">
      <c r="A27279" s="4" t="s">
        <v>34340</v>
      </c>
      <c r="B27279" s="6" t="s">
        <v>34343</v>
      </c>
      <c r="C27279" s="5" t="str">
        <f>IFERROR(__xludf.DUMMYFUNCTION("GOOGLETRANSLATE(B27279,""en"",""fr"")"),"Les mains d'une personne sont vues jetant différents sandwichs faisant des ingrédients dans un panier à l'intérieur d'une épicerie, les ingrédients comprennent des petits pains et de la viande du déjeuner.")</f>
        <v>Les mains d'une personne sont vues jetant différents sandwichs faisant des ingrédients dans un panier à l'intérieur d'une épicerie, les ingrédients comprennent des petits pains et de la viande du déjeuner.</v>
      </c>
    </row>
    <row r="27280">
      <c r="A27280" s="4" t="s">
        <v>34340</v>
      </c>
      <c r="B27280" s="6" t="s">
        <v>34344</v>
      </c>
      <c r="C27280" s="5" t="str">
        <f>IFERROR(__xludf.DUMMYFUNCTION("GOOGLETRANSLATE(B27280,""en"",""fr"")"),"Une personne est ensuite vue en train de mettre un sandwich de fromage et de viande sur des petits pains blancs avec de la laitue sur un comptoir.")</f>
        <v>Une personne est ensuite vue en train de mettre un sandwich de fromage et de viande sur des petits pains blancs avec de la laitue sur un comptoir.</v>
      </c>
    </row>
    <row r="27281">
      <c r="A27281" s="4" t="s">
        <v>34340</v>
      </c>
      <c r="B27281" s="6" t="s">
        <v>34345</v>
      </c>
      <c r="C27281" s="5" t="str">
        <f>IFERROR(__xludf.DUMMYFUNCTION("GOOGLETRANSLATE(B27281,""en"",""fr"")"),"La personne coupe les rouleaux pour faire des sandwichs individuels, puis ajoute des cure-dents et des fraises ainsi que la garniture de laitue au plateau qui est ensuite concentré par la caméra comme produit fini.")</f>
        <v>La personne coupe les rouleaux pour faire des sandwichs individuels, puis ajoute des cure-dents et des fraises ainsi que la garniture de laitue au plateau qui est ensuite concentré par la caméra comme produit fini.</v>
      </c>
    </row>
    <row r="27282">
      <c r="A27282" s="4" t="s">
        <v>34346</v>
      </c>
      <c r="B27282" s="4" t="s">
        <v>34347</v>
      </c>
      <c r="C27282" s="5" t="str">
        <f>IFERROR(__xludf.DUMMYFUNCTION("GOOGLETRANSLATE(B27282,""en"",""fr"")"),"Nous voyons un signe avec un nom d'homme.")</f>
        <v>Nous voyons un signe avec un nom d'homme.</v>
      </c>
    </row>
    <row r="27283">
      <c r="A27283" s="4" t="s">
        <v>34346</v>
      </c>
      <c r="B27283" s="6" t="s">
        <v>34348</v>
      </c>
      <c r="C27283" s="5" t="str">
        <f>IFERROR(__xludf.DUMMYFUNCTION("GOOGLETRANSLATE(B27283,""en"",""fr"")"),"Nous voyons un homme courir et faire un saut en longueur sur différentes pistes à plusieurs reprises avec son nom sur un panneau occasionnellement.")</f>
        <v>Nous voyons un homme courir et faire un saut en longueur sur différentes pistes à plusieurs reprises avec son nom sur un panneau occasionnellement.</v>
      </c>
    </row>
    <row r="27284">
      <c r="A27284" s="4" t="s">
        <v>34346</v>
      </c>
      <c r="B27284" s="4" t="s">
        <v>34349</v>
      </c>
      <c r="C27284" s="5" t="str">
        <f>IFERROR(__xludf.DUMMYFUNCTION("GOOGLETRANSLATE(B27284,""en"",""fr"")"),"Nous voyons l'homme sur une piste bleue avec des panneaux publicitaires.")</f>
        <v>Nous voyons l'homme sur une piste bleue avec des panneaux publicitaires.</v>
      </c>
    </row>
    <row r="27285">
      <c r="A27285" s="4" t="s">
        <v>34346</v>
      </c>
      <c r="B27285" s="4" t="s">
        <v>34350</v>
      </c>
      <c r="C27285" s="5" t="str">
        <f>IFERROR(__xludf.DUMMYFUNCTION("GOOGLETRANSLATE(B27285,""en"",""fr"")"),"L'homme tombe sur son atterrissage.")</f>
        <v>L'homme tombe sur son atterrissage.</v>
      </c>
    </row>
    <row r="27286">
      <c r="A27286" s="4" t="s">
        <v>34346</v>
      </c>
      <c r="B27286" s="4" t="s">
        <v>34351</v>
      </c>
      <c r="C27286" s="5" t="str">
        <f>IFERROR(__xludf.DUMMYFUNCTION("GOOGLETRANSLATE(B27286,""en"",""fr"")"),"L'homme atterrit sur le dos.")</f>
        <v>L'homme atterrit sur le dos.</v>
      </c>
    </row>
    <row r="27287">
      <c r="A27287" s="4" t="s">
        <v>34346</v>
      </c>
      <c r="B27287" s="4" t="s">
        <v>34352</v>
      </c>
      <c r="C27287" s="5" t="str">
        <f>IFERROR(__xludf.DUMMYFUNCTION("GOOGLETRANSLATE(B27287,""en"",""fr"")"),"L'écran s'estompe au noir.")</f>
        <v>L'écran s'estompe au noir.</v>
      </c>
    </row>
    <row r="27288">
      <c r="A27288" s="4" t="s">
        <v>34353</v>
      </c>
      <c r="B27288" s="4" t="s">
        <v>34354</v>
      </c>
      <c r="C27288" s="5" t="str">
        <f>IFERROR(__xludf.DUMMYFUNCTION("GOOGLETRANSLATE(B27288,""en"",""fr"")"),"Un homme coule sous l'eau dans une piscine.")</f>
        <v>Un homme coule sous l'eau dans une piscine.</v>
      </c>
    </row>
    <row r="27289">
      <c r="A27289" s="4" t="s">
        <v>34353</v>
      </c>
      <c r="B27289" s="4" t="s">
        <v>34355</v>
      </c>
      <c r="C27289" s="5" t="str">
        <f>IFERROR(__xludf.DUMMYFUNCTION("GOOGLETRANSLATE(B27289,""en"",""fr"")"),"L'homme coule sous l'eau dans une piscine vers l'arrière.")</f>
        <v>L'homme coule sous l'eau dans une piscine vers l'arrière.</v>
      </c>
    </row>
    <row r="27290">
      <c r="A27290" s="4" t="s">
        <v>34353</v>
      </c>
      <c r="B27290" s="4" t="s">
        <v>34356</v>
      </c>
      <c r="C27290" s="5" t="str">
        <f>IFERROR(__xludf.DUMMYFUNCTION("GOOGLETRANSLATE(B27290,""en"",""fr"")"),"Le texte est affiché sur un écran noir.")</f>
        <v>Le texte est affiché sur un écran noir.</v>
      </c>
    </row>
    <row r="27291">
      <c r="A27291" s="4" t="s">
        <v>34357</v>
      </c>
      <c r="B27291" s="4" t="s">
        <v>34358</v>
      </c>
      <c r="C27291" s="5" t="str">
        <f>IFERROR(__xludf.DUMMYFUNCTION("GOOGLETRANSLATE(B27291,""en"",""fr"")"),"La femme est assise sur un banc en bois pour parler à la caméra.")</f>
        <v>La femme est assise sur un banc en bois pour parler à la caméra.</v>
      </c>
    </row>
    <row r="27292">
      <c r="A27292" s="4" t="s">
        <v>34357</v>
      </c>
      <c r="B27292" s="4" t="s">
        <v>34359</v>
      </c>
      <c r="C27292" s="5" t="str">
        <f>IFERROR(__xludf.DUMMYFUNCTION("GOOGLETRANSLATE(B27292,""en"",""fr"")"),"La femme fait des saut périlleuses sur un grand champ herbeux vert.")</f>
        <v>La femme fait des saut périlleuses sur un grand champ herbeux vert.</v>
      </c>
    </row>
    <row r="27293">
      <c r="A27293" s="4" t="s">
        <v>34357</v>
      </c>
      <c r="B27293" s="4" t="s">
        <v>34360</v>
      </c>
      <c r="C27293" s="5" t="str">
        <f>IFERROR(__xludf.DUMMYFUNCTION("GOOGLETRANSLATE(B27293,""en"",""fr"")"),"La femme fait un saut et glisse et tombe dans l'herbe.")</f>
        <v>La femme fait un saut et glisse et tombe dans l'herbe.</v>
      </c>
    </row>
    <row r="27294">
      <c r="A27294" s="4" t="s">
        <v>34361</v>
      </c>
      <c r="B27294" s="4" t="s">
        <v>34362</v>
      </c>
      <c r="C27294" s="5" t="str">
        <f>IFERROR(__xludf.DUMMYFUNCTION("GOOGLETRANSLATE(B27294,""en"",""fr"")"),"Une vidéo est montrée des skaters dans un skatepark extérieur.")</f>
        <v>Une vidéo est montrée des skaters dans un skatepark extérieur.</v>
      </c>
    </row>
    <row r="27295">
      <c r="A27295" s="4" t="s">
        <v>34361</v>
      </c>
      <c r="B27295" s="4" t="s">
        <v>34363</v>
      </c>
      <c r="C27295" s="5" t="str">
        <f>IFERROR(__xludf.DUMMYFUNCTION("GOOGLETRANSLATE(B27295,""en"",""fr"")"),"Les entretiens sont affichés, puis quelques courses sont affichées.")</f>
        <v>Les entretiens sont affichés, puis quelques courses sont affichées.</v>
      </c>
    </row>
    <row r="27296">
      <c r="A27296" s="4" t="s">
        <v>34364</v>
      </c>
      <c r="B27296" s="6" t="s">
        <v>34365</v>
      </c>
      <c r="C27296" s="5" t="str">
        <f>IFERROR(__xludf.DUMMYFUNCTION("GOOGLETRANSLATE(B27296,""en"",""fr"")"),"Un petit enfant assis à une table mange de la glace avec une cuillère pendant que les gens passent en arrière-plan.")</f>
        <v>Un petit enfant assis à une table mange de la glace avec une cuillère pendant que les gens passent en arrière-plan.</v>
      </c>
    </row>
    <row r="27297">
      <c r="A27297" s="4" t="s">
        <v>34364</v>
      </c>
      <c r="B27297" s="4" t="s">
        <v>34366</v>
      </c>
      <c r="C27297" s="5" t="str">
        <f>IFERROR(__xludf.DUMMYFUNCTION("GOOGLETRANSLATE(B27297,""en"",""fr"")"),"Une paire de mains adultes entrez brièvement dans le cadre de la caméra au premier plan.")</f>
        <v>Une paire de mains adultes entrez brièvement dans le cadre de la caméra au premier plan.</v>
      </c>
    </row>
    <row r="27298">
      <c r="A27298" s="4" t="s">
        <v>34364</v>
      </c>
      <c r="B27298" s="4" t="s">
        <v>34367</v>
      </c>
      <c r="C27298" s="5" t="str">
        <f>IFERROR(__xludf.DUMMYFUNCTION("GOOGLETRANSLATE(B27298,""en"",""fr"")"),"L'enfant insère sa cuillère dans son récipient de crème glacée sur la table.")</f>
        <v>L'enfant insère sa cuillère dans son récipient de crème glacée sur la table.</v>
      </c>
    </row>
    <row r="27299">
      <c r="A27299" s="4" t="s">
        <v>34364</v>
      </c>
      <c r="B27299" s="4" t="s">
        <v>34368</v>
      </c>
      <c r="C27299" s="5" t="str">
        <f>IFERROR(__xludf.DUMMYFUNCTION("GOOGLETRANSLATE(B27299,""en"",""fr"")"),"L'enfant se plaint de quelque chose.")</f>
        <v>L'enfant se plaint de quelque chose.</v>
      </c>
    </row>
    <row r="27300">
      <c r="A27300" s="4" t="s">
        <v>34364</v>
      </c>
      <c r="B27300" s="4" t="s">
        <v>34369</v>
      </c>
      <c r="C27300" s="5" t="str">
        <f>IFERROR(__xludf.DUMMYFUNCTION("GOOGLETRANSLATE(B27300,""en"",""fr"")"),"La caméra zoome sur la glace.")</f>
        <v>La caméra zoome sur la glace.</v>
      </c>
    </row>
    <row r="27301">
      <c r="A27301" s="4" t="s">
        <v>34370</v>
      </c>
      <c r="B27301" s="4" t="s">
        <v>34371</v>
      </c>
      <c r="C27301" s="5" t="str">
        <f>IFERROR(__xludf.DUMMYFUNCTION("GOOGLETRANSLATE(B27301,""en"",""fr"")"),"Une personne est vue debout sur un terrain portant des échasses sur ses pieds.")</f>
        <v>Une personne est vue debout sur un terrain portant des échasses sur ses pieds.</v>
      </c>
    </row>
    <row r="27302">
      <c r="A27302" s="4" t="s">
        <v>34370</v>
      </c>
      <c r="B27302" s="4" t="s">
        <v>34372</v>
      </c>
      <c r="C27302" s="5" t="str">
        <f>IFERROR(__xludf.DUMMYFUNCTION("GOOGLETRANSLATE(B27302,""en"",""fr"")"),"Le garçon commence alors à courir sur le terrain sur les échasses.")</f>
        <v>Le garçon commence alors à courir sur le terrain sur les échasses.</v>
      </c>
    </row>
    <row r="27303">
      <c r="A27303" s="4" t="s">
        <v>34370</v>
      </c>
      <c r="B27303" s="4" t="s">
        <v>34373</v>
      </c>
      <c r="C27303" s="5" t="str">
        <f>IFERROR(__xludf.DUMMYFUNCTION("GOOGLETRANSLATE(B27303,""en"",""fr"")"),"Le garçon trempe une petite balle dans le panier et revient pour l'attraper.")</f>
        <v>Le garçon trempe une petite balle dans le panier et revient pour l'attraper.</v>
      </c>
    </row>
    <row r="27304">
      <c r="A27304" s="4" t="s">
        <v>34374</v>
      </c>
      <c r="B27304" s="4" t="s">
        <v>34375</v>
      </c>
      <c r="C27304" s="5" t="str">
        <f>IFERROR(__xludf.DUMMYFUNCTION("GOOGLETRANSLATE(B27304,""en"",""fr"")"),"Un homme est vu en utilisant une perceuse électrique dans un grand bol rempli de chocolat.")</f>
        <v>Un homme est vu en utilisant une perceuse électrique dans un grand bol rempli de chocolat.</v>
      </c>
    </row>
    <row r="27305">
      <c r="A27305" s="4" t="s">
        <v>34374</v>
      </c>
      <c r="B27305" s="4" t="s">
        <v>34376</v>
      </c>
      <c r="C27305" s="5" t="str">
        <f>IFERROR(__xludf.DUMMYFUNCTION("GOOGLETRANSLATE(B27305,""en"",""fr"")"),"Une autre personne lui tend un mélangeur mais l'homme continue en utilisant l'exercice dans le bol.")</f>
        <v>Une autre personne lui tend un mélangeur mais l'homme continue en utilisant l'exercice dans le bol.</v>
      </c>
    </row>
    <row r="27306">
      <c r="A27306" s="4" t="s">
        <v>34377</v>
      </c>
      <c r="B27306" s="4" t="s">
        <v>34378</v>
      </c>
      <c r="C27306" s="5" t="str">
        <f>IFERROR(__xludf.DUMMYFUNCTION("GOOGLETRANSLATE(B27306,""en"",""fr"")"),"Une jeune femme est vue debout derrière une tondeuse à gazon dans une cour.")</f>
        <v>Une jeune femme est vue debout derrière une tondeuse à gazon dans une cour.</v>
      </c>
    </row>
    <row r="27307">
      <c r="A27307" s="4" t="s">
        <v>34377</v>
      </c>
      <c r="B27307" s="4" t="s">
        <v>34379</v>
      </c>
      <c r="C27307" s="5" t="str">
        <f>IFERROR(__xludf.DUMMYFUNCTION("GOOGLETRANSLATE(B27307,""en"",""fr"")"),"Elle commence à pousser la tondeuse à gazon le long de la cour.")</f>
        <v>Elle commence à pousser la tondeuse à gazon le long de la cour.</v>
      </c>
    </row>
    <row r="27308">
      <c r="A27308" s="4" t="s">
        <v>34377</v>
      </c>
      <c r="B27308" s="4" t="s">
        <v>34380</v>
      </c>
      <c r="C27308" s="5" t="str">
        <f>IFERROR(__xludf.DUMMYFUNCTION("GOOGLETRANSLATE(B27308,""en"",""fr"")"),"Elle se retire sur la pelouse et regarde la caméra.")</f>
        <v>Elle se retire sur la pelouse et regarde la caméra.</v>
      </c>
    </row>
    <row r="27309">
      <c r="A27309" s="4" t="s">
        <v>34381</v>
      </c>
      <c r="B27309" s="4" t="s">
        <v>34382</v>
      </c>
      <c r="C27309" s="5" t="str">
        <f>IFERROR(__xludf.DUMMYFUNCTION("GOOGLETRANSLATE(B27309,""en"",""fr"")"),"Une gymnaste effectue une routine sur les barres horizontales.")</f>
        <v>Une gymnaste effectue une routine sur les barres horizontales.</v>
      </c>
    </row>
    <row r="27310">
      <c r="A27310" s="4" t="s">
        <v>34381</v>
      </c>
      <c r="B27310" s="4" t="s">
        <v>34383</v>
      </c>
      <c r="C27310" s="5" t="str">
        <f>IFERROR(__xludf.DUMMYFUNCTION("GOOGLETRANSLATE(B27310,""en"",""fr"")"),"La gymnaste tourne et passe d'une barre à l'autre, tenant également une main.")</f>
        <v>La gymnaste tourne et passe d'une barre à l'autre, tenant également une main.</v>
      </c>
    </row>
    <row r="27311">
      <c r="A27311" s="4" t="s">
        <v>34381</v>
      </c>
      <c r="B27311" s="6" t="s">
        <v>34384</v>
      </c>
      <c r="C27311" s="5" t="str">
        <f>IFERROR(__xludf.DUMMYFUNCTION("GOOGLETRANSLATE(B27311,""en"",""fr"")"),"Ensuite, la gymnaste tourne et saute sur le sol, puis un flashback de la routine est présenté.")</f>
        <v>Ensuite, la gymnaste tourne et saute sur le sol, puis un flashback de la routine est présenté.</v>
      </c>
    </row>
    <row r="27312">
      <c r="A27312" s="4" t="s">
        <v>34385</v>
      </c>
      <c r="B27312" s="4" t="s">
        <v>34386</v>
      </c>
      <c r="C27312" s="5" t="str">
        <f>IFERROR(__xludf.DUMMYFUNCTION("GOOGLETRANSLATE(B27312,""en"",""fr"")"),"Un homme et une femme roulent rapidement dans une rue pavée.")</f>
        <v>Un homme et une femme roulent rapidement dans une rue pavée.</v>
      </c>
    </row>
    <row r="27313">
      <c r="A27313" s="4" t="s">
        <v>34385</v>
      </c>
      <c r="B27313" s="4" t="s">
        <v>34387</v>
      </c>
      <c r="C27313" s="5" t="str">
        <f>IFERROR(__xludf.DUMMYFUNCTION("GOOGLETRANSLATE(B27313,""en"",""fr"")"),"Ils s'arrêtent, pompant de l'air dans leurs pneus.")</f>
        <v>Ils s'arrêtent, pompant de l'air dans leurs pneus.</v>
      </c>
    </row>
    <row r="27314">
      <c r="A27314" s="4" t="s">
        <v>34385</v>
      </c>
      <c r="B27314" s="4" t="s">
        <v>34388</v>
      </c>
      <c r="C27314" s="5" t="str">
        <f>IFERROR(__xludf.DUMMYFUNCTION("GOOGLETRANSLATE(B27314,""en"",""fr"")"),"Ils remplacent ensuite les tubes et remontent sur leurs vélos.")</f>
        <v>Ils remplacent ensuite les tubes et remontent sur leurs vélos.</v>
      </c>
    </row>
    <row r="27315">
      <c r="A27315" s="4" t="s">
        <v>34385</v>
      </c>
      <c r="B27315" s="4" t="s">
        <v>34389</v>
      </c>
      <c r="C27315" s="5" t="str">
        <f>IFERROR(__xludf.DUMMYFUNCTION("GOOGLETRANSLATE(B27315,""en"",""fr"")"),"Ils continuent de rouler sur la route.")</f>
        <v>Ils continuent de rouler sur la route.</v>
      </c>
    </row>
    <row r="27316">
      <c r="A27316" s="4" t="s">
        <v>34390</v>
      </c>
      <c r="B27316" s="4" t="s">
        <v>34391</v>
      </c>
      <c r="C27316" s="5" t="str">
        <f>IFERROR(__xludf.DUMMYFUNCTION("GOOGLETRANSLATE(B27316,""en"",""fr"")"),"Une femme est debout dans la baignoire à l'aide de la douche pour laver ses vêtements.")</f>
        <v>Une femme est debout dans la baignoire à l'aide de la douche pour laver ses vêtements.</v>
      </c>
    </row>
    <row r="27317">
      <c r="A27317" s="4" t="s">
        <v>34390</v>
      </c>
      <c r="B27317" s="4" t="s">
        <v>34392</v>
      </c>
      <c r="C27317" s="5" t="str">
        <f>IFERROR(__xludf.DUMMYFUNCTION("GOOGLETRANSLATE(B27317,""en"",""fr"")"),"Elle donne un coup de pied aux vêtements et se promène et se danse en quelque sorte sur eux.")</f>
        <v>Elle donne un coup de pied aux vêtements et se promène et se danse en quelque sorte sur eux.</v>
      </c>
    </row>
    <row r="27318">
      <c r="A27318" s="4" t="s">
        <v>34390</v>
      </c>
      <c r="B27318" s="4" t="s">
        <v>34393</v>
      </c>
      <c r="C27318" s="5" t="str">
        <f>IFERROR(__xludf.DUMMYFUNCTION("GOOGLETRANSLATE(B27318,""en"",""fr"")"),"Son petit ami l'enregistre et lui-même dans le miroir.")</f>
        <v>Son petit ami l'enregistre et lui-même dans le miroir.</v>
      </c>
    </row>
    <row r="27319">
      <c r="A27319" s="4" t="s">
        <v>34390</v>
      </c>
      <c r="B27319" s="6" t="s">
        <v>34394</v>
      </c>
      <c r="C27319" s="5" t="str">
        <f>IFERROR(__xludf.DUMMYFUNCTION("GOOGLETRANSLATE(B27319,""en"",""fr"")"),"Il continue de la regarder alors qu'elle marche sur le vêtue, puis il tourne la caméra vers sa mère.")</f>
        <v>Il continue de la regarder alors qu'elle marche sur le vêtue, puis il tourne la caméra vers sa mère.</v>
      </c>
    </row>
    <row r="27320">
      <c r="A27320" s="4" t="s">
        <v>34395</v>
      </c>
      <c r="B27320" s="4" t="s">
        <v>34396</v>
      </c>
      <c r="C27320" s="5" t="str">
        <f>IFERROR(__xludf.DUMMYFUNCTION("GOOGLETRANSLATE(B27320,""en"",""fr"")"),"Plusieurs personnes sont dans une petite pièce vêtue de vêtements de travail qui montent et sur le pas de l'escalier.")</f>
        <v>Plusieurs personnes sont dans une petite pièce vêtue de vêtements de travail qui montent et sur le pas de l'escalier.</v>
      </c>
    </row>
    <row r="27321">
      <c r="A27321" s="4" t="s">
        <v>34395</v>
      </c>
      <c r="B27321" s="4" t="s">
        <v>34397</v>
      </c>
      <c r="C27321" s="5" t="str">
        <f>IFERROR(__xludf.DUMMYFUNCTION("GOOGLETRANSLATE(B27321,""en"",""fr"")"),"Ils se retournent ensuite et commencent à danser sur l'étape de l'escalier et à intensifier l'entraînement.")</f>
        <v>Ils se retournent ensuite et commencent à danser sur l'étape de l'escalier et à intensifier l'entraînement.</v>
      </c>
    </row>
    <row r="27322">
      <c r="A27322" s="4" t="s">
        <v>34395</v>
      </c>
      <c r="B27322" s="4" t="s">
        <v>34398</v>
      </c>
      <c r="C27322" s="5" t="str">
        <f>IFERROR(__xludf.DUMMYFUNCTION("GOOGLETRANSLATE(B27322,""en"",""fr"")"),"À mi-chemin, l'instructeur descend et se promène pendant que le reste de la classe continue.")</f>
        <v>À mi-chemin, l'instructeur descend et se promène pendant que le reste de la classe continue.</v>
      </c>
    </row>
    <row r="27323">
      <c r="A27323" s="4" t="s">
        <v>34395</v>
      </c>
      <c r="B27323" s="6" t="s">
        <v>34399</v>
      </c>
      <c r="C27323" s="5" t="str">
        <f>IFERROR(__xludf.DUMMYFUNCTION("GOOGLETRANSLATE(B27323,""en"",""fr"")"),"Après, saisissez l'escalier, placez-le contre le mur et revenez à leur place pour le reste de l'entraînement.")</f>
        <v>Après, saisissez l'escalier, placez-le contre le mur et revenez à leur place pour le reste de l'entraînement.</v>
      </c>
    </row>
    <row r="27324">
      <c r="A27324" s="4" t="s">
        <v>34400</v>
      </c>
      <c r="B27324" s="6" t="s">
        <v>34401</v>
      </c>
      <c r="C27324" s="5" t="str">
        <f>IFERROR(__xludf.DUMMYFUNCTION("GOOGLETRANSLATE(B27324,""en"",""fr"")"),"Steven Richardson, directeur de magasin, discute du sujet des soins des pneus pour les véhicules avec 4 roues motrices.")</f>
        <v>Steven Richardson, directeur de magasin, discute du sujet des soins des pneus pour les véhicules avec 4 roues motrices.</v>
      </c>
    </row>
    <row r="27325">
      <c r="A27325" s="4" t="s">
        <v>34400</v>
      </c>
      <c r="B27325" s="4" t="s">
        <v>34402</v>
      </c>
      <c r="C27325" s="5" t="str">
        <f>IFERROR(__xludf.DUMMYFUNCTION("GOOGLETRANSLATE(B27325,""en"",""fr"")"),"Il explique que les pneus dépareillés sur les véhicules à 4 roues motrices provoquent l'usure.")</f>
        <v>Il explique que les pneus dépareillés sur les véhicules à 4 roues motrices provoquent l'usure.</v>
      </c>
    </row>
    <row r="27326">
      <c r="A27326" s="4" t="s">
        <v>34400</v>
      </c>
      <c r="B27326" s="4" t="s">
        <v>34403</v>
      </c>
      <c r="C27326" s="5" t="str">
        <f>IFERROR(__xludf.DUMMYFUNCTION("GOOGLETRANSLATE(B27326,""en"",""fr"")"),"Il recommande que les 4 pneus soient remplacés en même temps.")</f>
        <v>Il recommande que les 4 pneus soient remplacés en même temps.</v>
      </c>
    </row>
    <row r="27327">
      <c r="A27327" s="4" t="s">
        <v>34400</v>
      </c>
      <c r="B27327" s="4" t="s">
        <v>34404</v>
      </c>
      <c r="C27327" s="5" t="str">
        <f>IFERROR(__xludf.DUMMYFUNCTION("GOOGLETRANSLATE(B27327,""en"",""fr"")"),"Il annonce le site Web Belletire Dot Com et dit de l'utiliser pour trouver un emplacement près de chez vous.")</f>
        <v>Il annonce le site Web Belletire Dot Com et dit de l'utiliser pour trouver un emplacement près de chez vous.</v>
      </c>
    </row>
    <row r="27328">
      <c r="A27328" s="4" t="s">
        <v>34405</v>
      </c>
      <c r="B27328" s="4" t="s">
        <v>34406</v>
      </c>
      <c r="C27328" s="5" t="str">
        <f>IFERROR(__xludf.DUMMYFUNCTION("GOOGLETRANSLATE(B27328,""en"",""fr"")"),"Une ballerine est vue en marche sur une scène et mène à son effectuer une routine de ballet.")</f>
        <v>Une ballerine est vue en marche sur une scène et mène à son effectuer une routine de ballet.</v>
      </c>
    </row>
    <row r="27329">
      <c r="A27329" s="4" t="s">
        <v>34405</v>
      </c>
      <c r="B27329" s="4" t="s">
        <v>34407</v>
      </c>
      <c r="C27329" s="5" t="str">
        <f>IFERROR(__xludf.DUMMYFUNCTION("GOOGLETRANSLATE(B27329,""en"",""fr"")"),"La fille se tourne sur ses chaussures pendant que le public la regarde.")</f>
        <v>La fille se tourne sur ses chaussures pendant que le public la regarde.</v>
      </c>
    </row>
    <row r="27330">
      <c r="A27330" s="4" t="s">
        <v>34405</v>
      </c>
      <c r="B27330" s="4" t="s">
        <v>34408</v>
      </c>
      <c r="C27330" s="5" t="str">
        <f>IFERROR(__xludf.DUMMYFUNCTION("GOOGLETRANSLATE(B27330,""en"",""fr"")"),"Elle continue de tourner et de faire tournoyer et se termine en tenant une pose et en s'inclinant.")</f>
        <v>Elle continue de tourner et de faire tournoyer et se termine en tenant une pose et en s'inclinant.</v>
      </c>
    </row>
    <row r="27331">
      <c r="A27331" s="4" t="s">
        <v>34409</v>
      </c>
      <c r="B27331" s="4" t="s">
        <v>34410</v>
      </c>
      <c r="C27331" s="5" t="str">
        <f>IFERROR(__xludf.DUMMYFUNCTION("GOOGLETRANSLATE(B27331,""en"",""fr"")"),"Un homme aux pieds nus touche un morceau de meubles en bois avec une brosse.")</f>
        <v>Un homme aux pieds nus touche un morceau de meubles en bois avec une brosse.</v>
      </c>
    </row>
    <row r="27332">
      <c r="A27332" s="4" t="s">
        <v>34409</v>
      </c>
      <c r="B27332" s="4" t="s">
        <v>34411</v>
      </c>
      <c r="C27332" s="5" t="str">
        <f>IFERROR(__xludf.DUMMYFUNCTION("GOOGLETRANSLATE(B27332,""en"",""fr"")"),"Il déplace ensuite le morceau pour montrer les éraflures et les buft avec un pinceau.")</f>
        <v>Il déplace ensuite le morceau pour montrer les éraflures et les buft avec un pinceau.</v>
      </c>
    </row>
    <row r="27333">
      <c r="A27333" s="4" t="s">
        <v>34409</v>
      </c>
      <c r="B27333" s="4" t="s">
        <v>34412</v>
      </c>
      <c r="C27333" s="5" t="str">
        <f>IFERROR(__xludf.DUMMYFUNCTION("GOOGLETRANSLATE(B27333,""en"",""fr"")"),"L'homme montre les bords nettoyés avec ses doigts.")</f>
        <v>L'homme montre les bords nettoyés avec ses doigts.</v>
      </c>
    </row>
    <row r="27334">
      <c r="A27334" s="4" t="s">
        <v>34413</v>
      </c>
      <c r="B27334" s="4" t="s">
        <v>34414</v>
      </c>
      <c r="C27334" s="5" t="str">
        <f>IFERROR(__xludf.DUMMYFUNCTION("GOOGLETRANSLATE(B27334,""en"",""fr"")"),"Un couple d'enfants encourage un bowling.")</f>
        <v>Un couple d'enfants encourage un bowling.</v>
      </c>
    </row>
    <row r="27335">
      <c r="A27335" s="4" t="s">
        <v>34413</v>
      </c>
      <c r="B27335" s="4" t="s">
        <v>34415</v>
      </c>
      <c r="C27335" s="5" t="str">
        <f>IFERROR(__xludf.DUMMYFUNCTION("GOOGLETRANSLATE(B27335,""en"",""fr"")"),"Ils rejoignent d'autres enfants, se disputant sur une boule de bowling.")</f>
        <v>Ils rejoignent d'autres enfants, se disputant sur une boule de bowling.</v>
      </c>
    </row>
    <row r="27336">
      <c r="A27336" s="4" t="s">
        <v>34413</v>
      </c>
      <c r="B27336" s="4" t="s">
        <v>34416</v>
      </c>
      <c r="C27336" s="5" t="str">
        <f>IFERROR(__xludf.DUMMYFUNCTION("GOOGLETRANSLATE(B27336,""en"",""fr"")"),"Ils cueillent une balle, puis le bollaient sur la voie.")</f>
        <v>Ils cueillent une balle, puis le bollaient sur la voie.</v>
      </c>
    </row>
    <row r="27337">
      <c r="A27337" s="4" t="s">
        <v>34417</v>
      </c>
      <c r="B27337" s="4" t="s">
        <v>34418</v>
      </c>
      <c r="C27337" s="5" t="str">
        <f>IFERROR(__xludf.DUMMYFUNCTION("GOOGLETRANSLATE(B27337,""en"",""fr"")"),"Un groupe de personnes danse entre eux.")</f>
        <v>Un groupe de personnes danse entre eux.</v>
      </c>
    </row>
    <row r="27338">
      <c r="A27338" s="4" t="s">
        <v>34417</v>
      </c>
      <c r="B27338" s="4" t="s">
        <v>34419</v>
      </c>
      <c r="C27338" s="5" t="str">
        <f>IFERROR(__xludf.DUMMYFUNCTION("GOOGLETRANSLATE(B27338,""en"",""fr"")"),"Une fille se déplace avec un cerceau faisant divers mouvements.")</f>
        <v>Une fille se déplace avec un cerceau faisant divers mouvements.</v>
      </c>
    </row>
    <row r="27339">
      <c r="A27339" s="4" t="s">
        <v>34417</v>
      </c>
      <c r="B27339" s="4" t="s">
        <v>34420</v>
      </c>
      <c r="C27339" s="5" t="str">
        <f>IFERROR(__xludf.DUMMYFUNCTION("GOOGLETRANSLATE(B27339,""en"",""fr"")"),"Les gens continuant à danser autour d'elle en divers mouvements.")</f>
        <v>Les gens continuant à danser autour d'elle en divers mouvements.</v>
      </c>
    </row>
    <row r="27340">
      <c r="A27340" s="4" t="s">
        <v>34417</v>
      </c>
      <c r="B27340" s="4" t="s">
        <v>34421</v>
      </c>
      <c r="C27340" s="5" t="str">
        <f>IFERROR(__xludf.DUMMYFUNCTION("GOOGLETRANSLATE(B27340,""en"",""fr"")"),"La fille tourne son cerceau autour de sa tête.")</f>
        <v>La fille tourne son cerceau autour de sa tête.</v>
      </c>
    </row>
    <row r="27341">
      <c r="A27341" s="4" t="s">
        <v>34422</v>
      </c>
      <c r="B27341" s="6" t="s">
        <v>34423</v>
      </c>
      <c r="C27341" s="5" t="str">
        <f>IFERROR(__xludf.DUMMYFUNCTION("GOOGLETRANSLATE(B27341,""en"",""fr"")"),"Deux filles sont vues parler et agiter la caméra qui les conduisent en effectuant plusieurs sauts et astuces sur un tapis.")</f>
        <v>Deux filles sont vues parler et agiter la caméra qui les conduisent en effectuant plusieurs sauts et astuces sur un tapis.</v>
      </c>
    </row>
    <row r="27342">
      <c r="A27342" s="4" t="s">
        <v>34422</v>
      </c>
      <c r="B27342" s="6" t="s">
        <v>34424</v>
      </c>
      <c r="C27342" s="5" t="str">
        <f>IFERROR(__xludf.DUMMYFUNCTION("GOOGLETRANSLATE(B27342,""en"",""fr"")"),"Les filles continuent à tourner à tour de rôle autour du tapis dans la région et à parler à la caméra et à agiter.")</f>
        <v>Les filles continuent à tourner à tour de rôle autour du tapis dans la région et à parler à la caméra et à agiter.</v>
      </c>
    </row>
    <row r="27343">
      <c r="A27343" s="4" t="s">
        <v>34425</v>
      </c>
      <c r="B27343" s="4" t="s">
        <v>34426</v>
      </c>
      <c r="C27343" s="5" t="str">
        <f>IFERROR(__xludf.DUMMYFUNCTION("GOOGLETRANSLATE(B27343,""en"",""fr"")"),"Une femme est debout avec une balle sur une ficelle.")</f>
        <v>Une femme est debout avec une balle sur une ficelle.</v>
      </c>
    </row>
    <row r="27344">
      <c r="A27344" s="4" t="s">
        <v>34425</v>
      </c>
      <c r="B27344" s="4" t="s">
        <v>34427</v>
      </c>
      <c r="C27344" s="5" t="str">
        <f>IFERROR(__xludf.DUMMYFUNCTION("GOOGLETRANSLATE(B27344,""en"",""fr"")"),"Elle est en compétition pour l'athlétisme.")</f>
        <v>Elle est en compétition pour l'athlétisme.</v>
      </c>
    </row>
    <row r="27345">
      <c r="A27345" s="4" t="s">
        <v>34425</v>
      </c>
      <c r="B27345" s="4" t="s">
        <v>34428</v>
      </c>
      <c r="C27345" s="5" t="str">
        <f>IFERROR(__xludf.DUMMYFUNCTION("GOOGLETRANSLATE(B27345,""en"",""fr"")"),"Elle balance le ballon à plusieurs reprises, puis les jambes vont et applaudissent alors qu'elle atterrit loin dans le terrain.")</f>
        <v>Elle balance le ballon à plusieurs reprises, puis les jambes vont et applaudissent alors qu'elle atterrit loin dans le terrain.</v>
      </c>
    </row>
    <row r="27346">
      <c r="A27346" s="4" t="s">
        <v>34429</v>
      </c>
      <c r="B27346" s="6" t="s">
        <v>34430</v>
      </c>
      <c r="C27346" s="5" t="str">
        <f>IFERROR(__xludf.DUMMYFUNCTION("GOOGLETRANSLATE(B27346,""en"",""fr"")"),"Un athlète est vu debout prêt au milieu d'un petit cercle, puis jette un tir repoussé au loin.")</f>
        <v>Un athlète est vu debout prêt au milieu d'un petit cercle, puis jette un tir repoussé au loin.</v>
      </c>
    </row>
    <row r="27347">
      <c r="A27347" s="4" t="s">
        <v>34429</v>
      </c>
      <c r="B27347" s="4" t="s">
        <v>34431</v>
      </c>
      <c r="C27347" s="5" t="str">
        <f>IFERROR(__xludf.DUMMYFUNCTION("GOOGLETRANSLATE(B27347,""en"",""fr"")"),"L'homme s'éloigne en secouant les bras et son lancer est à nouveau montré plusieurs fois.")</f>
        <v>L'homme s'éloigne en secouant les bras et son lancer est à nouveau montré plusieurs fois.</v>
      </c>
    </row>
    <row r="27348">
      <c r="A27348" s="4" t="s">
        <v>34429</v>
      </c>
      <c r="B27348" s="6" t="s">
        <v>34432</v>
      </c>
      <c r="C27348" s="5" t="str">
        <f>IFERROR(__xludf.DUMMYFUNCTION("GOOGLETRANSLATE(B27348,""en"",""fr"")"),"Plusieurs autres athlètes sont montrés en intervenant sur la plate-forme lançant le lancer du poids et se terminant par un homme dans un chapeau parlant au public.")</f>
        <v>Plusieurs autres athlètes sont montrés en intervenant sur la plate-forme lançant le lancer du poids et se terminant par un homme dans un chapeau parlant au public.</v>
      </c>
    </row>
    <row r="27349">
      <c r="A27349" s="4" t="s">
        <v>34433</v>
      </c>
      <c r="B27349" s="4" t="s">
        <v>34434</v>
      </c>
      <c r="C27349" s="5" t="str">
        <f>IFERROR(__xludf.DUMMYFUNCTION("GOOGLETRANSLATE(B27349,""en"",""fr"")"),"Une dame dans un soutien-gorge et une culotte attrape et jette un tir.")</f>
        <v>Une dame dans un soutien-gorge et une culotte attrape et jette un tir.</v>
      </c>
    </row>
    <row r="27350">
      <c r="A27350" s="4" t="s">
        <v>34433</v>
      </c>
      <c r="B27350" s="4" t="s">
        <v>34435</v>
      </c>
      <c r="C27350" s="5" t="str">
        <f>IFERROR(__xludf.DUMMYFUNCTION("GOOGLETRANSLATE(B27350,""en"",""fr"")"),"Il passe par une fenêtre sur une maison et un chat court.")</f>
        <v>Il passe par une fenêtre sur une maison et un chat court.</v>
      </c>
    </row>
    <row r="27351">
      <c r="A27351" s="4" t="s">
        <v>34433</v>
      </c>
      <c r="B27351" s="4" t="s">
        <v>34436</v>
      </c>
      <c r="C27351" s="5" t="str">
        <f>IFERROR(__xludf.DUMMYFUNCTION("GOOGLETRANSLATE(B27351,""en"",""fr"")"),"L'homme regarde à l'extérieur et voit la dame.")</f>
        <v>L'homme regarde à l'extérieur et voit la dame.</v>
      </c>
    </row>
    <row r="27352">
      <c r="A27352" s="4" t="s">
        <v>34433</v>
      </c>
      <c r="B27352" s="4" t="s">
        <v>34437</v>
      </c>
      <c r="C27352" s="5" t="str">
        <f>IFERROR(__xludf.DUMMYFUNCTION("GOOGLETRANSLATE(B27352,""en"",""fr"")"),"La dame utilise un saut à la perche à la perche dans la fenêtre du deuxième étage et saute sur l'homme.")</f>
        <v>La dame utilise un saut à la perche à la perche dans la fenêtre du deuxième étage et saute sur l'homme.</v>
      </c>
    </row>
    <row r="27353">
      <c r="A27353" s="4" t="s">
        <v>34433</v>
      </c>
      <c r="B27353" s="4" t="s">
        <v>34438</v>
      </c>
      <c r="C27353" s="5" t="str">
        <f>IFERROR(__xludf.DUMMYFUNCTION("GOOGLETRANSLATE(B27353,""en"",""fr"")"),"Nous voyons l'écran de titre et le pantalon de l'homme voler par la fenêtre.")</f>
        <v>Nous voyons l'écran de titre et le pantalon de l'homme voler par la fenêtre.</v>
      </c>
    </row>
    <row r="27354">
      <c r="A27354" s="4" t="s">
        <v>34439</v>
      </c>
      <c r="B27354" s="4" t="s">
        <v>34440</v>
      </c>
      <c r="C27354" s="5" t="str">
        <f>IFERROR(__xludf.DUMMYFUNCTION("GOOGLETRANSLATE(B27354,""en"",""fr"")"),"Une personne tenant un balai nettoie le sol d'avant en arrière.")</f>
        <v>Une personne tenant un balai nettoie le sol d'avant en arrière.</v>
      </c>
    </row>
    <row r="27355">
      <c r="A27355" s="4" t="s">
        <v>34439</v>
      </c>
      <c r="B27355" s="4" t="s">
        <v>34441</v>
      </c>
      <c r="C27355" s="5" t="str">
        <f>IFERROR(__xludf.DUMMYFUNCTION("GOOGLETRANSLATE(B27355,""en"",""fr"")"),"La personne tourne le balai pour récupérer la poussière.")</f>
        <v>La personne tourne le balai pour récupérer la poussière.</v>
      </c>
    </row>
    <row r="27356">
      <c r="A27356" s="4" t="s">
        <v>34442</v>
      </c>
      <c r="B27356" s="4" t="s">
        <v>34443</v>
      </c>
      <c r="C27356" s="5" t="str">
        <f>IFERROR(__xludf.DUMMYFUNCTION("GOOGLETRANSLATE(B27356,""en"",""fr"")"),"Les athlètes courent sur une piste en plein air d'un champ de champ et de saut à la perche pendant l'entraînement.")</f>
        <v>Les athlètes courent sur une piste en plein air d'un champ de champ et de saut à la perche pendant l'entraînement.</v>
      </c>
    </row>
    <row r="27357">
      <c r="A27357" s="4" t="s">
        <v>34442</v>
      </c>
      <c r="B27357" s="4" t="s">
        <v>34444</v>
      </c>
      <c r="C27357" s="5" t="str">
        <f>IFERROR(__xludf.DUMMYFUNCTION("GOOGLETRANSLATE(B27357,""en"",""fr"")"),"Un athlète court et des sauts de perche lors d'une compétition olympique dans un stade.")</f>
        <v>Un athlète court et des sauts de perche lors d'une compétition olympique dans un stade.</v>
      </c>
    </row>
    <row r="27358">
      <c r="A27358" s="4" t="s">
        <v>34442</v>
      </c>
      <c r="B27358" s="4" t="s">
        <v>34445</v>
      </c>
      <c r="C27358" s="5" t="str">
        <f>IFERROR(__xludf.DUMMYFUNCTION("GOOGLETRANSLATE(B27358,""en"",""fr"")"),"Les athlètes font sauter et plonger sous la corde et sur le tapis.")</f>
        <v>Les athlètes font sauter et plonger sous la corde et sur le tapis.</v>
      </c>
    </row>
    <row r="27359">
      <c r="A27359" s="4" t="s">
        <v>34446</v>
      </c>
      <c r="B27359" s="4" t="s">
        <v>34447</v>
      </c>
      <c r="C27359" s="5" t="str">
        <f>IFERROR(__xludf.DUMMYFUNCTION("GOOGLETRANSLATE(B27359,""en"",""fr"")"),"Un petit garçon remplit un cornet de crème glacée avec de la crème glacée.")</f>
        <v>Un petit garçon remplit un cornet de crème glacée avec de la crème glacée.</v>
      </c>
    </row>
    <row r="27360">
      <c r="A27360" s="4" t="s">
        <v>34446</v>
      </c>
      <c r="B27360" s="4" t="s">
        <v>34448</v>
      </c>
      <c r="C27360" s="5" t="str">
        <f>IFERROR(__xludf.DUMMYFUNCTION("GOOGLETRANSLATE(B27360,""en"",""fr"")"),"Il lèche le cornet de crème glacée.")</f>
        <v>Il lèche le cornet de crème glacée.</v>
      </c>
    </row>
    <row r="27361">
      <c r="A27361" s="4" t="s">
        <v>34446</v>
      </c>
      <c r="B27361" s="4" t="s">
        <v>34449</v>
      </c>
      <c r="C27361" s="5" t="str">
        <f>IFERROR(__xludf.DUMMYFUNCTION("GOOGLETRANSLATE(B27361,""en"",""fr"")"),"Il soulève le cornet de crème glacée pour montrer la caméra.")</f>
        <v>Il soulève le cornet de crème glacée pour montrer la caméra.</v>
      </c>
    </row>
    <row r="27362">
      <c r="A27362" s="4" t="s">
        <v>34450</v>
      </c>
      <c r="B27362" s="4" t="s">
        <v>34451</v>
      </c>
      <c r="C27362" s="5" t="str">
        <f>IFERROR(__xludf.DUMMYFUNCTION("GOOGLETRANSLATE(B27362,""en"",""fr"")"),"Une fille a un poteau et elle a les yeux bandés.")</f>
        <v>Une fille a un poteau et elle a les yeux bandés.</v>
      </c>
    </row>
    <row r="27363">
      <c r="A27363" s="4" t="s">
        <v>34450</v>
      </c>
      <c r="B27363" s="4" t="s">
        <v>34452</v>
      </c>
      <c r="C27363" s="5" t="str">
        <f>IFERROR(__xludf.DUMMYFUNCTION("GOOGLETRANSLATE(B27363,""en"",""fr"")"),"Elle balance dans une pinata et manque.")</f>
        <v>Elle balance dans une pinata et manque.</v>
      </c>
    </row>
    <row r="27364">
      <c r="A27364" s="4" t="s">
        <v>34450</v>
      </c>
      <c r="B27364" s="4" t="s">
        <v>34453</v>
      </c>
      <c r="C27364" s="5" t="str">
        <f>IFERROR(__xludf.DUMMYFUNCTION("GOOGLETRANSLATE(B27364,""en"",""fr"")"),"Elle se rapproche et essaie à nouveau, la frappant cette fois.")</f>
        <v>Elle se rapproche et essaie à nouveau, la frappant cette fois.</v>
      </c>
    </row>
    <row r="27365">
      <c r="A27365" s="4" t="s">
        <v>34450</v>
      </c>
      <c r="B27365" s="4" t="s">
        <v>34454</v>
      </c>
      <c r="C27365" s="5" t="str">
        <f>IFERROR(__xludf.DUMMYFUNCTION("GOOGLETRANSLATE(B27365,""en"",""fr"")"),"Elle recule alors qu'un chien entre en photo.")</f>
        <v>Elle recule alors qu'un chien entre en photo.</v>
      </c>
    </row>
    <row r="27366">
      <c r="A27366" s="4" t="s">
        <v>34450</v>
      </c>
      <c r="B27366" s="4" t="s">
        <v>34455</v>
      </c>
      <c r="C27366" s="5" t="str">
        <f>IFERROR(__xludf.DUMMYFUNCTION("GOOGLETRANSLATE(B27366,""en"",""fr"")"),"Elle continue de se balancer.")</f>
        <v>Elle continue de se balancer.</v>
      </c>
    </row>
    <row r="27367">
      <c r="A27367" s="4" t="s">
        <v>34450</v>
      </c>
      <c r="B27367" s="4" t="s">
        <v>34456</v>
      </c>
      <c r="C27367" s="5" t="str">
        <f>IFERROR(__xludf.DUMMYFUNCTION("GOOGLETRANSLATE(B27367,""en"",""fr"")"),"Elle s'arrête pendant un instant, prend un swing dur et le frappe.")</f>
        <v>Elle s'arrête pendant un instant, prend un swing dur et le frappe.</v>
      </c>
    </row>
    <row r="27368">
      <c r="A27368" s="4" t="s">
        <v>34457</v>
      </c>
      <c r="B27368" s="6" t="s">
        <v>34458</v>
      </c>
      <c r="C27368" s="5" t="str">
        <f>IFERROR(__xludf.DUMMYFUNCTION("GOOGLETRANSLATE(B27368,""en"",""fr"")"),"Divers texte sont affichés sur l'écran et conduit à un homme qui parle et plus d'outils affichés.")</f>
        <v>Divers texte sont affichés sur l'écran et conduit à un homme qui parle et plus d'outils affichés.</v>
      </c>
    </row>
    <row r="27369">
      <c r="A27369" s="4" t="s">
        <v>34457</v>
      </c>
      <c r="B27369" s="4" t="s">
        <v>34459</v>
      </c>
      <c r="C27369" s="5" t="str">
        <f>IFERROR(__xludf.DUMMYFUNCTION("GOOGLETRANSLATE(B27369,""en"",""fr"")"),"L'homme frotte les outils le long de sa peau et pointe en arrière et quatrième au vide en parlant.")</f>
        <v>L'homme frotte les outils le long de sa peau et pointe en arrière et quatrième au vide en parlant.</v>
      </c>
    </row>
    <row r="27370">
      <c r="A27370" s="4" t="s">
        <v>34460</v>
      </c>
      <c r="B27370" s="4" t="s">
        <v>34461</v>
      </c>
      <c r="C27370" s="5" t="str">
        <f>IFERROR(__xludf.DUMMYFUNCTION("GOOGLETRANSLATE(B27370,""en"",""fr"")"),"Le bardeau supérieur d'un toit ne fait pas sécurisation.")</f>
        <v>Le bardeau supérieur d'un toit ne fait pas sécurisation.</v>
      </c>
    </row>
    <row r="27371">
      <c r="A27371" s="4" t="s">
        <v>34460</v>
      </c>
      <c r="B27371" s="4" t="s">
        <v>34462</v>
      </c>
      <c r="C27371" s="5" t="str">
        <f>IFERROR(__xludf.DUMMYFUNCTION("GOOGLETRANSLATE(B27371,""en"",""fr"")"),"Un homme sur un toit martèle un clou dans le bardeau, fixant le bardeau.")</f>
        <v>Un homme sur un toit martèle un clou dans le bardeau, fixant le bardeau.</v>
      </c>
    </row>
    <row r="27372">
      <c r="A27372" s="4" t="s">
        <v>34463</v>
      </c>
      <c r="B27372" s="6" t="s">
        <v>34464</v>
      </c>
      <c r="C27372" s="5" t="str">
        <f>IFERROR(__xludf.DUMMYFUNCTION("GOOGLETRANSLATE(B27372,""en"",""fr"")"),"Diverses personnes sont vues se promener sur une plage menant aux hommes resserrant une corde et rebondissant sur la corde.")</f>
        <v>Diverses personnes sont vues se promener sur une plage menant aux hommes resserrant une corde et rebondissant sur la corde.</v>
      </c>
    </row>
    <row r="27373">
      <c r="A27373" s="4" t="s">
        <v>34463</v>
      </c>
      <c r="B27373" s="6" t="s">
        <v>34465</v>
      </c>
      <c r="C27373" s="5" t="str">
        <f>IFERROR(__xludf.DUMMYFUNCTION("GOOGLETRANSLATE(B27373,""en"",""fr"")"),"Plusieurs personnes effectuent de nombreuses astuces et sautent sur la corde tandis que d'autres se tiennent et regardent sur le côté.")</f>
        <v>Plusieurs personnes effectuent de nombreuses astuces et sautent sur la corde tandis que d'autres se tiennent et regardent sur le côté.</v>
      </c>
    </row>
    <row r="27374">
      <c r="A27374" s="4" t="s">
        <v>34466</v>
      </c>
      <c r="B27374" s="4" t="s">
        <v>34467</v>
      </c>
      <c r="C27374" s="5" t="str">
        <f>IFERROR(__xludf.DUMMYFUNCTION("GOOGLETRANSLATE(B27374,""en"",""fr"")"),"Une personne est vue rouler dans un tube sur une rivière tandis que la caméra zoome sur les pieds d'une personne.")</f>
        <v>Une personne est vue rouler dans un tube sur une rivière tandis que la caméra zoome sur les pieds d'une personne.</v>
      </c>
    </row>
    <row r="27375">
      <c r="A27375" s="4" t="s">
        <v>34466</v>
      </c>
      <c r="B27375" s="4" t="s">
        <v>34468</v>
      </c>
      <c r="C27375" s="5" t="str">
        <f>IFERROR(__xludf.DUMMYFUNCTION("GOOGLETRANSLATE(B27375,""en"",""fr"")"),"Les gens des tubes passent devant les autres dans l'eau.")</f>
        <v>Les gens des tubes passent devant les autres dans l'eau.</v>
      </c>
    </row>
    <row r="27376">
      <c r="A27376" s="4" t="s">
        <v>34466</v>
      </c>
      <c r="B27376" s="4" t="s">
        <v>34469</v>
      </c>
      <c r="C27376" s="5" t="str">
        <f>IFERROR(__xludf.DUMMYFUNCTION("GOOGLETRANSLATE(B27376,""en"",""fr"")"),"Plus de gens sont vus monter sur la rivière dans des tubes.")</f>
        <v>Plus de gens sont vus monter sur la rivière dans des tubes.</v>
      </c>
    </row>
    <row r="27377">
      <c r="A27377" s="4" t="s">
        <v>34470</v>
      </c>
      <c r="B27377" s="6" t="s">
        <v>34471</v>
      </c>
      <c r="C27377" s="5" t="str">
        <f>IFERROR(__xludf.DUMMYFUNCTION("GOOGLETRANSLATE(B27377,""en"",""fr"")"),"Une série de clips de la même femme faisant des saut à la perche à différents événements sportifs professionnels.")</f>
        <v>Une série de clips de la même femme faisant des saut à la perche à différents événements sportifs professionnels.</v>
      </c>
    </row>
    <row r="27378">
      <c r="A27378" s="4" t="s">
        <v>34470</v>
      </c>
      <c r="B27378" s="6" t="s">
        <v>34472</v>
      </c>
      <c r="C27378" s="5" t="str">
        <f>IFERROR(__xludf.DUMMYFUNCTION("GOOGLETRANSLATE(B27378,""en"",""fr"")"),"Une femme tenant un poteau court sur une piste vers une ligne de but et effectue un saut à la perche devant les spectateurs et les supporters de l'événement.")</f>
        <v>Une femme tenant un poteau court sur une piste vers une ligne de but et effectue un saut à la perche devant les spectateurs et les supporters de l'événement.</v>
      </c>
    </row>
    <row r="27379">
      <c r="A27379" s="4" t="s">
        <v>34470</v>
      </c>
      <c r="B27379" s="6" t="s">
        <v>34473</v>
      </c>
      <c r="C27379" s="5" t="str">
        <f>IFERROR(__xludf.DUMMYFUNCTION("GOOGLETRANSLATE(B27379,""en"",""fr"")"),"La femme est ensuite présentée à deux autres événements effectuant le même saut à la perche entouré de spectateurs et des preneurs de scores.")</f>
        <v>La femme est ensuite présentée à deux autres événements effectuant le même saut à la perche entouré de spectateurs et des preneurs de scores.</v>
      </c>
    </row>
    <row r="27380">
      <c r="A27380" s="4" t="s">
        <v>34474</v>
      </c>
      <c r="B27380" s="6" t="s">
        <v>34475</v>
      </c>
      <c r="C27380" s="5" t="str">
        <f>IFERROR(__xludf.DUMMYFUNCTION("GOOGLETRANSLATE(B27380,""en"",""fr"")"),"Une femme se tient devant un miroir et se rince la bouche avant de tirer son visage près du miroir et de regarder ses dents sous un angle rapproché.")</f>
        <v>Une femme se tient devant un miroir et se rince la bouche avant de tirer son visage près du miroir et de regarder ses dents sous un angle rapproché.</v>
      </c>
    </row>
    <row r="27381">
      <c r="A27381" s="4" t="s">
        <v>34474</v>
      </c>
      <c r="B27381" s="4" t="s">
        <v>34476</v>
      </c>
      <c r="C27381" s="5" t="str">
        <f>IFERROR(__xludf.DUMMYFUNCTION("GOOGLETRANSLATE(B27381,""en"",""fr"")"),"Une femme s'assoit devant un miroir de salle de bain écrasant de l'eau dans sa bouche, comme si elle se rincer la bouche.")</f>
        <v>Une femme s'assoit devant un miroir de salle de bain écrasant de l'eau dans sa bouche, comme si elle se rincer la bouche.</v>
      </c>
    </row>
    <row r="27382">
      <c r="A27382" s="4" t="s">
        <v>34474</v>
      </c>
      <c r="B27382" s="6" t="s">
        <v>34477</v>
      </c>
      <c r="C27382" s="5" t="str">
        <f>IFERROR(__xludf.DUMMYFUNCTION("GOOGLETRANSLATE(B27382,""en"",""fr"")"),"La femme crache ensuite l'eau dans l'évier et regarde ses dents très proches dans le miroir avant que la scène ne s'adresse.")</f>
        <v>La femme crache ensuite l'eau dans l'évier et regarde ses dents très proches dans le miroir avant que la scène ne s'adresse.</v>
      </c>
    </row>
    <row r="27383">
      <c r="A27383" s="4" t="s">
        <v>34478</v>
      </c>
      <c r="B27383" s="4" t="s">
        <v>34479</v>
      </c>
      <c r="C27383" s="5" t="str">
        <f>IFERROR(__xludf.DUMMYFUNCTION("GOOGLETRANSLATE(B27383,""en"",""fr"")"),"Nous voyons des gens sur des skis tomber dur.")</f>
        <v>Nous voyons des gens sur des skis tomber dur.</v>
      </c>
    </row>
    <row r="27384">
      <c r="A27384" s="4" t="s">
        <v>34478</v>
      </c>
      <c r="B27384" s="4" t="s">
        <v>34480</v>
      </c>
      <c r="C27384" s="5" t="str">
        <f>IFERROR(__xludf.DUMMYFUNCTION("GOOGLETRANSLATE(B27384,""en"",""fr"")"),"Nous voyons une personne voler dans un tas de neige.")</f>
        <v>Nous voyons une personne voler dans un tas de neige.</v>
      </c>
    </row>
    <row r="27385">
      <c r="A27385" s="4" t="s">
        <v>34478</v>
      </c>
      <c r="B27385" s="4" t="s">
        <v>34481</v>
      </c>
      <c r="C27385" s="5" t="str">
        <f>IFERROR(__xludf.DUMMYFUNCTION("GOOGLETRANSLATE(B27385,""en"",""fr"")"),"Une personne skie et tombe alors qu'elle saute dans une rue.")</f>
        <v>Une personne skie et tombe alors qu'elle saute dans une rue.</v>
      </c>
    </row>
    <row r="27386">
      <c r="A27386" s="4" t="s">
        <v>34478</v>
      </c>
      <c r="B27386" s="6" t="s">
        <v>34482</v>
      </c>
      <c r="C27386" s="5" t="str">
        <f>IFERROR(__xludf.DUMMYFUNCTION("GOOGLETRANSLATE(B27386,""en"",""fr"")"),"Une personne sur skis tient une ligne et tombe, puis une personne en blanc s'écrase dans une autre et elle tombe toutes les deux.")</f>
        <v>Une personne sur skis tient une ligne et tombe, puis une personne en blanc s'écrase dans une autre et elle tombe toutes les deux.</v>
      </c>
    </row>
    <row r="27387">
      <c r="A27387" s="4" t="s">
        <v>34478</v>
      </c>
      <c r="B27387" s="4" t="s">
        <v>34483</v>
      </c>
      <c r="C27387" s="5" t="str">
        <f>IFERROR(__xludf.DUMMYFUNCTION("GOOGLETRANSLATE(B27387,""en"",""fr"")"),"Un snowboarder ne peut pas tenir la ligne et renverse une personne qui aide et tombe lui-même.")</f>
        <v>Un snowboarder ne peut pas tenir la ligne et renverse une personne qui aide et tombe lui-même.</v>
      </c>
    </row>
    <row r="27388">
      <c r="A27388" s="4" t="s">
        <v>34484</v>
      </c>
      <c r="B27388" s="4" t="s">
        <v>34485</v>
      </c>
      <c r="C27388" s="5" t="str">
        <f>IFERROR(__xludf.DUMMYFUNCTION("GOOGLETRANSLATE(B27388,""en"",""fr"")"),"Une rivière entourée de rochers Apperas.")</f>
        <v>Une rivière entourée de rochers Apperas.</v>
      </c>
    </row>
    <row r="27389">
      <c r="A27389" s="4" t="s">
        <v>34484</v>
      </c>
      <c r="B27389" s="4" t="s">
        <v>34486</v>
      </c>
      <c r="C27389" s="5" t="str">
        <f>IFERROR(__xludf.DUMMYFUNCTION("GOOGLETRANSLATE(B27389,""en"",""fr"")"),"Plusieurs personnes flottent à travers elle dans les intertubes.")</f>
        <v>Plusieurs personnes flottent à travers elle dans les intertubes.</v>
      </c>
    </row>
    <row r="27390">
      <c r="A27390" s="4" t="s">
        <v>34484</v>
      </c>
      <c r="B27390" s="4" t="s">
        <v>34487</v>
      </c>
      <c r="C27390" s="5" t="str">
        <f>IFERROR(__xludf.DUMMYFUNCTION("GOOGLETRANSLATE(B27390,""en"",""fr"")"),"Ils flottent sur la rivière ensemble à travers les rapides.")</f>
        <v>Ils flottent sur la rivière ensemble à travers les rapides.</v>
      </c>
    </row>
    <row r="27391">
      <c r="A27391" s="4" t="s">
        <v>34488</v>
      </c>
      <c r="B27391" s="6" t="s">
        <v>34489</v>
      </c>
      <c r="C27391" s="5" t="str">
        <f>IFERROR(__xludf.DUMMYFUNCTION("GOOGLETRANSLATE(B27391,""en"",""fr"")"),"Un homme et un homme en chemise verte décorent l'arbre de Noël avec son enfant en chemise grise, ils mettent les décorations pendant que la femme est assise sur une chaise près de l'arbre et mette les décors sur la table bleue.")</f>
        <v>Un homme et un homme en chemise verte décorent l'arbre de Noël avec son enfant en chemise grise, ils mettent les décorations pendant que la femme est assise sur une chaise près de l'arbre et mette les décors sur la table bleue.</v>
      </c>
    </row>
    <row r="27392">
      <c r="A27392" s="4" t="s">
        <v>34488</v>
      </c>
      <c r="B27392" s="6" t="s">
        <v>34490</v>
      </c>
      <c r="C27392" s="5" t="str">
        <f>IFERROR(__xludf.DUMMYFUNCTION("GOOGLETRANSLATE(B27392,""en"",""fr"")"),"La dame a aidé l'homme et l'enfant à accrocher le décor dans l'arbre de Noël, l'homme a remis quelques décorations à la dame et elle l'a mise sur l'arbre.")</f>
        <v>La dame a aidé l'homme et l'enfant à accrocher le décor dans l'arbre de Noël, l'homme a remis quelques décorations à la dame et elle l'a mise sur l'arbre.</v>
      </c>
    </row>
    <row r="27393">
      <c r="A27393" s="4" t="s">
        <v>34488</v>
      </c>
      <c r="B27393" s="6" t="s">
        <v>34491</v>
      </c>
      <c r="C27393" s="5" t="str">
        <f>IFERROR(__xludf.DUMMYFUNCTION("GOOGLETRANSLATE(B27393,""en"",""fr"")"),"La femme s'est assise sur la chaise pour organiser le bal de Noël sur la table et les a aidés avec les décorations.")</f>
        <v>La femme s'est assise sur la chaise pour organiser le bal de Noël sur la table et les a aidés avec les décorations.</v>
      </c>
    </row>
    <row r="27394">
      <c r="A27394" s="4" t="s">
        <v>34488</v>
      </c>
      <c r="B27394" s="4" t="s">
        <v>34492</v>
      </c>
      <c r="C27394" s="5" t="str">
        <f>IFERROR(__xludf.DUMMYFUNCTION("GOOGLETRANSLATE(B27394,""en"",""fr"")"),"Une dame en haut noir a mis plus de décorations à l'arbre de Noël.")</f>
        <v>Une dame en haut noir a mis plus de décorations à l'arbre de Noël.</v>
      </c>
    </row>
    <row r="27395">
      <c r="A27395" s="4" t="s">
        <v>34493</v>
      </c>
      <c r="B27395" s="4" t="s">
        <v>34494</v>
      </c>
      <c r="C27395" s="5" t="str">
        <f>IFERROR(__xludf.DUMMYFUNCTION("GOOGLETRANSLATE(B27395,""en"",""fr"")"),"Un garçon s'approche d'un poste sur un très grand tribunal intérieur.")</f>
        <v>Un garçon s'approche d'un poste sur un très grand tribunal intérieur.</v>
      </c>
    </row>
    <row r="27396">
      <c r="A27396" s="4" t="s">
        <v>34493</v>
      </c>
      <c r="B27396" s="4" t="s">
        <v>34495</v>
      </c>
      <c r="C27396" s="5" t="str">
        <f>IFERROR(__xludf.DUMMYFUNCTION("GOOGLETRANSLATE(B27396,""en"",""fr"")"),"Il se prépare, déplaçant ses bras.")</f>
        <v>Il se prépare, déplaçant ses bras.</v>
      </c>
    </row>
    <row r="27397">
      <c r="A27397" s="4" t="s">
        <v>34493</v>
      </c>
      <c r="B27397" s="4" t="s">
        <v>34496</v>
      </c>
      <c r="C27397" s="5" t="str">
        <f>IFERROR(__xludf.DUMMYFUNCTION("GOOGLETRANSLATE(B27397,""en"",""fr"")"),"Il commence à tourner très rapidement.")</f>
        <v>Il commence à tourner très rapidement.</v>
      </c>
    </row>
    <row r="27398">
      <c r="A27398" s="4" t="s">
        <v>34493</v>
      </c>
      <c r="B27398" s="4" t="s">
        <v>34497</v>
      </c>
      <c r="C27398" s="5" t="str">
        <f>IFERROR(__xludf.DUMMYFUNCTION("GOOGLETRANSLATE(B27398,""en"",""fr"")"),"Finalement, lâcher prise et lancer le ballon.")</f>
        <v>Finalement, lâcher prise et lancer le ballon.</v>
      </c>
    </row>
    <row r="27399">
      <c r="A27399" s="4" t="s">
        <v>34498</v>
      </c>
      <c r="B27399" s="4" t="s">
        <v>34499</v>
      </c>
      <c r="C27399" s="5" t="str">
        <f>IFERROR(__xludf.DUMMYFUNCTION("GOOGLETRANSLATE(B27399,""en"",""fr"")"),"Une femme gifle sa joue alors qu'elle se prépare sur un terrain.")</f>
        <v>Une femme gifle sa joue alors qu'elle se prépare sur un terrain.</v>
      </c>
    </row>
    <row r="27400">
      <c r="A27400" s="4" t="s">
        <v>34498</v>
      </c>
      <c r="B27400" s="4" t="s">
        <v>34500</v>
      </c>
      <c r="C27400" s="5" t="str">
        <f>IFERROR(__xludf.DUMMYFUNCTION("GOOGLETRANSLATE(B27400,""en"",""fr"")"),"Elle balance un ballon à plusieurs reprises.")</f>
        <v>Elle balance un ballon à plusieurs reprises.</v>
      </c>
    </row>
    <row r="27401">
      <c r="A27401" s="4" t="s">
        <v>34498</v>
      </c>
      <c r="B27401" s="4" t="s">
        <v>34501</v>
      </c>
      <c r="C27401" s="5" t="str">
        <f>IFERROR(__xludf.DUMMYFUNCTION("GOOGLETRANSLATE(B27401,""en"",""fr"")"),"Elle lâche, laissant le ballon voler dans les airs.")</f>
        <v>Elle lâche, laissant le ballon voler dans les airs.</v>
      </c>
    </row>
    <row r="27402">
      <c r="A27402" s="4" t="s">
        <v>34502</v>
      </c>
      <c r="B27402" s="6" t="s">
        <v>34503</v>
      </c>
      <c r="C27402" s="5" t="str">
        <f>IFERROR(__xludf.DUMMYFUNCTION("GOOGLETRANSLATE(B27402,""en"",""fr"")"),"Une femme portant un haut noir et avec des cheveux bruns bouclés et des reflets en bronze montre comment utiliser un diffuseur pour sécher les cheveux.")</f>
        <v>Une femme portant un haut noir et avec des cheveux bruns bouclés et des reflets en bronze montre comment utiliser un diffuseur pour sécher les cheveux.</v>
      </c>
    </row>
    <row r="27403">
      <c r="A27403" s="4" t="s">
        <v>34502</v>
      </c>
      <c r="B27403" s="4" t="s">
        <v>34504</v>
      </c>
      <c r="C27403" s="5" t="str">
        <f>IFERROR(__xludf.DUMMYFUNCTION("GOOGLETRANSLATE(B27403,""en"",""fr"")"),"Elle utilise le sèche-linge à feu moyen pour sécher ses cheveux.")</f>
        <v>Elle utilise le sèche-linge à feu moyen pour sécher ses cheveux.</v>
      </c>
    </row>
    <row r="27404">
      <c r="A27404" s="4" t="s">
        <v>34502</v>
      </c>
      <c r="B27404" s="4" t="s">
        <v>34505</v>
      </c>
      <c r="C27404" s="5" t="str">
        <f>IFERROR(__xludf.DUMMYFUNCTION("GOOGLETRANSLATE(B27404,""en"",""fr"")"),"Elle sèche les boucles jusqu'à ce que l'humidité des cheveux ait disparu.")</f>
        <v>Elle sèche les boucles jusqu'à ce que l'humidité des cheveux ait disparu.</v>
      </c>
    </row>
    <row r="27405">
      <c r="A27405" s="4" t="s">
        <v>34502</v>
      </c>
      <c r="B27405" s="4" t="s">
        <v>34506</v>
      </c>
      <c r="C27405" s="5" t="str">
        <f>IFERROR(__xludf.DUMMYFUNCTION("GOOGLETRANSLATE(B27405,""en"",""fr"")"),"Après avoir fini d'utiliser le sèche-linge, elle utilise un peigne à dents larges pour peigner ses boucles.")</f>
        <v>Après avoir fini d'utiliser le sèche-linge, elle utilise un peigne à dents larges pour peigner ses boucles.</v>
      </c>
    </row>
    <row r="27406">
      <c r="A27406" s="4" t="s">
        <v>34502</v>
      </c>
      <c r="B27406" s="4" t="s">
        <v>34507</v>
      </c>
      <c r="C27406" s="5" t="str">
        <f>IFERROR(__xludf.DUMMYFUNCTION("GOOGLETRANSLATE(B27406,""en"",""fr"")"),"Elle pivota ensuite ses cheveux et montre ses boucles succulentes.")</f>
        <v>Elle pivota ensuite ses cheveux et montre ses boucles succulentes.</v>
      </c>
    </row>
    <row r="27407">
      <c r="A27407" s="4" t="s">
        <v>34508</v>
      </c>
      <c r="B27407" s="4" t="s">
        <v>34509</v>
      </c>
      <c r="C27407" s="5" t="str">
        <f>IFERROR(__xludf.DUMMYFUNCTION("GOOGLETRANSLATE(B27407,""en"",""fr"")"),"Un hélicoptère vole dans certaines personnes qui commencent ensuite à jouer au paintball.")</f>
        <v>Un hélicoptère vole dans certaines personnes qui commencent ensuite à jouer au paintball.</v>
      </c>
    </row>
    <row r="27408">
      <c r="A27408" s="4" t="s">
        <v>34508</v>
      </c>
      <c r="B27408" s="4" t="s">
        <v>34510</v>
      </c>
      <c r="C27408" s="5" t="str">
        <f>IFERROR(__xludf.DUMMYFUNCTION("GOOGLETRANSLATE(B27408,""en"",""fr"")"),"Ils courent des obstacles et passent un bon moment.")</f>
        <v>Ils courent des obstacles et passent un bon moment.</v>
      </c>
    </row>
    <row r="27409">
      <c r="A27409" s="4" t="s">
        <v>34511</v>
      </c>
      <c r="B27409" s="4" t="s">
        <v>34512</v>
      </c>
      <c r="C27409" s="5" t="str">
        <f>IFERROR(__xludf.DUMMYFUNCTION("GOOGLETRANSLATE(B27409,""en"",""fr"")"),"Un garçon tient une hache à l'extérieur.")</f>
        <v>Un garçon tient une hache à l'extérieur.</v>
      </c>
    </row>
    <row r="27410">
      <c r="A27410" s="4" t="s">
        <v>34511</v>
      </c>
      <c r="B27410" s="4" t="s">
        <v>34513</v>
      </c>
      <c r="C27410" s="5" t="str">
        <f>IFERROR(__xludf.DUMMYFUNCTION("GOOGLETRANSLATE(B27410,""en"",""fr"")"),"Il balance la hache à un moignon.")</f>
        <v>Il balance la hache à un moignon.</v>
      </c>
    </row>
    <row r="27411">
      <c r="A27411" s="4" t="s">
        <v>34511</v>
      </c>
      <c r="B27411" s="4" t="s">
        <v>34514</v>
      </c>
      <c r="C27411" s="5" t="str">
        <f>IFERROR(__xludf.DUMMYFUNCTION("GOOGLETRANSLATE(B27411,""en"",""fr"")"),"Un autre garçon est montré en faisant la même chose.")</f>
        <v>Un autre garçon est montré en faisant la même chose.</v>
      </c>
    </row>
    <row r="27412">
      <c r="A27412" s="4" t="s">
        <v>34511</v>
      </c>
      <c r="B27412" s="4" t="s">
        <v>34515</v>
      </c>
      <c r="C27412" s="5" t="str">
        <f>IFERROR(__xludf.DUMMYFUNCTION("GOOGLETRANSLATE(B27412,""en"",""fr"")"),"Ils continuent d'essayer de diviser le bois.")</f>
        <v>Ils continuent d'essayer de diviser le bois.</v>
      </c>
    </row>
    <row r="27413">
      <c r="A27413" s="4" t="s">
        <v>34516</v>
      </c>
      <c r="B27413" s="4" t="s">
        <v>34517</v>
      </c>
      <c r="C27413" s="5" t="str">
        <f>IFERROR(__xludf.DUMMYFUNCTION("GOOGLETRANSLATE(B27413,""en"",""fr"")"),"Le début d'une course est montré comme des personnes passées par et la finition est également montrée.")</f>
        <v>Le début d'une course est montré comme des personnes passées par et la finition est également montrée.</v>
      </c>
    </row>
    <row r="27414">
      <c r="A27414" s="4" t="s">
        <v>34516</v>
      </c>
      <c r="B27414" s="4" t="s">
        <v>34518</v>
      </c>
      <c r="C27414" s="5" t="str">
        <f>IFERROR(__xludf.DUMMYFUNCTION("GOOGLETRANSLATE(B27414,""en"",""fr"")"),"Les personnes en costumes sont montrées et les gens passent généralement un bon moment.")</f>
        <v>Les personnes en costumes sont montrées et les gens passent généralement un bon moment.</v>
      </c>
    </row>
    <row r="27415">
      <c r="A27415" s="4" t="s">
        <v>34519</v>
      </c>
      <c r="B27415" s="4" t="s">
        <v>34520</v>
      </c>
      <c r="C27415" s="5" t="str">
        <f>IFERROR(__xludf.DUMMYFUNCTION("GOOGLETRANSLATE(B27415,""en"",""fr"")"),"Une introduction mène à plusieurs plans de personnes qui roulent sur des collines enneigées et grimpant sur le côté.")</f>
        <v>Une introduction mène à plusieurs plans de personnes qui roulent sur des collines enneigées et grimpant sur le côté.</v>
      </c>
    </row>
    <row r="27416">
      <c r="A27416" s="4" t="s">
        <v>34519</v>
      </c>
      <c r="B27416" s="6" t="s">
        <v>34521</v>
      </c>
      <c r="C27416" s="5" t="str">
        <f>IFERROR(__xludf.DUMMYFUNCTION("GOOGLETRANSLATE(B27416,""en"",""fr"")"),"Deux personnes parlent de la caméra et en montrent plus de coups de pouce grimpant sur une montagne et divers plans de la montagne.")</f>
        <v>Deux personnes parlent de la caméra et en montrent plus de coups de pouce grimpant sur une montagne et divers plans de la montagne.</v>
      </c>
    </row>
    <row r="27417">
      <c r="A27417" s="4" t="s">
        <v>34519</v>
      </c>
      <c r="B27417" s="6" t="s">
        <v>34522</v>
      </c>
      <c r="C27417" s="5" t="str">
        <f>IFERROR(__xludf.DUMMYFUNCTION("GOOGLETRANSLATE(B27417,""en"",""fr"")"),"Les gens roulent ensuite sur des skis tout en parlant à la caméra et en montrent plusieurs coups d'entre eux en descendant la montagne enneigée.")</f>
        <v>Les gens roulent ensuite sur des skis tout en parlant à la caméra et en montrent plusieurs coups d'entre eux en descendant la montagne enneigée.</v>
      </c>
    </row>
    <row r="27418">
      <c r="A27418" s="4" t="s">
        <v>34523</v>
      </c>
      <c r="B27418" s="6" t="s">
        <v>34524</v>
      </c>
      <c r="C27418" s="5" t="str">
        <f>IFERROR(__xludf.DUMMYFUNCTION("GOOGLETRANSLATE(B27418,""en"",""fr"")"),"Deux femmes et une petite fille marchent à l'extérieur, montrant à la petite fille un groupe de garçons au loin.")</f>
        <v>Deux femmes et une petite fille marchent à l'extérieur, montrant à la petite fille un groupe de garçons au loin.</v>
      </c>
    </row>
    <row r="27419">
      <c r="A27419" s="4" t="s">
        <v>34523</v>
      </c>
      <c r="B27419" s="4" t="s">
        <v>34525</v>
      </c>
      <c r="C27419" s="5" t="str">
        <f>IFERROR(__xludf.DUMMYFUNCTION("GOOGLETRANSLATE(B27419,""en"",""fr"")"),"Ils lancent une balle et la fille le donne un coup de pied avant d'être conduit à une base.")</f>
        <v>Ils lancent une balle et la fille le donne un coup de pied avant d'être conduit à une base.</v>
      </c>
    </row>
    <row r="27420">
      <c r="A27420" s="4" t="s">
        <v>34523</v>
      </c>
      <c r="B27420" s="4" t="s">
        <v>34526</v>
      </c>
      <c r="C27420" s="5" t="str">
        <f>IFERROR(__xludf.DUMMYFUNCTION("GOOGLETRANSLATE(B27420,""en"",""fr"")"),"Le groupe se rassemble pour la féliciter.")</f>
        <v>Le groupe se rassemble pour la féliciter.</v>
      </c>
    </row>
    <row r="27421">
      <c r="A27421" s="4" t="s">
        <v>34527</v>
      </c>
      <c r="B27421" s="4" t="s">
        <v>34528</v>
      </c>
      <c r="C27421" s="5" t="str">
        <f>IFERROR(__xludf.DUMMYFUNCTION("GOOGLETRANSLATE(B27421,""en"",""fr"")"),"Un homme est vu assis derrière un bureau travaillant sur un ordinateur.")</f>
        <v>Un homme est vu assis derrière un bureau travaillant sur un ordinateur.</v>
      </c>
    </row>
    <row r="27422">
      <c r="A27422" s="4" t="s">
        <v>34527</v>
      </c>
      <c r="B27422" s="4" t="s">
        <v>34529</v>
      </c>
      <c r="C27422" s="5" t="str">
        <f>IFERROR(__xludf.DUMMYFUNCTION("GOOGLETRANSLATE(B27422,""en"",""fr"")"),"Plusieurs plans sont représentés des personnes qui impriment du papier ainsi que du papier se rapprochant du papier.")</f>
        <v>Plusieurs plans sont représentés des personnes qui impriment du papier ainsi que du papier se rapprochant du papier.</v>
      </c>
    </row>
    <row r="27423">
      <c r="A27423" s="4" t="s">
        <v>34527</v>
      </c>
      <c r="B27423" s="4" t="s">
        <v>34530</v>
      </c>
      <c r="C27423" s="5" t="str">
        <f>IFERROR(__xludf.DUMMYFUNCTION("GOOGLETRANSLATE(B27423,""en"",""fr"")"),"Plus de clips sont montrés des gens qui raccrochent le papier peint ainsi que les photos de la ville.")</f>
        <v>Plus de clips sont montrés des gens qui raccrochent le papier peint ainsi que les photos de la ville.</v>
      </c>
    </row>
    <row r="27424">
      <c r="A27424" s="4" t="s">
        <v>34531</v>
      </c>
      <c r="B27424" s="4" t="s">
        <v>34532</v>
      </c>
      <c r="C27424" s="5" t="str">
        <f>IFERROR(__xludf.DUMMYFUNCTION("GOOGLETRANSLATE(B27424,""en"",""fr"")"),"Une vidéo commence à montrer un homme et une femme se tenant et se remet en arrière et quatrième.")</f>
        <v>Une vidéo commence à montrer un homme et une femme se tenant et se remet en arrière et quatrième.</v>
      </c>
    </row>
    <row r="27425">
      <c r="A27425" s="4" t="s">
        <v>34531</v>
      </c>
      <c r="B27425" s="4" t="s">
        <v>34533</v>
      </c>
      <c r="C27425" s="5" t="str">
        <f>IFERROR(__xludf.DUMMYFUNCTION("GOOGLETRANSLATE(B27425,""en"",""fr"")"),"Le couple retire ses pieds et quatrième pendant que l'homme parle à la caméra.")</f>
        <v>Le couple retire ses pieds et quatrième pendant que l'homme parle à la caméra.</v>
      </c>
    </row>
    <row r="27426">
      <c r="A27426" s="4" t="s">
        <v>34531</v>
      </c>
      <c r="B27426" s="6" t="s">
        <v>34534</v>
      </c>
      <c r="C27426" s="5" t="str">
        <f>IFERROR(__xludf.DUMMYFUNCTION("GOOGLETRANSLATE(B27426,""en"",""fr"")"),"La femme parle finalement la caméra tout en effectuant plusieurs mouvements de danse différents pour que la caméra puisse voir.")</f>
        <v>La femme parle finalement la caméra tout en effectuant plusieurs mouvements de danse différents pour que la caméra puisse voir.</v>
      </c>
    </row>
    <row r="27427">
      <c r="A27427" s="4" t="s">
        <v>34535</v>
      </c>
      <c r="B27427" s="4" t="s">
        <v>34536</v>
      </c>
      <c r="C27427" s="5" t="str">
        <f>IFERROR(__xludf.DUMMYFUNCTION("GOOGLETRANSLATE(B27427,""en"",""fr"")"),"Plusieurs canots sont représentés au ralenti dans l'eau trouble.")</f>
        <v>Plusieurs canots sont représentés au ralenti dans l'eau trouble.</v>
      </c>
    </row>
    <row r="27428">
      <c r="A27428" s="4" t="s">
        <v>34535</v>
      </c>
      <c r="B27428" s="4" t="s">
        <v>34537</v>
      </c>
      <c r="C27428" s="5" t="str">
        <f>IFERROR(__xludf.DUMMYFUNCTION("GOOGLETRANSLATE(B27428,""en"",""fr"")"),"Ensuite, un ensemble de garçons commence à faire du kayak dans l'eau et à sauter des arbres.")</f>
        <v>Ensuite, un ensemble de garçons commence à faire du kayak dans l'eau et à sauter des arbres.</v>
      </c>
    </row>
    <row r="27429">
      <c r="A27429" s="4" t="s">
        <v>34538</v>
      </c>
      <c r="B27429" s="4" t="s">
        <v>34539</v>
      </c>
      <c r="C27429" s="5" t="str">
        <f>IFERROR(__xludf.DUMMYFUNCTION("GOOGLETRANSLATE(B27429,""en"",""fr"")"),"Une personne se lave les mains dans un puits.")</f>
        <v>Une personne se lave les mains dans un puits.</v>
      </c>
    </row>
    <row r="27430">
      <c r="A27430" s="4" t="s">
        <v>34538</v>
      </c>
      <c r="B27430" s="4" t="s">
        <v>34540</v>
      </c>
      <c r="C27430" s="5" t="str">
        <f>IFERROR(__xludf.DUMMYFUNCTION("GOOGLETRANSLATE(B27430,""en"",""fr"")"),"Deux femmes se tiennent près de l'évier en se lavant les mains.")</f>
        <v>Deux femmes se tiennent près de l'évier en se lavant les mains.</v>
      </c>
    </row>
    <row r="27431">
      <c r="A27431" s="4" t="s">
        <v>34538</v>
      </c>
      <c r="B27431" s="4" t="s">
        <v>13650</v>
      </c>
      <c r="C27431" s="5" t="str">
        <f>IFERROR(__xludf.DUMMYFUNCTION("GOOGLETRANSLATE(B27431,""en"",""fr"")"),"Les mots viennent sur l'écran.")</f>
        <v>Les mots viennent sur l'écran.</v>
      </c>
    </row>
    <row r="27432">
      <c r="A27432" s="4" t="s">
        <v>34541</v>
      </c>
      <c r="B27432" s="4" t="s">
        <v>34542</v>
      </c>
      <c r="C27432" s="5" t="str">
        <f>IFERROR(__xludf.DUMMYFUNCTION("GOOGLETRANSLATE(B27432,""en"",""fr"")"),"Deux hommes à genoux montrent un étirement flexxer de la hanche dans une salle de gym thérapeutique.")</f>
        <v>Deux hommes à genoux montrent un étirement flexxer de la hanche dans une salle de gym thérapeutique.</v>
      </c>
    </row>
    <row r="27433">
      <c r="A27433" s="4" t="s">
        <v>34541</v>
      </c>
      <c r="B27433" s="6" t="s">
        <v>34543</v>
      </c>
      <c r="C27433" s="5" t="str">
        <f>IFERROR(__xludf.DUMMYFUNCTION("GOOGLETRANSLATE(B27433,""en"",""fr"")"),"L'homme portant un t-shirt noir utilise l'homme portant un t-shirt vert comme modèle pour démontrer l'étirement flexxer de la hanche.")</f>
        <v>L'homme portant un t-shirt noir utilise l'homme portant un t-shirt vert comme modèle pour démontrer l'étirement flexxer de la hanche.</v>
      </c>
    </row>
    <row r="27434">
      <c r="A27434" s="4" t="s">
        <v>34541</v>
      </c>
      <c r="B27434" s="6" t="s">
        <v>34544</v>
      </c>
      <c r="C27434" s="5" t="str">
        <f>IFERROR(__xludf.DUMMYFUNCTION("GOOGLETRANSLATE(B27434,""en"",""fr"")"),"L'homme dans le t-shirt noir ajuste l'homme dans la chemise verte -T A en différentes positions par un léger positionnement du pied, de la jambe, des hanches et des bras.")</f>
        <v>L'homme dans le t-shirt noir ajuste l'homme dans la chemise verte -T A en différentes positions par un léger positionnement du pied, de la jambe, des hanches et des bras.</v>
      </c>
    </row>
    <row r="27435">
      <c r="A27435" s="4" t="s">
        <v>34545</v>
      </c>
      <c r="B27435" s="4" t="s">
        <v>34546</v>
      </c>
      <c r="C27435" s="5" t="str">
        <f>IFERROR(__xludf.DUMMYFUNCTION("GOOGLETRANSLATE(B27435,""en"",""fr"")"),"Les crédits des clips sont affichés.")</f>
        <v>Les crédits des clips sont affichés.</v>
      </c>
    </row>
    <row r="27436">
      <c r="A27436" s="4" t="s">
        <v>34545</v>
      </c>
      <c r="B27436" s="4" t="s">
        <v>34547</v>
      </c>
      <c r="C27436" s="5" t="str">
        <f>IFERROR(__xludf.DUMMYFUNCTION("GOOGLETRANSLATE(B27436,""en"",""fr"")"),"Une femme est à l'extérieur à côté d'un tas de neige.")</f>
        <v>Une femme est à l'extérieur à côté d'un tas de neige.</v>
      </c>
    </row>
    <row r="27437">
      <c r="A27437" s="4" t="s">
        <v>34545</v>
      </c>
      <c r="B27437" s="4" t="s">
        <v>34548</v>
      </c>
      <c r="C27437" s="5" t="str">
        <f>IFERROR(__xludf.DUMMYFUNCTION("GOOGLETRANSLATE(B27437,""en"",""fr"")"),"Un gars ramasse une pelle à la pelle à la neige sur le côté.")</f>
        <v>Un gars ramasse une pelle à la pelle à la neige sur le côté.</v>
      </c>
    </row>
    <row r="27438">
      <c r="A27438" s="4" t="s">
        <v>34545</v>
      </c>
      <c r="B27438" s="4" t="s">
        <v>34549</v>
      </c>
      <c r="C27438" s="5" t="str">
        <f>IFERROR(__xludf.DUMMYFUNCTION("GOOGLETRANSLATE(B27438,""en"",""fr"")"),"Le gars pose la pelle et étire son dos en arrière deux fois.")</f>
        <v>Le gars pose la pelle et étire son dos en arrière deux fois.</v>
      </c>
    </row>
    <row r="27439">
      <c r="A27439" s="4" t="s">
        <v>34545</v>
      </c>
      <c r="B27439" s="4" t="s">
        <v>34550</v>
      </c>
      <c r="C27439" s="5" t="str">
        <f>IFERROR(__xludf.DUMMYFUNCTION("GOOGLETRANSLATE(B27439,""en"",""fr"")"),"Le gars ramasse la pelle et continue de pelleter la neige.")</f>
        <v>Le gars ramasse la pelle et continue de pelleter la neige.</v>
      </c>
    </row>
    <row r="27440">
      <c r="A27440" s="4" t="s">
        <v>34545</v>
      </c>
      <c r="B27440" s="4" t="s">
        <v>34546</v>
      </c>
      <c r="C27440" s="5" t="str">
        <f>IFERROR(__xludf.DUMMYFUNCTION("GOOGLETRANSLATE(B27440,""en"",""fr"")"),"Les crédits des clips sont affichés.")</f>
        <v>Les crédits des clips sont affichés.</v>
      </c>
    </row>
    <row r="27441">
      <c r="A27441" s="4" t="s">
        <v>34551</v>
      </c>
      <c r="B27441" s="6" t="s">
        <v>34552</v>
      </c>
      <c r="C27441" s="5" t="str">
        <f>IFERROR(__xludf.DUMMYFUNCTION("GOOGLETRANSLATE(B27441,""en"",""fr"")"),"Un coup de près d'enfants est vu rouler autour d'un jeu de voitures tampons et se heurter les uns aux autres.")</f>
        <v>Un coup de près d'enfants est vu rouler autour d'un jeu de voitures tampons et se heurter les uns aux autres.</v>
      </c>
    </row>
    <row r="27442">
      <c r="A27442" s="4" t="s">
        <v>34551</v>
      </c>
      <c r="B27442" s="6" t="s">
        <v>34553</v>
      </c>
      <c r="C27442" s="5" t="str">
        <f>IFERROR(__xludf.DUMMYFUNCTION("GOOGLETRANSLATE(B27442,""en"",""fr"")"),"Deux garçons sont vus se cogner avec plusieurs autres enfants qui roulent et se frappent.")</f>
        <v>Deux garçons sont vus se cogner avec plusieurs autres enfants qui roulent et se frappent.</v>
      </c>
    </row>
    <row r="27443">
      <c r="A27443" s="4" t="s">
        <v>34554</v>
      </c>
      <c r="B27443" s="4" t="s">
        <v>34555</v>
      </c>
      <c r="C27443" s="5" t="str">
        <f>IFERROR(__xludf.DUMMYFUNCTION("GOOGLETRANSLATE(B27443,""en"",""fr"")"),"Un enfant remplit un pot d'eau.")</f>
        <v>Un enfant remplit un pot d'eau.</v>
      </c>
    </row>
    <row r="27444">
      <c r="A27444" s="4" t="s">
        <v>34554</v>
      </c>
      <c r="B27444" s="4" t="s">
        <v>34556</v>
      </c>
      <c r="C27444" s="5" t="str">
        <f>IFERROR(__xludf.DUMMYFUNCTION("GOOGLETRANSLATE(B27444,""en"",""fr"")"),"Il met le pot sur un poêle et met un couvercle dessus.")</f>
        <v>Il met le pot sur un poêle et met un couvercle dessus.</v>
      </c>
    </row>
    <row r="27445">
      <c r="A27445" s="4" t="s">
        <v>34554</v>
      </c>
      <c r="B27445" s="4" t="s">
        <v>34557</v>
      </c>
      <c r="C27445" s="5" t="str">
        <f>IFERROR(__xludf.DUMMYFUNCTION("GOOGLETRANSLATE(B27445,""en"",""fr"")"),"Il ajoute du sel et des pâtes au pot.")</f>
        <v>Il ajoute du sel et des pâtes au pot.</v>
      </c>
    </row>
    <row r="27446">
      <c r="A27446" s="4" t="s">
        <v>34554</v>
      </c>
      <c r="B27446" s="4" t="s">
        <v>34558</v>
      </c>
      <c r="C27446" s="5" t="str">
        <f>IFERROR(__xludf.DUMMYFUNCTION("GOOGLETRANSLATE(B27446,""en"",""fr"")"),"Il remet le couvercle sur le pot.")</f>
        <v>Il remet le couvercle sur le pot.</v>
      </c>
    </row>
    <row r="27447">
      <c r="A27447" s="4" t="s">
        <v>34554</v>
      </c>
      <c r="B27447" s="4" t="s">
        <v>34559</v>
      </c>
      <c r="C27447" s="5" t="str">
        <f>IFERROR(__xludf.DUMMYFUNCTION("GOOGLETRANSLATE(B27447,""en"",""fr"")"),"Il remue le pot et verse les pâtes dans une passoire.")</f>
        <v>Il remue le pot et verse les pâtes dans une passoire.</v>
      </c>
    </row>
    <row r="27448">
      <c r="A27448" s="4" t="s">
        <v>34554</v>
      </c>
      <c r="B27448" s="4" t="s">
        <v>34560</v>
      </c>
      <c r="C27448" s="5" t="str">
        <f>IFERROR(__xludf.DUMMYFUNCTION("GOOGLETRANSLATE(B27448,""en"",""fr"")"),"Il verse les pâtes dans la poêle.")</f>
        <v>Il verse les pâtes dans la poêle.</v>
      </c>
    </row>
    <row r="27449">
      <c r="A27449" s="4" t="s">
        <v>34554</v>
      </c>
      <c r="B27449" s="4" t="s">
        <v>34561</v>
      </c>
      <c r="C27449" s="5" t="str">
        <f>IFERROR(__xludf.DUMMYFUNCTION("GOOGLETRANSLATE(B27449,""en"",""fr"")"),"Il ajoute de la sauce et le remue ensemble.")</f>
        <v>Il ajoute de la sauce et le remue ensemble.</v>
      </c>
    </row>
    <row r="27450">
      <c r="A27450" s="4" t="s">
        <v>34562</v>
      </c>
      <c r="B27450" s="4" t="s">
        <v>34563</v>
      </c>
      <c r="C27450" s="5" t="str">
        <f>IFERROR(__xludf.DUMMYFUNCTION("GOOGLETRANSLATE(B27450,""en"",""fr"")"),"Un homme fait du skateboard dans une rue de la ville.")</f>
        <v>Un homme fait du skateboard dans une rue de la ville.</v>
      </c>
    </row>
    <row r="27451">
      <c r="A27451" s="4" t="s">
        <v>34562</v>
      </c>
      <c r="B27451" s="4" t="s">
        <v>34564</v>
      </c>
      <c r="C27451" s="5" t="str">
        <f>IFERROR(__xludf.DUMMYFUNCTION("GOOGLETRANSLATE(B27451,""en"",""fr"")"),"Il est vu parler à la caméra au milieu de la route.")</f>
        <v>Il est vu parler à la caméra au milieu de la route.</v>
      </c>
    </row>
    <row r="27452">
      <c r="A27452" s="4" t="s">
        <v>34562</v>
      </c>
      <c r="B27452" s="4" t="s">
        <v>34565</v>
      </c>
      <c r="C27452" s="5" t="str">
        <f>IFERROR(__xludf.DUMMYFUNCTION("GOOGLETRANSLATE(B27452,""en"",""fr"")"),"Ensuite, nous le voyons faire plusieurs cascades différentes alors qu'il se retrouve dans et hors de la circulation.")</f>
        <v>Ensuite, nous le voyons faire plusieurs cascades différentes alors qu'il se retrouve dans et hors de la circulation.</v>
      </c>
    </row>
    <row r="27453">
      <c r="A27453" s="4" t="s">
        <v>34566</v>
      </c>
      <c r="B27453" s="4" t="s">
        <v>34567</v>
      </c>
      <c r="C27453" s="5" t="str">
        <f>IFERROR(__xludf.DUMMYFUNCTION("GOOGLETRANSLATE(B27453,""en"",""fr"")"),"Une personne est vue assise sur le bord d'un lit portant une guitare.")</f>
        <v>Une personne est vue assise sur le bord d'un lit portant une guitare.</v>
      </c>
    </row>
    <row r="27454">
      <c r="A27454" s="4" t="s">
        <v>34566</v>
      </c>
      <c r="B27454" s="4" t="s">
        <v>34568</v>
      </c>
      <c r="C27454" s="5" t="str">
        <f>IFERROR(__xludf.DUMMYFUNCTION("GOOGLETRANSLATE(B27454,""en"",""fr"")"),"La personne commence à jouer de la guitare tout en regardant la caméra.")</f>
        <v>La personne commence à jouer de la guitare tout en regardant la caméra.</v>
      </c>
    </row>
    <row r="27455">
      <c r="A27455" s="4" t="s">
        <v>34566</v>
      </c>
      <c r="B27455" s="4" t="s">
        <v>34569</v>
      </c>
      <c r="C27455" s="5" t="str">
        <f>IFERROR(__xludf.DUMMYFUNCTION("GOOGLETRANSLATE(B27455,""en"",""fr"")"),"L'homme continue de jouer et cesse de sortir sa main hors du cadre.")</f>
        <v>L'homme continue de jouer et cesse de sortir sa main hors du cadre.</v>
      </c>
    </row>
    <row r="27456">
      <c r="A27456" s="4" t="s">
        <v>34570</v>
      </c>
      <c r="B27456" s="4" t="s">
        <v>34571</v>
      </c>
      <c r="C27456" s="5" t="str">
        <f>IFERROR(__xludf.DUMMYFUNCTION("GOOGLETRANSLATE(B27456,""en"",""fr"")"),"Plusieurs personnes sont présentées dans des images recueillies à l'extérieur d'un bâtiment.")</f>
        <v>Plusieurs personnes sont présentées dans des images recueillies à l'extérieur d'un bâtiment.</v>
      </c>
    </row>
    <row r="27457">
      <c r="A27457" s="4" t="s">
        <v>34570</v>
      </c>
      <c r="B27457" s="4" t="s">
        <v>34572</v>
      </c>
      <c r="C27457" s="5" t="str">
        <f>IFERROR(__xludf.DUMMYFUNCTION("GOOGLETRANSLATE(B27457,""en"",""fr"")"),"Deux lutteurs de dessins animés Sumo sont engagés dans un combat.")</f>
        <v>Deux lutteurs de dessins animés Sumo sont engagés dans un combat.</v>
      </c>
    </row>
    <row r="27458">
      <c r="A27458" s="4" t="s">
        <v>34570</v>
      </c>
      <c r="B27458" s="4" t="s">
        <v>34573</v>
      </c>
      <c r="C27458" s="5" t="str">
        <f>IFERROR(__xludf.DUMMYFUNCTION("GOOGLETRANSLATE(B27458,""en"",""fr"")"),"Ils se claquent comme un arbitre.")</f>
        <v>Ils se claquent comme un arbitre.</v>
      </c>
    </row>
    <row r="27459">
      <c r="A27459" s="4" t="s">
        <v>34574</v>
      </c>
      <c r="B27459" s="6" t="s">
        <v>34575</v>
      </c>
      <c r="C27459" s="5" t="str">
        <f>IFERROR(__xludf.DUMMYFUNCTION("GOOGLETRANSLATE(B27459,""en"",""fr"")"),"Les sumos se tiennent les uns contre les autres dans un terrain de poussière et une robe arbitre en costume blanche les regarde.")</f>
        <v>Les sumos se tiennent les uns contre les autres dans un terrain de poussière et une robe arbitre en costume blanche les regarde.</v>
      </c>
    </row>
    <row r="27460">
      <c r="A27460" s="4" t="s">
        <v>34574</v>
      </c>
      <c r="B27460" s="4" t="s">
        <v>34576</v>
      </c>
      <c r="C27460" s="5" t="str">
        <f>IFERROR(__xludf.DUMMYFUNCTION("GOOGLETRANSLATE(B27460,""en"",""fr"")"),"Men STAT Wrestling et l'un d'eux si elle décolle le terrain.")</f>
        <v>Men STAT Wrestling et l'un d'eux si elle décolle le terrain.</v>
      </c>
    </row>
    <row r="27461">
      <c r="A27461" s="4" t="s">
        <v>34577</v>
      </c>
      <c r="B27461" s="6" t="s">
        <v>34578</v>
      </c>
      <c r="C27461" s="5" t="str">
        <f>IFERROR(__xludf.DUMMYFUNCTION("GOOGLETRANSLATE(B27461,""en"",""fr"")"),"On voit les mains d'une personne couper un morceau de papier avec des ciseaux, puis envelopper une boîte de papier.")</f>
        <v>On voit les mains d'une personne couper un morceau de papier avec des ciseaux, puis envelopper une boîte de papier.</v>
      </c>
    </row>
    <row r="27462">
      <c r="A27462" s="4" t="s">
        <v>34577</v>
      </c>
      <c r="B27462" s="6" t="s">
        <v>34579</v>
      </c>
      <c r="C27462" s="5" t="str">
        <f>IFERROR(__xludf.DUMMYFUNCTION("GOOGLETRANSLATE(B27462,""en"",""fr"")"),"Elle basse le présent et l'attache dans un bol, se termine en coupant l'excès de ficelle et en plaçant une étiquette sur le dessus.")</f>
        <v>Elle basse le présent et l'attache dans un bol, se termine en coupant l'excès de ficelle et en plaçant une étiquette sur le dessus.</v>
      </c>
    </row>
    <row r="27463">
      <c r="A27463" s="4" t="s">
        <v>34580</v>
      </c>
      <c r="B27463" s="4" t="s">
        <v>34581</v>
      </c>
      <c r="C27463" s="5" t="str">
        <f>IFERROR(__xludf.DUMMYFUNCTION("GOOGLETRANSLATE(B27463,""en"",""fr"")"),"Un jeune enfant est vu assis sur le sol en brossant les cheveux devant un miroir.")</f>
        <v>Un jeune enfant est vu assis sur le sol en brossant les cheveux devant un miroir.</v>
      </c>
    </row>
    <row r="27464">
      <c r="A27464" s="4" t="s">
        <v>34580</v>
      </c>
      <c r="B27464" s="6" t="s">
        <v>34582</v>
      </c>
      <c r="C27464" s="5" t="str">
        <f>IFERROR(__xludf.DUMMYFUNCTION("GOOGLETRANSLATE(B27464,""en"",""fr"")"),"La fille continue de se brosser les cheveux et se termine avec elle en regardant une vidéo et en parlant à la caméra.")</f>
        <v>La fille continue de se brosser les cheveux et se termine avec elle en regardant une vidéo et en parlant à la caméra.</v>
      </c>
    </row>
    <row r="27465">
      <c r="A27465" s="4" t="s">
        <v>34583</v>
      </c>
      <c r="B27465" s="6" t="s">
        <v>34584</v>
      </c>
      <c r="C27465" s="5" t="str">
        <f>IFERROR(__xludf.DUMMYFUNCTION("GOOGLETRANSLATE(B27465,""en"",""fr"")"),"Deux hommes sont vus parler à la caméra quand un autre entre dans le cadre en riant et s'éloigne.")</f>
        <v>Deux hommes sont vus parler à la caméra quand un autre entre dans le cadre en riant et s'éloigne.</v>
      </c>
    </row>
    <row r="27466">
      <c r="A27466" s="4" t="s">
        <v>34583</v>
      </c>
      <c r="B27466" s="4" t="s">
        <v>34585</v>
      </c>
      <c r="C27466" s="5" t="str">
        <f>IFERROR(__xludf.DUMMYFUNCTION("GOOGLETRANSLATE(B27466,""en"",""fr"")"),"Les hommes continuent de parler puis mènent à un match de lutte de bras entre les deux.")</f>
        <v>Les hommes continuent de parler puis mènent à un match de lutte de bras entre les deux.</v>
      </c>
    </row>
    <row r="27467">
      <c r="A27467" s="4" t="s">
        <v>34583</v>
      </c>
      <c r="B27467" s="4" t="s">
        <v>34586</v>
      </c>
      <c r="C27467" s="5" t="str">
        <f>IFERROR(__xludf.DUMMYFUNCTION("GOOGLETRANSLATE(B27467,""en"",""fr"")"),"L'un bat l'autre et fléchit ses bras à la caméra en souriant.")</f>
        <v>L'un bat l'autre et fléchit ses bras à la caméra en souriant.</v>
      </c>
    </row>
    <row r="27468">
      <c r="A27468" s="4" t="s">
        <v>34587</v>
      </c>
      <c r="B27468" s="4" t="s">
        <v>6935</v>
      </c>
      <c r="C27468" s="5" t="str">
        <f>IFERROR(__xludf.DUMMYFUNCTION("GOOGLETRANSLATE(B27468,""en"",""fr"")"),"Le texte apparaît brièvement à l'écran.")</f>
        <v>Le texte apparaît brièvement à l'écran.</v>
      </c>
    </row>
    <row r="27469">
      <c r="A27469" s="4" t="s">
        <v>34587</v>
      </c>
      <c r="B27469" s="4" t="s">
        <v>34588</v>
      </c>
      <c r="C27469" s="5" t="str">
        <f>IFERROR(__xludf.DUMMYFUNCTION("GOOGLETRANSLATE(B27469,""en"",""fr"")"),"Un homme lave une clôture.")</f>
        <v>Un homme lave une clôture.</v>
      </c>
    </row>
    <row r="27470">
      <c r="A27470" s="4" t="s">
        <v>34587</v>
      </c>
      <c r="B27470" s="4" t="s">
        <v>34589</v>
      </c>
      <c r="C27470" s="5" t="str">
        <f>IFERROR(__xludf.DUMMYFUNCTION("GOOGLETRANSLATE(B27470,""en"",""fr"")"),"Cela lui coupe le pouvoir de laver une section différente.")</f>
        <v>Cela lui coupe le pouvoir de laver une section différente.</v>
      </c>
    </row>
    <row r="27471">
      <c r="A27471" s="4" t="s">
        <v>34587</v>
      </c>
      <c r="B27471" s="4" t="s">
        <v>34590</v>
      </c>
      <c r="C27471" s="5" t="str">
        <f>IFERROR(__xludf.DUMMYFUNCTION("GOOGLETRANSLATE(B27471,""en"",""fr"")"),"Il s'estompe à un tir ouvert de la clôture.")</f>
        <v>Il s'estompe à un tir ouvert de la clôture.</v>
      </c>
    </row>
    <row r="27472">
      <c r="A27472" s="4" t="s">
        <v>34591</v>
      </c>
      <c r="B27472" s="4" t="s">
        <v>34592</v>
      </c>
      <c r="C27472" s="5" t="str">
        <f>IFERROR(__xludf.DUMMYFUNCTION("GOOGLETRANSLATE(B27472,""en"",""fr"")"),"Plusieurs images alternées de plats de nourriture apparaissent.")</f>
        <v>Plusieurs images alternées de plats de nourriture apparaissent.</v>
      </c>
    </row>
    <row r="27473">
      <c r="A27473" s="4" t="s">
        <v>34591</v>
      </c>
      <c r="B27473" s="4" t="s">
        <v>34593</v>
      </c>
      <c r="C27473" s="5" t="str">
        <f>IFERROR(__xludf.DUMMYFUNCTION("GOOGLETRANSLATE(B27473,""en"",""fr"")"),"Une recette pour la vinaigrette grecque commence.")</f>
        <v>Une recette pour la vinaigrette grecque commence.</v>
      </c>
    </row>
    <row r="27474">
      <c r="A27474" s="4" t="s">
        <v>34591</v>
      </c>
      <c r="B27474" s="6" t="s">
        <v>34594</v>
      </c>
      <c r="C27474" s="5" t="str">
        <f>IFERROR(__xludf.DUMMYFUNCTION("GOOGLETRANSLATE(B27474,""en"",""fr"")"),"Les ingrédients fabriqués à partir de poudres d'huile et de poudres sont mélangés et secoués dans un bocal, et versés sur une salade.")</f>
        <v>Les ingrédients fabriqués à partir de poudres d'huile et de poudres sont mélangés et secoués dans un bocal, et versés sur une salade.</v>
      </c>
    </row>
    <row r="27475">
      <c r="A27475" s="4" t="s">
        <v>34591</v>
      </c>
      <c r="B27475" s="4" t="s">
        <v>34595</v>
      </c>
      <c r="C27475" s="5" t="str">
        <f>IFERROR(__xludf.DUMMYFUNCTION("GOOGLETRANSLATE(B27475,""en"",""fr"")"),"Il est ensuite garni de blocs de fromage.")</f>
        <v>Il est ensuite garni de blocs de fromage.</v>
      </c>
    </row>
    <row r="27476">
      <c r="A27476" s="4" t="s">
        <v>34596</v>
      </c>
      <c r="B27476" s="4" t="s">
        <v>34597</v>
      </c>
      <c r="C27476" s="5" t="str">
        <f>IFERROR(__xludf.DUMMYFUNCTION("GOOGLETRANSLATE(B27476,""en"",""fr"")"),"Un écran noir apparaît et les mots jaunes apparaissent sur eux en lisant ""des cadeaux extrêmes.")</f>
        <v>Un écran noir apparaît et les mots jaunes apparaissent sur eux en lisant "des cadeaux extrêmes.</v>
      </c>
    </row>
    <row r="27477">
      <c r="A27477" s="4" t="s">
        <v>34596</v>
      </c>
      <c r="B27477" s="4" t="s">
        <v>34598</v>
      </c>
      <c r="C27477" s="5" t="str">
        <f>IFERROR(__xludf.DUMMYFUNCTION("GOOGLETRANSLATE(B27477,""en"",""fr"")"),"Le deuxième écran noir a des mots jaunes qui lisent ""l'installation de carreaux de sol chauffés"".")</f>
        <v>Le deuxième écran noir a des mots jaunes qui lisent "l'installation de carreaux de sol chauffés".</v>
      </c>
    </row>
    <row r="27478">
      <c r="A27478" s="4" t="s">
        <v>34596</v>
      </c>
      <c r="B27478" s="6" t="s">
        <v>34599</v>
      </c>
      <c r="C27478" s="5" t="str">
        <f>IFERROR(__xludf.DUMMYFUNCTION("GOOGLETRANSLATE(B27478,""en"",""fr"")"),"Un homme est maintenant debout et parle dans le coin d'une maison résidentielle, vêtue d'une chemise noire à manches longues, d'un pantalon long marron, de chaussures et portant un chapeau.")</f>
        <v>Un homme est maintenant debout et parle dans le coin d'une maison résidentielle, vêtue d'une chemise noire à manches longues, d'un pantalon long marron, de chaussures et portant un chapeau.</v>
      </c>
    </row>
    <row r="27479">
      <c r="A27479" s="4" t="s">
        <v>34596</v>
      </c>
      <c r="B27479" s="6" t="s">
        <v>34600</v>
      </c>
      <c r="C27479" s="5" t="str">
        <f>IFERROR(__xludf.DUMMYFUNCTION("GOOGLETRANSLATE(B27479,""en"",""fr"")"),"L'homme s'éloigne du coin et la vue suivante est d'un homme à genoux en utilisant un outil pour éliminer la moulure de base d'un mur, à l'aide d'un pistolet, mesurant avec une longue règle, puis en allongeant sur les morceaux de tissu gris moulant avec de"&amp;"s fils attaché à elle.")</f>
        <v>L'homme s'éloigne du coin et la vue suivante est d'un homme à genoux en utilisant un outil pour éliminer la moulure de base d'un mur, à l'aide d'un pistolet, mesurant avec une longue règle, puis en allongeant sur les morceaux de tissu gris moulant avec des fils attaché à elle.</v>
      </c>
    </row>
    <row r="27480">
      <c r="A27480" s="4" t="s">
        <v>34596</v>
      </c>
      <c r="B27480" s="6" t="s">
        <v>34601</v>
      </c>
      <c r="C27480" s="5" t="str">
        <f>IFERROR(__xludf.DUMMYFUNCTION("GOOGLETRANSLATE(B27480,""en"",""fr"")"),"L'homme est ensuite montré en appuyant sur des boutons sur une petite boîte blanche et l'homme pointe maintenant vers les fils attachés à ces morceaux de tissu gris et l'homme commence à mettre des fils dans un tuyau gris qui est maintenant illustré sur l"&amp;"e mur.")</f>
        <v>L'homme est ensuite montré en appuyant sur des boutons sur une petite boîte blanche et l'homme pointe maintenant vers les fils attachés à ces morceaux de tissu gris et l'homme commence à mettre des fils dans un tuyau gris qui est maintenant illustré sur le mur.</v>
      </c>
    </row>
    <row r="27481">
      <c r="A27481" s="4" t="s">
        <v>34596</v>
      </c>
      <c r="B27481" s="4" t="s">
        <v>34602</v>
      </c>
      <c r="C27481" s="5" t="str">
        <f>IFERROR(__xludf.DUMMYFUNCTION("GOOGLETRANSLATE(B27481,""en"",""fr"")"),"L'homme est de retour sur le sol avec un long ruban à mesurer et mesurer le sol.")</f>
        <v>L'homme est de retour sur le sol avec un long ruban à mesurer et mesurer le sol.</v>
      </c>
    </row>
    <row r="27482">
      <c r="A27482" s="4" t="s">
        <v>34596</v>
      </c>
      <c r="B27482" s="6" t="s">
        <v>34603</v>
      </c>
      <c r="C27482" s="5" t="str">
        <f>IFERROR(__xludf.DUMMYFUNCTION("GOOGLETRANSLATE(B27482,""en"",""fr"")"),"L'homme tient maintenant une tuile avec des crêtes sur les quatre côtés et il prend un maillet et un outil pour battre doucement les pièces ensemble.")</f>
        <v>L'homme tient maintenant une tuile avec des crêtes sur les quatre côtés et il prend un maillet et un outil pour battre doucement les pièces ensemble.</v>
      </c>
    </row>
    <row r="27483">
      <c r="A27483" s="4" t="s">
        <v>34596</v>
      </c>
      <c r="B27483" s="6" t="s">
        <v>34604</v>
      </c>
      <c r="C27483" s="5" t="str">
        <f>IFERROR(__xludf.DUMMYFUNCTION("GOOGLETRANSLATE(B27483,""en"",""fr"")"),"Lorsque l'homme atteint le mur, il utilise un crayon pour mesurer la tuile, l'emmène dans un coupe-carreau humide et le coupe.")</f>
        <v>Lorsque l'homme atteint le mur, il utilise un crayon pour mesurer la tuile, l'emmène dans un coupe-carreau humide et le coupe.</v>
      </c>
    </row>
    <row r="27484">
      <c r="A27484" s="4" t="s">
        <v>34596</v>
      </c>
      <c r="B27484" s="6" t="s">
        <v>34605</v>
      </c>
      <c r="C27484" s="5" t="str">
        <f>IFERROR(__xludf.DUMMYFUNCTION("GOOGLETRANSLATE(B27484,""en"",""fr"")"),"L'homme est de retour dans la maison et recueille une petite tuile près de certaines armoires, puis l'homme commence à couler, et utilise une grande éponge jaune humide pour nettoyer l'excès de coulis.")</f>
        <v>L'homme est de retour dans la maison et recueille une petite tuile près de certaines armoires, puis l'homme commence à couler, et utilise une grande éponge jaune humide pour nettoyer l'excès de coulis.</v>
      </c>
    </row>
    <row r="27485">
      <c r="A27485" s="4" t="s">
        <v>34596</v>
      </c>
      <c r="B27485" s="6" t="s">
        <v>34606</v>
      </c>
      <c r="C27485" s="5" t="str">
        <f>IFERROR(__xludf.DUMMYFUNCTION("GOOGLETRANSLATE(B27485,""en"",""fr"")"),"L'homme qui parle de plus tôt apparaît dans le coin qui parle et des mots jaunes apparaissent à l'écran qui contiennent des sites Web.")</f>
        <v>L'homme qui parle de plus tôt apparaît dans le coin qui parle et des mots jaunes apparaissent à l'écran qui contiennent des sites Web.</v>
      </c>
    </row>
    <row r="27486">
      <c r="A27486" s="4" t="s">
        <v>34607</v>
      </c>
      <c r="B27486" s="4" t="s">
        <v>34608</v>
      </c>
      <c r="C27486" s="5" t="str">
        <f>IFERROR(__xludf.DUMMYFUNCTION("GOOGLETRANSLATE(B27486,""en"",""fr"")"),"Plusieurs tables sont installées dans une grande pièce.")</f>
        <v>Plusieurs tables sont installées dans une grande pièce.</v>
      </c>
    </row>
    <row r="27487">
      <c r="A27487" s="4" t="s">
        <v>34607</v>
      </c>
      <c r="B27487" s="4" t="s">
        <v>34609</v>
      </c>
      <c r="C27487" s="5" t="str">
        <f>IFERROR(__xludf.DUMMYFUNCTION("GOOGLETRANSLATE(B27487,""en"",""fr"")"),"Plusieurs groupes jouent à Beer Pong.")</f>
        <v>Plusieurs groupes jouent à Beer Pong.</v>
      </c>
    </row>
    <row r="27488">
      <c r="A27488" s="4" t="s">
        <v>34607</v>
      </c>
      <c r="B27488" s="4" t="s">
        <v>34610</v>
      </c>
      <c r="C27488" s="5" t="str">
        <f>IFERROR(__xludf.DUMMYFUNCTION("GOOGLETRANSLATE(B27488,""en"",""fr"")"),"Certaines personnes encouragent la victoire.")</f>
        <v>Certaines personnes encouragent la victoire.</v>
      </c>
    </row>
    <row r="27489">
      <c r="A27489" s="4" t="s">
        <v>34607</v>
      </c>
      <c r="B27489" s="4" t="s">
        <v>34611</v>
      </c>
      <c r="C27489" s="5" t="str">
        <f>IFERROR(__xludf.DUMMYFUNCTION("GOOGLETRANSLATE(B27489,""en"",""fr"")"),"D'autres ont l'air bouleversés de perdre.")</f>
        <v>D'autres ont l'air bouleversés de perdre.</v>
      </c>
    </row>
    <row r="27490">
      <c r="A27490" s="4" t="s">
        <v>34612</v>
      </c>
      <c r="B27490" s="4" t="s">
        <v>34613</v>
      </c>
      <c r="C27490" s="5" t="str">
        <f>IFERROR(__xludf.DUMMYFUNCTION("GOOGLETRANSLATE(B27490,""en"",""fr"")"),"La personne est en train de parahir, elle tient la voile.")</f>
        <v>La personne est en train de parahir, elle tient la voile.</v>
      </c>
    </row>
    <row r="27491">
      <c r="A27491" s="4" t="s">
        <v>34612</v>
      </c>
      <c r="B27491" s="4" t="s">
        <v>34614</v>
      </c>
      <c r="C27491" s="5" t="str">
        <f>IFERROR(__xludf.DUMMYFUNCTION("GOOGLETRANSLATE(B27491,""en"",""fr"")"),"L'homme va de l'avant vers l'île.")</f>
        <v>L'homme va de l'avant vers l'île.</v>
      </c>
    </row>
    <row r="27492">
      <c r="A27492" s="4" t="s">
        <v>34612</v>
      </c>
      <c r="B27492" s="4" t="s">
        <v>34615</v>
      </c>
      <c r="C27492" s="5" t="str">
        <f>IFERROR(__xludf.DUMMYFUNCTION("GOOGLETRANSLATE(B27492,""en"",""fr"")"),"La personne a les pieds sur la planche parasail.")</f>
        <v>La personne a les pieds sur la planche parasail.</v>
      </c>
    </row>
    <row r="27493">
      <c r="A27493" s="4" t="s">
        <v>34616</v>
      </c>
      <c r="B27493" s="4" t="s">
        <v>34617</v>
      </c>
      <c r="C27493" s="5" t="str">
        <f>IFERROR(__xludf.DUMMYFUNCTION("GOOGLETRANSLATE(B27493,""en"",""fr"")"),"Nous voyons un homme et une femme jouant à la piscine.")</f>
        <v>Nous voyons un homme et une femme jouant à la piscine.</v>
      </c>
    </row>
    <row r="27494">
      <c r="A27494" s="4" t="s">
        <v>34616</v>
      </c>
      <c r="B27494" s="4" t="s">
        <v>34618</v>
      </c>
      <c r="C27494" s="5" t="str">
        <f>IFERROR(__xludf.DUMMYFUNCTION("GOOGLETRANSLATE(B27494,""en"",""fr"")"),"La dame prend son tour en tirant sur le ballon.")</f>
        <v>La dame prend son tour en tirant sur le ballon.</v>
      </c>
    </row>
    <row r="27495">
      <c r="A27495" s="4" t="s">
        <v>34616</v>
      </c>
      <c r="B27495" s="4" t="s">
        <v>34619</v>
      </c>
      <c r="C27495" s="5" t="str">
        <f>IFERROR(__xludf.DUMMYFUNCTION("GOOGLETRANSLATE(B27495,""en"",""fr"")"),"Nous voyons des clignotements brillants.")</f>
        <v>Nous voyons des clignotements brillants.</v>
      </c>
    </row>
    <row r="27496">
      <c r="A27496" s="4" t="s">
        <v>34616</v>
      </c>
      <c r="B27496" s="4" t="s">
        <v>34620</v>
      </c>
      <c r="C27496" s="5" t="str">
        <f>IFERROR(__xludf.DUMMYFUNCTION("GOOGLETRANSLATE(B27496,""en"",""fr"")"),"Nous voyons la dame prendre les photos.")</f>
        <v>Nous voyons la dame prendre les photos.</v>
      </c>
    </row>
    <row r="27497">
      <c r="A27497" s="4" t="s">
        <v>34616</v>
      </c>
      <c r="B27497" s="4" t="s">
        <v>34621</v>
      </c>
      <c r="C27497" s="5" t="str">
        <f>IFERROR(__xludf.DUMMYFUNCTION("GOOGLETRANSLATE(B27497,""en"",""fr"")"),"La dame tend sa piscine à un homme et lui serre la main.")</f>
        <v>La dame tend sa piscine à un homme et lui serre la main.</v>
      </c>
    </row>
    <row r="27498">
      <c r="A27498" s="4" t="s">
        <v>34616</v>
      </c>
      <c r="B27498" s="4" t="s">
        <v>34622</v>
      </c>
      <c r="C27498" s="5" t="str">
        <f>IFERROR(__xludf.DUMMYFUNCTION("GOOGLETRANSLATE(B27498,""en"",""fr"")"),"Elle secoue la main d'un autre homme et part.")</f>
        <v>Elle secoue la main d'un autre homme et part.</v>
      </c>
    </row>
    <row r="27499">
      <c r="A27499" s="4" t="s">
        <v>34623</v>
      </c>
      <c r="B27499" s="4" t="s">
        <v>34624</v>
      </c>
      <c r="C27499" s="5" t="str">
        <f>IFERROR(__xludf.DUMMYFUNCTION("GOOGLETRANSLATE(B27499,""en"",""fr"")"),"Une femme se fait serrer le nez par un homme assis derrière sa tête.")</f>
        <v>Une femme se fait serrer le nez par un homme assis derrière sa tête.</v>
      </c>
    </row>
    <row r="27500">
      <c r="A27500" s="4" t="s">
        <v>34623</v>
      </c>
      <c r="B27500" s="4" t="s">
        <v>34625</v>
      </c>
      <c r="C27500" s="5" t="str">
        <f>IFERROR(__xludf.DUMMYFUNCTION("GOOGLETRANSLATE(B27500,""en"",""fr"")"),"Il perce à travers son septum.")</f>
        <v>Il perce à travers son septum.</v>
      </c>
    </row>
    <row r="27501">
      <c r="A27501" s="4" t="s">
        <v>34623</v>
      </c>
      <c r="B27501" s="4" t="s">
        <v>34626</v>
      </c>
      <c r="C27501" s="5" t="str">
        <f>IFERROR(__xludf.DUMMYFUNCTION("GOOGLETRANSLATE(B27501,""en"",""fr"")"),"Il le coupe et retire la pince.")</f>
        <v>Il le coupe et retire la pince.</v>
      </c>
    </row>
    <row r="27502">
      <c r="A27502" s="4" t="s">
        <v>34623</v>
      </c>
      <c r="B27502" s="4" t="s">
        <v>34627</v>
      </c>
      <c r="C27502" s="5" t="str">
        <f>IFERROR(__xludf.DUMMYFUNCTION("GOOGLETRANSLATE(B27502,""en"",""fr"")"),"L'homme met une boucle d'oreille à travers le trou.")</f>
        <v>L'homme met une boucle d'oreille à travers le trou.</v>
      </c>
    </row>
    <row r="27503">
      <c r="A27503" s="4" t="s">
        <v>34623</v>
      </c>
      <c r="B27503" s="4" t="s">
        <v>34628</v>
      </c>
      <c r="C27503" s="5" t="str">
        <f>IFERROR(__xludf.DUMMYFUNCTION("GOOGLETRANSLATE(B27503,""en"",""fr"")"),"Il met des qtips dans son nez pour prendre le sang.")</f>
        <v>Il met des qtips dans son nez pour prendre le sang.</v>
      </c>
    </row>
    <row r="27504">
      <c r="A27504" s="4" t="s">
        <v>34629</v>
      </c>
      <c r="B27504" s="4" t="s">
        <v>34630</v>
      </c>
      <c r="C27504" s="5" t="str">
        <f>IFERROR(__xludf.DUMMYFUNCTION("GOOGLETRANSLATE(B27504,""en"",""fr"")"),"Une femme est assise sur une chaise.")</f>
        <v>Une femme est assise sur une chaise.</v>
      </c>
    </row>
    <row r="27505">
      <c r="A27505" s="4" t="s">
        <v>34629</v>
      </c>
      <c r="B27505" s="4" t="s">
        <v>34631</v>
      </c>
      <c r="C27505" s="5" t="str">
        <f>IFERROR(__xludf.DUMMYFUNCTION("GOOGLETRANSLATE(B27505,""en"",""fr"")"),"Elle obtient un piercing cutané dans sa joue.")</f>
        <v>Elle obtient un piercing cutané dans sa joue.</v>
      </c>
    </row>
    <row r="27506">
      <c r="A27506" s="4" t="s">
        <v>34629</v>
      </c>
      <c r="B27506" s="4" t="s">
        <v>34632</v>
      </c>
      <c r="C27506" s="5" t="str">
        <f>IFERROR(__xludf.DUMMYFUNCTION("GOOGLETRANSLATE(B27506,""en"",""fr"")"),"La fille montre le piercing et les sourires.")</f>
        <v>La fille montre le piercing et les sourires.</v>
      </c>
    </row>
    <row r="27507">
      <c r="A27507" s="4" t="s">
        <v>34633</v>
      </c>
      <c r="B27507" s="4" t="s">
        <v>34634</v>
      </c>
      <c r="C27507" s="5" t="str">
        <f>IFERROR(__xludf.DUMMYFUNCTION("GOOGLETRANSLATE(B27507,""en"",""fr"")"),"Deux personnes sont vues porter des détestes drôles et se tenir derrière une table parlant à la caméra.")</f>
        <v>Deux personnes sont vues porter des détestes drôles et se tenir derrière une table parlant à la caméra.</v>
      </c>
    </row>
    <row r="27508">
      <c r="A27508" s="4" t="s">
        <v>34633</v>
      </c>
      <c r="B27508" s="4" t="s">
        <v>34635</v>
      </c>
      <c r="C27508" s="5" t="str">
        <f>IFERROR(__xludf.DUMMYFUNCTION("GOOGLETRANSLATE(B27508,""en"",""fr"")"),"Ils enveloppent ensuite rapidement un cadeau et montrent un meilleur cadeau en dessous.")</f>
        <v>Ils enveloppent ensuite rapidement un cadeau et montrent un meilleur cadeau en dessous.</v>
      </c>
    </row>
    <row r="27509">
      <c r="A27509" s="4" t="s">
        <v>34633</v>
      </c>
      <c r="B27509" s="6" t="s">
        <v>34636</v>
      </c>
      <c r="C27509" s="5" t="str">
        <f>IFERROR(__xludf.DUMMYFUNCTION("GOOGLETRANSLATE(B27509,""en"",""fr"")"),"Plus de coups sont montrés d'eux enveloppés alors qu'ils se déplacent rapidement et parlent à la caméra.")</f>
        <v>Plus de coups sont montrés d'eux enveloppés alors qu'ils se déplacent rapidement et parlent à la caméra.</v>
      </c>
    </row>
    <row r="27510">
      <c r="A27510" s="4" t="s">
        <v>34637</v>
      </c>
      <c r="B27510" s="6" t="s">
        <v>34638</v>
      </c>
      <c r="C27510" s="5" t="str">
        <f>IFERROR(__xludf.DUMMYFUNCTION("GOOGLETRANSLATE(B27510,""en"",""fr"")"),"Une personne est vue rouler dans une voiture en parlant à d'autres tout en suivant un grand groupe de personnes à vélo.")</f>
        <v>Une personne est vue rouler dans une voiture en parlant à d'autres tout en suivant un grand groupe de personnes à vélo.</v>
      </c>
    </row>
    <row r="27511">
      <c r="A27511" s="4" t="s">
        <v>34637</v>
      </c>
      <c r="B27511" s="4" t="s">
        <v>34639</v>
      </c>
      <c r="C27511" s="5" t="str">
        <f>IFERROR(__xludf.DUMMYFUNCTION("GOOGLETRANSLATE(B27511,""en"",""fr"")"),"Le conducteur aide les gens à l'eau sur le côté ainsi que pour les tirer pour réparer un vélo.")</f>
        <v>Le conducteur aide les gens à l'eau sur le côté ainsi que pour les tirer pour réparer un vélo.</v>
      </c>
    </row>
    <row r="27512">
      <c r="A27512" s="4" t="s">
        <v>34637</v>
      </c>
      <c r="B27512" s="6" t="s">
        <v>34640</v>
      </c>
      <c r="C27512" s="5" t="str">
        <f>IFERROR(__xludf.DUMMYFUNCTION("GOOGLETRANSLATE(B27512,""en"",""fr"")"),"La voiture continue de suivre et d'aider l'homme ainsi que de s'arrêter pour changer une roue et reculer dans la voiture.")</f>
        <v>La voiture continue de suivre et d'aider l'homme ainsi que de s'arrêter pour changer une roue et reculer dans la voiture.</v>
      </c>
    </row>
    <row r="27513">
      <c r="A27513" s="4" t="s">
        <v>34641</v>
      </c>
      <c r="B27513" s="6" t="s">
        <v>34642</v>
      </c>
      <c r="C27513" s="5" t="str">
        <f>IFERROR(__xludf.DUMMYFUNCTION("GOOGLETRANSLATE(B27513,""en"",""fr"")"),"Un homme est vu en regardant attentivement dans la caméra suivi d'une personne de wakeboard et en effectuant diverses astuces.")</f>
        <v>Un homme est vu en regardant attentivement dans la caméra suivi d'une personne de wakeboard et en effectuant diverses astuces.</v>
      </c>
    </row>
    <row r="27514">
      <c r="A27514" s="4" t="s">
        <v>34641</v>
      </c>
      <c r="B27514" s="6" t="s">
        <v>34643</v>
      </c>
      <c r="C27514" s="5" t="str">
        <f>IFERROR(__xludf.DUMMYFUNCTION("GOOGLETRANSLATE(B27514,""en"",""fr"")"),"Plusieurs plans sont montrés de personnes qui font des tours le long de l'eau pendant que le bateau les tire de l'avant.")</f>
        <v>Plusieurs plans sont montrés de personnes qui font des tours le long de l'eau pendant que le bateau les tire de l'avant.</v>
      </c>
    </row>
    <row r="27515">
      <c r="A27515" s="4" t="s">
        <v>34644</v>
      </c>
      <c r="B27515" s="6" t="s">
        <v>34645</v>
      </c>
      <c r="C27515" s="5" t="str">
        <f>IFERROR(__xludf.DUMMYFUNCTION("GOOGLETRANSLATE(B27515,""en"",""fr"")"),"Un homme est vu en tenant un morceau de bois et en le frottant tout en parlant à la caméra et en pulvérisant le vernis.")</f>
        <v>Un homme est vu en tenant un morceau de bois et en le frottant tout en parlant à la caméra et en pulvérisant le vernis.</v>
      </c>
    </row>
    <row r="27516">
      <c r="A27516" s="4" t="s">
        <v>34644</v>
      </c>
      <c r="B27516" s="6" t="s">
        <v>34646</v>
      </c>
      <c r="C27516" s="5" t="str">
        <f>IFERROR(__xludf.DUMMYFUNCTION("GOOGLETRANSLATE(B27516,""en"",""fr"")"),"L'homme essuie le vernis avec un chiffon tout en continuant à parler à la caméra et à retenir le morceau de bois à la fin.")</f>
        <v>L'homme essuie le vernis avec un chiffon tout en continuant à parler à la caméra et à retenir le morceau de bois à la fin.</v>
      </c>
    </row>
    <row r="27517">
      <c r="A27517" s="4" t="s">
        <v>34647</v>
      </c>
      <c r="B27517" s="4" t="s">
        <v>34648</v>
      </c>
      <c r="C27517" s="5" t="str">
        <f>IFERROR(__xludf.DUMMYFUNCTION("GOOGLETRANSLATE(B27517,""en"",""fr"")"),"Les feuilles sèches brunes et jaunes sont sur le sol, au-dessus de l'herbe verte.")</f>
        <v>Les feuilles sèches brunes et jaunes sont sur le sol, au-dessus de l'herbe verte.</v>
      </c>
    </row>
    <row r="27518">
      <c r="A27518" s="4" t="s">
        <v>34647</v>
      </c>
      <c r="B27518" s="4" t="s">
        <v>34649</v>
      </c>
      <c r="C27518" s="5" t="str">
        <f>IFERROR(__xludf.DUMMYFUNCTION("GOOGLETRANSLATE(B27518,""en"",""fr"")"),"Un homme avec un souffleur de feuilles sur sa main a commencé à souffler les feuilles vers le centre du champ.")</f>
        <v>Un homme avec un souffleur de feuilles sur sa main a commencé à souffler les feuilles vers le centre du champ.</v>
      </c>
    </row>
    <row r="27519">
      <c r="A27519" s="4" t="s">
        <v>34647</v>
      </c>
      <c r="B27519" s="6" t="s">
        <v>34650</v>
      </c>
      <c r="C27519" s="5" t="str">
        <f>IFERROR(__xludf.DUMMYFUNCTION("GOOGLETRANSLATE(B27519,""en"",""fr"")"),"L'homme a soufflé les feuilles du côté de la route vers l'arbre, tandis qu'un autre homme avec du souffleur de feuilles marche de l'autre côté de la passerelle.")</f>
        <v>L'homme a soufflé les feuilles du côté de la route vers l'arbre, tandis qu'un autre homme avec du souffleur de feuilles marche de l'autre côté de la passerelle.</v>
      </c>
    </row>
    <row r="27520">
      <c r="A27520" s="4" t="s">
        <v>34651</v>
      </c>
      <c r="B27520" s="4" t="s">
        <v>34652</v>
      </c>
      <c r="C27520" s="5" t="str">
        <f>IFERROR(__xludf.DUMMYFUNCTION("GOOGLETRANSLATE(B27520,""en"",""fr"")"),"Un homme est montré travaillant sur une clôture dans l'arrière-cour.")</f>
        <v>Un homme est montré travaillant sur une clôture dans l'arrière-cour.</v>
      </c>
    </row>
    <row r="27521">
      <c r="A27521" s="4" t="s">
        <v>34651</v>
      </c>
      <c r="B27521" s="4" t="s">
        <v>34653</v>
      </c>
      <c r="C27521" s="5" t="str">
        <f>IFERROR(__xludf.DUMMYFUNCTION("GOOGLETRANSLATE(B27521,""en"",""fr"")"),"L'homme porte une tenue bleue alors qu'il peint la clôture en bois d'une couleur rouge.")</f>
        <v>L'homme porte une tenue bleue alors qu'il peint la clôture en bois d'une couleur rouge.</v>
      </c>
    </row>
    <row r="27522">
      <c r="A27522" s="4" t="s">
        <v>34651</v>
      </c>
      <c r="B27522" s="4" t="s">
        <v>34654</v>
      </c>
      <c r="C27522" s="5" t="str">
        <f>IFERROR(__xludf.DUMMYFUNCTION("GOOGLETRANSLATE(B27522,""en"",""fr"")"),"L'homme nettoie la peinture des planches.")</f>
        <v>L'homme nettoie la peinture des planches.</v>
      </c>
    </row>
    <row r="27523">
      <c r="A27523" s="4" t="s">
        <v>34655</v>
      </c>
      <c r="B27523" s="4" t="s">
        <v>34656</v>
      </c>
      <c r="C27523" s="5" t="str">
        <f>IFERROR(__xludf.DUMMYFUNCTION("GOOGLETRANSLATE(B27523,""en"",""fr"")"),"Un homme est vu parler à la caméra tout en mettant une boîte autour du papier.")</f>
        <v>Un homme est vu parler à la caméra tout en mettant une boîte autour du papier.</v>
      </c>
    </row>
    <row r="27524">
      <c r="A27524" s="4" t="s">
        <v>34655</v>
      </c>
      <c r="B27524" s="4" t="s">
        <v>34657</v>
      </c>
      <c r="C27524" s="5" t="str">
        <f>IFERROR(__xludf.DUMMYFUNCTION("GOOGLETRANSLATE(B27524,""en"",""fr"")"),"Il enroule la boîte en papier tout en utilisant des ciseaux pour couper les côtés.")</f>
        <v>Il enroule la boîte en papier tout en utilisant des ciseaux pour couper les côtés.</v>
      </c>
    </row>
    <row r="27525">
      <c r="A27525" s="4" t="s">
        <v>34655</v>
      </c>
      <c r="B27525" s="4" t="s">
        <v>34658</v>
      </c>
      <c r="C27525" s="5" t="str">
        <f>IFERROR(__xludf.DUMMYFUNCTION("GOOGLETRANSLATE(B27525,""en"",""fr"")"),"L'homme recroquese la boîte et la présente à la caméra.")</f>
        <v>L'homme recroquese la boîte et la présente à la caméra.</v>
      </c>
    </row>
    <row r="27526">
      <c r="A27526" s="4" t="s">
        <v>34659</v>
      </c>
      <c r="B27526" s="6" t="s">
        <v>34660</v>
      </c>
      <c r="C27526" s="5" t="str">
        <f>IFERROR(__xludf.DUMMYFUNCTION("GOOGLETRANSLATE(B27526,""en"",""fr"")"),"Une présentatrice de nouvelles se tient derrière une table avec des papiers en train de parler alors qu'un homme nage sur l'écran de télévision derrière lui.")</f>
        <v>Une présentatrice de nouvelles se tient derrière une table avec des papiers en train de parler alors qu'un homme nage sur l'écran de télévision derrière lui.</v>
      </c>
    </row>
    <row r="27527">
      <c r="A27527" s="4" t="s">
        <v>34659</v>
      </c>
      <c r="B27527" s="4" t="s">
        <v>34661</v>
      </c>
      <c r="C27527" s="5" t="str">
        <f>IFERROR(__xludf.DUMMYFUNCTION("GOOGLETRANSLATE(B27527,""en"",""fr"")"),"Après, un groupe de personnes est dans une piscine en jouant à un jeu de water-polo.")</f>
        <v>Après, un groupe de personnes est dans une piscine en jouant à un jeu de water-polo.</v>
      </c>
    </row>
    <row r="27528">
      <c r="A27528" s="4" t="s">
        <v>34659</v>
      </c>
      <c r="B27528" s="6" t="s">
        <v>34662</v>
      </c>
      <c r="C27528" s="5" t="str">
        <f>IFERROR(__xludf.DUMMYFUNCTION("GOOGLETRANSLATE(B27528,""en"",""fr"")"),"Un entraîneur est ensuite montré dans un couloir alors que les gens reviennent et continuent de jouer au match avant un match de football puis le montre.")</f>
        <v>Un entraîneur est ensuite montré dans un couloir alors que les gens reviennent et continuent de jouer au match avant un match de football puis le montre.</v>
      </c>
    </row>
    <row r="27529">
      <c r="A27529" s="4" t="s">
        <v>34663</v>
      </c>
      <c r="B27529" s="4" t="s">
        <v>34664</v>
      </c>
      <c r="C27529" s="5" t="str">
        <f>IFERROR(__xludf.DUMMYFUNCTION("GOOGLETRANSLATE(B27529,""en"",""fr"")"),"Une fille est vue en sautant des objets dans l'eau et en frottant une casserole avec une brosse.")</f>
        <v>Une fille est vue en sautant des objets dans l'eau et en frottant une casserole avec une brosse.</v>
      </c>
    </row>
    <row r="27530">
      <c r="A27530" s="4" t="s">
        <v>34663</v>
      </c>
      <c r="B27530" s="6" t="s">
        <v>34665</v>
      </c>
      <c r="C27530" s="5" t="str">
        <f>IFERROR(__xludf.DUMMYFUNCTION("GOOGLETRANSLATE(B27530,""en"",""fr"")"),"Elle continue de parler à la caméra ainsi que dans la casserole et de montrer comment nettoyer correctement une casserole.")</f>
        <v>Elle continue de parler à la caméra ainsi que dans la casserole et de montrer comment nettoyer correctement une casserole.</v>
      </c>
    </row>
    <row r="27531">
      <c r="A27531" s="4" t="s">
        <v>34666</v>
      </c>
      <c r="B27531" s="4" t="s">
        <v>34667</v>
      </c>
      <c r="C27531" s="5" t="str">
        <f>IFERROR(__xludf.DUMMYFUNCTION("GOOGLETRANSLATE(B27531,""en"",""fr"")"),"Une caméra se déroule tout autour d'une forêt et mène à une corde attachée à un arbre.")</f>
        <v>Une caméra se déroule tout autour d'une forêt et mène à une corde attachée à un arbre.</v>
      </c>
    </row>
    <row r="27532">
      <c r="A27532" s="4" t="s">
        <v>34666</v>
      </c>
      <c r="B27532" s="4" t="s">
        <v>34668</v>
      </c>
      <c r="C27532" s="5" t="str">
        <f>IFERROR(__xludf.DUMMYFUNCTION("GOOGLETRANSLATE(B27532,""en"",""fr"")"),"On voit une personne resserrant la corde suivie par la marche le long de la corde.")</f>
        <v>On voit une personne resserrant la corde suivie par la marche le long de la corde.</v>
      </c>
    </row>
    <row r="27533">
      <c r="A27533" s="4" t="s">
        <v>34666</v>
      </c>
      <c r="B27533" s="4" t="s">
        <v>34669</v>
      </c>
      <c r="C27533" s="5" t="str">
        <f>IFERROR(__xludf.DUMMYFUNCTION("GOOGLETRANSLATE(B27533,""en"",""fr"")"),"Plusieurs personnes sont vues marcher sur la corde ainsi que le rebond et les astuces.")</f>
        <v>Plusieurs personnes sont vues marcher sur la corde ainsi que le rebond et les astuces.</v>
      </c>
    </row>
    <row r="27534">
      <c r="A27534" s="4" t="s">
        <v>34670</v>
      </c>
      <c r="B27534" s="4" t="s">
        <v>34671</v>
      </c>
      <c r="C27534" s="5" t="str">
        <f>IFERROR(__xludf.DUMMYFUNCTION("GOOGLETRANSLATE(B27534,""en"",""fr"")"),"Nous voyons une fille en or faire une routine de bâton.")</f>
        <v>Nous voyons une fille en or faire une routine de bâton.</v>
      </c>
    </row>
    <row r="27535">
      <c r="A27535" s="4" t="s">
        <v>34670</v>
      </c>
      <c r="B27535" s="4" t="s">
        <v>34672</v>
      </c>
      <c r="C27535" s="5" t="str">
        <f>IFERROR(__xludf.DUMMYFUNCTION("GOOGLETRANSLATE(B27535,""en"",""fr"")"),"La fille fait un flip.")</f>
        <v>La fille fait un flip.</v>
      </c>
    </row>
    <row r="27536">
      <c r="A27536" s="4" t="s">
        <v>34670</v>
      </c>
      <c r="B27536" s="4" t="s">
        <v>34673</v>
      </c>
      <c r="C27536" s="5" t="str">
        <f>IFERROR(__xludf.DUMMYFUNCTION("GOOGLETRANSLATE(B27536,""en"",""fr"")"),"Les filles tournent à plusieurs reprises et attrapent son bâton.")</f>
        <v>Les filles tournent à plusieurs reprises et attrapent son bâton.</v>
      </c>
    </row>
    <row r="27537">
      <c r="A27537" s="4" t="s">
        <v>34670</v>
      </c>
      <c r="B27537" s="4" t="s">
        <v>34674</v>
      </c>
      <c r="C27537" s="5" t="str">
        <f>IFERROR(__xludf.DUMMYFUNCTION("GOOGLETRANSLATE(B27537,""en"",""fr"")"),"La fille tourne et deux matraques roulent et elle attrape chacun.")</f>
        <v>La fille tourne et deux matraques roulent et elle attrape chacun.</v>
      </c>
    </row>
    <row r="27538">
      <c r="A27538" s="4" t="s">
        <v>34670</v>
      </c>
      <c r="B27538" s="4" t="s">
        <v>34675</v>
      </c>
      <c r="C27538" s="5" t="str">
        <f>IFERROR(__xludf.DUMMYFUNCTION("GOOGLETRANSLATE(B27538,""en"",""fr"")"),"La fille tourne, attrape son bâton et pose pour sa finition alors que la foule applaudit.")</f>
        <v>La fille tourne, attrape son bâton et pose pour sa finition alors que la foule applaudit.</v>
      </c>
    </row>
    <row r="27539">
      <c r="A27539" s="4" t="s">
        <v>34676</v>
      </c>
      <c r="B27539" s="4" t="s">
        <v>34677</v>
      </c>
      <c r="C27539" s="5" t="str">
        <f>IFERROR(__xludf.DUMMYFUNCTION("GOOGLETRANSLATE(B27539,""en"",""fr"")"),"Une personne ratisse les feuilles dans une pile.")</f>
        <v>Une personne ratisse les feuilles dans une pile.</v>
      </c>
    </row>
    <row r="27540">
      <c r="A27540" s="4" t="s">
        <v>34676</v>
      </c>
      <c r="B27540" s="4" t="s">
        <v>34678</v>
      </c>
      <c r="C27540" s="5" t="str">
        <f>IFERROR(__xludf.DUMMYFUNCTION("GOOGLETRANSLATE(B27540,""en"",""fr"")"),"Un petit garçon ramasse les feuilles et joue dans la pile.")</f>
        <v>Un petit garçon ramasse les feuilles et joue dans la pile.</v>
      </c>
    </row>
    <row r="27541">
      <c r="A27541" s="4" t="s">
        <v>34676</v>
      </c>
      <c r="B27541" s="4" t="s">
        <v>34679</v>
      </c>
      <c r="C27541" s="5" t="str">
        <f>IFERROR(__xludf.DUMMYFUNCTION("GOOGLETRANSLATE(B27541,""en"",""fr"")"),"Le garçon ramasse un râteau et commence à ratir les feuilles.")</f>
        <v>Le garçon ramasse un râteau et commence à ratir les feuilles.</v>
      </c>
    </row>
    <row r="27542">
      <c r="A27542" s="4" t="s">
        <v>34680</v>
      </c>
      <c r="B27542" s="4" t="s">
        <v>34681</v>
      </c>
      <c r="C27542" s="5" t="str">
        <f>IFERROR(__xludf.DUMMYFUNCTION("GOOGLETRANSLATE(B27542,""en"",""fr"")"),"Il y a une jeune fille portant un pull brun jouant du violon.")</f>
        <v>Il y a une jeune fille portant un pull brun jouant du violon.</v>
      </c>
    </row>
    <row r="27543">
      <c r="A27543" s="4" t="s">
        <v>34680</v>
      </c>
      <c r="B27543" s="4" t="s">
        <v>34682</v>
      </c>
      <c r="C27543" s="5" t="str">
        <f>IFERROR(__xludf.DUMMYFUNCTION("GOOGLETRANSLATE(B27543,""en"",""fr"")"),"Elle enfonce le violon avec sa main gauche pendant qu'elle utilise le bâton d'arc avec sa main droite.")</f>
        <v>Elle enfonce le violon avec sa main gauche pendant qu'elle utilise le bâton d'arc avec sa main droite.</v>
      </c>
    </row>
    <row r="27544">
      <c r="A27544" s="4" t="s">
        <v>34680</v>
      </c>
      <c r="B27544" s="4" t="s">
        <v>34683</v>
      </c>
      <c r="C27544" s="5" t="str">
        <f>IFERROR(__xludf.DUMMYFUNCTION("GOOGLETRANSLATE(B27544,""en"",""fr"")"),"Elle continue de jouer son air sur le violon avec une concentration complète sans s'arrêter.")</f>
        <v>Elle continue de jouer son air sur le violon avec une concentration complète sans s'arrêter.</v>
      </c>
    </row>
    <row r="27545">
      <c r="A27545" s="4" t="s">
        <v>34680</v>
      </c>
      <c r="B27545" s="4" t="s">
        <v>34684</v>
      </c>
      <c r="C27545" s="5" t="str">
        <f>IFERROR(__xludf.DUMMYFUNCTION("GOOGLETRANSLATE(B27545,""en"",""fr"")"),"Elle regarde constamment le violon alors qu'elle joue les notes.")</f>
        <v>Elle regarde constamment le violon alors qu'elle joue les notes.</v>
      </c>
    </row>
    <row r="27546">
      <c r="A27546" s="4" t="s">
        <v>34680</v>
      </c>
      <c r="B27546" s="4" t="s">
        <v>34685</v>
      </c>
      <c r="C27546" s="5" t="str">
        <f>IFERROR(__xludf.DUMMYFUNCTION("GOOGLETRANSLATE(B27546,""en"",""fr"")"),"Après avoir fini de jouer du violon, elle sourit et s'éloigne.")</f>
        <v>Après avoir fini de jouer du violon, elle sourit et s'éloigne.</v>
      </c>
    </row>
    <row r="27547">
      <c r="A27547" s="4" t="s">
        <v>34686</v>
      </c>
      <c r="B27547" s="4" t="s">
        <v>34687</v>
      </c>
      <c r="C27547" s="5" t="str">
        <f>IFERROR(__xludf.DUMMYFUNCTION("GOOGLETRANSLATE(B27547,""en"",""fr"")"),"Une vidéo de coupure d'un ongle de chats est montrée.")</f>
        <v>Une vidéo de coupure d'un ongle de chats est montrée.</v>
      </c>
    </row>
    <row r="27548">
      <c r="A27548" s="4" t="s">
        <v>34686</v>
      </c>
      <c r="B27548" s="4" t="s">
        <v>34688</v>
      </c>
      <c r="C27548" s="5" t="str">
        <f>IFERROR(__xludf.DUMMYFUNCTION("GOOGLETRANSLATE(B27548,""en"",""fr"")"),"Chaque patte est saisie et l'ongle est poussé et coupé.")</f>
        <v>Chaque patte est saisie et l'ongle est poussé et coupé.</v>
      </c>
    </row>
    <row r="27549">
      <c r="A27549" s="4" t="s">
        <v>34686</v>
      </c>
      <c r="B27549" s="4" t="s">
        <v>34689</v>
      </c>
      <c r="C27549" s="5" t="str">
        <f>IFERROR(__xludf.DUMMYFUNCTION("GOOGLETRANSLATE(B27549,""en"",""fr"")"),"Le chat est étrangement calme tout le temps.")</f>
        <v>Le chat est étrangement calme tout le temps.</v>
      </c>
    </row>
    <row r="27550">
      <c r="A27550" s="4" t="s">
        <v>34690</v>
      </c>
      <c r="B27550" s="4" t="s">
        <v>34691</v>
      </c>
      <c r="C27550" s="5" t="str">
        <f>IFERROR(__xludf.DUMMYFUNCTION("GOOGLETRANSLATE(B27550,""en"",""fr"")"),"Un homme marche dans une pièce.")</f>
        <v>Un homme marche dans une pièce.</v>
      </c>
    </row>
    <row r="27551">
      <c r="A27551" s="4" t="s">
        <v>34690</v>
      </c>
      <c r="B27551" s="4" t="s">
        <v>34692</v>
      </c>
      <c r="C27551" s="5" t="str">
        <f>IFERROR(__xludf.DUMMYFUNCTION("GOOGLETRANSLATE(B27551,""en"",""fr"")"),"Une fille danse devant un miroir dans la pièce.")</f>
        <v>Une fille danse devant un miroir dans la pièce.</v>
      </c>
    </row>
    <row r="27552">
      <c r="A27552" s="4" t="s">
        <v>34690</v>
      </c>
      <c r="B27552" s="4" t="s">
        <v>34693</v>
      </c>
      <c r="C27552" s="5" t="str">
        <f>IFERROR(__xludf.DUMMYFUNCTION("GOOGLETRANSLATE(B27552,""en"",""fr"")"),"Il la regarde de l'extérieur de la pièce.")</f>
        <v>Il la regarde de l'extérieur de la pièce.</v>
      </c>
    </row>
    <row r="27553">
      <c r="A27553" s="4" t="s">
        <v>34694</v>
      </c>
      <c r="B27553" s="4" t="s">
        <v>1487</v>
      </c>
      <c r="C27553" s="5" t="str">
        <f>IFERROR(__xludf.DUMMYFUNCTION("GOOGLETRANSLATE(B27553,""en"",""fr"")"),"Nous voyons un écran de titre d'ouverture.")</f>
        <v>Nous voyons un écran de titre d'ouverture.</v>
      </c>
    </row>
    <row r="27554">
      <c r="A27554" s="4" t="s">
        <v>34694</v>
      </c>
      <c r="B27554" s="4" t="s">
        <v>34695</v>
      </c>
      <c r="C27554" s="5" t="str">
        <f>IFERROR(__xludf.DUMMYFUNCTION("GOOGLETRANSLATE(B27554,""en"",""fr"")"),"Il y a une émission de télévision en noir et blanc avec deux hommes sur une scène qui parle et riant.")</f>
        <v>Il y a une émission de télévision en noir et blanc avec deux hommes sur une scène qui parle et riant.</v>
      </c>
    </row>
    <row r="27555">
      <c r="A27555" s="4" t="s">
        <v>34694</v>
      </c>
      <c r="B27555" s="4" t="s">
        <v>34696</v>
      </c>
      <c r="C27555" s="5" t="str">
        <f>IFERROR(__xludf.DUMMYFUNCTION("GOOGLETRANSLATE(B27555,""en"",""fr"")"),"Le bon homme se lève et se dirige vers un piano.")</f>
        <v>Le bon homme se lève et se dirige vers un piano.</v>
      </c>
    </row>
    <row r="27556">
      <c r="A27556" s="4" t="s">
        <v>34694</v>
      </c>
      <c r="B27556" s="4" t="s">
        <v>34697</v>
      </c>
      <c r="C27556" s="5" t="str">
        <f>IFERROR(__xludf.DUMMYFUNCTION("GOOGLETRANSLATE(B27556,""en"",""fr"")"),"L'homme joue un piano à queue.")</f>
        <v>L'homme joue un piano à queue.</v>
      </c>
    </row>
    <row r="27557">
      <c r="A27557" s="4" t="s">
        <v>34694</v>
      </c>
      <c r="B27557" s="4" t="s">
        <v>34698</v>
      </c>
      <c r="C27557" s="5" t="str">
        <f>IFERROR(__xludf.DUMMYFUNCTION("GOOGLETRANSLATE(B27557,""en"",""fr"")"),"L'homme se termine et se lève.")</f>
        <v>L'homme se termine et se lève.</v>
      </c>
    </row>
    <row r="27558">
      <c r="A27558" s="4" t="s">
        <v>34694</v>
      </c>
      <c r="B27558" s="4" t="s">
        <v>19328</v>
      </c>
      <c r="C27558" s="5" t="str">
        <f>IFERROR(__xludf.DUMMYFUNCTION("GOOGLETRANSLATE(B27558,""en"",""fr"")"),"Nous voyons la foule applaudir.")</f>
        <v>Nous voyons la foule applaudir.</v>
      </c>
    </row>
    <row r="27559">
      <c r="A27559" s="4" t="s">
        <v>34694</v>
      </c>
      <c r="B27559" s="4" t="s">
        <v>34699</v>
      </c>
      <c r="C27559" s="5" t="str">
        <f>IFERROR(__xludf.DUMMYFUNCTION("GOOGLETRANSLATE(B27559,""en"",""fr"")"),"Les hommes se serrent la main et le piano s'éloigne et l'hôte parle un peu.")</f>
        <v>Les hommes se serrent la main et le piano s'éloigne et l'hôte parle un peu.</v>
      </c>
    </row>
    <row r="27560">
      <c r="A27560" s="4" t="s">
        <v>34700</v>
      </c>
      <c r="B27560" s="6" t="s">
        <v>34701</v>
      </c>
      <c r="C27560" s="5" t="str">
        <f>IFERROR(__xludf.DUMMYFUNCTION("GOOGLETRANSLATE(B27560,""en"",""fr"")"),"Un athlète est vu en agitant ses mains vers la foule et en applaudissant suivi par lui coulant sur une poutre.")</f>
        <v>Un athlète est vu en agitant ses mains vers la foule et en applaudissant suivi par lui coulant sur une poutre.</v>
      </c>
    </row>
    <row r="27561">
      <c r="A27561" s="4" t="s">
        <v>34700</v>
      </c>
      <c r="B27561" s="4" t="s">
        <v>34702</v>
      </c>
      <c r="C27561" s="5" t="str">
        <f>IFERROR(__xludf.DUMMYFUNCTION("GOOGLETRANSLATE(B27561,""en"",""fr"")"),"Son même coup est à nouveau montré au ralenti et il a vu parler à un homme.")</f>
        <v>Son même coup est à nouveau montré au ralenti et il a vu parler à un homme.</v>
      </c>
    </row>
    <row r="27562">
      <c r="A27562" s="4" t="s">
        <v>34703</v>
      </c>
      <c r="B27562" s="4" t="s">
        <v>34704</v>
      </c>
      <c r="C27562" s="5" t="str">
        <f>IFERROR(__xludf.DUMMYFUNCTION("GOOGLETRANSLATE(B27562,""en"",""fr"")"),"Un groupe de jeunes hommes est dans une cuisine, jouant à un jeu de bière.")</f>
        <v>Un groupe de jeunes hommes est dans une cuisine, jouant à un jeu de bière.</v>
      </c>
    </row>
    <row r="27563">
      <c r="A27563" s="4" t="s">
        <v>34703</v>
      </c>
      <c r="B27563" s="4" t="s">
        <v>34705</v>
      </c>
      <c r="C27563" s="5" t="str">
        <f>IFERROR(__xludf.DUMMYFUNCTION("GOOGLETRANSLATE(B27563,""en"",""fr"")"),"Ils applaudissent en mettant le ballon dans une tasse.")</f>
        <v>Ils applaudissent en mettant le ballon dans une tasse.</v>
      </c>
    </row>
    <row r="27564">
      <c r="A27564" s="4" t="s">
        <v>34703</v>
      </c>
      <c r="B27564" s="4" t="s">
        <v>34706</v>
      </c>
      <c r="C27564" s="5" t="str">
        <f>IFERROR(__xludf.DUMMYFUNCTION("GOOGLETRANSLATE(B27564,""en"",""fr"")"),"Une femme apparaît et ramasse l'une des tasses.")</f>
        <v>Une femme apparaît et ramasse l'une des tasses.</v>
      </c>
    </row>
    <row r="27565">
      <c r="A27565" s="4" t="s">
        <v>34707</v>
      </c>
      <c r="B27565" s="4" t="s">
        <v>34708</v>
      </c>
      <c r="C27565" s="5" t="str">
        <f>IFERROR(__xludf.DUMMYFUNCTION("GOOGLETRANSLATE(B27565,""en"",""fr"")"),"Deux garçons à un jeune âge jouent à Fooseball l'un avec l'autre.")</f>
        <v>Deux garçons à un jeune âge jouent à Fooseball l'un avec l'autre.</v>
      </c>
    </row>
    <row r="27566">
      <c r="A27566" s="4" t="s">
        <v>34707</v>
      </c>
      <c r="B27566" s="4" t="s">
        <v>34709</v>
      </c>
      <c r="C27566" s="5" t="str">
        <f>IFERROR(__xludf.DUMMYFUNCTION("GOOGLETRANSLATE(B27566,""en"",""fr"")"),"On saisit le ballon et le remet en jeu.")</f>
        <v>On saisit le ballon et le remet en jeu.</v>
      </c>
    </row>
    <row r="27567">
      <c r="A27567" s="4" t="s">
        <v>34707</v>
      </c>
      <c r="B27567" s="4" t="s">
        <v>34710</v>
      </c>
      <c r="C27567" s="5" t="str">
        <f>IFERROR(__xludf.DUMMYFUNCTION("GOOGLETRANSLATE(B27567,""en"",""fr"")"),"Les garçons continuent de jouer le jeu et la quatrième sur les onglets.")</f>
        <v>Les garçons continuent de jouer le jeu et la quatrième sur les onglets.</v>
      </c>
    </row>
    <row r="27568">
      <c r="A27568" s="4" t="s">
        <v>34711</v>
      </c>
      <c r="B27568" s="4" t="s">
        <v>34712</v>
      </c>
      <c r="C27568" s="5" t="str">
        <f>IFERROR(__xludf.DUMMYFUNCTION("GOOGLETRANSLATE(B27568,""en"",""fr"")"),"Une caméra se déroule autour d'une cour menant à un râteau assis contre une poubelle.")</f>
        <v>Une caméra se déroule autour d'une cour menant à un râteau assis contre une poubelle.</v>
      </c>
    </row>
    <row r="27569">
      <c r="A27569" s="4" t="s">
        <v>34711</v>
      </c>
      <c r="B27569" s="4" t="s">
        <v>34713</v>
      </c>
      <c r="C27569" s="5" t="str">
        <f>IFERROR(__xludf.DUMMYFUNCTION("GOOGLETRANSLATE(B27569,""en"",""fr"")"),"Un homme est vu s'étendre au loin et commence à ratir les feuilles.")</f>
        <v>Un homme est vu s'étendre au loin et commence à ratir les feuilles.</v>
      </c>
    </row>
    <row r="27570">
      <c r="A27570" s="4" t="s">
        <v>34711</v>
      </c>
      <c r="B27570" s="6" t="s">
        <v>34714</v>
      </c>
      <c r="C27570" s="5" t="str">
        <f>IFERROR(__xludf.DUMMYFUNCTION("GOOGLETRANSLATE(B27570,""en"",""fr"")"),"Il ramasse les feuilles et les jette à la poubelle ainsi que sur une couverture et la remet à une fille.")</f>
        <v>Il ramasse les feuilles et les jette à la poubelle ainsi que sur une couverture et la remet à une fille.</v>
      </c>
    </row>
    <row r="27571">
      <c r="A27571" s="4" t="s">
        <v>34715</v>
      </c>
      <c r="B27571" s="6" t="s">
        <v>34716</v>
      </c>
      <c r="C27571" s="5" t="str">
        <f>IFERROR(__xludf.DUMMYFUNCTION("GOOGLETRANSLATE(B27571,""en"",""fr"")"),"Une collection de planches à roulettes alignées dans une rue en position ascendante sur leurs roues et à l'envers sur la plate-forme.")</f>
        <v>Une collection de planches à roulettes alignées dans une rue en position ascendante sur leurs roues et à l'envers sur la plate-forme.</v>
      </c>
    </row>
    <row r="27572">
      <c r="A27572" s="4" t="s">
        <v>34715</v>
      </c>
      <c r="B27572" s="6" t="s">
        <v>34717</v>
      </c>
      <c r="C27572" s="5" t="str">
        <f>IFERROR(__xludf.DUMMYFUNCTION("GOOGLETRANSLATE(B27572,""en"",""fr"")"),"Un skateur portant des patins de casque blancs suivis d'un autre skateur tandis que la caméra pans un groupe de spectateurs de skateboard regardant depuis le trottoir de rue.")</f>
        <v>Un skateur portant des patins de casque blancs suivis d'un autre skateur tandis que la caméra pans un groupe de spectateurs de skateboard regardant depuis le trottoir de rue.</v>
      </c>
    </row>
    <row r="27573">
      <c r="A27573" s="4" t="s">
        <v>34715</v>
      </c>
      <c r="B27573" s="4" t="s">
        <v>34718</v>
      </c>
      <c r="C27573" s="5" t="str">
        <f>IFERROR(__xludf.DUMMYFUNCTION("GOOGLETRANSLATE(B27573,""en"",""fr"")"),"Un groupe de skaters effectue des astuces et des manœuvres dans la rue.")</f>
        <v>Un groupe de skaters effectue des astuces et des manœuvres dans la rue.</v>
      </c>
    </row>
    <row r="27574">
      <c r="A27574" s="4" t="s">
        <v>34715</v>
      </c>
      <c r="B27574" s="4" t="s">
        <v>34719</v>
      </c>
      <c r="C27574" s="5" t="str">
        <f>IFERROR(__xludf.DUMMYFUNCTION("GOOGLETRANSLATE(B27574,""en"",""fr"")"),"Une vue d'un véhicule chargé de planches à roulettes et d'équipement de skateboard.")</f>
        <v>Une vue d'un véhicule chargé de planches à roulettes et d'équipement de skateboard.</v>
      </c>
    </row>
    <row r="27575">
      <c r="A27575" s="4" t="s">
        <v>34715</v>
      </c>
      <c r="B27575" s="4" t="s">
        <v>34720</v>
      </c>
      <c r="C27575" s="5" t="str">
        <f>IFERROR(__xludf.DUMMYFUNCTION("GOOGLETRANSLATE(B27575,""en"",""fr"")"),"Une autre vue sur les planches à roulettes alignées dans la rue en position verticale.")</f>
        <v>Une autre vue sur les planches à roulettes alignées dans la rue en position verticale.</v>
      </c>
    </row>
    <row r="27576">
      <c r="A27576" s="4" t="s">
        <v>34715</v>
      </c>
      <c r="B27576" s="6" t="s">
        <v>34721</v>
      </c>
      <c r="C27576" s="5" t="str">
        <f>IFERROR(__xludf.DUMMYFUNCTION("GOOGLETRANSLATE(B27576,""en"",""fr"")"),"Les spectateurs regardent depuis le trottoir de rue tandis qu'un groupe de skaters se fait à tour de rôle, patinant sur la colline et faisant un arrêt de spin pointu à un endroit désigné.")</f>
        <v>Les spectateurs regardent depuis le trottoir de rue tandis qu'un groupe de skaters se fait à tour de rôle, patinant sur la colline et faisant un arrêt de spin pointu à un endroit désigné.</v>
      </c>
    </row>
    <row r="27577">
      <c r="A27577" s="4" t="s">
        <v>34722</v>
      </c>
      <c r="B27577" s="4" t="s">
        <v>34723</v>
      </c>
      <c r="C27577" s="5" t="str">
        <f>IFERROR(__xludf.DUMMYFUNCTION("GOOGLETRANSLATE(B27577,""en"",""fr"")"),"La femme marche dans une cour herbeuse verte.")</f>
        <v>La femme marche dans une cour herbeuse verte.</v>
      </c>
    </row>
    <row r="27578">
      <c r="A27578" s="4" t="s">
        <v>34722</v>
      </c>
      <c r="B27578" s="4" t="s">
        <v>34724</v>
      </c>
      <c r="C27578" s="5" t="str">
        <f>IFERROR(__xludf.DUMMYFUNCTION("GOOGLETRANSLATE(B27578,""en"",""fr"")"),"L'homme se tient dans un bacyard devant une clôture avec une machine devant lui.")</f>
        <v>L'homme se tient dans un bacyard devant une clôture avec une machine devant lui.</v>
      </c>
    </row>
    <row r="27579">
      <c r="A27579" s="4" t="s">
        <v>34722</v>
      </c>
      <c r="B27579" s="4" t="s">
        <v>34725</v>
      </c>
      <c r="C27579" s="5" t="str">
        <f>IFERROR(__xludf.DUMMYFUNCTION("GOOGLETRANSLATE(B27579,""en"",""fr"")"),"La femme est dans l'arrière-cour et un homme est derrière elle en utilisant une tondeuse à gazon pour couper l'herbe.")</f>
        <v>La femme est dans l'arrière-cour et un homme est derrière elle en utilisant une tondeuse à gazon pour couper l'herbe.</v>
      </c>
    </row>
    <row r="27580">
      <c r="A27580" s="4" t="s">
        <v>34722</v>
      </c>
      <c r="B27580" s="4" t="s">
        <v>34726</v>
      </c>
      <c r="C27580" s="5" t="str">
        <f>IFERROR(__xludf.DUMMYFUNCTION("GOOGLETRANSLATE(B27580,""en"",""fr"")"),"L'homme marche avec des sacs en plastique blanc sur le tissu.")</f>
        <v>L'homme marche avec des sacs en plastique blanc sur le tissu.</v>
      </c>
    </row>
    <row r="27581">
      <c r="A27581" s="4" t="s">
        <v>34727</v>
      </c>
      <c r="B27581" s="4" t="s">
        <v>34728</v>
      </c>
      <c r="C27581" s="5" t="str">
        <f>IFERROR(__xludf.DUMMYFUNCTION("GOOGLETRANSLATE(B27581,""en"",""fr"")"),"Un vieil homme a jeté la balle jaune dans la tasse et elle a rebondi sur la table.")</f>
        <v>Un vieil homme a jeté la balle jaune dans la tasse et elle a rebondi sur la table.</v>
      </c>
    </row>
    <row r="27582">
      <c r="A27582" s="4" t="s">
        <v>34727</v>
      </c>
      <c r="B27582" s="4" t="s">
        <v>34729</v>
      </c>
      <c r="C27582" s="5" t="str">
        <f>IFERROR(__xludf.DUMMYFUNCTION("GOOGLETRANSLATE(B27582,""en"",""fr"")"),"Le vieil homme en chemise noire a jeté le ballon et a atterri sur la table.")</f>
        <v>Le vieil homme en chemise noire a jeté le ballon et a atterri sur la table.</v>
      </c>
    </row>
    <row r="27583">
      <c r="A27583" s="4" t="s">
        <v>34727</v>
      </c>
      <c r="B27583" s="6" t="s">
        <v>34730</v>
      </c>
      <c r="C27583" s="5" t="str">
        <f>IFERROR(__xludf.DUMMYFUNCTION("GOOGLETRANSLATE(B27583,""en"",""fr"")"),"Un homme a jeté le ballon en arrière et l'homme en chemise noire prend le ballon de la tasse et l'a jeté mais a atterri à l'extérieur de la table.")</f>
        <v>Un homme a jeté le ballon en arrière et l'homme en chemise noire prend le ballon de la tasse et l'a jeté mais a atterri à l'extérieur de la table.</v>
      </c>
    </row>
    <row r="27584">
      <c r="A27584" s="4" t="s">
        <v>34731</v>
      </c>
      <c r="B27584" s="4" t="s">
        <v>34732</v>
      </c>
      <c r="C27584" s="5" t="str">
        <f>IFERROR(__xludf.DUMMYFUNCTION("GOOGLETRANSLATE(B27584,""en"",""fr"")"),"Nous voyons un homme dans un orchestre faire des grimaces.")</f>
        <v>Nous voyons un homme dans un orchestre faire des grimaces.</v>
      </c>
    </row>
    <row r="27585">
      <c r="A27585" s="4" t="s">
        <v>34731</v>
      </c>
      <c r="B27585" s="4" t="s">
        <v>34733</v>
      </c>
      <c r="C27585" s="5" t="str">
        <f>IFERROR(__xludf.DUMMYFUNCTION("GOOGLETRANSLATE(B27585,""en"",""fr"")"),"L'homme se lève et joue ensuite le violon.")</f>
        <v>L'homme se lève et joue ensuite le violon.</v>
      </c>
    </row>
    <row r="27586">
      <c r="A27586" s="4" t="s">
        <v>34731</v>
      </c>
      <c r="B27586" s="4" t="s">
        <v>34734</v>
      </c>
      <c r="C27586" s="5" t="str">
        <f>IFERROR(__xludf.DUMMYFUNCTION("GOOGLETRANSLATE(B27586,""en"",""fr"")"),"Nous voyons des gens chez les casiers.")</f>
        <v>Nous voyons des gens chez les casiers.</v>
      </c>
    </row>
    <row r="27587">
      <c r="A27587" s="4" t="s">
        <v>34731</v>
      </c>
      <c r="B27587" s="4" t="s">
        <v>34735</v>
      </c>
      <c r="C27587" s="5" t="str">
        <f>IFERROR(__xludf.DUMMYFUNCTION("GOOGLETRANSLATE(B27587,""en"",""fr"")"),"Nous retournons à l'homme jouant du violon.")</f>
        <v>Nous retournons à l'homme jouant du violon.</v>
      </c>
    </row>
    <row r="27588">
      <c r="A27588" s="4" t="s">
        <v>34731</v>
      </c>
      <c r="B27588" s="4" t="s">
        <v>34736</v>
      </c>
      <c r="C27588" s="5" t="str">
        <f>IFERROR(__xludf.DUMMYFUNCTION("GOOGLETRANSLATE(B27588,""en"",""fr"")"),"Nous voyons les gens dans le casier.")</f>
        <v>Nous voyons les gens dans le casier.</v>
      </c>
    </row>
    <row r="27589">
      <c r="A27589" s="4" t="s">
        <v>34731</v>
      </c>
      <c r="B27589" s="4" t="s">
        <v>34737</v>
      </c>
      <c r="C27589" s="5" t="str">
        <f>IFERROR(__xludf.DUMMYFUNCTION("GOOGLETRANSLATE(B27589,""en"",""fr"")"),"Nous voyons l'homme qui joue, puis la foule se tient et applaudit.")</f>
        <v>Nous voyons l'homme qui joue, puis la foule se tient et applaudit.</v>
      </c>
    </row>
    <row r="27590">
      <c r="A27590" s="4" t="s">
        <v>34731</v>
      </c>
      <c r="B27590" s="4" t="s">
        <v>34738</v>
      </c>
      <c r="C27590" s="5" t="str">
        <f>IFERROR(__xludf.DUMMYFUNCTION("GOOGLETRANSLATE(B27590,""en"",""fr"")"),"L'homme sourit et vague.")</f>
        <v>L'homme sourit et vague.</v>
      </c>
    </row>
    <row r="27591">
      <c r="A27591" s="4" t="s">
        <v>34739</v>
      </c>
      <c r="B27591" s="4" t="s">
        <v>34740</v>
      </c>
      <c r="C27591" s="5" t="str">
        <f>IFERROR(__xludf.DUMMYFUNCTION("GOOGLETRANSLATE(B27591,""en"",""fr"")"),"Les gens pensent depuis longtemps sur une colline.")</f>
        <v>Les gens pensent depuis longtemps sur une colline.</v>
      </c>
    </row>
    <row r="27592">
      <c r="A27592" s="4" t="s">
        <v>34739</v>
      </c>
      <c r="B27592" s="4" t="s">
        <v>34741</v>
      </c>
      <c r="C27592" s="5" t="str">
        <f>IFERROR(__xludf.DUMMYFUNCTION("GOOGLETRANSLATE(B27592,""en"",""fr"")"),"Un camion en argent est garé à côté de la colline.")</f>
        <v>Un camion en argent est garé à côté de la colline.</v>
      </c>
    </row>
    <row r="27593">
      <c r="A27593" s="4" t="s">
        <v>34739</v>
      </c>
      <c r="B27593" s="4" t="s">
        <v>34742</v>
      </c>
      <c r="C27593" s="5" t="str">
        <f>IFERROR(__xludf.DUMMYFUNCTION("GOOGLETRANSLATE(B27593,""en"",""fr"")"),"Une personne tombe de la longue planche sur le trottoir.")</f>
        <v>Une personne tombe de la longue planche sur le trottoir.</v>
      </c>
    </row>
    <row r="27594">
      <c r="A27594" s="4" t="s">
        <v>34743</v>
      </c>
      <c r="B27594" s="4" t="s">
        <v>34744</v>
      </c>
      <c r="C27594" s="5" t="str">
        <f>IFERROR(__xludf.DUMMYFUNCTION("GOOGLETRANSLATE(B27594,""en"",""fr"")"),"Le texte blanc dit en mémoire de Paul Walker.")</f>
        <v>Le texte blanc dit en mémoire de Paul Walker.</v>
      </c>
    </row>
    <row r="27595">
      <c r="A27595" s="4" t="s">
        <v>34743</v>
      </c>
      <c r="B27595" s="4" t="s">
        <v>34745</v>
      </c>
      <c r="C27595" s="5" t="str">
        <f>IFERROR(__xludf.DUMMYFUNCTION("GOOGLETRANSLATE(B27595,""en"",""fr"")"),"Une personne est montrée à l'aide d'un petit pinceau pour créer une image de Paul Walker.")</f>
        <v>Une personne est montrée à l'aide d'un petit pinceau pour créer une image de Paul Walker.</v>
      </c>
    </row>
    <row r="27596">
      <c r="A27596" s="4" t="s">
        <v>34743</v>
      </c>
      <c r="B27596" s="4" t="s">
        <v>34746</v>
      </c>
      <c r="C27596" s="5" t="str">
        <f>IFERROR(__xludf.DUMMYFUNCTION("GOOGLETRANSLATE(B27596,""en"",""fr"")"),"Chaque détail est dessiné un à la fois, produisant l'image finale terminée.")</f>
        <v>Chaque détail est dessiné un à la fois, produisant l'image finale terminée.</v>
      </c>
    </row>
    <row r="27597">
      <c r="A27597" s="4" t="s">
        <v>34747</v>
      </c>
      <c r="B27597" s="6" t="s">
        <v>34748</v>
      </c>
      <c r="C27597" s="5" t="str">
        <f>IFERROR(__xludf.DUMMYFUNCTION("GOOGLETRANSLATE(B27597,""en"",""fr"")"),"On voit deux personnes hébergeant un segment d'actualités qui mène à des clips de personnes grattant leurs voitures.")</f>
        <v>On voit deux personnes hébergeant un segment d'actualités qui mène à des clips de personnes grattant leurs voitures.</v>
      </c>
    </row>
    <row r="27598">
      <c r="A27598" s="4" t="s">
        <v>34747</v>
      </c>
      <c r="B27598" s="6" t="s">
        <v>34749</v>
      </c>
      <c r="C27598" s="5" t="str">
        <f>IFERROR(__xludf.DUMMYFUNCTION("GOOGLETRANSLATE(B27598,""en"",""fr"")"),"Une femme est vue en parlant à la caméra tout en grattant sa voiture et en tenant des produits pour aider.")</f>
        <v>Une femme est vue en parlant à la caméra tout en grattant sa voiture et en tenant des produits pour aider.</v>
      </c>
    </row>
    <row r="27599">
      <c r="A27599" s="4" t="s">
        <v>34747</v>
      </c>
      <c r="B27599" s="6" t="s">
        <v>34750</v>
      </c>
      <c r="C27599" s="5" t="str">
        <f>IFERROR(__xludf.DUMMYFUNCTION("GOOGLETRANSLATE(B27599,""en"",""fr"")"),"Plus de gens sont vus parler à la caméra et montrer leurs méthodes de fonte de la glace et de retourner aux deux journalistes.")</f>
        <v>Plus de gens sont vus parler à la caméra et montrer leurs méthodes de fonte de la glace et de retourner aux deux journalistes.</v>
      </c>
    </row>
    <row r="27600">
      <c r="A27600" s="4" t="s">
        <v>34751</v>
      </c>
      <c r="B27600" s="4" t="s">
        <v>34752</v>
      </c>
      <c r="C27600" s="5" t="str">
        <f>IFERROR(__xludf.DUMMYFUNCTION("GOOGLETRANSLATE(B27600,""en"",""fr"")"),"Une gymnaste masculine habillée des justaucorps rouges et blancs se produit sur un bar à cheval.")</f>
        <v>Une gymnaste masculine habillée des justaucorps rouges et blancs se produit sur un bar à cheval.</v>
      </c>
    </row>
    <row r="27601">
      <c r="A27601" s="4" t="s">
        <v>34751</v>
      </c>
      <c r="B27601" s="4" t="s">
        <v>34753</v>
      </c>
      <c r="C27601" s="5" t="str">
        <f>IFERROR(__xludf.DUMMYFUNCTION("GOOGLETRANSLATE(B27601,""en"",""fr"")"),"Il grimpe dans le bar à cheval et fait des ressorts à revers.")</f>
        <v>Il grimpe dans le bar à cheval et fait des ressorts à revers.</v>
      </c>
    </row>
    <row r="27602">
      <c r="A27602" s="4" t="s">
        <v>34751</v>
      </c>
      <c r="B27602" s="6" t="s">
        <v>34754</v>
      </c>
      <c r="C27602" s="5" t="str">
        <f>IFERROR(__xludf.DUMMYFUNCTION("GOOGLETRANSLATE(B27602,""en"",""fr"")"),"Il continue rapidement sur la barre de cheval alors qu'il soulève son corps en poussant son poids corporel sur ses bras.")</f>
        <v>Il continue rapidement sur la barre de cheval alors qu'il soulève son corps en poussant son poids corporel sur ses bras.</v>
      </c>
    </row>
    <row r="27603">
      <c r="A27603" s="4" t="s">
        <v>34751</v>
      </c>
      <c r="B27603" s="4" t="s">
        <v>34755</v>
      </c>
      <c r="C27603" s="5" t="str">
        <f>IFERROR(__xludf.DUMMYFUNCTION("GOOGLETRANSLATE(B27603,""en"",""fr"")"),"Il continue de faire des ressorts à la main avant et arrière.")</f>
        <v>Il continue de faire des ressorts à la main avant et arrière.</v>
      </c>
    </row>
    <row r="27604">
      <c r="A27604" s="4" t="s">
        <v>34751</v>
      </c>
      <c r="B27604" s="4" t="s">
        <v>34756</v>
      </c>
      <c r="C27604" s="5" t="str">
        <f>IFERROR(__xludf.DUMMYFUNCTION("GOOGLETRANSLATE(B27604,""en"",""fr"")"),"Après avoir terminé, il descend du bar et se dirige vers les juges et autres concurrents.")</f>
        <v>Après avoir terminé, il descend du bar et se dirige vers les juges et autres concurrents.</v>
      </c>
    </row>
    <row r="27605">
      <c r="A27605" s="4" t="s">
        <v>34751</v>
      </c>
      <c r="B27605" s="4" t="s">
        <v>34757</v>
      </c>
      <c r="C27605" s="5" t="str">
        <f>IFERROR(__xludf.DUMMYFUNCTION("GOOGLETRANSLATE(B27605,""en"",""fr"")"),"Les spectateurs le encouragent et les juges serrent la main avec la gymnaste.")</f>
        <v>Les spectateurs le encouragent et les juges serrent la main avec la gymnaste.</v>
      </c>
    </row>
    <row r="27606">
      <c r="A27606" s="4" t="s">
        <v>34758</v>
      </c>
      <c r="B27606" s="4" t="s">
        <v>34759</v>
      </c>
      <c r="C27606" s="5" t="str">
        <f>IFERROR(__xludf.DUMMYFUNCTION("GOOGLETRANSLATE(B27606,""en"",""fr"")"),"Un homme se tient dans une pièce qui fonte sur un objet avec un ustensile qui crée plusieurs étincelles.")</f>
        <v>Un homme se tient dans une pièce qui fonte sur un objet avec un ustensile qui crée plusieurs étincelles.</v>
      </c>
    </row>
    <row r="27607">
      <c r="A27607" s="4" t="s">
        <v>34758</v>
      </c>
      <c r="B27607" s="6" t="s">
        <v>34760</v>
      </c>
      <c r="C27607" s="5" t="str">
        <f>IFERROR(__xludf.DUMMYFUNCTION("GOOGLETRANSLATE(B27607,""en"",""fr"")"),"Un autre homme marche ensuite derrière la personne et met un casque pour se protéger alors qu'il regarde l'homme devant lui.")</f>
        <v>Un autre homme marche ensuite derrière la personne et met un casque pour se protéger alors qu'il regarde l'homme devant lui.</v>
      </c>
    </row>
    <row r="27608">
      <c r="A27608" s="4" t="s">
        <v>34761</v>
      </c>
      <c r="B27608" s="4" t="s">
        <v>34762</v>
      </c>
      <c r="C27608" s="5" t="str">
        <f>IFERROR(__xludf.DUMMYFUNCTION("GOOGLETRANSLATE(B27608,""en"",""fr"")"),"Trois enfants se balançant sur le jeu se déroulent dans la cour arrière.")</f>
        <v>Trois enfants se balançant sur le jeu se déroulent dans la cour arrière.</v>
      </c>
    </row>
    <row r="27609">
      <c r="A27609" s="4" t="s">
        <v>34761</v>
      </c>
      <c r="B27609" s="4" t="s">
        <v>34763</v>
      </c>
      <c r="C27609" s="5" t="str">
        <f>IFERROR(__xludf.DUMMYFUNCTION("GOOGLETRANSLATE(B27609,""en"",""fr"")"),"L'un des garçons grimpe et glisse le long de la diapositive.")</f>
        <v>L'un des garçons grimpe et glisse le long de la diapositive.</v>
      </c>
    </row>
    <row r="27610">
      <c r="A27610" s="4" t="s">
        <v>34761</v>
      </c>
      <c r="B27610" s="4" t="s">
        <v>34764</v>
      </c>
      <c r="C27610" s="5" t="str">
        <f>IFERROR(__xludf.DUMMYFUNCTION("GOOGLETRANSLATE(B27610,""en"",""fr"")"),"Plus d'enfants se joignent et ils descendent la diapositive ensemble et se déplacent autour de l'ensemble très rapidement.")</f>
        <v>Plus d'enfants se joignent et ils descendent la diapositive ensemble et se déplacent autour de l'ensemble très rapidement.</v>
      </c>
    </row>
    <row r="27611">
      <c r="A27611" s="4" t="s">
        <v>34761</v>
      </c>
      <c r="B27611" s="4" t="s">
        <v>34765</v>
      </c>
      <c r="C27611" s="5" t="str">
        <f>IFERROR(__xludf.DUMMYFUNCTION("GOOGLETRANSLATE(B27611,""en"",""fr"")"),"Ils commencent à se balancer sur leurs ventre et juste dans l'ensemble passer un bon moment à jouer.")</f>
        <v>Ils commencent à se balancer sur leurs ventre et juste dans l'ensemble passer un bon moment à jouer.</v>
      </c>
    </row>
    <row r="27612">
      <c r="A27612" s="4" t="s">
        <v>34766</v>
      </c>
      <c r="B27612" s="6" t="s">
        <v>34767</v>
      </c>
      <c r="C27612" s="5" t="str">
        <f>IFERROR(__xludf.DUMMYFUNCTION("GOOGLETRANSLATE(B27612,""en"",""fr"")"),"Une série de mots apparaît à travers l'écran et nous informent que les hommes tentent de ramer à travers l'Atlantique.")</f>
        <v>Une série de mots apparaît à travers l'écran et nous informent que les hommes tentent de ramer à travers l'Atlantique.</v>
      </c>
    </row>
    <row r="27613">
      <c r="A27613" s="4" t="s">
        <v>34766</v>
      </c>
      <c r="B27613" s="6" t="s">
        <v>34768</v>
      </c>
      <c r="C27613" s="5" t="str">
        <f>IFERROR(__xludf.DUMMYFUNCTION("GOOGLETRANSLATE(B27613,""en"",""fr"")"),"Un homme est ensuite montré à l'extérieur sur son aviron de terrasse et les mots indiquent que cela a été deux heures et 1600 calories brûlées.")</f>
        <v>Un homme est ensuite montré à l'extérieur sur son aviron de terrasse et les mots indiquent que cela a été deux heures et 1600 calories brûlées.</v>
      </c>
    </row>
    <row r="27614">
      <c r="A27614" s="4" t="s">
        <v>34766</v>
      </c>
      <c r="B27614" s="6" t="s">
        <v>34769</v>
      </c>
      <c r="C27614" s="5" t="str">
        <f>IFERROR(__xludf.DUMMYFUNCTION("GOOGLETRANSLATE(B27614,""en"",""fr"")"),"Une fois que l'homme est à nouveau montré, mais cette fois, il est épuisé et est obligé de respirer pour qu'il puisse respirer.")</f>
        <v>Une fois que l'homme est à nouveau montré, mais cette fois, il est épuisé et est obligé de respirer pour qu'il puisse respirer.</v>
      </c>
    </row>
    <row r="27615">
      <c r="A27615" s="4" t="s">
        <v>34766</v>
      </c>
      <c r="B27615" s="6" t="s">
        <v>34770</v>
      </c>
      <c r="C27615" s="5" t="str">
        <f>IFERROR(__xludf.DUMMYFUNCTION("GOOGLETRANSLATE(B27615,""en"",""fr"")"),"Maintenant, l'homme se lève et prend la caméra et leva la main pour montrer les cloques qu'il a sur ses mains.")</f>
        <v>Maintenant, l'homme se lève et prend la caméra et leva la main pour montrer les cloques qu'il a sur ses mains.</v>
      </c>
    </row>
    <row r="27616">
      <c r="A27616" s="4" t="s">
        <v>34771</v>
      </c>
      <c r="B27616" s="4" t="s">
        <v>34772</v>
      </c>
      <c r="C27616" s="5" t="str">
        <f>IFERROR(__xludf.DUMMYFUNCTION("GOOGLETRANSLATE(B27616,""en"",""fr"")"),"Les gens se tiennent au-dessus d'un plongée, l'homme saute dans la piscine.")</f>
        <v>Les gens se tiennent au-dessus d'un plongée, l'homme saute dans la piscine.</v>
      </c>
    </row>
    <row r="27617">
      <c r="A27617" s="4" t="s">
        <v>34771</v>
      </c>
      <c r="B27617" s="4" t="s">
        <v>34773</v>
      </c>
      <c r="C27617" s="5" t="str">
        <f>IFERROR(__xludf.DUMMYFUNCTION("GOOGLETRANSLATE(B27617,""en"",""fr"")"),"Soudain, une fille court sur une planche à manger inférieure et saute dans la piscine.")</f>
        <v>Soudain, une fille court sur une planche à manger inférieure et saute dans la piscine.</v>
      </c>
    </row>
    <row r="27618">
      <c r="A27618" s="4" t="s">
        <v>34771</v>
      </c>
      <c r="B27618" s="4" t="s">
        <v>34774</v>
      </c>
      <c r="C27618" s="5" t="str">
        <f>IFERROR(__xludf.DUMMYFUNCTION("GOOGLETRANSLATE(B27618,""en"",""fr"")"),"Les gens s'assoient autour de la piscine.")</f>
        <v>Les gens s'assoient autour de la piscine.</v>
      </c>
    </row>
    <row r="27619">
      <c r="A27619" s="4" t="s">
        <v>34775</v>
      </c>
      <c r="B27619" s="4" t="s">
        <v>34776</v>
      </c>
      <c r="C27619" s="5" t="str">
        <f>IFERROR(__xludf.DUMMYFUNCTION("GOOGLETRANSLATE(B27619,""en"",""fr"")"),"Quelques hommes plus âgés sont représentés devant les bars de singe qui se parlent.")</f>
        <v>Quelques hommes plus âgés sont représentés devant les bars de singe qui se parlent.</v>
      </c>
    </row>
    <row r="27620">
      <c r="A27620" s="4" t="s">
        <v>34775</v>
      </c>
      <c r="B27620" s="4" t="s">
        <v>34777</v>
      </c>
      <c r="C27620" s="5" t="str">
        <f>IFERROR(__xludf.DUMMYFUNCTION("GOOGLETRANSLATE(B27620,""en"",""fr"")"),"On commence à grimper le long des bars avec plusieurs autres personnes venant de derrière.")</f>
        <v>On commence à grimper le long des bars avec plusieurs autres personnes venant de derrière.</v>
      </c>
    </row>
    <row r="27621">
      <c r="A27621" s="4" t="s">
        <v>34775</v>
      </c>
      <c r="B27621" s="4" t="s">
        <v>34778</v>
      </c>
      <c r="C27621" s="5" t="str">
        <f>IFERROR(__xludf.DUMMYFUNCTION("GOOGLETRANSLATE(B27621,""en"",""fr"")"),"Une femme tombe dans l'eau et bien d'autres grimpent à travers les barres de singe.")</f>
        <v>Une femme tombe dans l'eau et bien d'autres grimpent à travers les barres de singe.</v>
      </c>
    </row>
    <row r="27622">
      <c r="A27622" s="4" t="s">
        <v>34779</v>
      </c>
      <c r="B27622" s="4" t="s">
        <v>34780</v>
      </c>
      <c r="C27622" s="5" t="str">
        <f>IFERROR(__xludf.DUMMYFUNCTION("GOOGLETRANSLATE(B27622,""en"",""fr"")"),"Un petit garçon portant une chemise à rayures noire et rouge est assise avec un ensemble de batterie et joue de la batterie.")</f>
        <v>Un petit garçon portant une chemise à rayures noire et rouge est assise avec un ensemble de batterie et joue de la batterie.</v>
      </c>
    </row>
    <row r="27623">
      <c r="A27623" s="4" t="s">
        <v>34779</v>
      </c>
      <c r="B27623" s="4" t="s">
        <v>34781</v>
      </c>
      <c r="C27623" s="5" t="str">
        <f>IFERROR(__xludf.DUMMYFUNCTION("GOOGLETRANSLATE(B27623,""en"",""fr"")"),"Un homme portant une chemise rose et un pantalon noir se tient à côté de lui.")</f>
        <v>Un homme portant une chemise rose et un pantalon noir se tient à côté de lui.</v>
      </c>
    </row>
    <row r="27624">
      <c r="A27624" s="4" t="s">
        <v>34779</v>
      </c>
      <c r="B27624" s="4" t="s">
        <v>34782</v>
      </c>
      <c r="C27624" s="5" t="str">
        <f>IFERROR(__xludf.DUMMYFUNCTION("GOOGLETRANSLATE(B27624,""en"",""fr"")"),"Une autre personne portant une chemise en jean passe devant le garçon.")</f>
        <v>Une autre personne portant une chemise en jean passe devant le garçon.</v>
      </c>
    </row>
    <row r="27625">
      <c r="A27625" s="4" t="s">
        <v>34779</v>
      </c>
      <c r="B27625" s="6" t="s">
        <v>34783</v>
      </c>
      <c r="C27625" s="5" t="str">
        <f>IFERROR(__xludf.DUMMYFUNCTION("GOOGLETRANSLATE(B27625,""en"",""fr"")"),"Le garçon continue de tambour des cymbales et du hi-hat d'une manière rythmique alors que les gens l'encouragent.")</f>
        <v>Le garçon continue de tambour des cymbales et du hi-hat d'une manière rythmique alors que les gens l'encouragent.</v>
      </c>
    </row>
    <row r="27626">
      <c r="A27626" s="4" t="s">
        <v>34779</v>
      </c>
      <c r="B27626" s="4" t="s">
        <v>34784</v>
      </c>
      <c r="C27626" s="5" t="str">
        <f>IFERROR(__xludf.DUMMYFUNCTION("GOOGLETRANSLATE(B27626,""en"",""fr"")"),"Il frappe alternativement les cymbales et la caisse claire avec les bâtons.")</f>
        <v>Il frappe alternativement les cymbales et la caisse claire avec les bâtons.</v>
      </c>
    </row>
    <row r="27627">
      <c r="A27627" s="4" t="s">
        <v>34779</v>
      </c>
      <c r="B27627" s="4" t="s">
        <v>34785</v>
      </c>
      <c r="C27627" s="5" t="str">
        <f>IFERROR(__xludf.DUMMYFUNCTION("GOOGLETRANSLATE(B27627,""en"",""fr"")"),"Il se termine en frappant les cymbales.")</f>
        <v>Il se termine en frappant les cymbales.</v>
      </c>
    </row>
    <row r="27628">
      <c r="A27628" s="4" t="s">
        <v>34786</v>
      </c>
      <c r="B27628" s="4" t="s">
        <v>34787</v>
      </c>
      <c r="C27628" s="5" t="str">
        <f>IFERROR(__xludf.DUMMYFUNCTION("GOOGLETRANSLATE(B27628,""en"",""fr"")"),"Les gymnastes se balancent sur des bars doubles pendant la compétition olympique.")</f>
        <v>Les gymnastes se balancent sur des bars doubles pendant la compétition olympique.</v>
      </c>
    </row>
    <row r="27629">
      <c r="A27629" s="4" t="s">
        <v>34786</v>
      </c>
      <c r="B27629" s="4" t="s">
        <v>34788</v>
      </c>
      <c r="C27629" s="5" t="str">
        <f>IFERROR(__xludf.DUMMYFUNCTION("GOOGLETRANSLATE(B27629,""en"",""fr"")"),"Gymnaste oscille sur des bars doubles pendant l'entraînement dans une salle de sport.")</f>
        <v>Gymnaste oscille sur des bars doubles pendant l'entraînement dans une salle de sport.</v>
      </c>
    </row>
    <row r="27630">
      <c r="A27630" s="4" t="s">
        <v>34789</v>
      </c>
      <c r="B27630" s="4" t="s">
        <v>34790</v>
      </c>
      <c r="C27630" s="5" t="str">
        <f>IFERROR(__xludf.DUMMYFUNCTION("GOOGLETRANSLATE(B27630,""en"",""fr"")"),"Plusieurs adultes font un exercice de pas sur des plates-formes.")</f>
        <v>Plusieurs adultes font un exercice de pas sur des plates-formes.</v>
      </c>
    </row>
    <row r="27631">
      <c r="A27631" s="4" t="s">
        <v>34789</v>
      </c>
      <c r="B27631" s="4" t="s">
        <v>34791</v>
      </c>
      <c r="C27631" s="5" t="str">
        <f>IFERROR(__xludf.DUMMYFUNCTION("GOOGLETRANSLATE(B27631,""en"",""fr"")"),"Ils marchent et tournent et tournent autour.")</f>
        <v>Ils marchent et tournent et tournent autour.</v>
      </c>
    </row>
    <row r="27632">
      <c r="A27632" s="4" t="s">
        <v>34789</v>
      </c>
      <c r="B27632" s="4" t="s">
        <v>34792</v>
      </c>
      <c r="C27632" s="5" t="str">
        <f>IFERROR(__xludf.DUMMYFUNCTION("GOOGLETRANSLATE(B27632,""en"",""fr"")"),"Ils font une roue de chariot sur la plate-forme.")</f>
        <v>Ils font une roue de chariot sur la plate-forme.</v>
      </c>
    </row>
    <row r="27633">
      <c r="A27633" s="4" t="s">
        <v>34789</v>
      </c>
      <c r="B27633" s="4" t="s">
        <v>34793</v>
      </c>
      <c r="C27633" s="5" t="str">
        <f>IFERROR(__xludf.DUMMYFUNCTION("GOOGLETRANSLATE(B27633,""en"",""fr"")"),"Ils mettent fin à leur exercice et s'enlèvent.")</f>
        <v>Ils mettent fin à leur exercice et s'enlèvent.</v>
      </c>
    </row>
    <row r="27634">
      <c r="A27634" s="4" t="s">
        <v>34794</v>
      </c>
      <c r="B27634" s="4" t="s">
        <v>34795</v>
      </c>
      <c r="C27634" s="5" t="str">
        <f>IFERROR(__xludf.DUMMYFUNCTION("GOOGLETRANSLATE(B27634,""en"",""fr"")"),"Une jeune fille de l'adolescence est assise sur une grande chaise parlant au téléphone et fait des grimaces.")</f>
        <v>Une jeune fille de l'adolescence est assise sur une grande chaise parlant au téléphone et fait des grimaces.</v>
      </c>
    </row>
    <row r="27635">
      <c r="A27635" s="4" t="s">
        <v>34794</v>
      </c>
      <c r="B27635" s="4" t="s">
        <v>34796</v>
      </c>
      <c r="C27635" s="5" t="str">
        <f>IFERROR(__xludf.DUMMYFUNCTION("GOOGLETRANSLATE(B27635,""en"",""fr"")"),"Deux autres femmes commencent alors à danser devant dans la cour sur un trottoir.")</f>
        <v>Deux autres femmes commencent alors à danser devant dans la cour sur un trottoir.</v>
      </c>
    </row>
    <row r="27636">
      <c r="A27636" s="4" t="s">
        <v>34794</v>
      </c>
      <c r="B27636" s="6" t="s">
        <v>34797</v>
      </c>
      <c r="C27636" s="5" t="str">
        <f>IFERROR(__xludf.DUMMYFUNCTION("GOOGLETRANSLATE(B27636,""en"",""fr"")"),"La fille attrape ensuite son pantalon de survêtement et commence à enseigner à son homologue différentes étapes de danse et la première femme réapparaît au téléphone.")</f>
        <v>La fille attrape ensuite son pantalon de survêtement et commence à enseigner à son homologue différentes étapes de danse et la première femme réapparaît au téléphone.</v>
      </c>
    </row>
    <row r="27637">
      <c r="A27637" s="4" t="s">
        <v>34798</v>
      </c>
      <c r="B27637" s="4" t="s">
        <v>34799</v>
      </c>
      <c r="C27637" s="5" t="str">
        <f>IFERROR(__xludf.DUMMYFUNCTION("GOOGLETRANSLATE(B27637,""en"",""fr"")"),"Une personne montre comment installer des tuiles en caoutchouc dans une salle de sport.")</f>
        <v>Une personne montre comment installer des tuiles en caoutchouc dans une salle de sport.</v>
      </c>
    </row>
    <row r="27638">
      <c r="A27638" s="4" t="s">
        <v>34798</v>
      </c>
      <c r="B27638" s="4" t="s">
        <v>34800</v>
      </c>
      <c r="C27638" s="5" t="str">
        <f>IFERROR(__xludf.DUMMYFUNCTION("GOOGLETRANSLATE(B27638,""en"",""fr"")"),"La vidéo montre plusieurs personnes travaillant dans une salle de sport sur le revêtement de sol.")</f>
        <v>La vidéo montre plusieurs personnes travaillant dans une salle de sport sur le revêtement de sol.</v>
      </c>
    </row>
    <row r="27639">
      <c r="A27639" s="4" t="s">
        <v>34798</v>
      </c>
      <c r="B27639" s="4" t="s">
        <v>34801</v>
      </c>
      <c r="C27639" s="5" t="str">
        <f>IFERROR(__xludf.DUMMYFUNCTION("GOOGLETRANSLATE(B27639,""en"",""fr"")"),"La personne montre comment préparer la surface du sol avant d'installer les carreaux.")</f>
        <v>La personne montre comment préparer la surface du sol avant d'installer les carreaux.</v>
      </c>
    </row>
    <row r="27640">
      <c r="A27640" s="4" t="s">
        <v>34798</v>
      </c>
      <c r="B27640" s="4" t="s">
        <v>34802</v>
      </c>
      <c r="C27640" s="5" t="str">
        <f>IFERROR(__xludf.DUMMYFUNCTION("GOOGLETRANSLATE(B27640,""en"",""fr"")"),"Il montre comment poser les carreaux sur le sol d'une manière sillonnante.")</f>
        <v>Il montre comment poser les carreaux sur le sol d'une manière sillonnante.</v>
      </c>
    </row>
    <row r="27641">
      <c r="A27641" s="4" t="s">
        <v>34798</v>
      </c>
      <c r="B27641" s="6" t="s">
        <v>34803</v>
      </c>
      <c r="C27641" s="5" t="str">
        <f>IFERROR(__xludf.DUMMYFUNCTION("GOOGLETRANSLATE(B27641,""en"",""fr"")"),"La vidéo montre une simulation comment les carreaux peuvent mesurer et déposés un par un afin d'obtenir un mur parfait pour s'adapter au mur.")</f>
        <v>La vidéo montre une simulation comment les carreaux peuvent mesurer et déposés un par un afin d'obtenir un mur parfait pour s'adapter au mur.</v>
      </c>
    </row>
    <row r="27642">
      <c r="A27642" s="4" t="s">
        <v>34798</v>
      </c>
      <c r="B27642" s="6" t="s">
        <v>34804</v>
      </c>
      <c r="C27642" s="5" t="str">
        <f>IFERROR(__xludf.DUMMYFUNCTION("GOOGLETRANSLATE(B27642,""en"",""fr"")"),"Une personne montre également comment couper les carreaux pour s'adapter au bord du bord au bord sans laisser un espace entre les carreaux.")</f>
        <v>Une personne montre également comment couper les carreaux pour s'adapter au bord du bord au bord sans laisser un espace entre les carreaux.</v>
      </c>
    </row>
    <row r="27643">
      <c r="A27643" s="4" t="s">
        <v>34798</v>
      </c>
      <c r="B27643" s="6" t="s">
        <v>34805</v>
      </c>
      <c r="C27643" s="5" t="str">
        <f>IFERROR(__xludf.DUMMYFUNCTION("GOOGLETRANSLATE(B27643,""en"",""fr"")"),"Enfin, il montre comment utiliser une solution de vinaigre pour nettoyer les carreaux afin de maintenir la qualité des carreaux.")</f>
        <v>Enfin, il montre comment utiliser une solution de vinaigre pour nettoyer les carreaux afin de maintenir la qualité des carreaux.</v>
      </c>
    </row>
    <row r="27644">
      <c r="A27644" s="4" t="s">
        <v>34798</v>
      </c>
      <c r="B27644" s="4" t="s">
        <v>34806</v>
      </c>
      <c r="C27644" s="5" t="str">
        <f>IFERROR(__xludf.DUMMYFUNCTION("GOOGLETRANSLATE(B27644,""en"",""fr"")"),"La vidéo se termine par les informations de la société de carreaux.")</f>
        <v>La vidéo se termine par les informations de la société de carreaux.</v>
      </c>
    </row>
    <row r="27645">
      <c r="A27645" s="4" t="s">
        <v>34807</v>
      </c>
      <c r="B27645" s="4" t="s">
        <v>34808</v>
      </c>
      <c r="C27645" s="5" t="str">
        <f>IFERROR(__xludf.DUMMYFUNCTION("GOOGLETRANSLATE(B27645,""en"",""fr"")"),"Une grange intérieure est montrée et un homme est assis sur un cheval.")</f>
        <v>Une grange intérieure est montrée et un homme est assis sur un cheval.</v>
      </c>
    </row>
    <row r="27646">
      <c r="A27646" s="4" t="s">
        <v>34807</v>
      </c>
      <c r="B27646" s="4" t="s">
        <v>34809</v>
      </c>
      <c r="C27646" s="5" t="str">
        <f>IFERROR(__xludf.DUMMYFUNCTION("GOOGLETRANSLATE(B27646,""en"",""fr"")"),"Les portes s'ouvrent et l'homme vole avec Lasso Chasing après un veau noir et blanc.")</f>
        <v>Les portes s'ouvrent et l'homme vole avec Lasso Chasing après un veau noir et blanc.</v>
      </c>
    </row>
    <row r="27647">
      <c r="A27647" s="4" t="s">
        <v>34807</v>
      </c>
      <c r="B27647" s="6" t="s">
        <v>34810</v>
      </c>
      <c r="C27647" s="5" t="str">
        <f>IFERROR(__xludf.DUMMYFUNCTION("GOOGLETRANSLATE(B27647,""en"",""fr"")"),"L'homme jette la corde et attrape le veau, descend, attache la vache et revient sur le cheval.")</f>
        <v>L'homme jette la corde et attrape le veau, descend, attache la vache et revient sur le cheval.</v>
      </c>
    </row>
    <row r="27648">
      <c r="A27648" s="4" t="s">
        <v>34811</v>
      </c>
      <c r="B27648" s="6" t="s">
        <v>34812</v>
      </c>
      <c r="C27648" s="5" t="str">
        <f>IFERROR(__xludf.DUMMYFUNCTION("GOOGLETRANSLATE(B27648,""en"",""fr"")"),"Une fille aux cheveux longs est montrée à la caméra et mène à sa pulvérisation de l'eau dans tout un chien dans la baignoire.")</f>
        <v>Une fille aux cheveux longs est montrée à la caméra et mène à sa pulvérisation de l'eau dans tout un chien dans la baignoire.</v>
      </c>
    </row>
    <row r="27649">
      <c r="A27649" s="4" t="s">
        <v>34811</v>
      </c>
      <c r="B27649" s="4" t="s">
        <v>34813</v>
      </c>
      <c r="C27649" s="5" t="str">
        <f>IFERROR(__xludf.DUMMYFUNCTION("GOOGLETRANSLATE(B27649,""en"",""fr"")"),"Elle frotte le chien avec du shampooing et court à nouveau courir l'eau sur le chien.")</f>
        <v>Elle frotte le chien avec du shampooing et court à nouveau courir l'eau sur le chien.</v>
      </c>
    </row>
    <row r="27650">
      <c r="A27650" s="4" t="s">
        <v>34811</v>
      </c>
      <c r="B27650" s="4" t="s">
        <v>34814</v>
      </c>
      <c r="C27650" s="5" t="str">
        <f>IFERROR(__xludf.DUMMYFUNCTION("GOOGLETRANSLATE(B27650,""en"",""fr"")"),"Elle tient le chien avec une serviette puis sèche le chien sur ses genoux en le peignant.")</f>
        <v>Elle tient le chien avec une serviette puis sèche le chien sur ses genoux en le peignant.</v>
      </c>
    </row>
    <row r="27651">
      <c r="A27651" s="4" t="s">
        <v>34811</v>
      </c>
      <c r="B27651" s="6" t="s">
        <v>34815</v>
      </c>
      <c r="C27651" s="5" t="str">
        <f>IFERROR(__xludf.DUMMYFUNCTION("GOOGLETRANSLATE(B27651,""en"",""fr"")"),"Le chien est montré à nouveau tous séché et secoue en regardant la caméra et la fille parle plus.")</f>
        <v>Le chien est montré à nouveau tous séché et secoue en regardant la caméra et la fille parle plus.</v>
      </c>
    </row>
    <row r="27652">
      <c r="A27652" s="4" t="s">
        <v>34816</v>
      </c>
      <c r="B27652" s="6" t="s">
        <v>34817</v>
      </c>
      <c r="C27652" s="5" t="str">
        <f>IFERROR(__xludf.DUMMYFUNCTION("GOOGLETRANSLATE(B27652,""en"",""fr"")"),"Un homme en chemise noire installant une caméra tout en étant assis devant un cube Rub-IX et une horloge d'arrêt électronique.")</f>
        <v>Un homme en chemise noire installant une caméra tout en étant assis devant un cube Rub-IX et une horloge d'arrêt électronique.</v>
      </c>
    </row>
    <row r="27653">
      <c r="A27653" s="4" t="s">
        <v>34816</v>
      </c>
      <c r="B27653" s="6" t="s">
        <v>34818</v>
      </c>
      <c r="C27653" s="5" t="str">
        <f>IFERROR(__xludf.DUMMYFUNCTION("GOOGLETRANSLATE(B27653,""en"",""fr"")"),"Une fois que l'horloge démarre un autre homme hors caméra et que l'homme assis devant le cube commence à comprendre le puzzle.")</f>
        <v>Une fois que l'horloge démarre un autre homme hors caméra et que l'homme assis devant le cube commence à comprendre le puzzle.</v>
      </c>
    </row>
    <row r="27654">
      <c r="A27654" s="4" t="s">
        <v>34816</v>
      </c>
      <c r="B27654" s="6" t="s">
        <v>34819</v>
      </c>
      <c r="C27654" s="5" t="str">
        <f>IFERROR(__xludf.DUMMYFUNCTION("GOOGLETRANSLATE(B27654,""en"",""fr"")"),"Une fois que l'horloge atteint 43 secondes, les deux hommes terminent le puzzle et se félicitent d'avoir terminé le puzzle.")</f>
        <v>Une fois que l'horloge atteint 43 secondes, les deux hommes terminent le puzzle et se félicitent d'avoir terminé le puzzle.</v>
      </c>
    </row>
    <row r="27655">
      <c r="A27655" s="4" t="s">
        <v>34820</v>
      </c>
      <c r="B27655" s="4" t="s">
        <v>34821</v>
      </c>
      <c r="C27655" s="5" t="str">
        <f>IFERROR(__xludf.DUMMYFUNCTION("GOOGLETRANSLATE(B27655,""en"",""fr"")"),"Nous voyons un homme parler dans un gymnase de basket-ball.")</f>
        <v>Nous voyons un homme parler dans un gymnase de basket-ball.</v>
      </c>
    </row>
    <row r="27656">
      <c r="A27656" s="4" t="s">
        <v>34820</v>
      </c>
      <c r="B27656" s="4" t="s">
        <v>34822</v>
      </c>
      <c r="C27656" s="5" t="str">
        <f>IFERROR(__xludf.DUMMYFUNCTION("GOOGLETRANSLATE(B27656,""en"",""fr"")"),"L'homme pointe le garçon.")</f>
        <v>L'homme pointe le garçon.</v>
      </c>
    </row>
    <row r="27657">
      <c r="A27657" s="4" t="s">
        <v>34820</v>
      </c>
      <c r="B27657" s="4" t="s">
        <v>34823</v>
      </c>
      <c r="C27657" s="5" t="str">
        <f>IFERROR(__xludf.DUMMYFUNCTION("GOOGLETRANSLATE(B27657,""en"",""fr"")"),"L'homme pointe vers la droite.")</f>
        <v>L'homme pointe vers la droite.</v>
      </c>
    </row>
    <row r="27658">
      <c r="A27658" s="4" t="s">
        <v>34820</v>
      </c>
      <c r="B27658" s="4" t="s">
        <v>34824</v>
      </c>
      <c r="C27658" s="5" t="str">
        <f>IFERROR(__xludf.DUMMYFUNCTION("GOOGLETRANSLATE(B27658,""en"",""fr"")"),"Nous voyons un homme faire des coups de feu dans un cerceau de basket.")</f>
        <v>Nous voyons un homme faire des coups de feu dans un cerceau de basket.</v>
      </c>
    </row>
    <row r="27659">
      <c r="A27659" s="4" t="s">
        <v>34825</v>
      </c>
      <c r="B27659" s="4" t="s">
        <v>34826</v>
      </c>
      <c r="C27659" s="5" t="str">
        <f>IFERROR(__xludf.DUMMYFUNCTION("GOOGLETRANSLATE(B27659,""en"",""fr"")"),"Une femme est vue en parlant à la caméra et mène à sa glace versant dans un verre.")</f>
        <v>Une femme est vue en parlant à la caméra et mène à sa glace versant dans un verre.</v>
      </c>
    </row>
    <row r="27660">
      <c r="A27660" s="4" t="s">
        <v>34825</v>
      </c>
      <c r="B27660" s="4" t="s">
        <v>34827</v>
      </c>
      <c r="C27660" s="5" t="str">
        <f>IFERROR(__xludf.DUMMYFUNCTION("GOOGLETRANSLATE(B27660,""en"",""fr"")"),"Elle mélange ensuite divers ingrédients dans le verre et les mélange dans un shaker.")</f>
        <v>Elle mélange ensuite divers ingrédients dans le verre et les mélange dans un shaker.</v>
      </c>
    </row>
    <row r="27661">
      <c r="A27661" s="4" t="s">
        <v>34825</v>
      </c>
      <c r="B27661" s="6" t="s">
        <v>34828</v>
      </c>
      <c r="C27661" s="5" t="str">
        <f>IFERROR(__xludf.DUMMYFUNCTION("GOOGLETRANSLATE(B27661,""en"",""fr"")"),"La femme pose ensuite le verre et verse le mélange dans le verre le présentant à la caméra.")</f>
        <v>La femme pose ensuite le verre et verse le mélange dans le verre le présentant à la caméra.</v>
      </c>
    </row>
    <row r="27662">
      <c r="A27662" s="4" t="s">
        <v>34829</v>
      </c>
      <c r="B27662" s="4" t="s">
        <v>34830</v>
      </c>
      <c r="C27662" s="5" t="str">
        <f>IFERROR(__xludf.DUMMYFUNCTION("GOOGLETRANSLATE(B27662,""en"",""fr"")"),"Un homme portant une chemise d'entraîneur est debout tandis qu'une gymnaste féminine tourne les flips sur une poutre.")</f>
        <v>Un homme portant une chemise d'entraîneur est debout tandis qu'une gymnaste féminine tourne les flips sur une poutre.</v>
      </c>
    </row>
    <row r="27663">
      <c r="A27663" s="4" t="s">
        <v>34829</v>
      </c>
      <c r="B27663" s="4" t="s">
        <v>34831</v>
      </c>
      <c r="C27663" s="5" t="str">
        <f>IFERROR(__xludf.DUMMYFUNCTION("GOOGLETRANSLATE(B27663,""en"",""fr"")"),"Il la repère alors qu'elle se retourne et démonte avant de s'asseoir.")</f>
        <v>Il la repère alors qu'elle se retourne et démonte avant de s'asseoir.</v>
      </c>
    </row>
    <row r="27664">
      <c r="A27664" s="4" t="s">
        <v>34832</v>
      </c>
      <c r="B27664" s="4" t="s">
        <v>34833</v>
      </c>
      <c r="C27664" s="5" t="str">
        <f>IFERROR(__xludf.DUMMYFUNCTION("GOOGLETRANSLATE(B27664,""en"",""fr"")"),"Un grand groupe de personnes est représentée dans diverses plans qui roulent dans des canoës.")</f>
        <v>Un grand groupe de personnes est représentée dans diverses plans qui roulent dans des canoës.</v>
      </c>
    </row>
    <row r="27665">
      <c r="A27665" s="4" t="s">
        <v>34832</v>
      </c>
      <c r="B27665" s="4" t="s">
        <v>34834</v>
      </c>
      <c r="C27665" s="5" t="str">
        <f>IFERROR(__xludf.DUMMYFUNCTION("GOOGLETRANSLATE(B27665,""en"",""fr"")"),"Un homme parle à la caméra pendant que les gens se promènent avec les canots et montrent des photos.")</f>
        <v>Un homme parle à la caméra pendant que les gens se promènent avec les canots et montrent des photos.</v>
      </c>
    </row>
    <row r="27666">
      <c r="A27666" s="4" t="s">
        <v>34832</v>
      </c>
      <c r="B27666" s="4" t="s">
        <v>34835</v>
      </c>
      <c r="C27666" s="5" t="str">
        <f>IFERROR(__xludf.DUMMYFUNCTION("GOOGLETRANSLATE(B27666,""en"",""fr"")"),"Plus de gens sont vus les utiliser et se promener.")</f>
        <v>Plus de gens sont vus les utiliser et se promener.</v>
      </c>
    </row>
    <row r="27667">
      <c r="A27667" s="4" t="s">
        <v>34836</v>
      </c>
      <c r="B27667" s="4" t="s">
        <v>34837</v>
      </c>
      <c r="C27667" s="5" t="str">
        <f>IFERROR(__xludf.DUMMYFUNCTION("GOOGLETRANSLATE(B27667,""en"",""fr"")"),"Une personne est vue en train de tenir une planche de surf et est à nouveau montrée en regardant son téléphone et en riant.")</f>
        <v>Une personne est vue en train de tenir une planche de surf et est à nouveau montrée en regardant son téléphone et en riant.</v>
      </c>
    </row>
    <row r="27668">
      <c r="A27668" s="4" t="s">
        <v>34836</v>
      </c>
      <c r="B27668" s="6" t="s">
        <v>34838</v>
      </c>
      <c r="C27668" s="5" t="str">
        <f>IFERROR(__xludf.DUMMYFUNCTION("GOOGLETRANSLATE(B27668,""en"",""fr"")"),"Plus de gens sont vus à divers endroits qui vérifient leur téléphone et se termine par une femme qui roule sur un vélo d'exercice.")</f>
        <v>Plus de gens sont vus à divers endroits qui vérifient leur téléphone et se termine par une femme qui roule sur un vélo d'exercice.</v>
      </c>
    </row>
    <row r="27669">
      <c r="A27669" s="4" t="s">
        <v>34839</v>
      </c>
      <c r="B27669" s="4" t="s">
        <v>34840</v>
      </c>
      <c r="C27669" s="5" t="str">
        <f>IFERROR(__xludf.DUMMYFUNCTION("GOOGLETRANSLATE(B27669,""en"",""fr"")"),"La main d'une femme ramasse un animal en peluche entouré de cadeaux.")</f>
        <v>La main d'une femme ramasse un animal en peluche entouré de cadeaux.</v>
      </c>
    </row>
    <row r="27670">
      <c r="A27670" s="4" t="s">
        <v>34839</v>
      </c>
      <c r="B27670" s="4" t="s">
        <v>34841</v>
      </c>
      <c r="C27670" s="5" t="str">
        <f>IFERROR(__xludf.DUMMYFUNCTION("GOOGLETRANSLATE(B27670,""en"",""fr"")"),"Les accessoires d'emballage de cadeaux sont affichés.")</f>
        <v>Les accessoires d'emballage de cadeaux sont affichés.</v>
      </c>
    </row>
    <row r="27671">
      <c r="A27671" s="4" t="s">
        <v>34839</v>
      </c>
      <c r="B27671" s="4" t="s">
        <v>34842</v>
      </c>
      <c r="C27671" s="5" t="str">
        <f>IFERROR(__xludf.DUMMYFUNCTION("GOOGLETRANSLATE(B27671,""en"",""fr"")"),"Une femme présente du papier de soie et place un jouet en peluche au centre.")</f>
        <v>Une femme présente du papier de soie et place un jouet en peluche au centre.</v>
      </c>
    </row>
    <row r="27672">
      <c r="A27672" s="4" t="s">
        <v>34839</v>
      </c>
      <c r="B27672" s="4" t="s">
        <v>34843</v>
      </c>
      <c r="C27672" s="5" t="str">
        <f>IFERROR(__xludf.DUMMYFUNCTION("GOOGLETRANSLATE(B27672,""en"",""fr"")"),"La femme enveloppe le jouet dans le papier de soie et les enregistre.")</f>
        <v>La femme enveloppe le jouet dans le papier de soie et les enregistre.</v>
      </c>
    </row>
    <row r="27673">
      <c r="A27673" s="4" t="s">
        <v>34839</v>
      </c>
      <c r="B27673" s="4" t="s">
        <v>34844</v>
      </c>
      <c r="C27673" s="5" t="str">
        <f>IFERROR(__xludf.DUMMYFUNCTION("GOOGLETRANSLATE(B27673,""en"",""fr"")"),"La femme présente du cellophane et place le jouet enveloppé dessus.")</f>
        <v>La femme présente du cellophane et place le jouet enveloppé dessus.</v>
      </c>
    </row>
    <row r="27674">
      <c r="A27674" s="4" t="s">
        <v>34839</v>
      </c>
      <c r="B27674" s="4" t="s">
        <v>34845</v>
      </c>
      <c r="C27674" s="5" t="str">
        <f>IFERROR(__xludf.DUMMYFUNCTION("GOOGLETRANSLATE(B27674,""en"",""fr"")"),"La femme coupe le cellophane puis procède à enrouler le jouet couvert de papier de soie.")</f>
        <v>La femme coupe le cellophane puis procède à enrouler le jouet couvert de papier de soie.</v>
      </c>
    </row>
    <row r="27675">
      <c r="A27675" s="4" t="s">
        <v>34839</v>
      </c>
      <c r="B27675" s="4" t="s">
        <v>34846</v>
      </c>
      <c r="C27675" s="5" t="str">
        <f>IFERROR(__xludf.DUMMYFUNCTION("GOOGLETRANSLATE(B27675,""en"",""fr"")"),"La femme tord les extrémités du cellophane et enregistre le package fermé.")</f>
        <v>La femme tord les extrémités du cellophane et enregistre le package fermé.</v>
      </c>
    </row>
    <row r="27676">
      <c r="A27676" s="4" t="s">
        <v>34839</v>
      </c>
      <c r="B27676" s="4" t="s">
        <v>34847</v>
      </c>
      <c r="C27676" s="5" t="str">
        <f>IFERROR(__xludf.DUMMYFUNCTION("GOOGLETRANSLATE(B27676,""en"",""fr"")"),"Le ruban est placé autour des extrémités de l'emballage.")</f>
        <v>Le ruban est placé autour des extrémités de l'emballage.</v>
      </c>
    </row>
    <row r="27677">
      <c r="A27677" s="4" t="s">
        <v>34839</v>
      </c>
      <c r="B27677" s="4" t="s">
        <v>34848</v>
      </c>
      <c r="C27677" s="5" t="str">
        <f>IFERROR(__xludf.DUMMYFUNCTION("GOOGLETRANSLATE(B27677,""en"",""fr"")"),"La femme montre l'emballage de la caméra et le définit sur un comptoir.")</f>
        <v>La femme montre l'emballage de la caméra et le définit sur un comptoir.</v>
      </c>
    </row>
    <row r="27678">
      <c r="A27678" s="4" t="s">
        <v>34849</v>
      </c>
      <c r="B27678" s="4" t="s">
        <v>34850</v>
      </c>
      <c r="C27678" s="5" t="str">
        <f>IFERROR(__xludf.DUMMYFUNCTION("GOOGLETRANSLATE(B27678,""en"",""fr"")"),"Un petit garçon joue un jeu d'arcade.")</f>
        <v>Un petit garçon joue un jeu d'arcade.</v>
      </c>
    </row>
    <row r="27679">
      <c r="A27679" s="4" t="s">
        <v>34849</v>
      </c>
      <c r="B27679" s="4" t="s">
        <v>34851</v>
      </c>
      <c r="C27679" s="5" t="str">
        <f>IFERROR(__xludf.DUMMYFUNCTION("GOOGLETRANSLATE(B27679,""en"",""fr"")"),"Il ramasse une balle et la jette sur les épingles.")</f>
        <v>Il ramasse une balle et la jette sur les épingles.</v>
      </c>
    </row>
    <row r="27680">
      <c r="A27680" s="4" t="s">
        <v>34849</v>
      </c>
      <c r="B27680" s="4" t="s">
        <v>34852</v>
      </c>
      <c r="C27680" s="5" t="str">
        <f>IFERROR(__xludf.DUMMYFUNCTION("GOOGLETRANSLATE(B27680,""en"",""fr"")"),"Il se retourne et s'éloigne.")</f>
        <v>Il se retourne et s'éloigne.</v>
      </c>
    </row>
    <row r="27681">
      <c r="A27681" s="4" t="s">
        <v>34853</v>
      </c>
      <c r="B27681" s="6" t="s">
        <v>34854</v>
      </c>
      <c r="C27681" s="5" t="str">
        <f>IFERROR(__xludf.DUMMYFUNCTION("GOOGLETRANSLATE(B27681,""en"",""fr"")"),"Les hommes, les femmes et les enfants font rôtir la guimauve dans le feu de joie tandis que d'autres skient ou se reposent sur les chaises.")</f>
        <v>Les hommes, les femmes et les enfants font rôtir la guimauve dans le feu de joie tandis que d'autres skient ou se reposent sur les chaises.</v>
      </c>
    </row>
    <row r="27682">
      <c r="A27682" s="4" t="s">
        <v>34853</v>
      </c>
      <c r="B27682" s="6" t="s">
        <v>34855</v>
      </c>
      <c r="C27682" s="5" t="str">
        <f>IFERROR(__xludf.DUMMYFUNCTION("GOOGLETRANSLATE(B27682,""en"",""fr"")"),"Une femme glisse sur la pente et la petite fille est venue vers elle et lui donne un baiser, puis la femme aide la petite fille à glisser sur la pente.")</f>
        <v>Une femme glisse sur la pente et la petite fille est venue vers elle et lui donne un baiser, puis la femme aide la petite fille à glisser sur la pente.</v>
      </c>
    </row>
    <row r="27683">
      <c r="A27683" s="4" t="s">
        <v>34856</v>
      </c>
      <c r="B27683" s="4" t="s">
        <v>34857</v>
      </c>
      <c r="C27683" s="5" t="str">
        <f>IFERROR(__xludf.DUMMYFUNCTION("GOOGLETRANSLATE(B27683,""en"",""fr"")"),"Un homme est à l'extérieur dans la neige tenant une corde qui est attachée à un mobile de neige.")</f>
        <v>Un homme est à l'extérieur dans la neige tenant une corde qui est attachée à un mobile de neige.</v>
      </c>
    </row>
    <row r="27684">
      <c r="A27684" s="4" t="s">
        <v>34856</v>
      </c>
      <c r="B27684" s="4" t="s">
        <v>34858</v>
      </c>
      <c r="C27684" s="5" t="str">
        <f>IFERROR(__xludf.DUMMYFUNCTION("GOOGLETRANSLATE(B27684,""en"",""fr"")"),"Le Snow Mobile commence à bouger et la personne commence le snowboard sur tout le terrain.")</f>
        <v>Le Snow Mobile commence à bouger et la personne commence le snowboard sur tout le terrain.</v>
      </c>
    </row>
    <row r="27685">
      <c r="A27685" s="4" t="s">
        <v>34856</v>
      </c>
      <c r="B27685" s="4" t="s">
        <v>34859</v>
      </c>
      <c r="C27685" s="5" t="str">
        <f>IFERROR(__xludf.DUMMYFUNCTION("GOOGLETRANSLATE(B27685,""en"",""fr"")"),"Ils continuent de se déplacer dans la neige et la forêt d'arbres dans un parking par une cabine.")</f>
        <v>Ils continuent de se déplacer dans la neige et la forêt d'arbres dans un parking par une cabine.</v>
      </c>
    </row>
    <row r="27686">
      <c r="A27686" s="4" t="s">
        <v>34860</v>
      </c>
      <c r="B27686" s="4" t="s">
        <v>34861</v>
      </c>
      <c r="C27686" s="5" t="str">
        <f>IFERROR(__xludf.DUMMYFUNCTION("GOOGLETRANSLATE(B27686,""en"",""fr"")"),"Une jeune fille est vue debout en regardant un violon.")</f>
        <v>Une jeune fille est vue debout en regardant un violon.</v>
      </c>
    </row>
    <row r="27687">
      <c r="A27687" s="4" t="s">
        <v>34860</v>
      </c>
      <c r="B27687" s="4" t="s">
        <v>34862</v>
      </c>
      <c r="C27687" s="5" t="str">
        <f>IFERROR(__xludf.DUMMYFUNCTION("GOOGLETRANSLATE(B27687,""en"",""fr"")"),"On voit alors la fille jouer du violon tout en déplaçant ses mains de haut en bas.")</f>
        <v>On voit alors la fille jouer du violon tout en déplaçant ses mains de haut en bas.</v>
      </c>
    </row>
    <row r="27688">
      <c r="A27688" s="4" t="s">
        <v>34860</v>
      </c>
      <c r="B27688" s="4" t="s">
        <v>34863</v>
      </c>
      <c r="C27688" s="5" t="str">
        <f>IFERROR(__xludf.DUMMYFUNCTION("GOOGLETRANSLATE(B27688,""en"",""fr"")"),"La fille continue de jouer de l'instrument et se termine en regardant la caméra.")</f>
        <v>La fille continue de jouer de l'instrument et se termine en regardant la caméra.</v>
      </c>
    </row>
    <row r="27689">
      <c r="A27689" s="4" t="s">
        <v>34864</v>
      </c>
      <c r="B27689" s="4" t="s">
        <v>34865</v>
      </c>
      <c r="C27689" s="5" t="str">
        <f>IFERROR(__xludf.DUMMYFUNCTION("GOOGLETRANSLATE(B27689,""en"",""fr"")"),"Un homme frotte un écran solaire sur le dos.")</f>
        <v>Un homme frotte un écran solaire sur le dos.</v>
      </c>
    </row>
    <row r="27690">
      <c r="A27690" s="4" t="s">
        <v>34864</v>
      </c>
      <c r="B27690" s="4" t="s">
        <v>34866</v>
      </c>
      <c r="C27690" s="5" t="str">
        <f>IFERROR(__xludf.DUMMYFUNCTION("GOOGLETRANSLATE(B27690,""en"",""fr"")"),"Une fille est allongée sur une serviette sur la plage derrière lui.")</f>
        <v>Une fille est allongée sur une serviette sur la plage derrière lui.</v>
      </c>
    </row>
    <row r="27691">
      <c r="A27691" s="4" t="s">
        <v>34864</v>
      </c>
      <c r="B27691" s="4" t="s">
        <v>34867</v>
      </c>
      <c r="C27691" s="5" t="str">
        <f>IFERROR(__xludf.DUMMYFUNCTION("GOOGLETRANSLATE(B27691,""en"",""fr"")"),"Une personne en chemise orange marche derrière lui.")</f>
        <v>Une personne en chemise orange marche derrière lui.</v>
      </c>
    </row>
    <row r="27692">
      <c r="A27692" s="4" t="s">
        <v>34868</v>
      </c>
      <c r="B27692" s="4" t="s">
        <v>34869</v>
      </c>
      <c r="C27692" s="5" t="str">
        <f>IFERROR(__xludf.DUMMYFUNCTION("GOOGLETRANSLATE(B27692,""en"",""fr"")"),"Une personne est vue tomber dans l'eau devant un saut.")</f>
        <v>Une personne est vue tomber dans l'eau devant un saut.</v>
      </c>
    </row>
    <row r="27693">
      <c r="A27693" s="4" t="s">
        <v>34868</v>
      </c>
      <c r="B27693" s="4" t="s">
        <v>34870</v>
      </c>
      <c r="C27693" s="5" t="str">
        <f>IFERROR(__xludf.DUMMYFUNCTION("GOOGLETRANSLATE(B27693,""en"",""fr"")"),"Une autre personne est vue rouler sur des skis devant lui.")</f>
        <v>Une autre personne est vue rouler sur des skis devant lui.</v>
      </c>
    </row>
    <row r="27694">
      <c r="A27694" s="4" t="s">
        <v>34868</v>
      </c>
      <c r="B27694" s="4" t="s">
        <v>34871</v>
      </c>
      <c r="C27694" s="5" t="str">
        <f>IFERROR(__xludf.DUMMYFUNCTION("GOOGLETRANSLATE(B27694,""en"",""fr"")"),"L'homme continue de rouler alors que la caméra zoome sur l'eau.")</f>
        <v>L'homme continue de rouler alors que la caméra zoome sur l'eau.</v>
      </c>
    </row>
    <row r="27695">
      <c r="A27695" s="4" t="s">
        <v>34872</v>
      </c>
      <c r="B27695" s="6" t="s">
        <v>34873</v>
      </c>
      <c r="C27695" s="5" t="str">
        <f>IFERROR(__xludf.DUMMYFUNCTION("GOOGLETRANSLATE(B27695,""en"",""fr"")"),"Un homme est vu tenant un instrument devant une grande pile d'instruments et parlant à la caméra.")</f>
        <v>Un homme est vu tenant un instrument devant une grande pile d'instruments et parlant à la caméra.</v>
      </c>
    </row>
    <row r="27696">
      <c r="A27696" s="4" t="s">
        <v>34872</v>
      </c>
      <c r="B27696" s="6" t="s">
        <v>34874</v>
      </c>
      <c r="C27696" s="5" t="str">
        <f>IFERROR(__xludf.DUMMYFUNCTION("GOOGLETRANSLATE(B27696,""en"",""fr"")"),"L'homme joue ensuite l'instrument en continu et se termine avec lui en s'arrêtant et en tenant l'instrument.")</f>
        <v>L'homme joue ensuite l'instrument en continu et se termine avec lui en s'arrêtant et en tenant l'instrument.</v>
      </c>
    </row>
    <row r="27697">
      <c r="A27697" s="4" t="s">
        <v>34875</v>
      </c>
      <c r="B27697" s="4" t="s">
        <v>34876</v>
      </c>
      <c r="C27697" s="5" t="str">
        <f>IFERROR(__xludf.DUMMYFUNCTION("GOOGLETRANSLATE(B27697,""en"",""fr"")"),"Deux hommes commencent à se battre debout à l'extérieur.")</f>
        <v>Deux hommes commencent à se battre debout à l'extérieur.</v>
      </c>
    </row>
    <row r="27698">
      <c r="A27698" s="4" t="s">
        <v>34875</v>
      </c>
      <c r="B27698" s="4" t="s">
        <v>34877</v>
      </c>
      <c r="C27698" s="5" t="str">
        <f>IFERROR(__xludf.DUMMYFUNCTION("GOOGLETRANSLATE(B27698,""en"",""fr"")"),"Un homme jette l'autre homme sur une table.")</f>
        <v>Un homme jette l'autre homme sur une table.</v>
      </c>
    </row>
    <row r="27699">
      <c r="A27699" s="4" t="s">
        <v>34878</v>
      </c>
      <c r="B27699" s="4" t="s">
        <v>34879</v>
      </c>
      <c r="C27699" s="5" t="str">
        <f>IFERROR(__xludf.DUMMYFUNCTION("GOOGLETRANSLATE(B27699,""en"",""fr"")"),"Une caméra zoome sur un bébé portant un chapeau de baseball montée en arrière et quatrième sur un swing.")</f>
        <v>Une caméra zoome sur un bébé portant un chapeau de baseball montée en arrière et quatrième sur un swing.</v>
      </c>
    </row>
    <row r="27700">
      <c r="A27700" s="4" t="s">
        <v>34878</v>
      </c>
      <c r="B27700" s="4" t="s">
        <v>34880</v>
      </c>
      <c r="C27700" s="5" t="str">
        <f>IFERROR(__xludf.DUMMYFUNCTION("GOOGLETRANSLATE(B27700,""en"",""fr"")"),"Le bébé monte continuellement en arrière et quatrième tandis qu'un autre enfant roule à côté de lui.")</f>
        <v>Le bébé monte continuellement en arrière et quatrième tandis qu'un autre enfant roule à côté de lui.</v>
      </c>
    </row>
    <row r="27701">
      <c r="A27701" s="4" t="s">
        <v>34881</v>
      </c>
      <c r="B27701" s="4" t="s">
        <v>34882</v>
      </c>
      <c r="C27701" s="5" t="str">
        <f>IFERROR(__xludf.DUMMYFUNCTION("GOOGLETRANSLATE(B27701,""en"",""fr"")"),"Un groupe de filles est assis dans une vieille voiture tandis qu'un grand groupe de voitures derrière eux se déplace.")</f>
        <v>Un groupe de filles est assis dans une vieille voiture tandis qu'un grand groupe de voitures derrière eux se déplace.</v>
      </c>
    </row>
    <row r="27702">
      <c r="A27702" s="4" t="s">
        <v>34881</v>
      </c>
      <c r="B27702" s="4" t="s">
        <v>34883</v>
      </c>
      <c r="C27702" s="5" t="str">
        <f>IFERROR(__xludf.DUMMYFUNCTION("GOOGLETRANSLATE(B27702,""en"",""fr"")"),"D'autres personnes sont montrées portant des tenues de Noël et dansant dans les rues de la voiture.")</f>
        <v>D'autres personnes sont montrées portant des tenues de Noël et dansant dans les rues de la voiture.</v>
      </c>
    </row>
    <row r="27703">
      <c r="A27703" s="4" t="s">
        <v>34881</v>
      </c>
      <c r="B27703" s="4" t="s">
        <v>34884</v>
      </c>
      <c r="C27703" s="5" t="str">
        <f>IFERROR(__xludf.DUMMYFUNCTION("GOOGLETRANSLATE(B27703,""en"",""fr"")"),"Un groupe joue par un groupe d'enfants tandis que le défilé les suit plein de gens dansant.")</f>
        <v>Un groupe joue par un groupe d'enfants tandis que le défilé les suit plein de gens dansant.</v>
      </c>
    </row>
    <row r="27704">
      <c r="A27704" s="4" t="s">
        <v>34885</v>
      </c>
      <c r="B27704" s="4" t="s">
        <v>34886</v>
      </c>
      <c r="C27704" s="5" t="str">
        <f>IFERROR(__xludf.DUMMYFUNCTION("GOOGLETRANSLATE(B27704,""en"",""fr"")"),"Un homme et un enfant peignent une clôture avec des pinceaux.")</f>
        <v>Un homme et un enfant peignent une clôture avec des pinceaux.</v>
      </c>
    </row>
    <row r="27705">
      <c r="A27705" s="4" t="s">
        <v>34885</v>
      </c>
      <c r="B27705" s="4" t="s">
        <v>34887</v>
      </c>
      <c r="C27705" s="5" t="str">
        <f>IFERROR(__xludf.DUMMYFUNCTION("GOOGLETRANSLATE(B27705,""en"",""fr"")"),"Un bébé regarde l'homme et la peinture pour les tout-petits.")</f>
        <v>Un bébé regarde l'homme et la peinture pour les tout-petits.</v>
      </c>
    </row>
    <row r="27706">
      <c r="A27706" s="4" t="s">
        <v>34888</v>
      </c>
      <c r="B27706" s="4" t="s">
        <v>34889</v>
      </c>
      <c r="C27706" s="5" t="str">
        <f>IFERROR(__xludf.DUMMYFUNCTION("GOOGLETRANSLATE(B27706,""en"",""fr"")"),"Un grand groupe de personnes est vue debout sur une scène tandis que d'autres regardent sur le côté.")</f>
        <v>Un grand groupe de personnes est vue debout sur une scène tandis que d'autres regardent sur le côté.</v>
      </c>
    </row>
    <row r="27707">
      <c r="A27707" s="4" t="s">
        <v>34888</v>
      </c>
      <c r="B27707" s="4" t="s">
        <v>34890</v>
      </c>
      <c r="C27707" s="5" t="str">
        <f>IFERROR(__xludf.DUMMYFUNCTION("GOOGLETRANSLATE(B27707,""en"",""fr"")"),"Les pom-pom girls commencent alors à effectuer une routine tout en lançant les autres et en se retournant.")</f>
        <v>Les pom-pom girls commencent alors à effectuer une routine tout en lançant les autres et en se retournant.</v>
      </c>
    </row>
    <row r="27708">
      <c r="A27708" s="4" t="s">
        <v>34888</v>
      </c>
      <c r="B27708" s="4" t="s">
        <v>34891</v>
      </c>
      <c r="C27708" s="5" t="str">
        <f>IFERROR(__xludf.DUMMYFUNCTION("GOOGLETRANSLATE(B27708,""en"",""fr"")"),"Le groupe continue de se produire sur scène et de se terminer en tenant une pose et en s'éloignant.")</f>
        <v>Le groupe continue de se produire sur scène et de se terminer en tenant une pose et en s'éloignant.</v>
      </c>
    </row>
    <row r="27709">
      <c r="A27709" s="4" t="s">
        <v>34892</v>
      </c>
      <c r="B27709" s="4" t="s">
        <v>34893</v>
      </c>
      <c r="C27709" s="5" t="str">
        <f>IFERROR(__xludf.DUMMYFUNCTION("GOOGLETRANSLATE(B27709,""en"",""fr"")"),"Un gars est assis avec ses jambes près de sa poitrine.")</f>
        <v>Un gars est assis avec ses jambes près de sa poitrine.</v>
      </c>
    </row>
    <row r="27710">
      <c r="A27710" s="4" t="s">
        <v>34892</v>
      </c>
      <c r="B27710" s="4" t="s">
        <v>34894</v>
      </c>
      <c r="C27710" s="5" t="str">
        <f>IFERROR(__xludf.DUMMYFUNCTION("GOOGLETRANSLATE(B27710,""en"",""fr"")"),"Le gars fait de l'exercice en tirant une poignée.")</f>
        <v>Le gars fait de l'exercice en tirant une poignée.</v>
      </c>
    </row>
    <row r="27711">
      <c r="A27711" s="4" t="s">
        <v>34892</v>
      </c>
      <c r="B27711" s="4" t="s">
        <v>34895</v>
      </c>
      <c r="C27711" s="5" t="str">
        <f>IFERROR(__xludf.DUMMYFUNCTION("GOOGLETRANSLATE(B27711,""en"",""fr"")"),"Le gars cesse d'exercer des réparations de lecture et touche sa barbe.")</f>
        <v>Le gars cesse d'exercer des réparations de lecture et touche sa barbe.</v>
      </c>
    </row>
    <row r="27712">
      <c r="A27712" s="4" t="s">
        <v>34892</v>
      </c>
      <c r="B27712" s="4" t="s">
        <v>34896</v>
      </c>
      <c r="C27712" s="5" t="str">
        <f>IFERROR(__xludf.DUMMYFUNCTION("GOOGLETRANSLATE(B27712,""en"",""fr"")"),"Le gars retire ses jambes de la machine d'exercice et touche le bouton.")</f>
        <v>Le gars retire ses jambes de la machine d'exercice et touche le bouton.</v>
      </c>
    </row>
    <row r="27713">
      <c r="A27713" s="4" t="s">
        <v>34897</v>
      </c>
      <c r="B27713" s="4" t="s">
        <v>34898</v>
      </c>
      <c r="C27713" s="5" t="str">
        <f>IFERROR(__xludf.DUMMYFUNCTION("GOOGLETRANSLATE(B27713,""en"",""fr"")"),"Nous voyons une fille sauter sur un trampoline dans les portes.")</f>
        <v>Nous voyons une fille sauter sur un trampoline dans les portes.</v>
      </c>
    </row>
    <row r="27714">
      <c r="A27714" s="4" t="s">
        <v>34897</v>
      </c>
      <c r="B27714" s="4" t="s">
        <v>34899</v>
      </c>
      <c r="C27714" s="5" t="str">
        <f>IFERROR(__xludf.DUMMYFUNCTION("GOOGLETRANSLATE(B27714,""en"",""fr"")"),"Nous voyons la fille tourner dans l'air.")</f>
        <v>Nous voyons la fille tourner dans l'air.</v>
      </c>
    </row>
    <row r="27715">
      <c r="A27715" s="4" t="s">
        <v>34897</v>
      </c>
      <c r="B27715" s="4" t="s">
        <v>34900</v>
      </c>
      <c r="C27715" s="5" t="str">
        <f>IFERROR(__xludf.DUMMYFUNCTION("GOOGLETRANSLATE(B27715,""en"",""fr"")"),"La fille fait une série de flips.")</f>
        <v>La fille fait une série de flips.</v>
      </c>
    </row>
    <row r="27716">
      <c r="A27716" s="4" t="s">
        <v>34897</v>
      </c>
      <c r="B27716" s="4" t="s">
        <v>34901</v>
      </c>
      <c r="C27716" s="5" t="str">
        <f>IFERROR(__xludf.DUMMYFUNCTION("GOOGLETRANSLATE(B27716,""en"",""fr"")"),"La fille se retourne dans des boîtes bleues.")</f>
        <v>La fille se retourne dans des boîtes bleues.</v>
      </c>
    </row>
    <row r="27717">
      <c r="A27717" s="4" t="s">
        <v>34897</v>
      </c>
      <c r="B27717" s="4" t="s">
        <v>34902</v>
      </c>
      <c r="C27717" s="5" t="str">
        <f>IFERROR(__xludf.DUMMYFUNCTION("GOOGLETRANSLATE(B27717,""en"",""fr"")"),"La fille fait une série de flips et un tour.")</f>
        <v>La fille fait une série de flips et un tour.</v>
      </c>
    </row>
    <row r="27718">
      <c r="A27718" s="4" t="s">
        <v>34897</v>
      </c>
      <c r="B27718" s="4" t="s">
        <v>34903</v>
      </c>
      <c r="C27718" s="5" t="str">
        <f>IFERROR(__xludf.DUMMYFUNCTION("GOOGLETRANSLATE(B27718,""en"",""fr"")"),"Nous voyons un écran de titre, puis voyons les filles Bloopers.")</f>
        <v>Nous voyons un écran de titre, puis voyons les filles Bloopers.</v>
      </c>
    </row>
    <row r="27719">
      <c r="A27719" s="4" t="s">
        <v>34897</v>
      </c>
      <c r="B27719" s="4" t="s">
        <v>3608</v>
      </c>
      <c r="C27719" s="5" t="str">
        <f>IFERROR(__xludf.DUMMYFUNCTION("GOOGLETRANSLATE(B27719,""en"",""fr"")"),"Nous voyons l'écran de fin.")</f>
        <v>Nous voyons l'écran de fin.</v>
      </c>
    </row>
    <row r="27720">
      <c r="A27720" s="4" t="s">
        <v>34904</v>
      </c>
      <c r="B27720" s="4" t="s">
        <v>34905</v>
      </c>
      <c r="C27720" s="5" t="str">
        <f>IFERROR(__xludf.DUMMYFUNCTION("GOOGLETRANSLATE(B27720,""en"",""fr"")"),"Une femme est montrée en parlant à la caméra avec ses mains et la caméra pointant vers un bâtiment.")</f>
        <v>Une femme est montrée en parlant à la caméra avec ses mains et la caméra pointant vers un bâtiment.</v>
      </c>
    </row>
    <row r="27721">
      <c r="A27721" s="4" t="s">
        <v>34904</v>
      </c>
      <c r="B27721" s="6" t="s">
        <v>34906</v>
      </c>
      <c r="C27721" s="5" t="str">
        <f>IFERROR(__xludf.DUMMYFUNCTION("GOOGLETRANSLATE(B27721,""en"",""fr"")"),"Elle se tient devant le bâtiment en faisant plusieurs petites danses et continue cela devant plusieurs bâtiments et emplacements.")</f>
        <v>Elle se tient devant le bâtiment en faisant plusieurs petites danses et continue cela devant plusieurs bâtiments et emplacements.</v>
      </c>
    </row>
    <row r="27722">
      <c r="A27722" s="4" t="s">
        <v>34907</v>
      </c>
      <c r="B27722" s="4" t="s">
        <v>34908</v>
      </c>
      <c r="C27722" s="5" t="str">
        <f>IFERROR(__xludf.DUMMYFUNCTION("GOOGLETRANSLATE(B27722,""en"",""fr"")"),"Une femme souriant à la caméra est montrée en grattant sa voiture avec un grattoir.")</f>
        <v>Une femme souriant à la caméra est montrée en grattant sa voiture avec un grattoir.</v>
      </c>
    </row>
    <row r="27723">
      <c r="A27723" s="4" t="s">
        <v>34907</v>
      </c>
      <c r="B27723" s="4" t="s">
        <v>34909</v>
      </c>
      <c r="C27723" s="5" t="str">
        <f>IFERROR(__xludf.DUMMYFUNCTION("GOOGLETRANSLATE(B27723,""en"",""fr"")"),"Elle parle à l'homme de la caméra tout en souriant à la caméra et en continuant à se gratter.")</f>
        <v>Elle parle à l'homme de la caméra tout en souriant à la caméra et en continuant à se gratter.</v>
      </c>
    </row>
    <row r="27724">
      <c r="A27724" s="4" t="s">
        <v>34910</v>
      </c>
      <c r="B27724" s="4" t="s">
        <v>34911</v>
      </c>
      <c r="C27724" s="5" t="str">
        <f>IFERROR(__xludf.DUMMYFUNCTION("GOOGLETRANSLATE(B27724,""en"",""fr"")"),"Nous voyons une dame amener un cheval dans une écurie tourne le cheval et le relie.")</f>
        <v>Nous voyons une dame amener un cheval dans une écurie tourne le cheval et le relie.</v>
      </c>
    </row>
    <row r="27725">
      <c r="A27725" s="4" t="s">
        <v>34910</v>
      </c>
      <c r="B27725" s="4" t="s">
        <v>34912</v>
      </c>
      <c r="C27725" s="5" t="str">
        <f>IFERROR(__xludf.DUMMYFUNCTION("GOOGLETRANSLATE(B27725,""en"",""fr"")"),"La dame brosse ensuite le cheval et nettoie les sabots sur le cheval à droite.")</f>
        <v>La dame brosse ensuite le cheval et nettoie les sabots sur le cheval à droite.</v>
      </c>
    </row>
    <row r="27726">
      <c r="A27726" s="4" t="s">
        <v>34910</v>
      </c>
      <c r="B27726" s="4" t="s">
        <v>34913</v>
      </c>
      <c r="C27726" s="5" t="str">
        <f>IFERROR(__xludf.DUMMYFUNCTION("GOOGLETRANSLATE(B27726,""en"",""fr"")"),"La dame pulvérise ensuite un produit dans la crinière et le vient.")</f>
        <v>La dame pulvérise ensuite un produit dans la crinière et le vient.</v>
      </c>
    </row>
    <row r="27727">
      <c r="A27727" s="4" t="s">
        <v>34910</v>
      </c>
      <c r="B27727" s="4" t="s">
        <v>34914</v>
      </c>
      <c r="C27727" s="5" t="str">
        <f>IFERROR(__xludf.DUMMYFUNCTION("GOOGLETRANSLATE(B27727,""en"",""fr"")"),"La dame se déplace vers l'avant du cheval et brosse sa crinière.")</f>
        <v>La dame se déplace vers l'avant du cheval et brosse sa crinière.</v>
      </c>
    </row>
    <row r="27728">
      <c r="A27728" s="4" t="s">
        <v>34910</v>
      </c>
      <c r="B27728" s="4" t="s">
        <v>34915</v>
      </c>
      <c r="C27728" s="5" t="str">
        <f>IFERROR(__xludf.DUMMYFUNCTION("GOOGLETRANSLATE(B27728,""en"",""fr"")"),"La dame brosse le côté gauche du cheval et nettoie ses sabots.")</f>
        <v>La dame brosse le côté gauche du cheval et nettoie ses sabots.</v>
      </c>
    </row>
    <row r="27729">
      <c r="A27729" s="4" t="s">
        <v>34910</v>
      </c>
      <c r="B27729" s="4" t="s">
        <v>34916</v>
      </c>
      <c r="C27729" s="5" t="str">
        <f>IFERROR(__xludf.DUMMYFUNCTION("GOOGLETRANSLATE(B27729,""en"",""fr"")"),"La dame brosse ensuite la queue et le cheval et la dame partent.")</f>
        <v>La dame brosse ensuite la queue et le cheval et la dame partent.</v>
      </c>
    </row>
    <row r="27730">
      <c r="A27730" s="4" t="s">
        <v>34917</v>
      </c>
      <c r="B27730" s="6" t="s">
        <v>34918</v>
      </c>
      <c r="C27730" s="5" t="str">
        <f>IFERROR(__xludf.DUMMYFUNCTION("GOOGLETRANSLATE(B27730,""en"",""fr"")"),"Diverses images d'ingrédients sont présentées, suivis par des images des ingrédients disposés sur une planche à découper.")</f>
        <v>Diverses images d'ingrédients sont présentées, suivis par des images des ingrédients disposés sur une planche à découper.</v>
      </c>
    </row>
    <row r="27731">
      <c r="A27731" s="4" t="s">
        <v>34917</v>
      </c>
      <c r="B27731" s="6" t="s">
        <v>34919</v>
      </c>
      <c r="C27731" s="5" t="str">
        <f>IFERROR(__xludf.DUMMYFUNCTION("GOOGLETRANSLATE(B27731,""en"",""fr"")"),"Les images passent en plus d'ingrédients avec des mains les couvrant et les serrant dans une balle.")</f>
        <v>Les images passent en plus d'ingrédients avec des mains les couvrant et les serrant dans une balle.</v>
      </c>
    </row>
    <row r="27732">
      <c r="A27732" s="4" t="s">
        <v>34917</v>
      </c>
      <c r="B27732" s="6" t="s">
        <v>34920</v>
      </c>
      <c r="C27732" s="5" t="str">
        <f>IFERROR(__xludf.DUMMYFUNCTION("GOOGLETRANSLATE(B27732,""en"",""fr"")"),"Les photos et les vidéos des aliments cuites dans une casserole sont montrées suivis par une personne qui la retire et la coupe avec un couteau.")</f>
        <v>Les photos et les vidéos des aliments cuites dans une casserole sont montrées suivis par une personne qui la retire et la coupe avec un couteau.</v>
      </c>
    </row>
    <row r="27733">
      <c r="A27733" s="4" t="s">
        <v>34917</v>
      </c>
      <c r="B27733" s="4" t="s">
        <v>34921</v>
      </c>
      <c r="C27733" s="5" t="str">
        <f>IFERROR(__xludf.DUMMYFUNCTION("GOOGLETRANSLATE(B27733,""en"",""fr"")"),"Enfin, une photo du produit alimentaire fini est montrée.")</f>
        <v>Enfin, une photo du produit alimentaire fini est montrée.</v>
      </c>
    </row>
    <row r="27734">
      <c r="A27734" s="4" t="s">
        <v>34922</v>
      </c>
      <c r="B27734" s="4" t="s">
        <v>3859</v>
      </c>
      <c r="C27734" s="5" t="str">
        <f>IFERROR(__xludf.DUMMYFUNCTION("GOOGLETRANSLATE(B27734,""en"",""fr"")"),"Nous voyons un écran de titre d'ouverture.")</f>
        <v>Nous voyons un écran de titre d'ouverture.</v>
      </c>
    </row>
    <row r="27735">
      <c r="A27735" s="4" t="s">
        <v>34922</v>
      </c>
      <c r="B27735" s="4" t="s">
        <v>34923</v>
      </c>
      <c r="C27735" s="5" t="str">
        <f>IFERROR(__xludf.DUMMYFUNCTION("GOOGLETRANSLATE(B27735,""en"",""fr"")"),"Nous voyons des gens rafter sur une rivière dans un radeau jaune.")</f>
        <v>Nous voyons des gens rafter sur une rivière dans un radeau jaune.</v>
      </c>
    </row>
    <row r="27736">
      <c r="A27736" s="4" t="s">
        <v>34922</v>
      </c>
      <c r="B27736" s="4" t="s">
        <v>34924</v>
      </c>
      <c r="C27736" s="5" t="str">
        <f>IFERROR(__xludf.DUMMYFUNCTION("GOOGLETRANSLATE(B27736,""en"",""fr"")"),"Le radeau est renversé et les gens tombent dans la rivière.")</f>
        <v>Le radeau est renversé et les gens tombent dans la rivière.</v>
      </c>
    </row>
    <row r="27737">
      <c r="A27737" s="4" t="s">
        <v>34922</v>
      </c>
      <c r="B27737" s="4" t="s">
        <v>34925</v>
      </c>
      <c r="C27737" s="5" t="str">
        <f>IFERROR(__xludf.DUMMYFUNCTION("GOOGLETRANSLATE(B27737,""en"",""fr"")"),"Le peuple se cache sous la branche d'un arbre suspendu et l'homme avant droit se dresse et danse.")</f>
        <v>Le peuple se cache sous la branche d'un arbre suspendu et l'homme avant droit se dresse et danse.</v>
      </c>
    </row>
    <row r="27738">
      <c r="A27738" s="4" t="s">
        <v>34922</v>
      </c>
      <c r="B27738" s="4" t="s">
        <v>34926</v>
      </c>
      <c r="C27738" s="5" t="str">
        <f>IFERROR(__xludf.DUMMYFUNCTION("GOOGLETRANSLATE(B27738,""en"",""fr"")"),"Un homme à l'arrière du radeau avance.")</f>
        <v>Un homme à l'arrière du radeau avance.</v>
      </c>
    </row>
    <row r="27739">
      <c r="A27739" s="4" t="s">
        <v>34922</v>
      </c>
      <c r="B27739" s="4" t="s">
        <v>777</v>
      </c>
      <c r="C27739" s="5" t="str">
        <f>IFERROR(__xludf.DUMMYFUNCTION("GOOGLETRANSLATE(B27739,""en"",""fr"")"),"Nous voyons l'écran du titre de fin.")</f>
        <v>Nous voyons l'écran du titre de fin.</v>
      </c>
    </row>
    <row r="27740">
      <c r="A27740" s="4" t="s">
        <v>34927</v>
      </c>
      <c r="B27740" s="4" t="s">
        <v>34928</v>
      </c>
      <c r="C27740" s="5" t="str">
        <f>IFERROR(__xludf.DUMMYFUNCTION("GOOGLETRANSLATE(B27740,""en"",""fr"")"),"Une équipe joue à un jeu sur le terrain, l'une d'entre elles.")</f>
        <v>Une équipe joue à un jeu sur le terrain, l'une d'entre elles.</v>
      </c>
    </row>
    <row r="27741">
      <c r="A27741" s="4" t="s">
        <v>34927</v>
      </c>
      <c r="B27741" s="4" t="s">
        <v>34929</v>
      </c>
      <c r="C27741" s="5" t="str">
        <f>IFERROR(__xludf.DUMMYFUNCTION("GOOGLETRANSLATE(B27741,""en"",""fr"")"),"Le public devient fou, puis les équipes sont de retour pour essayer de marquer dans le but.")</f>
        <v>Le public devient fou, puis les équipes sont de retour pour essayer de marquer dans le but.</v>
      </c>
    </row>
    <row r="27742">
      <c r="A27742" s="4" t="s">
        <v>34927</v>
      </c>
      <c r="B27742" s="4" t="s">
        <v>34930</v>
      </c>
      <c r="C27742" s="5" t="str">
        <f>IFERROR(__xludf.DUMMYFUNCTION("GOOGLETRANSLATE(B27742,""en"",""fr"")"),"Le gars de l'équipe jaune a le ballon sur le bâton, il court rapidement avec et il marque.")</f>
        <v>Le gars de l'équipe jaune a le ballon sur le bâton, il court rapidement avec et il marque.</v>
      </c>
    </row>
    <row r="27743">
      <c r="A27743" s="4" t="s">
        <v>34927</v>
      </c>
      <c r="B27743" s="4" t="s">
        <v>34931</v>
      </c>
      <c r="C27743" s="5" t="str">
        <f>IFERROR(__xludf.DUMMYFUNCTION("GOOGLETRANSLATE(B27743,""en"",""fr"")"),"Ils ont mis le trophée dans l'air et crier d'excitation.")</f>
        <v>Ils ont mis le trophée dans l'air et crier d'excitation.</v>
      </c>
    </row>
    <row r="27744">
      <c r="A27744" s="4" t="s">
        <v>34932</v>
      </c>
      <c r="B27744" s="4" t="s">
        <v>34933</v>
      </c>
      <c r="C27744" s="5" t="str">
        <f>IFERROR(__xludf.DUMMYFUNCTION("GOOGLETRANSLATE(B27744,""en"",""fr"")"),"Un homme portant un manteau noir se tient sur le trottoir.")</f>
        <v>Un homme portant un manteau noir se tient sur le trottoir.</v>
      </c>
    </row>
    <row r="27745">
      <c r="A27745" s="4" t="s">
        <v>34932</v>
      </c>
      <c r="B27745" s="4" t="s">
        <v>34934</v>
      </c>
      <c r="C27745" s="5" t="str">
        <f>IFERROR(__xludf.DUMMYFUNCTION("GOOGLETRANSLATE(B27745,""en"",""fr"")"),"Il se dirige vers une voiture et commence à gratter la neige des fenêtres.")</f>
        <v>Il se dirige vers une voiture et commence à gratter la neige des fenêtres.</v>
      </c>
    </row>
    <row r="27746">
      <c r="A27746" s="4" t="s">
        <v>34932</v>
      </c>
      <c r="B27746" s="4" t="s">
        <v>34935</v>
      </c>
      <c r="C27746" s="5" t="str">
        <f>IFERROR(__xludf.DUMMYFUNCTION("GOOGLETRANSLATE(B27746,""en"",""fr"")"),"La neige tombe sur le sol devant la voiture.")</f>
        <v>La neige tombe sur le sol devant la voiture.</v>
      </c>
    </row>
    <row r="27747">
      <c r="A27747" s="4" t="s">
        <v>34936</v>
      </c>
      <c r="B27747" s="4" t="s">
        <v>34937</v>
      </c>
      <c r="C27747" s="5" t="str">
        <f>IFERROR(__xludf.DUMMYFUNCTION("GOOGLETRANSLATE(B27747,""en"",""fr"")"),"Un homme et une petite fille se tiennent sur une plage.")</f>
        <v>Un homme et une petite fille se tiennent sur une plage.</v>
      </c>
    </row>
    <row r="27748">
      <c r="A27748" s="4" t="s">
        <v>34936</v>
      </c>
      <c r="B27748" s="4" t="s">
        <v>34938</v>
      </c>
      <c r="C27748" s="5" t="str">
        <f>IFERROR(__xludf.DUMMYFUNCTION("GOOGLETRANSLATE(B27748,""en"",""fr"")"),"L'homme prend la fille et ramasse une planche de surf.")</f>
        <v>L'homme prend la fille et ramasse une planche de surf.</v>
      </c>
    </row>
    <row r="27749">
      <c r="A27749" s="4" t="s">
        <v>34936</v>
      </c>
      <c r="B27749" s="4" t="s">
        <v>34939</v>
      </c>
      <c r="C27749" s="5" t="str">
        <f>IFERROR(__xludf.DUMMYFUNCTION("GOOGLETRANSLATE(B27749,""en"",""fr"")"),"Il fait surfer dans l'eau avec elle sur le dos.")</f>
        <v>Il fait surfer dans l'eau avec elle sur le dos.</v>
      </c>
    </row>
    <row r="27750">
      <c r="A27750" s="4" t="s">
        <v>34940</v>
      </c>
      <c r="B27750" s="4" t="s">
        <v>34941</v>
      </c>
      <c r="C27750" s="5" t="str">
        <f>IFERROR(__xludf.DUMMYFUNCTION("GOOGLETRANSLATE(B27750,""en"",""fr"")"),"Un homme tient les pattes arrière d'un chat et coupe ses ongles assis sur le sol.")</f>
        <v>Un homme tient les pattes arrière d'un chat et coupe ses ongles assis sur le sol.</v>
      </c>
    </row>
    <row r="27751">
      <c r="A27751" s="4" t="s">
        <v>34940</v>
      </c>
      <c r="B27751" s="4" t="s">
        <v>34942</v>
      </c>
      <c r="C27751" s="5" t="str">
        <f>IFERROR(__xludf.DUMMYFUNCTION("GOOGLETRANSLATE(B27751,""en"",""fr"")"),"L'homme termine une patte puis lutte avec le chat.")</f>
        <v>L'homme termine une patte puis lutte avec le chat.</v>
      </c>
    </row>
    <row r="27752">
      <c r="A27752" s="4" t="s">
        <v>34940</v>
      </c>
      <c r="B27752" s="4" t="s">
        <v>34943</v>
      </c>
      <c r="C27752" s="5" t="str">
        <f>IFERROR(__xludf.DUMMYFUNCTION("GOOGLETRANSLATE(B27752,""en"",""fr"")"),"L'homme animal des chats est l'estomac.")</f>
        <v>L'homme animal des chats est l'estomac.</v>
      </c>
    </row>
    <row r="27753">
      <c r="A27753" s="4" t="s">
        <v>34940</v>
      </c>
      <c r="B27753" s="4" t="s">
        <v>34944</v>
      </c>
      <c r="C27753" s="5" t="str">
        <f>IFERROR(__xludf.DUMMYFUNCTION("GOOGLETRANSLATE(B27753,""en"",""fr"")"),"L'homme examine les chats une fois le travail terminé.")</f>
        <v>L'homme examine les chats une fois le travail terminé.</v>
      </c>
    </row>
    <row r="27754">
      <c r="A27754" s="4" t="s">
        <v>34945</v>
      </c>
      <c r="B27754" s="4" t="s">
        <v>34946</v>
      </c>
      <c r="C27754" s="5" t="str">
        <f>IFERROR(__xludf.DUMMYFUNCTION("GOOGLETRANSLATE(B27754,""en"",""fr"")"),"Une tasse avec de la limonade est ensuite un pot avec une limonade.")</f>
        <v>Une tasse avec de la limonade est ensuite un pot avec une limonade.</v>
      </c>
    </row>
    <row r="27755">
      <c r="A27755" s="4" t="s">
        <v>34945</v>
      </c>
      <c r="B27755" s="6" t="s">
        <v>34947</v>
      </c>
      <c r="C27755" s="5" t="str">
        <f>IFERROR(__xludf.DUMMYFUNCTION("GOOGLETRANSLATE(B27755,""en"",""fr"")"),"Un bol avec trois tasses d'eau froide, une tasse de jus de citron, une tasse d'eau et une tasse de sucre sont sur table.")</f>
        <v>Un bol avec trois tasses d'eau froide, une tasse de jus de citron, une tasse d'eau et une tasse de sucre sont sur table.</v>
      </c>
    </row>
    <row r="27756">
      <c r="A27756" s="4" t="s">
        <v>34945</v>
      </c>
      <c r="B27756" s="4" t="s">
        <v>34948</v>
      </c>
      <c r="C27756" s="5" t="str">
        <f>IFERROR(__xludf.DUMMYFUNCTION("GOOGLETRANSLATE(B27756,""en"",""fr"")"),"Ensuite, une personne ajoute du sucre et du citron au pot avec de l'eau pour se réchauffer.")</f>
        <v>Ensuite, une personne ajoute du sucre et du citron au pot avec de l'eau pour se réchauffer.</v>
      </c>
    </row>
    <row r="27757">
      <c r="A27757" s="4" t="s">
        <v>34945</v>
      </c>
      <c r="B27757" s="4" t="s">
        <v>34949</v>
      </c>
      <c r="C27757" s="5" t="str">
        <f>IFERROR(__xludf.DUMMYFUNCTION("GOOGLETRANSLATE(B27757,""en"",""fr"")"),"Ensuite, la personne ajoute la limonade à un pot et sert dans une tasse.")</f>
        <v>Ensuite, la personne ajoute la limonade à un pot et sert dans une tasse.</v>
      </c>
    </row>
    <row r="27758">
      <c r="A27758" s="4" t="s">
        <v>34950</v>
      </c>
      <c r="B27758" s="4" t="s">
        <v>34951</v>
      </c>
      <c r="C27758" s="5" t="str">
        <f>IFERROR(__xludf.DUMMYFUNCTION("GOOGLETRANSLATE(B27758,""en"",""fr"")"),"Un homme est dans un garage avec un journal sur une table.")</f>
        <v>Un homme est dans un garage avec un journal sur une table.</v>
      </c>
    </row>
    <row r="27759">
      <c r="A27759" s="4" t="s">
        <v>34950</v>
      </c>
      <c r="B27759" s="4" t="s">
        <v>34952</v>
      </c>
      <c r="C27759" s="5" t="str">
        <f>IFERROR(__xludf.DUMMYFUNCTION("GOOGLETRANSLATE(B27759,""en"",""fr"")"),"Il montre comment couper le dessus d'une citrouille et retire l'intérieur.")</f>
        <v>Il montre comment couper le dessus d'une citrouille et retire l'intérieur.</v>
      </c>
    </row>
    <row r="27760">
      <c r="A27760" s="4" t="s">
        <v>34950</v>
      </c>
      <c r="B27760" s="4" t="s">
        <v>34953</v>
      </c>
      <c r="C27760" s="5" t="str">
        <f>IFERROR(__xludf.DUMMYFUNCTION("GOOGLETRANSLATE(B27760,""en"",""fr"")"),"Puis il sculpte un design dans la citrouille, créant une nouveauté Jackolantern.")</f>
        <v>Puis il sculpte un design dans la citrouille, créant une nouveauté Jackolantern.</v>
      </c>
    </row>
    <row r="27761">
      <c r="A27761" s="4" t="s">
        <v>34954</v>
      </c>
      <c r="B27761" s="4" t="s">
        <v>34955</v>
      </c>
      <c r="C27761" s="5" t="str">
        <f>IFERROR(__xludf.DUMMYFUNCTION("GOOGLETRANSLATE(B27761,""en"",""fr"")"),"Un groupe de personnes est montré en chevauchant des chevaux dans le désert.")</f>
        <v>Un groupe de personnes est montré en chevauchant des chevaux dans le désert.</v>
      </c>
    </row>
    <row r="27762">
      <c r="A27762" s="4" t="s">
        <v>34954</v>
      </c>
      <c r="B27762" s="4" t="s">
        <v>34956</v>
      </c>
      <c r="C27762" s="5" t="str">
        <f>IFERROR(__xludf.DUMMYFUNCTION("GOOGLETRANSLATE(B27762,""en"",""fr"")"),"Un homme parle à la caméra tout en montant au cheval et en donnant diverses plans de la terre.")</f>
        <v>Un homme parle à la caméra tout en montant au cheval et en donnant diverses plans de la terre.</v>
      </c>
    </row>
    <row r="27763">
      <c r="A27763" s="4" t="s">
        <v>34954</v>
      </c>
      <c r="B27763" s="6" t="s">
        <v>34957</v>
      </c>
      <c r="C27763" s="5" t="str">
        <f>IFERROR(__xludf.DUMMYFUNCTION("GOOGLETRANSLATE(B27763,""en"",""fr"")"),"Il montre plusieurs autres personnes sur des chevaux et continue de parler de son aventure à près de la caméra.")</f>
        <v>Il montre plusieurs autres personnes sur des chevaux et continue de parler de son aventure à près de la caméra.</v>
      </c>
    </row>
    <row r="27764">
      <c r="A27764" s="4" t="s">
        <v>34958</v>
      </c>
      <c r="B27764" s="4" t="s">
        <v>34959</v>
      </c>
      <c r="C27764" s="5" t="str">
        <f>IFERROR(__xludf.DUMMYFUNCTION("GOOGLETRANSLATE(B27764,""en"",""fr"")"),"Une personne ouvre une porte et entre dans une cuisine.")</f>
        <v>Une personne ouvre une porte et entre dans une cuisine.</v>
      </c>
    </row>
    <row r="27765">
      <c r="A27765" s="4" t="s">
        <v>34958</v>
      </c>
      <c r="B27765" s="4" t="s">
        <v>34960</v>
      </c>
      <c r="C27765" s="5" t="str">
        <f>IFERROR(__xludf.DUMMYFUNCTION("GOOGLETRANSLATE(B27765,""en"",""fr"")"),"Une femme s'assoit sur un comptoir de cuisine en se rasant les jambes dans un évier.")</f>
        <v>Une femme s'assoit sur un comptoir de cuisine en se rasant les jambes dans un évier.</v>
      </c>
    </row>
    <row r="27766">
      <c r="A27766" s="4" t="s">
        <v>34961</v>
      </c>
      <c r="B27766" s="6" t="s">
        <v>34962</v>
      </c>
      <c r="C27766" s="5" t="str">
        <f>IFERROR(__xludf.DUMMYFUNCTION("GOOGLETRANSLATE(B27766,""en"",""fr"")"),"Une introduction mène à un groupe de femmes debout sur un plancher en bois derrière un équipement d'exercice.")</f>
        <v>Une introduction mène à un groupe de femmes debout sur un plancher en bois derrière un équipement d'exercice.</v>
      </c>
    </row>
    <row r="27767">
      <c r="A27767" s="4" t="s">
        <v>34961</v>
      </c>
      <c r="B27767" s="6" t="s">
        <v>34963</v>
      </c>
      <c r="C27767" s="5" t="str">
        <f>IFERROR(__xludf.DUMMYFUNCTION("GOOGLETRANSLATE(B27767,""en"",""fr"")"),"Les femmes commencent alors à reculer et quatrième et de haut en bas sur l'équipement tandis que la femme devant s'exprime à haute voix.")</f>
        <v>Les femmes commencent alors à reculer et quatrième et de haut en bas sur l'équipement tandis que la femme devant s'exprime à haute voix.</v>
      </c>
    </row>
    <row r="27768">
      <c r="A27768" s="4" t="s">
        <v>34964</v>
      </c>
      <c r="B27768" s="4" t="s">
        <v>34965</v>
      </c>
      <c r="C27768" s="5" t="str">
        <f>IFERROR(__xludf.DUMMYFUNCTION("GOOGLETRANSLATE(B27768,""en"",""fr"")"),"Un homme montre comment faire un sandwich à la salade d'oeufs.")</f>
        <v>Un homme montre comment faire un sandwich à la salade d'oeufs.</v>
      </c>
    </row>
    <row r="27769">
      <c r="A27769" s="4" t="s">
        <v>34964</v>
      </c>
      <c r="B27769" s="4" t="s">
        <v>34966</v>
      </c>
      <c r="C27769" s="5" t="str">
        <f>IFERROR(__xludf.DUMMYFUNCTION("GOOGLETRANSLATE(B27769,""en"",""fr"")"),"Un homme commence à parler à la caméra en angle rapproché, puis prend une bouchée de sandwich.")</f>
        <v>Un homme commence à parler à la caméra en angle rapproché, puis prend une bouchée de sandwich.</v>
      </c>
    </row>
    <row r="27770">
      <c r="A27770" s="4" t="s">
        <v>34964</v>
      </c>
      <c r="B27770" s="4" t="s">
        <v>34967</v>
      </c>
      <c r="C27770" s="5" t="str">
        <f>IFERROR(__xludf.DUMMYFUNCTION("GOOGLETRANSLATE(B27770,""en"",""fr"")"),"Un matériau de fabrication de sandwich est montré.")</f>
        <v>Un matériau de fabrication de sandwich est montré.</v>
      </c>
    </row>
    <row r="27771">
      <c r="A27771" s="4" t="s">
        <v>34964</v>
      </c>
      <c r="B27771" s="4" t="s">
        <v>34968</v>
      </c>
      <c r="C27771" s="5" t="str">
        <f>IFERROR(__xludf.DUMMYFUNCTION("GOOGLETRANSLATE(B27771,""en"",""fr"")"),"Un œuf est bouilli dans une casserole, puis les œufs sont passés sous l'eau froide.")</f>
        <v>Un œuf est bouilli dans une casserole, puis les œufs sont passés sous l'eau froide.</v>
      </c>
    </row>
    <row r="27772">
      <c r="A27772" s="4" t="s">
        <v>34964</v>
      </c>
      <c r="B27772" s="6" t="s">
        <v>34969</v>
      </c>
      <c r="C27772" s="5" t="str">
        <f>IFERROR(__xludf.DUMMYFUNCTION("GOOGLETRANSLATE(B27772,""en"",""fr"")"),"Le céleri est coupé en morceaux avec d'autres légumes, puis les œufs sont mélangés avec cela et un sandwich fini est montré.")</f>
        <v>Le céleri est coupé en morceaux avec d'autres légumes, puis les œufs sont mélangés avec cela et un sandwich fini est montré.</v>
      </c>
    </row>
    <row r="27773">
      <c r="A27773" s="4" t="s">
        <v>34970</v>
      </c>
      <c r="B27773" s="4" t="s">
        <v>34971</v>
      </c>
      <c r="C27773" s="5" t="str">
        <f>IFERROR(__xludf.DUMMYFUNCTION("GOOGLETRANSLATE(B27773,""en"",""fr"")"),"Un barman explique comment faire un cocktail approprié.")</f>
        <v>Un barman explique comment faire un cocktail approprié.</v>
      </c>
    </row>
    <row r="27774">
      <c r="A27774" s="4" t="s">
        <v>34970</v>
      </c>
      <c r="B27774" s="4" t="s">
        <v>34972</v>
      </c>
      <c r="C27774" s="5" t="str">
        <f>IFERROR(__xludf.DUMMYFUNCTION("GOOGLETRANSLATE(B27774,""en"",""fr"")"),"Il attrape un verre et met de la glace dans le verre.")</f>
        <v>Il attrape un verre et met de la glace dans le verre.</v>
      </c>
    </row>
    <row r="27775">
      <c r="A27775" s="4" t="s">
        <v>34970</v>
      </c>
      <c r="B27775" s="4" t="s">
        <v>34973</v>
      </c>
      <c r="C27775" s="5" t="str">
        <f>IFERROR(__xludf.DUMMYFUNCTION("GOOGLETRANSLATE(B27775,""en"",""fr"")"),"Il mélange ensuite la vodka et le soda dans le verre.")</f>
        <v>Il mélange ensuite la vodka et le soda dans le verre.</v>
      </c>
    </row>
    <row r="27776">
      <c r="A27776" s="4" t="s">
        <v>34970</v>
      </c>
      <c r="B27776" s="4" t="s">
        <v>34974</v>
      </c>
      <c r="C27776" s="5" t="str">
        <f>IFERROR(__xludf.DUMMYFUNCTION("GOOGLETRANSLATE(B27776,""en"",""fr"")"),"Il attrape un citron et le met dans le verre pour finir.")</f>
        <v>Il attrape un citron et le met dans le verre pour finir.</v>
      </c>
    </row>
    <row r="27777">
      <c r="A27777" s="4" t="s">
        <v>34975</v>
      </c>
      <c r="B27777" s="4" t="s">
        <v>34976</v>
      </c>
      <c r="C27777" s="5" t="str">
        <f>IFERROR(__xludf.DUMMYFUNCTION("GOOGLETRANSLATE(B27777,""en"",""fr"")"),"Un gros plan de divers objets dans un cercle de saleté et mène à une personne tenant un sac.")</f>
        <v>Un gros plan de divers objets dans un cercle de saleté et mène à une personne tenant un sac.</v>
      </c>
    </row>
    <row r="27778">
      <c r="A27778" s="4" t="s">
        <v>34975</v>
      </c>
      <c r="B27778" s="4" t="s">
        <v>34977</v>
      </c>
      <c r="C27778" s="5" t="str">
        <f>IFERROR(__xludf.DUMMYFUNCTION("GOOGLETRANSLATE(B27778,""en"",""fr"")"),"La personne ouvre ensuite le sac et pointe vers les objets en saleté et allume un match.")</f>
        <v>La personne ouvre ensuite le sac et pointe vers les objets en saleté et allume un match.</v>
      </c>
    </row>
    <row r="27779">
      <c r="A27779" s="4" t="s">
        <v>34975</v>
      </c>
      <c r="B27779" s="4" t="s">
        <v>34978</v>
      </c>
      <c r="C27779" s="5" t="str">
        <f>IFERROR(__xludf.DUMMYFUNCTION("GOOGLETRANSLATE(B27779,""en"",""fr"")"),"Les objets prennent feu et la caméra zoome sur les objets qui brûlent.")</f>
        <v>Les objets prennent feu et la caméra zoome sur les objets qui brûlent.</v>
      </c>
    </row>
    <row r="27780">
      <c r="A27780" s="4" t="s">
        <v>34979</v>
      </c>
      <c r="B27780" s="4" t="s">
        <v>34980</v>
      </c>
      <c r="C27780" s="5" t="str">
        <f>IFERROR(__xludf.DUMMYFUNCTION("GOOGLETRANSLATE(B27780,""en"",""fr"")"),"Un groupe d'amis conduit des tubes internes à travers de petites rapides dans une jungle tropicale.")</f>
        <v>Un groupe d'amis conduit des tubes internes à travers de petites rapides dans une jungle tropicale.</v>
      </c>
    </row>
    <row r="27781">
      <c r="A27781" s="4" t="s">
        <v>34979</v>
      </c>
      <c r="B27781" s="4" t="s">
        <v>34981</v>
      </c>
      <c r="C27781" s="5" t="str">
        <f>IFERROR(__xludf.DUMMYFUNCTION("GOOGLETRANSLATE(B27781,""en"",""fr"")"),"Le groupe passe devant de gros rochers sortant de l'eau.")</f>
        <v>Le groupe passe devant de gros rochers sortant de l'eau.</v>
      </c>
    </row>
    <row r="27782">
      <c r="A27782" s="4" t="s">
        <v>34982</v>
      </c>
      <c r="B27782" s="4" t="s">
        <v>34983</v>
      </c>
      <c r="C27782" s="5" t="str">
        <f>IFERROR(__xludf.DUMMYFUNCTION("GOOGLETRANSLATE(B27782,""en"",""fr"")"),"Un garçon se tient dans la grande herbe d'un champ.")</f>
        <v>Un garçon se tient dans la grande herbe d'un champ.</v>
      </c>
    </row>
    <row r="27783">
      <c r="A27783" s="4" t="s">
        <v>34982</v>
      </c>
      <c r="B27783" s="4" t="s">
        <v>34984</v>
      </c>
      <c r="C27783" s="5" t="str">
        <f>IFERROR(__xludf.DUMMYFUNCTION("GOOGLETRANSLATE(B27783,""en"",""fr"")"),"Il tient un cerf-volant en l'air.")</f>
        <v>Il tient un cerf-volant en l'air.</v>
      </c>
    </row>
    <row r="27784">
      <c r="A27784" s="4" t="s">
        <v>34982</v>
      </c>
      <c r="B27784" s="4" t="s">
        <v>34985</v>
      </c>
      <c r="C27784" s="5" t="str">
        <f>IFERROR(__xludf.DUMMYFUNCTION("GOOGLETRANSLATE(B27784,""en"",""fr"")"),"Il se penche en arrière, étant de la drogue par la force du vent.")</f>
        <v>Il se penche en arrière, étant de la drogue par la force du vent.</v>
      </c>
    </row>
    <row r="27785">
      <c r="A27785" s="4" t="s">
        <v>34986</v>
      </c>
      <c r="B27785" s="6" t="s">
        <v>34987</v>
      </c>
      <c r="C27785" s="5" t="str">
        <f>IFERROR(__xludf.DUMMYFUNCTION("GOOGLETRANSLATE(B27785,""en"",""fr"")"),"Un homme est assis sur le canapé avec un jean une chemise, et il tient une guitare sur ses genoux, gratte avec sa main droite et tapotant les cordes supérieures avec sa main gauche.")</f>
        <v>Un homme est assis sur le canapé avec un jean une chemise, et il tient une guitare sur ses genoux, gratte avec sa main droite et tapotant les cordes supérieures avec sa main gauche.</v>
      </c>
    </row>
    <row r="27786">
      <c r="A27786" s="4" t="s">
        <v>34986</v>
      </c>
      <c r="B27786" s="4" t="s">
        <v>34988</v>
      </c>
      <c r="C27786" s="5" t="str">
        <f>IFERROR(__xludf.DUMMYFUNCTION("GOOGLETRANSLATE(B27786,""en"",""fr"")"),"L'homme ralentit et cesse de gratter et de taper sur sa guitare.")</f>
        <v>L'homme ralentit et cesse de gratter et de taper sur sa guitare.</v>
      </c>
    </row>
    <row r="27787">
      <c r="A27787" s="4" t="s">
        <v>34986</v>
      </c>
      <c r="B27787" s="6" t="s">
        <v>34989</v>
      </c>
      <c r="C27787" s="5" t="str">
        <f>IFERROR(__xludf.DUMMYFUNCTION("GOOGLETRANSLATE(B27787,""en"",""fr"")"),"Un écran coloré apparaît et il affiche une image de dessin animé d'un pokemon debout à l'extérieur près d'un arbre pendant qu'il neige, et les mots rouges lisent ""Pokemon-Pallet-Town"".")</f>
        <v>Un écran coloré apparaît et il affiche une image de dessin animé d'un pokemon debout à l'extérieur près d'un arbre pendant qu'il neige, et les mots rouges lisent "Pokemon-Pallet-Town".</v>
      </c>
    </row>
    <row r="27788">
      <c r="A27788" s="4" t="s">
        <v>34990</v>
      </c>
      <c r="B27788" s="4" t="s">
        <v>34991</v>
      </c>
      <c r="C27788" s="5" t="str">
        <f>IFERROR(__xludf.DUMMYFUNCTION("GOOGLETRANSLATE(B27788,""en"",""fr"")"),"Les gens se tiennent sur le dos des chevaux.")</f>
        <v>Les gens se tiennent sur le dos des chevaux.</v>
      </c>
    </row>
    <row r="27789">
      <c r="A27789" s="4" t="s">
        <v>34990</v>
      </c>
      <c r="B27789" s="4" t="s">
        <v>34992</v>
      </c>
      <c r="C27789" s="5" t="str">
        <f>IFERROR(__xludf.DUMMYFUNCTION("GOOGLETRANSLATE(B27789,""en"",""fr"")"),"Trois filles parlent à une caméra.")</f>
        <v>Trois filles parlent à une caméra.</v>
      </c>
    </row>
    <row r="27790">
      <c r="A27790" s="4" t="s">
        <v>34990</v>
      </c>
      <c r="B27790" s="4" t="s">
        <v>34993</v>
      </c>
      <c r="C27790" s="5" t="str">
        <f>IFERROR(__xludf.DUMMYFUNCTION("GOOGLETRANSLATE(B27790,""en"",""fr"")"),"Les chevaux traversent un chemin de terre.")</f>
        <v>Les chevaux traversent un chemin de terre.</v>
      </c>
    </row>
    <row r="27791">
      <c r="A27791" s="4" t="s">
        <v>34994</v>
      </c>
      <c r="B27791" s="4" t="s">
        <v>34995</v>
      </c>
      <c r="C27791" s="5" t="str">
        <f>IFERROR(__xludf.DUMMYFUNCTION("GOOGLETRANSLATE(B27791,""en"",""fr"")"),"Un homme est vu parler à la caméra tout en tenant un chien dans un avion.")</f>
        <v>Un homme est vu parler à la caméra tout en tenant un chien dans un avion.</v>
      </c>
    </row>
    <row r="27792">
      <c r="A27792" s="4" t="s">
        <v>34994</v>
      </c>
      <c r="B27792" s="4" t="s">
        <v>34996</v>
      </c>
      <c r="C27792" s="5" t="str">
        <f>IFERROR(__xludf.DUMMYFUNCTION("GOOGLETRANSLATE(B27792,""en"",""fr"")"),"Plusieurs clips sont représentés de l'homme dans un avion avec le chien ainsi que sous l'eau.")</f>
        <v>Plusieurs clips sont représentés de l'homme dans un avion avec le chien ainsi que sous l'eau.</v>
      </c>
    </row>
    <row r="27793">
      <c r="A27793" s="4" t="s">
        <v>34994</v>
      </c>
      <c r="B27793" s="4" t="s">
        <v>34997</v>
      </c>
      <c r="C27793" s="5" t="str">
        <f>IFERROR(__xludf.DUMMYFUNCTION("GOOGLETRANSLATE(B27793,""en"",""fr"")"),"L'homme effectue plusieurs activités avec son chien à la main pendant qu'une femme parle à la caméra.")</f>
        <v>L'homme effectue plusieurs activités avec son chien à la main pendant qu'une femme parle à la caméra.</v>
      </c>
    </row>
    <row r="27794">
      <c r="A27794" s="4" t="s">
        <v>34998</v>
      </c>
      <c r="B27794" s="6" t="s">
        <v>34999</v>
      </c>
      <c r="C27794" s="5" t="str">
        <f>IFERROR(__xludf.DUMMYFUNCTION("GOOGLETRANSLATE(B27794,""en"",""fr"")"),"Une caméra se déroule autour d'un toit enneigé et mène à un homme poussant la neige d'un toit et sur le sol en dessous.")</f>
        <v>Une caméra se déroule autour d'un toit enneigé et mène à un homme poussant la neige d'un toit et sur le sol en dessous.</v>
      </c>
    </row>
    <row r="27795">
      <c r="A27795" s="4" t="s">
        <v>34998</v>
      </c>
      <c r="B27795" s="6" t="s">
        <v>35000</v>
      </c>
      <c r="C27795" s="5" t="str">
        <f>IFERROR(__xludf.DUMMYFUNCTION("GOOGLETRANSLATE(B27795,""en"",""fr"")"),"L'homme continue de parler à la caméra tout en repoussant la neige et en menant à un toit vide.")</f>
        <v>L'homme continue de parler à la caméra tout en repoussant la neige et en menant à un toit vide.</v>
      </c>
    </row>
    <row r="27796">
      <c r="A27796" s="4" t="s">
        <v>34998</v>
      </c>
      <c r="B27796" s="4" t="s">
        <v>35001</v>
      </c>
      <c r="C27796" s="5" t="str">
        <f>IFERROR(__xludf.DUMMYFUNCTION("GOOGLETRANSLATE(B27796,""en"",""fr"")"),"Un autre homme est vu pelleter de la neige et se termine par des photos des hommes travaillant.")</f>
        <v>Un autre homme est vu pelleter de la neige et se termine par des photos des hommes travaillant.</v>
      </c>
    </row>
    <row r="27797">
      <c r="A27797" s="4" t="s">
        <v>35002</v>
      </c>
      <c r="B27797" s="4" t="s">
        <v>35003</v>
      </c>
      <c r="C27797" s="5" t="str">
        <f>IFERROR(__xludf.DUMMYFUNCTION("GOOGLETRANSLATE(B27797,""en"",""fr"")"),"Une femme âgée est assise sur une chaise.")</f>
        <v>Une femme âgée est assise sur une chaise.</v>
      </c>
    </row>
    <row r="27798">
      <c r="A27798" s="4" t="s">
        <v>35002</v>
      </c>
      <c r="B27798" s="4" t="s">
        <v>35004</v>
      </c>
      <c r="C27798" s="5" t="str">
        <f>IFERROR(__xludf.DUMMYFUNCTION("GOOGLETRANSLATE(B27798,""en"",""fr"")"),"Elle tricote avec du fil rouge.")</f>
        <v>Elle tricote avec du fil rouge.</v>
      </c>
    </row>
    <row r="27799">
      <c r="A27799" s="4" t="s">
        <v>35002</v>
      </c>
      <c r="B27799" s="4" t="s">
        <v>35005</v>
      </c>
      <c r="C27799" s="5" t="str">
        <f>IFERROR(__xludf.DUMMYFUNCTION("GOOGLETRANSLATE(B27799,""en"",""fr"")"),"Elle parle à la personne avec la caméra alors qu'elle tricotait.")</f>
        <v>Elle parle à la personne avec la caméra alors qu'elle tricotait.</v>
      </c>
    </row>
    <row r="27800">
      <c r="A27800" s="4" t="s">
        <v>35006</v>
      </c>
      <c r="B27800" s="6" t="s">
        <v>35007</v>
      </c>
      <c r="C27800" s="5" t="str">
        <f>IFERROR(__xludf.DUMMYFUNCTION("GOOGLETRANSLATE(B27800,""en"",""fr"")"),"Une personne est vue en poussant une ponceuse le long d'un ski et mène à une autre personne qui se resserre un ski et pulvériser de la cire le long du sommet.")</f>
        <v>Une personne est vue en poussant une ponceuse le long d'un ski et mène à une autre personne qui se resserre un ski et pulvériser de la cire le long du sommet.</v>
      </c>
    </row>
    <row r="27801">
      <c r="A27801" s="4" t="s">
        <v>35006</v>
      </c>
      <c r="B27801" s="4" t="s">
        <v>35008</v>
      </c>
      <c r="C27801" s="5" t="str">
        <f>IFERROR(__xludf.DUMMYFUNCTION("GOOGLETRANSLATE(B27801,""en"",""fr"")"),"La personne l'essuie puis utilise une barre de cire sur la ponceuse le long du ski.")</f>
        <v>La personne l'essuie puis utilise une barre de cire sur la ponceuse le long du ski.</v>
      </c>
    </row>
    <row r="27802">
      <c r="A27802" s="4" t="s">
        <v>35009</v>
      </c>
      <c r="B27802" s="6" t="s">
        <v>35010</v>
      </c>
      <c r="C27802" s="5" t="str">
        <f>IFERROR(__xludf.DUMMYFUNCTION("GOOGLETRANSLATE(B27802,""en"",""fr"")"),"Une femme organise un segment d'actualités qui mène à des clips de personnes travaillant dans les rues et protestant.")</f>
        <v>Une femme organise un segment d'actualités qui mène à des clips de personnes travaillant dans les rues et protestant.</v>
      </c>
    </row>
    <row r="27803">
      <c r="A27803" s="4" t="s">
        <v>35009</v>
      </c>
      <c r="B27803" s="6" t="s">
        <v>35011</v>
      </c>
      <c r="C27803" s="5" t="str">
        <f>IFERROR(__xludf.DUMMYFUNCTION("GOOGLETRANSLATE(B27803,""en"",""fr"")"),"Plusieurs femmes sont interviewées par la caméra et montrent plus de clips de personnes travaillant et protestant.")</f>
        <v>Plusieurs femmes sont interviewées par la caméra et montrent plus de clips de personnes travaillant et protestant.</v>
      </c>
    </row>
    <row r="27804">
      <c r="A27804" s="4" t="s">
        <v>35012</v>
      </c>
      <c r="B27804" s="4" t="s">
        <v>35013</v>
      </c>
      <c r="C27804" s="5" t="str">
        <f>IFERROR(__xludf.DUMMYFUNCTION("GOOGLETRANSLATE(B27804,""en"",""fr"")"),"Nous voyons un homme tirer une piscine sur une table bleue.")</f>
        <v>Nous voyons un homme tirer une piscine sur une table bleue.</v>
      </c>
    </row>
    <row r="27805">
      <c r="A27805" s="4" t="s">
        <v>35012</v>
      </c>
      <c r="B27805" s="4" t="s">
        <v>35014</v>
      </c>
      <c r="C27805" s="5" t="str">
        <f>IFERROR(__xludf.DUMMYFUNCTION("GOOGLETRANSLATE(B27805,""en"",""fr"")"),"L'homme finit et sourit alors que son ami frappe ses mains.")</f>
        <v>L'homme finit et sourit alors que son ami frappe ses mains.</v>
      </c>
    </row>
    <row r="27806">
      <c r="A27806" s="4" t="s">
        <v>35012</v>
      </c>
      <c r="B27806" s="4" t="s">
        <v>2486</v>
      </c>
      <c r="C27806" s="5" t="str">
        <f>IFERROR(__xludf.DUMMYFUNCTION("GOOGLETRANSLATE(B27806,""en"",""fr"")"),"Nous voyons l'écran de clôture.")</f>
        <v>Nous voyons l'écran de clôture.</v>
      </c>
    </row>
    <row r="27807">
      <c r="A27807" s="4" t="s">
        <v>35015</v>
      </c>
      <c r="B27807" s="6" t="s">
        <v>35016</v>
      </c>
      <c r="C27807" s="5" t="str">
        <f>IFERROR(__xludf.DUMMYFUNCTION("GOOGLETRANSLATE(B27807,""en"",""fr"")"),"Une image senior d'une femme est montrée, puis un écran clignote indiquant que ses reflets sont sur le point d'être montrés.")</f>
        <v>Une image senior d'une femme est montrée, puis un écran clignote indiquant que ses reflets sont sur le point d'être montrés.</v>
      </c>
    </row>
    <row r="27808">
      <c r="A27808" s="4" t="s">
        <v>35015</v>
      </c>
      <c r="B27808" s="6" t="s">
        <v>35017</v>
      </c>
      <c r="C27808" s="5" t="str">
        <f>IFERROR(__xludf.DUMMYFUNCTION("GOOGLETRANSLATE(B27808,""en"",""fr"")"),"Plusieurs vidéos d'elle sont ensuite présentées contre les filles d'autres équipes défendant son territoire et dépouillant le ballon des autres adversaires.")</f>
        <v>Plusieurs vidéos d'elle sont ensuite présentées contre les filles d'autres équipes défendant son territoire et dépouillant le ballon des autres adversaires.</v>
      </c>
    </row>
    <row r="27809">
      <c r="A27809" s="4" t="s">
        <v>35018</v>
      </c>
      <c r="B27809" s="4" t="s">
        <v>35019</v>
      </c>
      <c r="C27809" s="5" t="str">
        <f>IFERROR(__xludf.DUMMYFUNCTION("GOOGLETRANSLATE(B27809,""en"",""fr"")"),"L'homme se tient dans une pièce avec un jeu de fléchette en hage sur le mur.")</f>
        <v>L'homme se tient dans une pièce avec un jeu de fléchette en hage sur le mur.</v>
      </c>
    </row>
    <row r="27810">
      <c r="A27810" s="4" t="s">
        <v>35018</v>
      </c>
      <c r="B27810" s="6" t="s">
        <v>35020</v>
      </c>
      <c r="C27810" s="5" t="str">
        <f>IFERROR(__xludf.DUMMYFUNCTION("GOOGLETRANSLATE(B27810,""en"",""fr"")"),"Il a pris l'une des fléchettes de la planche et continue de parler, approche de la caméra et montre la fléchette tranchante.")</f>
        <v>Il a pris l'une des fléchettes de la planche et continue de parler, approche de la caméra et montre la fléchette tranchante.</v>
      </c>
    </row>
    <row r="27811">
      <c r="A27811" s="4" t="s">
        <v>35018</v>
      </c>
      <c r="B27811" s="4" t="s">
        <v>35021</v>
      </c>
      <c r="C27811" s="5" t="str">
        <f>IFERROR(__xludf.DUMMYFUNCTION("GOOGLETRANSLATE(B27811,""en"",""fr"")"),"Il jette la fléchette sur la planche et s'appuie sur le mur.")</f>
        <v>Il jette la fléchette sur la planche et s'appuie sur le mur.</v>
      </c>
    </row>
    <row r="27812">
      <c r="A27812" s="4" t="s">
        <v>35018</v>
      </c>
      <c r="B27812" s="4" t="s">
        <v>35022</v>
      </c>
      <c r="C27812" s="5" t="str">
        <f>IFERROR(__xludf.DUMMYFUNCTION("GOOGLETRANSLATE(B27812,""en"",""fr"")"),"L'homme ouvre les bras et les balançoires d'un côté à l'autre, à genoux sur le sol.")</f>
        <v>L'homme ouvre les bras et les balançoires d'un côté à l'autre, à genoux sur le sol.</v>
      </c>
    </row>
    <row r="27813">
      <c r="A27813" s="4" t="s">
        <v>35018</v>
      </c>
      <c r="B27813" s="4" t="s">
        <v>35023</v>
      </c>
      <c r="C27813" s="5" t="str">
        <f>IFERROR(__xludf.DUMMYFUNCTION("GOOGLETRANSLATE(B27813,""en"",""fr"")"),"Il emmène une autre fléchette dans la planche et avec la tête basse commence à crier à la caméra.")</f>
        <v>Il emmène une autre fléchette dans la planche et avec la tête basse commence à crier à la caméra.</v>
      </c>
    </row>
    <row r="27814">
      <c r="A27814" s="4" t="s">
        <v>35024</v>
      </c>
      <c r="B27814" s="6" t="s">
        <v>35025</v>
      </c>
      <c r="C27814" s="5" t="str">
        <f>IFERROR(__xludf.DUMMYFUNCTION("GOOGLETRANSLATE(B27814,""en"",""fr"")"),"Une gymnaste est vue debout prête et tenant ses bras qui mènent à l'escalade sur une poutre et effectuant une routine de gymnastique sur le faisceau.")</f>
        <v>Une gymnaste est vue debout prête et tenant ses bras qui mènent à l'escalade sur une poutre et effectuant une routine de gymnastique sur le faisceau.</v>
      </c>
    </row>
    <row r="27815">
      <c r="A27815" s="4" t="s">
        <v>35024</v>
      </c>
      <c r="B27815" s="6" t="s">
        <v>35026</v>
      </c>
      <c r="C27815" s="5" t="str">
        <f>IFERROR(__xludf.DUMMYFUNCTION("GOOGLETRANSLATE(B27815,""en"",""fr"")"),"La fille effectue plusieurs sauts et tours qui se termine avec elle sautant dans un tapis et levant ses bras.")</f>
        <v>La fille effectue plusieurs sauts et tours qui se termine avec elle sautant dans un tapis et levant ses bras.</v>
      </c>
    </row>
    <row r="27816">
      <c r="A27816" s="4" t="s">
        <v>35027</v>
      </c>
      <c r="B27816" s="4" t="s">
        <v>35028</v>
      </c>
      <c r="C27816" s="5" t="str">
        <f>IFERROR(__xludf.DUMMYFUNCTION("GOOGLETRANSLATE(B27816,""en"",""fr"")"),"Une personne est vue assise derrière un ensemble de tambours qui les jouant de manière cohérente.")</f>
        <v>Une personne est vue assise derrière un ensemble de tambours qui les jouant de manière cohérente.</v>
      </c>
    </row>
    <row r="27817">
      <c r="A27817" s="4" t="s">
        <v>35027</v>
      </c>
      <c r="B27817" s="4" t="s">
        <v>35029</v>
      </c>
      <c r="C27817" s="5" t="str">
        <f>IFERROR(__xludf.DUMMYFUNCTION("GOOGLETRANSLATE(B27817,""en"",""fr"")"),"Elle continue de jouer de la batterie pendant que la caméra zoome sur ses mains.")</f>
        <v>Elle continue de jouer de la batterie pendant que la caméra zoome sur ses mains.</v>
      </c>
    </row>
    <row r="27818">
      <c r="A27818" s="4" t="s">
        <v>35030</v>
      </c>
      <c r="B27818" s="4" t="s">
        <v>35031</v>
      </c>
      <c r="C27818" s="5" t="str">
        <f>IFERROR(__xludf.DUMMYFUNCTION("GOOGLETRANSLATE(B27818,""en"",""fr"")"),"Il existe de nombreux trophées exposés que vous pouvez gagner pour faire du bon travail.")</f>
        <v>Il existe de nombreux trophées exposés que vous pouvez gagner pour faire du bon travail.</v>
      </c>
    </row>
    <row r="27819">
      <c r="A27819" s="4" t="s">
        <v>35030</v>
      </c>
      <c r="B27819" s="4" t="s">
        <v>35032</v>
      </c>
      <c r="C27819" s="5" t="str">
        <f>IFERROR(__xludf.DUMMYFUNCTION("GOOGLETRANSLATE(B27819,""en"",""fr"")"),"Les hommes sur leurs vélos attendent de commencer une course.")</f>
        <v>Les hommes sur leurs vélos attendent de commencer une course.</v>
      </c>
    </row>
    <row r="27820">
      <c r="A27820" s="4" t="s">
        <v>35030</v>
      </c>
      <c r="B27820" s="4" t="s">
        <v>35033</v>
      </c>
      <c r="C27820" s="5" t="str">
        <f>IFERROR(__xludf.DUMMYFUNCTION("GOOGLETRANSLATE(B27820,""en"",""fr"")"),"Deux hommes ont frappé leurs jointures ensemble avant le début de la course.")</f>
        <v>Deux hommes ont frappé leurs jointures ensemble avant le début de la course.</v>
      </c>
    </row>
    <row r="27821">
      <c r="A27821" s="4" t="s">
        <v>35030</v>
      </c>
      <c r="B27821" s="4" t="s">
        <v>35034</v>
      </c>
      <c r="C27821" s="5" t="str">
        <f>IFERROR(__xludf.DUMMYFUNCTION("GOOGLETRANSLATE(B27821,""en"",""fr"")"),"Le public applaudie et les coureurs vont très vite en essayant de gagner.")</f>
        <v>Le public applaudie et les coureurs vont très vite en essayant de gagner.</v>
      </c>
    </row>
    <row r="27822">
      <c r="A27822" s="4" t="s">
        <v>35035</v>
      </c>
      <c r="B27822" s="6" t="s">
        <v>35036</v>
      </c>
      <c r="C27822" s="5" t="str">
        <f>IFERROR(__xludf.DUMMYFUNCTION("GOOGLETRANSLATE(B27822,""en"",""fr"")"),"Un homme est vu faire du karaté devant un autre avec un couteau et mène à un coup de bowling et de texte sur son visage.")</f>
        <v>Un homme est vu faire du karaté devant un autre avec un couteau et mène à un coup de bowling et de texte sur son visage.</v>
      </c>
    </row>
    <row r="27823">
      <c r="A27823" s="4" t="s">
        <v>35035</v>
      </c>
      <c r="B27823" s="6" t="s">
        <v>35037</v>
      </c>
      <c r="C27823" s="5" t="str">
        <f>IFERROR(__xludf.DUMMYFUNCTION("GOOGLETRANSLATE(B27823,""en"",""fr"")"),"L'homme célèbre alors que les gens regardent et que Clipart est montré ainsi que plus de photos de l'homme célébrant et bowling.")</f>
        <v>L'homme célèbre alors que les gens regardent et que Clipart est montré ainsi que plus de photos de l'homme célébrant et bowling.</v>
      </c>
    </row>
    <row r="27824">
      <c r="A27824" s="4" t="s">
        <v>35035</v>
      </c>
      <c r="B27824" s="4" t="s">
        <v>35038</v>
      </c>
      <c r="C27824" s="5" t="str">
        <f>IFERROR(__xludf.DUMMYFUNCTION("GOOGLETRANSLATE(B27824,""en"",""fr"")"),"L'homme tient un trophée à la fin et crie à la caméra et au public.")</f>
        <v>L'homme tient un trophée à la fin et crie à la caméra et au public.</v>
      </c>
    </row>
    <row r="27825">
      <c r="A27825" s="4" t="s">
        <v>35035</v>
      </c>
      <c r="B27825" s="4" t="s">
        <v>35039</v>
      </c>
      <c r="C27825" s="5" t="str">
        <f>IFERROR(__xludf.DUMMYFUNCTION("GOOGLETRANSLATE(B27825,""en"",""fr"")"),"L'appareil photo zoome ensuite sur une photo sur une affiche.")</f>
        <v>L'appareil photo zoome ensuite sur une photo sur une affiche.</v>
      </c>
    </row>
    <row r="27826">
      <c r="A27826" s="4" t="s">
        <v>35040</v>
      </c>
      <c r="B27826" s="4" t="s">
        <v>35041</v>
      </c>
      <c r="C27826" s="5" t="str">
        <f>IFERROR(__xludf.DUMMYFUNCTION("GOOGLETRANSLATE(B27826,""en"",""fr"")"),"Une femme est vue à genoux avant un gros poids et à parler à la caméra en continu.")</f>
        <v>Une femme est vue à genoux avant un gros poids et à parler à la caméra en continu.</v>
      </c>
    </row>
    <row r="27827">
      <c r="A27827" s="4" t="s">
        <v>35040</v>
      </c>
      <c r="B27827" s="6" t="s">
        <v>35042</v>
      </c>
      <c r="C27827" s="5" t="str">
        <f>IFERROR(__xludf.DUMMYFUNCTION("GOOGLETRANSLATE(B27827,""en"",""fr"")"),"Elle déplace son corps autour du poids et pointant pour montrer comment maintenir correctement le poids.")</f>
        <v>Elle déplace son corps autour du poids et pointant pour montrer comment maintenir correctement le poids.</v>
      </c>
    </row>
    <row r="27828">
      <c r="A27828" s="4" t="s">
        <v>35043</v>
      </c>
      <c r="B27828" s="4" t="s">
        <v>7459</v>
      </c>
      <c r="C27828" s="5" t="str">
        <f>IFERROR(__xludf.DUMMYFUNCTION("GOOGLETRANSLATE(B27828,""en"",""fr"")"),"Une personne skie sur une colline de neige.")</f>
        <v>Une personne skie sur une colline de neige.</v>
      </c>
    </row>
    <row r="27829">
      <c r="A27829" s="4" t="s">
        <v>35043</v>
      </c>
      <c r="B27829" s="4" t="s">
        <v>35044</v>
      </c>
      <c r="C27829" s="5" t="str">
        <f>IFERROR(__xludf.DUMMYFUNCTION("GOOGLETRANSLATE(B27829,""en"",""fr"")"),"Ils dépassent un groupe de personnes de snowboard.")</f>
        <v>Ils dépassent un groupe de personnes de snowboard.</v>
      </c>
    </row>
    <row r="27830">
      <c r="A27830" s="4" t="s">
        <v>35043</v>
      </c>
      <c r="B27830" s="4" t="s">
        <v>35045</v>
      </c>
      <c r="C27830" s="5" t="str">
        <f>IFERROR(__xludf.DUMMYFUNCTION("GOOGLETRANSLATE(B27830,""en"",""fr"")"),"Ils arrivent au fond de la colline et s'arrêtent devant un petit bâtiment.")</f>
        <v>Ils arrivent au fond de la colline et s'arrêtent devant un petit bâtiment.</v>
      </c>
    </row>
    <row r="27831">
      <c r="A27831" s="4" t="s">
        <v>35046</v>
      </c>
      <c r="B27831" s="4" t="s">
        <v>1487</v>
      </c>
      <c r="C27831" s="5" t="str">
        <f>IFERROR(__xludf.DUMMYFUNCTION("GOOGLETRANSLATE(B27831,""en"",""fr"")"),"Nous voyons un écran de titre d'ouverture.")</f>
        <v>Nous voyons un écran de titre d'ouverture.</v>
      </c>
    </row>
    <row r="27832">
      <c r="A27832" s="4" t="s">
        <v>35046</v>
      </c>
      <c r="B27832" s="4" t="s">
        <v>35047</v>
      </c>
      <c r="C27832" s="5" t="str">
        <f>IFERROR(__xludf.DUMMYFUNCTION("GOOGLETRANSLATE(B27832,""en"",""fr"")"),"Nous voyons 5 hommes marcher sur les côtés de la rue à côté.")</f>
        <v>Nous voyons 5 hommes marcher sur les côtés de la rue à côté.</v>
      </c>
    </row>
    <row r="27833">
      <c r="A27833" s="4" t="s">
        <v>35046</v>
      </c>
      <c r="B27833" s="4" t="s">
        <v>35048</v>
      </c>
      <c r="C27833" s="5" t="str">
        <f>IFERROR(__xludf.DUMMYFUNCTION("GOOGLETRANSLATE(B27833,""en"",""fr"")"),"Un homme regarde les hommes.")</f>
        <v>Un homme regarde les hommes.</v>
      </c>
    </row>
    <row r="27834">
      <c r="A27834" s="4" t="s">
        <v>35046</v>
      </c>
      <c r="B27834" s="4" t="s">
        <v>35049</v>
      </c>
      <c r="C27834" s="5" t="str">
        <f>IFERROR(__xludf.DUMMYFUNCTION("GOOGLETRANSLATE(B27834,""en"",""fr"")"),"Une dame regarde les hommes.")</f>
        <v>Une dame regarde les hommes.</v>
      </c>
    </row>
    <row r="27835">
      <c r="A27835" s="4" t="s">
        <v>35046</v>
      </c>
      <c r="B27835" s="4" t="s">
        <v>35050</v>
      </c>
      <c r="C27835" s="5" t="str">
        <f>IFERROR(__xludf.DUMMYFUNCTION("GOOGLETRANSLATE(B27835,""en"",""fr"")"),"Deux hommes se tournent et se regardent.")</f>
        <v>Deux hommes se tournent et se regardent.</v>
      </c>
    </row>
    <row r="27836">
      <c r="A27836" s="4" t="s">
        <v>35046</v>
      </c>
      <c r="B27836" s="4" t="s">
        <v>35051</v>
      </c>
      <c r="C27836" s="5" t="str">
        <f>IFERROR(__xludf.DUMMYFUNCTION("GOOGLETRANSLATE(B27836,""en"",""fr"")"),"Un homme achète des boissons pendant que tout le monde les regarde.")</f>
        <v>Un homme achète des boissons pendant que tout le monde les regarde.</v>
      </c>
    </row>
    <row r="27837">
      <c r="A27837" s="4" t="s">
        <v>35046</v>
      </c>
      <c r="B27837" s="4" t="s">
        <v>35052</v>
      </c>
      <c r="C27837" s="5" t="str">
        <f>IFERROR(__xludf.DUMMYFUNCTION("GOOGLETRANSLATE(B27837,""en"",""fr"")"),"Les cinq hommes boivent leurs bières dans une gorgée.")</f>
        <v>Les cinq hommes boivent leurs bières dans une gorgée.</v>
      </c>
    </row>
    <row r="27838">
      <c r="A27838" s="4" t="s">
        <v>35046</v>
      </c>
      <c r="B27838" s="4" t="s">
        <v>35053</v>
      </c>
      <c r="C27838" s="5" t="str">
        <f>IFERROR(__xludf.DUMMYFUNCTION("GOOGLETRANSLATE(B27838,""en"",""fr"")"),"Les hommes quittent le bar ivre.")</f>
        <v>Les hommes quittent le bar ivre.</v>
      </c>
    </row>
    <row r="27839">
      <c r="A27839" s="4" t="s">
        <v>35046</v>
      </c>
      <c r="B27839" s="4" t="s">
        <v>35054</v>
      </c>
      <c r="C27839" s="5" t="str">
        <f>IFERROR(__xludf.DUMMYFUNCTION("GOOGLETRANSLATE(B27839,""en"",""fr"")"),"Nous voyons un écran de fermeture gris.")</f>
        <v>Nous voyons un écran de fermeture gris.</v>
      </c>
    </row>
    <row r="27840">
      <c r="A27840" s="4" t="s">
        <v>35055</v>
      </c>
      <c r="B27840" s="4" t="s">
        <v>35056</v>
      </c>
      <c r="C27840" s="5" t="str">
        <f>IFERROR(__xludf.DUMMYFUNCTION("GOOGLETRANSLATE(B27840,""en"",""fr"")"),"La femme portant des vêtements noires est allongée dans le sol en faisant des abdos.")</f>
        <v>La femme portant des vêtements noires est allongée dans le sol en faisant des abdos.</v>
      </c>
    </row>
    <row r="27841">
      <c r="A27841" s="4" t="s">
        <v>35055</v>
      </c>
      <c r="B27841" s="4" t="s">
        <v>35057</v>
      </c>
      <c r="C27841" s="5" t="str">
        <f>IFERROR(__xludf.DUMMYFUNCTION("GOOGLETRANSLATE(B27841,""en"",""fr"")"),"La femme faisant des abdos dans le sol a son FET attaché aux élastiques.")</f>
        <v>La femme faisant des abdos dans le sol a son FET attaché aux élastiques.</v>
      </c>
    </row>
    <row r="27842">
      <c r="A27842" s="4" t="s">
        <v>35055</v>
      </c>
      <c r="B27842" s="4" t="s">
        <v>35058</v>
      </c>
      <c r="C27842" s="5" t="str">
        <f>IFERROR(__xludf.DUMMYFUNCTION("GOOGLETRANSLATE(B27842,""en"",""fr"")"),"La femme fait de l'exercice dans une salle de gym tointe.")</f>
        <v>La femme fait de l'exercice dans une salle de gym tointe.</v>
      </c>
    </row>
    <row r="27843">
      <c r="A27843" s="4" t="s">
        <v>35059</v>
      </c>
      <c r="B27843" s="4" t="s">
        <v>35060</v>
      </c>
      <c r="C27843" s="5" t="str">
        <f>IFERROR(__xludf.DUMMYFUNCTION("GOOGLETRANSLATE(B27843,""en"",""fr"")"),"Un homme est vu effectuer une routine de danse sur une scène tandis qu'un orchestre joue derrière lui.")</f>
        <v>Un homme est vu effectuer une routine de danse sur une scène tandis qu'un orchestre joue derrière lui.</v>
      </c>
    </row>
    <row r="27844">
      <c r="A27844" s="4" t="s">
        <v>35059</v>
      </c>
      <c r="B27844" s="6" t="s">
        <v>35061</v>
      </c>
      <c r="C27844" s="5" t="str">
        <f>IFERROR(__xludf.DUMMYFUNCTION("GOOGLETRANSLATE(B27844,""en"",""fr"")"),"Une femme intervient ensuite et danse avec l'homme tout en faisant tourner son chapeau et en faisant tournoyer sur scène.")</f>
        <v>Une femme intervient ensuite et danse avec l'homme tout en faisant tourner son chapeau et en faisant tournoyer sur scène.</v>
      </c>
    </row>
    <row r="27845">
      <c r="A27845" s="4" t="s">
        <v>35059</v>
      </c>
      <c r="B27845" s="4" t="s">
        <v>35062</v>
      </c>
      <c r="C27845" s="5" t="str">
        <f>IFERROR(__xludf.DUMMYFUNCTION("GOOGLETRANSLATE(B27845,""en"",""fr"")"),"Les deux se terminent en faisant un geste drôle, puis en quittent la scène sur le côté.")</f>
        <v>Les deux se terminent en faisant un geste drôle, puis en quittent la scène sur le côté.</v>
      </c>
    </row>
    <row r="27846">
      <c r="A27846" s="4" t="s">
        <v>35063</v>
      </c>
      <c r="B27846" s="4" t="s">
        <v>35064</v>
      </c>
      <c r="C27846" s="5" t="str">
        <f>IFERROR(__xludf.DUMMYFUNCTION("GOOGLETRANSLATE(B27846,""en"",""fr"")"),"Un homme parle dans plusieurs vélos d'exercice.")</f>
        <v>Un homme parle dans plusieurs vélos d'exercice.</v>
      </c>
    </row>
    <row r="27847">
      <c r="A27847" s="4" t="s">
        <v>35063</v>
      </c>
      <c r="B27847" s="4" t="s">
        <v>35065</v>
      </c>
      <c r="C27847" s="5" t="str">
        <f>IFERROR(__xludf.DUMMYFUNCTION("GOOGLETRANSLATE(B27847,""en"",""fr"")"),"Il commence à travailler sur l'un des vélos.")</f>
        <v>Il commence à travailler sur l'un des vélos.</v>
      </c>
    </row>
    <row r="27848">
      <c r="A27848" s="4" t="s">
        <v>35063</v>
      </c>
      <c r="B27848" s="4" t="s">
        <v>35066</v>
      </c>
      <c r="C27848" s="5" t="str">
        <f>IFERROR(__xludf.DUMMYFUNCTION("GOOGLETRANSLATE(B27848,""en"",""fr"")"),"Les gens s'entraînent dans l'obscurité.")</f>
        <v>Les gens s'entraînent dans l'obscurité.</v>
      </c>
    </row>
    <row r="27849">
      <c r="A27849" s="4" t="s">
        <v>35067</v>
      </c>
      <c r="B27849" s="6" t="s">
        <v>35068</v>
      </c>
      <c r="C27849" s="5" t="str">
        <f>IFERROR(__xludf.DUMMYFUNCTION("GOOGLETRANSLATE(B27849,""en"",""fr"")"),"Un groupe de personnes joue du polo sur des chevaux sur une herbe couverte, clôturée dans le champ entouré de spectateurs et de spectateurs.")</f>
        <v>Un groupe de personnes joue du polo sur des chevaux sur une herbe couverte, clôturée dans le champ entouré de spectateurs et de spectateurs.</v>
      </c>
    </row>
    <row r="27850">
      <c r="A27850" s="4" t="s">
        <v>35067</v>
      </c>
      <c r="B27850" s="6" t="s">
        <v>35069</v>
      </c>
      <c r="C27850" s="5" t="str">
        <f>IFERROR(__xludf.DUMMYFUNCTION("GOOGLETRANSLATE(B27850,""en"",""fr"")"),"Un homme sur un cheval descend le centre d'une ligne de personnes sur un cheval tout en tenant un long poteau de maillet.")</f>
        <v>Un homme sur un cheval descend le centre d'une ligne de personnes sur un cheval tout en tenant un long poteau de maillet.</v>
      </c>
    </row>
    <row r="27851">
      <c r="A27851" s="4" t="s">
        <v>35067</v>
      </c>
      <c r="B27851" s="4" t="s">
        <v>35070</v>
      </c>
      <c r="C27851" s="5" t="str">
        <f>IFERROR(__xludf.DUMMYFUNCTION("GOOGLETRANSLATE(B27851,""en"",""fr"")"),"Un groupe de spectateurs debout et assis sur l'herbe regarde du côté du terrain.")</f>
        <v>Un groupe de spectateurs debout et assis sur l'herbe regarde du côté du terrain.</v>
      </c>
    </row>
    <row r="27852">
      <c r="A27852" s="4" t="s">
        <v>35067</v>
      </c>
      <c r="B27852" s="6" t="s">
        <v>35071</v>
      </c>
      <c r="C27852" s="5" t="str">
        <f>IFERROR(__xludf.DUMMYFUNCTION("GOOGLETRANSLATE(B27852,""en"",""fr"")"),"Le jeu de polo commence et les gens sur les chevaux commencent à balancer leurs maillets à travers le sol.")</f>
        <v>Le jeu de polo commence et les gens sur les chevaux commencent à balancer leurs maillets à travers le sol.</v>
      </c>
    </row>
    <row r="27853">
      <c r="A27853" s="4" t="s">
        <v>35072</v>
      </c>
      <c r="B27853" s="6" t="s">
        <v>35073</v>
      </c>
      <c r="C27853" s="5" t="str">
        <f>IFERROR(__xludf.DUMMYFUNCTION("GOOGLETRANSLATE(B27853,""en"",""fr"")"),"Un homme est vu parler à la caméra tout en déplaçant ses bras et d'autres nagent dans une piscine derrière lui.")</f>
        <v>Un homme est vu parler à la caméra tout en déplaçant ses bras et d'autres nagent dans une piscine derrière lui.</v>
      </c>
    </row>
    <row r="27854">
      <c r="A27854" s="4" t="s">
        <v>35072</v>
      </c>
      <c r="B27854" s="4" t="s">
        <v>35074</v>
      </c>
      <c r="C27854" s="5" t="str">
        <f>IFERROR(__xludf.DUMMYFUNCTION("GOOGLETRANSLATE(B27854,""en"",""fr"")"),"L'homme continue de parler à la caméra et une personne saute de la plongée derrière lui.")</f>
        <v>L'homme continue de parler à la caméra et une personne saute de la plongée derrière lui.</v>
      </c>
    </row>
    <row r="27855">
      <c r="A27855" s="4" t="s">
        <v>35075</v>
      </c>
      <c r="B27855" s="4" t="s">
        <v>35076</v>
      </c>
      <c r="C27855" s="5" t="str">
        <f>IFERROR(__xludf.DUMMYFUNCTION("GOOGLETRANSLATE(B27855,""en"",""fr"")"),"Un gymnaste monte une faillite dans un gymnase.")</f>
        <v>Un gymnaste monte une faillite dans un gymnase.</v>
      </c>
    </row>
    <row r="27856">
      <c r="A27856" s="4" t="s">
        <v>35075</v>
      </c>
      <c r="B27856" s="4" t="s">
        <v>35077</v>
      </c>
      <c r="C27856" s="5" t="str">
        <f>IFERROR(__xludf.DUMMYFUNCTION("GOOGLETRANSLATE(B27856,""en"",""fr"")"),"Il retourne et fait plusieurs ressorts.")</f>
        <v>Il retourne et fait plusieurs ressorts.</v>
      </c>
    </row>
    <row r="27857">
      <c r="A27857" s="4" t="s">
        <v>35075</v>
      </c>
      <c r="B27857" s="4" t="s">
        <v>35078</v>
      </c>
      <c r="C27857" s="5" t="str">
        <f>IFERROR(__xludf.DUMMYFUNCTION("GOOGLETRANSLATE(B27857,""en"",""fr"")"),"Il démonte ensuite, jetant ses bras pendant qu'il le fait.")</f>
        <v>Il démonte ensuite, jetant ses bras pendant qu'il le fait.</v>
      </c>
    </row>
    <row r="27858">
      <c r="A27858" s="4" t="s">
        <v>35079</v>
      </c>
      <c r="B27858" s="6" t="s">
        <v>35080</v>
      </c>
      <c r="C27858" s="5" t="str">
        <f>IFERROR(__xludf.DUMMYFUNCTION("GOOGLETRANSLATE(B27858,""en"",""fr"")"),"Une grande machine orange est montrée en descendant sur une route avec un bras et un rasoir qui coupent l'herbe.")</f>
        <v>Une grande machine orange est montrée en descendant sur une route avec un bras et un rasoir qui coupent l'herbe.</v>
      </c>
    </row>
    <row r="27859">
      <c r="A27859" s="4" t="s">
        <v>35079</v>
      </c>
      <c r="B27859" s="4" t="s">
        <v>35081</v>
      </c>
      <c r="C27859" s="5" t="str">
        <f>IFERROR(__xludf.DUMMYFUNCTION("GOOGLETRANSLATE(B27859,""en"",""fr"")"),"La coupe continue et la machine fonctionne dans différentes zones telles que les autoroutes.")</f>
        <v>La coupe continue et la machine fonctionne dans différentes zones telles que les autoroutes.</v>
      </c>
    </row>
    <row r="27860">
      <c r="A27860" s="4" t="s">
        <v>35082</v>
      </c>
      <c r="B27860" s="4" t="s">
        <v>35083</v>
      </c>
      <c r="C27860" s="5" t="str">
        <f>IFERROR(__xludf.DUMMYFUNCTION("GOOGLETRANSLATE(B27860,""en"",""fr"")"),"Une fille est vue effectuer une routine de danse du ventre sur une petite scène.")</f>
        <v>Une fille est vue effectuer une routine de danse du ventre sur une petite scène.</v>
      </c>
    </row>
    <row r="27861">
      <c r="A27861" s="4" t="s">
        <v>35082</v>
      </c>
      <c r="B27861" s="6" t="s">
        <v>35084</v>
      </c>
      <c r="C27861" s="5" t="str">
        <f>IFERROR(__xludf.DUMMYFUNCTION("GOOGLETRANSLATE(B27861,""en"",""fr"")"),"Elle continue de danser et de se produire autour de la scène et termine sa danse avec une pose, s'incliner et partir.")</f>
        <v>Elle continue de danser et de se produire autour de la scène et termine sa danse avec une pose, s'incliner et partir.</v>
      </c>
    </row>
    <row r="27862">
      <c r="A27862" s="4" t="s">
        <v>35085</v>
      </c>
      <c r="B27862" s="6" t="s">
        <v>35086</v>
      </c>
      <c r="C27862" s="5" t="str">
        <f>IFERROR(__xludf.DUMMYFUNCTION("GOOGLETRANSLATE(B27862,""en"",""fr"")"),"Divers clips sont illustrés à des ingrédients disposés dans des bols suivis d'une personne qui les mélangeait tous ensemble.")</f>
        <v>Divers clips sont illustrés à des ingrédients disposés dans des bols suivis d'une personne qui les mélangeait tous ensemble.</v>
      </c>
    </row>
    <row r="27863">
      <c r="A27863" s="4" t="s">
        <v>35085</v>
      </c>
      <c r="B27863" s="4" t="s">
        <v>35087</v>
      </c>
      <c r="C27863" s="5" t="str">
        <f>IFERROR(__xludf.DUMMYFUNCTION("GOOGLETRANSLATE(B27863,""en"",""fr"")"),"La personne les roule en balles et les place sur une assiette, les collant finalement dans le four.")</f>
        <v>La personne les roule en balles et les place sur une assiette, les collant finalement dans le four.</v>
      </c>
    </row>
    <row r="27864">
      <c r="A27864" s="4" t="s">
        <v>35085</v>
      </c>
      <c r="B27864" s="4" t="s">
        <v>35088</v>
      </c>
      <c r="C27864" s="5" t="str">
        <f>IFERROR(__xludf.DUMMYFUNCTION("GOOGLETRANSLATE(B27864,""en"",""fr"")"),"Elle sort ensuite les biscuits fabriqués et donne à la caméra un coup de pouce.")</f>
        <v>Elle sort ensuite les biscuits fabriqués et donne à la caméra un coup de pouce.</v>
      </c>
    </row>
    <row r="27865">
      <c r="A27865" s="4" t="s">
        <v>35089</v>
      </c>
      <c r="B27865" s="4" t="s">
        <v>35090</v>
      </c>
      <c r="C27865" s="5" t="str">
        <f>IFERROR(__xludf.DUMMYFUNCTION("GOOGLETRANSLATE(B27865,""en"",""fr"")"),"Les gens conduisent des voitures tamponneuses et s'écrasent les uns aux autres.")</f>
        <v>Les gens conduisent des voitures tamponneuses et s'écrasent les uns aux autres.</v>
      </c>
    </row>
    <row r="27866">
      <c r="A27866" s="4" t="s">
        <v>35089</v>
      </c>
      <c r="B27866" s="4" t="s">
        <v>35091</v>
      </c>
      <c r="C27866" s="5" t="str">
        <f>IFERROR(__xludf.DUMMYFUNCTION("GOOGLETRANSLATE(B27866,""en"",""fr"")"),"Une voiture verte s'écrase dans une voiture en or.")</f>
        <v>Une voiture verte s'écrase dans une voiture en or.</v>
      </c>
    </row>
    <row r="27867">
      <c r="A27867" s="4" t="s">
        <v>35089</v>
      </c>
      <c r="B27867" s="4" t="s">
        <v>35092</v>
      </c>
      <c r="C27867" s="5" t="str">
        <f>IFERROR(__xludf.DUMMYFUNCTION("GOOGLETRANSLATE(B27867,""en"",""fr"")"),"Une voiture bleue s'écrase dans une voiture en or.")</f>
        <v>Une voiture bleue s'écrase dans une voiture en or.</v>
      </c>
    </row>
    <row r="27868">
      <c r="A27868" s="4" t="s">
        <v>35093</v>
      </c>
      <c r="B27868" s="6" t="s">
        <v>35094</v>
      </c>
      <c r="C27868" s="5" t="str">
        <f>IFERROR(__xludf.DUMMYFUNCTION("GOOGLETRANSLATE(B27868,""en"",""fr"")"),"Une caméra se déroule autour d'un grand entrepôt et montre des clips de matériaux fabriqués et des hommes qui travaillent.")</f>
        <v>Une caméra se déroule autour d'un grand entrepôt et montre des clips de matériaux fabriqués et des hommes qui travaillent.</v>
      </c>
    </row>
    <row r="27869">
      <c r="A27869" s="4" t="s">
        <v>35093</v>
      </c>
      <c r="B27869" s="4" t="s">
        <v>35095</v>
      </c>
      <c r="C27869" s="5" t="str">
        <f>IFERROR(__xludf.DUMMYFUNCTION("GOOGLETRANSLATE(B27869,""en"",""fr"")"),"La machinerie est montrée en poussant des matériaux pendant que les gens regardent sur les côtés.")</f>
        <v>La machinerie est montrée en poussant des matériaux pendant que les gens regardent sur les côtés.</v>
      </c>
    </row>
    <row r="27870">
      <c r="A27870" s="4" t="s">
        <v>35093</v>
      </c>
      <c r="B27870" s="4" t="s">
        <v>35096</v>
      </c>
      <c r="C27870" s="5" t="str">
        <f>IFERROR(__xludf.DUMMYFUNCTION("GOOGLETRANSLATE(B27870,""en"",""fr"")"),"Plus de produits pour les maisons sont expulsés et une machinerie est montrée les emportant.")</f>
        <v>Plus de produits pour les maisons sont expulsés et une machinerie est montrée les emportant.</v>
      </c>
    </row>
    <row r="27871">
      <c r="A27871" s="4" t="s">
        <v>35097</v>
      </c>
      <c r="B27871" s="4" t="s">
        <v>35098</v>
      </c>
      <c r="C27871" s="5" t="str">
        <f>IFERROR(__xludf.DUMMYFUNCTION("GOOGLETRANSLATE(B27871,""en"",""fr"")"),"Un gros plan d'une lame est vu suivi par un adulte et un jeune enfant qui roule sur la diapositive.")</f>
        <v>Un gros plan d'une lame est vu suivi par un adulte et un jeune enfant qui roule sur la diapositive.</v>
      </c>
    </row>
    <row r="27872">
      <c r="A27872" s="4" t="s">
        <v>35097</v>
      </c>
      <c r="B27872" s="4" t="s">
        <v>35099</v>
      </c>
      <c r="C27872" s="5" t="str">
        <f>IFERROR(__xludf.DUMMYFUNCTION("GOOGLETRANSLATE(B27872,""en"",""fr"")"),"La femme rit avec le bébé et la vient en bas.")</f>
        <v>La femme rit avec le bébé et la vient en bas.</v>
      </c>
    </row>
    <row r="27873">
      <c r="A27873" s="4" t="s">
        <v>35100</v>
      </c>
      <c r="B27873" s="4" t="s">
        <v>35101</v>
      </c>
      <c r="C27873" s="5" t="str">
        <f>IFERROR(__xludf.DUMMYFUNCTION("GOOGLETRANSLATE(B27873,""en"",""fr"")"),"Une femme est vue debout dans un grand cercle et se pliant en avant.")</f>
        <v>Une femme est vue debout dans un grand cercle et se pliant en avant.</v>
      </c>
    </row>
    <row r="27874">
      <c r="A27874" s="4" t="s">
        <v>35100</v>
      </c>
      <c r="B27874" s="4" t="s">
        <v>35102</v>
      </c>
      <c r="C27874" s="5" t="str">
        <f>IFERROR(__xludf.DUMMYFUNCTION("GOOGLETRANSLATE(B27874,""en"",""fr"")"),"La femme se tourne ensuite et jette un objet au loin.")</f>
        <v>La femme se tourne ensuite et jette un objet au loin.</v>
      </c>
    </row>
    <row r="27875">
      <c r="A27875" s="4" t="s">
        <v>35100</v>
      </c>
      <c r="B27875" s="4" t="s">
        <v>35103</v>
      </c>
      <c r="C27875" s="5" t="str">
        <f>IFERROR(__xludf.DUMMYFUNCTION("GOOGLETRANSLATE(B27875,""en"",""fr"")"),"La femme le fait plusieurs fois après.")</f>
        <v>La femme le fait plusieurs fois après.</v>
      </c>
    </row>
    <row r="27876">
      <c r="A27876" s="4" t="s">
        <v>35104</v>
      </c>
      <c r="B27876" s="4" t="s">
        <v>35105</v>
      </c>
      <c r="C27876" s="5" t="str">
        <f>IFERROR(__xludf.DUMMYFUNCTION("GOOGLETRANSLATE(B27876,""en"",""fr"")"),"Une ligne de tambour est en formation lors d'un événement en plein air.")</f>
        <v>Une ligne de tambour est en formation lors d'un événement en plein air.</v>
      </c>
    </row>
    <row r="27877">
      <c r="A27877" s="4" t="s">
        <v>35104</v>
      </c>
      <c r="B27877" s="6" t="s">
        <v>35106</v>
      </c>
      <c r="C27877" s="5" t="str">
        <f>IFERROR(__xludf.DUMMYFUNCTION("GOOGLETRANSLATE(B27877,""en"",""fr"")"),"Ils commencent leur routine, chaque section se déplaçant de leur propre ensemble avant de se réunir et de se propager à nouveau.")</f>
        <v>Ils commencent leur routine, chaque section se déplaçant de leur propre ensemble avant de se réunir et de se propager à nouveau.</v>
      </c>
    </row>
    <row r="27878">
      <c r="A27878" s="4" t="s">
        <v>35104</v>
      </c>
      <c r="B27878" s="4" t="s">
        <v>35107</v>
      </c>
      <c r="C27878" s="5" t="str">
        <f>IFERROR(__xludf.DUMMYFUNCTION("GOOGLETRANSLATE(B27878,""en"",""fr"")"),"Ils se forment en deux rangées et terminent la chanson.")</f>
        <v>Ils se forment en deux rangées et terminent la chanson.</v>
      </c>
    </row>
    <row r="27879">
      <c r="A27879" s="4" t="s">
        <v>35108</v>
      </c>
      <c r="B27879" s="4" t="s">
        <v>1487</v>
      </c>
      <c r="C27879" s="5" t="str">
        <f>IFERROR(__xludf.DUMMYFUNCTION("GOOGLETRANSLATE(B27879,""en"",""fr"")"),"Nous voyons un écran de titre d'ouverture.")</f>
        <v>Nous voyons un écran de titre d'ouverture.</v>
      </c>
    </row>
    <row r="27880">
      <c r="A27880" s="4" t="s">
        <v>35108</v>
      </c>
      <c r="B27880" s="4" t="s">
        <v>35109</v>
      </c>
      <c r="C27880" s="5" t="str">
        <f>IFERROR(__xludf.DUMMYFUNCTION("GOOGLETRANSLATE(B27880,""en"",""fr"")"),"Une personne monte les escaliers dans une pièce et voit de la bière versée d'un fût et des gens qui parlent.")</f>
        <v>Une personne monte les escaliers dans une pièce et voit de la bière versée d'un fût et des gens qui parlent.</v>
      </c>
    </row>
    <row r="27881">
      <c r="A27881" s="4" t="s">
        <v>35108</v>
      </c>
      <c r="B27881" s="4" t="s">
        <v>35110</v>
      </c>
      <c r="C27881" s="5" t="str">
        <f>IFERROR(__xludf.DUMMYFUNCTION("GOOGLETRANSLATE(B27881,""en"",""fr"")"),"Les gens se tiennent et jouent à la bière pong tandis que d'autres regardent.")</f>
        <v>Les gens se tiennent et jouent à la bière pong tandis que d'autres regardent.</v>
      </c>
    </row>
    <row r="27882">
      <c r="A27882" s="4" t="s">
        <v>35108</v>
      </c>
      <c r="B27882" s="4" t="s">
        <v>35111</v>
      </c>
      <c r="C27882" s="5" t="str">
        <f>IFERROR(__xludf.DUMMYFUNCTION("GOOGLETRANSLATE(B27882,""en"",""fr"")"),"Un homme essaie de faire sauter une balle dans une tasse.")</f>
        <v>Un homme essaie de faire sauter une balle dans une tasse.</v>
      </c>
    </row>
    <row r="27883">
      <c r="A27883" s="4" t="s">
        <v>35108</v>
      </c>
      <c r="B27883" s="4" t="s">
        <v>35112</v>
      </c>
      <c r="C27883" s="5" t="str">
        <f>IFERROR(__xludf.DUMMYFUNCTION("GOOGLETRANSLATE(B27883,""en"",""fr"")"),"Un homme frappe le ballon loin de la tasse.")</f>
        <v>Un homme frappe le ballon loin de la tasse.</v>
      </c>
    </row>
    <row r="27884">
      <c r="A27884" s="4" t="s">
        <v>35108</v>
      </c>
      <c r="B27884" s="4" t="s">
        <v>35113</v>
      </c>
      <c r="C27884" s="5" t="str">
        <f>IFERROR(__xludf.DUMMYFUNCTION("GOOGLETRANSLATE(B27884,""en"",""fr"")"),"L'équipe de gauche saute et brave.")</f>
        <v>L'équipe de gauche saute et brave.</v>
      </c>
    </row>
    <row r="27885">
      <c r="A27885" s="4" t="s">
        <v>35108</v>
      </c>
      <c r="B27885" s="4" t="s">
        <v>35114</v>
      </c>
      <c r="C27885" s="5" t="str">
        <f>IFERROR(__xludf.DUMMYFUNCTION("GOOGLETRANSLATE(B27885,""en"",""fr"")"),"Nous voyons des visages des gens de près et des assiettes de nourriture sur une table.")</f>
        <v>Nous voyons des visages des gens de près et des assiettes de nourriture sur une table.</v>
      </c>
    </row>
    <row r="27886">
      <c r="A27886" s="4" t="s">
        <v>35108</v>
      </c>
      <c r="B27886" s="4" t="s">
        <v>35115</v>
      </c>
      <c r="C27886" s="5" t="str">
        <f>IFERROR(__xludf.DUMMYFUNCTION("GOOGLETRANSLATE(B27886,""en"",""fr"")"),"Nous voyons un signe et une fin éclairés.")</f>
        <v>Nous voyons un signe et une fin éclairés.</v>
      </c>
    </row>
    <row r="27887">
      <c r="A27887" s="4" t="s">
        <v>35116</v>
      </c>
      <c r="B27887" s="4" t="s">
        <v>35117</v>
      </c>
      <c r="C27887" s="5" t="str">
        <f>IFERROR(__xludf.DUMMYFUNCTION("GOOGLETRANSLATE(B27887,""en"",""fr"")"),"Un homme est vu debout dans un quartier sur une paire d'échecs.")</f>
        <v>Un homme est vu debout dans un quartier sur une paire d'échecs.</v>
      </c>
    </row>
    <row r="27888">
      <c r="A27888" s="4" t="s">
        <v>35116</v>
      </c>
      <c r="B27888" s="4" t="s">
        <v>35118</v>
      </c>
      <c r="C27888" s="5" t="str">
        <f>IFERROR(__xludf.DUMMYFUNCTION("GOOGLETRANSLATE(B27888,""en"",""fr"")"),"L'homme monte dans la rue et se tourne vers le dos.")</f>
        <v>L'homme monte dans la rue et se tourne vers le dos.</v>
      </c>
    </row>
    <row r="27889">
      <c r="A27889" s="4" t="s">
        <v>35116</v>
      </c>
      <c r="B27889" s="4" t="s">
        <v>35119</v>
      </c>
      <c r="C27889" s="5" t="str">
        <f>IFERROR(__xludf.DUMMYFUNCTION("GOOGLETRANSLATE(B27889,""en"",""fr"")"),"Il commence ensuite à sauter sur la route et à regarder la caméra.")</f>
        <v>Il commence ensuite à sauter sur la route et à regarder la caméra.</v>
      </c>
    </row>
    <row r="27890">
      <c r="A27890" s="4" t="s">
        <v>35120</v>
      </c>
      <c r="B27890" s="4" t="s">
        <v>35121</v>
      </c>
      <c r="C27890" s="5" t="str">
        <f>IFERROR(__xludf.DUMMYFUNCTION("GOOGLETRANSLATE(B27890,""en"",""fr"")"),"Un homme saute d'une plongée en arrière dans une piscine.")</f>
        <v>Un homme saute d'une plongée en arrière dans une piscine.</v>
      </c>
    </row>
    <row r="27891">
      <c r="A27891" s="4" t="s">
        <v>35120</v>
      </c>
      <c r="B27891" s="4" t="s">
        <v>35122</v>
      </c>
      <c r="C27891" s="5" t="str">
        <f>IFERROR(__xludf.DUMMYFUNCTION("GOOGLETRANSLATE(B27891,""en"",""fr"")"),"Il y a une grande éclaboussure et l'homme fait surface souriant.")</f>
        <v>Il y a une grande éclaboussure et l'homme fait surface souriant.</v>
      </c>
    </row>
    <row r="27892">
      <c r="A27892" s="4" t="s">
        <v>35123</v>
      </c>
      <c r="B27892" s="4" t="s">
        <v>35124</v>
      </c>
      <c r="C27892" s="5" t="str">
        <f>IFERROR(__xludf.DUMMYFUNCTION("GOOGLETRANSLATE(B27892,""en"",""fr"")"),"Les enfants font sortir le désert pour leur membre de leur famille.")</f>
        <v>Les enfants font sortir le désert pour leur membre de leur famille.</v>
      </c>
    </row>
    <row r="27893">
      <c r="A27893" s="4" t="s">
        <v>35123</v>
      </c>
      <c r="B27893" s="4" t="s">
        <v>35125</v>
      </c>
      <c r="C27893" s="5" t="str">
        <f>IFERROR(__xludf.DUMMYFUNCTION("GOOGLETRANSLATE(B27893,""en"",""fr"")"),"La famille aime manger le désert ensemble.")</f>
        <v>La famille aime manger le désert ensemble.</v>
      </c>
    </row>
    <row r="27894">
      <c r="A27894" s="4" t="s">
        <v>35123</v>
      </c>
      <c r="B27894" s="4" t="s">
        <v>35126</v>
      </c>
      <c r="C27894" s="5" t="str">
        <f>IFERROR(__xludf.DUMMYFUNCTION("GOOGLETRANSLATE(B27894,""en"",""fr"")"),"Les gens du restaurant se moquent de l'homme et il se demande ce qu'ils font.")</f>
        <v>Les gens du restaurant se moquent de l'homme et il se demande ce qu'ils font.</v>
      </c>
    </row>
    <row r="27895">
      <c r="A27895" s="4" t="s">
        <v>35123</v>
      </c>
      <c r="B27895" s="4" t="s">
        <v>35127</v>
      </c>
      <c r="C27895" s="5" t="str">
        <f>IFERROR(__xludf.DUMMYFUNCTION("GOOGLETRANSLATE(B27895,""en"",""fr"")"),"L'homme se lève et s'éloigne vers l'autre pièce.")</f>
        <v>L'homme se lève et s'éloigne vers l'autre pièce.</v>
      </c>
    </row>
    <row r="27896">
      <c r="A27896" s="4" t="s">
        <v>35128</v>
      </c>
      <c r="B27896" s="4" t="s">
        <v>35129</v>
      </c>
      <c r="C27896" s="5" t="str">
        <f>IFERROR(__xludf.DUMMYFUNCTION("GOOGLETRANSLATE(B27896,""en"",""fr"")"),"Un homme se tient dans sa cour arrière.")</f>
        <v>Un homme se tient dans sa cour arrière.</v>
      </c>
    </row>
    <row r="27897">
      <c r="A27897" s="4" t="s">
        <v>35128</v>
      </c>
      <c r="B27897" s="4" t="s">
        <v>35130</v>
      </c>
      <c r="C27897" s="5" t="str">
        <f>IFERROR(__xludf.DUMMYFUNCTION("GOOGLETRANSLATE(B27897,""en"",""fr"")"),"Il rit alors qu'il pâte sur le côté d'un hangar.")</f>
        <v>Il rit alors qu'il pâte sur le côté d'un hangar.</v>
      </c>
    </row>
    <row r="27898">
      <c r="A27898" s="4" t="s">
        <v>35128</v>
      </c>
      <c r="B27898" s="4" t="s">
        <v>35131</v>
      </c>
      <c r="C27898" s="5" t="str">
        <f>IFERROR(__xludf.DUMMYFUNCTION("GOOGLETRANSLATE(B27898,""en"",""fr"")"),"Il utilise un pulvérisateur pour appliquer la peinture rouge.")</f>
        <v>Il utilise un pulvérisateur pour appliquer la peinture rouge.</v>
      </c>
    </row>
    <row r="27899">
      <c r="A27899" s="4" t="s">
        <v>35132</v>
      </c>
      <c r="B27899" s="4" t="s">
        <v>35133</v>
      </c>
      <c r="C27899" s="5" t="str">
        <f>IFERROR(__xludf.DUMMYFUNCTION("GOOGLETRANSLATE(B27899,""en"",""fr"")"),"Nous voyons un homme sur une plongée haut dans les airs.")</f>
        <v>Nous voyons un homme sur une plongée haut dans les airs.</v>
      </c>
    </row>
    <row r="27900">
      <c r="A27900" s="4" t="s">
        <v>35132</v>
      </c>
      <c r="B27900" s="4" t="s">
        <v>35134</v>
      </c>
      <c r="C27900" s="5" t="str">
        <f>IFERROR(__xludf.DUMMYFUNCTION("GOOGLETRANSLATE(B27900,""en"",""fr"")"),"L'homme fait une main et tombe de la poignée dans l'eau.")</f>
        <v>L'homme fait une main et tombe de la poignée dans l'eau.</v>
      </c>
    </row>
    <row r="27901">
      <c r="A27901" s="4" t="s">
        <v>35132</v>
      </c>
      <c r="B27901" s="4" t="s">
        <v>35135</v>
      </c>
      <c r="C27901" s="5" t="str">
        <f>IFERROR(__xludf.DUMMYFUNCTION("GOOGLETRANSLATE(B27901,""en"",""fr"")"),"L'homme suivant court et plonge tout en se retournant dans l'eau.")</f>
        <v>L'homme suivant court et plonge tout en se retournant dans l'eau.</v>
      </c>
    </row>
    <row r="27902">
      <c r="A27902" s="4" t="s">
        <v>35132</v>
      </c>
      <c r="B27902" s="4" t="s">
        <v>35136</v>
      </c>
      <c r="C27902" s="5" t="str">
        <f>IFERROR(__xludf.DUMMYFUNCTION("GOOGLETRANSLATE(B27902,""en"",""fr"")"),"L'homme final fait une plongée plus traditionnelle.")</f>
        <v>L'homme final fait une plongée plus traditionnelle.</v>
      </c>
    </row>
    <row r="27903">
      <c r="A27903" s="4" t="s">
        <v>35137</v>
      </c>
      <c r="B27903" s="6" t="s">
        <v>35138</v>
      </c>
      <c r="C27903" s="5" t="str">
        <f>IFERROR(__xludf.DUMMYFUNCTION("GOOGLETRANSLATE(B27903,""en"",""fr"")"),"Une personne montre comment déformer un cadeau comme un professionnel et faire des ornements et des rubans sophistiqués sur les cadeaux.")</f>
        <v>Une personne montre comment déformer un cadeau comme un professionnel et faire des ornements et des rubans sophistiqués sur les cadeaux.</v>
      </c>
    </row>
    <row r="27904">
      <c r="A27904" s="4" t="s">
        <v>35137</v>
      </c>
      <c r="B27904" s="4" t="s">
        <v>35139</v>
      </c>
      <c r="C27904" s="5" t="str">
        <f>IFERROR(__xludf.DUMMYFUNCTION("GOOGLETRANSLATE(B27904,""en"",""fr"")"),"La femme organise un panier-cadeau et montre une pile de beaux cadeaux.")</f>
        <v>La femme organise un panier-cadeau et montre une pile de beaux cadeaux.</v>
      </c>
    </row>
    <row r="27905">
      <c r="A27905" s="4" t="s">
        <v>35137</v>
      </c>
      <c r="B27905" s="4" t="s">
        <v>35140</v>
      </c>
      <c r="C27905" s="5" t="str">
        <f>IFERROR(__xludf.DUMMYFUNCTION("GOOGLETRANSLATE(B27905,""en"",""fr"")"),"Ensuite, la femme enveloppe des cadeaux avec différentes formes et ornements.")</f>
        <v>Ensuite, la femme enveloppe des cadeaux avec différentes formes et ornements.</v>
      </c>
    </row>
    <row r="27906">
      <c r="A27906" s="4" t="s">
        <v>35141</v>
      </c>
      <c r="B27906" s="4" t="s">
        <v>35142</v>
      </c>
      <c r="C27906" s="5" t="str">
        <f>IFERROR(__xludf.DUMMYFUNCTION("GOOGLETRANSLATE(B27906,""en"",""fr"")"),"Une dame s'agenouille dans un canoë alors qu'elle rangée sur un lac.")</f>
        <v>Une dame s'agenouille dans un canoë alors qu'elle rangée sur un lac.</v>
      </c>
    </row>
    <row r="27907">
      <c r="A27907" s="4" t="s">
        <v>35141</v>
      </c>
      <c r="B27907" s="4" t="s">
        <v>35143</v>
      </c>
      <c r="C27907" s="5" t="str">
        <f>IFERROR(__xludf.DUMMYFUNCTION("GOOGLETRANSLATE(B27907,""en"",""fr"")"),"Une dame tente de se tenir sur un pied dans le bateau et tombe dans le lac.")</f>
        <v>Une dame tente de se tenir sur un pied dans le bateau et tombe dans le lac.</v>
      </c>
    </row>
    <row r="27908">
      <c r="A27908" s="4" t="s">
        <v>35141</v>
      </c>
      <c r="B27908" s="4" t="s">
        <v>35144</v>
      </c>
      <c r="C27908" s="5" t="str">
        <f>IFERROR(__xludf.DUMMYFUNCTION("GOOGLETRANSLATE(B27908,""en"",""fr"")"),"Une dame a un pied dans l'eau et une dans le bateau et elle commence à faire des pompes sur le bateau.")</f>
        <v>Une dame a un pied dans l'eau et une dans le bateau et elle commence à faire des pompes sur le bateau.</v>
      </c>
    </row>
    <row r="27909">
      <c r="A27909" s="4" t="s">
        <v>35141</v>
      </c>
      <c r="B27909" s="4" t="s">
        <v>35145</v>
      </c>
      <c r="C27909" s="5" t="str">
        <f>IFERROR(__xludf.DUMMYFUNCTION("GOOGLETRANSLATE(B27909,""en"",""fr"")"),"La dame termine et montre son muscle à la caméra.")</f>
        <v>La dame termine et montre son muscle à la caméra.</v>
      </c>
    </row>
    <row r="27910">
      <c r="A27910" s="4" t="s">
        <v>35141</v>
      </c>
      <c r="B27910" s="4" t="s">
        <v>35146</v>
      </c>
      <c r="C27910" s="5" t="str">
        <f>IFERROR(__xludf.DUMMYFUNCTION("GOOGLETRANSLATE(B27910,""en"",""fr"")"),"Nous voyons un emblème à l'écran.")</f>
        <v>Nous voyons un emblème à l'écran.</v>
      </c>
    </row>
    <row r="27911">
      <c r="A27911" s="4" t="s">
        <v>35147</v>
      </c>
      <c r="B27911" s="6" t="s">
        <v>35148</v>
      </c>
      <c r="C27911" s="5" t="str">
        <f>IFERROR(__xludf.DUMMYFUNCTION("GOOGLETRANSLATE(B27911,""en"",""fr"")"),"Un jeune enfant portant un casque monte sur des barres de singe sur une aire de jeux avec un petit garçon sous elle.")</f>
        <v>Un jeune enfant portant un casque monte sur des barres de singe sur une aire de jeux avec un petit garçon sous elle.</v>
      </c>
    </row>
    <row r="27912">
      <c r="A27912" s="4" t="s">
        <v>35147</v>
      </c>
      <c r="B27912" s="4" t="s">
        <v>35149</v>
      </c>
      <c r="C27912" s="5" t="str">
        <f>IFERROR(__xludf.DUMMYFUNCTION("GOOGLETRANSLATE(B27912,""en"",""fr"")"),"Une personne faisant du vélo fait le tour de la jeune fille et elle grimpe jusqu'au dernier bar.")</f>
        <v>Une personne faisant du vélo fait le tour de la jeune fille et elle grimpe jusqu'au dernier bar.</v>
      </c>
    </row>
    <row r="27913">
      <c r="A27913" s="4" t="s">
        <v>35150</v>
      </c>
      <c r="B27913" s="4" t="s">
        <v>35151</v>
      </c>
      <c r="C27913" s="5" t="str">
        <f>IFERROR(__xludf.DUMMYFUNCTION("GOOGLETRANSLATE(B27913,""en"",""fr"")"),"Un homme en raccourci rouge verse une bouteille sur du bois.")</f>
        <v>Un homme en raccourci rouge verse une bouteille sur du bois.</v>
      </c>
    </row>
    <row r="27914">
      <c r="A27914" s="4" t="s">
        <v>35150</v>
      </c>
      <c r="B27914" s="4" t="s">
        <v>35152</v>
      </c>
      <c r="C27914" s="5" t="str">
        <f>IFERROR(__xludf.DUMMYFUNCTION("GOOGLETRANSLATE(B27914,""en"",""fr"")"),"L'homme jette du papier sur le bois.")</f>
        <v>L'homme jette du papier sur le bois.</v>
      </c>
    </row>
    <row r="27915">
      <c r="A27915" s="4" t="s">
        <v>35150</v>
      </c>
      <c r="B27915" s="4" t="s">
        <v>35153</v>
      </c>
      <c r="C27915" s="5" t="str">
        <f>IFERROR(__xludf.DUMMYFUNCTION("GOOGLETRANSLATE(B27915,""en"",""fr"")"),"L'homme jette des allumettes à la pile de bois.")</f>
        <v>L'homme jette des allumettes à la pile de bois.</v>
      </c>
    </row>
    <row r="27916">
      <c r="A27916" s="4" t="s">
        <v>35150</v>
      </c>
      <c r="B27916" s="4" t="s">
        <v>35154</v>
      </c>
      <c r="C27916" s="5" t="str">
        <f>IFERROR(__xludf.DUMMYFUNCTION("GOOGLETRANSLATE(B27916,""en"",""fr"")"),"Un feu commence à brûler.")</f>
        <v>Un feu commence à brûler.</v>
      </c>
    </row>
    <row r="27917">
      <c r="A27917" s="4" t="s">
        <v>35155</v>
      </c>
      <c r="B27917" s="6" t="s">
        <v>35156</v>
      </c>
      <c r="C27917" s="5" t="str">
        <f>IFERROR(__xludf.DUMMYFUNCTION("GOOGLETRANSLATE(B27917,""en"",""fr"")"),"Une caméra se déroule autour d'une grande piscine intérieure et montre un homme sautant d'une plongée dans l'eau.")</f>
        <v>Une caméra se déroule autour d'une grande piscine intérieure et montre un homme sautant d'une plongée dans l'eau.</v>
      </c>
    </row>
    <row r="27918">
      <c r="A27918" s="4" t="s">
        <v>35155</v>
      </c>
      <c r="B27918" s="4" t="s">
        <v>35157</v>
      </c>
      <c r="C27918" s="5" t="str">
        <f>IFERROR(__xludf.DUMMYFUNCTION("GOOGLETRANSLATE(B27918,""en"",""fr"")"),"Plusieurs personnes se réchauffent et suivies par de nombreuses sauts dans la piscine.")</f>
        <v>Plusieurs personnes se réchauffent et suivies par de nombreuses sauts dans la piscine.</v>
      </c>
    </row>
    <row r="27919">
      <c r="A27919" s="4" t="s">
        <v>35155</v>
      </c>
      <c r="B27919" s="6" t="s">
        <v>35158</v>
      </c>
      <c r="C27919" s="5" t="str">
        <f>IFERROR(__xludf.DUMMYFUNCTION("GOOGLETRANSLATE(B27919,""en"",""fr"")"),"Un homme leur enseigne comment atterrir correctement dans l'eau, suivi de plusieurs personnes sautant une à la fois dans la piscine, y compris l'homme de la caméra.")</f>
        <v>Un homme leur enseigne comment atterrir correctement dans l'eau, suivi de plusieurs personnes sautant une à la fois dans la piscine, y compris l'homme de la caméra.</v>
      </c>
    </row>
    <row r="27920">
      <c r="A27920" s="4" t="s">
        <v>35159</v>
      </c>
      <c r="B27920" s="4" t="s">
        <v>35160</v>
      </c>
      <c r="C27920" s="5" t="str">
        <f>IFERROR(__xludf.DUMMYFUNCTION("GOOGLETRANSLATE(B27920,""en"",""fr"")"),"Deux Sumos se prépare à lutter dans un anneau tandis qu'un juge se tient au milieu d'eux.")</f>
        <v>Deux Sumos se prépare à lutter dans un anneau tandis qu'un juge se tient au milieu d'eux.</v>
      </c>
    </row>
    <row r="27921">
      <c r="A27921" s="4" t="s">
        <v>35159</v>
      </c>
      <c r="B27921" s="4" t="s">
        <v>35161</v>
      </c>
      <c r="C27921" s="5" t="str">
        <f>IFERROR(__xludf.DUMMYFUNCTION("GOOGLETRANSLATE(B27921,""en"",""fr"")"),"Ensuite, le sumos lutte, et le mince sumo lance la graisse sumo au sol.")</f>
        <v>Ensuite, le sumos lutte, et le mince sumo lance la graisse sumo au sol.</v>
      </c>
    </row>
    <row r="27922">
      <c r="A27922" s="4" t="s">
        <v>35159</v>
      </c>
      <c r="B27922" s="4" t="s">
        <v>35162</v>
      </c>
      <c r="C27922" s="5" t="str">
        <f>IFERROR(__xludf.DUMMYFUNCTION("GOOGLETRANSLATE(B27922,""en"",""fr"")"),"Après, le gros sumo se lève et a quitté le ring.")</f>
        <v>Après, le gros sumo se lève et a quitté le ring.</v>
      </c>
    </row>
    <row r="27923">
      <c r="A27923" s="4" t="s">
        <v>35159</v>
      </c>
      <c r="B27923" s="4" t="s">
        <v>35163</v>
      </c>
      <c r="C27923" s="5" t="str">
        <f>IFERROR(__xludf.DUMMYFUNCTION("GOOGLETRANSLATE(B27923,""en"",""fr"")"),"Le corbeau applaudie, puis les hommes balancent le ring.")</f>
        <v>Le corbeau applaudie, puis les hommes balancent le ring.</v>
      </c>
    </row>
    <row r="27924">
      <c r="A27924" s="4" t="s">
        <v>35164</v>
      </c>
      <c r="B27924" s="6" t="s">
        <v>35165</v>
      </c>
      <c r="C27924" s="5" t="str">
        <f>IFERROR(__xludf.DUMMYFUNCTION("GOOGLETRANSLATE(B27924,""en"",""fr"")"),"Un homme est vu parler à la caméra tenant un bâton de hockey et l'emmente en lui instruisant d'autres joueurs.")</f>
        <v>Un homme est vu parler à la caméra tenant un bâton de hockey et l'emmente en lui instruisant d'autres joueurs.</v>
      </c>
    </row>
    <row r="27925">
      <c r="A27925" s="4" t="s">
        <v>35164</v>
      </c>
      <c r="B27925" s="6" t="s">
        <v>35166</v>
      </c>
      <c r="C27925" s="5" t="str">
        <f>IFERROR(__xludf.DUMMYFUNCTION("GOOGLETRANSLATE(B27925,""en"",""fr"")"),"L'homme continue de jouer les uns avec les autres pendant que l'homme leur crie et les autres continuent de jouer.")</f>
        <v>L'homme continue de jouer les uns avec les autres pendant que l'homme leur crie et les autres continuent de jouer.</v>
      </c>
    </row>
    <row r="27926">
      <c r="A27926" s="4" t="s">
        <v>35167</v>
      </c>
      <c r="B27926" s="6" t="s">
        <v>35168</v>
      </c>
      <c r="C27926" s="5" t="str">
        <f>IFERROR(__xludf.DUMMYFUNCTION("GOOGLETRANSLATE(B27926,""en"",""fr"")"),"Un petit groupe d'hommes est vu debout autour d'un terrain avec de nombreuses personnes assises et regardant sur les côtés.")</f>
        <v>Un petit groupe d'hommes est vu debout autour d'un terrain avec de nombreuses personnes assises et regardant sur les côtés.</v>
      </c>
    </row>
    <row r="27927">
      <c r="A27927" s="4" t="s">
        <v>35167</v>
      </c>
      <c r="B27927" s="6" t="s">
        <v>35169</v>
      </c>
      <c r="C27927" s="5" t="str">
        <f>IFERROR(__xludf.DUMMYFUNCTION("GOOGLETRANSLATE(B27927,""en"",""fr"")"),"Une personne descend avec un saut à la perche et la jette au loin tandis que le même clip est à nouveau illustré au ralenti et un autre s'en va.")</f>
        <v>Une personne descend avec un saut à la perche et la jette au loin tandis que le même clip est à nouveau illustré au ralenti et un autre s'en va.</v>
      </c>
    </row>
    <row r="27928">
      <c r="A27928" s="4" t="s">
        <v>35170</v>
      </c>
      <c r="B27928" s="4" t="s">
        <v>35171</v>
      </c>
      <c r="C27928" s="5" t="str">
        <f>IFERROR(__xludf.DUMMYFUNCTION("GOOGLETRANSLATE(B27928,""en"",""fr"")"),"La vidéo commence par une introduction aux recettes en mouvement sur la sauce spaghetti rapide.")</f>
        <v>La vidéo commence par une introduction aux recettes en mouvement sur la sauce spaghetti rapide.</v>
      </c>
    </row>
    <row r="27929">
      <c r="A27929" s="4" t="s">
        <v>35170</v>
      </c>
      <c r="B27929" s="4" t="s">
        <v>35172</v>
      </c>
      <c r="C27929" s="5" t="str">
        <f>IFERROR(__xludf.DUMMYFUNCTION("GOOGLETRANSLATE(B27929,""en"",""fr"")"),"La vidéo passe en montrant une louche versant la sauce sur des nouilles.")</f>
        <v>La vidéo passe en montrant une louche versant la sauce sur des nouilles.</v>
      </c>
    </row>
    <row r="27930">
      <c r="A27930" s="4" t="s">
        <v>35170</v>
      </c>
      <c r="B27930" s="4" t="s">
        <v>35173</v>
      </c>
      <c r="C27930" s="5" t="str">
        <f>IFERROR(__xludf.DUMMYFUNCTION("GOOGLETRANSLATE(B27930,""en"",""fr"")"),"Quelqu'un commence à couper divers légumes avec un couteau, cela comprend un légume vert et des oignons.")</f>
        <v>Quelqu'un commence à couper divers légumes avec un couteau, cela comprend un légume vert et des oignons.</v>
      </c>
    </row>
    <row r="27931">
      <c r="A27931" s="4" t="s">
        <v>35170</v>
      </c>
      <c r="B27931" s="4" t="s">
        <v>35174</v>
      </c>
      <c r="C27931" s="5" t="str">
        <f>IFERROR(__xludf.DUMMYFUNCTION("GOOGLETRANSLATE(B27931,""en"",""fr"")"),"Ensuite, une casserole métallique vide est montrée comme quelqu'un verse de l'huile et les légumes.")</f>
        <v>Ensuite, une casserole métallique vide est montrée comme quelqu'un verse de l'huile et les légumes.</v>
      </c>
    </row>
    <row r="27932">
      <c r="A27932" s="4" t="s">
        <v>35170</v>
      </c>
      <c r="B27932" s="4" t="s">
        <v>35175</v>
      </c>
      <c r="C27932" s="5" t="str">
        <f>IFERROR(__xludf.DUMMYFUNCTION("GOOGLETRANSLATE(B27932,""en"",""fr"")"),"Ils commencent alors à remuer les légumes avec l'huile.")</f>
        <v>Ils commencent alors à remuer les légumes avec l'huile.</v>
      </c>
    </row>
    <row r="27933">
      <c r="A27933" s="4" t="s">
        <v>35170</v>
      </c>
      <c r="B27933" s="4" t="s">
        <v>35176</v>
      </c>
      <c r="C27933" s="5" t="str">
        <f>IFERROR(__xludf.DUMMYFUNCTION("GOOGLETRANSLATE(B27933,""en"",""fr"")"),"Après cela, ce que les autres ingrédients sont ajoutés comprennent les tomates, les épices et un certain type de liquide.")</f>
        <v>Après cela, ce que les autres ingrédients sont ajoutés comprennent les tomates, les épices et un certain type de liquide.</v>
      </c>
    </row>
    <row r="27934">
      <c r="A27934" s="4" t="s">
        <v>35170</v>
      </c>
      <c r="B27934" s="4" t="s">
        <v>35177</v>
      </c>
      <c r="C27934" s="5" t="str">
        <f>IFERROR(__xludf.DUMMYFUNCTION("GOOGLETRANSLATE(B27934,""en"",""fr"")"),"Tout est remué ensemble.")</f>
        <v>Tout est remué ensemble.</v>
      </c>
    </row>
    <row r="27935">
      <c r="A27935" s="4" t="s">
        <v>35170</v>
      </c>
      <c r="B27935" s="4" t="s">
        <v>35178</v>
      </c>
      <c r="C27935" s="5" t="str">
        <f>IFERROR(__xludf.DUMMYFUNCTION("GOOGLETRANSLATE(B27935,""en"",""fr"")"),"La casserole est retirée et les ingrédients agités sont mélangés.")</f>
        <v>La casserole est retirée et les ingrédients agités sont mélangés.</v>
      </c>
    </row>
    <row r="27936">
      <c r="A27936" s="4" t="s">
        <v>35170</v>
      </c>
      <c r="B27936" s="6" t="s">
        <v>35179</v>
      </c>
      <c r="C27936" s="5" t="str">
        <f>IFERROR(__xludf.DUMMYFUNCTION("GOOGLETRANSLATE(B27936,""en"",""fr"")"),"Les ingrédients mélangés sont remis sur l'homme et une substance rouge à partir d'une boîte est versée sur la casserole et mélangée.")</f>
        <v>Les ingrédients mélangés sont remis sur l'homme et une substance rouge à partir d'une boîte est versée sur la casserole et mélangée.</v>
      </c>
    </row>
    <row r="27937">
      <c r="A27937" s="4" t="s">
        <v>35170</v>
      </c>
      <c r="B27937" s="4" t="s">
        <v>35180</v>
      </c>
      <c r="C27937" s="5" t="str">
        <f>IFERROR(__xludf.DUMMYFUNCTION("GOOGLETRANSLATE(B27937,""en"",""fr"")"),"La sauce est terminée et versée sur les nouilles.")</f>
        <v>La sauce est terminée et versée sur les nouilles.</v>
      </c>
    </row>
    <row r="27938">
      <c r="A27938" s="4" t="s">
        <v>35170</v>
      </c>
      <c r="B27938" s="6" t="s">
        <v>35181</v>
      </c>
      <c r="C27938" s="5" t="str">
        <f>IFERROR(__xludf.DUMMYFUNCTION("GOOGLETRANSLATE(B27938,""en"",""fr"")"),"La vidéo se termine par un arrière-plan orange avec des informations sur l'endroit où regarder plus de vidéos.")</f>
        <v>La vidéo se termine par un arrière-plan orange avec des informations sur l'endroit où regarder plus de vidéos.</v>
      </c>
    </row>
    <row r="27939">
      <c r="A27939" s="4" t="s">
        <v>35182</v>
      </c>
      <c r="B27939" s="6" t="s">
        <v>35183</v>
      </c>
      <c r="C27939" s="5" t="str">
        <f>IFERROR(__xludf.DUMMYFUNCTION("GOOGLETRANSLATE(B27939,""en"",""fr"")"),"Un adolescent frappe une éponge Bob Piñata se couvrit les yeux de tissu pendant que la femme prend des photos.")</f>
        <v>Un adolescent frappe une éponge Bob Piñata se couvrit les yeux de tissu pendant que la femme prend des photos.</v>
      </c>
    </row>
    <row r="27940">
      <c r="A27940" s="4" t="s">
        <v>35182</v>
      </c>
      <c r="B27940" s="4" t="s">
        <v>35184</v>
      </c>
      <c r="C27940" s="5" t="str">
        <f>IFERROR(__xludf.DUMMYFUNCTION("GOOGLETRANSLATE(B27940,""en"",""fr"")"),"Un garçon frappe la piñata jusqu'à ce qu'il tombe pendant que le garçon couvre les yeux d'un chiffon bleu.")</f>
        <v>Un garçon frappe la piñata jusqu'à ce qu'il tombe pendant que le garçon couvre les yeux d'un chiffon bleu.</v>
      </c>
    </row>
    <row r="27941">
      <c r="A27941" s="4" t="s">
        <v>35182</v>
      </c>
      <c r="B27941" s="4" t="s">
        <v>35185</v>
      </c>
      <c r="C27941" s="5" t="str">
        <f>IFERROR(__xludf.DUMMYFUNCTION("GOOGLETRANSLATE(B27941,""en"",""fr"")"),"Un homme se frotte le visage avec sa main, puis il sort sa pince.")</f>
        <v>Un homme se frotte le visage avec sa main, puis il sort sa pince.</v>
      </c>
    </row>
    <row r="27942">
      <c r="A27942" s="4" t="s">
        <v>35186</v>
      </c>
      <c r="B27942" s="4" t="s">
        <v>35187</v>
      </c>
      <c r="C27942" s="5" t="str">
        <f>IFERROR(__xludf.DUMMYFUNCTION("GOOGLETRANSLATE(B27942,""en"",""fr"")"),"Deux personnes sont à l'extérieur en balle dansant dans une place alors qu'un groupe de personnes les entoure et regardent.")</f>
        <v>Deux personnes sont à l'extérieur en balle dansant dans une place alors qu'un groupe de personnes les entoure et regardent.</v>
      </c>
    </row>
    <row r="27943">
      <c r="A27943" s="4" t="s">
        <v>35186</v>
      </c>
      <c r="B27943" s="6" t="s">
        <v>35188</v>
      </c>
      <c r="C27943" s="5" t="str">
        <f>IFERROR(__xludf.DUMMYFUNCTION("GOOGLETRANSLATE(B27943,""en"",""fr"")"),"Les gens vont et viennent regarder les deux personnes danser, puis ils arrêtent enfin de danser, s'incline et attrape un chiffon pour se laver le visage.")</f>
        <v>Les gens vont et viennent regarder les deux personnes danser, puis ils arrêtent enfin de danser, s'incline et attrape un chiffon pour se laver le visage.</v>
      </c>
    </row>
    <row r="27944">
      <c r="A27944" s="4" t="s">
        <v>35189</v>
      </c>
      <c r="B27944" s="4" t="s">
        <v>35190</v>
      </c>
      <c r="C27944" s="5" t="str">
        <f>IFERROR(__xludf.DUMMYFUNCTION("GOOGLETRANSLATE(B27944,""en"",""fr"")"),"Une femme place les feuilles de légumes dans un arc.")</f>
        <v>Une femme place les feuilles de légumes dans un arc.</v>
      </c>
    </row>
    <row r="27945">
      <c r="A27945" s="4" t="s">
        <v>35189</v>
      </c>
      <c r="B27945" s="4" t="s">
        <v>35191</v>
      </c>
      <c r="C27945" s="5" t="str">
        <f>IFERROR(__xludf.DUMMYFUNCTION("GOOGLETRANSLATE(B27945,""en"",""fr"")"),"La caméra se déroule à droite pour montrer un homme debout à côté de la femme.")</f>
        <v>La caméra se déroule à droite pour montrer un homme debout à côté de la femme.</v>
      </c>
    </row>
    <row r="27946">
      <c r="A27946" s="4" t="s">
        <v>35189</v>
      </c>
      <c r="B27946" s="4" t="s">
        <v>35192</v>
      </c>
      <c r="C27946" s="5" t="str">
        <f>IFERROR(__xludf.DUMMYFUNCTION("GOOGLETRANSLATE(B27946,""en"",""fr"")"),"L'homme tranche un concombre sur une assiette.")</f>
        <v>L'homme tranche un concombre sur une assiette.</v>
      </c>
    </row>
    <row r="27947">
      <c r="A27947" s="4" t="s">
        <v>35193</v>
      </c>
      <c r="B27947" s="4" t="s">
        <v>35194</v>
      </c>
      <c r="C27947" s="5" t="str">
        <f>IFERROR(__xludf.DUMMYFUNCTION("GOOGLETRANSLATE(B27947,""en"",""fr"")"),"Deux hommes sont vus menant au-dessus du capot de la voiture tout en se saisissant.")</f>
        <v>Deux hommes sont vus menant au-dessus du capot de la voiture tout en se saisissant.</v>
      </c>
    </row>
    <row r="27948">
      <c r="A27948" s="4" t="s">
        <v>35193</v>
      </c>
      <c r="B27948" s="6" t="s">
        <v>35195</v>
      </c>
      <c r="C27948" s="5" t="str">
        <f>IFERROR(__xludf.DUMMYFUNCTION("GOOGLETRANSLATE(B27948,""en"",""fr"")"),"Ils commencent ensuite une partie de la lutte des bras et se termine avec un homme gagnant et regardant tous les deux la caméra et une tenant son poignet.")</f>
        <v>Ils commencent ensuite une partie de la lutte des bras et se termine avec un homme gagnant et regardant tous les deux la caméra et une tenant son poignet.</v>
      </c>
    </row>
    <row r="27949">
      <c r="A27949" s="4" t="s">
        <v>35196</v>
      </c>
      <c r="B27949" s="4" t="s">
        <v>35197</v>
      </c>
      <c r="C27949" s="5" t="str">
        <f>IFERROR(__xludf.DUMMYFUNCTION("GOOGLETRANSLATE(B27949,""en"",""fr"")"),"Le titre de vidéo ou l'étiquette sont affichés.")</f>
        <v>Le titre de vidéo ou l'étiquette sont affichés.</v>
      </c>
    </row>
    <row r="27950">
      <c r="A27950" s="4" t="s">
        <v>35196</v>
      </c>
      <c r="B27950" s="4" t="s">
        <v>35198</v>
      </c>
      <c r="C27950" s="5" t="str">
        <f>IFERROR(__xludf.DUMMYFUNCTION("GOOGLETRANSLATE(B27950,""en"",""fr"")"),"Un gars fait signe le signe de la paix.")</f>
        <v>Un gars fait signe le signe de la paix.</v>
      </c>
    </row>
    <row r="27951">
      <c r="A27951" s="4" t="s">
        <v>35196</v>
      </c>
      <c r="B27951" s="4" t="s">
        <v>35199</v>
      </c>
      <c r="C27951" s="5" t="str">
        <f>IFERROR(__xludf.DUMMYFUNCTION("GOOGLETRANSLATE(B27951,""en"",""fr"")"),"Un gars est de neige sur une pente.")</f>
        <v>Un gars est de neige sur une pente.</v>
      </c>
    </row>
    <row r="27952">
      <c r="A27952" s="4" t="s">
        <v>35196</v>
      </c>
      <c r="B27952" s="4" t="s">
        <v>35200</v>
      </c>
      <c r="C27952" s="5" t="str">
        <f>IFERROR(__xludf.DUMMYFUNCTION("GOOGLETRANSLATE(B27952,""en"",""fr"")"),"Un groupe de cliquetis dans Row Godye.")</f>
        <v>Un groupe de cliquetis dans Row Godye.</v>
      </c>
    </row>
    <row r="27953">
      <c r="A27953" s="4" t="s">
        <v>35201</v>
      </c>
      <c r="B27953" s="6" t="s">
        <v>35202</v>
      </c>
      <c r="C27953" s="5" t="str">
        <f>IFERROR(__xludf.DUMMYFUNCTION("GOOGLETRANSLATE(B27953,""en"",""fr"")"),"Un homme se prépare à Waterboard, il y a un bateau qui l'attend à sa droite, et les mots blancs dans le coin inférieur droit disent ""Spapez le lac Watersports et le centre d'activité"".")</f>
        <v>Un homme se prépare à Waterboard, il y a un bateau qui l'attend à sa droite, et les mots blancs dans le coin inférieur droit disent "Spapez le lac Watersports et le centre d'activité".</v>
      </c>
    </row>
    <row r="27954">
      <c r="A27954" s="4" t="s">
        <v>35201</v>
      </c>
      <c r="B27954" s="6" t="s">
        <v>35203</v>
      </c>
      <c r="C27954" s="5" t="str">
        <f>IFERROR(__xludf.DUMMYFUNCTION("GOOGLETRANSLATE(B27954,""en"",""fr"")"),"L'homme va dans l'eau et alors qu'il tient la barre reliée à la corde et au bateau, il est rapidement à l'eau sur le lac, utilisant parfois les deux mains pour tenir sur la barre et parfois alterner les mains.")</f>
        <v>L'homme va dans l'eau et alors qu'il tient la barre reliée à la corde et au bateau, il est rapidement à l'eau sur le lac, utilisant parfois les deux mains pour tenir sur la barre et parfois alterner les mains.</v>
      </c>
    </row>
    <row r="27955">
      <c r="A27955" s="4" t="s">
        <v>35201</v>
      </c>
      <c r="B27955" s="4" t="s">
        <v>35204</v>
      </c>
      <c r="C27955" s="5" t="str">
        <f>IFERROR(__xludf.DUMMYFUNCTION("GOOGLETRANSLATE(B27955,""en"",""fr"")"),"L'homme lâche le bar et commence à ralentir vers un quai.")</f>
        <v>L'homme lâche le bar et commence à ralentir vers un quai.</v>
      </c>
    </row>
    <row r="27956">
      <c r="A27956" s="4" t="s">
        <v>35201</v>
      </c>
      <c r="B27956" s="6" t="s">
        <v>35205</v>
      </c>
      <c r="C27956" s="5" t="str">
        <f>IFERROR(__xludf.DUMMYFUNCTION("GOOGLETRANSLATE(B27956,""en"",""fr"")"),"Une paire de mains tiendra maintenant un tableau d'eau qui a une paire de chaussures noire et argentée qui y est attachée.")</f>
        <v>Une paire de mains tiendra maintenant un tableau d'eau qui a une paire de chaussures noire et argentée qui y est attachée.</v>
      </c>
    </row>
    <row r="27957">
      <c r="A27957" s="4" t="s">
        <v>35201</v>
      </c>
      <c r="B27957" s="4" t="s">
        <v>35206</v>
      </c>
      <c r="C27957" s="5" t="str">
        <f>IFERROR(__xludf.DUMMYFUNCTION("GOOGLETRANSLATE(B27957,""en"",""fr"")"),"Une personne est brièvement montrée par le waterboard et la vue va bouillonner sous l'eau.")</f>
        <v>Une personne est brièvement montrée par le waterboard et la vue va bouillonner sous l'eau.</v>
      </c>
    </row>
    <row r="27958">
      <c r="A27958" s="4" t="s">
        <v>35207</v>
      </c>
      <c r="B27958" s="4" t="s">
        <v>35208</v>
      </c>
      <c r="C27958" s="5" t="str">
        <f>IFERROR(__xludf.DUMMYFUNCTION("GOOGLETRANSLATE(B27958,""en"",""fr"")"),"Une personne est vue rouler sur le cheval dans une zone fermée.")</f>
        <v>Une personne est vue rouler sur le cheval dans une zone fermée.</v>
      </c>
    </row>
    <row r="27959">
      <c r="A27959" s="4" t="s">
        <v>35207</v>
      </c>
      <c r="B27959" s="4" t="s">
        <v>35209</v>
      </c>
      <c r="C27959" s="5" t="str">
        <f>IFERROR(__xludf.DUMMYFUNCTION("GOOGLETRANSLATE(B27959,""en"",""fr"")"),"La caméra continue de le suivre en parcourant la zone en galopant.")</f>
        <v>La caméra continue de le suivre en parcourant la zone en galopant.</v>
      </c>
    </row>
    <row r="27960">
      <c r="A27960" s="4" t="s">
        <v>35210</v>
      </c>
      <c r="B27960" s="4" t="s">
        <v>35211</v>
      </c>
      <c r="C27960" s="5" t="str">
        <f>IFERROR(__xludf.DUMMYFUNCTION("GOOGLETRANSLATE(B27960,""en"",""fr"")"),"La petite fille est au sommet du bar de singe.")</f>
        <v>La petite fille est au sommet du bar de singe.</v>
      </c>
    </row>
    <row r="27961">
      <c r="A27961" s="4" t="s">
        <v>35210</v>
      </c>
      <c r="B27961" s="4" t="s">
        <v>35212</v>
      </c>
      <c r="C27961" s="5" t="str">
        <f>IFERROR(__xludf.DUMMYFUNCTION("GOOGLETRANSLATE(B27961,""en"",""fr"")"),"Un petit enfant en chemise colorée traverse le bar de singe.")</f>
        <v>Un petit enfant en chemise colorée traverse le bar de singe.</v>
      </c>
    </row>
    <row r="27962">
      <c r="A27962" s="4" t="s">
        <v>35210</v>
      </c>
      <c r="B27962" s="4" t="s">
        <v>35213</v>
      </c>
      <c r="C27962" s="5" t="str">
        <f>IFERROR(__xludf.DUMMYFUNCTION("GOOGLETRANSLATE(B27962,""en"",""fr"")"),"La petite fille est tombée de Monkey Bar et est retournée au bar à singe.")</f>
        <v>La petite fille est tombée de Monkey Bar et est retournée au bar à singe.</v>
      </c>
    </row>
    <row r="27963">
      <c r="A27963" s="4" t="s">
        <v>35214</v>
      </c>
      <c r="B27963" s="4" t="s">
        <v>35215</v>
      </c>
      <c r="C27963" s="5" t="str">
        <f>IFERROR(__xludf.DUMMYFUNCTION("GOOGLETRANSLATE(B27963,""en"",""fr"")"),"Les joueurs jouent à la crosse à l'extérieur devant un public.")</f>
        <v>Les joueurs jouent à la crosse à l'extérieur devant un public.</v>
      </c>
    </row>
    <row r="27964">
      <c r="A27964" s="4" t="s">
        <v>35214</v>
      </c>
      <c r="B27964" s="4" t="s">
        <v>35216</v>
      </c>
      <c r="C27964" s="5" t="str">
        <f>IFERROR(__xludf.DUMMYFUNCTION("GOOGLETRANSLATE(B27964,""en"",""fr"")"),"Un joueur est allongé sur le terrain.")</f>
        <v>Un joueur est allongé sur le terrain.</v>
      </c>
    </row>
    <row r="27965">
      <c r="A27965" s="4" t="s">
        <v>35214</v>
      </c>
      <c r="B27965" s="4" t="s">
        <v>35217</v>
      </c>
      <c r="C27965" s="5" t="str">
        <f>IFERROR(__xludf.DUMMYFUNCTION("GOOGLETRANSLATE(B27965,""en"",""fr"")"),"Le joueur frappe le ballon dans le but.")</f>
        <v>Le joueur frappe le ballon dans le but.</v>
      </c>
    </row>
    <row r="27966">
      <c r="A27966" s="4" t="s">
        <v>35214</v>
      </c>
      <c r="B27966" s="4" t="s">
        <v>35218</v>
      </c>
      <c r="C27966" s="5" t="str">
        <f>IFERROR(__xludf.DUMMYFUNCTION("GOOGLETRANSLATE(B27966,""en"",""fr"")"),"Le public et les coéquipiers célèbrent l'objectif et les coéquipiers se tapotent sur l'épaule.")</f>
        <v>Le public et les coéquipiers célèbrent l'objectif et les coéquipiers se tapotent sur l'épaule.</v>
      </c>
    </row>
    <row r="27967">
      <c r="A27967" s="4" t="s">
        <v>35214</v>
      </c>
      <c r="B27967" s="4" t="s">
        <v>35219</v>
      </c>
      <c r="C27967" s="5" t="str">
        <f>IFERROR(__xludf.DUMMYFUNCTION("GOOGLETRANSLATE(B27967,""en"",""fr"")"),"Un gars enlève son casque.")</f>
        <v>Un gars enlève son casque.</v>
      </c>
    </row>
    <row r="27968">
      <c r="A27968" s="4" t="s">
        <v>35220</v>
      </c>
      <c r="B27968" s="4" t="s">
        <v>35221</v>
      </c>
      <c r="C27968" s="5" t="str">
        <f>IFERROR(__xludf.DUMMYFUNCTION("GOOGLETRANSLATE(B27968,""en"",""fr"")"),"Une fille montre comment faire de la limonade.")</f>
        <v>Une fille montre comment faire de la limonade.</v>
      </c>
    </row>
    <row r="27969">
      <c r="A27969" s="4" t="s">
        <v>35220</v>
      </c>
      <c r="B27969" s="4" t="s">
        <v>35222</v>
      </c>
      <c r="C27969" s="5" t="str">
        <f>IFERROR(__xludf.DUMMYFUNCTION("GOOGLETRANSLATE(B27969,""en"",""fr"")"),"Elle fait ensuite des râteaux dans l'argent que ses parents l'ont aidée.")</f>
        <v>Elle fait ensuite des râteaux dans l'argent que ses parents l'ont aidée.</v>
      </c>
    </row>
    <row r="27970">
      <c r="A27970" s="4" t="s">
        <v>35223</v>
      </c>
      <c r="B27970" s="4" t="s">
        <v>35224</v>
      </c>
      <c r="C27970" s="5" t="str">
        <f>IFERROR(__xludf.DUMMYFUNCTION("GOOGLETRANSLATE(B27970,""en"",""fr"")"),"Une caméra se déroule vers un cerf-volant volant dans le ciel ainsi que des gens dans un champ.")</f>
        <v>Une caméra se déroule vers un cerf-volant volant dans le ciel ainsi que des gens dans un champ.</v>
      </c>
    </row>
    <row r="27971">
      <c r="A27971" s="4" t="s">
        <v>35223</v>
      </c>
      <c r="B27971" s="4" t="s">
        <v>35225</v>
      </c>
      <c r="C27971" s="5" t="str">
        <f>IFERROR(__xludf.DUMMYFUNCTION("GOOGLETRANSLATE(B27971,""en"",""fr"")"),"Un homme est vu sur le site contrôlant le cerf-volant avec ses mains.")</f>
        <v>Un homme est vu sur le site contrôlant le cerf-volant avec ses mains.</v>
      </c>
    </row>
    <row r="27972">
      <c r="A27972" s="4" t="s">
        <v>35223</v>
      </c>
      <c r="B27972" s="4" t="s">
        <v>35226</v>
      </c>
      <c r="C27972" s="5" t="str">
        <f>IFERROR(__xludf.DUMMYFUNCTION("GOOGLETRANSLATE(B27972,""en"",""fr"")"),"Il continue de piloter l'objet autour du ciel avec la caméra qui suit.")</f>
        <v>Il continue de piloter l'objet autour du ciel avec la caméra qui suit.</v>
      </c>
    </row>
    <row r="27973">
      <c r="A27973" s="4" t="s">
        <v>35227</v>
      </c>
      <c r="B27973" s="4" t="s">
        <v>35228</v>
      </c>
      <c r="C27973" s="5" t="str">
        <f>IFERROR(__xludf.DUMMYFUNCTION("GOOGLETRANSLATE(B27973,""en"",""fr"")"),"Un jeune homme s'assoit sur une chaise devant un tambour.")</f>
        <v>Un jeune homme s'assoit sur une chaise devant un tambour.</v>
      </c>
    </row>
    <row r="27974">
      <c r="A27974" s="4" t="s">
        <v>35227</v>
      </c>
      <c r="B27974" s="4" t="s">
        <v>35229</v>
      </c>
      <c r="C27974" s="5" t="str">
        <f>IFERROR(__xludf.DUMMYFUNCTION("GOOGLETRANSLATE(B27974,""en"",""fr"")"),"Il commence à jouer de la batterie, située à l'intérieur d'un salon.")</f>
        <v>Il commence à jouer de la batterie, située à l'intérieur d'un salon.</v>
      </c>
    </row>
    <row r="27975">
      <c r="A27975" s="4" t="s">
        <v>35227</v>
      </c>
      <c r="B27975" s="6" t="s">
        <v>35230</v>
      </c>
      <c r="C27975" s="5" t="str">
        <f>IFERROR(__xludf.DUMMYFUNCTION("GOOGLETRANSLATE(B27975,""en"",""fr"")"),"Le jeu continue jusqu'à ce qu'il pose les bâtons de tambour et regarde la caméra avec un look choqué.")</f>
        <v>Le jeu continue jusqu'à ce qu'il pose les bâtons de tambour et regarde la caméra avec un look choqué.</v>
      </c>
    </row>
    <row r="27976">
      <c r="A27976" s="4" t="s">
        <v>35227</v>
      </c>
      <c r="B27976" s="4" t="s">
        <v>35231</v>
      </c>
      <c r="C27976" s="5" t="str">
        <f>IFERROR(__xludf.DUMMYFUNCTION("GOOGLETRANSLATE(B27976,""en"",""fr"")"),"La vidéo se termine avec l'homme qui se lève pour éteindre la caméra.")</f>
        <v>La vidéo se termine avec l'homme qui se lève pour éteindre la caméra.</v>
      </c>
    </row>
    <row r="27977">
      <c r="A27977" s="4" t="s">
        <v>35232</v>
      </c>
      <c r="B27977" s="6" t="s">
        <v>35233</v>
      </c>
      <c r="C27977" s="5" t="str">
        <f>IFERROR(__xludf.DUMMYFUNCTION("GOOGLETRANSLATE(B27977,""en"",""fr"")"),"Un groupe de personnes marche en tenant des bateaux gonflables et arrive dans un lac, puis les gens naviguent dans le lac.")</f>
        <v>Un groupe de personnes marche en tenant des bateaux gonflables et arrive dans un lac, puis les gens naviguent dans le lac.</v>
      </c>
    </row>
    <row r="27978">
      <c r="A27978" s="4" t="s">
        <v>35232</v>
      </c>
      <c r="B27978" s="4" t="s">
        <v>35234</v>
      </c>
      <c r="C27978" s="5" t="str">
        <f>IFERROR(__xludf.DUMMYFUNCTION("GOOGLETRANSLATE(B27978,""en"",""fr"")"),"Après, les gens emmènent les bateaux pour naviguer sur une étroite rivière agitée.")</f>
        <v>Après, les gens emmènent les bateaux pour naviguer sur une étroite rivière agitée.</v>
      </c>
    </row>
    <row r="27979">
      <c r="A27979" s="4" t="s">
        <v>35232</v>
      </c>
      <c r="B27979" s="6" t="s">
        <v>35235</v>
      </c>
      <c r="C27979" s="5" t="str">
        <f>IFERROR(__xludf.DUMMYFUNCTION("GOOGLETRANSLATE(B27979,""en"",""fr"")"),"Les chevrons arrivent dans une cascade et les bateaux se plient lorsqu'ils descendent la cascade, puis ils continuent de rafting dans la rivière.")</f>
        <v>Les chevrons arrivent dans une cascade et les bateaux se plient lorsqu'ils descendent la cascade, puis ils continuent de rafting dans la rivière.</v>
      </c>
    </row>
    <row r="27980">
      <c r="A27980" s="4" t="s">
        <v>35236</v>
      </c>
      <c r="B27980" s="4" t="s">
        <v>35237</v>
      </c>
      <c r="C27980" s="5" t="str">
        <f>IFERROR(__xludf.DUMMYFUNCTION("GOOGLETRANSLATE(B27980,""en"",""fr"")"),"Un homme se tient sur une échelle.")</f>
        <v>Un homme se tient sur une échelle.</v>
      </c>
    </row>
    <row r="27981">
      <c r="A27981" s="4" t="s">
        <v>35236</v>
      </c>
      <c r="B27981" s="4" t="s">
        <v>35238</v>
      </c>
      <c r="C27981" s="5" t="str">
        <f>IFERROR(__xludf.DUMMYFUNCTION("GOOGLETRANSLATE(B27981,""en"",""fr"")"),"Il accroche du papier peint sur un mur devant lui.")</f>
        <v>Il accroche du papier peint sur un mur devant lui.</v>
      </c>
    </row>
    <row r="27982">
      <c r="A27982" s="4" t="s">
        <v>35236</v>
      </c>
      <c r="B27982" s="4" t="s">
        <v>35239</v>
      </c>
      <c r="C27982" s="5" t="str">
        <f>IFERROR(__xludf.DUMMYFUNCTION("GOOGLETRANSLATE(B27982,""en"",""fr"")"),"Il utilise un outil pour lisser le papier peint une fois qu'il est sur le mur.")</f>
        <v>Il utilise un outil pour lisser le papier peint une fois qu'il est sur le mur.</v>
      </c>
    </row>
    <row r="27983">
      <c r="A27983" s="4" t="s">
        <v>35240</v>
      </c>
      <c r="B27983" s="6" t="s">
        <v>35241</v>
      </c>
      <c r="C27983" s="5" t="str">
        <f>IFERROR(__xludf.DUMMYFUNCTION("GOOGLETRANSLATE(B27983,""en"",""fr"")"),"Diverses plans de personnes se tenant ensemble et se déplaçant autour de la glace sont montrés ainsi que des gens qui jouent à une planche à shuffle et se crient.")</f>
        <v>Diverses plans de personnes se tenant ensemble et se déplaçant autour de la glace sont montrés ainsi que des gens qui jouent à une planche à shuffle et se crient.</v>
      </c>
    </row>
    <row r="27984">
      <c r="A27984" s="4" t="s">
        <v>35240</v>
      </c>
      <c r="B27984" s="6" t="s">
        <v>35242</v>
      </c>
      <c r="C27984" s="5" t="str">
        <f>IFERROR(__xludf.DUMMYFUNCTION("GOOGLETRANSLATE(B27984,""en"",""fr"")"),"Plusieurs personnes sont interviewées sur la caméra qui intervient avec des plans de shuffleboard et des gens se frottant le cou et se parlant.")</f>
        <v>Plusieurs personnes sont interviewées sur la caméra qui intervient avec des plans de shuffleboard et des gens se frottant le cou et se parlant.</v>
      </c>
    </row>
    <row r="27985">
      <c r="A27985" s="4" t="s">
        <v>35243</v>
      </c>
      <c r="B27985" s="4" t="s">
        <v>35244</v>
      </c>
      <c r="C27985" s="5" t="str">
        <f>IFERROR(__xludf.DUMMYFUNCTION("GOOGLETRANSLATE(B27985,""en"",""fr"")"),"Une femme monte une intertube sur une colline enneigée.")</f>
        <v>Une femme monte une intertube sur une colline enneigée.</v>
      </c>
    </row>
    <row r="27986">
      <c r="A27986" s="4" t="s">
        <v>35243</v>
      </c>
      <c r="B27986" s="4" t="s">
        <v>35245</v>
      </c>
      <c r="C27986" s="5" t="str">
        <f>IFERROR(__xludf.DUMMYFUNCTION("GOOGLETRANSLATE(B27986,""en"",""fr"")"),"Elle tourne en descendant, tombant sur une autre personne.")</f>
        <v>Elle tourne en descendant, tombant sur une autre personne.</v>
      </c>
    </row>
    <row r="27987">
      <c r="A27987" s="4" t="s">
        <v>35243</v>
      </c>
      <c r="B27987" s="4" t="s">
        <v>35246</v>
      </c>
      <c r="C27987" s="5" t="str">
        <f>IFERROR(__xludf.DUMMYFUNCTION("GOOGLETRANSLATE(B27987,""en"",""fr"")"),"Elle est assommée de son intertube.")</f>
        <v>Elle est assommée de son intertube.</v>
      </c>
    </row>
    <row r="27988">
      <c r="A27988" s="4" t="s">
        <v>35247</v>
      </c>
      <c r="B27988" s="6" t="s">
        <v>35248</v>
      </c>
      <c r="C27988" s="5" t="str">
        <f>IFERROR(__xludf.DUMMYFUNCTION("GOOGLETRANSLATE(B27988,""en"",""fr"")"),"Plusieurs plans sont présentés sur les taureaux qui courent dans des gens dans les rues animées et les gens se blessent par les Bulls.")</f>
        <v>Plusieurs plans sont présentés sur les taureaux qui courent dans des gens dans les rues animées et les gens se blessent par les Bulls.</v>
      </c>
    </row>
    <row r="27989">
      <c r="A27989" s="4" t="s">
        <v>35247</v>
      </c>
      <c r="B27989" s="6" t="s">
        <v>35249</v>
      </c>
      <c r="C27989" s="5" t="str">
        <f>IFERROR(__xludf.DUMMYFUNCTION("GOOGLETRANSLATE(B27989,""en"",""fr"")"),"De nombreux autres tirs sont montrés par des taureaux blessant les gens à divers endroits tandis que d'autres essaient de les aider à côté.")</f>
        <v>De nombreux autres tirs sont montrés par des taureaux blessant les gens à divers endroits tandis que d'autres essaient de les aider à côté.</v>
      </c>
    </row>
    <row r="27990">
      <c r="A27990" s="4" t="s">
        <v>35250</v>
      </c>
      <c r="B27990" s="4" t="s">
        <v>35251</v>
      </c>
      <c r="C27990" s="5" t="str">
        <f>IFERROR(__xludf.DUMMYFUNCTION("GOOGLETRANSLATE(B27990,""en"",""fr"")"),"Un ciel sombre avec une lune et un nuage est illustré entre le sentier donc la saleté.")</f>
        <v>Un ciel sombre avec une lune et un nuage est illustré entre le sentier donc la saleté.</v>
      </c>
    </row>
    <row r="27991">
      <c r="A27991" s="4" t="s">
        <v>35250</v>
      </c>
      <c r="B27991" s="6" t="s">
        <v>35252</v>
      </c>
      <c r="C27991" s="5" t="str">
        <f>IFERROR(__xludf.DUMMYFUNCTION("GOOGLETRANSLATE(B27991,""en"",""fr"")"),"Après, un homme portant un chapeau est montré en marchant sur le sentier et plusieurs courses de motards en terre sont montrées.")</f>
        <v>Après, un homme portant un chapeau est montré en marchant sur le sentier et plusieurs courses de motards en terre sont montrées.</v>
      </c>
    </row>
    <row r="27992">
      <c r="A27992" s="4" t="s">
        <v>35250</v>
      </c>
      <c r="B27992" s="4" t="s">
        <v>35253</v>
      </c>
      <c r="C27992" s="5" t="str">
        <f>IFERROR(__xludf.DUMMYFUNCTION("GOOGLETRANSLATE(B27992,""en"",""fr"")"),"L'homme met ensuite un casque, le bar est déçu et il commence à sauter par-dessus une colline.")</f>
        <v>L'homme met ensuite un casque, le bar est déçu et il commence à sauter par-dessus une colline.</v>
      </c>
    </row>
    <row r="27993">
      <c r="A27993" s="4" t="s">
        <v>35250</v>
      </c>
      <c r="B27993" s="6" t="s">
        <v>35254</v>
      </c>
      <c r="C27993" s="5" t="str">
        <f>IFERROR(__xludf.DUMMYFUNCTION("GOOGLETRANSLATE(B27993,""en"",""fr"")"),"Au fur et à mesure que la vidéo continue, vous suivez l'homme qui coule sur le sentier et faisant des tours et roulant à des angles latéraux pour vous assurer que les astuces sont atterri et qu'il ne tombe pas.")</f>
        <v>Au fur et à mesure que la vidéo continue, vous suivez l'homme qui coule sur le sentier et faisant des tours et roulant à des angles latéraux pour vous assurer que les astuces sont atterri et qu'il ne tombe pas.</v>
      </c>
    </row>
    <row r="27994">
      <c r="A27994" s="4" t="s">
        <v>35250</v>
      </c>
      <c r="B27994" s="4" t="s">
        <v>35255</v>
      </c>
      <c r="C27994" s="5" t="str">
        <f>IFERROR(__xludf.DUMMYFUNCTION("GOOGLETRANSLATE(B27994,""en"",""fr"")"),"L'homme réapparaît alors et le reflet de la course est montré dans son œil avant de partir.")</f>
        <v>L'homme réapparaît alors et le reflet de la course est montré dans son œil avant de partir.</v>
      </c>
    </row>
    <row r="27995">
      <c r="A27995" s="4" t="s">
        <v>35256</v>
      </c>
      <c r="B27995" s="4" t="s">
        <v>35257</v>
      </c>
      <c r="C27995" s="5" t="str">
        <f>IFERROR(__xludf.DUMMYFUNCTION("GOOGLETRANSLATE(B27995,""en"",""fr"")"),"Les épingles de bowling sont frappées avec un ballon de bowling.")</f>
        <v>Les épingles de bowling sont frappées avec un ballon de bowling.</v>
      </c>
    </row>
    <row r="27996">
      <c r="A27996" s="4" t="s">
        <v>35256</v>
      </c>
      <c r="B27996" s="4" t="s">
        <v>35258</v>
      </c>
      <c r="C27996" s="5" t="str">
        <f>IFERROR(__xludf.DUMMYFUNCTION("GOOGLETRANSLATE(B27996,""en"",""fr"")"),"Une foule applaudit assis derrière le bowling.")</f>
        <v>Une foule applaudit assis derrière le bowling.</v>
      </c>
    </row>
    <row r="27997">
      <c r="A27997" s="4" t="s">
        <v>35256</v>
      </c>
      <c r="B27997" s="4" t="s">
        <v>35259</v>
      </c>
      <c r="C27997" s="5" t="str">
        <f>IFERROR(__xludf.DUMMYFUNCTION("GOOGLETRANSLATE(B27997,""en"",""fr"")"),"Un homme embrasse un trophée dans ses mains.")</f>
        <v>Un homme embrasse un trophée dans ses mains.</v>
      </c>
    </row>
    <row r="27998">
      <c r="A27998" s="4" t="s">
        <v>35260</v>
      </c>
      <c r="B27998" s="4" t="s">
        <v>35261</v>
      </c>
      <c r="C27998" s="5" t="str">
        <f>IFERROR(__xludf.DUMMYFUNCTION("GOOGLETRANSLATE(B27998,""en"",""fr"")"),"Les gens se tiennent dans une pièce en jouant au tennis.")</f>
        <v>Les gens se tiennent dans une pièce en jouant au tennis.</v>
      </c>
    </row>
    <row r="27999">
      <c r="A27999" s="4" t="s">
        <v>35260</v>
      </c>
      <c r="B27999" s="4" t="s">
        <v>35262</v>
      </c>
      <c r="C27999" s="5" t="str">
        <f>IFERROR(__xludf.DUMMYFUNCTION("GOOGLETRANSLATE(B27999,""en"",""fr"")"),"Une femme ramasse une balle qui tombe sur le sol.")</f>
        <v>Une femme ramasse une balle qui tombe sur le sol.</v>
      </c>
    </row>
    <row r="28000">
      <c r="A28000" s="4" t="s">
        <v>35260</v>
      </c>
      <c r="B28000" s="4" t="s">
        <v>35263</v>
      </c>
      <c r="C28000" s="5" t="str">
        <f>IFERROR(__xludf.DUMMYFUNCTION("GOOGLETRANSLATE(B28000,""en"",""fr"")"),"La fille s'approche du filet.")</f>
        <v>La fille s'approche du filet.</v>
      </c>
    </row>
    <row r="28001">
      <c r="A28001" s="4" t="s">
        <v>35264</v>
      </c>
      <c r="B28001" s="4" t="s">
        <v>35265</v>
      </c>
      <c r="C28001" s="5" t="str">
        <f>IFERROR(__xludf.DUMMYFUNCTION("GOOGLETRANSLATE(B28001,""en"",""fr"")"),"Deux jeunes hommes s'arrêtent dans une cuisine à l'aide d'une chaise de chat debout comme table.")</f>
        <v>Deux jeunes hommes s'arrêtent dans une cuisine à l'aide d'une chaise de chat debout comme table.</v>
      </c>
    </row>
    <row r="28002">
      <c r="A28002" s="4" t="s">
        <v>35264</v>
      </c>
      <c r="B28002" s="6" t="s">
        <v>35266</v>
      </c>
      <c r="C28002" s="5" t="str">
        <f>IFERROR(__xludf.DUMMYFUNCTION("GOOGLETRANSLATE(B28002,""en"",""fr"")"),"Un jeune homme dans un débardeur blanc place son coude sur une chaise de chat surélevée avec un autre jeune homme en chemise noire.")</f>
        <v>Un jeune homme dans un débardeur blanc place son coude sur une chaise de chat surélevée avec un autre jeune homme en chemise noire.</v>
      </c>
    </row>
    <row r="28003">
      <c r="A28003" s="4" t="s">
        <v>35264</v>
      </c>
      <c r="B28003" s="4" t="s">
        <v>35267</v>
      </c>
      <c r="C28003" s="5" t="str">
        <f>IFERROR(__xludf.DUMMYFUNCTION("GOOGLETRANSLATE(B28003,""en"",""fr"")"),"Les deux jeunes hommes commencent à s'arrêter.")</f>
        <v>Les deux jeunes hommes commencent à s'arrêter.</v>
      </c>
    </row>
    <row r="28004">
      <c r="A28004" s="4" t="s">
        <v>35264</v>
      </c>
      <c r="B28004" s="6" t="s">
        <v>35268</v>
      </c>
      <c r="C28004" s="5" t="str">
        <f>IFERROR(__xludf.DUMMYFUNCTION("GOOGLETRANSLATE(B28004,""en"",""fr"")"),"L'homme en chemise noire remporte le match de lutte des bras à quel point l'homme dans le débardeur blanc recule et se tient devant un réfrigérateur à côté d'une fille buvant une boisson en conserve.")</f>
        <v>L'homme en chemise noire remporte le match de lutte des bras à quel point l'homme dans le débardeur blanc recule et se tient devant un réfrigérateur à côté d'une fille buvant une boisson en conserve.</v>
      </c>
    </row>
    <row r="28005">
      <c r="A28005" s="4" t="s">
        <v>35269</v>
      </c>
      <c r="B28005" s="4" t="s">
        <v>35270</v>
      </c>
      <c r="C28005" s="5" t="str">
        <f>IFERROR(__xludf.DUMMYFUNCTION("GOOGLETRANSLATE(B28005,""en"",""fr"")"),"Un homme et une femme se tiennent une cuisine.")</f>
        <v>Un homme et une femme se tiennent une cuisine.</v>
      </c>
    </row>
    <row r="28006">
      <c r="A28006" s="4" t="s">
        <v>35269</v>
      </c>
      <c r="B28006" s="4" t="s">
        <v>35271</v>
      </c>
      <c r="C28006" s="5" t="str">
        <f>IFERROR(__xludf.DUMMYFUNCTION("GOOGLETRANSLATE(B28006,""en"",""fr"")"),"La femme coupe divers légumes sur un plateau blanc.")</f>
        <v>La femme coupe divers légumes sur un plateau blanc.</v>
      </c>
    </row>
    <row r="28007">
      <c r="A28007" s="4" t="s">
        <v>35272</v>
      </c>
      <c r="B28007" s="4" t="s">
        <v>35273</v>
      </c>
      <c r="C28007" s="5" t="str">
        <f>IFERROR(__xludf.DUMMYFUNCTION("GOOGLETRANSLATE(B28007,""en"",""fr"")"),"Une foule énorme est dans les stands dans une arène.")</f>
        <v>Une foule énorme est dans les stands dans une arène.</v>
      </c>
    </row>
    <row r="28008">
      <c r="A28008" s="4" t="s">
        <v>35272</v>
      </c>
      <c r="B28008" s="4" t="s">
        <v>35274</v>
      </c>
      <c r="C28008" s="5" t="str">
        <f>IFERROR(__xludf.DUMMYFUNCTION("GOOGLETRANSLATE(B28008,""en"",""fr"")"),"Un homme jette un javelot.")</f>
        <v>Un homme jette un javelot.</v>
      </c>
    </row>
    <row r="28009">
      <c r="A28009" s="4" t="s">
        <v>35272</v>
      </c>
      <c r="B28009" s="4" t="s">
        <v>35275</v>
      </c>
      <c r="C28009" s="5" t="str">
        <f>IFERROR(__xludf.DUMMYFUNCTION("GOOGLETRANSLATE(B28009,""en"",""fr"")"),"Les photographes prennent des photos en arrière-plan.")</f>
        <v>Les photographes prennent des photos en arrière-plan.</v>
      </c>
    </row>
    <row r="28010">
      <c r="A28010" s="4" t="s">
        <v>35272</v>
      </c>
      <c r="B28010" s="4" t="s">
        <v>35276</v>
      </c>
      <c r="C28010" s="5" t="str">
        <f>IFERROR(__xludf.DUMMYFUNCTION("GOOGLETRANSLATE(B28010,""en"",""fr"")"),"Plusieurs hommes courent là où le javelot atterrit.")</f>
        <v>Plusieurs hommes courent là où le javelot atterrit.</v>
      </c>
    </row>
    <row r="28011">
      <c r="A28011" s="4" t="s">
        <v>35272</v>
      </c>
      <c r="B28011" s="4" t="s">
        <v>35277</v>
      </c>
      <c r="C28011" s="5" t="str">
        <f>IFERROR(__xludf.DUMMYFUNCTION("GOOGLETRANSLATE(B28011,""en"",""fr"")"),"L'homme qui a jeté le javelot célèbre.")</f>
        <v>L'homme qui a jeté le javelot célèbre.</v>
      </c>
    </row>
    <row r="28012">
      <c r="A28012" s="4" t="s">
        <v>35272</v>
      </c>
      <c r="B28012" s="4" t="s">
        <v>35278</v>
      </c>
      <c r="C28012" s="5" t="str">
        <f>IFERROR(__xludf.DUMMYFUNCTION("GOOGLETRANSLATE(B28012,""en"",""fr"")"),"Un autre homme jette un javelot.")</f>
        <v>Un autre homme jette un javelot.</v>
      </c>
    </row>
    <row r="28013">
      <c r="A28013" s="4" t="s">
        <v>35272</v>
      </c>
      <c r="B28013" s="4" t="s">
        <v>35279</v>
      </c>
      <c r="C28013" s="5" t="str">
        <f>IFERROR(__xludf.DUMMYFUNCTION("GOOGLETRANSLATE(B28013,""en"",""fr"")"),"Les gens marchent tout autour de différentes choses.")</f>
        <v>Les gens marchent tout autour de différentes choses.</v>
      </c>
    </row>
    <row r="28014">
      <c r="A28014" s="4" t="s">
        <v>35272</v>
      </c>
      <c r="B28014" s="4" t="s">
        <v>35280</v>
      </c>
      <c r="C28014" s="5" t="str">
        <f>IFERROR(__xludf.DUMMYFUNCTION("GOOGLETRANSLATE(B28014,""en"",""fr"")"),"Plusieurs hommes s'épuisent là où le javelot atterrit à nouveau.")</f>
        <v>Plusieurs hommes s'épuisent là où le javelot atterrit à nouveau.</v>
      </c>
    </row>
    <row r="28015">
      <c r="A28015" s="4" t="s">
        <v>35272</v>
      </c>
      <c r="B28015" s="4" t="s">
        <v>35281</v>
      </c>
      <c r="C28015" s="5" t="str">
        <f>IFERROR(__xludf.DUMMYFUNCTION("GOOGLETRANSLATE(B28015,""en"",""fr"")"),"Le deuxième homme à jeter le javelot et un homme dans les tribunes célèbre.")</f>
        <v>Le deuxième homme à jeter le javelot et un homme dans les tribunes célèbre.</v>
      </c>
    </row>
    <row r="28016">
      <c r="A28016" s="4" t="s">
        <v>35272</v>
      </c>
      <c r="B28016" s="4" t="s">
        <v>35282</v>
      </c>
      <c r="C28016" s="5" t="str">
        <f>IFERROR(__xludf.DUMMYFUNCTION("GOOGLETRANSLATE(B28016,""en"",""fr"")"),"Un troisième homme jette un javelot si fort qu'il tombe.")</f>
        <v>Un troisième homme jette un javelot si fort qu'il tombe.</v>
      </c>
    </row>
    <row r="28017">
      <c r="A28017" s="4" t="s">
        <v>35272</v>
      </c>
      <c r="B28017" s="4" t="s">
        <v>35283</v>
      </c>
      <c r="C28017" s="5" t="str">
        <f>IFERROR(__xludf.DUMMYFUNCTION("GOOGLETRANSLATE(B28017,""en"",""fr"")"),"Les mêmes hommes courent au point d'atterrissage du javelot.")</f>
        <v>Les mêmes hommes courent au point d'atterrissage du javelot.</v>
      </c>
    </row>
    <row r="28018">
      <c r="A28018" s="4" t="s">
        <v>35272</v>
      </c>
      <c r="B28018" s="4" t="s">
        <v>35284</v>
      </c>
      <c r="C28018" s="5" t="str">
        <f>IFERROR(__xludf.DUMMYFUNCTION("GOOGLETRANSLATE(B28018,""en"",""fr"")"),"Le troisième homme s'éloigna en l'air déçu.")</f>
        <v>Le troisième homme s'éloigna en l'air déçu.</v>
      </c>
    </row>
    <row r="28019">
      <c r="A28019" s="4" t="s">
        <v>35272</v>
      </c>
      <c r="B28019" s="4" t="s">
        <v>35285</v>
      </c>
      <c r="C28019" s="5" t="str">
        <f>IFERROR(__xludf.DUMMYFUNCTION("GOOGLETRANSLATE(B28019,""en"",""fr"")"),"Un quatrième homme jette un javelot.")</f>
        <v>Un quatrième homme jette un javelot.</v>
      </c>
    </row>
    <row r="28020">
      <c r="A28020" s="4" t="s">
        <v>35272</v>
      </c>
      <c r="B28020" s="4" t="s">
        <v>35286</v>
      </c>
      <c r="C28020" s="5" t="str">
        <f>IFERROR(__xludf.DUMMYFUNCTION("GOOGLETRANSLATE(B28020,""en"",""fr"")"),"Encore une fois, les hommes courent là où le javelot atterrit.")</f>
        <v>Encore une fois, les hommes courent là où le javelot atterrit.</v>
      </c>
    </row>
    <row r="28021">
      <c r="A28021" s="4" t="s">
        <v>35272</v>
      </c>
      <c r="B28021" s="4" t="s">
        <v>35287</v>
      </c>
      <c r="C28021" s="5" t="str">
        <f>IFERROR(__xludf.DUMMYFUNCTION("GOOGLETRANSLATE(B28021,""en"",""fr"")"),"Le quatrième homme a l'air déçu à la recherche de sa veste.")</f>
        <v>Le quatrième homme a l'air déçu à la recherche de sa veste.</v>
      </c>
    </row>
    <row r="28022">
      <c r="A28022" s="4" t="s">
        <v>35272</v>
      </c>
      <c r="B28022" s="4" t="s">
        <v>35288</v>
      </c>
      <c r="C28022" s="5" t="str">
        <f>IFERROR(__xludf.DUMMYFUNCTION("GOOGLETRANSLATE(B28022,""en"",""fr"")"),"Le premier homme à jeter un javelot court en célébrant et embrasse un autre homme.")</f>
        <v>Le premier homme à jeter un javelot court en célébrant et embrasse un autre homme.</v>
      </c>
    </row>
    <row r="28023">
      <c r="A28023" s="4" t="s">
        <v>35272</v>
      </c>
      <c r="B28023" s="4" t="s">
        <v>35289</v>
      </c>
      <c r="C28023" s="5" t="str">
        <f>IFERROR(__xludf.DUMMYFUNCTION("GOOGLETRANSLATE(B28023,""en"",""fr"")"),"Un homme met une médaille d'or autour du cou du premier lanceur de javelot et secoue la main.")</f>
        <v>Un homme met une médaille d'or autour du cou du premier lanceur de javelot et secoue la main.</v>
      </c>
    </row>
    <row r="28024">
      <c r="A28024" s="4" t="s">
        <v>35272</v>
      </c>
      <c r="B28024" s="4" t="s">
        <v>35290</v>
      </c>
      <c r="C28024" s="5" t="str">
        <f>IFERROR(__xludf.DUMMYFUNCTION("GOOGLETRANSLATE(B28024,""en"",""fr"")"),"Il met une médaille d'argent sur le deuxième lanceur.")</f>
        <v>Il met une médaille d'argent sur le deuxième lanceur.</v>
      </c>
    </row>
    <row r="28025">
      <c r="A28025" s="4" t="s">
        <v>35272</v>
      </c>
      <c r="B28025" s="4" t="s">
        <v>35291</v>
      </c>
      <c r="C28025" s="5" t="str">
        <f>IFERROR(__xludf.DUMMYFUNCTION("GOOGLETRANSLATE(B28025,""en"",""fr"")"),"Il met une médaille de bronze sur le troisième lanceur.")</f>
        <v>Il met une médaille de bronze sur le troisième lanceur.</v>
      </c>
    </row>
    <row r="28026">
      <c r="A28026" s="4" t="s">
        <v>35272</v>
      </c>
      <c r="B28026" s="4" t="s">
        <v>35292</v>
      </c>
      <c r="C28026" s="5" t="str">
        <f>IFERROR(__xludf.DUMMYFUNCTION("GOOGLETRANSLATE(B28026,""en"",""fr"")"),"Tous les hommes se serrent la main.")</f>
        <v>Tous les hommes se serrent la main.</v>
      </c>
    </row>
    <row r="28027">
      <c r="A28027" s="4" t="s">
        <v>35272</v>
      </c>
      <c r="B28027" s="4" t="s">
        <v>35293</v>
      </c>
      <c r="C28027" s="5" t="str">
        <f>IFERROR(__xludf.DUMMYFUNCTION("GOOGLETRANSLATE(B28027,""en"",""fr"")"),"Le vainqueur de la médaille d'or parle à une personne de l'information.")</f>
        <v>Le vainqueur de la médaille d'or parle à une personne de l'information.</v>
      </c>
    </row>
    <row r="28028">
      <c r="A28028" s="4" t="s">
        <v>35272</v>
      </c>
      <c r="B28028" s="4" t="s">
        <v>35294</v>
      </c>
      <c r="C28028" s="5" t="str">
        <f>IFERROR(__xludf.DUMMYFUNCTION("GOOGLETRANSLATE(B28028,""en"",""fr"")"),"Le médaillé d'argent parle à un journal.")</f>
        <v>Le médaillé d'argent parle à un journal.</v>
      </c>
    </row>
    <row r="28029">
      <c r="A28029" s="4" t="s">
        <v>35295</v>
      </c>
      <c r="B28029" s="4" t="s">
        <v>35296</v>
      </c>
      <c r="C28029" s="5" t="str">
        <f>IFERROR(__xludf.DUMMYFUNCTION("GOOGLETRANSLATE(B28029,""en"",""fr"")"),"Deux personnes s'entraînent sur des vélos d'exercice.")</f>
        <v>Deux personnes s'entraînent sur des vélos d'exercice.</v>
      </c>
    </row>
    <row r="28030">
      <c r="A28030" s="4" t="s">
        <v>35295</v>
      </c>
      <c r="B28030" s="4" t="s">
        <v>35297</v>
      </c>
      <c r="C28030" s="5" t="str">
        <f>IFERROR(__xludf.DUMMYFUNCTION("GOOGLETRANSLATE(B28030,""en"",""fr"")"),"Celui portant une perruque bleue met les mains en l'air.")</f>
        <v>Celui portant une perruque bleue met les mains en l'air.</v>
      </c>
    </row>
    <row r="28031">
      <c r="A28031" s="4" t="s">
        <v>35295</v>
      </c>
      <c r="B28031" s="4" t="s">
        <v>35298</v>
      </c>
      <c r="C28031" s="5" t="str">
        <f>IFERROR(__xludf.DUMMYFUNCTION("GOOGLETRANSLATE(B28031,""en"",""fr"")"),"Les gens sont également devant eux sur des vélos d'exercice.")</f>
        <v>Les gens sont également devant eux sur des vélos d'exercice.</v>
      </c>
    </row>
    <row r="28032">
      <c r="A28032" s="4" t="s">
        <v>35299</v>
      </c>
      <c r="B28032" s="4" t="s">
        <v>35300</v>
      </c>
      <c r="C28032" s="5" t="str">
        <f>IFERROR(__xludf.DUMMYFUNCTION("GOOGLETRANSLATE(B28032,""en"",""fr"")"),"Une personne couvre le sol avec des carreaux.")</f>
        <v>Une personne couvre le sol avec des carreaux.</v>
      </c>
    </row>
    <row r="28033">
      <c r="A28033" s="4" t="s">
        <v>35299</v>
      </c>
      <c r="B28033" s="4" t="s">
        <v>35301</v>
      </c>
      <c r="C28033" s="5" t="str">
        <f>IFERROR(__xludf.DUMMYFUNCTION("GOOGLETRANSLATE(B28033,""en"",""fr"")"),"Ensuite, un autre homme vient aider à couvrir le sol avec des carreaux.")</f>
        <v>Ensuite, un autre homme vient aider à couvrir le sol avec des carreaux.</v>
      </c>
    </row>
    <row r="28034">
      <c r="A28034" s="4" t="s">
        <v>35302</v>
      </c>
      <c r="B28034" s="4" t="s">
        <v>35303</v>
      </c>
      <c r="C28034" s="5" t="str">
        <f>IFERROR(__xludf.DUMMYFUNCTION("GOOGLETRANSLATE(B28034,""en"",""fr"")"),"Deux hommes se tiennent à l'avant une haute haie en tenant des coupeurs.")</f>
        <v>Deux hommes se tiennent à l'avant une haute haie en tenant des coupeurs.</v>
      </c>
    </row>
    <row r="28035">
      <c r="A28035" s="4" t="s">
        <v>35302</v>
      </c>
      <c r="B28035" s="4" t="s">
        <v>35304</v>
      </c>
      <c r="C28035" s="5" t="str">
        <f>IFERROR(__xludf.DUMMYFUNCTION("GOOGLETRANSLATE(B28035,""en"",""fr"")"),"Les hommes coupent le haut de la haie.")</f>
        <v>Les hommes coupent le haut de la haie.</v>
      </c>
    </row>
    <row r="28036">
      <c r="A28036" s="4" t="s">
        <v>35302</v>
      </c>
      <c r="B28036" s="4" t="s">
        <v>35305</v>
      </c>
      <c r="C28036" s="5" t="str">
        <f>IFERROR(__xludf.DUMMYFUNCTION("GOOGLETRANSLATE(B28036,""en"",""fr"")"),"Les feuilles tombent du haut de la haie.")</f>
        <v>Les feuilles tombent du haut de la haie.</v>
      </c>
    </row>
    <row r="28037">
      <c r="A28037" s="4" t="s">
        <v>35306</v>
      </c>
      <c r="B28037" s="4" t="s">
        <v>35307</v>
      </c>
      <c r="C28037" s="5" t="str">
        <f>IFERROR(__xludf.DUMMYFUNCTION("GOOGLETRANSLATE(B28037,""en"",""fr"")"),"Un homme utilise un grand balai dans un parking.")</f>
        <v>Un homme utilise un grand balai dans un parking.</v>
      </c>
    </row>
    <row r="28038">
      <c r="A28038" s="4" t="s">
        <v>35306</v>
      </c>
      <c r="B28038" s="4" t="s">
        <v>35308</v>
      </c>
      <c r="C28038" s="5" t="str">
        <f>IFERROR(__xludf.DUMMYFUNCTION("GOOGLETRANSLATE(B28038,""en"",""fr"")"),"Il tourne le balai en rond autour de lui.")</f>
        <v>Il tourne le balai en rond autour de lui.</v>
      </c>
    </row>
    <row r="28039">
      <c r="A28039" s="4" t="s">
        <v>35306</v>
      </c>
      <c r="B28039" s="4" t="s">
        <v>35309</v>
      </c>
      <c r="C28039" s="5" t="str">
        <f>IFERROR(__xludf.DUMMYFUNCTION("GOOGLETRANSLATE(B28039,""en"",""fr"")"),"Le filage brosse les tas de feuilles hors du parking.")</f>
        <v>Le filage brosse les tas de feuilles hors du parking.</v>
      </c>
    </row>
    <row r="28040">
      <c r="A28040" s="4" t="s">
        <v>35310</v>
      </c>
      <c r="B28040" s="6" t="s">
        <v>35311</v>
      </c>
      <c r="C28040" s="5" t="str">
        <f>IFERROR(__xludf.DUMMYFUNCTION("GOOGLETRANSLATE(B28040,""en"",""fr"")"),"Une femme est vue en parlant à la caméra tout en tenant un chiffon et plus propre et la mène à la pulvérisation des gants et en les déplaçant le long d'un piano.")</f>
        <v>Une femme est vue en parlant à la caméra tout en tenant un chiffon et plus propre et la mène à la pulvérisation des gants et en les déplaçant le long d'un piano.</v>
      </c>
    </row>
    <row r="28041">
      <c r="A28041" s="4" t="s">
        <v>35310</v>
      </c>
      <c r="B28041" s="4" t="s">
        <v>35312</v>
      </c>
      <c r="C28041" s="5" t="str">
        <f>IFERROR(__xludf.DUMMYFUNCTION("GOOGLETRANSLATE(B28041,""en"",""fr"")"),"La femme continue d'essuyer tout autour du piano et se termine en parlant à la caméra.")</f>
        <v>La femme continue d'essuyer tout autour du piano et se termine en parlant à la caméra.</v>
      </c>
    </row>
    <row r="28042">
      <c r="A28042" s="4" t="s">
        <v>35313</v>
      </c>
      <c r="B28042" s="4" t="s">
        <v>27371</v>
      </c>
      <c r="C28042" s="5" t="str">
        <f>IFERROR(__xludf.DUMMYFUNCTION("GOOGLETRANSLATE(B28042,""en"",""fr"")"),"Nous voyons un écran de titre vert.")</f>
        <v>Nous voyons un écran de titre vert.</v>
      </c>
    </row>
    <row r="28043">
      <c r="A28043" s="4" t="s">
        <v>35313</v>
      </c>
      <c r="B28043" s="4" t="s">
        <v>35314</v>
      </c>
      <c r="C28043" s="5" t="str">
        <f>IFERROR(__xludf.DUMMYFUNCTION("GOOGLETRANSLATE(B28043,""en"",""fr"")"),"Les gens courent sur un terrain en jouant à un jeu de crosse.")</f>
        <v>Les gens courent sur un terrain en jouant à un jeu de crosse.</v>
      </c>
    </row>
    <row r="28044">
      <c r="A28044" s="4" t="s">
        <v>35313</v>
      </c>
      <c r="B28044" s="4" t="s">
        <v>35315</v>
      </c>
      <c r="C28044" s="5" t="str">
        <f>IFERROR(__xludf.DUMMYFUNCTION("GOOGLETRANSLATE(B28044,""en"",""fr"")"),"Un homme en short blanc se trouve devant la caméra.")</f>
        <v>Un homme en short blanc se trouve devant la caméra.</v>
      </c>
    </row>
    <row r="28045">
      <c r="A28045" s="4" t="s">
        <v>35313</v>
      </c>
      <c r="B28045" s="4" t="s">
        <v>35316</v>
      </c>
      <c r="C28045" s="5" t="str">
        <f>IFERROR(__xludf.DUMMYFUNCTION("GOOGLETRANSLATE(B28045,""en"",""fr"")"),"Un homme renverse l'un de ses coéquipiers.")</f>
        <v>Un homme renverse l'un de ses coéquipiers.</v>
      </c>
    </row>
    <row r="28046">
      <c r="A28046" s="4" t="s">
        <v>35313</v>
      </c>
      <c r="B28046" s="4" t="s">
        <v>35317</v>
      </c>
      <c r="C28046" s="5" t="str">
        <f>IFERROR(__xludf.DUMMYFUNCTION("GOOGLETRANSLATE(B28046,""en"",""fr"")"),"Deux hommes s'écrasent presque dans la caméra.")</f>
        <v>Deux hommes s'écrasent presque dans la caméra.</v>
      </c>
    </row>
    <row r="28047">
      <c r="A28047" s="4" t="s">
        <v>35313</v>
      </c>
      <c r="B28047" s="4" t="s">
        <v>35318</v>
      </c>
      <c r="C28047" s="5" t="str">
        <f>IFERROR(__xludf.DUMMYFUNCTION("GOOGLETRANSLATE(B28047,""en"",""fr"")"),"Un groupe de joueurs se bat contre le ballon.")</f>
        <v>Un groupe de joueurs se bat contre le ballon.</v>
      </c>
    </row>
    <row r="28048">
      <c r="A28048" s="4" t="s">
        <v>35313</v>
      </c>
      <c r="B28048" s="4" t="s">
        <v>35319</v>
      </c>
      <c r="C28048" s="5" t="str">
        <f>IFERROR(__xludf.DUMMYFUNCTION("GOOGLETRANSLATE(B28048,""en"",""fr"")"),"Un homme frappe le ballon loin sur le terrain.")</f>
        <v>Un homme frappe le ballon loin sur le terrain.</v>
      </c>
    </row>
    <row r="28049">
      <c r="A28049" s="4" t="s">
        <v>35313</v>
      </c>
      <c r="B28049" s="4" t="s">
        <v>35320</v>
      </c>
      <c r="C28049" s="5" t="str">
        <f>IFERROR(__xludf.DUMMYFUNCTION("GOOGLETRANSLATE(B28049,""en"",""fr"")"),"L'écran s'estompe au vert.")</f>
        <v>L'écran s'estompe au vert.</v>
      </c>
    </row>
    <row r="28050">
      <c r="A28050" s="4" t="s">
        <v>35321</v>
      </c>
      <c r="B28050" s="6" t="s">
        <v>35322</v>
      </c>
      <c r="C28050" s="5" t="str">
        <f>IFERROR(__xludf.DUMMYFUNCTION("GOOGLETRANSLATE(B28050,""en"",""fr"")"),"Un homme est assis sur un cheval et tenant un lasso tandis que les assistants se tiennent à côté et un public regarde.")</f>
        <v>Un homme est assis sur un cheval et tenant un lasso tandis que les assistants se tiennent à côté et un public regarde.</v>
      </c>
    </row>
    <row r="28051">
      <c r="A28051" s="4" t="s">
        <v>35321</v>
      </c>
      <c r="B28051" s="4" t="s">
        <v>35323</v>
      </c>
      <c r="C28051" s="5" t="str">
        <f>IFERROR(__xludf.DUMMYFUNCTION("GOOGLETRANSLATE(B28051,""en"",""fr"")"),"Une vache est libérée et l'homme le poursuit.")</f>
        <v>Une vache est libérée et l'homme le poursuit.</v>
      </c>
    </row>
    <row r="28052">
      <c r="A28052" s="4" t="s">
        <v>35321</v>
      </c>
      <c r="B28052" s="4" t="s">
        <v>35324</v>
      </c>
      <c r="C28052" s="5" t="str">
        <f>IFERROR(__xludf.DUMMYFUNCTION("GOOGLETRANSLATE(B28052,""en"",""fr"")"),"L'homme lassos et le lie.")</f>
        <v>L'homme lassos et le lie.</v>
      </c>
    </row>
    <row r="28053">
      <c r="A28053" s="4" t="s">
        <v>35321</v>
      </c>
      <c r="B28053" s="4" t="s">
        <v>35325</v>
      </c>
      <c r="C28053" s="5" t="str">
        <f>IFERROR(__xludf.DUMMYFUNCTION("GOOGLETRANSLATE(B28053,""en"",""fr"")"),"Un homme entre brièvement dans le cadre de la caméra.")</f>
        <v>Un homme entre brièvement dans le cadre de la caméra.</v>
      </c>
    </row>
    <row r="28054">
      <c r="A28054" s="4" t="s">
        <v>35321</v>
      </c>
      <c r="B28054" s="4" t="s">
        <v>35326</v>
      </c>
      <c r="C28054" s="5" t="str">
        <f>IFERROR(__xludf.DUMMYFUNCTION("GOOGLETRANSLATE(B28054,""en"",""fr"")"),"Un autre homme est assis sur un cheval et tenant un lasso dans le même cadre.")</f>
        <v>Un autre homme est assis sur un cheval et tenant un lasso dans le même cadre.</v>
      </c>
    </row>
    <row r="28055">
      <c r="A28055" s="4" t="s">
        <v>35321</v>
      </c>
      <c r="B28055" s="4" t="s">
        <v>35327</v>
      </c>
      <c r="C28055" s="5" t="str">
        <f>IFERROR(__xludf.DUMMYFUNCTION("GOOGLETRANSLATE(B28055,""en"",""fr"")"),"Une vache est libérée et le deuxième homme le poursuit.")</f>
        <v>Une vache est libérée et le deuxième homme le poursuit.</v>
      </c>
    </row>
    <row r="28056">
      <c r="A28056" s="4" t="s">
        <v>35321</v>
      </c>
      <c r="B28056" s="4" t="s">
        <v>35328</v>
      </c>
      <c r="C28056" s="5" t="str">
        <f>IFERROR(__xludf.DUMMYFUNCTION("GOOGLETRANSLATE(B28056,""en"",""fr"")"),"Le deuxième homme les lassos et le relie.")</f>
        <v>Le deuxième homme les lassos et le relie.</v>
      </c>
    </row>
    <row r="28057">
      <c r="A28057" s="4" t="s">
        <v>35321</v>
      </c>
      <c r="B28057" s="4" t="s">
        <v>35329</v>
      </c>
      <c r="C28057" s="5" t="str">
        <f>IFERROR(__xludf.DUMMYFUNCTION("GOOGLETRANSLATE(B28057,""en"",""fr"")"),"Deux coureurs et deux assistants entrent dans le cadre.")</f>
        <v>Deux coureurs et deux assistants entrent dans le cadre.</v>
      </c>
    </row>
    <row r="28058">
      <c r="A28058" s="4" t="s">
        <v>35330</v>
      </c>
      <c r="B28058" s="6" t="s">
        <v>35331</v>
      </c>
      <c r="C28058" s="5" t="str">
        <f>IFERROR(__xludf.DUMMYFUNCTION("GOOGLETRANSLATE(B28058,""en"",""fr"")"),"Un homme à l'élastique saute d'une capsule surélevée dans un plan d'eau sous lui dans une forêt comme un environnement.")</f>
        <v>Un homme à l'élastique saute d'une capsule surélevée dans un plan d'eau sous lui dans une forêt comme un environnement.</v>
      </c>
    </row>
    <row r="28059">
      <c r="A28059" s="4" t="s">
        <v>35330</v>
      </c>
      <c r="B28059" s="4" t="s">
        <v>35332</v>
      </c>
      <c r="C28059" s="5" t="str">
        <f>IFERROR(__xludf.DUMMYFUNCTION("GOOGLETRANSLATE(B28059,""en"",""fr"")"),"Un homme en chemise bleue est attaché dans un harnais de saut à l'élastique.")</f>
        <v>Un homme en chemise bleue est attaché dans un harnais de saut à l'élastique.</v>
      </c>
    </row>
    <row r="28060">
      <c r="A28060" s="4" t="s">
        <v>35330</v>
      </c>
      <c r="B28060" s="4" t="s">
        <v>35333</v>
      </c>
      <c r="C28060" s="5" t="str">
        <f>IFERROR(__xludf.DUMMYFUNCTION("GOOGLETRANSLATE(B28060,""en"",""fr"")"),"L'homme est ensuite soulevé dans l'air dans une capsule jaune avec un guide, au-dessus d'un plan d'eau.")</f>
        <v>L'homme est ensuite soulevé dans l'air dans une capsule jaune avec un guide, au-dessus d'un plan d'eau.</v>
      </c>
    </row>
    <row r="28061">
      <c r="A28061" s="4" t="s">
        <v>35330</v>
      </c>
      <c r="B28061" s="6" t="s">
        <v>35334</v>
      </c>
      <c r="C28061" s="5" t="str">
        <f>IFERROR(__xludf.DUMMYFUNCTION("GOOGLETRANSLATE(B28061,""en"",""fr"")"),"L'homme saute ensuite de la capsule et tombe la distance entre la capsule et l'eau et se plonge dans l'eau.")</f>
        <v>L'homme saute ensuite de la capsule et tombe la distance entre la capsule et l'eau et se plonge dans l'eau.</v>
      </c>
    </row>
    <row r="28062">
      <c r="A28062" s="4" t="s">
        <v>35335</v>
      </c>
      <c r="B28062" s="4" t="s">
        <v>35336</v>
      </c>
      <c r="C28062" s="5" t="str">
        <f>IFERROR(__xludf.DUMMYFUNCTION("GOOGLETRANSLATE(B28062,""en"",""fr"")"),"Un homme en chemise bleue se tient dans les bois expliquant quelque chose.")</f>
        <v>Un homme en chemise bleue se tient dans les bois expliquant quelque chose.</v>
      </c>
    </row>
    <row r="28063">
      <c r="A28063" s="4" t="s">
        <v>35335</v>
      </c>
      <c r="B28063" s="4" t="s">
        <v>35337</v>
      </c>
      <c r="C28063" s="5" t="str">
        <f>IFERROR(__xludf.DUMMYFUNCTION("GOOGLETRANSLATE(B28063,""en"",""fr"")"),"Il montre ensuite comment installer du bois pour un feu.")</f>
        <v>Il montre ensuite comment installer du bois pour un feu.</v>
      </c>
    </row>
    <row r="28064">
      <c r="A28064" s="4" t="s">
        <v>35335</v>
      </c>
      <c r="B28064" s="4" t="s">
        <v>35338</v>
      </c>
      <c r="C28064" s="5" t="str">
        <f>IFERROR(__xludf.DUMMYFUNCTION("GOOGLETRANSLATE(B28064,""en"",""fr"")"),"La caméra remonte à lui debout.")</f>
        <v>La caméra remonte à lui debout.</v>
      </c>
    </row>
    <row r="28065">
      <c r="A28065" s="4" t="s">
        <v>35335</v>
      </c>
      <c r="B28065" s="4" t="s">
        <v>35339</v>
      </c>
      <c r="C28065" s="5" t="str">
        <f>IFERROR(__xludf.DUMMYFUNCTION("GOOGLETRANSLATE(B28065,""en"",""fr"")"),"La caméra se rend au feu.")</f>
        <v>La caméra se rend au feu.</v>
      </c>
    </row>
    <row r="28066">
      <c r="A28066" s="4" t="s">
        <v>35335</v>
      </c>
      <c r="B28066" s="4" t="s">
        <v>35340</v>
      </c>
      <c r="C28066" s="5" t="str">
        <f>IFERROR(__xludf.DUMMYFUNCTION("GOOGLETRANSLATE(B28066,""en"",""fr"")"),"La caméra remonte à lui debout.")</f>
        <v>La caméra remonte à lui debout.</v>
      </c>
    </row>
    <row r="28067">
      <c r="A28067" s="4" t="s">
        <v>35335</v>
      </c>
      <c r="B28067" s="4" t="s">
        <v>35341</v>
      </c>
      <c r="C28067" s="5" t="str">
        <f>IFERROR(__xludf.DUMMYFUNCTION("GOOGLETRANSLATE(B28067,""en"",""fr"")"),"La caméra remonte à lui en construisant un autre type de feu de camp.")</f>
        <v>La caméra remonte à lui en construisant un autre type de feu de camp.</v>
      </c>
    </row>
    <row r="28068">
      <c r="A28068" s="4" t="s">
        <v>35335</v>
      </c>
      <c r="B28068" s="4" t="s">
        <v>35342</v>
      </c>
      <c r="C28068" s="5" t="str">
        <f>IFERROR(__xludf.DUMMYFUNCTION("GOOGLETRANSLATE(B28068,""en"",""fr"")"),"Il se tient à nouveau dans les bois qui parlent.")</f>
        <v>Il se tient à nouveau dans les bois qui parlent.</v>
      </c>
    </row>
    <row r="28069">
      <c r="A28069" s="4" t="s">
        <v>35343</v>
      </c>
      <c r="B28069" s="6" t="s">
        <v>35344</v>
      </c>
      <c r="C28069" s="5" t="str">
        <f>IFERROR(__xludf.DUMMYFUNCTION("GOOGLETRANSLATE(B28069,""en"",""fr"")"),"Une vidéo de la façon d'empêcher les fuites de toit de VR est montrée, il y a un toit de VR et un homme qui nettoie la colle autour de la fuite.")</f>
        <v>Une vidéo de la façon d'empêcher les fuites de toit de VR est montrée, il y a un toit de VR et un homme qui nettoie la colle autour de la fuite.</v>
      </c>
    </row>
    <row r="28070">
      <c r="A28070" s="4" t="s">
        <v>35343</v>
      </c>
      <c r="B28070" s="4" t="s">
        <v>35345</v>
      </c>
      <c r="C28070" s="5" t="str">
        <f>IFERROR(__xludf.DUMMYFUNCTION("GOOGLETRANSLATE(B28070,""en"",""fr"")"),"L'homme met de la colle blanche autour de la fuite.")</f>
        <v>L'homme met de la colle blanche autour de la fuite.</v>
      </c>
    </row>
    <row r="28071">
      <c r="A28071" s="4" t="s">
        <v>35346</v>
      </c>
      <c r="B28071" s="4" t="s">
        <v>35347</v>
      </c>
      <c r="C28071" s="5" t="str">
        <f>IFERROR(__xludf.DUMMYFUNCTION("GOOGLETRANSLATE(B28071,""en"",""fr"")"),"Une introduction arrive sur l'écran pour une vidéo sur le snowboard.")</f>
        <v>Une introduction arrive sur l'écran pour une vidéo sur le snowboard.</v>
      </c>
    </row>
    <row r="28072">
      <c r="A28072" s="4" t="s">
        <v>35346</v>
      </c>
      <c r="B28072" s="4" t="s">
        <v>35348</v>
      </c>
      <c r="C28072" s="5" t="str">
        <f>IFERROR(__xludf.DUMMYFUNCTION("GOOGLETRANSLATE(B28072,""en"",""fr"")"),"Un snowboarder commence à faire des commentaires sur ses techniques de snowboard.")</f>
        <v>Un snowboarder commence à faire des commentaires sur ses techniques de snowboard.</v>
      </c>
    </row>
    <row r="28073">
      <c r="A28073" s="4" t="s">
        <v>35346</v>
      </c>
      <c r="B28073" s="4" t="s">
        <v>35349</v>
      </c>
      <c r="C28073" s="5" t="str">
        <f>IFERROR(__xludf.DUMMYFUNCTION("GOOGLETRANSLATE(B28073,""en"",""fr"")"),"Plusieurs clips de snowboarders sont présentés en effectuant la technique comme il l'explique.")</f>
        <v>Plusieurs clips de snowboarders sont présentés en effectuant la technique comme il l'explique.</v>
      </c>
    </row>
    <row r="28074">
      <c r="A28074" s="4" t="s">
        <v>35346</v>
      </c>
      <c r="B28074" s="4" t="s">
        <v>4761</v>
      </c>
      <c r="C28074" s="5" t="str">
        <f>IFERROR(__xludf.DUMMYFUNCTION("GOOGLETRANSLATE(B28074,""en"",""fr"")"),"La vidéo se termine par les crédits de clôture affichés à l'écran.")</f>
        <v>La vidéo se termine par les crédits de clôture affichés à l'écran.</v>
      </c>
    </row>
    <row r="28075">
      <c r="A28075" s="4" t="s">
        <v>35350</v>
      </c>
      <c r="B28075" s="4" t="s">
        <v>35351</v>
      </c>
      <c r="C28075" s="5" t="str">
        <f>IFERROR(__xludf.DUMMYFUNCTION("GOOGLETRANSLATE(B28075,""en"",""fr"")"),"L'écran montre le snowboard Transworld à Keystone, Colorado.")</f>
        <v>L'écran montre le snowboard Transworld à Keystone, Colorado.</v>
      </c>
    </row>
    <row r="28076">
      <c r="A28076" s="4" t="s">
        <v>35350</v>
      </c>
      <c r="B28076" s="4" t="s">
        <v>35352</v>
      </c>
      <c r="C28076" s="5" t="str">
        <f>IFERROR(__xludf.DUMMYFUNCTION("GOOGLETRANSLATE(B28076,""en"",""fr"")"),"Il affiche les principes fondamentaux du snowboard par Jack Mitrani.")</f>
        <v>Il affiche les principes fondamentaux du snowboard par Jack Mitrani.</v>
      </c>
    </row>
    <row r="28077">
      <c r="A28077" s="4" t="s">
        <v>35350</v>
      </c>
      <c r="B28077" s="6" t="s">
        <v>35353</v>
      </c>
      <c r="C28077" s="5" t="str">
        <f>IFERROR(__xludf.DUMMYFUNCTION("GOOGLETRANSLATE(B28077,""en"",""fr"")"),"Une personne portant un sweat à capuche vert et un chapeau parle de l'essentiel requis pour le snowboard.")</f>
        <v>Une personne portant un sweat à capuche vert et un chapeau parle de l'essentiel requis pour le snowboard.</v>
      </c>
    </row>
    <row r="28078">
      <c r="A28078" s="4" t="s">
        <v>35350</v>
      </c>
      <c r="B28078" s="4" t="s">
        <v>35354</v>
      </c>
      <c r="C28078" s="5" t="str">
        <f>IFERROR(__xludf.DUMMYFUNCTION("GOOGLETRANSLATE(B28078,""en"",""fr"")"),"Il démontre son tutoriel avec un snowboard placé devant lui.")</f>
        <v>Il démontre son tutoriel avec un snowboard placé devant lui.</v>
      </c>
    </row>
    <row r="28079">
      <c r="A28079" s="4" t="s">
        <v>35350</v>
      </c>
      <c r="B28079" s="4" t="s">
        <v>35355</v>
      </c>
      <c r="C28079" s="5" t="str">
        <f>IFERROR(__xludf.DUMMYFUNCTION("GOOGLETRANSLATE(B28079,""en"",""fr"")"),"Il tient un fer à fer dans sa main alors qu'il explique comment cirer la planche.")</f>
        <v>Il tient un fer à fer dans sa main alors qu'il explique comment cirer la planche.</v>
      </c>
    </row>
    <row r="28080">
      <c r="A28080" s="4" t="s">
        <v>35350</v>
      </c>
      <c r="B28080" s="4" t="s">
        <v>35356</v>
      </c>
      <c r="C28080" s="5" t="str">
        <f>IFERROR(__xludf.DUMMYFUNCTION("GOOGLETRANSLATE(B28080,""en"",""fr"")"),"Il a un morceau de cire dure à la main et un fer aussi.")</f>
        <v>Il a un morceau de cire dure à la main et un fer aussi.</v>
      </c>
    </row>
    <row r="28081">
      <c r="A28081" s="4" t="s">
        <v>35350</v>
      </c>
      <c r="B28081" s="4" t="s">
        <v>35357</v>
      </c>
      <c r="C28081" s="5" t="str">
        <f>IFERROR(__xludf.DUMMYFUNCTION("GOOGLETRANSLATE(B28081,""en"",""fr"")"),"Il commence à faire fondre la cire avec le fer chauffé et le laisse tomber sur la planche.")</f>
        <v>Il commence à faire fondre la cire avec le fer chauffé et le laisse tomber sur la planche.</v>
      </c>
    </row>
    <row r="28082">
      <c r="A28082" s="4" t="s">
        <v>35350</v>
      </c>
      <c r="B28082" s="4" t="s">
        <v>35358</v>
      </c>
      <c r="C28082" s="5" t="str">
        <f>IFERROR(__xludf.DUMMYFUNCTION("GOOGLETRANSLATE(B28082,""en"",""fr"")"),"Il laisse tomber la cire fondue partout sur la planche.")</f>
        <v>Il laisse tomber la cire fondue partout sur la planche.</v>
      </c>
    </row>
    <row r="28083">
      <c r="A28083" s="4" t="s">
        <v>35350</v>
      </c>
      <c r="B28083" s="4" t="s">
        <v>35359</v>
      </c>
      <c r="C28083" s="5" t="str">
        <f>IFERROR(__xludf.DUMMYFUNCTION("GOOGLETRANSLATE(B28083,""en"",""fr"")"),"Il traîne ensuite la cire fondue tout au long de la planche.")</f>
        <v>Il traîne ensuite la cire fondue tout au long de la planche.</v>
      </c>
    </row>
    <row r="28084">
      <c r="A28084" s="4" t="s">
        <v>35350</v>
      </c>
      <c r="B28084" s="4" t="s">
        <v>35360</v>
      </c>
      <c r="C28084" s="5" t="str">
        <f>IFERROR(__xludf.DUMMYFUNCTION("GOOGLETRANSLATE(B28084,""en"",""fr"")"),"Il poursuit le même processus dans tout le conseil d'administration.")</f>
        <v>Il poursuit le même processus dans tout le conseil d'administration.</v>
      </c>
    </row>
    <row r="28085">
      <c r="A28085" s="4" t="s">
        <v>35350</v>
      </c>
      <c r="B28085" s="4" t="s">
        <v>35361</v>
      </c>
      <c r="C28085" s="5" t="str">
        <f>IFERROR(__xludf.DUMMYFUNCTION("GOOGLETRANSLATE(B28085,""en"",""fr"")"),"Utilise ensuite un grattoir pour gratter la cire et nettoyer la planche.")</f>
        <v>Utilise ensuite un grattoir pour gratter la cire et nettoyer la planche.</v>
      </c>
    </row>
    <row r="28086">
      <c r="A28086" s="4" t="s">
        <v>35350</v>
      </c>
      <c r="B28086" s="4" t="s">
        <v>35362</v>
      </c>
      <c r="C28086" s="5" t="str">
        <f>IFERROR(__xludf.DUMMYFUNCTION("GOOGLETRANSLATE(B28086,""en"",""fr"")"),"Il utilise également une brosse pour brosser la cire et souffle les copeaux de cire de la planche.")</f>
        <v>Il utilise également une brosse pour brosser la cire et souffle les copeaux de cire de la planche.</v>
      </c>
    </row>
    <row r="28087">
      <c r="A28087" s="4" t="s">
        <v>35363</v>
      </c>
      <c r="B28087" s="4" t="s">
        <v>35364</v>
      </c>
      <c r="C28087" s="5" t="str">
        <f>IFERROR(__xludf.DUMMYFUNCTION("GOOGLETRANSLATE(B28087,""en"",""fr"")"),"Une gymnaste féminine passe par sa routine alors que son entraîneur supervise.")</f>
        <v>Une gymnaste féminine passe par sa routine alors que son entraîneur supervise.</v>
      </c>
    </row>
    <row r="28088">
      <c r="A28088" s="4" t="s">
        <v>35363</v>
      </c>
      <c r="B28088" s="6" t="s">
        <v>35365</v>
      </c>
      <c r="C28088" s="5" t="str">
        <f>IFERROR(__xludf.DUMMYFUNCTION("GOOGLETRANSLATE(B28088,""en"",""fr"")"),"Les graphiques apparaissent en bas de l'écran qui donnent le nom et le pays de la fille qu'elle représente.")</f>
        <v>Les graphiques apparaissent en bas de l'écran qui donnent le nom et le pays de la fille qu'elle représente.</v>
      </c>
    </row>
    <row r="28089">
      <c r="A28089" s="4" t="s">
        <v>35363</v>
      </c>
      <c r="B28089" s="4" t="s">
        <v>35366</v>
      </c>
      <c r="C28089" s="5" t="str">
        <f>IFERROR(__xludf.DUMMYFUNCTION("GOOGLETRANSLATE(B28089,""en"",""fr"")"),"Son entraîneur se dirige vers les barres inégales pour se positionner au cas où elle tomberait.")</f>
        <v>Son entraîneur se dirige vers les barres inégales pour se positionner au cas où elle tomberait.</v>
      </c>
    </row>
    <row r="28090">
      <c r="A28090" s="4" t="s">
        <v>35363</v>
      </c>
      <c r="B28090" s="6" t="s">
        <v>35367</v>
      </c>
      <c r="C28090" s="5" t="str">
        <f>IFERROR(__xludf.DUMMYFUNCTION("GOOGLETRANSLATE(B28090,""en"",""fr"")"),"L'entraîneur se dirige vers les barres inégales une deuxième fois pour se positionner pour la rattraper si nécessaire, puis se précipite de l'autre côté des tapis.")</f>
        <v>L'entraîneur se dirige vers les barres inégales une deuxième fois pour se positionner pour la rattraper si nécessaire, puis se précipite de l'autre côté des tapis.</v>
      </c>
    </row>
    <row r="28091">
      <c r="A28091" s="4" t="s">
        <v>35363</v>
      </c>
      <c r="B28091" s="4" t="s">
        <v>35368</v>
      </c>
      <c r="C28091" s="5" t="str">
        <f>IFERROR(__xludf.DUMMYFUNCTION("GOOGLETRANSLATE(B28091,""en"",""fr"")"),"Elle descend des bars inégaux et atterrit sur le tapis et pose.")</f>
        <v>Elle descend des bars inégaux et atterrit sur le tapis et pose.</v>
      </c>
    </row>
    <row r="28092">
      <c r="A28092" s="4" t="s">
        <v>35369</v>
      </c>
      <c r="B28092" s="4" t="s">
        <v>35370</v>
      </c>
      <c r="C28092" s="5" t="str">
        <f>IFERROR(__xludf.DUMMYFUNCTION("GOOGLETRANSLATE(B28092,""en"",""fr"")"),"Les gens sont assis autour d'un feu de camp.")</f>
        <v>Les gens sont assis autour d'un feu de camp.</v>
      </c>
    </row>
    <row r="28093">
      <c r="A28093" s="4" t="s">
        <v>35369</v>
      </c>
      <c r="B28093" s="4" t="s">
        <v>35371</v>
      </c>
      <c r="C28093" s="5" t="str">
        <f>IFERROR(__xludf.DUMMYFUNCTION("GOOGLETRANSLATE(B28093,""en"",""fr"")"),"Un homme en chapeau se lève et coupe du bois.")</f>
        <v>Un homme en chapeau se lève et coupe du bois.</v>
      </c>
    </row>
    <row r="28094">
      <c r="A28094" s="4" t="s">
        <v>35369</v>
      </c>
      <c r="B28094" s="4" t="s">
        <v>35372</v>
      </c>
      <c r="C28094" s="5" t="str">
        <f>IFERROR(__xludf.DUMMYFUNCTION("GOOGLETRANSLATE(B28094,""en"",""fr"")"),"Il donne un coup de pouce et met la hache sur son épaule.")</f>
        <v>Il donne un coup de pouce et met la hache sur son épaule.</v>
      </c>
    </row>
    <row r="28095">
      <c r="A28095" s="4" t="s">
        <v>35373</v>
      </c>
      <c r="B28095" s="4" t="s">
        <v>35374</v>
      </c>
      <c r="C28095" s="5" t="str">
        <f>IFERROR(__xludf.DUMMYFUNCTION("GOOGLETRANSLATE(B28095,""en"",""fr"")"),"Un homme conduit sa voiture à la plage.")</f>
        <v>Un homme conduit sa voiture à la plage.</v>
      </c>
    </row>
    <row r="28096">
      <c r="A28096" s="4" t="s">
        <v>35373</v>
      </c>
      <c r="B28096" s="4" t="s">
        <v>35375</v>
      </c>
      <c r="C28096" s="5" t="str">
        <f>IFERROR(__xludf.DUMMYFUNCTION("GOOGLETRANSLATE(B28096,""en"",""fr"")"),"Il se prépare pour le surf.")</f>
        <v>Il se prépare pour le surf.</v>
      </c>
    </row>
    <row r="28097">
      <c r="A28097" s="4" t="s">
        <v>35373</v>
      </c>
      <c r="B28097" s="4" t="s">
        <v>35376</v>
      </c>
      <c r="C28097" s="5" t="str">
        <f>IFERROR(__xludf.DUMMYFUNCTION("GOOGLETRANSLATE(B28097,""en"",""fr"")"),"Il surfait ensuite sur une grande vague.")</f>
        <v>Il surfait ensuite sur une grande vague.</v>
      </c>
    </row>
    <row r="28098">
      <c r="A28098" s="4" t="s">
        <v>35373</v>
      </c>
      <c r="B28098" s="4" t="s">
        <v>35377</v>
      </c>
      <c r="C28098" s="5" t="str">
        <f>IFERROR(__xludf.DUMMYFUNCTION("GOOGLETRANSLATE(B28098,""en"",""fr"")"),"Il finit et se tient sur la plage.")</f>
        <v>Il finit et se tient sur la plage.</v>
      </c>
    </row>
    <row r="28099">
      <c r="A28099" s="4" t="s">
        <v>35378</v>
      </c>
      <c r="B28099" s="4" t="s">
        <v>35379</v>
      </c>
      <c r="C28099" s="5" t="str">
        <f>IFERROR(__xludf.DUMMYFUNCTION("GOOGLETRANSLATE(B28099,""en"",""fr"")"),"Une personne touche la peau avec un feu vert tout en nettoyant la zone.")</f>
        <v>Une personne touche la peau avec un feu vert tout en nettoyant la zone.</v>
      </c>
    </row>
    <row r="28100">
      <c r="A28100" s="4" t="s">
        <v>35378</v>
      </c>
      <c r="B28100" s="4" t="s">
        <v>35380</v>
      </c>
      <c r="C28100" s="5" t="str">
        <f>IFERROR(__xludf.DUMMYFUNCTION("GOOGLETRANSLATE(B28100,""en"",""fr"")"),"La personne nettoie la jambe avec du coton.")</f>
        <v>La personne nettoie la jambe avec du coton.</v>
      </c>
    </row>
    <row r="28101">
      <c r="A28101" s="4" t="s">
        <v>35378</v>
      </c>
      <c r="B28101" s="4" t="s">
        <v>35381</v>
      </c>
      <c r="C28101" s="5" t="str">
        <f>IFERROR(__xludf.DUMMYFUNCTION("GOOGLETRANSLATE(B28101,""en"",""fr"")"),"La personne continue d'appliquer le feu vert.")</f>
        <v>La personne continue d'appliquer le feu vert.</v>
      </c>
    </row>
    <row r="28102">
      <c r="A28102" s="4" t="s">
        <v>35382</v>
      </c>
      <c r="B28102" s="4" t="s">
        <v>35383</v>
      </c>
      <c r="C28102" s="5" t="str">
        <f>IFERROR(__xludf.DUMMYFUNCTION("GOOGLETRANSLATE(B28102,""en"",""fr"")"),"Il y a 4 enfants afro-américains qui sautent sur le sol en béton.")</f>
        <v>Il y a 4 enfants afro-américains qui sautent sur le sol en béton.</v>
      </c>
    </row>
    <row r="28103">
      <c r="A28103" s="4" t="s">
        <v>35382</v>
      </c>
      <c r="B28103" s="4" t="s">
        <v>35384</v>
      </c>
      <c r="C28103" s="5" t="str">
        <f>IFERROR(__xludf.DUMMYFUNCTION("GOOGLETRANSLATE(B28103,""en"",""fr"")"),"3 portent des robes et 1 d'entre eux porte une chemise et un pantalon.")</f>
        <v>3 portent des robes et 1 d'entre eux porte une chemise et un pantalon.</v>
      </c>
    </row>
    <row r="28104">
      <c r="A28104" s="4" t="s">
        <v>35382</v>
      </c>
      <c r="B28104" s="6" t="s">
        <v>35385</v>
      </c>
      <c r="C28104" s="5" t="str">
        <f>IFERROR(__xludf.DUMMYFUNCTION("GOOGLETRANSLATE(B28104,""en"",""fr"")"),"Après avoir fini de sauter, ils vont cueillir des légumes sur le côté d'un bâtiment et les mettre dans un bol bleu.")</f>
        <v>Après avoir fini de sauter, ils vont cueillir des légumes sur le côté d'un bâtiment et les mettre dans un bol bleu.</v>
      </c>
    </row>
    <row r="28105">
      <c r="A28105" s="4" t="s">
        <v>35386</v>
      </c>
      <c r="B28105" s="4" t="s">
        <v>35387</v>
      </c>
      <c r="C28105" s="5" t="str">
        <f>IFERROR(__xludf.DUMMYFUNCTION("GOOGLETRANSLATE(B28105,""en"",""fr"")"),"Deux femmes sont dans une pièce debout derrière une table et une tient un ours en peluche.")</f>
        <v>Deux femmes sont dans une pièce debout derrière une table et une tient un ours en peluche.</v>
      </c>
    </row>
    <row r="28106">
      <c r="A28106" s="4" t="s">
        <v>35386</v>
      </c>
      <c r="B28106" s="4" t="s">
        <v>35388</v>
      </c>
      <c r="C28106" s="5" t="str">
        <f>IFERROR(__xludf.DUMMYFUNCTION("GOOGLETRANSLATE(B28106,""en"",""fr"")"),"Les deux aident les uns les autres et commencent par éliminer un rouleau de papier d'emballage.")</f>
        <v>Les deux aident les uns les autres et commencent par éliminer un rouleau de papier d'emballage.</v>
      </c>
    </row>
    <row r="28107">
      <c r="A28107" s="4" t="s">
        <v>35386</v>
      </c>
      <c r="B28107" s="4" t="s">
        <v>35389</v>
      </c>
      <c r="C28107" s="5" t="str">
        <f>IFERROR(__xludf.DUMMYFUNCTION("GOOGLETRANSLATE(B28107,""en"",""fr"")"),"Après, la jeune fille commence à couper, replier et coller le papier et placer l'ours à l'intérieur.")</f>
        <v>Après, la jeune fille commence à couper, replier et coller le papier et placer l'ours à l'intérieur.</v>
      </c>
    </row>
    <row r="28108">
      <c r="A28108" s="4" t="s">
        <v>35386</v>
      </c>
      <c r="B28108" s="4" t="s">
        <v>35390</v>
      </c>
      <c r="C28108" s="5" t="str">
        <f>IFERROR(__xludf.DUMMYFUNCTION("GOOGLETRANSLATE(B28108,""en"",""fr"")"),"Enfin, la tâche est terminée et elle tient le produit fini sur la table.")</f>
        <v>Enfin, la tâche est terminée et elle tient le produit fini sur la table.</v>
      </c>
    </row>
    <row r="28109">
      <c r="A28109" s="4" t="s">
        <v>35391</v>
      </c>
      <c r="B28109" s="4" t="s">
        <v>35392</v>
      </c>
      <c r="C28109" s="5" t="str">
        <f>IFERROR(__xludf.DUMMYFUNCTION("GOOGLETRANSLATE(B28109,""en"",""fr"")"),"Un groupe d'hommes est à l'extérieur debout dans un cercle frappant des bâtons alors que deux hommes commencent à se battre.")</f>
        <v>Un groupe d'hommes est à l'extérieur debout dans un cercle frappant des bâtons alors que deux hommes commencent à se battre.</v>
      </c>
    </row>
    <row r="28110">
      <c r="A28110" s="4" t="s">
        <v>35391</v>
      </c>
      <c r="B28110" s="4" t="s">
        <v>35393</v>
      </c>
      <c r="C28110" s="5" t="str">
        <f>IFERROR(__xludf.DUMMYFUNCTION("GOOGLETRANSLATE(B28110,""en"",""fr"")"),"Ensuite, deux autres hommes commencent à danser autour du cercle en faisant des mouvements de combat.")</f>
        <v>Ensuite, deux autres hommes commencent à danser autour du cercle en faisant des mouvements de combat.</v>
      </c>
    </row>
    <row r="28111">
      <c r="A28111" s="4" t="s">
        <v>35391</v>
      </c>
      <c r="B28111" s="6" t="s">
        <v>35394</v>
      </c>
      <c r="C28111" s="5" t="str">
        <f>IFERROR(__xludf.DUMMYFUNCTION("GOOGLETRANSLATE(B28111,""en"",""fr"")"),"Après, les hommes entrent dans le cercle par paires et commencent à danser les uns autour des autres comme s'ils se battaient.")</f>
        <v>Après, les hommes entrent dans le cercle par paires et commencent à danser les uns autour des autres comme s'ils se battaient.</v>
      </c>
    </row>
    <row r="28112">
      <c r="A28112" s="4" t="s">
        <v>35395</v>
      </c>
      <c r="B28112" s="4" t="s">
        <v>35396</v>
      </c>
      <c r="C28112" s="5" t="str">
        <f>IFERROR(__xludf.DUMMYFUNCTION("GOOGLETRANSLATE(B28112,""en"",""fr"")"),"Une vidéo de fille enregistre un homme lançant l'éclairage de l'extrémité d'un bâton en feu.")</f>
        <v>Une vidéo de fille enregistre un homme lançant l'éclairage de l'extrémité d'un bâton en feu.</v>
      </c>
    </row>
    <row r="28113">
      <c r="A28113" s="4" t="s">
        <v>35395</v>
      </c>
      <c r="B28113" s="4" t="s">
        <v>35397</v>
      </c>
      <c r="C28113" s="5" t="str">
        <f>IFERROR(__xludf.DUMMYFUNCTION("GOOGLETRANSLATE(B28113,""en"",""fr"")"),"L'homme souffle le bâton de feu dans un tas de bois et crée finalement un feu.")</f>
        <v>L'homme souffle le bâton de feu dans un tas de bois et crée finalement un feu.</v>
      </c>
    </row>
    <row r="28114">
      <c r="A28114" s="4" t="s">
        <v>35398</v>
      </c>
      <c r="B28114" s="4" t="s">
        <v>35399</v>
      </c>
      <c r="C28114" s="5" t="str">
        <f>IFERROR(__xludf.DUMMYFUNCTION("GOOGLETRANSLATE(B28114,""en"",""fr"")"),"Deux hommes se tiennent dans un gymnase.")</f>
        <v>Deux hommes se tiennent dans un gymnase.</v>
      </c>
    </row>
    <row r="28115">
      <c r="A28115" s="4" t="s">
        <v>35398</v>
      </c>
      <c r="B28115" s="4" t="s">
        <v>35400</v>
      </c>
      <c r="C28115" s="5" t="str">
        <f>IFERROR(__xludf.DUMMYFUNCTION("GOOGLETRANSLATE(B28115,""en"",""fr"")"),"Un homme se met à genoux et soulève deux poids.")</f>
        <v>Un homme se met à genoux et soulève deux poids.</v>
      </c>
    </row>
    <row r="28116">
      <c r="A28116" s="4" t="s">
        <v>35398</v>
      </c>
      <c r="B28116" s="4" t="s">
        <v>35401</v>
      </c>
      <c r="C28116" s="5" t="str">
        <f>IFERROR(__xludf.DUMMYFUNCTION("GOOGLETRANSLATE(B28116,""en"",""fr"")"),"Un homme se tient derrière lui et parle.")</f>
        <v>Un homme se tient derrière lui et parle.</v>
      </c>
    </row>
    <row r="28117">
      <c r="A28117" s="4" t="s">
        <v>35398</v>
      </c>
      <c r="B28117" s="4" t="s">
        <v>35402</v>
      </c>
      <c r="C28117" s="5" t="str">
        <f>IFERROR(__xludf.DUMMYFUNCTION("GOOGLETRANSLATE(B28117,""en"",""fr"")"),"L'homme se lève et s'agenouille plusieurs fois.")</f>
        <v>L'homme se lève et s'agenouille plusieurs fois.</v>
      </c>
    </row>
    <row r="28118">
      <c r="A28118" s="4" t="s">
        <v>35403</v>
      </c>
      <c r="B28118" s="4" t="s">
        <v>35404</v>
      </c>
      <c r="C28118" s="5" t="str">
        <f>IFERROR(__xludf.DUMMYFUNCTION("GOOGLETRANSLATE(B28118,""en"",""fr"")"),"Un homme porte du blanc devant un bâtiment.")</f>
        <v>Un homme porte du blanc devant un bâtiment.</v>
      </c>
    </row>
    <row r="28119">
      <c r="A28119" s="4" t="s">
        <v>35403</v>
      </c>
      <c r="B28119" s="4" t="s">
        <v>35405</v>
      </c>
      <c r="C28119" s="5" t="str">
        <f>IFERROR(__xludf.DUMMYFUNCTION("GOOGLETRANSLATE(B28119,""en"",""fr"")"),"Il fait plusieurs mouvements d'arts martiaux.")</f>
        <v>Il fait plusieurs mouvements d'arts martiaux.</v>
      </c>
    </row>
    <row r="28120">
      <c r="A28120" s="4" t="s">
        <v>35403</v>
      </c>
      <c r="B28120" s="4" t="s">
        <v>35406</v>
      </c>
      <c r="C28120" s="5" t="str">
        <f>IFERROR(__xludf.DUMMYFUNCTION("GOOGLETRANSLATE(B28120,""en"",""fr"")"),"Il se déplace très lentement alors qu'il démontre les mouvements.")</f>
        <v>Il se déplace très lentement alors qu'il démontre les mouvements.</v>
      </c>
    </row>
    <row r="28121">
      <c r="A28121" s="4" t="s">
        <v>35407</v>
      </c>
      <c r="B28121" s="4" t="s">
        <v>35408</v>
      </c>
      <c r="C28121" s="5" t="str">
        <f>IFERROR(__xludf.DUMMYFUNCTION("GOOGLETRANSLATE(B28121,""en"",""fr"")"),"Nous voyons un écran d'intro noir.")</f>
        <v>Nous voyons un écran d'intro noir.</v>
      </c>
    </row>
    <row r="28122">
      <c r="A28122" s="4" t="s">
        <v>35407</v>
      </c>
      <c r="B28122" s="4" t="s">
        <v>35409</v>
      </c>
      <c r="C28122" s="5" t="str">
        <f>IFERROR(__xludf.DUMMYFUNCTION("GOOGLETRANSLATE(B28122,""en"",""fr"")"),"Nous voyons la princesse Diana et un homme jouant au billard.")</f>
        <v>Nous voyons la princesse Diana et un homme jouant au billard.</v>
      </c>
    </row>
    <row r="28123">
      <c r="A28123" s="4" t="s">
        <v>35407</v>
      </c>
      <c r="B28123" s="4" t="s">
        <v>35410</v>
      </c>
      <c r="C28123" s="5" t="str">
        <f>IFERROR(__xludf.DUMMYFUNCTION("GOOGLETRANSLATE(B28123,""en"",""fr"")"),"Les photographes se lèvent au bout de sa table.")</f>
        <v>Les photographes se lèvent au bout de sa table.</v>
      </c>
    </row>
    <row r="28124">
      <c r="A28124" s="4" t="s">
        <v>35407</v>
      </c>
      <c r="B28124" s="4" t="s">
        <v>35411</v>
      </c>
      <c r="C28124" s="5" t="str">
        <f>IFERROR(__xludf.DUMMYFUNCTION("GOOGLETRANSLATE(B28124,""en"",""fr"")"),"La princesse et son peuple sortent de la pièce.")</f>
        <v>La princesse et son peuple sortent de la pièce.</v>
      </c>
    </row>
    <row r="28125">
      <c r="A28125" s="4" t="s">
        <v>35407</v>
      </c>
      <c r="B28125" s="4" t="s">
        <v>35412</v>
      </c>
      <c r="C28125" s="5" t="str">
        <f>IFERROR(__xludf.DUMMYFUNCTION("GOOGLETRANSLATE(B28125,""en"",""fr"")"),"Nous retournons à l'écran noir.")</f>
        <v>Nous retournons à l'écran noir.</v>
      </c>
    </row>
    <row r="28126">
      <c r="A28126" s="4" t="s">
        <v>35413</v>
      </c>
      <c r="B28126" s="4" t="s">
        <v>35414</v>
      </c>
      <c r="C28126" s="5" t="str">
        <f>IFERROR(__xludf.DUMMYFUNCTION("GOOGLETRANSLATE(B28126,""en"",""fr"")"),"Une femme est debout en portant une paire de bottes noires.")</f>
        <v>Une femme est debout en portant une paire de bottes noires.</v>
      </c>
    </row>
    <row r="28127">
      <c r="A28127" s="4" t="s">
        <v>35413</v>
      </c>
      <c r="B28127" s="4" t="s">
        <v>35415</v>
      </c>
      <c r="C28127" s="5" t="str">
        <f>IFERROR(__xludf.DUMMYFUNCTION("GOOGLETRANSLATE(B28127,""en"",""fr"")"),"Ses bottes commencent à bouger et à donner des coups de pied alors qu'elle commence à danser.")</f>
        <v>Ses bottes commencent à bouger et à donner des coups de pied alors qu'elle commence à danser.</v>
      </c>
    </row>
    <row r="28128">
      <c r="A28128" s="4" t="s">
        <v>35413</v>
      </c>
      <c r="B28128" s="4" t="s">
        <v>35416</v>
      </c>
      <c r="C28128" s="5" t="str">
        <f>IFERROR(__xludf.DUMMYFUNCTION("GOOGLETRANSLATE(B28128,""en"",""fr"")"),"Elle se déplace d'un côté à l'autre, entrant et sortant.")</f>
        <v>Elle se déplace d'un côté à l'autre, entrant et sortant.</v>
      </c>
    </row>
    <row r="28129">
      <c r="A28129" s="4" t="s">
        <v>35413</v>
      </c>
      <c r="B28129" s="4" t="s">
        <v>35417</v>
      </c>
      <c r="C28129" s="5" t="str">
        <f>IFERROR(__xludf.DUMMYFUNCTION("GOOGLETRANSLATE(B28129,""en"",""fr"")"),"La femme est entièrement montrée alors qu'elle cesse de danser et commence à parler à la caméra.")</f>
        <v>La femme est entièrement montrée alors qu'elle cesse de danser et commence à parler à la caméra.</v>
      </c>
    </row>
    <row r="28130">
      <c r="A28130" s="4" t="s">
        <v>35418</v>
      </c>
      <c r="B28130" s="4" t="s">
        <v>35419</v>
      </c>
      <c r="C28130" s="5" t="str">
        <f>IFERROR(__xludf.DUMMYFUNCTION("GOOGLETRANSLATE(B28130,""en"",""fr"")"),"Un homme saute une corde dans une pièce.")</f>
        <v>Un homme saute une corde dans une pièce.</v>
      </c>
    </row>
    <row r="28131">
      <c r="A28131" s="4" t="s">
        <v>35418</v>
      </c>
      <c r="B28131" s="4" t="s">
        <v>35420</v>
      </c>
      <c r="C28131" s="5" t="str">
        <f>IFERROR(__xludf.DUMMYFUNCTION("GOOGLETRANSLATE(B28131,""en"",""fr"")"),"Un homme derrière lui s'étire.")</f>
        <v>Un homme derrière lui s'étire.</v>
      </c>
    </row>
    <row r="28132">
      <c r="A28132" s="4" t="s">
        <v>35418</v>
      </c>
      <c r="B28132" s="4" t="s">
        <v>35421</v>
      </c>
      <c r="C28132" s="5" t="str">
        <f>IFERROR(__xludf.DUMMYFUNCTION("GOOGLETRANSLATE(B28132,""en"",""fr"")"),"Un homme derrière lui commence à faire des pompes.")</f>
        <v>Un homme derrière lui commence à faire des pompes.</v>
      </c>
    </row>
    <row r="28133">
      <c r="A28133" s="4" t="s">
        <v>35422</v>
      </c>
      <c r="B28133" s="4" t="s">
        <v>35423</v>
      </c>
      <c r="C28133" s="5" t="str">
        <f>IFERROR(__xludf.DUMMYFUNCTION("GOOGLETRANSLATE(B28133,""en"",""fr"")"),"Il y a un homme portant un costume de costume Blue Hazmat peignant une haute clôture.")</f>
        <v>Il y a un homme portant un costume de costume Blue Hazmat peignant une haute clôture.</v>
      </c>
    </row>
    <row r="28134">
      <c r="A28134" s="4" t="s">
        <v>35422</v>
      </c>
      <c r="B28134" s="4" t="s">
        <v>35424</v>
      </c>
      <c r="C28134" s="5" t="str">
        <f>IFERROR(__xludf.DUMMYFUNCTION("GOOGLETRANSLATE(B28134,""en"",""fr"")"),"Il utilise un tuyau de peinture en aérosol pour peindre la clôture en bois.")</f>
        <v>Il utilise un tuyau de peinture en aérosol pour peindre la clôture en bois.</v>
      </c>
    </row>
    <row r="28135">
      <c r="A28135" s="4" t="s">
        <v>35422</v>
      </c>
      <c r="B28135" s="4" t="s">
        <v>35425</v>
      </c>
      <c r="C28135" s="5" t="str">
        <f>IFERROR(__xludf.DUMMYFUNCTION("GOOGLETRANSLATE(B28135,""en"",""fr"")"),"Il déplace le tuyau d'avant en arrière pour s'assurer qu'il couvre toute la surface de la clôture.")</f>
        <v>Il déplace le tuyau d'avant en arrière pour s'assurer qu'il couvre toute la surface de la clôture.</v>
      </c>
    </row>
    <row r="28136">
      <c r="A28136" s="4" t="s">
        <v>35426</v>
      </c>
      <c r="B28136" s="4" t="s">
        <v>35427</v>
      </c>
      <c r="C28136" s="5" t="str">
        <f>IFERROR(__xludf.DUMMYFUNCTION("GOOGLETRANSLATE(B28136,""en"",""fr"")"),"Une petite fille court avec un bâton poussant et objet, jouant et s'amuse beaucoup.")</f>
        <v>Une petite fille court avec un bâton poussant et objet, jouant et s'amuse beaucoup.</v>
      </c>
    </row>
    <row r="28137">
      <c r="A28137" s="4" t="s">
        <v>35426</v>
      </c>
      <c r="B28137" s="4" t="s">
        <v>35428</v>
      </c>
      <c r="C28137" s="5" t="str">
        <f>IFERROR(__xludf.DUMMYFUNCTION("GOOGLETRANSLATE(B28137,""en"",""fr"")"),"La petite fille avance en jouant sur environ 10 mètres, puis elle revient en courant.")</f>
        <v>La petite fille avance en jouant sur environ 10 mètres, puis elle revient en courant.</v>
      </c>
    </row>
    <row r="28138">
      <c r="A28138" s="4" t="s">
        <v>35426</v>
      </c>
      <c r="B28138" s="4" t="s">
        <v>35429</v>
      </c>
      <c r="C28138" s="5" t="str">
        <f>IFERROR(__xludf.DUMMYFUNCTION("GOOGLETRANSLATE(B28138,""en"",""fr"")"),"Elle touche une assiette rouge et la positionne puis court de l'autre côté.")</f>
        <v>Elle touche une assiette rouge et la positionne puis court de l'autre côté.</v>
      </c>
    </row>
    <row r="28139">
      <c r="A28139" s="4" t="s">
        <v>35430</v>
      </c>
      <c r="B28139" s="4" t="s">
        <v>35431</v>
      </c>
      <c r="C28139" s="5" t="str">
        <f>IFERROR(__xludf.DUMMYFUNCTION("GOOGLETRANSLATE(B28139,""en"",""fr"")"),"Un homme a un narguilé dans sa bouche et il inhale de la fumée pendant un certain temps.")</f>
        <v>Un homme a un narguilé dans sa bouche et il inhale de la fumée pendant un certain temps.</v>
      </c>
    </row>
    <row r="28140">
      <c r="A28140" s="4" t="s">
        <v>35430</v>
      </c>
      <c r="B28140" s="4" t="s">
        <v>35432</v>
      </c>
      <c r="C28140" s="5" t="str">
        <f>IFERROR(__xludf.DUMMYFUNCTION("GOOGLETRANSLATE(B28140,""en"",""fr"")"),"Il sort le narguilé de sa bouche et expire en laissant échapper un tas de fumée.")</f>
        <v>Il sort le narguilé de sa bouche et expire en laissant échapper un tas de fumée.</v>
      </c>
    </row>
    <row r="28141">
      <c r="A28141" s="4" t="s">
        <v>35430</v>
      </c>
      <c r="B28141" s="4" t="s">
        <v>35433</v>
      </c>
      <c r="C28141" s="5" t="str">
        <f>IFERROR(__xludf.DUMMYFUNCTION("GOOGLETRANSLATE(B28141,""en"",""fr"")"),"Je pense qu'il essaie de faire O avec la fumée mais il ne sait pas comment.")</f>
        <v>Je pense qu'il essaie de faire O avec la fumée mais il ne sait pas comment.</v>
      </c>
    </row>
    <row r="28142">
      <c r="A28142" s="4" t="s">
        <v>35430</v>
      </c>
      <c r="B28142" s="4" t="s">
        <v>35434</v>
      </c>
      <c r="C28142" s="5" t="str">
        <f>IFERROR(__xludf.DUMMYFUNCTION("GOOGLETRANSLATE(B28142,""en"",""fr"")"),"Il continue d'inhaler et continue d'essayer de faire sauter la fumée.")</f>
        <v>Il continue d'inhaler et continue d'essayer de faire sauter la fumée.</v>
      </c>
    </row>
    <row r="28143">
      <c r="A28143" s="4" t="s">
        <v>35435</v>
      </c>
      <c r="B28143" s="6" t="s">
        <v>35436</v>
      </c>
      <c r="C28143" s="5" t="str">
        <f>IFERROR(__xludf.DUMMYFUNCTION("GOOGLETRANSLATE(B28143,""en"",""fr"")"),"Un gymnise est vu se pousser sur un ensemble de barres inégales tandis que plusieurs autres personnes regardent sur la touche et se produisent.")</f>
        <v>Un gymnise est vu se pousser sur un ensemble de barres inégales tandis que plusieurs autres personnes regardent sur la touche et se produisent.</v>
      </c>
    </row>
    <row r="28144">
      <c r="A28144" s="4" t="s">
        <v>35435</v>
      </c>
      <c r="B28144" s="6" t="s">
        <v>35437</v>
      </c>
      <c r="C28144" s="5" t="str">
        <f>IFERROR(__xludf.DUMMYFUNCTION("GOOGLETRANSLATE(B28144,""en"",""fr"")"),"Plusieurs hommes plus âgés se retrouvent dans le cadre pour vérifier le gymnaste à l'arrière tandis que l'homme sur les bars continue sa routine.")</f>
        <v>Plusieurs hommes plus âgés se retrouvent dans le cadre pour vérifier le gymnaste à l'arrière tandis que l'homme sur les bars continue sa routine.</v>
      </c>
    </row>
    <row r="28145">
      <c r="A28145" s="4" t="s">
        <v>35435</v>
      </c>
      <c r="B28145" s="4" t="s">
        <v>35438</v>
      </c>
      <c r="C28145" s="5" t="str">
        <f>IFERROR(__xludf.DUMMYFUNCTION("GOOGLETRANSLATE(B28145,""en"",""fr"")"),"L'athlète fait un retournement du dos et termine sa routine tandis que plusieurs autres se heurtent à un cadre.")</f>
        <v>L'athlète fait un retournement du dos et termine sa routine tandis que plusieurs autres se heurtent à un cadre.</v>
      </c>
    </row>
    <row r="28146">
      <c r="A28146" s="4" t="s">
        <v>35439</v>
      </c>
      <c r="B28146" s="4" t="s">
        <v>35440</v>
      </c>
      <c r="C28146" s="5" t="str">
        <f>IFERROR(__xludf.DUMMYFUNCTION("GOOGLETRANSLATE(B28146,""en"",""fr"")"),"Une femme portant une écharpe à la tête est assise, parlant à la caméra.")</f>
        <v>Une femme portant une écharpe à la tête est assise, parlant à la caméra.</v>
      </c>
    </row>
    <row r="28147">
      <c r="A28147" s="4" t="s">
        <v>35439</v>
      </c>
      <c r="B28147" s="4" t="s">
        <v>35441</v>
      </c>
      <c r="C28147" s="5" t="str">
        <f>IFERROR(__xludf.DUMMYFUNCTION("GOOGLETRANSLATE(B28147,""en"",""fr"")"),"Elle sort des rouleaux de ses cheveux, un à la fois.")</f>
        <v>Elle sort des rouleaux de ses cheveux, un à la fois.</v>
      </c>
    </row>
    <row r="28148">
      <c r="A28148" s="4" t="s">
        <v>35439</v>
      </c>
      <c r="B28148" s="4" t="s">
        <v>35442</v>
      </c>
      <c r="C28148" s="5" t="str">
        <f>IFERROR(__xludf.DUMMYFUNCTION("GOOGLETRANSLATE(B28148,""en"",""fr"")"),"Elle coiffe ensuite ses cheveux et les affiche à la caméra.")</f>
        <v>Elle coiffe ensuite ses cheveux et les affiche à la caméra.</v>
      </c>
    </row>
    <row r="28149">
      <c r="A28149" s="4" t="s">
        <v>35443</v>
      </c>
      <c r="B28149" s="4" t="s">
        <v>35444</v>
      </c>
      <c r="C28149" s="5" t="str">
        <f>IFERROR(__xludf.DUMMYFUNCTION("GOOGLETRANSLATE(B28149,""en"",""fr"")"),"Un gardien de but est montré en sauvant plusieurs balles et en étant interviewé par un journaliste.")</f>
        <v>Un gardien de but est montré en sauvant plusieurs balles et en étant interviewé par un journaliste.</v>
      </c>
    </row>
    <row r="28150">
      <c r="A28150" s="4" t="s">
        <v>35443</v>
      </c>
      <c r="B28150" s="6" t="s">
        <v>35445</v>
      </c>
      <c r="C28150" s="5" t="str">
        <f>IFERROR(__xludf.DUMMYFUNCTION("GOOGLETRANSLATE(B28150,""en"",""fr"")"),"De nombreux coups sont montrés des garçons jouant au football et interviewés et mène à l'entraîneur interviewé.")</f>
        <v>De nombreux coups sont montrés des garçons jouant au football et interviewés et mène à l'entraîneur interviewé.</v>
      </c>
    </row>
    <row r="28151">
      <c r="A28151" s="4" t="s">
        <v>35443</v>
      </c>
      <c r="B28151" s="4" t="s">
        <v>35446</v>
      </c>
      <c r="C28151" s="5" t="str">
        <f>IFERROR(__xludf.DUMMYFUNCTION("GOOGLETRANSLATE(B28151,""en"",""fr"")"),"Beaucoup de gens aiment regarder le match et terminer avec plus de joueurs interviewés.")</f>
        <v>Beaucoup de gens aiment regarder le match et terminer avec plus de joueurs interviewés.</v>
      </c>
    </row>
    <row r="28152">
      <c r="A28152" s="4" t="s">
        <v>35447</v>
      </c>
      <c r="B28152" s="4" t="s">
        <v>35448</v>
      </c>
      <c r="C28152" s="5" t="str">
        <f>IFERROR(__xludf.DUMMYFUNCTION("GOOGLETRANSLATE(B28152,""en"",""fr"")"),"L'homme est debout dans la cuisine.")</f>
        <v>L'homme est debout dans la cuisine.</v>
      </c>
    </row>
    <row r="28153">
      <c r="A28153" s="4" t="s">
        <v>35447</v>
      </c>
      <c r="B28153" s="4" t="s">
        <v>35449</v>
      </c>
      <c r="C28153" s="5" t="str">
        <f>IFERROR(__xludf.DUMMYFUNCTION("GOOGLETRANSLATE(B28153,""en"",""fr"")"),"Il attrape une pince et un bol en métal argenté avec des légumes.")</f>
        <v>Il attrape une pince et un bol en métal argenté avec des légumes.</v>
      </c>
    </row>
    <row r="28154">
      <c r="A28154" s="4" t="s">
        <v>35447</v>
      </c>
      <c r="B28154" s="4" t="s">
        <v>35450</v>
      </c>
      <c r="C28154" s="5" t="str">
        <f>IFERROR(__xludf.DUMMYFUNCTION("GOOGLETRANSLATE(B28154,""en"",""fr"")"),"Les ingrédients sur le comptoir sont dans des conteneurs blancs.")</f>
        <v>Les ingrédients sur le comptoir sont dans des conteneurs blancs.</v>
      </c>
    </row>
    <row r="28155">
      <c r="A28155" s="4" t="s">
        <v>35447</v>
      </c>
      <c r="B28155" s="4" t="s">
        <v>35451</v>
      </c>
      <c r="C28155" s="5" t="str">
        <f>IFERROR(__xludf.DUMMYFUNCTION("GOOGLETRANSLATE(B28155,""en"",""fr"")"),"Le chef tient un petit morceau de noix.")</f>
        <v>Le chef tient un petit morceau de noix.</v>
      </c>
    </row>
    <row r="28156">
      <c r="A28156" s="4" t="s">
        <v>35452</v>
      </c>
      <c r="B28156" s="4" t="s">
        <v>35453</v>
      </c>
      <c r="C28156" s="5" t="str">
        <f>IFERROR(__xludf.DUMMYFUNCTION("GOOGLETRANSLATE(B28156,""en"",""fr"")"),"La caméra se déroule sur un joueur de volleyball pendant qu'elle joue un jeu avec d'autres.")</f>
        <v>La caméra se déroule sur un joueur de volleyball pendant qu'elle joue un jeu avec d'autres.</v>
      </c>
    </row>
    <row r="28157">
      <c r="A28157" s="4" t="s">
        <v>35452</v>
      </c>
      <c r="B28157" s="6" t="s">
        <v>35454</v>
      </c>
      <c r="C28157" s="5" t="str">
        <f>IFERROR(__xludf.DUMMYFUNCTION("GOOGLETRANSLATE(B28157,""en"",""fr"")"),"La caméra s'arrête de temps en temps pour capturer ses mouvements et ses casseroles autour des autres personnes en jouant.")</f>
        <v>La caméra s'arrête de temps en temps pour capturer ses mouvements et ses casseroles autour des autres personnes en jouant.</v>
      </c>
    </row>
    <row r="28158">
      <c r="A28158" s="4" t="s">
        <v>35455</v>
      </c>
      <c r="B28158" s="6" t="s">
        <v>35456</v>
      </c>
      <c r="C28158" s="5" t="str">
        <f>IFERROR(__xludf.DUMMYFUNCTION("GOOGLETRANSLATE(B28158,""en"",""fr"")"),"Un hôte parle à la caméra avec divers musiciens assis derrière lui et mène à plusieurs plans de paysages.")</f>
        <v>Un hôte parle à la caméra avec divers musiciens assis derrière lui et mène à plusieurs plans de paysages.</v>
      </c>
    </row>
    <row r="28159">
      <c r="A28159" s="4" t="s">
        <v>35455</v>
      </c>
      <c r="B28159" s="6" t="s">
        <v>35457</v>
      </c>
      <c r="C28159" s="5" t="str">
        <f>IFERROR(__xludf.DUMMYFUNCTION("GOOGLETRANSLATE(B28159,""en"",""fr"")"),"Le même homme parle à la caméra et est montré en train de monter sur une planche de surf avec plusieurs autres surfeurs.")</f>
        <v>Le même homme parle à la caméra et est montré en train de monter sur une planche de surf avec plusieurs autres surfeurs.</v>
      </c>
    </row>
    <row r="28160">
      <c r="A28160" s="4" t="s">
        <v>35455</v>
      </c>
      <c r="B28160" s="4" t="s">
        <v>35458</v>
      </c>
      <c r="C28160" s="5" t="str">
        <f>IFERROR(__xludf.DUMMYFUNCTION("GOOGLETRANSLATE(B28160,""en"",""fr"")"),"L'homme est de nouveau vu en studio et est interviewé par une femme et un autre homme.")</f>
        <v>L'homme est de nouveau vu en studio et est interviewé par une femme et un autre homme.</v>
      </c>
    </row>
    <row r="28161">
      <c r="A28161" s="4" t="s">
        <v>35459</v>
      </c>
      <c r="B28161" s="4" t="s">
        <v>35460</v>
      </c>
      <c r="C28161" s="5" t="str">
        <f>IFERROR(__xludf.DUMMYFUNCTION("GOOGLETRANSLATE(B28161,""en"",""fr"")"),"Une femme se tient debout et parle à la caméra, alors qu'elle montrait le cheval à côté d'elle.")</f>
        <v>Une femme se tient debout et parle à la caméra, alors qu'elle montrait le cheval à côté d'elle.</v>
      </c>
    </row>
    <row r="28162">
      <c r="A28162" s="4" t="s">
        <v>35459</v>
      </c>
      <c r="B28162" s="4" t="s">
        <v>35461</v>
      </c>
      <c r="C28162" s="5" t="str">
        <f>IFERROR(__xludf.DUMMYFUNCTION("GOOGLETRANSLATE(B28162,""en"",""fr"")"),"Une femme en jaune est assise sur le cheval, le cheval se promenait dans la rampe.")</f>
        <v>Une femme en jaune est assise sur le cheval, le cheval se promenait dans la rampe.</v>
      </c>
    </row>
    <row r="28163">
      <c r="A28163" s="4" t="s">
        <v>35459</v>
      </c>
      <c r="B28163" s="4" t="s">
        <v>35462</v>
      </c>
      <c r="C28163" s="5" t="str">
        <f>IFERROR(__xludf.DUMMYFUNCTION("GOOGLETRANSLATE(B28163,""en"",""fr"")"),"Le cheval a commencé à courir en rond alors que la femme plus âgée regarde.")</f>
        <v>Le cheval a commencé à courir en rond alors que la femme plus âgée regarde.</v>
      </c>
    </row>
    <row r="28164">
      <c r="A28164" s="4" t="s">
        <v>35463</v>
      </c>
      <c r="B28164" s="6" t="s">
        <v>35464</v>
      </c>
      <c r="C28164" s="5" t="str">
        <f>IFERROR(__xludf.DUMMYFUNCTION("GOOGLETRANSLATE(B28164,""en"",""fr"")"),"Un homme est vu parler à la caméra et l'amène en tenant un ensemble d'outils et en les présentant à la caméra.")</f>
        <v>Un homme est vu parler à la caméra et l'amène en tenant un ensemble d'outils et en les présentant à la caméra.</v>
      </c>
    </row>
    <row r="28165">
      <c r="A28165" s="4" t="s">
        <v>35463</v>
      </c>
      <c r="B28165" s="4" t="s">
        <v>35465</v>
      </c>
      <c r="C28165" s="5" t="str">
        <f>IFERROR(__xludf.DUMMYFUNCTION("GOOGLETRANSLATE(B28165,""en"",""fr"")"),"Il utilise ensuite les outils sur les buissons à proximité tout en regardant la caméra pour parler.")</f>
        <v>Il utilise ensuite les outils sur les buissons à proximité tout en regardant la caméra pour parler.</v>
      </c>
    </row>
    <row r="28166">
      <c r="A28166" s="4" t="s">
        <v>35466</v>
      </c>
      <c r="B28166" s="4" t="s">
        <v>35467</v>
      </c>
      <c r="C28166" s="5" t="str">
        <f>IFERROR(__xludf.DUMMYFUNCTION("GOOGLETRANSLATE(B28166,""en"",""fr"")"),"Un homme court sur une piste au ralenti faisant plusieurs sauts et atterrissant dans une fosse.")</f>
        <v>Un homme court sur une piste au ralenti faisant plusieurs sauts et atterrissant dans une fosse.</v>
      </c>
    </row>
    <row r="28167">
      <c r="A28167" s="4" t="s">
        <v>35466</v>
      </c>
      <c r="B28167" s="6" t="s">
        <v>35468</v>
      </c>
      <c r="C28167" s="5" t="str">
        <f>IFERROR(__xludf.DUMMYFUNCTION("GOOGLETRANSLATE(B28167,""en"",""fr"")"),"Le même homme est montré plusieurs fois à travers divers clips au ralenti effectuant le saut en longueur sur un champ de piste.")</f>
        <v>Le même homme est montré plusieurs fois à travers divers clips au ralenti effectuant le saut en longueur sur un champ de piste.</v>
      </c>
    </row>
    <row r="28168">
      <c r="A28168" s="4" t="s">
        <v>35469</v>
      </c>
      <c r="B28168" s="4" t="s">
        <v>35470</v>
      </c>
      <c r="C28168" s="5" t="str">
        <f>IFERROR(__xludf.DUMMYFUNCTION("GOOGLETRANSLATE(B28168,""en"",""fr"")"),"Un homme est vu se déplacer au ralenti tandis que la caméra le capture sous plusieurs angles.")</f>
        <v>Un homme est vu se déplacer au ralenti tandis que la caméra le capture sous plusieurs angles.</v>
      </c>
    </row>
    <row r="28169">
      <c r="A28169" s="4" t="s">
        <v>35469</v>
      </c>
      <c r="B28169" s="4" t="s">
        <v>35471</v>
      </c>
      <c r="C28169" s="5" t="str">
        <f>IFERROR(__xludf.DUMMYFUNCTION("GOOGLETRANSLATE(B28169,""en"",""fr"")"),"Une paire de ciseaux et un peigne sont ensuite vus de près et conduisent à une personne qui coupant les cheveux de l'homme.")</f>
        <v>Une paire de ciseaux et un peigne sont ensuite vus de près et conduisent à une personne qui coupant les cheveux de l'homme.</v>
      </c>
    </row>
    <row r="28170">
      <c r="A28170" s="4" t="s">
        <v>35469</v>
      </c>
      <c r="B28170" s="4" t="s">
        <v>35472</v>
      </c>
      <c r="C28170" s="5" t="str">
        <f>IFERROR(__xludf.DUMMYFUNCTION("GOOGLETRANSLATE(B28170,""en"",""fr"")"),"Il souffle enfin sèche les cheveux de l'homme et est à nouveau montré en souriant et en riant à la caméra.")</f>
        <v>Il souffle enfin sèche les cheveux de l'homme et est à nouveau montré en souriant et en riant à la caméra.</v>
      </c>
    </row>
    <row r="28171">
      <c r="A28171" s="4" t="s">
        <v>35473</v>
      </c>
      <c r="B28171" s="4" t="s">
        <v>35474</v>
      </c>
      <c r="C28171" s="5" t="str">
        <f>IFERROR(__xludf.DUMMYFUNCTION("GOOGLETRANSLATE(B28171,""en"",""fr"")"),"Les femmes sont dans un grand terrain vert jouant à la hurling.")</f>
        <v>Les femmes sont dans un grand terrain vert jouant à la hurling.</v>
      </c>
    </row>
    <row r="28172">
      <c r="A28172" s="4" t="s">
        <v>35473</v>
      </c>
      <c r="B28172" s="4" t="s">
        <v>35475</v>
      </c>
      <c r="C28172" s="5" t="str">
        <f>IFERROR(__xludf.DUMMYFUNCTION("GOOGLETRANSLATE(B28172,""en"",""fr"")"),"La femme est dans une petite cour verte pratiquant des coups de feu.")</f>
        <v>La femme est dans une petite cour verte pratiquant des coups de feu.</v>
      </c>
    </row>
    <row r="28173">
      <c r="A28173" s="4" t="s">
        <v>35476</v>
      </c>
      <c r="B28173" s="6" t="s">
        <v>35477</v>
      </c>
      <c r="C28173" s="5" t="str">
        <f>IFERROR(__xludf.DUMMYFUNCTION("GOOGLETRANSLATE(B28173,""en"",""fr"")"),"La personne regarde ses mains avec du savon dans un laveur de main, met une solution dans les pots, tient un contact visuel avec l'index et avec les autres mains ouvrira son œil et mette le contact dans son œil, attrapez l'autre contact et avec l'autre Le"&amp;"s mains ouvrent l'annonce des yeux, mettez-le dans l'œil.")</f>
        <v>La personne regarde ses mains avec du savon dans un laveur de main, met une solution dans les pots, tient un contact visuel avec l'index et avec les autres mains ouvrira son œil et mette le contact dans son œil, attrapez l'autre contact et avec l'autre Les mains ouvrent l'annonce des yeux, mettez-le dans l'œil.</v>
      </c>
    </row>
    <row r="28174">
      <c r="A28174" s="4" t="s">
        <v>35476</v>
      </c>
      <c r="B28174" s="6" t="s">
        <v>35478</v>
      </c>
      <c r="C28174" s="5" t="str">
        <f>IFERROR(__xludf.DUMMYFUNCTION("GOOGLETRANSLATE(B28174,""en"",""fr"")"),"Maintenant, la personne se lave les mains et ouvre l'œil et avec les doigts saisissez le contact de l'œil et le mettez dans un pot, puis elle fait de même avec l'autre œil, ouvrez l'œil et saisissez le contact de l'œil et le met dans le pot.")</f>
        <v>Maintenant, la personne se lave les mains et ouvre l'œil et avec les doigts saisissez le contact de l'œil et le mettez dans un pot, puis elle fait de même avec l'autre œil, ouvrez l'œil et saisissez le contact de l'œil et le met dans le pot.</v>
      </c>
    </row>
    <row r="28175">
      <c r="A28175" s="4" t="s">
        <v>35479</v>
      </c>
      <c r="B28175" s="4" t="s">
        <v>35480</v>
      </c>
      <c r="C28175" s="5" t="str">
        <f>IFERROR(__xludf.DUMMYFUNCTION("GOOGLETRANSLATE(B28175,""en"",""fr"")"),"Une personne quitte un avion.")</f>
        <v>Une personne quitte un avion.</v>
      </c>
    </row>
    <row r="28176">
      <c r="A28176" s="4" t="s">
        <v>35479</v>
      </c>
      <c r="B28176" s="4" t="s">
        <v>35481</v>
      </c>
      <c r="C28176" s="5" t="str">
        <f>IFERROR(__xludf.DUMMYFUNCTION("GOOGLETRANSLATE(B28176,""en"",""fr"")"),"Une personne est en plein essor dans une ville et traîne avec des amis.")</f>
        <v>Une personne est en plein essor dans une ville et traîne avec des amis.</v>
      </c>
    </row>
    <row r="28177">
      <c r="A28177" s="4" t="s">
        <v>35479</v>
      </c>
      <c r="B28177" s="4" t="s">
        <v>35482</v>
      </c>
      <c r="C28177" s="5" t="str">
        <f>IFERROR(__xludf.DUMMYFUNCTION("GOOGLETRANSLATE(B28177,""en"",""fr"")"),"Cela se produit dans de nombreux endroits différents, mais c'est essentiellement la même chose.")</f>
        <v>Cela se produit dans de nombreux endroits différents, mais c'est essentiellement la même chose.</v>
      </c>
    </row>
    <row r="28178">
      <c r="A28178" s="4" t="s">
        <v>35483</v>
      </c>
      <c r="B28178" s="4" t="s">
        <v>35484</v>
      </c>
      <c r="C28178" s="5" t="str">
        <f>IFERROR(__xludf.DUMMYFUNCTION("GOOGLETRANSLATE(B28178,""en"",""fr"")"),"Un homme est montré sur un fond blanc.")</f>
        <v>Un homme est montré sur un fond blanc.</v>
      </c>
    </row>
    <row r="28179">
      <c r="A28179" s="4" t="s">
        <v>35483</v>
      </c>
      <c r="B28179" s="4" t="s">
        <v>35485</v>
      </c>
      <c r="C28179" s="5" t="str">
        <f>IFERROR(__xludf.DUMMYFUNCTION("GOOGLETRANSLATE(B28179,""en"",""fr"")"),"Il joue une guitare avec ses mains.")</f>
        <v>Il joue une guitare avec ses mains.</v>
      </c>
    </row>
    <row r="28180">
      <c r="A28180" s="4" t="s">
        <v>35483</v>
      </c>
      <c r="B28180" s="4" t="s">
        <v>35486</v>
      </c>
      <c r="C28180" s="5" t="str">
        <f>IFERROR(__xludf.DUMMYFUNCTION("GOOGLETRANSLATE(B28180,""en"",""fr"")"),"Les accords et les mots apparaissent en bas de l'écran pendant qu'il joue.")</f>
        <v>Les accords et les mots apparaissent en bas de l'écran pendant qu'il joue.</v>
      </c>
    </row>
    <row r="28181">
      <c r="A28181" s="4" t="s">
        <v>35487</v>
      </c>
      <c r="B28181" s="4" t="s">
        <v>35488</v>
      </c>
      <c r="C28181" s="5" t="str">
        <f>IFERROR(__xludf.DUMMYFUNCTION("GOOGLETRANSLATE(B28181,""en"",""fr"")"),"Nous nous un écran d'ouverture pour un produit.")</f>
        <v>Nous nous un écran d'ouverture pour un produit.</v>
      </c>
    </row>
    <row r="28182">
      <c r="A28182" s="4" t="s">
        <v>35487</v>
      </c>
      <c r="B28182" s="4" t="s">
        <v>35489</v>
      </c>
      <c r="C28182" s="5" t="str">
        <f>IFERROR(__xludf.DUMMYFUNCTION("GOOGLETRANSLATE(B28182,""en"",""fr"")"),"Nous voyons une personne pelleter son trottoir.")</f>
        <v>Nous voyons une personne pelleter son trottoir.</v>
      </c>
    </row>
    <row r="28183">
      <c r="A28183" s="4" t="s">
        <v>35487</v>
      </c>
      <c r="B28183" s="4" t="s">
        <v>35490</v>
      </c>
      <c r="C28183" s="5" t="str">
        <f>IFERROR(__xludf.DUMMYFUNCTION("GOOGLETRANSLATE(B28183,""en"",""fr"")"),"L'homme atteint la maison et se tourne pour terminer l'autre côté de la passerelle.")</f>
        <v>L'homme atteint la maison et se tourne pour terminer l'autre côté de la passerelle.</v>
      </c>
    </row>
    <row r="28184">
      <c r="A28184" s="4" t="s">
        <v>35487</v>
      </c>
      <c r="B28184" s="4" t="s">
        <v>35491</v>
      </c>
      <c r="C28184" s="5" t="str">
        <f>IFERROR(__xludf.DUMMYFUNCTION("GOOGLETRANSLATE(B28184,""en"",""fr"")"),"Nous voyons une personne pulvériser un article sur son trottoir.")</f>
        <v>Nous voyons une personne pulvériser un article sur son trottoir.</v>
      </c>
    </row>
    <row r="28185">
      <c r="A28185" s="4" t="s">
        <v>35487</v>
      </c>
      <c r="B28185" s="4" t="s">
        <v>35492</v>
      </c>
      <c r="C28185" s="5" t="str">
        <f>IFERROR(__xludf.DUMMYFUNCTION("GOOGLETRANSLATE(B28185,""en"",""fr"")"),"Nous voyons ensuite deux écrans de clôture.")</f>
        <v>Nous voyons ensuite deux écrans de clôture.</v>
      </c>
    </row>
    <row r="28186">
      <c r="A28186" s="4" t="s">
        <v>35493</v>
      </c>
      <c r="B28186" s="4" t="s">
        <v>35494</v>
      </c>
      <c r="C28186" s="5" t="str">
        <f>IFERROR(__xludf.DUMMYFUNCTION("GOOGLETRANSLATE(B28186,""en"",""fr"")"),"Un homme est engagé dans une compétition de piscine.")</f>
        <v>Un homme est engagé dans une compétition de piscine.</v>
      </c>
    </row>
    <row r="28187">
      <c r="A28187" s="4" t="s">
        <v>35493</v>
      </c>
      <c r="B28187" s="4" t="s">
        <v>35495</v>
      </c>
      <c r="C28187" s="5" t="str">
        <f>IFERROR(__xludf.DUMMYFUNCTION("GOOGLETRANSLATE(B28187,""en"",""fr"")"),"Il tire le bâton aux balles, les faisant entrer dans les poches du coin.")</f>
        <v>Il tire le bâton aux balles, les faisant entrer dans les poches du coin.</v>
      </c>
    </row>
    <row r="28188">
      <c r="A28188" s="4" t="s">
        <v>35493</v>
      </c>
      <c r="B28188" s="4" t="s">
        <v>35496</v>
      </c>
      <c r="C28188" s="5" t="str">
        <f>IFERROR(__xludf.DUMMYFUNCTION("GOOGLETRANSLATE(B28188,""en"",""fr"")"),"Quand il gagne, il five high fives un autre homme.")</f>
        <v>Quand il gagne, il five high fives un autre homme.</v>
      </c>
    </row>
    <row r="28189">
      <c r="A28189" s="4" t="s">
        <v>35497</v>
      </c>
      <c r="B28189" s="6" t="s">
        <v>35498</v>
      </c>
      <c r="C28189" s="5" t="str">
        <f>IFERROR(__xludf.DUMMYFUNCTION("GOOGLETRANSLATE(B28189,""en"",""fr"")"),"Il y a environ cinq à six jeunes garçons qui rebondissent et sautent dans une maison gonflable fermée avec des ballons de basket dans leurs mains.")</f>
        <v>Il y a environ cinq à six jeunes garçons qui rebondissent et sautent dans une maison gonflable fermée avec des ballons de basket dans leurs mains.</v>
      </c>
    </row>
    <row r="28190">
      <c r="A28190" s="4" t="s">
        <v>35497</v>
      </c>
      <c r="B28190" s="4" t="s">
        <v>35499</v>
      </c>
      <c r="C28190" s="5" t="str">
        <f>IFERROR(__xludf.DUMMYFUNCTION("GOOGLETRANSLATE(B28190,""en"",""fr"")"),"L'entraîneur les guide en sifflant alors que les enfants continuent de rebondir et de sauter.")</f>
        <v>L'entraîneur les guide en sifflant alors que les enfants continuent de rebondir et de sauter.</v>
      </c>
    </row>
    <row r="28191">
      <c r="A28191" s="4" t="s">
        <v>35497</v>
      </c>
      <c r="B28191" s="4" t="s">
        <v>35500</v>
      </c>
      <c r="C28191" s="5" t="str">
        <f>IFERROR(__xludf.DUMMYFUNCTION("GOOGLETRANSLATE(B28191,""en"",""fr"")"),"Ils ont à tour de rôle jet les boules orange comme indiqué par leur entraîneur.")</f>
        <v>Ils ont à tour de rôle jet les boules orange comme indiqué par leur entraîneur.</v>
      </c>
    </row>
    <row r="28192">
      <c r="A28192" s="4" t="s">
        <v>35501</v>
      </c>
      <c r="B28192" s="4" t="s">
        <v>35502</v>
      </c>
      <c r="C28192" s="5" t="str">
        <f>IFERROR(__xludf.DUMMYFUNCTION("GOOGLETRANSLATE(B28192,""en"",""fr"")"),"Les gens jouent au remorqueur sur un terrain.")</f>
        <v>Les gens jouent au remorqueur sur un terrain.</v>
      </c>
    </row>
    <row r="28193">
      <c r="A28193" s="4" t="s">
        <v>35501</v>
      </c>
      <c r="B28193" s="4" t="s">
        <v>35503</v>
      </c>
      <c r="C28193" s="5" t="str">
        <f>IFERROR(__xludf.DUMMYFUNCTION("GOOGLETRANSLATE(B28193,""en"",""fr"")"),"Les gens tombent dans un tas d'eau boueuse.")</f>
        <v>Les gens tombent dans un tas d'eau boueuse.</v>
      </c>
    </row>
    <row r="28194">
      <c r="A28194" s="4" t="s">
        <v>35501</v>
      </c>
      <c r="B28194" s="4" t="s">
        <v>35504</v>
      </c>
      <c r="C28194" s="5" t="str">
        <f>IFERROR(__xludf.DUMMYFUNCTION("GOOGLETRANSLATE(B28194,""en"",""fr"")"),"Les gens se tiennent à côté d'eux à regarder.")</f>
        <v>Les gens se tiennent à côté d'eux à regarder.</v>
      </c>
    </row>
    <row r="28195">
      <c r="A28195" s="4" t="s">
        <v>35505</v>
      </c>
      <c r="B28195" s="4" t="s">
        <v>35506</v>
      </c>
      <c r="C28195" s="5" t="str">
        <f>IFERROR(__xludf.DUMMYFUNCTION("GOOGLETRANSLATE(B28195,""en"",""fr"")"),"La femme montre les tapis carrés et pointe vers les différents matériaux et caractéristiques.")</f>
        <v>La femme montre les tapis carrés et pointe vers les différents matériaux et caractéristiques.</v>
      </c>
    </row>
    <row r="28196">
      <c r="A28196" s="4" t="s">
        <v>35505</v>
      </c>
      <c r="B28196" s="4" t="s">
        <v>35507</v>
      </c>
      <c r="C28196" s="5" t="str">
        <f>IFERROR(__xludf.DUMMYFUNCTION("GOOGLETRANSLATE(B28196,""en"",""fr"")"),"La femme balaie le sol pour se préparer à un projet.")</f>
        <v>La femme balaie le sol pour se préparer à un projet.</v>
      </c>
    </row>
    <row r="28197">
      <c r="A28197" s="4" t="s">
        <v>35505</v>
      </c>
      <c r="B28197" s="4" t="s">
        <v>35508</v>
      </c>
      <c r="C28197" s="5" t="str">
        <f>IFERROR(__xludf.DUMMYFUNCTION("GOOGLETRANSLATE(B28197,""en"",""fr"")"),"La femme utilise une ligne de craie puis du ruban adhésif pour marquer le sol.")</f>
        <v>La femme utilise une ligne de craie puis du ruban adhésif pour marquer le sol.</v>
      </c>
    </row>
    <row r="28198">
      <c r="A28198" s="4" t="s">
        <v>35505</v>
      </c>
      <c r="B28198" s="4" t="s">
        <v>35509</v>
      </c>
      <c r="C28198" s="5" t="str">
        <f>IFERROR(__xludf.DUMMYFUNCTION("GOOGLETRANSLATE(B28198,""en"",""fr"")"),"La femme installe les morceaux de tapis carrés en place pour couvrir le sol.")</f>
        <v>La femme installe les morceaux de tapis carrés en place pour couvrir le sol.</v>
      </c>
    </row>
    <row r="28199">
      <c r="A28199" s="4" t="s">
        <v>35505</v>
      </c>
      <c r="B28199" s="4" t="s">
        <v>35510</v>
      </c>
      <c r="C28199" s="5" t="str">
        <f>IFERROR(__xludf.DUMMYFUNCTION("GOOGLETRANSLATE(B28199,""en"",""fr"")"),"La femme montre le sol fini.")</f>
        <v>La femme montre le sol fini.</v>
      </c>
    </row>
    <row r="28200">
      <c r="A28200" s="4" t="s">
        <v>35511</v>
      </c>
      <c r="B28200" s="4" t="s">
        <v>35512</v>
      </c>
      <c r="C28200" s="5" t="str">
        <f>IFERROR(__xludf.DUMMYFUNCTION("GOOGLETRANSLATE(B28200,""en"",""fr"")"),"Il attrape le long poteau et commence à marcher avec lui de l'autre côté du terrain.")</f>
        <v>Il attrape le long poteau et commence à marcher avec lui de l'autre côté du terrain.</v>
      </c>
    </row>
    <row r="28201">
      <c r="A28201" s="4" t="s">
        <v>35511</v>
      </c>
      <c r="B28201" s="4" t="s">
        <v>35513</v>
      </c>
      <c r="C28201" s="5" t="str">
        <f>IFERROR(__xludf.DUMMYFUNCTION("GOOGLETRANSLATE(B28201,""en"",""fr"")"),"Puis il se positionne et fait un saut et atterrit.")</f>
        <v>Puis il se positionne et fait un saut et atterrit.</v>
      </c>
    </row>
    <row r="28202">
      <c r="A28202" s="4" t="s">
        <v>35511</v>
      </c>
      <c r="B28202" s="4" t="s">
        <v>35514</v>
      </c>
      <c r="C28202" s="5" t="str">
        <f>IFERROR(__xludf.DUMMYFUNCTION("GOOGLETRANSLATE(B28202,""en"",""fr"")"),"Tout le monde commence à prendre son tour et à commencer à courir et à sauter également.")</f>
        <v>Tout le monde commence à prendre son tour et à commencer à courir et à sauter également.</v>
      </c>
    </row>
    <row r="28203">
      <c r="A28203" s="4" t="s">
        <v>35511</v>
      </c>
      <c r="B28203" s="4" t="s">
        <v>35515</v>
      </c>
      <c r="C28203" s="5" t="str">
        <f>IFERROR(__xludf.DUMMYFUNCTION("GOOGLETRANSLATE(B28203,""en"",""fr"")"),"Ils s'entraînent pendant un certain temps et le font encore quelques fois.")</f>
        <v>Ils s'entraînent pendant un certain temps et le font encore quelques fois.</v>
      </c>
    </row>
    <row r="28204">
      <c r="A28204" s="4" t="s">
        <v>35516</v>
      </c>
      <c r="B28204" s="6" t="s">
        <v>35517</v>
      </c>
      <c r="C28204" s="5" t="str">
        <f>IFERROR(__xludf.DUMMYFUNCTION("GOOGLETRANSLATE(B28204,""en"",""fr"")"),"Un grand groupe de personnes est vu en sautant dans un gymnase tout en reculer et quatrième avec la caméra.")</f>
        <v>Un grand groupe de personnes est vu en sautant dans un gymnase tout en reculer et quatrième avec la caméra.</v>
      </c>
    </row>
    <row r="28205">
      <c r="A28205" s="4" t="s">
        <v>35516</v>
      </c>
      <c r="B28205" s="4" t="s">
        <v>35518</v>
      </c>
      <c r="C28205" s="5" t="str">
        <f>IFERROR(__xludf.DUMMYFUNCTION("GOOGLETRANSLATE(B28205,""en"",""fr"")"),"Une femme se tient devant pour instruire le groupe et continuer à sauter la corde, puis s'arrêter.")</f>
        <v>Une femme se tient devant pour instruire le groupe et continuer à sauter la corde, puis s'arrêter.</v>
      </c>
    </row>
    <row r="28206">
      <c r="A28206" s="4" t="s">
        <v>35516</v>
      </c>
      <c r="B28206" s="4" t="s">
        <v>35519</v>
      </c>
      <c r="C28206" s="5" t="str">
        <f>IFERROR(__xludf.DUMMYFUNCTION("GOOGLETRANSLATE(B28206,""en"",""fr"")"),"Les gens se réchauffent ensuite les uns avec les autres et s'étendent avec la femme menant devant.")</f>
        <v>Les gens se réchauffent ensuite les uns avec les autres et s'étendent avec la femme menant devant.</v>
      </c>
    </row>
    <row r="28207">
      <c r="A28207" s="4" t="s">
        <v>35520</v>
      </c>
      <c r="B28207" s="6" t="s">
        <v>35521</v>
      </c>
      <c r="C28207" s="5" t="str">
        <f>IFERROR(__xludf.DUMMYFUNCTION("GOOGLETRANSLATE(B28207,""en"",""fr"")"),"Un tapis roulant est montré, puis une femme, utilisant le tapis roulant dans le salon est montrée, elle porte un haut bleu et un short noir.")</f>
        <v>Un tapis roulant est montré, puis une femme, utilisant le tapis roulant dans le salon est montrée, elle porte un haut bleu et un short noir.</v>
      </c>
    </row>
    <row r="28208">
      <c r="A28208" s="4" t="s">
        <v>35520</v>
      </c>
      <c r="B28208" s="6" t="s">
        <v>35522</v>
      </c>
      <c r="C28208" s="5" t="str">
        <f>IFERROR(__xludf.DUMMYFUNCTION("GOOGLETRANSLATE(B28208,""en"",""fr"")"),"Elle a ajusté le moniteur, puis des ajustements de tapis roulant et des compteurs sont affichés avec des nombres dessus.")</f>
        <v>Elle a ajusté le moniteur, puis des ajustements de tapis roulant et des compteurs sont affichés avec des nombres dessus.</v>
      </c>
    </row>
    <row r="28209">
      <c r="A28209" s="4" t="s">
        <v>35523</v>
      </c>
      <c r="B28209" s="4" t="s">
        <v>35524</v>
      </c>
      <c r="C28209" s="5" t="str">
        <f>IFERROR(__xludf.DUMMYFUNCTION("GOOGLETRANSLATE(B28209,""en"",""fr"")"),"Un homme est vu debout prêt à l'extérieur d'une piste et commence à courir vers un bar.")</f>
        <v>Un homme est vu debout prêt à l'extérieur d'une piste et commence à courir vers un bar.</v>
      </c>
    </row>
    <row r="28210">
      <c r="A28210" s="4" t="s">
        <v>35523</v>
      </c>
      <c r="B28210" s="4" t="s">
        <v>35525</v>
      </c>
      <c r="C28210" s="5" t="str">
        <f>IFERROR(__xludf.DUMMYFUNCTION("GOOGLETRANSLATE(B28210,""en"",""fr"")"),"L'homme saute ensuite par-dessus la barre et est à nouveau illustré au ralenti.")</f>
        <v>L'homme saute ensuite par-dessus la barre et est à nouveau illustré au ralenti.</v>
      </c>
    </row>
    <row r="28211">
      <c r="A28211" s="4" t="s">
        <v>35526</v>
      </c>
      <c r="B28211" s="4" t="s">
        <v>35527</v>
      </c>
      <c r="C28211" s="5" t="str">
        <f>IFERROR(__xludf.DUMMYFUNCTION("GOOGLETRANSLATE(B28211,""en"",""fr"")"),"Les gens sont assis à une table de Jack Black.")</f>
        <v>Les gens sont assis à une table de Jack Black.</v>
      </c>
    </row>
    <row r="28212">
      <c r="A28212" s="4" t="s">
        <v>35526</v>
      </c>
      <c r="B28212" s="4" t="s">
        <v>35528</v>
      </c>
      <c r="C28212" s="5" t="str">
        <f>IFERROR(__xludf.DUMMYFUNCTION("GOOGLETRANSLATE(B28212,""en"",""fr"")"),"Un homme est assis derrière la table en train de traiter les cartes.")</f>
        <v>Un homme est assis derrière la table en train de traiter les cartes.</v>
      </c>
    </row>
    <row r="28213">
      <c r="A28213" s="4" t="s">
        <v>35526</v>
      </c>
      <c r="B28213" s="4" t="s">
        <v>35529</v>
      </c>
      <c r="C28213" s="5" t="str">
        <f>IFERROR(__xludf.DUMMYFUNCTION("GOOGLETRANSLATE(B28213,""en"",""fr"")"),"Un homme encaisse les jetons avec le concessionnaire.")</f>
        <v>Un homme encaisse les jetons avec le concessionnaire.</v>
      </c>
    </row>
    <row r="28214">
      <c r="A28214" s="4" t="s">
        <v>35530</v>
      </c>
      <c r="B28214" s="4" t="s">
        <v>35531</v>
      </c>
      <c r="C28214" s="5" t="str">
        <f>IFERROR(__xludf.DUMMYFUNCTION("GOOGLETRANSLATE(B28214,""en"",""fr"")"),"Une dame parle à la caméra dans une salle légère.")</f>
        <v>Une dame parle à la caméra dans une salle légère.</v>
      </c>
    </row>
    <row r="28215">
      <c r="A28215" s="4" t="s">
        <v>35530</v>
      </c>
      <c r="B28215" s="4" t="s">
        <v>35532</v>
      </c>
      <c r="C28215" s="5" t="str">
        <f>IFERROR(__xludf.DUMMYFUNCTION("GOOGLETRANSLATE(B28215,""en"",""fr"")"),"Elle se retourne et attrape une poignée de cheveux.")</f>
        <v>Elle se retourne et attrape une poignée de cheveux.</v>
      </c>
    </row>
    <row r="28216">
      <c r="A28216" s="4" t="s">
        <v>35530</v>
      </c>
      <c r="B28216" s="4" t="s">
        <v>35533</v>
      </c>
      <c r="C28216" s="5" t="str">
        <f>IFERROR(__xludf.DUMMYFUNCTION("GOOGLETRANSLATE(B28216,""en"",""fr"")"),"La dame commence à tresser ses cheveux en ajoutant plus de cheveux pendant qu'elle tresse.")</f>
        <v>La dame commence à tresser ses cheveux en ajoutant plus de cheveux pendant qu'elle tresse.</v>
      </c>
    </row>
    <row r="28217">
      <c r="A28217" s="4" t="s">
        <v>35530</v>
      </c>
      <c r="B28217" s="4" t="s">
        <v>35534</v>
      </c>
      <c r="C28217" s="5" t="str">
        <f>IFERROR(__xludf.DUMMYFUNCTION("GOOGLETRANSLATE(B28217,""en"",""fr"")"),"La dame tire sa tresse devant elle et ajoute une cravate.")</f>
        <v>La dame tire sa tresse devant elle et ajoute une cravate.</v>
      </c>
    </row>
    <row r="28218">
      <c r="A28218" s="4" t="s">
        <v>35530</v>
      </c>
      <c r="B28218" s="4" t="s">
        <v>35535</v>
      </c>
      <c r="C28218" s="5" t="str">
        <f>IFERROR(__xludf.DUMMYFUNCTION("GOOGLETRANSLATE(B28218,""en"",""fr"")"),"Elle tire ses cheveux pour desserrer la tresse et se tourne vers la caméra et sourit.")</f>
        <v>Elle tire ses cheveux pour desserrer la tresse et se tourne vers la caméra et sourit.</v>
      </c>
    </row>
    <row r="28219">
      <c r="A28219" s="4" t="s">
        <v>35536</v>
      </c>
      <c r="B28219" s="4" t="s">
        <v>35537</v>
      </c>
      <c r="C28219" s="5" t="str">
        <f>IFERROR(__xludf.DUMMYFUNCTION("GOOGLETRANSLATE(B28219,""en"",""fr"")"),"Une rangée de garçons adolescents jouent à la caisse claire.")</f>
        <v>Une rangée de garçons adolescents jouent à la caisse claire.</v>
      </c>
    </row>
    <row r="28220">
      <c r="A28220" s="4" t="s">
        <v>35536</v>
      </c>
      <c r="B28220" s="4" t="s">
        <v>35538</v>
      </c>
      <c r="C28220" s="5" t="str">
        <f>IFERROR(__xludf.DUMMYFUNCTION("GOOGLETRANSLATE(B28220,""en"",""fr"")"),"Un grand tambour et un joueur apparaissent.")</f>
        <v>Un grand tambour et un joueur apparaissent.</v>
      </c>
    </row>
    <row r="28221">
      <c r="A28221" s="4" t="s">
        <v>35536</v>
      </c>
      <c r="B28221" s="4" t="s">
        <v>35539</v>
      </c>
      <c r="C28221" s="5" t="str">
        <f>IFERROR(__xludf.DUMMYFUNCTION("GOOGLETRANSLATE(B28221,""en"",""fr"")"),"Une fille jouant un tambour se joint.")</f>
        <v>Une fille jouant un tambour se joint.</v>
      </c>
    </row>
    <row r="28222">
      <c r="A28222" s="4" t="s">
        <v>35540</v>
      </c>
      <c r="B28222" s="4" t="s">
        <v>35541</v>
      </c>
      <c r="C28222" s="5" t="str">
        <f>IFERROR(__xludf.DUMMYFUNCTION("GOOGLETRANSLATE(B28222,""en"",""fr"")"),"Un groupe d'enfants d'âges variables glisse sur une toboggan bleu dans un parc à thème.")</f>
        <v>Un groupe d'enfants d'âges variables glisse sur une toboggan bleu dans un parc à thème.</v>
      </c>
    </row>
    <row r="28223">
      <c r="A28223" s="4" t="s">
        <v>35540</v>
      </c>
      <c r="B28223" s="4" t="s">
        <v>35542</v>
      </c>
      <c r="C28223" s="5" t="str">
        <f>IFERROR(__xludf.DUMMYFUNCTION("GOOGLETRANSLATE(B28223,""en"",""fr"")"),"Un groupe d'enfants apparaît en haut de la haute diapositive.")</f>
        <v>Un groupe d'enfants apparaît en haut de la haute diapositive.</v>
      </c>
    </row>
    <row r="28224">
      <c r="A28224" s="4" t="s">
        <v>35540</v>
      </c>
      <c r="B28224" s="4" t="s">
        <v>35543</v>
      </c>
      <c r="C28224" s="5" t="str">
        <f>IFERROR(__xludf.DUMMYFUNCTION("GOOGLETRANSLATE(B28224,""en"",""fr"")"),"Les enfants glissent ensuite sur la diapositive, avec un bandeau d'une fille descendant sur ses yeux.")</f>
        <v>Les enfants glissent ensuite sur la diapositive, avec un bandeau d'une fille descendant sur ses yeux.</v>
      </c>
    </row>
    <row r="28225">
      <c r="A28225" s="4" t="s">
        <v>35540</v>
      </c>
      <c r="B28225" s="4" t="s">
        <v>35544</v>
      </c>
      <c r="C28225" s="5" t="str">
        <f>IFERROR(__xludf.DUMMYFUNCTION("GOOGLETRANSLATE(B28225,""en"",""fr"")"),"Les enfants atterrissent et se lèvent et s'enfuient.")</f>
        <v>Les enfants atterrissent et se lèvent et s'enfuient.</v>
      </c>
    </row>
    <row r="28226">
      <c r="A28226" s="4" t="s">
        <v>35545</v>
      </c>
      <c r="B28226" s="4" t="s">
        <v>35546</v>
      </c>
      <c r="C28226" s="5" t="str">
        <f>IFERROR(__xludf.DUMMYFUNCTION("GOOGLETRANSLATE(B28226,""en"",""fr"")"),"Le texte blanc explique le processus de blessure au genou.")</f>
        <v>Le texte blanc explique le processus de blessure au genou.</v>
      </c>
    </row>
    <row r="28227">
      <c r="A28227" s="4" t="s">
        <v>35545</v>
      </c>
      <c r="B28227" s="6" t="s">
        <v>35547</v>
      </c>
      <c r="C28227" s="5" t="str">
        <f>IFERROR(__xludf.DUMMYFUNCTION("GOOGLETRANSLATE(B28227,""en"",""fr"")"),"Un homme est montré en faisant des actes sportifs, notamment en sautant sur un matelas, et s'étend pour ses genoux avant de sauter encore et encore.")</f>
        <v>Un homme est montré en faisant des actes sportifs, notamment en sautant sur un matelas, et s'étend pour ses genoux avant de sauter encore et encore.</v>
      </c>
    </row>
    <row r="28228">
      <c r="A28228" s="4" t="s">
        <v>35548</v>
      </c>
      <c r="B28228" s="4" t="s">
        <v>35549</v>
      </c>
      <c r="C28228" s="5" t="str">
        <f>IFERROR(__xludf.DUMMYFUNCTION("GOOGLETRANSLATE(B28228,""en"",""fr"")"),"Un homme se tient dans une salle de bain devant un miroir, tenant un rasoir.")</f>
        <v>Un homme se tient dans une salle de bain devant un miroir, tenant un rasoir.</v>
      </c>
    </row>
    <row r="28229">
      <c r="A28229" s="4" t="s">
        <v>35548</v>
      </c>
      <c r="B28229" s="4" t="s">
        <v>35550</v>
      </c>
      <c r="C28229" s="5" t="str">
        <f>IFERROR(__xludf.DUMMYFUNCTION("GOOGLETRANSLATE(B28229,""en"",""fr"")"),"L'homme commence à parler à la caméra tout en montrant le rasoir et ses différentes parties.")</f>
        <v>L'homme commence à parler à la caméra tout en montrant le rasoir et ses différentes parties.</v>
      </c>
    </row>
    <row r="28230">
      <c r="A28230" s="4" t="s">
        <v>35548</v>
      </c>
      <c r="B28230" s="4" t="s">
        <v>35551</v>
      </c>
      <c r="C28230" s="5" t="str">
        <f>IFERROR(__xludf.DUMMYFUNCTION("GOOGLETRANSLATE(B28230,""en"",""fr"")"),"Bientôt, il commence à se raser le visage tout en regardant dans le miroir.")</f>
        <v>Bientôt, il commence à se raser le visage tout en regardant dans le miroir.</v>
      </c>
    </row>
    <row r="28231">
      <c r="A28231" s="4" t="s">
        <v>35548</v>
      </c>
      <c r="B28231" s="4" t="s">
        <v>35552</v>
      </c>
      <c r="C28231" s="5" t="str">
        <f>IFERROR(__xludf.DUMMYFUNCTION("GOOGLETRANSLATE(B28231,""en"",""fr"")"),"Par la suite, il reprend la parole à la caméra et montrant comment le rasoir s'est produit.")</f>
        <v>Par la suite, il reprend la parole à la caméra et montrant comment le rasoir s'est produit.</v>
      </c>
    </row>
    <row r="28232">
      <c r="A28232" s="4" t="s">
        <v>35548</v>
      </c>
      <c r="B28232" s="6" t="s">
        <v>35553</v>
      </c>
      <c r="C28232" s="5" t="str">
        <f>IFERROR(__xludf.DUMMYFUNCTION("GOOGLETRANSLATE(B28232,""en"",""fr"")"),"L'homme place le rasoir sur un support de charge qui montre une lumière éclairante, puis la ramène.")</f>
        <v>L'homme place le rasoir sur un support de charge qui montre une lumière éclairante, puis la ramène.</v>
      </c>
    </row>
    <row r="28233">
      <c r="A28233" s="4" t="s">
        <v>35548</v>
      </c>
      <c r="B28233" s="4" t="s">
        <v>35554</v>
      </c>
      <c r="C28233" s="5" t="str">
        <f>IFERROR(__xludf.DUMMYFUNCTION("GOOGLETRANSLATE(B28233,""en"",""fr"")"),"La vidéo se termine avec l'homme touchant son visage pour démontrer le travail fluide.")</f>
        <v>La vidéo se termine avec l'homme touchant son visage pour démontrer le travail fluide.</v>
      </c>
    </row>
    <row r="28234">
      <c r="A28234" s="4" t="s">
        <v>35555</v>
      </c>
      <c r="B28234" s="6" t="s">
        <v>35556</v>
      </c>
      <c r="C28234" s="5" t="str">
        <f>IFERROR(__xludf.DUMMYFUNCTION("GOOGLETRANSLATE(B28234,""en"",""fr"")"),"Deux hommes démontrent des cascades de corde, des astuces et des techniques dans un auditorium devant un groupe d'étudiants.")</f>
        <v>Deux hommes démontrent des cascades de corde, des astuces et des techniques dans un auditorium devant un groupe d'étudiants.</v>
      </c>
    </row>
    <row r="28235">
      <c r="A28235" s="4" t="s">
        <v>35555</v>
      </c>
      <c r="B28235" s="4" t="s">
        <v>35557</v>
      </c>
      <c r="C28235" s="5" t="str">
        <f>IFERROR(__xludf.DUMMYFUNCTION("GOOGLETRANSLATE(B28235,""en"",""fr"")"),"Un homme dans un costume de piste gris effectue des tours de corde devant un groupe d'étudiants.")</f>
        <v>Un homme dans un costume de piste gris effectue des tours de corde devant un groupe d'étudiants.</v>
      </c>
    </row>
    <row r="28236">
      <c r="A28236" s="4" t="s">
        <v>35555</v>
      </c>
      <c r="B28236" s="4" t="s">
        <v>35558</v>
      </c>
      <c r="C28236" s="5" t="str">
        <f>IFERROR(__xludf.DUMMYFUNCTION("GOOGLETRANSLATE(B28236,""en"",""fr"")"),"L'homme dans le costume de piste gris se termine et les enfants applaudissent.")</f>
        <v>L'homme dans le costume de piste gris se termine et les enfants applaudissent.</v>
      </c>
    </row>
    <row r="28237">
      <c r="A28237" s="4" t="s">
        <v>35555</v>
      </c>
      <c r="B28237" s="6" t="s">
        <v>35559</v>
      </c>
      <c r="C28237" s="5" t="str">
        <f>IFERROR(__xludf.DUMMYFUNCTION("GOOGLETRANSLATE(B28237,""en"",""fr"")"),"Un deuxième homme marche à côté de l'homme et les deux hommes commencent à effectuer plus de tours et de cascades, notamment des backflips et des mouvements de danse pendant la démonstration.")</f>
        <v>Un deuxième homme marche à côté de l'homme et les deux hommes commencent à effectuer plus de tours et de cascades, notamment des backflips et des mouvements de danse pendant la démonstration.</v>
      </c>
    </row>
    <row r="28238">
      <c r="A28238" s="4" t="s">
        <v>35560</v>
      </c>
      <c r="B28238" s="6" t="s">
        <v>35561</v>
      </c>
      <c r="C28238" s="5" t="str">
        <f>IFERROR(__xludf.DUMMYFUNCTION("GOOGLETRANSLATE(B28238,""en"",""fr"")"),"Deux personnes sont vues héberger un segment d'actualités qui se parlent et montrant plusieurs clips à l'intérieur d'un gymnase.")</f>
        <v>Deux personnes sont vues héberger un segment d'actualités qui se parlent et montrant plusieurs clips à l'intérieur d'un gymnase.</v>
      </c>
    </row>
    <row r="28239">
      <c r="A28239" s="4" t="s">
        <v>35560</v>
      </c>
      <c r="B28239" s="4" t="s">
        <v>35562</v>
      </c>
      <c r="C28239" s="5" t="str">
        <f>IFERROR(__xludf.DUMMYFUNCTION("GOOGLETRANSLATE(B28239,""en"",""fr"")"),"La femme grimpe ensuite sur le tapis roulant et l'essaie tout en parlant à l'homme.")</f>
        <v>La femme grimpe ensuite sur le tapis roulant et l'essaie tout en parlant à l'homme.</v>
      </c>
    </row>
    <row r="28240">
      <c r="A28240" s="4" t="s">
        <v>35563</v>
      </c>
      <c r="B28240" s="6" t="s">
        <v>35564</v>
      </c>
      <c r="C28240" s="5" t="str">
        <f>IFERROR(__xludf.DUMMYFUNCTION("GOOGLETRANSLATE(B28240,""en"",""fr"")"),"Une femme est vue en parlant à la caméra tenant une bière et mène à la consommation du verre.")</f>
        <v>Une femme est vue en parlant à la caméra tenant une bière et mène à la consommation du verre.</v>
      </c>
    </row>
    <row r="28241">
      <c r="A28241" s="4" t="s">
        <v>35563</v>
      </c>
      <c r="B28241" s="4" t="s">
        <v>35565</v>
      </c>
      <c r="C28241" s="5" t="str">
        <f>IFERROR(__xludf.DUMMYFUNCTION("GOOGLETRANSLATE(B28241,""en"",""fr"")"),"Elle continue de boire la bière tout en riant de la caméra et en hochant la tête en accord.")</f>
        <v>Elle continue de boire la bière tout en riant de la caméra et en hochant la tête en accord.</v>
      </c>
    </row>
    <row r="28242">
      <c r="A28242" s="4" t="s">
        <v>35566</v>
      </c>
      <c r="B28242" s="4" t="s">
        <v>35567</v>
      </c>
      <c r="C28242" s="5" t="str">
        <f>IFERROR(__xludf.DUMMYFUNCTION("GOOGLETRANSLATE(B28242,""en"",""fr"")"),"Un volontaire rasse part dans une cour avant.")</f>
        <v>Un volontaire rasse part dans une cour avant.</v>
      </c>
    </row>
    <row r="28243">
      <c r="A28243" s="4" t="s">
        <v>35566</v>
      </c>
      <c r="B28243" s="4" t="s">
        <v>35568</v>
      </c>
      <c r="C28243" s="5" t="str">
        <f>IFERROR(__xludf.DUMMYFUNCTION("GOOGLETRANSLATE(B28243,""en"",""fr"")"),"Les bénévoles transportent et installent des outils de jardin et des produits de nettoyage.")</f>
        <v>Les bénévoles transportent et installent des outils de jardin et des produits de nettoyage.</v>
      </c>
    </row>
    <row r="28244">
      <c r="A28244" s="4" t="s">
        <v>35566</v>
      </c>
      <c r="B28244" s="4" t="s">
        <v>35569</v>
      </c>
      <c r="C28244" s="5" t="str">
        <f>IFERROR(__xludf.DUMMYFUNCTION("GOOGLETRANSLATE(B28244,""en"",""fr"")"),"Un groupe de bénévoles ratisse les feuilles devant une maison.")</f>
        <v>Un groupe de bénévoles ratisse les feuilles devant une maison.</v>
      </c>
    </row>
    <row r="28245">
      <c r="A28245" s="4" t="s">
        <v>35566</v>
      </c>
      <c r="B28245" s="4" t="s">
        <v>35570</v>
      </c>
      <c r="C28245" s="5" t="str">
        <f>IFERROR(__xludf.DUMMYFUNCTION("GOOGLETRANSLATE(B28245,""en"",""fr"")"),"Les bénévoles mangent tous ensemble dans une cafétéria.")</f>
        <v>Les bénévoles mangent tous ensemble dans une cafétéria.</v>
      </c>
    </row>
    <row r="28246">
      <c r="A28246" s="4" t="s">
        <v>35566</v>
      </c>
      <c r="B28246" s="4" t="s">
        <v>35571</v>
      </c>
      <c r="C28246" s="5" t="str">
        <f>IFERROR(__xludf.DUMMYFUNCTION("GOOGLETRANSLATE(B28246,""en"",""fr"")"),"Un homme charge des sacs de feuilles et les dépose dans une cour de collection.")</f>
        <v>Un homme charge des sacs de feuilles et les dépose dans une cour de collection.</v>
      </c>
    </row>
    <row r="28247">
      <c r="A28247" s="4" t="s">
        <v>35572</v>
      </c>
      <c r="B28247" s="4" t="s">
        <v>35573</v>
      </c>
      <c r="C28247" s="5" t="str">
        <f>IFERROR(__xludf.DUMMYFUNCTION("GOOGLETRANSLATE(B28247,""en"",""fr"")"),"Une fille en maillot de bain est assise sur la plage.")</f>
        <v>Une fille en maillot de bain est assise sur la plage.</v>
      </c>
    </row>
    <row r="28248">
      <c r="A28248" s="4" t="s">
        <v>35572</v>
      </c>
      <c r="B28248" s="4" t="s">
        <v>35574</v>
      </c>
      <c r="C28248" s="5" t="str">
        <f>IFERROR(__xludf.DUMMYFUNCTION("GOOGLETRANSLATE(B28248,""en"",""fr"")"),"Elle met du sable dans une tasse et construit un château de sable.")</f>
        <v>Elle met du sable dans une tasse et construit un château de sable.</v>
      </c>
    </row>
    <row r="28249">
      <c r="A28249" s="4" t="s">
        <v>35572</v>
      </c>
      <c r="B28249" s="4" t="s">
        <v>35575</v>
      </c>
      <c r="C28249" s="5" t="str">
        <f>IFERROR(__xludf.DUMMYFUNCTION("GOOGLETRANSLATE(B28249,""en"",""fr"")"),"Une autre fille s'approche et lui parle.")</f>
        <v>Une autre fille s'approche et lui parle.</v>
      </c>
    </row>
    <row r="28250">
      <c r="A28250" s="4" t="s">
        <v>35576</v>
      </c>
      <c r="B28250" s="4" t="s">
        <v>35577</v>
      </c>
      <c r="C28250" s="5" t="str">
        <f>IFERROR(__xludf.DUMMYFUNCTION("GOOGLETRANSLATE(B28250,""en"",""fr"")"),"Un homme se couche sur le sol sur un tapis.")</f>
        <v>Un homme se couche sur le sol sur un tapis.</v>
      </c>
    </row>
    <row r="28251">
      <c r="A28251" s="4" t="s">
        <v>35576</v>
      </c>
      <c r="B28251" s="4" t="s">
        <v>35578</v>
      </c>
      <c r="C28251" s="5" t="str">
        <f>IFERROR(__xludf.DUMMYFUNCTION("GOOGLETRANSLATE(B28251,""en"",""fr"")"),"L'homme a un poids sur sa tête.")</f>
        <v>L'homme a un poids sur sa tête.</v>
      </c>
    </row>
    <row r="28252">
      <c r="A28252" s="4" t="s">
        <v>35576</v>
      </c>
      <c r="B28252" s="4" t="s">
        <v>35579</v>
      </c>
      <c r="C28252" s="5" t="str">
        <f>IFERROR(__xludf.DUMMYFUNCTION("GOOGLETRANSLATE(B28252,""en"",""fr"")"),"L'homme fait de l'exercice en tenant le poids et en élevant les jambes pliées jusqu'à la poitrine.")</f>
        <v>L'homme fait de l'exercice en tenant le poids et en élevant les jambes pliées jusqu'à la poitrine.</v>
      </c>
    </row>
    <row r="28253">
      <c r="A28253" s="4" t="s">
        <v>35580</v>
      </c>
      <c r="B28253" s="6" t="s">
        <v>35581</v>
      </c>
      <c r="C28253" s="5" t="str">
        <f>IFERROR(__xludf.DUMMYFUNCTION("GOOGLETRANSLATE(B28253,""en"",""fr"")"),"Un homme portant une chemise noire qui a des mots blancs qui disent que ""joue bien avec soi"" est assis dans une maison et joue sur deux bongos différents de taille, de design et de couleur différents.")</f>
        <v>Un homme portant une chemise noire qui a des mots blancs qui disent que "joue bien avec soi" est assis dans une maison et joue sur deux bongos différents de taille, de design et de couleur différents.</v>
      </c>
    </row>
    <row r="28254">
      <c r="A28254" s="4" t="s">
        <v>35580</v>
      </c>
      <c r="B28254" s="4" t="s">
        <v>35582</v>
      </c>
      <c r="C28254" s="5" t="str">
        <f>IFERROR(__xludf.DUMMYFUNCTION("GOOGLETRANSLATE(B28254,""en"",""fr"")"),"L'homme arrête de frapper les bongos et repose sa main gauche sur le bongo de couleur plus claire.")</f>
        <v>L'homme arrête de frapper les bongos et repose sa main gauche sur le bongo de couleur plus claire.</v>
      </c>
    </row>
    <row r="28255">
      <c r="A28255" s="4" t="s">
        <v>35580</v>
      </c>
      <c r="B28255" s="6" t="s">
        <v>35583</v>
      </c>
      <c r="C28255" s="5" t="str">
        <f>IFERROR(__xludf.DUMMYFUNCTION("GOOGLETRANSLATE(B28255,""en"",""fr"")"),"Ensuite, l'homme bouge sa jambe droite comme s'il allait se lever et le bongo se déplace sans son soutien aux jambes.")</f>
        <v>Ensuite, l'homme bouge sa jambe droite comme s'il allait se lever et le bongo se déplace sans son soutien aux jambes.</v>
      </c>
    </row>
    <row r="28256">
      <c r="A28256" s="4" t="s">
        <v>35584</v>
      </c>
      <c r="B28256" s="4" t="s">
        <v>35585</v>
      </c>
      <c r="C28256" s="5" t="str">
        <f>IFERROR(__xludf.DUMMYFUNCTION("GOOGLETRANSLATE(B28256,""en"",""fr"")"),"Stone Cold Steve Austin dans l'anneau transpirant abondamment.")</f>
        <v>Stone Cold Steve Austin dans l'anneau transpirant abondamment.</v>
      </c>
    </row>
    <row r="28257">
      <c r="A28257" s="4" t="s">
        <v>35584</v>
      </c>
      <c r="B28257" s="6" t="s">
        <v>35586</v>
      </c>
      <c r="C28257" s="5" t="str">
        <f>IFERROR(__xludf.DUMMYFUNCTION("GOOGLETRANSLATE(B28257,""en"",""fr"")"),"Il regarde l'autre lutteur respirant et transpirant, ils se regardent juste pendant un certain temps.")</f>
        <v>Il regarde l'autre lutteur respirant et transpirant, ils se regardent juste pendant un certain temps.</v>
      </c>
    </row>
    <row r="28258">
      <c r="A28258" s="4" t="s">
        <v>35584</v>
      </c>
      <c r="B28258" s="4" t="s">
        <v>35587</v>
      </c>
      <c r="C28258" s="5" t="str">
        <f>IFERROR(__xludf.DUMMYFUNCTION("GOOGLETRANSLATE(B28258,""en"",""fr"")"),"Ils ouvrent des bières et se heurtent ensemble, puis ils commencent à jeter des bières au public.")</f>
        <v>Ils ouvrent des bières et se heurtent ensemble, puis ils commencent à jeter des bières au public.</v>
      </c>
    </row>
    <row r="28259">
      <c r="A28259" s="4" t="s">
        <v>35584</v>
      </c>
      <c r="B28259" s="4" t="s">
        <v>35588</v>
      </c>
      <c r="C28259" s="5" t="str">
        <f>IFERROR(__xludf.DUMMYFUNCTION("GOOGLETRANSLATE(B28259,""en"",""fr"")"),"Ensuite, Austin sort du ring et commence à marcher vers l'arrière.")</f>
        <v>Ensuite, Austin sort du ring et commence à marcher vers l'arrière.</v>
      </c>
    </row>
    <row r="28260">
      <c r="A28260" s="4" t="s">
        <v>35589</v>
      </c>
      <c r="B28260" s="4" t="s">
        <v>35590</v>
      </c>
      <c r="C28260" s="5" t="str">
        <f>IFERROR(__xludf.DUMMYFUNCTION("GOOGLETRANSLATE(B28260,""en"",""fr"")"),"Une femme parle à un homme dans un patinage d'Icerink et tient des poteaux de hockey jouant en tirant le disque.")</f>
        <v>Une femme parle à un homme dans un patinage d'Icerink et tient des poteaux de hockey jouant en tirant le disque.</v>
      </c>
    </row>
    <row r="28261">
      <c r="A28261" s="4" t="s">
        <v>35589</v>
      </c>
      <c r="B28261" s="4" t="s">
        <v>35591</v>
      </c>
      <c r="C28261" s="5" t="str">
        <f>IFERROR(__xludf.DUMMYFUNCTION("GOOGLETRANSLATE(B28261,""en"",""fr"")"),"Une femme est dans un hôpital qui parle à un homme.")</f>
        <v>Une femme est dans un hôpital qui parle à un homme.</v>
      </c>
    </row>
    <row r="28262">
      <c r="A28262" s="4" t="s">
        <v>35589</v>
      </c>
      <c r="B28262" s="4" t="s">
        <v>35592</v>
      </c>
      <c r="C28262" s="5" t="str">
        <f>IFERROR(__xludf.DUMMYFUNCTION("GOOGLETRANSLATE(B28262,""en"",""fr"")"),"L'homme et la femme regardaient l'homme qui a un pansement dans sa tête.")</f>
        <v>L'homme et la femme regardaient l'homme qui a un pansement dans sa tête.</v>
      </c>
    </row>
    <row r="28263">
      <c r="A28263" s="4" t="s">
        <v>35593</v>
      </c>
      <c r="B28263" s="4" t="s">
        <v>35594</v>
      </c>
      <c r="C28263" s="5" t="str">
        <f>IFERROR(__xludf.DUMMYFUNCTION("GOOGLETRANSLATE(B28263,""en"",""fr"")"),"Les joueurs du Brasil scores tandis que les gens des Javels célèbrent.")</f>
        <v>Les joueurs du Brasil scores tandis que les gens des Javels célèbrent.</v>
      </c>
    </row>
    <row r="28264">
      <c r="A28264" s="4" t="s">
        <v>35593</v>
      </c>
      <c r="B28264" s="6" t="s">
        <v>35595</v>
      </c>
      <c r="C28264" s="5" t="str">
        <f>IFERROR(__xludf.DUMMYFUNCTION("GOOGLETRANSLATE(B28264,""en"",""fr"")"),"Un joueur brésilien passe le ballon à son camarade de jeu qui marque et court pour célébrer, d'autres joueurs brésiliens marquent plusieurs fois.")</f>
        <v>Un joueur brésilien passe le ballon à son camarade de jeu qui marque et court pour célébrer, d'autres joueurs brésiliens marquent plusieurs fois.</v>
      </c>
    </row>
    <row r="28265">
      <c r="A28265" s="4" t="s">
        <v>35593</v>
      </c>
      <c r="B28265" s="4" t="s">
        <v>35596</v>
      </c>
      <c r="C28265" s="5" t="str">
        <f>IFERROR(__xludf.DUMMYFUNCTION("GOOGLETRANSLATE(B28265,""en"",""fr"")"),"Après, le Brasil joue avec d'autres TEEMS et scores plusieurs fois.")</f>
        <v>Après, le Brasil joue avec d'autres TEEMS et scores plusieurs fois.</v>
      </c>
    </row>
    <row r="28266">
      <c r="A28266" s="4" t="s">
        <v>35593</v>
      </c>
      <c r="B28266" s="4" t="s">
        <v>35597</v>
      </c>
      <c r="C28266" s="5" t="str">
        <f>IFERROR(__xludf.DUMMYFUNCTION("GOOGLETRANSLATE(B28266,""en"",""fr"")"),"Ensuite, le Brasil joue avec des joueurs d'autres pays et des scores.")</f>
        <v>Ensuite, le Brasil joue avec des joueurs d'autres pays et des scores.</v>
      </c>
    </row>
    <row r="28267">
      <c r="A28267" s="4" t="s">
        <v>35593</v>
      </c>
      <c r="B28267" s="4" t="s">
        <v>35598</v>
      </c>
      <c r="C28267" s="5" t="str">
        <f>IFERROR(__xludf.DUMMYFUNCTION("GOOGLETRANSLATE(B28267,""en"",""fr"")"),"À la fin, le Brasil remporte la compétition.")</f>
        <v>À la fin, le Brasil remporte la compétition.</v>
      </c>
    </row>
    <row r="28268">
      <c r="A28268" s="4" t="s">
        <v>35599</v>
      </c>
      <c r="B28268" s="4" t="s">
        <v>35600</v>
      </c>
      <c r="C28268" s="5" t="str">
        <f>IFERROR(__xludf.DUMMYFUNCTION("GOOGLETRANSLATE(B28268,""en"",""fr"")"),"Les gens jouent au football en salle dans une arène.")</f>
        <v>Les gens jouent au football en salle dans une arène.</v>
      </c>
    </row>
    <row r="28269">
      <c r="A28269" s="4" t="s">
        <v>35599</v>
      </c>
      <c r="B28269" s="4" t="s">
        <v>35601</v>
      </c>
      <c r="C28269" s="5" t="str">
        <f>IFERROR(__xludf.DUMMYFUNCTION("GOOGLETRANSLATE(B28269,""en"",""fr"")"),"Les gens sont assis dans les tribunes en regardant.")</f>
        <v>Les gens sont assis dans les tribunes en regardant.</v>
      </c>
    </row>
    <row r="28270">
      <c r="A28270" s="4" t="s">
        <v>35599</v>
      </c>
      <c r="B28270" s="4" t="s">
        <v>2018</v>
      </c>
      <c r="C28270" s="5" t="str">
        <f>IFERROR(__xludf.DUMMYFUNCTION("GOOGLETRANSLATE(B28270,""en"",""fr"")"),"Les mots arrivent à l'écran.")</f>
        <v>Les mots arrivent à l'écran.</v>
      </c>
    </row>
    <row r="28271">
      <c r="A28271" s="4" t="s">
        <v>35602</v>
      </c>
      <c r="B28271" s="4" t="s">
        <v>35603</v>
      </c>
      <c r="C28271" s="5" t="str">
        <f>IFERROR(__xludf.DUMMYFUNCTION("GOOGLETRANSLATE(B28271,""en"",""fr"")"),"Une femme se tient dans une pièce en tenant un cerceau.")</f>
        <v>Une femme se tient dans une pièce en tenant un cerceau.</v>
      </c>
    </row>
    <row r="28272">
      <c r="A28272" s="4" t="s">
        <v>35602</v>
      </c>
      <c r="B28272" s="4" t="s">
        <v>35604</v>
      </c>
      <c r="C28272" s="5" t="str">
        <f>IFERROR(__xludf.DUMMYFUNCTION("GOOGLETRANSLATE(B28272,""en"",""fr"")"),"Elle montre comment utiliser le cerceau Hula.")</f>
        <v>Elle montre comment utiliser le cerceau Hula.</v>
      </c>
    </row>
    <row r="28273">
      <c r="A28273" s="4" t="s">
        <v>35602</v>
      </c>
      <c r="B28273" s="4" t="s">
        <v>35605</v>
      </c>
      <c r="C28273" s="5" t="str">
        <f>IFERROR(__xludf.DUMMYFUNCTION("GOOGLETRANSLATE(B28273,""en"",""fr"")"),"Elle le tourne en utilisant ses hanches et parlant à la caméra.")</f>
        <v>Elle le tourne en utilisant ses hanches et parlant à la caméra.</v>
      </c>
    </row>
    <row r="28274">
      <c r="A28274" s="4" t="s">
        <v>35606</v>
      </c>
      <c r="B28274" s="4" t="s">
        <v>35607</v>
      </c>
      <c r="C28274" s="5" t="str">
        <f>IFERROR(__xludf.DUMMYFUNCTION("GOOGLETRANSLATE(B28274,""en"",""fr"")"),"Un homme portant une chemise bleue joue du piano dans une cour.")</f>
        <v>Un homme portant une chemise bleue joue du piano dans une cour.</v>
      </c>
    </row>
    <row r="28275">
      <c r="A28275" s="4" t="s">
        <v>35606</v>
      </c>
      <c r="B28275" s="4" t="s">
        <v>35608</v>
      </c>
      <c r="C28275" s="5" t="str">
        <f>IFERROR(__xludf.DUMMYFUNCTION("GOOGLETRANSLATE(B28275,""en"",""fr"")"),"Il y a deux éléphants debout derrière lui.")</f>
        <v>Il y a deux éléphants debout derrière lui.</v>
      </c>
    </row>
    <row r="28276">
      <c r="A28276" s="4" t="s">
        <v>35606</v>
      </c>
      <c r="B28276" s="4" t="s">
        <v>35609</v>
      </c>
      <c r="C28276" s="5" t="str">
        <f>IFERROR(__xludf.DUMMYFUNCTION("GOOGLETRANSLATE(B28276,""en"",""fr"")"),"L'un des éléphants essaie de jouer du piano avec son coffre.")</f>
        <v>L'un des éléphants essaie de jouer du piano avec son coffre.</v>
      </c>
    </row>
    <row r="28277">
      <c r="A28277" s="4" t="s">
        <v>35606</v>
      </c>
      <c r="B28277" s="4" t="s">
        <v>35610</v>
      </c>
      <c r="C28277" s="5" t="str">
        <f>IFERROR(__xludf.DUMMYFUNCTION("GOOGLETRANSLATE(B28277,""en"",""fr"")"),"L'homme continue de jouer du piano à un rythme rapide en utilisant diverses clés sur le piano.")</f>
        <v>L'homme continue de jouer du piano à un rythme rapide en utilisant diverses clés sur le piano.</v>
      </c>
    </row>
    <row r="28278">
      <c r="A28278" s="4" t="s">
        <v>35606</v>
      </c>
      <c r="B28278" s="4" t="s">
        <v>35611</v>
      </c>
      <c r="C28278" s="5" t="str">
        <f>IFERROR(__xludf.DUMMYFUNCTION("GOOGLETRANSLATE(B28278,""en"",""fr"")"),"Il donne une grande finition avec la mélodie puis tape le coffre de l'éléphant.")</f>
        <v>Il donne une grande finition avec la mélodie puis tape le coffre de l'éléphant.</v>
      </c>
    </row>
    <row r="28279">
      <c r="A28279" s="4" t="s">
        <v>35612</v>
      </c>
      <c r="B28279" s="4" t="s">
        <v>35613</v>
      </c>
      <c r="C28279" s="5" t="str">
        <f>IFERROR(__xludf.DUMMYFUNCTION("GOOGLETRANSLATE(B28279,""en"",""fr"")"),"Un gars se tient sur le rivage d'une plage tenant un bâton de hockey équilibrant une balle.")</f>
        <v>Un gars se tient sur le rivage d'une plage tenant un bâton de hockey équilibrant une balle.</v>
      </c>
    </row>
    <row r="28280">
      <c r="A28280" s="4" t="s">
        <v>35612</v>
      </c>
      <c r="B28280" s="4" t="s">
        <v>35614</v>
      </c>
      <c r="C28280" s="5" t="str">
        <f>IFERROR(__xludf.DUMMYFUNCTION("GOOGLETRANSLATE(B28280,""en"",""fr"")"),"Un bâton de hockey et une balle blanche allongaient sur de fausses herbes à l'extérieur.")</f>
        <v>Un bâton de hockey et une balle blanche allongaient sur de fausses herbes à l'extérieur.</v>
      </c>
    </row>
    <row r="28281">
      <c r="A28281" s="4" t="s">
        <v>35612</v>
      </c>
      <c r="B28281" s="4" t="s">
        <v>35615</v>
      </c>
      <c r="C28281" s="5" t="str">
        <f>IFERROR(__xludf.DUMMYFUNCTION("GOOGLETRANSLATE(B28281,""en"",""fr"")"),"Une personne déplace une balle blanche avec un bâton de hockey.")</f>
        <v>Une personne déplace une balle blanche avec un bâton de hockey.</v>
      </c>
    </row>
    <row r="28282">
      <c r="A28282" s="4" t="s">
        <v>35612</v>
      </c>
      <c r="B28282" s="4" t="s">
        <v>35616</v>
      </c>
      <c r="C28282" s="5" t="str">
        <f>IFERROR(__xludf.DUMMYFUNCTION("GOOGLETRANSLATE(B28282,""en"",""fr"")"),"Une personne démontre dix techniques de hockey sur le terrain.")</f>
        <v>Une personne démontre dix techniques de hockey sur le terrain.</v>
      </c>
    </row>
    <row r="28283">
      <c r="A28283" s="4" t="s">
        <v>35612</v>
      </c>
      <c r="B28283" s="4" t="s">
        <v>35617</v>
      </c>
      <c r="C28283" s="5" t="str">
        <f>IFERROR(__xludf.DUMMYFUNCTION("GOOGLETRANSLATE(B28283,""en"",""fr"")"),"Un gars utilise un bâton de hockey pour faire rebondir une balle dans l'air.")</f>
        <v>Un gars utilise un bâton de hockey pour faire rebondir une balle dans l'air.</v>
      </c>
    </row>
    <row r="28284">
      <c r="A28284" s="4" t="s">
        <v>35612</v>
      </c>
      <c r="B28284" s="4" t="s">
        <v>35618</v>
      </c>
      <c r="C28284" s="5" t="str">
        <f>IFERROR(__xludf.DUMMYFUNCTION("GOOGLETRANSLATE(B28284,""en"",""fr"")"),"Les salutations et les crédits sont affichés.")</f>
        <v>Les salutations et les crédits sont affichés.</v>
      </c>
    </row>
    <row r="28285">
      <c r="A28285" s="4" t="s">
        <v>35619</v>
      </c>
      <c r="B28285" s="4" t="s">
        <v>35620</v>
      </c>
      <c r="C28285" s="5" t="str">
        <f>IFERROR(__xludf.DUMMYFUNCTION("GOOGLETRANSLATE(B28285,""en"",""fr"")"),"Un garçon joue avec une balle dans une cour.")</f>
        <v>Un garçon joue avec une balle dans une cour.</v>
      </c>
    </row>
    <row r="28286">
      <c r="A28286" s="4" t="s">
        <v>35619</v>
      </c>
      <c r="B28286" s="4" t="s">
        <v>35621</v>
      </c>
      <c r="C28286" s="5" t="str">
        <f>IFERROR(__xludf.DUMMYFUNCTION("GOOGLETRANSLATE(B28286,""en"",""fr"")"),"Un garçon balance et frappe le ballon hors de la cour.")</f>
        <v>Un garçon balance et frappe le ballon hors de la cour.</v>
      </c>
    </row>
    <row r="28287">
      <c r="A28287" s="4" t="s">
        <v>35619</v>
      </c>
      <c r="B28287" s="4" t="s">
        <v>35622</v>
      </c>
      <c r="C28287" s="5" t="str">
        <f>IFERROR(__xludf.DUMMYFUNCTION("GOOGLETRANSLATE(B28287,""en"",""fr"")"),"Le garçon marche pour récupérer le ballon.")</f>
        <v>Le garçon marche pour récupérer le ballon.</v>
      </c>
    </row>
    <row r="28288">
      <c r="A28288" s="4" t="s">
        <v>35619</v>
      </c>
      <c r="B28288" s="4" t="s">
        <v>35623</v>
      </c>
      <c r="C28288" s="5" t="str">
        <f>IFERROR(__xludf.DUMMYFUNCTION("GOOGLETRANSLATE(B28288,""en"",""fr"")"),"Le garçon joue un jeu où il frappe le ballon et renverse les couvercles des poubelles.")</f>
        <v>Le garçon joue un jeu où il frappe le ballon et renverse les couvercles des poubelles.</v>
      </c>
    </row>
    <row r="28289">
      <c r="A28289" s="4" t="s">
        <v>35619</v>
      </c>
      <c r="B28289" s="4" t="s">
        <v>35624</v>
      </c>
      <c r="C28289" s="5" t="str">
        <f>IFERROR(__xludf.DUMMYFUNCTION("GOOGLETRANSLATE(B28289,""en"",""fr"")"),"Le garçon balance un bâton sur les balles pour les frapper à travers un but.")</f>
        <v>Le garçon balance un bâton sur les balles pour les frapper à travers un but.</v>
      </c>
    </row>
    <row r="28290">
      <c r="A28290" s="4" t="s">
        <v>35625</v>
      </c>
      <c r="B28290" s="4" t="s">
        <v>35626</v>
      </c>
      <c r="C28290" s="5" t="str">
        <f>IFERROR(__xludf.DUMMYFUNCTION("GOOGLETRANSLATE(B28290,""en"",""fr"")"),"Les gens jouent à des panneaux de palets dans un gymnase.")</f>
        <v>Les gens jouent à des panneaux de palets dans un gymnase.</v>
      </c>
    </row>
    <row r="28291">
      <c r="A28291" s="4" t="s">
        <v>35625</v>
      </c>
      <c r="B28291" s="4" t="s">
        <v>35627</v>
      </c>
      <c r="C28291" s="5" t="str">
        <f>IFERROR(__xludf.DUMMYFUNCTION("GOOGLETRANSLATE(B28291,""en"",""fr"")"),"Une femme jette une rondelle noire, puis elle parle et continue de jouer.")</f>
        <v>Une femme jette une rondelle noire, puis elle parle et continue de jouer.</v>
      </c>
    </row>
    <row r="28292">
      <c r="A28292" s="4" t="s">
        <v>35625</v>
      </c>
      <c r="B28292" s="4" t="s">
        <v>35628</v>
      </c>
      <c r="C28292" s="5" t="str">
        <f>IFERROR(__xludf.DUMMYFUNCTION("GOOGLETRANSLATE(B28292,""en"",""fr"")"),"Vieil homme portant une casquette dans le gymnase.")</f>
        <v>Vieil homme portant une casquette dans le gymnase.</v>
      </c>
    </row>
    <row r="28293">
      <c r="A28293" s="4" t="s">
        <v>35625</v>
      </c>
      <c r="B28293" s="4" t="s">
        <v>35629</v>
      </c>
      <c r="C28293" s="5" t="str">
        <f>IFERROR(__xludf.DUMMYFUNCTION("GOOGLETRANSLATE(B28293,""en"",""fr"")"),"Deux femmes parlent côte à côte, l'une des femmes tient un poteau.")</f>
        <v>Deux femmes parlent côte à côte, l'une des femmes tient un poteau.</v>
      </c>
    </row>
    <row r="28294">
      <c r="A28294" s="4" t="s">
        <v>35630</v>
      </c>
      <c r="B28294" s="4" t="s">
        <v>35631</v>
      </c>
      <c r="C28294" s="5" t="str">
        <f>IFERROR(__xludf.DUMMYFUNCTION("GOOGLETRANSLATE(B28294,""en"",""fr"")"),"Un infopmoncial montre une personne utilisant un rasoir sur sa jambe tout en parlant à la caméra.")</f>
        <v>Un infopmoncial montre une personne utilisant un rasoir sur sa jambe tout en parlant à la caméra.</v>
      </c>
    </row>
    <row r="28295">
      <c r="A28295" s="4" t="s">
        <v>35630</v>
      </c>
      <c r="B28295" s="4" t="s">
        <v>35632</v>
      </c>
      <c r="C28295" s="5" t="str">
        <f>IFERROR(__xludf.DUMMYFUNCTION("GOOGLETRANSLATE(B28295,""en"",""fr"")"),"La femme continue de se raser les jambes et un gros plan de l'outil est montré.")</f>
        <v>La femme continue de se raser les jambes et un gros plan de l'outil est montré.</v>
      </c>
    </row>
    <row r="28296">
      <c r="A28296" s="4" t="s">
        <v>35633</v>
      </c>
      <c r="B28296" s="4" t="s">
        <v>35634</v>
      </c>
      <c r="C28296" s="5" t="str">
        <f>IFERROR(__xludf.DUMMYFUNCTION("GOOGLETRANSLATE(B28296,""en"",""fr"")"),"Une femme entre dans le cadre en jouant avec ses cheveux et en les séparant derrière elle.")</f>
        <v>Une femme entre dans le cadre en jouant avec ses cheveux et en les séparant derrière elle.</v>
      </c>
    </row>
    <row r="28297">
      <c r="A28297" s="4" t="s">
        <v>35633</v>
      </c>
      <c r="B28297" s="6" t="s">
        <v>35635</v>
      </c>
      <c r="C28297" s="5" t="str">
        <f>IFERROR(__xludf.DUMMYFUNCTION("GOOGLETRANSLATE(B28297,""en"",""fr"")"),"La femme continue de tresser ses cheveux et montre le résultat final tout en regardant vers la caméra puis en dehors.")</f>
        <v>La femme continue de tresser ses cheveux et montre le résultat final tout en regardant vers la caméra puis en dehors.</v>
      </c>
    </row>
    <row r="28298">
      <c r="A28298" s="4" t="s">
        <v>35636</v>
      </c>
      <c r="B28298" s="6" t="s">
        <v>35637</v>
      </c>
      <c r="C28298" s="5" t="str">
        <f>IFERROR(__xludf.DUMMYFUNCTION("GOOGLETRANSLATE(B28298,""en"",""fr"")"),"Les voitures recouvertes d'une neige épaisse sont représentées et un homme nettoie la neige avec une pelle dans le pare-brise et toute la voiture.")</f>
        <v>Les voitures recouvertes d'une neige épaisse sont représentées et un homme nettoie la neige avec une pelle dans le pare-brise et toute la voiture.</v>
      </c>
    </row>
    <row r="28299">
      <c r="A28299" s="4" t="s">
        <v>35636</v>
      </c>
      <c r="B28299" s="4" t="s">
        <v>35638</v>
      </c>
      <c r="C28299" s="5" t="str">
        <f>IFERROR(__xludf.DUMMYFUNCTION("GOOGLETRANSLATE(B28299,""en"",""fr"")"),"La voiture va dans la rue.")</f>
        <v>La voiture va dans la rue.</v>
      </c>
    </row>
    <row r="28300">
      <c r="A28300" s="4" t="s">
        <v>35639</v>
      </c>
      <c r="B28300" s="4" t="s">
        <v>35640</v>
      </c>
      <c r="C28300" s="5" t="str">
        <f>IFERROR(__xludf.DUMMYFUNCTION("GOOGLETRANSLATE(B28300,""en"",""fr"")"),"Un couple et un enfant sont dans un salon.")</f>
        <v>Un couple et un enfant sont dans un salon.</v>
      </c>
    </row>
    <row r="28301">
      <c r="A28301" s="4" t="s">
        <v>35639</v>
      </c>
      <c r="B28301" s="4" t="s">
        <v>35641</v>
      </c>
      <c r="C28301" s="5" t="str">
        <f>IFERROR(__xludf.DUMMYFUNCTION("GOOGLETRANSLATE(B28301,""en"",""fr"")"),"Le couple commence à danser au milieu de la pièce, tournant et tourbillonnant.")</f>
        <v>Le couple commence à danser au milieu de la pièce, tournant et tourbillonnant.</v>
      </c>
    </row>
    <row r="28302">
      <c r="A28302" s="4" t="s">
        <v>35642</v>
      </c>
      <c r="B28302" s="4" t="s">
        <v>35643</v>
      </c>
      <c r="C28302" s="5" t="str">
        <f>IFERROR(__xludf.DUMMYFUNCTION("GOOGLETRANSLATE(B28302,""en"",""fr"")"),"Un arbitre portant une chemise blanche dans un match de boxe commence un match de boxe.")</f>
        <v>Un arbitre portant une chemise blanche dans un match de boxe commence un match de boxe.</v>
      </c>
    </row>
    <row r="28303">
      <c r="A28303" s="4" t="s">
        <v>35642</v>
      </c>
      <c r="B28303" s="4" t="s">
        <v>35644</v>
      </c>
      <c r="C28303" s="5" t="str">
        <f>IFERROR(__xludf.DUMMYFUNCTION("GOOGLETRANSLATE(B28303,""en"",""fr"")"),"Deux boxeurs de filles s'approchent et commencent la boxe de coup de pied.")</f>
        <v>Deux boxeurs de filles s'approchent et commencent la boxe de coup de pied.</v>
      </c>
    </row>
    <row r="28304">
      <c r="A28304" s="4" t="s">
        <v>35642</v>
      </c>
      <c r="B28304" s="4" t="s">
        <v>35645</v>
      </c>
      <c r="C28304" s="5" t="str">
        <f>IFERROR(__xludf.DUMMYFUNCTION("GOOGLETRANSLATE(B28304,""en"",""fr"")"),"Le boxeur plus grand s'approche du boxeur plus court et frappe le boxeur plus court avec un coup de pied droit.")</f>
        <v>Le boxeur plus grand s'approche du boxeur plus court et frappe le boxeur plus court avec un coup de pied droit.</v>
      </c>
    </row>
    <row r="28305">
      <c r="A28305" s="4" t="s">
        <v>35642</v>
      </c>
      <c r="B28305" s="4" t="s">
        <v>35646</v>
      </c>
      <c r="C28305" s="5" t="str">
        <f>IFERROR(__xludf.DUMMYFUNCTION("GOOGLETRANSLATE(B28305,""en"",""fr"")"),"Les deux boxeurs échangent des coups de poing et des coups de pied au centre du ring.")</f>
        <v>Les deux boxeurs échangent des coups de poing et des coups de pied au centre du ring.</v>
      </c>
    </row>
    <row r="28306">
      <c r="A28306" s="4" t="s">
        <v>35642</v>
      </c>
      <c r="B28306" s="4" t="s">
        <v>35647</v>
      </c>
      <c r="C28306" s="5" t="str">
        <f>IFERROR(__xludf.DUMMYFUNCTION("GOOGLETRANSLATE(B28306,""en"",""fr"")"),"L'arbitre gère le combat tout en suivant et en regardant de près les combattants.")</f>
        <v>L'arbitre gère le combat tout en suivant et en regardant de près les combattants.</v>
      </c>
    </row>
    <row r="28307">
      <c r="A28307" s="4" t="s">
        <v>35648</v>
      </c>
      <c r="B28307" s="4" t="s">
        <v>35649</v>
      </c>
      <c r="C28307" s="5" t="str">
        <f>IFERROR(__xludf.DUMMYFUNCTION("GOOGLETRANSLATE(B28307,""en"",""fr"")"),"Deux personnes sont des tubes dans un ruisseau avec de l'eau luxuriante et d'énormes rochers à travers.")</f>
        <v>Deux personnes sont des tubes dans un ruisseau avec de l'eau luxuriante et d'énormes rochers à travers.</v>
      </c>
    </row>
    <row r="28308">
      <c r="A28308" s="4" t="s">
        <v>35648</v>
      </c>
      <c r="B28308" s="6" t="s">
        <v>35650</v>
      </c>
      <c r="C28308" s="5" t="str">
        <f>IFERROR(__xludf.DUMMYFUNCTION("GOOGLETRANSLATE(B28308,""en"",""fr"")"),"Une fois que les deux ont contourné la courbe, ils ont frappé deux petites collines et Wade dans la partie la plus calme de l'eau.")</f>
        <v>Une fois que les deux ont contourné la courbe, ils ont frappé deux petites collines et Wade dans la partie la plus calme de l'eau.</v>
      </c>
    </row>
    <row r="28309">
      <c r="A28309" s="4" t="s">
        <v>35651</v>
      </c>
      <c r="B28309" s="4" t="s">
        <v>35652</v>
      </c>
      <c r="C28309" s="5" t="str">
        <f>IFERROR(__xludf.DUMMYFUNCTION("GOOGLETRANSLATE(B28309,""en"",""fr"")"),"L'homme épaisse la jambe d'une femme.")</f>
        <v>L'homme épaisse la jambe d'une femme.</v>
      </c>
    </row>
    <row r="28310">
      <c r="A28310" s="4" t="s">
        <v>35651</v>
      </c>
      <c r="B28310" s="4" t="s">
        <v>35653</v>
      </c>
      <c r="C28310" s="5" t="str">
        <f>IFERROR(__xludf.DUMMYFUNCTION("GOOGLETRANSLATE(B28310,""en"",""fr"")"),"La femme parle à la caméra et montre comment cirer la jambe.")</f>
        <v>La femme parle à la caméra et montre comment cirer la jambe.</v>
      </c>
    </row>
    <row r="28311">
      <c r="A28311" s="4" t="s">
        <v>35654</v>
      </c>
      <c r="B28311" s="4" t="s">
        <v>35655</v>
      </c>
      <c r="C28311" s="5" t="str">
        <f>IFERROR(__xludf.DUMMYFUNCTION("GOOGLETRANSLATE(B28311,""en"",""fr"")"),"Deux personnes ont les jambes attachées et reçoivent ensuite des instructions.")</f>
        <v>Deux personnes ont les jambes attachées et reçoivent ensuite des instructions.</v>
      </c>
    </row>
    <row r="28312">
      <c r="A28312" s="4" t="s">
        <v>35654</v>
      </c>
      <c r="B28312" s="4" t="s">
        <v>35656</v>
      </c>
      <c r="C28312" s="5" t="str">
        <f>IFERROR(__xludf.DUMMYFUNCTION("GOOGLETRANSLATE(B28312,""en"",""fr"")"),"Ils sortent vers un rebord puis vont à l'élastique sautant sur le bord.")</f>
        <v>Ils sortent vers un rebord puis vont à l'élastique sautant sur le bord.</v>
      </c>
    </row>
    <row r="28313">
      <c r="A28313" s="4" t="s">
        <v>35657</v>
      </c>
      <c r="B28313" s="6" t="s">
        <v>35658</v>
      </c>
      <c r="C28313" s="5" t="str">
        <f>IFERROR(__xludf.DUMMYFUNCTION("GOOGLETRANSLATE(B28313,""en"",""fr"")"),"Des photos d'une boisson sont représentées, suivis d'un bol vide et d'une personne qui met des ingrédients dans le bol.")</f>
        <v>Des photos d'une boisson sont représentées, suivis d'un bol vide et d'une personne qui met des ingrédients dans le bol.</v>
      </c>
    </row>
    <row r="28314">
      <c r="A28314" s="4" t="s">
        <v>35657</v>
      </c>
      <c r="B28314" s="4" t="s">
        <v>35659</v>
      </c>
      <c r="C28314" s="5" t="str">
        <f>IFERROR(__xludf.DUMMYFUNCTION("GOOGLETRANSLATE(B28314,""en"",""fr"")"),"La personne remue les ingrédients tout autour et verse le mélange dans un verre avec de la glace pour servir.")</f>
        <v>La personne remue les ingrédients tout autour et verse le mélange dans un verre avec de la glace pour servir.</v>
      </c>
    </row>
    <row r="28315">
      <c r="A28315" s="4" t="s">
        <v>35660</v>
      </c>
      <c r="B28315" s="4" t="s">
        <v>35661</v>
      </c>
      <c r="C28315" s="5" t="str">
        <f>IFERROR(__xludf.DUMMYFUNCTION("GOOGLETRANSLATE(B28315,""en"",""fr"")"),"Une brosse est attachée à un exercice électrique pour le nettoyer.")</f>
        <v>Une brosse est attachée à un exercice électrique pour le nettoyer.</v>
      </c>
    </row>
    <row r="28316">
      <c r="A28316" s="4" t="s">
        <v>35660</v>
      </c>
      <c r="B28316" s="4" t="s">
        <v>35662</v>
      </c>
      <c r="C28316" s="5" t="str">
        <f>IFERROR(__xludf.DUMMYFUNCTION("GOOGLETRANSLATE(B28316,""en"",""fr"")"),"Le haut de l'évier est frotté puis le bol.")</f>
        <v>Le haut de l'évier est frotté puis le bol.</v>
      </c>
    </row>
    <row r="28317">
      <c r="A28317" s="4" t="s">
        <v>35660</v>
      </c>
      <c r="B28317" s="4" t="s">
        <v>35663</v>
      </c>
      <c r="C28317" s="5" t="str">
        <f>IFERROR(__xludf.DUMMYFUNCTION("GOOGLETRANSLATE(B28317,""en"",""fr"")"),"Il est essuyé avec une serviette pour terminer.")</f>
        <v>Il est essuyé avec une serviette pour terminer.</v>
      </c>
    </row>
    <row r="28318">
      <c r="A28318" s="4" t="s">
        <v>35664</v>
      </c>
      <c r="B28318" s="4" t="s">
        <v>35665</v>
      </c>
      <c r="C28318" s="5" t="str">
        <f>IFERROR(__xludf.DUMMYFUNCTION("GOOGLETRANSLATE(B28318,""en"",""fr"")"),"Les gens sont assis sur des machines d'exercice dans une pièce.")</f>
        <v>Les gens sont assis sur des machines d'exercice dans une pièce.</v>
      </c>
    </row>
    <row r="28319">
      <c r="A28319" s="4" t="s">
        <v>35664</v>
      </c>
      <c r="B28319" s="4" t="s">
        <v>35666</v>
      </c>
      <c r="C28319" s="5" t="str">
        <f>IFERROR(__xludf.DUMMYFUNCTION("GOOGLETRANSLATE(B28319,""en"",""fr"")"),"Ils commencent tous à travailler et à tirer sur une corde.")</f>
        <v>Ils commencent tous à travailler et à tirer sur une corde.</v>
      </c>
    </row>
    <row r="28320">
      <c r="A28320" s="4" t="s">
        <v>35664</v>
      </c>
      <c r="B28320" s="4" t="s">
        <v>35667</v>
      </c>
      <c r="C28320" s="5" t="str">
        <f>IFERROR(__xludf.DUMMYFUNCTION("GOOGLETRANSLATE(B28320,""en"",""fr"")"),"Les gens se tiennent devant eux les encourageant.")</f>
        <v>Les gens se tiennent devant eux les encourageant.</v>
      </c>
    </row>
    <row r="28321">
      <c r="A28321" s="4" t="s">
        <v>35668</v>
      </c>
      <c r="B28321" s="6" t="s">
        <v>35669</v>
      </c>
      <c r="C28321" s="5" t="str">
        <f>IFERROR(__xludf.DUMMYFUNCTION("GOOGLETRANSLATE(B28321,""en"",""fr"")"),"Un homme est vu danser avec un cerceau dans une zone bondée tandis que les gens errent derrière elle.")</f>
        <v>Un homme est vu danser avec un cerceau dans une zone bondée tandis que les gens errent derrière elle.</v>
      </c>
    </row>
    <row r="28322">
      <c r="A28322" s="4" t="s">
        <v>35668</v>
      </c>
      <c r="B28322" s="4" t="s">
        <v>35670</v>
      </c>
      <c r="C28322" s="5" t="str">
        <f>IFERROR(__xludf.DUMMYFUNCTION("GOOGLETRANSLATE(B28322,""en"",""fr"")"),"La femme continue de tourner le cerceau autour d'elle pendant que les gens la regardent tourner.")</f>
        <v>La femme continue de tourner le cerceau autour d'elle pendant que les gens la regardent tourner.</v>
      </c>
    </row>
    <row r="28323">
      <c r="A28323" s="4" t="s">
        <v>35671</v>
      </c>
      <c r="B28323" s="4" t="s">
        <v>35672</v>
      </c>
      <c r="C28323" s="5" t="str">
        <f>IFERROR(__xludf.DUMMYFUNCTION("GOOGLETRANSLATE(B28323,""en"",""fr"")"),"Un musicien de jazz enseigne à jouer du saxophone.")</f>
        <v>Un musicien de jazz enseigne à jouer du saxophone.</v>
      </c>
    </row>
    <row r="28324">
      <c r="A28324" s="4" t="s">
        <v>35671</v>
      </c>
      <c r="B28324" s="4" t="s">
        <v>35673</v>
      </c>
      <c r="C28324" s="5" t="str">
        <f>IFERROR(__xludf.DUMMYFUNCTION("GOOGLETRANSLATE(B28324,""en"",""fr"")"),"Il donne des instructions et parle de musique et d'écailles.")</f>
        <v>Il donne des instructions et parle de musique et d'écailles.</v>
      </c>
    </row>
    <row r="28325">
      <c r="A28325" s="4" t="s">
        <v>35671</v>
      </c>
      <c r="B28325" s="4" t="s">
        <v>35674</v>
      </c>
      <c r="C28325" s="5" t="str">
        <f>IFERROR(__xludf.DUMMYFUNCTION("GOOGLETRANSLATE(B28325,""en"",""fr"")"),"Puis il commence à en jouer un peu avant de revenir à des conférences.")</f>
        <v>Puis il commence à en jouer un peu avant de revenir à des conférences.</v>
      </c>
    </row>
    <row r="28326">
      <c r="A28326" s="4" t="s">
        <v>35671</v>
      </c>
      <c r="B28326" s="6" t="s">
        <v>35675</v>
      </c>
      <c r="C28326" s="5" t="str">
        <f>IFERROR(__xludf.DUMMYFUNCTION("GOOGLETRANSLATE(B28326,""en"",""fr"")"),"Il parle des notes qu'il a écrites sur le tableau de la craie et revient à donner plus de conférences à ce sujet.")</f>
        <v>Il parle des notes qu'il a écrites sur le tableau de la craie et revient à donner plus de conférences à ce sujet.</v>
      </c>
    </row>
    <row r="28327">
      <c r="A28327" s="4" t="s">
        <v>35676</v>
      </c>
      <c r="B28327" s="4" t="s">
        <v>35677</v>
      </c>
      <c r="C28327" s="5" t="str">
        <f>IFERROR(__xludf.DUMMYFUNCTION("GOOGLETRANSLATE(B28327,""en"",""fr"")"),"Une personne parle tout en s'asseyant dans un bateau en tenant une pagaie.")</f>
        <v>Une personne parle tout en s'asseyant dans un bateau en tenant une pagaie.</v>
      </c>
    </row>
    <row r="28328">
      <c r="A28328" s="4" t="s">
        <v>35676</v>
      </c>
      <c r="B28328" s="4" t="s">
        <v>35678</v>
      </c>
      <c r="C28328" s="5" t="str">
        <f>IFERROR(__xludf.DUMMYFUNCTION("GOOGLETRANSLATE(B28328,""en"",""fr"")"),"Ensuite, la personne navigue dans les eaux agitées, soudain, il pivote le bateau en aidant à l'aviron.")</f>
        <v>Ensuite, la personne navigue dans les eaux agitées, soudain, il pivote le bateau en aidant à l'aviron.</v>
      </c>
    </row>
    <row r="28329">
      <c r="A28329" s="4" t="s">
        <v>35679</v>
      </c>
      <c r="B28329" s="4" t="s">
        <v>35680</v>
      </c>
      <c r="C28329" s="5" t="str">
        <f>IFERROR(__xludf.DUMMYFUNCTION("GOOGLETRANSLATE(B28329,""en"",""fr"")"),"Un groupe d'enfants et d'adultes est près d'une rivière.")</f>
        <v>Un groupe d'enfants et d'adultes est près d'une rivière.</v>
      </c>
    </row>
    <row r="28330">
      <c r="A28330" s="4" t="s">
        <v>35679</v>
      </c>
      <c r="B28330" s="4" t="s">
        <v>35681</v>
      </c>
      <c r="C28330" s="5" t="str">
        <f>IFERROR(__xludf.DUMMYFUNCTION("GOOGLETRANSLATE(B28330,""en"",""fr"")"),"Ils entrent dans les radeaux et flottent en bas.")</f>
        <v>Ils entrent dans les radeaux et flottent en bas.</v>
      </c>
    </row>
    <row r="28331">
      <c r="A28331" s="4" t="s">
        <v>35679</v>
      </c>
      <c r="B28331" s="4" t="s">
        <v>35682</v>
      </c>
      <c r="C28331" s="5" t="str">
        <f>IFERROR(__xludf.DUMMYFUNCTION("GOOGLETRANSLATE(B28331,""en"",""fr"")"),"Ils pagayent à travers les rapides et les chutes.")</f>
        <v>Ils pagayent à travers les rapides et les chutes.</v>
      </c>
    </row>
    <row r="28332">
      <c r="A28332" s="4" t="s">
        <v>35683</v>
      </c>
      <c r="B28332" s="4" t="s">
        <v>35684</v>
      </c>
      <c r="C28332" s="5" t="str">
        <f>IFERROR(__xludf.DUMMYFUNCTION("GOOGLETRANSLATE(B28332,""en"",""fr"")"),"""Comment démarrer un feu de camp avec Fiai"" apparaît à l'écran.")</f>
        <v>"Comment démarrer un feu de camp avec Fiai" apparaît à l'écran.</v>
      </c>
    </row>
    <row r="28333">
      <c r="A28333" s="4" t="s">
        <v>35683</v>
      </c>
      <c r="B28333" s="4" t="s">
        <v>35685</v>
      </c>
      <c r="C28333" s="5" t="str">
        <f>IFERROR(__xludf.DUMMYFUNCTION("GOOGLETRANSLATE(B28333,""en"",""fr"")"),"Le biologiste de la faune Bryon Shissler se trouve à l'extérieur par une fosse de feu de camp et parle à la caméra.")</f>
        <v>Le biologiste de la faune Bryon Shissler se trouve à l'extérieur par une fosse de feu de camp et parle à la caméra.</v>
      </c>
    </row>
    <row r="28334">
      <c r="A28334" s="4" t="s">
        <v>35683</v>
      </c>
      <c r="B28334" s="4" t="s">
        <v>35686</v>
      </c>
      <c r="C28334" s="5" t="str">
        <f>IFERROR(__xludf.DUMMYFUNCTION("GOOGLETRANSLATE(B28334,""en"",""fr"")"),"Il construit et allume un feu dans la fosse à l'aide de l'appareil Fiair.")</f>
        <v>Il construit et allume un feu dans la fosse à l'aide de l'appareil Fiair.</v>
      </c>
    </row>
    <row r="28335">
      <c r="A28335" s="4" t="s">
        <v>35683</v>
      </c>
      <c r="B28335" s="4" t="s">
        <v>35687</v>
      </c>
      <c r="C28335" s="5" t="str">
        <f>IFERROR(__xludf.DUMMYFUNCTION("GOOGLETRANSLATE(B28335,""en"",""fr"")"),"""Fiair le petit ventilateur manuel pour nourrir vos incendies"" apparaît à l'écran.")</f>
        <v>"Fiair le petit ventilateur manuel pour nourrir vos incendies" apparaît à l'écran.</v>
      </c>
    </row>
    <row r="28336">
      <c r="A28336" s="4" t="s">
        <v>35688</v>
      </c>
      <c r="B28336" s="6" t="s">
        <v>35689</v>
      </c>
      <c r="C28336" s="5" t="str">
        <f>IFERROR(__xludf.DUMMYFUNCTION("GOOGLETRANSLATE(B28336,""en"",""fr"")"),"Les gens regardent un défilé où les gens marchent sur une fanfare tenant une bannière et agitant les téléspectateurs.")</f>
        <v>Les gens regardent un défilé où les gens marchent sur une fanfare tenant une bannière et agitant les téléspectateurs.</v>
      </c>
    </row>
    <row r="28337">
      <c r="A28337" s="4" t="s">
        <v>35688</v>
      </c>
      <c r="B28337" s="4" t="s">
        <v>35690</v>
      </c>
      <c r="C28337" s="5" t="str">
        <f>IFERROR(__xludf.DUMMYFUNCTION("GOOGLETRANSLATE(B28337,""en"",""fr"")"),"Un homme traverse la rue tenant un petit drapeau et tendit la main.")</f>
        <v>Un homme traverse la rue tenant un petit drapeau et tendit la main.</v>
      </c>
    </row>
    <row r="28338">
      <c r="A28338" s="4" t="s">
        <v>35688</v>
      </c>
      <c r="B28338" s="4" t="s">
        <v>35691</v>
      </c>
      <c r="C28338" s="5" t="str">
        <f>IFERROR(__xludf.DUMMYFUNCTION("GOOGLETRANSLATE(B28338,""en"",""fr"")"),"Un groupe de soldats détient des fusils et des drapeaux sur le devant une voiture noire.")</f>
        <v>Un groupe de soldats détient des fusils et des drapeaux sur le devant une voiture noire.</v>
      </c>
    </row>
    <row r="28339">
      <c r="A28339" s="4" t="s">
        <v>35688</v>
      </c>
      <c r="B28339" s="4" t="s">
        <v>35692</v>
      </c>
      <c r="C28339" s="5" t="str">
        <f>IFERROR(__xludf.DUMMYFUNCTION("GOOGLETRANSLATE(B28339,""en"",""fr"")"),"Un vétéran fait saluer l'armée.")</f>
        <v>Un vétéran fait saluer l'armée.</v>
      </c>
    </row>
    <row r="28340">
      <c r="A28340" s="4" t="s">
        <v>35693</v>
      </c>
      <c r="B28340" s="4" t="s">
        <v>35694</v>
      </c>
      <c r="C28340" s="5" t="str">
        <f>IFERROR(__xludf.DUMMYFUNCTION("GOOGLETRANSLATE(B28340,""en"",""fr"")"),"Une personne plonge un pinceau dans une casserole.")</f>
        <v>Une personne plonge un pinceau dans une casserole.</v>
      </c>
    </row>
    <row r="28341">
      <c r="A28341" s="4" t="s">
        <v>35693</v>
      </c>
      <c r="B28341" s="4" t="s">
        <v>35695</v>
      </c>
      <c r="C28341" s="5" t="str">
        <f>IFERROR(__xludf.DUMMYFUNCTION("GOOGLETRANSLATE(B28341,""en"",""fr"")"),"Ils utilisent le pinceau pour peindre le côté d'une table.")</f>
        <v>Ils utilisent le pinceau pour peindre le côté d'une table.</v>
      </c>
    </row>
    <row r="28342">
      <c r="A28342" s="4" t="s">
        <v>35693</v>
      </c>
      <c r="B28342" s="4" t="s">
        <v>35696</v>
      </c>
      <c r="C28342" s="5" t="str">
        <f>IFERROR(__xludf.DUMMYFUNCTION("GOOGLETRANSLATE(B28342,""en"",""fr"")"),"Ils utilisent de gros coups, continuant à peindre.")</f>
        <v>Ils utilisent de gros coups, continuant à peindre.</v>
      </c>
    </row>
    <row r="28343">
      <c r="A28343" s="4" t="s">
        <v>35697</v>
      </c>
      <c r="B28343" s="4" t="s">
        <v>35698</v>
      </c>
      <c r="C28343" s="5" t="str">
        <f>IFERROR(__xludf.DUMMYFUNCTION("GOOGLETRANSLATE(B28343,""en"",""fr"")"),"Un homme se dirige vers un autre homme bouleversé et suggère un match de lutte de bras.")</f>
        <v>Un homme se dirige vers un autre homme bouleversé et suggère un match de lutte de bras.</v>
      </c>
    </row>
    <row r="28344">
      <c r="A28344" s="4" t="s">
        <v>35697</v>
      </c>
      <c r="B28344" s="4" t="s">
        <v>35699</v>
      </c>
      <c r="C28344" s="5" t="str">
        <f>IFERROR(__xludf.DUMMYFUNCTION("GOOGLETRANSLATE(B28344,""en"",""fr"")"),"Les hommes commencent à se tenir la main et s'éloignent rapidement tandis que deux femmes entrent dans la scène.")</f>
        <v>Les hommes commencent à se tenir la main et s'éloignent rapidement tandis que deux femmes entrent dans la scène.</v>
      </c>
    </row>
    <row r="28345">
      <c r="A28345" s="4" t="s">
        <v>35697</v>
      </c>
      <c r="B28345" s="4" t="s">
        <v>35700</v>
      </c>
      <c r="C28345" s="5" t="str">
        <f>IFERROR(__xludf.DUMMYFUNCTION("GOOGLETRANSLATE(B28345,""en"",""fr"")"),"Les hommes continuent le match tout en ayant l'air calme et l'autre a l'air en difficulté.")</f>
        <v>Les hommes continuent le match tout en ayant l'air calme et l'autre a l'air en difficulté.</v>
      </c>
    </row>
    <row r="28346">
      <c r="A28346" s="4" t="s">
        <v>35697</v>
      </c>
      <c r="B28346" s="4" t="s">
        <v>35701</v>
      </c>
      <c r="C28346" s="5" t="str">
        <f>IFERROR(__xludf.DUMMYFUNCTION("GOOGLETRANSLATE(B28346,""en"",""fr"")"),"Le match se poursuit alors que les hommes discutent de leurs problèmes et que les femmes regardent crier les hommes.")</f>
        <v>Le match se poursuit alors que les hommes discutent de leurs problèmes et que les femmes regardent crier les hommes.</v>
      </c>
    </row>
    <row r="28347">
      <c r="A28347" s="4" t="s">
        <v>35697</v>
      </c>
      <c r="B28347" s="4" t="s">
        <v>35702</v>
      </c>
      <c r="C28347" s="5" t="str">
        <f>IFERROR(__xludf.DUMMYFUNCTION("GOOGLETRANSLATE(B28347,""en"",""fr"")"),"Les femmes aident ensuite les hommes à lutter et l'un frappe l'autre pour aider un homme à gagner.")</f>
        <v>Les femmes aident ensuite les hommes à lutter et l'un frappe l'autre pour aider un homme à gagner.</v>
      </c>
    </row>
    <row r="28348">
      <c r="A28348" s="4" t="s">
        <v>35697</v>
      </c>
      <c r="B28348" s="4" t="s">
        <v>35703</v>
      </c>
      <c r="C28348" s="5" t="str">
        <f>IFERROR(__xludf.DUMMYFUNCTION("GOOGLETRANSLATE(B28348,""en"",""fr"")"),"La femme frappée tire les bras et les poignarde tandis que l'autre homme les poignarde également.")</f>
        <v>La femme frappée tire les bras et les poignarde tandis que l'autre homme les poignarde également.</v>
      </c>
    </row>
    <row r="28349">
      <c r="A28349" s="4" t="s">
        <v>35697</v>
      </c>
      <c r="B28349" s="4" t="s">
        <v>35704</v>
      </c>
      <c r="C28349" s="5" t="str">
        <f>IFERROR(__xludf.DUMMYFUNCTION("GOOGLETRANSLATE(B28349,""en"",""fr"")"),"Les femmes retirent du ruban adhésif et bourrent un corps dans un sac.")</f>
        <v>Les femmes retirent du ruban adhésif et bourrent un corps dans un sac.</v>
      </c>
    </row>
    <row r="28350">
      <c r="A28350" s="4" t="s">
        <v>35705</v>
      </c>
      <c r="B28350" s="4" t="s">
        <v>35706</v>
      </c>
      <c r="C28350" s="5" t="str">
        <f>IFERROR(__xludf.DUMMYFUNCTION("GOOGLETRANSLATE(B28350,""en"",""fr"")"),"Un homme se concentre extrêmement dur alors qu'il lance des fléchettes sur une planche lors d'un tournoi.")</f>
        <v>Un homme se concentre extrêmement dur alors qu'il lance des fléchettes sur une planche lors d'un tournoi.</v>
      </c>
    </row>
    <row r="28351">
      <c r="A28351" s="4" t="s">
        <v>35705</v>
      </c>
      <c r="B28351" s="6" t="s">
        <v>35707</v>
      </c>
      <c r="C28351" s="5" t="str">
        <f>IFERROR(__xludf.DUMMYFUNCTION("GOOGLETRANSLATE(B28351,""en"",""fr"")"),"Les gens applaudissent et se déploient pour lui alors qu'un autre homme s'approche du conseil d'administration et lui fait l'urgence.")</f>
        <v>Les gens applaudissent et se déploient pour lui alors qu'un autre homme s'approche du conseil d'administration et lui fait l'urgence.</v>
      </c>
    </row>
    <row r="28352">
      <c r="A28352" s="4" t="s">
        <v>35705</v>
      </c>
      <c r="B28352" s="6" t="s">
        <v>35708</v>
      </c>
      <c r="C28352" s="5" t="str">
        <f>IFERROR(__xludf.DUMMYFUNCTION("GOOGLETRANSLATE(B28352,""en"",""fr"")"),"Les deux font des allers-retours, mais le premier gars semble être le favori du fan et finit par gagner le match.")</f>
        <v>Les deux font des allers-retours, mais le premier gars semble être le favori du fan et finit par gagner le match.</v>
      </c>
    </row>
    <row r="28353">
      <c r="A28353" s="4" t="s">
        <v>35709</v>
      </c>
      <c r="B28353" s="4" t="s">
        <v>35710</v>
      </c>
      <c r="C28353" s="5" t="str">
        <f>IFERROR(__xludf.DUMMYFUNCTION("GOOGLETRANSLATE(B28353,""en"",""fr"")"),"Un homme est assis sur un vélo d'exercice.")</f>
        <v>Un homme est assis sur un vélo d'exercice.</v>
      </c>
    </row>
    <row r="28354">
      <c r="A28354" s="4" t="s">
        <v>35709</v>
      </c>
      <c r="B28354" s="4" t="s">
        <v>35711</v>
      </c>
      <c r="C28354" s="5" t="str">
        <f>IFERROR(__xludf.DUMMYFUNCTION("GOOGLETRANSLATE(B28354,""en"",""fr"")"),"Il travaille sur le vélo.")</f>
        <v>Il travaille sur le vélo.</v>
      </c>
    </row>
    <row r="28355">
      <c r="A28355" s="4" t="s">
        <v>35709</v>
      </c>
      <c r="B28355" s="4" t="s">
        <v>35712</v>
      </c>
      <c r="C28355" s="5" t="str">
        <f>IFERROR(__xludf.DUMMYFUNCTION("GOOGLETRANSLATE(B28355,""en"",""fr"")"),"Il parle à la caméra tout en s'entraîne.")</f>
        <v>Il parle à la caméra tout en s'entraîne.</v>
      </c>
    </row>
    <row r="28356">
      <c r="A28356" s="4" t="s">
        <v>35713</v>
      </c>
      <c r="B28356" s="4" t="s">
        <v>35714</v>
      </c>
      <c r="C28356" s="5" t="str">
        <f>IFERROR(__xludf.DUMMYFUNCTION("GOOGLETRANSLATE(B28356,""en"",""fr"")"),"Un groupe d'artistes martiaux et de batteurs se produit dans une compétition de rue.")</f>
        <v>Un groupe d'artistes martiaux et de batteurs se produit dans une compétition de rue.</v>
      </c>
    </row>
    <row r="28357">
      <c r="A28357" s="4" t="s">
        <v>35713</v>
      </c>
      <c r="B28357" s="4" t="s">
        <v>35715</v>
      </c>
      <c r="C28357" s="5" t="str">
        <f>IFERROR(__xludf.DUMMYFUNCTION("GOOGLETRANSLATE(B28357,""en"",""fr"")"),"Les artistes martiaux des pantalons rouges et des chemises noires font des coups de pied et des flips.")</f>
        <v>Les artistes martiaux des pantalons rouges et des chemises noires font des coups de pied et des flips.</v>
      </c>
    </row>
    <row r="28358">
      <c r="A28358" s="4" t="s">
        <v>35713</v>
      </c>
      <c r="B28358" s="4" t="s">
        <v>35716</v>
      </c>
      <c r="C28358" s="5" t="str">
        <f>IFERROR(__xludf.DUMMYFUNCTION("GOOGLETRANSLATE(B28358,""en"",""fr"")"),"Les batteurs portant tous les chapeaux noirs et rouges jouent dans la batterie.")</f>
        <v>Les batteurs portant tous les chapeaux noirs et rouges jouent dans la batterie.</v>
      </c>
    </row>
    <row r="28359">
      <c r="A28359" s="4" t="s">
        <v>35713</v>
      </c>
      <c r="B28359" s="4" t="s">
        <v>35717</v>
      </c>
      <c r="C28359" s="5" t="str">
        <f>IFERROR(__xludf.DUMMYFUNCTION("GOOGLETRANSLATE(B28359,""en"",""fr"")"),"Les artistes terminent leur pièce et la foule applaudit.")</f>
        <v>Les artistes terminent leur pièce et la foule applaudit.</v>
      </c>
    </row>
    <row r="28360">
      <c r="A28360" s="4" t="s">
        <v>35718</v>
      </c>
      <c r="B28360" s="4" t="s">
        <v>35719</v>
      </c>
      <c r="C28360" s="5" t="str">
        <f>IFERROR(__xludf.DUMMYFUNCTION("GOOGLETRANSLATE(B28360,""en"",""fr"")"),"Un jeune garçon et une fille se tiennent au-dessus d'un évier avec leur mère qui parle.")</f>
        <v>Un jeune garçon et une fille se tiennent au-dessus d'un évier avec leur mère qui parle.</v>
      </c>
    </row>
    <row r="28361">
      <c r="A28361" s="4" t="s">
        <v>35718</v>
      </c>
      <c r="B28361" s="4" t="s">
        <v>35720</v>
      </c>
      <c r="C28361" s="5" t="str">
        <f>IFERROR(__xludf.DUMMYFUNCTION("GOOGLETRANSLATE(B28361,""en"",""fr"")"),"La mère les enseigne comment se brosser les dents en riant.")</f>
        <v>La mère les enseigne comment se brosser les dents en riant.</v>
      </c>
    </row>
    <row r="28362">
      <c r="A28362" s="4" t="s">
        <v>35718</v>
      </c>
      <c r="B28362" s="4" t="s">
        <v>35721</v>
      </c>
      <c r="C28362" s="5" t="str">
        <f>IFERROR(__xludf.DUMMYFUNCTION("GOOGLETRANSLATE(B28362,""en"",""fr"")"),"Le garçon aide sa sœur cadette à se brosser les dents.")</f>
        <v>Le garçon aide sa sœur cadette à se brosser les dents.</v>
      </c>
    </row>
    <row r="28363">
      <c r="A28363" s="4" t="s">
        <v>35718</v>
      </c>
      <c r="B28363" s="4" t="s">
        <v>35722</v>
      </c>
      <c r="C28363" s="5" t="str">
        <f>IFERROR(__xludf.DUMMYFUNCTION("GOOGLETRANSLATE(B28363,""en"",""fr"")"),"Elle leur donne de l'eau pour se gargariser dans la bouche.")</f>
        <v>Elle leur donne de l'eau pour se gargariser dans la bouche.</v>
      </c>
    </row>
    <row r="28364">
      <c r="A28364" s="4" t="s">
        <v>35718</v>
      </c>
      <c r="B28364" s="4" t="s">
        <v>35723</v>
      </c>
      <c r="C28364" s="5" t="str">
        <f>IFERROR(__xludf.DUMMYFUNCTION("GOOGLETRANSLATE(B28364,""en"",""fr"")"),"Le garçon et la fille commencent à jouer dans l'évier.")</f>
        <v>Le garçon et la fille commencent à jouer dans l'évier.</v>
      </c>
    </row>
    <row r="28365">
      <c r="A28365" s="4" t="s">
        <v>35718</v>
      </c>
      <c r="B28365" s="4" t="s">
        <v>35724</v>
      </c>
      <c r="C28365" s="5" t="str">
        <f>IFERROR(__xludf.DUMMYFUNCTION("GOOGLETRANSLATE(B28365,""en"",""fr"")"),"La femme rit des enfants dribblant de l'eau.")</f>
        <v>La femme rit des enfants dribblant de l'eau.</v>
      </c>
    </row>
    <row r="28366">
      <c r="A28366" s="4" t="s">
        <v>35725</v>
      </c>
      <c r="B28366" s="4" t="s">
        <v>35726</v>
      </c>
      <c r="C28366" s="5" t="str">
        <f>IFERROR(__xludf.DUMMYFUNCTION("GOOGLETRANSLATE(B28366,""en"",""fr"")"),"Une femme est un vent extérieur soufflant un peu dans ses cheveux, la vue est exceptionnelle.")</f>
        <v>Une femme est un vent extérieur soufflant un peu dans ses cheveux, la vue est exceptionnelle.</v>
      </c>
    </row>
    <row r="28367">
      <c r="A28367" s="4" t="s">
        <v>35725</v>
      </c>
      <c r="B28367" s="4" t="s">
        <v>35727</v>
      </c>
      <c r="C28367" s="5" t="str">
        <f>IFERROR(__xludf.DUMMYFUNCTION("GOOGLETRANSLATE(B28367,""en"",""fr"")"),"Il y a un groupe de coureurs qui commence un marathon qui prend son temps.")</f>
        <v>Il y a un groupe de coureurs qui commence un marathon qui prend son temps.</v>
      </c>
    </row>
    <row r="28368">
      <c r="A28368" s="4" t="s">
        <v>35725</v>
      </c>
      <c r="B28368" s="4" t="s">
        <v>35728</v>
      </c>
      <c r="C28368" s="5" t="str">
        <f>IFERROR(__xludf.DUMMYFUNCTION("GOOGLETRANSLATE(B28368,""en"",""fr"")"),"C'était pittoresque et beau là-bas, des fleurs s'épanouissant et tout.")</f>
        <v>C'était pittoresque et beau là-bas, des fleurs s'épanouissant et tout.</v>
      </c>
    </row>
    <row r="28369">
      <c r="A28369" s="4" t="s">
        <v>35725</v>
      </c>
      <c r="B28369" s="4" t="s">
        <v>35729</v>
      </c>
      <c r="C28369" s="5" t="str">
        <f>IFERROR(__xludf.DUMMYFUNCTION("GOOGLETRANSLATE(B28369,""en"",""fr"")"),"Quelques coureurs parlent de leur expérience aux journalistes.")</f>
        <v>Quelques coureurs parlent de leur expérience aux journalistes.</v>
      </c>
    </row>
    <row r="28370">
      <c r="A28370" s="4" t="s">
        <v>35730</v>
      </c>
      <c r="B28370" s="4" t="s">
        <v>35731</v>
      </c>
      <c r="C28370" s="5" t="str">
        <f>IFERROR(__xludf.DUMMYFUNCTION("GOOGLETRANSLATE(B28370,""en"",""fr"")"),"Elle danse avec un bâton très gracieusement tout autour de la scène pour sa performance.")</f>
        <v>Elle danse avec un bâton très gracieusement tout autour de la scène pour sa performance.</v>
      </c>
    </row>
    <row r="28371">
      <c r="A28371" s="4" t="s">
        <v>35730</v>
      </c>
      <c r="B28371" s="4" t="s">
        <v>35732</v>
      </c>
      <c r="C28371" s="5" t="str">
        <f>IFERROR(__xludf.DUMMYFUNCTION("GOOGLETRANSLATE(B28371,""en"",""fr"")"),"Elle fait des mains et toutes sortes de mouvements intrigants différents.")</f>
        <v>Elle fait des mains et toutes sortes de mouvements intrigants différents.</v>
      </c>
    </row>
    <row r="28372">
      <c r="A28372" s="4" t="s">
        <v>35730</v>
      </c>
      <c r="B28372" s="4" t="s">
        <v>35733</v>
      </c>
      <c r="C28372" s="5" t="str">
        <f>IFERROR(__xludf.DUMMYFUNCTION("GOOGLETRANSLATE(B28372,""en"",""fr"")"),"Elle lance le bâton et fait quelques roues de charrette et atterrit à temps pour l'attraper.")</f>
        <v>Elle lance le bâton et fait quelques roues de charrette et atterrit à temps pour l'attraper.</v>
      </c>
    </row>
    <row r="28373">
      <c r="A28373" s="4" t="s">
        <v>35730</v>
      </c>
      <c r="B28373" s="6" t="s">
        <v>35734</v>
      </c>
      <c r="C28373" s="5" t="str">
        <f>IFERROR(__xludf.DUMMYFUNCTION("GOOGLETRANSLATE(B28373,""en"",""fr"")"),"Elle laisse tomber accidentellement le bâton et ramasse son ensemble et continue encore et encore jusqu'à la fin de sa danse.")</f>
        <v>Elle laisse tomber accidentellement le bâton et ramasse son ensemble et continue encore et encore jusqu'à la fin de sa danse.</v>
      </c>
    </row>
    <row r="28374">
      <c r="A28374" s="4" t="s">
        <v>35735</v>
      </c>
      <c r="B28374" s="4" t="s">
        <v>35736</v>
      </c>
      <c r="C28374" s="5" t="str">
        <f>IFERROR(__xludf.DUMMYFUNCTION("GOOGLETRANSLATE(B28374,""en"",""fr"")"),"Kid ponçonne dans une pièce parlant à la caméra.")</f>
        <v>Kid ponçonne dans une pièce parlant à la caméra.</v>
      </c>
    </row>
    <row r="28375">
      <c r="A28375" s="4" t="s">
        <v>35735</v>
      </c>
      <c r="B28375" s="4" t="s">
        <v>35737</v>
      </c>
      <c r="C28375" s="5" t="str">
        <f>IFERROR(__xludf.DUMMYFUNCTION("GOOGLETRANSLATE(B28375,""en"",""fr"")"),"Anoher Man apparaît dans la pièce et pratique un verrou de tête.")</f>
        <v>Anoher Man apparaît dans la pièce et pratique un verrou de tête.</v>
      </c>
    </row>
    <row r="28376">
      <c r="A28376" s="4" t="s">
        <v>35735</v>
      </c>
      <c r="B28376" s="4" t="s">
        <v>35738</v>
      </c>
      <c r="C28376" s="5" t="str">
        <f>IFERROR(__xludf.DUMMYFUNCTION("GOOGLETRANSLATE(B28376,""en"",""fr"")"),"L'homme jette l'enfant dans le lit et se lève.")</f>
        <v>L'homme jette l'enfant dans le lit et se lève.</v>
      </c>
    </row>
    <row r="28377">
      <c r="A28377" s="4" t="s">
        <v>35739</v>
      </c>
      <c r="B28377" s="4" t="s">
        <v>35740</v>
      </c>
      <c r="C28377" s="5" t="str">
        <f>IFERROR(__xludf.DUMMYFUNCTION("GOOGLETRANSLATE(B28377,""en"",""fr"")"),"Un écran d'ouverture avec le titre d'une chanson est montré.")</f>
        <v>Un écran d'ouverture avec le titre d'une chanson est montré.</v>
      </c>
    </row>
    <row r="28378">
      <c r="A28378" s="4" t="s">
        <v>35739</v>
      </c>
      <c r="B28378" s="4" t="s">
        <v>35741</v>
      </c>
      <c r="C28378" s="5" t="str">
        <f>IFERROR(__xludf.DUMMYFUNCTION("GOOGLETRANSLATE(B28378,""en"",""fr"")"),"Nous voyons un homme jouer une guitare dans un studio d'enregistrement.")</f>
        <v>Nous voyons un homme jouer une guitare dans un studio d'enregistrement.</v>
      </c>
    </row>
    <row r="28379">
      <c r="A28379" s="4" t="s">
        <v>35739</v>
      </c>
      <c r="B28379" s="4" t="s">
        <v>35742</v>
      </c>
      <c r="C28379" s="5" t="str">
        <f>IFERROR(__xludf.DUMMYFUNCTION("GOOGLETRANSLATE(B28379,""en"",""fr"")"),"Nous voyons un écran de fin avec l'adresse de la chaîne YouTube de l'homme dessus.")</f>
        <v>Nous voyons un écran de fin avec l'adresse de la chaîne YouTube de l'homme dessus.</v>
      </c>
    </row>
    <row r="28380">
      <c r="A28380" s="4" t="s">
        <v>35743</v>
      </c>
      <c r="B28380" s="4" t="s">
        <v>35744</v>
      </c>
      <c r="C28380" s="5" t="str">
        <f>IFERROR(__xludf.DUMMYFUNCTION("GOOGLETRANSLATE(B28380,""en"",""fr"")"),"L'homme est dans une piste de course pour faire un saut en hauteur dans la poussière.")</f>
        <v>L'homme est dans une piste de course pour faire un saut en hauteur dans la poussière.</v>
      </c>
    </row>
    <row r="28381">
      <c r="A28381" s="4" t="s">
        <v>35743</v>
      </c>
      <c r="B28381" s="4" t="s">
        <v>35745</v>
      </c>
      <c r="C28381" s="5" t="str">
        <f>IFERROR(__xludf.DUMMYFUNCTION("GOOGLETRANSLATE(B28381,""en"",""fr"")"),"La femme met des chiffres dans un scoue.")</f>
        <v>La femme met des chiffres dans un scoue.</v>
      </c>
    </row>
    <row r="28382">
      <c r="A28382" s="4" t="s">
        <v>35743</v>
      </c>
      <c r="B28382" s="4" t="s">
        <v>35746</v>
      </c>
      <c r="C28382" s="5" t="str">
        <f>IFERROR(__xludf.DUMMYFUNCTION("GOOGLETRANSLATE(B28382,""en"",""fr"")"),"L'homme court au milieu du terrain.")</f>
        <v>L'homme court au milieu du terrain.</v>
      </c>
    </row>
    <row r="28383">
      <c r="A28383" s="4" t="s">
        <v>35747</v>
      </c>
      <c r="B28383" s="4" t="s">
        <v>35748</v>
      </c>
      <c r="C28383" s="5" t="str">
        <f>IFERROR(__xludf.DUMMYFUNCTION("GOOGLETRANSLATE(B28383,""en"",""fr"")"),"Deux hommes sont dans un tribunal intérieur.")</f>
        <v>Deux hommes sont dans un tribunal intérieur.</v>
      </c>
    </row>
    <row r="28384">
      <c r="A28384" s="4" t="s">
        <v>35747</v>
      </c>
      <c r="B28384" s="4" t="s">
        <v>35749</v>
      </c>
      <c r="C28384" s="5" t="str">
        <f>IFERROR(__xludf.DUMMYFUNCTION("GOOGLETRANSLATE(B28384,""en"",""fr"")"),"Ils jouent ensemble à un jeu de racquetball.")</f>
        <v>Ils jouent ensemble à un jeu de racquetball.</v>
      </c>
    </row>
    <row r="28385">
      <c r="A28385" s="4" t="s">
        <v>35747</v>
      </c>
      <c r="B28385" s="4" t="s">
        <v>35750</v>
      </c>
      <c r="C28385" s="5" t="str">
        <f>IFERROR(__xludf.DUMMYFUNCTION("GOOGLETRANSLATE(B28385,""en"",""fr"")"),"Ils frappent à tour de rôle le ballon d'avant en arrière contre le mur.")</f>
        <v>Ils frappent à tour de rôle le ballon d'avant en arrière contre le mur.</v>
      </c>
    </row>
    <row r="28386">
      <c r="A28386" s="4" t="s">
        <v>35751</v>
      </c>
      <c r="B28386" s="4" t="s">
        <v>35752</v>
      </c>
      <c r="C28386" s="5" t="str">
        <f>IFERROR(__xludf.DUMMYFUNCTION("GOOGLETRANSLATE(B28386,""en"",""fr"")"),"Les gens sont assis dans une voiture.")</f>
        <v>Les gens sont assis dans une voiture.</v>
      </c>
    </row>
    <row r="28387">
      <c r="A28387" s="4" t="s">
        <v>35751</v>
      </c>
      <c r="B28387" s="4" t="s">
        <v>35753</v>
      </c>
      <c r="C28387" s="5" t="str">
        <f>IFERROR(__xludf.DUMMYFUNCTION("GOOGLETRANSLATE(B28387,""en"",""fr"")"),"Ils se tiennent autour d'un grand radeau gonflable.")</f>
        <v>Ils se tiennent autour d'un grand radeau gonflable.</v>
      </c>
    </row>
    <row r="28388">
      <c r="A28388" s="4" t="s">
        <v>35751</v>
      </c>
      <c r="B28388" s="4" t="s">
        <v>35754</v>
      </c>
      <c r="C28388" s="5" t="str">
        <f>IFERROR(__xludf.DUMMYFUNCTION("GOOGLETRANSLATE(B28388,""en"",""fr"")"),"Ils raftent dans de l'eau agitée d'une rivière.")</f>
        <v>Ils raftent dans de l'eau agitée d'une rivière.</v>
      </c>
    </row>
    <row r="28389">
      <c r="A28389" s="4" t="s">
        <v>35755</v>
      </c>
      <c r="B28389" s="6" t="s">
        <v>35756</v>
      </c>
      <c r="C28389" s="5" t="str">
        <f>IFERROR(__xludf.DUMMYFUNCTION("GOOGLETRANSLATE(B28389,""en"",""fr"")"),"Diverses images sont montrées de personnes regroupées ensemble ainsi que des gens qui jouent au football sur une plage.")</f>
        <v>Diverses images sont montrées de personnes regroupées ensemble ainsi que des gens qui jouent au football sur une plage.</v>
      </c>
    </row>
    <row r="28390">
      <c r="A28390" s="4" t="s">
        <v>35755</v>
      </c>
      <c r="B28390" s="6" t="s">
        <v>35757</v>
      </c>
      <c r="C28390" s="5" t="str">
        <f>IFERROR(__xludf.DUMMYFUNCTION("GOOGLETRANSLATE(B28390,""en"",""fr"")"),"Plus de photos sont présentées sur les gens qui jouent ainsi qu'un homme recevant un trophée et célébrant avec les autres.")</f>
        <v>Plus de photos sont présentées sur les gens qui jouent ainsi qu'un homme recevant un trophée et célébrant avec les autres.</v>
      </c>
    </row>
    <row r="28391">
      <c r="A28391" s="4" t="s">
        <v>35758</v>
      </c>
      <c r="B28391" s="4" t="s">
        <v>35759</v>
      </c>
      <c r="C28391" s="5" t="str">
        <f>IFERROR(__xludf.DUMMYFUNCTION("GOOGLETRANSLATE(B28391,""en"",""fr"")"),"Une caméra se déroule autour d'une femme assise sur une chaise qui fume une cigarette.")</f>
        <v>Une caméra se déroule autour d'une femme assise sur une chaise qui fume une cigarette.</v>
      </c>
    </row>
    <row r="28392">
      <c r="A28392" s="4" t="s">
        <v>35758</v>
      </c>
      <c r="B28392" s="4" t="s">
        <v>35760</v>
      </c>
      <c r="C28392" s="5" t="str">
        <f>IFERROR(__xludf.DUMMYFUNCTION("GOOGLETRANSLATE(B28392,""en"",""fr"")"),"Elle parle à la caméra tout en continuant à fumer et se termine en diffusant ses jambes.")</f>
        <v>Elle parle à la caméra tout en continuant à fumer et se termine en diffusant ses jambes.</v>
      </c>
    </row>
    <row r="28393">
      <c r="A28393" s="4" t="s">
        <v>35761</v>
      </c>
      <c r="B28393" s="4" t="s">
        <v>35762</v>
      </c>
      <c r="C28393" s="5" t="str">
        <f>IFERROR(__xludf.DUMMYFUNCTION("GOOGLETRANSLATE(B28393,""en"",""fr"")"),"La femme est ni de bord de mer portant un grand chapeau et souriant.")</f>
        <v>La femme est ni de bord de mer portant un grand chapeau et souriant.</v>
      </c>
    </row>
    <row r="28394">
      <c r="A28394" s="4" t="s">
        <v>35761</v>
      </c>
      <c r="B28394" s="6" t="s">
        <v>35763</v>
      </c>
      <c r="C28394" s="5" t="str">
        <f>IFERROR(__xludf.DUMMYFUNCTION("GOOGLETRANSLATE(B28394,""en"",""fr"")"),"Peolpe est de plongée sous-marine dans la mer à côté de la jetée avec des sacs sur le dos et montrant les poissons et les rochers sur le sol.")</f>
        <v>Peolpe est de plongée sous-marine dans la mer à côté de la jetée avec des sacs sur le dos et montrant les poissons et les rochers sur le sol.</v>
      </c>
    </row>
    <row r="28395">
      <c r="A28395" s="4" t="s">
        <v>35764</v>
      </c>
      <c r="B28395" s="4" t="s">
        <v>35765</v>
      </c>
      <c r="C28395" s="5" t="str">
        <f>IFERROR(__xludf.DUMMYFUNCTION("GOOGLETRANSLATE(B28395,""en"",""fr"")"),"Un groupe d'adolescents est dehors dans une cour.")</f>
        <v>Un groupe d'adolescents est dehors dans une cour.</v>
      </c>
    </row>
    <row r="28396">
      <c r="A28396" s="4" t="s">
        <v>35764</v>
      </c>
      <c r="B28396" s="4" t="s">
        <v>35766</v>
      </c>
      <c r="C28396" s="5" t="str">
        <f>IFERROR(__xludf.DUMMYFUNCTION("GOOGLETRANSLATE(B28396,""en"",""fr"")"),"Ils rassemblent des fournitures, puis allument un feu.")</f>
        <v>Ils rassemblent des fournitures, puis allument un feu.</v>
      </c>
    </row>
    <row r="28397">
      <c r="A28397" s="4" t="s">
        <v>35764</v>
      </c>
      <c r="B28397" s="4" t="s">
        <v>35767</v>
      </c>
      <c r="C28397" s="5" t="str">
        <f>IFERROR(__xludf.DUMMYFUNCTION("GOOGLETRANSLATE(B28397,""en"",""fr"")"),"Ils commencent à donner un coup de pied à une balle enflammée d'avant en arrière.")</f>
        <v>Ils commencent à donner un coup de pied à une balle enflammée d'avant en arrière.</v>
      </c>
    </row>
    <row r="28398">
      <c r="A28398" s="4" t="s">
        <v>35768</v>
      </c>
      <c r="B28398" s="4" t="s">
        <v>35769</v>
      </c>
      <c r="C28398" s="5" t="str">
        <f>IFERROR(__xludf.DUMMYFUNCTION("GOOGLETRANSLATE(B28398,""en"",""fr"")"),"Un garçon est assis derrière une table.")</f>
        <v>Un garçon est assis derrière une table.</v>
      </c>
    </row>
    <row r="28399">
      <c r="A28399" s="4" t="s">
        <v>35768</v>
      </c>
      <c r="B28399" s="4" t="s">
        <v>35770</v>
      </c>
      <c r="C28399" s="5" t="str">
        <f>IFERROR(__xludf.DUMMYFUNCTION("GOOGLETRANSLATE(B28399,""en"",""fr"")"),"Il ramasse une bière et prend un verre rapidement.")</f>
        <v>Il ramasse une bière et prend un verre rapidement.</v>
      </c>
    </row>
    <row r="28400">
      <c r="A28400" s="4" t="s">
        <v>35768</v>
      </c>
      <c r="B28400" s="4" t="s">
        <v>35771</v>
      </c>
      <c r="C28400" s="5" t="str">
        <f>IFERROR(__xludf.DUMMYFUNCTION("GOOGLETRANSLATE(B28400,""en"",""fr"")"),"Une femme l'attrape loin de lui.")</f>
        <v>Une femme l'attrape loin de lui.</v>
      </c>
    </row>
    <row r="28401">
      <c r="A28401" s="4" t="s">
        <v>35772</v>
      </c>
      <c r="B28401" s="6" t="s">
        <v>35773</v>
      </c>
      <c r="C28401" s="5" t="str">
        <f>IFERROR(__xludf.DUMMYFUNCTION("GOOGLETRANSLATE(B28401,""en"",""fr"")"),"Diverses plans de nourriture plaqués sont représentés, suivis d'un sandwich assis sur une table et une femme tenant des casseroles.")</f>
        <v>Diverses plans de nourriture plaqués sont représentés, suivis d'un sandwich assis sur une table et une femme tenant des casseroles.</v>
      </c>
    </row>
    <row r="28402">
      <c r="A28402" s="4" t="s">
        <v>35772</v>
      </c>
      <c r="B28402" s="6" t="s">
        <v>35774</v>
      </c>
      <c r="C28402" s="5" t="str">
        <f>IFERROR(__xludf.DUMMYFUNCTION("GOOGLETRANSLATE(B28402,""en"",""fr"")"),"La femme met ensuite les ingrédients sur du pain sandwich et mélange les deux ensemble et prend plusieurs bouchées.")</f>
        <v>La femme met ensuite les ingrédients sur du pain sandwich et mélange les deux ensemble et prend plusieurs bouchées.</v>
      </c>
    </row>
    <row r="28403">
      <c r="A28403" s="4" t="s">
        <v>35775</v>
      </c>
      <c r="B28403" s="4" t="s">
        <v>35776</v>
      </c>
      <c r="C28403" s="5" t="str">
        <f>IFERROR(__xludf.DUMMYFUNCTION("GOOGLETRANSLATE(B28403,""en"",""fr"")"),"Une femme est vue en parlant à la caméra tout en levant un seau et un pot.")</f>
        <v>Une femme est vue en parlant à la caméra tout en levant un seau et un pot.</v>
      </c>
    </row>
    <row r="28404">
      <c r="A28404" s="4" t="s">
        <v>35775</v>
      </c>
      <c r="B28404" s="4" t="s">
        <v>35777</v>
      </c>
      <c r="C28404" s="5" t="str">
        <f>IFERROR(__xludf.DUMMYFUNCTION("GOOGLETRANSLATE(B28404,""en"",""fr"")"),"Elle verse de l'eau dans le pot dans le seau ainsi que du détergent.")</f>
        <v>Elle verse de l'eau dans le pot dans le seau ainsi que du détergent.</v>
      </c>
    </row>
    <row r="28405">
      <c r="A28405" s="4" t="s">
        <v>35775</v>
      </c>
      <c r="B28405" s="4" t="s">
        <v>35778</v>
      </c>
      <c r="C28405" s="5" t="str">
        <f>IFERROR(__xludf.DUMMYFUNCTION("GOOGLETRANSLATE(B28405,""en"",""fr"")"),"Elle lavant ensuite les vêtements dans le seau à l'aide de l'eau en continu ainsi qu'une brosse à dents.")</f>
        <v>Elle lavant ensuite les vêtements dans le seau à l'aide de l'eau en continu ainsi qu'une brosse à dents.</v>
      </c>
    </row>
    <row r="28406">
      <c r="A28406" s="4" t="s">
        <v>35775</v>
      </c>
      <c r="B28406" s="4" t="s">
        <v>35779</v>
      </c>
      <c r="C28406" s="5" t="str">
        <f>IFERROR(__xludf.DUMMYFUNCTION("GOOGLETRANSLATE(B28406,""en"",""fr"")"),"Elle expose les vêtements à la fin et les raccroche.")</f>
        <v>Elle expose les vêtements à la fin et les raccroche.</v>
      </c>
    </row>
    <row r="28407">
      <c r="A28407" s="4" t="s">
        <v>35780</v>
      </c>
      <c r="B28407" s="4" t="s">
        <v>35781</v>
      </c>
      <c r="C28407" s="5" t="str">
        <f>IFERROR(__xludf.DUMMYFUNCTION("GOOGLETRANSLATE(B28407,""en"",""fr"")"),"Trois personnes sont en studio qui parlent de nouvelles.")</f>
        <v>Trois personnes sont en studio qui parlent de nouvelles.</v>
      </c>
    </row>
    <row r="28408">
      <c r="A28408" s="4" t="s">
        <v>35780</v>
      </c>
      <c r="B28408" s="6" t="s">
        <v>35782</v>
      </c>
      <c r="C28408" s="5" t="str">
        <f>IFERROR(__xludf.DUMMYFUNCTION("GOOGLETRANSLATE(B28408,""en"",""fr"")"),"Une histoire sur le sport de curling et l'équipe pour enfants qui jouent sur le terrain et le score sont affichées à l'écran.")</f>
        <v>Une histoire sur le sport de curling et l'équipe pour enfants qui jouent sur le terrain et le score sont affichées à l'écran.</v>
      </c>
    </row>
    <row r="28409">
      <c r="A28409" s="4" t="s">
        <v>35780</v>
      </c>
      <c r="B28409" s="4" t="s">
        <v>35783</v>
      </c>
      <c r="C28409" s="5" t="str">
        <f>IFERROR(__xludf.DUMMYFUNCTION("GOOGLETRANSLATE(B28409,""en"",""fr"")"),"Retour aux journalistes du studio continue de parler de l'histoire.")</f>
        <v>Retour aux journalistes du studio continue de parler de l'histoire.</v>
      </c>
    </row>
    <row r="28410">
      <c r="A28410" s="4" t="s">
        <v>35784</v>
      </c>
      <c r="B28410" s="4" t="s">
        <v>35785</v>
      </c>
      <c r="C28410" s="5" t="str">
        <f>IFERROR(__xludf.DUMMYFUNCTION("GOOGLETRANSLATE(B28410,""en"",""fr"")"),"Un homme se tient derrière un canapé, portant une tête de protection couvrant.")</f>
        <v>Un homme se tient derrière un canapé, portant une tête de protection couvrant.</v>
      </c>
    </row>
    <row r="28411">
      <c r="A28411" s="4" t="s">
        <v>35784</v>
      </c>
      <c r="B28411" s="4" t="s">
        <v>35786</v>
      </c>
      <c r="C28411" s="5" t="str">
        <f>IFERROR(__xludf.DUMMYFUNCTION("GOOGLETRANSLATE(B28411,""en"",""fr"")"),"Il couvre un canapé avec du plastique et le casse en place.")</f>
        <v>Il couvre un canapé avec du plastique et le casse en place.</v>
      </c>
    </row>
    <row r="28412">
      <c r="A28412" s="4" t="s">
        <v>35784</v>
      </c>
      <c r="B28412" s="4" t="s">
        <v>35787</v>
      </c>
      <c r="C28412" s="5" t="str">
        <f>IFERROR(__xludf.DUMMYFUNCTION("GOOGLETRANSLATE(B28412,""en"",""fr"")"),"Il parle à la caméra de ce qu'il a fait un peu plus longtemps.")</f>
        <v>Il parle à la caméra de ce qu'il a fait un peu plus longtemps.</v>
      </c>
    </row>
    <row r="28413">
      <c r="A28413" s="4" t="s">
        <v>35788</v>
      </c>
      <c r="B28413" s="4" t="s">
        <v>35789</v>
      </c>
      <c r="C28413" s="5" t="str">
        <f>IFERROR(__xludf.DUMMYFUNCTION("GOOGLETRANSLATE(B28413,""en"",""fr"")"),"Nous voyons des lettres bleues sur un écran noir et voyons un toit.")</f>
        <v>Nous voyons des lettres bleues sur un écran noir et voyons un toit.</v>
      </c>
    </row>
    <row r="28414">
      <c r="A28414" s="4" t="s">
        <v>35788</v>
      </c>
      <c r="B28414" s="4" t="s">
        <v>35790</v>
      </c>
      <c r="C28414" s="5" t="str">
        <f>IFERROR(__xludf.DUMMYFUNCTION("GOOGLETRANSLATE(B28414,""en"",""fr"")"),"Ensuite, nous passons à plus de lettres et le toit a été pulvérisé avec une solution.")</f>
        <v>Ensuite, nous passons à plus de lettres et le toit a été pulvérisé avec une solution.</v>
      </c>
    </row>
    <row r="28415">
      <c r="A28415" s="4" t="s">
        <v>35788</v>
      </c>
      <c r="B28415" s="4" t="s">
        <v>35791</v>
      </c>
      <c r="C28415" s="5" t="str">
        <f>IFERROR(__xludf.DUMMYFUNCTION("GOOGLETRANSLATE(B28415,""en"",""fr"")"),"Nous sommes informés que le toit a été nettoyé et montré des photos du toit propre.")</f>
        <v>Nous sommes informés que le toit a été nettoyé et montré des photos du toit propre.</v>
      </c>
    </row>
    <row r="28416">
      <c r="A28416" s="4" t="s">
        <v>35788</v>
      </c>
      <c r="B28416" s="4" t="s">
        <v>35792</v>
      </c>
      <c r="C28416" s="5" t="str">
        <f>IFERROR(__xludf.DUMMYFUNCTION("GOOGLETRANSLATE(B28416,""en"",""fr"")"),"Nous voyons ensuite le devant de la maison.")</f>
        <v>Nous voyons ensuite le devant de la maison.</v>
      </c>
    </row>
    <row r="28417">
      <c r="A28417" s="4" t="s">
        <v>35788</v>
      </c>
      <c r="B28417" s="4" t="s">
        <v>35793</v>
      </c>
      <c r="C28417" s="5" t="str">
        <f>IFERROR(__xludf.DUMMYFUNCTION("GOOGLETRANSLATE(B28417,""en"",""fr"")"),"On nous a fourni le numéro de téléphone des rondelles de pression.")</f>
        <v>On nous a fourni le numéro de téléphone des rondelles de pression.</v>
      </c>
    </row>
    <row r="28418">
      <c r="A28418" s="4" t="s">
        <v>35794</v>
      </c>
      <c r="B28418" s="4" t="s">
        <v>14504</v>
      </c>
      <c r="C28418" s="5" t="str">
        <f>IFERROR(__xludf.DUMMYFUNCTION("GOOGLETRANSLATE(B28418,""en"",""fr"")"),"Les gens jouent au volleyball sur une plage.")</f>
        <v>Les gens jouent au volleyball sur une plage.</v>
      </c>
    </row>
    <row r="28419">
      <c r="A28419" s="4" t="s">
        <v>35794</v>
      </c>
      <c r="B28419" s="4" t="s">
        <v>35795</v>
      </c>
      <c r="C28419" s="5" t="str">
        <f>IFERROR(__xludf.DUMMYFUNCTION("GOOGLETRANSLATE(B28419,""en"",""fr"")"),"Le ballon tombe sur le sol et un gars en short rouge le ramasse.")</f>
        <v>Le ballon tombe sur le sol et un gars en short rouge le ramasse.</v>
      </c>
    </row>
    <row r="28420">
      <c r="A28420" s="4" t="s">
        <v>35794</v>
      </c>
      <c r="B28420" s="4" t="s">
        <v>35796</v>
      </c>
      <c r="C28420" s="5" t="str">
        <f>IFERROR(__xludf.DUMMYFUNCTION("GOOGLETRANSLATE(B28420,""en"",""fr"")"),"Un homme en chapeau noir sert le ballon.")</f>
        <v>Un homme en chapeau noir sert le ballon.</v>
      </c>
    </row>
    <row r="28421">
      <c r="A28421" s="4" t="s">
        <v>35797</v>
      </c>
      <c r="B28421" s="4" t="s">
        <v>35798</v>
      </c>
      <c r="C28421" s="5" t="str">
        <f>IFERROR(__xludf.DUMMYFUNCTION("GOOGLETRANSLATE(B28421,""en"",""fr"")"),"Un homme se tient à l'extérieur dans un champ d'herbe relativement bas.")</f>
        <v>Un homme se tient à l'extérieur dans un champ d'herbe relativement bas.</v>
      </c>
    </row>
    <row r="28422">
      <c r="A28422" s="4" t="s">
        <v>35797</v>
      </c>
      <c r="B28422" s="6" t="s">
        <v>35799</v>
      </c>
      <c r="C28422" s="5" t="str">
        <f>IFERROR(__xludf.DUMMYFUNCTION("GOOGLETRANSLATE(B28422,""en"",""fr"")"),"Cependant, dans sa main, il a une faux et commence à le balancer d'avant en arrière en coupant l'herbe plus loin.")</f>
        <v>Cependant, dans sa main, il a une faux et commence à le balancer d'avant en arrière en coupant l'herbe plus loin.</v>
      </c>
    </row>
    <row r="28423">
      <c r="A28423" s="4" t="s">
        <v>35797</v>
      </c>
      <c r="B28423" s="6" t="s">
        <v>35800</v>
      </c>
      <c r="C28423" s="5" t="str">
        <f>IFERROR(__xludf.DUMMYFUNCTION("GOOGLETRANSLATE(B28423,""en"",""fr"")"),"Pendant qu'il coupe, plusieurs textes apparaissent à travers l'écran avec des mots blancs sur ce qu'il fait et expliquant l'activité.")</f>
        <v>Pendant qu'il coupe, plusieurs textes apparaissent à travers l'écran avec des mots blancs sur ce qu'il fait et expliquant l'activité.</v>
      </c>
    </row>
    <row r="28424">
      <c r="A28424" s="4" t="s">
        <v>35801</v>
      </c>
      <c r="B28424" s="6" t="s">
        <v>35802</v>
      </c>
      <c r="C28424" s="5" t="str">
        <f>IFERROR(__xludf.DUMMYFUNCTION("GOOGLETRANSLATE(B28424,""en"",""fr"")"),"Un groupe de champions d'escrime olympiques américains est montrée en compétition dans l'escrime entrecoupée d'images et de graphiques annonçant un prochain tournoi d'escrime à New York.")</f>
        <v>Un groupe de champions d'escrime olympiques américains est montrée en compétition dans l'escrime entrecoupée d'images et de graphiques annonçant un prochain tournoi d'escrime à New York.</v>
      </c>
    </row>
    <row r="28425">
      <c r="A28425" s="4" t="s">
        <v>35801</v>
      </c>
      <c r="B28425" s="4" t="s">
        <v>35803</v>
      </c>
      <c r="C28425" s="5" t="str">
        <f>IFERROR(__xludf.DUMMYFUNCTION("GOOGLETRANSLATE(B28425,""en"",""fr"")"),"Plusieurs images de tireurs sont des spectacles entrecoupés de vidéo de la marche des tireurs.")</f>
        <v>Plusieurs images de tireurs sont des spectacles entrecoupés de vidéo de la marche des tireurs.</v>
      </c>
    </row>
    <row r="28426">
      <c r="A28426" s="4" t="s">
        <v>35801</v>
      </c>
      <c r="B28426" s="4" t="s">
        <v>35804</v>
      </c>
      <c r="C28426" s="5" t="str">
        <f>IFERROR(__xludf.DUMMYFUNCTION("GOOGLETRANSLATE(B28426,""en"",""fr"")"),"Une image d'une fille tenant un drapeau américain derrière elle apparaît.")</f>
        <v>Une image d'une fille tenant un drapeau américain derrière elle apparaît.</v>
      </c>
    </row>
    <row r="28427">
      <c r="A28427" s="4" t="s">
        <v>35801</v>
      </c>
      <c r="B28427" s="6" t="s">
        <v>35805</v>
      </c>
      <c r="C28427" s="5" t="str">
        <f>IFERROR(__xludf.DUMMYFUNCTION("GOOGLETRANSLATE(B28427,""en"",""fr"")"),"Plus d'images fixes de l'escrime et une vidéo au ralenti d'une compétition d'escrime apparaissent devant un graphique marketing final avec un site Web.")</f>
        <v>Plus d'images fixes de l'escrime et une vidéo au ralenti d'une compétition d'escrime apparaissent devant un graphique marketing final avec un site Web.</v>
      </c>
    </row>
    <row r="28428">
      <c r="A28428" s="4" t="s">
        <v>35806</v>
      </c>
      <c r="B28428" s="4" t="s">
        <v>35807</v>
      </c>
      <c r="C28428" s="5" t="str">
        <f>IFERROR(__xludf.DUMMYFUNCTION("GOOGLETRANSLATE(B28428,""en"",""fr"")"),"Une femme âgée se couche contre un oreiller brun.")</f>
        <v>Une femme âgée se couche contre un oreiller brun.</v>
      </c>
    </row>
    <row r="28429">
      <c r="A28429" s="4" t="s">
        <v>35806</v>
      </c>
      <c r="B28429" s="4" t="s">
        <v>35808</v>
      </c>
      <c r="C28429" s="5" t="str">
        <f>IFERROR(__xludf.DUMMYFUNCTION("GOOGLETRANSLATE(B28429,""en"",""fr"")"),"Elle tient une harmonica à sa bouche et la joue.")</f>
        <v>Elle tient une harmonica à sa bouche et la joue.</v>
      </c>
    </row>
    <row r="28430">
      <c r="A28430" s="4" t="s">
        <v>35806</v>
      </c>
      <c r="B28430" s="4" t="s">
        <v>35809</v>
      </c>
      <c r="C28430" s="5" t="str">
        <f>IFERROR(__xludf.DUMMYFUNCTION("GOOGLETRANSLATE(B28430,""en"",""fr"")"),"La lumière dans la pièce s'éclaircit.")</f>
        <v>La lumière dans la pièce s'éclaircit.</v>
      </c>
    </row>
    <row r="28431">
      <c r="A28431" s="4" t="s">
        <v>35806</v>
      </c>
      <c r="B28431" s="4" t="s">
        <v>35810</v>
      </c>
      <c r="C28431" s="5" t="str">
        <f>IFERROR(__xludf.DUMMYFUNCTION("GOOGLETRANSLATE(B28431,""en"",""fr"")"),"Elle finit de jouer et rit.")</f>
        <v>Elle finit de jouer et rit.</v>
      </c>
    </row>
    <row r="28432">
      <c r="A28432" s="4" t="s">
        <v>35811</v>
      </c>
      <c r="B28432" s="4" t="s">
        <v>35812</v>
      </c>
      <c r="C28432" s="5" t="str">
        <f>IFERROR(__xludf.DUMMYFUNCTION("GOOGLETRANSLATE(B28432,""en"",""fr"")"),"Plusieurs joueurs de l'équipe en noir et blanc jouent au hockey sur glace dans l'arène.")</f>
        <v>Plusieurs joueurs de l'équipe en noir et blanc jouent au hockey sur glace dans l'arène.</v>
      </c>
    </row>
    <row r="28433">
      <c r="A28433" s="4" t="s">
        <v>35811</v>
      </c>
      <c r="B28433" s="4" t="s">
        <v>35813</v>
      </c>
      <c r="C28433" s="5" t="str">
        <f>IFERROR(__xludf.DUMMYFUNCTION("GOOGLETRANSLATE(B28433,""en"",""fr"")"),"L'un des joueurs de l'équipe noire frappe la rondelle de son adversaire.")</f>
        <v>L'un des joueurs de l'équipe noire frappe la rondelle de son adversaire.</v>
      </c>
    </row>
    <row r="28434">
      <c r="A28434" s="4" t="s">
        <v>35811</v>
      </c>
      <c r="B28434" s="4" t="s">
        <v>35814</v>
      </c>
      <c r="C28434" s="5" t="str">
        <f>IFERROR(__xludf.DUMMYFUNCTION("GOOGLETRANSLATE(B28434,""en"",""fr"")"),"Les joueurs de l'équipe blanche tentent de l'empêcher d'atteindre un but.")</f>
        <v>Les joueurs de l'équipe blanche tentent de l'empêcher d'atteindre un but.</v>
      </c>
    </row>
    <row r="28435">
      <c r="A28435" s="4" t="s">
        <v>35811</v>
      </c>
      <c r="B28435" s="4" t="s">
        <v>35815</v>
      </c>
      <c r="C28435" s="5" t="str">
        <f>IFERROR(__xludf.DUMMYFUNCTION("GOOGLETRANSLATE(B28435,""en"",""fr"")"),"Une version animée du jeu est affichée à l'écran.")</f>
        <v>Une version animée du jeu est affichée à l'écran.</v>
      </c>
    </row>
    <row r="28436">
      <c r="A28436" s="4" t="s">
        <v>35811</v>
      </c>
      <c r="B28436" s="6" t="s">
        <v>35816</v>
      </c>
      <c r="C28436" s="5" t="str">
        <f>IFERROR(__xludf.DUMMYFUNCTION("GOOGLETRANSLATE(B28436,""en"",""fr"")"),"Ensuite, l'accent est de retour sur le vrai jeu où un joueur d'équipe noir est mis en évidence alors qu'il prend un coup de feu sur le but.")</f>
        <v>Ensuite, l'accent est de retour sur le vrai jeu où un joueur d'équipe noir est mis en évidence alors qu'il prend un coup de feu sur le but.</v>
      </c>
    </row>
    <row r="28437">
      <c r="A28437" s="4" t="s">
        <v>35811</v>
      </c>
      <c r="B28437" s="4" t="s">
        <v>35817</v>
      </c>
      <c r="C28437" s="5" t="str">
        <f>IFERROR(__xludf.DUMMYFUNCTION("GOOGLETRANSLATE(B28437,""en"",""fr"")"),"Encore une fois, un autre exemple animé est montré pour expliquer le fonctionnement du jeu.")</f>
        <v>Encore une fois, un autre exemple animé est montré pour expliquer le fonctionnement du jeu.</v>
      </c>
    </row>
    <row r="28438">
      <c r="A28438" s="4" t="s">
        <v>35811</v>
      </c>
      <c r="B28438" s="4" t="s">
        <v>35818</v>
      </c>
      <c r="C28438" s="5" t="str">
        <f>IFERROR(__xludf.DUMMYFUNCTION("GOOGLETRANSLATE(B28438,""en"",""fr"")"),"Le joueur d'équipe noir frappe la rondelle dans le coin opposé de la glace.")</f>
        <v>Le joueur d'équipe noir frappe la rondelle dans le coin opposé de la glace.</v>
      </c>
    </row>
    <row r="28439">
      <c r="A28439" s="4" t="s">
        <v>35811</v>
      </c>
      <c r="B28439" s="4" t="s">
        <v>35819</v>
      </c>
      <c r="C28439" s="5" t="str">
        <f>IFERROR(__xludf.DUMMYFUNCTION("GOOGLETRANSLATE(B28439,""en"",""fr"")"),"Alors que le noir se déplace rapidement et vers le but, il fait tomber le gardien de but.")</f>
        <v>Alors que le noir se déplace rapidement et vers le but, il fait tomber le gardien de but.</v>
      </c>
    </row>
    <row r="28440">
      <c r="A28440" s="4" t="s">
        <v>35811</v>
      </c>
      <c r="B28440" s="4" t="s">
        <v>35820</v>
      </c>
      <c r="C28440" s="5" t="str">
        <f>IFERROR(__xludf.DUMMYFUNCTION("GOOGLETRANSLATE(B28440,""en"",""fr"")"),"L'équipe noire remporte le but et obtient la victoire dans le match.")</f>
        <v>L'équipe noire remporte le but et obtient la victoire dans le match.</v>
      </c>
    </row>
    <row r="28441">
      <c r="A28441" s="4" t="s">
        <v>35821</v>
      </c>
      <c r="B28441" s="4" t="s">
        <v>35822</v>
      </c>
      <c r="C28441" s="5" t="str">
        <f>IFERROR(__xludf.DUMMYFUNCTION("GOOGLETRANSLATE(B28441,""en"",""fr"")"),"Une caméra panoramique sur une salle de musculation et montre diverses personnes travaillant sur des machines.")</f>
        <v>Une caméra panoramique sur une salle de musculation et montre diverses personnes travaillant sur des machines.</v>
      </c>
    </row>
    <row r="28442">
      <c r="A28442" s="4" t="s">
        <v>35821</v>
      </c>
      <c r="B28442" s="4" t="s">
        <v>35823</v>
      </c>
      <c r="C28442" s="5" t="str">
        <f>IFERROR(__xludf.DUMMYFUNCTION("GOOGLETRANSLATE(B28442,""en"",""fr"")"),"Un homme est vu courir sur un elliptique tandis qu'un autre utilisant une machine à aviron à l'arrière.")</f>
        <v>Un homme est vu courir sur un elliptique tandis qu'un autre utilisant une machine à aviron à l'arrière.</v>
      </c>
    </row>
    <row r="28443">
      <c r="A28443" s="4" t="s">
        <v>35824</v>
      </c>
      <c r="B28443" s="4" t="s">
        <v>35825</v>
      </c>
      <c r="C28443" s="5" t="str">
        <f>IFERROR(__xludf.DUMMYFUNCTION("GOOGLETRANSLATE(B28443,""en"",""fr"")"),"Un homme pelle une neige du haut d'une voiture.")</f>
        <v>Un homme pelle une neige du haut d'une voiture.</v>
      </c>
    </row>
    <row r="28444">
      <c r="A28444" s="4" t="s">
        <v>35824</v>
      </c>
      <c r="B28444" s="4" t="s">
        <v>35826</v>
      </c>
      <c r="C28444" s="5" t="str">
        <f>IFERROR(__xludf.DUMMYFUNCTION("GOOGLETRANSLATE(B28444,""en"",""fr"")"),"Il se promène dans la voiture et commence à pelleter le sol.")</f>
        <v>Il se promène dans la voiture et commence à pelleter le sol.</v>
      </c>
    </row>
    <row r="28445">
      <c r="A28445" s="4" t="s">
        <v>35827</v>
      </c>
      <c r="B28445" s="4" t="s">
        <v>35828</v>
      </c>
      <c r="C28445" s="5" t="str">
        <f>IFERROR(__xludf.DUMMYFUNCTION("GOOGLETRANSLATE(B28445,""en"",""fr"")"),"Une personne lance une boule de bowling dans une voie.")</f>
        <v>Une personne lance une boule de bowling dans une voie.</v>
      </c>
    </row>
    <row r="28446">
      <c r="A28446" s="4" t="s">
        <v>35827</v>
      </c>
      <c r="B28446" s="4" t="s">
        <v>35829</v>
      </c>
      <c r="C28446" s="5" t="str">
        <f>IFERROR(__xludf.DUMMYFUNCTION("GOOGLETRANSLATE(B28446,""en"",""fr"")"),"Ils renversent les épingles.")</f>
        <v>Ils renversent les épingles.</v>
      </c>
    </row>
    <row r="28447">
      <c r="A28447" s="4" t="s">
        <v>35827</v>
      </c>
      <c r="B28447" s="4" t="s">
        <v>35830</v>
      </c>
      <c r="C28447" s="5" t="str">
        <f>IFERROR(__xludf.DUMMYFUNCTION("GOOGLETRANSLATE(B28447,""en"",""fr"")"),"Ils jettent le ballon sur une pièce de rechange et renversent tout le reste des épingles.")</f>
        <v>Ils jettent le ballon sur une pièce de rechange et renversent tout le reste des épingles.</v>
      </c>
    </row>
    <row r="28448">
      <c r="A28448" s="4" t="s">
        <v>35831</v>
      </c>
      <c r="B28448" s="4" t="s">
        <v>35832</v>
      </c>
      <c r="C28448" s="5" t="str">
        <f>IFERROR(__xludf.DUMMYFUNCTION("GOOGLETRANSLATE(B28448,""en"",""fr"")"),"Une femme lave des vêtements dans un seau avec du savon.")</f>
        <v>Une femme lave des vêtements dans un seau avec du savon.</v>
      </c>
    </row>
    <row r="28449">
      <c r="A28449" s="4" t="s">
        <v>35831</v>
      </c>
      <c r="B28449" s="4" t="s">
        <v>35833</v>
      </c>
      <c r="C28449" s="5" t="str">
        <f>IFERROR(__xludf.DUMMYFUNCTION("GOOGLETRANSLATE(B28449,""en"",""fr"")"),"La femme tordu une serviette.")</f>
        <v>La femme tordu une serviette.</v>
      </c>
    </row>
    <row r="28450">
      <c r="A28450" s="4" t="s">
        <v>35831</v>
      </c>
      <c r="B28450" s="4" t="s">
        <v>35834</v>
      </c>
      <c r="C28450" s="5" t="str">
        <f>IFERROR(__xludf.DUMMYFUNCTION("GOOGLETRANSLATE(B28450,""en"",""fr"")"),"Quelqu'un se plie en arrière-plan pendant que la femme continue de laver les vêtements.")</f>
        <v>Quelqu'un se plie en arrière-plan pendant que la femme continue de laver les vêtements.</v>
      </c>
    </row>
    <row r="28451">
      <c r="A28451" s="4" t="s">
        <v>35835</v>
      </c>
      <c r="B28451" s="6" t="s">
        <v>35836</v>
      </c>
      <c r="C28451" s="5" t="str">
        <f>IFERROR(__xludf.DUMMYFUNCTION("GOOGLETRANSLATE(B28451,""en"",""fr"")"),"Un homme dans une casquette de baseball, un short et une chemise à manches courtes bleues sert trois balles de tennis sur un filet de tennis sur un court de tennis par lui-même.")</f>
        <v>Un homme dans une casquette de baseball, un short et une chemise à manches courtes bleues sert trois balles de tennis sur un filet de tennis sur un court de tennis par lui-même.</v>
      </c>
    </row>
    <row r="28452">
      <c r="A28452" s="4" t="s">
        <v>35835</v>
      </c>
      <c r="B28452" s="4" t="s">
        <v>35837</v>
      </c>
      <c r="C28452" s="5" t="str">
        <f>IFERROR(__xludf.DUMMYFUNCTION("GOOGLETRANSLATE(B28452,""en"",""fr"")"),"Un homme sur un court de tennis sert lui-même une balle de tennis avec une raquette de tennis sur un filet.")</f>
        <v>Un homme sur un court de tennis sert lui-même une balle de tennis avec une raquette de tennis sur un filet.</v>
      </c>
    </row>
    <row r="28453">
      <c r="A28453" s="4" t="s">
        <v>35835</v>
      </c>
      <c r="B28453" s="4" t="s">
        <v>35838</v>
      </c>
      <c r="C28453" s="5" t="str">
        <f>IFERROR(__xludf.DUMMYFUNCTION("GOOGLETRANSLATE(B28453,""en"",""fr"")"),"L'homme sert ensuite deux autres balles à travers le filet, le ballon atterrit de l'autre côté.")</f>
        <v>L'homme sert ensuite deux autres balles à travers le filet, le ballon atterrit de l'autre côté.</v>
      </c>
    </row>
    <row r="28454">
      <c r="A28454" s="4" t="s">
        <v>35839</v>
      </c>
      <c r="B28454" s="4" t="s">
        <v>35840</v>
      </c>
      <c r="C28454" s="5" t="str">
        <f>IFERROR(__xludf.DUMMYFUNCTION("GOOGLETRANSLATE(B28454,""en"",""fr"")"),"Un athlète masculin court sur une piste.")</f>
        <v>Un athlète masculin court sur une piste.</v>
      </c>
    </row>
    <row r="28455">
      <c r="A28455" s="4" t="s">
        <v>35839</v>
      </c>
      <c r="B28455" s="4" t="s">
        <v>35841</v>
      </c>
      <c r="C28455" s="5" t="str">
        <f>IFERROR(__xludf.DUMMYFUNCTION("GOOGLETRANSLATE(B28455,""en"",""fr"")"),"Il saute en l'air.")</f>
        <v>Il saute en l'air.</v>
      </c>
    </row>
    <row r="28456">
      <c r="A28456" s="4" t="s">
        <v>35839</v>
      </c>
      <c r="B28456" s="4" t="s">
        <v>35842</v>
      </c>
      <c r="C28456" s="5" t="str">
        <f>IFERROR(__xludf.DUMMYFUNCTION("GOOGLETRANSLATE(B28456,""en"",""fr"")"),"Il saute en arrière sur un faisceau de route.")</f>
        <v>Il saute en arrière sur un faisceau de route.</v>
      </c>
    </row>
    <row r="28457">
      <c r="A28457" s="4" t="s">
        <v>35839</v>
      </c>
      <c r="B28457" s="4" t="s">
        <v>35843</v>
      </c>
      <c r="C28457" s="5" t="str">
        <f>IFERROR(__xludf.DUMMYFUNCTION("GOOGLETRANSLATE(B28457,""en"",""fr"")"),"Ceci est montré répété au ralenti plusieurs fois.")</f>
        <v>Ceci est montré répété au ralenti plusieurs fois.</v>
      </c>
    </row>
    <row r="28458">
      <c r="A28458" s="4" t="s">
        <v>35844</v>
      </c>
      <c r="B28458" s="4" t="s">
        <v>35845</v>
      </c>
      <c r="C28458" s="5" t="str">
        <f>IFERROR(__xludf.DUMMYFUNCTION("GOOGLETRANSLATE(B28458,""en"",""fr"")"),"Un homme s'assoit avec une guitare.")</f>
        <v>Un homme s'assoit avec une guitare.</v>
      </c>
    </row>
    <row r="28459">
      <c r="A28459" s="4" t="s">
        <v>35844</v>
      </c>
      <c r="B28459" s="4" t="s">
        <v>35846</v>
      </c>
      <c r="C28459" s="5" t="str">
        <f>IFERROR(__xludf.DUMMYFUNCTION("GOOGLETRANSLATE(B28459,""en"",""fr"")"),"L'homme commence à jouer de la guitare.")</f>
        <v>L'homme commence à jouer de la guitare.</v>
      </c>
    </row>
    <row r="28460">
      <c r="A28460" s="4" t="s">
        <v>35844</v>
      </c>
      <c r="B28460" s="4" t="s">
        <v>35847</v>
      </c>
      <c r="C28460" s="5" t="str">
        <f>IFERROR(__xludf.DUMMYFUNCTION("GOOGLETRANSLATE(B28460,""en"",""fr"")"),"L'homme commence à chanter en jouant de la guitare.")</f>
        <v>L'homme commence à chanter en jouant de la guitare.</v>
      </c>
    </row>
    <row r="28461">
      <c r="A28461" s="4" t="s">
        <v>35844</v>
      </c>
      <c r="B28461" s="4" t="s">
        <v>35848</v>
      </c>
      <c r="C28461" s="5" t="str">
        <f>IFERROR(__xludf.DUMMYFUNCTION("GOOGLETRANSLATE(B28461,""en"",""fr"")"),"L'homme arrête de jouer de la guitare et se lève et se dirige vers la caméra.")</f>
        <v>L'homme arrête de jouer de la guitare et se lève et se dirige vers la caméra.</v>
      </c>
    </row>
    <row r="28462">
      <c r="A28462" s="4" t="s">
        <v>35849</v>
      </c>
      <c r="B28462" s="4" t="s">
        <v>35850</v>
      </c>
      <c r="C28462" s="5" t="str">
        <f>IFERROR(__xludf.DUMMYFUNCTION("GOOGLETRANSLATE(B28462,""en"",""fr"")"),"Un homme joue des cornemusets dans une place de la ville alors que personne ne fait attention.")</f>
        <v>Un homme joue des cornemusets dans une place de la ville alors que personne ne fait attention.</v>
      </c>
    </row>
    <row r="28463">
      <c r="A28463" s="4" t="s">
        <v>35849</v>
      </c>
      <c r="B28463" s="4" t="s">
        <v>35851</v>
      </c>
      <c r="C28463" s="5" t="str">
        <f>IFERROR(__xludf.DUMMYFUNCTION("GOOGLETRANSLATE(B28463,""en"",""fr"")"),"Un flic lui dit de s'arrêter.")</f>
        <v>Un flic lui dit de s'arrêter.</v>
      </c>
    </row>
    <row r="28464">
      <c r="A28464" s="4" t="s">
        <v>35852</v>
      </c>
      <c r="B28464" s="4" t="s">
        <v>35853</v>
      </c>
      <c r="C28464" s="5" t="str">
        <f>IFERROR(__xludf.DUMMYFUNCTION("GOOGLETRANSLATE(B28464,""en"",""fr"")"),"Un garçon court lentement sur un chemin.")</f>
        <v>Un garçon court lentement sur un chemin.</v>
      </c>
    </row>
    <row r="28465">
      <c r="A28465" s="4" t="s">
        <v>35852</v>
      </c>
      <c r="B28465" s="4" t="s">
        <v>35854</v>
      </c>
      <c r="C28465" s="5" t="str">
        <f>IFERROR(__xludf.DUMMYFUNCTION("GOOGLETRANSLATE(B28465,""en"",""fr"")"),"Il fait un énorme bond en l'air.")</f>
        <v>Il fait un énorme bond en l'air.</v>
      </c>
    </row>
    <row r="28466">
      <c r="A28466" s="4" t="s">
        <v>35852</v>
      </c>
      <c r="B28466" s="4" t="s">
        <v>35855</v>
      </c>
      <c r="C28466" s="5" t="str">
        <f>IFERROR(__xludf.DUMMYFUNCTION("GOOGLETRANSLATE(B28466,""en"",""fr"")"),"Il atterrit dans un sable géant.")</f>
        <v>Il atterrit dans un sable géant.</v>
      </c>
    </row>
    <row r="28467">
      <c r="A28467" s="4" t="s">
        <v>35856</v>
      </c>
      <c r="B28467" s="6" t="s">
        <v>35857</v>
      </c>
      <c r="C28467" s="5" t="str">
        <f>IFERROR(__xludf.DUMMYFUNCTION("GOOGLETRANSLATE(B28467,""en"",""fr"")"),"Un petit groupe de personnes est vu jouer un match de baseball sur un terrain et mène à plusieurs autres photos d'entre eux.")</f>
        <v>Un petit groupe de personnes est vu jouer un match de baseball sur un terrain et mène à plusieurs autres photos d'entre eux.</v>
      </c>
    </row>
    <row r="28468">
      <c r="A28468" s="4" t="s">
        <v>35856</v>
      </c>
      <c r="B28468" s="6" t="s">
        <v>35858</v>
      </c>
      <c r="C28468" s="5" t="str">
        <f>IFERROR(__xludf.DUMMYFUNCTION("GOOGLETRANSLATE(B28468,""en"",""fr"")"),"La vidéo continue avec plusieurs clips de personnes qui frappent et attrapent le ballon et se termine avec du texte à travers l'écran.")</f>
        <v>La vidéo continue avec plusieurs clips de personnes qui frappent et attrapent le ballon et se termine avec du texte à travers l'écran.</v>
      </c>
    </row>
    <row r="28469">
      <c r="A28469" s="4" t="s">
        <v>35859</v>
      </c>
      <c r="B28469" s="4" t="s">
        <v>35860</v>
      </c>
      <c r="C28469" s="5" t="str">
        <f>IFERROR(__xludf.DUMMYFUNCTION("GOOGLETRANSLATE(B28469,""en"",""fr"")"),"Un homme et une femme jouent à l'intérieur d'un terrain de racquetball.")</f>
        <v>Un homme et une femme jouent à l'intérieur d'un terrain de racquetball.</v>
      </c>
    </row>
    <row r="28470">
      <c r="A28470" s="4" t="s">
        <v>35859</v>
      </c>
      <c r="B28470" s="4" t="s">
        <v>35861</v>
      </c>
      <c r="C28470" s="5" t="str">
        <f>IFERROR(__xludf.DUMMYFUNCTION("GOOGLETRANSLATE(B28470,""en"",""fr"")"),"Ils utilisent des raquettes, des balles, des chaussures spéciales et des lunettes de protection.")</f>
        <v>Ils utilisent des raquettes, des balles, des chaussures spéciales et des lunettes de protection.</v>
      </c>
    </row>
    <row r="28471">
      <c r="A28471" s="4" t="s">
        <v>35859</v>
      </c>
      <c r="B28471" s="4" t="s">
        <v>35862</v>
      </c>
      <c r="C28471" s="5" t="str">
        <f>IFERROR(__xludf.DUMMYFUNCTION("GOOGLETRANSLATE(B28471,""en"",""fr"")"),"Ils montrent comment se tenir debout et frapper le ballon.")</f>
        <v>Ils montrent comment se tenir debout et frapper le ballon.</v>
      </c>
    </row>
    <row r="28472">
      <c r="A28472" s="4" t="s">
        <v>35863</v>
      </c>
      <c r="B28472" s="4" t="s">
        <v>35864</v>
      </c>
      <c r="C28472" s="5" t="str">
        <f>IFERROR(__xludf.DUMMYFUNCTION("GOOGLETRANSLATE(B28472,""en"",""fr"")"),"Un garçon se tient derrière un stand de musique jouant une flûte.")</f>
        <v>Un garçon se tient derrière un stand de musique jouant une flûte.</v>
      </c>
    </row>
    <row r="28473">
      <c r="A28473" s="4" t="s">
        <v>35863</v>
      </c>
      <c r="B28473" s="4" t="s">
        <v>35865</v>
      </c>
      <c r="C28473" s="5" t="str">
        <f>IFERROR(__xludf.DUMMYFUNCTION("GOOGLETRANSLATE(B28473,""en"",""fr"")"),"Il arrête de jouer et sourit avant de s'éloigner.")</f>
        <v>Il arrête de jouer et sourit avant de s'éloigner.</v>
      </c>
    </row>
    <row r="28474">
      <c r="A28474" s="4" t="s">
        <v>35866</v>
      </c>
      <c r="B28474" s="4" t="s">
        <v>35867</v>
      </c>
      <c r="C28474" s="5" t="str">
        <f>IFERROR(__xludf.DUMMYFUNCTION("GOOGLETRANSLATE(B28474,""en"",""fr"")"),"Une femme avec un chapeau sur les stands et les discussions.")</f>
        <v>Une femme avec un chapeau sur les stands et les discussions.</v>
      </c>
    </row>
    <row r="28475">
      <c r="A28475" s="4" t="s">
        <v>35866</v>
      </c>
      <c r="B28475" s="4" t="s">
        <v>35868</v>
      </c>
      <c r="C28475" s="5" t="str">
        <f>IFERROR(__xludf.DUMMYFUNCTION("GOOGLETRANSLATE(B28475,""en"",""fr"")"),"Elle joue avec ses cheveux et parle.")</f>
        <v>Elle joue avec ses cheveux et parle.</v>
      </c>
    </row>
    <row r="28476">
      <c r="A28476" s="4" t="s">
        <v>35866</v>
      </c>
      <c r="B28476" s="4" t="s">
        <v>35869</v>
      </c>
      <c r="C28476" s="5" t="str">
        <f>IFERROR(__xludf.DUMMYFUNCTION("GOOGLETRANSLATE(B28476,""en"",""fr"")"),"Des photos de ses cheveux sont insérées.")</f>
        <v>Des photos de ses cheveux sont insérées.</v>
      </c>
    </row>
    <row r="28477">
      <c r="A28477" s="4" t="s">
        <v>35870</v>
      </c>
      <c r="B28477" s="4" t="s">
        <v>35871</v>
      </c>
      <c r="C28477" s="5" t="str">
        <f>IFERROR(__xludf.DUMMYFUNCTION("GOOGLETRANSLATE(B28477,""en"",""fr"")"),"Une fille en bikini fait du cerceau sur un patio.")</f>
        <v>Une fille en bikini fait du cerceau sur un patio.</v>
      </c>
    </row>
    <row r="28478">
      <c r="A28478" s="4" t="s">
        <v>35870</v>
      </c>
      <c r="B28478" s="4" t="s">
        <v>35872</v>
      </c>
      <c r="C28478" s="5" t="str">
        <f>IFERROR(__xludf.DUMMYFUNCTION("GOOGLETRANSLATE(B28478,""en"",""fr"")"),"Elle tourne plusieurs fois et semble s'amuser beaucoup.")</f>
        <v>Elle tourne plusieurs fois et semble s'amuser beaucoup.</v>
      </c>
    </row>
    <row r="28479">
      <c r="A28479" s="4" t="s">
        <v>35870</v>
      </c>
      <c r="B28479" s="4" t="s">
        <v>35873</v>
      </c>
      <c r="C28479" s="5" t="str">
        <f>IFERROR(__xludf.DUMMYFUNCTION("GOOGLETRANSLATE(B28479,""en"",""fr"")"),"L'arrivée se déplace de haut en bas pour la garder dans le cadre.")</f>
        <v>L'arrivée se déplace de haut en bas pour la garder dans le cadre.</v>
      </c>
    </row>
    <row r="28480">
      <c r="A28480" s="4" t="s">
        <v>35870</v>
      </c>
      <c r="B28480" s="4" t="s">
        <v>35874</v>
      </c>
      <c r="C28480" s="5" t="str">
        <f>IFERROR(__xludf.DUMMYFUNCTION("GOOGLETRANSLATE(B28480,""en"",""fr"")"),"Il saute ensuite vers une autre fille ne montrant que sa moitié inférieure alors qu'un cerceau se tourne autour d'elle.")</f>
        <v>Il saute ensuite vers une autre fille ne montrant que sa moitié inférieure alors qu'un cerceau se tourne autour d'elle.</v>
      </c>
    </row>
    <row r="28481">
      <c r="A28481" s="4" t="s">
        <v>35870</v>
      </c>
      <c r="B28481" s="4" t="s">
        <v>35875</v>
      </c>
      <c r="C28481" s="5" t="str">
        <f>IFERROR(__xludf.DUMMYFUNCTION("GOOGLETRANSLATE(B28481,""en"",""fr"")"),"Une autre fille est montrée dansant à plusieurs reprises à l'intérieur d'une maison.")</f>
        <v>Une autre fille est montrée dansant à plusieurs reprises à l'intérieur d'une maison.</v>
      </c>
    </row>
    <row r="28482">
      <c r="A28482" s="4" t="s">
        <v>35876</v>
      </c>
      <c r="B28482" s="6" t="s">
        <v>35877</v>
      </c>
      <c r="C28482" s="5" t="str">
        <f>IFERROR(__xludf.DUMMYFUNCTION("GOOGLETRANSLATE(B28482,""en"",""fr"")"),"Un grand groupe de personnes est montrée sur plusieurs coups de feu en jouant à un jeu de sport tandis que des centaines de personnes regardent sur les côtés.")</f>
        <v>Un grand groupe de personnes est montrée sur plusieurs coups de feu en jouant à un jeu de sport tandis que des centaines de personnes regardent sur les côtés.</v>
      </c>
    </row>
    <row r="28483">
      <c r="A28483" s="4" t="s">
        <v>35876</v>
      </c>
      <c r="B28483" s="6" t="s">
        <v>35878</v>
      </c>
      <c r="C28483" s="5" t="str">
        <f>IFERROR(__xludf.DUMMYFUNCTION("GOOGLETRANSLATE(B28483,""en"",""fr"")"),"Les hommes continuent de courir sur le terrain tandis que les gros plans d'entraîneurs sont montrés et on marque un objectif.")</f>
        <v>Les hommes continuent de courir sur le terrain tandis que les gros plans d'entraîneurs sont montrés et on marque un objectif.</v>
      </c>
    </row>
    <row r="28484">
      <c r="A28484" s="4" t="s">
        <v>35876</v>
      </c>
      <c r="B28484" s="4" t="s">
        <v>35879</v>
      </c>
      <c r="C28484" s="5" t="str">
        <f>IFERROR(__xludf.DUMMYFUNCTION("GOOGLETRANSLATE(B28484,""en"",""fr"")"),"Un homme s'agenouille et les autres serrer la main de joueurs.")</f>
        <v>Un homme s'agenouille et les autres serrer la main de joueurs.</v>
      </c>
    </row>
    <row r="28485">
      <c r="A28485" s="4" t="s">
        <v>35880</v>
      </c>
      <c r="B28485" s="4" t="s">
        <v>35881</v>
      </c>
      <c r="C28485" s="5" t="str">
        <f>IFERROR(__xludf.DUMMYFUNCTION("GOOGLETRANSLATE(B28485,""en"",""fr"")"),"Une dame chef portant un chemisier à rayures parle dans une cuisine.")</f>
        <v>Une dame chef portant un chemisier à rayures parle dans une cuisine.</v>
      </c>
    </row>
    <row r="28486">
      <c r="A28486" s="4" t="s">
        <v>35880</v>
      </c>
      <c r="B28486" s="6" t="s">
        <v>35882</v>
      </c>
      <c r="C28486" s="5" t="str">
        <f>IFERROR(__xludf.DUMMYFUNCTION("GOOGLETRANSLATE(B28486,""en"",""fr"")"),"La Lady Chef décrit les ingrédients nécessaires et la préparation des pâtes crémeuses de fruits de mer.")</f>
        <v>La Lady Chef décrit les ingrédients nécessaires et la préparation des pâtes crémeuses de fruits de mer.</v>
      </c>
    </row>
    <row r="28487">
      <c r="A28487" s="4" t="s">
        <v>35880</v>
      </c>
      <c r="B28487" s="6" t="s">
        <v>35883</v>
      </c>
      <c r="C28487" s="5" t="str">
        <f>IFERROR(__xludf.DUMMYFUNCTION("GOOGLETRANSLATE(B28487,""en"",""fr"")"),"La Lady Chef montre un processus étape par étape pour préparer le plat crémeux de pâtes de fruits de mer et montre le produit final.")</f>
        <v>La Lady Chef montre un processus étape par étape pour préparer le plat crémeux de pâtes de fruits de mer et montre le produit final.</v>
      </c>
    </row>
    <row r="28488">
      <c r="A28488" s="4" t="s">
        <v>35884</v>
      </c>
      <c r="B28488" s="4" t="s">
        <v>35885</v>
      </c>
      <c r="C28488" s="5" t="str">
        <f>IFERROR(__xludf.DUMMYFUNCTION("GOOGLETRANSLATE(B28488,""en"",""fr"")"),"Un homme parle dans une écurie alors qu'il nourrit un cheval à côté de lui.")</f>
        <v>Un homme parle dans une écurie alors qu'il nourrit un cheval à côté de lui.</v>
      </c>
    </row>
    <row r="28489">
      <c r="A28489" s="4" t="s">
        <v>35884</v>
      </c>
      <c r="B28489" s="4" t="s">
        <v>35886</v>
      </c>
      <c r="C28489" s="5" t="str">
        <f>IFERROR(__xludf.DUMMYFUNCTION("GOOGLETRANSLATE(B28489,""en"",""fr"")"),"Il parle largement des avantages de l'équitation.")</f>
        <v>Il parle largement des avantages de l'équitation.</v>
      </c>
    </row>
    <row r="28490">
      <c r="A28490" s="4" t="s">
        <v>35884</v>
      </c>
      <c r="B28490" s="4" t="s">
        <v>35887</v>
      </c>
      <c r="C28490" s="5" t="str">
        <f>IFERROR(__xludf.DUMMYFUNCTION("GOOGLETRANSLATE(B28490,""en"",""fr"")"),"Il monte une selle sur le cheval.")</f>
        <v>Il monte une selle sur le cheval.</v>
      </c>
    </row>
    <row r="28491">
      <c r="A28491" s="4" t="s">
        <v>35884</v>
      </c>
      <c r="B28491" s="4" t="s">
        <v>35888</v>
      </c>
      <c r="C28491" s="5" t="str">
        <f>IFERROR(__xludf.DUMMYFUNCTION("GOOGLETRANSLATE(B28491,""en"",""fr"")"),"Il conduit ensuite le cheval, lui nourrissant une pomme alors qu'il continue de parler.")</f>
        <v>Il conduit ensuite le cheval, lui nourrissant une pomme alors qu'il continue de parler.</v>
      </c>
    </row>
    <row r="28492">
      <c r="A28492" s="4" t="s">
        <v>35889</v>
      </c>
      <c r="B28492" s="4" t="s">
        <v>35890</v>
      </c>
      <c r="C28492" s="5" t="str">
        <f>IFERROR(__xludf.DUMMYFUNCTION("GOOGLETRANSLATE(B28492,""en"",""fr"")"),"Un homme est de se tenir devant un grand groupe de personnes qui s'accrochent à une corde.")</f>
        <v>Un homme est de se tenir devant un grand groupe de personnes qui s'accrochent à une corde.</v>
      </c>
    </row>
    <row r="28493">
      <c r="A28493" s="4" t="s">
        <v>35889</v>
      </c>
      <c r="B28493" s="4" t="s">
        <v>35891</v>
      </c>
      <c r="C28493" s="5" t="str">
        <f>IFERROR(__xludf.DUMMYFUNCTION("GOOGLETRANSLATE(B28493,""en"",""fr"")"),"L'homme lève les bras et les deux équipes commencent un match de tir à remorque.")</f>
        <v>L'homme lève les bras et les deux équipes commencent un match de tir à remorque.</v>
      </c>
    </row>
    <row r="28494">
      <c r="A28494" s="4" t="s">
        <v>35889</v>
      </c>
      <c r="B28494" s="4" t="s">
        <v>35892</v>
      </c>
      <c r="C28494" s="5" t="str">
        <f>IFERROR(__xludf.DUMMYFUNCTION("GOOGLETRANSLATE(B28494,""en"",""fr"")"),"Un autre jeu de remorqueur se produit sur le côté et se termine avec les hommes debout.")</f>
        <v>Un autre jeu de remorqueur se produit sur le côté et se termine avec les hommes debout.</v>
      </c>
    </row>
    <row r="28495">
      <c r="A28495" s="4" t="s">
        <v>35893</v>
      </c>
      <c r="B28495" s="4" t="s">
        <v>35894</v>
      </c>
      <c r="C28495" s="5" t="str">
        <f>IFERROR(__xludf.DUMMYFUNCTION("GOOGLETRANSLATE(B28495,""en"",""fr"")"),"Nous voyons une fille assise dans un salon perçant avec une dame debout près d'elle.")</f>
        <v>Nous voyons une fille assise dans un salon perçant avec une dame debout près d'elle.</v>
      </c>
    </row>
    <row r="28496">
      <c r="A28496" s="4" t="s">
        <v>35893</v>
      </c>
      <c r="B28496" s="4" t="s">
        <v>35895</v>
      </c>
      <c r="C28496" s="5" t="str">
        <f>IFERROR(__xludf.DUMMYFUNCTION("GOOGLETRANSLATE(B28496,""en"",""fr"")"),"La dame met un clip sur la lèvre des filles et colle une grande aiguille à travers sa lèvre.")</f>
        <v>La dame met un clip sur la lèvre des filles et colle une grande aiguille à travers sa lèvre.</v>
      </c>
    </row>
    <row r="28497">
      <c r="A28497" s="4" t="s">
        <v>35893</v>
      </c>
      <c r="B28497" s="4" t="s">
        <v>35896</v>
      </c>
      <c r="C28497" s="5" t="str">
        <f>IFERROR(__xludf.DUMMYFUNCTION("GOOGLETRANSLATE(B28497,""en"",""fr"")"),"La dame glisse la boucle d'oreille à travers la lèvre des filles et met un désinfectant dessus.")</f>
        <v>La dame glisse la boucle d'oreille à travers la lèvre des filles et met un désinfectant dessus.</v>
      </c>
    </row>
    <row r="28498">
      <c r="A28498" s="4" t="s">
        <v>35897</v>
      </c>
      <c r="B28498" s="4" t="s">
        <v>35898</v>
      </c>
      <c r="C28498" s="5" t="str">
        <f>IFERROR(__xludf.DUMMYFUNCTION("GOOGLETRANSLATE(B28498,""en"",""fr"")"),"Une jeune fille est vue en parlant à la caméra et tient une bouteille à la caméra.")</f>
        <v>Une jeune fille est vue en parlant à la caméra et tient une bouteille à la caméra.</v>
      </c>
    </row>
    <row r="28499">
      <c r="A28499" s="4" t="s">
        <v>35897</v>
      </c>
      <c r="B28499" s="4" t="s">
        <v>35899</v>
      </c>
      <c r="C28499" s="5" t="str">
        <f>IFERROR(__xludf.DUMMYFUNCTION("GOOGLETRANSLATE(B28499,""en"",""fr"")"),"La fille commence alors à peindre ses ongles et à les montrer à la caméra.")</f>
        <v>La fille commence alors à peindre ses ongles et à les montrer à la caméra.</v>
      </c>
    </row>
    <row r="28500">
      <c r="A28500" s="4" t="s">
        <v>35897</v>
      </c>
      <c r="B28500" s="4" t="s">
        <v>35900</v>
      </c>
      <c r="C28500" s="5" t="str">
        <f>IFERROR(__xludf.DUMMYFUNCTION("GOOGLETRANSLATE(B28500,""en"",""fr"")"),"Elle continue de peindre ses ongles et de faire des visages amusants à la caméra.")</f>
        <v>Elle continue de peindre ses ongles et de faire des visages amusants à la caméra.</v>
      </c>
    </row>
    <row r="28501">
      <c r="A28501" s="4" t="s">
        <v>35901</v>
      </c>
      <c r="B28501" s="4" t="s">
        <v>35902</v>
      </c>
      <c r="C28501" s="5" t="str">
        <f>IFERROR(__xludf.DUMMYFUNCTION("GOOGLETRANSLATE(B28501,""en"",""fr"")"),"Une personne met des carpets sur le sol.")</f>
        <v>Une personne met des carpets sur le sol.</v>
      </c>
    </row>
    <row r="28502">
      <c r="A28502" s="4" t="s">
        <v>35901</v>
      </c>
      <c r="B28502" s="4" t="s">
        <v>35903</v>
      </c>
      <c r="C28502" s="5" t="str">
        <f>IFERROR(__xludf.DUMMYFUNCTION("GOOGLETRANSLATE(B28502,""en"",""fr"")"),"L'homme mesure les cales pour s'adapter aux coins.")</f>
        <v>L'homme mesure les cales pour s'adapter aux coins.</v>
      </c>
    </row>
    <row r="28503">
      <c r="A28503" s="4" t="s">
        <v>35901</v>
      </c>
      <c r="B28503" s="4" t="s">
        <v>35904</v>
      </c>
      <c r="C28503" s="5" t="str">
        <f>IFERROR(__xludf.DUMMYFUNCTION("GOOGLETRANSLATE(B28503,""en"",""fr"")"),"Après, la personne met des rayures à la frontière des cales, puis a mis le tapis.")</f>
        <v>Après, la personne met des rayures à la frontière des cales, puis a mis le tapis.</v>
      </c>
    </row>
    <row r="28504">
      <c r="A28504" s="4" t="s">
        <v>35905</v>
      </c>
      <c r="B28504" s="4" t="s">
        <v>35906</v>
      </c>
      <c r="C28504" s="5" t="str">
        <f>IFERROR(__xludf.DUMMYFUNCTION("GOOGLETRANSLATE(B28504,""en"",""fr"")"),"Un homme prend des vidéos de son ski et du snowboard sur une montagne.")</f>
        <v>Un homme prend des vidéos de son ski et du snowboard sur une montagne.</v>
      </c>
    </row>
    <row r="28505">
      <c r="A28505" s="4" t="s">
        <v>35905</v>
      </c>
      <c r="B28505" s="4" t="s">
        <v>35907</v>
      </c>
      <c r="C28505" s="5" t="str">
        <f>IFERROR(__xludf.DUMMYFUNCTION("GOOGLETRANSLATE(B28505,""en"",""fr"")"),"Il passe également par une forêt.")</f>
        <v>Il passe également par une forêt.</v>
      </c>
    </row>
    <row r="28506">
      <c r="A28506" s="4" t="s">
        <v>35908</v>
      </c>
      <c r="B28506" s="4" t="s">
        <v>35909</v>
      </c>
      <c r="C28506" s="5" t="str">
        <f>IFERROR(__xludf.DUMMYFUNCTION("GOOGLETRANSLATE(B28506,""en"",""fr"")"),"Deux nageurs se tiennent en avant sur une plate-forme de plongée haute.")</f>
        <v>Deux nageurs se tiennent en avant sur une plate-forme de plongée haute.</v>
      </c>
    </row>
    <row r="28507">
      <c r="A28507" s="4" t="s">
        <v>35908</v>
      </c>
      <c r="B28507" s="4" t="s">
        <v>35910</v>
      </c>
      <c r="C28507" s="5" t="str">
        <f>IFERROR(__xludf.DUMMYFUNCTION("GOOGLETRANSLATE(B28507,""en"",""fr"")"),"Les plongeurs plongent de la plate-forme dans l'eau.")</f>
        <v>Les plongeurs plongent de la plate-forme dans l'eau.</v>
      </c>
    </row>
    <row r="28508">
      <c r="A28508" s="4" t="s">
        <v>35911</v>
      </c>
      <c r="B28508" s="6" t="s">
        <v>35912</v>
      </c>
      <c r="C28508" s="5" t="str">
        <f>IFERROR(__xludf.DUMMYFUNCTION("GOOGLETRANSLATE(B28508,""en"",""fr"")"),"Deux hommes se présentent au début de la vidéo et disent aux téléspectateurs qu'ils parleront de tatouages.")</f>
        <v>Deux hommes se présentent au début de la vidéo et disent aux téléspectateurs qu'ils parleront de tatouages.</v>
      </c>
    </row>
    <row r="28509">
      <c r="A28509" s="4" t="s">
        <v>35911</v>
      </c>
      <c r="B28509" s="4" t="s">
        <v>35913</v>
      </c>
      <c r="C28509" s="5" t="str">
        <f>IFERROR(__xludf.DUMMYFUNCTION("GOOGLETRANSLATE(B28509,""en"",""fr"")"),"L'un des gars vient à l'écran et donne quelques conseils sur la façon de se préparer à tatouer.")</f>
        <v>L'un des gars vient à l'écran et donne quelques conseils sur la façon de se préparer à tatouer.</v>
      </c>
    </row>
    <row r="28510">
      <c r="A28510" s="4" t="s">
        <v>35911</v>
      </c>
      <c r="B28510" s="4" t="s">
        <v>35914</v>
      </c>
      <c r="C28510" s="5" t="str">
        <f>IFERROR(__xludf.DUMMYFUNCTION("GOOGLETRANSLATE(B28510,""en"",""fr"")"),"Un gros plan d'un homme est montré en tatouage à quelqu'un.")</f>
        <v>Un gros plan d'un homme est montré en tatouage à quelqu'un.</v>
      </c>
    </row>
    <row r="28511">
      <c r="A28511" s="4" t="s">
        <v>35911</v>
      </c>
      <c r="B28511" s="4" t="s">
        <v>35915</v>
      </c>
      <c r="C28511" s="5" t="str">
        <f>IFERROR(__xludf.DUMMYFUNCTION("GOOGLETRANSLATE(B28511,""en"",""fr"")"),"Plusieurs clients sont affichés de près à l'écran pendant qu'ils sont en cours de tatouage.")</f>
        <v>Plusieurs clients sont affichés de près à l'écran pendant qu'ils sont en cours de tatouage.</v>
      </c>
    </row>
    <row r="28512">
      <c r="A28512" s="4" t="s">
        <v>35916</v>
      </c>
      <c r="B28512" s="6" t="s">
        <v>35917</v>
      </c>
      <c r="C28512" s="5" t="str">
        <f>IFERROR(__xludf.DUMMYFUNCTION("GOOGLETRANSLATE(B28512,""en"",""fr"")"),"On voit une femme poussant une rondelle le long de la glace, suivie de gens brossant de la glace avec des balais devant la rondelle.")</f>
        <v>On voit une femme poussant une rondelle le long de la glace, suivie de gens brossant de la glace avec des balais devant la rondelle.</v>
      </c>
    </row>
    <row r="28513">
      <c r="A28513" s="4" t="s">
        <v>35916</v>
      </c>
      <c r="B28513" s="6" t="s">
        <v>35918</v>
      </c>
      <c r="C28513" s="5" t="str">
        <f>IFERROR(__xludf.DUMMYFUNCTION("GOOGLETRANSLATE(B28513,""en"",""fr"")"),"Ils brossent et terminent continuellement la rondelle en cercle et se termine avec la femme parlant aux autres.")</f>
        <v>Ils brossent et terminent continuellement la rondelle en cercle et se termine avec la femme parlant aux autres.</v>
      </c>
    </row>
    <row r="28514">
      <c r="A28514" s="4" t="s">
        <v>35919</v>
      </c>
      <c r="B28514" s="6" t="s">
        <v>35920</v>
      </c>
      <c r="C28514" s="5" t="str">
        <f>IFERROR(__xludf.DUMMYFUNCTION("GOOGLETRANSLATE(B28514,""en"",""fr"")"),"Un homme salue d'abord puis fait du karaté dans une pièce tout en tournant sur une jambe, ensuite il fait du salut.")</f>
        <v>Un homme salue d'abord puis fait du karaté dans une pièce tout en tournant sur une jambe, ensuite il fait du salut.</v>
      </c>
    </row>
    <row r="28515">
      <c r="A28515" s="4" t="s">
        <v>35919</v>
      </c>
      <c r="B28515" s="4" t="s">
        <v>35921</v>
      </c>
      <c r="C28515" s="5" t="str">
        <f>IFERROR(__xludf.DUMMYFUNCTION("GOOGLETRANSLATE(B28515,""en"",""fr"")"),"Un mâle fait le signal de la croix en position accroupie, puis il tourne son corps.")</f>
        <v>Un mâle fait le signal de la croix en position accroupie, puis il tourne son corps.</v>
      </c>
    </row>
    <row r="28516">
      <c r="A28516" s="4" t="s">
        <v>35919</v>
      </c>
      <c r="B28516" s="4" t="s">
        <v>35922</v>
      </c>
      <c r="C28516" s="5" t="str">
        <f>IFERROR(__xludf.DUMMYFUNCTION("GOOGLETRANSLATE(B28516,""en"",""fr"")"),"Ensuite, l'homme et l'homme se battent en sautant et en coupant.")</f>
        <v>Ensuite, l'homme et l'homme se battent en sautant et en coupant.</v>
      </c>
    </row>
    <row r="28517">
      <c r="A28517" s="4" t="s">
        <v>35919</v>
      </c>
      <c r="B28517" s="6" t="s">
        <v>35923</v>
      </c>
      <c r="C28517" s="5" t="str">
        <f>IFERROR(__xludf.DUMMYFUNCTION("GOOGLETRANSLATE(B28517,""en"",""fr"")"),"Après, le mâle donne un coup de pied sur le visage de l'homme avec ses pieds et fait un tour avec une main sur le sol pendant que l'homme atterrit sur un tapis mousseux.")</f>
        <v>Après, le mâle donne un coup de pied sur le visage de l'homme avec ses pieds et fait un tour avec une main sur le sol pendant que l'homme atterrit sur un tapis mousseux.</v>
      </c>
    </row>
    <row r="28518">
      <c r="A28518" s="4" t="s">
        <v>35924</v>
      </c>
      <c r="B28518" s="4" t="s">
        <v>35925</v>
      </c>
      <c r="C28518" s="5" t="str">
        <f>IFERROR(__xludf.DUMMYFUNCTION("GOOGLETRANSLATE(B28518,""en"",""fr"")"),"Un gros plan d'un tapis est montré entouré de rondelles et un bâton assis au milieu.")</f>
        <v>Un gros plan d'un tapis est montré entouré de rondelles et un bâton assis au milieu.</v>
      </c>
    </row>
    <row r="28519">
      <c r="A28519" s="4" t="s">
        <v>35924</v>
      </c>
      <c r="B28519" s="6" t="s">
        <v>35926</v>
      </c>
      <c r="C28519" s="5" t="str">
        <f>IFERROR(__xludf.DUMMYFUNCTION("GOOGLETRANSLATE(B28519,""en"",""fr"")"),"La caméra se met à des gens qui poussent la rondelle le long de la glace, suivie d'une personne poussant la rondelle au milieu.")</f>
        <v>La caméra se met à des gens qui poussent la rondelle le long de la glace, suivie d'une personne poussant la rondelle au milieu.</v>
      </c>
    </row>
    <row r="28520">
      <c r="A28520" s="4" t="s">
        <v>35927</v>
      </c>
      <c r="B28520" s="4" t="s">
        <v>35928</v>
      </c>
      <c r="C28520" s="5" t="str">
        <f>IFERROR(__xludf.DUMMYFUNCTION("GOOGLETRANSLATE(B28520,""en"",""fr"")"),"Un petit garçon dans son pyjamma se tient dans le miroir en se regardant se brosser les dents.")</f>
        <v>Un petit garçon dans son pyjamma se tient dans le miroir en se regardant se brosser les dents.</v>
      </c>
    </row>
    <row r="28521">
      <c r="A28521" s="4" t="s">
        <v>35927</v>
      </c>
      <c r="B28521" s="4" t="s">
        <v>35929</v>
      </c>
      <c r="C28521" s="5" t="str">
        <f>IFERROR(__xludf.DUMMYFUNCTION("GOOGLETRANSLATE(B28521,""en"",""fr"")"),"Il avance un peu et crache un dentifrice.")</f>
        <v>Il avance un peu et crache un dentifrice.</v>
      </c>
    </row>
    <row r="28522">
      <c r="A28522" s="4" t="s">
        <v>35927</v>
      </c>
      <c r="B28522" s="6" t="s">
        <v>35930</v>
      </c>
      <c r="C28522" s="5" t="str">
        <f>IFERROR(__xludf.DUMMYFUNCTION("GOOGLETRANSLATE(B28522,""en"",""fr"")"),"Puis continue de se brosser, il pose le pinceau dent et attrape un peu une tasse d'eau et le crache.")</f>
        <v>Puis continue de se brosser, il pose le pinceau dent et attrape un peu une tasse d'eau et le crache.</v>
      </c>
    </row>
    <row r="28523">
      <c r="A28523" s="4" t="s">
        <v>35927</v>
      </c>
      <c r="B28523" s="6" t="s">
        <v>35931</v>
      </c>
      <c r="C28523" s="5" t="str">
        <f>IFERROR(__xludf.DUMMYFUNCTION("GOOGLETRANSLATE(B28523,""en"",""fr"")"),"Il trouve cela très amusant, et le fait encore et encore jusqu'à ce que la tasse d'eau soit vide, puis il descend de son tabouret et nettoie son visage avec une serviette.")</f>
        <v>Il trouve cela très amusant, et le fait encore et encore jusqu'à ce que la tasse d'eau soit vide, puis il descend de son tabouret et nettoie son visage avec une serviette.</v>
      </c>
    </row>
    <row r="28524">
      <c r="A28524" s="4" t="s">
        <v>35932</v>
      </c>
      <c r="B28524" s="4" t="s">
        <v>35933</v>
      </c>
      <c r="C28524" s="5" t="str">
        <f>IFERROR(__xludf.DUMMYFUNCTION("GOOGLETRANSLATE(B28524,""en"",""fr"")"),"Un texte apparaît à l'écran posant une question sur un sujet dans la sécurité de la plongée sous-marine.")</f>
        <v>Un texte apparaît à l'écran posant une question sur un sujet dans la sécurité de la plongée sous-marine.</v>
      </c>
    </row>
    <row r="28525">
      <c r="A28525" s="4" t="s">
        <v>35932</v>
      </c>
      <c r="B28525" s="6" t="s">
        <v>35934</v>
      </c>
      <c r="C28525" s="5" t="str">
        <f>IFERROR(__xludf.DUMMYFUNCTION("GOOGLETRANSLATE(B28525,""en"",""fr"")"),"La scène change pour montrer beaucoup de réservoirs d'air de plongée et un peu plus de texte expliquant plus sur la question.")</f>
        <v>La scène change pour montrer beaucoup de réservoirs d'air de plongée et un peu plus de texte expliquant plus sur la question.</v>
      </c>
    </row>
    <row r="28526">
      <c r="A28526" s="4" t="s">
        <v>35932</v>
      </c>
      <c r="B28526" s="6" t="s">
        <v>35935</v>
      </c>
      <c r="C28526" s="5" t="str">
        <f>IFERROR(__xludf.DUMMYFUNCTION("GOOGLETRANSLATE(B28526,""en"",""fr"")"),"Un homme est de plongée sous-marine sous l'eau tout en tenant son réservoir d'air dans ses mains et le texte continue d'expliquer.")</f>
        <v>Un homme est de plongée sous-marine sous l'eau tout en tenant son réservoir d'air dans ses mains et le texte continue d'expliquer.</v>
      </c>
    </row>
    <row r="28527">
      <c r="A28527" s="4" t="s">
        <v>35932</v>
      </c>
      <c r="B28527" s="4" t="s">
        <v>35936</v>
      </c>
      <c r="C28527" s="5" t="str">
        <f>IFERROR(__xludf.DUMMYFUNCTION("GOOGLETRANSLATE(B28527,""en"",""fr"")"),"Le réservoir d'air est vu flottant seul sur le lit de mer.")</f>
        <v>Le réservoir d'air est vu flottant seul sur le lit de mer.</v>
      </c>
    </row>
    <row r="28528">
      <c r="A28528" s="4" t="s">
        <v>35932</v>
      </c>
      <c r="B28528" s="4" t="s">
        <v>35937</v>
      </c>
      <c r="C28528" s="5" t="str">
        <f>IFERROR(__xludf.DUMMYFUNCTION("GOOGLETRANSLATE(B28528,""en"",""fr"")"),"Un autre homme est la plongée sous-marine et il lâche son réservoir pour démontrer la flottabilité.")</f>
        <v>Un autre homme est la plongée sous-marine et il lâche son réservoir pour démontrer la flottabilité.</v>
      </c>
    </row>
    <row r="28529">
      <c r="A28529" s="4" t="s">
        <v>35932</v>
      </c>
      <c r="B28529" s="4" t="s">
        <v>35938</v>
      </c>
      <c r="C28529" s="5" t="str">
        <f>IFERROR(__xludf.DUMMYFUNCTION("GOOGLETRANSLATE(B28529,""en"",""fr"")"),"La scène revient au groupe de réservoirs d'air avec plus de texte expliquant.")</f>
        <v>La scène revient au groupe de réservoirs d'air avec plus de texte expliquant.</v>
      </c>
    </row>
    <row r="28530">
      <c r="A28530" s="4" t="s">
        <v>35932</v>
      </c>
      <c r="B28530" s="4" t="s">
        <v>35939</v>
      </c>
      <c r="C28530" s="5" t="str">
        <f>IFERROR(__xludf.DUMMYFUNCTION("GOOGLETRANSLATE(B28530,""en"",""fr"")"),"Une autre scène est représentée avec 2 réservoirs et un sac à côté de quelques arbres.")</f>
        <v>Une autre scène est représentée avec 2 réservoirs et un sac à côté de quelques arbres.</v>
      </c>
    </row>
    <row r="28531">
      <c r="A28531" s="4" t="s">
        <v>35940</v>
      </c>
      <c r="B28531" s="4" t="s">
        <v>35941</v>
      </c>
      <c r="C28531" s="5" t="str">
        <f>IFERROR(__xludf.DUMMYFUNCTION("GOOGLETRANSLATE(B28531,""en"",""fr"")"),"Un homme tient un couteau de poche alors qu'il était assis sur des rochers dans le désert.")</f>
        <v>Un homme tient un couteau de poche alors qu'il était assis sur des rochers dans le désert.</v>
      </c>
    </row>
    <row r="28532">
      <c r="A28532" s="4" t="s">
        <v>35940</v>
      </c>
      <c r="B28532" s="4" t="s">
        <v>35942</v>
      </c>
      <c r="C28532" s="5" t="str">
        <f>IFERROR(__xludf.DUMMYFUNCTION("GOOGLETRANSLATE(B28532,""en"",""fr"")"),"Puis il prend une petite pierre de la rivière qui coule et la brissa sur une autre pierre.")</f>
        <v>Puis il prend une petite pierre de la rivière qui coule et la brissa sur une autre pierre.</v>
      </c>
    </row>
    <row r="28533">
      <c r="A28533" s="4" t="s">
        <v>35940</v>
      </c>
      <c r="B28533" s="4" t="s">
        <v>35943</v>
      </c>
      <c r="C28533" s="5" t="str">
        <f>IFERROR(__xludf.DUMMYFUNCTION("GOOGLETRANSLATE(B28533,""en"",""fr"")"),"Il commence à écraser la petite pierre en petits morceaux.")</f>
        <v>Il commence à écraser la petite pierre en petits morceaux.</v>
      </c>
    </row>
    <row r="28534">
      <c r="A28534" s="4" t="s">
        <v>35940</v>
      </c>
      <c r="B28534" s="4" t="s">
        <v>35944</v>
      </c>
      <c r="C28534" s="5" t="str">
        <f>IFERROR(__xludf.DUMMYFUNCTION("GOOGLETRANSLATE(B28534,""en"",""fr"")"),"Il grince fort de rendre les pièces plus petites.")</f>
        <v>Il grince fort de rendre les pièces plus petites.</v>
      </c>
    </row>
    <row r="28535">
      <c r="A28535" s="4" t="s">
        <v>35940</v>
      </c>
      <c r="B28535" s="4" t="s">
        <v>35945</v>
      </c>
      <c r="C28535" s="5" t="str">
        <f>IFERROR(__xludf.DUMMYFUNCTION("GOOGLETRANSLATE(B28535,""en"",""fr"")"),"Puis il prend un morceau d'écorce et frotte les morceaux de pierre puissants dessus.")</f>
        <v>Puis il prend un morceau d'écorce et frotte les morceaux de pierre puissants dessus.</v>
      </c>
    </row>
    <row r="28536">
      <c r="A28536" s="4" t="s">
        <v>35940</v>
      </c>
      <c r="B28536" s="4" t="s">
        <v>35946</v>
      </c>
      <c r="C28536" s="5" t="str">
        <f>IFERROR(__xludf.DUMMYFUNCTION("GOOGLETRANSLATE(B28536,""en"",""fr"")"),"Les particules de pierre collent au morceau de bois humide.")</f>
        <v>Les particules de pierre collent au morceau de bois humide.</v>
      </c>
    </row>
    <row r="28537">
      <c r="A28537" s="4" t="s">
        <v>35940</v>
      </c>
      <c r="B28537" s="4" t="s">
        <v>35947</v>
      </c>
      <c r="C28537" s="5" t="str">
        <f>IFERROR(__xludf.DUMMYFUNCTION("GOOGLETRANSLATE(B28537,""en"",""fr"")"),"Il prend ensuite le couteau et l'a aiguisé contre le morceau de bois.")</f>
        <v>Il prend ensuite le couteau et l'a aiguisé contre le morceau de bois.</v>
      </c>
    </row>
    <row r="28538">
      <c r="A28538" s="4" t="s">
        <v>35940</v>
      </c>
      <c r="B28538" s="4" t="s">
        <v>35948</v>
      </c>
      <c r="C28538" s="5" t="str">
        <f>IFERROR(__xludf.DUMMYFUNCTION("GOOGLETRANSLATE(B28538,""en"",""fr"")"),"Il remarque ensuite un peu de grenouille toxique noire et verte assise à côté de lui.")</f>
        <v>Il remarque ensuite un peu de grenouille toxique noire et verte assise à côté de lui.</v>
      </c>
    </row>
    <row r="28539">
      <c r="A28539" s="4" t="s">
        <v>35940</v>
      </c>
      <c r="B28539" s="4" t="s">
        <v>35949</v>
      </c>
      <c r="C28539" s="5" t="str">
        <f>IFERROR(__xludf.DUMMYFUNCTION("GOOGLETRANSLATE(B28539,""en"",""fr"")"),"La grenouille s'échappe alors et saute.")</f>
        <v>La grenouille s'échappe alors et saute.</v>
      </c>
    </row>
    <row r="28540">
      <c r="A28540" s="4" t="s">
        <v>35940</v>
      </c>
      <c r="B28540" s="4" t="s">
        <v>35950</v>
      </c>
      <c r="C28540" s="5" t="str">
        <f>IFERROR(__xludf.DUMMYFUNCTION("GOOGLETRANSLATE(B28540,""en"",""fr"")"),"Il explique comment la grenouille sécrète un liquide toxique qui peut être extrêmement nocif.")</f>
        <v>Il explique comment la grenouille sécrète un liquide toxique qui peut être extrêmement nocif.</v>
      </c>
    </row>
    <row r="28541">
      <c r="A28541" s="4" t="s">
        <v>35951</v>
      </c>
      <c r="B28541" s="4" t="s">
        <v>35952</v>
      </c>
      <c r="C28541" s="5" t="str">
        <f>IFERROR(__xludf.DUMMYFUNCTION("GOOGLETRANSLATE(B28541,""en"",""fr"")"),"Nous voyons un écran d'ouverture rose.")</f>
        <v>Nous voyons un écran d'ouverture rose.</v>
      </c>
    </row>
    <row r="28542">
      <c r="A28542" s="4" t="s">
        <v>35951</v>
      </c>
      <c r="B28542" s="4" t="s">
        <v>35953</v>
      </c>
      <c r="C28542" s="5" t="str">
        <f>IFERROR(__xludf.DUMMYFUNCTION("GOOGLETRANSLATE(B28542,""en"",""fr"")"),"Nous voyons une dame brosser deux chevaux miniatures.")</f>
        <v>Nous voyons une dame brosser deux chevaux miniatures.</v>
      </c>
    </row>
    <row r="28543">
      <c r="A28543" s="4" t="s">
        <v>35951</v>
      </c>
      <c r="B28543" s="4" t="s">
        <v>35954</v>
      </c>
      <c r="C28543" s="5" t="str">
        <f>IFERROR(__xludf.DUMMYFUNCTION("GOOGLETRANSLATE(B28543,""en"",""fr"")"),"La dame nettoie les sabots de chevaux bruns.")</f>
        <v>La dame nettoie les sabots de chevaux bruns.</v>
      </c>
    </row>
    <row r="28544">
      <c r="A28544" s="4" t="s">
        <v>35951</v>
      </c>
      <c r="B28544" s="4" t="s">
        <v>35955</v>
      </c>
      <c r="C28544" s="5" t="str">
        <f>IFERROR(__xludf.DUMMYFUNCTION("GOOGLETRANSLATE(B28544,""en"",""fr"")"),"La dame nettoie les sabots sur le cheval blanc et beige.")</f>
        <v>La dame nettoie les sabots sur le cheval blanc et beige.</v>
      </c>
    </row>
    <row r="28545">
      <c r="A28545" s="4" t="s">
        <v>35951</v>
      </c>
      <c r="B28545" s="4" t="s">
        <v>35956</v>
      </c>
      <c r="C28545" s="5" t="str">
        <f>IFERROR(__xludf.DUMMYFUNCTION("GOOGLETRANSLATE(B28545,""en"",""fr"")"),"La dame brosse la crinière sur les deux chevaux.")</f>
        <v>La dame brosse la crinière sur les deux chevaux.</v>
      </c>
    </row>
    <row r="28546">
      <c r="A28546" s="4" t="s">
        <v>35951</v>
      </c>
      <c r="B28546" s="4" t="s">
        <v>35957</v>
      </c>
      <c r="C28546" s="5" t="str">
        <f>IFERROR(__xludf.DUMMYFUNCTION("GOOGLETRANSLATE(B28546,""en"",""fr"")"),"La dame pose ses fournitures.")</f>
        <v>La dame pose ses fournitures.</v>
      </c>
    </row>
    <row r="28547">
      <c r="A28547" s="4" t="s">
        <v>35951</v>
      </c>
      <c r="B28547" s="4" t="s">
        <v>777</v>
      </c>
      <c r="C28547" s="5" t="str">
        <f>IFERROR(__xludf.DUMMYFUNCTION("GOOGLETRANSLATE(B28547,""en"",""fr"")"),"Nous voyons l'écran du titre de fin.")</f>
        <v>Nous voyons l'écran du titre de fin.</v>
      </c>
    </row>
    <row r="28548">
      <c r="A28548" s="4" t="s">
        <v>35951</v>
      </c>
      <c r="B28548" s="4" t="s">
        <v>35958</v>
      </c>
      <c r="C28548" s="5" t="str">
        <f>IFERROR(__xludf.DUMMYFUNCTION("GOOGLETRANSLATE(B28548,""en"",""fr"")"),"Nous voyons des images fixes en noir et blanc des chevaux.")</f>
        <v>Nous voyons des images fixes en noir et blanc des chevaux.</v>
      </c>
    </row>
    <row r="28549">
      <c r="A28549" s="4" t="s">
        <v>35951</v>
      </c>
      <c r="B28549" s="4" t="s">
        <v>35959</v>
      </c>
      <c r="C28549" s="5" t="str">
        <f>IFERROR(__xludf.DUMMYFUNCTION("GOOGLETRANSLATE(B28549,""en"",""fr"")"),"Nous voyons la dame brosser le cheval brun.")</f>
        <v>Nous voyons la dame brosser le cheval brun.</v>
      </c>
    </row>
    <row r="28550">
      <c r="A28550" s="4" t="s">
        <v>35960</v>
      </c>
      <c r="B28550" s="4" t="s">
        <v>35961</v>
      </c>
      <c r="C28550" s="5" t="str">
        <f>IFERROR(__xludf.DUMMYFUNCTION("GOOGLETRANSLATE(B28550,""en"",""fr"")"),"Un tas d'enfants roulent dans des tampants.")</f>
        <v>Un tas d'enfants roulent dans des tampants.</v>
      </c>
    </row>
    <row r="28551">
      <c r="A28551" s="4" t="s">
        <v>35960</v>
      </c>
      <c r="B28551" s="4" t="s">
        <v>35962</v>
      </c>
      <c r="C28551" s="5" t="str">
        <f>IFERROR(__xludf.DUMMYFUNCTION("GOOGLETRANSLATE(B28551,""en"",""fr"")"),"Ils font des allers-retours sur la piste.")</f>
        <v>Ils font des allers-retours sur la piste.</v>
      </c>
    </row>
    <row r="28552">
      <c r="A28552" s="4" t="s">
        <v>35960</v>
      </c>
      <c r="B28552" s="4" t="s">
        <v>35963</v>
      </c>
      <c r="C28552" s="5" t="str">
        <f>IFERROR(__xludf.DUMMYFUNCTION("GOOGLETRANSLATE(B28552,""en"",""fr"")"),"Ils se heurtent, souriant et riant.")</f>
        <v>Ils se heurtent, souriant et riant.</v>
      </c>
    </row>
    <row r="28553">
      <c r="A28553" s="4" t="s">
        <v>35964</v>
      </c>
      <c r="B28553" s="4" t="s">
        <v>35965</v>
      </c>
      <c r="C28553" s="5" t="str">
        <f>IFERROR(__xludf.DUMMYFUNCTION("GOOGLETRANSLATE(B28553,""en"",""fr"")"),"Les montons enneigées sont représentés et les gens font du snowboard descendant la colline en tenant des poteaux.")</f>
        <v>Les montons enneigées sont représentés et les gens font du snowboard descendant la colline en tenant des poteaux.</v>
      </c>
    </row>
    <row r="28554">
      <c r="A28554" s="4" t="s">
        <v>35964</v>
      </c>
      <c r="B28554" s="4" t="s">
        <v>35966</v>
      </c>
      <c r="C28554" s="5" t="str">
        <f>IFERROR(__xludf.DUMMYFUNCTION("GOOGLETRANSLATE(B28554,""en"",""fr"")"),"Une maison de neige avec des enfants qui joue est montrée.")</f>
        <v>Une maison de neige avec des enfants qui joue est montrée.</v>
      </c>
    </row>
    <row r="28555">
      <c r="A28555" s="4" t="s">
        <v>35964</v>
      </c>
      <c r="B28555" s="4" t="s">
        <v>35967</v>
      </c>
      <c r="C28555" s="5" t="str">
        <f>IFERROR(__xludf.DUMMYFUNCTION("GOOGLETRANSLATE(B28555,""en"",""fr"")"),"Ma joue avec un avion jouet.")</f>
        <v>Ma joue avec un avion jouet.</v>
      </c>
    </row>
    <row r="28556">
      <c r="A28556" s="4" t="s">
        <v>35964</v>
      </c>
      <c r="B28556" s="6" t="s">
        <v>35968</v>
      </c>
      <c r="C28556" s="5" t="str">
        <f>IFERROR(__xludf.DUMMYFUNCTION("GOOGLETRANSLATE(B28556,""en"",""fr"")"),"Les gens qui font du snowboard descendent sur la montagne avec des Lighs rouges et des feux d'artifice sont dans le ciel.")</f>
        <v>Les gens qui font du snowboard descendent sur la montagne avec des Lighs rouges et des feux d'artifice sont dans le ciel.</v>
      </c>
    </row>
    <row r="28557">
      <c r="A28557" s="4" t="s">
        <v>35969</v>
      </c>
      <c r="B28557" s="4" t="s">
        <v>1251</v>
      </c>
      <c r="C28557" s="5" t="str">
        <f>IFERROR(__xludf.DUMMYFUNCTION("GOOGLETRANSLATE(B28557,""en"",""fr"")"),"Les crédits du clip sont affichés.")</f>
        <v>Les crédits du clip sont affichés.</v>
      </c>
    </row>
    <row r="28558">
      <c r="A28558" s="4" t="s">
        <v>35969</v>
      </c>
      <c r="B28558" s="4" t="s">
        <v>35970</v>
      </c>
      <c r="C28558" s="5" t="str">
        <f>IFERROR(__xludf.DUMMYFUNCTION("GOOGLETRANSLATE(B28558,""en"",""fr"")"),"Les tailles variables du produit sont affichées.")</f>
        <v>Les tailles variables du produit sont affichées.</v>
      </c>
    </row>
    <row r="28559">
      <c r="A28559" s="4" t="s">
        <v>35969</v>
      </c>
      <c r="B28559" s="6" t="s">
        <v>35971</v>
      </c>
      <c r="C28559" s="5" t="str">
        <f>IFERROR(__xludf.DUMMYFUNCTION("GOOGLETRANSLATE(B28559,""en"",""fr"")"),"Le gars verse un produit dans un récipient et utilise une brosse pour mettre le liquide à la surface d'un objet métallique.")</f>
        <v>Le gars verse un produit dans un récipient et utilise une brosse pour mettre le liquide à la surface d'un objet métallique.</v>
      </c>
    </row>
    <row r="28560">
      <c r="A28560" s="4" t="s">
        <v>35969</v>
      </c>
      <c r="B28560" s="4" t="s">
        <v>35972</v>
      </c>
      <c r="C28560" s="5" t="str">
        <f>IFERROR(__xludf.DUMMYFUNCTION("GOOGLETRANSLATE(B28560,""en"",""fr"")"),"Le gars met un chiffon blanc sur le bord.")</f>
        <v>Le gars met un chiffon blanc sur le bord.</v>
      </c>
    </row>
    <row r="28561">
      <c r="A28561" s="4" t="s">
        <v>35969</v>
      </c>
      <c r="B28561" s="4" t="s">
        <v>35973</v>
      </c>
      <c r="C28561" s="5" t="str">
        <f>IFERROR(__xludf.DUMMYFUNCTION("GOOGLETRANSLATE(B28561,""en"",""fr"")"),"Le gars passe l'objet en métal à plusieurs reprises sur le tissu blanc.")</f>
        <v>Le gars passe l'objet en métal à plusieurs reprises sur le tissu blanc.</v>
      </c>
    </row>
    <row r="28562">
      <c r="A28562" s="4" t="s">
        <v>35969</v>
      </c>
      <c r="B28562" s="4" t="s">
        <v>573</v>
      </c>
      <c r="C28562" s="5" t="str">
        <f>IFERROR(__xludf.DUMMYFUNCTION("GOOGLETRANSLATE(B28562,""en"",""fr"")"),"Les crédits de la vidéo sont affichés.")</f>
        <v>Les crédits de la vidéo sont affichés.</v>
      </c>
    </row>
    <row r="28563">
      <c r="A28563" s="4" t="s">
        <v>35974</v>
      </c>
      <c r="B28563" s="4" t="s">
        <v>35975</v>
      </c>
      <c r="C28563" s="5" t="str">
        <f>IFERROR(__xludf.DUMMYFUNCTION("GOOGLETRANSLATE(B28563,""en"",""fr"")"),"Une peinture est montrée suivie de plusieurs images d'outils et de fournitures de peinture.")</f>
        <v>Une peinture est montrée suivie de plusieurs images d'outils et de fournitures de peinture.</v>
      </c>
    </row>
    <row r="28564">
      <c r="A28564" s="4" t="s">
        <v>35974</v>
      </c>
      <c r="B28564" s="6" t="s">
        <v>35976</v>
      </c>
      <c r="C28564" s="5" t="str">
        <f>IFERROR(__xludf.DUMMYFUNCTION("GOOGLETRANSLATE(B28564,""en"",""fr"")"),"La main d'une personne commence alors à mettre des marques sur la peinture et à tremper son pinceau en continu dans la peinture.")</f>
        <v>La main d'une personne commence alors à mettre des marques sur la peinture et à tremper son pinceau en continu dans la peinture.</v>
      </c>
    </row>
    <row r="28565">
      <c r="A28565" s="4" t="s">
        <v>35974</v>
      </c>
      <c r="B28565" s="4" t="s">
        <v>35977</v>
      </c>
      <c r="C28565" s="5" t="str">
        <f>IFERROR(__xludf.DUMMYFUNCTION("GOOGLETRANSLATE(B28565,""en"",""fr"")"),"L'appareil photo plonge l'image finie et un texte est affiché sur l'écran.")</f>
        <v>L'appareil photo plonge l'image finie et un texte est affiché sur l'écran.</v>
      </c>
    </row>
    <row r="28566">
      <c r="A28566" s="4" t="s">
        <v>35978</v>
      </c>
      <c r="B28566" s="6" t="s">
        <v>35979</v>
      </c>
      <c r="C28566" s="5" t="str">
        <f>IFERROR(__xludf.DUMMYFUNCTION("GOOGLETRANSLATE(B28566,""en"",""fr"")"),"Une femme est vue jouer à Frisbee dans une cour avec un chien et effectue plusieurs tours avec le chien.")</f>
        <v>Une femme est vue jouer à Frisbee dans une cour avec un chien et effectue plusieurs tours avec le chien.</v>
      </c>
    </row>
    <row r="28567">
      <c r="A28567" s="4" t="s">
        <v>35978</v>
      </c>
      <c r="B28567" s="4" t="s">
        <v>35980</v>
      </c>
      <c r="C28567" s="5" t="str">
        <f>IFERROR(__xludf.DUMMYFUNCTION("GOOGLETRANSLATE(B28567,""en"",""fr"")"),"Elle joue continuellement avec plusieurs jouets avec le chien quand une autre personne regarde sur le côté.")</f>
        <v>Elle joue continuellement avec plusieurs jouets avec le chien quand une autre personne regarde sur le côté.</v>
      </c>
    </row>
    <row r="28568">
      <c r="A28568" s="4" t="s">
        <v>35981</v>
      </c>
      <c r="B28568" s="4" t="s">
        <v>35982</v>
      </c>
      <c r="C28568" s="5" t="str">
        <f>IFERROR(__xludf.DUMMYFUNCTION("GOOGLETRANSLATE(B28568,""en"",""fr"")"),"Une femme caucasienne dans la maternité tardive est montrée assise sur un canapé de salon.")</f>
        <v>Une femme caucasienne dans la maternité tardive est montrée assise sur un canapé de salon.</v>
      </c>
    </row>
    <row r="28569">
      <c r="A28569" s="4" t="s">
        <v>35981</v>
      </c>
      <c r="B28569" s="6" t="s">
        <v>35983</v>
      </c>
      <c r="C28569" s="5" t="str">
        <f>IFERROR(__xludf.DUMMYFUNCTION("GOOGLETRANSLATE(B28569,""en"",""fr"")"),"Elle met une chaussette sur son pied gauche tout en croisant sa jambe, puis continue de mettre une chaussure de tennis sur son pied gauche.")</f>
        <v>Elle met une chaussette sur son pied gauche tout en croisant sa jambe, puis continue de mettre une chaussure de tennis sur son pied gauche.</v>
      </c>
    </row>
    <row r="28570">
      <c r="A28570" s="4" t="s">
        <v>35981</v>
      </c>
      <c r="B28570" s="4" t="s">
        <v>35984</v>
      </c>
      <c r="C28570" s="5" t="str">
        <f>IFERROR(__xludf.DUMMYFUNCTION("GOOGLETRANSLATE(B28570,""en"",""fr"")"),"Elle est claire dans l'inconfort alors qu'elle continue de lier sa chaussure, qu'elle repose sur un ottoman.")</f>
        <v>Elle est claire dans l'inconfort alors qu'elle continue de lier sa chaussure, qu'elle repose sur un ottoman.</v>
      </c>
    </row>
    <row r="28571">
      <c r="A28571" s="4" t="s">
        <v>35981</v>
      </c>
      <c r="B28571" s="6" t="s">
        <v>35985</v>
      </c>
      <c r="C28571" s="5" t="str">
        <f>IFERROR(__xludf.DUMMYFUNCTION("GOOGLETRANSLATE(B28571,""en"",""fr"")"),"Elle prend une petite pause puis continue de mettre sa chaussure droite, elle repose son pied droit sur le pouf pendant qu'elle lie la chaussure.")</f>
        <v>Elle prend une petite pause puis continue de mettre sa chaussure droite, elle repose son pied droit sur le pouf pendant qu'elle lie la chaussure.</v>
      </c>
    </row>
    <row r="28572">
      <c r="A28572" s="4" t="s">
        <v>35981</v>
      </c>
      <c r="B28572" s="6" t="s">
        <v>35986</v>
      </c>
      <c r="C28572" s="5" t="str">
        <f>IFERROR(__xludf.DUMMYFUNCTION("GOOGLETRANSLATE(B28572,""en"",""fr"")"),"La femme satisfaite et épuisée s'assoit sur le canapé et tient son grand ventre alors qu'elle termine la tâche de mettre sa chaussure droite.")</f>
        <v>La femme satisfaite et épuisée s'assoit sur le canapé et tient son grand ventre alors qu'elle termine la tâche de mettre sa chaussure droite.</v>
      </c>
    </row>
    <row r="28573">
      <c r="A28573" s="4" t="s">
        <v>35987</v>
      </c>
      <c r="B28573" s="4" t="s">
        <v>35988</v>
      </c>
      <c r="C28573" s="5" t="str">
        <f>IFERROR(__xludf.DUMMYFUNCTION("GOOGLETRANSLATE(B28573,""en"",""fr"")"),"Un homme tenant une raquette se tient dans un terrain de courge en parlant à la caméra.")</f>
        <v>Un homme tenant une raquette se tient dans un terrain de courge en parlant à la caméra.</v>
      </c>
    </row>
    <row r="28574">
      <c r="A28574" s="4" t="s">
        <v>35987</v>
      </c>
      <c r="B28574" s="4" t="s">
        <v>35989</v>
      </c>
      <c r="C28574" s="5" t="str">
        <f>IFERROR(__xludf.DUMMYFUNCTION("GOOGLETRANSLATE(B28574,""en"",""fr"")"),"L'homme rebondit et attrape une boule bleue.")</f>
        <v>L'homme rebondit et attrape une boule bleue.</v>
      </c>
    </row>
    <row r="28575">
      <c r="A28575" s="4" t="s">
        <v>35987</v>
      </c>
      <c r="B28575" s="4" t="s">
        <v>35990</v>
      </c>
      <c r="C28575" s="5" t="str">
        <f>IFERROR(__xludf.DUMMYFUNCTION("GOOGLETRANSLATE(B28575,""en"",""fr"")"),"L'homme frappe ensuite le ballon du mur arrière et l'attrape.")</f>
        <v>L'homme frappe ensuite le ballon du mur arrière et l'attrape.</v>
      </c>
    </row>
    <row r="28576">
      <c r="A28576" s="4" t="s">
        <v>35987</v>
      </c>
      <c r="B28576" s="4" t="s">
        <v>35991</v>
      </c>
      <c r="C28576" s="5" t="str">
        <f>IFERROR(__xludf.DUMMYFUNCTION("GOOGLETRANSLATE(B28576,""en"",""fr"")"),"L'homme se tient ensuite et parle à la caméra.")</f>
        <v>L'homme se tient ensuite et parle à la caméra.</v>
      </c>
    </row>
    <row r="28577">
      <c r="A28577" s="4" t="s">
        <v>35992</v>
      </c>
      <c r="B28577" s="4" t="s">
        <v>35993</v>
      </c>
      <c r="C28577" s="5" t="str">
        <f>IFERROR(__xludf.DUMMYFUNCTION("GOOGLETRANSLATE(B28577,""en"",""fr"")"),"Un petit groupe de personnes est vu debout autour d'un champ avec une reflecte parlant aux gens.")</f>
        <v>Un petit groupe de personnes est vu debout autour d'un champ avec une reflecte parlant aux gens.</v>
      </c>
    </row>
    <row r="28578">
      <c r="A28578" s="4" t="s">
        <v>35992</v>
      </c>
      <c r="B28578" s="6" t="s">
        <v>35994</v>
      </c>
      <c r="C28578" s="5" t="str">
        <f>IFERROR(__xludf.DUMMYFUNCTION("GOOGLETRANSLATE(B28578,""en"",""fr"")"),"Les joueurs commencent alors un match de crosse les uns avec les autres et montent et montent sur le terrain en jouant.")</f>
        <v>Les joueurs commencent alors un match de crosse les uns avec les autres et montent et montent sur le terrain en jouant.</v>
      </c>
    </row>
    <row r="28579">
      <c r="A28579" s="4" t="s">
        <v>35995</v>
      </c>
      <c r="B28579" s="4" t="s">
        <v>35996</v>
      </c>
      <c r="C28579" s="5" t="str">
        <f>IFERROR(__xludf.DUMMYFUNCTION("GOOGLETRANSLATE(B28579,""en"",""fr"")"),"Il y a deux personnes vêtues de chemises jaunes jouant du tennis de table dans un sous-sol fini.")</f>
        <v>Il y a deux personnes vêtues de chemises jaunes jouant du tennis de table dans un sous-sol fini.</v>
      </c>
    </row>
    <row r="28580">
      <c r="A28580" s="4" t="s">
        <v>35995</v>
      </c>
      <c r="B28580" s="4" t="s">
        <v>35997</v>
      </c>
      <c r="C28580" s="5" t="str">
        <f>IFERROR(__xludf.DUMMYFUNCTION("GOOGLETRANSLATE(B28580,""en"",""fr"")"),"Il y a trois personnes assises sur des canapés à côté d'eux en regardant la télévision de football.")</f>
        <v>Il y a trois personnes assises sur des canapés à côté d'eux en regardant la télévision de football.</v>
      </c>
    </row>
    <row r="28581">
      <c r="A28581" s="4" t="s">
        <v>35995</v>
      </c>
      <c r="B28581" s="4" t="s">
        <v>35998</v>
      </c>
      <c r="C28581" s="5" t="str">
        <f>IFERROR(__xludf.DUMMYFUNCTION("GOOGLETRANSLATE(B28581,""en"",""fr"")"),"Une autre personne assise sur le canapé joue sur son téléphone.")</f>
        <v>Une autre personne assise sur le canapé joue sur son téléphone.</v>
      </c>
    </row>
    <row r="28582">
      <c r="A28582" s="4" t="s">
        <v>35995</v>
      </c>
      <c r="B28582" s="4" t="s">
        <v>35999</v>
      </c>
      <c r="C28582" s="5" t="str">
        <f>IFERROR(__xludf.DUMMYFUNCTION("GOOGLETRANSLATE(B28582,""en"",""fr"")"),"Les deux joueurs continuent de jouer au tennis de table.")</f>
        <v>Les deux joueurs continuent de jouer au tennis de table.</v>
      </c>
    </row>
    <row r="28583">
      <c r="A28583" s="4" t="s">
        <v>35995</v>
      </c>
      <c r="B28583" s="4" t="s">
        <v>36000</v>
      </c>
      <c r="C28583" s="5" t="str">
        <f>IFERROR(__xludf.DUMMYFUNCTION("GOOGLETRANSLATE(B28583,""en"",""fr"")"),"Le joueur à droite frappe le ballon qui est l'adversaire revient rapidement.")</f>
        <v>Le joueur à droite frappe le ballon qui est l'adversaire revient rapidement.</v>
      </c>
    </row>
    <row r="28584">
      <c r="A28584" s="4" t="s">
        <v>35995</v>
      </c>
      <c r="B28584" s="4" t="s">
        <v>36001</v>
      </c>
      <c r="C28584" s="5" t="str">
        <f>IFERROR(__xludf.DUMMYFUNCTION("GOOGLETRANSLATE(B28584,""en"",""fr"")"),"La balle tombe de la table.")</f>
        <v>La balle tombe de la table.</v>
      </c>
    </row>
    <row r="28585">
      <c r="A28585" s="4" t="s">
        <v>35995</v>
      </c>
      <c r="B28585" s="4" t="s">
        <v>36002</v>
      </c>
      <c r="C28585" s="5" t="str">
        <f>IFERROR(__xludf.DUMMYFUNCTION("GOOGLETRANSLATE(B28585,""en"",""fr"")"),"La personne à droite court pour ramasser le ballon.")</f>
        <v>La personne à droite court pour ramasser le ballon.</v>
      </c>
    </row>
    <row r="28586">
      <c r="A28586" s="4" t="s">
        <v>35995</v>
      </c>
      <c r="B28586" s="4" t="s">
        <v>36003</v>
      </c>
      <c r="C28586" s="5" t="str">
        <f>IFERROR(__xludf.DUMMYFUNCTION("GOOGLETRANSLATE(B28586,""en"",""fr"")"),"Ils continuent de jouer et de servir le ballon.")</f>
        <v>Ils continuent de jouer et de servir le ballon.</v>
      </c>
    </row>
    <row r="28587">
      <c r="A28587" s="4" t="s">
        <v>35995</v>
      </c>
      <c r="B28587" s="4" t="s">
        <v>36004</v>
      </c>
      <c r="C28587" s="5" t="str">
        <f>IFERROR(__xludf.DUMMYFUNCTION("GOOGLETRANSLATE(B28587,""en"",""fr"")"),"Un gars vêtu d'un sweat à capuche noir passe.")</f>
        <v>Un gars vêtu d'un sweat à capuche noir passe.</v>
      </c>
    </row>
    <row r="28588">
      <c r="A28588" s="4" t="s">
        <v>35995</v>
      </c>
      <c r="B28588" s="4" t="s">
        <v>36005</v>
      </c>
      <c r="C28588" s="5" t="str">
        <f>IFERROR(__xludf.DUMMYFUNCTION("GOOGLETRANSLATE(B28588,""en"",""fr"")"),"L'un des joueurs s'arrête pour ajuster la table.")</f>
        <v>L'un des joueurs s'arrête pour ajuster la table.</v>
      </c>
    </row>
    <row r="28589">
      <c r="A28589" s="4" t="s">
        <v>35995</v>
      </c>
      <c r="B28589" s="4" t="s">
        <v>36006</v>
      </c>
      <c r="C28589" s="5" t="str">
        <f>IFERROR(__xludf.DUMMYFUNCTION("GOOGLETRANSLATE(B28589,""en"",""fr"")"),"Ils continuent de jouer au tennis de table alors qu'ils se parlent.")</f>
        <v>Ils continuent de jouer au tennis de table alors qu'ils se parlent.</v>
      </c>
    </row>
    <row r="28590">
      <c r="A28590" s="4" t="s">
        <v>36007</v>
      </c>
      <c r="B28590" s="6" t="s">
        <v>36008</v>
      </c>
      <c r="C28590" s="5" t="str">
        <f>IFERROR(__xludf.DUMMYFUNCTION("GOOGLETRANSLATE(B28590,""en"",""fr"")"),"Deux jeunes enfants sont montrés lorsque l'une grimpe sur un ensemble de barres de singe et les autres pas de saut de cadre.")</f>
        <v>Deux jeunes enfants sont montrés lorsque l'une grimpe sur un ensemble de barres de singe et les autres pas de saut de cadre.</v>
      </c>
    </row>
    <row r="28591">
      <c r="A28591" s="4" t="s">
        <v>36007</v>
      </c>
      <c r="B28591" s="4" t="s">
        <v>36009</v>
      </c>
      <c r="C28591" s="5" t="str">
        <f>IFERROR(__xludf.DUMMYFUNCTION("GOOGLETRANSLATE(B28591,""en"",""fr"")"),"La fille arrive jusqu'au bout des barreaux et regarde la caméra en parlant et en souriant.")</f>
        <v>La fille arrive jusqu'au bout des barreaux et regarde la caméra en parlant et en souriant.</v>
      </c>
    </row>
    <row r="28592">
      <c r="A28592" s="4" t="s">
        <v>36010</v>
      </c>
      <c r="B28592" s="4" t="s">
        <v>36011</v>
      </c>
      <c r="C28592" s="5" t="str">
        <f>IFERROR(__xludf.DUMMYFUNCTION("GOOGLETRANSLATE(B28592,""en"",""fr"")"),"Une femme parle dans la cuisine, puis viennent deux garçons et parlent en montrant les fruits sur le comptoir.")</f>
        <v>Une femme parle dans la cuisine, puis viennent deux garçons et parlent en montrant les fruits sur le comptoir.</v>
      </c>
    </row>
    <row r="28593">
      <c r="A28593" s="4" t="s">
        <v>36010</v>
      </c>
      <c r="B28593" s="4" t="s">
        <v>36012</v>
      </c>
      <c r="C28593" s="5" t="str">
        <f>IFERROR(__xludf.DUMMYFUNCTION("GOOGLETRANSLATE(B28593,""en"",""fr"")"),"Ensuite, un homme vient et met tous les fruits dans un grand bol tout en expliquant.")</f>
        <v>Ensuite, un homme vient et met tous les fruits dans un grand bol tout en expliquant.</v>
      </c>
    </row>
    <row r="28594">
      <c r="A28594" s="4" t="s">
        <v>36010</v>
      </c>
      <c r="B28594" s="4" t="s">
        <v>36013</v>
      </c>
      <c r="C28594" s="5" t="str">
        <f>IFERROR(__xludf.DUMMYFUNCTION("GOOGLETRANSLATE(B28594,""en"",""fr"")"),"Après, l'homme ajoute sur les fruits du yogourt, du chocolat et des céréales.")</f>
        <v>Après, l'homme ajoute sur les fruits du yogourt, du chocolat et des céréales.</v>
      </c>
    </row>
    <row r="28595">
      <c r="A28595" s="4" t="s">
        <v>36014</v>
      </c>
      <c r="B28595" s="4" t="s">
        <v>36015</v>
      </c>
      <c r="C28595" s="5" t="str">
        <f>IFERROR(__xludf.DUMMYFUNCTION("GOOGLETRANSLATE(B28595,""en"",""fr"")"),"Une personne portant un gilet a plusieurs seaux dans la rue avec qui il tambourine.")</f>
        <v>Une personne portant un gilet a plusieurs seaux dans la rue avec qui il tambourine.</v>
      </c>
    </row>
    <row r="28596">
      <c r="A28596" s="4" t="s">
        <v>36014</v>
      </c>
      <c r="B28596" s="6" t="s">
        <v>36016</v>
      </c>
      <c r="C28596" s="5" t="str">
        <f>IFERROR(__xludf.DUMMYFUNCTION("GOOGLETRANSLATE(B28596,""en"",""fr"")"),"Beaucoup de gens se tiennent dans le grand étonnement en regardant cet homme jouer, tandis que certains enregistrent avec une caméra.")</f>
        <v>Beaucoup de gens se tiennent dans le grand étonnement en regardant cet homme jouer, tandis que certains enregistrent avec une caméra.</v>
      </c>
    </row>
    <row r="28597">
      <c r="A28597" s="4" t="s">
        <v>36014</v>
      </c>
      <c r="B28597" s="4" t="s">
        <v>36017</v>
      </c>
      <c r="C28597" s="5" t="str">
        <f>IFERROR(__xludf.DUMMYFUNCTION("GOOGLETRANSLATE(B28597,""en"",""fr"")"),"L'homme continue de tambour plus rapidement et la foule continue de l'encourager.")</f>
        <v>L'homme continue de tambour plus rapidement et la foule continue de l'encourager.</v>
      </c>
    </row>
    <row r="28598">
      <c r="A28598" s="4" t="s">
        <v>36014</v>
      </c>
      <c r="B28598" s="4" t="s">
        <v>36018</v>
      </c>
      <c r="C28598" s="5" t="str">
        <f>IFERROR(__xludf.DUMMYFUNCTION("GOOGLETRANSLATE(B28598,""en"",""fr"")"),"Beaucoup de gens passent devant et ne semblent pas remarquer le batteur.")</f>
        <v>Beaucoup de gens passent devant et ne semblent pas remarquer le batteur.</v>
      </c>
    </row>
    <row r="28599">
      <c r="A28599" s="4" t="s">
        <v>36019</v>
      </c>
      <c r="B28599" s="4" t="s">
        <v>36020</v>
      </c>
      <c r="C28599" s="5" t="str">
        <f>IFERROR(__xludf.DUMMYFUNCTION("GOOGLETRANSLATE(B28599,""en"",""fr"")"),"Un garçon se tient derrière une table de nourriture.")</f>
        <v>Un garçon se tient derrière une table de nourriture.</v>
      </c>
    </row>
    <row r="28600">
      <c r="A28600" s="4" t="s">
        <v>36019</v>
      </c>
      <c r="B28600" s="4" t="s">
        <v>36021</v>
      </c>
      <c r="C28600" s="5" t="str">
        <f>IFERROR(__xludf.DUMMYFUNCTION("GOOGLETRANSLATE(B28600,""en"",""fr"")"),"Il commence à répandre de la mayonnaise sur des tranches de pain.")</f>
        <v>Il commence à répandre de la mayonnaise sur des tranches de pain.</v>
      </c>
    </row>
    <row r="28601">
      <c r="A28601" s="4" t="s">
        <v>36019</v>
      </c>
      <c r="B28601" s="4" t="s">
        <v>36022</v>
      </c>
      <c r="C28601" s="5" t="str">
        <f>IFERROR(__xludf.DUMMYFUNCTION("GOOGLETRANSLATE(B28601,""en"",""fr"")"),"Il met la laitue sur le pain.")</f>
        <v>Il met la laitue sur le pain.</v>
      </c>
    </row>
    <row r="28602">
      <c r="A28602" s="4" t="s">
        <v>36019</v>
      </c>
      <c r="B28602" s="4" t="s">
        <v>36023</v>
      </c>
      <c r="C28602" s="5" t="str">
        <f>IFERROR(__xludf.DUMMYFUNCTION("GOOGLETRANSLATE(B28602,""en"",""fr"")"),"Il empile des tomates sur la laitue sur le pain.")</f>
        <v>Il empile des tomates sur la laitue sur le pain.</v>
      </c>
    </row>
    <row r="28603">
      <c r="A28603" s="4" t="s">
        <v>36019</v>
      </c>
      <c r="B28603" s="4" t="s">
        <v>36024</v>
      </c>
      <c r="C28603" s="5" t="str">
        <f>IFERROR(__xludf.DUMMYFUNCTION("GOOGLETRANSLATE(B28603,""en"",""fr"")"),"Il met du poulet sur la tomate.")</f>
        <v>Il met du poulet sur la tomate.</v>
      </c>
    </row>
    <row r="28604">
      <c r="A28604" s="4" t="s">
        <v>36019</v>
      </c>
      <c r="B28604" s="4" t="s">
        <v>36025</v>
      </c>
      <c r="C28604" s="5" t="str">
        <f>IFERROR(__xludf.DUMMYFUNCTION("GOOGLETRANSLATE(B28604,""en"",""fr"")"),"Il met un morceau de pain sur l'autre.")</f>
        <v>Il met un morceau de pain sur l'autre.</v>
      </c>
    </row>
    <row r="28605">
      <c r="A28605" s="4" t="s">
        <v>36019</v>
      </c>
      <c r="B28605" s="4" t="s">
        <v>36026</v>
      </c>
      <c r="C28605" s="5" t="str">
        <f>IFERROR(__xludf.DUMMYFUNCTION("GOOGLETRANSLATE(B28605,""en"",""fr"")"),"Il met de la mayonnaise sur le pain supérieur.")</f>
        <v>Il met de la mayonnaise sur le pain supérieur.</v>
      </c>
    </row>
    <row r="28606">
      <c r="A28606" s="4" t="s">
        <v>36019</v>
      </c>
      <c r="B28606" s="4" t="s">
        <v>36027</v>
      </c>
      <c r="C28606" s="5" t="str">
        <f>IFERROR(__xludf.DUMMYFUNCTION("GOOGLETRANSLATE(B28606,""en"",""fr"")"),"Il empile à nouveau la nourriture sur le pain.")</f>
        <v>Il empile à nouveau la nourriture sur le pain.</v>
      </c>
    </row>
    <row r="28607">
      <c r="A28607" s="4" t="s">
        <v>36019</v>
      </c>
      <c r="B28607" s="4" t="s">
        <v>36028</v>
      </c>
      <c r="C28607" s="5" t="str">
        <f>IFERROR(__xludf.DUMMYFUNCTION("GOOGLETRANSLATE(B28607,""en"",""fr"")"),"Il le surmonte avec un dernier morceau de pain.")</f>
        <v>Il le surmonte avec un dernier morceau de pain.</v>
      </c>
    </row>
    <row r="28608">
      <c r="A28608" s="4" t="s">
        <v>36019</v>
      </c>
      <c r="B28608" s="4" t="s">
        <v>36029</v>
      </c>
      <c r="C28608" s="5" t="str">
        <f>IFERROR(__xludf.DUMMYFUNCTION("GOOGLETRANSLATE(B28608,""en"",""fr"")"),"Il coupe le sandwich en quatre tranches sur une planche.")</f>
        <v>Il coupe le sandwich en quatre tranches sur une planche.</v>
      </c>
    </row>
    <row r="28609">
      <c r="A28609" s="4" t="s">
        <v>36019</v>
      </c>
      <c r="B28609" s="4" t="s">
        <v>36030</v>
      </c>
      <c r="C28609" s="5" t="str">
        <f>IFERROR(__xludf.DUMMYFUNCTION("GOOGLETRANSLATE(B28609,""en"",""fr"")"),"Il met un cure-dent dans chaque section du sandwich.")</f>
        <v>Il met un cure-dent dans chaque section du sandwich.</v>
      </c>
    </row>
    <row r="28610">
      <c r="A28610" s="4" t="s">
        <v>36019</v>
      </c>
      <c r="B28610" s="4" t="s">
        <v>36031</v>
      </c>
      <c r="C28610" s="5" t="str">
        <f>IFERROR(__xludf.DUMMYFUNCTION("GOOGLETRANSLATE(B28610,""en"",""fr"")"),"Il déplace le sandwich de la planche sur une assiette.")</f>
        <v>Il déplace le sandwich de la planche sur une assiette.</v>
      </c>
    </row>
    <row r="28611">
      <c r="A28611" s="4" t="s">
        <v>36019</v>
      </c>
      <c r="B28611" s="4" t="s">
        <v>36032</v>
      </c>
      <c r="C28611" s="5" t="str">
        <f>IFERROR(__xludf.DUMMYFUNCTION("GOOGLETRANSLATE(B28611,""en"",""fr"")"),"Il ajoute des frites à l'assiette avec le sandwich dessus.")</f>
        <v>Il ajoute des frites à l'assiette avec le sandwich dessus.</v>
      </c>
    </row>
    <row r="28612">
      <c r="A28612" s="4" t="s">
        <v>36033</v>
      </c>
      <c r="B28612" s="6" t="s">
        <v>36034</v>
      </c>
      <c r="C28612" s="5" t="str">
        <f>IFERROR(__xludf.DUMMYFUNCTION("GOOGLETRANSLATE(B28612,""en"",""fr"")"),"Il y a un journaliste de NBC News portant un pull rouge et une chemise blanche parlant de toilettage pour chiens par Wizard Cissor une entreprise de toilettage.")</f>
        <v>Il y a un journaliste de NBC News portant un pull rouge et une chemise blanche parlant de toilettage pour chiens par Wizard Cissor une entreprise de toilettage.</v>
      </c>
    </row>
    <row r="28613">
      <c r="A28613" s="4" t="s">
        <v>36033</v>
      </c>
      <c r="B28613" s="6" t="s">
        <v>36035</v>
      </c>
      <c r="C28613" s="5" t="str">
        <f>IFERROR(__xludf.DUMMYFUNCTION("GOOGLETRANSLATE(B28613,""en"",""fr"")"),"Le représentant de l'entreprise parle des services qu'ils offrent et de la façon dont ces chiens participent à des expositions canines.")</f>
        <v>Le représentant de l'entreprise parle des services qu'ils offrent et de la façon dont ces chiens participent à des expositions canines.</v>
      </c>
    </row>
    <row r="28614">
      <c r="A28614" s="4" t="s">
        <v>36033</v>
      </c>
      <c r="B28614" s="6" t="s">
        <v>36036</v>
      </c>
      <c r="C28614" s="5" t="str">
        <f>IFERROR(__xludf.DUMMYFUNCTION("GOOGLETRANSLATE(B28614,""en"",""fr"")"),"Un toiletteur est vu en utilisant des cisaillements pour couper de manière créative les cheveux du chien et même les teindre dans des nuances colorées de rouge, vert, jaune et bleu.")</f>
        <v>Un toiletteur est vu en utilisant des cisaillements pour couper de manière créative les cheveux du chien et même les teindre dans des nuances colorées de rouge, vert, jaune et bleu.</v>
      </c>
    </row>
    <row r="28615">
      <c r="A28615" s="4" t="s">
        <v>36037</v>
      </c>
      <c r="B28615" s="6" t="s">
        <v>36038</v>
      </c>
      <c r="C28615" s="5" t="str">
        <f>IFERROR(__xludf.DUMMYFUNCTION("GOOGLETRANSLATE(B28615,""en"",""fr"")"),"Plusieurs personnes sont dans un cours d'exercice dans une pièce avec beaucoup de miroirs dans un gymnase, et ils dansaient ainsi que de tourner et de monter sur une plate-forme.")</f>
        <v>Plusieurs personnes sont dans un cours d'exercice dans une pièce avec beaucoup de miroirs dans un gymnase, et ils dansaient ainsi que de tourner et de monter sur une plate-forme.</v>
      </c>
    </row>
    <row r="28616">
      <c r="A28616" s="4" t="s">
        <v>36037</v>
      </c>
      <c r="B28616" s="4" t="s">
        <v>36039</v>
      </c>
      <c r="C28616" s="5" t="str">
        <f>IFERROR(__xludf.DUMMYFUNCTION("GOOGLETRANSLATE(B28616,""en"",""fr"")"),"Une femme passe près de la salle d'exercice en tenant des poids.")</f>
        <v>Une femme passe près de la salle d'exercice en tenant des poids.</v>
      </c>
    </row>
    <row r="28617">
      <c r="A28617" s="4" t="s">
        <v>36037</v>
      </c>
      <c r="B28617" s="4" t="s">
        <v>36040</v>
      </c>
      <c r="C28617" s="5" t="str">
        <f>IFERROR(__xludf.DUMMYFUNCTION("GOOGLETRANSLATE(B28617,""en"",""fr"")"),"Une femme place les poids sur le rack.")</f>
        <v>Une femme place les poids sur le rack.</v>
      </c>
    </row>
    <row r="28618">
      <c r="A28618" s="4" t="s">
        <v>36037</v>
      </c>
      <c r="B28618" s="4" t="s">
        <v>36041</v>
      </c>
      <c r="C28618" s="5" t="str">
        <f>IFERROR(__xludf.DUMMYFUNCTION("GOOGLETRANSLATE(B28618,""en"",""fr"")"),"Une femme passe sans avoir de poids.")</f>
        <v>Une femme passe sans avoir de poids.</v>
      </c>
    </row>
    <row r="28619">
      <c r="A28619" s="4" t="s">
        <v>36042</v>
      </c>
      <c r="B28619" s="4" t="s">
        <v>36043</v>
      </c>
      <c r="C28619" s="5" t="str">
        <f>IFERROR(__xludf.DUMMYFUNCTION("GOOGLETRANSLATE(B28619,""en"",""fr"")"),"Une Mustang rouge est arrosée.")</f>
        <v>Une Mustang rouge est arrosée.</v>
      </c>
    </row>
    <row r="28620">
      <c r="A28620" s="4" t="s">
        <v>36042</v>
      </c>
      <c r="B28620" s="4" t="s">
        <v>36044</v>
      </c>
      <c r="C28620" s="5" t="str">
        <f>IFERROR(__xludf.DUMMYFUNCTION("GOOGLETRANSLATE(B28620,""en"",""fr"")"),"Ensuite, les travailleurs frottent le savon sur la voiture.")</f>
        <v>Ensuite, les travailleurs frottent le savon sur la voiture.</v>
      </c>
    </row>
    <row r="28621">
      <c r="A28621" s="4" t="s">
        <v>36042</v>
      </c>
      <c r="B28621" s="4" t="s">
        <v>36045</v>
      </c>
      <c r="C28621" s="5" t="str">
        <f>IFERROR(__xludf.DUMMYFUNCTION("GOOGLETRANSLATE(B28621,""en"",""fr"")"),"Après cela, ils travaillent tous les deux à laver le savon avant d'appliquer un autre savon sur le véhicule.")</f>
        <v>Après cela, ils travaillent tous les deux à laver le savon avant d'appliquer un autre savon sur le véhicule.</v>
      </c>
    </row>
    <row r="28622">
      <c r="A28622" s="4" t="s">
        <v>36042</v>
      </c>
      <c r="B28622" s="4" t="s">
        <v>36046</v>
      </c>
      <c r="C28622" s="5" t="str">
        <f>IFERROR(__xludf.DUMMYFUNCTION("GOOGLETRANSLATE(B28622,""en"",""fr"")"),"Ils utilisent ensuite des tuyaux pour laver la voiture propre.")</f>
        <v>Ils utilisent ensuite des tuyaux pour laver la voiture propre.</v>
      </c>
    </row>
    <row r="28623">
      <c r="A28623" s="4" t="s">
        <v>36047</v>
      </c>
      <c r="B28623" s="4" t="s">
        <v>36048</v>
      </c>
      <c r="C28623" s="5" t="str">
        <f>IFERROR(__xludf.DUMMYFUNCTION("GOOGLETRANSLATE(B28623,""en"",""fr"")"),"Un petit groupe d'hommes coule autour d'un terrain de basket jouant un jeu de basket-ball.")</f>
        <v>Un petit groupe d'hommes coule autour d'un terrain de basket jouant un jeu de basket-ball.</v>
      </c>
    </row>
    <row r="28624">
      <c r="A28624" s="4" t="s">
        <v>36047</v>
      </c>
      <c r="B28624" s="6" t="s">
        <v>36049</v>
      </c>
      <c r="C28624" s="5" t="str">
        <f>IFERROR(__xludf.DUMMYFUNCTION("GOOGLETRANSLATE(B28624,""en"",""fr"")"),"Un joueur se déplace tout autour du filet en tenant le ballon et montre comment tirer correctement un cerceau.")</f>
        <v>Un joueur se déplace tout autour du filet en tenant le ballon et montre comment tirer correctement un cerceau.</v>
      </c>
    </row>
    <row r="28625">
      <c r="A28625" s="4" t="s">
        <v>36047</v>
      </c>
      <c r="B28625" s="4" t="s">
        <v>36050</v>
      </c>
      <c r="C28625" s="5" t="str">
        <f>IFERROR(__xludf.DUMMYFUNCTION("GOOGLETRANSLATE(B28625,""en"",""fr"")"),"Il rebondit un peu le ballon et plus de coups de feu des gens qui jouent sont montrés.")</f>
        <v>Il rebondit un peu le ballon et plus de coups de feu des gens qui jouent sont montrés.</v>
      </c>
    </row>
    <row r="28626">
      <c r="A28626" s="4" t="s">
        <v>36051</v>
      </c>
      <c r="B28626" s="6" t="s">
        <v>36052</v>
      </c>
      <c r="C28626" s="5" t="str">
        <f>IFERROR(__xludf.DUMMYFUNCTION("GOOGLETRANSLATE(B28626,""en"",""fr"")"),"Un homme est vu parler à la caméra tout en montrant une assiette de nourriture et en versant des ingrédients sur une assiette.")</f>
        <v>Un homme est vu parler à la caméra tout en montrant une assiette de nourriture et en versant des ingrédients sur une assiette.</v>
      </c>
    </row>
    <row r="28627">
      <c r="A28627" s="4" t="s">
        <v>36051</v>
      </c>
      <c r="B28627" s="6" t="s">
        <v>36053</v>
      </c>
      <c r="C28627" s="5" t="str">
        <f>IFERROR(__xludf.DUMMYFUNCTION("GOOGLETRANSLATE(B28627,""en"",""fr"")"),"Il continue de mélanger les ingrédients sur une assiette et se termine par un gros plan et lui parlant plus.")</f>
        <v>Il continue de mélanger les ingrédients sur une assiette et se termine par un gros plan et lui parlant plus.</v>
      </c>
    </row>
    <row r="28628">
      <c r="A28628" s="4" t="s">
        <v>36054</v>
      </c>
      <c r="B28628" s="4" t="s">
        <v>36055</v>
      </c>
      <c r="C28628" s="5" t="str">
        <f>IFERROR(__xludf.DUMMYFUNCTION("GOOGLETRANSLATE(B28628,""en"",""fr"")"),"Deux personnes sont montrées en tenant des bâtons d'escrime et en pointant l'un vers l'autre.")</f>
        <v>Deux personnes sont montrées en tenant des bâtons d'escrime et en pointant l'un vers l'autre.</v>
      </c>
    </row>
    <row r="28629">
      <c r="A28629" s="4" t="s">
        <v>36054</v>
      </c>
      <c r="B28629" s="4" t="s">
        <v>36056</v>
      </c>
      <c r="C28629" s="5" t="str">
        <f>IFERROR(__xludf.DUMMYFUNCTION("GOOGLETRANSLATE(B28629,""en"",""fr"")"),"Ils reculent et quatrième et correspondent les uns aux autres.")</f>
        <v>Ils reculent et quatrième et correspondent les uns aux autres.</v>
      </c>
    </row>
    <row r="28630">
      <c r="A28630" s="4" t="s">
        <v>36057</v>
      </c>
      <c r="B28630" s="4" t="s">
        <v>36058</v>
      </c>
      <c r="C28630" s="5" t="str">
        <f>IFERROR(__xludf.DUMMYFUNCTION("GOOGLETRANSLATE(B28630,""en"",""fr"")"),"Un homme monte sur une planche de surf dans l'océan.")</f>
        <v>Un homme monte sur une planche de surf dans l'océan.</v>
      </c>
    </row>
    <row r="28631">
      <c r="A28631" s="4" t="s">
        <v>36057</v>
      </c>
      <c r="B28631" s="4" t="s">
        <v>36059</v>
      </c>
      <c r="C28631" s="5" t="str">
        <f>IFERROR(__xludf.DUMMYFUNCTION("GOOGLETRANSLATE(B28631,""en"",""fr"")"),"Il fait un gros flip, atterrissant dans la vague.")</f>
        <v>Il fait un gros flip, atterrissant dans la vague.</v>
      </c>
    </row>
    <row r="28632">
      <c r="A28632" s="4" t="s">
        <v>36057</v>
      </c>
      <c r="B28632" s="4" t="s">
        <v>36060</v>
      </c>
      <c r="C28632" s="5" t="str">
        <f>IFERROR(__xludf.DUMMYFUNCTION("GOOGLETRANSLATE(B28632,""en"",""fr"")"),"Le flip est répété au ralenti.")</f>
        <v>Le flip est répété au ralenti.</v>
      </c>
    </row>
    <row r="28633">
      <c r="A28633" s="4" t="s">
        <v>36061</v>
      </c>
      <c r="B28633" s="6" t="s">
        <v>36062</v>
      </c>
      <c r="C28633" s="5" t="str">
        <f>IFERROR(__xludf.DUMMYFUNCTION("GOOGLETRANSLATE(B28633,""en"",""fr"")"),"La femme se tient au milieu de la scène en train de parler à la caméra et de se présenter au ralenti.")</f>
        <v>La femme se tient au milieu de la scène en train de parler à la caméra et de se présenter au ralenti.</v>
      </c>
    </row>
    <row r="28634">
      <c r="A28634" s="4" t="s">
        <v>36061</v>
      </c>
      <c r="B28634" s="4" t="s">
        <v>36063</v>
      </c>
      <c r="C28634" s="5" t="str">
        <f>IFERROR(__xludf.DUMMYFUNCTION("GOOGLETRANSLATE(B28634,""en"",""fr"")"),"La femme fait les mouvements rapidement et montre la position des mains.")</f>
        <v>La femme fait les mouvements rapidement et montre la position des mains.</v>
      </c>
    </row>
    <row r="28635">
      <c r="A28635" s="4" t="s">
        <v>36061</v>
      </c>
      <c r="B28635" s="4" t="s">
        <v>36064</v>
      </c>
      <c r="C28635" s="5" t="str">
        <f>IFERROR(__xludf.DUMMYFUNCTION("GOOGLETRANSLATE(B28635,""en"",""fr"")"),"La femme montre des mouvements de salsa dans une pièce.")</f>
        <v>La femme montre des mouvements de salsa dans une pièce.</v>
      </c>
    </row>
    <row r="28636">
      <c r="A28636" s="4" t="s">
        <v>36065</v>
      </c>
      <c r="B28636" s="4" t="s">
        <v>36066</v>
      </c>
      <c r="C28636" s="5" t="str">
        <f>IFERROR(__xludf.DUMMYFUNCTION("GOOGLETRANSLATE(B28636,""en"",""fr"")"),"Un homme se tient sur un champ sombre.")</f>
        <v>Un homme se tient sur un champ sombre.</v>
      </c>
    </row>
    <row r="28637">
      <c r="A28637" s="4" t="s">
        <v>36065</v>
      </c>
      <c r="B28637" s="4" t="s">
        <v>36067</v>
      </c>
      <c r="C28637" s="5" t="str">
        <f>IFERROR(__xludf.DUMMYFUNCTION("GOOGLETRANSLATE(B28637,""en"",""fr"")"),"Il jette un frisbee dans les airs et un chien l'attrape.")</f>
        <v>Il jette un frisbee dans les airs et un chien l'attrape.</v>
      </c>
    </row>
    <row r="28638">
      <c r="A28638" s="4" t="s">
        <v>36065</v>
      </c>
      <c r="B28638" s="4" t="s">
        <v>36068</v>
      </c>
      <c r="C28638" s="5" t="str">
        <f>IFERROR(__xludf.DUMMYFUNCTION("GOOGLETRANSLATE(B28638,""en"",""fr"")"),"Le chien poursuit et fait des tours pour obtenir le frisbee.")</f>
        <v>Le chien poursuit et fait des tours pour obtenir le frisbee.</v>
      </c>
    </row>
    <row r="28639">
      <c r="A28639" s="4" t="s">
        <v>36069</v>
      </c>
      <c r="B28639" s="6" t="s">
        <v>36070</v>
      </c>
      <c r="C28639" s="5" t="str">
        <f>IFERROR(__xludf.DUMMYFUNCTION("GOOGLETRANSLATE(B28639,""en"",""fr"")"),"Un groupe de jeunes garçons est à vélos derrière un sable se préparant à décoller et à courir sur le parcours.")</f>
        <v>Un groupe de jeunes garçons est à vélos derrière un sable se préparant à décoller et à courir sur le parcours.</v>
      </c>
    </row>
    <row r="28640">
      <c r="A28640" s="4" t="s">
        <v>36069</v>
      </c>
      <c r="B28640" s="4" t="s">
        <v>36071</v>
      </c>
      <c r="C28640" s="5" t="str">
        <f>IFERROR(__xludf.DUMMYFUNCTION("GOOGLETRANSLATE(B28640,""en"",""fr"")"),"Le verrou est déçu et ils décollent tous dans la saleté et commencent à courir dans la saleté.")</f>
        <v>Le verrou est déçu et ils décollent tous dans la saleté et commencent à courir dans la saleté.</v>
      </c>
    </row>
    <row r="28641">
      <c r="A28641" s="4" t="s">
        <v>36069</v>
      </c>
      <c r="B28641" s="6" t="s">
        <v>36072</v>
      </c>
      <c r="C28641" s="5" t="str">
        <f>IFERROR(__xludf.DUMMYFUNCTION("GOOGLETRANSLATE(B28641,""en"",""fr"")"),"Beaucoup de garçons continuent de faire le tour de la piste et les gens sont répartis tout au long du parcours en tenant des bâtons.")</f>
        <v>Beaucoup de garçons continuent de faire le tour de la piste et les gens sont répartis tout au long du parcours en tenant des bâtons.</v>
      </c>
    </row>
    <row r="28642">
      <c r="A28642" s="4" t="s">
        <v>36073</v>
      </c>
      <c r="B28642" s="4" t="s">
        <v>36074</v>
      </c>
      <c r="C28642" s="5" t="str">
        <f>IFERROR(__xludf.DUMMYFUNCTION("GOOGLETRANSLATE(B28642,""en"",""fr"")"),"Un homme pulvérisant un gris de clôture à l'aide d'un puissant pistolet à pulvérisation.")</f>
        <v>Un homme pulvérisant un gris de clôture à l'aide d'un puissant pistolet à pulvérisation.</v>
      </c>
    </row>
    <row r="28643">
      <c r="A28643" s="4" t="s">
        <v>36073</v>
      </c>
      <c r="B28643" s="4" t="s">
        <v>36075</v>
      </c>
      <c r="C28643" s="5" t="str">
        <f>IFERROR(__xludf.DUMMYFUNCTION("GOOGLETRANSLATE(B28643,""en"",""fr"")"),"Un homme debout avec désinvolture derrière lui regardant les mains croisées, bâillant.")</f>
        <v>Un homme debout avec désinvolture derrière lui regardant les mains croisées, bâillant.</v>
      </c>
    </row>
    <row r="28644">
      <c r="A28644" s="4" t="s">
        <v>36073</v>
      </c>
      <c r="B28644" s="4" t="s">
        <v>36076</v>
      </c>
      <c r="C28644" s="5" t="str">
        <f>IFERROR(__xludf.DUMMYFUNCTION("GOOGLETRANSLATE(B28644,""en"",""fr"")"),"L'homme pulvérisant les pulvérisations de haut en bas en faisant du bon temps.")</f>
        <v>L'homme pulvérisant les pulvérisations de haut en bas en faisant du bon temps.</v>
      </c>
    </row>
    <row r="28645">
      <c r="A28645" s="4" t="s">
        <v>36073</v>
      </c>
      <c r="B28645" s="4" t="s">
        <v>36077</v>
      </c>
      <c r="C28645" s="5" t="str">
        <f>IFERROR(__xludf.DUMMYFUNCTION("GOOGLETRANSLATE(B28645,""en"",""fr"")"),"Il s'assure de passer tous les endroits pour qu'il n'en manque pas.")</f>
        <v>Il s'assure de passer tous les endroits pour qu'il n'en manque pas.</v>
      </c>
    </row>
    <row r="28646">
      <c r="A28646" s="4" t="s">
        <v>36078</v>
      </c>
      <c r="B28646" s="4" t="s">
        <v>36079</v>
      </c>
      <c r="C28646" s="5" t="str">
        <f>IFERROR(__xludf.DUMMYFUNCTION("GOOGLETRANSLATE(B28646,""en"",""fr"")"),"L'homme donne un coup de pied à la tuile du toit jusqu'à ce qu'il bouge.")</f>
        <v>L'homme donne un coup de pied à la tuile du toit jusqu'à ce qu'il bouge.</v>
      </c>
    </row>
    <row r="28647">
      <c r="A28647" s="4" t="s">
        <v>36078</v>
      </c>
      <c r="B28647" s="4" t="s">
        <v>36080</v>
      </c>
      <c r="C28647" s="5" t="str">
        <f>IFERROR(__xludf.DUMMYFUNCTION("GOOGLETRANSLATE(B28647,""en"",""fr"")"),"L'homme retire un pneu du toit et pointé sur les côtés des carreaux.")</f>
        <v>L'homme retire un pneu du toit et pointé sur les côtés des carreaux.</v>
      </c>
    </row>
    <row r="28648">
      <c r="A28648" s="4" t="s">
        <v>36078</v>
      </c>
      <c r="B28648" s="4" t="s">
        <v>36081</v>
      </c>
      <c r="C28648" s="5" t="str">
        <f>IFERROR(__xludf.DUMMYFUNCTION("GOOGLETRANSLATE(B28648,""en"",""fr"")"),"Il a remis la tuile, la déplacer vers sa place d'origine.")</f>
        <v>Il a remis la tuile, la déplacer vers sa place d'origine.</v>
      </c>
    </row>
    <row r="28649">
      <c r="A28649" s="4" t="s">
        <v>36082</v>
      </c>
      <c r="B28649" s="4" t="s">
        <v>36083</v>
      </c>
      <c r="C28649" s="5" t="str">
        <f>IFERROR(__xludf.DUMMYFUNCTION("GOOGLETRANSLATE(B28649,""en"",""fr"")"),"Un homme dans un débardeur noir décrit l'entraînement cardio sur un vélo de spin.")</f>
        <v>Un homme dans un débardeur noir décrit l'entraînement cardio sur un vélo de spin.</v>
      </c>
    </row>
    <row r="28650">
      <c r="A28650" s="4" t="s">
        <v>36082</v>
      </c>
      <c r="B28650" s="6" t="s">
        <v>36084</v>
      </c>
      <c r="C28650" s="5" t="str">
        <f>IFERROR(__xludf.DUMMYFUNCTION("GOOGLETRANSLATE(B28650,""en"",""fr"")"),"L'homme dans le débardeur noir monte le vélo en rotation par intervalles de tension de vitesse de croisière de 45 secondes, les 15 secondes durement avec une tension.")</f>
        <v>L'homme dans le débardeur noir monte le vélo en rotation par intervalles de tension de vitesse de croisière de 45 secondes, les 15 secondes durement avec une tension.</v>
      </c>
    </row>
    <row r="28651">
      <c r="A28651" s="4" t="s">
        <v>36082</v>
      </c>
      <c r="B28651" s="4" t="s">
        <v>36085</v>
      </c>
      <c r="C28651" s="5" t="str">
        <f>IFERROR(__xludf.DUMMYFUNCTION("GOOGLETRANSLATE(B28651,""en"",""fr"")"),"Ensuite, refroidissez avec la tension de vitesse de croisière.")</f>
        <v>Ensuite, refroidissez avec la tension de vitesse de croisière.</v>
      </c>
    </row>
    <row r="28652">
      <c r="A28652" s="4" t="s">
        <v>36086</v>
      </c>
      <c r="B28652" s="4" t="s">
        <v>36087</v>
      </c>
      <c r="C28652" s="5" t="str">
        <f>IFERROR(__xludf.DUMMYFUNCTION("GOOGLETRANSLATE(B28652,""en"",""fr"")"),"Un gros plan d'une machine est montré suivi d'un homme pelletant de la saleté autour d'un sol.")</f>
        <v>Un gros plan d'une machine est montré suivi d'un homme pelletant de la saleté autour d'un sol.</v>
      </c>
    </row>
    <row r="28653">
      <c r="A28653" s="4" t="s">
        <v>36086</v>
      </c>
      <c r="B28653" s="4" t="s">
        <v>36088</v>
      </c>
      <c r="C28653" s="5" t="str">
        <f>IFERROR(__xludf.DUMMYFUNCTION("GOOGLETRANSLATE(B28653,""en"",""fr"")"),"L'homme utilise ensuite la machine autour de la saleté et des eaux dans la zone par la suite.")</f>
        <v>L'homme utilise ensuite la machine autour de la saleté et des eaux dans la zone par la suite.</v>
      </c>
    </row>
    <row r="28654">
      <c r="A28654" s="4" t="s">
        <v>36086</v>
      </c>
      <c r="B28654" s="4" t="s">
        <v>36089</v>
      </c>
      <c r="C28654" s="5" t="str">
        <f>IFERROR(__xludf.DUMMYFUNCTION("GOOGLETRANSLATE(B28654,""en"",""fr"")"),"Un autre homme est vu verser de l'eau sur le sol et coller du papier blanc vers le bas.")</f>
        <v>Un autre homme est vu verser de l'eau sur le sol et coller du papier blanc vers le bas.</v>
      </c>
    </row>
    <row r="28655">
      <c r="A28655" s="4" t="s">
        <v>36090</v>
      </c>
      <c r="B28655" s="4" t="s">
        <v>36091</v>
      </c>
      <c r="C28655" s="5" t="str">
        <f>IFERROR(__xludf.DUMMYFUNCTION("GOOGLETRANSLATE(B28655,""en"",""fr"")"),"Un homme est dans les eaux troubles, en utilisant une pagaie.")</f>
        <v>Un homme est dans les eaux troubles, en utilisant une pagaie.</v>
      </c>
    </row>
    <row r="28656">
      <c r="A28656" s="4" t="s">
        <v>36090</v>
      </c>
      <c r="B28656" s="4" t="s">
        <v>36092</v>
      </c>
      <c r="C28656" s="5" t="str">
        <f>IFERROR(__xludf.DUMMYFUNCTION("GOOGLETRANSLATE(B28656,""en"",""fr"")"),"Il se kayak vers la caméra et passe d'autres kayakers.")</f>
        <v>Il se kayak vers la caméra et passe d'autres kayakers.</v>
      </c>
    </row>
    <row r="28657">
      <c r="A28657" s="4" t="s">
        <v>36090</v>
      </c>
      <c r="B28657" s="4" t="s">
        <v>36093</v>
      </c>
      <c r="C28657" s="5" t="str">
        <f>IFERROR(__xludf.DUMMYFUNCTION("GOOGLETRANSLATE(B28657,""en"",""fr"")"),"Il traverse l'eau plus rapidement, essayant de suivre le courant.")</f>
        <v>Il traverse l'eau plus rapidement, essayant de suivre le courant.</v>
      </c>
    </row>
    <row r="28658">
      <c r="A28658" s="4" t="s">
        <v>36094</v>
      </c>
      <c r="B28658" s="6" t="s">
        <v>36095</v>
      </c>
      <c r="C28658" s="5" t="str">
        <f>IFERROR(__xludf.DUMMYFUNCTION("GOOGLETRANSLATE(B28658,""en"",""fr"")"),"Un homme est vu sauter de haut en bas sur une paire d'échecs tandis que quelques autres se déplacent sur des échasses avec aide.")</f>
        <v>Un homme est vu sauter de haut en bas sur une paire d'échecs tandis que quelques autres se déplacent sur des échasses avec aide.</v>
      </c>
    </row>
    <row r="28659">
      <c r="A28659" s="4" t="s">
        <v>36094</v>
      </c>
      <c r="B28659" s="6" t="s">
        <v>36096</v>
      </c>
      <c r="C28659" s="5" t="str">
        <f>IFERROR(__xludf.DUMMYFUNCTION("GOOGLETRANSLATE(B28659,""en"",""fr"")"),"Plus de coups sont montrés des gens qui sautent sur les échasses et d'autres ont encore besoin d'aide des autres.")</f>
        <v>Plus de coups sont montrés des gens qui sautent sur les échasses et d'autres ont encore besoin d'aide des autres.</v>
      </c>
    </row>
    <row r="28660">
      <c r="A28660" s="4" t="s">
        <v>36097</v>
      </c>
      <c r="B28660" s="6" t="s">
        <v>36098</v>
      </c>
      <c r="C28660" s="5" t="str">
        <f>IFERROR(__xludf.DUMMYFUNCTION("GOOGLETRANSLATE(B28660,""en"",""fr"")"),"La caméra se déroule autour d'une piscine et d'audience et mène à un groupe de nageurs debout prêts sur le côté.")</f>
        <v>La caméra se déroule autour d'une piscine et d'audience et mène à un groupe de nageurs debout prêts sur le côté.</v>
      </c>
    </row>
    <row r="28661">
      <c r="A28661" s="4" t="s">
        <v>36097</v>
      </c>
      <c r="B28661" s="6" t="s">
        <v>36099</v>
      </c>
      <c r="C28661" s="5" t="str">
        <f>IFERROR(__xludf.DUMMYFUNCTION("GOOGLETRANSLATE(B28661,""en"",""fr"")"),"Ensuite, plusieurs hommes sont vus effectuer des plongées impressionnantes dans une piscine qui incluent finalement des flips et des astuces et les plongeurs recevant des médailles.")</f>
        <v>Ensuite, plusieurs hommes sont vus effectuer des plongées impressionnantes dans une piscine qui incluent finalement des flips et des astuces et les plongeurs recevant des médailles.</v>
      </c>
    </row>
    <row r="28662">
      <c r="A28662" s="4" t="s">
        <v>36100</v>
      </c>
      <c r="B28662" s="4" t="s">
        <v>36101</v>
      </c>
      <c r="C28662" s="5" t="str">
        <f>IFERROR(__xludf.DUMMYFUNCTION("GOOGLETRANSLATE(B28662,""en"",""fr"")"),"Les gens sont dans une arène de rodéo tandis qu'un homme sur un cheval prépare une corde avec une boucle.")</f>
        <v>Les gens sont dans une arène de rodéo tandis qu'un homme sur un cheval prépare une corde avec une boucle.</v>
      </c>
    </row>
    <row r="28663">
      <c r="A28663" s="4" t="s">
        <v>36100</v>
      </c>
      <c r="B28663" s="4" t="s">
        <v>36102</v>
      </c>
      <c r="C28663" s="5" t="str">
        <f>IFERROR(__xludf.DUMMYFUNCTION("GOOGLETRANSLATE(B28663,""en"",""fr"")"),"Ensuite, l'homme tourne la boucle et lance pour attraper un mollet, puis courez et attachez le veau.")</f>
        <v>Ensuite, l'homme tourne la boucle et lance pour attraper un mollet, puis courez et attachez le veau.</v>
      </c>
    </row>
    <row r="28664">
      <c r="A28664" s="4" t="s">
        <v>36100</v>
      </c>
      <c r="B28664" s="4" t="s">
        <v>36103</v>
      </c>
      <c r="C28664" s="5" t="str">
        <f>IFERROR(__xludf.DUMMYFUNCTION("GOOGLETRANSLATE(B28664,""en"",""fr"")"),"Un jeune homme entre dans l'arène et détache le veau.")</f>
        <v>Un jeune homme entre dans l'arène et détache le veau.</v>
      </c>
    </row>
    <row r="28665">
      <c r="A28665" s="4" t="s">
        <v>36104</v>
      </c>
      <c r="B28665" s="4" t="s">
        <v>36105</v>
      </c>
      <c r="C28665" s="5" t="str">
        <f>IFERROR(__xludf.DUMMYFUNCTION("GOOGLETRANSLATE(B28665,""en"",""fr"")"),"Divers tirs sont représentés sur un bateau conduisant dans des conditions d'eau rugueuse sous plusieurs angles.")</f>
        <v>Divers tirs sont représentés sur un bateau conduisant dans des conditions d'eau rugueuse sous plusieurs angles.</v>
      </c>
    </row>
    <row r="28666">
      <c r="A28666" s="4" t="s">
        <v>36104</v>
      </c>
      <c r="B28666" s="6" t="s">
        <v>36106</v>
      </c>
      <c r="C28666" s="5" t="str">
        <f>IFERROR(__xludf.DUMMYFUNCTION("GOOGLETRANSLATE(B28666,""en"",""fr"")"),"La caméra montre une planche et ramène à l'eau, passant vers des personnes vues assises à l'intérieur du bateau.")</f>
        <v>La caméra montre une planche et ramène à l'eau, passant vers des personnes vues assises à l'intérieur du bateau.</v>
      </c>
    </row>
    <row r="28667">
      <c r="A28667" s="4" t="s">
        <v>36104</v>
      </c>
      <c r="B28667" s="4" t="s">
        <v>36107</v>
      </c>
      <c r="C28667" s="5" t="str">
        <f>IFERROR(__xludf.DUMMYFUNCTION("GOOGLETRANSLATE(B28667,""en"",""fr"")"),"La caméra se promène davantage et capture les vues de l'intérieur ainsi que de l'eau.")</f>
        <v>La caméra se promène davantage et capture les vues de l'intérieur ainsi que de l'eau.</v>
      </c>
    </row>
    <row r="28668">
      <c r="A28668" s="4" t="s">
        <v>36108</v>
      </c>
      <c r="B28668" s="4" t="s">
        <v>36109</v>
      </c>
      <c r="C28668" s="5" t="str">
        <f>IFERROR(__xludf.DUMMYFUNCTION("GOOGLETRANSLATE(B28668,""en"",""fr"")"),"Un homme chauve à l'intérieur d'une maison tient une caméra et filtre une femme sur des échasses.")</f>
        <v>Un homme chauve à l'intérieur d'une maison tient une caméra et filtre une femme sur des échasses.</v>
      </c>
    </row>
    <row r="28669">
      <c r="A28669" s="4" t="s">
        <v>36108</v>
      </c>
      <c r="B28669" s="4" t="s">
        <v>36110</v>
      </c>
      <c r="C28669" s="5" t="str">
        <f>IFERROR(__xludf.DUMMYFUNCTION("GOOGLETRANSLATE(B28669,""en"",""fr"")"),"La caméra se déroule à la femme, qui se promène dans le salon dans les échasses.")</f>
        <v>La caméra se déroule à la femme, qui se promène dans le salon dans les échasses.</v>
      </c>
    </row>
    <row r="28670">
      <c r="A28670" s="4" t="s">
        <v>36108</v>
      </c>
      <c r="B28670" s="4" t="s">
        <v>36111</v>
      </c>
      <c r="C28670" s="5" t="str">
        <f>IFERROR(__xludf.DUMMYFUNCTION("GOOGLETRANSLATE(B28670,""en"",""fr"")"),"L'homme demande à la femme d'agir comme un personnage de film, et elle est d'accord.")</f>
        <v>L'homme demande à la femme d'agir comme un personnage de film, et elle est d'accord.</v>
      </c>
    </row>
    <row r="28671">
      <c r="A28671" s="4" t="s">
        <v>36108</v>
      </c>
      <c r="B28671" s="4" t="s">
        <v>36112</v>
      </c>
      <c r="C28671" s="5" t="str">
        <f>IFERROR(__xludf.DUMMYFUNCTION("GOOGLETRANSLATE(B28671,""en"",""fr"")"),"La femme attrape ensuite la caméra, et la vue est obscurcie par sa main.")</f>
        <v>La femme attrape ensuite la caméra, et la vue est obscurcie par sa main.</v>
      </c>
    </row>
    <row r="28672">
      <c r="A28672" s="4" t="s">
        <v>36113</v>
      </c>
      <c r="B28672" s="4" t="s">
        <v>36114</v>
      </c>
      <c r="C28672" s="5" t="str">
        <f>IFERROR(__xludf.DUMMYFUNCTION("GOOGLETRANSLATE(B28672,""en"",""fr"")"),"Une femme se tient à l'extérieur, parle à la caméra.")</f>
        <v>Une femme se tient à l'extérieur, parle à la caméra.</v>
      </c>
    </row>
    <row r="28673">
      <c r="A28673" s="4" t="s">
        <v>36113</v>
      </c>
      <c r="B28673" s="4" t="s">
        <v>36115</v>
      </c>
      <c r="C28673" s="5" t="str">
        <f>IFERROR(__xludf.DUMMYFUNCTION("GOOGLETRANSLATE(B28673,""en"",""fr"")"),"Elle parle beaucoup dans son emplacement de New York.")</f>
        <v>Elle parle beaucoup dans son emplacement de New York.</v>
      </c>
    </row>
    <row r="28674">
      <c r="A28674" s="4" t="s">
        <v>36113</v>
      </c>
      <c r="B28674" s="4" t="s">
        <v>36116</v>
      </c>
      <c r="C28674" s="5" t="str">
        <f>IFERROR(__xludf.DUMMYFUNCTION("GOOGLETRANSLATE(B28674,""en"",""fr"")"),"À la fin, un écran apparaît avec les coordonnées.")</f>
        <v>À la fin, un écran apparaît avec les coordonnées.</v>
      </c>
    </row>
    <row r="28675">
      <c r="A28675" s="4" t="s">
        <v>36117</v>
      </c>
      <c r="B28675" s="4" t="s">
        <v>36118</v>
      </c>
      <c r="C28675" s="5" t="str">
        <f>IFERROR(__xludf.DUMMYFUNCTION("GOOGLETRANSLATE(B28675,""en"",""fr"")"),"Tout d'abord, l'homme monte sur la scène au début et secoue grossièrement la tête.")</f>
        <v>Tout d'abord, l'homme monte sur la scène au début et secoue grossièrement la tête.</v>
      </c>
    </row>
    <row r="28676">
      <c r="A28676" s="4" t="s">
        <v>36117</v>
      </c>
      <c r="B28676" s="4" t="s">
        <v>36119</v>
      </c>
      <c r="C28676" s="5" t="str">
        <f>IFERROR(__xludf.DUMMYFUNCTION("GOOGLETRANSLATE(B28676,""en"",""fr"")"),"Puis il lutte un homme chauve dans un match de lutte.")</f>
        <v>Puis il lutte un homme chauve dans un match de lutte.</v>
      </c>
    </row>
    <row r="28677">
      <c r="A28677" s="4" t="s">
        <v>36117</v>
      </c>
      <c r="B28677" s="6" t="s">
        <v>36120</v>
      </c>
      <c r="C28677" s="5" t="str">
        <f>IFERROR(__xludf.DUMMYFUNCTION("GOOGLETRANSLATE(B28677,""en"",""fr"")"),"Ensuite, il lutte contre un homme qui a de longs cheveux blonds courts et il lutte contre un homme qui a une coupe de cheveux basse et il gagne.")</f>
        <v>Ensuite, il lutte contre un homme qui a de longs cheveux blonds courts et il lutte contre un homme qui a une coupe de cheveux basse et il gagne.</v>
      </c>
    </row>
    <row r="28678">
      <c r="A28678" s="4" t="s">
        <v>36117</v>
      </c>
      <c r="B28678" s="4" t="s">
        <v>36121</v>
      </c>
      <c r="C28678" s="5" t="str">
        <f>IFERROR(__xludf.DUMMYFUNCTION("GOOGLETRANSLATE(B28678,""en"",""fr"")"),"La foule commence à applaudir et à rugir à cause du nombre de fois qu'il avait gagné.")</f>
        <v>La foule commence à applaudir et à rugir à cause du nombre de fois qu'il avait gagné.</v>
      </c>
    </row>
    <row r="28679">
      <c r="A28679" s="4" t="s">
        <v>36122</v>
      </c>
      <c r="B28679" s="4" t="s">
        <v>36123</v>
      </c>
      <c r="C28679" s="5" t="str">
        <f>IFERROR(__xludf.DUMMYFUNCTION("GOOGLETRANSLATE(B28679,""en"",""fr"")"),"Un jeune homme est assis sur un lit.")</f>
        <v>Un jeune homme est assis sur un lit.</v>
      </c>
    </row>
    <row r="28680">
      <c r="A28680" s="4" t="s">
        <v>36122</v>
      </c>
      <c r="B28680" s="4" t="s">
        <v>36124</v>
      </c>
      <c r="C28680" s="5" t="str">
        <f>IFERROR(__xludf.DUMMYFUNCTION("GOOGLETRANSLATE(B28680,""en"",""fr"")"),"L'homme commence à jouer d'une guitare acoustique.")</f>
        <v>L'homme commence à jouer d'une guitare acoustique.</v>
      </c>
    </row>
    <row r="28681">
      <c r="A28681" s="4" t="s">
        <v>36122</v>
      </c>
      <c r="B28681" s="4" t="s">
        <v>36125</v>
      </c>
      <c r="C28681" s="5" t="str">
        <f>IFERROR(__xludf.DUMMYFUNCTION("GOOGLETRANSLATE(B28681,""en"",""fr"")"),"L'homme commence à chanter en jouant.")</f>
        <v>L'homme commence à chanter en jouant.</v>
      </c>
    </row>
    <row r="28682">
      <c r="A28682" s="4" t="s">
        <v>36122</v>
      </c>
      <c r="B28682" s="4" t="s">
        <v>36126</v>
      </c>
      <c r="C28682" s="5" t="str">
        <f>IFERROR(__xludf.DUMMYFUNCTION("GOOGLETRANSLATE(B28682,""en"",""fr"")"),"L'homme s'arrête et roule, c'est les yeux.")</f>
        <v>L'homme s'arrête et roule, c'est les yeux.</v>
      </c>
    </row>
    <row r="28683">
      <c r="A28683" s="4" t="s">
        <v>36122</v>
      </c>
      <c r="B28683" s="4" t="s">
        <v>36127</v>
      </c>
      <c r="C28683" s="5" t="str">
        <f>IFERROR(__xludf.DUMMYFUNCTION("GOOGLETRANSLATE(B28683,""en"",""fr"")"),"L'homme finit et lève les yeux, puis au sol.")</f>
        <v>L'homme finit et lève les yeux, puis au sol.</v>
      </c>
    </row>
    <row r="28684">
      <c r="A28684" s="4" t="s">
        <v>36128</v>
      </c>
      <c r="B28684" s="4" t="s">
        <v>36129</v>
      </c>
      <c r="C28684" s="5" t="str">
        <f>IFERROR(__xludf.DUMMYFUNCTION("GOOGLETRANSLATE(B28684,""en"",""fr"")"),"Un homme est vu assis derrière un jeu de tambour commençant à jouer tandis que d'autres le regardent sur le côté.")</f>
        <v>Un homme est vu assis derrière un jeu de tambour commençant à jouer tandis que d'autres le regardent sur le côté.</v>
      </c>
    </row>
    <row r="28685">
      <c r="A28685" s="4" t="s">
        <v>36128</v>
      </c>
      <c r="B28685" s="6" t="s">
        <v>36130</v>
      </c>
      <c r="C28685" s="5" t="str">
        <f>IFERROR(__xludf.DUMMYFUNCTION("GOOGLETRANSLATE(B28685,""en"",""fr"")"),"L'homme continue de jouer au tambour de plus de plus en plus rapidement et se termine en s'arrêtant pour parler à la caméra.")</f>
        <v>L'homme continue de jouer au tambour de plus de plus en plus rapidement et se termine en s'arrêtant pour parler à la caméra.</v>
      </c>
    </row>
    <row r="28686">
      <c r="A28686" s="4" t="s">
        <v>36131</v>
      </c>
      <c r="B28686" s="4" t="s">
        <v>36132</v>
      </c>
      <c r="C28686" s="5" t="str">
        <f>IFERROR(__xludf.DUMMYFUNCTION("GOOGLETRANSLATE(B28686,""en"",""fr"")"),"La femme ajuste le Matt, tandis que l'homme élève le poteau.")</f>
        <v>La femme ajuste le Matt, tandis que l'homme élève le poteau.</v>
      </c>
    </row>
    <row r="28687">
      <c r="A28687" s="4" t="s">
        <v>36131</v>
      </c>
      <c r="B28687" s="4" t="s">
        <v>36133</v>
      </c>
      <c r="C28687" s="5" t="str">
        <f>IFERROR(__xludf.DUMMYFUNCTION("GOOGLETRANSLATE(B28687,""en"",""fr"")"),"La femme court avec un poteau, puis elle a sauté par-dessus la corde jaune.")</f>
        <v>La femme court avec un poteau, puis elle a sauté par-dessus la corde jaune.</v>
      </c>
    </row>
    <row r="28688">
      <c r="A28688" s="4" t="s">
        <v>36131</v>
      </c>
      <c r="B28688" s="6" t="s">
        <v>36134</v>
      </c>
      <c r="C28688" s="5" t="str">
        <f>IFERROR(__xludf.DUMMYFUNCTION("GOOGLETRANSLATE(B28688,""en"",""fr"")"),"La femme a sauté par-dessus la corde tandis que son entraîneur est sur le côté du tract la regardant et l'aidant alors qu'elle sautait par-dessus le poteau.")</f>
        <v>La femme a sauté par-dessus la corde tandis que son entraîneur est sur le côté du tract la regardant et l'aidant alors qu'elle sautait par-dessus le poteau.</v>
      </c>
    </row>
    <row r="28689">
      <c r="A28689" s="4" t="s">
        <v>36135</v>
      </c>
      <c r="B28689" s="4" t="s">
        <v>36136</v>
      </c>
      <c r="C28689" s="5" t="str">
        <f>IFERROR(__xludf.DUMMYFUNCTION("GOOGLETRANSLATE(B28689,""en"",""fr"")"),"Un coiffeur est montré en utilisant des tondeuses sur la tête de son client dans un salon de coiffure.")</f>
        <v>Un coiffeur est montré en utilisant des tondeuses sur la tête de son client dans un salon de coiffure.</v>
      </c>
    </row>
    <row r="28690">
      <c r="A28690" s="4" t="s">
        <v>36135</v>
      </c>
      <c r="B28690" s="4" t="s">
        <v>36137</v>
      </c>
      <c r="C28690" s="5" t="str">
        <f>IFERROR(__xludf.DUMMYFUNCTION("GOOGLETRANSLATE(B28690,""en"",""fr"")"),"Il rasait la tête d'un homme avec de la crème à raser et un rasoir.")</f>
        <v>Il rasait la tête d'un homme avec de la crème à raser et un rasoir.</v>
      </c>
    </row>
    <row r="28691">
      <c r="A28691" s="4" t="s">
        <v>36135</v>
      </c>
      <c r="B28691" s="4" t="s">
        <v>36138</v>
      </c>
      <c r="C28691" s="5" t="str">
        <f>IFERROR(__xludf.DUMMYFUNCTION("GOOGLETRANSLATE(B28691,""en"",""fr"")"),"Il coiffe également les cheveux d'un garçon avec du gel et un peigne.")</f>
        <v>Il coiffe également les cheveux d'un garçon avec du gel et un peigne.</v>
      </c>
    </row>
    <row r="28692">
      <c r="A28692" s="4" t="s">
        <v>36135</v>
      </c>
      <c r="B28692" s="4" t="s">
        <v>36139</v>
      </c>
      <c r="C28692" s="5" t="str">
        <f>IFERROR(__xludf.DUMMYFUNCTION("GOOGLETRANSLATE(B28692,""en"",""fr"")"),"Il rasait la barbe d'un homme avec du gel de rasage et un rasoir.")</f>
        <v>Il rasait la barbe d'un homme avec du gel de rasage et un rasoir.</v>
      </c>
    </row>
    <row r="28693">
      <c r="A28693" s="4" t="s">
        <v>36135</v>
      </c>
      <c r="B28693" s="4" t="s">
        <v>36140</v>
      </c>
      <c r="C28693" s="5" t="str">
        <f>IFERROR(__xludf.DUMMYFUNCTION("GOOGLETRANSLATE(B28693,""en"",""fr"")"),"Il coupe également les cheveux d'un homme avec des ciseaux pour lui donner un mohawk.")</f>
        <v>Il coupe également les cheveux d'un homme avec des ciseaux pour lui donner un mohawk.</v>
      </c>
    </row>
    <row r="28694">
      <c r="A28694" s="4" t="s">
        <v>36135</v>
      </c>
      <c r="B28694" s="4" t="s">
        <v>36141</v>
      </c>
      <c r="C28694" s="5" t="str">
        <f>IFERROR(__xludf.DUMMYFUNCTION("GOOGLETRANSLATE(B28694,""en"",""fr"")"),"Il utilise des tondeuses sur un jeune homme.")</f>
        <v>Il utilise des tondeuses sur un jeune homme.</v>
      </c>
    </row>
    <row r="28695">
      <c r="A28695" s="4" t="s">
        <v>36135</v>
      </c>
      <c r="B28695" s="4" t="s">
        <v>36142</v>
      </c>
      <c r="C28695" s="5" t="str">
        <f>IFERROR(__xludf.DUMMYFUNCTION("GOOGLETRANSLATE(B28695,""en"",""fr"")"),"Le site Web est annoncé à l'écran avec des photos du site Web.")</f>
        <v>Le site Web est annoncé à l'écran avec des photos du site Web.</v>
      </c>
    </row>
    <row r="28696">
      <c r="A28696" s="4" t="s">
        <v>36143</v>
      </c>
      <c r="B28696" s="4" t="s">
        <v>36144</v>
      </c>
      <c r="C28696" s="5" t="str">
        <f>IFERROR(__xludf.DUMMYFUNCTION("GOOGLETRANSLATE(B28696,""en"",""fr"")"),"Un homme est à l'extérieur dans un champ d'herbe poussant une tondeuse à gazon dans les deux sens.")</f>
        <v>Un homme est à l'extérieur dans un champ d'herbe poussant une tondeuse à gazon dans les deux sens.</v>
      </c>
    </row>
    <row r="28697">
      <c r="A28697" s="4" t="s">
        <v>36143</v>
      </c>
      <c r="B28697" s="6" t="s">
        <v>36145</v>
      </c>
      <c r="C28697" s="5" t="str">
        <f>IFERROR(__xludf.DUMMYFUNCTION("GOOGLETRANSLATE(B28697,""en"",""fr"")"),"Une fois qu'il est arrivé de l'autre côté de la bande, la personne avec la caméra se rapproche de lui et commence à leur parler.")</f>
        <v>Une fois qu'il est arrivé de l'autre côté de la bande, la personne avec la caméra se rapproche de lui et commence à leur parler.</v>
      </c>
    </row>
    <row r="28698">
      <c r="A28698" s="4" t="s">
        <v>36143</v>
      </c>
      <c r="B28698" s="4" t="s">
        <v>36146</v>
      </c>
      <c r="C28698" s="5" t="str">
        <f>IFERROR(__xludf.DUMMYFUNCTION("GOOGLETRANSLATE(B28698,""en"",""fr"")"),"Après, le gars avec la tondeuse à gazon commence à rire et continue de couper la cour.")</f>
        <v>Après, le gars avec la tondeuse à gazon commence à rire et continue de couper la cour.</v>
      </c>
    </row>
    <row r="28699">
      <c r="A28699" s="4" t="s">
        <v>36147</v>
      </c>
      <c r="B28699" s="4" t="s">
        <v>36148</v>
      </c>
      <c r="C28699" s="5" t="str">
        <f>IFERROR(__xludf.DUMMYFUNCTION("GOOGLETRANSLATE(B28699,""en"",""fr"")"),"On voit un graphique d'un garçon avec un ballon de football avec 3 défenseurs.")</f>
        <v>On voit un graphique d'un garçon avec un ballon de football avec 3 défenseurs.</v>
      </c>
    </row>
    <row r="28700">
      <c r="A28700" s="4" t="s">
        <v>36147</v>
      </c>
      <c r="B28700" s="4" t="s">
        <v>36149</v>
      </c>
      <c r="C28700" s="5" t="str">
        <f>IFERROR(__xludf.DUMMYFUNCTION("GOOGLETRANSLATE(B28700,""en"",""fr"")"),"La balle est déviée par les défenseurs du graphique.")</f>
        <v>La balle est déviée par les défenseurs du graphique.</v>
      </c>
    </row>
    <row r="28701">
      <c r="A28701" s="4" t="s">
        <v>36147</v>
      </c>
      <c r="B28701" s="6" t="s">
        <v>36150</v>
      </c>
      <c r="C28701" s="5" t="str">
        <f>IFERROR(__xludf.DUMMYFUNCTION("GOOGLETRANSLATE(B28701,""en"",""fr"")"),"Un joueur de football lance un ballon qui est bloqué par une série de défenseurs et un gardien de but et un champ intérieur.")</f>
        <v>Un joueur de football lance un ballon qui est bloqué par une série de défenseurs et un gardien de but et un champ intérieur.</v>
      </c>
    </row>
    <row r="28702">
      <c r="A28702" s="4" t="s">
        <v>36151</v>
      </c>
      <c r="B28702" s="4" t="s">
        <v>36152</v>
      </c>
      <c r="C28702" s="5" t="str">
        <f>IFERROR(__xludf.DUMMYFUNCTION("GOOGLETRANSLATE(B28702,""en"",""fr"")"),"Un petit terrain de jeu est vu suivi par un homme et son chien entrant dans le cadre.")</f>
        <v>Un petit terrain de jeu est vu suivi par un homme et son chien entrant dans le cadre.</v>
      </c>
    </row>
    <row r="28703">
      <c r="A28703" s="4" t="s">
        <v>36151</v>
      </c>
      <c r="B28703" s="4" t="s">
        <v>36153</v>
      </c>
      <c r="C28703" s="5" t="str">
        <f>IFERROR(__xludf.DUMMYFUNCTION("GOOGLETRANSLATE(B28703,""en"",""fr"")"),"L'homme pousse le chien vers le haut et le chien monte sur la diapositive.")</f>
        <v>L'homme pousse le chien vers le haut et le chien monte sur la diapositive.</v>
      </c>
    </row>
    <row r="28704">
      <c r="A28704" s="4" t="s">
        <v>36151</v>
      </c>
      <c r="B28704" s="4" t="s">
        <v>36154</v>
      </c>
      <c r="C28704" s="5" t="str">
        <f>IFERROR(__xludf.DUMMYFUNCTION("GOOGLETRANSLATE(B28704,""en"",""fr"")"),"L'homme recommence avec le chien dans une autre aire de jeux.")</f>
        <v>L'homme recommence avec le chien dans une autre aire de jeux.</v>
      </c>
    </row>
    <row r="28705">
      <c r="A28705" s="4" t="s">
        <v>36155</v>
      </c>
      <c r="B28705" s="4" t="s">
        <v>36156</v>
      </c>
      <c r="C28705" s="5" t="str">
        <f>IFERROR(__xludf.DUMMYFUNCTION("GOOGLETRANSLATE(B28705,""en"",""fr"")"),"Un homme est dans un bateau dans l'eau.")</f>
        <v>Un homme est dans un bateau dans l'eau.</v>
      </c>
    </row>
    <row r="28706">
      <c r="A28706" s="4" t="s">
        <v>36155</v>
      </c>
      <c r="B28706" s="4" t="s">
        <v>36157</v>
      </c>
      <c r="C28706" s="5" t="str">
        <f>IFERROR(__xludf.DUMMYFUNCTION("GOOGLETRANSLATE(B28706,""en"",""fr"")"),"Une miche de pain est jetée sur les poissons et ils se battent pour le manger.")</f>
        <v>Une miche de pain est jetée sur les poissons et ils se battent pour le manger.</v>
      </c>
    </row>
    <row r="28707">
      <c r="A28707" s="4" t="s">
        <v>36155</v>
      </c>
      <c r="B28707" s="4" t="s">
        <v>36158</v>
      </c>
      <c r="C28707" s="5" t="str">
        <f>IFERROR(__xludf.DUMMYFUNCTION("GOOGLETRANSLATE(B28707,""en"",""fr"")"),"L'homme plonge dans la mer profonde à travers les hauts-fonds et les coraux.")</f>
        <v>L'homme plonge dans la mer profonde à travers les hauts-fonds et les coraux.</v>
      </c>
    </row>
    <row r="28708">
      <c r="A28708" s="4" t="s">
        <v>36159</v>
      </c>
      <c r="B28708" s="4" t="s">
        <v>36160</v>
      </c>
      <c r="C28708" s="5" t="str">
        <f>IFERROR(__xludf.DUMMYFUNCTION("GOOGLETRANSLATE(B28708,""en"",""fr"")"),"Quatre hommes jouent à Dodge Ball dans un terrain d'intérieur.")</f>
        <v>Quatre hommes jouent à Dodge Ball dans un terrain d'intérieur.</v>
      </c>
    </row>
    <row r="28709">
      <c r="A28709" s="4" t="s">
        <v>36159</v>
      </c>
      <c r="B28709" s="4" t="s">
        <v>36161</v>
      </c>
      <c r="C28709" s="5" t="str">
        <f>IFERROR(__xludf.DUMMYFUNCTION("GOOGLETRANSLATE(B28709,""en"",""fr"")"),"Ils commencent à courir vers les boules rouges après que l'entraîneur ait sifflé.")</f>
        <v>Ils commencent à courir vers les boules rouges après que l'entraîneur ait sifflé.</v>
      </c>
    </row>
    <row r="28710">
      <c r="A28710" s="4" t="s">
        <v>36159</v>
      </c>
      <c r="B28710" s="4" t="s">
        <v>36162</v>
      </c>
      <c r="C28710" s="5" t="str">
        <f>IFERROR(__xludf.DUMMYFUNCTION("GOOGLETRANSLATE(B28710,""en"",""fr"")"),"L'un des joueurs frappe le ballon sur son adversaire.")</f>
        <v>L'un des joueurs frappe le ballon sur son adversaire.</v>
      </c>
    </row>
    <row r="28711">
      <c r="A28711" s="4" t="s">
        <v>36159</v>
      </c>
      <c r="B28711" s="4" t="s">
        <v>36163</v>
      </c>
      <c r="C28711" s="5" t="str">
        <f>IFERROR(__xludf.DUMMYFUNCTION("GOOGLETRANSLATE(B28711,""en"",""fr"")"),"L'adversaire recule à l'autre joueur, mais il parvient à esquiver le ballon.")</f>
        <v>L'adversaire recule à l'autre joueur, mais il parvient à esquiver le ballon.</v>
      </c>
    </row>
    <row r="28712">
      <c r="A28712" s="4" t="s">
        <v>36159</v>
      </c>
      <c r="B28712" s="4" t="s">
        <v>36164</v>
      </c>
      <c r="C28712" s="5" t="str">
        <f>IFERROR(__xludf.DUMMYFUNCTION("GOOGLETRANSLATE(B28712,""en"",""fr"")"),"Ensuite, le joueur frappe une autre balle directement à son adversaire debout en face de lui.")</f>
        <v>Ensuite, le joueur frappe une autre balle directement à son adversaire debout en face de lui.</v>
      </c>
    </row>
    <row r="28713">
      <c r="A28713" s="4" t="s">
        <v>36159</v>
      </c>
      <c r="B28713" s="4" t="s">
        <v>36165</v>
      </c>
      <c r="C28713" s="5" t="str">
        <f>IFERROR(__xludf.DUMMYFUNCTION("GOOGLETRANSLATE(B28713,""en"",""fr"")"),"Le joueur frappe fort le ballon sur la jambe de son adversaire.")</f>
        <v>Le joueur frappe fort le ballon sur la jambe de son adversaire.</v>
      </c>
    </row>
    <row r="28714">
      <c r="A28714" s="4" t="s">
        <v>36159</v>
      </c>
      <c r="B28714" s="4" t="s">
        <v>36166</v>
      </c>
      <c r="C28714" s="5" t="str">
        <f>IFERROR(__xludf.DUMMYFUNCTION("GOOGLETRANSLATE(B28714,""en"",""fr"")"),"Ils continuent de jouer plusieurs tours de Dodge Ball.")</f>
        <v>Ils continuent de jouer plusieurs tours de Dodge Ball.</v>
      </c>
    </row>
    <row r="28715">
      <c r="A28715" s="4" t="s">
        <v>36159</v>
      </c>
      <c r="B28715" s="4" t="s">
        <v>36167</v>
      </c>
      <c r="C28715" s="5" t="str">
        <f>IFERROR(__xludf.DUMMYFUNCTION("GOOGLETRANSLATE(B28715,""en"",""fr"")"),"Le joueur vise directement l'un de ses adversaires et le frappe sur sa jambe.")</f>
        <v>Le joueur vise directement l'un de ses adversaires et le frappe sur sa jambe.</v>
      </c>
    </row>
    <row r="28716">
      <c r="A28716" s="4" t="s">
        <v>36159</v>
      </c>
      <c r="B28716" s="4" t="s">
        <v>36168</v>
      </c>
      <c r="C28716" s="5" t="str">
        <f>IFERROR(__xludf.DUMMYFUNCTION("GOOGLETRANSLATE(B28716,""en"",""fr"")"),"Le jeu se termine après que l'entraîneur ait sifflé.")</f>
        <v>Le jeu se termine après que l'entraîneur ait sifflé.</v>
      </c>
    </row>
    <row r="28717">
      <c r="A28717" s="4" t="s">
        <v>36169</v>
      </c>
      <c r="B28717" s="4" t="s">
        <v>36170</v>
      </c>
      <c r="C28717" s="5" t="str">
        <f>IFERROR(__xludf.DUMMYFUNCTION("GOOGLETRANSLATE(B28717,""en"",""fr"")"),"Les gens naviguent dans des canoës dans une rivière rameuse.")</f>
        <v>Les gens naviguent dans des canoës dans une rivière rameuse.</v>
      </c>
    </row>
    <row r="28718">
      <c r="A28718" s="4" t="s">
        <v>36169</v>
      </c>
      <c r="B28718" s="4" t="s">
        <v>36171</v>
      </c>
      <c r="C28718" s="5" t="str">
        <f>IFERROR(__xludf.DUMMYFUNCTION("GOOGLETRANSLATE(B28718,""en"",""fr"")"),"Un jeune homme joue de la guitare dans un bateau, tandis qu'un jeune fume une cigarette.")</f>
        <v>Un jeune homme joue de la guitare dans un bateau, tandis qu'un jeune fume une cigarette.</v>
      </c>
    </row>
    <row r="28719">
      <c r="A28719" s="4" t="s">
        <v>36169</v>
      </c>
      <c r="B28719" s="4" t="s">
        <v>36172</v>
      </c>
      <c r="C28719" s="5" t="str">
        <f>IFERROR(__xludf.DUMMYFUNCTION("GOOGLETRANSLATE(B28719,""en"",""fr"")"),"Deux jeunes femmes naviguent sur un bateau derrière les hommes.")</f>
        <v>Deux jeunes femmes naviguent sur un bateau derrière les hommes.</v>
      </c>
    </row>
    <row r="28720">
      <c r="A28720" s="4" t="s">
        <v>36173</v>
      </c>
      <c r="B28720" s="6" t="s">
        <v>36174</v>
      </c>
      <c r="C28720" s="5" t="str">
        <f>IFERROR(__xludf.DUMMYFUNCTION("GOOGLETRANSLATE(B28720,""en"",""fr"")"),"Une femme est vue en train d'organiser un segment d'actualités et mène à des photos de personnes jouant au football et aux membres du public.")</f>
        <v>Une femme est vue en train d'organiser un segment d'actualités et mène à des photos de personnes jouant au football et aux membres du public.</v>
      </c>
    </row>
    <row r="28721">
      <c r="A28721" s="4" t="s">
        <v>36173</v>
      </c>
      <c r="B28721" s="6" t="s">
        <v>36175</v>
      </c>
      <c r="C28721" s="5" t="str">
        <f>IFERROR(__xludf.DUMMYFUNCTION("GOOGLETRANSLATE(B28721,""en"",""fr"")"),"Plus de faits saillants du jeu sont affichés ainsi que les coéquipiers qui célébraient et se serrent dans les bras.")</f>
        <v>Plus de faits saillants du jeu sont affichés ainsi que les coéquipiers qui célébraient et se serrent dans les bras.</v>
      </c>
    </row>
    <row r="28722">
      <c r="A28722" s="4" t="s">
        <v>36176</v>
      </c>
      <c r="B28722" s="4" t="s">
        <v>36177</v>
      </c>
      <c r="C28722" s="5" t="str">
        <f>IFERROR(__xludf.DUMMYFUNCTION("GOOGLETRANSLATE(B28722,""en"",""fr"")"),"Une icône de Fox News apparaît à l'écran.")</f>
        <v>Une icône de Fox News apparaît à l'écran.</v>
      </c>
    </row>
    <row r="28723">
      <c r="A28723" s="4" t="s">
        <v>36176</v>
      </c>
      <c r="B28723" s="4" t="s">
        <v>36178</v>
      </c>
      <c r="C28723" s="5" t="str">
        <f>IFERROR(__xludf.DUMMYFUNCTION("GOOGLETRANSLATE(B28723,""en"",""fr"")"),"Un groupe de personnes est dans un bâtiment, jouant à un jeu appelé Beer Pong.")</f>
        <v>Un groupe de personnes est dans un bâtiment, jouant à un jeu appelé Beer Pong.</v>
      </c>
    </row>
    <row r="28724">
      <c r="A28724" s="4" t="s">
        <v>36176</v>
      </c>
      <c r="B28724" s="4" t="s">
        <v>36179</v>
      </c>
      <c r="C28724" s="5" t="str">
        <f>IFERROR(__xludf.DUMMYFUNCTION("GOOGLETRANSLATE(B28724,""en"",""fr"")"),"Les journalistes se réunissent dans leur studio pour jouer à Beer Pong.")</f>
        <v>Les journalistes se réunissent dans leur studio pour jouer à Beer Pong.</v>
      </c>
    </row>
    <row r="28725">
      <c r="A28725" s="4" t="s">
        <v>36176</v>
      </c>
      <c r="B28725" s="4" t="s">
        <v>36180</v>
      </c>
      <c r="C28725" s="5" t="str">
        <f>IFERROR(__xludf.DUMMYFUNCTION("GOOGLETRANSLATE(B28725,""en"",""fr"")"),"Un journaliste masculin et féminin tente de jeter les balles sur les tasses.")</f>
        <v>Un journaliste masculin et féminin tente de jeter les balles sur les tasses.</v>
      </c>
    </row>
    <row r="28726">
      <c r="A28726" s="4" t="s">
        <v>36176</v>
      </c>
      <c r="B28726" s="4" t="s">
        <v>36181</v>
      </c>
      <c r="C28726" s="5" t="str">
        <f>IFERROR(__xludf.DUMMYFUNCTION("GOOGLETRANSLATE(B28726,""en"",""fr"")"),"La femme s'éloigne en riant tandis que les autres journalistes continuent de parler.")</f>
        <v>La femme s'éloigne en riant tandis que les autres journalistes continuent de parler.</v>
      </c>
    </row>
    <row r="28727">
      <c r="A28727" s="4" t="s">
        <v>36176</v>
      </c>
      <c r="B28727" s="4" t="s">
        <v>36182</v>
      </c>
      <c r="C28727" s="5" t="str">
        <f>IFERROR(__xludf.DUMMYFUNCTION("GOOGLETRANSLATE(B28727,""en"",""fr"")"),"Ils reprennent le jeu avant que l'icône de Fox News n'apparaisse à l'écran.")</f>
        <v>Ils reprennent le jeu avant que l'icône de Fox News n'apparaisse à l'écran.</v>
      </c>
    </row>
    <row r="28728">
      <c r="A28728" s="4" t="s">
        <v>36183</v>
      </c>
      <c r="B28728" s="4" t="s">
        <v>36184</v>
      </c>
      <c r="C28728" s="5" t="str">
        <f>IFERROR(__xludf.DUMMYFUNCTION("GOOGLETRANSLATE(B28728,""en"",""fr"")"),"On voit deux personnes se promener sur des échasses au milieu d'une rue et un trottoir.")</f>
        <v>On voit deux personnes se promener sur des échasses au milieu d'une rue et un trottoir.</v>
      </c>
    </row>
    <row r="28729">
      <c r="A28729" s="4" t="s">
        <v>36183</v>
      </c>
      <c r="B28729" s="4" t="s">
        <v>36185</v>
      </c>
      <c r="C28729" s="5" t="str">
        <f>IFERROR(__xludf.DUMMYFUNCTION("GOOGLETRANSLATE(B28729,""en"",""fr"")"),"La promenade continue de marcher dans les rues sur les échasses qui passent par des gens et parlaient.")</f>
        <v>La promenade continue de marcher dans les rues sur les échasses qui passent par des gens et parlaient.</v>
      </c>
    </row>
    <row r="28730">
      <c r="A28730" s="4" t="s">
        <v>36186</v>
      </c>
      <c r="B28730" s="4" t="s">
        <v>36187</v>
      </c>
      <c r="C28730" s="5" t="str">
        <f>IFERROR(__xludf.DUMMYFUNCTION("GOOGLETRANSLATE(B28730,""en"",""fr"")"),"La femme se tient dans un terrain en jouant aux cornemas.")</f>
        <v>La femme se tient dans un terrain en jouant aux cornemas.</v>
      </c>
    </row>
    <row r="28731">
      <c r="A28731" s="4" t="s">
        <v>36186</v>
      </c>
      <c r="B28731" s="4" t="s">
        <v>36188</v>
      </c>
      <c r="C28731" s="5" t="str">
        <f>IFERROR(__xludf.DUMMYFUNCTION("GOOGLETRANSLATE(B28731,""en"",""fr"")"),"La femme se tient au milieu d'un parking qui joue des tuyaux de sac.")</f>
        <v>La femme se tient au milieu d'un parking qui joue des tuyaux de sac.</v>
      </c>
    </row>
    <row r="28732">
      <c r="A28732" s="4" t="s">
        <v>36186</v>
      </c>
      <c r="B28732" s="4" t="s">
        <v>36189</v>
      </c>
      <c r="C28732" s="5" t="str">
        <f>IFERROR(__xludf.DUMMYFUNCTION("GOOGLETRANSLATE(B28732,""en"",""fr"")"),"Une maison bleue est derrière la femme qui joue aux cornemas.")</f>
        <v>Une maison bleue est derrière la femme qui joue aux cornemas.</v>
      </c>
    </row>
    <row r="28733">
      <c r="A28733" s="4" t="s">
        <v>36190</v>
      </c>
      <c r="B28733" s="4" t="s">
        <v>36191</v>
      </c>
      <c r="C28733" s="5" t="str">
        <f>IFERROR(__xludf.DUMMYFUNCTION("GOOGLETRANSLATE(B28733,""en"",""fr"")"),"Un skateur passe et roule dans une parcelle de saleté par la marche latérale.")</f>
        <v>Un skateur passe et roule dans une parcelle de saleté par la marche latérale.</v>
      </c>
    </row>
    <row r="28734">
      <c r="A28734" s="4" t="s">
        <v>36190</v>
      </c>
      <c r="B28734" s="4" t="s">
        <v>36192</v>
      </c>
      <c r="C28734" s="5" t="str">
        <f>IFERROR(__xludf.DUMMYFUNCTION("GOOGLETRANSLATE(B28734,""en"",""fr"")"),"Un homme commence alors à monter sa planche à roulettes depuis le haut du toit sur une route inclinée.")</f>
        <v>Un homme commence alors à monter sa planche à roulettes depuis le haut du toit sur une route inclinée.</v>
      </c>
    </row>
    <row r="28735">
      <c r="A28735" s="4" t="s">
        <v>36190</v>
      </c>
      <c r="B28735" s="6" t="s">
        <v>36193</v>
      </c>
      <c r="C28735" s="5" t="str">
        <f>IFERROR(__xludf.DUMMYFUNCTION("GOOGLETRANSLATE(B28735,""en"",""fr"")"),"L'homme commence alors à bouger et à faire du skateboard dans tout le quartier et à interagir avec les gens.")</f>
        <v>L'homme commence alors à bouger et à faire du skateboard dans tout le quartier et à interagir avec les gens.</v>
      </c>
    </row>
    <row r="28736">
      <c r="A28736" s="4" t="s">
        <v>36190</v>
      </c>
      <c r="B28736" s="6" t="s">
        <v>36194</v>
      </c>
      <c r="C28736" s="5" t="str">
        <f>IFERROR(__xludf.DUMMYFUNCTION("GOOGLETRANSLATE(B28736,""en"",""fr"")"),"Tout d'un coup, l'homme marche dans le métro et descend de sa planche à roulettes jusqu'à ce qu'il arrive à destination.")</f>
        <v>Tout d'un coup, l'homme marche dans le métro et descend de sa planche à roulettes jusqu'à ce qu'il arrive à destination.</v>
      </c>
    </row>
    <row r="28737">
      <c r="A28737" s="4" t="s">
        <v>36190</v>
      </c>
      <c r="B28737" s="4" t="s">
        <v>36195</v>
      </c>
      <c r="C28737" s="5" t="str">
        <f>IFERROR(__xludf.DUMMYFUNCTION("GOOGLETRANSLATE(B28737,""en"",""fr"")"),"Il procède ensuite à patiner à travers la ville, sautant par-dessus les poteaux et les crédits commencent à rouler.")</f>
        <v>Il procède ensuite à patiner à travers la ville, sautant par-dessus les poteaux et les crédits commencent à rouler.</v>
      </c>
    </row>
    <row r="28738">
      <c r="A28738" s="4" t="s">
        <v>36196</v>
      </c>
      <c r="B28738" s="4" t="s">
        <v>36197</v>
      </c>
      <c r="C28738" s="5" t="str">
        <f>IFERROR(__xludf.DUMMYFUNCTION("GOOGLETRANSLATE(B28738,""en"",""fr"")"),"L'homme se tient devant une cuisine cuisinée et montre les ingrédients à un cuisinier.")</f>
        <v>L'homme se tient devant une cuisine cuisinée et montre les ingrédients à un cuisinier.</v>
      </c>
    </row>
    <row r="28739">
      <c r="A28739" s="4" t="s">
        <v>36196</v>
      </c>
      <c r="B28739" s="4" t="s">
        <v>36198</v>
      </c>
      <c r="C28739" s="5" t="str">
        <f>IFERROR(__xludf.DUMMYFUNCTION("GOOGLETRANSLATE(B28739,""en"",""fr"")"),"L'homme a mis les ingrédients dans une poêle et cuire le poulet avec la salade et le servir dans une assiette.")</f>
        <v>L'homme a mis les ingrédients dans une poêle et cuire le poulet avec la salade et le servir dans une assiette.</v>
      </c>
    </row>
    <row r="28740">
      <c r="A28740" s="4" t="s">
        <v>36199</v>
      </c>
      <c r="B28740" s="4" t="s">
        <v>36200</v>
      </c>
      <c r="C28740" s="5" t="str">
        <f>IFERROR(__xludf.DUMMYFUNCTION("GOOGLETRANSLATE(B28740,""en"",""fr"")"),"Une introduction arrive à l'écran pour une vidéo sur le trafic de casino.")</f>
        <v>Une introduction arrive à l'écran pour une vidéo sur le trafic de casino.</v>
      </c>
    </row>
    <row r="28741">
      <c r="A28741" s="4" t="s">
        <v>36199</v>
      </c>
      <c r="B28741" s="4" t="s">
        <v>36201</v>
      </c>
      <c r="C28741" s="5" t="str">
        <f>IFERROR(__xludf.DUMMYFUNCTION("GOOGLETRANSLATE(B28741,""en"",""fr"")"),"Un homme explique qu'ils sont dans une école de casino où ils apprendront aux gens à gérer.")</f>
        <v>Un homme explique qu'ils sont dans une école de casino où ils apprendront aux gens à gérer.</v>
      </c>
    </row>
    <row r="28742">
      <c r="A28742" s="4" t="s">
        <v>36199</v>
      </c>
      <c r="B28742" s="4" t="s">
        <v>36202</v>
      </c>
      <c r="C28742" s="5" t="str">
        <f>IFERROR(__xludf.DUMMYFUNCTION("GOOGLETRANSLATE(B28742,""en"",""fr"")"),"Un autre homme commence à raconter et sur les bases de la gestion des casino.")</f>
        <v>Un autre homme commence à raconter et sur les bases de la gestion des casino.</v>
      </c>
    </row>
    <row r="28743">
      <c r="A28743" s="4" t="s">
        <v>36199</v>
      </c>
      <c r="B28743" s="4" t="s">
        <v>4761</v>
      </c>
      <c r="C28743" s="5" t="str">
        <f>IFERROR(__xludf.DUMMYFUNCTION("GOOGLETRANSLATE(B28743,""en"",""fr"")"),"La vidéo se termine par les crédits de clôture affichés à l'écran.")</f>
        <v>La vidéo se termine par les crédits de clôture affichés à l'écran.</v>
      </c>
    </row>
    <row r="28744">
      <c r="A28744" s="4" t="s">
        <v>36203</v>
      </c>
      <c r="B28744" s="4" t="s">
        <v>36204</v>
      </c>
      <c r="C28744" s="5" t="str">
        <f>IFERROR(__xludf.DUMMYFUNCTION("GOOGLETRANSLATE(B28744,""en"",""fr"")"),"À l'extérieur, un homme utilise un souffleur de feuilles qui l'utilise pour souffler un tas de feuilles.")</f>
        <v>À l'extérieur, un homme utilise un souffleur de feuilles qui l'utilise pour souffler un tas de feuilles.</v>
      </c>
    </row>
    <row r="28745">
      <c r="A28745" s="4" t="s">
        <v>36203</v>
      </c>
      <c r="B28745" s="4" t="s">
        <v>36205</v>
      </c>
      <c r="C28745" s="5" t="str">
        <f>IFERROR(__xludf.DUMMYFUNCTION("GOOGLETRANSLATE(B28745,""en"",""fr"")"),"Il semble être dans un parc ou quelque chose dans le parking.")</f>
        <v>Il semble être dans un parc ou quelque chose dans le parking.</v>
      </c>
    </row>
    <row r="28746">
      <c r="A28746" s="4" t="s">
        <v>36203</v>
      </c>
      <c r="B28746" s="4" t="s">
        <v>36206</v>
      </c>
      <c r="C28746" s="5" t="str">
        <f>IFERROR(__xludf.DUMMYFUNCTION("GOOGLETRANSLATE(B28746,""en"",""fr"")"),"Il porte un chapeau et un jean et juste là-bas.")</f>
        <v>Il porte un chapeau et un jean et juste là-bas.</v>
      </c>
    </row>
    <row r="28747">
      <c r="A28747" s="4" t="s">
        <v>36203</v>
      </c>
      <c r="B28747" s="4" t="s">
        <v>36207</v>
      </c>
      <c r="C28747" s="5" t="str">
        <f>IFERROR(__xludf.DUMMYFUNCTION("GOOGLETRANSLATE(B28747,""en"",""fr"")"),"Il continue de continuer à souffler le tas de feuilles lorsqu'un chien passe de nulle part.")</f>
        <v>Il continue de continuer à souffler le tas de feuilles lorsqu'un chien passe de nulle part.</v>
      </c>
    </row>
    <row r="28748">
      <c r="A28748" s="4" t="s">
        <v>36208</v>
      </c>
      <c r="B28748" s="4" t="s">
        <v>36209</v>
      </c>
      <c r="C28748" s="5" t="str">
        <f>IFERROR(__xludf.DUMMYFUNCTION("GOOGLETRANSLATE(B28748,""en"",""fr"")"),"Un homme de plongée sous-marine interagit sous l'eau avec un gros poisson.")</f>
        <v>Un homme de plongée sous-marine interagit sous l'eau avec un gros poisson.</v>
      </c>
    </row>
    <row r="28749">
      <c r="A28749" s="4" t="s">
        <v>36208</v>
      </c>
      <c r="B28749" s="4" t="s">
        <v>36210</v>
      </c>
      <c r="C28749" s="5" t="str">
        <f>IFERROR(__xludf.DUMMYFUNCTION("GOOGLETRANSLATE(B28749,""en"",""fr"")"),"L'homme fait un geste poussant vers la caméra.")</f>
        <v>L'homme fait un geste poussant vers la caméra.</v>
      </c>
    </row>
    <row r="28750">
      <c r="A28750" s="4" t="s">
        <v>36208</v>
      </c>
      <c r="B28750" s="4" t="s">
        <v>36211</v>
      </c>
      <c r="C28750" s="5" t="str">
        <f>IFERROR(__xludf.DUMMYFUNCTION("GOOGLETRANSLATE(B28750,""en"",""fr"")"),"L'homme fait plusieurs gestes vers la caméra.")</f>
        <v>L'homme fait plusieurs gestes vers la caméra.</v>
      </c>
    </row>
    <row r="28751">
      <c r="A28751" s="4" t="s">
        <v>36208</v>
      </c>
      <c r="B28751" s="4" t="s">
        <v>36212</v>
      </c>
      <c r="C28751" s="5" t="str">
        <f>IFERROR(__xludf.DUMMYFUNCTION("GOOGLETRANSLATE(B28751,""en"",""fr"")"),"Le poisson s'engage dans l'homme et nage.")</f>
        <v>Le poisson s'engage dans l'homme et nage.</v>
      </c>
    </row>
    <row r="28752">
      <c r="A28752" s="4" t="s">
        <v>36213</v>
      </c>
      <c r="B28752" s="4" t="s">
        <v>36214</v>
      </c>
      <c r="C28752" s="5" t="str">
        <f>IFERROR(__xludf.DUMMYFUNCTION("GOOGLETRANSLATE(B28752,""en"",""fr"")"),"Un homme tient deux épées et fait semblant de frapper un autre peuple tenant des épées.")</f>
        <v>Un homme tient deux épées et fait semblant de frapper un autre peuple tenant des épées.</v>
      </c>
    </row>
    <row r="28753">
      <c r="A28753" s="4" t="s">
        <v>36213</v>
      </c>
      <c r="B28753" s="4" t="s">
        <v>36215</v>
      </c>
      <c r="C28753" s="5" t="str">
        <f>IFERROR(__xludf.DUMMYFUNCTION("GOOGLETRANSLATE(B28753,""en"",""fr"")"),"Il démontre à nouveau et remet les épées à un autre homme.")</f>
        <v>Il démontre à nouveau et remet les épées à un autre homme.</v>
      </c>
    </row>
    <row r="28754">
      <c r="A28754" s="4" t="s">
        <v>36213</v>
      </c>
      <c r="B28754" s="4" t="s">
        <v>36216</v>
      </c>
      <c r="C28754" s="5" t="str">
        <f>IFERROR(__xludf.DUMMYFUNCTION("GOOGLETRANSLATE(B28754,""en"",""fr"")"),"Il commente ses capacités tout en continuant à montrer plusieurs mouvements d'épée.")</f>
        <v>Il commente ses capacités tout en continuant à montrer plusieurs mouvements d'épée.</v>
      </c>
    </row>
    <row r="28755">
      <c r="A28755" s="4" t="s">
        <v>36213</v>
      </c>
      <c r="B28755" s="4" t="s">
        <v>36217</v>
      </c>
      <c r="C28755" s="5" t="str">
        <f>IFERROR(__xludf.DUMMYFUNCTION("GOOGLETRANSLATE(B28755,""en"",""fr"")"),"D'autres hommes commencent à se battre avec les épées.")</f>
        <v>D'autres hommes commencent à se battre avec les épées.</v>
      </c>
    </row>
    <row r="28756">
      <c r="A28756" s="4" t="s">
        <v>36213</v>
      </c>
      <c r="B28756" s="4" t="s">
        <v>36218</v>
      </c>
      <c r="C28756" s="5" t="str">
        <f>IFERROR(__xludf.DUMMYFUNCTION("GOOGLETRANSLATE(B28756,""en"",""fr"")"),"Un homme tombe et les actes blessent pour représenter un rôle dans le jeu Hamlet.")</f>
        <v>Un homme tombe et les actes blessent pour représenter un rôle dans le jeu Hamlet.</v>
      </c>
    </row>
    <row r="28757">
      <c r="A28757" s="4" t="s">
        <v>36219</v>
      </c>
      <c r="B28757" s="4" t="s">
        <v>36220</v>
      </c>
      <c r="C28757" s="5" t="str">
        <f>IFERROR(__xludf.DUMMYFUNCTION("GOOGLETRANSLATE(B28757,""en"",""fr"")"),"Une caméra se déroule autour d'une femme debout devant un chien équilibrant une clôture.")</f>
        <v>Une caméra se déroule autour d'une femme debout devant un chien équilibrant une clôture.</v>
      </c>
    </row>
    <row r="28758">
      <c r="A28758" s="4" t="s">
        <v>36219</v>
      </c>
      <c r="B28758" s="4" t="s">
        <v>36221</v>
      </c>
      <c r="C28758" s="5" t="str">
        <f>IFERROR(__xludf.DUMMYFUNCTION("GOOGLETRANSLATE(B28758,""en"",""fr"")"),"Le chien continue d'équilibrer la clôture pendant que la caméra se déroule.")</f>
        <v>Le chien continue d'équilibrer la clôture pendant que la caméra se déroule.</v>
      </c>
    </row>
    <row r="28759">
      <c r="A28759" s="4" t="s">
        <v>36219</v>
      </c>
      <c r="B28759" s="4" t="s">
        <v>36222</v>
      </c>
      <c r="C28759" s="5" t="str">
        <f>IFERROR(__xludf.DUMMYFUNCTION("GOOGLETRANSLATE(B28759,""en"",""fr"")"),"Le chien saute ensuite de la clôture à la fin.")</f>
        <v>Le chien saute ensuite de la clôture à la fin.</v>
      </c>
    </row>
    <row r="28760">
      <c r="A28760" s="4" t="s">
        <v>36223</v>
      </c>
      <c r="B28760" s="4" t="s">
        <v>36224</v>
      </c>
      <c r="C28760" s="5" t="str">
        <f>IFERROR(__xludf.DUMMYFUNCTION("GOOGLETRANSLATE(B28760,""en"",""fr"")"),"Un homme tient une chaussure blanche et la met au sol.")</f>
        <v>Un homme tient une chaussure blanche et la met au sol.</v>
      </c>
    </row>
    <row r="28761">
      <c r="A28761" s="4" t="s">
        <v>36223</v>
      </c>
      <c r="B28761" s="4" t="s">
        <v>36225</v>
      </c>
      <c r="C28761" s="5" t="str">
        <f>IFERROR(__xludf.DUMMYFUNCTION("GOOGLETRANSLATE(B28761,""en"",""fr"")"),"L'homme a déjà une chaussure sur son pied droit et il se resserre quand il le touche.")</f>
        <v>L'homme a déjà une chaussure sur son pied droit et il se resserre quand il le touche.</v>
      </c>
    </row>
    <row r="28762">
      <c r="A28762" s="4" t="s">
        <v>36223</v>
      </c>
      <c r="B28762" s="6" t="s">
        <v>36226</v>
      </c>
      <c r="C28762" s="5" t="str">
        <f>IFERROR(__xludf.DUMMYFUNCTION("GOOGLETRANSLATE(B28762,""en"",""fr"")"),"Le visage de l'homme est montré et il regarde les chaussures, puis il montre la chaussure gauche sur le pied et elle se resserre.")</f>
        <v>Le visage de l'homme est montré et il regarde les chaussures, puis il montre la chaussure gauche sur le pied et elle se resserre.</v>
      </c>
    </row>
    <row r="28763">
      <c r="A28763" s="4" t="s">
        <v>36223</v>
      </c>
      <c r="B28763" s="6" t="s">
        <v>36227</v>
      </c>
      <c r="C28763" s="5" t="str">
        <f>IFERROR(__xludf.DUMMYFUNCTION("GOOGLETRANSLATE(B28763,""en"",""fr"")"),"L'homme se lève de la voiture et la scène révèle que c'est Michael J Fox dans le film à l'avenir.")</f>
        <v>L'homme se lève de la voiture et la scène révèle que c'est Michael J Fox dans le film à l'avenir.</v>
      </c>
    </row>
    <row r="28764">
      <c r="A28764" s="4" t="s">
        <v>36228</v>
      </c>
      <c r="B28764" s="4" t="s">
        <v>36229</v>
      </c>
      <c r="C28764" s="5" t="str">
        <f>IFERROR(__xludf.DUMMYFUNCTION("GOOGLETRANSLATE(B28764,""en"",""fr"")"),"Une fille est à l'extérieur sur un quai de bateau tenant un cerceau de trois hula dans ses mains.")</f>
        <v>Une fille est à l'extérieur sur un quai de bateau tenant un cerceau de trois hula dans ses mains.</v>
      </c>
    </row>
    <row r="28765">
      <c r="A28765" s="4" t="s">
        <v>36228</v>
      </c>
      <c r="B28765" s="6" t="s">
        <v>36230</v>
      </c>
      <c r="C28765" s="5" t="str">
        <f>IFERROR(__xludf.DUMMYFUNCTION("GOOGLETRANSLATE(B28765,""en"",""fr"")"),"Elle commence à les balancer dans sa main, autour de ses jambes, du poignet et du cou et s'arrête brièvement pour ajuster la caméra.")</f>
        <v>Elle commence à les balancer dans sa main, autour de ses jambes, du poignet et du cou et s'arrête brièvement pour ajuster la caméra.</v>
      </c>
    </row>
    <row r="28766">
      <c r="A28766" s="4" t="s">
        <v>36228</v>
      </c>
      <c r="B28766" s="6" t="s">
        <v>36231</v>
      </c>
      <c r="C28766" s="5" t="str">
        <f>IFERROR(__xludf.DUMMYFUNCTION("GOOGLETRANSLATE(B28766,""en"",""fr"")"),"La jeune femme apparaît ensuite avec vingt à trente cerceaux autour de son corps les balançant d'avant en arrière avant de vous conseiller de vous abonner à une chaîne.")</f>
        <v>La jeune femme apparaît ensuite avec vingt à trente cerceaux autour de son corps les balançant d'avant en arrière avant de vous conseiller de vous abonner à une chaîne.</v>
      </c>
    </row>
    <row r="28767">
      <c r="A28767" s="4" t="s">
        <v>36232</v>
      </c>
      <c r="B28767" s="6" t="s">
        <v>36233</v>
      </c>
      <c r="C28767" s="5" t="str">
        <f>IFERROR(__xludf.DUMMYFUNCTION("GOOGLETRANSLATE(B28767,""en"",""fr"")"),"Deux hommes sont vus debout dans une pièce clos tenant des raquettes de tennis et commencent à frapper le ballon du mur les uns contre les autres.")</f>
        <v>Deux hommes sont vus debout dans une pièce clos tenant des raquettes de tennis et commencent à frapper le ballon du mur les uns contre les autres.</v>
      </c>
    </row>
    <row r="28768">
      <c r="A28768" s="4" t="s">
        <v>36232</v>
      </c>
      <c r="B28768" s="6" t="s">
        <v>36234</v>
      </c>
      <c r="C28768" s="5" t="str">
        <f>IFERROR(__xludf.DUMMYFUNCTION("GOOGLETRANSLATE(B28768,""en"",""fr"")"),"Les hommes continuent de marcher en arrière et quatrième avec le ballon et de le frapper sur le mur et de se heurter au mur.")</f>
        <v>Les hommes continuent de marcher en arrière et quatrième avec le ballon et de le frapper sur le mur et de se heurter au mur.</v>
      </c>
    </row>
    <row r="28769">
      <c r="A28769" s="4" t="s">
        <v>36235</v>
      </c>
      <c r="B28769" s="4" t="s">
        <v>36236</v>
      </c>
      <c r="C28769" s="5" t="str">
        <f>IFERROR(__xludf.DUMMYFUNCTION("GOOGLETRANSLATE(B28769,""en"",""fr"")"),"Deux hommes sont vus se passer une balle et mène à un groupe de personnes jouant au football.")</f>
        <v>Deux hommes sont vus se passer une balle et mène à un groupe de personnes jouant au football.</v>
      </c>
    </row>
    <row r="28770">
      <c r="A28770" s="4" t="s">
        <v>36235</v>
      </c>
      <c r="B28770" s="4" t="s">
        <v>36237</v>
      </c>
      <c r="C28770" s="5" t="str">
        <f>IFERROR(__xludf.DUMMYFUNCTION("GOOGLETRANSLATE(B28770,""en"",""fr"")"),"Les gens se déplacent de haut en bas sur le terrain pendant que la caméra suit leurs mouvements.")</f>
        <v>Les gens se déplacent de haut en bas sur le terrain pendant que la caméra suit leurs mouvements.</v>
      </c>
    </row>
    <row r="28771">
      <c r="A28771" s="4" t="s">
        <v>36235</v>
      </c>
      <c r="B28771" s="4" t="s">
        <v>36238</v>
      </c>
      <c r="C28771" s="5" t="str">
        <f>IFERROR(__xludf.DUMMYFUNCTION("GOOGLETRANSLATE(B28771,""en"",""fr"")"),"Beaucoup de gens regardent les côtés alors que le groupe continue de jouer.")</f>
        <v>Beaucoup de gens regardent les côtés alors que le groupe continue de jouer.</v>
      </c>
    </row>
    <row r="28772">
      <c r="A28772" s="4" t="s">
        <v>36239</v>
      </c>
      <c r="B28772" s="6" t="s">
        <v>36240</v>
      </c>
      <c r="C28772" s="5" t="str">
        <f>IFERROR(__xludf.DUMMYFUNCTION("GOOGLETRANSLATE(B28772,""en"",""fr"")"),"Les gens dans une piscine intérieure surveillent les plongeurs multiples à tour de rôle et se tiennent à tour de rôle au point de plongée le plus élevé avec le mot Indiana dessus car ils font plusieurs flips avant d'atterrir dans la piscine.")</f>
        <v>Les gens dans une piscine intérieure surveillent les plongeurs multiples à tour de rôle et se tiennent à tour de rôle au point de plongée le plus élevé avec le mot Indiana dessus car ils font plusieurs flips avant d'atterrir dans la piscine.</v>
      </c>
    </row>
    <row r="28773">
      <c r="A28773" s="4" t="s">
        <v>36239</v>
      </c>
      <c r="B28773" s="6" t="s">
        <v>36241</v>
      </c>
      <c r="C28773" s="5" t="str">
        <f>IFERROR(__xludf.DUMMYFUNCTION("GOOGLETRANSLATE(B28773,""en"",""fr"")"),"Quelques femmes prennent leur tour en sautant du point de plongée le plus élevé alors qu'ils commencent de différentes manières, font plusieurs retournements, puis plongent dans la piscine faisant de petites éclaboussures alors qu'ils frappent l'eau.")</f>
        <v>Quelques femmes prennent leur tour en sautant du point de plongée le plus élevé alors qu'ils commencent de différentes manières, font plusieurs retournements, puis plongent dans la piscine faisant de petites éclaboussures alors qu'ils frappent l'eau.</v>
      </c>
    </row>
    <row r="28774">
      <c r="A28774" s="4" t="s">
        <v>36239</v>
      </c>
      <c r="B28774" s="6" t="s">
        <v>36242</v>
      </c>
      <c r="C28774" s="5" t="str">
        <f>IFERROR(__xludf.DUMMYFUNCTION("GOOGLETRANSLATE(B28774,""en"",""fr"")"),"Une femme blonde fait une poignée très lente face à la piscine, puis repousse et fait plusieurs retournements avant de plonger dans la piscine en créant une petite éclaboussure.")</f>
        <v>Une femme blonde fait une poignée très lente face à la piscine, puis repousse et fait plusieurs retournements avant de plonger dans la piscine en créant une petite éclaboussure.</v>
      </c>
    </row>
    <row r="28775">
      <c r="A28775" s="4" t="s">
        <v>36239</v>
      </c>
      <c r="B28775" s="6" t="s">
        <v>36243</v>
      </c>
      <c r="C28775" s="5" t="str">
        <f>IFERROR(__xludf.DUMMYFUNCTION("GOOGLETRANSLATE(B28775,""en"",""fr"")"),"Lorsque les femmes ont fini de plonger, les hommes prennent leur tour en plongeant également du point le plus élevé et ils font également plusieurs flips avant de frapper l'eau en créant une petite éclaboussure.")</f>
        <v>Lorsque les femmes ont fini de plonger, les hommes prennent leur tour en plongeant également du point le plus élevé et ils font également plusieurs flips avant de frapper l'eau en créant une petite éclaboussure.</v>
      </c>
    </row>
    <row r="28776">
      <c r="A28776" s="4" t="s">
        <v>36244</v>
      </c>
      <c r="B28776" s="4" t="s">
        <v>36245</v>
      </c>
      <c r="C28776" s="5" t="str">
        <f>IFERROR(__xludf.DUMMYFUNCTION("GOOGLETRANSLATE(B28776,""en"",""fr"")"),"Une personne en équipement d'hiver sombre utilise une pelle pour pelleter la passerelle d'un parking.")</f>
        <v>Une personne en équipement d'hiver sombre utilise une pelle pour pelleter la passerelle d'un parking.</v>
      </c>
    </row>
    <row r="28777">
      <c r="A28777" s="4" t="s">
        <v>36244</v>
      </c>
      <c r="B28777" s="4" t="s">
        <v>36246</v>
      </c>
      <c r="C28777" s="5" t="str">
        <f>IFERROR(__xludf.DUMMYFUNCTION("GOOGLETRANSLATE(B28777,""en"",""fr"")"),"C'est la nuit et la rue est faiblement éclairée avec les réverbères.")</f>
        <v>C'est la nuit et la rue est faiblement éclairée avec les réverbères.</v>
      </c>
    </row>
    <row r="28778">
      <c r="A28778" s="4" t="s">
        <v>36244</v>
      </c>
      <c r="B28778" s="4" t="s">
        <v>36247</v>
      </c>
      <c r="C28778" s="5" t="str">
        <f>IFERROR(__xludf.DUMMYFUNCTION("GOOGLETRANSLATE(B28778,""en"",""fr"")"),"Il continue de pelleter toute la voie tandis que plusieurs voitures passent sur la route principale à proximité.")</f>
        <v>Il continue de pelleter toute la voie tandis que plusieurs voitures passent sur la route principale à proximité.</v>
      </c>
    </row>
    <row r="28779">
      <c r="A28779" s="4" t="s">
        <v>36244</v>
      </c>
      <c r="B28779" s="4" t="s">
        <v>36248</v>
      </c>
      <c r="C28779" s="5" t="str">
        <f>IFERROR(__xludf.DUMMYFUNCTION("GOOGLETRANSLATE(B28779,""en"",""fr"")"),"Il ramasse la neige et l'empile au coin.")</f>
        <v>Il ramasse la neige et l'empile au coin.</v>
      </c>
    </row>
    <row r="28780">
      <c r="A28780" s="4" t="s">
        <v>36244</v>
      </c>
      <c r="B28780" s="4" t="s">
        <v>36249</v>
      </c>
      <c r="C28780" s="5" t="str">
        <f>IFERROR(__xludf.DUMMYFUNCTION("GOOGLETRANSLATE(B28780,""en"",""fr"")"),"Après avoir terminé, il s'éloigne.")</f>
        <v>Après avoir terminé, il s'éloigne.</v>
      </c>
    </row>
    <row r="28781">
      <c r="A28781" s="4" t="s">
        <v>36250</v>
      </c>
      <c r="B28781" s="4" t="s">
        <v>36251</v>
      </c>
      <c r="C28781" s="5" t="str">
        <f>IFERROR(__xludf.DUMMYFUNCTION("GOOGLETRANSLATE(B28781,""en"",""fr"")"),"Une personne est assise sur un tapis dans une salle de sport et s'assoit en levant ses jambes.")</f>
        <v>Une personne est assise sur un tapis dans une salle de sport et s'assoit en levant ses jambes.</v>
      </c>
    </row>
    <row r="28782">
      <c r="A28782" s="4" t="s">
        <v>36250</v>
      </c>
      <c r="B28782" s="4" t="s">
        <v>36252</v>
      </c>
      <c r="C28782" s="5" t="str">
        <f>IFERROR(__xludf.DUMMYFUNCTION("GOOGLETRANSLATE(B28782,""en"",""fr"")"),"La personne termine la routine d'exercice et fait une pause.")</f>
        <v>La personne termine la routine d'exercice et fait une pause.</v>
      </c>
    </row>
    <row r="28783">
      <c r="A28783" s="4" t="s">
        <v>36250</v>
      </c>
      <c r="B28783" s="4" t="s">
        <v>36253</v>
      </c>
      <c r="C28783" s="5" t="str">
        <f>IFERROR(__xludf.DUMMYFUNCTION("GOOGLETRANSLATE(B28783,""en"",""fr"")"),"Un graphique est vu avec une plume tombant.")</f>
        <v>Un graphique est vu avec une plume tombant.</v>
      </c>
    </row>
    <row r="28784">
      <c r="A28784" s="4" t="s">
        <v>36254</v>
      </c>
      <c r="B28784" s="6" t="s">
        <v>36255</v>
      </c>
      <c r="C28784" s="5" t="str">
        <f>IFERROR(__xludf.DUMMYFUNCTION("GOOGLETRANSLATE(B28784,""en"",""fr"")"),"Divers clips sont représentés des personnes jouant sur la plage et en mettant un écran solaire et en transportant des objets.")</f>
        <v>Divers clips sont représentés des personnes jouant sur la plage et en mettant un écran solaire et en transportant des objets.</v>
      </c>
    </row>
    <row r="28785">
      <c r="A28785" s="4" t="s">
        <v>36254</v>
      </c>
      <c r="B28785" s="6" t="s">
        <v>36256</v>
      </c>
      <c r="C28785" s="5" t="str">
        <f>IFERROR(__xludf.DUMMYFUNCTION("GOOGLETRANSLATE(B28785,""en"",""fr"")"),"Une grande explosion est montrée suivie par les enfants de pêche avec un homme et plus de clips de personnes jouant sur la plage.")</f>
        <v>Une grande explosion est montrée suivie par les enfants de pêche avec un homme et plus de clips de personnes jouant sur la plage.</v>
      </c>
    </row>
    <row r="28786">
      <c r="A28786" s="4" t="s">
        <v>36257</v>
      </c>
      <c r="B28786" s="4" t="s">
        <v>36258</v>
      </c>
      <c r="C28786" s="5" t="str">
        <f>IFERROR(__xludf.DUMMYFUNCTION("GOOGLETRANSLATE(B28786,""en"",""fr"")"),"Trois hommes entrent dans un bâtiment.")</f>
        <v>Trois hommes entrent dans un bâtiment.</v>
      </c>
    </row>
    <row r="28787">
      <c r="A28787" s="4" t="s">
        <v>36257</v>
      </c>
      <c r="B28787" s="4" t="s">
        <v>36259</v>
      </c>
      <c r="C28787" s="5" t="str">
        <f>IFERROR(__xludf.DUMMYFUNCTION("GOOGLETRANSLATE(B28787,""en"",""fr"")"),"Ils commencent à jouer à un jeu de curling.")</f>
        <v>Ils commencent à jouer à un jeu de curling.</v>
      </c>
    </row>
    <row r="28788">
      <c r="A28788" s="4" t="s">
        <v>36257</v>
      </c>
      <c r="B28788" s="6" t="s">
        <v>36260</v>
      </c>
      <c r="C28788" s="5" t="str">
        <f>IFERROR(__xludf.DUMMYFUNCTION("GOOGLETRANSLATE(B28788,""en"",""fr"")"),"On montre aux gens qui s'imposent à la salle de curling et les trophées sont montrés qui ont été gagnés.")</f>
        <v>On montre aux gens qui s'imposent à la salle de curling et les trophées sont montrés qui ont été gagnés.</v>
      </c>
    </row>
    <row r="28789">
      <c r="A28789" s="4" t="s">
        <v>36257</v>
      </c>
      <c r="B28789" s="4" t="s">
        <v>36261</v>
      </c>
      <c r="C28789" s="5" t="str">
        <f>IFERROR(__xludf.DUMMYFUNCTION("GOOGLETRANSLATE(B28789,""en"",""fr"")"),"Les hommes sont indiqués dans le casier se préparant à boucler.")</f>
        <v>Les hommes sont indiqués dans le casier se préparant à boucler.</v>
      </c>
    </row>
    <row r="28790">
      <c r="A28790" s="4" t="s">
        <v>36257</v>
      </c>
      <c r="B28790" s="4" t="s">
        <v>36262</v>
      </c>
      <c r="C28790" s="5" t="str">
        <f>IFERROR(__xludf.DUMMYFUNCTION("GOOGLETRANSLATE(B28790,""en"",""fr"")"),"Les hommes sont montrés tous ensemble posant sur la glace.")</f>
        <v>Les hommes sont montrés tous ensemble posant sur la glace.</v>
      </c>
    </row>
    <row r="28791">
      <c r="A28791" s="4" t="s">
        <v>36263</v>
      </c>
      <c r="B28791" s="4" t="s">
        <v>36264</v>
      </c>
      <c r="C28791" s="5" t="str">
        <f>IFERROR(__xludf.DUMMYFUNCTION("GOOGLETRANSLATE(B28791,""en"",""fr"")"),"De nombreux juges s'assoient autour d'un champ, attendant la performance d'un athlète.")</f>
        <v>De nombreux juges s'assoient autour d'un champ, attendant la performance d'un athlète.</v>
      </c>
    </row>
    <row r="28792">
      <c r="A28792" s="4" t="s">
        <v>36263</v>
      </c>
      <c r="B28792" s="4" t="s">
        <v>36265</v>
      </c>
      <c r="C28792" s="5" t="str">
        <f>IFERROR(__xludf.DUMMYFUNCTION("GOOGLETRANSLATE(B28792,""en"",""fr"")"),"Un athlète s'approche de la zone de terrain.")</f>
        <v>Un athlète s'approche de la zone de terrain.</v>
      </c>
    </row>
    <row r="28793">
      <c r="A28793" s="4" t="s">
        <v>36263</v>
      </c>
      <c r="B28793" s="4" t="s">
        <v>36266</v>
      </c>
      <c r="C28793" s="5" t="str">
        <f>IFERROR(__xludf.DUMMYFUNCTION("GOOGLETRANSLATE(B28793,""en"",""fr"")"),"L'athlète tourne son corps et jette un disque avec une force maximale.")</f>
        <v>L'athlète tourne son corps et jette un disque avec une force maximale.</v>
      </c>
    </row>
    <row r="28794">
      <c r="A28794" s="4" t="s">
        <v>36267</v>
      </c>
      <c r="B28794" s="4" t="s">
        <v>36268</v>
      </c>
      <c r="C28794" s="5" t="str">
        <f>IFERROR(__xludf.DUMMYFUNCTION("GOOGLETRANSLATE(B28794,""en"",""fr"")"),"Une personne est allongée sur un lit.")</f>
        <v>Une personne est allongée sur un lit.</v>
      </c>
    </row>
    <row r="28795">
      <c r="A28795" s="4" t="s">
        <v>36267</v>
      </c>
      <c r="B28795" s="4" t="s">
        <v>36269</v>
      </c>
      <c r="C28795" s="5" t="str">
        <f>IFERROR(__xludf.DUMMYFUNCTION("GOOGLETRANSLATE(B28795,""en"",""fr"")"),"Une personne met de la cire sur la jambe.")</f>
        <v>Une personne met de la cire sur la jambe.</v>
      </c>
    </row>
    <row r="28796">
      <c r="A28796" s="4" t="s">
        <v>36267</v>
      </c>
      <c r="B28796" s="4" t="s">
        <v>36270</v>
      </c>
      <c r="C28796" s="5" t="str">
        <f>IFERROR(__xludf.DUMMYFUNCTION("GOOGLETRANSLATE(B28796,""en"",""fr"")"),"Ils mettent du papier dessus et arrachent les cheveux.")</f>
        <v>Ils mettent du papier dessus et arrachent les cheveux.</v>
      </c>
    </row>
    <row r="28797">
      <c r="A28797" s="4" t="s">
        <v>36271</v>
      </c>
      <c r="B28797" s="4" t="s">
        <v>36272</v>
      </c>
      <c r="C28797" s="5" t="str">
        <f>IFERROR(__xludf.DUMMYFUNCTION("GOOGLETRANSLATE(B28797,""en"",""fr"")"),"Nous voyons un homme préparer et lancer un tir.")</f>
        <v>Nous voyons un homme préparer et lancer un tir.</v>
      </c>
    </row>
    <row r="28798">
      <c r="A28798" s="4" t="s">
        <v>36271</v>
      </c>
      <c r="B28798" s="4" t="s">
        <v>36273</v>
      </c>
      <c r="C28798" s="5" t="str">
        <f>IFERROR(__xludf.DUMMYFUNCTION("GOOGLETRANSLATE(B28798,""en"",""fr"")"),"Nous voyons un homme courir pour mesurer la distance.")</f>
        <v>Nous voyons un homme courir pour mesurer la distance.</v>
      </c>
    </row>
    <row r="28799">
      <c r="A28799" s="4" t="s">
        <v>36271</v>
      </c>
      <c r="B28799" s="4" t="s">
        <v>36274</v>
      </c>
      <c r="C28799" s="5" t="str">
        <f>IFERROR(__xludf.DUMMYFUNCTION("GOOGLETRANSLATE(B28799,""en"",""fr"")"),"Nous voyons un homme debout et de mesurer.")</f>
        <v>Nous voyons un homme debout et de mesurer.</v>
      </c>
    </row>
    <row r="28800">
      <c r="A28800" s="4" t="s">
        <v>36271</v>
      </c>
      <c r="B28800" s="4" t="s">
        <v>36275</v>
      </c>
      <c r="C28800" s="5" t="str">
        <f>IFERROR(__xludf.DUMMYFUNCTION("GOOGLETRANSLATE(B28800,""en"",""fr"")"),"Nous voyons des gens dans la foule applaudir.")</f>
        <v>Nous voyons des gens dans la foule applaudir.</v>
      </c>
    </row>
    <row r="28801">
      <c r="A28801" s="4" t="s">
        <v>36271</v>
      </c>
      <c r="B28801" s="4" t="s">
        <v>36276</v>
      </c>
      <c r="C28801" s="5" t="str">
        <f>IFERROR(__xludf.DUMMYFUNCTION("GOOGLETRANSLATE(B28801,""en"",""fr"")"),"Nous voyons à nouveau les gens des gradins.")</f>
        <v>Nous voyons à nouveau les gens des gradins.</v>
      </c>
    </row>
    <row r="28802">
      <c r="A28802" s="4" t="s">
        <v>36271</v>
      </c>
      <c r="B28802" s="4" t="s">
        <v>36277</v>
      </c>
      <c r="C28802" s="5" t="str">
        <f>IFERROR(__xludf.DUMMYFUNCTION("GOOGLETRANSLATE(B28802,""en"",""fr"")"),"Nous faisons un zoom avant alors que le joueur s'éloigne.")</f>
        <v>Nous faisons un zoom avant alors que le joueur s'éloigne.</v>
      </c>
    </row>
    <row r="28803">
      <c r="A28803" s="4" t="s">
        <v>36278</v>
      </c>
      <c r="B28803" s="4" t="s">
        <v>36279</v>
      </c>
      <c r="C28803" s="5" t="str">
        <f>IFERROR(__xludf.DUMMYFUNCTION("GOOGLETRANSLATE(B28803,""en"",""fr"")"),"Deux femmes et un homme dansent de la musique pop tout en faisant des étapes différentes.")</f>
        <v>Deux femmes et un homme dansent de la musique pop tout en faisant des étapes différentes.</v>
      </c>
    </row>
    <row r="28804">
      <c r="A28804" s="4" t="s">
        <v>36278</v>
      </c>
      <c r="B28804" s="4" t="s">
        <v>36280</v>
      </c>
      <c r="C28804" s="5" t="str">
        <f>IFERROR(__xludf.DUMMYFUNCTION("GOOGLETRANSLATE(B28804,""en"",""fr"")"),"Les femmes et l'homme lancent les bras en dansant, puis ils continuent de danser et de tourner.")</f>
        <v>Les femmes et l'homme lancent les bras en dansant, puis ils continuent de danser et de tourner.</v>
      </c>
    </row>
    <row r="28805">
      <c r="A28805" s="4" t="s">
        <v>36281</v>
      </c>
      <c r="B28805" s="4" t="s">
        <v>20672</v>
      </c>
      <c r="C28805" s="5" t="str">
        <f>IFERROR(__xludf.DUMMYFUNCTION("GOOGLETRANSLATE(B28805,""en"",""fr"")"),"Une fille saute sur un faisceau d'équilibre.")</f>
        <v>Une fille saute sur un faisceau d'équilibre.</v>
      </c>
    </row>
    <row r="28806">
      <c r="A28806" s="4" t="s">
        <v>36281</v>
      </c>
      <c r="B28806" s="4" t="s">
        <v>36282</v>
      </c>
      <c r="C28806" s="5" t="str">
        <f>IFERROR(__xludf.DUMMYFUNCTION("GOOGLETRANSLATE(B28806,""en"",""fr"")"),"Elle fait une routine de gymnastique sur le faisceau d'équilibre.")</f>
        <v>Elle fait une routine de gymnastique sur le faisceau d'équilibre.</v>
      </c>
    </row>
    <row r="28807">
      <c r="A28807" s="4" t="s">
        <v>36281</v>
      </c>
      <c r="B28807" s="4" t="s">
        <v>36283</v>
      </c>
      <c r="C28807" s="5" t="str">
        <f>IFERROR(__xludf.DUMMYFUNCTION("GOOGLETRANSLATE(B28807,""en"",""fr"")"),"Elle saute du faisceau et atterrit sur le tapis avec ses mains.")</f>
        <v>Elle saute du faisceau et atterrit sur le tapis avec ses mains.</v>
      </c>
    </row>
    <row r="28808">
      <c r="A28808" s="4" t="s">
        <v>36281</v>
      </c>
      <c r="B28808" s="4" t="s">
        <v>36284</v>
      </c>
      <c r="C28808" s="5" t="str">
        <f>IFERROR(__xludf.DUMMYFUNCTION("GOOGLETRANSLATE(B28808,""en"",""fr"")"),"Une femme dans une chemise bleue vient et la serre dans ses bras.")</f>
        <v>Une femme dans une chemise bleue vient et la serre dans ses bras.</v>
      </c>
    </row>
    <row r="28809">
      <c r="A28809" s="4" t="s">
        <v>36285</v>
      </c>
      <c r="B28809" s="4" t="s">
        <v>36286</v>
      </c>
      <c r="C28809" s="5" t="str">
        <f>IFERROR(__xludf.DUMMYFUNCTION("GOOGLETRANSLATE(B28809,""en"",""fr"")"),"Une femme entre dans un garage avec un papier enroulé à la main.")</f>
        <v>Une femme entre dans un garage avec un papier enroulé à la main.</v>
      </c>
    </row>
    <row r="28810">
      <c r="A28810" s="4" t="s">
        <v>36285</v>
      </c>
      <c r="B28810" s="6" t="s">
        <v>36287</v>
      </c>
      <c r="C28810" s="5" t="str">
        <f>IFERROR(__xludf.DUMMYFUNCTION("GOOGLETRANSLATE(B28810,""en"",""fr"")"),"Une fois qu'elle est partie, un chat noir est montré et il commence à ramper sur tout, puis la dame vient et la caresse.")</f>
        <v>Une fois qu'elle est partie, un chat noir est montré et il commence à ramper sur tout, puis la dame vient et la caresse.</v>
      </c>
    </row>
    <row r="28811">
      <c r="A28811" s="4" t="s">
        <v>36285</v>
      </c>
      <c r="B28811" s="4" t="s">
        <v>36288</v>
      </c>
      <c r="C28811" s="5" t="str">
        <f>IFERROR(__xludf.DUMMYFUNCTION("GOOGLETRANSLATE(B28811,""en"",""fr"")"),"La femelle part et entre dans une pièce et commence à couvrir la pièce dans du papier peint.")</f>
        <v>La femelle part et entre dans une pièce et commence à couvrir la pièce dans du papier peint.</v>
      </c>
    </row>
    <row r="28812">
      <c r="A28812" s="4" t="s">
        <v>36285</v>
      </c>
      <c r="B28812" s="6" t="s">
        <v>36289</v>
      </c>
      <c r="C28812" s="5" t="str">
        <f>IFERROR(__xludf.DUMMYFUNCTION("GOOGLETRANSLATE(B28812,""en"",""fr"")"),"Elle oublie les ciseaux et sort pour les attraper et revient pour appliquer plus de papier sur le mur.")</f>
        <v>Elle oublie les ciseaux et sort pour les attraper et revient pour appliquer plus de papier sur le mur.</v>
      </c>
    </row>
    <row r="28813">
      <c r="A28813" s="4" t="s">
        <v>36285</v>
      </c>
      <c r="B28813" s="4" t="s">
        <v>36290</v>
      </c>
      <c r="C28813" s="5" t="str">
        <f>IFERROR(__xludf.DUMMYFUNCTION("GOOGLETRANSLATE(B28813,""en"",""fr"")"),"Une pause est nécessaire et la femme prend un verre dans la cuisine.")</f>
        <v>Une pause est nécessaire et la femme prend un verre dans la cuisine.</v>
      </c>
    </row>
    <row r="28814">
      <c r="A28814" s="4" t="s">
        <v>36285</v>
      </c>
      <c r="B28814" s="4" t="s">
        <v>36291</v>
      </c>
      <c r="C28814" s="5" t="str">
        <f>IFERROR(__xludf.DUMMYFUNCTION("GOOGLETRANSLATE(B28814,""en"",""fr"")"),"Peu de temps après, la dame continue ses tâches, puis marche dehors pour sortir son chat.")</f>
        <v>Peu de temps après, la dame continue ses tâches, puis marche dehors pour sortir son chat.</v>
      </c>
    </row>
    <row r="28815">
      <c r="A28815" s="4" t="s">
        <v>36285</v>
      </c>
      <c r="B28815" s="6" t="s">
        <v>36292</v>
      </c>
      <c r="C28815" s="5" t="str">
        <f>IFERROR(__xludf.DUMMYFUNCTION("GOOGLETRANSLATE(B28815,""en"",""fr"")"),"Le mur n'est toujours pas fini et elle retourne dans la pièce pour la finir en roulant à l'extérieur pour assurer sa douceur.")</f>
        <v>Le mur n'est toujours pas fini et elle retourne dans la pièce pour la finir en roulant à l'extérieur pour assurer sa douceur.</v>
      </c>
    </row>
    <row r="28816">
      <c r="A28816" s="4" t="s">
        <v>36285</v>
      </c>
      <c r="B28816" s="6" t="s">
        <v>36293</v>
      </c>
      <c r="C28816" s="5" t="str">
        <f>IFERROR(__xludf.DUMMYFUNCTION("GOOGLETRANSLATE(B28816,""en"",""fr"")"),"Alors qu'elle termine, le chat entre dans la pièce et commence à jouer avec une balle avant de revenir dehors.")</f>
        <v>Alors qu'elle termine, le chat entre dans la pièce et commence à jouer avec une balle avant de revenir dehors.</v>
      </c>
    </row>
    <row r="28817">
      <c r="A28817" s="4" t="s">
        <v>36285</v>
      </c>
      <c r="B28817" s="6" t="s">
        <v>36294</v>
      </c>
      <c r="C28817" s="5" t="str">
        <f>IFERROR(__xludf.DUMMYFUNCTION("GOOGLETRANSLATE(B28817,""en"",""fr"")"),"Les femmes réapparaissent dans un autre ensemble de vêtements pour terminer le mur, elle finit enfin et commence à lancer ses mains et s'effondre sur le lit.")</f>
        <v>Les femmes réapparaissent dans un autre ensemble de vêtements pour terminer le mur, elle finit enfin et commence à lancer ses mains et s'effondre sur le lit.</v>
      </c>
    </row>
    <row r="28818">
      <c r="A28818" s="4" t="s">
        <v>36295</v>
      </c>
      <c r="B28818" s="4" t="s">
        <v>36296</v>
      </c>
      <c r="C28818" s="5" t="str">
        <f>IFERROR(__xludf.DUMMYFUNCTION("GOOGLETRANSLATE(B28818,""en"",""fr"")"),"Les gens jouent au golf sur l'herbe.")</f>
        <v>Les gens jouent au golf sur l'herbe.</v>
      </c>
    </row>
    <row r="28819">
      <c r="A28819" s="4" t="s">
        <v>36295</v>
      </c>
      <c r="B28819" s="4" t="s">
        <v>36297</v>
      </c>
      <c r="C28819" s="5" t="str">
        <f>IFERROR(__xludf.DUMMYFUNCTION("GOOGLETRANSLATE(B28819,""en"",""fr"")"),"Un homme frappe le ballon avec un club.")</f>
        <v>Un homme frappe le ballon avec un club.</v>
      </c>
    </row>
    <row r="28820">
      <c r="A28820" s="4" t="s">
        <v>36295</v>
      </c>
      <c r="B28820" s="4" t="s">
        <v>36298</v>
      </c>
      <c r="C28820" s="5" t="str">
        <f>IFERROR(__xludf.DUMMYFUNCTION("GOOGLETRANSLATE(B28820,""en"",""fr"")"),"Un homme en chapeau blanc marche derrière lui.")</f>
        <v>Un homme en chapeau blanc marche derrière lui.</v>
      </c>
    </row>
    <row r="28821">
      <c r="A28821" s="4" t="s">
        <v>36299</v>
      </c>
      <c r="B28821" s="4" t="s">
        <v>36300</v>
      </c>
      <c r="C28821" s="5" t="str">
        <f>IFERROR(__xludf.DUMMYFUNCTION("GOOGLETRANSLATE(B28821,""en"",""fr"")"),"Le produit final et les crédits sont affichés.")</f>
        <v>Le produit final et les crédits sont affichés.</v>
      </c>
    </row>
    <row r="28822">
      <c r="A28822" s="4" t="s">
        <v>36299</v>
      </c>
      <c r="B28822" s="4" t="s">
        <v>36301</v>
      </c>
      <c r="C28822" s="5" t="str">
        <f>IFERROR(__xludf.DUMMYFUNCTION("GOOGLETRANSLATE(B28822,""en"",""fr"")"),"Les ingrédients sont mélangés et sautés.")</f>
        <v>Les ingrédients sont mélangés et sautés.</v>
      </c>
    </row>
    <row r="28823">
      <c r="A28823" s="4" t="s">
        <v>36299</v>
      </c>
      <c r="B28823" s="4" t="s">
        <v>36302</v>
      </c>
      <c r="C28823" s="5" t="str">
        <f>IFERROR(__xludf.DUMMYFUNCTION("GOOGLETRANSLATE(B28823,""en"",""fr"")"),"Des pâtes sont ajoutées à la casserole.")</f>
        <v>Des pâtes sont ajoutées à la casserole.</v>
      </c>
    </row>
    <row r="28824">
      <c r="A28824" s="4" t="s">
        <v>36299</v>
      </c>
      <c r="B28824" s="4" t="s">
        <v>36303</v>
      </c>
      <c r="C28824" s="5" t="str">
        <f>IFERROR(__xludf.DUMMYFUNCTION("GOOGLETRANSLATE(B28824,""en"",""fr"")"),"La pâte de tomate et les ingrédients secs sont ajoutés à la casserole.")</f>
        <v>La pâte de tomate et les ingrédients secs sont ajoutés à la casserole.</v>
      </c>
    </row>
    <row r="28825">
      <c r="A28825" s="4" t="s">
        <v>36299</v>
      </c>
      <c r="B28825" s="4" t="s">
        <v>36304</v>
      </c>
      <c r="C28825" s="5" t="str">
        <f>IFERROR(__xludf.DUMMYFUNCTION("GOOGLETRANSLATE(B28825,""en"",""fr"")"),"Le produit final est tiré de la casserole et placé sur une plaque blanche.")</f>
        <v>Le produit final est tiré de la casserole et placé sur une plaque blanche.</v>
      </c>
    </row>
    <row r="28826">
      <c r="A28826" s="4" t="s">
        <v>36299</v>
      </c>
      <c r="B28826" s="4" t="s">
        <v>36305</v>
      </c>
      <c r="C28826" s="5" t="str">
        <f>IFERROR(__xludf.DUMMYFUNCTION("GOOGLETRANSLATE(B28826,""en"",""fr"")"),"Le produit final et les crédits du clip sont affichés.")</f>
        <v>Le produit final et les crédits du clip sont affichés.</v>
      </c>
    </row>
    <row r="28827">
      <c r="A28827" s="4" t="s">
        <v>36306</v>
      </c>
      <c r="B28827" s="4" t="s">
        <v>36307</v>
      </c>
      <c r="C28827" s="5" t="str">
        <f>IFERROR(__xludf.DUMMYFUNCTION("GOOGLETRANSLATE(B28827,""en"",""fr"")"),"Les gens attachent ces machines Qloja à leurs pieds.")</f>
        <v>Les gens attachent ces machines Qloja à leurs pieds.</v>
      </c>
    </row>
    <row r="28828">
      <c r="A28828" s="4" t="s">
        <v>36306</v>
      </c>
      <c r="B28828" s="4" t="s">
        <v>36308</v>
      </c>
      <c r="C28828" s="5" t="str">
        <f>IFERROR(__xludf.DUMMYFUNCTION("GOOGLETRANSLATE(B28828,""en"",""fr"")"),"Il faut assez longtemps pour les mettre, puis ils commencent à marcher.")</f>
        <v>Il faut assez longtemps pour les mettre, puis ils commencent à marcher.</v>
      </c>
    </row>
    <row r="28829">
      <c r="A28829" s="4" t="s">
        <v>36306</v>
      </c>
      <c r="B28829" s="4" t="s">
        <v>36309</v>
      </c>
      <c r="C28829" s="5" t="str">
        <f>IFERROR(__xludf.DUMMYFUNCTION("GOOGLETRANSLATE(B28829,""en"",""fr"")"),"Ils accumulent un peu de vitesse et commencent à courir en ligne.")</f>
        <v>Ils accumulent un peu de vitesse et commencent à courir en ligne.</v>
      </c>
    </row>
    <row r="28830">
      <c r="A28830" s="4" t="s">
        <v>36306</v>
      </c>
      <c r="B28830" s="6" t="s">
        <v>36310</v>
      </c>
      <c r="C28830" s="5" t="str">
        <f>IFERROR(__xludf.DUMMYFUNCTION("GOOGLETRANSLATE(B28830,""en"",""fr"")"),"Une ligne d'environ 15 personnes portant ces contraceptions courent sur eux, puis un plus petit groupe de trois rebondit de haut en bas.")</f>
        <v>Une ligne d'environ 15 personnes portant ces contraceptions courent sur eux, puis un plus petit groupe de trois rebondit de haut en bas.</v>
      </c>
    </row>
    <row r="28831">
      <c r="A28831" s="4" t="s">
        <v>36311</v>
      </c>
      <c r="B28831" s="4" t="s">
        <v>13870</v>
      </c>
      <c r="C28831" s="5" t="str">
        <f>IFERROR(__xludf.DUMMYFUNCTION("GOOGLETRANSLATE(B28831,""en"",""fr"")"),"Un homme en chemise blanche parle à la caméra.")</f>
        <v>Un homme en chemise blanche parle à la caméra.</v>
      </c>
    </row>
    <row r="28832">
      <c r="A28832" s="4" t="s">
        <v>36311</v>
      </c>
      <c r="B28832" s="4" t="s">
        <v>36312</v>
      </c>
      <c r="C28832" s="5" t="str">
        <f>IFERROR(__xludf.DUMMYFUNCTION("GOOGLETRANSLATE(B28832,""en"",""fr"")"),"Les gens jouent un jeu de volleyball les uns contre les autres.")</f>
        <v>Les gens jouent un jeu de volleyball les uns contre les autres.</v>
      </c>
    </row>
    <row r="28833">
      <c r="A28833" s="4" t="s">
        <v>36313</v>
      </c>
      <c r="B28833" s="4" t="s">
        <v>36314</v>
      </c>
      <c r="C28833" s="5" t="str">
        <f>IFERROR(__xludf.DUMMYFUNCTION("GOOGLETRANSLATE(B28833,""en"",""fr"")"),"Deux personnes chorégraphent une routine avec des nunchucks.")</f>
        <v>Deux personnes chorégraphent une routine avec des nunchucks.</v>
      </c>
    </row>
    <row r="28834">
      <c r="A28834" s="4" t="s">
        <v>36313</v>
      </c>
      <c r="B28834" s="4" t="s">
        <v>36315</v>
      </c>
      <c r="C28834" s="5" t="str">
        <f>IFERROR(__xludf.DUMMYFUNCTION("GOOGLETRANSLATE(B28834,""en"",""fr"")"),"Les filles laissent tomber les nunchucks puis dansent.")</f>
        <v>Les filles laissent tomber les nunchucks puis dansent.</v>
      </c>
    </row>
    <row r="28835">
      <c r="A28835" s="4" t="s">
        <v>36313</v>
      </c>
      <c r="B28835" s="4" t="s">
        <v>36316</v>
      </c>
      <c r="C28835" s="5" t="str">
        <f>IFERROR(__xludf.DUMMYFUNCTION("GOOGLETRANSLATE(B28835,""en"",""fr"")"),"Une troisième personne se joint puis part.")</f>
        <v>Une troisième personne se joint puis part.</v>
      </c>
    </row>
    <row r="28836">
      <c r="A28836" s="4" t="s">
        <v>36317</v>
      </c>
      <c r="B28836" s="4" t="s">
        <v>36318</v>
      </c>
      <c r="C28836" s="5" t="str">
        <f>IFERROR(__xludf.DUMMYFUNCTION("GOOGLETRANSLATE(B28836,""en"",""fr"")"),"Une scie à main se trouve sur un toit.")</f>
        <v>Une scie à main se trouve sur un toit.</v>
      </c>
    </row>
    <row r="28837">
      <c r="A28837" s="4" t="s">
        <v>36317</v>
      </c>
      <c r="B28837" s="4" t="s">
        <v>36319</v>
      </c>
      <c r="C28837" s="5" t="str">
        <f>IFERROR(__xludf.DUMMYFUNCTION("GOOGLETRANSLATE(B28837,""en"",""fr"")"),"Une échelle se penche dessus.")</f>
        <v>Une échelle se penche dessus.</v>
      </c>
    </row>
    <row r="28838">
      <c r="A28838" s="4" t="s">
        <v>36317</v>
      </c>
      <c r="B28838" s="4" t="s">
        <v>36320</v>
      </c>
      <c r="C28838" s="5" t="str">
        <f>IFERROR(__xludf.DUMMYFUNCTION("GOOGLETRANSLATE(B28838,""en"",""fr"")"),"Le toit est vieux et délabré.")</f>
        <v>Le toit est vieux et délabré.</v>
      </c>
    </row>
    <row r="28839">
      <c r="A28839" s="4" t="s">
        <v>36317</v>
      </c>
      <c r="B28839" s="4" t="s">
        <v>36321</v>
      </c>
      <c r="C28839" s="5" t="str">
        <f>IFERROR(__xludf.DUMMYFUNCTION("GOOGLETRANSLATE(B28839,""en"",""fr"")"),"L'appareil photo se déroule ensuite.")</f>
        <v>L'appareil photo se déroule ensuite.</v>
      </c>
    </row>
    <row r="28840">
      <c r="A28840" s="4" t="s">
        <v>36322</v>
      </c>
      <c r="B28840" s="4" t="s">
        <v>36323</v>
      </c>
      <c r="C28840" s="5" t="str">
        <f>IFERROR(__xludf.DUMMYFUNCTION("GOOGLETRANSLATE(B28840,""en"",""fr"")"),"Un lanceur de poids ouvre la bouche large.")</f>
        <v>Un lanceur de poids ouvre la bouche large.</v>
      </c>
    </row>
    <row r="28841">
      <c r="A28841" s="4" t="s">
        <v>36322</v>
      </c>
      <c r="B28841" s="4" t="s">
        <v>36324</v>
      </c>
      <c r="C28841" s="5" t="str">
        <f>IFERROR(__xludf.DUMMYFUNCTION("GOOGLETRANSLATE(B28841,""en"",""fr"")"),"Il soulève une haltère géante de toutes ses forces.")</f>
        <v>Il soulève une haltère géante de toutes ses forces.</v>
      </c>
    </row>
    <row r="28842">
      <c r="A28842" s="4" t="s">
        <v>36322</v>
      </c>
      <c r="B28842" s="4" t="s">
        <v>36325</v>
      </c>
      <c r="C28842" s="5" t="str">
        <f>IFERROR(__xludf.DUMMYFUNCTION("GOOGLETRANSLATE(B28842,""en"",""fr"")"),"Il le soulève sur sa poitrine, puis au-dessus de sa tête.")</f>
        <v>Il le soulève sur sa poitrine, puis au-dessus de sa tête.</v>
      </c>
    </row>
    <row r="28843">
      <c r="A28843" s="4" t="s">
        <v>36326</v>
      </c>
      <c r="B28843" s="4" t="s">
        <v>36327</v>
      </c>
      <c r="C28843" s="5" t="str">
        <f>IFERROR(__xludf.DUMMYFUNCTION("GOOGLETRANSLATE(B28843,""en"",""fr"")"),"Une femme est vue debout dans une cour avec une tondeuse à gazon devant elle.")</f>
        <v>Une femme est vue debout dans une cour avec une tondeuse à gazon devant elle.</v>
      </c>
    </row>
    <row r="28844">
      <c r="A28844" s="4" t="s">
        <v>36326</v>
      </c>
      <c r="B28844" s="4" t="s">
        <v>36328</v>
      </c>
      <c r="C28844" s="5" t="str">
        <f>IFERROR(__xludf.DUMMYFUNCTION("GOOGLETRANSLATE(B28844,""en"",""fr"")"),"La fille pousse ensuite la tondeuse à gazon le long de la cour.")</f>
        <v>La fille pousse ensuite la tondeuse à gazon le long de la cour.</v>
      </c>
    </row>
    <row r="28845">
      <c r="A28845" s="4" t="s">
        <v>36326</v>
      </c>
      <c r="B28845" s="4" t="s">
        <v>36329</v>
      </c>
      <c r="C28845" s="5" t="str">
        <f>IFERROR(__xludf.DUMMYFUNCTION("GOOGLETRANSLATE(B28845,""en"",""fr"")"),"La caméra se rapproche de la femme qui pousse toujours la tondeuse et parlant à la caméra.")</f>
        <v>La caméra se rapproche de la femme qui pousse toujours la tondeuse et parlant à la caméra.</v>
      </c>
    </row>
    <row r="28846">
      <c r="A28846" s="4" t="s">
        <v>36330</v>
      </c>
      <c r="B28846" s="4" t="s">
        <v>36331</v>
      </c>
      <c r="C28846" s="5" t="str">
        <f>IFERROR(__xludf.DUMMYFUNCTION("GOOGLETRANSLATE(B28846,""en"",""fr"")"),"Un homme se tient à l'extérieur sous une tente frappant une pinata avec un bâton.")</f>
        <v>Un homme se tient à l'extérieur sous une tente frappant une pinata avec un bâton.</v>
      </c>
    </row>
    <row r="28847">
      <c r="A28847" s="4" t="s">
        <v>36330</v>
      </c>
      <c r="B28847" s="6" t="s">
        <v>36332</v>
      </c>
      <c r="C28847" s="5" t="str">
        <f>IFERROR(__xludf.DUMMYFUNCTION("GOOGLETRANSLATE(B28847,""en"",""fr"")"),"Après environ trois cordes, il se déplace et donne le bâton à une jeune fille avec une robe grise et noire.")</f>
        <v>Après environ trois cordes, il se déplace et donne le bâton à une jeune fille avec une robe grise et noire.</v>
      </c>
    </row>
    <row r="28848">
      <c r="A28848" s="4" t="s">
        <v>36330</v>
      </c>
      <c r="B28848" s="6" t="s">
        <v>36333</v>
      </c>
      <c r="C28848" s="5" t="str">
        <f>IFERROR(__xludf.DUMMYFUNCTION("GOOGLETRANSLATE(B28848,""en"",""fr"")"),"Une fois qu'elle a le bâton, elle frappe dans la mauvaise direction, puis est redirigée vers la pinata et finit toujours par le manquer.")</f>
        <v>Une fois qu'elle a le bâton, elle frappe dans la mauvaise direction, puis est redirigée vers la pinata et finit toujours par le manquer.</v>
      </c>
    </row>
    <row r="28849">
      <c r="A28849" s="4" t="s">
        <v>36334</v>
      </c>
      <c r="B28849" s="4" t="s">
        <v>36335</v>
      </c>
      <c r="C28849" s="5" t="str">
        <f>IFERROR(__xludf.DUMMYFUNCTION("GOOGLETRANSLATE(B28849,""en"",""fr"")"),"Un homme et une femme dansent en faisant une choréogaphie de Zumba au milieu de la scène.")</f>
        <v>Un homme et une femme dansent en faisant une choréogaphie de Zumba au milieu de la scène.</v>
      </c>
    </row>
    <row r="28850">
      <c r="A28850" s="4" t="s">
        <v>36334</v>
      </c>
      <c r="B28850" s="4" t="s">
        <v>36336</v>
      </c>
      <c r="C28850" s="5" t="str">
        <f>IFERROR(__xludf.DUMMYFUNCTION("GOOGLETRANSLATE(B28850,""en"",""fr"")"),"L'homme portant une approche de chemises grises sur la scène et continue de danser.")</f>
        <v>L'homme portant une approche de chemises grises sur la scène et continue de danser.</v>
      </c>
    </row>
    <row r="28851">
      <c r="A28851" s="4" t="s">
        <v>36334</v>
      </c>
      <c r="B28851" s="4" t="s">
        <v>36337</v>
      </c>
      <c r="C28851" s="5" t="str">
        <f>IFERROR(__xludf.DUMMYFUNCTION("GOOGLETRANSLATE(B28851,""en"",""fr"")"),"La femme portant une chemise rose est en arrière-plan qui tient un téléphone portable blanc et prenant des photos.")</f>
        <v>La femme portant une chemise rose est en arrière-plan qui tient un téléphone portable blanc et prenant des photos.</v>
      </c>
    </row>
    <row r="28852">
      <c r="A28852" s="4" t="s">
        <v>36338</v>
      </c>
      <c r="B28852" s="4" t="s">
        <v>36339</v>
      </c>
      <c r="C28852" s="5" t="str">
        <f>IFERROR(__xludf.DUMMYFUNCTION("GOOGLETRANSLATE(B28852,""en"",""fr"")"),"Un couple roule un petit chariot et plus frais dans un parc.")</f>
        <v>Un couple roule un petit chariot et plus frais dans un parc.</v>
      </c>
    </row>
    <row r="28853">
      <c r="A28853" s="4" t="s">
        <v>36338</v>
      </c>
      <c r="B28853" s="6" t="s">
        <v>36340</v>
      </c>
      <c r="C28853" s="5" t="str">
        <f>IFERROR(__xludf.DUMMYFUNCTION("GOOGLETRANSLATE(B28853,""en"",""fr"")"),"Les bâtons sont collectés, puis un anneau de pierres est construit avec les bâtons empilés avec des brindilles à l'intérieur.")</f>
        <v>Les bâtons sont collectés, puis un anneau de pierres est construit avec les bâtons empilés avec des brindilles à l'intérieur.</v>
      </c>
    </row>
    <row r="28854">
      <c r="A28854" s="4" t="s">
        <v>36338</v>
      </c>
      <c r="B28854" s="4" t="s">
        <v>36341</v>
      </c>
      <c r="C28854" s="5" t="str">
        <f>IFERROR(__xludf.DUMMYFUNCTION("GOOGLETRANSLATE(B28854,""en"",""fr"")"),"Le paquet de bois est allumé en feu et d'autres bâtons sont ajoutés pour le maintenir.")</f>
        <v>Le paquet de bois est allumé en feu et d'autres bâtons sont ajoutés pour le maintenir.</v>
      </c>
    </row>
    <row r="28855">
      <c r="A28855" s="4" t="s">
        <v>36338</v>
      </c>
      <c r="B28855" s="4" t="s">
        <v>36342</v>
      </c>
      <c r="C28855" s="5" t="str">
        <f>IFERROR(__xludf.DUMMYFUNCTION("GOOGLETRANSLATE(B28855,""en"",""fr"")"),"L'homme s'assoit sur une chaise de jardin et profite de la journée.")</f>
        <v>L'homme s'assoit sur une chaise de jardin et profite de la journée.</v>
      </c>
    </row>
    <row r="28856">
      <c r="A28856" s="4" t="s">
        <v>36338</v>
      </c>
      <c r="B28856" s="4" t="s">
        <v>36343</v>
      </c>
      <c r="C28856" s="5" t="str">
        <f>IFERROR(__xludf.DUMMYFUNCTION("GOOGLETRANSLATE(B28856,""en"",""fr"")"),"L'homme bonne une buse sur un réservoir de propane et alimente le feu avec.")</f>
        <v>L'homme bonne une buse sur un réservoir de propane et alimente le feu avec.</v>
      </c>
    </row>
    <row r="28857">
      <c r="A28857" s="4" t="s">
        <v>36338</v>
      </c>
      <c r="B28857" s="4" t="s">
        <v>36344</v>
      </c>
      <c r="C28857" s="5" t="str">
        <f>IFERROR(__xludf.DUMMYFUNCTION("GOOGLETRANSLATE(B28857,""en"",""fr"")"),"Le feu est éteint avec un seau d'eau et recouvert de terre.")</f>
        <v>Le feu est éteint avec un seau d'eau et recouvert de terre.</v>
      </c>
    </row>
    <row r="28858">
      <c r="A28858" s="4" t="s">
        <v>36345</v>
      </c>
      <c r="B28858" s="4" t="s">
        <v>36346</v>
      </c>
      <c r="C28858" s="5" t="str">
        <f>IFERROR(__xludf.DUMMYFUNCTION("GOOGLETRANSLATE(B28858,""en"",""fr"")"),"Un homme retire un pneu d'un hub avec un outil.")</f>
        <v>Un homme retire un pneu d'un hub avec un outil.</v>
      </c>
    </row>
    <row r="28859">
      <c r="A28859" s="4" t="s">
        <v>36345</v>
      </c>
      <c r="B28859" s="4" t="s">
        <v>36347</v>
      </c>
      <c r="C28859" s="5" t="str">
        <f>IFERROR(__xludf.DUMMYFUNCTION("GOOGLETRANSLATE(B28859,""en"",""fr"")"),"Il met ensuite le pneu sur le dessus de l'outil pour finir de le retirer.")</f>
        <v>Il met ensuite le pneu sur le dessus de l'outil pour finir de le retirer.</v>
      </c>
    </row>
    <row r="28860">
      <c r="A28860" s="4" t="s">
        <v>36348</v>
      </c>
      <c r="B28860" s="4" t="s">
        <v>36349</v>
      </c>
      <c r="C28860" s="5" t="str">
        <f>IFERROR(__xludf.DUMMYFUNCTION("GOOGLETRANSLATE(B28860,""en"",""fr"")"),"Une équipe de joueurs court sur un terrain.")</f>
        <v>Une équipe de joueurs court sur un terrain.</v>
      </c>
    </row>
    <row r="28861">
      <c r="A28861" s="4" t="s">
        <v>36348</v>
      </c>
      <c r="B28861" s="4" t="s">
        <v>36350</v>
      </c>
      <c r="C28861" s="5" t="str">
        <f>IFERROR(__xludf.DUMMYFUNCTION("GOOGLETRANSLATE(B28861,""en"",""fr"")"),"Ils détiennent une sorte de raquettes.")</f>
        <v>Ils détiennent une sorte de raquettes.</v>
      </c>
    </row>
    <row r="28862">
      <c r="A28862" s="4" t="s">
        <v>36348</v>
      </c>
      <c r="B28862" s="4" t="s">
        <v>36351</v>
      </c>
      <c r="C28862" s="5" t="str">
        <f>IFERROR(__xludf.DUMMYFUNCTION("GOOGLETRANSLATE(B28862,""en"",""fr"")"),"Les swing les uns contre les autres.")</f>
        <v>Les swing les uns contre les autres.</v>
      </c>
    </row>
    <row r="28863">
      <c r="A28863" s="4" t="s">
        <v>36348</v>
      </c>
      <c r="B28863" s="4" t="s">
        <v>36352</v>
      </c>
      <c r="C28863" s="5" t="str">
        <f>IFERROR(__xludf.DUMMYFUNCTION("GOOGLETRANSLATE(B28863,""en"",""fr"")"),"Certains joueurs passent devant une ligne jaune.")</f>
        <v>Certains joueurs passent devant une ligne jaune.</v>
      </c>
    </row>
    <row r="28864">
      <c r="A28864" s="4" t="s">
        <v>36353</v>
      </c>
      <c r="B28864" s="4" t="s">
        <v>36354</v>
      </c>
      <c r="C28864" s="5" t="str">
        <f>IFERROR(__xludf.DUMMYFUNCTION("GOOGLETRANSLATE(B28864,""en"",""fr"")"),"Les crédits d'ouverture montrent les activités à venir.")</f>
        <v>Les crédits d'ouverture montrent les activités à venir.</v>
      </c>
    </row>
    <row r="28865">
      <c r="A28865" s="4" t="s">
        <v>36353</v>
      </c>
      <c r="B28865" s="4" t="s">
        <v>36355</v>
      </c>
      <c r="C28865" s="5" t="str">
        <f>IFERROR(__xludf.DUMMYFUNCTION("GOOGLETRANSLATE(B28865,""en"",""fr"")"),"Un homme en plaid se tient à un microphone reconnaissant la foule.")</f>
        <v>Un homme en plaid se tient à un microphone reconnaissant la foule.</v>
      </c>
    </row>
    <row r="28866">
      <c r="A28866" s="4" t="s">
        <v>36353</v>
      </c>
      <c r="B28866" s="4" t="s">
        <v>36356</v>
      </c>
      <c r="C28866" s="5" t="str">
        <f>IFERROR(__xludf.DUMMYFUNCTION("GOOGLETRANSLATE(B28866,""en"",""fr"")"),"Il commence à jouer l'harmonica.")</f>
        <v>Il commence à jouer l'harmonica.</v>
      </c>
    </row>
    <row r="28867">
      <c r="A28867" s="4" t="s">
        <v>36353</v>
      </c>
      <c r="B28867" s="4" t="s">
        <v>36357</v>
      </c>
      <c r="C28867" s="5" t="str">
        <f>IFERROR(__xludf.DUMMYFUNCTION("GOOGLETRANSLATE(B28867,""en"",""fr"")"),"L'homme arrête de jouer et danse en place.")</f>
        <v>L'homme arrête de jouer et danse en place.</v>
      </c>
    </row>
    <row r="28868">
      <c r="A28868" s="4" t="s">
        <v>36353</v>
      </c>
      <c r="B28868" s="4" t="s">
        <v>36358</v>
      </c>
      <c r="C28868" s="5" t="str">
        <f>IFERROR(__xludf.DUMMYFUNCTION("GOOGLETRANSLATE(B28868,""en"",""fr"")"),"L'homme continue de jouer son harmonica.")</f>
        <v>L'homme continue de jouer son harmonica.</v>
      </c>
    </row>
    <row r="28869">
      <c r="A28869" s="4" t="s">
        <v>36353</v>
      </c>
      <c r="B28869" s="4" t="s">
        <v>36359</v>
      </c>
      <c r="C28869" s="5" t="str">
        <f>IFERROR(__xludf.DUMMYFUNCTION("GOOGLETRANSLATE(B28869,""en"",""fr"")"),"L'homme arrête d'éclairer et remercie la foule alors que les crédits de clôture apparaissent.")</f>
        <v>L'homme arrête d'éclairer et remercie la foule alors que les crédits de clôture apparaissent.</v>
      </c>
    </row>
    <row r="28870">
      <c r="A28870" s="4" t="s">
        <v>36360</v>
      </c>
      <c r="B28870" s="4" t="s">
        <v>36361</v>
      </c>
      <c r="C28870" s="5" t="str">
        <f>IFERROR(__xludf.DUMMYFUNCTION("GOOGLETRANSLATE(B28870,""en"",""fr"")"),"Il y a un petit garçon vêtu d'une chemise rouge et d'un jean bleu assis sur un fauteuil inclinable en cuir noir.")</f>
        <v>Il y a un petit garçon vêtu d'une chemise rouge et d'un jean bleu assis sur un fauteuil inclinable en cuir noir.</v>
      </c>
    </row>
    <row r="28871">
      <c r="A28871" s="4" t="s">
        <v>36360</v>
      </c>
      <c r="B28871" s="4" t="s">
        <v>36362</v>
      </c>
      <c r="C28871" s="5" t="str">
        <f>IFERROR(__xludf.DUMMYFUNCTION("GOOGLETRANSLATE(B28871,""en"",""fr"")"),"Il est assis, les mains tendues.")</f>
        <v>Il est assis, les mains tendues.</v>
      </c>
    </row>
    <row r="28872">
      <c r="A28872" s="4" t="s">
        <v>36360</v>
      </c>
      <c r="B28872" s="4" t="s">
        <v>36363</v>
      </c>
      <c r="C28872" s="5" t="str">
        <f>IFERROR(__xludf.DUMMYFUNCTION("GOOGLETRANSLATE(B28872,""en"",""fr"")"),"Un homme debout à côté de lui avec un petit bâton chatouille la main du garçon avec le bâton.")</f>
        <v>Un homme debout à côté de lui avec un petit bâton chatouille la main du garçon avec le bâton.</v>
      </c>
    </row>
    <row r="28873">
      <c r="A28873" s="4" t="s">
        <v>36360</v>
      </c>
      <c r="B28873" s="4" t="s">
        <v>36364</v>
      </c>
      <c r="C28873" s="5" t="str">
        <f>IFERROR(__xludf.DUMMYFUNCTION("GOOGLETRANSLATE(B28873,""en"",""fr"")"),"Le garçon semble l'aimer et lui demande aussi de le faire de son autre main.")</f>
        <v>Le garçon semble l'aimer et lui demande aussi de le faire de son autre main.</v>
      </c>
    </row>
    <row r="28874">
      <c r="A28874" s="4" t="s">
        <v>36360</v>
      </c>
      <c r="B28874" s="4" t="s">
        <v>36365</v>
      </c>
      <c r="C28874" s="5" t="str">
        <f>IFERROR(__xludf.DUMMYFUNCTION("GOOGLETRANSLATE(B28874,""en"",""fr"")"),"L'homme chatouille l'autre main du petit garçon.")</f>
        <v>L'homme chatouille l'autre main du petit garçon.</v>
      </c>
    </row>
    <row r="28875">
      <c r="A28875" s="4" t="s">
        <v>36360</v>
      </c>
      <c r="B28875" s="4" t="s">
        <v>36366</v>
      </c>
      <c r="C28875" s="5" t="str">
        <f>IFERROR(__xludf.DUMMYFUNCTION("GOOGLETRANSLATE(B28875,""en"",""fr"")"),"Le garçon sourit et en demande plus.")</f>
        <v>Le garçon sourit et en demande plus.</v>
      </c>
    </row>
    <row r="28876">
      <c r="A28876" s="4" t="s">
        <v>36367</v>
      </c>
      <c r="B28876" s="4" t="s">
        <v>36368</v>
      </c>
      <c r="C28876" s="5" t="str">
        <f>IFERROR(__xludf.DUMMYFUNCTION("GOOGLETRANSLATE(B28876,""en"",""fr"")"),"Une caméra se déroule autour de l'herbe et mène à une clôture.")</f>
        <v>Une caméra se déroule autour de l'herbe et mène à une clôture.</v>
      </c>
    </row>
    <row r="28877">
      <c r="A28877" s="4" t="s">
        <v>36367</v>
      </c>
      <c r="B28877" s="4" t="s">
        <v>36369</v>
      </c>
      <c r="C28877" s="5" t="str">
        <f>IFERROR(__xludf.DUMMYFUNCTION("GOOGLETRANSLATE(B28877,""en"",""fr"")"),"La caméra se déroule tout autour de la clôture avec des fleurs sur le côté.")</f>
        <v>La caméra se déroule tout autour de la clôture avec des fleurs sur le côté.</v>
      </c>
    </row>
    <row r="28878">
      <c r="A28878" s="4" t="s">
        <v>36367</v>
      </c>
      <c r="B28878" s="4" t="s">
        <v>36370</v>
      </c>
      <c r="C28878" s="5" t="str">
        <f>IFERROR(__xludf.DUMMYFUNCTION("GOOGLETRANSLATE(B28878,""en"",""fr"")"),"La caméra continue de se passer autour de la clôture et des différentes couleurs.")</f>
        <v>La caméra continue de se passer autour de la clôture et des différentes couleurs.</v>
      </c>
    </row>
    <row r="28879">
      <c r="A28879" s="4" t="s">
        <v>36371</v>
      </c>
      <c r="B28879" s="4" t="s">
        <v>36372</v>
      </c>
      <c r="C28879" s="5" t="str">
        <f>IFERROR(__xludf.DUMMYFUNCTION("GOOGLETRANSLATE(B28879,""en"",""fr"")"),"Un homme prend un narguilé et expire les anneaux de fumée.")</f>
        <v>Un homme prend un narguilé et expire les anneaux de fumée.</v>
      </c>
    </row>
    <row r="28880">
      <c r="A28880" s="4" t="s">
        <v>36371</v>
      </c>
      <c r="B28880" s="4" t="s">
        <v>36373</v>
      </c>
      <c r="C28880" s="5" t="str">
        <f>IFERROR(__xludf.DUMMYFUNCTION("GOOGLETRANSLATE(B28880,""en"",""fr"")"),"Il inspire et le refait.")</f>
        <v>Il inspire et le refait.</v>
      </c>
    </row>
    <row r="28881">
      <c r="A28881" s="4" t="s">
        <v>36374</v>
      </c>
      <c r="B28881" s="6" t="s">
        <v>36375</v>
      </c>
      <c r="C28881" s="5" t="str">
        <f>IFERROR(__xludf.DUMMYFUNCTION("GOOGLETRANSLATE(B28881,""en"",""fr"")"),"Huit hommes blancs d'âge moyen sont sur une corde qui tentent de gagner un jeu de lutte contre la guerre à l'extérieur dans un champ dans ce qui semble être un tournoi.")</f>
        <v>Huit hommes blancs d'âge moyen sont sur une corde qui tentent de gagner un jeu de lutte contre la guerre à l'extérieur dans un champ dans ce qui semble être un tournoi.</v>
      </c>
    </row>
    <row r="28882">
      <c r="A28882" s="4" t="s">
        <v>36374</v>
      </c>
      <c r="B28882" s="4" t="s">
        <v>36376</v>
      </c>
      <c r="C28882" s="5" t="str">
        <f>IFERROR(__xludf.DUMMYFUNCTION("GOOGLETRANSLATE(B28882,""en"",""fr"")"),"Alors que le jeu commence, les hommes tombent tous dans une position inclinée alors qu'ils luttent pour tirer la corde.")</f>
        <v>Alors que le jeu commence, les hommes tombent tous dans une position inclinée alors qu'ils luttent pour tirer la corde.</v>
      </c>
    </row>
    <row r="28883">
      <c r="A28883" s="4" t="s">
        <v>36374</v>
      </c>
      <c r="B28883" s="6" t="s">
        <v>36377</v>
      </c>
      <c r="C28883" s="5" t="str">
        <f>IFERROR(__xludf.DUMMYFUNCTION("GOOGLETRANSLATE(B28883,""en"",""fr"")"),"Soudain, un homme des côtés commence à parler à l'homme à l'avant et se met en face comme s'il lui donnait un discours d'encouragement pour rester fort, gagner et ne pas laisser l'autre équipe prendre le meilleur de lui.")</f>
        <v>Soudain, un homme des côtés commence à parler à l'homme à l'avant et se met en face comme s'il lui donnait un discours d'encouragement pour rester fort, gagner et ne pas laisser l'autre équipe prendre le meilleur de lui.</v>
      </c>
    </row>
    <row r="28884">
      <c r="A28884" s="4" t="s">
        <v>36374</v>
      </c>
      <c r="B28884" s="6" t="s">
        <v>36378</v>
      </c>
      <c r="C28884" s="5" t="str">
        <f>IFERROR(__xludf.DUMMYFUNCTION("GOOGLETRANSLATE(B28884,""en"",""fr"")"),"Le jeu continue et vous pouvez voir que l'équipe est de la drogue, mais ils gagnent soudainement en force et retirent la corde à leurs côtés, puis ils se tiennent tous à mesure que le jeu est terminé.")</f>
        <v>Le jeu continue et vous pouvez voir que l'équipe est de la drogue, mais ils gagnent soudainement en force et retirent la corde à leurs côtés, puis ils se tiennent tous à mesure que le jeu est terminé.</v>
      </c>
    </row>
    <row r="28885">
      <c r="A28885" s="4" t="s">
        <v>36379</v>
      </c>
      <c r="B28885" s="4" t="s">
        <v>36380</v>
      </c>
      <c r="C28885" s="5" t="str">
        <f>IFERROR(__xludf.DUMMYFUNCTION("GOOGLETRANSLATE(B28885,""en"",""fr"")"),"Deux personnes entrent dans un camion.")</f>
        <v>Deux personnes entrent dans un camion.</v>
      </c>
    </row>
    <row r="28886">
      <c r="A28886" s="4" t="s">
        <v>36379</v>
      </c>
      <c r="B28886" s="4" t="s">
        <v>36381</v>
      </c>
      <c r="C28886" s="5" t="str">
        <f>IFERROR(__xludf.DUMMYFUNCTION("GOOGLETRANSLATE(B28886,""en"",""fr"")"),"Ils conduisent dans la rue.")</f>
        <v>Ils conduisent dans la rue.</v>
      </c>
    </row>
    <row r="28887">
      <c r="A28887" s="4" t="s">
        <v>36379</v>
      </c>
      <c r="B28887" s="4" t="s">
        <v>36382</v>
      </c>
      <c r="C28887" s="5" t="str">
        <f>IFERROR(__xludf.DUMMYFUNCTION("GOOGLETRANSLATE(B28887,""en"",""fr"")"),"Un homme portant une échelle le place contre une maison.")</f>
        <v>Un homme portant une échelle le place contre une maison.</v>
      </c>
    </row>
    <row r="28888">
      <c r="A28888" s="4" t="s">
        <v>36379</v>
      </c>
      <c r="B28888" s="4" t="s">
        <v>36383</v>
      </c>
      <c r="C28888" s="5" t="str">
        <f>IFERROR(__xludf.DUMMYFUNCTION("GOOGLETRANSLATE(B28888,""en"",""fr"")"),"La femme regarde l'homme.")</f>
        <v>La femme regarde l'homme.</v>
      </c>
    </row>
    <row r="28889">
      <c r="A28889" s="4" t="s">
        <v>36379</v>
      </c>
      <c r="B28889" s="4" t="s">
        <v>36384</v>
      </c>
      <c r="C28889" s="5" t="str">
        <f>IFERROR(__xludf.DUMMYFUNCTION("GOOGLETRANSLATE(B28889,""en"",""fr"")"),"L'homme regarde le toit de la maison sur l'échelle.")</f>
        <v>L'homme regarde le toit de la maison sur l'échelle.</v>
      </c>
    </row>
    <row r="28890">
      <c r="A28890" s="4" t="s">
        <v>36379</v>
      </c>
      <c r="B28890" s="4" t="s">
        <v>36385</v>
      </c>
      <c r="C28890" s="5" t="str">
        <f>IFERROR(__xludf.DUMMYFUNCTION("GOOGLETRANSLATE(B28890,""en"",""fr"")"),"Il lui montre quelque chose et elle le tient dans sa main.")</f>
        <v>Il lui montre quelque chose et elle le tient dans sa main.</v>
      </c>
    </row>
    <row r="28891">
      <c r="A28891" s="4" t="s">
        <v>36379</v>
      </c>
      <c r="B28891" s="4" t="s">
        <v>36386</v>
      </c>
      <c r="C28891" s="5" t="str">
        <f>IFERROR(__xludf.DUMMYFUNCTION("GOOGLETRANSLATE(B28891,""en"",""fr"")"),"Un homme parle devant une maison.")</f>
        <v>Un homme parle devant une maison.</v>
      </c>
    </row>
    <row r="28892">
      <c r="A28892" s="4" t="s">
        <v>36379</v>
      </c>
      <c r="B28892" s="4" t="s">
        <v>36387</v>
      </c>
      <c r="C28892" s="5" t="str">
        <f>IFERROR(__xludf.DUMMYFUNCTION("GOOGLETRANSLATE(B28892,""en"",""fr"")"),"Un homme grimpe une échelle et regarde un toit.")</f>
        <v>Un homme grimpe une échelle et regarde un toit.</v>
      </c>
    </row>
    <row r="28893">
      <c r="A28893" s="4" t="s">
        <v>36379</v>
      </c>
      <c r="B28893" s="4" t="s">
        <v>36388</v>
      </c>
      <c r="C28893" s="5" t="str">
        <f>IFERROR(__xludf.DUMMYFUNCTION("GOOGLETRANSLATE(B28893,""en"",""fr"")"),"Un homme passe par une pile de papiers.")</f>
        <v>Un homme passe par une pile de papiers.</v>
      </c>
    </row>
    <row r="28894">
      <c r="A28894" s="4" t="s">
        <v>36379</v>
      </c>
      <c r="B28894" s="4" t="s">
        <v>36389</v>
      </c>
      <c r="C28894" s="5" t="str">
        <f>IFERROR(__xludf.DUMMYFUNCTION("GOOGLETRANSLATE(B28894,""en"",""fr"")"),"Il montre les papiers à l'écran.")</f>
        <v>Il montre les papiers à l'écran.</v>
      </c>
    </row>
    <row r="28895">
      <c r="A28895" s="4" t="s">
        <v>36390</v>
      </c>
      <c r="B28895" s="4" t="s">
        <v>36391</v>
      </c>
      <c r="C28895" s="5" t="str">
        <f>IFERROR(__xludf.DUMMYFUNCTION("GOOGLETRANSLATE(B28895,""en"",""fr"")"),"Une gymnaste est vue debout devant un faisceau levant les bras et d'autres regardant sur le côté.")</f>
        <v>Une gymnaste est vue debout devant un faisceau levant les bras et d'autres regardant sur le côté.</v>
      </c>
    </row>
    <row r="28896">
      <c r="A28896" s="4" t="s">
        <v>36390</v>
      </c>
      <c r="B28896" s="4" t="s">
        <v>36392</v>
      </c>
      <c r="C28896" s="5" t="str">
        <f>IFERROR(__xludf.DUMMYFUNCTION("GOOGLETRANSLATE(B28896,""en"",""fr"")"),"La femme effectue ensuite une routine de gymnastes devant un grand groupe de personnes.")</f>
        <v>La femme effectue ensuite une routine de gymnastes devant un grand groupe de personnes.</v>
      </c>
    </row>
    <row r="28897">
      <c r="A28897" s="4" t="s">
        <v>36390</v>
      </c>
      <c r="B28897" s="6" t="s">
        <v>36393</v>
      </c>
      <c r="C28897" s="5" t="str">
        <f>IFERROR(__xludf.DUMMYFUNCTION("GOOGLETRANSLATE(B28897,""en"",""fr"")"),"Elle tombe à un moment donné et saute en arrière pour terminer sa routine et se termine en sautant du côté.")</f>
        <v>Elle tombe à un moment donné et saute en arrière pour terminer sa routine et se termine en sautant du côté.</v>
      </c>
    </row>
    <row r="28898">
      <c r="A28898" s="4" t="s">
        <v>36394</v>
      </c>
      <c r="B28898" s="4" t="s">
        <v>36395</v>
      </c>
      <c r="C28898" s="5" t="str">
        <f>IFERROR(__xludf.DUMMYFUNCTION("GOOGLETRANSLATE(B28898,""en"",""fr"")"),"Un homme explique comment jouer les tambours sur les bongos.")</f>
        <v>Un homme explique comment jouer les tambours sur les bongos.</v>
      </c>
    </row>
    <row r="28899">
      <c r="A28899" s="4" t="s">
        <v>36394</v>
      </c>
      <c r="B28899" s="4" t="s">
        <v>36396</v>
      </c>
      <c r="C28899" s="5" t="str">
        <f>IFERROR(__xludf.DUMMYFUNCTION("GOOGLETRANSLATE(B28899,""en"",""fr"")"),"Il montre comment il alterne entre trois bongos.")</f>
        <v>Il montre comment il alterne entre trois bongos.</v>
      </c>
    </row>
    <row r="28900">
      <c r="A28900" s="4" t="s">
        <v>36394</v>
      </c>
      <c r="B28900" s="4" t="s">
        <v>36397</v>
      </c>
      <c r="C28900" s="5" t="str">
        <f>IFERROR(__xludf.DUMMYFUNCTION("GOOGLETRANSLATE(B28900,""en"",""fr"")"),"Il passe plus tard à un rythme et à un rythme beaucoup plus lents en battant sur les Bongos.")</f>
        <v>Il passe plus tard à un rythme et à un rythme beaucoup plus lents en battant sur les Bongos.</v>
      </c>
    </row>
    <row r="28901">
      <c r="A28901" s="4" t="s">
        <v>36394</v>
      </c>
      <c r="B28901" s="4" t="s">
        <v>36398</v>
      </c>
      <c r="C28901" s="5" t="str">
        <f>IFERROR(__xludf.DUMMYFUNCTION("GOOGLETRANSLATE(B28901,""en"",""fr"")"),"Il explique comment les battements sur le tambour change à mesure que le rythme change.")</f>
        <v>Il explique comment les battements sur le tambour change à mesure que le rythme change.</v>
      </c>
    </row>
    <row r="28902">
      <c r="A28902" s="4" t="s">
        <v>36394</v>
      </c>
      <c r="B28902" s="6" t="s">
        <v>36399</v>
      </c>
      <c r="C28902" s="5" t="str">
        <f>IFERROR(__xludf.DUMMYFUNCTION("GOOGLETRANSLATE(B28902,""en"",""fr"")"),"Il revient ensuite à un rythme et un rythme plus rapides sur les tambours en alternant entre deux tambours.")</f>
        <v>Il revient ensuite à un rythme et un rythme plus rapides sur les tambours en alternant entre deux tambours.</v>
      </c>
    </row>
    <row r="28903">
      <c r="A28903" s="4" t="s">
        <v>36400</v>
      </c>
      <c r="B28903" s="4" t="s">
        <v>36401</v>
      </c>
      <c r="C28903" s="5" t="str">
        <f>IFERROR(__xludf.DUMMYFUNCTION("GOOGLETRANSLATE(B28903,""en"",""fr"")"),"Une femme se tient à la fin d'un plongeon.")</f>
        <v>Une femme se tient à la fin d'un plongeon.</v>
      </c>
    </row>
    <row r="28904">
      <c r="A28904" s="4" t="s">
        <v>36400</v>
      </c>
      <c r="B28904" s="4" t="s">
        <v>36402</v>
      </c>
      <c r="C28904" s="5" t="str">
        <f>IFERROR(__xludf.DUMMYFUNCTION("GOOGLETRANSLATE(B28904,""en"",""fr"")"),"Elle rebondit légèrement de haut en bas.")</f>
        <v>Elle rebondit légèrement de haut en bas.</v>
      </c>
    </row>
    <row r="28905">
      <c r="A28905" s="4" t="s">
        <v>36400</v>
      </c>
      <c r="B28905" s="4" t="s">
        <v>36403</v>
      </c>
      <c r="C28905" s="5" t="str">
        <f>IFERROR(__xludf.DUMMYFUNCTION("GOOGLETRANSLATE(B28905,""en"",""fr"")"),"Elle fait ensuite un backflip dans l'eau.")</f>
        <v>Elle fait ensuite un backflip dans l'eau.</v>
      </c>
    </row>
    <row r="28906">
      <c r="A28906" s="4" t="s">
        <v>36404</v>
      </c>
      <c r="B28906" s="4" t="s">
        <v>36405</v>
      </c>
      <c r="C28906" s="5" t="str">
        <f>IFERROR(__xludf.DUMMYFUNCTION("GOOGLETRANSLATE(B28906,""en"",""fr"")"),"Un groupe de femmes est rassemblé dans une pièce, puis allez à la plage.")</f>
        <v>Un groupe de femmes est rassemblé dans une pièce, puis allez à la plage.</v>
      </c>
    </row>
    <row r="28907">
      <c r="A28907" s="4" t="s">
        <v>36404</v>
      </c>
      <c r="B28907" s="4" t="s">
        <v>36406</v>
      </c>
      <c r="C28907" s="5" t="str">
        <f>IFERROR(__xludf.DUMMYFUNCTION("GOOGLETRANSLATE(B28907,""en"",""fr"")"),"Une femme photographie les autres sous la jetée.")</f>
        <v>Une femme photographie les autres sous la jetée.</v>
      </c>
    </row>
    <row r="28908">
      <c r="A28908" s="4" t="s">
        <v>36404</v>
      </c>
      <c r="B28908" s="4" t="s">
        <v>36407</v>
      </c>
      <c r="C28908" s="5" t="str">
        <f>IFERROR(__xludf.DUMMYFUNCTION("GOOGLETRANSLATE(B28908,""en"",""fr"")"),"Ils parlent à la caméra entre les pousses.")</f>
        <v>Ils parlent à la caméra entre les pousses.</v>
      </c>
    </row>
    <row r="28909">
      <c r="A28909" s="4" t="s">
        <v>36408</v>
      </c>
      <c r="B28909" s="4" t="s">
        <v>36409</v>
      </c>
      <c r="C28909" s="5" t="str">
        <f>IFERROR(__xludf.DUMMYFUNCTION("GOOGLETRANSLATE(B28909,""en"",""fr"")"),"Un homme prend un moment pour lui avant de commencer à jouer de la guitare.")</f>
        <v>Un homme prend un moment pour lui avant de commencer à jouer de la guitare.</v>
      </c>
    </row>
    <row r="28910">
      <c r="A28910" s="4" t="s">
        <v>36408</v>
      </c>
      <c r="B28910" s="4" t="s">
        <v>36410</v>
      </c>
      <c r="C28910" s="5" t="str">
        <f>IFERROR(__xludf.DUMMYFUNCTION("GOOGLETRANSLATE(B28910,""en"",""fr"")"),"L'homme joue de la guitare.")</f>
        <v>L'homme joue de la guitare.</v>
      </c>
    </row>
    <row r="28911">
      <c r="A28911" s="4" t="s">
        <v>36408</v>
      </c>
      <c r="B28911" s="4" t="s">
        <v>36411</v>
      </c>
      <c r="C28911" s="5" t="str">
        <f>IFERROR(__xludf.DUMMYFUNCTION("GOOGLETRANSLATE(B28911,""en"",""fr"")"),"L'homme quitte la guitare.")</f>
        <v>L'homme quitte la guitare.</v>
      </c>
    </row>
    <row r="28912">
      <c r="A28912" s="4" t="s">
        <v>36412</v>
      </c>
      <c r="B28912" s="4" t="s">
        <v>36413</v>
      </c>
      <c r="C28912" s="5" t="str">
        <f>IFERROR(__xludf.DUMMYFUNCTION("GOOGLETRANSLATE(B28912,""en"",""fr"")"),"Deux personnes jouent à un jeu de ping-pong.")</f>
        <v>Deux personnes jouent à un jeu de ping-pong.</v>
      </c>
    </row>
    <row r="28913">
      <c r="A28913" s="4" t="s">
        <v>36412</v>
      </c>
      <c r="B28913" s="4" t="s">
        <v>36414</v>
      </c>
      <c r="C28913" s="5" t="str">
        <f>IFERROR(__xludf.DUMMYFUNCTION("GOOGLETRANSLATE(B28913,""en"",""fr"")"),"Les gens jouent au basket-ball derrière eux.")</f>
        <v>Les gens jouent au basket-ball derrière eux.</v>
      </c>
    </row>
    <row r="28914">
      <c r="A28914" s="4" t="s">
        <v>36412</v>
      </c>
      <c r="B28914" s="4" t="s">
        <v>36415</v>
      </c>
      <c r="C28914" s="5" t="str">
        <f>IFERROR(__xludf.DUMMYFUNCTION("GOOGLETRANSLATE(B28914,""en"",""fr"")"),"L'homme attrape à nouveau le ballon et le sert à travers la table.")</f>
        <v>L'homme attrape à nouveau le ballon et le sert à travers la table.</v>
      </c>
    </row>
    <row r="28915">
      <c r="A28915" s="4" t="s">
        <v>36412</v>
      </c>
      <c r="B28915" s="4" t="s">
        <v>36416</v>
      </c>
      <c r="C28915" s="5" t="str">
        <f>IFERROR(__xludf.DUMMYFUNCTION("GOOGLETRANSLATE(B28915,""en"",""fr"")"),"L'homme tient un téléphone et prend une photo avec la fille.")</f>
        <v>L'homme tient un téléphone et prend une photo avec la fille.</v>
      </c>
    </row>
    <row r="28916">
      <c r="A28916" s="4" t="s">
        <v>36417</v>
      </c>
      <c r="B28916" s="4" t="s">
        <v>36418</v>
      </c>
      <c r="C28916" s="5" t="str">
        <f>IFERROR(__xludf.DUMMYFUNCTION("GOOGLETRANSLATE(B28916,""en"",""fr"")"),"Une femme âgée dans une attelle de cou crie à la caméra dans une épicerie.")</f>
        <v>Une femme âgée dans une attelle de cou crie à la caméra dans une épicerie.</v>
      </c>
    </row>
    <row r="28917">
      <c r="A28917" s="4" t="s">
        <v>36417</v>
      </c>
      <c r="B28917" s="4" t="s">
        <v>36419</v>
      </c>
      <c r="C28917" s="5" t="str">
        <f>IFERROR(__xludf.DUMMYFUNCTION("GOOGLETRANSLATE(B28917,""en"",""fr"")"),"La dame aspire le sol dans le magasin.")</f>
        <v>La dame aspire le sol dans le magasin.</v>
      </c>
    </row>
    <row r="28918">
      <c r="A28918" s="4" t="s">
        <v>36417</v>
      </c>
      <c r="B28918" s="4" t="s">
        <v>36420</v>
      </c>
      <c r="C28918" s="5" t="str">
        <f>IFERROR(__xludf.DUMMYFUNCTION("GOOGLETRANSLATE(B28918,""en"",""fr"")"),"La dame danse à la musique et fait semblant de jouer d'une guitare.")</f>
        <v>La dame danse à la musique et fait semblant de jouer d'une guitare.</v>
      </c>
    </row>
    <row r="28919">
      <c r="A28919" s="4" t="s">
        <v>36417</v>
      </c>
      <c r="B28919" s="4" t="s">
        <v>36421</v>
      </c>
      <c r="C28919" s="5" t="str">
        <f>IFERROR(__xludf.DUMMYFUNCTION("GOOGLETRANSLATE(B28919,""en"",""fr"")"),"La dame enlève ses lunettes de soleil et parle à la caméra.")</f>
        <v>La dame enlève ses lunettes de soleil et parle à la caméra.</v>
      </c>
    </row>
    <row r="28920">
      <c r="A28920" s="4" t="s">
        <v>36417</v>
      </c>
      <c r="B28920" s="4" t="s">
        <v>36422</v>
      </c>
      <c r="C28920" s="5" t="str">
        <f>IFERROR(__xludf.DUMMYFUNCTION("GOOGLETRANSLATE(B28920,""en"",""fr"")"),"Nous finissons la voir se tenir debout dans une allée.")</f>
        <v>Nous finissons la voir se tenir debout dans une allée.</v>
      </c>
    </row>
    <row r="28921">
      <c r="A28921" s="4" t="s">
        <v>36423</v>
      </c>
      <c r="B28921" s="4" t="s">
        <v>36424</v>
      </c>
      <c r="C28921" s="5" t="str">
        <f>IFERROR(__xludf.DUMMYFUNCTION("GOOGLETRANSLATE(B28921,""en"",""fr"")"),"Il y a un groupe de chanteurs pop coréens qui se produisent sur une scène.")</f>
        <v>Il y a un groupe de chanteurs pop coréens qui se produisent sur une scène.</v>
      </c>
    </row>
    <row r="28922">
      <c r="A28922" s="4" t="s">
        <v>36423</v>
      </c>
      <c r="B28922" s="4" t="s">
        <v>36425</v>
      </c>
      <c r="C28922" s="5" t="str">
        <f>IFERROR(__xludf.DUMMYFUNCTION("GOOGLETRANSLATE(B28922,""en"",""fr"")"),"L'un des chanteurs joue du violon tandis que le public applaudit et applaudit pour lui.")</f>
        <v>L'un des chanteurs joue du violon tandis que le public applaudit et applaudit pour lui.</v>
      </c>
    </row>
    <row r="28923">
      <c r="A28923" s="4" t="s">
        <v>36423</v>
      </c>
      <c r="B28923" s="4" t="s">
        <v>36426</v>
      </c>
      <c r="C28923" s="5" t="str">
        <f>IFERROR(__xludf.DUMMYFUNCTION("GOOGLETRANSLATE(B28923,""en"",""fr"")"),"Ensuite, un autre chanteur attrape le micro et parle au public.")</f>
        <v>Ensuite, un autre chanteur attrape le micro et parle au public.</v>
      </c>
    </row>
    <row r="28924">
      <c r="A28924" s="4" t="s">
        <v>36423</v>
      </c>
      <c r="B28924" s="4" t="s">
        <v>36427</v>
      </c>
      <c r="C28924" s="5" t="str">
        <f>IFERROR(__xludf.DUMMYFUNCTION("GOOGLETRANSLATE(B28924,""en"",""fr"")"),"Le public applaudie et sourit en regardant.")</f>
        <v>Le public applaudie et sourit en regardant.</v>
      </c>
    </row>
    <row r="28925">
      <c r="A28925" s="4" t="s">
        <v>36423</v>
      </c>
      <c r="B28925" s="4" t="s">
        <v>36428</v>
      </c>
      <c r="C28925" s="5" t="str">
        <f>IFERROR(__xludf.DUMMYFUNCTION("GOOGLETRANSLATE(B28925,""en"",""fr"")"),"L'interprète chante alors qu'il joue du violon puis s'incline devant le public.")</f>
        <v>L'interprète chante alors qu'il joue du violon puis s'incline devant le public.</v>
      </c>
    </row>
    <row r="28926">
      <c r="A28926" s="4" t="s">
        <v>36423</v>
      </c>
      <c r="B28926" s="4" t="s">
        <v>36429</v>
      </c>
      <c r="C28926" s="5" t="str">
        <f>IFERROR(__xludf.DUMMYFUNCTION("GOOGLETRANSLATE(B28926,""en"",""fr"")"),"La foule applaudit et applaudit pour lui.")</f>
        <v>La foule applaudit et applaudit pour lui.</v>
      </c>
    </row>
    <row r="28927">
      <c r="A28927" s="4" t="s">
        <v>36430</v>
      </c>
      <c r="B28927" s="4" t="s">
        <v>36431</v>
      </c>
      <c r="C28927" s="5" t="str">
        <f>IFERROR(__xludf.DUMMYFUNCTION("GOOGLETRANSLATE(B28927,""en"",""fr"")"),"Un homme se tient dans un gymnase se préparant à soulever un ensemble de poids placés sur une barre.")</f>
        <v>Un homme se tient dans un gymnase se préparant à soulever un ensemble de poids placés sur une barre.</v>
      </c>
    </row>
    <row r="28928">
      <c r="A28928" s="4" t="s">
        <v>36430</v>
      </c>
      <c r="B28928" s="4" t="s">
        <v>36432</v>
      </c>
      <c r="C28928" s="5" t="str">
        <f>IFERROR(__xludf.DUMMYFUNCTION("GOOGLETRANSLATE(B28928,""en"",""fr"")"),"Ensuite, l'écran clignote vers un homme plus jeune qui secoue, puis laisse tomber la barre au sol.")</f>
        <v>Ensuite, l'écran clignote vers un homme plus jeune qui secoue, puis laisse tomber la barre au sol.</v>
      </c>
    </row>
    <row r="28929">
      <c r="A28929" s="4" t="s">
        <v>36430</v>
      </c>
      <c r="B28929" s="4" t="s">
        <v>36433</v>
      </c>
      <c r="C28929" s="5" t="str">
        <f>IFERROR(__xludf.DUMMYFUNCTION("GOOGLETRANSLATE(B28929,""en"",""fr"")"),"Plusieurs autres personnes sont montrées en soulevant des poids et en les laissant tomber sur le sol.")</f>
        <v>Plusieurs autres personnes sont montrées en soulevant des poids et en les laissant tomber sur le sol.</v>
      </c>
    </row>
    <row r="28930">
      <c r="A28930" s="4" t="s">
        <v>36430</v>
      </c>
      <c r="B28930" s="6" t="s">
        <v>36434</v>
      </c>
      <c r="C28930" s="5" t="str">
        <f>IFERROR(__xludf.DUMMYFUNCTION("GOOGLETRANSLATE(B28930,""en"",""fr"")"),"L'homme commence à danser alors qu'il soulève et laisse tomber la barre et que la continuation de l'haltérophilie est répétée.")</f>
        <v>L'homme commence à danser alors qu'il soulève et laisse tomber la barre et que la continuation de l'haltérophilie est répétée.</v>
      </c>
    </row>
    <row r="28931">
      <c r="A28931" s="4" t="s">
        <v>36430</v>
      </c>
      <c r="B28931" s="4" t="s">
        <v>36435</v>
      </c>
      <c r="C28931" s="5" t="str">
        <f>IFERROR(__xludf.DUMMYFUNCTION("GOOGLETRANSLATE(B28931,""en"",""fr"")"),"Après, les hommes continuent de se promener dans le gymnase en mangeant une barre de protéines.")</f>
        <v>Après, les hommes continuent de se promener dans le gymnase en mangeant une barre de protéines.</v>
      </c>
    </row>
    <row r="28932">
      <c r="A28932" s="4" t="s">
        <v>36436</v>
      </c>
      <c r="B28932" s="4" t="s">
        <v>36437</v>
      </c>
      <c r="C28932" s="5" t="str">
        <f>IFERROR(__xludf.DUMMYFUNCTION("GOOGLETRANSLATE(B28932,""en"",""fr"")"),"Une personne est vue en train de viser un pistolet de paintball au loin dans un grand champ.")</f>
        <v>Une personne est vue en train de viser un pistolet de paintball au loin dans un grand champ.</v>
      </c>
    </row>
    <row r="28933">
      <c r="A28933" s="4" t="s">
        <v>36436</v>
      </c>
      <c r="B28933" s="4" t="s">
        <v>36438</v>
      </c>
      <c r="C28933" s="5" t="str">
        <f>IFERROR(__xludf.DUMMYFUNCTION("GOOGLETRANSLATE(B28933,""en"",""fr"")"),"Beaucoup de gens regardent le côté que l'homme vise.")</f>
        <v>Beaucoup de gens regardent le côté que l'homme vise.</v>
      </c>
    </row>
    <row r="28934">
      <c r="A28934" s="4" t="s">
        <v>36436</v>
      </c>
      <c r="B28934" s="4" t="s">
        <v>36439</v>
      </c>
      <c r="C28934" s="5" t="str">
        <f>IFERROR(__xludf.DUMMYFUNCTION("GOOGLETRANSLATE(B28934,""en"",""fr"")"),"Soudain, une autre personne entre dans le cadre et joue avec l'homme.")</f>
        <v>Soudain, une autre personne entre dans le cadre et joue avec l'homme.</v>
      </c>
    </row>
    <row r="28935">
      <c r="A28935" s="4" t="s">
        <v>36440</v>
      </c>
      <c r="B28935" s="4" t="s">
        <v>36441</v>
      </c>
      <c r="C28935" s="5" t="str">
        <f>IFERROR(__xludf.DUMMYFUNCTION("GOOGLETRANSLATE(B28935,""en"",""fr"")"),"Un garçon prend un râteau au sol et le porte.")</f>
        <v>Un garçon prend un râteau au sol et le porte.</v>
      </c>
    </row>
    <row r="28936">
      <c r="A28936" s="4" t="s">
        <v>36440</v>
      </c>
      <c r="B28936" s="4" t="s">
        <v>36442</v>
      </c>
      <c r="C28936" s="5" t="str">
        <f>IFERROR(__xludf.DUMMYFUNCTION("GOOGLETRANSLATE(B28936,""en"",""fr"")"),"Un homme descend une diapositive portant un casque bleu.")</f>
        <v>Un homme descend une diapositive portant un casque bleu.</v>
      </c>
    </row>
    <row r="28937">
      <c r="A28937" s="4" t="s">
        <v>36440</v>
      </c>
      <c r="B28937" s="4" t="s">
        <v>36443</v>
      </c>
      <c r="C28937" s="5" t="str">
        <f>IFERROR(__xludf.DUMMYFUNCTION("GOOGLETRANSLATE(B28937,""en"",""fr"")"),"Il tombe sur le sol après avoir descendu la diapositive.")</f>
        <v>Il tombe sur le sol après avoir descendu la diapositive.</v>
      </c>
    </row>
    <row r="28938">
      <c r="A28938" s="4" t="s">
        <v>36444</v>
      </c>
      <c r="B28938" s="6" t="s">
        <v>36445</v>
      </c>
      <c r="C28938" s="5" t="str">
        <f>IFERROR(__xludf.DUMMYFUNCTION("GOOGLETRANSLATE(B28938,""en"",""fr"")"),"Un petit groupe de filles est vu debout, tenant des drapeaux et les amenés à effectuer une routine.")</f>
        <v>Un petit groupe de filles est vu debout, tenant des drapeaux et les amenés à effectuer une routine.</v>
      </c>
    </row>
    <row r="28939">
      <c r="A28939" s="4" t="s">
        <v>36444</v>
      </c>
      <c r="B28939" s="6" t="s">
        <v>36446</v>
      </c>
      <c r="C28939" s="5" t="str">
        <f>IFERROR(__xludf.DUMMYFUNCTION("GOOGLETRANSLATE(B28939,""en"",""fr"")"),"Un homme s'assoit devant eux en jouant un instrument pendant qu'il continue de tourner et beaucoup sur les côtés regardent.")</f>
        <v>Un homme s'assoit devant eux en jouant un instrument pendant qu'il continue de tourner et beaucoup sur les côtés regardent.</v>
      </c>
    </row>
    <row r="28940">
      <c r="A28940" s="4" t="s">
        <v>36447</v>
      </c>
      <c r="B28940" s="4" t="s">
        <v>36448</v>
      </c>
      <c r="C28940" s="5" t="str">
        <f>IFERROR(__xludf.DUMMYFUNCTION("GOOGLETRANSLATE(B28940,""en"",""fr"")"),"Un joueur de l'équipe Orange patine avec la rondelle jusqu'à ce qu'il soit trébuché et tombe.")</f>
        <v>Un joueur de l'équipe Orange patine avec la rondelle jusqu'à ce qu'il soit trébuché et tombe.</v>
      </c>
    </row>
    <row r="28941">
      <c r="A28941" s="4" t="s">
        <v>36447</v>
      </c>
      <c r="B28941" s="6" t="s">
        <v>36449</v>
      </c>
      <c r="C28941" s="5" t="str">
        <f>IFERROR(__xludf.DUMMYFUNCTION("GOOGLETRANSLATE(B28941,""en"",""fr"")"),"Le joueur 18 de l'équipe grise récupère la rondelle et fait une panne de la glace par les défenseurs.")</f>
        <v>Le joueur 18 de l'équipe grise récupère la rondelle et fait une panne de la glace par les défenseurs.</v>
      </c>
    </row>
    <row r="28942">
      <c r="A28942" s="4" t="s">
        <v>36447</v>
      </c>
      <c r="B28942" s="4" t="s">
        <v>36450</v>
      </c>
      <c r="C28942" s="5" t="str">
        <f>IFERROR(__xludf.DUMMYFUNCTION("GOOGLETRANSLATE(B28942,""en"",""fr"")"),"Le joueur 18 prend un coup sur le but.")</f>
        <v>Le joueur 18 prend un coup sur le but.</v>
      </c>
    </row>
    <row r="28943">
      <c r="A28943" s="4" t="s">
        <v>36447</v>
      </c>
      <c r="B28943" s="4" t="s">
        <v>36451</v>
      </c>
      <c r="C28943" s="5" t="str">
        <f>IFERROR(__xludf.DUMMYFUNCTION("GOOGLETRANSLATE(B28943,""en"",""fr"")"),"Le gardien de but de l'équipe d'Orange bloque le tir et remet la rondelle en jeu.")</f>
        <v>Le gardien de but de l'équipe d'Orange bloque le tir et remet la rondelle en jeu.</v>
      </c>
    </row>
    <row r="28944">
      <c r="A28944" s="4" t="s">
        <v>36447</v>
      </c>
      <c r="B28944" s="6" t="s">
        <v>36452</v>
      </c>
      <c r="C28944" s="5" t="str">
        <f>IFERROR(__xludf.DUMMYFUNCTION("GOOGLETRANSLATE(B28944,""en"",""fr"")"),"Le joueur 4 de l'équipe Orange fait passer la rondelle dans la glace qui passe une fois à lui-même les défenseurs.")</f>
        <v>Le joueur 4 de l'équipe Orange fait passer la rondelle dans la glace qui passe une fois à lui-même les défenseurs.</v>
      </c>
    </row>
    <row r="28945">
      <c r="A28945" s="4" t="s">
        <v>36447</v>
      </c>
      <c r="B28945" s="4" t="s">
        <v>36453</v>
      </c>
      <c r="C28945" s="5" t="str">
        <f>IFERROR(__xludf.DUMMYFUNCTION("GOOGLETRANSLATE(B28945,""en"",""fr"")"),"Le joueur 4 prend un coup sur le but et les scores.")</f>
        <v>Le joueur 4 prend un coup sur le but et les scores.</v>
      </c>
    </row>
    <row r="28946">
      <c r="A28946" s="4" t="s">
        <v>36447</v>
      </c>
      <c r="B28946" s="4" t="s">
        <v>36454</v>
      </c>
      <c r="C28946" s="5" t="str">
        <f>IFERROR(__xludf.DUMMYFUNCTION("GOOGLETRANSLATE(B28946,""en"",""fr"")"),"Le joueur 4 et ses coéquipiers célèbrent et la victoire et le patinage de la glace.")</f>
        <v>Le joueur 4 et ses coéquipiers célèbrent et la victoire et le patinage de la glace.</v>
      </c>
    </row>
    <row r="28947">
      <c r="A28947" s="4" t="s">
        <v>36455</v>
      </c>
      <c r="B28947" s="4" t="s">
        <v>36456</v>
      </c>
      <c r="C28947" s="5" t="str">
        <f>IFERROR(__xludf.DUMMYFUNCTION("GOOGLETRANSLATE(B28947,""en"",""fr"")"),"Un homme assis nettoie une chaussure dans une salle de classe avec d'autres personnes.")</f>
        <v>Un homme assis nettoie une chaussure dans une salle de classe avec d'autres personnes.</v>
      </c>
    </row>
    <row r="28948">
      <c r="A28948" s="4" t="s">
        <v>36455</v>
      </c>
      <c r="B28948" s="4" t="s">
        <v>36457</v>
      </c>
      <c r="C28948" s="5" t="str">
        <f>IFERROR(__xludf.DUMMYFUNCTION("GOOGLETRANSLATE(B28948,""en"",""fr"")"),"L'homme se tourne vers la caméra et sourit.")</f>
        <v>L'homme se tourne vers la caméra et sourit.</v>
      </c>
    </row>
    <row r="28949">
      <c r="A28949" s="4" t="s">
        <v>36455</v>
      </c>
      <c r="B28949" s="4" t="s">
        <v>36458</v>
      </c>
      <c r="C28949" s="5" t="str">
        <f>IFERROR(__xludf.DUMMYFUNCTION("GOOGLETRANSLATE(B28949,""en"",""fr"")"),"L'homme rit alors qu'il tient la chaussure vers le bas.")</f>
        <v>L'homme rit alors qu'il tient la chaussure vers le bas.</v>
      </c>
    </row>
    <row r="28950">
      <c r="A28950" s="4" t="s">
        <v>36459</v>
      </c>
      <c r="B28950" s="4" t="s">
        <v>36460</v>
      </c>
      <c r="C28950" s="5" t="str">
        <f>IFERROR(__xludf.DUMMYFUNCTION("GOOGLETRANSLATE(B28950,""en"",""fr"")"),"Nous voyons des radeaux et des gens dans un bâtiment.")</f>
        <v>Nous voyons des radeaux et des gens dans un bâtiment.</v>
      </c>
    </row>
    <row r="28951">
      <c r="A28951" s="4" t="s">
        <v>36459</v>
      </c>
      <c r="B28951" s="4" t="s">
        <v>36461</v>
      </c>
      <c r="C28951" s="5" t="str">
        <f>IFERROR(__xludf.DUMMYFUNCTION("GOOGLETRANSLATE(B28951,""en"",""fr"")"),"Les gens montent à bord d'un bus et sortent dans un parc aquatique.")</f>
        <v>Les gens montent à bord d'un bus et sortent dans un parc aquatique.</v>
      </c>
    </row>
    <row r="28952">
      <c r="A28952" s="4" t="s">
        <v>36459</v>
      </c>
      <c r="B28952" s="4" t="s">
        <v>36462</v>
      </c>
      <c r="C28952" s="5" t="str">
        <f>IFERROR(__xludf.DUMMYFUNCTION("GOOGLETRANSLATE(B28952,""en"",""fr"")"),"Les gens saisissent les radeaux et les gens sur les radeaux remplissent une rivière.")</f>
        <v>Les gens saisissent les radeaux et les gens sur les radeaux remplissent une rivière.</v>
      </c>
    </row>
    <row r="28953">
      <c r="A28953" s="4" t="s">
        <v>36459</v>
      </c>
      <c r="B28953" s="4" t="s">
        <v>36463</v>
      </c>
      <c r="C28953" s="5" t="str">
        <f>IFERROR(__xludf.DUMMYFUNCTION("GOOGLETRANSLATE(B28953,""en"",""fr"")"),"Nous voyons une cascade artificielle et des gens qui le glissent.")</f>
        <v>Nous voyons une cascade artificielle et des gens qui le glissent.</v>
      </c>
    </row>
    <row r="28954">
      <c r="A28954" s="4" t="s">
        <v>36459</v>
      </c>
      <c r="B28954" s="4" t="s">
        <v>36464</v>
      </c>
      <c r="C28954" s="5" t="str">
        <f>IFERROR(__xludf.DUMMYFUNCTION("GOOGLETRANSLATE(B28954,""en"",""fr"")"),"Une personne tombe de son radeau.")</f>
        <v>Une personne tombe de son radeau.</v>
      </c>
    </row>
    <row r="28955">
      <c r="A28955" s="4" t="s">
        <v>36459</v>
      </c>
      <c r="B28955" s="4" t="s">
        <v>36465</v>
      </c>
      <c r="C28955" s="5" t="str">
        <f>IFERROR(__xludf.DUMMYFUNCTION("GOOGLETRANSLATE(B28955,""en"",""fr"")"),"Un homme tenant un bâton de selfie monte un radeau.")</f>
        <v>Un homme tenant un bâton de selfie monte un radeau.</v>
      </c>
    </row>
    <row r="28956">
      <c r="A28956" s="4" t="s">
        <v>36459</v>
      </c>
      <c r="B28956" s="4" t="s">
        <v>36466</v>
      </c>
      <c r="C28956" s="5" t="str">
        <f>IFERROR(__xludf.DUMMYFUNCTION("GOOGLETRANSLATE(B28956,""en"",""fr"")"),"Un autre homme tenant un bâton de selfie.")</f>
        <v>Un autre homme tenant un bâton de selfie.</v>
      </c>
    </row>
    <row r="28957">
      <c r="A28957" s="4" t="s">
        <v>36459</v>
      </c>
      <c r="B28957" s="4" t="s">
        <v>36467</v>
      </c>
      <c r="C28957" s="5" t="str">
        <f>IFERROR(__xludf.DUMMYFUNCTION("GOOGLETRANSLATE(B28957,""en"",""fr"")"),"Nous voyons le numéro de téléphone et les crédits pour la vidéo.")</f>
        <v>Nous voyons le numéro de téléphone et les crédits pour la vidéo.</v>
      </c>
    </row>
    <row r="28958">
      <c r="A28958" s="4" t="s">
        <v>36468</v>
      </c>
      <c r="B28958" s="4" t="s">
        <v>36469</v>
      </c>
      <c r="C28958" s="5" t="str">
        <f>IFERROR(__xludf.DUMMYFUNCTION("GOOGLETRANSLATE(B28958,""en"",""fr"")"),"Un petit groupe de personnes est vu debout à l'extérieur, l'un étant les yeux bandés et tenant une chauve-souris.")</f>
        <v>Un petit groupe de personnes est vu debout à l'extérieur, l'un étant les yeux bandés et tenant une chauve-souris.</v>
      </c>
    </row>
    <row r="28959">
      <c r="A28959" s="4" t="s">
        <v>36468</v>
      </c>
      <c r="B28959" s="4" t="s">
        <v>36470</v>
      </c>
      <c r="C28959" s="5" t="str">
        <f>IFERROR(__xludf.DUMMYFUNCTION("GOOGLETRANSLATE(B28959,""en"",""fr"")"),"Une personne tire ensuite une pinata et commence à se balancer à l'objet.")</f>
        <v>Une personne tire ensuite une pinata et commence à se balancer à l'objet.</v>
      </c>
    </row>
    <row r="28960">
      <c r="A28960" s="4" t="s">
        <v>36468</v>
      </c>
      <c r="B28960" s="4" t="s">
        <v>36471</v>
      </c>
      <c r="C28960" s="5" t="str">
        <f>IFERROR(__xludf.DUMMYFUNCTION("GOOGLETRANSLATE(B28960,""en"",""fr"")"),"Le garçon bouge les mains et continue de se balancer à l'objet.")</f>
        <v>Le garçon bouge les mains et continue de se balancer à l'objet.</v>
      </c>
    </row>
    <row r="28961">
      <c r="A28961" s="4" t="s">
        <v>36472</v>
      </c>
      <c r="B28961" s="4" t="s">
        <v>36473</v>
      </c>
      <c r="C28961" s="5" t="str">
        <f>IFERROR(__xludf.DUMMYFUNCTION("GOOGLETRANSLATE(B28961,""en"",""fr"")"),"Les gens se réunissent dans une visite du dessert.")</f>
        <v>Les gens se réunissent dans une visite du dessert.</v>
      </c>
    </row>
    <row r="28962">
      <c r="A28962" s="4" t="s">
        <v>36472</v>
      </c>
      <c r="B28962" s="4" t="s">
        <v>36474</v>
      </c>
      <c r="C28962" s="5" t="str">
        <f>IFERROR(__xludf.DUMMYFUNCTION("GOOGLETRANSLATE(B28962,""en"",""fr"")"),"Ensuite, les gens chevauchent des chameaux tirés par les hommes.")</f>
        <v>Ensuite, les gens chevauchent des chameaux tirés par les hommes.</v>
      </c>
    </row>
    <row r="28963">
      <c r="A28963" s="4" t="s">
        <v>36472</v>
      </c>
      <c r="B28963" s="4" t="s">
        <v>36475</v>
      </c>
      <c r="C28963" s="5" t="str">
        <f>IFERROR(__xludf.DUMMYFUNCTION("GOOGLETRANSLATE(B28963,""en"",""fr"")"),"La caravane avance dans le désert, tandis que les chameaux marchent en ligne.")</f>
        <v>La caravane avance dans le désert, tandis que les chameaux marchent en ligne.</v>
      </c>
    </row>
    <row r="28964">
      <c r="A28964" s="4" t="s">
        <v>36472</v>
      </c>
      <c r="B28964" s="4" t="s">
        <v>36476</v>
      </c>
      <c r="C28964" s="5" t="str">
        <f>IFERROR(__xludf.DUMMYFUNCTION("GOOGLETRANSLATE(B28964,""en"",""fr"")"),"Un parking blanc se jette derrière les chameaux.")</f>
        <v>Un parking blanc se jette derrière les chameaux.</v>
      </c>
    </row>
    <row r="28965">
      <c r="A28965" s="4" t="s">
        <v>36472</v>
      </c>
      <c r="B28965" s="4" t="s">
        <v>36477</v>
      </c>
      <c r="C28965" s="5" t="str">
        <f>IFERROR(__xludf.DUMMYFUNCTION("GOOGLETRANSLATE(B28965,""en"",""fr"")"),"Ensuite, l'homme s'agenouille sur les chameaux et les gens descendent les chameaux.")</f>
        <v>Ensuite, l'homme s'agenouille sur les chameaux et les gens descendent les chameaux.</v>
      </c>
    </row>
    <row r="28966">
      <c r="A28966" s="4" t="s">
        <v>36472</v>
      </c>
      <c r="B28966" s="4" t="s">
        <v>36478</v>
      </c>
      <c r="C28966" s="5" t="str">
        <f>IFERROR(__xludf.DUMMYFUNCTION("GOOGLETRANSLATE(B28966,""en"",""fr"")"),"Après, un groupe de touristes monte des chameaux et passe à l'avant de l'installation de la tournée.")</f>
        <v>Après, un groupe de touristes monte des chameaux et passe à l'avant de l'installation de la tournée.</v>
      </c>
    </row>
    <row r="28967">
      <c r="A28967" s="4" t="s">
        <v>36479</v>
      </c>
      <c r="B28967" s="6" t="s">
        <v>36480</v>
      </c>
      <c r="C28967" s="5" t="str">
        <f>IFERROR(__xludf.DUMMYFUNCTION("GOOGLETRANSLATE(B28967,""en"",""fr"")"),"Une introduction mène à plusieurs plans de plongeurs se déplaçant dans l'océan et passant divers poissons et articles sous l'eau.")</f>
        <v>Une introduction mène à plusieurs plans de plongeurs se déplaçant dans l'océan et passant divers poissons et articles sous l'eau.</v>
      </c>
    </row>
    <row r="28968">
      <c r="A28968" s="4" t="s">
        <v>36479</v>
      </c>
      <c r="B28968" s="4" t="s">
        <v>36481</v>
      </c>
      <c r="C28968" s="5" t="str">
        <f>IFERROR(__xludf.DUMMYFUNCTION("GOOGLETRANSLATE(B28968,""en"",""fr"")"),"Le plongeur vient au-dessus de l'eau en tenant un réservoir et tourne pendant que la caméra suit.")</f>
        <v>Le plongeur vient au-dessus de l'eau en tenant un réservoir et tourne pendant que la caméra suit.</v>
      </c>
    </row>
    <row r="28969">
      <c r="A28969" s="4" t="s">
        <v>36482</v>
      </c>
      <c r="B28969" s="4" t="s">
        <v>36483</v>
      </c>
      <c r="C28969" s="5" t="str">
        <f>IFERROR(__xludf.DUMMYFUNCTION("GOOGLETRANSLATE(B28969,""en"",""fr"")"),"Un homme et une femme dansent sur une piste de danse devant une foule de gens.")</f>
        <v>Un homme et une femme dansent sur une piste de danse devant une foule de gens.</v>
      </c>
    </row>
    <row r="28970">
      <c r="A28970" s="4" t="s">
        <v>36482</v>
      </c>
      <c r="B28970" s="4" t="s">
        <v>36484</v>
      </c>
      <c r="C28970" s="5" t="str">
        <f>IFERROR(__xludf.DUMMYFUNCTION("GOOGLETRANSLATE(B28970,""en"",""fr"")"),"La foule les applaudit.")</f>
        <v>La foule les applaudit.</v>
      </c>
    </row>
    <row r="28971">
      <c r="A28971" s="4" t="s">
        <v>36482</v>
      </c>
      <c r="B28971" s="4" t="s">
        <v>36485</v>
      </c>
      <c r="C28971" s="5" t="str">
        <f>IFERROR(__xludf.DUMMYFUNCTION("GOOGLETRANSLATE(B28971,""en"",""fr"")"),"Le couple s'embrasse et s'incline pour la foule.")</f>
        <v>Le couple s'embrasse et s'incline pour la foule.</v>
      </c>
    </row>
    <row r="28972">
      <c r="A28972" s="4" t="s">
        <v>36486</v>
      </c>
      <c r="B28972" s="4" t="s">
        <v>36487</v>
      </c>
      <c r="C28972" s="5" t="str">
        <f>IFERROR(__xludf.DUMMYFUNCTION("GOOGLETRANSLATE(B28972,""en"",""fr"")"),"Une personne est vue assise sur un banc tenant un cube Rubix.")</f>
        <v>Une personne est vue assise sur un banc tenant un cube Rubix.</v>
      </c>
    </row>
    <row r="28973">
      <c r="A28973" s="4" t="s">
        <v>36486</v>
      </c>
      <c r="B28973" s="4" t="s">
        <v>36488</v>
      </c>
      <c r="C28973" s="5" t="str">
        <f>IFERROR(__xludf.DUMMYFUNCTION("GOOGLETRANSLATE(B28973,""en"",""fr"")"),"La personne commence alors à déplacer ses mains autour du résolution du cube.")</f>
        <v>La personne commence alors à déplacer ses mains autour du résolution du cube.</v>
      </c>
    </row>
    <row r="28974">
      <c r="A28974" s="4" t="s">
        <v>36486</v>
      </c>
      <c r="B28974" s="4" t="s">
        <v>36489</v>
      </c>
      <c r="C28974" s="5" t="str">
        <f>IFERROR(__xludf.DUMMYFUNCTION("GOOGLETRANSLATE(B28974,""en"",""fr"")"),"La personne résout le cube puis éteint l'appareil photo.")</f>
        <v>La personne résout le cube puis éteint l'appareil photo.</v>
      </c>
    </row>
    <row r="28975">
      <c r="A28975" s="4" t="s">
        <v>36490</v>
      </c>
      <c r="B28975" s="6" t="s">
        <v>36491</v>
      </c>
      <c r="C28975" s="5" t="str">
        <f>IFERROR(__xludf.DUMMYFUNCTION("GOOGLETRANSLATE(B28975,""en"",""fr"")"),"Deux hommes sont vus balancer leurs bras et leurs jambes les uns les autres pendant qu'un groupe de personnes se tiendra et les regarde.")</f>
        <v>Deux hommes sont vus balancer leurs bras et leurs jambes les uns les autres pendant qu'un groupe de personnes se tiendra et les regarde.</v>
      </c>
    </row>
    <row r="28976">
      <c r="A28976" s="4" t="s">
        <v>36490</v>
      </c>
      <c r="B28976" s="6" t="s">
        <v>36492</v>
      </c>
      <c r="C28976" s="5" t="str">
        <f>IFERROR(__xludf.DUMMYFUNCTION("GOOGLETRANSLATE(B28976,""en"",""fr"")"),"Les hommes continuent de tourner autour de Wile, les gens applaudissent et se terminent avec eux secouant les mains.")</f>
        <v>Les hommes continuent de tourner autour de Wile, les gens applaudissent et se terminent avec eux secouant les mains.</v>
      </c>
    </row>
    <row r="28977">
      <c r="A28977" s="4" t="s">
        <v>36493</v>
      </c>
      <c r="B28977" s="4" t="s">
        <v>36494</v>
      </c>
      <c r="C28977" s="5" t="str">
        <f>IFERROR(__xludf.DUMMYFUNCTION("GOOGLETRANSLATE(B28977,""en"",""fr"")"),"Une personne met quelque chose sur une chaîne de vélo.")</f>
        <v>Une personne met quelque chose sur une chaîne de vélo.</v>
      </c>
    </row>
    <row r="28978">
      <c r="A28978" s="4" t="s">
        <v>36493</v>
      </c>
      <c r="B28978" s="4" t="s">
        <v>36495</v>
      </c>
      <c r="C28978" s="5" t="str">
        <f>IFERROR(__xludf.DUMMYFUNCTION("GOOGLETRANSLATE(B28978,""en"",""fr"")"),"Ils utilisent un outil bleu pour démonter la chaîne.")</f>
        <v>Ils utilisent un outil bleu pour démonter la chaîne.</v>
      </c>
    </row>
    <row r="28979">
      <c r="A28979" s="4" t="s">
        <v>36493</v>
      </c>
      <c r="B28979" s="4" t="s">
        <v>36496</v>
      </c>
      <c r="C28979" s="5" t="str">
        <f>IFERROR(__xludf.DUMMYFUNCTION("GOOGLETRANSLATE(B28979,""en"",""fr"")"),"Ils l'ont remis en place à l'aide d'un outil.")</f>
        <v>Ils l'ont remis en place à l'aide d'un outil.</v>
      </c>
    </row>
    <row r="28980">
      <c r="A28980" s="4" t="s">
        <v>36497</v>
      </c>
      <c r="B28980" s="4" t="s">
        <v>36498</v>
      </c>
      <c r="C28980" s="5" t="str">
        <f>IFERROR(__xludf.DUMMYFUNCTION("GOOGLETRANSLATE(B28980,""en"",""fr"")"),"Un homme fait une routine de gymnastique sur une poutre d'équilibre.")</f>
        <v>Un homme fait une routine de gymnastique sur une poutre d'équilibre.</v>
      </c>
    </row>
    <row r="28981">
      <c r="A28981" s="4" t="s">
        <v>36497</v>
      </c>
      <c r="B28981" s="4" t="s">
        <v>36499</v>
      </c>
      <c r="C28981" s="5" t="str">
        <f>IFERROR(__xludf.DUMMYFUNCTION("GOOGLETRANSLATE(B28981,""en"",""fr"")"),"Il saute du faisceau sur un tapis.")</f>
        <v>Il saute du faisceau sur un tapis.</v>
      </c>
    </row>
    <row r="28982">
      <c r="A28982" s="4" t="s">
        <v>36497</v>
      </c>
      <c r="B28982" s="4" t="s">
        <v>36500</v>
      </c>
      <c r="C28982" s="5" t="str">
        <f>IFERROR(__xludf.DUMMYFUNCTION("GOOGLETRANSLATE(B28982,""en"",""fr"")"),"Un autre homme saute sur un faisceau d'équilibre et fait une routine.")</f>
        <v>Un autre homme saute sur un faisceau d'équilibre et fait une routine.</v>
      </c>
    </row>
    <row r="28983">
      <c r="A28983" s="4" t="s">
        <v>36501</v>
      </c>
      <c r="B28983" s="4" t="s">
        <v>36502</v>
      </c>
      <c r="C28983" s="5" t="str">
        <f>IFERROR(__xludf.DUMMYFUNCTION("GOOGLETRANSLATE(B28983,""en"",""fr"")"),"Plusieurs hommes habillés pour le froid attendent dans une pièce à l'extérieur de la neige.")</f>
        <v>Plusieurs hommes habillés pour le froid attendent dans une pièce à l'extérieur de la neige.</v>
      </c>
    </row>
    <row r="28984">
      <c r="A28984" s="4" t="s">
        <v>36501</v>
      </c>
      <c r="B28984" s="4" t="s">
        <v>36503</v>
      </c>
      <c r="C28984" s="5" t="str">
        <f>IFERROR(__xludf.DUMMYFUNCTION("GOOGLETRANSLATE(B28984,""en"",""fr"")"),"Ils sortent, prêts à skier.")</f>
        <v>Ils sortent, prêts à skier.</v>
      </c>
    </row>
    <row r="28985">
      <c r="A28985" s="4" t="s">
        <v>36501</v>
      </c>
      <c r="B28985" s="6" t="s">
        <v>36504</v>
      </c>
      <c r="C28985" s="5" t="str">
        <f>IFERROR(__xludf.DUMMYFUNCTION("GOOGLETRANSLATE(B28985,""en"",""fr"")"),"Ils commencent à skier, descendant une colline escarpée, se déplaçant d'un côté à l'autre et en pêche à travers les arbres couverts de neige.")</f>
        <v>Ils commencent à skier, descendant une colline escarpée, se déplaçant d'un côté à l'autre et en pêche à travers les arbres couverts de neige.</v>
      </c>
    </row>
    <row r="28986">
      <c r="A28986" s="4" t="s">
        <v>36505</v>
      </c>
      <c r="B28986" s="4" t="s">
        <v>36506</v>
      </c>
      <c r="C28986" s="5" t="str">
        <f>IFERROR(__xludf.DUMMYFUNCTION("GOOGLETRANSLATE(B28986,""en"",""fr"")"),"Un groupe de personnes se trouve sur un tribunal en plein air sur la plage.")</f>
        <v>Un groupe de personnes se trouve sur un tribunal en plein air sur la plage.</v>
      </c>
    </row>
    <row r="28987">
      <c r="A28987" s="4" t="s">
        <v>36505</v>
      </c>
      <c r="B28987" s="4" t="s">
        <v>36507</v>
      </c>
      <c r="C28987" s="5" t="str">
        <f>IFERROR(__xludf.DUMMYFUNCTION("GOOGLETRANSLATE(B28987,""en"",""fr"")"),"Ils jouent à un jeu de volleyball.")</f>
        <v>Ils jouent à un jeu de volleyball.</v>
      </c>
    </row>
    <row r="28988">
      <c r="A28988" s="4" t="s">
        <v>36505</v>
      </c>
      <c r="B28988" s="6" t="s">
        <v>36508</v>
      </c>
      <c r="C28988" s="5" t="str">
        <f>IFERROR(__xludf.DUMMYFUNCTION("GOOGLETRANSLATE(B28988,""en"",""fr"")"),"Ils donnent un coup de pied et ont frappé le ballon d'avant en arrière, célébrant quand ils gagnent alors que la foule applaudit et applaudit.")</f>
        <v>Ils donnent un coup de pied et ont frappé le ballon d'avant en arrière, célébrant quand ils gagnent alors que la foule applaudit et applaudit.</v>
      </c>
    </row>
    <row r="28989">
      <c r="A28989" s="4" t="s">
        <v>36509</v>
      </c>
      <c r="B28989" s="4" t="s">
        <v>36510</v>
      </c>
      <c r="C28989" s="5" t="str">
        <f>IFERROR(__xludf.DUMMYFUNCTION("GOOGLETRANSLATE(B28989,""en"",""fr"")"),"Une petite fille est sur un swing à côté de son petit frère.")</f>
        <v>Une petite fille est sur un swing à côté de son petit frère.</v>
      </c>
    </row>
    <row r="28990">
      <c r="A28990" s="4" t="s">
        <v>36509</v>
      </c>
      <c r="B28990" s="4" t="s">
        <v>36511</v>
      </c>
      <c r="C28990" s="5" t="str">
        <f>IFERROR(__xludf.DUMMYFUNCTION("GOOGLETRANSLATE(B28990,""en"",""fr"")"),"Ils sont poussés alors qu'ils se balancent d'avant en arrière.")</f>
        <v>Ils sont poussés alors qu'ils se balancent d'avant en arrière.</v>
      </c>
    </row>
    <row r="28991">
      <c r="A28991" s="4" t="s">
        <v>36512</v>
      </c>
      <c r="B28991" s="4" t="s">
        <v>36513</v>
      </c>
      <c r="C28991" s="5" t="str">
        <f>IFERROR(__xludf.DUMMYFUNCTION("GOOGLETRANSLATE(B28991,""en"",""fr"")"),"Les gens se promènent dans les voitures et les tentes et s'assoient en chaises en arrière-plan en faisant des choses différentes.")</f>
        <v>Les gens se promènent dans les voitures et les tentes et s'assoient en chaises en arrière-plan en faisant des choses différentes.</v>
      </c>
    </row>
    <row r="28992">
      <c r="A28992" s="4" t="s">
        <v>36512</v>
      </c>
      <c r="B28992" s="4" t="s">
        <v>36514</v>
      </c>
      <c r="C28992" s="5" t="str">
        <f>IFERROR(__xludf.DUMMYFUNCTION("GOOGLETRANSLATE(B28992,""en"",""fr"")"),"Un homme et un chien sont au milieu d'un terrain se préparant à jouer à Frisbee.")</f>
        <v>Un homme et un chien sont au milieu d'un terrain se préparant à jouer à Frisbee.</v>
      </c>
    </row>
    <row r="28993">
      <c r="A28993" s="4" t="s">
        <v>36512</v>
      </c>
      <c r="B28993" s="4" t="s">
        <v>36515</v>
      </c>
      <c r="C28993" s="5" t="str">
        <f>IFERROR(__xludf.DUMMYFUNCTION("GOOGLETRANSLATE(B28993,""en"",""fr"")"),"L'homme lance un frisbee et le chien court, le rattrape et le ramène.")</f>
        <v>L'homme lance un frisbee et le chien court, le rattrape et le ramène.</v>
      </c>
    </row>
    <row r="28994">
      <c r="A28994" s="4" t="s">
        <v>36512</v>
      </c>
      <c r="B28994" s="4" t="s">
        <v>36516</v>
      </c>
      <c r="C28994" s="5" t="str">
        <f>IFERROR(__xludf.DUMMYFUNCTION("GOOGLETRANSLATE(B28994,""en"",""fr"")"),"Le chien est très excité de préparer son prochain tour.")</f>
        <v>Le chien est très excité de préparer son prochain tour.</v>
      </c>
    </row>
    <row r="28995">
      <c r="A28995" s="4" t="s">
        <v>36512</v>
      </c>
      <c r="B28995" s="4" t="s">
        <v>36517</v>
      </c>
      <c r="C28995" s="5" t="str">
        <f>IFERROR(__xludf.DUMMYFUNCTION("GOOGLETRANSLATE(B28995,""en"",""fr"")"),"L'homme s'agenouille et jette des frisbees pour le chien alors qu'il roule, se retourne et se promène.")</f>
        <v>L'homme s'agenouille et jette des frisbees pour le chien alors qu'il roule, se retourne et se promène.</v>
      </c>
    </row>
    <row r="28996">
      <c r="A28996" s="4" t="s">
        <v>36512</v>
      </c>
      <c r="B28996" s="6" t="s">
        <v>36518</v>
      </c>
      <c r="C28996" s="5" t="str">
        <f>IFERROR(__xludf.DUMMYFUNCTION("GOOGLETRANSLATE(B28996,""en"",""fr"")"),"Un deuxième homme rejoint le premier homme sur le terrain et ils lèvent tous les deux un bras puis se tournent pour s'éloigner ensemble.")</f>
        <v>Un deuxième homme rejoint le premier homme sur le terrain et ils lèvent tous les deux un bras puis se tournent pour s'éloigner ensemble.</v>
      </c>
    </row>
    <row r="28997">
      <c r="A28997" s="4" t="s">
        <v>36519</v>
      </c>
      <c r="B28997" s="4" t="s">
        <v>36520</v>
      </c>
      <c r="C28997" s="5" t="str">
        <f>IFERROR(__xludf.DUMMYFUNCTION("GOOGLETRANSLATE(B28997,""en"",""fr"")"),"Une femme est vue en courant et quatrième sur une petite piste et mène à elle en mettant un casque.")</f>
        <v>Une femme est vue en courant et quatrième sur une petite piste et mène à elle en mettant un casque.</v>
      </c>
    </row>
    <row r="28998">
      <c r="A28998" s="4" t="s">
        <v>36519</v>
      </c>
      <c r="B28998" s="4" t="s">
        <v>36521</v>
      </c>
      <c r="C28998" s="5" t="str">
        <f>IFERROR(__xludf.DUMMYFUNCTION("GOOGLETRANSLATE(B28998,""en"",""fr"")"),"Elle attrape un poteau et court sur la piste en sautant sur une barre et sur un tapis.")</f>
        <v>Elle attrape un poteau et court sur la piste en sautant sur une barre et sur un tapis.</v>
      </c>
    </row>
    <row r="28999">
      <c r="A28999" s="4" t="s">
        <v>36519</v>
      </c>
      <c r="B28999" s="4" t="s">
        <v>36522</v>
      </c>
      <c r="C28999" s="5" t="str">
        <f>IFERROR(__xludf.DUMMYFUNCTION("GOOGLETRANSLATE(B28999,""en"",""fr"")"),"Elle saute et se dirige vers un groupe de personnes gardant son score.")</f>
        <v>Elle saute et se dirige vers un groupe de personnes gardant son score.</v>
      </c>
    </row>
    <row r="29000">
      <c r="A29000" s="4" t="s">
        <v>36523</v>
      </c>
      <c r="B29000" s="4" t="s">
        <v>36524</v>
      </c>
      <c r="C29000" s="5" t="str">
        <f>IFERROR(__xludf.DUMMYFUNCTION("GOOGLETRANSLATE(B29000,""en"",""fr"")"),"Les enfants conduisent des voitures tamponneuses dans un parc d'attractions.")</f>
        <v>Les enfants conduisent des voitures tamponneuses dans un parc d'attractions.</v>
      </c>
    </row>
    <row r="29001">
      <c r="A29001" s="4" t="s">
        <v>36523</v>
      </c>
      <c r="B29001" s="4" t="s">
        <v>36525</v>
      </c>
      <c r="C29001" s="5" t="str">
        <f>IFERROR(__xludf.DUMMYFUNCTION("GOOGLETRANSLATE(B29001,""en"",""fr"")"),"Les parents sont assis sur les tampants avec ses enfants.")</f>
        <v>Les parents sont assis sur les tampants avec ses enfants.</v>
      </c>
    </row>
    <row r="29002">
      <c r="A29002" s="4" t="s">
        <v>36523</v>
      </c>
      <c r="B29002" s="4" t="s">
        <v>36526</v>
      </c>
      <c r="C29002" s="5" t="str">
        <f>IFERROR(__xludf.DUMMYFUNCTION("GOOGLETRANSLATE(B29002,""en"",""fr"")"),"L'homme portant un gilet jaune est assis sur le fond.")</f>
        <v>L'homme portant un gilet jaune est assis sur le fond.</v>
      </c>
    </row>
    <row r="29003">
      <c r="A29003" s="4" t="s">
        <v>36527</v>
      </c>
      <c r="B29003" s="6" t="s">
        <v>36528</v>
      </c>
      <c r="C29003" s="5" t="str">
        <f>IFERROR(__xludf.DUMMYFUNCTION("GOOGLETRANSLATE(B29003,""en"",""fr"")"),"Un grand groupe de personnes est vue portant une entendre protectrice et errant dans une zone qui se parle.")</f>
        <v>Un grand groupe de personnes est vue portant une entendre protectrice et errant dans une zone qui se parle.</v>
      </c>
    </row>
    <row r="29004">
      <c r="A29004" s="4" t="s">
        <v>36527</v>
      </c>
      <c r="B29004" s="6" t="s">
        <v>36529</v>
      </c>
      <c r="C29004" s="5" t="str">
        <f>IFERROR(__xludf.DUMMYFUNCTION("GOOGLETRANSLATE(B29004,""en"",""fr"")"),"Une autre personne court et parle aux autres tout en tenant une arme à feu et d'autres visant les côtés.")</f>
        <v>Une autre personne court et parle aux autres tout en tenant une arme à feu et d'autres visant les côtés.</v>
      </c>
    </row>
    <row r="29005">
      <c r="A29005" s="4" t="s">
        <v>36527</v>
      </c>
      <c r="B29005" s="4" t="s">
        <v>36530</v>
      </c>
      <c r="C29005" s="5" t="str">
        <f>IFERROR(__xludf.DUMMYFUNCTION("GOOGLETRANSLATE(B29005,""en"",""fr"")"),"Une femme attrape une girafe jouet tandis que d'autres réagissent et que d'autres regardent au loin.")</f>
        <v>Une femme attrape une girafe jouet tandis que d'autres réagissent et que d'autres regardent au loin.</v>
      </c>
    </row>
    <row r="29006">
      <c r="A29006" s="4" t="s">
        <v>36531</v>
      </c>
      <c r="B29006" s="4" t="s">
        <v>36532</v>
      </c>
      <c r="C29006" s="5" t="str">
        <f>IFERROR(__xludf.DUMMYFUNCTION("GOOGLETRANSLATE(B29006,""en"",""fr"")"),"Un homme parle de la façon dont les choses fonctionnent pendant qu'une femme travaille sur un cheval.")</f>
        <v>Un homme parle de la façon dont les choses fonctionnent pendant qu'une femme travaille sur un cheval.</v>
      </c>
    </row>
    <row r="29007">
      <c r="A29007" s="4" t="s">
        <v>36531</v>
      </c>
      <c r="B29007" s="4" t="s">
        <v>36533</v>
      </c>
      <c r="C29007" s="5" t="str">
        <f>IFERROR(__xludf.DUMMYFUNCTION("GOOGLETRANSLATE(B29007,""en"",""fr"")"),"Pendant qu'il parle, il se lave les mains avec un désinfectant pour les mains.")</f>
        <v>Pendant qu'il parle, il se lave les mains avec un désinfectant pour les mains.</v>
      </c>
    </row>
    <row r="29008">
      <c r="A29008" s="4" t="s">
        <v>36531</v>
      </c>
      <c r="B29008" s="4" t="s">
        <v>36534</v>
      </c>
      <c r="C29008" s="5" t="str">
        <f>IFERROR(__xludf.DUMMYFUNCTION("GOOGLETRANSLATE(B29008,""en"",""fr"")"),"Puis il obtient du savon et commence à se laver les mains très complètement.")</f>
        <v>Puis il obtient du savon et commence à se laver les mains très complètement.</v>
      </c>
    </row>
    <row r="29009">
      <c r="A29009" s="4" t="s">
        <v>36531</v>
      </c>
      <c r="B29009" s="4" t="s">
        <v>36535</v>
      </c>
      <c r="C29009" s="5" t="str">
        <f>IFERROR(__xludf.DUMMYFUNCTION("GOOGLETRANSLATE(B29009,""en"",""fr"")"),"Il attrape une serviette et sèche ses mains en continuant à parler.")</f>
        <v>Il attrape une serviette et sèche ses mains en continuant à parler.</v>
      </c>
    </row>
    <row r="29010">
      <c r="A29010" s="4" t="s">
        <v>36536</v>
      </c>
      <c r="B29010" s="4" t="s">
        <v>36537</v>
      </c>
      <c r="C29010" s="5" t="str">
        <f>IFERROR(__xludf.DUMMYFUNCTION("GOOGLETRANSLATE(B29010,""en"",""fr"")"),"Une personne est vue tenant les cheveux longs d'une femme ainsi qu'une brosse dans ses mains.")</f>
        <v>Une personne est vue tenant les cheveux longs d'une femme ainsi qu'une brosse dans ses mains.</v>
      </c>
    </row>
    <row r="29011">
      <c r="A29011" s="4" t="s">
        <v>36536</v>
      </c>
      <c r="B29011" s="4" t="s">
        <v>36538</v>
      </c>
      <c r="C29011" s="5" t="str">
        <f>IFERROR(__xludf.DUMMYFUNCTION("GOOGLETRANSLATE(B29011,""en"",""fr"")"),"L'homme continue de jouer avec les cheveux et mène à lui en brossant les cheveux et en les tressant.")</f>
        <v>L'homme continue de jouer avec les cheveux et mène à lui en brossant les cheveux et en les tressant.</v>
      </c>
    </row>
    <row r="29012">
      <c r="A29012" s="4" t="s">
        <v>36539</v>
      </c>
      <c r="B29012" s="4" t="s">
        <v>36540</v>
      </c>
      <c r="C29012" s="5" t="str">
        <f>IFERROR(__xludf.DUMMYFUNCTION("GOOGLETRANSLATE(B29012,""en"",""fr"")"),"Deux personnes sont vues assises à une table parlant avec des tasses de cafés sur la table devant eux.")</f>
        <v>Deux personnes sont vues assises à une table parlant avec des tasses de cafés sur la table devant eux.</v>
      </c>
    </row>
    <row r="29013">
      <c r="A29013" s="4" t="s">
        <v>36539</v>
      </c>
      <c r="B29013" s="4" t="s">
        <v>36541</v>
      </c>
      <c r="C29013" s="5" t="str">
        <f>IFERROR(__xludf.DUMMYFUNCTION("GOOGLETRANSLATE(B29013,""en"",""fr"")"),"L'homme est ensuite vu assis seul à divers endroits, puis commence à danser sur un mur.")</f>
        <v>L'homme est ensuite vu assis seul à divers endroits, puis commence à danser sur un mur.</v>
      </c>
    </row>
    <row r="29014">
      <c r="A29014" s="4" t="s">
        <v>36539</v>
      </c>
      <c r="B29014" s="4" t="s">
        <v>36542</v>
      </c>
      <c r="C29014" s="5" t="str">
        <f>IFERROR(__xludf.DUMMYFUNCTION("GOOGLETRANSLATE(B29014,""en"",""fr"")"),"Il est ensuite montré se réveiller dans son lit en supposant que tout était un rêve.")</f>
        <v>Il est ensuite montré se réveiller dans son lit en supposant que tout était un rêve.</v>
      </c>
    </row>
    <row r="29015">
      <c r="A29015" s="4" t="s">
        <v>36543</v>
      </c>
      <c r="B29015" s="4" t="s">
        <v>36544</v>
      </c>
      <c r="C29015" s="5" t="str">
        <f>IFERROR(__xludf.DUMMYFUNCTION("GOOGLETRANSLATE(B29015,""en"",""fr"")"),"Un garçon assis sur un lit superposé.")</f>
        <v>Un garçon assis sur un lit superposé.</v>
      </c>
    </row>
    <row r="29016">
      <c r="A29016" s="4" t="s">
        <v>36543</v>
      </c>
      <c r="B29016" s="4" t="s">
        <v>36545</v>
      </c>
      <c r="C29016" s="5" t="str">
        <f>IFERROR(__xludf.DUMMYFUNCTION("GOOGLETRANSLATE(B29016,""en"",""fr"")"),"Un autre garçon s'approche alors qu'il enroule ses jambes autour de son cou.")</f>
        <v>Un autre garçon s'approche alors qu'il enroule ses jambes autour de son cou.</v>
      </c>
    </row>
    <row r="29017">
      <c r="A29017" s="4" t="s">
        <v>36543</v>
      </c>
      <c r="B29017" s="4" t="s">
        <v>36546</v>
      </c>
      <c r="C29017" s="5" t="str">
        <f>IFERROR(__xludf.DUMMYFUNCTION("GOOGLETRANSLATE(B29017,""en"",""fr"")"),"Le deuxième garçon le tourne et le claque au sol.")</f>
        <v>Le deuxième garçon le tourne et le claque au sol.</v>
      </c>
    </row>
    <row r="29018">
      <c r="A29018" s="4" t="s">
        <v>36547</v>
      </c>
      <c r="B29018" s="6" t="s">
        <v>36548</v>
      </c>
      <c r="C29018" s="5" t="str">
        <f>IFERROR(__xludf.DUMMYFUNCTION("GOOGLETRANSLATE(B29018,""en"",""fr"")"),"Il y a 4 personnes qui jouent tous au badminton et le garçon dans la chemise blanche est la première à servir à l'homme de la chemise noire.")</f>
        <v>Il y a 4 personnes qui jouent tous au badminton et le garçon dans la chemise blanche est la première à servir à l'homme de la chemise noire.</v>
      </c>
    </row>
    <row r="29019">
      <c r="A29019" s="4" t="s">
        <v>36547</v>
      </c>
      <c r="B29019" s="4" t="s">
        <v>36549</v>
      </c>
      <c r="C29019" s="5" t="str">
        <f>IFERROR(__xludf.DUMMYFUNCTION("GOOGLETRANSLATE(B29019,""en"",""fr"")"),"Puis l'homme portant la chemise noire sert au garçon dont la chemise en or.")</f>
        <v>Puis l'homme portant la chemise noire sert au garçon dont la chemise en or.</v>
      </c>
    </row>
    <row r="29020">
      <c r="A29020" s="4" t="s">
        <v>36547</v>
      </c>
      <c r="B29020" s="6" t="s">
        <v>36550</v>
      </c>
      <c r="C29020" s="5" t="str">
        <f>IFERROR(__xludf.DUMMYFUNCTION("GOOGLETRANSLATE(B29020,""en"",""fr"")"),"Ensuite, le garçon qui porte la chemise blanche frappe la navette et sert à la fille qui porte la chemise rose et le jeu continue et tout le monde continue de se servir et ils utilisent tous des navettes différentes.")</f>
        <v>Ensuite, le garçon qui porte la chemise blanche frappe la navette et sert à la fille qui porte la chemise rose et le jeu continue et tout le monde continue de se servir et ils utilisent tous des navettes différentes.</v>
      </c>
    </row>
    <row r="29021">
      <c r="A29021" s="4" t="s">
        <v>36551</v>
      </c>
      <c r="B29021" s="4" t="s">
        <v>36552</v>
      </c>
      <c r="C29021" s="5" t="str">
        <f>IFERROR(__xludf.DUMMYFUNCTION("GOOGLETRANSLATE(B29021,""en"",""fr"")"),"Un garçon est assis à une table en train de jouer avec un cube Rubik puis le place sur la table.")</f>
        <v>Un garçon est assis à une table en train de jouer avec un cube Rubik puis le place sur la table.</v>
      </c>
    </row>
    <row r="29022">
      <c r="A29022" s="4" t="s">
        <v>36551</v>
      </c>
      <c r="B29022" s="4" t="s">
        <v>36553</v>
      </c>
      <c r="C29022" s="5" t="str">
        <f>IFERROR(__xludf.DUMMYFUNCTION("GOOGLETRANSLATE(B29022,""en"",""fr"")"),"Le garçon le ramasse ensuite et commence à rivaliser avec quatre autres hommes pour le résoudre.")</f>
        <v>Le garçon le ramasse ensuite et commence à rivaliser avec quatre autres hommes pour le résoudre.</v>
      </c>
    </row>
    <row r="29023">
      <c r="A29023" s="4" t="s">
        <v>36551</v>
      </c>
      <c r="B29023" s="6" t="s">
        <v>36554</v>
      </c>
      <c r="C29023" s="5" t="str">
        <f>IFERROR(__xludf.DUMMYFUNCTION("GOOGLETRANSLATE(B29023,""en"",""fr"")"),"Une fois résolu, le garçon claque les bras contre une barre noire qui arrête la minuterie et le juge le met à la fois à 20 secondes.")</f>
        <v>Une fois résolu, le garçon claque les bras contre une barre noire qui arrête la minuterie et le juge le met à la fois à 20 secondes.</v>
      </c>
    </row>
    <row r="29024">
      <c r="A29024" s="4" t="s">
        <v>36555</v>
      </c>
      <c r="B29024" s="4" t="s">
        <v>36556</v>
      </c>
      <c r="C29024" s="5" t="str">
        <f>IFERROR(__xludf.DUMMYFUNCTION("GOOGLETRANSLATE(B29024,""en"",""fr"")"),"Un groupe de amateurs de plage joue à un jeu de volley balle sur une plage très fréquentée avec des maillots de bain.")</f>
        <v>Un groupe de amateurs de plage joue à un jeu de volley balle sur une plage très fréquentée avec des maillots de bain.</v>
      </c>
    </row>
    <row r="29025">
      <c r="A29025" s="4" t="s">
        <v>36555</v>
      </c>
      <c r="B29025" s="4" t="s">
        <v>36557</v>
      </c>
      <c r="C29025" s="5" t="str">
        <f>IFERROR(__xludf.DUMMYFUNCTION("GOOGLETRANSLATE(B29025,""en"",""fr"")"),"Une femme danse après avoir fait un service et embrasse son amie.")</f>
        <v>Une femme danse après avoir fait un service et embrasse son amie.</v>
      </c>
    </row>
    <row r="29026">
      <c r="A29026" s="4" t="s">
        <v>36555</v>
      </c>
      <c r="B29026" s="4" t="s">
        <v>36558</v>
      </c>
      <c r="C29026" s="5" t="str">
        <f>IFERROR(__xludf.DUMMYFUNCTION("GOOGLETRANSLATE(B29026,""en"",""fr"")"),"Un joueur marque un point et donne à son coéquipier un high cinq.")</f>
        <v>Un joueur marque un point et donne à son coéquipier un high cinq.</v>
      </c>
    </row>
    <row r="29027">
      <c r="A29027" s="4" t="s">
        <v>36555</v>
      </c>
      <c r="B29027" s="4" t="s">
        <v>36559</v>
      </c>
      <c r="C29027" s="5" t="str">
        <f>IFERROR(__xludf.DUMMYFUNCTION("GOOGLETRANSLATE(B29027,""en"",""fr"")"),"Les amateurs de plage sont vus jouer dans l'eau.")</f>
        <v>Les amateurs de plage sont vus jouer dans l'eau.</v>
      </c>
    </row>
    <row r="29028">
      <c r="A29028" s="4" t="s">
        <v>36560</v>
      </c>
      <c r="B29028" s="4" t="s">
        <v>36561</v>
      </c>
      <c r="C29028" s="5" t="str">
        <f>IFERROR(__xludf.DUMMYFUNCTION("GOOGLETRANSLATE(B29028,""en"",""fr"")"),"Un gros plan d'une plongée élevée est montré suivi par des gens qui montent les marches.")</f>
        <v>Un gros plan d'une plongée élevée est montré suivi par des gens qui montent les marches.</v>
      </c>
    </row>
    <row r="29029">
      <c r="A29029" s="4" t="s">
        <v>36560</v>
      </c>
      <c r="B29029" s="4" t="s">
        <v>36562</v>
      </c>
      <c r="C29029" s="5" t="str">
        <f>IFERROR(__xludf.DUMMYFUNCTION("GOOGLETRANSLATE(B29029,""en"",""fr"")"),"Soudain, une personne est vue sauter de la haute plongée et dans la piscine.")</f>
        <v>Soudain, une personne est vue sauter de la haute plongée et dans la piscine.</v>
      </c>
    </row>
    <row r="29030">
      <c r="A29030" s="4" t="s">
        <v>36563</v>
      </c>
      <c r="B29030" s="6" t="s">
        <v>36564</v>
      </c>
      <c r="C29030" s="5" t="str">
        <f>IFERROR(__xludf.DUMMYFUNCTION("GOOGLETRANSLATE(B29030,""en"",""fr"")"),"Un gros plan d'ingrédients est montré suivi par un homme léchant la cuillère et mélangeant des ingrédients dans un pot.")</f>
        <v>Un gros plan d'ingrédients est montré suivi par un homme léchant la cuillère et mélangeant des ingrédients dans un pot.</v>
      </c>
    </row>
    <row r="29031">
      <c r="A29031" s="4" t="s">
        <v>36563</v>
      </c>
      <c r="B29031" s="4" t="s">
        <v>36565</v>
      </c>
      <c r="C29031" s="5" t="str">
        <f>IFERROR(__xludf.DUMMYFUNCTION("GOOGLETRANSLATE(B29031,""en"",""fr"")"),"Il mélange plus d'ingrédients dans un mélangeur et les écrase tous en boules pour mettre le four.")</f>
        <v>Il mélange plus d'ingrédients dans un mélangeur et les écrase tous en boules pour mettre le four.</v>
      </c>
    </row>
    <row r="29032">
      <c r="A29032" s="4" t="s">
        <v>36563</v>
      </c>
      <c r="B29032" s="4" t="s">
        <v>36566</v>
      </c>
      <c r="C29032" s="5" t="str">
        <f>IFERROR(__xludf.DUMMYFUNCTION("GOOGLETRANSLATE(B29032,""en"",""fr"")"),"Il les retire et termine en les décorant.")</f>
        <v>Il les retire et termine en les décorant.</v>
      </c>
    </row>
    <row r="29033">
      <c r="A29033" s="4" t="s">
        <v>36567</v>
      </c>
      <c r="B29033" s="4" t="s">
        <v>36568</v>
      </c>
      <c r="C29033" s="5" t="str">
        <f>IFERROR(__xludf.DUMMYFUNCTION("GOOGLETRANSLATE(B29033,""en"",""fr"")"),"Une introduction mène à un gros plan d'une peinture et d'un pinceau tourbillonnant autour et autour.")</f>
        <v>Une introduction mène à un gros plan d'une peinture et d'un pinceau tourbillonnant autour et autour.</v>
      </c>
    </row>
    <row r="29034">
      <c r="A29034" s="4" t="s">
        <v>36567</v>
      </c>
      <c r="B29034" s="4" t="s">
        <v>36569</v>
      </c>
      <c r="C29034" s="5" t="str">
        <f>IFERROR(__xludf.DUMMYFUNCTION("GOOGLETRANSLATE(B29034,""en"",""fr"")"),"La main tenant le pinceau commence à peindre l'herbe dans la peinture lentement sur l'image.")</f>
        <v>La main tenant le pinceau commence à peindre l'herbe dans la peinture lentement sur l'image.</v>
      </c>
    </row>
    <row r="29035">
      <c r="A29035" s="4" t="s">
        <v>36570</v>
      </c>
      <c r="B29035" s="4" t="s">
        <v>36571</v>
      </c>
      <c r="C29035" s="5" t="str">
        <f>IFERROR(__xludf.DUMMYFUNCTION("GOOGLETRANSLATE(B29035,""en"",""fr"")"),"Deux hommes se tiennent dans une pièce en jouant à un jeu de tennis.")</f>
        <v>Deux hommes se tiennent dans une pièce en jouant à un jeu de tennis.</v>
      </c>
    </row>
    <row r="29036">
      <c r="A29036" s="4" t="s">
        <v>36570</v>
      </c>
      <c r="B29036" s="6" t="s">
        <v>36572</v>
      </c>
      <c r="C29036" s="5" t="str">
        <f>IFERROR(__xludf.DUMMYFUNCTION("GOOGLETRANSLATE(B29036,""en"",""fr"")"),"Derrière l'homme, il y a une rangée d'enfants assis contre le mur où une rangée d'enfants les regarde jouer.")</f>
        <v>Derrière l'homme, il y a une rangée d'enfants assis contre le mur où une rangée d'enfants les regarde jouer.</v>
      </c>
    </row>
    <row r="29037">
      <c r="A29037" s="4" t="s">
        <v>36570</v>
      </c>
      <c r="B29037" s="6" t="s">
        <v>36573</v>
      </c>
      <c r="C29037" s="5" t="str">
        <f>IFERROR(__xludf.DUMMYFUNCTION("GOOGLETRANSLATE(B29037,""en"",""fr"")"),"Le jeu continue, l'enfant tient le coup jusqu'à ce que l'adulte finisse par le frapper et que l'enfant n'est pas en mesure de retourner le ballon.")</f>
        <v>Le jeu continue, l'enfant tient le coup jusqu'à ce que l'adulte finisse par le frapper et que l'enfant n'est pas en mesure de retourner le ballon.</v>
      </c>
    </row>
    <row r="29038">
      <c r="A29038" s="4" t="s">
        <v>36574</v>
      </c>
      <c r="B29038" s="6" t="s">
        <v>36575</v>
      </c>
      <c r="C29038" s="5" t="str">
        <f>IFERROR(__xludf.DUMMYFUNCTION("GOOGLETRANSLATE(B29038,""en"",""fr"")"),"Il y a deux annonces de nouvelles, une dame et un gentleman vêtus de noir présentant une section de nouvelles.")</f>
        <v>Il y a deux annonces de nouvelles, une dame et un gentleman vêtus de noir présentant une section de nouvelles.</v>
      </c>
    </row>
    <row r="29039">
      <c r="A29039" s="4" t="s">
        <v>36574</v>
      </c>
      <c r="B29039" s="4" t="s">
        <v>36576</v>
      </c>
      <c r="C29039" s="5" t="str">
        <f>IFERROR(__xludf.DUMMYFUNCTION("GOOGLETRANSLATE(B29039,""en"",""fr"")"),"La dame tient deux petites cartes dans ses mains alors qu'elle parle du produit aux téléspectateurs.")</f>
        <v>La dame tient deux petites cartes dans ses mains alors qu'elle parle du produit aux téléspectateurs.</v>
      </c>
    </row>
    <row r="29040">
      <c r="A29040" s="4" t="s">
        <v>36574</v>
      </c>
      <c r="B29040" s="6" t="s">
        <v>36577</v>
      </c>
      <c r="C29040" s="5" t="str">
        <f>IFERROR(__xludf.DUMMYFUNCTION("GOOGLETRANSLATE(B29040,""en"",""fr"")"),"Il y a une autre dame assise sur une table avec deux autres femmes, démontrant comment porter des lentilles colorées dans les yeux.")</f>
        <v>Il y a une autre dame assise sur une table avec deux autres femmes, démontrant comment porter des lentilles colorées dans les yeux.</v>
      </c>
    </row>
    <row r="29041">
      <c r="A29041" s="4" t="s">
        <v>36574</v>
      </c>
      <c r="B29041" s="4" t="s">
        <v>36578</v>
      </c>
      <c r="C29041" s="5" t="str">
        <f>IFERROR(__xludf.DUMMYFUNCTION("GOOGLETRANSLATE(B29041,""en"",""fr"")"),"Ils parlent et discutent des lentilles et de la façon dont cela fonctionne.")</f>
        <v>Ils parlent et discutent des lentilles et de la façon dont cela fonctionne.</v>
      </c>
    </row>
    <row r="29042">
      <c r="A29042" s="4" t="s">
        <v>36574</v>
      </c>
      <c r="B29042" s="6" t="s">
        <v>36579</v>
      </c>
      <c r="C29042" s="5" t="str">
        <f>IFERROR(__xludf.DUMMYFUNCTION("GOOGLETRANSLATE(B29042,""en"",""fr"")"),"Il y a une publicité montrée où les mêmes lentilles sont portées par plusieurs personnes pour montrer comment elle peut être utilisée.")</f>
        <v>Il y a une publicité montrée où les mêmes lentilles sont portées par plusieurs personnes pour montrer comment elle peut être utilisée.</v>
      </c>
    </row>
    <row r="29043">
      <c r="A29043" s="4" t="s">
        <v>36574</v>
      </c>
      <c r="B29043" s="4" t="s">
        <v>36580</v>
      </c>
      <c r="C29043" s="5" t="str">
        <f>IFERROR(__xludf.DUMMYFUNCTION("GOOGLETRANSLATE(B29043,""en"",""fr"")"),"Un médecin en blouse de laboratoire parle également des objectifs, tandis que les gens montrent comment les utiliser.")</f>
        <v>Un médecin en blouse de laboratoire parle également des objectifs, tandis que les gens montrent comment les utiliser.</v>
      </c>
    </row>
    <row r="29044">
      <c r="A29044" s="4" t="s">
        <v>36574</v>
      </c>
      <c r="B29044" s="6" t="s">
        <v>36581</v>
      </c>
      <c r="C29044" s="5" t="str">
        <f>IFERROR(__xludf.DUMMYFUNCTION("GOOGLETRANSLATE(B29044,""en"",""fr"")"),"Un autre présentateur de nouvelles parle également des mêmes objectifs et de la façon dont il est devenu une tendance dangereuse chez les adolescents.")</f>
        <v>Un autre présentateur de nouvelles parle également des mêmes objectifs et de la façon dont il est devenu une tendance dangereuse chez les adolescents.</v>
      </c>
    </row>
    <row r="29045">
      <c r="A29045" s="4" t="s">
        <v>36574</v>
      </c>
      <c r="B29045" s="4" t="s">
        <v>36582</v>
      </c>
      <c r="C29045" s="5" t="str">
        <f>IFERROR(__xludf.DUMMYFUNCTION("GOOGLETRANSLATE(B29045,""en"",""fr"")"),"L'ancre de Lady News revient avec l'ancre des nouvelles masculines pour poursuivre le programme.")</f>
        <v>L'ancre de Lady News revient avec l'ancre des nouvelles masculines pour poursuivre le programme.</v>
      </c>
    </row>
    <row r="29046">
      <c r="A29046" s="4" t="s">
        <v>36583</v>
      </c>
      <c r="B29046" s="4" t="s">
        <v>36584</v>
      </c>
      <c r="C29046" s="5" t="str">
        <f>IFERROR(__xludf.DUMMYFUNCTION("GOOGLETRANSLATE(B29046,""en"",""fr"")"),"Plusieurs joueurs sont représentés sur une patinoire.")</f>
        <v>Plusieurs joueurs sont représentés sur une patinoire.</v>
      </c>
    </row>
    <row r="29047">
      <c r="A29047" s="4" t="s">
        <v>36583</v>
      </c>
      <c r="B29047" s="4" t="s">
        <v>36585</v>
      </c>
      <c r="C29047" s="5" t="str">
        <f>IFERROR(__xludf.DUMMYFUNCTION("GOOGLETRANSLATE(B29047,""en"",""fr"")"),"Ils sont engagés dans différents jeux de curling.")</f>
        <v>Ils sont engagés dans différents jeux de curling.</v>
      </c>
    </row>
    <row r="29048">
      <c r="A29048" s="4" t="s">
        <v>36583</v>
      </c>
      <c r="B29048" s="4" t="s">
        <v>36586</v>
      </c>
      <c r="C29048" s="5" t="str">
        <f>IFERROR(__xludf.DUMMYFUNCTION("GOOGLETRANSLATE(B29048,""en"",""fr"")"),"Ils utilisent leurs chauves-souris pour déplacer la rondelle, élevée en ficture lorsqu'ils ont terminé.")</f>
        <v>Ils utilisent leurs chauves-souris pour déplacer la rondelle, élevée en ficture lorsqu'ils ont terminé.</v>
      </c>
    </row>
    <row r="29049">
      <c r="A29049" s="4" t="s">
        <v>36587</v>
      </c>
      <c r="B29049" s="4" t="s">
        <v>36588</v>
      </c>
      <c r="C29049" s="5" t="str">
        <f>IFERROR(__xludf.DUMMYFUNCTION("GOOGLETRANSLATE(B29049,""en"",""fr"")"),"Un spectacle de réseau de dessins animés est joué.")</f>
        <v>Un spectacle de réseau de dessins animés est joué.</v>
      </c>
    </row>
    <row r="29050">
      <c r="A29050" s="4" t="s">
        <v>36587</v>
      </c>
      <c r="B29050" s="4" t="s">
        <v>36589</v>
      </c>
      <c r="C29050" s="5" t="str">
        <f>IFERROR(__xludf.DUMMYFUNCTION("GOOGLETRANSLATE(B29050,""en"",""fr"")"),"Un caractère bleu coupe un bloc mais échoue plusieurs fois.")</f>
        <v>Un caractère bleu coupe un bloc mais échoue plusieurs fois.</v>
      </c>
    </row>
    <row r="29051">
      <c r="A29051" s="4" t="s">
        <v>36590</v>
      </c>
      <c r="B29051" s="6" t="s">
        <v>36591</v>
      </c>
      <c r="C29051" s="5" t="str">
        <f>IFERROR(__xludf.DUMMYFUNCTION("GOOGLETRANSLATE(B29051,""en"",""fr"")"),"L'équipe de quilleurs boliviens s'apprête à commencer le bowling en pratiquant une technique enseignée par Jason Belmont en mettant deux doigts dans les trous et en utilisant deux mains pour faire tourner le ballon.")</f>
        <v>L'équipe de quilleurs boliviens s'apprête à commencer le bowling en pratiquant une technique enseignée par Jason Belmont en mettant deux doigts dans les trous et en utilisant deux mains pour faire tourner le ballon.</v>
      </c>
    </row>
    <row r="29052">
      <c r="A29052" s="4" t="s">
        <v>36590</v>
      </c>
      <c r="B29052" s="4" t="s">
        <v>36592</v>
      </c>
      <c r="C29052" s="5" t="str">
        <f>IFERROR(__xludf.DUMMYFUNCTION("GOOGLETRANSLATE(B29052,""en"",""fr"")"),"Les jeunes joueurs amateurs commencent à jouer en utilisant la technique à deux mains.")</f>
        <v>Les jeunes joueurs amateurs commencent à jouer en utilisant la technique à deux mains.</v>
      </c>
    </row>
    <row r="29053">
      <c r="A29053" s="4" t="s">
        <v>36590</v>
      </c>
      <c r="B29053" s="4" t="s">
        <v>36593</v>
      </c>
      <c r="C29053" s="5" t="str">
        <f>IFERROR(__xludf.DUMMYFUNCTION("GOOGLETRANSLATE(B29053,""en"",""fr"")"),"Le président de la Fédération de bowling Marcelo Garafulic est présenté.")</f>
        <v>Le président de la Fédération de bowling Marcelo Garafulic est présenté.</v>
      </c>
    </row>
    <row r="29054">
      <c r="A29054" s="4" t="s">
        <v>36590</v>
      </c>
      <c r="B29054" s="6" t="s">
        <v>36594</v>
      </c>
      <c r="C29054" s="5" t="str">
        <f>IFERROR(__xludf.DUMMYFUNCTION("GOOGLETRANSLATE(B29054,""en"",""fr"")"),"L'annonceur commence à expliquer comment l'équipe de quilleurs boliviens s'entraîne et plus de pratique est montrée.")</f>
        <v>L'annonceur commence à expliquer comment l'équipe de quilleurs boliviens s'entraîne et plus de pratique est montrée.</v>
      </c>
    </row>
    <row r="29055">
      <c r="A29055" s="4" t="s">
        <v>36590</v>
      </c>
      <c r="B29055" s="4" t="s">
        <v>36595</v>
      </c>
      <c r="C29055" s="5" t="str">
        <f>IFERROR(__xludf.DUMMYFUNCTION("GOOGLETRANSLATE(B29055,""en"",""fr"")"),"Garafumic commence à expliquer les cliniques et les médailles qu'ils ont remportées de jeux parfaits.")</f>
        <v>Garafumic commence à expliquer les cliniques et les médailles qu'ils ont remportées de jeux parfaits.</v>
      </c>
    </row>
    <row r="29056">
      <c r="A29056" s="4" t="s">
        <v>36590</v>
      </c>
      <c r="B29056" s="4" t="s">
        <v>36596</v>
      </c>
      <c r="C29056" s="5" t="str">
        <f>IFERROR(__xludf.DUMMYFUNCTION("GOOGLETRANSLATE(B29056,""en"",""fr"")"),"Les quilleurs sont montrés à nouveau pratiquer.")</f>
        <v>Les quilleurs sont montrés à nouveau pratiquer.</v>
      </c>
    </row>
    <row r="29057">
      <c r="A29057" s="4" t="s">
        <v>36597</v>
      </c>
      <c r="B29057" s="4" t="s">
        <v>36598</v>
      </c>
      <c r="C29057" s="5" t="str">
        <f>IFERROR(__xludf.DUMMYFUNCTION("GOOGLETRANSLATE(B29057,""en"",""fr"")"),"Un garçon est pieds nus, poussant une tondeuse à gazon dans sa cour.")</f>
        <v>Un garçon est pieds nus, poussant une tondeuse à gazon dans sa cour.</v>
      </c>
    </row>
    <row r="29058">
      <c r="A29058" s="4" t="s">
        <v>36597</v>
      </c>
      <c r="B29058" s="4" t="s">
        <v>36599</v>
      </c>
      <c r="C29058" s="5" t="str">
        <f>IFERROR(__xludf.DUMMYFUNCTION("GOOGLETRANSLATE(B29058,""en"",""fr"")"),"Une petite fille passe alors qu'il tond.")</f>
        <v>Une petite fille passe alors qu'il tond.</v>
      </c>
    </row>
    <row r="29059">
      <c r="A29059" s="4" t="s">
        <v>36600</v>
      </c>
      <c r="B29059" s="4" t="s">
        <v>36601</v>
      </c>
      <c r="C29059" s="5" t="str">
        <f>IFERROR(__xludf.DUMMYFUNCTION("GOOGLETRANSLATE(B29059,""en"",""fr"")"),"Un homme est dans une pièce avec une foule de gens le regardant pendant qu'il se prépare à jouer.")</f>
        <v>Un homme est dans une pièce avec une foule de gens le regardant pendant qu'il se prépare à jouer.</v>
      </c>
    </row>
    <row r="29060">
      <c r="A29060" s="4" t="s">
        <v>36600</v>
      </c>
      <c r="B29060" s="6" t="s">
        <v>36602</v>
      </c>
      <c r="C29060" s="5" t="str">
        <f>IFERROR(__xludf.DUMMYFUNCTION("GOOGLETRANSLATE(B29060,""en"",""fr"")"),"Le mâle se lève à droite et met une chaise en plastique bleu entre ses jambes et commence à tourner autour de sa tête.")</f>
        <v>Le mâle se lève à droite et met une chaise en plastique bleu entre ses jambes et commence à tourner autour de sa tête.</v>
      </c>
    </row>
    <row r="29061">
      <c r="A29061" s="4" t="s">
        <v>36600</v>
      </c>
      <c r="B29061" s="6" t="s">
        <v>36603</v>
      </c>
      <c r="C29061" s="5" t="str">
        <f>IFERROR(__xludf.DUMMYFUNCTION("GOOGLETRANSLATE(B29061,""en"",""fr"")"),"Une fois qu'il a terminé, une autre personne arrive et il commence à tourner sur sa tête alors qu'un cerceau coloré commence à tourner autour de sa taille.")</f>
        <v>Une fois qu'il a terminé, une autre personne arrive et il commence à tourner sur sa tête alors qu'un cerceau coloré commence à tourner autour de sa taille.</v>
      </c>
    </row>
    <row r="29062">
      <c r="A29062" s="4" t="s">
        <v>36600</v>
      </c>
      <c r="B29062" s="4" t="s">
        <v>36604</v>
      </c>
      <c r="C29062" s="5" t="str">
        <f>IFERROR(__xludf.DUMMYFUNCTION("GOOGLETRANSLATE(B29062,""en"",""fr"")"),"Il termine sa performance et la foule saute et félicite l'homme.")</f>
        <v>Il termine sa performance et la foule saute et félicite l'homme.</v>
      </c>
    </row>
    <row r="29063">
      <c r="A29063" s="4" t="s">
        <v>36605</v>
      </c>
      <c r="B29063" s="6" t="s">
        <v>36606</v>
      </c>
      <c r="C29063" s="5" t="str">
        <f>IFERROR(__xludf.DUMMYFUNCTION("GOOGLETRANSLATE(B29063,""en"",""fr"")"),"Une machine électrique est attachée à l'extrémité d'une table de ping-pong et se déplace avec les sens de mouvement de la main d'une personne.")</f>
        <v>Une machine électrique est attachée à l'extrémité d'une table de ping-pong et se déplace avec les sens de mouvement de la main d'une personne.</v>
      </c>
    </row>
    <row r="29064">
      <c r="A29064" s="4" t="s">
        <v>36605</v>
      </c>
      <c r="B29064" s="4" t="s">
        <v>36607</v>
      </c>
      <c r="C29064" s="5" t="str">
        <f>IFERROR(__xludf.DUMMYFUNCTION("GOOGLETRANSLATE(B29064,""en"",""fr"")"),"Après, plusieurs balles sont ensuite lancées vers la pagaie et retournées par la machine.")</f>
        <v>Après, plusieurs balles sont ensuite lancées vers la pagaie et retournées par la machine.</v>
      </c>
    </row>
    <row r="29065">
      <c r="A29065" s="4" t="s">
        <v>36605</v>
      </c>
      <c r="B29065" s="6" t="s">
        <v>36608</v>
      </c>
      <c r="C29065" s="5" t="str">
        <f>IFERROR(__xludf.DUMMYFUNCTION("GOOGLETRANSLATE(B29065,""en"",""fr"")"),"La personne traverse ensuite la table et commence à frapper les balles plus rapidement et la machine accélère pour frapper le ballon.")</f>
        <v>La personne traverse ensuite la table et commence à frapper les balles plus rapidement et la machine accélère pour frapper le ballon.</v>
      </c>
    </row>
    <row r="29066">
      <c r="A29066" s="4" t="s">
        <v>36609</v>
      </c>
      <c r="B29066" s="4" t="s">
        <v>36610</v>
      </c>
      <c r="C29066" s="5" t="str">
        <f>IFERROR(__xludf.DUMMYFUNCTION("GOOGLETRANSLATE(B29066,""en"",""fr"")"),"Les adultes jouent à un jeu de volley sur un terrain.")</f>
        <v>Les adultes jouent à un jeu de volley sur un terrain.</v>
      </c>
    </row>
    <row r="29067">
      <c r="A29067" s="4" t="s">
        <v>36609</v>
      </c>
      <c r="B29067" s="4" t="s">
        <v>5896</v>
      </c>
      <c r="C29067" s="5" t="str">
        <f>IFERROR(__xludf.DUMMYFUNCTION("GOOGLETRANSLATE(B29067,""en"",""fr"")"),"Une foule les regarde jouer.")</f>
        <v>Une foule les regarde jouer.</v>
      </c>
    </row>
    <row r="29068">
      <c r="A29068" s="4" t="s">
        <v>36611</v>
      </c>
      <c r="B29068" s="4" t="s">
        <v>29742</v>
      </c>
      <c r="C29068" s="5" t="str">
        <f>IFERROR(__xludf.DUMMYFUNCTION("GOOGLETRANSLATE(B29068,""en"",""fr"")"),"Les gens s'entraînent dans un gymnase.")</f>
        <v>Les gens s'entraînent dans un gymnase.</v>
      </c>
    </row>
    <row r="29069">
      <c r="A29069" s="4" t="s">
        <v>36611</v>
      </c>
      <c r="B29069" s="4" t="s">
        <v>36612</v>
      </c>
      <c r="C29069" s="5" t="str">
        <f>IFERROR(__xludf.DUMMYFUNCTION("GOOGLETRANSLATE(B29069,""en"",""fr"")"),"Les gens s'entraînent sur des vélos à spin.")</f>
        <v>Les gens s'entraînent sur des vélos à spin.</v>
      </c>
    </row>
    <row r="29070">
      <c r="A29070" s="4" t="s">
        <v>36611</v>
      </c>
      <c r="B29070" s="4" t="s">
        <v>36613</v>
      </c>
      <c r="C29070" s="5" t="str">
        <f>IFERROR(__xludf.DUMMYFUNCTION("GOOGLETRANSLATE(B29070,""en"",""fr"")"),"Une femme dans un débardeur jaune parle à la caméra.")</f>
        <v>Une femme dans un débardeur jaune parle à la caméra.</v>
      </c>
    </row>
    <row r="29071">
      <c r="A29071" s="4" t="s">
        <v>36611</v>
      </c>
      <c r="B29071" s="4" t="s">
        <v>36614</v>
      </c>
      <c r="C29071" s="5" t="str">
        <f>IFERROR(__xludf.DUMMYFUNCTION("GOOGLETRANSLATE(B29071,""en"",""fr"")"),"Une femme dans un débardeur vert parle à la caméra.")</f>
        <v>Une femme dans un débardeur vert parle à la caméra.</v>
      </c>
    </row>
    <row r="29072">
      <c r="A29072" s="4" t="s">
        <v>36615</v>
      </c>
      <c r="B29072" s="6" t="s">
        <v>36616</v>
      </c>
      <c r="C29072" s="5" t="str">
        <f>IFERROR(__xludf.DUMMYFUNCTION("GOOGLETRANSLATE(B29072,""en"",""fr"")"),"Une femme est vue entrer dans le cadre et parler à la caméra tout en tenant divers objets dans ses mains.")</f>
        <v>Une femme est vue entrer dans le cadre et parler à la caméra tout en tenant divers objets dans ses mains.</v>
      </c>
    </row>
    <row r="29073">
      <c r="A29073" s="4" t="s">
        <v>36615</v>
      </c>
      <c r="B29073" s="4" t="s">
        <v>36617</v>
      </c>
      <c r="C29073" s="5" t="str">
        <f>IFERROR(__xludf.DUMMYFUNCTION("GOOGLETRANSLATE(B29073,""en"",""fr"")"),"Elle continue de retirer plus d'objets tout en parlant à la caméra.")</f>
        <v>Elle continue de retirer plus d'objets tout en parlant à la caméra.</v>
      </c>
    </row>
    <row r="29074">
      <c r="A29074" s="4" t="s">
        <v>36618</v>
      </c>
      <c r="B29074" s="4" t="s">
        <v>36619</v>
      </c>
      <c r="C29074" s="5" t="str">
        <f>IFERROR(__xludf.DUMMYFUNCTION("GOOGLETRANSLATE(B29074,""en"",""fr"")"),"Deux garçons descendent un trottoir près d'une piscine.")</f>
        <v>Deux garçons descendent un trottoir près d'une piscine.</v>
      </c>
    </row>
    <row r="29075">
      <c r="A29075" s="4" t="s">
        <v>36618</v>
      </c>
      <c r="B29075" s="4" t="s">
        <v>36620</v>
      </c>
      <c r="C29075" s="5" t="str">
        <f>IFERROR(__xludf.DUMMYFUNCTION("GOOGLETRANSLATE(B29075,""en"",""fr"")"),"Il y a beaucoup de gens qui font des choses différentes dans et autour de la piscine.")</f>
        <v>Il y a beaucoup de gens qui font des choses différentes dans et autour de la piscine.</v>
      </c>
    </row>
    <row r="29076">
      <c r="A29076" s="4" t="s">
        <v>36618</v>
      </c>
      <c r="B29076" s="4" t="s">
        <v>36621</v>
      </c>
      <c r="C29076" s="5" t="str">
        <f>IFERROR(__xludf.DUMMYFUNCTION("GOOGLETRANSLATE(B29076,""en"",""fr"")"),"Certains garçons quittent les planches de plongée faisant des flips et d'autres astuces.")</f>
        <v>Certains garçons quittent les planches de plongée faisant des flips et d'autres astuces.</v>
      </c>
    </row>
    <row r="29077">
      <c r="A29077" s="4" t="s">
        <v>36622</v>
      </c>
      <c r="B29077" s="4" t="s">
        <v>1251</v>
      </c>
      <c r="C29077" s="5" t="str">
        <f>IFERROR(__xludf.DUMMYFUNCTION("GOOGLETRANSLATE(B29077,""en"",""fr"")"),"Les crédits du clip sont affichés.")</f>
        <v>Les crédits du clip sont affichés.</v>
      </c>
    </row>
    <row r="29078">
      <c r="A29078" s="4" t="s">
        <v>36622</v>
      </c>
      <c r="B29078" s="4" t="s">
        <v>36623</v>
      </c>
      <c r="C29078" s="5" t="str">
        <f>IFERROR(__xludf.DUMMYFUNCTION("GOOGLETRANSLATE(B29078,""en"",""fr"")"),"Les gens ont la main sur une table de casino.")</f>
        <v>Les gens ont la main sur une table de casino.</v>
      </c>
    </row>
    <row r="29079">
      <c r="A29079" s="4" t="s">
        <v>36622</v>
      </c>
      <c r="B29079" s="4" t="s">
        <v>573</v>
      </c>
      <c r="C29079" s="5" t="str">
        <f>IFERROR(__xludf.DUMMYFUNCTION("GOOGLETRANSLATE(B29079,""en"",""fr"")"),"Les crédits de la vidéo sont affichés.")</f>
        <v>Les crédits de la vidéo sont affichés.</v>
      </c>
    </row>
    <row r="29080">
      <c r="A29080" s="4" t="s">
        <v>36624</v>
      </c>
      <c r="B29080" s="4" t="s">
        <v>36625</v>
      </c>
      <c r="C29080" s="5" t="str">
        <f>IFERROR(__xludf.DUMMYFUNCTION("GOOGLETRANSLATE(B29080,""en"",""fr"")"),"Une femme est assise derrière un piano.")</f>
        <v>Une femme est assise derrière un piano.</v>
      </c>
    </row>
    <row r="29081">
      <c r="A29081" s="4" t="s">
        <v>36624</v>
      </c>
      <c r="B29081" s="4" t="s">
        <v>36626</v>
      </c>
      <c r="C29081" s="5" t="str">
        <f>IFERROR(__xludf.DUMMYFUNCTION("GOOGLETRANSLATE(B29081,""en"",""fr"")"),"Un enfant est assis derrière un clavier en jouant.")</f>
        <v>Un enfant est assis derrière un clavier en jouant.</v>
      </c>
    </row>
    <row r="29082">
      <c r="A29082" s="4" t="s">
        <v>36624</v>
      </c>
      <c r="B29082" s="4" t="s">
        <v>36627</v>
      </c>
      <c r="C29082" s="5" t="str">
        <f>IFERROR(__xludf.DUMMYFUNCTION("GOOGLETRANSLATE(B29082,""en"",""fr"")"),"Des photos de pianos sont présentées à la fin.")</f>
        <v>Des photos de pianos sont présentées à la fin.</v>
      </c>
    </row>
    <row r="29083">
      <c r="A29083" s="4" t="s">
        <v>36628</v>
      </c>
      <c r="B29083" s="4" t="s">
        <v>36629</v>
      </c>
      <c r="C29083" s="5" t="str">
        <f>IFERROR(__xludf.DUMMYFUNCTION("GOOGLETRANSLATE(B29083,""en"",""fr"")"),"Une fille est montrée plusieurs fois en cours d'exécution sur une piste.")</f>
        <v>Une fille est montrée plusieurs fois en cours d'exécution sur une piste.</v>
      </c>
    </row>
    <row r="29084">
      <c r="A29084" s="4" t="s">
        <v>36628</v>
      </c>
      <c r="B29084" s="4" t="s">
        <v>36630</v>
      </c>
      <c r="C29084" s="5" t="str">
        <f>IFERROR(__xludf.DUMMYFUNCTION("GOOGLETRANSLATE(B29084,""en"",""fr"")"),"Elle utilise un poteau pour sauter sur un bar.")</f>
        <v>Elle utilise un poteau pour sauter sur un bar.</v>
      </c>
    </row>
    <row r="29085">
      <c r="A29085" s="4" t="s">
        <v>36628</v>
      </c>
      <c r="B29085" s="4" t="s">
        <v>36631</v>
      </c>
      <c r="C29085" s="5" t="str">
        <f>IFERROR(__xludf.DUMMYFUNCTION("GOOGLETRANSLATE(B29085,""en"",""fr"")"),"Elle atterrit sur un tapis de l'autre côté.")</f>
        <v>Elle atterrit sur un tapis de l'autre côté.</v>
      </c>
    </row>
    <row r="29086">
      <c r="A29086" s="4" t="s">
        <v>36632</v>
      </c>
      <c r="B29086" s="4" t="s">
        <v>36633</v>
      </c>
      <c r="C29086" s="5" t="str">
        <f>IFERROR(__xludf.DUMMYFUNCTION("GOOGLETRANSLATE(B29086,""en"",""fr"")"),"Un bateau qui a une voile bleue avec deux personnes navigue dans un plan d'eau.")</f>
        <v>Un bateau qui a une voile bleue avec deux personnes navigue dans un plan d'eau.</v>
      </c>
    </row>
    <row r="29087">
      <c r="A29087" s="4" t="s">
        <v>36632</v>
      </c>
      <c r="B29087" s="4" t="s">
        <v>36634</v>
      </c>
      <c r="C29087" s="5" t="str">
        <f>IFERROR(__xludf.DUMMYFUNCTION("GOOGLETRANSLATE(B29087,""en"",""fr"")"),"La personne à l'avant du bateau se penche sur le côté et frappe apparemment l'eau.")</f>
        <v>La personne à l'avant du bateau se penche sur le côté et frappe apparemment l'eau.</v>
      </c>
    </row>
    <row r="29088">
      <c r="A29088" s="4" t="s">
        <v>36632</v>
      </c>
      <c r="B29088" s="4" t="s">
        <v>36635</v>
      </c>
      <c r="C29088" s="5" t="str">
        <f>IFERROR(__xludf.DUMMYFUNCTION("GOOGLETRANSLATE(B29088,""en"",""fr"")"),"L'eau commence à devenir de plus en plus agitée.")</f>
        <v>L'eau commence à devenir de plus en plus agitée.</v>
      </c>
    </row>
    <row r="29089">
      <c r="A29089" s="4" t="s">
        <v>36632</v>
      </c>
      <c r="B29089" s="4" t="s">
        <v>36636</v>
      </c>
      <c r="C29089" s="5" t="str">
        <f>IFERROR(__xludf.DUMMYFUNCTION("GOOGLETRANSLATE(B29089,""en"",""fr"")"),"Le bateau fait un tour vers la droite.")</f>
        <v>Le bateau fait un tour vers la droite.</v>
      </c>
    </row>
    <row r="29090">
      <c r="A29090" s="4" t="s">
        <v>36632</v>
      </c>
      <c r="B29090" s="4" t="s">
        <v>36637</v>
      </c>
      <c r="C29090" s="5" t="str">
        <f>IFERROR(__xludf.DUMMYFUNCTION("GOOGLETRANSLATE(B29090,""en"",""fr"")"),"Le bateau commence à se diriger vers le rivage.")</f>
        <v>Le bateau commence à se diriger vers le rivage.</v>
      </c>
    </row>
    <row r="29091">
      <c r="A29091" s="4" t="s">
        <v>36638</v>
      </c>
      <c r="B29091" s="4" t="s">
        <v>36639</v>
      </c>
      <c r="C29091" s="5" t="str">
        <f>IFERROR(__xludf.DUMMYFUNCTION("GOOGLETRANSLATE(B29091,""en"",""fr"")"),"Nous voyons deux personnes sous l'eau dans une piscine.")</f>
        <v>Nous voyons deux personnes sous l'eau dans une piscine.</v>
      </c>
    </row>
    <row r="29092">
      <c r="A29092" s="4" t="s">
        <v>36638</v>
      </c>
      <c r="B29092" s="4" t="s">
        <v>36640</v>
      </c>
      <c r="C29092" s="5" t="str">
        <f>IFERROR(__xludf.DUMMYFUNCTION("GOOGLETRANSLATE(B29092,""en"",""fr"")"),"Les gens échangent une flipper.")</f>
        <v>Les gens échangent une flipper.</v>
      </c>
    </row>
    <row r="29093">
      <c r="A29093" s="4" t="s">
        <v>36638</v>
      </c>
      <c r="B29093" s="4" t="s">
        <v>36641</v>
      </c>
      <c r="C29093" s="5" t="str">
        <f>IFERROR(__xludf.DUMMYFUNCTION("GOOGLETRANSLATE(B29093,""en"",""fr"")"),"Les hommes commencent à partager une pause.")</f>
        <v>Les hommes commencent à partager une pause.</v>
      </c>
    </row>
    <row r="29094">
      <c r="A29094" s="4" t="s">
        <v>36638</v>
      </c>
      <c r="B29094" s="4" t="s">
        <v>36642</v>
      </c>
      <c r="C29094" s="5" t="str">
        <f>IFERROR(__xludf.DUMMYFUNCTION("GOOGLETRANSLATE(B29094,""en"",""fr"")"),"Les échangent leurs autres nageoires.")</f>
        <v>Les échangent leurs autres nageoires.</v>
      </c>
    </row>
    <row r="29095">
      <c r="A29095" s="4" t="s">
        <v>36638</v>
      </c>
      <c r="B29095" s="4" t="s">
        <v>36643</v>
      </c>
      <c r="C29095" s="5" t="str">
        <f>IFERROR(__xludf.DUMMYFUNCTION("GOOGLETRANSLATE(B29095,""en"",""fr"")"),"Les hommes changent de matériel aérien.")</f>
        <v>Les hommes changent de matériel aérien.</v>
      </c>
    </row>
    <row r="29096">
      <c r="A29096" s="4" t="s">
        <v>36638</v>
      </c>
      <c r="B29096" s="4" t="s">
        <v>36644</v>
      </c>
      <c r="C29096" s="5" t="str">
        <f>IFERROR(__xludf.DUMMYFUNCTION("GOOGLETRANSLATE(B29096,""en"",""fr"")"),"L'homme droit est incapable de trouver le trou du bras.")</f>
        <v>L'homme droit est incapable de trouver le trou du bras.</v>
      </c>
    </row>
    <row r="29097">
      <c r="A29097" s="4" t="s">
        <v>36645</v>
      </c>
      <c r="B29097" s="4" t="s">
        <v>36646</v>
      </c>
      <c r="C29097" s="5" t="str">
        <f>IFERROR(__xludf.DUMMYFUNCTION("GOOGLETRANSLATE(B29097,""en"",""fr"")"),"Les gens sont d'abord montrés en nageant en arrière.")</f>
        <v>Les gens sont d'abord montrés en nageant en arrière.</v>
      </c>
    </row>
    <row r="29098">
      <c r="A29098" s="4" t="s">
        <v>36645</v>
      </c>
      <c r="B29098" s="4" t="s">
        <v>36647</v>
      </c>
      <c r="C29098" s="5" t="str">
        <f>IFERROR(__xludf.DUMMYFUNCTION("GOOGLETRANSLATE(B29098,""en"",""fr"")"),"Ensuite, ils sont montrés en jouant au volleyball dans l'eau.")</f>
        <v>Ensuite, ils sont montrés en jouant au volleyball dans l'eau.</v>
      </c>
    </row>
    <row r="29099">
      <c r="A29099" s="4" t="s">
        <v>36648</v>
      </c>
      <c r="B29099" s="4" t="s">
        <v>36649</v>
      </c>
      <c r="C29099" s="5" t="str">
        <f>IFERROR(__xludf.DUMMYFUNCTION("GOOGLETRANSLATE(B29099,""en"",""fr"")"),"Une femme parle devant une image de deux cerfs sur une plaine.")</f>
        <v>Une femme parle devant une image de deux cerfs sur une plaine.</v>
      </c>
    </row>
    <row r="29100">
      <c r="A29100" s="4" t="s">
        <v>36648</v>
      </c>
      <c r="B29100" s="4" t="s">
        <v>36650</v>
      </c>
      <c r="C29100" s="5" t="str">
        <f>IFERROR(__xludf.DUMMYFUNCTION("GOOGLETRANSLATE(B29100,""en"",""fr"")"),"Nous avons ensuite fait un homme qui parle alors qu'ils perdrirent des trous dans la glace.")</f>
        <v>Nous avons ensuite fait un homme qui parle alors qu'ils perdrirent des trous dans la glace.</v>
      </c>
    </row>
    <row r="29101">
      <c r="A29101" s="4" t="s">
        <v>36648</v>
      </c>
      <c r="B29101" s="4" t="s">
        <v>36651</v>
      </c>
      <c r="C29101" s="5" t="str">
        <f>IFERROR(__xludf.DUMMYFUNCTION("GOOGLETRANSLATE(B29101,""en"",""fr"")"),"Certains stand servent des hot-dogs aux gens pendant qu'ils glacent.")</f>
        <v>Certains stand servent des hot-dogs aux gens pendant qu'ils glacent.</v>
      </c>
    </row>
    <row r="29102">
      <c r="A29102" s="4" t="s">
        <v>36648</v>
      </c>
      <c r="B29102" s="4" t="s">
        <v>36652</v>
      </c>
      <c r="C29102" s="5" t="str">
        <f>IFERROR(__xludf.DUMMYFUNCTION("GOOGLETRANSLATE(B29102,""en"",""fr"")"),"Un petit garçon et une fille tentent d'attraper un poisson.")</f>
        <v>Un petit garçon et une fille tentent d'attraper un poisson.</v>
      </c>
    </row>
    <row r="29103">
      <c r="A29103" s="4" t="s">
        <v>36648</v>
      </c>
      <c r="B29103" s="4" t="s">
        <v>36653</v>
      </c>
      <c r="C29103" s="5" t="str">
        <f>IFERROR(__xludf.DUMMYFUNCTION("GOOGLETRANSLATE(B29103,""en"",""fr"")"),"Ils sont interrogés pendant qu'ils pêchent.")</f>
        <v>Ils sont interrogés pendant qu'ils pêchent.</v>
      </c>
    </row>
    <row r="29104">
      <c r="A29104" s="4" t="s">
        <v>36654</v>
      </c>
      <c r="B29104" s="4" t="s">
        <v>36655</v>
      </c>
      <c r="C29104" s="5" t="str">
        <f>IFERROR(__xludf.DUMMYFUNCTION("GOOGLETRANSLATE(B29104,""en"",""fr"")"),"Les doigts appuyent sur les clés noires.")</f>
        <v>Les doigts appuyent sur les clés noires.</v>
      </c>
    </row>
    <row r="29105">
      <c r="A29105" s="4" t="s">
        <v>36654</v>
      </c>
      <c r="B29105" s="4" t="s">
        <v>36656</v>
      </c>
      <c r="C29105" s="5" t="str">
        <f>IFERROR(__xludf.DUMMYFUNCTION("GOOGLETRANSLATE(B29105,""en"",""fr"")"),"Un doigt appuye sur une touche.")</f>
        <v>Un doigt appuye sur une touche.</v>
      </c>
    </row>
    <row r="29106">
      <c r="A29106" s="4" t="s">
        <v>36654</v>
      </c>
      <c r="B29106" s="4" t="s">
        <v>36657</v>
      </c>
      <c r="C29106" s="5" t="str">
        <f>IFERROR(__xludf.DUMMYFUNCTION("GOOGLETRANSLATE(B29106,""en"",""fr"")"),"Les doigts se déplacent vers différentes clés et les appuyent.")</f>
        <v>Les doigts se déplacent vers différentes clés et les appuyent.</v>
      </c>
    </row>
    <row r="29107">
      <c r="A29107" s="4" t="s">
        <v>36658</v>
      </c>
      <c r="B29107" s="6" t="s">
        <v>36659</v>
      </c>
      <c r="C29107" s="5" t="str">
        <f>IFERROR(__xludf.DUMMYFUNCTION("GOOGLETRANSLATE(B29107,""en"",""fr"")"),"Une femme est vue en parlant à la caméra en utilisant ses mains et mène à genoux à genoux en jetant un seau.")</f>
        <v>Une femme est vue en parlant à la caméra en utilisant ses mains et mène à genoux à genoux en jetant un seau.</v>
      </c>
    </row>
    <row r="29108">
      <c r="A29108" s="4" t="s">
        <v>36658</v>
      </c>
      <c r="B29108" s="6" t="s">
        <v>36660</v>
      </c>
      <c r="C29108" s="5" t="str">
        <f>IFERROR(__xludf.DUMMYFUNCTION("GOOGLETRANSLATE(B29108,""en"",""fr"")"),"Elle utilise ensuite un râteau pour frotter toute la saleté autour de l'arbre tout en s'arrêtant pour parler à la caméra.")</f>
        <v>Elle utilise ensuite un râteau pour frotter toute la saleté autour de l'arbre tout en s'arrêtant pour parler à la caméra.</v>
      </c>
    </row>
    <row r="29109">
      <c r="A29109" s="4" t="s">
        <v>36661</v>
      </c>
      <c r="B29109" s="4" t="s">
        <v>36662</v>
      </c>
      <c r="C29109" s="5" t="str">
        <f>IFERROR(__xludf.DUMMYFUNCTION("GOOGLETRANSLATE(B29109,""en"",""fr"")"),"Une femme est montrée qui tient un lancer du poids et parle à la caméra tout en se tenant dans une grande salle de sport.")</f>
        <v>Une femme est montrée qui tient un lancer du poids et parle à la caméra tout en se tenant dans une grande salle de sport.</v>
      </c>
    </row>
    <row r="29110">
      <c r="A29110" s="4" t="s">
        <v>36661</v>
      </c>
      <c r="B29110" s="6" t="s">
        <v>36663</v>
      </c>
      <c r="C29110" s="5" t="str">
        <f>IFERROR(__xludf.DUMMYFUNCTION("GOOGLETRANSLATE(B29110,""en"",""fr"")"),"Elle montre comment lancer correctement l'outil et effectue plusieurs lancers pour montrer comment il en est correctement.")</f>
        <v>Elle montre comment lancer correctement l'outil et effectue plusieurs lancers pour montrer comment il en est correctement.</v>
      </c>
    </row>
    <row r="29111">
      <c r="A29111" s="4" t="s">
        <v>36664</v>
      </c>
      <c r="B29111" s="4" t="s">
        <v>36665</v>
      </c>
      <c r="C29111" s="5" t="str">
        <f>IFERROR(__xludf.DUMMYFUNCTION("GOOGLETRANSLATE(B29111,""en"",""fr"")"),"L'extérieur, un magasin est vu depuis le parking.")</f>
        <v>L'extérieur, un magasin est vu depuis le parking.</v>
      </c>
    </row>
    <row r="29112">
      <c r="A29112" s="4" t="s">
        <v>36664</v>
      </c>
      <c r="B29112" s="4" t="s">
        <v>36666</v>
      </c>
      <c r="C29112" s="5" t="str">
        <f>IFERROR(__xludf.DUMMYFUNCTION("GOOGLETRANSLATE(B29112,""en"",""fr"")"),"Un homme est assis sur un banc en bois contre une fenêtre avec des trophées.")</f>
        <v>Un homme est assis sur un banc en bois contre une fenêtre avec des trophées.</v>
      </c>
    </row>
    <row r="29113">
      <c r="A29113" s="4" t="s">
        <v>36664</v>
      </c>
      <c r="B29113" s="4" t="s">
        <v>36667</v>
      </c>
      <c r="C29113" s="5" t="str">
        <f>IFERROR(__xludf.DUMMYFUNCTION("GOOGLETRANSLATE(B29113,""en"",""fr"")"),"L'homme parle tandis qu'un assis avec un tatoueur travaillant sur son épaule.")</f>
        <v>L'homme parle tandis qu'un assis avec un tatoueur travaillant sur son épaule.</v>
      </c>
    </row>
    <row r="29114">
      <c r="A29114" s="4" t="s">
        <v>36664</v>
      </c>
      <c r="B29114" s="4" t="s">
        <v>36668</v>
      </c>
      <c r="C29114" s="5" t="str">
        <f>IFERROR(__xludf.DUMMYFUNCTION("GOOGLETRANSLATE(B29114,""en"",""fr"")"),"Le tatoueur efface la zone sur laquelle il travaille et continue de dessiner.")</f>
        <v>Le tatoueur efface la zone sur laquelle il travaille et continue de dessiner.</v>
      </c>
    </row>
    <row r="29115">
      <c r="A29115" s="4" t="s">
        <v>36664</v>
      </c>
      <c r="B29115" s="4" t="s">
        <v>36669</v>
      </c>
      <c r="C29115" s="5" t="str">
        <f>IFERROR(__xludf.DUMMYFUNCTION("GOOGLETRANSLATE(B29115,""en"",""fr"")"),"Le tatoueur éteint la lumière et arrête son travail.")</f>
        <v>Le tatoueur éteint la lumière et arrête son travail.</v>
      </c>
    </row>
    <row r="29116">
      <c r="A29116" s="4" t="s">
        <v>36664</v>
      </c>
      <c r="B29116" s="4" t="s">
        <v>36670</v>
      </c>
      <c r="C29116" s="5" t="str">
        <f>IFERROR(__xludf.DUMMYFUNCTION("GOOGLETRANSLATE(B29116,""en"",""fr"")"),"L'homme se lève et montre son tatouage.")</f>
        <v>L'homme se lève et montre son tatouage.</v>
      </c>
    </row>
    <row r="29117">
      <c r="A29117" s="4" t="s">
        <v>36671</v>
      </c>
      <c r="B29117" s="4" t="s">
        <v>36672</v>
      </c>
      <c r="C29117" s="5" t="str">
        <f>IFERROR(__xludf.DUMMYFUNCTION("GOOGLETRANSLATE(B29117,""en"",""fr"")"),"Les hommes sont sur les côtés d'une voiture polissant une voiture bleue dans un lavage de voiture à la main.")</f>
        <v>Les hommes sont sur les côtés d'une voiture polissant une voiture bleue dans un lavage de voiture à la main.</v>
      </c>
    </row>
    <row r="29118">
      <c r="A29118" s="4" t="s">
        <v>36671</v>
      </c>
      <c r="B29118" s="4" t="s">
        <v>36673</v>
      </c>
      <c r="C29118" s="5" t="str">
        <f>IFERROR(__xludf.DUMMYFUNCTION("GOOGLETRANSLATE(B29118,""en"",""fr"")"),"La voiture bleue est à l'intérieur d'un lavage de voitures bleues et les hommes le polissent.")</f>
        <v>La voiture bleue est à l'intérieur d'un lavage de voitures bleues et les hommes le polissent.</v>
      </c>
    </row>
    <row r="29119">
      <c r="A29119" s="4" t="s">
        <v>36671</v>
      </c>
      <c r="B29119" s="4" t="s">
        <v>36674</v>
      </c>
      <c r="C29119" s="5" t="str">
        <f>IFERROR(__xludf.DUMMYFUNCTION("GOOGLETRANSLATE(B29119,""en"",""fr"")"),"Les hommes tiennent des vêtements sur leurs mains pour nettoyer la voiture.")</f>
        <v>Les hommes tiennent des vêtements sur leurs mains pour nettoyer la voiture.</v>
      </c>
    </row>
    <row r="29120">
      <c r="A29120" s="4" t="s">
        <v>36675</v>
      </c>
      <c r="B29120" s="4" t="s">
        <v>36676</v>
      </c>
      <c r="C29120" s="5" t="str">
        <f>IFERROR(__xludf.DUMMYFUNCTION("GOOGLETRANSLATE(B29120,""en"",""fr"")"),"Une personne passe l'aspirateur dans un couloir.")</f>
        <v>Une personne passe l'aspirateur dans un couloir.</v>
      </c>
    </row>
    <row r="29121">
      <c r="A29121" s="4" t="s">
        <v>36675</v>
      </c>
      <c r="B29121" s="6" t="s">
        <v>36677</v>
      </c>
      <c r="C29121" s="5" t="str">
        <f>IFERROR(__xludf.DUMMYFUNCTION("GOOGLETRANSLATE(B29121,""en"",""fr"")"),"Un enfant en bas âge en pyjama passe frénétiquement, courant dans d'autres pièces et sautant avec enthousiasme parce qu'il veut être ramassé.")</f>
        <v>Un enfant en bas âge en pyjama passe frénétiquement, courant dans d'autres pièces et sautant avec enthousiasme parce qu'il veut être ramassé.</v>
      </c>
    </row>
    <row r="29122">
      <c r="A29122" s="4" t="s">
        <v>36675</v>
      </c>
      <c r="B29122" s="4" t="s">
        <v>36678</v>
      </c>
      <c r="C29122" s="5" t="str">
        <f>IFERROR(__xludf.DUMMYFUNCTION("GOOGLETRANSLATE(B29122,""en"",""fr"")"),"Il est en colère quand sa mère entre dans la salle de bain avec le vide.")</f>
        <v>Il est en colère quand sa mère entre dans la salle de bain avec le vide.</v>
      </c>
    </row>
    <row r="29123">
      <c r="A29123" s="4" t="s">
        <v>36675</v>
      </c>
      <c r="B29123" s="4" t="s">
        <v>36679</v>
      </c>
      <c r="C29123" s="5" t="str">
        <f>IFERROR(__xludf.DUMMYFUNCTION("GOOGLETRANSLATE(B29123,""en"",""fr"")"),"La femme donne le vide au garçon et il aspire les sols.")</f>
        <v>La femme donne le vide au garçon et il aspire les sols.</v>
      </c>
    </row>
    <row r="29124">
      <c r="A29124" s="4" t="s">
        <v>36680</v>
      </c>
      <c r="B29124" s="4" t="s">
        <v>36681</v>
      </c>
      <c r="C29124" s="5" t="str">
        <f>IFERROR(__xludf.DUMMYFUNCTION("GOOGLETRANSLATE(B29124,""en"",""fr"")"),"Les gens sont assis dans des chaises en piscine.")</f>
        <v>Les gens sont assis dans des chaises en piscine.</v>
      </c>
    </row>
    <row r="29125">
      <c r="A29125" s="4" t="s">
        <v>36680</v>
      </c>
      <c r="B29125" s="4" t="s">
        <v>36682</v>
      </c>
      <c r="C29125" s="5" t="str">
        <f>IFERROR(__xludf.DUMMYFUNCTION("GOOGLETRANSLATE(B29125,""en"",""fr"")"),"L'homme et la femme parlent et présentent l'homme qui marche près de la piscine.")</f>
        <v>L'homme et la femme parlent et présentent l'homme qui marche près de la piscine.</v>
      </c>
    </row>
    <row r="29126">
      <c r="A29126" s="4" t="s">
        <v>36680</v>
      </c>
      <c r="B29126" s="4" t="s">
        <v>36683</v>
      </c>
      <c r="C29126" s="5" t="str">
        <f>IFERROR(__xludf.DUMMYFUNCTION("GOOGLETRANSLATE(B29126,""en"",""fr"")"),"L'homme est l'haltérophilie et fait un grand saut d'un trampoline et parle à la caméra.")</f>
        <v>L'homme est l'haltérophilie et fait un grand saut d'un trampoline et parle à la caméra.</v>
      </c>
    </row>
    <row r="29127">
      <c r="A29127" s="4" t="s">
        <v>36680</v>
      </c>
      <c r="B29127" s="4" t="s">
        <v>36684</v>
      </c>
      <c r="C29127" s="5" t="str">
        <f>IFERROR(__xludf.DUMMYFUNCTION("GOOGLETRANSLATE(B29127,""en"",""fr"")"),"Un grand platfom est montré et un homme est interviewé par une femme au sommet du trampoline.")</f>
        <v>Un grand platfom est montré et un homme est interviewé par une femme au sommet du trampoline.</v>
      </c>
    </row>
    <row r="29128">
      <c r="A29128" s="4" t="s">
        <v>36680</v>
      </c>
      <c r="B29128" s="4" t="s">
        <v>36685</v>
      </c>
      <c r="C29128" s="5" t="str">
        <f>IFERROR(__xludf.DUMMYFUNCTION("GOOGLETRANSLATE(B29128,""en"",""fr"")"),"La femme dans le public crie et lance des baisers.")</f>
        <v>La femme dans le public crie et lance des baisers.</v>
      </c>
    </row>
    <row r="29129">
      <c r="A29129" s="4" t="s">
        <v>36680</v>
      </c>
      <c r="B29129" s="4" t="s">
        <v>36686</v>
      </c>
      <c r="C29129" s="5" t="str">
        <f>IFERROR(__xludf.DUMMYFUNCTION("GOOGLETRANSLATE(B29129,""en"",""fr"")"),"L'homme est sur le trampoline de 10 m et fait une main pour faire le saut à la piscine.")</f>
        <v>L'homme est sur le trampoline de 10 m et fait une main pour faire le saut à la piscine.</v>
      </c>
    </row>
    <row r="29130">
      <c r="A29130" s="4" t="s">
        <v>36680</v>
      </c>
      <c r="B29130" s="4" t="s">
        <v>36687</v>
      </c>
      <c r="C29130" s="5" t="str">
        <f>IFERROR(__xludf.DUMMYFUNCTION("GOOGLETRANSLATE(B29130,""en"",""fr"")"),"La femme est impressionnée en se tournant près de la piscine et en a la main sur son visage.")</f>
        <v>La femme est impressionnée en se tournant près de la piscine et en a la main sur son visage.</v>
      </c>
    </row>
    <row r="29131">
      <c r="A29131" s="4" t="s">
        <v>36680</v>
      </c>
      <c r="B29131" s="4" t="s">
        <v>36688</v>
      </c>
      <c r="C29131" s="5" t="str">
        <f>IFERROR(__xludf.DUMMYFUNCTION("GOOGLETRANSLATE(B29131,""en"",""fr"")"),"Le présentateur interviewe l'homme.")</f>
        <v>Le présentateur interviewe l'homme.</v>
      </c>
    </row>
    <row r="29132">
      <c r="A29132" s="4" t="s">
        <v>36689</v>
      </c>
      <c r="B29132" s="4" t="s">
        <v>36690</v>
      </c>
      <c r="C29132" s="5" t="str">
        <f>IFERROR(__xludf.DUMMYFUNCTION("GOOGLETRANSLATE(B29132,""en"",""fr"")"),"Un groupe de personnes monte sur des chevaux sur un champ.")</f>
        <v>Un groupe de personnes monte sur des chevaux sur un champ.</v>
      </c>
    </row>
    <row r="29133">
      <c r="A29133" s="4" t="s">
        <v>36689</v>
      </c>
      <c r="B29133" s="4" t="s">
        <v>36691</v>
      </c>
      <c r="C29133" s="5" t="str">
        <f>IFERROR(__xludf.DUMMYFUNCTION("GOOGLETRANSLATE(B29133,""en"",""fr"")"),"Ils commencent un jeu de polo.")</f>
        <v>Ils commencent un jeu de polo.</v>
      </c>
    </row>
    <row r="29134">
      <c r="A29134" s="4" t="s">
        <v>36689</v>
      </c>
      <c r="B29134" s="4" t="s">
        <v>36692</v>
      </c>
      <c r="C29134" s="5" t="str">
        <f>IFERROR(__xludf.DUMMYFUNCTION("GOOGLETRANSLATE(B29134,""en"",""fr"")"),"Ils courent leurs chevaux, essayant d'obtenir le ballon.")</f>
        <v>Ils courent leurs chevaux, essayant d'obtenir le ballon.</v>
      </c>
    </row>
    <row r="29135">
      <c r="A29135" s="4" t="s">
        <v>36693</v>
      </c>
      <c r="B29135" s="4" t="s">
        <v>36694</v>
      </c>
      <c r="C29135" s="5" t="str">
        <f>IFERROR(__xludf.DUMMYFUNCTION("GOOGLETRANSLATE(B29135,""en"",""fr"")"),"Les femmes se tiennent sur le sable pendant que certaines autres femmes surfent.")</f>
        <v>Les femmes se tiennent sur le sable pendant que certaines autres femmes surfent.</v>
      </c>
    </row>
    <row r="29136">
      <c r="A29136" s="4" t="s">
        <v>36693</v>
      </c>
      <c r="B29136" s="4" t="s">
        <v>36695</v>
      </c>
      <c r="C29136" s="5" t="str">
        <f>IFERROR(__xludf.DUMMYFUNCTION("GOOGLETRANSLATE(B29136,""en"",""fr"")"),"Quelques-uns d'entre eux sont là-bas dans l'océan sur les vagues en profitant de la balade.")</f>
        <v>Quelques-uns d'entre eux sont là-bas dans l'océan sur les vagues en profitant de la balade.</v>
      </c>
    </row>
    <row r="29137">
      <c r="A29137" s="4" t="s">
        <v>36693</v>
      </c>
      <c r="B29137" s="4" t="s">
        <v>36696</v>
      </c>
      <c r="C29137" s="5" t="str">
        <f>IFERROR(__xludf.DUMMYFUNCTION("GOOGLETRANSLATE(B29137,""en"",""fr"")"),"L'un d'eux n'a qu'un seul bras et elle surfait si bien, c'est incroyable.")</f>
        <v>L'un d'eux n'a qu'un seul bras et elle surfait si bien, c'est incroyable.</v>
      </c>
    </row>
    <row r="29138">
      <c r="A29138" s="4" t="s">
        <v>36693</v>
      </c>
      <c r="B29138" s="6" t="s">
        <v>36697</v>
      </c>
      <c r="C29138" s="5" t="str">
        <f>IFERROR(__xludf.DUMMYFUNCTION("GOOGLETRANSLATE(B29138,""en"",""fr"")"),"Ils la reportent, puis 4 filles se tiennent pendant qu'ils obtiennent des cadeaux pour leur performance et la fille d'une main arrive à en parler.")</f>
        <v>Ils la reportent, puis 4 filles se tiennent pendant qu'ils obtiennent des cadeaux pour leur performance et la fille d'une main arrive à en parler.</v>
      </c>
    </row>
    <row r="29139">
      <c r="A29139" s="4" t="s">
        <v>36698</v>
      </c>
      <c r="B29139" s="4" t="s">
        <v>1487</v>
      </c>
      <c r="C29139" s="5" t="str">
        <f>IFERROR(__xludf.DUMMYFUNCTION("GOOGLETRANSLATE(B29139,""en"",""fr"")"),"Nous voyons un écran de titre d'ouverture.")</f>
        <v>Nous voyons un écran de titre d'ouverture.</v>
      </c>
    </row>
    <row r="29140">
      <c r="A29140" s="4" t="s">
        <v>36698</v>
      </c>
      <c r="B29140" s="4" t="s">
        <v>36699</v>
      </c>
      <c r="C29140" s="5" t="str">
        <f>IFERROR(__xludf.DUMMYFUNCTION("GOOGLETRANSLATE(B29140,""en"",""fr"")"),"Une femme dans une pièce sombre joue la batterie avec sa main.")</f>
        <v>Une femme dans une pièce sombre joue la batterie avec sa main.</v>
      </c>
    </row>
    <row r="29141">
      <c r="A29141" s="4" t="s">
        <v>36698</v>
      </c>
      <c r="B29141" s="4" t="s">
        <v>36700</v>
      </c>
      <c r="C29141" s="5" t="str">
        <f>IFERROR(__xludf.DUMMYFUNCTION("GOOGLETRANSLATE(B29141,""en"",""fr"")"),"La caméra s'incline sur son côté puis revient en position verticale.")</f>
        <v>La caméra s'incline sur son côté puis revient en position verticale.</v>
      </c>
    </row>
    <row r="29142">
      <c r="A29142" s="4" t="s">
        <v>36698</v>
      </c>
      <c r="B29142" s="4" t="s">
        <v>36701</v>
      </c>
      <c r="C29142" s="5" t="str">
        <f>IFERROR(__xludf.DUMMYFUNCTION("GOOGLETRANSLATE(B29142,""en"",""fr"")"),"Nous voyons la pièce autour de la dame.")</f>
        <v>Nous voyons la pièce autour de la dame.</v>
      </c>
    </row>
    <row r="29143">
      <c r="A29143" s="4" t="s">
        <v>36698</v>
      </c>
      <c r="B29143" s="4" t="s">
        <v>777</v>
      </c>
      <c r="C29143" s="5" t="str">
        <f>IFERROR(__xludf.DUMMYFUNCTION("GOOGLETRANSLATE(B29143,""en"",""fr"")"),"Nous voyons l'écran du titre de fin.")</f>
        <v>Nous voyons l'écran du titre de fin.</v>
      </c>
    </row>
    <row r="29144">
      <c r="A29144" s="4" t="s">
        <v>36702</v>
      </c>
      <c r="B29144" s="4" t="s">
        <v>36703</v>
      </c>
      <c r="C29144" s="5" t="str">
        <f>IFERROR(__xludf.DUMMYFUNCTION("GOOGLETRANSLATE(B29144,""en"",""fr"")"),"Une femme est vue assise sur un équipement d'exercice, attendant avec impatience.")</f>
        <v>Une femme est vue assise sur un équipement d'exercice, attendant avec impatience.</v>
      </c>
    </row>
    <row r="29145">
      <c r="A29145" s="4" t="s">
        <v>36702</v>
      </c>
      <c r="B29145" s="4" t="s">
        <v>36704</v>
      </c>
      <c r="C29145" s="5" t="str">
        <f>IFERROR(__xludf.DUMMYFUNCTION("GOOGLETRANSLATE(B29145,""en"",""fr"")"),"Elle attrape ensuite le levier devant et commence à se tirer.")</f>
        <v>Elle attrape ensuite le levier devant et commence à se tirer.</v>
      </c>
    </row>
    <row r="29146">
      <c r="A29146" s="4" t="s">
        <v>36702</v>
      </c>
      <c r="B29146" s="6" t="s">
        <v>36705</v>
      </c>
      <c r="C29146" s="5" t="str">
        <f>IFERROR(__xludf.DUMMYFUNCTION("GOOGLETRANSLATE(B29146,""en"",""fr"")"),"La fille se retire ensuite et quatrième sur la machine pendant que la caméra capture ses mouvements.")</f>
        <v>La fille se retire ensuite et quatrième sur la machine pendant que la caméra capture ses mouvements.</v>
      </c>
    </row>
    <row r="29147">
      <c r="A29147" s="4" t="s">
        <v>36706</v>
      </c>
      <c r="B29147" s="4" t="s">
        <v>36707</v>
      </c>
      <c r="C29147" s="5" t="str">
        <f>IFERROR(__xludf.DUMMYFUNCTION("GOOGLETRANSLATE(B29147,""en"",""fr"")"),"Un homme avec des dreads parle et rassemble ses instruments pour faire de la musique.")</f>
        <v>Un homme avec des dreads parle et rassemble ses instruments pour faire de la musique.</v>
      </c>
    </row>
    <row r="29148">
      <c r="A29148" s="4" t="s">
        <v>36706</v>
      </c>
      <c r="B29148" s="4" t="s">
        <v>36708</v>
      </c>
      <c r="C29148" s="5" t="str">
        <f>IFERROR(__xludf.DUMMYFUNCTION("GOOGLETRANSLATE(B29148,""en"",""fr"")"),"Il se bloque dans la voiture très joyeusement.")</f>
        <v>Il se bloque dans la voiture très joyeusement.</v>
      </c>
    </row>
    <row r="29149">
      <c r="A29149" s="4" t="s">
        <v>36706</v>
      </c>
      <c r="B29149" s="4" t="s">
        <v>36709</v>
      </c>
      <c r="C29149" s="5" t="str">
        <f>IFERROR(__xludf.DUMMYFUNCTION("GOOGLETRANSLATE(B29149,""en"",""fr"")"),"Il y a aussi beaucoup de trafic et d'ambulements qui passent aussi.")</f>
        <v>Il y a aussi beaucoup de trafic et d'ambulements qui passent aussi.</v>
      </c>
    </row>
    <row r="29150">
      <c r="A29150" s="4" t="s">
        <v>36706</v>
      </c>
      <c r="B29150" s="4" t="s">
        <v>36710</v>
      </c>
      <c r="C29150" s="5" t="str">
        <f>IFERROR(__xludf.DUMMYFUNCTION("GOOGLETRANSLATE(B29150,""en"",""fr"")"),"Il enregistre toute la musique sur un ordinateur portable.")</f>
        <v>Il enregistre toute la musique sur un ordinateur portable.</v>
      </c>
    </row>
    <row r="29151">
      <c r="A29151" s="4" t="s">
        <v>36711</v>
      </c>
      <c r="B29151" s="6" t="s">
        <v>36712</v>
      </c>
      <c r="C29151" s="5" t="str">
        <f>IFERROR(__xludf.DUMMYFUNCTION("GOOGLETRANSLATE(B29151,""en"",""fr"")"),"Le garçon se tient au fond d'un petit escalier, puis il se dirige vers le glisser sur le toboggan bleu.")</f>
        <v>Le garçon se tient au fond d'un petit escalier, puis il se dirige vers le glisser sur le toboggan bleu.</v>
      </c>
    </row>
    <row r="29152">
      <c r="A29152" s="4" t="s">
        <v>36711</v>
      </c>
      <c r="B29152" s="4" t="s">
        <v>36713</v>
      </c>
      <c r="C29152" s="5" t="str">
        <f>IFERROR(__xludf.DUMMYFUNCTION("GOOGLETRANSLATE(B29152,""en"",""fr"")"),"Quand il a fini de glisser, il s'enfuit et essaie de sortir de la porte.")</f>
        <v>Quand il a fini de glisser, il s'enfuit et essaie de sortir de la porte.</v>
      </c>
    </row>
    <row r="29153">
      <c r="A29153" s="4" t="s">
        <v>36714</v>
      </c>
      <c r="B29153" s="4" t="s">
        <v>36715</v>
      </c>
      <c r="C29153" s="5" t="str">
        <f>IFERROR(__xludf.DUMMYFUNCTION("GOOGLETRANSLATE(B29153,""en"",""fr"")"),"L'homme parle à la caméra pour nettoyer un hangar en bois et commence à la peindre.")</f>
        <v>L'homme parle à la caméra pour nettoyer un hangar en bois et commence à la peindre.</v>
      </c>
    </row>
    <row r="29154">
      <c r="A29154" s="4" t="s">
        <v>36714</v>
      </c>
      <c r="B29154" s="4" t="s">
        <v>36716</v>
      </c>
      <c r="C29154" s="5" t="str">
        <f>IFERROR(__xludf.DUMMYFUNCTION("GOOGLETRANSLATE(B29154,""en"",""fr"")"),"L'homme mélange la peinture et avec un vernis à pinceau tout le hangar.")</f>
        <v>L'homme mélange la peinture et avec un vernis à pinceau tout le hangar.</v>
      </c>
    </row>
    <row r="29155">
      <c r="A29155" s="4" t="s">
        <v>36714</v>
      </c>
      <c r="B29155" s="4" t="s">
        <v>36717</v>
      </c>
      <c r="C29155" s="5" t="str">
        <f>IFERROR(__xludf.DUMMYFUNCTION("GOOGLETRANSLATE(B29155,""en"",""fr"")"),"À la fin, l'homme parle à la caméra et affiche la liste des matériaux.")</f>
        <v>À la fin, l'homme parle à la caméra et affiche la liste des matériaux.</v>
      </c>
    </row>
    <row r="29156">
      <c r="A29156" s="4" t="s">
        <v>36718</v>
      </c>
      <c r="B29156" s="4" t="s">
        <v>1487</v>
      </c>
      <c r="C29156" s="5" t="str">
        <f>IFERROR(__xludf.DUMMYFUNCTION("GOOGLETRANSLATE(B29156,""en"",""fr"")"),"Nous voyons un écran de titre d'ouverture.")</f>
        <v>Nous voyons un écran de titre d'ouverture.</v>
      </c>
    </row>
    <row r="29157">
      <c r="A29157" s="4" t="s">
        <v>36718</v>
      </c>
      <c r="B29157" s="4" t="s">
        <v>36719</v>
      </c>
      <c r="C29157" s="5" t="str">
        <f>IFERROR(__xludf.DUMMYFUNCTION("GOOGLETRANSLATE(B29157,""en"",""fr"")"),"Nous voyons une scène de la ville la nuit.")</f>
        <v>Nous voyons une scène de la ville la nuit.</v>
      </c>
    </row>
    <row r="29158">
      <c r="A29158" s="4" t="s">
        <v>36718</v>
      </c>
      <c r="B29158" s="4" t="s">
        <v>36720</v>
      </c>
      <c r="C29158" s="5" t="str">
        <f>IFERROR(__xludf.DUMMYFUNCTION("GOOGLETRANSLATE(B29158,""en"",""fr"")"),"Nous voyons des gens jouer au football à l'extérieur la nuit.")</f>
        <v>Nous voyons des gens jouer au football à l'extérieur la nuit.</v>
      </c>
    </row>
    <row r="29159">
      <c r="A29159" s="4" t="s">
        <v>36718</v>
      </c>
      <c r="B29159" s="4" t="s">
        <v>36721</v>
      </c>
      <c r="C29159" s="5" t="str">
        <f>IFERROR(__xludf.DUMMYFUNCTION("GOOGLETRANSLATE(B29159,""en"",""fr"")"),"Un homme tombe sur le sol.")</f>
        <v>Un homme tombe sur le sol.</v>
      </c>
    </row>
    <row r="29160">
      <c r="A29160" s="4" t="s">
        <v>36718</v>
      </c>
      <c r="B29160" s="4" t="s">
        <v>36722</v>
      </c>
      <c r="C29160" s="5" t="str">
        <f>IFERROR(__xludf.DUMMYFUNCTION("GOOGLETRANSLATE(B29160,""en"",""fr"")"),"Nous voyons un homme déplacer le ballon avec ses pieds.")</f>
        <v>Nous voyons un homme déplacer le ballon avec ses pieds.</v>
      </c>
    </row>
    <row r="29161">
      <c r="A29161" s="4" t="s">
        <v>36718</v>
      </c>
      <c r="B29161" s="4" t="s">
        <v>36723</v>
      </c>
      <c r="C29161" s="5" t="str">
        <f>IFERROR(__xludf.DUMMYFUNCTION("GOOGLETRANSLATE(B29161,""en"",""fr"")"),"Nous voyons deux hommes haut cinq.")</f>
        <v>Nous voyons deux hommes haut cinq.</v>
      </c>
    </row>
    <row r="29162">
      <c r="A29162" s="4" t="s">
        <v>36718</v>
      </c>
      <c r="B29162" s="4" t="s">
        <v>36724</v>
      </c>
      <c r="C29162" s="5" t="str">
        <f>IFERROR(__xludf.DUMMYFUNCTION("GOOGLETRANSLATE(B29162,""en"",""fr"")"),"Nous voyons l'écran de carreaux de clôture.")</f>
        <v>Nous voyons l'écran de carreaux de clôture.</v>
      </c>
    </row>
    <row r="29163">
      <c r="A29163" s="4" t="s">
        <v>36725</v>
      </c>
      <c r="B29163" s="4" t="s">
        <v>36726</v>
      </c>
      <c r="C29163" s="5" t="str">
        <f>IFERROR(__xludf.DUMMYFUNCTION("GOOGLETRANSLATE(B29163,""en"",""fr"")"),"Deux filles sont à l'extérieur dans une cour.")</f>
        <v>Deux filles sont à l'extérieur dans une cour.</v>
      </c>
    </row>
    <row r="29164">
      <c r="A29164" s="4" t="s">
        <v>36725</v>
      </c>
      <c r="B29164" s="4" t="s">
        <v>36727</v>
      </c>
      <c r="C29164" s="5" t="str">
        <f>IFERROR(__xludf.DUMMYFUNCTION("GOOGLETRANSLATE(B29164,""en"",""fr"")"),"Ils rebondissent et se lancent une balle.")</f>
        <v>Ils rebondissent et se lancent une balle.</v>
      </c>
    </row>
    <row r="29165">
      <c r="A29165" s="4" t="s">
        <v>36725</v>
      </c>
      <c r="B29165" s="4" t="s">
        <v>36728</v>
      </c>
      <c r="C29165" s="5" t="str">
        <f>IFERROR(__xludf.DUMMYFUNCTION("GOOGLETRANSLATE(B29165,""en"",""fr"")"),"Ils se poursuivent avec la balle avec espièglerie.")</f>
        <v>Ils se poursuivent avec la balle avec espièglerie.</v>
      </c>
    </row>
    <row r="29166">
      <c r="A29166" s="4" t="s">
        <v>36725</v>
      </c>
      <c r="B29166" s="4" t="s">
        <v>36729</v>
      </c>
      <c r="C29166" s="5" t="str">
        <f>IFERROR(__xludf.DUMMYFUNCTION("GOOGLETRANSLATE(B29166,""en"",""fr"")"),"Ils courent vers la caméra et parlent pendant un certain temps.")</f>
        <v>Ils courent vers la caméra et parlent pendant un certain temps.</v>
      </c>
    </row>
    <row r="29167">
      <c r="A29167" s="4" t="s">
        <v>36730</v>
      </c>
      <c r="B29167" s="4" t="s">
        <v>36731</v>
      </c>
      <c r="C29167" s="5" t="str">
        <f>IFERROR(__xludf.DUMMYFUNCTION("GOOGLETRANSLATE(B29167,""en"",""fr"")"),"Nous voyons un magasin de gelato à l'extérieur.")</f>
        <v>Nous voyons un magasin de gelato à l'extérieur.</v>
      </c>
    </row>
    <row r="29168">
      <c r="A29168" s="4" t="s">
        <v>36730</v>
      </c>
      <c r="B29168" s="4" t="s">
        <v>36732</v>
      </c>
      <c r="C29168" s="5" t="str">
        <f>IFERROR(__xludf.DUMMYFUNCTION("GOOGLETRANSLATE(B29168,""en"",""fr"")"),"Nous voyons un écran de titre pour un gâteau.")</f>
        <v>Nous voyons un écran de titre pour un gâteau.</v>
      </c>
    </row>
    <row r="29169">
      <c r="A29169" s="4" t="s">
        <v>36730</v>
      </c>
      <c r="B29169" s="4" t="s">
        <v>36733</v>
      </c>
      <c r="C29169" s="5" t="str">
        <f>IFERROR(__xludf.DUMMYFUNCTION("GOOGLETRANSLATE(B29169,""en"",""fr"")"),"Nous voyons ensuite une dame cuisiner.")</f>
        <v>Nous voyons ensuite une dame cuisiner.</v>
      </c>
    </row>
    <row r="29170">
      <c r="A29170" s="4" t="s">
        <v>36730</v>
      </c>
      <c r="B29170" s="4" t="s">
        <v>36734</v>
      </c>
      <c r="C29170" s="5" t="str">
        <f>IFERROR(__xludf.DUMMYFUNCTION("GOOGLETRANSLATE(B29170,""en"",""fr"")"),"La dame met du gelato dans un bol.")</f>
        <v>La dame met du gelato dans un bol.</v>
      </c>
    </row>
    <row r="29171">
      <c r="A29171" s="4" t="s">
        <v>36730</v>
      </c>
      <c r="B29171" s="4" t="s">
        <v>36735</v>
      </c>
      <c r="C29171" s="5" t="str">
        <f>IFERROR(__xludf.DUMMYFUNCTION("GOOGLETRANSLATE(B29171,""en"",""fr"")"),"La dame met du riz croustillant dessus.")</f>
        <v>La dame met du riz croustillant dessus.</v>
      </c>
    </row>
    <row r="29172">
      <c r="A29172" s="4" t="s">
        <v>36730</v>
      </c>
      <c r="B29172" s="4" t="s">
        <v>36736</v>
      </c>
      <c r="C29172" s="5" t="str">
        <f>IFERROR(__xludf.DUMMYFUNCTION("GOOGLETRANSLATE(B29172,""en"",""fr"")"),"La dame met un dôme dans un dôme au chocolat et met un cercle croustillant dessus.")</f>
        <v>La dame met un dôme dans un dôme au chocolat et met un cercle croustillant dessus.</v>
      </c>
    </row>
    <row r="29173">
      <c r="A29173" s="4" t="s">
        <v>36730</v>
      </c>
      <c r="B29173" s="4" t="s">
        <v>36737</v>
      </c>
      <c r="C29173" s="5" t="str">
        <f>IFERROR(__xludf.DUMMYFUNCTION("GOOGLETRANSLATE(B29173,""en"",""fr"")"),"La dame met des trous dans un dôme au chocolat.")</f>
        <v>La dame met des trous dans un dôme au chocolat.</v>
      </c>
    </row>
    <row r="29174">
      <c r="A29174" s="4" t="s">
        <v>36730</v>
      </c>
      <c r="B29174" s="4" t="s">
        <v>36738</v>
      </c>
      <c r="C29174" s="5" t="str">
        <f>IFERROR(__xludf.DUMMYFUNCTION("GOOGLETRANSLATE(B29174,""en"",""fr"")"),"La dame pulvérise les dômes.")</f>
        <v>La dame pulvérise les dômes.</v>
      </c>
    </row>
    <row r="29175">
      <c r="A29175" s="4" t="s">
        <v>36730</v>
      </c>
      <c r="B29175" s="4" t="s">
        <v>36739</v>
      </c>
      <c r="C29175" s="5" t="str">
        <f>IFERROR(__xludf.DUMMYFUNCTION("GOOGLETRANSLATE(B29175,""en"",""fr"")"),"La dame met le dôme rouge sur un noir et a mis le dôme avec des trous dessus.")</f>
        <v>La dame met le dôme rouge sur un noir et a mis le dôme avec des trous dessus.</v>
      </c>
    </row>
    <row r="29176">
      <c r="A29176" s="4" t="s">
        <v>36730</v>
      </c>
      <c r="B29176" s="4" t="s">
        <v>36740</v>
      </c>
      <c r="C29176" s="5" t="str">
        <f>IFERROR(__xludf.DUMMYFUNCTION("GOOGLETRANSLATE(B29176,""en"",""fr"")"),"La dame met le gâteau dans une vitrine.")</f>
        <v>La dame met le gâteau dans une vitrine.</v>
      </c>
    </row>
    <row r="29177">
      <c r="A29177" s="4" t="s">
        <v>36730</v>
      </c>
      <c r="B29177" s="4" t="s">
        <v>2486</v>
      </c>
      <c r="C29177" s="5" t="str">
        <f>IFERROR(__xludf.DUMMYFUNCTION("GOOGLETRANSLATE(B29177,""en"",""fr"")"),"Nous voyons l'écran de clôture.")</f>
        <v>Nous voyons l'écran de clôture.</v>
      </c>
    </row>
    <row r="29178">
      <c r="A29178" s="4" t="s">
        <v>36741</v>
      </c>
      <c r="B29178" s="4" t="s">
        <v>36742</v>
      </c>
      <c r="C29178" s="5" t="str">
        <f>IFERROR(__xludf.DUMMYFUNCTION("GOOGLETRANSLATE(B29178,""en"",""fr"")"),"Une personne est vue debout au loin avec un autre se tenant autour d'un trou.")</f>
        <v>Une personne est vue debout au loin avec un autre se tenant autour d'un trou.</v>
      </c>
    </row>
    <row r="29179">
      <c r="A29179" s="4" t="s">
        <v>36741</v>
      </c>
      <c r="B29179" s="4" t="s">
        <v>36743</v>
      </c>
      <c r="C29179" s="5" t="str">
        <f>IFERROR(__xludf.DUMMYFUNCTION("GOOGLETRANSLATE(B29179,""en"",""fr"")"),"La personne utilise une canne à pêche sur le trou et tente de retirer un poisson.")</f>
        <v>La personne utilise une canne à pêche sur le trou et tente de retirer un poisson.</v>
      </c>
    </row>
    <row r="29180">
      <c r="A29180" s="4" t="s">
        <v>36741</v>
      </c>
      <c r="B29180" s="4" t="s">
        <v>36744</v>
      </c>
      <c r="C29180" s="5" t="str">
        <f>IFERROR(__xludf.DUMMYFUNCTION("GOOGLETRANSLATE(B29180,""en"",""fr"")"),"La personne continue de tirer pendant que les autres montent sur le côté.")</f>
        <v>La personne continue de tirer pendant que les autres montent sur le côté.</v>
      </c>
    </row>
    <row r="29181">
      <c r="A29181" s="4" t="s">
        <v>36745</v>
      </c>
      <c r="B29181" s="4" t="s">
        <v>36746</v>
      </c>
      <c r="C29181" s="5" t="str">
        <f>IFERROR(__xludf.DUMMYFUNCTION("GOOGLETRANSLATE(B29181,""en"",""fr"")"),"Une femme est vue en train de brosser les cheveux mouillés et de se frotter la lotion tout au long de ses cheveux.")</f>
        <v>Une femme est vue en train de brosser les cheveux mouillés et de se frotter la lotion tout au long de ses cheveux.</v>
      </c>
    </row>
    <row r="29182">
      <c r="A29182" s="4" t="s">
        <v>36745</v>
      </c>
      <c r="B29182" s="4" t="s">
        <v>36747</v>
      </c>
      <c r="C29182" s="5" t="str">
        <f>IFERROR(__xludf.DUMMYFUNCTION("GOOGLETRANSLATE(B29182,""en"",""fr"")"),"Elle sèche ensuite ses cheveux et est revu avec ses cheveux épinglés autour du sommet.")</f>
        <v>Elle sèche ensuite ses cheveux et est revu avec ses cheveux épinglés autour du sommet.</v>
      </c>
    </row>
    <row r="29183">
      <c r="A29183" s="4" t="s">
        <v>36745</v>
      </c>
      <c r="B29183" s="4" t="s">
        <v>36748</v>
      </c>
      <c r="C29183" s="5" t="str">
        <f>IFERROR(__xludf.DUMMYFUNCTION("GOOGLETRANSLATE(B29183,""en"",""fr"")"),"Elle souffle sèche le fond de ses cheveux et est ensuite revu avec tous ses cheveux épinglés.")</f>
        <v>Elle souffle sèche le fond de ses cheveux et est ensuite revu avec tous ses cheveux épinglés.</v>
      </c>
    </row>
    <row r="29184">
      <c r="A29184" s="4" t="s">
        <v>36745</v>
      </c>
      <c r="B29184" s="4" t="s">
        <v>36749</v>
      </c>
      <c r="C29184" s="5" t="str">
        <f>IFERROR(__xludf.DUMMYFUNCTION("GOOGLETRANSLATE(B29184,""en"",""fr"")"),"Elle défait les épingles pour montrer ses nouveaux cheveux.")</f>
        <v>Elle défait les épingles pour montrer ses nouveaux cheveux.</v>
      </c>
    </row>
    <row r="29185">
      <c r="A29185" s="4" t="s">
        <v>36750</v>
      </c>
      <c r="B29185" s="4" t="s">
        <v>36751</v>
      </c>
      <c r="C29185" s="5" t="str">
        <f>IFERROR(__xludf.DUMMYFUNCTION("GOOGLETRANSLATE(B29185,""en"",""fr"")"),"Un petit garçon joue du piano dans une maison, puis il se penche à gauche et parle.")</f>
        <v>Un petit garçon joue du piano dans une maison, puis il se penche à gauche et parle.</v>
      </c>
    </row>
    <row r="29186">
      <c r="A29186" s="4" t="s">
        <v>36750</v>
      </c>
      <c r="B29186" s="4" t="s">
        <v>36752</v>
      </c>
      <c r="C29186" s="5" t="str">
        <f>IFERROR(__xludf.DUMMYFUNCTION("GOOGLETRANSLATE(B29186,""en"",""fr"")"),"Après, le garçon continue de jouer du piano, puis il se repost.")</f>
        <v>Après, le garçon continue de jouer du piano, puis il se repost.</v>
      </c>
    </row>
    <row r="29187">
      <c r="A29187" s="4" t="s">
        <v>36750</v>
      </c>
      <c r="B29187" s="4" t="s">
        <v>36753</v>
      </c>
      <c r="C29187" s="5" t="str">
        <f>IFERROR(__xludf.DUMMYFUNCTION("GOOGLETRANSLATE(B29187,""en"",""fr"")"),"Le garçon change de vêtements et continue de jouer du piano.")</f>
        <v>Le garçon change de vêtements et continue de jouer du piano.</v>
      </c>
    </row>
    <row r="29188">
      <c r="A29188" s="4" t="s">
        <v>36754</v>
      </c>
      <c r="B29188" s="4" t="s">
        <v>36755</v>
      </c>
      <c r="C29188" s="5" t="str">
        <f>IFERROR(__xludf.DUMMYFUNCTION("GOOGLETRANSLATE(B29188,""en"",""fr"")"),"Un chien hirsute prend un bain d'un vétérinaire.")</f>
        <v>Un chien hirsute prend un bain d'un vétérinaire.</v>
      </c>
    </row>
    <row r="29189">
      <c r="A29189" s="4" t="s">
        <v>36754</v>
      </c>
      <c r="B29189" s="4" t="s">
        <v>36756</v>
      </c>
      <c r="C29189" s="5" t="str">
        <f>IFERROR(__xludf.DUMMYFUNCTION("GOOGLETRANSLATE(B29189,""en"",""fr"")"),"Le vétérinaire séchent le chien après l'avoir lavé.")</f>
        <v>Le vétérinaire séchent le chien après l'avoir lavé.</v>
      </c>
    </row>
    <row r="29190">
      <c r="A29190" s="4" t="s">
        <v>36754</v>
      </c>
      <c r="B29190" s="4" t="s">
        <v>36757</v>
      </c>
      <c r="C29190" s="5" t="str">
        <f>IFERROR(__xludf.DUMMYFUNCTION("GOOGLETRANSLATE(B29190,""en"",""fr"")"),"Un autre vétérinaire est de caresser et de brosser le chien.")</f>
        <v>Un autre vétérinaire est de caresser et de brosser le chien.</v>
      </c>
    </row>
    <row r="29191">
      <c r="A29191" s="4" t="s">
        <v>36754</v>
      </c>
      <c r="B29191" s="4" t="s">
        <v>36758</v>
      </c>
      <c r="C29191" s="5" t="str">
        <f>IFERROR(__xludf.DUMMYFUNCTION("GOOGLETRANSLATE(B29191,""en"",""fr"")"),"Un montage vidéo du chien joue puis crédite le rouleau.")</f>
        <v>Un montage vidéo du chien joue puis crédite le rouleau.</v>
      </c>
    </row>
    <row r="29192">
      <c r="A29192" s="4" t="s">
        <v>36759</v>
      </c>
      <c r="B29192" s="4" t="s">
        <v>36760</v>
      </c>
      <c r="C29192" s="5" t="str">
        <f>IFERROR(__xludf.DUMMYFUNCTION("GOOGLETRANSLATE(B29192,""en"",""fr"")"),"Une petite fille se tient devant un évier de cuisine.")</f>
        <v>Une petite fille se tient devant un évier de cuisine.</v>
      </c>
    </row>
    <row r="29193">
      <c r="A29193" s="4" t="s">
        <v>36759</v>
      </c>
      <c r="B29193" s="4" t="s">
        <v>36761</v>
      </c>
      <c r="C29193" s="5" t="str">
        <f>IFERROR(__xludf.DUMMYFUNCTION("GOOGLETRANSLATE(B29193,""en"",""fr"")"),"Elle a un bol et un couteau à la main.")</f>
        <v>Elle a un bol et un couteau à la main.</v>
      </c>
    </row>
    <row r="29194">
      <c r="A29194" s="4" t="s">
        <v>36759</v>
      </c>
      <c r="B29194" s="4" t="s">
        <v>36762</v>
      </c>
      <c r="C29194" s="5" t="str">
        <f>IFERROR(__xludf.DUMMYFUNCTION("GOOGLETRANSLATE(B29194,""en"",""fr"")"),"Elle épluche des pommes de terre avec le couteau.")</f>
        <v>Elle épluche des pommes de terre avec le couteau.</v>
      </c>
    </row>
    <row r="29195">
      <c r="A29195" s="4" t="s">
        <v>36763</v>
      </c>
      <c r="B29195" s="6" t="s">
        <v>36764</v>
      </c>
      <c r="C29195" s="5" t="str">
        <f>IFERROR(__xludf.DUMMYFUNCTION("GOOGLETRANSLATE(B29195,""en"",""fr"")"),"Deux garçons en chemises assorties sont assis sur un canapé et parlent avec un jouet de bonbon entre leurs mains alors qu'ils tiennent les bonbons jusqu'à la caméra, jouent avec les boutons de jouets de bonbons et parlent.")</f>
        <v>Deux garçons en chemises assorties sont assis sur un canapé et parlent avec un jouet de bonbon entre leurs mains alors qu'ils tiennent les bonbons jusqu'à la caméra, jouent avec les boutons de jouets de bonbons et parlent.</v>
      </c>
    </row>
    <row r="29196">
      <c r="A29196" s="4" t="s">
        <v>36763</v>
      </c>
      <c r="B29196" s="6" t="s">
        <v>36765</v>
      </c>
      <c r="C29196" s="5" t="str">
        <f>IFERROR(__xludf.DUMMYFUNCTION("GOOGLETRANSLATE(B29196,""en"",""fr"")"),"Les deux garçons se battent avec le bonbon jouet, qui est en forme de main avec des doigts rétractables, et la caméra accélère lorsqu'ils font cela.")</f>
        <v>Les deux garçons se battent avec le bonbon jouet, qui est en forme de main avec des doigts rétractables, et la caméra accélère lorsqu'ils font cela.</v>
      </c>
    </row>
    <row r="29197">
      <c r="A29197" s="4" t="s">
        <v>36763</v>
      </c>
      <c r="B29197" s="6" t="s">
        <v>36766</v>
      </c>
      <c r="C29197" s="5" t="str">
        <f>IFERROR(__xludf.DUMMYFUNCTION("GOOGLETRANSLATE(B29197,""en"",""fr"")"),"Les garçons changent ensuite de jouets et ouvrent les bonbons jouets à quel point ils commencent à manger les bonbons et à parler tout en mâchant.")</f>
        <v>Les garçons changent ensuite de jouets et ouvrent les bonbons jouets à quel point ils commencent à manger les bonbons et à parler tout en mâchant.</v>
      </c>
    </row>
    <row r="29198">
      <c r="A29198" s="4" t="s">
        <v>36763</v>
      </c>
      <c r="B29198" s="4" t="s">
        <v>36767</v>
      </c>
      <c r="C29198" s="5" t="str">
        <f>IFERROR(__xludf.DUMMYFUNCTION("GOOGLETRANSLATE(B29198,""en"",""fr"")"),"Un gros plan du bonbon jouet est ensuite montré, avec les bonbons allongés sur une toile de fond marron et posé.")</f>
        <v>Un gros plan du bonbon jouet est ensuite montré, avec les bonbons allongés sur une toile de fond marron et posé.</v>
      </c>
    </row>
    <row r="29199">
      <c r="A29199" s="4" t="s">
        <v>36768</v>
      </c>
      <c r="B29199" s="4" t="s">
        <v>36769</v>
      </c>
      <c r="C29199" s="5" t="str">
        <f>IFERROR(__xludf.DUMMYFUNCTION("GOOGLETRANSLATE(B29199,""en"",""fr"")"),"Une personne est dans un feu de camp qui pousse au bois.")</f>
        <v>Une personne est dans un feu de camp qui pousse au bois.</v>
      </c>
    </row>
    <row r="29200">
      <c r="A29200" s="4" t="s">
        <v>36768</v>
      </c>
      <c r="B29200" s="4" t="s">
        <v>36770</v>
      </c>
      <c r="C29200" s="5" t="str">
        <f>IFERROR(__xludf.DUMMYFUNCTION("GOOGLETRANSLATE(B29200,""en"",""fr"")"),"La caméra se déplace vers un petit garçon alors qu'il parle à la personne de la caméra.")</f>
        <v>La caméra se déplace vers un petit garçon alors qu'il parle à la personne de la caméra.</v>
      </c>
    </row>
    <row r="29201">
      <c r="A29201" s="4" t="s">
        <v>36768</v>
      </c>
      <c r="B29201" s="4" t="s">
        <v>36771</v>
      </c>
      <c r="C29201" s="5" t="str">
        <f>IFERROR(__xludf.DUMMYFUNCTION("GOOGLETRANSLATE(B29201,""en"",""fr"")"),"La personne de l'appareil photo continue de raconter la situation en enregistrant le feu.")</f>
        <v>La personne de l'appareil photo continue de raconter la situation en enregistrant le feu.</v>
      </c>
    </row>
    <row r="29202">
      <c r="A29202" s="4" t="s">
        <v>36772</v>
      </c>
      <c r="B29202" s="4" t="s">
        <v>36773</v>
      </c>
      <c r="C29202" s="5" t="str">
        <f>IFERROR(__xludf.DUMMYFUNCTION("GOOGLETRANSLATE(B29202,""en"",""fr"")"),"Diverses personnes sont vues à partir d'une vue de l'oiseau qui fonctionne dans des conditions difficiles à l'air libre.")</f>
        <v>Diverses personnes sont vues à partir d'une vue de l'oiseau qui fonctionne dans des conditions difficiles à l'air libre.</v>
      </c>
    </row>
    <row r="29203">
      <c r="A29203" s="4" t="s">
        <v>36772</v>
      </c>
      <c r="B29203" s="4" t="s">
        <v>36774</v>
      </c>
      <c r="C29203" s="5" t="str">
        <f>IFERROR(__xludf.DUMMYFUNCTION("GOOGLETRANSLATE(B29203,""en"",""fr"")"),"Ils frottent des vêtements et les raccrochent pendant que la caméra se déroule et regarde.")</f>
        <v>Ils frottent des vêtements et les raccrochent pendant que la caméra se déroule et regarde.</v>
      </c>
    </row>
    <row r="29204">
      <c r="A29204" s="4" t="s">
        <v>36775</v>
      </c>
      <c r="B29204" s="4" t="s">
        <v>36776</v>
      </c>
      <c r="C29204" s="5" t="str">
        <f>IFERROR(__xludf.DUMMYFUNCTION("GOOGLETRANSLATE(B29204,""en"",""fr"")"),"Les gens marchent à côté d'un taureau.")</f>
        <v>Les gens marchent à côté d'un taureau.</v>
      </c>
    </row>
    <row r="29205">
      <c r="A29205" s="4" t="s">
        <v>36775</v>
      </c>
      <c r="B29205" s="4" t="s">
        <v>36777</v>
      </c>
      <c r="C29205" s="5" t="str">
        <f>IFERROR(__xludf.DUMMYFUNCTION("GOOGLETRANSLATE(B29205,""en"",""fr"")"),"Il y a un grand groupe qui marche derrière le taureau.")</f>
        <v>Il y a un grand groupe qui marche derrière le taureau.</v>
      </c>
    </row>
    <row r="29206">
      <c r="A29206" s="4" t="s">
        <v>36775</v>
      </c>
      <c r="B29206" s="4" t="s">
        <v>36778</v>
      </c>
      <c r="C29206" s="5" t="str">
        <f>IFERROR(__xludf.DUMMYFUNCTION("GOOGLETRANSLATE(B29206,""en"",""fr"")"),"Il y a un autre taureau et ils commencent à se battre.")</f>
        <v>Il y a un autre taureau et ils commencent à se battre.</v>
      </c>
    </row>
    <row r="29207">
      <c r="A29207" s="4" t="s">
        <v>36775</v>
      </c>
      <c r="B29207" s="4" t="s">
        <v>36779</v>
      </c>
      <c r="C29207" s="5" t="str">
        <f>IFERROR(__xludf.DUMMYFUNCTION("GOOGLETRANSLATE(B29207,""en"",""fr"")"),"La foule se rassemble autour des taureaux.")</f>
        <v>La foule se rassemble autour des taureaux.</v>
      </c>
    </row>
    <row r="29208">
      <c r="A29208" s="4" t="s">
        <v>36775</v>
      </c>
      <c r="B29208" s="4" t="s">
        <v>36780</v>
      </c>
      <c r="C29208" s="5" t="str">
        <f>IFERROR(__xludf.DUMMYFUNCTION("GOOGLETRANSLATE(B29208,""en"",""fr"")"),"Un homme en chemise rouge parle dans un microphone.")</f>
        <v>Un homme en chemise rouge parle dans un microphone.</v>
      </c>
    </row>
    <row r="29209">
      <c r="A29209" s="4" t="s">
        <v>36775</v>
      </c>
      <c r="B29209" s="4" t="s">
        <v>36781</v>
      </c>
      <c r="C29209" s="5" t="str">
        <f>IFERROR(__xludf.DUMMYFUNCTION("GOOGLETRANSLATE(B29209,""en"",""fr"")"),"Un homme met une chemise noire.")</f>
        <v>Un homme met une chemise noire.</v>
      </c>
    </row>
    <row r="29210">
      <c r="A29210" s="4" t="s">
        <v>36782</v>
      </c>
      <c r="B29210" s="4" t="s">
        <v>36783</v>
      </c>
      <c r="C29210" s="5" t="str">
        <f>IFERROR(__xludf.DUMMYFUNCTION("GOOGLETRANSLATE(B29210,""en"",""fr"")"),"Un homme de l'âge moyen est debout sur le terrain en se préparant à frapper une balle.")</f>
        <v>Un homme de l'âge moyen est debout sur le terrain en se préparant à frapper une balle.</v>
      </c>
    </row>
    <row r="29211">
      <c r="A29211" s="4" t="s">
        <v>36782</v>
      </c>
      <c r="B29211" s="6" t="s">
        <v>36784</v>
      </c>
      <c r="C29211" s="5" t="str">
        <f>IFERROR(__xludf.DUMMYFUNCTION("GOOGLETRANSLATE(B29211,""en"",""fr"")"),"Une fois que l'homme a frappé le ballon, il est attrapé et que les autres équipes sautent et applaudissent d'excitation et il y a une relecture.")</f>
        <v>Une fois que l'homme a frappé le ballon, il est attrapé et que les autres équipes sautent et applaudissent d'excitation et il y a une relecture.</v>
      </c>
    </row>
    <row r="29212">
      <c r="A29212" s="4" t="s">
        <v>36785</v>
      </c>
      <c r="B29212" s="4" t="s">
        <v>36786</v>
      </c>
      <c r="C29212" s="5" t="str">
        <f>IFERROR(__xludf.DUMMYFUNCTION("GOOGLETRANSLATE(B29212,""en"",""fr"")"),"Un homme montre comment aiguiser un couteau avec une machine.")</f>
        <v>Un homme montre comment aiguiser un couteau avec une machine.</v>
      </c>
    </row>
    <row r="29213">
      <c r="A29213" s="4" t="s">
        <v>36785</v>
      </c>
      <c r="B29213" s="4" t="s">
        <v>36787</v>
      </c>
      <c r="C29213" s="5" t="str">
        <f>IFERROR(__xludf.DUMMYFUNCTION("GOOGLETRANSLATE(B29213,""en"",""fr"")"),"Ensuite, il aiguise des couteaux les uns contre les autres.")</f>
        <v>Ensuite, il aiguise des couteaux les uns contre les autres.</v>
      </c>
    </row>
    <row r="29214">
      <c r="A29214" s="4" t="s">
        <v>36788</v>
      </c>
      <c r="B29214" s="4" t="s">
        <v>36789</v>
      </c>
      <c r="C29214" s="5" t="str">
        <f>IFERROR(__xludf.DUMMYFUNCTION("GOOGLETRANSLATE(B29214,""en"",""fr"")"),"Un gros plan des cheveux d'une fille est montré suivi d'une personne tressant ses cheveux.")</f>
        <v>Un gros plan des cheveux d'une fille est montré suivi d'une personne tressant ses cheveux.</v>
      </c>
    </row>
    <row r="29215">
      <c r="A29215" s="4" t="s">
        <v>36788</v>
      </c>
      <c r="B29215" s="4" t="s">
        <v>36790</v>
      </c>
      <c r="C29215" s="5" t="str">
        <f>IFERROR(__xludf.DUMMYFUNCTION("GOOGLETRANSLATE(B29215,""en"",""fr"")"),"La personne continue de tresser les cheveux et la caméra s'éloigne de son visage.")</f>
        <v>La personne continue de tresser les cheveux et la caméra s'éloigne de son visage.</v>
      </c>
    </row>
    <row r="29216">
      <c r="A29216" s="4" t="s">
        <v>36791</v>
      </c>
      <c r="B29216" s="4" t="s">
        <v>36792</v>
      </c>
      <c r="C29216" s="5" t="str">
        <f>IFERROR(__xludf.DUMMYFUNCTION("GOOGLETRANSLATE(B29216,""en"",""fr"")"),"Plusieurs personnes sont à l'extérieur de regarder environ quatre hommes de taurelle avec une cape.")</f>
        <v>Plusieurs personnes sont à l'extérieur de regarder environ quatre hommes de taurelle avec une cape.</v>
      </c>
    </row>
    <row r="29217">
      <c r="A29217" s="4" t="s">
        <v>36791</v>
      </c>
      <c r="B29217" s="6" t="s">
        <v>36793</v>
      </c>
      <c r="C29217" s="5" t="str">
        <f>IFERROR(__xludf.DUMMYFUNCTION("GOOGLETRANSLATE(B29217,""en"",""fr"")"),"Une fois le taureau attrapé, ils commencent à le déplacer et ils ont des difficultés parce que la foule est sur le dos.")</f>
        <v>Une fois le taureau attrapé, ils commencent à le déplacer et ils ont des difficultés parce que la foule est sur le dos.</v>
      </c>
    </row>
    <row r="29218">
      <c r="A29218" s="4" t="s">
        <v>36791</v>
      </c>
      <c r="B29218" s="6" t="s">
        <v>36794</v>
      </c>
      <c r="C29218" s="5" t="str">
        <f>IFERROR(__xludf.DUMMYFUNCTION("GOOGLETRANSLATE(B29218,""en"",""fr"")"),"Ensuite, un homme torse nu est allongé sur la saleté, se fait piétiner par le taureau et saute heureux de ce qui vient de se passer.")</f>
        <v>Ensuite, un homme torse nu est allongé sur la saleté, se fait piétiner par le taureau et saute heureux de ce qui vient de se passer.</v>
      </c>
    </row>
    <row r="29219">
      <c r="A29219" s="4" t="s">
        <v>36791</v>
      </c>
      <c r="B29219" s="6" t="s">
        <v>36795</v>
      </c>
      <c r="C29219" s="5" t="str">
        <f>IFERROR(__xludf.DUMMYFUNCTION("GOOGLETRANSLATE(B29219,""en"",""fr"")"),"Un autre taureau arrive, court sur une personne et la personne reste sur le terrain et une foule de gens viennent en courant vers lui, pose une couverture sur son corps.")</f>
        <v>Un autre taureau arrive, court sur une personne et la personne reste sur le terrain et une foule de gens viennent en courant vers lui, pose une couverture sur son corps.</v>
      </c>
    </row>
    <row r="29220">
      <c r="A29220" s="4" t="s">
        <v>36796</v>
      </c>
      <c r="B29220" s="6" t="s">
        <v>36797</v>
      </c>
      <c r="C29220" s="5" t="str">
        <f>IFERROR(__xludf.DUMMYFUNCTION("GOOGLETRANSLATE(B29220,""en"",""fr"")"),"Un jeune garçon est vu parler avec les autres tout en enroulant des chaussures de ballet autour de lui et en passant devant les autres.")</f>
        <v>Un jeune garçon est vu parler avec les autres tout en enroulant des chaussures de ballet autour de lui et en passant devant les autres.</v>
      </c>
    </row>
    <row r="29221">
      <c r="A29221" s="4" t="s">
        <v>36796</v>
      </c>
      <c r="B29221" s="4" t="s">
        <v>36798</v>
      </c>
      <c r="C29221" s="5" t="str">
        <f>IFERROR(__xludf.DUMMYFUNCTION("GOOGLETRANSLATE(B29221,""en"",""fr"")"),"L'homme entre ensuite en classe de ballet et interagit avec les danseurs et se termine en buvant une bière.")</f>
        <v>L'homme entre ensuite en classe de ballet et interagit avec les danseurs et se termine en buvant une bière.</v>
      </c>
    </row>
    <row r="29222">
      <c r="A29222" s="4" t="s">
        <v>36799</v>
      </c>
      <c r="B29222" s="4" t="s">
        <v>36800</v>
      </c>
      <c r="C29222" s="5" t="str">
        <f>IFERROR(__xludf.DUMMYFUNCTION("GOOGLETRANSLATE(B29222,""en"",""fr"")"),"Une dame et une jeune fille sont dans la chambre avec un arbre de Noël.")</f>
        <v>Une dame et une jeune fille sont dans la chambre avec un arbre de Noël.</v>
      </c>
    </row>
    <row r="29223">
      <c r="A29223" s="4" t="s">
        <v>36799</v>
      </c>
      <c r="B29223" s="4" t="s">
        <v>36801</v>
      </c>
      <c r="C29223" s="5" t="str">
        <f>IFERROR(__xludf.DUMMYFUNCTION("GOOGLETRANSLATE(B29223,""en"",""fr"")"),"Les lumières sont allumées sur l'arbre et la petite fille danse devant elle.")</f>
        <v>Les lumières sont allumées sur l'arbre et la petite fille danse devant elle.</v>
      </c>
    </row>
    <row r="29224">
      <c r="A29224" s="4" t="s">
        <v>36799</v>
      </c>
      <c r="B29224" s="4" t="s">
        <v>36802</v>
      </c>
      <c r="C29224" s="5" t="str">
        <f>IFERROR(__xludf.DUMMYFUNCTION("GOOGLETRANSLATE(B29224,""en"",""fr"")"),"Un jeune garçon joue avec et retire les ornements de l'arbre et les montre à la caméra.")</f>
        <v>Un jeune garçon joue avec et retire les ornements de l'arbre et les montre à la caméra.</v>
      </c>
    </row>
    <row r="29225">
      <c r="A29225" s="4" t="s">
        <v>36799</v>
      </c>
      <c r="B29225" s="4" t="s">
        <v>36803</v>
      </c>
      <c r="C29225" s="5" t="str">
        <f>IFERROR(__xludf.DUMMYFUNCTION("GOOGLETRANSLATE(B29225,""en"",""fr"")"),"L'homme le prend et le montre à l'appareil photo puis le remet.")</f>
        <v>L'homme le prend et le montre à l'appareil photo puis le remet.</v>
      </c>
    </row>
    <row r="29226">
      <c r="A29226" s="4" t="s">
        <v>36804</v>
      </c>
      <c r="B29226" s="4" t="s">
        <v>36805</v>
      </c>
      <c r="C29226" s="5" t="str">
        <f>IFERROR(__xludf.DUMMYFUNCTION("GOOGLETRANSLATE(B29226,""en"",""fr"")"),"Une fille est vue en parlant à la caméra sur le sol.")</f>
        <v>Une fille est vue en parlant à la caméra sur le sol.</v>
      </c>
    </row>
    <row r="29227">
      <c r="A29227" s="4" t="s">
        <v>36804</v>
      </c>
      <c r="B29227" s="4" t="s">
        <v>36806</v>
      </c>
      <c r="C29227" s="5" t="str">
        <f>IFERROR(__xludf.DUMMYFUNCTION("GOOGLETRANSLATE(B29227,""en"",""fr"")"),"Une autre femme est vue assise sur une swingset en regardant la caméra.")</f>
        <v>Une autre femme est vue assise sur une swingset en regardant la caméra.</v>
      </c>
    </row>
    <row r="29228">
      <c r="A29228" s="4" t="s">
        <v>36804</v>
      </c>
      <c r="B29228" s="4" t="s">
        <v>36807</v>
      </c>
      <c r="C29228" s="5" t="str">
        <f>IFERROR(__xludf.DUMMYFUNCTION("GOOGLETRANSLATE(B29228,""en"",""fr"")"),"La femme se balance et quatrième en regardant sa main.")</f>
        <v>La femme se balance et quatrième en regardant sa main.</v>
      </c>
    </row>
    <row r="29229">
      <c r="A29229" s="4" t="s">
        <v>36808</v>
      </c>
      <c r="B29229" s="4" t="s">
        <v>36809</v>
      </c>
      <c r="C29229" s="5" t="str">
        <f>IFERROR(__xludf.DUMMYFUNCTION("GOOGLETRANSLATE(B29229,""en"",""fr"")"),"Un homme en costume joue un piano.")</f>
        <v>Un homme en costume joue un piano.</v>
      </c>
    </row>
    <row r="29230">
      <c r="A29230" s="4" t="s">
        <v>36808</v>
      </c>
      <c r="B29230" s="4" t="s">
        <v>36810</v>
      </c>
      <c r="C29230" s="5" t="str">
        <f>IFERROR(__xludf.DUMMYFUNCTION("GOOGLETRANSLATE(B29230,""en"",""fr"")"),"Le public se lève et applaudit pour lui.")</f>
        <v>Le public se lève et applaudit pour lui.</v>
      </c>
    </row>
    <row r="29231">
      <c r="A29231" s="4" t="s">
        <v>36808</v>
      </c>
      <c r="B29231" s="4" t="s">
        <v>36811</v>
      </c>
      <c r="C29231" s="5" t="str">
        <f>IFERROR(__xludf.DUMMYFUNCTION("GOOGLETRANSLATE(B29231,""en"",""fr"")"),"Les gens s'embrassent et se mélangent sur une scène.")</f>
        <v>Les gens s'embrassent et se mélangent sur une scène.</v>
      </c>
    </row>
    <row r="29232">
      <c r="A29232" s="4" t="s">
        <v>36812</v>
      </c>
      <c r="B29232" s="4" t="s">
        <v>36813</v>
      </c>
      <c r="C29232" s="5" t="str">
        <f>IFERROR(__xludf.DUMMYFUNCTION("GOOGLETRANSLATE(B29232,""en"",""fr"")"),"Un petit groupe de personnes est vu rouler sur des tampants tout en se heurtant les uns aux autres.")</f>
        <v>Un petit groupe de personnes est vu rouler sur des tampants tout en se heurtant les uns aux autres.</v>
      </c>
    </row>
    <row r="29233">
      <c r="A29233" s="4" t="s">
        <v>36812</v>
      </c>
      <c r="B29233" s="6" t="s">
        <v>36814</v>
      </c>
      <c r="C29233" s="5" t="str">
        <f>IFERROR(__xludf.DUMMYFUNCTION("GOOGLETRANSLATE(B29233,""en"",""fr"")"),"Les enfants continuent de conduire les voitures lorsqu'un homme entre dans et hors du cadre en s'assurant que les enfants et les parents sont en sécurité.")</f>
        <v>Les enfants continuent de conduire les voitures lorsqu'un homme entre dans et hors du cadre en s'assurant que les enfants et les parents sont en sécurité.</v>
      </c>
    </row>
    <row r="29234">
      <c r="A29234" s="4" t="s">
        <v>36815</v>
      </c>
      <c r="B29234" s="4" t="s">
        <v>36816</v>
      </c>
      <c r="C29234" s="5" t="str">
        <f>IFERROR(__xludf.DUMMYFUNCTION("GOOGLETRANSLATE(B29234,""en"",""fr"")"),"Un jardin extérieur est vu et un homme en tshirt se tient dedans en tenant une paire de cheminées.")</f>
        <v>Un jardin extérieur est vu et un homme en tshirt se tient dedans en tenant une paire de cheminées.</v>
      </c>
    </row>
    <row r="29235">
      <c r="A29235" s="4" t="s">
        <v>36815</v>
      </c>
      <c r="B29235" s="4" t="s">
        <v>36817</v>
      </c>
      <c r="C29235" s="5" t="str">
        <f>IFERROR(__xludf.DUMMYFUNCTION("GOOGLETRANSLATE(B29235,""en"",""fr"")"),"Les Mellons sont vus dans tout le jardin.")</f>
        <v>Les Mellons sont vus dans tout le jardin.</v>
      </c>
    </row>
    <row r="29236">
      <c r="A29236" s="4" t="s">
        <v>36815</v>
      </c>
      <c r="B29236" s="6" t="s">
        <v>36818</v>
      </c>
      <c r="C29236" s="5" t="str">
        <f>IFERROR(__xludf.DUMMYFUNCTION("GOOGLETRANSLATE(B29236,""en"",""fr"")"),"L'homme pointe vers les melons contre le mur et commence à les couper avec ses cuits les jetant sur le côté.")</f>
        <v>L'homme pointe vers les melons contre le mur et commence à les couper avec ses cuits les jetant sur le côté.</v>
      </c>
    </row>
    <row r="29237">
      <c r="A29237" s="4" t="s">
        <v>36815</v>
      </c>
      <c r="B29237" s="6" t="s">
        <v>36819</v>
      </c>
      <c r="C29237" s="5" t="str">
        <f>IFERROR(__xludf.DUMMYFUNCTION("GOOGLETRANSLATE(B29237,""en"",""fr"")"),"L'homme se dirige vers le bord extérieur des plantes de melon et ramasse une grande vigne dans une main puis coupe les feuilles avec l'autre main.")</f>
        <v>L'homme se dirige vers le bord extérieur des plantes de melon et ramasse une grande vigne dans une main puis coupe les feuilles avec l'autre main.</v>
      </c>
    </row>
    <row r="29238">
      <c r="A29238" s="4" t="s">
        <v>36815</v>
      </c>
      <c r="B29238" s="4" t="s">
        <v>36820</v>
      </c>
      <c r="C29238" s="5" t="str">
        <f>IFERROR(__xludf.DUMMYFUNCTION("GOOGLETRANSLATE(B29238,""en"",""fr"")"),"L'homme fait des mouvements circulaires avec ses mains autour de ses déchets pour démontrer la taille.")</f>
        <v>L'homme fait des mouvements circulaires avec ses mains autour de ses déchets pour démontrer la taille.</v>
      </c>
    </row>
    <row r="29239">
      <c r="A29239" s="4" t="s">
        <v>36815</v>
      </c>
      <c r="B29239" s="4" t="s">
        <v>36821</v>
      </c>
      <c r="C29239" s="5" t="str">
        <f>IFERROR(__xludf.DUMMYFUNCTION("GOOGLETRANSLATE(B29239,""en"",""fr"")"),"Un site Web de jardin est vu.")</f>
        <v>Un site Web de jardin est vu.</v>
      </c>
    </row>
    <row r="29240">
      <c r="A29240" s="4" t="s">
        <v>36822</v>
      </c>
      <c r="B29240" s="4" t="s">
        <v>36823</v>
      </c>
      <c r="C29240" s="5" t="str">
        <f>IFERROR(__xludf.DUMMYFUNCTION("GOOGLETRANSLATE(B29240,""en"",""fr"")"),"Une pièce de papier de construction peinte se trouve sur une table avec une valise de fournitures.")</f>
        <v>Une pièce de papier de construction peinte se trouve sur une table avec une valise de fournitures.</v>
      </c>
    </row>
    <row r="29241">
      <c r="A29241" s="4" t="s">
        <v>36822</v>
      </c>
      <c r="B29241" s="4" t="s">
        <v>36824</v>
      </c>
      <c r="C29241" s="5" t="str">
        <f>IFERROR(__xludf.DUMMYFUNCTION("GOOGLETRANSLATE(B29241,""en"",""fr"")"),"I Personne coupe un morceau de papier de construction.")</f>
        <v>I Personne coupe un morceau de papier de construction.</v>
      </c>
    </row>
    <row r="29242">
      <c r="A29242" s="4" t="s">
        <v>36822</v>
      </c>
      <c r="B29242" s="4" t="s">
        <v>36825</v>
      </c>
      <c r="C29242" s="5" t="str">
        <f>IFERROR(__xludf.DUMMYFUNCTION("GOOGLETRANSLATE(B29242,""en"",""fr"")"),"Les conceptions sont dessinées sur le papier avec des marqueurs.")</f>
        <v>Les conceptions sont dessinées sur le papier avec des marqueurs.</v>
      </c>
    </row>
    <row r="29243">
      <c r="A29243" s="4" t="s">
        <v>36822</v>
      </c>
      <c r="B29243" s="6" t="s">
        <v>36826</v>
      </c>
      <c r="C29243" s="5" t="str">
        <f>IFERROR(__xludf.DUMMYFUNCTION("GOOGLETRANSLATE(B29243,""en"",""fr"")"),"Le papier de construction est replié sur un article et un morceau de ruban adhésif sécurise le papier de construction au milieu.")</f>
        <v>Le papier de construction est replié sur un article et un morceau de ruban adhésif sécurise le papier de construction au milieu.</v>
      </c>
    </row>
    <row r="29244">
      <c r="A29244" s="4" t="s">
        <v>36822</v>
      </c>
      <c r="B29244" s="6" t="s">
        <v>36827</v>
      </c>
      <c r="C29244" s="5" t="str">
        <f>IFERROR(__xludf.DUMMYFUNCTION("GOOGLETRANSLATE(B29244,""en"",""fr"")"),"Les coins sont pliés comme un présent et les peices de ruban adhésif sont utilisés pour fixer les extrémités pliées de l'emballage.")</f>
        <v>Les coins sont pliés comme un présent et les peices de ruban adhésif sont utilisés pour fixer les extrémités pliées de l'emballage.</v>
      </c>
    </row>
    <row r="29245">
      <c r="A29245" s="4" t="s">
        <v>36822</v>
      </c>
      <c r="B29245" s="4" t="s">
        <v>36828</v>
      </c>
      <c r="C29245" s="5" t="str">
        <f>IFERROR(__xludf.DUMMYFUNCTION("GOOGLETRANSLATE(B29245,""en"",""fr"")"),"Un ruban est glissé sous l'emballage et attaché dans un arc.")</f>
        <v>Un ruban est glissé sous l'emballage et attaché dans un arc.</v>
      </c>
    </row>
    <row r="29246">
      <c r="A29246" s="4" t="s">
        <v>36829</v>
      </c>
      <c r="B29246" s="4" t="s">
        <v>36830</v>
      </c>
      <c r="C29246" s="5" t="str">
        <f>IFERROR(__xludf.DUMMYFUNCTION("GOOGLETRANSLATE(B29246,""en"",""fr"")"),"Un groupe de personnes est dans un gymnase jouant au Dodgeball.")</f>
        <v>Un groupe de personnes est dans un gymnase jouant au Dodgeball.</v>
      </c>
    </row>
    <row r="29247">
      <c r="A29247" s="4" t="s">
        <v>36829</v>
      </c>
      <c r="B29247" s="4" t="s">
        <v>36831</v>
      </c>
      <c r="C29247" s="5" t="str">
        <f>IFERROR(__xludf.DUMMYFUNCTION("GOOGLETRANSLATE(B29247,""en"",""fr"")"),"Un logo apparaît à l'écran.")</f>
        <v>Un logo apparaît à l'écran.</v>
      </c>
    </row>
    <row r="29248">
      <c r="A29248" s="4" t="s">
        <v>36829</v>
      </c>
      <c r="B29248" s="4" t="s">
        <v>36832</v>
      </c>
      <c r="C29248" s="5" t="str">
        <f>IFERROR(__xludf.DUMMYFUNCTION("GOOGLETRANSLATE(B29248,""en"",""fr"")"),"Un homme parle à la caméra pendant que les gens jouent au ballon de dodge derrière lui.")</f>
        <v>Un homme parle à la caméra pendant que les gens jouent au ballon de dodge derrière lui.</v>
      </c>
    </row>
    <row r="29249">
      <c r="A29249" s="4" t="s">
        <v>36829</v>
      </c>
      <c r="B29249" s="4" t="s">
        <v>36833</v>
      </c>
      <c r="C29249" s="5" t="str">
        <f>IFERROR(__xludf.DUMMYFUNCTION("GOOGLETRANSLATE(B29249,""en"",""fr"")"),"L'homme et les joueurs présentent des techniques de ballon de dodge.")</f>
        <v>L'homme et les joueurs présentent des techniques de ballon de dodge.</v>
      </c>
    </row>
    <row r="29250">
      <c r="A29250" s="4" t="s">
        <v>36829</v>
      </c>
      <c r="B29250" s="4" t="s">
        <v>36834</v>
      </c>
      <c r="C29250" s="5" t="str">
        <f>IFERROR(__xludf.DUMMYFUNCTION("GOOGLETRANSLATE(B29250,""en"",""fr"")"),"Des légendes apparaissent périodiquement à l'écran qui expliquent le ballon de dodge.")</f>
        <v>Des légendes apparaissent périodiquement à l'écran qui expliquent le ballon de dodge.</v>
      </c>
    </row>
    <row r="29251">
      <c r="A29251" s="4" t="s">
        <v>36835</v>
      </c>
      <c r="B29251" s="6" t="s">
        <v>36836</v>
      </c>
      <c r="C29251" s="5" t="str">
        <f>IFERROR(__xludf.DUMMYFUNCTION("GOOGLETRANSLATE(B29251,""en"",""fr"")"),"Il y a un homme en chemise verte qui parle et interviewé par un autre homme vêtu d'une veste noire et d'un pantalon gris.")</f>
        <v>Il y a un homme en chemise verte qui parle et interviewé par un autre homme vêtu d'une veste noire et d'un pantalon gris.</v>
      </c>
    </row>
    <row r="29252">
      <c r="A29252" s="4" t="s">
        <v>36835</v>
      </c>
      <c r="B29252" s="4" t="s">
        <v>36837</v>
      </c>
      <c r="C29252" s="5" t="str">
        <f>IFERROR(__xludf.DUMMYFUNCTION("GOOGLETRANSLATE(B29252,""en"",""fr"")"),"Ils sont assis sur des chaises dans une grande pièce avec des planchers en bois.")</f>
        <v>Ils sont assis sur des chaises dans une grande pièce avec des planchers en bois.</v>
      </c>
    </row>
    <row r="29253">
      <c r="A29253" s="4" t="s">
        <v>36835</v>
      </c>
      <c r="B29253" s="4" t="s">
        <v>36838</v>
      </c>
      <c r="C29253" s="5" t="str">
        <f>IFERROR(__xludf.DUMMYFUNCTION("GOOGLETRANSLATE(B29253,""en"",""fr"")"),"L'entrée du Valqueire Tennis Club est montrée.")</f>
        <v>L'entrée du Valqueire Tennis Club est montrée.</v>
      </c>
    </row>
    <row r="29254">
      <c r="A29254" s="4" t="s">
        <v>36835</v>
      </c>
      <c r="B29254" s="4" t="s">
        <v>36839</v>
      </c>
      <c r="C29254" s="5" t="str">
        <f>IFERROR(__xludf.DUMMYFUNCTION("GOOGLETRANSLATE(B29254,""en"",""fr"")"),"La carte d'identité de la personne interviewée est également présentée.")</f>
        <v>La carte d'identité de la personne interviewée est également présentée.</v>
      </c>
    </row>
    <row r="29255">
      <c r="A29255" s="4" t="s">
        <v>36835</v>
      </c>
      <c r="B29255" s="4" t="s">
        <v>36840</v>
      </c>
      <c r="C29255" s="5" t="str">
        <f>IFERROR(__xludf.DUMMYFUNCTION("GOOGLETRANSLATE(B29255,""en"",""fr"")"),"L'homme en vert continue de parler de football à l'intervieweur.")</f>
        <v>L'homme en vert continue de parler de football à l'intervieweur.</v>
      </c>
    </row>
    <row r="29256">
      <c r="A29256" s="4" t="s">
        <v>36835</v>
      </c>
      <c r="B29256" s="4" t="s">
        <v>36841</v>
      </c>
      <c r="C29256" s="5" t="str">
        <f>IFERROR(__xludf.DUMMYFUNCTION("GOOGLETRANSLATE(B29256,""en"",""fr"")"),"Le match de football du Brésil contre Venezuela est montré.")</f>
        <v>Le match de football du Brésil contre Venezuela est montré.</v>
      </c>
    </row>
    <row r="29257">
      <c r="A29257" s="4" t="s">
        <v>36835</v>
      </c>
      <c r="B29257" s="6" t="s">
        <v>36842</v>
      </c>
      <c r="C29257" s="5" t="str">
        <f>IFERROR(__xludf.DUMMYFUNCTION("GOOGLETRANSLATE(B29257,""en"",""fr"")"),"L'homme en vert parle d'un article de journal lié au football car des clips du jeu de football sont présentés.")</f>
        <v>L'homme en vert parle d'un article de journal lié au football car des clips du jeu de football sont présentés.</v>
      </c>
    </row>
    <row r="29258">
      <c r="A29258" s="4" t="s">
        <v>36843</v>
      </c>
      <c r="B29258" s="6" t="s">
        <v>36844</v>
      </c>
      <c r="C29258" s="5" t="str">
        <f>IFERROR(__xludf.DUMMYFUNCTION("GOOGLETRANSLATE(B29258,""en"",""fr"")"),"Deux personnes sont vues les uns côtes à côté de la caméra et mènent dans les deux en train de jouer une routine de danse les uns avec les autres.")</f>
        <v>Deux personnes sont vues les uns côtes à côté de la caméra et mènent dans les deux en train de jouer une routine de danse les uns avec les autres.</v>
      </c>
    </row>
    <row r="29259">
      <c r="A29259" s="4" t="s">
        <v>36843</v>
      </c>
      <c r="B29259" s="6" t="s">
        <v>36845</v>
      </c>
      <c r="C29259" s="5" t="str">
        <f>IFERROR(__xludf.DUMMYFUNCTION("GOOGLETRANSLATE(B29259,""en"",""fr"")"),"Les gens continuent de danser sur le bord d'une route et se termine avec eux en posant et en riant.")</f>
        <v>Les gens continuent de danser sur le bord d'une route et se termine avec eux en posant et en riant.</v>
      </c>
    </row>
    <row r="29260">
      <c r="A29260" s="4" t="s">
        <v>36846</v>
      </c>
      <c r="B29260" s="4" t="s">
        <v>36847</v>
      </c>
      <c r="C29260" s="5" t="str">
        <f>IFERROR(__xludf.DUMMYFUNCTION("GOOGLETRANSLATE(B29260,""en"",""fr"")"),"Un homme en chemise blanche parle.")</f>
        <v>Un homme en chemise blanche parle.</v>
      </c>
    </row>
    <row r="29261">
      <c r="A29261" s="4" t="s">
        <v>36846</v>
      </c>
      <c r="B29261" s="4" t="s">
        <v>36848</v>
      </c>
      <c r="C29261" s="5" t="str">
        <f>IFERROR(__xludf.DUMMYFUNCTION("GOOGLETRANSLATE(B29261,""en"",""fr"")"),"Un arc et une flèche sont installés dans l'herbe.")</f>
        <v>Un arc et une flèche sont installés dans l'herbe.</v>
      </c>
    </row>
    <row r="29262">
      <c r="A29262" s="4" t="s">
        <v>36846</v>
      </c>
      <c r="B29262" s="4" t="s">
        <v>36849</v>
      </c>
      <c r="C29262" s="5" t="str">
        <f>IFERROR(__xludf.DUMMYFUNCTION("GOOGLETRANSLATE(B29262,""en"",""fr"")"),"Un homme tire un arc et une flèche dans l'eau.")</f>
        <v>Un homme tire un arc et une flèche dans l'eau.</v>
      </c>
    </row>
    <row r="29263">
      <c r="A29263" s="4" t="s">
        <v>36850</v>
      </c>
      <c r="B29263" s="4" t="s">
        <v>36851</v>
      </c>
      <c r="C29263" s="5" t="str">
        <f>IFERROR(__xludf.DUMMYFUNCTION("GOOGLETRANSLATE(B29263,""en"",""fr"")"),"Une main est mise dans une brosse et déplace les cheveux pour être empilés et vaccinés avec l'autre main.")</f>
        <v>Une main est mise dans une brosse et déplace les cheveux pour être empilés et vaccinés avec l'autre main.</v>
      </c>
    </row>
    <row r="29264">
      <c r="A29264" s="4" t="s">
        <v>36850</v>
      </c>
      <c r="B29264" s="4" t="s">
        <v>36852</v>
      </c>
      <c r="C29264" s="5" t="str">
        <f>IFERROR(__xludf.DUMMYFUNCTION("GOOGLETRANSLATE(B29264,""en"",""fr"")"),"La section centrale est terminée et le cheval est immobile tout en étant coupé.")</f>
        <v>La section centrale est terminée et le cheval est immobile tout en étant coupé.</v>
      </c>
    </row>
    <row r="29265">
      <c r="A29265" s="4" t="s">
        <v>36850</v>
      </c>
      <c r="B29265" s="6" t="s">
        <v>36853</v>
      </c>
      <c r="C29265" s="5" t="str">
        <f>IFERROR(__xludf.DUMMYFUNCTION("GOOGLETRANSLATE(B29265,""en"",""fr"")"),"Maintenant, le milieu est terminé et la personne se déplace à l'arrière du cheval jusqu'à ce que tout le corps du cheval soit coupé.")</f>
        <v>Maintenant, le milieu est terminé et la personne se déplace à l'arrière du cheval jusqu'à ce que tout le corps du cheval soit coupé.</v>
      </c>
    </row>
    <row r="29266">
      <c r="A29266" s="4" t="s">
        <v>36854</v>
      </c>
      <c r="B29266" s="4" t="s">
        <v>36855</v>
      </c>
      <c r="C29266" s="5" t="str">
        <f>IFERROR(__xludf.DUMMYFUNCTION("GOOGLETRANSLATE(B29266,""en"",""fr"")"),"Une personne joue une guitare acoustique alors qu'elle était assise sur un canapé beige en jean et un t-shirt.")</f>
        <v>Une personne joue une guitare acoustique alors qu'elle était assise sur un canapé beige en jean et un t-shirt.</v>
      </c>
    </row>
    <row r="29267">
      <c r="A29267" s="4" t="s">
        <v>36854</v>
      </c>
      <c r="B29267" s="6" t="s">
        <v>36856</v>
      </c>
      <c r="C29267" s="5" t="str">
        <f>IFERROR(__xludf.DUMMYFUNCTION("GOOGLETRANSLATE(B29267,""en"",""fr"")"),"Une pièce est représentée avec une guitare acoustique située sur un canapé beige et une œuvre d'art en pierre devant le canapé avec des rochers.")</f>
        <v>Une pièce est représentée avec une guitare acoustique située sur un canapé beige et une œuvre d'art en pierre devant le canapé avec des rochers.</v>
      </c>
    </row>
    <row r="29268">
      <c r="A29268" s="4" t="s">
        <v>36854</v>
      </c>
      <c r="B29268" s="4" t="s">
        <v>36857</v>
      </c>
      <c r="C29268" s="5" t="str">
        <f>IFERROR(__xludf.DUMMYFUNCTION("GOOGLETRANSLATE(B29268,""en"",""fr"")"),"Une personne, face invisible, s'approche du canapé et ramasse la guitare.")</f>
        <v>Une personne, face invisible, s'approche du canapé et ramasse la guitare.</v>
      </c>
    </row>
    <row r="29269">
      <c r="A29269" s="4" t="s">
        <v>36854</v>
      </c>
      <c r="B29269" s="6" t="s">
        <v>36858</v>
      </c>
      <c r="C29269" s="5" t="str">
        <f>IFERROR(__xludf.DUMMYFUNCTION("GOOGLETRANSLATE(B29269,""en"",""fr"")"),"La personne s'assoit ensuite et joue la guitare acoustique, qui a un capo sur le cou, et joue jusqu'à ce que la scène se fonde sur un sous-titre espagnol.")</f>
        <v>La personne s'assoit ensuite et joue la guitare acoustique, qui a un capo sur le cou, et joue jusqu'à ce que la scène se fonde sur un sous-titre espagnol.</v>
      </c>
    </row>
    <row r="29270">
      <c r="A29270" s="4" t="s">
        <v>36859</v>
      </c>
      <c r="B29270" s="6" t="s">
        <v>36860</v>
      </c>
      <c r="C29270" s="5" t="str">
        <f>IFERROR(__xludf.DUMMYFUNCTION("GOOGLETRANSLATE(B29270,""en"",""fr"")"),"Il y a un homme qui fait une expérience scientifique dans sa cuisine en utilisant une bouteille de litre Pepsi qui est remplie de mousse.")</f>
        <v>Il y a un homme qui fait une expérience scientifique dans sa cuisine en utilisant une bouteille de litre Pepsi qui est remplie de mousse.</v>
      </c>
    </row>
    <row r="29271">
      <c r="A29271" s="4" t="s">
        <v>36859</v>
      </c>
      <c r="B29271" s="4" t="s">
        <v>36861</v>
      </c>
      <c r="C29271" s="5" t="str">
        <f>IFERROR(__xludf.DUMMYFUNCTION("GOOGLETRANSLATE(B29271,""en"",""fr"")"),"Il y a un garçon allongé sur le sol, les jambes tendues contre l'armoire.")</f>
        <v>Il y a un garçon allongé sur le sol, les jambes tendues contre l'armoire.</v>
      </c>
    </row>
    <row r="29272">
      <c r="A29272" s="4" t="s">
        <v>36859</v>
      </c>
      <c r="B29272" s="4" t="s">
        <v>36862</v>
      </c>
      <c r="C29272" s="5" t="str">
        <f>IFERROR(__xludf.DUMMYFUNCTION("GOOGLETRANSLATE(B29272,""en"",""fr"")"),"L'homme tient un tuyau dans une main et souffle d'air dans la bouteille simultanément.")</f>
        <v>L'homme tient un tuyau dans une main et souffle d'air dans la bouteille simultanément.</v>
      </c>
    </row>
    <row r="29273">
      <c r="A29273" s="4" t="s">
        <v>36859</v>
      </c>
      <c r="B29273" s="4" t="s">
        <v>36863</v>
      </c>
      <c r="C29273" s="5" t="str">
        <f>IFERROR(__xludf.DUMMYFUNCTION("GOOGLETRANSLATE(B29273,""en"",""fr"")"),"Puis il laisse tomber l'énorme bulle de la bouteille sur le visage du garçon.")</f>
        <v>Puis il laisse tomber l'énorme bulle de la bouteille sur le visage du garçon.</v>
      </c>
    </row>
    <row r="29274">
      <c r="A29274" s="4" t="s">
        <v>36864</v>
      </c>
      <c r="B29274" s="4" t="s">
        <v>36865</v>
      </c>
      <c r="C29274" s="5" t="str">
        <f>IFERROR(__xludf.DUMMYFUNCTION("GOOGLETRANSLATE(B29274,""en"",""fr"")"),"Une adresse Web s'affiche sur la diapositive.")</f>
        <v>Une adresse Web s'affiche sur la diapositive.</v>
      </c>
    </row>
    <row r="29275">
      <c r="A29275" s="4" t="s">
        <v>36864</v>
      </c>
      <c r="B29275" s="4" t="s">
        <v>36866</v>
      </c>
      <c r="C29275" s="5" t="str">
        <f>IFERROR(__xludf.DUMMYFUNCTION("GOOGLETRANSLATE(B29275,""en"",""fr"")"),"Le nom d'un écran solaire est illustré.")</f>
        <v>Le nom d'un écran solaire est illustré.</v>
      </c>
    </row>
    <row r="29276">
      <c r="A29276" s="4" t="s">
        <v>36864</v>
      </c>
      <c r="B29276" s="4" t="s">
        <v>36867</v>
      </c>
      <c r="C29276" s="5" t="str">
        <f>IFERROR(__xludf.DUMMYFUNCTION("GOOGLETRANSLATE(B29276,""en"",""fr"")"),"La bouteille de crème solaire est illustrée.")</f>
        <v>La bouteille de crème solaire est illustrée.</v>
      </c>
    </row>
    <row r="29277">
      <c r="A29277" s="4" t="s">
        <v>36864</v>
      </c>
      <c r="B29277" s="4" t="s">
        <v>36868</v>
      </c>
      <c r="C29277" s="5" t="str">
        <f>IFERROR(__xludf.DUMMYFUNCTION("GOOGLETRANSLATE(B29277,""en"",""fr"")"),"Le prix de la crème solaire est illustré.")</f>
        <v>Le prix de la crème solaire est illustré.</v>
      </c>
    </row>
    <row r="29278">
      <c r="A29278" s="4" t="s">
        <v>36864</v>
      </c>
      <c r="B29278" s="4" t="s">
        <v>36869</v>
      </c>
      <c r="C29278" s="5" t="str">
        <f>IFERROR(__xludf.DUMMYFUNCTION("GOOGLETRANSLATE(B29278,""en"",""fr"")"),"La bouteille de crème solaire est présentée.")</f>
        <v>La bouteille de crème solaire est présentée.</v>
      </c>
    </row>
    <row r="29279">
      <c r="A29279" s="4" t="s">
        <v>36864</v>
      </c>
      <c r="B29279" s="4" t="s">
        <v>36870</v>
      </c>
      <c r="C29279" s="5" t="str">
        <f>IFERROR(__xludf.DUMMYFUNCTION("GOOGLETRANSLATE(B29279,""en"",""fr"")"),"Une directive d'information est affichée.")</f>
        <v>Une directive d'information est affichée.</v>
      </c>
    </row>
    <row r="29280">
      <c r="A29280" s="4" t="s">
        <v>36871</v>
      </c>
      <c r="B29280" s="4" t="s">
        <v>36872</v>
      </c>
      <c r="C29280" s="5" t="str">
        <f>IFERROR(__xludf.DUMMYFUNCTION("GOOGLETRANSLATE(B29280,""en"",""fr"")"),"Le titre est à l'écran.")</f>
        <v>Le titre est à l'écran.</v>
      </c>
    </row>
    <row r="29281">
      <c r="A29281" s="4" t="s">
        <v>36871</v>
      </c>
      <c r="B29281" s="4" t="s">
        <v>36873</v>
      </c>
      <c r="C29281" s="5" t="str">
        <f>IFERROR(__xludf.DUMMYFUNCTION("GOOGLETRANSLATE(B29281,""en"",""fr"")"),"L'écran passe à l'homme expliquant son art.")</f>
        <v>L'écran passe à l'homme expliquant son art.</v>
      </c>
    </row>
    <row r="29282">
      <c r="A29282" s="4" t="s">
        <v>36871</v>
      </c>
      <c r="B29282" s="4" t="s">
        <v>36874</v>
      </c>
      <c r="C29282" s="5" t="str">
        <f>IFERROR(__xludf.DUMMYFUNCTION("GOOGLETRANSLATE(B29282,""en"",""fr"")"),"Nous voyons l'œuvre de l'homme.")</f>
        <v>Nous voyons l'œuvre de l'homme.</v>
      </c>
    </row>
    <row r="29283">
      <c r="A29283" s="4" t="s">
        <v>36871</v>
      </c>
      <c r="B29283" s="4" t="s">
        <v>36875</v>
      </c>
      <c r="C29283" s="5" t="str">
        <f>IFERROR(__xludf.DUMMYFUNCTION("GOOGLETRANSLATE(B29283,""en"",""fr"")"),"Nous voyons l'homme parler à nouveau.")</f>
        <v>Nous voyons l'homme parler à nouveau.</v>
      </c>
    </row>
    <row r="29284">
      <c r="A29284" s="4" t="s">
        <v>36871</v>
      </c>
      <c r="B29284" s="4" t="s">
        <v>36876</v>
      </c>
      <c r="C29284" s="5" t="str">
        <f>IFERROR(__xludf.DUMMYFUNCTION("GOOGLETRANSLATE(B29284,""en"",""fr"")"),"Il attrape de la peinture sur son pinceau.")</f>
        <v>Il attrape de la peinture sur son pinceau.</v>
      </c>
    </row>
    <row r="29285">
      <c r="A29285" s="4" t="s">
        <v>36871</v>
      </c>
      <c r="B29285" s="4" t="s">
        <v>36877</v>
      </c>
      <c r="C29285" s="5" t="str">
        <f>IFERROR(__xludf.DUMMYFUNCTION("GOOGLETRANSLATE(B29285,""en"",""fr"")"),"Il discute de sa technique de peinture.")</f>
        <v>Il discute de sa technique de peinture.</v>
      </c>
    </row>
    <row r="29286">
      <c r="A29286" s="4" t="s">
        <v>36871</v>
      </c>
      <c r="B29286" s="4" t="s">
        <v>36878</v>
      </c>
      <c r="C29286" s="5" t="str">
        <f>IFERROR(__xludf.DUMMYFUNCTION("GOOGLETRANSLATE(B29286,""en"",""fr"")"),"Il peint sur l'art.")</f>
        <v>Il peint sur l'art.</v>
      </c>
    </row>
    <row r="29287">
      <c r="A29287" s="4" t="s">
        <v>36871</v>
      </c>
      <c r="B29287" s="4" t="s">
        <v>36879</v>
      </c>
      <c r="C29287" s="5" t="str">
        <f>IFERROR(__xludf.DUMMYFUNCTION("GOOGLETRANSLATE(B29287,""en"",""fr"")"),"Il nettoie son pinceau sur du papier.")</f>
        <v>Il nettoie son pinceau sur du papier.</v>
      </c>
    </row>
    <row r="29288">
      <c r="A29288" s="4" t="s">
        <v>36871</v>
      </c>
      <c r="B29288" s="4" t="s">
        <v>36880</v>
      </c>
      <c r="C29288" s="5" t="str">
        <f>IFERROR(__xludf.DUMMYFUNCTION("GOOGLETRANSLATE(B29288,""en"",""fr"")"),"Il ajoute plus de peinture au pinceau.")</f>
        <v>Il ajoute plus de peinture au pinceau.</v>
      </c>
    </row>
    <row r="29289">
      <c r="A29289" s="4" t="s">
        <v>36871</v>
      </c>
      <c r="B29289" s="4" t="s">
        <v>36881</v>
      </c>
      <c r="C29289" s="5" t="str">
        <f>IFERROR(__xludf.DUMMYFUNCTION("GOOGLETRANSLATE(B29289,""en"",""fr"")"),"Il peint à nouveau sur l'art.")</f>
        <v>Il peint à nouveau sur l'art.</v>
      </c>
    </row>
    <row r="29290">
      <c r="A29290" s="4" t="s">
        <v>36871</v>
      </c>
      <c r="B29290" s="4" t="s">
        <v>36882</v>
      </c>
      <c r="C29290" s="5" t="str">
        <f>IFERROR(__xludf.DUMMYFUNCTION("GOOGLETRANSLATE(B29290,""en"",""fr"")"),"Il nettoie à nouveau son pinceau sur le papier.")</f>
        <v>Il nettoie à nouveau son pinceau sur le papier.</v>
      </c>
    </row>
    <row r="29291">
      <c r="A29291" s="4" t="s">
        <v>36871</v>
      </c>
      <c r="B29291" s="4" t="s">
        <v>36883</v>
      </c>
      <c r="C29291" s="5" t="str">
        <f>IFERROR(__xludf.DUMMYFUNCTION("GOOGLETRANSLATE(B29291,""en"",""fr"")"),"Il ajoute de la peinture blanche au pinceau.")</f>
        <v>Il ajoute de la peinture blanche au pinceau.</v>
      </c>
    </row>
    <row r="29292">
      <c r="A29292" s="4" t="s">
        <v>36871</v>
      </c>
      <c r="B29292" s="4" t="s">
        <v>36884</v>
      </c>
      <c r="C29292" s="5" t="str">
        <f>IFERROR(__xludf.DUMMYFUNCTION("GOOGLETRANSLATE(B29292,""en"",""fr"")"),"Il peint blanc sur l'œuvre d'art.")</f>
        <v>Il peint blanc sur l'œuvre d'art.</v>
      </c>
    </row>
    <row r="29293">
      <c r="A29293" s="4" t="s">
        <v>36871</v>
      </c>
      <c r="B29293" s="4" t="s">
        <v>36885</v>
      </c>
      <c r="C29293" s="5" t="str">
        <f>IFERROR(__xludf.DUMMYFUNCTION("GOOGLETRANSLATE(B29293,""en"",""fr"")"),"Il traverse les bras et parle.")</f>
        <v>Il traverse les bras et parle.</v>
      </c>
    </row>
    <row r="29294">
      <c r="A29294" s="4" t="s">
        <v>36871</v>
      </c>
      <c r="B29294" s="4" t="s">
        <v>36886</v>
      </c>
      <c r="C29294" s="5" t="str">
        <f>IFERROR(__xludf.DUMMYFUNCTION("GOOGLETRANSLATE(B29294,""en"",""fr"")"),"Nous voyons la carte de titre.")</f>
        <v>Nous voyons la carte de titre.</v>
      </c>
    </row>
    <row r="29295">
      <c r="A29295" s="4" t="s">
        <v>36887</v>
      </c>
      <c r="B29295" s="4" t="s">
        <v>36888</v>
      </c>
      <c r="C29295" s="5" t="str">
        <f>IFERROR(__xludf.DUMMYFUNCTION("GOOGLETRANSLATE(B29295,""en"",""fr"")"),"Les gens plongent dans la piscine et commencent à nager.")</f>
        <v>Les gens plongent dans la piscine et commencent à nager.</v>
      </c>
    </row>
    <row r="29296">
      <c r="A29296" s="4" t="s">
        <v>36887</v>
      </c>
      <c r="B29296" s="4" t="s">
        <v>36889</v>
      </c>
      <c r="C29296" s="5" t="str">
        <f>IFERROR(__xludf.DUMMYFUNCTION("GOOGLETRANSLATE(B29296,""en"",""fr"")"),"Une personne atteint la fin et enlève ses lunettes.")</f>
        <v>Une personne atteint la fin et enlève ses lunettes.</v>
      </c>
    </row>
    <row r="29297">
      <c r="A29297" s="4" t="s">
        <v>36887</v>
      </c>
      <c r="B29297" s="4" t="s">
        <v>36890</v>
      </c>
      <c r="C29297" s="5" t="str">
        <f>IFERROR(__xludf.DUMMYFUNCTION("GOOGLETRANSLATE(B29297,""en"",""fr"")"),"Ils agitent à la caméra et sourient.")</f>
        <v>Ils agitent à la caméra et sourient.</v>
      </c>
    </row>
    <row r="29298">
      <c r="A29298" s="4" t="s">
        <v>36887</v>
      </c>
      <c r="B29298" s="4" t="s">
        <v>36891</v>
      </c>
      <c r="C29298" s="5" t="str">
        <f>IFERROR(__xludf.DUMMYFUNCTION("GOOGLETRANSLATE(B29298,""en"",""fr"")"),"Les autres nageurs arrivent à la ligne d'arrivée.")</f>
        <v>Les autres nageurs arrivent à la ligne d'arrivée.</v>
      </c>
    </row>
    <row r="29299">
      <c r="A29299" s="4" t="s">
        <v>36892</v>
      </c>
      <c r="B29299" s="6" t="s">
        <v>36893</v>
      </c>
      <c r="C29299" s="5" t="str">
        <f>IFERROR(__xludf.DUMMYFUNCTION("GOOGLETRANSLATE(B29299,""en"",""fr"")"),"Un homme portant un casque et transportant une planche à roulettes se trouve sur une planche à roulettes et descend dans une piste de bowling pour renverser les épingles.")</f>
        <v>Un homme portant un casque et transportant une planche à roulettes se trouve sur une planche à roulettes et descend dans une piste de bowling pour renverser les épingles.</v>
      </c>
    </row>
    <row r="29300">
      <c r="A29300" s="4" t="s">
        <v>36892</v>
      </c>
      <c r="B29300" s="4" t="s">
        <v>36894</v>
      </c>
      <c r="C29300" s="5" t="str">
        <f>IFERROR(__xludf.DUMMYFUNCTION("GOOGLETRANSLATE(B29300,""en"",""fr"")"),"Les gens cherchent à le regarder descendre la voie.")</f>
        <v>Les gens cherchent à le regarder descendre la voie.</v>
      </c>
    </row>
    <row r="29301">
      <c r="A29301" s="4" t="s">
        <v>36892</v>
      </c>
      <c r="B29301" s="4" t="s">
        <v>36895</v>
      </c>
      <c r="C29301" s="5" t="str">
        <f>IFERROR(__xludf.DUMMYFUNCTION("GOOGLETRANSLATE(B29301,""en"",""fr"")"),"Quelqu'un pousse quelqu'un allongé sur une planche à roulettes dans une piste de bowling.")</f>
        <v>Quelqu'un pousse quelqu'un allongé sur une planche à roulettes dans une piste de bowling.</v>
      </c>
    </row>
    <row r="29302">
      <c r="A29302" s="4" t="s">
        <v>36892</v>
      </c>
      <c r="B29302" s="4" t="s">
        <v>36896</v>
      </c>
      <c r="C29302" s="5" t="str">
        <f>IFERROR(__xludf.DUMMYFUNCTION("GOOGLETRANSLATE(B29302,""en"",""fr"")"),"Les gens lancent des boules de bowling après la personne.")</f>
        <v>Les gens lancent des boules de bowling après la personne.</v>
      </c>
    </row>
    <row r="29303">
      <c r="A29303" s="4" t="s">
        <v>36892</v>
      </c>
      <c r="B29303" s="4" t="s">
        <v>36897</v>
      </c>
      <c r="C29303" s="5" t="str">
        <f>IFERROR(__xludf.DUMMYFUNCTION("GOOGLETRANSLATE(B29303,""en"",""fr"")"),"Deux hommes rient en regardant l'homme.")</f>
        <v>Deux hommes rient en regardant l'homme.</v>
      </c>
    </row>
    <row r="29304">
      <c r="A29304" s="4" t="s">
        <v>36892</v>
      </c>
      <c r="B29304" s="4" t="s">
        <v>36898</v>
      </c>
      <c r="C29304" s="5" t="str">
        <f>IFERROR(__xludf.DUMMYFUNCTION("GOOGLETRANSLATE(B29304,""en"",""fr"")"),"Quelqu'un pousse une autre personne allongée sur une planche à roulettes dans une piste de bowling.")</f>
        <v>Quelqu'un pousse une autre personne allongée sur une planche à roulettes dans une piste de bowling.</v>
      </c>
    </row>
    <row r="29305">
      <c r="A29305" s="4" t="s">
        <v>36899</v>
      </c>
      <c r="B29305" s="4" t="s">
        <v>36900</v>
      </c>
      <c r="C29305" s="5" t="str">
        <f>IFERROR(__xludf.DUMMYFUNCTION("GOOGLETRANSLATE(B29305,""en"",""fr"")"),"Une personne verse différentes couleurs de peinture sur une surface.")</f>
        <v>Une personne verse différentes couleurs de peinture sur une surface.</v>
      </c>
    </row>
    <row r="29306">
      <c r="A29306" s="4" t="s">
        <v>36899</v>
      </c>
      <c r="B29306" s="4" t="s">
        <v>36901</v>
      </c>
      <c r="C29306" s="5" t="str">
        <f>IFERROR(__xludf.DUMMYFUNCTION("GOOGLETRANSLATE(B29306,""en"",""fr"")"),"Ensuite, la femme peint des fleurs sur la tête de lit d'un lit.")</f>
        <v>Ensuite, la femme peint des fleurs sur la tête de lit d'un lit.</v>
      </c>
    </row>
    <row r="29307">
      <c r="A29307" s="4" t="s">
        <v>36902</v>
      </c>
      <c r="B29307" s="4" t="s">
        <v>36903</v>
      </c>
      <c r="C29307" s="5" t="str">
        <f>IFERROR(__xludf.DUMMYFUNCTION("GOOGLETRANSLATE(B29307,""en"",""fr"")"),"Une petite fille est assise à l'avant une tasse de crème glacée, puis elle prend un morceau de nourriture de la tasse et le mange.")</f>
        <v>Une petite fille est assise à l'avant une tasse de crème glacée, puis elle prend un morceau de nourriture de la tasse et le mange.</v>
      </c>
    </row>
    <row r="29308">
      <c r="A29308" s="4" t="s">
        <v>36902</v>
      </c>
      <c r="B29308" s="4" t="s">
        <v>36904</v>
      </c>
      <c r="C29308" s="5" t="str">
        <f>IFERROR(__xludf.DUMMYFUNCTION("GOOGLETRANSLATE(B29308,""en"",""fr"")"),"Ensuite, la fille attrape la cuillère et mange la glace.")</f>
        <v>Ensuite, la fille attrape la cuillère et mange la glace.</v>
      </c>
    </row>
    <row r="29309">
      <c r="A29309" s="4" t="s">
        <v>36902</v>
      </c>
      <c r="B29309" s="4" t="s">
        <v>36905</v>
      </c>
      <c r="C29309" s="5" t="str">
        <f>IFERROR(__xludf.DUMMYFUNCTION("GOOGLETRANSLATE(B29309,""en"",""fr"")"),"Une main prend des noix de la glace.")</f>
        <v>Une main prend des noix de la glace.</v>
      </c>
    </row>
    <row r="29310">
      <c r="A29310" s="4" t="s">
        <v>36906</v>
      </c>
      <c r="B29310" s="4" t="s">
        <v>36907</v>
      </c>
      <c r="C29310" s="5" t="str">
        <f>IFERROR(__xludf.DUMMYFUNCTION("GOOGLETRANSLATE(B29310,""en"",""fr"")"),"Un homme et une femme sont vus danser dans un salon effectuant une routine de tango.")</f>
        <v>Un homme et une femme sont vus danser dans un salon effectuant une routine de tango.</v>
      </c>
    </row>
    <row r="29311">
      <c r="A29311" s="4" t="s">
        <v>36906</v>
      </c>
      <c r="B29311" s="4" t="s">
        <v>36908</v>
      </c>
      <c r="C29311" s="5" t="str">
        <f>IFERROR(__xludf.DUMMYFUNCTION("GOOGLETRANSLATE(B29311,""en"",""fr"")"),"Ils se tournent autour et ronds et se termine par des crédits en roulant.")</f>
        <v>Ils se tournent autour et ronds et se termine par des crédits en roulant.</v>
      </c>
    </row>
    <row r="29312">
      <c r="A29312" s="4" t="s">
        <v>36909</v>
      </c>
      <c r="B29312" s="4" t="s">
        <v>36910</v>
      </c>
      <c r="C29312" s="5" t="str">
        <f>IFERROR(__xludf.DUMMYFUNCTION("GOOGLETRANSLATE(B29312,""en"",""fr"")"),"Une personne déplace les doigts autour du centre de la roue d'un vélo.")</f>
        <v>Une personne déplace les doigts autour du centre de la roue d'un vélo.</v>
      </c>
    </row>
    <row r="29313">
      <c r="A29313" s="4" t="s">
        <v>36909</v>
      </c>
      <c r="B29313" s="4" t="s">
        <v>36911</v>
      </c>
      <c r="C29313" s="5" t="str">
        <f>IFERROR(__xludf.DUMMYFUNCTION("GOOGLETRANSLATE(B29313,""en"",""fr"")"),"La personne prend une pièce noire et l'ajoute.")</f>
        <v>La personne prend une pièce noire et l'ajoute.</v>
      </c>
    </row>
    <row r="29314">
      <c r="A29314" s="4" t="s">
        <v>36909</v>
      </c>
      <c r="B29314" s="4" t="s">
        <v>36912</v>
      </c>
      <c r="C29314" s="5" t="str">
        <f>IFERROR(__xludf.DUMMYFUNCTION("GOOGLETRANSLATE(B29314,""en"",""fr"")"),"La personne ajoute une partie noire plus petite et la fixe.")</f>
        <v>La personne ajoute une partie noire plus petite et la fixe.</v>
      </c>
    </row>
    <row r="29315">
      <c r="A29315" s="4" t="s">
        <v>36909</v>
      </c>
      <c r="B29315" s="4" t="s">
        <v>36913</v>
      </c>
      <c r="C29315" s="5" t="str">
        <f>IFERROR(__xludf.DUMMYFUNCTION("GOOGLETRANSLATE(B29315,""en"",""fr"")"),"La personne retire ses mains du centre de la roue du vélo.")</f>
        <v>La personne retire ses mains du centre de la roue du vélo.</v>
      </c>
    </row>
    <row r="29316">
      <c r="A29316" s="4" t="s">
        <v>36914</v>
      </c>
      <c r="B29316" s="4" t="s">
        <v>36915</v>
      </c>
      <c r="C29316" s="5" t="str">
        <f>IFERROR(__xludf.DUMMYFUNCTION("GOOGLETRANSLATE(B29316,""en"",""fr"")"),"Il y a beaucoup de gens dans un parc et certains jouent tandis que d'autres regardent.")</f>
        <v>Il y a beaucoup de gens dans un parc et certains jouent tandis que d'autres regardent.</v>
      </c>
    </row>
    <row r="29317">
      <c r="A29317" s="4" t="s">
        <v>36914</v>
      </c>
      <c r="B29317" s="4" t="s">
        <v>36916</v>
      </c>
      <c r="C29317" s="5" t="str">
        <f>IFERROR(__xludf.DUMMYFUNCTION("GOOGLETRANSLATE(B29317,""en"",""fr"")"),"Un homme et une femme se tiennent à l'entrée du terrain de jeu et se préparent à jouer.")</f>
        <v>Un homme et une femme se tiennent à l'entrée du terrain de jeu et se préparent à jouer.</v>
      </c>
    </row>
    <row r="29318">
      <c r="A29318" s="4" t="s">
        <v>36914</v>
      </c>
      <c r="B29318" s="6" t="s">
        <v>36917</v>
      </c>
      <c r="C29318" s="5" t="str">
        <f>IFERROR(__xludf.DUMMYFUNCTION("GOOGLETRANSLATE(B29318,""en"",""fr"")"),"Lorsque le ballon roule vers eux, l'homme le frappe et court tandis que d'autres joueurs essaient de se mettre en mouvement pour le jeu.")</f>
        <v>Lorsque le ballon roule vers eux, l'homme le frappe et court tandis que d'autres joueurs essaient de se mettre en mouvement pour le jeu.</v>
      </c>
    </row>
    <row r="29319">
      <c r="A29319" s="4" t="s">
        <v>36914</v>
      </c>
      <c r="B29319" s="6" t="s">
        <v>36918</v>
      </c>
      <c r="C29319" s="5" t="str">
        <f>IFERROR(__xludf.DUMMYFUNCTION("GOOGLETRANSLATE(B29319,""en"",""fr"")"),"Un autre homme court vers la base d'attache et plonge sur la saleté pour toucher la base qu'ils protègent et un autre homme essaie d'attraper le ballon pour sortir l'homme.")</f>
        <v>Un autre homme court vers la base d'attache et plonge sur la saleté pour toucher la base qu'ils protègent et un autre homme essaie d'attraper le ballon pour sortir l'homme.</v>
      </c>
    </row>
    <row r="29320">
      <c r="A29320" s="4" t="s">
        <v>36914</v>
      </c>
      <c r="B29320" s="6" t="s">
        <v>36919</v>
      </c>
      <c r="C29320" s="5" t="str">
        <f>IFERROR(__xludf.DUMMYFUNCTION("GOOGLETRANSLATE(B29320,""en"",""fr"")"),"L'homme tente d'attraper le ballon, le manque, tombe sur le sol pour l'attraper, le jette à la tête de l'homme qui est déjà sur la base et ils rient tous et l'équipe qui a marqué se donne des high fives.")</f>
        <v>L'homme tente d'attraper le ballon, le manque, tombe sur le sol pour l'attraper, le jette à la tête de l'homme qui est déjà sur la base et ils rient tous et l'équipe qui a marqué se donne des high fives.</v>
      </c>
    </row>
    <row r="29321">
      <c r="A29321" s="4" t="s">
        <v>36920</v>
      </c>
      <c r="B29321" s="4" t="s">
        <v>36921</v>
      </c>
      <c r="C29321" s="5" t="str">
        <f>IFERROR(__xludf.DUMMYFUNCTION("GOOGLETRANSLATE(B29321,""en"",""fr"")"),"Deux enfants sont à l'extérieur de jouer ensemble dans une aire de jeux.")</f>
        <v>Deux enfants sont à l'extérieur de jouer ensemble dans une aire de jeux.</v>
      </c>
    </row>
    <row r="29322">
      <c r="A29322" s="4" t="s">
        <v>36920</v>
      </c>
      <c r="B29322" s="4" t="s">
        <v>36922</v>
      </c>
      <c r="C29322" s="5" t="str">
        <f>IFERROR(__xludf.DUMMYFUNCTION("GOOGLETRANSLATE(B29322,""en"",""fr"")"),"Un garçon saute et marche de l'autre côté alors que l'autre commence à faire les barres de singe.")</f>
        <v>Un garçon saute et marche de l'autre côté alors que l'autre commence à faire les barres de singe.</v>
      </c>
    </row>
    <row r="29323">
      <c r="A29323" s="4" t="s">
        <v>36920</v>
      </c>
      <c r="B29323" s="6" t="s">
        <v>36923</v>
      </c>
      <c r="C29323" s="5" t="str">
        <f>IFERROR(__xludf.DUMMYFUNCTION("GOOGLETRANSLATE(B29323,""en"",""fr"")"),"Après qu'il soit arrivé de l'autre côté, il s'enfonce et court vers un autre ensemble de barres de singe et suit également ceux-ci.")</f>
        <v>Après qu'il soit arrivé de l'autre côté, il s'enfonce et court vers un autre ensemble de barres de singe et suit également ceux-ci.</v>
      </c>
    </row>
    <row r="29324">
      <c r="A29324" s="4" t="s">
        <v>36924</v>
      </c>
      <c r="B29324" s="4" t="s">
        <v>36925</v>
      </c>
      <c r="C29324" s="5" t="str">
        <f>IFERROR(__xludf.DUMMYFUNCTION("GOOGLETRANSLATE(B29324,""en"",""fr"")"),"Une pierre bouclée glisse sur la glace.")</f>
        <v>Une pierre bouclée glisse sur la glace.</v>
      </c>
    </row>
    <row r="29325">
      <c r="A29325" s="4" t="s">
        <v>36924</v>
      </c>
      <c r="B29325" s="4" t="s">
        <v>36926</v>
      </c>
      <c r="C29325" s="5" t="str">
        <f>IFERROR(__xludf.DUMMYFUNCTION("GOOGLETRANSLATE(B29325,""en"",""fr"")"),"L'équipe bleue discute de leur stratégie.")</f>
        <v>L'équipe bleue discute de leur stratégie.</v>
      </c>
    </row>
    <row r="29326">
      <c r="A29326" s="4" t="s">
        <v>36924</v>
      </c>
      <c r="B29326" s="4" t="s">
        <v>36927</v>
      </c>
      <c r="C29326" s="5" t="str">
        <f>IFERROR(__xludf.DUMMYFUNCTION("GOOGLETRANSLATE(B29326,""en"",""fr"")"),"L'équipe blanche a cinq ans.")</f>
        <v>L'équipe blanche a cinq ans.</v>
      </c>
    </row>
    <row r="29327">
      <c r="A29327" s="4" t="s">
        <v>36924</v>
      </c>
      <c r="B29327" s="4" t="s">
        <v>36928</v>
      </c>
      <c r="C29327" s="5" t="str">
        <f>IFERROR(__xludf.DUMMYFUNCTION("GOOGLETRANSLATE(B29327,""en"",""fr"")"),"L'équipe bleue discute pendant qu'un membre pointe.")</f>
        <v>L'équipe bleue discute pendant qu'un membre pointe.</v>
      </c>
    </row>
    <row r="29328">
      <c r="A29328" s="4" t="s">
        <v>36924</v>
      </c>
      <c r="B29328" s="4" t="s">
        <v>36929</v>
      </c>
      <c r="C29328" s="5" t="str">
        <f>IFERROR(__xludf.DUMMYFUNCTION("GOOGLETRANSLATE(B29328,""en"",""fr"")"),"Un joueur d'équipe bleu prend son tour et recroqueville sa pierre au centre.")</f>
        <v>Un joueur d'équipe bleu prend son tour et recroqueville sa pierre au centre.</v>
      </c>
    </row>
    <row r="29329">
      <c r="A29329" s="4" t="s">
        <v>36924</v>
      </c>
      <c r="B29329" s="4" t="s">
        <v>36930</v>
      </c>
      <c r="C29329" s="5" t="str">
        <f>IFERROR(__xludf.DUMMYFUNCTION("GOOGLETRANSLATE(B29329,""en"",""fr"")"),"L'équipe bleue vient et embrasse le joueur pendant qu'ils célèbrent.")</f>
        <v>L'équipe bleue vient et embrasse le joueur pendant qu'ils célèbrent.</v>
      </c>
    </row>
    <row r="29330">
      <c r="A29330" s="4" t="s">
        <v>36924</v>
      </c>
      <c r="B29330" s="4" t="s">
        <v>573</v>
      </c>
      <c r="C29330" s="5" t="str">
        <f>IFERROR(__xludf.DUMMYFUNCTION("GOOGLETRANSLATE(B29330,""en"",""fr"")"),"Les crédits de la vidéo sont affichés.")</f>
        <v>Les crédits de la vidéo sont affichés.</v>
      </c>
    </row>
    <row r="29331">
      <c r="A29331" s="4" t="s">
        <v>36931</v>
      </c>
      <c r="B29331" s="4" t="s">
        <v>36932</v>
      </c>
      <c r="C29331" s="5" t="str">
        <f>IFERROR(__xludf.DUMMYFUNCTION("GOOGLETRANSLATE(B29331,""en"",""fr"")"),"Une personne est vue assise sur un cheval devant une grande foule.")</f>
        <v>Une personne est vue assise sur un cheval devant une grande foule.</v>
      </c>
    </row>
    <row r="29332">
      <c r="A29332" s="4" t="s">
        <v>36931</v>
      </c>
      <c r="B29332" s="4" t="s">
        <v>36933</v>
      </c>
      <c r="C29332" s="5" t="str">
        <f>IFERROR(__xludf.DUMMYFUNCTION("GOOGLETRANSLATE(B29332,""en"",""fr"")"),"L'homme monte ensuite sur le cheval et corde un mollet.")</f>
        <v>L'homme monte ensuite sur le cheval et corde un mollet.</v>
      </c>
    </row>
    <row r="29333">
      <c r="A29333" s="4" t="s">
        <v>36931</v>
      </c>
      <c r="B29333" s="4" t="s">
        <v>36934</v>
      </c>
      <c r="C29333" s="5" t="str">
        <f>IFERROR(__xludf.DUMMYFUNCTION("GOOGLETRANSLATE(B29333,""en"",""fr"")"),"Il attache le veau tandis que d'autres montent sur des chevaux pour aider.")</f>
        <v>Il attache le veau tandis que d'autres montent sur des chevaux pour aider.</v>
      </c>
    </row>
    <row r="29334">
      <c r="A29334" s="4" t="s">
        <v>36935</v>
      </c>
      <c r="B29334" s="4" t="s">
        <v>36936</v>
      </c>
      <c r="C29334" s="5" t="str">
        <f>IFERROR(__xludf.DUMMYFUNCTION("GOOGLETRANSLATE(B29334,""en"",""fr"")"),"Un groupe de pom-pom girls se tient dans une ligne dans un grand auditorium en préparation.")</f>
        <v>Un groupe de pom-pom girls se tient dans une ligne dans un grand auditorium en préparation.</v>
      </c>
    </row>
    <row r="29335">
      <c r="A29335" s="4" t="s">
        <v>36935</v>
      </c>
      <c r="B29335" s="4" t="s">
        <v>36937</v>
      </c>
      <c r="C29335" s="5" t="str">
        <f>IFERROR(__xludf.DUMMYFUNCTION("GOOGLETRANSLATE(B29335,""en"",""fr"")"),"Le groupe de pom-pom girls fait une routine de danse dans toute la danse à l'unisson.")</f>
        <v>Le groupe de pom-pom girls fait une routine de danse dans toute la danse à l'unisson.</v>
      </c>
    </row>
    <row r="29336">
      <c r="A29336" s="4" t="s">
        <v>36935</v>
      </c>
      <c r="B29336" s="4" t="s">
        <v>36938</v>
      </c>
      <c r="C29336" s="5" t="str">
        <f>IFERROR(__xludf.DUMMYFUNCTION("GOOGLETRANSLATE(B29336,""en"",""fr"")"),"La moitié du groupe s'agenouille sur le sol et l'autre groupe debout sort sur les côtés.")</f>
        <v>La moitié du groupe s'agenouille sur le sol et l'autre groupe debout sort sur les côtés.</v>
      </c>
    </row>
    <row r="29337">
      <c r="A29337" s="4" t="s">
        <v>36935</v>
      </c>
      <c r="B29337" s="4" t="s">
        <v>36939</v>
      </c>
      <c r="C29337" s="5" t="str">
        <f>IFERROR(__xludf.DUMMYFUNCTION("GOOGLETRANSLATE(B29337,""en"",""fr"")"),"Le groupe restant se recule et fait une deuxième routine de danse ensemble.")</f>
        <v>Le groupe restant se recule et fait une deuxième routine de danse ensemble.</v>
      </c>
    </row>
    <row r="29338">
      <c r="A29338" s="4" t="s">
        <v>36935</v>
      </c>
      <c r="B29338" s="4" t="s">
        <v>36940</v>
      </c>
      <c r="C29338" s="5" t="str">
        <f>IFERROR(__xludf.DUMMYFUNCTION("GOOGLETRANSLATE(B29338,""en"",""fr"")"),"Le groupe de pom-pom girl met fin à sa routine et saute de haut en bas avant de s'incliner devant la foule.")</f>
        <v>Le groupe de pom-pom girl met fin à sa routine et saute de haut en bas avant de s'incliner devant la foule.</v>
      </c>
    </row>
    <row r="29339">
      <c r="A29339" s="4" t="s">
        <v>36941</v>
      </c>
      <c r="B29339" s="4" t="s">
        <v>36942</v>
      </c>
      <c r="C29339" s="5" t="str">
        <f>IFERROR(__xludf.DUMMYFUNCTION("GOOGLETRANSLATE(B29339,""en"",""fr"")"),"Divers athlètes sont vus debout prêts pendant que l'on saute en place et se prépare.")</f>
        <v>Divers athlètes sont vus debout prêts pendant que l'on saute en place et se prépare.</v>
      </c>
    </row>
    <row r="29340">
      <c r="A29340" s="4" t="s">
        <v>36941</v>
      </c>
      <c r="B29340" s="4" t="s">
        <v>36943</v>
      </c>
      <c r="C29340" s="5" t="str">
        <f>IFERROR(__xludf.DUMMYFUNCTION("GOOGLETRANSLATE(B29340,""en"",""fr"")"),"Il coule ensuite une longue piste dans un puits de sable et colle ses mains dans l'air.")</f>
        <v>Il coule ensuite une longue piste dans un puits de sable et colle ses mains dans l'air.</v>
      </c>
    </row>
    <row r="29341">
      <c r="A29341" s="4" t="s">
        <v>36941</v>
      </c>
      <c r="B29341" s="6" t="s">
        <v>36944</v>
      </c>
      <c r="C29341" s="5" t="str">
        <f>IFERROR(__xludf.DUMMYFUNCTION("GOOGLETRANSLATE(B29341,""en"",""fr"")"),"Un homme tient un pédé blanc pendant que l'athlète célèbre et son saut et les réactions des gens dans le public sont à nouveau montrés.")</f>
        <v>Un homme tient un pédé blanc pendant que l'athlète célèbre et son saut et les réactions des gens dans le public sont à nouveau montrés.</v>
      </c>
    </row>
    <row r="29342">
      <c r="A29342" s="4" t="s">
        <v>36945</v>
      </c>
      <c r="B29342" s="4" t="s">
        <v>36946</v>
      </c>
      <c r="C29342" s="5" t="str">
        <f>IFERROR(__xludf.DUMMYFUNCTION("GOOGLETRANSLATE(B29342,""en"",""fr"")"),"Une jeune femme portant un maillot de bain coloré est sous l'eau nager dans une piscine.")</f>
        <v>Une jeune femme portant un maillot de bain coloré est sous l'eau nager dans une piscine.</v>
      </c>
    </row>
    <row r="29343">
      <c r="A29343" s="4" t="s">
        <v>36945</v>
      </c>
      <c r="B29343" s="6" t="s">
        <v>36947</v>
      </c>
      <c r="C29343" s="5" t="str">
        <f>IFERROR(__xludf.DUMMYFUNCTION("GOOGLETRANSLATE(B29343,""en"",""fr"")"),"Un écran clignote et montre la deuxième étape alors que la fille démontre nager avec vos pieds près les uns des autres.")</f>
        <v>Un écran clignote et montre la deuxième étape alors que la fille démontre nager avec vos pieds près les uns des autres.</v>
      </c>
    </row>
    <row r="29344">
      <c r="A29344" s="4" t="s">
        <v>36945</v>
      </c>
      <c r="B29344" s="6" t="s">
        <v>36948</v>
      </c>
      <c r="C29344" s="5" t="str">
        <f>IFERROR(__xludf.DUMMYFUNCTION("GOOGLETRANSLATE(B29344,""en"",""fr"")"),"Ensuite, un écran d'avertissement apparaît en disant de ne pas nager sans lunettes alors que la fille fait exactement le contraire.")</f>
        <v>Ensuite, un écran d'avertissement apparaît en disant de ne pas nager sans lunettes alors que la fille fait exactement le contraire.</v>
      </c>
    </row>
    <row r="29345">
      <c r="A29345" s="4" t="s">
        <v>36945</v>
      </c>
      <c r="B29345" s="6" t="s">
        <v>36949</v>
      </c>
      <c r="C29345" s="5" t="str">
        <f>IFERROR(__xludf.DUMMYFUNCTION("GOOGLETRANSLATE(B29345,""en"",""fr"")"),"Après, la fille est montrée avec une queue de sirène orange en nageant sous l'eau alors qu'elle rejoint une autre ""sirène"".")</f>
        <v>Après, la fille est montrée avec une queue de sirène orange en nageant sous l'eau alors qu'elle rejoint une autre "sirène".</v>
      </c>
    </row>
    <row r="29346">
      <c r="A29346" s="4" t="s">
        <v>36950</v>
      </c>
      <c r="B29346" s="4" t="s">
        <v>36951</v>
      </c>
      <c r="C29346" s="5" t="str">
        <f>IFERROR(__xludf.DUMMYFUNCTION("GOOGLETRANSLATE(B29346,""en"",""fr"")"),"Un homme dans un petit type de bateau en kayak pagaye le bateau.")</f>
        <v>Un homme dans un petit type de bateau en kayak pagaye le bateau.</v>
      </c>
    </row>
    <row r="29347">
      <c r="A29347" s="4" t="s">
        <v>36950</v>
      </c>
      <c r="B29347" s="4" t="s">
        <v>36952</v>
      </c>
      <c r="C29347" s="5" t="str">
        <f>IFERROR(__xludf.DUMMYFUNCTION("GOOGLETRANSLATE(B29347,""en"",""fr"")"),"Il est assis par lui-même parce qu'il est si petit qu'il ne correspond vraiment qu'une seule personne.")</f>
        <v>Il est assis par lui-même parce qu'il est si petit qu'il ne correspond vraiment qu'une seule personne.</v>
      </c>
    </row>
    <row r="29348">
      <c r="A29348" s="4" t="s">
        <v>36950</v>
      </c>
      <c r="B29348" s="4" t="s">
        <v>36953</v>
      </c>
      <c r="C29348" s="5" t="str">
        <f>IFERROR(__xludf.DUMMYFUNCTION("GOOGLETRANSLATE(B29348,""en"",""fr"")"),"Il utilise beaucoup d'énergie pour pagayer, allant très vite.")</f>
        <v>Il utilise beaucoup d'énergie pour pagayer, allant très vite.</v>
      </c>
    </row>
    <row r="29349">
      <c r="A29349" s="4" t="s">
        <v>36950</v>
      </c>
      <c r="B29349" s="4" t="s">
        <v>36954</v>
      </c>
      <c r="C29349" s="5" t="str">
        <f>IFERROR(__xludf.DUMMYFUNCTION("GOOGLETRANSLATE(B29349,""en"",""fr"")"),"Je crois qu'il s'entraîne probablement pour un événement à la fin de l'avenir.")</f>
        <v>Je crois qu'il s'entraîne probablement pour un événement à la fin de l'avenir.</v>
      </c>
    </row>
    <row r="29350">
      <c r="A29350" s="4" t="s">
        <v>36955</v>
      </c>
      <c r="B29350" s="4" t="s">
        <v>36956</v>
      </c>
      <c r="C29350" s="5" t="str">
        <f>IFERROR(__xludf.DUMMYFUNCTION("GOOGLETRANSLATE(B29350,""en"",""fr"")"),"Une femme se tient à l'extérieur devant un bâtiment.")</f>
        <v>Une femme se tient à l'extérieur devant un bâtiment.</v>
      </c>
    </row>
    <row r="29351">
      <c r="A29351" s="4" t="s">
        <v>36955</v>
      </c>
      <c r="B29351" s="4" t="s">
        <v>36957</v>
      </c>
      <c r="C29351" s="5" t="str">
        <f>IFERROR(__xludf.DUMMYFUNCTION("GOOGLETRANSLATE(B29351,""en"",""fr"")"),"Elle commence à danser avec des cerceaux.")</f>
        <v>Elle commence à danser avec des cerceaux.</v>
      </c>
    </row>
    <row r="29352">
      <c r="A29352" s="4" t="s">
        <v>36955</v>
      </c>
      <c r="B29352" s="4" t="s">
        <v>36958</v>
      </c>
      <c r="C29352" s="5" t="str">
        <f>IFERROR(__xludf.DUMMYFUNCTION("GOOGLETRANSLATE(B29352,""en"",""fr"")"),"Elle termine et les mots viennent à l'écran.")</f>
        <v>Elle termine et les mots viennent à l'écran.</v>
      </c>
    </row>
    <row r="29353">
      <c r="A29353" s="4" t="s">
        <v>36959</v>
      </c>
      <c r="B29353" s="4" t="s">
        <v>36960</v>
      </c>
      <c r="C29353" s="5" t="str">
        <f>IFERROR(__xludf.DUMMYFUNCTION("GOOGLETRANSLATE(B29353,""en"",""fr"")"),"Un grand groupe de personnes est vue en train de tourner et de faire tournoyer des matraques dans la ville.")</f>
        <v>Un grand groupe de personnes est vue en train de tourner et de faire tournoyer des matraques dans la ville.</v>
      </c>
    </row>
    <row r="29354">
      <c r="A29354" s="4" t="s">
        <v>36959</v>
      </c>
      <c r="B29354" s="4" t="s">
        <v>36961</v>
      </c>
      <c r="C29354" s="5" t="str">
        <f>IFERROR(__xludf.DUMMYFUNCTION("GOOGLETRANSLATE(B29354,""en"",""fr"")"),"Un grand groupe de personnes est vue assise autour du groupe en regardant.")</f>
        <v>Un grand groupe de personnes est vue assise autour du groupe en regardant.</v>
      </c>
    </row>
    <row r="29355">
      <c r="A29355" s="4" t="s">
        <v>36959</v>
      </c>
      <c r="B29355" s="6" t="s">
        <v>36962</v>
      </c>
      <c r="C29355" s="5" t="str">
        <f>IFERROR(__xludf.DUMMYFUNCTION("GOOGLETRANSLATE(B29355,""en"",""fr"")"),"Le groupe continue de danser autour du bloc de la ville pendant que la caméra se déroule et les regarde s'éloigner.")</f>
        <v>Le groupe continue de danser autour du bloc de la ville pendant que la caméra se déroule et les regarde s'éloigner.</v>
      </c>
    </row>
    <row r="29356">
      <c r="A29356" s="4" t="s">
        <v>36963</v>
      </c>
      <c r="B29356" s="4" t="s">
        <v>36964</v>
      </c>
      <c r="C29356" s="5" t="str">
        <f>IFERROR(__xludf.DUMMYFUNCTION("GOOGLETRANSLATE(B29356,""en"",""fr"")"),"Un homme est assis sur un vélo stationnaire sur une scène et commence à s'entraîner.")</f>
        <v>Un homme est assis sur un vélo stationnaire sur une scène et commence à s'entraîner.</v>
      </c>
    </row>
    <row r="29357">
      <c r="A29357" s="4" t="s">
        <v>36963</v>
      </c>
      <c r="B29357" s="4" t="s">
        <v>36965</v>
      </c>
      <c r="C29357" s="5" t="str">
        <f>IFERROR(__xludf.DUMMYFUNCTION("GOOGLETRANSLATE(B29357,""en"",""fr"")"),"Il colle une jambe sur le côté.")</f>
        <v>Il colle une jambe sur le côté.</v>
      </c>
    </row>
    <row r="29358">
      <c r="A29358" s="4" t="s">
        <v>36963</v>
      </c>
      <c r="B29358" s="4" t="s">
        <v>36966</v>
      </c>
      <c r="C29358" s="5" t="str">
        <f>IFERROR(__xludf.DUMMYFUNCTION("GOOGLETRANSLATE(B29358,""en"",""fr"")"),"Il descend et fait une main.")</f>
        <v>Il descend et fait une main.</v>
      </c>
    </row>
    <row r="29359">
      <c r="A29359" s="4" t="s">
        <v>36967</v>
      </c>
      <c r="B29359" s="4" t="s">
        <v>36968</v>
      </c>
      <c r="C29359" s="5" t="str">
        <f>IFERROR(__xludf.DUMMYFUNCTION("GOOGLETRANSLATE(B29359,""en"",""fr"")"),"Il y a une planche de marelle dessinée avec de la craie sur le trottoir.")</f>
        <v>Il y a une planche de marelle dessinée avec de la craie sur le trottoir.</v>
      </c>
    </row>
    <row r="29360">
      <c r="A29360" s="4" t="s">
        <v>36967</v>
      </c>
      <c r="B29360" s="4" t="s">
        <v>36969</v>
      </c>
      <c r="C29360" s="5" t="str">
        <f>IFERROR(__xludf.DUMMYFUNCTION("GOOGLETRANSLATE(B29360,""en"",""fr"")"),"Une petite fille en vert prend son tour, puis plus de ses amis suivent.")</f>
        <v>Une petite fille en vert prend son tour, puis plus de ses amis suivent.</v>
      </c>
    </row>
    <row r="29361">
      <c r="A29361" s="4" t="s">
        <v>36967</v>
      </c>
      <c r="B29361" s="4" t="s">
        <v>36970</v>
      </c>
      <c r="C29361" s="5" t="str">
        <f>IFERROR(__xludf.DUMMYFUNCTION("GOOGLETRANSLATE(B29361,""en"",""fr"")"),"Les trois filles se tiennent, puis laissent tomber un bouchon de bouteille pour avancer avec leurs sauts.")</f>
        <v>Les trois filles se tiennent, puis laissent tomber un bouchon de bouteille pour avancer avec leurs sauts.</v>
      </c>
    </row>
    <row r="29362">
      <c r="A29362" s="4" t="s">
        <v>36967</v>
      </c>
      <c r="B29362" s="6" t="s">
        <v>36971</v>
      </c>
      <c r="C29362" s="5" t="str">
        <f>IFERROR(__xludf.DUMMYFUNCTION("GOOGLETRANSLATE(B29362,""en"",""fr"")"),"Ils jouent différentes variations du jeu qui s'amusent juste à le faire et quand c'est plus que l'une des filles jette ses mains en l'air.")</f>
        <v>Ils jouent différentes variations du jeu qui s'amusent juste à le faire et quand c'est plus que l'une des filles jette ses mains en l'air.</v>
      </c>
    </row>
    <row r="29363">
      <c r="A29363" s="4" t="s">
        <v>36972</v>
      </c>
      <c r="B29363" s="4" t="s">
        <v>36973</v>
      </c>
      <c r="C29363" s="5" t="str">
        <f>IFERROR(__xludf.DUMMYFUNCTION("GOOGLETRANSLATE(B29363,""en"",""fr"")"),"Un grand groupe de personnes est vue debout sur une scène avec des gens qui regardent sur la touche.")</f>
        <v>Un grand groupe de personnes est vue debout sur une scène avec des gens qui regardent sur la touche.</v>
      </c>
    </row>
    <row r="29364">
      <c r="A29364" s="4" t="s">
        <v>36972</v>
      </c>
      <c r="B29364" s="4" t="s">
        <v>36974</v>
      </c>
      <c r="C29364" s="5" t="str">
        <f>IFERROR(__xludf.DUMMYFUNCTION("GOOGLETRANSLATE(B29364,""en"",""fr"")"),"Les gens se pressent à tour de rôle sur un grand tapis sur une poutre et applaudissent avec des coéquipiers.")</f>
        <v>Les gens se pressent à tour de rôle sur un grand tapis sur une poutre et applaudissent avec des coéquipiers.</v>
      </c>
    </row>
    <row r="29365">
      <c r="A29365" s="4" t="s">
        <v>36972</v>
      </c>
      <c r="B29365" s="4" t="s">
        <v>36975</v>
      </c>
      <c r="C29365" s="5" t="str">
        <f>IFERROR(__xludf.DUMMYFUNCTION("GOOGLETRANSLATE(B29365,""en"",""fr"")"),"Plus de photos sont montrées sur les enfants qui se trompent tout en regardant et en riant jusqu'à la caméra.")</f>
        <v>Plus de photos sont montrées sur les enfants qui se trompent tout en regardant et en riant jusqu'à la caméra.</v>
      </c>
    </row>
    <row r="29366">
      <c r="A29366" s="4" t="s">
        <v>36976</v>
      </c>
      <c r="B29366" s="4" t="s">
        <v>36977</v>
      </c>
      <c r="C29366" s="5" t="str">
        <f>IFERROR(__xludf.DUMMYFUNCTION("GOOGLETRANSLATE(B29366,""en"",""fr"")"),"Un tout-petit monte les marches d'une aire de jeux.")</f>
        <v>Un tout-petit monte les marches d'une aire de jeux.</v>
      </c>
    </row>
    <row r="29367">
      <c r="A29367" s="4" t="s">
        <v>36976</v>
      </c>
      <c r="B29367" s="4" t="s">
        <v>36978</v>
      </c>
      <c r="C29367" s="5" t="str">
        <f>IFERROR(__xludf.DUMMYFUNCTION("GOOGLETRANSLATE(B29367,""en"",""fr"")"),"Ensuite, le garçon glisse vers le bas jusqu'à atteindre le sol.")</f>
        <v>Ensuite, le garçon glisse vers le bas jusqu'à atteindre le sol.</v>
      </c>
    </row>
    <row r="29368">
      <c r="A29368" s="4" t="s">
        <v>36979</v>
      </c>
      <c r="B29368" s="6" t="s">
        <v>36980</v>
      </c>
      <c r="C29368" s="5" t="str">
        <f>IFERROR(__xludf.DUMMYFUNCTION("GOOGLETRANSLATE(B29368,""en"",""fr"")"),"Un groupe de personnes est vu debout sur un terrain de football et mène à une tombée et à être aidé à reculer.")</f>
        <v>Un groupe de personnes est vu debout sur un terrain de football et mène à une tombée et à être aidé à reculer.</v>
      </c>
    </row>
    <row r="29369">
      <c r="A29369" s="4" t="s">
        <v>36979</v>
      </c>
      <c r="B29369" s="6" t="s">
        <v>36981</v>
      </c>
      <c r="C29369" s="5" t="str">
        <f>IFERROR(__xludf.DUMMYFUNCTION("GOOGLETRANSLATE(B29369,""en"",""fr"")"),"Le même tir est à nouveau illustré au ralenti et mène à un seul objectif avec d'autres qui ne faisaient pas attention.")</f>
        <v>Le même tir est à nouveau illustré au ralenti et mène à un seul objectif avec d'autres qui ne faisaient pas attention.</v>
      </c>
    </row>
    <row r="29370">
      <c r="A29370" s="4" t="s">
        <v>36979</v>
      </c>
      <c r="B29370" s="4" t="s">
        <v>36982</v>
      </c>
      <c r="C29370" s="5" t="str">
        <f>IFERROR(__xludf.DUMMYFUNCTION("GOOGLETRANSLATE(B29370,""en"",""fr"")"),"Le même coup est affiché à nouveau au ralenti plusieurs fois et se remet à tous les joueurs.")</f>
        <v>Le même coup est affiché à nouveau au ralenti plusieurs fois et se remet à tous les joueurs.</v>
      </c>
    </row>
    <row r="29371">
      <c r="A29371" s="4" t="s">
        <v>36983</v>
      </c>
      <c r="B29371" s="4" t="s">
        <v>36984</v>
      </c>
      <c r="C29371" s="5" t="str">
        <f>IFERROR(__xludf.DUMMYFUNCTION("GOOGLETRANSLATE(B29371,""en"",""fr"")"),"Une dame filme une fille et un garçon en plein air dans une aire de jeux de parc.")</f>
        <v>Une dame filme une fille et un garçon en plein air dans une aire de jeux de parc.</v>
      </c>
    </row>
    <row r="29372">
      <c r="A29372" s="4" t="s">
        <v>36983</v>
      </c>
      <c r="B29372" s="6" t="s">
        <v>36985</v>
      </c>
      <c r="C29372" s="5" t="str">
        <f>IFERROR(__xludf.DUMMYFUNCTION("GOOGLETRANSLATE(B29372,""en"",""fr"")"),"La jeune fille accroche et traverse les barres de singe en utilisant ses bras pendant que le jeune garçon se tient derrière les rails et regarde.")</f>
        <v>La jeune fille accroche et traverse les barres de singe en utilisant ses bras pendant que le jeune garçon se tient derrière les rails et regarde.</v>
      </c>
    </row>
    <row r="29373">
      <c r="A29373" s="4" t="s">
        <v>36983</v>
      </c>
      <c r="B29373" s="6" t="s">
        <v>36986</v>
      </c>
      <c r="C29373" s="5" t="str">
        <f>IFERROR(__xludf.DUMMYFUNCTION("GOOGLETRANSLATE(B29373,""en"",""fr"")"),"Les sauts à la fin des bars de singe, puis sautent de haut en bas et donnent un high cinq à la femme excitée la filmer.")</f>
        <v>Les sauts à la fin des bars de singe, puis sautent de haut en bas et donnent un high cinq à la femme excitée la filmer.</v>
      </c>
    </row>
    <row r="29374">
      <c r="A29374" s="4" t="s">
        <v>36983</v>
      </c>
      <c r="B29374" s="6" t="s">
        <v>36987</v>
      </c>
      <c r="C29374" s="5" t="str">
        <f>IFERROR(__xludf.DUMMYFUNCTION("GOOGLETRANSLATE(B29374,""en"",""fr"")"),"La dame derrière la caméra marche ensuite et se met au petit garçon qui est maintenant aux bars de singe et tient une conversation avec lui.")</f>
        <v>La dame derrière la caméra marche ensuite et se met au petit garçon qui est maintenant aux bars de singe et tient une conversation avec lui.</v>
      </c>
    </row>
    <row r="29375">
      <c r="A29375" s="4" t="s">
        <v>36988</v>
      </c>
      <c r="B29375" s="4" t="s">
        <v>36989</v>
      </c>
      <c r="C29375" s="5" t="str">
        <f>IFERROR(__xludf.DUMMYFUNCTION("GOOGLETRANSLATE(B29375,""en"",""fr"")"),"Un vélo est vu à l'envers dans un magasin.")</f>
        <v>Un vélo est vu à l'envers dans un magasin.</v>
      </c>
    </row>
    <row r="29376">
      <c r="A29376" s="4" t="s">
        <v>36988</v>
      </c>
      <c r="B29376" s="4" t="s">
        <v>36990</v>
      </c>
      <c r="C29376" s="5" t="str">
        <f>IFERROR(__xludf.DUMMYFUNCTION("GOOGLETRANSLATE(B29376,""en"",""fr"")"),"Un homme montre comment retirer un pneu.")</f>
        <v>Un homme montre comment retirer un pneu.</v>
      </c>
    </row>
    <row r="29377">
      <c r="A29377" s="4" t="s">
        <v>36988</v>
      </c>
      <c r="B29377" s="4" t="s">
        <v>36991</v>
      </c>
      <c r="C29377" s="5" t="str">
        <f>IFERROR(__xludf.DUMMYFUNCTION("GOOGLETRANSLATE(B29377,""en"",""fr"")"),"Il le remplace ensuite et le resserre en place.")</f>
        <v>Il le remplace ensuite et le resserre en place.</v>
      </c>
    </row>
    <row r="29378">
      <c r="A29378" s="4" t="s">
        <v>36992</v>
      </c>
      <c r="B29378" s="4" t="s">
        <v>36993</v>
      </c>
      <c r="C29378" s="5" t="str">
        <f>IFERROR(__xludf.DUMMYFUNCTION("GOOGLETRANSLATE(B29378,""en"",""fr"")"),"Un homme est vu parler à la caméra et mène à des clips de leur ski.")</f>
        <v>Un homme est vu parler à la caméra et mène à des clips de leur ski.</v>
      </c>
    </row>
    <row r="29379">
      <c r="A29379" s="4" t="s">
        <v>36992</v>
      </c>
      <c r="B29379" s="4" t="s">
        <v>36994</v>
      </c>
      <c r="C29379" s="5" t="str">
        <f>IFERROR(__xludf.DUMMYFUNCTION("GOOGLETRANSLATE(B29379,""en"",""fr"")"),"Les hommes descendent tout le long de la montagne tandis que d'autres sont montrés en skiant à côté d'eux.")</f>
        <v>Les hommes descendent tout le long de la montagne tandis que d'autres sont montrés en skiant à côté d'eux.</v>
      </c>
    </row>
    <row r="29380">
      <c r="A29380" s="4" t="s">
        <v>36992</v>
      </c>
      <c r="B29380" s="4" t="s">
        <v>36995</v>
      </c>
      <c r="C29380" s="5" t="str">
        <f>IFERROR(__xludf.DUMMYFUNCTION("GOOGLETRANSLATE(B29380,""en"",""fr"")"),"Les gens continuent de monter en bas de la colline et se terminent en s'arrêtant en bas.")</f>
        <v>Les gens continuent de monter en bas de la colline et se terminent en s'arrêtant en bas.</v>
      </c>
    </row>
    <row r="29381">
      <c r="A29381" s="4" t="s">
        <v>36996</v>
      </c>
      <c r="B29381" s="4" t="s">
        <v>36997</v>
      </c>
      <c r="C29381" s="5" t="str">
        <f>IFERROR(__xludf.DUMMYFUNCTION("GOOGLETRANSLATE(B29381,""en"",""fr"")"),"Un groupe de filles dans une équipe de saut de corde fait une routine dans une grande salle de musique.")</f>
        <v>Un groupe de filles dans une équipe de saut de corde fait une routine dans une grande salle de musique.</v>
      </c>
    </row>
    <row r="29382">
      <c r="A29382" s="4" t="s">
        <v>36996</v>
      </c>
      <c r="B29382" s="4" t="s">
        <v>36998</v>
      </c>
      <c r="C29382" s="5" t="str">
        <f>IFERROR(__xludf.DUMMYFUNCTION("GOOGLETRANSLATE(B29382,""en"",""fr"")"),"Un groupe de filles saute en corde individuellement.")</f>
        <v>Un groupe de filles saute en corde individuellement.</v>
      </c>
    </row>
    <row r="29383">
      <c r="A29383" s="4" t="s">
        <v>36996</v>
      </c>
      <c r="B29383" s="4" t="s">
        <v>36999</v>
      </c>
      <c r="C29383" s="5" t="str">
        <f>IFERROR(__xludf.DUMMYFUNCTION("GOOGLETRANSLATE(B29383,""en"",""fr"")"),"Trois filles sautent une corde avec deux tenant une seule corde à chaque extrémité.")</f>
        <v>Trois filles sautent une corde avec deux tenant une seule corde à chaque extrémité.</v>
      </c>
    </row>
    <row r="29384">
      <c r="A29384" s="4" t="s">
        <v>36996</v>
      </c>
      <c r="B29384" s="4" t="s">
        <v>37000</v>
      </c>
      <c r="C29384" s="5" t="str">
        <f>IFERROR(__xludf.DUMMYFUNCTION("GOOGLETRANSLATE(B29384,""en"",""fr"")"),"Trois filles sautent ensemble à l'intérieur d'une seule corde.")</f>
        <v>Trois filles sautent ensemble à l'intérieur d'une seule corde.</v>
      </c>
    </row>
    <row r="29385">
      <c r="A29385" s="4" t="s">
        <v>36996</v>
      </c>
      <c r="B29385" s="6" t="s">
        <v>37001</v>
      </c>
      <c r="C29385" s="5" t="str">
        <f>IFERROR(__xludf.DUMMYFUNCTION("GOOGLETRANSLATE(B29385,""en"",""fr"")"),"Un groupe de filles détient deux cordes et se relayez à tour de rôle en faisant un double néerlandais pendant que les membres courent et sautent la corde.")</f>
        <v>Un groupe de filles détient deux cordes et se relayez à tour de rôle en faisant un double néerlandais pendant que les membres courent et sautent la corde.</v>
      </c>
    </row>
    <row r="29386">
      <c r="A29386" s="4" t="s">
        <v>37002</v>
      </c>
      <c r="B29386" s="4" t="s">
        <v>37003</v>
      </c>
      <c r="C29386" s="5" t="str">
        <f>IFERROR(__xludf.DUMMYFUNCTION("GOOGLETRANSLATE(B29386,""en"",""fr"")"),"Un homme est vu se déplacer au ralenti tenant une raquette de tennis et jetant une balle en l'air.")</f>
        <v>Un homme est vu se déplacer au ralenti tenant une raquette de tennis et jetant une balle en l'air.</v>
      </c>
    </row>
    <row r="29387">
      <c r="A29387" s="4" t="s">
        <v>37002</v>
      </c>
      <c r="B29387" s="6" t="s">
        <v>37004</v>
      </c>
      <c r="C29387" s="5" t="str">
        <f>IFERROR(__xludf.DUMMYFUNCTION("GOOGLETRANSLATE(B29387,""en"",""fr"")"),"Arrows pointent autour de son corps et le montrent frapper le ballon tout en s'arrêtant pour montrer ses mouvements de corps.")</f>
        <v>Arrows pointent autour de son corps et le montrent frapper le ballon tout en s'arrêtant pour montrer ses mouvements de corps.</v>
      </c>
    </row>
    <row r="29388">
      <c r="A29388" s="4" t="s">
        <v>37005</v>
      </c>
      <c r="B29388" s="4" t="s">
        <v>37006</v>
      </c>
      <c r="C29388" s="5" t="str">
        <f>IFERROR(__xludf.DUMMYFUNCTION("GOOGLETRANSLATE(B29388,""en"",""fr"")"),"Une machine elliptique à vélo est assise dans le salon par un canapé.")</f>
        <v>Une machine elliptique à vélo est assise dans le salon par un canapé.</v>
      </c>
    </row>
    <row r="29389">
      <c r="A29389" s="4" t="s">
        <v>37005</v>
      </c>
      <c r="B29389" s="4" t="s">
        <v>37007</v>
      </c>
      <c r="C29389" s="5" t="str">
        <f>IFERROR(__xludf.DUMMYFUNCTION("GOOGLETRANSLATE(B29389,""en"",""fr"")"),"Un chien apparaît sur le canapé et soudain, une personne est assise sur la machine et l'allume.")</f>
        <v>Un chien apparaît sur le canapé et soudain, une personne est assise sur la machine et l'allume.</v>
      </c>
    </row>
    <row r="29390">
      <c r="A29390" s="4" t="s">
        <v>37005</v>
      </c>
      <c r="B29390" s="6" t="s">
        <v>37008</v>
      </c>
      <c r="C29390" s="5" t="str">
        <f>IFERROR(__xludf.DUMMYFUNCTION("GOOGLETRANSLATE(B29390,""en"",""fr"")"),"Une fois la machine allumée, elle commence à clignoter 30 minutes plusieurs fois et la personne commence à faire de l'exercice sur la machine poussant les barres d'avant en arrière.")</f>
        <v>Une fois la machine allumée, elle commence à clignoter 30 minutes plusieurs fois et la personne commence à faire de l'exercice sur la machine poussant les barres d'avant en arrière.</v>
      </c>
    </row>
    <row r="29391">
      <c r="A29391" s="4" t="s">
        <v>37009</v>
      </c>
      <c r="B29391" s="6" t="s">
        <v>37010</v>
      </c>
      <c r="C29391" s="5" t="str">
        <f>IFERROR(__xludf.DUMMYFUNCTION("GOOGLETRANSLATE(B29391,""en"",""fr"")"),"Un homme en chemise noire a soulevé le barbillon et a commencé à le transporter de haut en bas pendant quelques fois, tandis que derrière lui, deux hommes enlèvent les assiettes métalliques sur un autre barbillon.")</f>
        <v>Un homme en chemise noire a soulevé le barbillon et a commencé à le transporter de haut en bas pendant quelques fois, tandis que derrière lui, deux hommes enlèvent les assiettes métalliques sur un autre barbillon.</v>
      </c>
    </row>
    <row r="29392">
      <c r="A29392" s="4" t="s">
        <v>37009</v>
      </c>
      <c r="B29392" s="6" t="s">
        <v>37011</v>
      </c>
      <c r="C29392" s="5" t="str">
        <f>IFERROR(__xludf.DUMMYFUNCTION("GOOGLETRANSLATE(B29392,""en"",""fr"")"),"L'homme en chemise noire a ajouté plus de poids sur le barbeau en ajoutant des assiettes jaunes des deux côtés, puis continuez à soulever du poids.")</f>
        <v>L'homme en chemise noire a ajouté plus de poids sur le barbeau en ajoutant des assiettes jaunes des deux côtés, puis continuez à soulever du poids.</v>
      </c>
    </row>
    <row r="29393">
      <c r="A29393" s="4" t="s">
        <v>37012</v>
      </c>
      <c r="B29393" s="4" t="s">
        <v>37013</v>
      </c>
      <c r="C29393" s="5" t="str">
        <f>IFERROR(__xludf.DUMMYFUNCTION("GOOGLETRANSLATE(B29393,""en"",""fr"")"),"Un homme et un enfant sont assis sur un canapé pendant que l'adulte fume le narguilé.")</f>
        <v>Un homme et un enfant sont assis sur un canapé pendant que l'adulte fume le narguilé.</v>
      </c>
    </row>
    <row r="29394">
      <c r="A29394" s="4" t="s">
        <v>37012</v>
      </c>
      <c r="B29394" s="4" t="s">
        <v>37014</v>
      </c>
      <c r="C29394" s="5" t="str">
        <f>IFERROR(__xludf.DUMMYFUNCTION("GOOGLETRANSLATE(B29394,""en"",""fr"")"),"L'enfant l'attrape comme pour fumer uniquement pour le faire s'éloigner.")</f>
        <v>L'enfant l'attrape comme pour fumer uniquement pour le faire s'éloigner.</v>
      </c>
    </row>
    <row r="29395">
      <c r="A29395" s="4" t="s">
        <v>37012</v>
      </c>
      <c r="B29395" s="4" t="s">
        <v>37015</v>
      </c>
      <c r="C29395" s="5" t="str">
        <f>IFERROR(__xludf.DUMMYFUNCTION("GOOGLETRANSLATE(B29395,""en"",""fr"")"),"L'enfant est alors capable de le coller dans sa propre bouche mais ne sait pas quoi faire.")</f>
        <v>L'enfant est alors capable de le coller dans sa propre bouche mais ne sait pas quoi faire.</v>
      </c>
    </row>
    <row r="29396">
      <c r="A29396" s="4" t="s">
        <v>37012</v>
      </c>
      <c r="B29396" s="6" t="s">
        <v>37016</v>
      </c>
      <c r="C29396" s="5" t="str">
        <f>IFERROR(__xludf.DUMMYFUNCTION("GOOGLETRANSLATE(B29396,""en"",""fr"")"),"Il finit par le coller dans la bouche des adultes et l'adulte continue de fumer de la pipe de narguilé.")</f>
        <v>Il finit par le coller dans la bouche des adultes et l'adulte continue de fumer de la pipe de narguilé.</v>
      </c>
    </row>
    <row r="29397">
      <c r="A29397" s="4" t="s">
        <v>37017</v>
      </c>
      <c r="B29397" s="4" t="s">
        <v>37018</v>
      </c>
      <c r="C29397" s="5" t="str">
        <f>IFERROR(__xludf.DUMMYFUNCTION("GOOGLETRANSLATE(B29397,""en"",""fr"")"),"Les détails de l'entreprise sont écrits en texte blanc sur fond noir.")</f>
        <v>Les détails de l'entreprise sont écrits en texte blanc sur fond noir.</v>
      </c>
    </row>
    <row r="29398">
      <c r="A29398" s="4" t="s">
        <v>37017</v>
      </c>
      <c r="B29398" s="4" t="s">
        <v>37019</v>
      </c>
      <c r="C29398" s="5" t="str">
        <f>IFERROR(__xludf.DUMMYFUNCTION("GOOGLETRANSLATE(B29398,""en"",""fr"")"),"Les hommes portant des vestes lavent une voiture blanche dans un parking.")</f>
        <v>Les hommes portant des vestes lavent une voiture blanche dans un parking.</v>
      </c>
    </row>
    <row r="29399">
      <c r="A29399" s="4" t="s">
        <v>37017</v>
      </c>
      <c r="B29399" s="4" t="s">
        <v>37020</v>
      </c>
      <c r="C29399" s="5" t="str">
        <f>IFERROR(__xludf.DUMMYFUNCTION("GOOGLETRANSLATE(B29399,""en"",""fr"")"),"Deux hommes lavent un SUV noir avec un tuyau de lavage de pression.")</f>
        <v>Deux hommes lavent un SUV noir avec un tuyau de lavage de pression.</v>
      </c>
    </row>
    <row r="29400">
      <c r="A29400" s="4" t="s">
        <v>37017</v>
      </c>
      <c r="B29400" s="4" t="s">
        <v>37021</v>
      </c>
      <c r="C29400" s="5" t="str">
        <f>IFERROR(__xludf.DUMMYFUNCTION("GOOGLETRANSLATE(B29400,""en"",""fr"")"),"Les hommes lavent une voiture blanche à l'aide de serviettes à main.")</f>
        <v>Les hommes lavent une voiture blanche à l'aide de serviettes à main.</v>
      </c>
    </row>
    <row r="29401">
      <c r="A29401" s="4" t="s">
        <v>37017</v>
      </c>
      <c r="B29401" s="4" t="s">
        <v>37022</v>
      </c>
      <c r="C29401" s="5" t="str">
        <f>IFERROR(__xludf.DUMMYFUNCTION("GOOGLETRANSLATE(B29401,""en"",""fr"")"),"Les détails de l'entreprise sont visibles avant que les crédits finaux de la vidéo ne soient affichés.")</f>
        <v>Les détails de l'entreprise sont visibles avant que les crédits finaux de la vidéo ne soient affichés.</v>
      </c>
    </row>
    <row r="29402">
      <c r="A29402" s="4" t="s">
        <v>37023</v>
      </c>
      <c r="B29402" s="4" t="s">
        <v>37024</v>
      </c>
      <c r="C29402" s="5" t="str">
        <f>IFERROR(__xludf.DUMMYFUNCTION("GOOGLETRANSLATE(B29402,""en"",""fr"")"),"La vidéo se déroule dans un gymnase de divers gymnastes.")</f>
        <v>La vidéo se déroule dans un gymnase de divers gymnastes.</v>
      </c>
    </row>
    <row r="29403">
      <c r="A29403" s="4" t="s">
        <v>37023</v>
      </c>
      <c r="B29403" s="4" t="s">
        <v>37025</v>
      </c>
      <c r="C29403" s="5" t="str">
        <f>IFERROR(__xludf.DUMMYFUNCTION("GOOGLETRANSLATE(B29403,""en"",""fr"")"),"Une jeune fille se tient au-dessus du trampoline en préparation pour sauter.")</f>
        <v>Une jeune fille se tient au-dessus du trampoline en préparation pour sauter.</v>
      </c>
    </row>
    <row r="29404">
      <c r="A29404" s="4" t="s">
        <v>37023</v>
      </c>
      <c r="B29404" s="4" t="s">
        <v>37026</v>
      </c>
      <c r="C29404" s="5" t="str">
        <f>IFERROR(__xludf.DUMMYFUNCTION("GOOGLETRANSLATE(B29404,""en"",""fr"")"),"Elle saute sur le bar et commence à faire plusieurs flips entre deux barres.")</f>
        <v>Elle saute sur le bar et commence à faire plusieurs flips entre deux barres.</v>
      </c>
    </row>
    <row r="29405">
      <c r="A29405" s="4" t="s">
        <v>37023</v>
      </c>
      <c r="B29405" s="4" t="s">
        <v>37027</v>
      </c>
      <c r="C29405" s="5" t="str">
        <f>IFERROR(__xludf.DUMMYFUNCTION("GOOGLETRANSLATE(B29405,""en"",""fr"")"),"Elle saute ensuite dans la zone rembourrée et jette ses mains, et un homme lui fait un câlin.")</f>
        <v>Elle saute ensuite dans la zone rembourrée et jette ses mains, et un homme lui fait un câlin.</v>
      </c>
    </row>
    <row r="29406">
      <c r="A29406" s="4" t="s">
        <v>37028</v>
      </c>
      <c r="B29406" s="4" t="s">
        <v>37029</v>
      </c>
      <c r="C29406" s="5" t="str">
        <f>IFERROR(__xludf.DUMMYFUNCTION("GOOGLETRANSLATE(B29406,""en"",""fr"")"),"Un grand bateau avec une voile éolienne est vu rouler le long d'une grosse tempête avec des gens à bord.")</f>
        <v>Un grand bateau avec une voile éolienne est vu rouler le long d'une grosse tempête avec des gens à bord.</v>
      </c>
    </row>
    <row r="29407">
      <c r="A29407" s="4" t="s">
        <v>37028</v>
      </c>
      <c r="B29407" s="4" t="s">
        <v>37030</v>
      </c>
      <c r="C29407" s="5" t="str">
        <f>IFERROR(__xludf.DUMMYFUNCTION("GOOGLETRANSLATE(B29407,""en"",""fr"")"),"Le bateau fait basculer à un moment donné quand un autre bateau passe également et tombe également.")</f>
        <v>Le bateau fait basculer à un moment donné quand un autre bateau passe également et tombe également.</v>
      </c>
    </row>
    <row r="29408">
      <c r="A29408" s="4" t="s">
        <v>37031</v>
      </c>
      <c r="B29408" s="6" t="s">
        <v>37032</v>
      </c>
      <c r="C29408" s="5" t="str">
        <f>IFERROR(__xludf.DUMMYFUNCTION("GOOGLETRANSLATE(B29408,""en"",""fr"")"),"La femme est assise sur un canapé avec un chat sur ses jambes, il attrape des scioors de la table à côté d'elle et commence à couper les ongles du chat avant.")</f>
        <v>La femme est assise sur un canapé avec un chat sur ses jambes, il attrape des scioors de la table à côté d'elle et commence à couper les ongles du chat avant.</v>
      </c>
    </row>
    <row r="29409">
      <c r="A29409" s="4" t="s">
        <v>37031</v>
      </c>
      <c r="B29409" s="4" t="s">
        <v>37033</v>
      </c>
      <c r="C29409" s="5" t="str">
        <f>IFERROR(__xludf.DUMMYFUNCTION("GOOGLETRANSLATE(B29409,""en"",""fr"")"),"Elle regarde ses pattes arrière et lui a donné de la nourriture pour chat.")</f>
        <v>Elle regarde ses pattes arrière et lui a donné de la nourriture pour chat.</v>
      </c>
    </row>
    <row r="29410">
      <c r="A29410" s="4" t="s">
        <v>37031</v>
      </c>
      <c r="B29410" s="4" t="s">
        <v>37034</v>
      </c>
      <c r="C29410" s="5" t="str">
        <f>IFERROR(__xludf.DUMMYFUNCTION("GOOGLETRANSLATE(B29410,""en"",""fr"")"),"La fille félicite le chat et le mettait sur le sol.")</f>
        <v>La fille félicite le chat et le mettait sur le sol.</v>
      </c>
    </row>
    <row r="29411">
      <c r="A29411" s="4" t="s">
        <v>37035</v>
      </c>
      <c r="B29411" s="4" t="s">
        <v>37036</v>
      </c>
      <c r="C29411" s="5" t="str">
        <f>IFERROR(__xludf.DUMMYFUNCTION("GOOGLETRANSLATE(B29411,""en"",""fr"")"),"Un homme sans chemise se trouve à l'extérieur près des arbres et boit dans une tasse de café.")</f>
        <v>Un homme sans chemise se trouve à l'extérieur près des arbres et boit dans une tasse de café.</v>
      </c>
    </row>
    <row r="29412">
      <c r="A29412" s="4" t="s">
        <v>37035</v>
      </c>
      <c r="B29412" s="4" t="s">
        <v>37037</v>
      </c>
      <c r="C29412" s="5" t="str">
        <f>IFERROR(__xludf.DUMMYFUNCTION("GOOGLETRANSLATE(B29412,""en"",""fr"")"),"Une personne est vue caresser un chat.")</f>
        <v>Une personne est vue caresser un chat.</v>
      </c>
    </row>
    <row r="29413">
      <c r="A29413" s="4" t="s">
        <v>37038</v>
      </c>
      <c r="B29413" s="4" t="s">
        <v>37039</v>
      </c>
      <c r="C29413" s="5" t="str">
        <f>IFERROR(__xludf.DUMMYFUNCTION("GOOGLETRANSLATE(B29413,""en"",""fr"")"),"Un garçon construit un château de sable près du bord de l'océan.")</f>
        <v>Un garçon construit un château de sable près du bord de l'océan.</v>
      </c>
    </row>
    <row r="29414">
      <c r="A29414" s="4" t="s">
        <v>37038</v>
      </c>
      <c r="B29414" s="4" t="s">
        <v>37040</v>
      </c>
      <c r="C29414" s="5" t="str">
        <f>IFERROR(__xludf.DUMMYFUNCTION("GOOGLETRANSLATE(B29414,""en"",""fr"")"),"Il forme d'énormes cercles et se lève.")</f>
        <v>Il forme d'énormes cercles et se lève.</v>
      </c>
    </row>
    <row r="29415">
      <c r="A29415" s="4" t="s">
        <v>37041</v>
      </c>
      <c r="B29415" s="4" t="s">
        <v>37042</v>
      </c>
      <c r="C29415" s="5" t="str">
        <f>IFERROR(__xludf.DUMMYFUNCTION("GOOGLETRANSLATE(B29415,""en"",""fr"")"),"Un homme embrasse une fille sur la plage.")</f>
        <v>Un homme embrasse une fille sur la plage.</v>
      </c>
    </row>
    <row r="29416">
      <c r="A29416" s="4" t="s">
        <v>37041</v>
      </c>
      <c r="B29416" s="4" t="s">
        <v>37043</v>
      </c>
      <c r="C29416" s="5" t="str">
        <f>IFERROR(__xludf.DUMMYFUNCTION("GOOGLETRANSLATE(B29416,""en"",""fr"")"),"Les gens jouent à des ciseaux en papier de roche sur la plage.")</f>
        <v>Les gens jouent à des ciseaux en papier de roche sur la plage.</v>
      </c>
    </row>
    <row r="29417">
      <c r="A29417" s="4" t="s">
        <v>37041</v>
      </c>
      <c r="B29417" s="4" t="s">
        <v>37044</v>
      </c>
      <c r="C29417" s="5" t="str">
        <f>IFERROR(__xludf.DUMMYFUNCTION("GOOGLETRANSLATE(B29417,""en"",""fr"")"),"Un homme en chemise noire se tient sur la plage.")</f>
        <v>Un homme en chemise noire se tient sur la plage.</v>
      </c>
    </row>
    <row r="29418">
      <c r="A29418" s="4" t="s">
        <v>37045</v>
      </c>
      <c r="B29418" s="4" t="s">
        <v>37046</v>
      </c>
      <c r="C29418" s="5" t="str">
        <f>IFERROR(__xludf.DUMMYFUNCTION("GOOGLETRANSLATE(B29418,""en"",""fr"")"),"Un homme branche un câble dans sa guitare.")</f>
        <v>Un homme branche un câble dans sa guitare.</v>
      </c>
    </row>
    <row r="29419">
      <c r="A29419" s="4" t="s">
        <v>37045</v>
      </c>
      <c r="B29419" s="4" t="s">
        <v>37047</v>
      </c>
      <c r="C29419" s="5" t="str">
        <f>IFERROR(__xludf.DUMMYFUNCTION("GOOGLETRANSLATE(B29419,""en"",""fr"")"),"Il commence à jouer de la guitare.")</f>
        <v>Il commence à jouer de la guitare.</v>
      </c>
    </row>
    <row r="29420">
      <c r="A29420" s="4" t="s">
        <v>37045</v>
      </c>
      <c r="B29420" s="4" t="s">
        <v>37048</v>
      </c>
      <c r="C29420" s="5" t="str">
        <f>IFERROR(__xludf.DUMMYFUNCTION("GOOGLETRANSLATE(B29420,""en"",""fr"")"),"Il lève les yeux et parle.")</f>
        <v>Il lève les yeux et parle.</v>
      </c>
    </row>
    <row r="29421">
      <c r="A29421" s="4" t="s">
        <v>37045</v>
      </c>
      <c r="B29421" s="4" t="s">
        <v>37049</v>
      </c>
      <c r="C29421" s="5" t="str">
        <f>IFERROR(__xludf.DUMMYFUNCTION("GOOGLETRANSLATE(B29421,""en"",""fr"")"),"Il revient à jouer de sa guitare.")</f>
        <v>Il revient à jouer de sa guitare.</v>
      </c>
    </row>
    <row r="29422">
      <c r="A29422" s="4" t="s">
        <v>37045</v>
      </c>
      <c r="B29422" s="4" t="s">
        <v>37050</v>
      </c>
      <c r="C29422" s="5" t="str">
        <f>IFERROR(__xludf.DUMMYFUNCTION("GOOGLETRANSLATE(B29422,""en"",""fr"")"),"Il lève les yeux et parle alors qu'il fait des gestes de la main.")</f>
        <v>Il lève les yeux et parle alors qu'il fait des gestes de la main.</v>
      </c>
    </row>
    <row r="29423">
      <c r="A29423" s="4" t="s">
        <v>37045</v>
      </c>
      <c r="B29423" s="4" t="s">
        <v>37051</v>
      </c>
      <c r="C29423" s="5" t="str">
        <f>IFERROR(__xludf.DUMMYFUNCTION("GOOGLETRANSLATE(B29423,""en"",""fr"")"),"Il recommence à jouer de sa guitare.")</f>
        <v>Il recommence à jouer de sa guitare.</v>
      </c>
    </row>
    <row r="29424">
      <c r="A29424" s="4" t="s">
        <v>37045</v>
      </c>
      <c r="B29424" s="4" t="s">
        <v>37052</v>
      </c>
      <c r="C29424" s="5" t="str">
        <f>IFERROR(__xludf.DUMMYFUNCTION("GOOGLETRANSLATE(B29424,""en"",""fr"")"),"Il glisse son doigt le long de sa guitare.")</f>
        <v>Il glisse son doigt le long de sa guitare.</v>
      </c>
    </row>
    <row r="29425">
      <c r="A29425" s="4" t="s">
        <v>37053</v>
      </c>
      <c r="B29425" s="4" t="s">
        <v>37054</v>
      </c>
      <c r="C29425" s="5" t="str">
        <f>IFERROR(__xludf.DUMMYFUNCTION("GOOGLETRANSLATE(B29425,""en"",""fr"")"),"Une femme est dans une cuisine, remuant de la nourriture dans un pot.")</f>
        <v>Une femme est dans une cuisine, remuant de la nourriture dans un pot.</v>
      </c>
    </row>
    <row r="29426">
      <c r="A29426" s="4" t="s">
        <v>37053</v>
      </c>
      <c r="B29426" s="4" t="s">
        <v>37055</v>
      </c>
      <c r="C29426" s="5" t="str">
        <f>IFERROR(__xludf.DUMMYFUNCTION("GOOGLETRANSLATE(B29426,""en"",""fr"")"),"Elle ajoute ses ingrédients rassemblés un temps pendant qu'elle parle, montrant les pâtes qu'elle utilise.")</f>
        <v>Elle ajoute ses ingrédients rassemblés un temps pendant qu'elle parle, montrant les pâtes qu'elle utilise.</v>
      </c>
    </row>
    <row r="29427">
      <c r="A29427" s="4" t="s">
        <v>37053</v>
      </c>
      <c r="B29427" s="4" t="s">
        <v>37056</v>
      </c>
      <c r="C29427" s="5" t="str">
        <f>IFERROR(__xludf.DUMMYFUNCTION("GOOGLETRANSLATE(B29427,""en"",""fr"")"),"Elle ajoute ensuite un bol de légumes qu'elle a mélangés.")</f>
        <v>Elle ajoute ensuite un bol de légumes qu'elle a mélangés.</v>
      </c>
    </row>
    <row r="29428">
      <c r="A29428" s="4" t="s">
        <v>37057</v>
      </c>
      <c r="B29428" s="4" t="s">
        <v>37058</v>
      </c>
      <c r="C29428" s="5" t="str">
        <f>IFERROR(__xludf.DUMMYFUNCTION("GOOGLETRANSLATE(B29428,""en"",""fr"")"),"Une personne est vue assise devant la caméra tenant un instrument.")</f>
        <v>Une personne est vue assise devant la caméra tenant un instrument.</v>
      </c>
    </row>
    <row r="29429">
      <c r="A29429" s="4" t="s">
        <v>37057</v>
      </c>
      <c r="B29429" s="4" t="s">
        <v>37059</v>
      </c>
      <c r="C29429" s="5" t="str">
        <f>IFERROR(__xludf.DUMMYFUNCTION("GOOGLETRANSLATE(B29429,""en"",""fr"")"),"L'homme commence alors à jouer de l'instrument pendant que la caméra capture est des mouvements.")</f>
        <v>L'homme commence alors à jouer de l'instrument pendant que la caméra capture est des mouvements.</v>
      </c>
    </row>
    <row r="29430">
      <c r="A29430" s="4" t="s">
        <v>37057</v>
      </c>
      <c r="B29430" s="6" t="s">
        <v>37060</v>
      </c>
      <c r="C29430" s="5" t="str">
        <f>IFERROR(__xludf.DUMMYFUNCTION("GOOGLETRANSLATE(B29430,""en"",""fr"")"),"L'homme continue de jouer à bouger ses mains tout au long de l'instrument et finalement éteindre la caméra.")</f>
        <v>L'homme continue de jouer à bouger ses mains tout au long de l'instrument et finalement éteindre la caméra.</v>
      </c>
    </row>
    <row r="29431">
      <c r="A29431" s="4" t="s">
        <v>37061</v>
      </c>
      <c r="B29431" s="4" t="s">
        <v>37062</v>
      </c>
      <c r="C29431" s="5" t="str">
        <f>IFERROR(__xludf.DUMMYFUNCTION("GOOGLETRANSLATE(B29431,""en"",""fr"")"),"Un homme cherche partout pour son chien.")</f>
        <v>Un homme cherche partout pour son chien.</v>
      </c>
    </row>
    <row r="29432">
      <c r="A29432" s="4" t="s">
        <v>37061</v>
      </c>
      <c r="B29432" s="4" t="s">
        <v>37063</v>
      </c>
      <c r="C29432" s="5" t="str">
        <f>IFERROR(__xludf.DUMMYFUNCTION("GOOGLETRANSLATE(B29432,""en"",""fr"")"),"Il a dit qu'il avait payé à son chien 10 dollars pour couper l'herbe et maintenant il est parti.")</f>
        <v>Il a dit qu'il avait payé à son chien 10 dollars pour couper l'herbe et maintenant il est parti.</v>
      </c>
    </row>
    <row r="29433">
      <c r="A29433" s="4" t="s">
        <v>37061</v>
      </c>
      <c r="B29433" s="4" t="s">
        <v>37064</v>
      </c>
      <c r="C29433" s="5" t="str">
        <f>IFERROR(__xludf.DUMMYFUNCTION("GOOGLETRANSLATE(B29433,""en"",""fr"")"),"Il trouve enfin le chien qui conduit la tondeuse à gazon.")</f>
        <v>Il trouve enfin le chien qui conduit la tondeuse à gazon.</v>
      </c>
    </row>
    <row r="29434">
      <c r="A29434" s="4" t="s">
        <v>37061</v>
      </c>
      <c r="B29434" s="4" t="s">
        <v>37065</v>
      </c>
      <c r="C29434" s="5" t="str">
        <f>IFERROR(__xludf.DUMMYFUNCTION("GOOGLETRANSLATE(B29434,""en"",""fr"")"),"Selon le propriétaire, le chien demande une augmentation.")</f>
        <v>Selon le propriétaire, le chien demande une augmentation.</v>
      </c>
    </row>
    <row r="29435">
      <c r="A29435" s="4" t="s">
        <v>37061</v>
      </c>
      <c r="B29435" s="4" t="s">
        <v>37066</v>
      </c>
      <c r="C29435" s="5" t="str">
        <f>IFERROR(__xludf.DUMMYFUNCTION("GOOGLETRANSLATE(B29435,""en"",""fr"")"),"Il continue de tondre des lignes pas très droites alors que les autres chiens regardent.")</f>
        <v>Il continue de tondre des lignes pas très droites alors que les autres chiens regardent.</v>
      </c>
    </row>
    <row r="29436">
      <c r="A29436" s="4" t="s">
        <v>37067</v>
      </c>
      <c r="B29436" s="4" t="s">
        <v>37068</v>
      </c>
      <c r="C29436" s="5" t="str">
        <f>IFERROR(__xludf.DUMMYFUNCTION("GOOGLETRANSLATE(B29436,""en"",""fr"")"),"Deux enfants sont vus tenant des poteaux avec un autre homme et jouant à un jeu de shuffle sur un tapis.")</f>
        <v>Deux enfants sont vus tenant des poteaux avec un autre homme et jouant à un jeu de shuffle sur un tapis.</v>
      </c>
    </row>
    <row r="29437">
      <c r="A29437" s="4" t="s">
        <v>37067</v>
      </c>
      <c r="B29437" s="6" t="s">
        <v>37069</v>
      </c>
      <c r="C29437" s="5" t="str">
        <f>IFERROR(__xludf.DUMMYFUNCTION("GOOGLETRANSLATE(B29437,""en"",""fr"")"),"Les enfants poussent la rondelle en arrière et quatrième en se promenant les uns les autres et se termine avec une femme entrant dans le cadre et un gros plan du jeune garçon.")</f>
        <v>Les enfants poussent la rondelle en arrière et quatrième en se promenant les uns les autres et se termine avec une femme entrant dans le cadre et un gros plan du jeune garçon.</v>
      </c>
    </row>
    <row r="29438">
      <c r="A29438" s="4" t="s">
        <v>37070</v>
      </c>
      <c r="B29438" s="6" t="s">
        <v>37071</v>
      </c>
      <c r="C29438" s="5" t="str">
        <f>IFERROR(__xludf.DUMMYFUNCTION("GOOGLETRANSLATE(B29438,""en"",""fr"")"),"Un appareil photo se déroule autour d'un bâtiment ainsi que des personnes à l'intérieur posant pour des photos et mettant des équipements de clôture.")</f>
        <v>Un appareil photo se déroule autour d'un bâtiment ainsi que des personnes à l'intérieur posant pour des photos et mettant des équipements de clôture.</v>
      </c>
    </row>
    <row r="29439">
      <c r="A29439" s="4" t="s">
        <v>37070</v>
      </c>
      <c r="B29439" s="6" t="s">
        <v>37072</v>
      </c>
      <c r="C29439" s="5" t="str">
        <f>IFERROR(__xludf.DUMMYFUNCTION("GOOGLETRANSLATE(B29439,""en"",""fr"")"),"Plus de clips sont montrés des objets d'escrime, des gens qui regardent sur les côtés et d'autres se préparent à clôturer.")</f>
        <v>Plus de clips sont montrés des objets d'escrime, des gens qui regardent sur les côtés et d'autres se préparent à clôturer.</v>
      </c>
    </row>
    <row r="29440">
      <c r="A29440" s="4" t="s">
        <v>37070</v>
      </c>
      <c r="B29440" s="6" t="s">
        <v>37073</v>
      </c>
      <c r="C29440" s="5" t="str">
        <f>IFERROR(__xludf.DUMMYFUNCTION("GOOGLETRANSLATE(B29440,""en"",""fr"")"),"Plusieurs clips sont ensuite montrés de deux personnes se clôturant avec une femme qui rejette sur les côtés et les gens qui regardent sur les côtés.")</f>
        <v>Plusieurs clips sont ensuite montrés de deux personnes se clôturant avec une femme qui rejette sur les côtés et les gens qui regardent sur les côtés.</v>
      </c>
    </row>
    <row r="29441">
      <c r="A29441" s="4" t="s">
        <v>37074</v>
      </c>
      <c r="B29441" s="4" t="s">
        <v>37075</v>
      </c>
      <c r="C29441" s="5" t="str">
        <f>IFERROR(__xludf.DUMMYFUNCTION("GOOGLETRANSLATE(B29441,""en"",""fr"")"),"Un homme s'entraîne devant un miroir dans un studio tandis qu'un autre regarde.")</f>
        <v>Un homme s'entraîne devant un miroir dans un studio tandis qu'un autre regarde.</v>
      </c>
    </row>
    <row r="29442">
      <c r="A29442" s="4" t="s">
        <v>37074</v>
      </c>
      <c r="B29442" s="4" t="s">
        <v>37076</v>
      </c>
      <c r="C29442" s="5" t="str">
        <f>IFERROR(__xludf.DUMMYFUNCTION("GOOGLETRANSLATE(B29442,""en"",""fr"")"),"Ils commencent à tour de rôle devant le miroir en essayant de perfectionner leurs mouvements.")</f>
        <v>Ils commencent à tour de rôle devant le miroir en essayant de perfectionner leurs mouvements.</v>
      </c>
    </row>
    <row r="29443">
      <c r="A29443" s="4" t="s">
        <v>37074</v>
      </c>
      <c r="B29443" s="4" t="s">
        <v>37077</v>
      </c>
      <c r="C29443" s="5" t="str">
        <f>IFERROR(__xludf.DUMMYFUNCTION("GOOGLETRANSLATE(B29443,""en"",""fr"")"),"Ils font toutes sortes de flips acrobatiques fous et d'autres mouvements.")</f>
        <v>Ils font toutes sortes de flips acrobatiques fous et d'autres mouvements.</v>
      </c>
    </row>
    <row r="29444">
      <c r="A29444" s="4" t="s">
        <v>37074</v>
      </c>
      <c r="B29444" s="6" t="s">
        <v>37078</v>
      </c>
      <c r="C29444" s="5" t="str">
        <f>IFERROR(__xludf.DUMMYFUNCTION("GOOGLETRANSLATE(B29444,""en"",""fr"")"),"Il y a environ six ou sept hommes assis contre le mur en regardant les autres se retourner dans les airs.")</f>
        <v>Il y a environ six ou sept hommes assis contre le mur en regardant les autres se retourner dans les airs.</v>
      </c>
    </row>
    <row r="29445">
      <c r="A29445" s="4" t="s">
        <v>37079</v>
      </c>
      <c r="B29445" s="4" t="s">
        <v>37080</v>
      </c>
      <c r="C29445" s="5" t="str">
        <f>IFERROR(__xludf.DUMMYFUNCTION("GOOGLETRANSLATE(B29445,""en"",""fr"")"),"Une personne est vue en marchant sur la longueur d'une plongée tandis que la caméra zoome.")</f>
        <v>Une personne est vue en marchant sur la longueur d'une plongée tandis que la caméra zoome.</v>
      </c>
    </row>
    <row r="29446">
      <c r="A29446" s="4" t="s">
        <v>37079</v>
      </c>
      <c r="B29446" s="4" t="s">
        <v>37081</v>
      </c>
      <c r="C29446" s="5" t="str">
        <f>IFERROR(__xludf.DUMMYFUNCTION("GOOGLETRANSLATE(B29446,""en"",""fr"")"),"L'homme se retourne et effectue un retour en arrière de la planche dans l'eau.")</f>
        <v>L'homme se retourne et effectue un retour en arrière de la planche dans l'eau.</v>
      </c>
    </row>
    <row r="29447">
      <c r="A29447" s="4" t="s">
        <v>37082</v>
      </c>
      <c r="B29447" s="4" t="s">
        <v>37083</v>
      </c>
      <c r="C29447" s="5" t="str">
        <f>IFERROR(__xludf.DUMMYFUNCTION("GOOGLETRANSLATE(B29447,""en"",""fr"")"),"Une dame danse sur un escalier aérobie dans un gymnase de fitness.")</f>
        <v>Une dame danse sur un escalier aérobie dans un gymnase de fitness.</v>
      </c>
    </row>
    <row r="29448">
      <c r="A29448" s="4" t="s">
        <v>37082</v>
      </c>
      <c r="B29448" s="4" t="s">
        <v>37084</v>
      </c>
      <c r="C29448" s="5" t="str">
        <f>IFERROR(__xludf.DUMMYFUNCTION("GOOGLETRANSLATE(B29448,""en"",""fr"")"),"La dame tourne de l'étape.")</f>
        <v>La dame tourne de l'étape.</v>
      </c>
    </row>
    <row r="29449">
      <c r="A29449" s="4" t="s">
        <v>37082</v>
      </c>
      <c r="B29449" s="4" t="s">
        <v>37085</v>
      </c>
      <c r="C29449" s="5" t="str">
        <f>IFERROR(__xludf.DUMMYFUNCTION("GOOGLETRANSLATE(B29449,""en"",""fr"")"),"La dame touche ses orteils à l'étape.")</f>
        <v>La dame touche ses orteils à l'étape.</v>
      </c>
    </row>
    <row r="29450">
      <c r="A29450" s="4" t="s">
        <v>37082</v>
      </c>
      <c r="B29450" s="4" t="s">
        <v>37086</v>
      </c>
      <c r="C29450" s="5" t="str">
        <f>IFERROR(__xludf.DUMMYFUNCTION("GOOGLETRANSLATE(B29450,""en"",""fr"")"),"La dame répète la routine à plusieurs reprises.")</f>
        <v>La dame répète la routine à plusieurs reprises.</v>
      </c>
    </row>
    <row r="29451">
      <c r="A29451" s="4" t="s">
        <v>37082</v>
      </c>
      <c r="B29451" s="4" t="s">
        <v>37087</v>
      </c>
      <c r="C29451" s="5" t="str">
        <f>IFERROR(__xludf.DUMMYFUNCTION("GOOGLETRANSLATE(B29451,""en"",""fr"")"),"La dame sort de son pas devant lui et regarde la caméra.")</f>
        <v>La dame sort de son pas devant lui et regarde la caméra.</v>
      </c>
    </row>
    <row r="29452">
      <c r="A29452" s="4" t="s">
        <v>37088</v>
      </c>
      <c r="B29452" s="4" t="s">
        <v>37089</v>
      </c>
      <c r="C29452" s="5" t="str">
        <f>IFERROR(__xludf.DUMMYFUNCTION("GOOGLETRANSLATE(B29452,""en"",""fr"")"),"Une femme plus âgée lance une balle blanche vers une tasse verte.")</f>
        <v>Une femme plus âgée lance une balle blanche vers une tasse verte.</v>
      </c>
    </row>
    <row r="29453">
      <c r="A29453" s="4" t="s">
        <v>37088</v>
      </c>
      <c r="B29453" s="4" t="s">
        <v>37090</v>
      </c>
      <c r="C29453" s="5" t="str">
        <f>IFERROR(__xludf.DUMMYFUNCTION("GOOGLETRANSLATE(B29453,""en"",""fr"")"),"Un jeune garçon lui rend le ballon.")</f>
        <v>Un jeune garçon lui rend le ballon.</v>
      </c>
    </row>
    <row r="29454">
      <c r="A29454" s="4" t="s">
        <v>37088</v>
      </c>
      <c r="B29454" s="4" t="s">
        <v>37091</v>
      </c>
      <c r="C29454" s="5" t="str">
        <f>IFERROR(__xludf.DUMMYFUNCTION("GOOGLETRANSLATE(B29454,""en"",""fr"")"),"La femme lance à nouveau le ballon.")</f>
        <v>La femme lance à nouveau le ballon.</v>
      </c>
    </row>
    <row r="29455">
      <c r="A29455" s="4" t="s">
        <v>37088</v>
      </c>
      <c r="B29455" s="4" t="s">
        <v>37092</v>
      </c>
      <c r="C29455" s="5" t="str">
        <f>IFERROR(__xludf.DUMMYFUNCTION("GOOGLETRANSLATE(B29455,""en"",""fr"")"),"Elle fait une danse et la jette à nouveau.")</f>
        <v>Elle fait une danse et la jette à nouveau.</v>
      </c>
    </row>
    <row r="29456">
      <c r="A29456" s="4" t="s">
        <v>37088</v>
      </c>
      <c r="B29456" s="4" t="s">
        <v>37093</v>
      </c>
      <c r="C29456" s="5" t="str">
        <f>IFERROR(__xludf.DUMMYFUNCTION("GOOGLETRANSLATE(B29456,""en"",""fr"")"),"Elle lance à nouveau la balle blanche.")</f>
        <v>Elle lance à nouveau la balle blanche.</v>
      </c>
    </row>
    <row r="29457">
      <c r="A29457" s="4" t="s">
        <v>37088</v>
      </c>
      <c r="B29457" s="4" t="s">
        <v>37094</v>
      </c>
      <c r="C29457" s="5" t="str">
        <f>IFERROR(__xludf.DUMMYFUNCTION("GOOGLETRANSLATE(B29457,""en"",""fr"")"),"Le jeune garçon tend la femme le ballon et elle le jette à nouveau.")</f>
        <v>Le jeune garçon tend la femme le ballon et elle le jette à nouveau.</v>
      </c>
    </row>
    <row r="29458">
      <c r="A29458" s="4" t="s">
        <v>37088</v>
      </c>
      <c r="B29458" s="4" t="s">
        <v>37095</v>
      </c>
      <c r="C29458" s="5" t="str">
        <f>IFERROR(__xludf.DUMMYFUNCTION("GOOGLETRANSLATE(B29458,""en"",""fr"")"),"La femme plus âgée commence à rire.")</f>
        <v>La femme plus âgée commence à rire.</v>
      </c>
    </row>
    <row r="29459">
      <c r="A29459" s="4" t="s">
        <v>37096</v>
      </c>
      <c r="B29459" s="4" t="s">
        <v>37097</v>
      </c>
      <c r="C29459" s="5" t="str">
        <f>IFERROR(__xludf.DUMMYFUNCTION("GOOGLETRANSLATE(B29459,""en"",""fr"")"),"Un groupe de chevrons pagaye là-bas sur une rivière avec des rapides et des obstacles.")</f>
        <v>Un groupe de chevrons pagaye là-bas sur une rivière avec des rapides et des obstacles.</v>
      </c>
    </row>
    <row r="29460">
      <c r="A29460" s="4" t="s">
        <v>37096</v>
      </c>
      <c r="B29460" s="4" t="s">
        <v>37098</v>
      </c>
      <c r="C29460" s="5" t="str">
        <f>IFERROR(__xludf.DUMMYFUNCTION("GOOGLETRANSLATE(B29460,""en"",""fr"")"),"Un groupe de chevrons pousse d'un rocher et tournez là-bas pour faire face au courant.")</f>
        <v>Un groupe de chevrons pousse d'un rocher et tournez là-bas pour faire face au courant.</v>
      </c>
    </row>
    <row r="29461">
      <c r="A29461" s="4" t="s">
        <v>37096</v>
      </c>
      <c r="B29461" s="4" t="s">
        <v>37099</v>
      </c>
      <c r="C29461" s="5" t="str">
        <f>IFERROR(__xludf.DUMMYFUNCTION("GOOGLETRANSLATE(B29461,""en"",""fr"")"),"Les chevrons manœuvrer à travers une structure en béton.")</f>
        <v>Les chevrons manœuvrer à travers une structure en béton.</v>
      </c>
    </row>
    <row r="29462">
      <c r="A29462" s="4" t="s">
        <v>37096</v>
      </c>
      <c r="B29462" s="4" t="s">
        <v>37100</v>
      </c>
      <c r="C29462" s="5" t="str">
        <f>IFERROR(__xludf.DUMMYFUNCTION("GOOGLETRANSLATE(B29462,""en"",""fr"")"),"Le groupe palette autour d'un gros rocher collant en haut au milieu de la rivière.")</f>
        <v>Le groupe palette autour d'un gros rocher collant en haut au milieu de la rivière.</v>
      </c>
    </row>
    <row r="29463">
      <c r="A29463" s="4" t="s">
        <v>37096</v>
      </c>
      <c r="B29463" s="4" t="s">
        <v>37101</v>
      </c>
      <c r="C29463" s="5" t="str">
        <f>IFERROR(__xludf.DUMMYFUNCTION("GOOGLETRANSLATE(B29463,""en"",""fr"")"),"Le groupe saute d'un rocher dans la rivière.")</f>
        <v>Le groupe saute d'un rocher dans la rivière.</v>
      </c>
    </row>
    <row r="29464">
      <c r="A29464" s="4" t="s">
        <v>37102</v>
      </c>
      <c r="B29464" s="6" t="s">
        <v>37103</v>
      </c>
      <c r="C29464" s="5" t="str">
        <f>IFERROR(__xludf.DUMMYFUNCTION("GOOGLETRANSLATE(B29464,""en"",""fr"")"),"Un écran bleu clair apparaît et il a plusieurs mots bleus qui ne sont pas en anglais et ils font défiler du bas en haut.")</f>
        <v>Un écran bleu clair apparaît et il a plusieurs mots bleus qui ne sont pas en anglais et ils font défiler du bas en haut.</v>
      </c>
    </row>
    <row r="29465">
      <c r="A29465" s="4" t="s">
        <v>37102</v>
      </c>
      <c r="B29465" s="4" t="s">
        <v>37104</v>
      </c>
      <c r="C29465" s="5" t="str">
        <f>IFERROR(__xludf.DUMMYFUNCTION("GOOGLETRANSLATE(B29465,""en"",""fr"")"),"La direction des lettres de défilement passe du bas en haut et maintenant elles sont au milieu.")</f>
        <v>La direction des lettres de défilement passe du bas en haut et maintenant elles sont au milieu.</v>
      </c>
    </row>
    <row r="29466">
      <c r="A29466" s="4" t="s">
        <v>37102</v>
      </c>
      <c r="B29466" s="6" t="s">
        <v>37105</v>
      </c>
      <c r="C29466" s="5" t="str">
        <f>IFERROR(__xludf.DUMMYFUNCTION("GOOGLETRANSLATE(B29466,""en"",""fr"")"),"Un homme portant un bouton blanc sur une chemise à manches courtes et un pantalon long noir se tient sur l'herbe verte qui est près de l'eau, avec un grand buisson derrière lui et il fait des mouvements coordonnés très lents.")</f>
        <v>Un homme portant un bouton blanc sur une chemise à manches courtes et un pantalon long noir se tient sur l'herbe verte qui est près de l'eau, avec un grand buisson derrière lui et il fait des mouvements coordonnés très lents.</v>
      </c>
    </row>
    <row r="29467">
      <c r="A29467" s="4" t="s">
        <v>37106</v>
      </c>
      <c r="B29467" s="4" t="s">
        <v>37107</v>
      </c>
      <c r="C29467" s="5" t="str">
        <f>IFERROR(__xludf.DUMMYFUNCTION("GOOGLETRANSLATE(B29467,""en"",""fr"")"),"Un entraîneur s'entraîne un garçon et une fille à faire du kickboxing.")</f>
        <v>Un entraîneur s'entraîne un garçon et une fille à faire du kickboxing.</v>
      </c>
    </row>
    <row r="29468">
      <c r="A29468" s="4" t="s">
        <v>37106</v>
      </c>
      <c r="B29468" s="4" t="s">
        <v>37108</v>
      </c>
      <c r="C29468" s="5" t="str">
        <f>IFERROR(__xludf.DUMMYFUNCTION("GOOGLETRANSLATE(B29468,""en"",""fr"")"),"Il y a une femme debout dans une chemise violette, filant l'entraîneur enseigner aux enfants.")</f>
        <v>Il y a une femme debout dans une chemise violette, filant l'entraîneur enseigner aux enfants.</v>
      </c>
    </row>
    <row r="29469">
      <c r="A29469" s="4" t="s">
        <v>37106</v>
      </c>
      <c r="B29469" s="4" t="s">
        <v>37109</v>
      </c>
      <c r="C29469" s="5" t="str">
        <f>IFERROR(__xludf.DUMMYFUNCTION("GOOGLETRANSLATE(B29469,""en"",""fr"")"),"La fille et le garçon se relayèrent pour retourner les coups de poing et les coups de pied à l'entraîneur.")</f>
        <v>La fille et le garçon se relayèrent pour retourner les coups de poing et les coups de pied à l'entraîneur.</v>
      </c>
    </row>
    <row r="29470">
      <c r="A29470" s="4" t="s">
        <v>37106</v>
      </c>
      <c r="B29470" s="4" t="s">
        <v>37110</v>
      </c>
      <c r="C29470" s="5" t="str">
        <f>IFERROR(__xludf.DUMMYFUNCTION("GOOGLETRANSLATE(B29470,""en"",""fr"")"),"L'entraîneur encourage les étudiants à frapper constamment et à retourner les coups de pied.")</f>
        <v>L'entraîneur encourage les étudiants à frapper constamment et à retourner les coups de pied.</v>
      </c>
    </row>
    <row r="29471">
      <c r="A29471" s="4" t="s">
        <v>37111</v>
      </c>
      <c r="B29471" s="4" t="s">
        <v>37112</v>
      </c>
      <c r="C29471" s="5" t="str">
        <f>IFERROR(__xludf.DUMMYFUNCTION("GOOGLETRANSLATE(B29471,""en"",""fr"")"),"Un petit groupe d'enfants est vu assis autour d'une piscine tandis que la caméra passe autour de la piscine.")</f>
        <v>Un petit groupe d'enfants est vu assis autour d'une piscine tandis que la caméra passe autour de la piscine.</v>
      </c>
    </row>
    <row r="29472">
      <c r="A29472" s="4" t="s">
        <v>37111</v>
      </c>
      <c r="B29472" s="4" t="s">
        <v>37113</v>
      </c>
      <c r="C29472" s="5" t="str">
        <f>IFERROR(__xludf.DUMMYFUNCTION("GOOGLETRANSLATE(B29472,""en"",""fr"")"),"Les enfants se lancent des pieds et montrent un instructeur aidant un enfant.")</f>
        <v>Les enfants se lancent des pieds et montrent un instructeur aidant un enfant.</v>
      </c>
    </row>
    <row r="29473">
      <c r="A29473" s="4" t="s">
        <v>37111</v>
      </c>
      <c r="B29473" s="4" t="s">
        <v>37114</v>
      </c>
      <c r="C29473" s="5" t="str">
        <f>IFERROR(__xludf.DUMMYFUNCTION("GOOGLETRANSLATE(B29473,""en"",""fr"")"),"L'homme continue de nager dans la piscine avec des enfants et des gros plans d'enfants.")</f>
        <v>L'homme continue de nager dans la piscine avec des enfants et des gros plans d'enfants.</v>
      </c>
    </row>
    <row r="29474">
      <c r="A29474" s="4" t="s">
        <v>37115</v>
      </c>
      <c r="B29474" s="4" t="s">
        <v>37116</v>
      </c>
      <c r="C29474" s="5" t="str">
        <f>IFERROR(__xludf.DUMMYFUNCTION("GOOGLETRANSLATE(B29474,""en"",""fr"")"),"Un petit garçon pousse une vadrouille.")</f>
        <v>Un petit garçon pousse une vadrouille.</v>
      </c>
    </row>
    <row r="29475">
      <c r="A29475" s="4" t="s">
        <v>37115</v>
      </c>
      <c r="B29475" s="4" t="s">
        <v>37117</v>
      </c>
      <c r="C29475" s="5" t="str">
        <f>IFERROR(__xludf.DUMMYFUNCTION("GOOGLETRANSLATE(B29475,""en"",""fr"")"),"Il ferme une porte de four ouverte.")</f>
        <v>Il ferme une porte de four ouverte.</v>
      </c>
    </row>
    <row r="29476">
      <c r="A29476" s="4" t="s">
        <v>37115</v>
      </c>
      <c r="B29476" s="4" t="s">
        <v>37118</v>
      </c>
      <c r="C29476" s="5" t="str">
        <f>IFERROR(__xludf.DUMMYFUNCTION("GOOGLETRANSLATE(B29476,""en"",""fr"")"),"Il continue de nettoyer le sol.")</f>
        <v>Il continue de nettoyer le sol.</v>
      </c>
    </row>
    <row r="29477">
      <c r="A29477" s="4" t="s">
        <v>37115</v>
      </c>
      <c r="B29477" s="4" t="s">
        <v>37119</v>
      </c>
      <c r="C29477" s="5" t="str">
        <f>IFERROR(__xludf.DUMMYFUNCTION("GOOGLETRANSLATE(B29477,""en"",""fr"")"),"Il prend la vadrouille et le met en l'air.")</f>
        <v>Il prend la vadrouille et le met en l'air.</v>
      </c>
    </row>
    <row r="29478">
      <c r="A29478" s="4" t="s">
        <v>37115</v>
      </c>
      <c r="B29478" s="4" t="s">
        <v>37120</v>
      </c>
      <c r="C29478" s="5" t="str">
        <f>IFERROR(__xludf.DUMMYFUNCTION("GOOGLETRANSLATE(B29478,""en"",""fr"")"),"Il le détient et continue de nettoyer.")</f>
        <v>Il le détient et continue de nettoyer.</v>
      </c>
    </row>
    <row r="29479">
      <c r="A29479" s="4" t="s">
        <v>37121</v>
      </c>
      <c r="B29479" s="4" t="s">
        <v>37122</v>
      </c>
      <c r="C29479" s="5" t="str">
        <f>IFERROR(__xludf.DUMMYFUNCTION("GOOGLETRANSLATE(B29479,""en"",""fr"")"),"Quelqu'un est montré en descendant dans une rue enneigée en Ukraine.")</f>
        <v>Quelqu'un est montré en descendant dans une rue enneigée en Ukraine.</v>
      </c>
    </row>
    <row r="29480">
      <c r="A29480" s="4" t="s">
        <v>37121</v>
      </c>
      <c r="B29480" s="4" t="s">
        <v>37123</v>
      </c>
      <c r="C29480" s="5" t="str">
        <f>IFERROR(__xludf.DUMMYFUNCTION("GOOGLETRANSLATE(B29480,""en"",""fr"")"),"Plusieurs skieurs skient sur les pistes sur le côté d'une montagne.")</f>
        <v>Plusieurs skieurs skient sur les pistes sur le côté d'une montagne.</v>
      </c>
    </row>
    <row r="29481">
      <c r="A29481" s="4" t="s">
        <v>37121</v>
      </c>
      <c r="B29481" s="4" t="s">
        <v>37124</v>
      </c>
      <c r="C29481" s="5" t="str">
        <f>IFERROR(__xludf.DUMMYFUNCTION("GOOGLETRANSLATE(B29481,""en"",""fr"")"),"Un gros plan est vu de certains skieurs au fur et à mesure.")</f>
        <v>Un gros plan est vu de certains skieurs au fur et à mesure.</v>
      </c>
    </row>
    <row r="29482">
      <c r="A29482" s="4" t="s">
        <v>37125</v>
      </c>
      <c r="B29482" s="4" t="s">
        <v>37126</v>
      </c>
      <c r="C29482" s="5" t="str">
        <f>IFERROR(__xludf.DUMMYFUNCTION("GOOGLETRANSLATE(B29482,""en"",""fr"")"),"Une personne est vue rouler sur un vélo de saleté qui l'emmène en parlant à la caméra.")</f>
        <v>Une personne est vue rouler sur un vélo de saleté qui l'emmène en parlant à la caméra.</v>
      </c>
    </row>
    <row r="29483">
      <c r="A29483" s="4" t="s">
        <v>37125</v>
      </c>
      <c r="B29483" s="4" t="s">
        <v>37127</v>
      </c>
      <c r="C29483" s="5" t="str">
        <f>IFERROR(__xludf.DUMMYFUNCTION("GOOGLETRANSLATE(B29483,""en"",""fr"")"),"Il montre son vélo ainsi que sa caméra et mène à plusieurs clips de lui rouler.")</f>
        <v>Il montre son vélo ainsi que sa caméra et mène à plusieurs clips de lui rouler.</v>
      </c>
    </row>
    <row r="29484">
      <c r="A29484" s="4" t="s">
        <v>37125</v>
      </c>
      <c r="B29484" s="6" t="s">
        <v>37128</v>
      </c>
      <c r="C29484" s="5" t="str">
        <f>IFERROR(__xludf.DUMMYFUNCTION("GOOGLETRANSLATE(B29484,""en"",""fr"")"),"Il continue de rouler sur la piste tout en montrant des gros plans de lui-même ainsi que de la caméra.")</f>
        <v>Il continue de rouler sur la piste tout en montrant des gros plans de lui-même ainsi que de la caméra.</v>
      </c>
    </row>
    <row r="29485">
      <c r="A29485" s="4" t="s">
        <v>37129</v>
      </c>
      <c r="B29485" s="4" t="s">
        <v>37130</v>
      </c>
      <c r="C29485" s="5" t="str">
        <f>IFERROR(__xludf.DUMMYFUNCTION("GOOGLETRANSLATE(B29485,""en"",""fr"")"),"Un jeune homme est vu jouer un seul tambour debout à côté d'un groupe de personnes qui battent également.")</f>
        <v>Un jeune homme est vu jouer un seul tambour debout à côté d'un groupe de personnes qui battent également.</v>
      </c>
    </row>
    <row r="29486">
      <c r="A29486" s="4" t="s">
        <v>37129</v>
      </c>
      <c r="B29486" s="6" t="s">
        <v>37131</v>
      </c>
      <c r="C29486" s="5" t="str">
        <f>IFERROR(__xludf.DUMMYFUNCTION("GOOGLETRANSLATE(B29486,""en"",""fr"")"),"Le garçon continue de tambourner avec le groupe et la caméra se déroule aux gens qui regardent sur les côtés.")</f>
        <v>Le garçon continue de tambourner avec le groupe et la caméra se déroule aux gens qui regardent sur les côtés.</v>
      </c>
    </row>
    <row r="29487">
      <c r="A29487" s="4" t="s">
        <v>37132</v>
      </c>
      <c r="B29487" s="4" t="s">
        <v>37133</v>
      </c>
      <c r="C29487" s="5" t="str">
        <f>IFERROR(__xludf.DUMMYFUNCTION("GOOGLETRANSLATE(B29487,""en"",""fr"")"),"Un homme est montré dans plusieurs coups de feu sur une planche à roulettes.")</f>
        <v>Un homme est montré dans plusieurs coups de feu sur une planche à roulettes.</v>
      </c>
    </row>
    <row r="29488">
      <c r="A29488" s="4" t="s">
        <v>37132</v>
      </c>
      <c r="B29488" s="4" t="s">
        <v>37134</v>
      </c>
      <c r="C29488" s="5" t="str">
        <f>IFERROR(__xludf.DUMMYFUNCTION("GOOGLETRANSLATE(B29488,""en"",""fr"")"),"Les gros plans sont représentés des objets ainsi que de la planche à roulettes et des endroits que vous pouvez les acheter.")</f>
        <v>Les gros plans sont représentés des objets ainsi que de la planche à roulettes et des endroits que vous pouvez les acheter.</v>
      </c>
    </row>
    <row r="29489">
      <c r="A29489" s="4" t="s">
        <v>37132</v>
      </c>
      <c r="B29489" s="4" t="s">
        <v>37135</v>
      </c>
      <c r="C29489" s="5" t="str">
        <f>IFERROR(__xludf.DUMMYFUNCTION("GOOGLETRANSLATE(B29489,""en"",""fr"")"),"Plus de gros plans sont illustrés à des produits.")</f>
        <v>Plus de gros plans sont illustrés à des produits.</v>
      </c>
    </row>
    <row r="29490">
      <c r="A29490" s="4" t="s">
        <v>37136</v>
      </c>
      <c r="B29490" s="4" t="s">
        <v>37137</v>
      </c>
      <c r="C29490" s="5" t="str">
        <f>IFERROR(__xludf.DUMMYFUNCTION("GOOGLETRANSLATE(B29490,""en"",""fr"")"),"Nous voyons une personne à réaction.")</f>
        <v>Nous voyons une personne à réaction.</v>
      </c>
    </row>
    <row r="29491">
      <c r="A29491" s="4" t="s">
        <v>37136</v>
      </c>
      <c r="B29491" s="4" t="s">
        <v>37138</v>
      </c>
      <c r="C29491" s="5" t="str">
        <f>IFERROR(__xludf.DUMMYFUNCTION("GOOGLETRANSLATE(B29491,""en"",""fr"")"),"Nous voyons une voile rouge et noire sur une planche de surf.")</f>
        <v>Nous voyons une voile rouge et noire sur une planche de surf.</v>
      </c>
    </row>
    <row r="29492">
      <c r="A29492" s="4" t="s">
        <v>37136</v>
      </c>
      <c r="B29492" s="4" t="s">
        <v>37139</v>
      </c>
      <c r="C29492" s="5" t="str">
        <f>IFERROR(__xludf.DUMMYFUNCTION("GOOGLETRANSLATE(B29492,""en"",""fr"")"),"Nous voyons ensuite une voile jaune et bleue.")</f>
        <v>Nous voyons ensuite une voile jaune et bleue.</v>
      </c>
    </row>
    <row r="29493">
      <c r="A29493" s="4" t="s">
        <v>37136</v>
      </c>
      <c r="B29493" s="4" t="s">
        <v>37140</v>
      </c>
      <c r="C29493" s="5" t="str">
        <f>IFERROR(__xludf.DUMMYFUNCTION("GOOGLETRANSLATE(B29493,""en"",""fr"")"),"Un jaune passe un noir et continue, puis le jaune se retourne.")</f>
        <v>Un jaune passe un noir et continue, puis le jaune se retourne.</v>
      </c>
    </row>
    <row r="29494">
      <c r="A29494" s="4" t="s">
        <v>37136</v>
      </c>
      <c r="B29494" s="4" t="s">
        <v>37141</v>
      </c>
      <c r="C29494" s="5" t="str">
        <f>IFERROR(__xludf.DUMMYFUNCTION("GOOGLETRANSLATE(B29494,""en"",""fr"")"),"Un vert jaunâtre apparaît à l'écran.")</f>
        <v>Un vert jaunâtre apparaît à l'écran.</v>
      </c>
    </row>
    <row r="29495">
      <c r="A29495" s="4" t="s">
        <v>37136</v>
      </c>
      <c r="B29495" s="4" t="s">
        <v>37142</v>
      </c>
      <c r="C29495" s="5" t="str">
        <f>IFERROR(__xludf.DUMMYFUNCTION("GOOGLETRANSLATE(B29495,""en"",""fr"")"),"Trois passent un rouge et bleu allant dans des directions opposées.")</f>
        <v>Trois passent un rouge et bleu allant dans des directions opposées.</v>
      </c>
    </row>
    <row r="29496">
      <c r="A29496" s="4" t="s">
        <v>37136</v>
      </c>
      <c r="B29496" s="4" t="s">
        <v>37143</v>
      </c>
      <c r="C29496" s="5" t="str">
        <f>IFERROR(__xludf.DUMMYFUNCTION("GOOGLETRANSLATE(B29496,""en"",""fr"")"),"Le cavalier du rouge et du bleu tombe de sa planche.")</f>
        <v>Le cavalier du rouge et du bleu tombe de sa planche.</v>
      </c>
    </row>
    <row r="29497">
      <c r="A29497" s="4" t="s">
        <v>37144</v>
      </c>
      <c r="B29497" s="4" t="s">
        <v>37145</v>
      </c>
      <c r="C29497" s="5" t="str">
        <f>IFERROR(__xludf.DUMMYFUNCTION("GOOGLETRANSLATE(B29497,""en"",""fr"")"),"Un homme se tient sur un élaboration elliptique.")</f>
        <v>Un homme se tient sur un élaboration elliptique.</v>
      </c>
    </row>
    <row r="29498">
      <c r="A29498" s="4" t="s">
        <v>37144</v>
      </c>
      <c r="B29498" s="4" t="s">
        <v>37146</v>
      </c>
      <c r="C29498" s="5" t="str">
        <f>IFERROR(__xludf.DUMMYFUNCTION("GOOGLETRANSLATE(B29498,""en"",""fr"")"),"Il déplace ses bras d'avant en arrière.")</f>
        <v>Il déplace ses bras d'avant en arrière.</v>
      </c>
    </row>
    <row r="29499">
      <c r="A29499" s="4" t="s">
        <v>37144</v>
      </c>
      <c r="B29499" s="4" t="s">
        <v>37147</v>
      </c>
      <c r="C29499" s="5" t="str">
        <f>IFERROR(__xludf.DUMMYFUNCTION("GOOGLETRANSLATE(B29499,""en"",""fr"")"),"Il y a un lac derrière lui.")</f>
        <v>Il y a un lac derrière lui.</v>
      </c>
    </row>
    <row r="29500">
      <c r="A29500" s="4" t="s">
        <v>37148</v>
      </c>
      <c r="B29500" s="6" t="s">
        <v>37149</v>
      </c>
      <c r="C29500" s="5" t="str">
        <f>IFERROR(__xludf.DUMMYFUNCTION("GOOGLETRANSLATE(B29500,""en"",""fr"")"),"Trois enfants sont vus se démarquer devant une maison quand on joue Scotch Hop Scotch à une personne qui arrive dans le cadre.")</f>
        <v>Trois enfants sont vus se démarquer devant une maison quand on joue Scotch Hop Scotch à une personne qui arrive dans le cadre.</v>
      </c>
    </row>
    <row r="29501">
      <c r="A29501" s="4" t="s">
        <v>37148</v>
      </c>
      <c r="B29501" s="6" t="s">
        <v>37150</v>
      </c>
      <c r="C29501" s="5" t="str">
        <f>IFERROR(__xludf.DUMMYFUNCTION("GOOGLETRANSLATE(B29501,""en"",""fr"")"),"La caméra suit la même fille qui suit un long chemin et continuant son chemin vers l'endroit où elle a commencé.")</f>
        <v>La caméra suit la même fille qui suit un long chemin et continuant son chemin vers l'endroit où elle a commencé.</v>
      </c>
    </row>
    <row r="29502">
      <c r="A29502" s="4" t="s">
        <v>37151</v>
      </c>
      <c r="B29502" s="4" t="s">
        <v>37152</v>
      </c>
      <c r="C29502" s="5" t="str">
        <f>IFERROR(__xludf.DUMMYFUNCTION("GOOGLETRANSLATE(B29502,""en"",""fr"")"),"Un jeune homme est assis dans sa chambre.")</f>
        <v>Un jeune homme est assis dans sa chambre.</v>
      </c>
    </row>
    <row r="29503">
      <c r="A29503" s="4" t="s">
        <v>37151</v>
      </c>
      <c r="B29503" s="4" t="s">
        <v>37153</v>
      </c>
      <c r="C29503" s="5" t="str">
        <f>IFERROR(__xludf.DUMMYFUNCTION("GOOGLETRANSLATE(B29503,""en"",""fr"")"),"Le jeune homme a commencé à jouer de sa guitare.")</f>
        <v>Le jeune homme a commencé à jouer de sa guitare.</v>
      </c>
    </row>
    <row r="29504">
      <c r="A29504" s="4" t="s">
        <v>37151</v>
      </c>
      <c r="B29504" s="4" t="s">
        <v>37154</v>
      </c>
      <c r="C29504" s="5" t="str">
        <f>IFERROR(__xludf.DUMMYFUNCTION("GOOGLETRANSLATE(B29504,""en"",""fr"")"),"Le jeune homme bouge ses doigts alors qu'il appuye sur les fils de la guitare.")</f>
        <v>Le jeune homme bouge ses doigts alors qu'il appuye sur les fils de la guitare.</v>
      </c>
    </row>
    <row r="29505">
      <c r="A29505" s="4" t="s">
        <v>37155</v>
      </c>
      <c r="B29505" s="6" t="s">
        <v>37156</v>
      </c>
      <c r="C29505" s="5" t="str">
        <f>IFERROR(__xludf.DUMMYFUNCTION("GOOGLETRANSLATE(B29505,""en"",""fr"")"),"Un homme aux yeux bandés se tient à l'extérieur avec des véhicules garés derrière lui et il joue un petit ensemble de bongos ainsi qu'un grand ensemble de bongos juste à côté.")</f>
        <v>Un homme aux yeux bandés se tient à l'extérieur avec des véhicules garés derrière lui et il joue un petit ensemble de bongos ainsi qu'un grand ensemble de bongos juste à côté.</v>
      </c>
    </row>
    <row r="29506">
      <c r="A29506" s="4" t="s">
        <v>37155</v>
      </c>
      <c r="B29506" s="6" t="s">
        <v>37157</v>
      </c>
      <c r="C29506" s="5" t="str">
        <f>IFERROR(__xludf.DUMMYFUNCTION("GOOGLETRANSLATE(B29506,""en"",""fr"")"),"L'homme ne frappe rapidement que les petits bongos, puis se déplace sur les gros bongos en allant de sa droite à sa gauche.")</f>
        <v>L'homme ne frappe rapidement que les petits bongos, puis se déplace sur les gros bongos en allant de sa droite à sa gauche.</v>
      </c>
    </row>
    <row r="29507">
      <c r="A29507" s="4" t="s">
        <v>37155</v>
      </c>
      <c r="B29507" s="6" t="s">
        <v>37158</v>
      </c>
      <c r="C29507" s="5" t="str">
        <f>IFERROR(__xludf.DUMMYFUNCTION("GOOGLETRANSLATE(B29507,""en"",""fr"")"),"Au retour en arrière allant de sa gauche à sa droite, il ne frappe d'abord que les grands bongos, puis frappe les plus petits bongos.")</f>
        <v>Au retour en arrière allant de sa gauche à sa droite, il ne frappe d'abord que les grands bongos, puis frappe les plus petits bongos.</v>
      </c>
    </row>
    <row r="29508">
      <c r="A29508" s="4" t="s">
        <v>37159</v>
      </c>
      <c r="B29508" s="4" t="s">
        <v>37160</v>
      </c>
      <c r="C29508" s="5" t="str">
        <f>IFERROR(__xludf.DUMMYFUNCTION("GOOGLETRANSLATE(B29508,""en"",""fr"")"),"Un gros plan est illustré à une femme portant des lunettes.")</f>
        <v>Un gros plan est illustré à une femme portant des lunettes.</v>
      </c>
    </row>
    <row r="29509">
      <c r="A29509" s="4" t="s">
        <v>37159</v>
      </c>
      <c r="B29509" s="4" t="s">
        <v>37161</v>
      </c>
      <c r="C29509" s="5" t="str">
        <f>IFERROR(__xludf.DUMMYFUNCTION("GOOGLETRANSLATE(B29509,""en"",""fr"")"),"Elle commence à fumer une cigarette, puis se penche.")</f>
        <v>Elle commence à fumer une cigarette, puis se penche.</v>
      </c>
    </row>
    <row r="29510">
      <c r="A29510" s="4" t="s">
        <v>37159</v>
      </c>
      <c r="B29510" s="4" t="s">
        <v>37162</v>
      </c>
      <c r="C29510" s="5" t="str">
        <f>IFERROR(__xludf.DUMMYFUNCTION("GOOGLETRANSLATE(B29510,""en"",""fr"")"),"Une femme au lit rit alors qu'elle tombe sur son propre lit, fumant toujours.")</f>
        <v>Une femme au lit rit alors qu'elle tombe sur son propre lit, fumant toujours.</v>
      </c>
    </row>
    <row r="29511">
      <c r="A29511" s="4" t="s">
        <v>37163</v>
      </c>
      <c r="B29511" s="6" t="s">
        <v>37164</v>
      </c>
      <c r="C29511" s="5" t="str">
        <f>IFERROR(__xludf.DUMMYFUNCTION("GOOGLETRANSLATE(B29511,""en"",""fr"")"),"L'homme se tient devant une table à couper les légumes et à préparer un sandwich, il a mis un fromage au beurre de pain, une avoado et du jambon et un sandwich roulé.")</f>
        <v>L'homme se tient devant une table à couper les légumes et à préparer un sandwich, il a mis un fromage au beurre de pain, une avoado et du jambon et un sandwich roulé.</v>
      </c>
    </row>
    <row r="29512">
      <c r="A29512" s="4" t="s">
        <v>37163</v>
      </c>
      <c r="B29512" s="6" t="s">
        <v>37165</v>
      </c>
      <c r="C29512" s="5" t="str">
        <f>IFERROR(__xludf.DUMMYFUNCTION("GOOGLETRANSLATE(B29512,""en"",""fr"")"),"L'homme parle de la caméra et étalé du beurre dans des tranches de pain avec un couteau mettre du cheddar, du jambon et du ketchup et coupé en quatre tranches et les servir dans une assiette.")</f>
        <v>L'homme parle de la caméra et étalé du beurre dans des tranches de pain avec un couteau mettre du cheddar, du jambon et du ketchup et coupé en quatre tranches et les servir dans une assiette.</v>
      </c>
    </row>
    <row r="29513">
      <c r="A29513" s="4" t="s">
        <v>37166</v>
      </c>
      <c r="B29513" s="4" t="s">
        <v>37167</v>
      </c>
      <c r="C29513" s="5" t="str">
        <f>IFERROR(__xludf.DUMMYFUNCTION("GOOGLETRANSLATE(B29513,""en"",""fr"")"),"Un homme en manteau bleu parle à l'extérieur par un rocher.")</f>
        <v>Un homme en manteau bleu parle à l'extérieur par un rocher.</v>
      </c>
    </row>
    <row r="29514">
      <c r="A29514" s="4" t="s">
        <v>37166</v>
      </c>
      <c r="B29514" s="4" t="s">
        <v>37168</v>
      </c>
      <c r="C29514" s="5" t="str">
        <f>IFERROR(__xludf.DUMMYFUNCTION("GOOGLETRANSLATE(B29514,""en"",""fr"")"),"Il porte un harnais d'escalade.")</f>
        <v>Il porte un harnais d'escalade.</v>
      </c>
    </row>
    <row r="29515">
      <c r="A29515" s="4" t="s">
        <v>37166</v>
      </c>
      <c r="B29515" s="4" t="s">
        <v>37169</v>
      </c>
      <c r="C29515" s="5" t="str">
        <f>IFERROR(__xludf.DUMMYFUNCTION("GOOGLETRANSLATE(B29515,""en"",""fr"")"),"Il commence à grimper le rocher.")</f>
        <v>Il commence à grimper le rocher.</v>
      </c>
    </row>
    <row r="29516">
      <c r="A29516" s="4" t="s">
        <v>37166</v>
      </c>
      <c r="B29516" s="4" t="s">
        <v>37170</v>
      </c>
      <c r="C29516" s="5" t="str">
        <f>IFERROR(__xludf.DUMMYFUNCTION("GOOGLETRANSLATE(B29516,""en"",""fr"")"),"Il a une corde autour de son cou avec différents outils d'escalade.")</f>
        <v>Il a une corde autour de son cou avec différents outils d'escalade.</v>
      </c>
    </row>
    <row r="29517">
      <c r="A29517" s="4" t="s">
        <v>37166</v>
      </c>
      <c r="B29517" s="4" t="s">
        <v>37171</v>
      </c>
      <c r="C29517" s="5" t="str">
        <f>IFERROR(__xludf.DUMMYFUNCTION("GOOGLETRANSLATE(B29517,""en"",""fr"")"),"Il donne à une autre personne un high cinq.")</f>
        <v>Il donne à une autre personne un high cinq.</v>
      </c>
    </row>
    <row r="29518">
      <c r="A29518" s="4" t="s">
        <v>37172</v>
      </c>
      <c r="B29518" s="4" t="s">
        <v>37173</v>
      </c>
      <c r="C29518" s="5" t="str">
        <f>IFERROR(__xludf.DUMMYFUNCTION("GOOGLETRANSLATE(B29518,""en"",""fr"")"),"Deux personnes sont vues descendre une colline avec l'une sur des skis et l'autre sur un traîneau.")</f>
        <v>Deux personnes sont vues descendre une colline avec l'une sur des skis et l'autre sur un traîneau.</v>
      </c>
    </row>
    <row r="29519">
      <c r="A29519" s="4" t="s">
        <v>37172</v>
      </c>
      <c r="B29519" s="6" t="s">
        <v>37174</v>
      </c>
      <c r="C29519" s="5" t="str">
        <f>IFERROR(__xludf.DUMMYFUNCTION("GOOGLETRANSLATE(B29519,""en"",""fr"")"),"La personne passe ensuite par-dessus un saut et s'écrase dans une banque de neige, montrant à nouveau le même coup au ralenti.")</f>
        <v>La personne passe ensuite par-dessus un saut et s'écrase dans une banque de neige, montrant à nouveau le même coup au ralenti.</v>
      </c>
    </row>
    <row r="29520">
      <c r="A29520" s="4" t="s">
        <v>37175</v>
      </c>
      <c r="B29520" s="6" t="s">
        <v>37176</v>
      </c>
      <c r="C29520" s="5" t="str">
        <f>IFERROR(__xludf.DUMMYFUNCTION("GOOGLETRANSLATE(B29520,""en"",""fr"")"),"Un homme et une femme vêtus d'une robe de soirée noire et d'un costume noir dansent dans un style de danse de salle de bal dans une grande pièce avec des planchers en pierre et des fenêtres râpées.")</f>
        <v>Un homme et une femme vêtus d'une robe de soirée noire et d'un costume noir dansent dans un style de danse de salle de bal dans une grande pièce avec des planchers en pierre et des fenêtres râpées.</v>
      </c>
    </row>
    <row r="29521">
      <c r="A29521" s="4" t="s">
        <v>37175</v>
      </c>
      <c r="B29521" s="4" t="s">
        <v>37177</v>
      </c>
      <c r="C29521" s="5" t="str">
        <f>IFERROR(__xludf.DUMMYFUNCTION("GOOGLETRANSLATE(B29521,""en"",""fr"")"),"L'homme et la femme commencent par une danse rapide avec beaucoup de travail à pied tourbillonnant sur le sol.")</f>
        <v>L'homme et la femme commencent par une danse rapide avec beaucoup de travail à pied tourbillonnant sur le sol.</v>
      </c>
    </row>
    <row r="29522">
      <c r="A29522" s="4" t="s">
        <v>37175</v>
      </c>
      <c r="B29522" s="6" t="s">
        <v>37178</v>
      </c>
      <c r="C29522" s="5" t="str">
        <f>IFERROR(__xludf.DUMMYFUNCTION("GOOGLETRANSLATE(B29522,""en"",""fr"")"),"L'homme et la femme commencent alors une danse lente dans laquelle ils glissent, se caressent, se tournent et tournonnent à travers le sol parfois persistant dans des postures qui impliquent une romance.")</f>
        <v>L'homme et la femme commencent alors une danse lente dans laquelle ils glissent, se caressent, se tournent et tournonnent à travers le sol parfois persistant dans des postures qui impliquent une romance.</v>
      </c>
    </row>
    <row r="29523">
      <c r="A29523" s="4" t="s">
        <v>37175</v>
      </c>
      <c r="B29523" s="6" t="s">
        <v>37179</v>
      </c>
      <c r="C29523" s="5" t="str">
        <f>IFERROR(__xludf.DUMMYFUNCTION("GOOGLETRANSLATE(B29523,""en"",""fr"")"),"L'homme et la femme recommencent à danser rapidement en utilisant des tourbillons rapides et des pieds et avec l'homme qui ramasse la femme et la tournant en l'air jusqu'à une dernière caisse.")</f>
        <v>L'homme et la femme recommencent à danser rapidement en utilisant des tourbillons rapides et des pieds et avec l'homme qui ramasse la femme et la tournant en l'air jusqu'à une dernière caisse.</v>
      </c>
    </row>
    <row r="29524">
      <c r="A29524" s="4" t="s">
        <v>37180</v>
      </c>
      <c r="B29524" s="4" t="s">
        <v>37181</v>
      </c>
      <c r="C29524" s="5" t="str">
        <f>IFERROR(__xludf.DUMMYFUNCTION("GOOGLETRANSLATE(B29524,""en"",""fr"")"),"Un jeune garçon est vu nager avec une autre personne debout dans l'eau.")</f>
        <v>Un jeune garçon est vu nager avec une autre personne debout dans l'eau.</v>
      </c>
    </row>
    <row r="29525">
      <c r="A29525" s="4" t="s">
        <v>37180</v>
      </c>
      <c r="B29525" s="4" t="s">
        <v>37182</v>
      </c>
      <c r="C29525" s="5" t="str">
        <f>IFERROR(__xludf.DUMMYFUNCTION("GOOGLETRANSLATE(B29525,""en"",""fr"")"),"Le garçon continue de nager avec les autres personnes ainsi que les flips sous l'eau.")</f>
        <v>Le garçon continue de nager avec les autres personnes ainsi que les flips sous l'eau.</v>
      </c>
    </row>
    <row r="29526">
      <c r="A29526" s="4" t="s">
        <v>37180</v>
      </c>
      <c r="B29526" s="4" t="s">
        <v>37183</v>
      </c>
      <c r="C29526" s="5" t="str">
        <f>IFERROR(__xludf.DUMMYFUNCTION("GOOGLETRANSLATE(B29526,""en"",""fr"")"),"Les enfants se déplacent sous et sur l'eau pendant que la caméra continue de les suivre.")</f>
        <v>Les enfants se déplacent sous et sur l'eau pendant que la caméra continue de les suivre.</v>
      </c>
    </row>
    <row r="29527">
      <c r="A29527" s="4" t="s">
        <v>37184</v>
      </c>
      <c r="B29527" s="4" t="s">
        <v>37185</v>
      </c>
      <c r="C29527" s="5" t="str">
        <f>IFERROR(__xludf.DUMMYFUNCTION("GOOGLETRANSLATE(B29527,""en"",""fr"")"),"Un homme chante une chanson avec quelqu'un joue un accordéon dans un restaurant.")</f>
        <v>Un homme chante une chanson avec quelqu'un joue un accordéon dans un restaurant.</v>
      </c>
    </row>
    <row r="29528">
      <c r="A29528" s="4" t="s">
        <v>37184</v>
      </c>
      <c r="B29528" s="4" t="s">
        <v>37186</v>
      </c>
      <c r="C29528" s="5" t="str">
        <f>IFERROR(__xludf.DUMMYFUNCTION("GOOGLETRANSLATE(B29528,""en"",""fr"")"),"L'homme jouant de l'accordéon brise son instrument en deux.")</f>
        <v>L'homme jouant de l'accordéon brise son instrument en deux.</v>
      </c>
    </row>
    <row r="29529">
      <c r="A29529" s="4" t="s">
        <v>37184</v>
      </c>
      <c r="B29529" s="4" t="s">
        <v>37187</v>
      </c>
      <c r="C29529" s="5" t="str">
        <f>IFERROR(__xludf.DUMMYFUNCTION("GOOGLETRANSLATE(B29529,""en"",""fr"")"),"Les gens sont surpris mais continuent de chanter la chanson.")</f>
        <v>Les gens sont surpris mais continuent de chanter la chanson.</v>
      </c>
    </row>
    <row r="29530">
      <c r="A29530" s="4" t="s">
        <v>37188</v>
      </c>
      <c r="B29530" s="4" t="s">
        <v>37189</v>
      </c>
      <c r="C29530" s="5" t="str">
        <f>IFERROR(__xludf.DUMMYFUNCTION("GOOGLETRANSLATE(B29530,""en"",""fr"")"),"Un petit garçon est debout sur le parking, il ne porte pas de chemise, il a parlé à la caméra.")</f>
        <v>Un petit garçon est debout sur le parking, il ne porte pas de chemise, il a parlé à la caméra.</v>
      </c>
    </row>
    <row r="29531">
      <c r="A29531" s="4" t="s">
        <v>37188</v>
      </c>
      <c r="B29531" s="4" t="s">
        <v>37190</v>
      </c>
      <c r="C29531" s="5" t="str">
        <f>IFERROR(__xludf.DUMMYFUNCTION("GOOGLETRANSLATE(B29531,""en"",""fr"")"),"Il marcha ensuite avec ses deux coudes vers la route.")</f>
        <v>Il marcha ensuite avec ses deux coudes vers la route.</v>
      </c>
    </row>
    <row r="29532">
      <c r="A29532" s="4" t="s">
        <v>37188</v>
      </c>
      <c r="B29532" s="6" t="s">
        <v>37191</v>
      </c>
      <c r="C29532" s="5" t="str">
        <f>IFERROR(__xludf.DUMMYFUNCTION("GOOGLETRANSLATE(B29532,""en"",""fr"")"),"Le garçon est sur scène en jouant une guitare brune, il ne porte pas de chemise, il y a un microphone devant lui, derrière lui est un homme jouant aussi une guitare.")</f>
        <v>Le garçon est sur scène en jouant une guitare brune, il ne porte pas de chemise, il y a un microphone devant lui, derrière lui est un homme jouant aussi une guitare.</v>
      </c>
    </row>
    <row r="29533">
      <c r="A29533" s="4" t="s">
        <v>37192</v>
      </c>
      <c r="B29533" s="4" t="s">
        <v>37193</v>
      </c>
      <c r="C29533" s="5" t="str">
        <f>IFERROR(__xludf.DUMMYFUNCTION("GOOGLETRANSLATE(B29533,""en"",""fr"")"),"Un garçon court sur une piste.")</f>
        <v>Un garçon court sur une piste.</v>
      </c>
    </row>
    <row r="29534">
      <c r="A29534" s="4" t="s">
        <v>37192</v>
      </c>
      <c r="B29534" s="4" t="s">
        <v>37194</v>
      </c>
      <c r="C29534" s="5" t="str">
        <f>IFERROR(__xludf.DUMMYFUNCTION("GOOGLETRANSLATE(B29534,""en"",""fr"")"),"Le garçon soulève son corps au-dessus de la hauteur d'un poteau.")</f>
        <v>Le garçon soulève son corps au-dessus de la hauteur d'un poteau.</v>
      </c>
    </row>
    <row r="29535">
      <c r="A29535" s="4" t="s">
        <v>37192</v>
      </c>
      <c r="B29535" s="4" t="s">
        <v>37195</v>
      </c>
      <c r="C29535" s="5" t="str">
        <f>IFERROR(__xludf.DUMMYFUNCTION("GOOGLETRANSLATE(B29535,""en"",""fr"")"),"Le garçon atterrit sur son dos sur un tapis rouge.")</f>
        <v>Le garçon atterrit sur son dos sur un tapis rouge.</v>
      </c>
    </row>
    <row r="29536">
      <c r="A29536" s="4" t="s">
        <v>37192</v>
      </c>
      <c r="B29536" s="4" t="s">
        <v>37196</v>
      </c>
      <c r="C29536" s="5" t="str">
        <f>IFERROR(__xludf.DUMMYFUNCTION("GOOGLETRANSLATE(B29536,""en"",""fr"")"),"Le garçon se lève du tapis.")</f>
        <v>Le garçon se lève du tapis.</v>
      </c>
    </row>
    <row r="29537">
      <c r="A29537" s="4" t="s">
        <v>37192</v>
      </c>
      <c r="B29537" s="4" t="s">
        <v>37197</v>
      </c>
      <c r="C29537" s="5" t="str">
        <f>IFERROR(__xludf.DUMMYFUNCTION("GOOGLETRANSLATE(B29537,""en"",""fr"")"),"Le garçon célèbre en applaudissant et en fléchissant les deux bras.")</f>
        <v>Le garçon célèbre en applaudissant et en fléchissant les deux bras.</v>
      </c>
    </row>
    <row r="29538">
      <c r="A29538" s="4" t="s">
        <v>37192</v>
      </c>
      <c r="B29538" s="4" t="s">
        <v>37198</v>
      </c>
      <c r="C29538" s="5" t="str">
        <f>IFERROR(__xludf.DUMMYFUNCTION("GOOGLETRANSLATE(B29538,""en"",""fr"")"),"Un homme se lève et observe.")</f>
        <v>Un homme se lève et observe.</v>
      </c>
    </row>
    <row r="29539">
      <c r="A29539" s="4" t="s">
        <v>37199</v>
      </c>
      <c r="B29539" s="4" t="s">
        <v>17268</v>
      </c>
      <c r="C29539" s="5" t="str">
        <f>IFERROR(__xludf.DUMMYFUNCTION("GOOGLETRANSLATE(B29539,""en"",""fr"")"),"Un homme parle à la caméra.")</f>
        <v>Un homme parle à la caméra.</v>
      </c>
    </row>
    <row r="29540">
      <c r="A29540" s="4" t="s">
        <v>37199</v>
      </c>
      <c r="B29540" s="4" t="s">
        <v>37200</v>
      </c>
      <c r="C29540" s="5" t="str">
        <f>IFERROR(__xludf.DUMMYFUNCTION("GOOGLETRANSLATE(B29540,""en"",""fr"")"),"L'homme se dirige vers un terrain de jeu pour enfants.")</f>
        <v>L'homme se dirige vers un terrain de jeu pour enfants.</v>
      </c>
    </row>
    <row r="29541">
      <c r="A29541" s="4" t="s">
        <v>37199</v>
      </c>
      <c r="B29541" s="4" t="s">
        <v>37201</v>
      </c>
      <c r="C29541" s="5" t="str">
        <f>IFERROR(__xludf.DUMMYFUNCTION("GOOGLETRANSLATE(B29541,""en"",""fr"")"),"L'homme est suspendu aux appareils de type bar monté dans le terrain de jeu.")</f>
        <v>L'homme est suspendu aux appareils de type bar monté dans le terrain de jeu.</v>
      </c>
    </row>
    <row r="29542">
      <c r="A29542" s="4" t="s">
        <v>37199</v>
      </c>
      <c r="B29542" s="4" t="s">
        <v>37202</v>
      </c>
      <c r="C29542" s="5" t="str">
        <f>IFERROR(__xludf.DUMMYFUNCTION("GOOGLETRANSLATE(B29542,""en"",""fr"")"),"L'homme démonte et revient à la caméra.")</f>
        <v>L'homme démonte et revient à la caméra.</v>
      </c>
    </row>
    <row r="29543">
      <c r="A29543" s="4" t="s">
        <v>37203</v>
      </c>
      <c r="B29543" s="4" t="s">
        <v>37204</v>
      </c>
      <c r="C29543" s="5" t="str">
        <f>IFERROR(__xludf.DUMMYFUNCTION("GOOGLETRANSLATE(B29543,""en"",""fr"")"),"Un homme parle à une caméra.")</f>
        <v>Un homme parle à une caméra.</v>
      </c>
    </row>
    <row r="29544">
      <c r="A29544" s="4" t="s">
        <v>37203</v>
      </c>
      <c r="B29544" s="4" t="s">
        <v>37205</v>
      </c>
      <c r="C29544" s="5" t="str">
        <f>IFERROR(__xludf.DUMMYFUNCTION("GOOGLETRANSLATE(B29544,""en"",""fr"")"),"Un autre homme se rasage le visage recouvert de crème à raser.")</f>
        <v>Un autre homme se rasage le visage recouvert de crème à raser.</v>
      </c>
    </row>
    <row r="29545">
      <c r="A29545" s="4" t="s">
        <v>37203</v>
      </c>
      <c r="B29545" s="4" t="s">
        <v>37206</v>
      </c>
      <c r="C29545" s="5" t="str">
        <f>IFERROR(__xludf.DUMMYFUNCTION("GOOGLETRANSLATE(B29545,""en"",""fr"")"),"L'homme se rase une partie de son cou.")</f>
        <v>L'homme se rase une partie de son cou.</v>
      </c>
    </row>
    <row r="29546">
      <c r="A29546" s="4" t="s">
        <v>37203</v>
      </c>
      <c r="B29546" s="4" t="s">
        <v>37207</v>
      </c>
      <c r="C29546" s="5" t="str">
        <f>IFERROR(__xludf.DUMMYFUNCTION("GOOGLETRANSLATE(B29546,""en"",""fr"")"),"Le rasoir de l'homme est recouvert de crème à raser pour qu'il rince le rasoir d'eau.")</f>
        <v>Le rasoir de l'homme est recouvert de crème à raser pour qu'il rince le rasoir d'eau.</v>
      </c>
    </row>
    <row r="29547">
      <c r="A29547" s="4" t="s">
        <v>37203</v>
      </c>
      <c r="B29547" s="4" t="s">
        <v>37208</v>
      </c>
      <c r="C29547" s="5" t="str">
        <f>IFERROR(__xludf.DUMMYFUNCTION("GOOGLETRANSLATE(B29547,""en"",""fr"")"),"L'homme parle à nouveau de la caméra.")</f>
        <v>L'homme parle à nouveau de la caméra.</v>
      </c>
    </row>
    <row r="29548">
      <c r="A29548" s="4" t="s">
        <v>37203</v>
      </c>
      <c r="B29548" s="4" t="s">
        <v>37209</v>
      </c>
      <c r="C29548" s="5" t="str">
        <f>IFERROR(__xludf.DUMMYFUNCTION("GOOGLETRANSLATE(B29548,""en"",""fr"")"),"L'homme de rasage se rase à nouveau une partie de sa zone.")</f>
        <v>L'homme de rasage se rase à nouveau une partie de sa zone.</v>
      </c>
    </row>
    <row r="29549">
      <c r="A29549" s="4" t="s">
        <v>37203</v>
      </c>
      <c r="B29549" s="4" t="s">
        <v>2807</v>
      </c>
      <c r="C29549" s="5" t="str">
        <f>IFERROR(__xludf.DUMMYFUNCTION("GOOGLETRANSLATE(B29549,""en"",""fr"")"),"L'homme revient pour parler à la caméra.")</f>
        <v>L'homme revient pour parler à la caméra.</v>
      </c>
    </row>
    <row r="29550">
      <c r="A29550" s="4" t="s">
        <v>37203</v>
      </c>
      <c r="B29550" s="4" t="s">
        <v>37210</v>
      </c>
      <c r="C29550" s="5" t="str">
        <f>IFERROR(__xludf.DUMMYFUNCTION("GOOGLETRANSLATE(B29550,""en"",""fr"")"),"Une animation de rasage est montrée.")</f>
        <v>Une animation de rasage est montrée.</v>
      </c>
    </row>
    <row r="29551">
      <c r="A29551" s="4" t="s">
        <v>37203</v>
      </c>
      <c r="B29551" s="4" t="s">
        <v>37211</v>
      </c>
      <c r="C29551" s="5" t="str">
        <f>IFERROR(__xludf.DUMMYFUNCTION("GOOGLETRANSLATE(B29551,""en"",""fr"")"),"L'homme continue de parler à la caméra.")</f>
        <v>L'homme continue de parler à la caméra.</v>
      </c>
    </row>
    <row r="29552">
      <c r="A29552" s="4" t="s">
        <v>37203</v>
      </c>
      <c r="B29552" s="4" t="s">
        <v>37212</v>
      </c>
      <c r="C29552" s="5" t="str">
        <f>IFERROR(__xludf.DUMMYFUNCTION("GOOGLETRANSLATE(B29552,""en"",""fr"")"),"L'homme rasant se rasage plus vers son menton, y compris sa joue supérieure.")</f>
        <v>L'homme rasant se rasage plus vers son menton, y compris sa joue supérieure.</v>
      </c>
    </row>
    <row r="29553">
      <c r="A29553" s="4" t="s">
        <v>37203</v>
      </c>
      <c r="B29553" s="4" t="s">
        <v>37213</v>
      </c>
      <c r="C29553" s="5" t="str">
        <f>IFERROR(__xludf.DUMMYFUNCTION("GOOGLETRANSLATE(B29553,""en"",""fr"")"),"L'homme parle un peu plus à la caméra.")</f>
        <v>L'homme parle un peu plus à la caméra.</v>
      </c>
    </row>
    <row r="29554">
      <c r="A29554" s="4" t="s">
        <v>37214</v>
      </c>
      <c r="B29554" s="4" t="s">
        <v>37215</v>
      </c>
      <c r="C29554" s="5" t="str">
        <f>IFERROR(__xludf.DUMMYFUNCTION("GOOGLETRANSLATE(B29554,""en"",""fr"")"),"Un homme est assis derrière deux congas avec une épaule enroulée.")</f>
        <v>Un homme est assis derrière deux congas avec une épaule enroulée.</v>
      </c>
    </row>
    <row r="29555">
      <c r="A29555" s="4" t="s">
        <v>37214</v>
      </c>
      <c r="B29555" s="4" t="s">
        <v>37216</v>
      </c>
      <c r="C29555" s="5" t="str">
        <f>IFERROR(__xludf.DUMMYFUNCTION("GOOGLETRANSLATE(B29555,""en"",""fr"")"),"Après avoir fini de parler, il a commencé à frapper le conga.")</f>
        <v>Après avoir fini de parler, il a commencé à frapper le conga.</v>
      </c>
    </row>
    <row r="29556">
      <c r="A29556" s="4" t="s">
        <v>37214</v>
      </c>
      <c r="B29556" s="4" t="s">
        <v>37217</v>
      </c>
      <c r="C29556" s="5" t="str">
        <f>IFERROR(__xludf.DUMMYFUNCTION("GOOGLETRANSLATE(B29556,""en"",""fr"")"),"Après plusieurs coups sûrs, il ajoute l'autre conga et commence à frapper l'autre conga.")</f>
        <v>Après plusieurs coups sûrs, il ajoute l'autre conga et commence à frapper l'autre conga.</v>
      </c>
    </row>
    <row r="29557">
      <c r="A29557" s="4" t="s">
        <v>37218</v>
      </c>
      <c r="B29557" s="4" t="s">
        <v>37219</v>
      </c>
      <c r="C29557" s="5" t="str">
        <f>IFERROR(__xludf.DUMMYFUNCTION("GOOGLETRANSLATE(B29557,""en"",""fr"")"),"Un homme mélange un jeu de cartes et les traite.")</f>
        <v>Un homme mélange un jeu de cartes et les traite.</v>
      </c>
    </row>
    <row r="29558">
      <c r="A29558" s="4" t="s">
        <v>37218</v>
      </c>
      <c r="B29558" s="4" t="s">
        <v>37220</v>
      </c>
      <c r="C29558" s="5" t="str">
        <f>IFERROR(__xludf.DUMMYFUNCTION("GOOGLETRANSLATE(B29558,""en"",""fr"")"),"Quatre as sont représentées face vers le haut sur la table.")</f>
        <v>Quatre as sont représentées face vers le haut sur la table.</v>
      </c>
    </row>
    <row r="29559">
      <c r="A29559" s="4" t="s">
        <v>37218</v>
      </c>
      <c r="B29559" s="4" t="s">
        <v>37221</v>
      </c>
      <c r="C29559" s="5" t="str">
        <f>IFERROR(__xludf.DUMMYFUNCTION("GOOGLETRANSLATE(B29559,""en"",""fr"")"),"Un homme est assis à une table et joue le blackjack.")</f>
        <v>Un homme est assis à une table et joue le blackjack.</v>
      </c>
    </row>
    <row r="29560">
      <c r="A29560" s="4" t="s">
        <v>37222</v>
      </c>
      <c r="B29560" s="4" t="s">
        <v>37223</v>
      </c>
      <c r="C29560" s="5" t="str">
        <f>IFERROR(__xludf.DUMMYFUNCTION("GOOGLETRANSLATE(B29560,""en"",""fr"")"),"Une équipe monte ensemble dans un bus.")</f>
        <v>Une équipe monte ensemble dans un bus.</v>
      </c>
    </row>
    <row r="29561">
      <c r="A29561" s="4" t="s">
        <v>37222</v>
      </c>
      <c r="B29561" s="4" t="s">
        <v>37224</v>
      </c>
      <c r="C29561" s="5" t="str">
        <f>IFERROR(__xludf.DUMMYFUNCTION("GOOGLETRANSLATE(B29561,""en"",""fr"")"),"Les équipes jouent à des jeux de soccer Beach.")</f>
        <v>Les équipes jouent à des jeux de soccer Beach.</v>
      </c>
    </row>
    <row r="29562">
      <c r="A29562" s="4" t="s">
        <v>37222</v>
      </c>
      <c r="B29562" s="4" t="s">
        <v>37225</v>
      </c>
      <c r="C29562" s="5" t="str">
        <f>IFERROR(__xludf.DUMMYFUNCTION("GOOGLETRANSLATE(B29562,""en"",""fr"")"),"Un homme fait un coup de pied de vélo dans le sable.")</f>
        <v>Un homme fait un coup de pied de vélo dans le sable.</v>
      </c>
    </row>
    <row r="29563">
      <c r="A29563" s="4" t="s">
        <v>37222</v>
      </c>
      <c r="B29563" s="4" t="s">
        <v>37226</v>
      </c>
      <c r="C29563" s="5" t="str">
        <f>IFERROR(__xludf.DUMMYFUNCTION("GOOGLETRANSLATE(B29563,""en"",""fr"")"),"L'équipe gagnante accueille un trophée ensemble et célèbre.")</f>
        <v>L'équipe gagnante accueille un trophée ensemble et célèbre.</v>
      </c>
    </row>
    <row r="29564">
      <c r="A29564" s="4" t="s">
        <v>37222</v>
      </c>
      <c r="B29564" s="4" t="s">
        <v>37227</v>
      </c>
      <c r="C29564" s="5" t="str">
        <f>IFERROR(__xludf.DUMMYFUNCTION("GOOGLETRANSLATE(B29564,""en"",""fr"")"),"Les coéquipiers appellent du banc et applaudissent.")</f>
        <v>Les coéquipiers appellent du banc et applaudissent.</v>
      </c>
    </row>
    <row r="29565">
      <c r="A29565" s="4" t="s">
        <v>37228</v>
      </c>
      <c r="B29565" s="6" t="s">
        <v>37229</v>
      </c>
      <c r="C29565" s="5" t="str">
        <f>IFERROR(__xludf.DUMMYFUNCTION("GOOGLETRANSLATE(B29565,""en"",""fr"")"),"Deux hommes de l'armée dans leurs uniformes sont attachés ensemble et se tirent dans la direction opposée dans le cadre de leur entraînement.")</f>
        <v>Deux hommes de l'armée dans leurs uniformes sont attachés ensemble et se tirent dans la direction opposée dans le cadre de leur entraînement.</v>
      </c>
    </row>
    <row r="29566">
      <c r="A29566" s="4" t="s">
        <v>37228</v>
      </c>
      <c r="B29566" s="6" t="s">
        <v>37230</v>
      </c>
      <c r="C29566" s="5" t="str">
        <f>IFERROR(__xludf.DUMMYFUNCTION("GOOGLETRANSLATE(B29566,""en"",""fr"")"),"Il y a une foule d'officiers de l'armée les qui les regardent pendant qu'ils font l'exercice d'entraînement en force.")</f>
        <v>Il y a une foule d'officiers de l'armée les qui les regardent pendant qu'ils font l'exercice d'entraînement en force.</v>
      </c>
    </row>
    <row r="29567">
      <c r="A29567" s="4" t="s">
        <v>37228</v>
      </c>
      <c r="B29567" s="6" t="s">
        <v>37231</v>
      </c>
      <c r="C29567" s="5" t="str">
        <f>IFERROR(__xludf.DUMMYFUNCTION("GOOGLETRANSLATE(B29567,""en"",""fr"")"),"Le match est terminé après que l'un des officiers de l'armée traîne l'autre officier sur le terrain et remporte le match.")</f>
        <v>Le match est terminé après que l'un des officiers de l'armée traîne l'autre officier sur le terrain et remporte le match.</v>
      </c>
    </row>
    <row r="29568">
      <c r="A29568" s="4" t="s">
        <v>37232</v>
      </c>
      <c r="B29568" s="4" t="s">
        <v>37233</v>
      </c>
      <c r="C29568" s="5" t="str">
        <f>IFERROR(__xludf.DUMMYFUNCTION("GOOGLETRANSLATE(B29568,""en"",""fr"")"),"L'homme en chemise bleue gronde le tambour devant lui.")</f>
        <v>L'homme en chemise bleue gronde le tambour devant lui.</v>
      </c>
    </row>
    <row r="29569">
      <c r="A29569" s="4" t="s">
        <v>37232</v>
      </c>
      <c r="B29569" s="4" t="s">
        <v>37234</v>
      </c>
      <c r="C29569" s="5" t="str">
        <f>IFERROR(__xludf.DUMMYFUNCTION("GOOGLETRANSLATE(B29569,""en"",""fr"")"),"Le jeune homme gratte le tambour devant lui puis le tambour suivant.")</f>
        <v>Le jeune homme gratte le tambour devant lui puis le tambour suivant.</v>
      </c>
    </row>
    <row r="29570">
      <c r="A29570" s="4" t="s">
        <v>37232</v>
      </c>
      <c r="B29570" s="4" t="s">
        <v>37235</v>
      </c>
      <c r="C29570" s="5" t="str">
        <f>IFERROR(__xludf.DUMMYFUNCTION("GOOGLETRANSLATE(B29570,""en"",""fr"")"),"Le jeune homme gratte la batterie devant lui.")</f>
        <v>Le jeune homme gratte la batterie devant lui.</v>
      </c>
    </row>
    <row r="29571">
      <c r="A29571" s="4" t="s">
        <v>37236</v>
      </c>
      <c r="B29571" s="4" t="s">
        <v>37237</v>
      </c>
      <c r="C29571" s="5" t="str">
        <f>IFERROR(__xludf.DUMMYFUNCTION("GOOGLETRANSLATE(B29571,""en"",""fr"")"),"Une femme ouvre le coffre d'une voiture.")</f>
        <v>Une femme ouvre le coffre d'une voiture.</v>
      </c>
    </row>
    <row r="29572">
      <c r="A29572" s="4" t="s">
        <v>37236</v>
      </c>
      <c r="B29572" s="4" t="s">
        <v>37238</v>
      </c>
      <c r="C29572" s="5" t="str">
        <f>IFERROR(__xludf.DUMMYFUNCTION("GOOGLETRANSLATE(B29572,""en"",""fr"")"),"Elle sort un pneu de secours et le place sur le sol.")</f>
        <v>Elle sort un pneu de secours et le place sur le sol.</v>
      </c>
    </row>
    <row r="29573">
      <c r="A29573" s="4" t="s">
        <v>37236</v>
      </c>
      <c r="B29573" s="4" t="s">
        <v>37239</v>
      </c>
      <c r="C29573" s="5" t="str">
        <f>IFERROR(__xludf.DUMMYFUNCTION("GOOGLETRANSLATE(B29573,""en"",""fr"")"),"Elle enlève le vieux pneu.")</f>
        <v>Elle enlève le vieux pneu.</v>
      </c>
    </row>
    <row r="29574">
      <c r="A29574" s="4" t="s">
        <v>37236</v>
      </c>
      <c r="B29574" s="4" t="s">
        <v>37240</v>
      </c>
      <c r="C29574" s="5" t="str">
        <f>IFERROR(__xludf.DUMMYFUNCTION("GOOGLETRANSLATE(B29574,""en"",""fr"")"),"Elle met le nouveau pneu.")</f>
        <v>Elle met le nouveau pneu.</v>
      </c>
    </row>
    <row r="29575">
      <c r="A29575" s="4" t="s">
        <v>37236</v>
      </c>
      <c r="B29575" s="4" t="s">
        <v>37241</v>
      </c>
      <c r="C29575" s="5" t="str">
        <f>IFERROR(__xludf.DUMMYFUNCTION("GOOGLETRANSLATE(B29575,""en"",""fr"")"),"Elle met le centre du pneu.")</f>
        <v>Elle met le centre du pneu.</v>
      </c>
    </row>
    <row r="29576">
      <c r="A29576" s="4" t="s">
        <v>37242</v>
      </c>
      <c r="B29576" s="4" t="s">
        <v>37243</v>
      </c>
      <c r="C29576" s="5" t="str">
        <f>IFERROR(__xludf.DUMMYFUNCTION("GOOGLETRANSLATE(B29576,""en"",""fr"")"),"Un homme en chemise rouge tient un disque et patine sur la glace.")</f>
        <v>Un homme en chemise rouge tient un disque et patine sur la glace.</v>
      </c>
    </row>
    <row r="29577">
      <c r="A29577" s="4" t="s">
        <v>37242</v>
      </c>
      <c r="B29577" s="4" t="s">
        <v>37244</v>
      </c>
      <c r="C29577" s="5" t="str">
        <f>IFERROR(__xludf.DUMMYFUNCTION("GOOGLETRANSLATE(B29577,""en"",""fr"")"),"Il lâche le disque et revient.")</f>
        <v>Il lâche le disque et revient.</v>
      </c>
    </row>
    <row r="29578">
      <c r="A29578" s="4" t="s">
        <v>37245</v>
      </c>
      <c r="B29578" s="4" t="s">
        <v>37246</v>
      </c>
      <c r="C29578" s="5" t="str">
        <f>IFERROR(__xludf.DUMMYFUNCTION("GOOGLETRANSLATE(B29578,""en"",""fr"")"),"Une petite fille se produit sur les anneaux.")</f>
        <v>Une petite fille se produit sur les anneaux.</v>
      </c>
    </row>
    <row r="29579">
      <c r="A29579" s="4" t="s">
        <v>37245</v>
      </c>
      <c r="B29579" s="4" t="s">
        <v>37247</v>
      </c>
      <c r="C29579" s="5" t="str">
        <f>IFERROR(__xludf.DUMMYFUNCTION("GOOGLETRANSLATE(B29579,""en"",""fr"")"),"Un garçon se tient ensuite un homme, puis il lève une main et marche pour jouer sur les bardes parallèles.")</f>
        <v>Un garçon se tient ensuite un homme, puis il lève une main et marche pour jouer sur les bardes parallèles.</v>
      </c>
    </row>
    <row r="29580">
      <c r="A29580" s="4" t="s">
        <v>37245</v>
      </c>
      <c r="B29580" s="4" t="s">
        <v>37248</v>
      </c>
      <c r="C29580" s="5" t="str">
        <f>IFERROR(__xludf.DUMMYFUNCTION("GOOGLETRANSLATE(B29580,""en"",""fr"")"),"Le garçon se balance sur les barres, puis saute sur le tapis.")</f>
        <v>Le garçon se balance sur les barres, puis saute sur le tapis.</v>
      </c>
    </row>
    <row r="29581">
      <c r="A29581" s="4" t="s">
        <v>37249</v>
      </c>
      <c r="B29581" s="4" t="s">
        <v>37250</v>
      </c>
      <c r="C29581" s="5" t="str">
        <f>IFERROR(__xludf.DUMMYFUNCTION("GOOGLETRANSLATE(B29581,""en"",""fr"")"),"Il y a une femme dans une chemise marron se lavant le visage dans l'évier.")</f>
        <v>Il y a une femme dans une chemise marron se lavant le visage dans l'évier.</v>
      </c>
    </row>
    <row r="29582">
      <c r="A29582" s="4" t="s">
        <v>37249</v>
      </c>
      <c r="B29582" s="4" t="s">
        <v>37251</v>
      </c>
      <c r="C29582" s="5" t="str">
        <f>IFERROR(__xludf.DUMMYFUNCTION("GOOGLETRANSLATE(B29582,""en"",""fr"")"),"Un esthéticien parle des routines de soins de la peau et donne des conseils sur la façon de garder la peau du visage propre.")</f>
        <v>Un esthéticien parle des routines de soins de la peau et donne des conseils sur la façon de garder la peau du visage propre.</v>
      </c>
    </row>
    <row r="29583">
      <c r="A29583" s="4" t="s">
        <v>37249</v>
      </c>
      <c r="B29583" s="4" t="s">
        <v>37252</v>
      </c>
      <c r="C29583" s="5" t="str">
        <f>IFERROR(__xludf.DUMMYFUNCTION("GOOGLETRANSLATE(B29583,""en"",""fr"")"),"Le modèle se lave le visage puis le tamponne doucement avec une serviette.")</f>
        <v>Le modèle se lave le visage puis le tamponne doucement avec une serviette.</v>
      </c>
    </row>
    <row r="29584">
      <c r="A29584" s="4" t="s">
        <v>37253</v>
      </c>
      <c r="B29584" s="4" t="s">
        <v>37254</v>
      </c>
      <c r="C29584" s="5" t="str">
        <f>IFERROR(__xludf.DUMMYFUNCTION("GOOGLETRANSLATE(B29584,""en"",""fr"")"),"Trois filles font de l'exercice dans une maison.")</f>
        <v>Trois filles font de l'exercice dans une maison.</v>
      </c>
    </row>
    <row r="29585">
      <c r="A29585" s="4" t="s">
        <v>37253</v>
      </c>
      <c r="B29585" s="4" t="s">
        <v>37255</v>
      </c>
      <c r="C29585" s="5" t="str">
        <f>IFERROR(__xludf.DUMMYFUNCTION("GOOGLETRANSLATE(B29585,""en"",""fr"")"),"Les filles dansent en sautant, en tournant et en déplaçant les hanches.")</f>
        <v>Les filles dansent en sautant, en tournant et en déplaçant les hanches.</v>
      </c>
    </row>
    <row r="29586">
      <c r="A29586" s="4" t="s">
        <v>37253</v>
      </c>
      <c r="B29586" s="4" t="s">
        <v>37256</v>
      </c>
      <c r="C29586" s="5" t="str">
        <f>IFERROR(__xludf.DUMMYFUNCTION("GOOGLETRANSLATE(B29586,""en"",""fr"")"),"Ensuite, les filles une à une jetées au sol, puis se tiennent et continuent de danser.")</f>
        <v>Ensuite, les filles une à une jetées au sol, puis se tiennent et continuent de danser.</v>
      </c>
    </row>
    <row r="29587">
      <c r="A29587" s="4" t="s">
        <v>37253</v>
      </c>
      <c r="B29587" s="6" t="s">
        <v>37257</v>
      </c>
      <c r="C29587" s="5" t="str">
        <f>IFERROR(__xludf.DUMMYFUNCTION("GOOGLETRANSLATE(B29587,""en"",""fr"")"),"Après, deux filles s'agenouillent et un enfant se tient sur les jambes et lève les bras, après que les filles mettent fin à leur performance.")</f>
        <v>Après, deux filles s'agenouillent et un enfant se tient sur les jambes et lève les bras, après que les filles mettent fin à leur performance.</v>
      </c>
    </row>
    <row r="29588">
      <c r="A29588" s="4" t="s">
        <v>37258</v>
      </c>
      <c r="B29588" s="4" t="s">
        <v>37259</v>
      </c>
      <c r="C29588" s="5" t="str">
        <f>IFERROR(__xludf.DUMMYFUNCTION("GOOGLETRANSLATE(B29588,""en"",""fr"")"),"Deux chiens marchent sur le trottoir attaché par une corde.")</f>
        <v>Deux chiens marchent sur le trottoir attaché par une corde.</v>
      </c>
    </row>
    <row r="29589">
      <c r="A29589" s="4" t="s">
        <v>37258</v>
      </c>
      <c r="B29589" s="4" t="s">
        <v>37260</v>
      </c>
      <c r="C29589" s="5" t="str">
        <f>IFERROR(__xludf.DUMMYFUNCTION("GOOGLETRANSLATE(B29589,""en"",""fr"")"),"Deux personnes marchent sur le trottoir à côté d'eux.")</f>
        <v>Deux personnes marchent sur le trottoir à côté d'eux.</v>
      </c>
    </row>
    <row r="29590">
      <c r="A29590" s="4" t="s">
        <v>37258</v>
      </c>
      <c r="B29590" s="4" t="s">
        <v>37261</v>
      </c>
      <c r="C29590" s="5" t="str">
        <f>IFERROR(__xludf.DUMMYFUNCTION("GOOGLETRANSLATE(B29590,""en"",""fr"")"),"L'une des personnes porte une bouteille d'eau.")</f>
        <v>L'une des personnes porte une bouteille d'eau.</v>
      </c>
    </row>
    <row r="29591">
      <c r="A29591" s="4" t="s">
        <v>37262</v>
      </c>
      <c r="B29591" s="4" t="s">
        <v>37263</v>
      </c>
      <c r="C29591" s="5" t="str">
        <f>IFERROR(__xludf.DUMMYFUNCTION("GOOGLETRANSLATE(B29591,""en"",""fr"")"),"Une ombre est au sol, causée par un arbuste conçu.")</f>
        <v>Une ombre est au sol, causée par un arbuste conçu.</v>
      </c>
    </row>
    <row r="29592">
      <c r="A29592" s="4" t="s">
        <v>37262</v>
      </c>
      <c r="B29592" s="4" t="s">
        <v>37264</v>
      </c>
      <c r="C29592" s="5" t="str">
        <f>IFERROR(__xludf.DUMMYFUNCTION("GOOGLETRANSLATE(B29592,""en"",""fr"")"),"Un homme est montré à l'extérieur, montrant sa multitude de buissons décoratifs dans sa cour.")</f>
        <v>Un homme est montré à l'extérieur, montrant sa multitude de buissons décoratifs dans sa cour.</v>
      </c>
    </row>
    <row r="29593">
      <c r="A29593" s="4" t="s">
        <v>37262</v>
      </c>
      <c r="B29593" s="4" t="s">
        <v>37265</v>
      </c>
      <c r="C29593" s="5" t="str">
        <f>IFERROR(__xludf.DUMMYFUNCTION("GOOGLETRANSLATE(B29593,""en"",""fr"")"),"Il les coupe et les mesure pour s'assurer qu'ils sont à leur meilleur.")</f>
        <v>Il les coupe et les mesure pour s'assurer qu'ils sont à leur meilleur.</v>
      </c>
    </row>
    <row r="29594">
      <c r="A29594" s="4" t="s">
        <v>37262</v>
      </c>
      <c r="B29594" s="4" t="s">
        <v>37266</v>
      </c>
      <c r="C29594" s="5" t="str">
        <f>IFERROR(__xludf.DUMMYFUNCTION("GOOGLETRANSLATE(B29594,""en"",""fr"")"),"Il en trouve deux qui ressemblent à des boxeurs et fait semblant de les faire se battre.")</f>
        <v>Il en trouve deux qui ressemblent à des boxeurs et fait semblant de les faire se battre.</v>
      </c>
    </row>
    <row r="29595">
      <c r="A29595" s="4" t="s">
        <v>37267</v>
      </c>
      <c r="B29595" s="6" t="s">
        <v>37268</v>
      </c>
      <c r="C29595" s="5" t="str">
        <f>IFERROR(__xludf.DUMMYFUNCTION("GOOGLETRANSLATE(B29595,""en"",""fr"")"),"Une femme est vue parler à des gens en public, suivie d'un homme se lavant la bouche et embrassant une autre fille.")</f>
        <v>Une femme est vue parler à des gens en public, suivie d'un homme se lavant la bouche et embrassant une autre fille.</v>
      </c>
    </row>
    <row r="29596">
      <c r="A29596" s="4" t="s">
        <v>37267</v>
      </c>
      <c r="B29596" s="6" t="s">
        <v>37269</v>
      </c>
      <c r="C29596" s="5" t="str">
        <f>IFERROR(__xludf.DUMMYFUNCTION("GOOGLETRANSLATE(B29596,""en"",""fr"")"),"Il présente ensuite la bouche à diverses personnes réparties pendant des jours et fait parler à la caméra de leur expérience.")</f>
        <v>Il présente ensuite la bouche à diverses personnes réparties pendant des jours et fait parler à la caméra de leur expérience.</v>
      </c>
    </row>
    <row r="29597">
      <c r="A29597" s="4" t="s">
        <v>37270</v>
      </c>
      <c r="B29597" s="4" t="s">
        <v>37271</v>
      </c>
      <c r="C29597" s="5" t="str">
        <f>IFERROR(__xludf.DUMMYFUNCTION("GOOGLETRANSLATE(B29597,""en"",""fr"")"),"Nous voyons Ellen jouer au tennis de table.")</f>
        <v>Nous voyons Ellen jouer au tennis de table.</v>
      </c>
    </row>
    <row r="29598">
      <c r="A29598" s="4" t="s">
        <v>37270</v>
      </c>
      <c r="B29598" s="4" t="s">
        <v>37272</v>
      </c>
      <c r="C29598" s="5" t="str">
        <f>IFERROR(__xludf.DUMMYFUNCTION("GOOGLETRANSLATE(B29598,""en"",""fr"")"),"Un joueur de tennis de table sort.")</f>
        <v>Un joueur de tennis de table sort.</v>
      </c>
    </row>
    <row r="29599">
      <c r="A29599" s="4" t="s">
        <v>37270</v>
      </c>
      <c r="B29599" s="4" t="s">
        <v>37273</v>
      </c>
      <c r="C29599" s="5" t="str">
        <f>IFERROR(__xludf.DUMMYFUNCTION("GOOGLETRANSLATE(B29599,""en"",""fr"")"),"Le nouveau match est joué.")</f>
        <v>Le nouveau match est joué.</v>
      </c>
    </row>
    <row r="29600">
      <c r="A29600" s="4" t="s">
        <v>37270</v>
      </c>
      <c r="B29600" s="4" t="s">
        <v>37274</v>
      </c>
      <c r="C29600" s="5" t="str">
        <f>IFERROR(__xludf.DUMMYFUNCTION("GOOGLETRANSLATE(B29600,""en"",""fr"")"),"L'homme tient les bras.")</f>
        <v>L'homme tient les bras.</v>
      </c>
    </row>
    <row r="29601">
      <c r="A29601" s="4" t="s">
        <v>37270</v>
      </c>
      <c r="B29601" s="4" t="s">
        <v>37275</v>
      </c>
      <c r="C29601" s="5" t="str">
        <f>IFERROR(__xludf.DUMMYFUNCTION("GOOGLETRANSLATE(B29601,""en"",""fr"")"),"Ellen se plisse près de la table.")</f>
        <v>Ellen se plisse près de la table.</v>
      </c>
    </row>
    <row r="29602">
      <c r="A29602" s="4" t="s">
        <v>37270</v>
      </c>
      <c r="B29602" s="4" t="s">
        <v>37276</v>
      </c>
      <c r="C29602" s="5" t="str">
        <f>IFERROR(__xludf.DUMMYFUNCTION("GOOGLETRANSLATE(B29602,""en"",""fr"")"),"Les joueurs se serrent la main, la dame étreint Ellen et rient.")</f>
        <v>Les joueurs se serrent la main, la dame étreint Ellen et rient.</v>
      </c>
    </row>
    <row r="29603">
      <c r="A29603" s="4" t="s">
        <v>37270</v>
      </c>
      <c r="B29603" s="4" t="s">
        <v>37277</v>
      </c>
      <c r="C29603" s="5" t="str">
        <f>IFERROR(__xludf.DUMMYFUNCTION("GOOGLETRANSLATE(B29603,""en"",""fr"")"),"Nous voyons l'écran de fin avec Ellen dessus.")</f>
        <v>Nous voyons l'écran de fin avec Ellen dessus.</v>
      </c>
    </row>
    <row r="29604">
      <c r="A29604" s="4" t="s">
        <v>37278</v>
      </c>
      <c r="B29604" s="4" t="s">
        <v>37279</v>
      </c>
      <c r="C29604" s="5" t="str">
        <f>IFERROR(__xludf.DUMMYFUNCTION("GOOGLETRANSLATE(B29604,""en"",""fr"")"),"Un homme skie sur une pente, rapidement.")</f>
        <v>Un homme skie sur une pente, rapidement.</v>
      </c>
    </row>
    <row r="29605">
      <c r="A29605" s="4" t="s">
        <v>37278</v>
      </c>
      <c r="B29605" s="4" t="s">
        <v>37280</v>
      </c>
      <c r="C29605" s="5" t="str">
        <f>IFERROR(__xludf.DUMMYFUNCTION("GOOGLETRANSLATE(B29605,""en"",""fr"")"),"Il se retourne alors qu'il passe entre d'autres skieurs sur le chemin.")</f>
        <v>Il se retourne alors qu'il passe entre d'autres skieurs sur le chemin.</v>
      </c>
    </row>
    <row r="29606">
      <c r="A29606" s="4" t="s">
        <v>37278</v>
      </c>
      <c r="B29606" s="6" t="s">
        <v>37281</v>
      </c>
      <c r="C29606" s="5" t="str">
        <f>IFERROR(__xludf.DUMMYFUNCTION("GOOGLETRANSLATE(B29606,""en"",""fr"")"),"L'homme continue jusqu'à ce qu'il soit terminé, puis se retire au conseil d'administration et rejoint d'autres skieurs au lieu de repos.")</f>
        <v>L'homme continue jusqu'à ce qu'il soit terminé, puis se retire au conseil d'administration et rejoint d'autres skieurs au lieu de repos.</v>
      </c>
    </row>
    <row r="29607">
      <c r="A29607" s="4" t="s">
        <v>37282</v>
      </c>
      <c r="B29607" s="4" t="s">
        <v>37283</v>
      </c>
      <c r="C29607" s="5" t="str">
        <f>IFERROR(__xludf.DUMMYFUNCTION("GOOGLETRANSLATE(B29607,""en"",""fr"")"),"Un gros plan est illustré aux feuilles qui sont soufflées.")</f>
        <v>Un gros plan est illustré aux feuilles qui sont soufflées.</v>
      </c>
    </row>
    <row r="29608">
      <c r="A29608" s="4" t="s">
        <v>37282</v>
      </c>
      <c r="B29608" s="4" t="s">
        <v>37284</v>
      </c>
      <c r="C29608" s="5" t="str">
        <f>IFERROR(__xludf.DUMMYFUNCTION("GOOGLETRANSLATE(B29608,""en"",""fr"")"),"Une personne souffle des feuilles avec un souffleur de feuilles.")</f>
        <v>Une personne souffle des feuilles avec un souffleur de feuilles.</v>
      </c>
    </row>
    <row r="29609">
      <c r="A29609" s="4" t="s">
        <v>37282</v>
      </c>
      <c r="B29609" s="4" t="s">
        <v>37285</v>
      </c>
      <c r="C29609" s="5" t="str">
        <f>IFERROR(__xludf.DUMMYFUNCTION("GOOGLETRANSLATE(B29609,""en"",""fr"")"),"Ils continuent de souffler les feuilles sur la cour.")</f>
        <v>Ils continuent de souffler les feuilles sur la cour.</v>
      </c>
    </row>
    <row r="29610">
      <c r="A29610" s="4" t="s">
        <v>37286</v>
      </c>
      <c r="B29610" s="4" t="s">
        <v>37287</v>
      </c>
      <c r="C29610" s="5" t="str">
        <f>IFERROR(__xludf.DUMMYFUNCTION("GOOGLETRANSLATE(B29610,""en"",""fr"")"),"Une femme patine sur un trottoir à l'extérieur.")</f>
        <v>Une femme patine sur un trottoir à l'extérieur.</v>
      </c>
    </row>
    <row r="29611">
      <c r="A29611" s="4" t="s">
        <v>37286</v>
      </c>
      <c r="B29611" s="4" t="s">
        <v>37288</v>
      </c>
      <c r="C29611" s="5" t="str">
        <f>IFERROR(__xludf.DUMMYFUNCTION("GOOGLETRANSLATE(B29611,""en"",""fr"")"),"Elle roule lentement devant la caméra.")</f>
        <v>Elle roule lentement devant la caméra.</v>
      </c>
    </row>
    <row r="29612">
      <c r="A29612" s="4" t="s">
        <v>37286</v>
      </c>
      <c r="B29612" s="4" t="s">
        <v>37289</v>
      </c>
      <c r="C29612" s="5" t="str">
        <f>IFERROR(__xludf.DUMMYFUNCTION("GOOGLETRANSLATE(B29612,""en"",""fr"")"),"Elle continue de patiner sur le trottoir devant le bord de l'océan.")</f>
        <v>Elle continue de patiner sur le trottoir devant le bord de l'océan.</v>
      </c>
    </row>
    <row r="29613">
      <c r="A29613" s="4" t="s">
        <v>37290</v>
      </c>
      <c r="B29613" s="4" t="s">
        <v>37291</v>
      </c>
      <c r="C29613" s="5" t="str">
        <f>IFERROR(__xludf.DUMMYFUNCTION("GOOGLETRANSLATE(B29613,""en"",""fr"")"),"Une caméra se déroule tout autour d'un aspirateur et montre les pieds d'une personne.")</f>
        <v>Une caméra se déroule tout autour d'un aspirateur et montre les pieds d'une personne.</v>
      </c>
    </row>
    <row r="29614">
      <c r="A29614" s="4" t="s">
        <v>37290</v>
      </c>
      <c r="B29614" s="4" t="s">
        <v>37292</v>
      </c>
      <c r="C29614" s="5" t="str">
        <f>IFERROR(__xludf.DUMMYFUNCTION("GOOGLETRANSLATE(B29614,""en"",""fr"")"),"La personne se promène avec le vide et la pousse le long d'un tapis.")</f>
        <v>La personne se promène avec le vide et la pousse le long d'un tapis.</v>
      </c>
    </row>
    <row r="29615">
      <c r="A29615" s="4" t="s">
        <v>37290</v>
      </c>
      <c r="B29615" s="6" t="s">
        <v>37293</v>
      </c>
      <c r="C29615" s="5" t="str">
        <f>IFERROR(__xludf.DUMMYFUNCTION("GOOGLETRANSLATE(B29615,""en"",""fr"")"),"Plus de coups sont illustrés à la personne utilisant les pièces jointes sur la caméra et montrant comment elle est fabriquée.")</f>
        <v>Plus de coups sont illustrés à la personne utilisant les pièces jointes sur la caméra et montrant comment elle est fabriquée.</v>
      </c>
    </row>
    <row r="29616">
      <c r="A29616" s="4" t="s">
        <v>37294</v>
      </c>
      <c r="B29616" s="4" t="s">
        <v>37295</v>
      </c>
      <c r="C29616" s="5" t="str">
        <f>IFERROR(__xludf.DUMMYFUNCTION("GOOGLETRANSLATE(B29616,""en"",""fr"")"),"Deux jeunes filles sont vues agenouillées avant une baignoire tout en parlant à la caméra.")</f>
        <v>Deux jeunes filles sont vues agenouillées avant une baignoire tout en parlant à la caméra.</v>
      </c>
    </row>
    <row r="29617">
      <c r="A29617" s="4" t="s">
        <v>37294</v>
      </c>
      <c r="B29617" s="6" t="s">
        <v>37296</v>
      </c>
      <c r="C29617" s="5" t="str">
        <f>IFERROR(__xludf.DUMMYFUNCTION("GOOGLETRANSLATE(B29617,""en"",""fr"")"),"Les filles tiennent un produit et la mesurent suivie en la mettant dans leur bouche et en la faisant passer.")</f>
        <v>Les filles tiennent un produit et la mesurent suivie en la mettant dans leur bouche et en la faisant passer.</v>
      </c>
    </row>
    <row r="29618">
      <c r="A29618" s="4" t="s">
        <v>37294</v>
      </c>
      <c r="B29618" s="4" t="s">
        <v>37297</v>
      </c>
      <c r="C29618" s="5" t="str">
        <f>IFERROR(__xludf.DUMMYFUNCTION("GOOGLETRANSLATE(B29618,""en"",""fr"")"),"Les filles crachent ensuite le liquide et continuent de parler à la caméra.")</f>
        <v>Les filles crachent ensuite le liquide et continuent de parler à la caméra.</v>
      </c>
    </row>
    <row r="29619">
      <c r="A29619" s="4" t="s">
        <v>37298</v>
      </c>
      <c r="B29619" s="4" t="s">
        <v>37299</v>
      </c>
      <c r="C29619" s="5" t="str">
        <f>IFERROR(__xludf.DUMMYFUNCTION("GOOGLETRANSLATE(B29619,""en"",""fr"")"),"Un jeune homme résout un puzzle de cube tandis qu'un homme se tient sur lui.")</f>
        <v>Un jeune homme résout un puzzle de cube tandis qu'un homme se tient sur lui.</v>
      </c>
    </row>
    <row r="29620">
      <c r="A29620" s="4" t="s">
        <v>37298</v>
      </c>
      <c r="B29620" s="4" t="s">
        <v>37300</v>
      </c>
      <c r="C29620" s="5" t="str">
        <f>IFERROR(__xludf.DUMMYFUNCTION("GOOGLETRANSLATE(B29620,""en"",""fr"")"),"Ensuite, un homme écrit sur un journal et montre le jeune homme.")</f>
        <v>Ensuite, un homme écrit sur un journal et montre le jeune homme.</v>
      </c>
    </row>
    <row r="29621">
      <c r="A29621" s="4" t="s">
        <v>37298</v>
      </c>
      <c r="B29621" s="4" t="s">
        <v>37301</v>
      </c>
      <c r="C29621" s="5" t="str">
        <f>IFERROR(__xludf.DUMMYFUNCTION("GOOGLETRANSLATE(B29621,""en"",""fr"")"),"Le jeune homme résout à nouveau le puzzle est moins le temps, et l'homme en prend note.")</f>
        <v>Le jeune homme résout à nouveau le puzzle est moins le temps, et l'homme en prend note.</v>
      </c>
    </row>
    <row r="29622">
      <c r="A29622" s="4" t="s">
        <v>37298</v>
      </c>
      <c r="B29622" s="4" t="s">
        <v>37302</v>
      </c>
      <c r="C29622" s="5" t="str">
        <f>IFERROR(__xludf.DUMMYFUNCTION("GOOGLETRANSLATE(B29622,""en"",""fr"")"),"Après que le jeune homme résout à nouveau deux fois le puzzle en moins de temps.")</f>
        <v>Après que le jeune homme résout à nouveau deux fois le puzzle en moins de temps.</v>
      </c>
    </row>
    <row r="29623">
      <c r="A29623" s="4" t="s">
        <v>37298</v>
      </c>
      <c r="B29623" s="6" t="s">
        <v>37303</v>
      </c>
      <c r="C29623" s="5" t="str">
        <f>IFERROR(__xludf.DUMMYFUNCTION("GOOGLETRANSLATE(B29623,""en"",""fr"")"),"À la fin, le jeune homme résout le puzzle en moins de temps que les temps précédents, il se lève heureuse de sa chaise.")</f>
        <v>À la fin, le jeune homme résout le puzzle en moins de temps que les temps précédents, il se lève heureuse de sa chaise.</v>
      </c>
    </row>
    <row r="29624">
      <c r="A29624" s="4" t="s">
        <v>37304</v>
      </c>
      <c r="B29624" s="4" t="s">
        <v>37305</v>
      </c>
      <c r="C29624" s="5" t="str">
        <f>IFERROR(__xludf.DUMMYFUNCTION("GOOGLETRANSLATE(B29624,""en"",""fr"")"),"Une jeune fille est assise sur une chaise, attendant nerveusement.")</f>
        <v>Une jeune fille est assise sur une chaise, attendant nerveusement.</v>
      </c>
    </row>
    <row r="29625">
      <c r="A29625" s="4" t="s">
        <v>37304</v>
      </c>
      <c r="B29625" s="4" t="s">
        <v>37306</v>
      </c>
      <c r="C29625" s="5" t="str">
        <f>IFERROR(__xludf.DUMMYFUNCTION("GOOGLETRANSLATE(B29625,""en"",""fr"")"),"L'artiste perçant peint un point au-dessus de sa lèvre.")</f>
        <v>L'artiste perçant peint un point au-dessus de sa lèvre.</v>
      </c>
    </row>
    <row r="29626">
      <c r="A29626" s="4" t="s">
        <v>37304</v>
      </c>
      <c r="B29626" s="4" t="s">
        <v>37307</v>
      </c>
      <c r="C29626" s="5" t="str">
        <f>IFERROR(__xludf.DUMMYFUNCTION("GOOGLETRANSLATE(B29626,""en"",""fr"")"),"Il désinfecte ses outils et procède à percer la lèvre de la jeune fille.")</f>
        <v>Il désinfecte ses outils et procède à percer la lèvre de la jeune fille.</v>
      </c>
    </row>
    <row r="29627">
      <c r="A29627" s="4" t="s">
        <v>37304</v>
      </c>
      <c r="B29627" s="4" t="s">
        <v>37308</v>
      </c>
      <c r="C29627" s="5" t="str">
        <f>IFERROR(__xludf.DUMMYFUNCTION("GOOGLETRANSLATE(B29627,""en"",""fr"")"),"Il insère une bague dans le perçage.")</f>
        <v>Il insère une bague dans le perçage.</v>
      </c>
    </row>
    <row r="29628">
      <c r="A29628" s="4" t="s">
        <v>37304</v>
      </c>
      <c r="B29628" s="4" t="s">
        <v>37309</v>
      </c>
      <c r="C29628" s="5" t="str">
        <f>IFERROR(__xludf.DUMMYFUNCTION("GOOGLETRANSLATE(B29628,""en"",""fr"")"),"Il resserre le piercing et nettoie autour du piercing.")</f>
        <v>Il resserre le piercing et nettoie autour du piercing.</v>
      </c>
    </row>
    <row r="29629">
      <c r="A29629" s="4" t="s">
        <v>37304</v>
      </c>
      <c r="B29629" s="4" t="s">
        <v>37310</v>
      </c>
      <c r="C29629" s="5" t="str">
        <f>IFERROR(__xludf.DUMMYFUNCTION("GOOGLETRANSLATE(B29629,""en"",""fr"")"),"La fille regarde dans un miroir lui remis par l'artiste perçant et semble satisfait.")</f>
        <v>La fille regarde dans un miroir lui remis par l'artiste perçant et semble satisfait.</v>
      </c>
    </row>
    <row r="29630">
      <c r="A29630" s="4" t="s">
        <v>37311</v>
      </c>
      <c r="B29630" s="4" t="s">
        <v>37312</v>
      </c>
      <c r="C29630" s="5" t="str">
        <f>IFERROR(__xludf.DUMMYFUNCTION("GOOGLETRANSLATE(B29630,""en"",""fr"")"),"Un enfant est vu allumer un robinet et commence à laver la vaisselle dans un évier.")</f>
        <v>Un enfant est vu allumer un robinet et commence à laver la vaisselle dans un évier.</v>
      </c>
    </row>
    <row r="29631">
      <c r="A29631" s="4" t="s">
        <v>37311</v>
      </c>
      <c r="B29631" s="6" t="s">
        <v>37313</v>
      </c>
      <c r="C29631" s="5" t="str">
        <f>IFERROR(__xludf.DUMMYFUNCTION("GOOGLETRANSLATE(B29631,""en"",""fr"")"),"L'enfant éteint l'eau de nouveau tout en frottant la vaisselle et une autre personne qui entre pour aider.")</f>
        <v>L'enfant éteint l'eau de nouveau tout en frottant la vaisselle et une autre personne qui entre pour aider.</v>
      </c>
    </row>
    <row r="29632">
      <c r="A29632" s="4" t="s">
        <v>37314</v>
      </c>
      <c r="B29632" s="6" t="s">
        <v>37315</v>
      </c>
      <c r="C29632" s="5" t="str">
        <f>IFERROR(__xludf.DUMMYFUNCTION("GOOGLETRANSLATE(B29632,""en"",""fr"")"),"L'équipe Cherleader portant des uniformes violets fait une chorégraphie au milieu d'un terrain en bois.")</f>
        <v>L'équipe Cherleader portant des uniformes violets fait une chorégraphie au milieu d'un terrain en bois.</v>
      </c>
    </row>
    <row r="29633">
      <c r="A29633" s="4" t="s">
        <v>37314</v>
      </c>
      <c r="B29633" s="4" t="s">
        <v>37316</v>
      </c>
      <c r="C29633" s="5" t="str">
        <f>IFERROR(__xludf.DUMMYFUNCTION("GOOGLETRANSLATE(B29633,""en"",""fr"")"),"Beaucoup de gens sont assis sur des stands autour du terrain.")</f>
        <v>Beaucoup de gens sont assis sur des stands autour du terrain.</v>
      </c>
    </row>
    <row r="29634">
      <c r="A29634" s="4" t="s">
        <v>37314</v>
      </c>
      <c r="B29634" s="4" t="s">
        <v>37317</v>
      </c>
      <c r="C29634" s="5" t="str">
        <f>IFERROR(__xludf.DUMMYFUNCTION("GOOGLETRANSLATE(B29634,""en"",""fr"")"),"Les gens marchent sur les côtés de la cour en bois dans une salle de sport.")</f>
        <v>Les gens marchent sur les côtés de la cour en bois dans une salle de sport.</v>
      </c>
    </row>
    <row r="29635">
      <c r="A29635" s="4" t="s">
        <v>37318</v>
      </c>
      <c r="B29635" s="4" t="s">
        <v>37319</v>
      </c>
      <c r="C29635" s="5" t="str">
        <f>IFERROR(__xludf.DUMMYFUNCTION("GOOGLETRANSLATE(B29635,""en"",""fr"")"),"Nous voyons une fille se préparer à plonger dans une piscine intérieure.")</f>
        <v>Nous voyons une fille se préparer à plonger dans une piscine intérieure.</v>
      </c>
    </row>
    <row r="29636">
      <c r="A29636" s="4" t="s">
        <v>37318</v>
      </c>
      <c r="B29636" s="4" t="s">
        <v>37320</v>
      </c>
      <c r="C29636" s="5" t="str">
        <f>IFERROR(__xludf.DUMMYFUNCTION("GOOGLETRANSLATE(B29636,""en"",""fr"")"),"La fille saute et se lève en l'air effrayé de la hauteur.")</f>
        <v>La fille saute et se lève en l'air effrayé de la hauteur.</v>
      </c>
    </row>
    <row r="29637">
      <c r="A29637" s="4" t="s">
        <v>37318</v>
      </c>
      <c r="B29637" s="4" t="s">
        <v>37321</v>
      </c>
      <c r="C29637" s="5" t="str">
        <f>IFERROR(__xludf.DUMMYFUNCTION("GOOGLETRANSLATE(B29637,""en"",""fr"")"),"La fille se retourne et plonge dans l'eau.")</f>
        <v>La fille se retourne et plonge dans l'eau.</v>
      </c>
    </row>
    <row r="29638">
      <c r="A29638" s="4" t="s">
        <v>37318</v>
      </c>
      <c r="B29638" s="4" t="s">
        <v>37322</v>
      </c>
      <c r="C29638" s="5" t="str">
        <f>IFERROR(__xludf.DUMMYFUNCTION("GOOGLETRANSLATE(B29638,""en"",""fr"")"),"La fille fait surface et nage jusqu'au bord de la piscine.")</f>
        <v>La fille fait surface et nage jusqu'au bord de la piscine.</v>
      </c>
    </row>
    <row r="29639">
      <c r="A29639" s="4" t="s">
        <v>37323</v>
      </c>
      <c r="B29639" s="4" t="s">
        <v>37324</v>
      </c>
      <c r="C29639" s="5" t="str">
        <f>IFERROR(__xludf.DUMMYFUNCTION("GOOGLETRANSLATE(B29639,""en"",""fr"")"),"La vidéo commence par un logo des cathédrales de la lumière.")</f>
        <v>La vidéo commence par un logo des cathédrales de la lumière.</v>
      </c>
    </row>
    <row r="29640">
      <c r="A29640" s="4" t="s">
        <v>37323</v>
      </c>
      <c r="B29640" s="4" t="s">
        <v>37325</v>
      </c>
      <c r="C29640" s="5" t="str">
        <f>IFERROR(__xludf.DUMMYFUNCTION("GOOGLETRANSLATE(B29640,""en"",""fr"")"),"Ensuite, un groupe de personnes est montré.")</f>
        <v>Ensuite, un groupe de personnes est montré.</v>
      </c>
    </row>
    <row r="29641">
      <c r="A29641" s="4" t="s">
        <v>37323</v>
      </c>
      <c r="B29641" s="4" t="s">
        <v>37326</v>
      </c>
      <c r="C29641" s="5" t="str">
        <f>IFERROR(__xludf.DUMMYFUNCTION("GOOGLETRANSLATE(B29641,""en"",""fr"")"),"Ensuite, les gens sont montrés nager dans un monde sous-marin.")</f>
        <v>Ensuite, les gens sont montrés nager dans un monde sous-marin.</v>
      </c>
    </row>
    <row r="29642">
      <c r="A29642" s="4" t="s">
        <v>37323</v>
      </c>
      <c r="B29642" s="4" t="s">
        <v>37327</v>
      </c>
      <c r="C29642" s="5" t="str">
        <f>IFERROR(__xludf.DUMMYFUNCTION("GOOGLETRANSLATE(B29642,""en"",""fr"")"),"Les récifs et les roches sont représentés sous l'eau.")</f>
        <v>Les récifs et les roches sont représentés sous l'eau.</v>
      </c>
    </row>
    <row r="29643">
      <c r="A29643" s="4" t="s">
        <v>37323</v>
      </c>
      <c r="B29643" s="4" t="s">
        <v>37328</v>
      </c>
      <c r="C29643" s="5" t="str">
        <f>IFERROR(__xludf.DUMMYFUNCTION("GOOGLETRANSLATE(B29643,""en"",""fr"")"),"Les plongeurs de plongée sont montrés en nageant profondément dans l'eau en explorant ce qui se passe.")</f>
        <v>Les plongeurs de plongée sont montrés en nageant profondément dans l'eau en explorant ce qui se passe.</v>
      </c>
    </row>
    <row r="29644">
      <c r="A29644" s="4" t="s">
        <v>37329</v>
      </c>
      <c r="B29644" s="4" t="s">
        <v>37330</v>
      </c>
      <c r="C29644" s="5" t="str">
        <f>IFERROR(__xludf.DUMMYFUNCTION("GOOGLETRANSLATE(B29644,""en"",""fr"")"),"Deux hommes sont à côté de la table portant des chemises bleues et des casques de soudage.")</f>
        <v>Deux hommes sont à côté de la table portant des chemises bleues et des casques de soudage.</v>
      </c>
    </row>
    <row r="29645">
      <c r="A29645" s="4" t="s">
        <v>37329</v>
      </c>
      <c r="B29645" s="6" t="s">
        <v>37331</v>
      </c>
      <c r="C29645" s="5" t="str">
        <f>IFERROR(__xludf.DUMMYFUNCTION("GOOGLETRANSLATE(B29645,""en"",""fr"")"),"L'homme tient une machine de soudage et travaille sur un métal qui provoque des étincelles, à côté de lui se trouve un autre homme qui regarde attentivement le métal.")</f>
        <v>L'homme tient une machine de soudage et travaille sur un métal qui provoque des étincelles, à côté de lui se trouve un autre homme qui regarde attentivement le métal.</v>
      </c>
    </row>
    <row r="29646">
      <c r="A29646" s="4" t="s">
        <v>37329</v>
      </c>
      <c r="B29646" s="4" t="s">
        <v>37332</v>
      </c>
      <c r="C29646" s="5" t="str">
        <f>IFERROR(__xludf.DUMMYFUNCTION("GOOGLETRANSLATE(B29646,""en"",""fr"")"),"Les lumières se sont allumées, l'homme pousse le métal.")</f>
        <v>Les lumières se sont allumées, l'homme pousse le métal.</v>
      </c>
    </row>
    <row r="29647">
      <c r="A29647" s="4" t="s">
        <v>37333</v>
      </c>
      <c r="B29647" s="4" t="s">
        <v>37334</v>
      </c>
      <c r="C29647" s="5" t="str">
        <f>IFERROR(__xludf.DUMMYFUNCTION("GOOGLETRANSLATE(B29647,""en"",""fr"")"),"Une gymnaste se tient nerveusement en attendant son départ.")</f>
        <v>Une gymnaste se tient nerveusement en attendant son départ.</v>
      </c>
    </row>
    <row r="29648">
      <c r="A29648" s="4" t="s">
        <v>37333</v>
      </c>
      <c r="B29648" s="4" t="s">
        <v>37335</v>
      </c>
      <c r="C29648" s="5" t="str">
        <f>IFERROR(__xludf.DUMMYFUNCTION("GOOGLETRANSLATE(B29648,""en"",""fr"")"),"La foule de l'arène la regarde.")</f>
        <v>La foule de l'arène la regarde.</v>
      </c>
    </row>
    <row r="29649">
      <c r="A29649" s="4" t="s">
        <v>37333</v>
      </c>
      <c r="B29649" s="4" t="s">
        <v>37336</v>
      </c>
      <c r="C29649" s="5" t="str">
        <f>IFERROR(__xludf.DUMMYFUNCTION("GOOGLETRANSLATE(B29649,""en"",""fr"")"),"Elle grimpe dans un bar et effectue divers flips, roues de charrette, ainsi que des divisions à mi-air.")</f>
        <v>Elle grimpe dans un bar et effectue divers flips, roues de charrette, ainsi que des divisions à mi-air.</v>
      </c>
    </row>
    <row r="29650">
      <c r="A29650" s="4" t="s">
        <v>37333</v>
      </c>
      <c r="B29650" s="4" t="s">
        <v>37337</v>
      </c>
      <c r="C29650" s="5" t="str">
        <f>IFERROR(__xludf.DUMMYFUNCTION("GOOGLETRANSLATE(B29650,""en"",""fr"")"),"Elle saute du bar et atterrit sur un tapis bleu.")</f>
        <v>Elle saute du bar et atterrit sur un tapis bleu.</v>
      </c>
    </row>
    <row r="29651">
      <c r="A29651" s="4" t="s">
        <v>37338</v>
      </c>
      <c r="B29651" s="6" t="s">
        <v>37339</v>
      </c>
      <c r="C29651" s="5" t="str">
        <f>IFERROR(__xludf.DUMMYFUNCTION("GOOGLETRANSLATE(B29651,""en"",""fr"")"),"La voiture d'une personne est montrée sous plusieurs angles avec une personne à l'intérieur et mène à la voiture conduisant avec des gens à l'intérieur.")</f>
        <v>La voiture d'une personne est montrée sous plusieurs angles avec une personne à l'intérieur et mène à la voiture conduisant avec des gens à l'intérieur.</v>
      </c>
    </row>
    <row r="29652">
      <c r="A29652" s="4" t="s">
        <v>37338</v>
      </c>
      <c r="B29652" s="4" t="s">
        <v>37340</v>
      </c>
      <c r="C29652" s="5" t="str">
        <f>IFERROR(__xludf.DUMMYFUNCTION("GOOGLETRANSLATE(B29652,""en"",""fr"")"),"Les gens sont ensuite montrés sous différents angles montant une montagne enneigée et descendant une colline.")</f>
        <v>Les gens sont ensuite montrés sous différents angles montant une montagne enneigée et descendant une colline.</v>
      </c>
    </row>
    <row r="29653">
      <c r="A29653" s="4" t="s">
        <v>37338</v>
      </c>
      <c r="B29653" s="6" t="s">
        <v>37341</v>
      </c>
      <c r="C29653" s="5" t="str">
        <f>IFERROR(__xludf.DUMMYFUNCTION("GOOGLETRANSLATE(B29653,""en"",""fr"")"),"Les gros plans des visages des gens sont montrés en montant et en descendant la colline à plusieurs reprises et atterrissant au fond d'une colline.")</f>
        <v>Les gros plans des visages des gens sont montrés en montant et en descendant la colline à plusieurs reprises et atterrissant au fond d'une colline.</v>
      </c>
    </row>
    <row r="29654">
      <c r="A29654" s="4" t="s">
        <v>37342</v>
      </c>
      <c r="B29654" s="4" t="s">
        <v>37343</v>
      </c>
      <c r="C29654" s="5" t="str">
        <f>IFERROR(__xludf.DUMMYFUNCTION("GOOGLETRANSLATE(B29654,""en"",""fr"")"),"Un homme est à un monticule, faisant tourner un disque en rond.")</f>
        <v>Un homme est à un monticule, faisant tourner un disque en rond.</v>
      </c>
    </row>
    <row r="29655">
      <c r="A29655" s="4" t="s">
        <v>37342</v>
      </c>
      <c r="B29655" s="4" t="s">
        <v>37344</v>
      </c>
      <c r="C29655" s="5" t="str">
        <f>IFERROR(__xludf.DUMMYFUNCTION("GOOGLETRANSLATE(B29655,""en"",""fr"")"),"Il lâche le disque et le regarde voler.")</f>
        <v>Il lâche le disque et le regarde voler.</v>
      </c>
    </row>
    <row r="29656">
      <c r="A29656" s="4" t="s">
        <v>37342</v>
      </c>
      <c r="B29656" s="4" t="s">
        <v>37345</v>
      </c>
      <c r="C29656" s="5" t="str">
        <f>IFERROR(__xludf.DUMMYFUNCTION("GOOGLETRANSLATE(B29656,""en"",""fr"")"),"Une ligne de disques est montrée devant un groupe de personnes sur le terrain, en choisissant leur propre disque.")</f>
        <v>Une ligne de disques est montrée devant un groupe de personnes sur le terrain, en choisissant leur propre disque.</v>
      </c>
    </row>
    <row r="29657">
      <c r="A29657" s="4" t="s">
        <v>37342</v>
      </c>
      <c r="B29657" s="4" t="s">
        <v>37346</v>
      </c>
      <c r="C29657" s="5" t="str">
        <f>IFERROR(__xludf.DUMMYFUNCTION("GOOGLETRANSLATE(B29657,""en"",""fr"")"),"Les gens sont montrés, un à la fois, jetant les disques.")</f>
        <v>Les gens sont montrés, un à la fois, jetant les disques.</v>
      </c>
    </row>
    <row r="29658">
      <c r="A29658" s="4" t="s">
        <v>37342</v>
      </c>
      <c r="B29658" s="4" t="s">
        <v>37347</v>
      </c>
      <c r="C29658" s="5" t="str">
        <f>IFERROR(__xludf.DUMMYFUNCTION("GOOGLETRANSLATE(B29658,""en"",""fr"")"),"Le gagnant se tient avec son trophée, serrant la main de personnes qui se dirigent vers lui.")</f>
        <v>Le gagnant se tient avec son trophée, serrant la main de personnes qui se dirigent vers lui.</v>
      </c>
    </row>
    <row r="29659">
      <c r="A29659" s="4" t="s">
        <v>37348</v>
      </c>
      <c r="B29659" s="6" t="s">
        <v>37349</v>
      </c>
      <c r="C29659" s="5" t="str">
        <f>IFERROR(__xludf.DUMMYFUNCTION("GOOGLETRANSLATE(B29659,""en"",""fr"")"),"Divers clips sont montrés de personnes jouant à la crosse, suivie d'un homme tenant le bâton et parlant à la caméra.")</f>
        <v>Divers clips sont montrés de personnes jouant à la crosse, suivie d'un homme tenant le bâton et parlant à la caméra.</v>
      </c>
    </row>
    <row r="29660">
      <c r="A29660" s="4" t="s">
        <v>37348</v>
      </c>
      <c r="B29660" s="4" t="s">
        <v>37350</v>
      </c>
      <c r="C29660" s="5" t="str">
        <f>IFERROR(__xludf.DUMMYFUNCTION("GOOGLETRANSLATE(B29660,""en"",""fr"")"),"Il déplace le bâton tout autour en démontrant comment jouer correctement.")</f>
        <v>Il déplace le bâton tout autour en démontrant comment jouer correctement.</v>
      </c>
    </row>
    <row r="29661">
      <c r="A29661" s="4" t="s">
        <v>37351</v>
      </c>
      <c r="B29661" s="4" t="s">
        <v>37352</v>
      </c>
      <c r="C29661" s="5" t="str">
        <f>IFERROR(__xludf.DUMMYFUNCTION("GOOGLETRANSLATE(B29661,""en"",""fr"")"),"Une petite fille lance une grosse balle rose à sa mère, qui l'attrape et la donne un coup de pied.")</f>
        <v>Une petite fille lance une grosse balle rose à sa mère, qui l'attrape et la donne un coup de pied.</v>
      </c>
    </row>
    <row r="29662">
      <c r="A29662" s="4" t="s">
        <v>37351</v>
      </c>
      <c r="B29662" s="4" t="s">
        <v>37353</v>
      </c>
      <c r="C29662" s="5" t="str">
        <f>IFERROR(__xludf.DUMMYFUNCTION("GOOGLETRANSLATE(B29662,""en"",""fr"")"),"Ils continuent de donner des coups de pied et de se jeter le ballon, et un homme se joint à lui.")</f>
        <v>Ils continuent de donner des coups de pied et de se jeter le ballon, et un homme se joint à lui.</v>
      </c>
    </row>
    <row r="29663">
      <c r="A29663" s="4" t="s">
        <v>37351</v>
      </c>
      <c r="B29663" s="4" t="s">
        <v>37354</v>
      </c>
      <c r="C29663" s="5" t="str">
        <f>IFERROR(__xludf.DUMMYFUNCTION("GOOGLETRANSLATE(B29663,""en"",""fr"")"),"La petite fille poursuit le ballon, la ramenant.")</f>
        <v>La petite fille poursuit le ballon, la ramenant.</v>
      </c>
    </row>
    <row r="29664">
      <c r="A29664" s="4" t="s">
        <v>37355</v>
      </c>
      <c r="B29664" s="6" t="s">
        <v>37356</v>
      </c>
      <c r="C29664" s="5" t="str">
        <f>IFERROR(__xludf.DUMMYFUNCTION("GOOGLETRANSLATE(B29664,""en"",""fr"")"),"Une gymnaste féminine saute sur un faisceau d'équilibre et fait de nombreuses astuces et retourne et atterrit sur ses pieds.")</f>
        <v>Une gymnaste féminine saute sur un faisceau d'équilibre et fait de nombreuses astuces et retourne et atterrit sur ses pieds.</v>
      </c>
    </row>
    <row r="29665">
      <c r="A29665" s="4" t="s">
        <v>37355</v>
      </c>
      <c r="B29665" s="6" t="s">
        <v>37357</v>
      </c>
      <c r="C29665" s="5" t="str">
        <f>IFERROR(__xludf.DUMMYFUNCTION("GOOGLETRANSLATE(B29665,""en"",""fr"")"),"La gymnaste fait deux beaux flips arrière dos à dos tout en gardant son équilibre et en atterrissant le préfet sur ses pieds.")</f>
        <v>La gymnaste fait deux beaux flips arrière dos à dos tout en gardant son équilibre et en atterrissant le préfet sur ses pieds.</v>
      </c>
    </row>
    <row r="29666">
      <c r="A29666" s="4" t="s">
        <v>37355</v>
      </c>
      <c r="B29666" s="6" t="s">
        <v>37358</v>
      </c>
      <c r="C29666" s="5" t="str">
        <f>IFERROR(__xludf.DUMMYFUNCTION("GOOGLETRANSLATE(B29666,""en"",""fr"")"),"Enfin, la gymnaste féminine se termine avec un flip deux fois élevé de la poutre d'équilibre en l'air et atterrit sur le préfet du tapis.")</f>
        <v>Enfin, la gymnaste féminine se termine avec un flip deux fois élevé de la poutre d'équilibre en l'air et atterrit sur le préfet du tapis.</v>
      </c>
    </row>
    <row r="29667">
      <c r="A29667" s="4" t="s">
        <v>37359</v>
      </c>
      <c r="B29667" s="6" t="s">
        <v>37360</v>
      </c>
      <c r="C29667" s="5" t="str">
        <f>IFERROR(__xludf.DUMMYFUNCTION("GOOGLETRANSLATE(B29667,""en"",""fr"")"),"Une intro apparaît d'une personne debout devant des objets sur un comptoir, puis un écran blanc apparaît avec une image d'un hibou et les mots sur l'écran qui incluent un site Web et les mots gris ""Samurai Pro Knife Sweetor"".")</f>
        <v>Une intro apparaît d'une personne debout devant des objets sur un comptoir, puis un écran blanc apparaît avec une image d'un hibou et les mots sur l'écran qui incluent un site Web et les mots gris "Samurai Pro Knife Sweetor".</v>
      </c>
    </row>
    <row r="29668">
      <c r="A29668" s="4" t="s">
        <v>37359</v>
      </c>
      <c r="B29668" s="6" t="s">
        <v>37361</v>
      </c>
      <c r="C29668" s="5" t="str">
        <f>IFERROR(__xludf.DUMMYFUNCTION("GOOGLETRANSLATE(B29668,""en"",""fr"")"),"L'homme ramasse ensuite les deux couteaux près de sa planche à découper et démontre comment ils ont chacun coupé un morceau d'oignon vert sur la planche à découper, puis il attache le taille-creux sur le comptoir, passe son couteau à travers l'affûteur à "&amp;"quelques reprises puis remonte à montrer Comment il coupe l'oignon vert et l'apparence des lames.")</f>
        <v>L'homme ramasse ensuite les deux couteaux près de sa planche à découper et démontre comment ils ont chacun coupé un morceau d'oignon vert sur la planche à découper, puis il attache le taille-creux sur le comptoir, passe son couteau à travers l'affûteur à quelques reprises puis remonte à montrer Comment il coupe l'oignon vert et l'apparence des lames.</v>
      </c>
    </row>
    <row r="29669">
      <c r="A29669" s="4" t="s">
        <v>37359</v>
      </c>
      <c r="B29669" s="4" t="s">
        <v>37362</v>
      </c>
      <c r="C29669" s="5" t="str">
        <f>IFERROR(__xludf.DUMMYFUNCTION("GOOGLETRANSLATE(B29669,""en"",""fr"")"),"L'homme touche, tient et montre à la caméra un aspect plus approfondi de l'affûteur.")</f>
        <v>L'homme touche, tient et montre à la caméra un aspect plus approfondi de l'affûteur.</v>
      </c>
    </row>
    <row r="29670">
      <c r="A29670" s="4" t="s">
        <v>37359</v>
      </c>
      <c r="B29670" s="6" t="s">
        <v>37363</v>
      </c>
      <c r="C29670" s="5" t="str">
        <f>IFERROR(__xludf.DUMMYFUNCTION("GOOGLETRANSLATE(B29670,""en"",""fr"")"),"L'Undro est une personne qui tire la chouette et le site Web sur un grand morceau de papier avec des marqueurs, donne un coup de pouce lorsqu'il est terminé, puis l'écran va à un écran blanc numérique du même hibou qui était dessiné et le site Web dessous"&amp;".")</f>
        <v>L'Undro est une personne qui tire la chouette et le site Web sur un grand morceau de papier avec des marqueurs, donne un coup de pouce lorsqu'il est terminé, puis l'écran va à un écran blanc numérique du même hibou qui était dessiné et le site Web dessous.</v>
      </c>
    </row>
    <row r="29671">
      <c r="A29671" s="4" t="s">
        <v>37364</v>
      </c>
      <c r="B29671" s="4" t="s">
        <v>37365</v>
      </c>
      <c r="C29671" s="5" t="str">
        <f>IFERROR(__xludf.DUMMYFUNCTION("GOOGLETRANSLATE(B29671,""en"",""fr"")"),"Les femmes tiennent une balle et tournent avant de la jeter sur le terrain.")</f>
        <v>Les femmes tiennent une balle et tournent avant de la jeter sur le terrain.</v>
      </c>
    </row>
    <row r="29672">
      <c r="A29672" s="4" t="s">
        <v>37364</v>
      </c>
      <c r="B29672" s="4" t="s">
        <v>37366</v>
      </c>
      <c r="C29672" s="5" t="str">
        <f>IFERROR(__xludf.DUMMYFUNCTION("GOOGLETRANSLATE(B29672,""en"",""fr"")"),"Un homme en chemise rouge tient un balai.")</f>
        <v>Un homme en chemise rouge tient un balai.</v>
      </c>
    </row>
    <row r="29673">
      <c r="A29673" s="4" t="s">
        <v>37364</v>
      </c>
      <c r="B29673" s="4" t="s">
        <v>37367</v>
      </c>
      <c r="C29673" s="5" t="str">
        <f>IFERROR(__xludf.DUMMYFUNCTION("GOOGLETRANSLATE(B29673,""en"",""fr"")"),"Les gens les regardent lancer les balles.")</f>
        <v>Les gens les regardent lancer les balles.</v>
      </c>
    </row>
    <row r="29674">
      <c r="A29674" s="4" t="s">
        <v>37368</v>
      </c>
      <c r="B29674" s="4" t="s">
        <v>37369</v>
      </c>
      <c r="C29674" s="5" t="str">
        <f>IFERROR(__xludf.DUMMYFUNCTION("GOOGLETRANSLATE(B29674,""en"",""fr"")"),"Plusieurs images d'un bowling d'homme chauve sont montrées puis il apparaît et lance une balle courbe.")</f>
        <v>Plusieurs images d'un bowling d'homme chauve sont montrées puis il apparaît et lance une balle courbe.</v>
      </c>
    </row>
    <row r="29675">
      <c r="A29675" s="4" t="s">
        <v>37368</v>
      </c>
      <c r="B29675" s="6" t="s">
        <v>37370</v>
      </c>
      <c r="C29675" s="5" t="str">
        <f>IFERROR(__xludf.DUMMYFUNCTION("GOOGLETRANSLATE(B29675,""en"",""fr"")"),"Plusieurs vidéos de différents endroits sont représentées de la boule de courbe et la balle va presque à la gouttière, mais les courbes à environ deux à trois pieds des épingles de bowling.")</f>
        <v>Plusieurs vidéos de différents endroits sont représentées de la boule de courbe et la balle va presque à la gouttière, mais les courbes à environ deux à trois pieds des épingles de bowling.</v>
      </c>
    </row>
    <row r="29676">
      <c r="A29676" s="4" t="s">
        <v>37371</v>
      </c>
      <c r="B29676" s="4" t="s">
        <v>37372</v>
      </c>
      <c r="C29676" s="5" t="str">
        <f>IFERROR(__xludf.DUMMYFUNCTION("GOOGLETRANSLATE(B29676,""en"",""fr"")"),"Un homme baisse plusieurs fois dans une voie.")</f>
        <v>Un homme baisse plusieurs fois dans une voie.</v>
      </c>
    </row>
    <row r="29677">
      <c r="A29677" s="4" t="s">
        <v>37371</v>
      </c>
      <c r="B29677" s="4" t="s">
        <v>37373</v>
      </c>
      <c r="C29677" s="5" t="str">
        <f>IFERROR(__xludf.DUMMYFUNCTION("GOOGLETRANSLATE(B29677,""en"",""fr"")"),"L'écran de la carte de score est affiché.")</f>
        <v>L'écran de la carte de score est affiché.</v>
      </c>
    </row>
    <row r="29678">
      <c r="A29678" s="4" t="s">
        <v>37374</v>
      </c>
      <c r="B29678" s="4" t="s">
        <v>37375</v>
      </c>
      <c r="C29678" s="5" t="str">
        <f>IFERROR(__xludf.DUMMYFUNCTION("GOOGLETRANSLATE(B29678,""en"",""fr"")"),"Un gros plan d'un chien est vu qui continue de fuir vers un autre chien.")</f>
        <v>Un gros plan d'un chien est vu qui continue de fuir vers un autre chien.</v>
      </c>
    </row>
    <row r="29679">
      <c r="A29679" s="4" t="s">
        <v>37374</v>
      </c>
      <c r="B29679" s="4" t="s">
        <v>37376</v>
      </c>
      <c r="C29679" s="5" t="str">
        <f>IFERROR(__xludf.DUMMYFUNCTION("GOOGLETRANSLATE(B29679,""en"",""fr"")"),"Le grand chien mène ensuite le petit chien en laisse.")</f>
        <v>Le grand chien mène ensuite le petit chien en laisse.</v>
      </c>
    </row>
    <row r="29680">
      <c r="A29680" s="4" t="s">
        <v>37377</v>
      </c>
      <c r="B29680" s="4" t="s">
        <v>37378</v>
      </c>
      <c r="C29680" s="5" t="str">
        <f>IFERROR(__xludf.DUMMYFUNCTION("GOOGLETRANSLATE(B29680,""en"",""fr"")"),"C'est un tutoriel vidéo sur l'obtention de tresses de boîte.")</f>
        <v>C'est un tutoriel vidéo sur l'obtention de tresses de boîte.</v>
      </c>
    </row>
    <row r="29681">
      <c r="A29681" s="4" t="s">
        <v>37377</v>
      </c>
      <c r="B29681" s="4" t="s">
        <v>37379</v>
      </c>
      <c r="C29681" s="5" t="str">
        <f>IFERROR(__xludf.DUMMYFUNCTION("GOOGLETRANSLATE(B29681,""en"",""fr"")"),"Un écran apparaît avec plusieurs sites Web et adresses de médias sociaux.")</f>
        <v>Un écran apparaît avec plusieurs sites Web et adresses de médias sociaux.</v>
      </c>
    </row>
    <row r="29682">
      <c r="A29682" s="4" t="s">
        <v>37377</v>
      </c>
      <c r="B29682" s="4" t="s">
        <v>37380</v>
      </c>
      <c r="C29682" s="5" t="str">
        <f>IFERROR(__xludf.DUMMYFUNCTION("GOOGLETRANSLATE(B29682,""en"",""fr"")"),"Il y a des images fixes pour faire des tresses montrées sur une fille dans une veste rose.")</f>
        <v>Il y a des images fixes pour faire des tresses montrées sur une fille dans une veste rose.</v>
      </c>
    </row>
    <row r="29683">
      <c r="A29683" s="4" t="s">
        <v>37377</v>
      </c>
      <c r="B29683" s="6" t="s">
        <v>37381</v>
      </c>
      <c r="C29683" s="5" t="str">
        <f>IFERROR(__xludf.DUMMYFUNCTION("GOOGLETRANSLATE(B29683,""en"",""fr"")"),"Ensuite, une vidéo montre à quoi ressemble le processus en temps réel en utilisant un peigne et la technique de séparation des tresses en tant que tresses de femme à la main.")</f>
        <v>Ensuite, une vidéo montre à quoi ressemble le processus en temps réel en utilisant un peigne et la technique de séparation des tresses en tant que tresses de femme à la main.</v>
      </c>
    </row>
    <row r="29684">
      <c r="A29684" s="4" t="s">
        <v>37377</v>
      </c>
      <c r="B29684" s="6" t="s">
        <v>37382</v>
      </c>
      <c r="C29684" s="5" t="str">
        <f>IFERROR(__xludf.DUMMYFUNCTION("GOOGLETRANSLATE(B29684,""en"",""fr"")"),"Ensuite, il y a une vue de front de la petite fille en rose alors que la femme derrière elle termine le processus de tressage à l'avant de sa tête.")</f>
        <v>Ensuite, il y a une vue de front de la petite fille en rose alors que la femme derrière elle termine le processus de tressage à l'avant de sa tête.</v>
      </c>
    </row>
    <row r="29685">
      <c r="A29685" s="4" t="s">
        <v>37377</v>
      </c>
      <c r="B29685" s="4" t="s">
        <v>37383</v>
      </c>
      <c r="C29685" s="5" t="str">
        <f>IFERROR(__xludf.DUMMYFUNCTION("GOOGLETRANSLATE(B29685,""en"",""fr"")"),"Il existe un texte d'écran qui mentionne à quoi ressemblent les cheveux six heures plus tard.")</f>
        <v>Il existe un texte d'écran qui mentionne à quoi ressemblent les cheveux six heures plus tard.</v>
      </c>
    </row>
    <row r="29686">
      <c r="A29686" s="4" t="s">
        <v>37377</v>
      </c>
      <c r="B29686" s="4" t="s">
        <v>37384</v>
      </c>
      <c r="C29686" s="5" t="str">
        <f>IFERROR(__xludf.DUMMYFUNCTION("GOOGLETRANSLATE(B29686,""en"",""fr"")"),"Ensuite, il y a encore des photos des résultats de ses cheveux tressés.")</f>
        <v>Ensuite, il y a encore des photos des résultats de ses cheveux tressés.</v>
      </c>
    </row>
    <row r="29687">
      <c r="A29687" s="4" t="s">
        <v>37385</v>
      </c>
      <c r="B29687" s="6" t="s">
        <v>37386</v>
      </c>
      <c r="C29687" s="5" t="str">
        <f>IFERROR(__xludf.DUMMYFUNCTION("GOOGLETRANSLATE(B29687,""en"",""fr"")"),"Une cascade apparaît à l'écran à côté d'une rivière avec le titre ""H20 Adventures Savegre River"" superposé.")</f>
        <v>Une cascade apparaît à l'écran à côté d'une rivière avec le titre "H20 Adventures Savegre River" superposé.</v>
      </c>
    </row>
    <row r="29688">
      <c r="A29688" s="4" t="s">
        <v>37385</v>
      </c>
      <c r="B29688" s="4" t="s">
        <v>37387</v>
      </c>
      <c r="C29688" s="5" t="str">
        <f>IFERROR(__xludf.DUMMYFUNCTION("GOOGLETRANSLATE(B29688,""en"",""fr"")"),"Un groupe de personnes traverse un pont de marche en suspension rouge au-dessus de la rivière.")</f>
        <v>Un groupe de personnes traverse un pont de marche en suspension rouge au-dessus de la rivière.</v>
      </c>
    </row>
    <row r="29689">
      <c r="A29689" s="4" t="s">
        <v>37385</v>
      </c>
      <c r="B29689" s="4" t="s">
        <v>37388</v>
      </c>
      <c r="C29689" s="5" t="str">
        <f>IFERROR(__xludf.DUMMYFUNCTION("GOOGLETRANSLATE(B29689,""en"",""fr"")"),"Un groupe de personnes portant des gilets de vie et tenant des rames écoute les instructions.")</f>
        <v>Un groupe de personnes portant des gilets de vie et tenant des rames écoute les instructions.</v>
      </c>
    </row>
    <row r="29690">
      <c r="A29690" s="4" t="s">
        <v>37385</v>
      </c>
      <c r="B29690" s="4" t="s">
        <v>37389</v>
      </c>
      <c r="C29690" s="5" t="str">
        <f>IFERROR(__xludf.DUMMYFUNCTION("GOOGLETRANSLATE(B29690,""en"",""fr"")"),"Des groupes de personnes montrent des radeaux gonflables sur le courant rapide.")</f>
        <v>Des groupes de personnes montrent des radeaux gonflables sur le courant rapide.</v>
      </c>
    </row>
    <row r="29691">
      <c r="A29691" s="4" t="s">
        <v>37385</v>
      </c>
      <c r="B29691" s="4" t="s">
        <v>37390</v>
      </c>
      <c r="C29691" s="5" t="str">
        <f>IFERROR(__xludf.DUMMYFUNCTION("GOOGLETRANSLATE(B29691,""en"",""fr"")"),"Les gens se tiennent sur les boissons à terre et à boire.")</f>
        <v>Les gens se tiennent sur les boissons à terre et à boire.</v>
      </c>
    </row>
    <row r="29692">
      <c r="A29692" s="4" t="s">
        <v>37385</v>
      </c>
      <c r="B29692" s="4" t="s">
        <v>37391</v>
      </c>
      <c r="C29692" s="5" t="str">
        <f>IFERROR(__xludf.DUMMYFUNCTION("GOOGLETRANSLATE(B29692,""en"",""fr"")"),"Les crédits vidéo apparaissent à l'écran sur la vidéo d'un lézard sur un rocher.")</f>
        <v>Les crédits vidéo apparaissent à l'écran sur la vidéo d'un lézard sur un rocher.</v>
      </c>
    </row>
    <row r="29693">
      <c r="A29693" s="4" t="s">
        <v>37385</v>
      </c>
      <c r="B29693" s="4" t="s">
        <v>37392</v>
      </c>
      <c r="C29693" s="5" t="str">
        <f>IFERROR(__xludf.DUMMYFUNCTION("GOOGLETRANSLATE(B29693,""en"",""fr"")"),"L'écran devient complètement noir après la fin des crédits.")</f>
        <v>L'écran devient complètement noir après la fin des crédits.</v>
      </c>
    </row>
    <row r="29694">
      <c r="A29694" s="4" t="s">
        <v>37393</v>
      </c>
      <c r="B29694" s="4" t="s">
        <v>37394</v>
      </c>
      <c r="C29694" s="5" t="str">
        <f>IFERROR(__xludf.DUMMYFUNCTION("GOOGLETRANSLATE(B29694,""en"",""fr"")"),"Quelques hommes sont sur un court de tennis intérieur.")</f>
        <v>Quelques hommes sont sur un court de tennis intérieur.</v>
      </c>
    </row>
    <row r="29695">
      <c r="A29695" s="4" t="s">
        <v>37393</v>
      </c>
      <c r="B29695" s="4" t="s">
        <v>37395</v>
      </c>
      <c r="C29695" s="5" t="str">
        <f>IFERROR(__xludf.DUMMYFUNCTION("GOOGLETRANSLATE(B29695,""en"",""fr"")"),"Ils lobent le ballon d'avant en arrière sur le filet.")</f>
        <v>Ils lobent le ballon d'avant en arrière sur le filet.</v>
      </c>
    </row>
    <row r="29696">
      <c r="A29696" s="4" t="s">
        <v>37393</v>
      </c>
      <c r="B29696" s="4" t="s">
        <v>37396</v>
      </c>
      <c r="C29696" s="5" t="str">
        <f>IFERROR(__xludf.DUMMYFUNCTION("GOOGLETRANSLATE(B29696,""en"",""fr"")"),"Ils se frappaient le ballon.")</f>
        <v>Ils se frappaient le ballon.</v>
      </c>
    </row>
    <row r="29697">
      <c r="A29697" s="4" t="s">
        <v>37397</v>
      </c>
      <c r="B29697" s="4" t="s">
        <v>37398</v>
      </c>
      <c r="C29697" s="5" t="str">
        <f>IFERROR(__xludf.DUMMYFUNCTION("GOOGLETRANSLATE(B29697,""en"",""fr"")"),"Deux hommes dansent alternativement dans la rue tandis que les piétons et la circulation routière passent.")</f>
        <v>Deux hommes dansent alternativement dans la rue tandis que les piétons et la circulation routière passent.</v>
      </c>
    </row>
    <row r="29698">
      <c r="A29698" s="4" t="s">
        <v>37397</v>
      </c>
      <c r="B29698" s="4" t="s">
        <v>37399</v>
      </c>
      <c r="C29698" s="5" t="str">
        <f>IFERROR(__xludf.DUMMYFUNCTION("GOOGLETRANSLATE(B29698,""en"",""fr"")"),"Deux femmes s'arrêtent pour regarder les danseurs.")</f>
        <v>Deux femmes s'arrêtent pour regarder les danseurs.</v>
      </c>
    </row>
    <row r="29699">
      <c r="A29699" s="4" t="s">
        <v>37397</v>
      </c>
      <c r="B29699" s="4" t="s">
        <v>37400</v>
      </c>
      <c r="C29699" s="5" t="str">
        <f>IFERROR(__xludf.DUMMYFUNCTION("GOOGLETRANSLATE(B29699,""en"",""fr"")"),"Un homme et une femme s'arrêtent pour regarder les danseurs.")</f>
        <v>Un homme et une femme s'arrêtent pour regarder les danseurs.</v>
      </c>
    </row>
    <row r="29700">
      <c r="A29700" s="4" t="s">
        <v>37401</v>
      </c>
      <c r="B29700" s="4" t="s">
        <v>37402</v>
      </c>
      <c r="C29700" s="5" t="str">
        <f>IFERROR(__xludf.DUMMYFUNCTION("GOOGLETRANSLATE(B29700,""en"",""fr"")"),"Un garçon est à l'intérieur d'un filet extérieur.")</f>
        <v>Un garçon est à l'intérieur d'un filet extérieur.</v>
      </c>
    </row>
    <row r="29701">
      <c r="A29701" s="4" t="s">
        <v>37401</v>
      </c>
      <c r="B29701" s="4" t="s">
        <v>37403</v>
      </c>
      <c r="C29701" s="5" t="str">
        <f>IFERROR(__xludf.DUMMYFUNCTION("GOOGLETRANSLATE(B29701,""en"",""fr"")"),"Il balance une balle sur une corde très rapidement.")</f>
        <v>Il balance une balle sur une corde très rapidement.</v>
      </c>
    </row>
    <row r="29702">
      <c r="A29702" s="4" t="s">
        <v>37401</v>
      </c>
      <c r="B29702" s="4" t="s">
        <v>37404</v>
      </c>
      <c r="C29702" s="5" t="str">
        <f>IFERROR(__xludf.DUMMYFUNCTION("GOOGLETRANSLATE(B29702,""en"",""fr"")"),"Il laisse aller et regarde alors qu'il vole sur le terrain.")</f>
        <v>Il laisse aller et regarde alors qu'il vole sur le terrain.</v>
      </c>
    </row>
    <row r="29703">
      <c r="A29703" s="4" t="s">
        <v>37405</v>
      </c>
      <c r="B29703" s="4" t="s">
        <v>37406</v>
      </c>
      <c r="C29703" s="5" t="str">
        <f>IFERROR(__xludf.DUMMYFUNCTION("GOOGLETRANSLATE(B29703,""en"",""fr"")"),"Un garçon dansant sur le devant d'un livre avec des crédits décrits.")</f>
        <v>Un garçon dansant sur le devant d'un livre avec des crédits décrits.</v>
      </c>
    </row>
    <row r="29704">
      <c r="A29704" s="4" t="s">
        <v>37405</v>
      </c>
      <c r="B29704" s="4" t="s">
        <v>37407</v>
      </c>
      <c r="C29704" s="5" t="str">
        <f>IFERROR(__xludf.DUMMYFUNCTION("GOOGLETRANSLATE(B29704,""en"",""fr"")"),"Le garçon est assis dans une pièce vide pour parler de ses mouvements de danse.")</f>
        <v>Le garçon est assis dans une pièce vide pour parler de ses mouvements de danse.</v>
      </c>
    </row>
    <row r="29705">
      <c r="A29705" s="4" t="s">
        <v>37405</v>
      </c>
      <c r="B29705" s="6" t="s">
        <v>37408</v>
      </c>
      <c r="C29705" s="5" t="str">
        <f>IFERROR(__xludf.DUMMYFUNCTION("GOOGLETRANSLATE(B29705,""en"",""fr"")"),"Le garçon est debout dans la pièce montrant un mouvement qui commence par le coup de pied à gauche alors qu'il se retourne lentement et montre le reste du mouvement de danse actuel.")</f>
        <v>Le garçon est debout dans la pièce montrant un mouvement qui commence par le coup de pied à gauche alors qu'il se retourne lentement et montre le reste du mouvement de danse actuel.</v>
      </c>
    </row>
    <row r="29706">
      <c r="A29706" s="4" t="s">
        <v>37405</v>
      </c>
      <c r="B29706" s="4" t="s">
        <v>37409</v>
      </c>
      <c r="C29706" s="5" t="str">
        <f>IFERROR(__xludf.DUMMYFUNCTION("GOOGLETRANSLATE(B29706,""en"",""fr"")"),"Ensuite, le garçon commence par le même mouvement mais se déplace plus rapidement.")</f>
        <v>Ensuite, le garçon commence par le même mouvement mais se déplace plus rapidement.</v>
      </c>
    </row>
    <row r="29707">
      <c r="A29707" s="4" t="s">
        <v>37405</v>
      </c>
      <c r="B29707" s="4" t="s">
        <v>37410</v>
      </c>
      <c r="C29707" s="5" t="str">
        <f>IFERROR(__xludf.DUMMYFUNCTION("GOOGLETRANSLATE(B29707,""en"",""fr"")"),"Les instructions pour pratiquer sont représentées lorsque le garçon danse dans la pièce presque vide.")</f>
        <v>Les instructions pour pratiquer sont représentées lorsque le garçon danse dans la pièce presque vide.</v>
      </c>
    </row>
    <row r="29708">
      <c r="A29708" s="4" t="s">
        <v>37411</v>
      </c>
      <c r="B29708" s="4" t="s">
        <v>17353</v>
      </c>
      <c r="C29708" s="5" t="str">
        <f>IFERROR(__xludf.DUMMYFUNCTION("GOOGLETRANSLATE(B29708,""en"",""fr"")"),"Les gens flottent sur une rivière dans des tubes.")</f>
        <v>Les gens flottent sur une rivière dans des tubes.</v>
      </c>
    </row>
    <row r="29709">
      <c r="A29709" s="4" t="s">
        <v>37411</v>
      </c>
      <c r="B29709" s="4" t="s">
        <v>37412</v>
      </c>
      <c r="C29709" s="5" t="str">
        <f>IFERROR(__xludf.DUMMYFUNCTION("GOOGLETRANSLATE(B29709,""en"",""fr"")"),"Les arbres sont représentés au-dessus de l'eau.")</f>
        <v>Les arbres sont représentés au-dessus de l'eau.</v>
      </c>
    </row>
    <row r="29710">
      <c r="A29710" s="4" t="s">
        <v>37411</v>
      </c>
      <c r="B29710" s="4" t="s">
        <v>37413</v>
      </c>
      <c r="C29710" s="5" t="str">
        <f>IFERROR(__xludf.DUMMYFUNCTION("GOOGLETRANSLATE(B29710,""en"",""fr"")"),"Un homme met ses mains derrière sa tête.")</f>
        <v>Un homme met ses mains derrière sa tête.</v>
      </c>
    </row>
    <row r="29711">
      <c r="A29711" s="4" t="s">
        <v>37414</v>
      </c>
      <c r="B29711" s="4" t="s">
        <v>37415</v>
      </c>
      <c r="C29711" s="5" t="str">
        <f>IFERROR(__xludf.DUMMYFUNCTION("GOOGLETRANSLATE(B29711,""en"",""fr"")"),"Les enfants roulent dans un carnaval.")</f>
        <v>Les enfants roulent dans un carnaval.</v>
      </c>
    </row>
    <row r="29712">
      <c r="A29712" s="4" t="s">
        <v>37414</v>
      </c>
      <c r="B29712" s="4" t="s">
        <v>37416</v>
      </c>
      <c r="C29712" s="5" t="str">
        <f>IFERROR(__xludf.DUMMYFUNCTION("GOOGLETRANSLATE(B29712,""en"",""fr"")"),"Les enfants sont coincés au centre, mais ils se libèrent et conduisent.")</f>
        <v>Les enfants sont coincés au centre, mais ils se libèrent et conduisent.</v>
      </c>
    </row>
    <row r="29713">
      <c r="A29713" s="4" t="s">
        <v>37414</v>
      </c>
      <c r="B29713" s="4" t="s">
        <v>37417</v>
      </c>
      <c r="C29713" s="5" t="str">
        <f>IFERROR(__xludf.DUMMYFUNCTION("GOOGLETRANSLATE(B29713,""en"",""fr"")"),"Une femme pousse une poussette dans la rue.")</f>
        <v>Une femme pousse une poussette dans la rue.</v>
      </c>
    </row>
    <row r="29714">
      <c r="A29714" s="4" t="s">
        <v>37414</v>
      </c>
      <c r="B29714" s="4" t="s">
        <v>37418</v>
      </c>
      <c r="C29714" s="5" t="str">
        <f>IFERROR(__xludf.DUMMYFUNCTION("GOOGLETRANSLATE(B29714,""en"",""fr"")"),"Les enfants cognent des voitures et roulent.")</f>
        <v>Les enfants cognent des voitures et roulent.</v>
      </c>
    </row>
    <row r="29715">
      <c r="A29715" s="4" t="s">
        <v>37414</v>
      </c>
      <c r="B29715" s="4" t="s">
        <v>37419</v>
      </c>
      <c r="C29715" s="5" t="str">
        <f>IFERROR(__xludf.DUMMYFUNCTION("GOOGLETRANSLATE(B29715,""en"",""fr"")"),"Les enfants sortent des tampants et se dirigent vers la sortie.")</f>
        <v>Les enfants sortent des tampants et se dirigent vers la sortie.</v>
      </c>
    </row>
    <row r="29716">
      <c r="A29716" s="4" t="s">
        <v>37420</v>
      </c>
      <c r="B29716" s="4" t="s">
        <v>37421</v>
      </c>
      <c r="C29716" s="5" t="str">
        <f>IFERROR(__xludf.DUMMYFUNCTION("GOOGLETRANSLATE(B29716,""en"",""fr"")"),"Une personne glisse une balle lourde sur le sol tout en tenant une brosse sur sa main gauche.")</f>
        <v>Une personne glisse une balle lourde sur le sol tout en tenant une brosse sur sa main gauche.</v>
      </c>
    </row>
    <row r="29717">
      <c r="A29717" s="4" t="s">
        <v>37420</v>
      </c>
      <c r="B29717" s="4" t="s">
        <v>37422</v>
      </c>
      <c r="C29717" s="5" t="str">
        <f>IFERROR(__xludf.DUMMYFUNCTION("GOOGLETRANSLATE(B29717,""en"",""fr"")"),"Ensuite, deux hommes brossent le sol sur la balle lourde sans la toucher.")</f>
        <v>Ensuite, deux hommes brossent le sol sur la balle lourde sans la toucher.</v>
      </c>
    </row>
    <row r="29718">
      <c r="A29718" s="4" t="s">
        <v>37420</v>
      </c>
      <c r="B29718" s="4" t="s">
        <v>37423</v>
      </c>
      <c r="C29718" s="5" t="str">
        <f>IFERROR(__xludf.DUMMYFUNCTION("GOOGLETRANSLATE(B29718,""en"",""fr"")"),"Les gens jouent derrière la personne.")</f>
        <v>Les gens jouent derrière la personne.</v>
      </c>
    </row>
    <row r="29719">
      <c r="A29719" s="4" t="s">
        <v>37420</v>
      </c>
      <c r="B29719" s="4" t="s">
        <v>37424</v>
      </c>
      <c r="C29719" s="5" t="str">
        <f>IFERROR(__xludf.DUMMYFUNCTION("GOOGLETRANSLATE(B29719,""en"",""fr"")"),"La boule jaune atteint le centre du cercle rouge.")</f>
        <v>La boule jaune atteint le centre du cercle rouge.</v>
      </c>
    </row>
    <row r="29720">
      <c r="A29720" s="4" t="s">
        <v>37425</v>
      </c>
      <c r="B29720" s="4" t="s">
        <v>37426</v>
      </c>
      <c r="C29720" s="5" t="str">
        <f>IFERROR(__xludf.DUMMYFUNCTION("GOOGLETRANSLATE(B29720,""en"",""fr"")"),"Un homme porte un chapeau rouge et des lunettes de soleil.")</f>
        <v>Un homme porte un chapeau rouge et des lunettes de soleil.</v>
      </c>
    </row>
    <row r="29721">
      <c r="A29721" s="4" t="s">
        <v>37425</v>
      </c>
      <c r="B29721" s="4" t="s">
        <v>37427</v>
      </c>
      <c r="C29721" s="5" t="str">
        <f>IFERROR(__xludf.DUMMYFUNCTION("GOOGLETRANSLATE(B29721,""en"",""fr"")"),"Il lance une fléchette devant lui.")</f>
        <v>Il lance une fléchette devant lui.</v>
      </c>
    </row>
    <row r="29722">
      <c r="A29722" s="4" t="s">
        <v>37425</v>
      </c>
      <c r="B29722" s="4" t="s">
        <v>37428</v>
      </c>
      <c r="C29722" s="5" t="str">
        <f>IFERROR(__xludf.DUMMYFUNCTION("GOOGLETRANSLATE(B29722,""en"",""fr"")"),"Il fait un œil sur les taureaux sur la planche de fléchettes.")</f>
        <v>Il fait un œil sur les taureaux sur la planche de fléchettes.</v>
      </c>
    </row>
    <row r="29723">
      <c r="A29723" s="4" t="s">
        <v>37429</v>
      </c>
      <c r="B29723" s="4" t="s">
        <v>37430</v>
      </c>
      <c r="C29723" s="5" t="str">
        <f>IFERROR(__xludf.DUMMYFUNCTION("GOOGLETRANSLATE(B29723,""en"",""fr"")"),"Une caméra se déroule autour de verres de limonade suivis d'une personne qui serre du jus hors des citrons.")</f>
        <v>Une caméra se déroule autour de verres de limonade suivis d'une personne qui serre du jus hors des citrons.</v>
      </c>
    </row>
    <row r="29724">
      <c r="A29724" s="4" t="s">
        <v>37429</v>
      </c>
      <c r="B29724" s="4" t="s">
        <v>37431</v>
      </c>
      <c r="C29724" s="5" t="str">
        <f>IFERROR(__xludf.DUMMYFUNCTION("GOOGLETRANSLATE(B29724,""en"",""fr"")"),"La personne mélange divers ingrédients dans un bol et le verse dans un verre.")</f>
        <v>La personne mélange divers ingrédients dans un bol et le verse dans un verre.</v>
      </c>
    </row>
    <row r="29725">
      <c r="A29725" s="4" t="s">
        <v>37429</v>
      </c>
      <c r="B29725" s="4" t="s">
        <v>37432</v>
      </c>
      <c r="C29725" s="5" t="str">
        <f>IFERROR(__xludf.DUMMYFUNCTION("GOOGLETRANSLATE(B29725,""en"",""fr"")"),"Plusieurs plans sont représentés des verres versés ainsi que présentés à la caméra.")</f>
        <v>Plusieurs plans sont représentés des verres versés ainsi que présentés à la caméra.</v>
      </c>
    </row>
    <row r="29726">
      <c r="A29726" s="4" t="s">
        <v>37433</v>
      </c>
      <c r="B29726" s="4" t="s">
        <v>37434</v>
      </c>
      <c r="C29726" s="5" t="str">
        <f>IFERROR(__xludf.DUMMYFUNCTION("GOOGLETRANSLATE(B29726,""en"",""fr"")"),"Un homme est assis à une table et une femme lui retire une boîte.")</f>
        <v>Un homme est assis à une table et une femme lui retire une boîte.</v>
      </c>
    </row>
    <row r="29727">
      <c r="A29727" s="4" t="s">
        <v>37433</v>
      </c>
      <c r="B29727" s="4" t="s">
        <v>37435</v>
      </c>
      <c r="C29727" s="5" t="str">
        <f>IFERROR(__xludf.DUMMYFUNCTION("GOOGLETRANSLATE(B29727,""en"",""fr"")"),"Il met ses mains sur la table puis commence à résoudre un cube Rubix.")</f>
        <v>Il met ses mains sur la table puis commence à résoudre un cube Rubix.</v>
      </c>
    </row>
    <row r="29728">
      <c r="A29728" s="4" t="s">
        <v>37433</v>
      </c>
      <c r="B29728" s="4" t="s">
        <v>37436</v>
      </c>
      <c r="C29728" s="5" t="str">
        <f>IFERROR(__xludf.DUMMYFUNCTION("GOOGLETRANSLATE(B29728,""en"",""fr"")"),"La minuterie continue alors qu'il résout le cube.")</f>
        <v>La minuterie continue alors qu'il résout le cube.</v>
      </c>
    </row>
    <row r="29729">
      <c r="A29729" s="4" t="s">
        <v>37437</v>
      </c>
      <c r="B29729" s="4" t="s">
        <v>37438</v>
      </c>
      <c r="C29729" s="5" t="str">
        <f>IFERROR(__xludf.DUMMYFUNCTION("GOOGLETRANSLATE(B29729,""en"",""fr"")"),"Deux hommes se tiennent dans un voilier en mer.")</f>
        <v>Deux hommes se tiennent dans un voilier en mer.</v>
      </c>
    </row>
    <row r="29730">
      <c r="A29730" s="4" t="s">
        <v>37437</v>
      </c>
      <c r="B29730" s="4" t="s">
        <v>37439</v>
      </c>
      <c r="C29730" s="5" t="str">
        <f>IFERROR(__xludf.DUMMYFUNCTION("GOOGLETRANSLATE(B29730,""en"",""fr"")"),"L'homme se tient sur un quai portant une chemise Red Bull, puis est dans le sillbout de Sill.")</f>
        <v>L'homme se tient sur un quai portant une chemise Red Bull, puis est dans le sillbout de Sill.</v>
      </c>
    </row>
    <row r="29731">
      <c r="A29731" s="4" t="s">
        <v>37437</v>
      </c>
      <c r="B29731" s="4" t="s">
        <v>37440</v>
      </c>
      <c r="C29731" s="5" t="str">
        <f>IFERROR(__xludf.DUMMYFUNCTION("GOOGLETRANSLATE(B29731,""en"",""fr"")"),"Les dauphins nagent à côté du bateau.")</f>
        <v>Les dauphins nagent à côté du bateau.</v>
      </c>
    </row>
    <row r="29732">
      <c r="A29732" s="4" t="s">
        <v>37437</v>
      </c>
      <c r="B29732" s="4" t="s">
        <v>37441</v>
      </c>
      <c r="C29732" s="5" t="str">
        <f>IFERROR(__xludf.DUMMYFUNCTION("GOOGLETRANSLATE(B29732,""en"",""fr"")"),"Les gens se tiennent par une journée ensoleillée dans un quai.")</f>
        <v>Les gens se tiennent par une journée ensoleillée dans un quai.</v>
      </c>
    </row>
    <row r="29733">
      <c r="A29733" s="4" t="s">
        <v>37442</v>
      </c>
      <c r="B29733" s="4" t="s">
        <v>37443</v>
      </c>
      <c r="C29733" s="5" t="str">
        <f>IFERROR(__xludf.DUMMYFUNCTION("GOOGLETRANSLATE(B29733,""en"",""fr"")"),"Un homme s'agenouille sur la glace avec un autre à côté de la peau qui tire la corde d'un trou.")</f>
        <v>Un homme s'agenouille sur la glace avec un autre à côté de la peau qui tire la corde d'un trou.</v>
      </c>
    </row>
    <row r="29734">
      <c r="A29734" s="4" t="s">
        <v>37442</v>
      </c>
      <c r="B29734" s="4" t="s">
        <v>37444</v>
      </c>
      <c r="C29734" s="5" t="str">
        <f>IFERROR(__xludf.DUMMYFUNCTION("GOOGLETRANSLATE(B29734,""en"",""fr"")"),"Ils continuent de tirer la corde tandis que l'homme à côté de lui attrape un crochet.")</f>
        <v>Ils continuent de tirer la corde tandis que l'homme à côté de lui attrape un crochet.</v>
      </c>
    </row>
    <row r="29735">
      <c r="A29735" s="4" t="s">
        <v>37442</v>
      </c>
      <c r="B29735" s="4" t="s">
        <v>37445</v>
      </c>
      <c r="C29735" s="5" t="str">
        <f>IFERROR(__xludf.DUMMYFUNCTION("GOOGLETRANSLATE(B29735,""en"",""fr"")"),"Il place le crochet près du trou mais l'homme attrape un poisson sur une ficelle.")</f>
        <v>Il place le crochet près du trou mais l'homme attrape un poisson sur une ficelle.</v>
      </c>
    </row>
    <row r="29736">
      <c r="A29736" s="4" t="s">
        <v>37442</v>
      </c>
      <c r="B29736" s="4" t="s">
        <v>37446</v>
      </c>
      <c r="C29736" s="5" t="str">
        <f>IFERROR(__xludf.DUMMYFUNCTION("GOOGLETRANSLATE(B29736,""en"",""fr"")"),"Le poisson se tourne et l'homme attrape le poisson et le tient.")</f>
        <v>Le poisson se tourne et l'homme attrape le poisson et le tient.</v>
      </c>
    </row>
    <row r="29737">
      <c r="A29737" s="4" t="s">
        <v>37447</v>
      </c>
      <c r="B29737" s="4" t="s">
        <v>37448</v>
      </c>
      <c r="C29737" s="5" t="str">
        <f>IFERROR(__xludf.DUMMYFUNCTION("GOOGLETRANSLATE(B29737,""en"",""fr"")"),"Les gens conduisent des voitures tamponneuses dans un carnaval.")</f>
        <v>Les gens conduisent des voitures tamponneuses dans un carnaval.</v>
      </c>
    </row>
    <row r="29738">
      <c r="A29738" s="4" t="s">
        <v>37447</v>
      </c>
      <c r="B29738" s="4" t="s">
        <v>37449</v>
      </c>
      <c r="C29738" s="5" t="str">
        <f>IFERROR(__xludf.DUMMYFUNCTION("GOOGLETRANSLATE(B29738,""en"",""fr"")"),"Une petite fille suit un garçon dans une voiture de plein air jaune.")</f>
        <v>Une petite fille suit un garçon dans une voiture de plein air jaune.</v>
      </c>
    </row>
    <row r="29739">
      <c r="A29739" s="4" t="s">
        <v>37447</v>
      </c>
      <c r="B29739" s="4" t="s">
        <v>37450</v>
      </c>
      <c r="C29739" s="5" t="str">
        <f>IFERROR(__xludf.DUMMYFUNCTION("GOOGLETRANSLATE(B29739,""en"",""fr"")"),"Ensuite, le garçon et la fille ont frappé d'autres tampants.")</f>
        <v>Ensuite, le garçon et la fille ont frappé d'autres tampants.</v>
      </c>
    </row>
    <row r="29740">
      <c r="A29740" s="4" t="s">
        <v>37451</v>
      </c>
      <c r="B29740" s="4" t="s">
        <v>37452</v>
      </c>
      <c r="C29740" s="5" t="str">
        <f>IFERROR(__xludf.DUMMYFUNCTION("GOOGLETRANSLATE(B29740,""en"",""fr"")"),"Un groupe de personnes est sur des radeaux, le rafting en eau vive dans les eaux rocheuses.")</f>
        <v>Un groupe de personnes est sur des radeaux, le rafting en eau vive dans les eaux rocheuses.</v>
      </c>
    </row>
    <row r="29741">
      <c r="A29741" s="4" t="s">
        <v>37451</v>
      </c>
      <c r="B29741" s="4" t="s">
        <v>37453</v>
      </c>
      <c r="C29741" s="5" t="str">
        <f>IFERROR(__xludf.DUMMYFUNCTION("GOOGLETRANSLATE(B29741,""en"",""fr"")"),"Finalement, ils voyagent dans l'eau et finissent par frapper un énorme rocher et perdre leurs pagaies.")</f>
        <v>Finalement, ils voyagent dans l'eau et finissent par frapper un énorme rocher et perdre leurs pagaies.</v>
      </c>
    </row>
    <row r="29742">
      <c r="A29742" s="4" t="s">
        <v>37451</v>
      </c>
      <c r="B29742" s="4" t="s">
        <v>37454</v>
      </c>
      <c r="C29742" s="5" t="str">
        <f>IFERROR(__xludf.DUMMYFUNCTION("GOOGLETRANSLATE(B29742,""en"",""fr"")"),"Après, ils continuent de passer par des parties rocheuses de l'eau et de glisser sur de petites collines.")</f>
        <v>Après, ils continuent de passer par des parties rocheuses de l'eau et de glisser sur de petites collines.</v>
      </c>
    </row>
    <row r="29743">
      <c r="A29743" s="4" t="s">
        <v>37455</v>
      </c>
      <c r="B29743" s="6" t="s">
        <v>37456</v>
      </c>
      <c r="C29743" s="5" t="str">
        <f>IFERROR(__xludf.DUMMYFUNCTION("GOOGLETRANSLATE(B29743,""en"",""fr"")"),"Un journaliste rapporte une histoire sur les amputés et les non-amputés utilisant des membres de remplacement par une technologie de pointe ou en tant que LEG EXPERSETS et AMPROPLAGES PERSONNES pour les non-amputés.")</f>
        <v>Un journaliste rapporte une histoire sur les amputés et les non-amputés utilisant des membres de remplacement par une technologie de pointe ou en tant que LEG EXPERSETS et AMPROPLAGES PERSONNES pour les non-amputés.</v>
      </c>
    </row>
    <row r="29744">
      <c r="A29744" s="4" t="s">
        <v>37455</v>
      </c>
      <c r="B29744" s="6" t="s">
        <v>37457</v>
      </c>
      <c r="C29744" s="5" t="str">
        <f>IFERROR(__xludf.DUMMYFUNCTION("GOOGLETRANSLATE(B29744,""en"",""fr"")"),"Un journaliste est assis à une table de journalistes lors d'une émission de nouvelles avant que le clip ne coupe les personnes portant une technologie de remplacement des membres.")</f>
        <v>Un journaliste est assis à une table de journalistes lors d'une émission de nouvelles avant que le clip ne coupe les personnes portant une technologie de remplacement des membres.</v>
      </c>
    </row>
    <row r="29745">
      <c r="A29745" s="4" t="s">
        <v>37455</v>
      </c>
      <c r="B29745" s="6" t="s">
        <v>37458</v>
      </c>
      <c r="C29745" s="5" t="str">
        <f>IFERROR(__xludf.DUMMYFUNCTION("GOOGLETRANSLATE(B29745,""en"",""fr"")"),"Plusieurs clips d'hommes qui ne sont pas des amputés portant des jambes d'extension amputés sont présentés avec les sujets qui courent et ont rebondi dans la rue.")</f>
        <v>Plusieurs clips d'hommes qui ne sont pas des amputés portant des jambes d'extension amputés sont présentés avec les sujets qui courent et ont rebondi dans la rue.</v>
      </c>
    </row>
    <row r="29746">
      <c r="A29746" s="4" t="s">
        <v>37459</v>
      </c>
      <c r="B29746" s="6" t="s">
        <v>37460</v>
      </c>
      <c r="C29746" s="5" t="str">
        <f>IFERROR(__xludf.DUMMYFUNCTION("GOOGLETRANSLATE(B29746,""en"",""fr"")"),"Hulk Hogan est vu parler à la caméra tout en levant les bras et un autre homme se tient en arrière-plan.")</f>
        <v>Hulk Hogan est vu parler à la caméra tout en levant les bras et un autre homme se tient en arrière-plan.</v>
      </c>
    </row>
    <row r="29747">
      <c r="A29747" s="4" t="s">
        <v>37459</v>
      </c>
      <c r="B29747" s="6" t="s">
        <v>37461</v>
      </c>
      <c r="C29747" s="5" t="str">
        <f>IFERROR(__xludf.DUMMYFUNCTION("GOOGLETRANSLATE(B29747,""en"",""fr"")"),"L'homme continue de parler à la caméra et mène à des clips d'un bras de lutte contre le bras et un autre homme levant le bras.")</f>
        <v>L'homme continue de parler à la caméra et mène à des clips d'un bras de lutte contre le bras et un autre homme levant le bras.</v>
      </c>
    </row>
    <row r="29748">
      <c r="A29748" s="4" t="s">
        <v>37462</v>
      </c>
      <c r="B29748" s="6" t="s">
        <v>37463</v>
      </c>
      <c r="C29748" s="5" t="str">
        <f>IFERROR(__xludf.DUMMYFUNCTION("GOOGLETRANSLATE(B29748,""en"",""fr"")"),"Un mâle asiatique se tient sur un plancher en bois dur et commence à parler et commence à faire un tour sur sa tête.")</f>
        <v>Un mâle asiatique se tient sur un plancher en bois dur et commence à parler et commence à faire un tour sur sa tête.</v>
      </c>
    </row>
    <row r="29749">
      <c r="A29749" s="4" t="s">
        <v>37462</v>
      </c>
      <c r="B29749" s="4" t="s">
        <v>37464</v>
      </c>
      <c r="C29749" s="5" t="str">
        <f>IFERROR(__xludf.DUMMYFUNCTION("GOOGLETRANSLATE(B29749,""en"",""fr"")"),"Après le clip, il revient et montre comment placer correctement vos mains sur le sol.")</f>
        <v>Après le clip, il revient et montre comment placer correctement vos mains sur le sol.</v>
      </c>
    </row>
    <row r="29750">
      <c r="A29750" s="4" t="s">
        <v>37462</v>
      </c>
      <c r="B29750" s="4" t="s">
        <v>37465</v>
      </c>
      <c r="C29750" s="5" t="str">
        <f>IFERROR(__xludf.DUMMYFUNCTION("GOOGLETRANSLATE(B29750,""en"",""fr"")"),"Alors qu'il continue, il attrape un bonnet et le met sur sa main pour le rendre plus facile.")</f>
        <v>Alors qu'il continue, il attrape un bonnet et le met sur sa main pour le rendre plus facile.</v>
      </c>
    </row>
    <row r="29751">
      <c r="A29751" s="4" t="s">
        <v>37462</v>
      </c>
      <c r="B29751" s="6" t="s">
        <v>37466</v>
      </c>
      <c r="C29751" s="5" t="str">
        <f>IFERROR(__xludf.DUMMYFUNCTION("GOOGLETRANSLATE(B29751,""en"",""fr"")"),"L'homme fait ensuite la torsion en continu et montre la position de cricket avant de revenir pour parler à nouveau.")</f>
        <v>L'homme fait ensuite la torsion en continu et montre la position de cricket avant de revenir pour parler à nouveau.</v>
      </c>
    </row>
    <row r="29752">
      <c r="A29752" s="4" t="s">
        <v>37467</v>
      </c>
      <c r="B29752" s="4" t="s">
        <v>37468</v>
      </c>
      <c r="C29752" s="5" t="str">
        <f>IFERROR(__xludf.DUMMYFUNCTION("GOOGLETRANSLATE(B29752,""en"",""fr"")"),"L'homme soude une machine en métal dans une pièce.")</f>
        <v>L'homme soude une machine en métal dans une pièce.</v>
      </c>
    </row>
    <row r="29753">
      <c r="A29753" s="4" t="s">
        <v>37467</v>
      </c>
      <c r="B29753" s="4" t="s">
        <v>37469</v>
      </c>
      <c r="C29753" s="5" t="str">
        <f>IFERROR(__xludf.DUMMYFUNCTION("GOOGLETRANSLATE(B29753,""en"",""fr"")"),"L'homme parle à la caméra et tient une émerge dans une salle de machine.")</f>
        <v>L'homme parle à la caméra et tient une émerge dans une salle de machine.</v>
      </c>
    </row>
    <row r="29754">
      <c r="A29754" s="4" t="s">
        <v>37470</v>
      </c>
      <c r="B29754" s="4" t="s">
        <v>37471</v>
      </c>
      <c r="C29754" s="5" t="str">
        <f>IFERROR(__xludf.DUMMYFUNCTION("GOOGLETRANSLATE(B29754,""en"",""fr"")"),"Un groupe d'hommes est vu bondé autour d'une table où plus d'hommes sont assis et parlent.")</f>
        <v>Un groupe d'hommes est vu bondé autour d'une table où plus d'hommes sont assis et parlent.</v>
      </c>
    </row>
    <row r="29755">
      <c r="A29755" s="4" t="s">
        <v>37470</v>
      </c>
      <c r="B29755" s="4" t="s">
        <v>37472</v>
      </c>
      <c r="C29755" s="5" t="str">
        <f>IFERROR(__xludf.DUMMYFUNCTION("GOOGLETRANSLATE(B29755,""en"",""fr"")"),"Finalement, deux hommes à la bière ont suivi une ligne plus d'hommes buvant leur bière.")</f>
        <v>Finalement, deux hommes à la bière ont suivi une ligne plus d'hommes buvant leur bière.</v>
      </c>
    </row>
    <row r="29756">
      <c r="A29756" s="4" t="s">
        <v>37470</v>
      </c>
      <c r="B29756" s="4" t="s">
        <v>37473</v>
      </c>
      <c r="C29756" s="5" t="str">
        <f>IFERROR(__xludf.DUMMYFUNCTION("GOOGLETRANSLATE(B29756,""en"",""fr"")"),"Les hommes finissent leurs bières et se moquent et s'applaudissent tandis que beaucoup regardent sur les côtés.")</f>
        <v>Les hommes finissent leurs bières et se moquent et s'applaudissent tandis que beaucoup regardent sur les côtés.</v>
      </c>
    </row>
    <row r="29757">
      <c r="A29757" s="4" t="s">
        <v>37474</v>
      </c>
      <c r="B29757" s="6" t="s">
        <v>37475</v>
      </c>
      <c r="C29757" s="5" t="str">
        <f>IFERROR(__xludf.DUMMYFUNCTION("GOOGLETRANSLATE(B29757,""en"",""fr"")"),"Plusieurs individus sont dans l'eau en jouant à un jeu et l'homme lance une balle orange à une personne.")</f>
        <v>Plusieurs individus sont dans l'eau en jouant à un jeu et l'homme lance une balle orange à une personne.</v>
      </c>
    </row>
    <row r="29758">
      <c r="A29758" s="4" t="s">
        <v>37474</v>
      </c>
      <c r="B29758" s="4" t="s">
        <v>37476</v>
      </c>
      <c r="C29758" s="5" t="str">
        <f>IFERROR(__xludf.DUMMYFUNCTION("GOOGLETRANSLATE(B29758,""en"",""fr"")"),"La personne prend ensuite le ballon et la jette à l'homme assis à côté du but.")</f>
        <v>La personne prend ensuite le ballon et la jette à l'homme assis à côté du but.</v>
      </c>
    </row>
    <row r="29759">
      <c r="A29759" s="4" t="s">
        <v>37474</v>
      </c>
      <c r="B29759" s="4" t="s">
        <v>37477</v>
      </c>
      <c r="C29759" s="5" t="str">
        <f>IFERROR(__xludf.DUMMYFUNCTION("GOOGLETRANSLATE(B29759,""en"",""fr"")"),"Il se déplace ensuite de l'autre côté de la piscine et attrape le but.")</f>
        <v>Il se déplace ensuite de l'autre côté de la piscine et attrape le but.</v>
      </c>
    </row>
    <row r="29760">
      <c r="A29760" s="4" t="s">
        <v>37478</v>
      </c>
      <c r="B29760" s="4" t="s">
        <v>37479</v>
      </c>
      <c r="C29760" s="5" t="str">
        <f>IFERROR(__xludf.DUMMYFUNCTION("GOOGLETRANSLATE(B29760,""en"",""fr"")"),"Un homme est assis à côté d'un bureau où une pièce d'équipement de fitness est placée.")</f>
        <v>Un homme est assis à côté d'un bureau où une pièce d'équipement de fitness est placée.</v>
      </c>
    </row>
    <row r="29761">
      <c r="A29761" s="4" t="s">
        <v>37478</v>
      </c>
      <c r="B29761" s="4" t="s">
        <v>37480</v>
      </c>
      <c r="C29761" s="5" t="str">
        <f>IFERROR(__xludf.DUMMYFUNCTION("GOOGLETRANSLATE(B29761,""en"",""fr"")"),"L'homme montre les pédales de l'équipement ainsi qu'une minuterie sur l'équipement.")</f>
        <v>L'homme montre les pédales de l'équipement ainsi qu'une minuterie sur l'équipement.</v>
      </c>
    </row>
    <row r="29762">
      <c r="A29762" s="4" t="s">
        <v>37478</v>
      </c>
      <c r="B29762" s="4" t="s">
        <v>37481</v>
      </c>
      <c r="C29762" s="5" t="str">
        <f>IFERROR(__xludf.DUMMYFUNCTION("GOOGLETRANSLATE(B29762,""en"",""fr"")"),"Une femme est vue marcher sur l'équipement.")</f>
        <v>Une femme est vue marcher sur l'équipement.</v>
      </c>
    </row>
    <row r="29763">
      <c r="A29763" s="4" t="s">
        <v>37478</v>
      </c>
      <c r="B29763" s="4" t="s">
        <v>37482</v>
      </c>
      <c r="C29763" s="5" t="str">
        <f>IFERROR(__xludf.DUMMYFUNCTION("GOOGLETRANSLATE(B29763,""en"",""fr"")"),"Un homme tire l'équipement de fitness sous un bureau.")</f>
        <v>Un homme tire l'équipement de fitness sous un bureau.</v>
      </c>
    </row>
    <row r="29764">
      <c r="A29764" s="4" t="s">
        <v>37478</v>
      </c>
      <c r="B29764" s="4" t="s">
        <v>37483</v>
      </c>
      <c r="C29764" s="5" t="str">
        <f>IFERROR(__xludf.DUMMYFUNCTION("GOOGLETRANSLATE(B29764,""en"",""fr"")"),"L'homme est à nouveau vu par le bureau, parlant de l'équipement de fitness.")</f>
        <v>L'homme est à nouveau vu par le bureau, parlant de l'équipement de fitness.</v>
      </c>
    </row>
    <row r="29765">
      <c r="A29765" s="4" t="s">
        <v>37484</v>
      </c>
      <c r="B29765" s="6" t="s">
        <v>37485</v>
      </c>
      <c r="C29765" s="5" t="str">
        <f>IFERROR(__xludf.DUMMYFUNCTION("GOOGLETRANSLATE(B29765,""en"",""fr"")"),"Une capture d'écran d'une femme portant une combinaison bleue se tient dans une pose tenant deux matraques et des mots blancs au milieu de l'écran dire ""2 Baton Nicole"".")</f>
        <v>Une capture d'écran d'une femme portant une combinaison bleue se tient dans une pose tenant deux matraques et des mots blancs au milieu de l'écran dire "2 Baton Nicole".</v>
      </c>
    </row>
    <row r="29766">
      <c r="A29766" s="4" t="s">
        <v>37484</v>
      </c>
      <c r="B29766" s="6" t="s">
        <v>37486</v>
      </c>
      <c r="C29766" s="5" t="str">
        <f>IFERROR(__xludf.DUMMYFUNCTION("GOOGLETRANSLATE(B29766,""en"",""fr"")"),"La femme est maintenant debout sur un sol avec beaucoup de lignes et de tirets colorés et elle commence sa routine de 2 matraques qui comprend beaucoup de tournoyer, de tourner, de lancer et de capturer les matraques.")</f>
        <v>La femme est maintenant debout sur un sol avec beaucoup de lignes et de tirets colorés et elle commence sa routine de 2 matraques qui comprend beaucoup de tournoyer, de tourner, de lancer et de capturer les matraques.</v>
      </c>
    </row>
    <row r="29767">
      <c r="A29767" s="4" t="s">
        <v>37484</v>
      </c>
      <c r="B29767" s="6" t="s">
        <v>37487</v>
      </c>
      <c r="C29767" s="5" t="str">
        <f>IFERROR(__xludf.DUMMYFUNCTION("GOOGLETRANSLATE(B29767,""en"",""fr"")"),"Presque jusqu'à la fin de sa routine, la femme laisse tomber le bâton deux fois, les ramasse et continue de faire sa routine jusqu'à la fin.")</f>
        <v>Presque jusqu'à la fin de sa routine, la femme laisse tomber le bâton deux fois, les ramasse et continue de faire sa routine jusqu'à la fin.</v>
      </c>
    </row>
    <row r="29768">
      <c r="A29768" s="4" t="s">
        <v>37488</v>
      </c>
      <c r="B29768" s="4" t="s">
        <v>37489</v>
      </c>
      <c r="C29768" s="5" t="str">
        <f>IFERROR(__xludf.DUMMYFUNCTION("GOOGLETRANSLATE(B29768,""en"",""fr"")"),"Une dame parle avec deux citrouilles sur une table.")</f>
        <v>Une dame parle avec deux citrouilles sur une table.</v>
      </c>
    </row>
    <row r="29769">
      <c r="A29769" s="4" t="s">
        <v>37488</v>
      </c>
      <c r="B29769" s="4" t="s">
        <v>37490</v>
      </c>
      <c r="C29769" s="5" t="str">
        <f>IFERROR(__xludf.DUMMYFUNCTION("GOOGLETRANSLATE(B29769,""en"",""fr"")"),"Une femme montre sa paume.")</f>
        <v>Une femme montre sa paume.</v>
      </c>
    </row>
    <row r="29770">
      <c r="A29770" s="4" t="s">
        <v>37488</v>
      </c>
      <c r="B29770" s="4" t="s">
        <v>37491</v>
      </c>
      <c r="C29770" s="5" t="str">
        <f>IFERROR(__xludf.DUMMYFUNCTION("GOOGLETRANSLATE(B29770,""en"",""fr"")"),"Une personne sculpte une citrouille.")</f>
        <v>Une personne sculpte une citrouille.</v>
      </c>
    </row>
    <row r="29771">
      <c r="A29771" s="4" t="s">
        <v>37488</v>
      </c>
      <c r="B29771" s="4" t="s">
        <v>37492</v>
      </c>
      <c r="C29771" s="5" t="str">
        <f>IFERROR(__xludf.DUMMYFUNCTION("GOOGLETRANSLATE(B29771,""en"",""fr"")"),"Une femme donne une interview sur le kit de sculpture.")</f>
        <v>Une femme donne une interview sur le kit de sculpture.</v>
      </c>
    </row>
    <row r="29772">
      <c r="A29772" s="4" t="s">
        <v>37488</v>
      </c>
      <c r="B29772" s="4" t="s">
        <v>37493</v>
      </c>
      <c r="C29772" s="5" t="str">
        <f>IFERROR(__xludf.DUMMYFUNCTION("GOOGLETRANSLATE(B29772,""en"",""fr"")"),"Les enfants tiennent des citrouilles avec des sourires sur leurs visages.")</f>
        <v>Les enfants tiennent des citrouilles avec des sourires sur leurs visages.</v>
      </c>
    </row>
    <row r="29773">
      <c r="A29773" s="4" t="s">
        <v>37488</v>
      </c>
      <c r="B29773" s="4" t="s">
        <v>37494</v>
      </c>
      <c r="C29773" s="5" t="str">
        <f>IFERROR(__xludf.DUMMYFUNCTION("GOOGLETRANSLATE(B29773,""en"",""fr"")"),"Un homme retire le haut d'une citrouille.")</f>
        <v>Un homme retire le haut d'une citrouille.</v>
      </c>
    </row>
    <row r="29774">
      <c r="A29774" s="4" t="s">
        <v>37488</v>
      </c>
      <c r="B29774" s="4" t="s">
        <v>37495</v>
      </c>
      <c r="C29774" s="5" t="str">
        <f>IFERROR(__xludf.DUMMYFUNCTION("GOOGLETRANSLATE(B29774,""en"",""fr"")"),"La dame présente un couteau et un couteau plus petit.")</f>
        <v>La dame présente un couteau et un couteau plus petit.</v>
      </c>
    </row>
    <row r="29775">
      <c r="A29775" s="4" t="s">
        <v>37488</v>
      </c>
      <c r="B29775" s="4" t="s">
        <v>37496</v>
      </c>
      <c r="C29775" s="5" t="str">
        <f>IFERROR(__xludf.DUMMYFUNCTION("GOOGLETRANSLATE(B29775,""en"",""fr"")"),"Deux personnes s'assoient avec des papiers devant eux.")</f>
        <v>Deux personnes s'assoient avec des papiers devant eux.</v>
      </c>
    </row>
    <row r="29776">
      <c r="A29776" s="4" t="s">
        <v>37497</v>
      </c>
      <c r="B29776" s="4" t="s">
        <v>37498</v>
      </c>
      <c r="C29776" s="5" t="str">
        <f>IFERROR(__xludf.DUMMYFUNCTION("GOOGLETRANSLATE(B29776,""en"",""fr"")"),"Un homme en sweat-shirt lave des assiettes et des tasses dans un évier avec de l'eau savonneuse.")</f>
        <v>Un homme en sweat-shirt lave des assiettes et des tasses dans un évier avec de l'eau savonneuse.</v>
      </c>
    </row>
    <row r="29777">
      <c r="A29777" s="4" t="s">
        <v>37497</v>
      </c>
      <c r="B29777" s="4" t="s">
        <v>37499</v>
      </c>
      <c r="C29777" s="5" t="str">
        <f>IFERROR(__xludf.DUMMYFUNCTION("GOOGLETRANSLATE(B29777,""en"",""fr"")"),"L'homme ramasse l'argenterie en trempant dans l'évier et les lave.")</f>
        <v>L'homme ramasse l'argenterie en trempant dans l'évier et les lave.</v>
      </c>
    </row>
    <row r="29778">
      <c r="A29778" s="4" t="s">
        <v>37497</v>
      </c>
      <c r="B29778" s="4" t="s">
        <v>37500</v>
      </c>
      <c r="C29778" s="5" t="str">
        <f>IFERROR(__xludf.DUMMYFUNCTION("GOOGLETRANSLATE(B29778,""en"",""fr"")"),"L'homme lave des pots et une planche à découper.")</f>
        <v>L'homme lave des pots et une planche à découper.</v>
      </c>
    </row>
    <row r="29779">
      <c r="A29779" s="4" t="s">
        <v>37497</v>
      </c>
      <c r="B29779" s="4" t="s">
        <v>37501</v>
      </c>
      <c r="C29779" s="5" t="str">
        <f>IFERROR(__xludf.DUMMYFUNCTION("GOOGLETRANSLATE(B29779,""en"",""fr"")"),"L'homme lave un gadget de presse à café.")</f>
        <v>L'homme lave un gadget de presse à café.</v>
      </c>
    </row>
    <row r="29780">
      <c r="A29780" s="4" t="s">
        <v>37497</v>
      </c>
      <c r="B29780" s="4" t="s">
        <v>37502</v>
      </c>
      <c r="C29780" s="5" t="str">
        <f>IFERROR(__xludf.DUMMYFUNCTION("GOOGLETRANSLATE(B29780,""en"",""fr"")"),"L'homme éteint l'eau et draine l'évier.")</f>
        <v>L'homme éteint l'eau et draine l'évier.</v>
      </c>
    </row>
    <row r="29781">
      <c r="A29781" s="4" t="s">
        <v>37503</v>
      </c>
      <c r="B29781" s="4" t="s">
        <v>37504</v>
      </c>
      <c r="C29781" s="5" t="str">
        <f>IFERROR(__xludf.DUMMYFUNCTION("GOOGLETRANSLATE(B29781,""en"",""fr"")"),"Les gens sont assis sur le bord de l'eau.")</f>
        <v>Les gens sont assis sur le bord de l'eau.</v>
      </c>
    </row>
    <row r="29782">
      <c r="A29782" s="4" t="s">
        <v>37503</v>
      </c>
      <c r="B29782" s="4" t="s">
        <v>37505</v>
      </c>
      <c r="C29782" s="5" t="str">
        <f>IFERROR(__xludf.DUMMYFUNCTION("GOOGLETRANSLATE(B29782,""en"",""fr"")"),"Un gars coupe quelque chose sur le sol.")</f>
        <v>Un gars coupe quelque chose sur le sol.</v>
      </c>
    </row>
    <row r="29783">
      <c r="A29783" s="4" t="s">
        <v>37503</v>
      </c>
      <c r="B29783" s="4" t="s">
        <v>37506</v>
      </c>
      <c r="C29783" s="5" t="str">
        <f>IFERROR(__xludf.DUMMYFUNCTION("GOOGLETRANSLATE(B29783,""en"",""fr"")"),"Une femme se lève et s'éloigne.")</f>
        <v>Une femme se lève et s'éloigne.</v>
      </c>
    </row>
    <row r="29784">
      <c r="A29784" s="4" t="s">
        <v>37507</v>
      </c>
      <c r="B29784" s="4" t="s">
        <v>37508</v>
      </c>
      <c r="C29784" s="5" t="str">
        <f>IFERROR(__xludf.DUMMYFUNCTION("GOOGLETRANSLATE(B29784,""en"",""fr"")"),"Une salle de toilettage est montrée et trois personnes lavent différents chiens.")</f>
        <v>Une salle de toilettage est montrée et trois personnes lavent différents chiens.</v>
      </c>
    </row>
    <row r="29785">
      <c r="A29785" s="4" t="s">
        <v>37507</v>
      </c>
      <c r="B29785" s="6" t="s">
        <v>37509</v>
      </c>
      <c r="C29785" s="5" t="str">
        <f>IFERROR(__xludf.DUMMYFUNCTION("GOOGLETRANSLATE(B29785,""en"",""fr"")"),"D'autres pièces sont présentées et les chiens continuent d'être soignés et se couchaient sur le sol en attendant leur tour.")</f>
        <v>D'autres pièces sont présentées et les chiens continuent d'être soignés et se couchaient sur le sol en attendant leur tour.</v>
      </c>
    </row>
    <row r="29786">
      <c r="A29786" s="4" t="s">
        <v>37507</v>
      </c>
      <c r="B29786" s="4" t="s">
        <v>37510</v>
      </c>
      <c r="C29786" s="5" t="str">
        <f>IFERROR(__xludf.DUMMYFUNCTION("GOOGLETRANSLATE(B29786,""en"",""fr"")"),"Après, la caméra quitte l'arrière du bureau et la zone de réception est montrée.")</f>
        <v>Après, la caméra quitte l'arrière du bureau et la zone de réception est montrée.</v>
      </c>
    </row>
    <row r="29787">
      <c r="A29787" s="4" t="s">
        <v>37511</v>
      </c>
      <c r="B29787" s="4" t="s">
        <v>37512</v>
      </c>
      <c r="C29787" s="5" t="str">
        <f>IFERROR(__xludf.DUMMYFUNCTION("GOOGLETRANSLATE(B29787,""en"",""fr"")"),"Les gens pagayent des rames dans un radeau bleu.")</f>
        <v>Les gens pagayent des rames dans un radeau bleu.</v>
      </c>
    </row>
    <row r="29788">
      <c r="A29788" s="4" t="s">
        <v>37511</v>
      </c>
      <c r="B29788" s="4" t="s">
        <v>37513</v>
      </c>
      <c r="C29788" s="5" t="str">
        <f>IFERROR(__xludf.DUMMYFUNCTION("GOOGLETRANSLATE(B29788,""en"",""fr"")"),"Ils passent en revue une vague dans l'eau.")</f>
        <v>Ils passent en revue une vague dans l'eau.</v>
      </c>
    </row>
    <row r="29789">
      <c r="A29789" s="4" t="s">
        <v>37511</v>
      </c>
      <c r="B29789" s="4" t="s">
        <v>37514</v>
      </c>
      <c r="C29789" s="5" t="str">
        <f>IFERROR(__xludf.DUMMYFUNCTION("GOOGLETRANSLATE(B29789,""en"",""fr"")"),"Ils continuent de descendre la rivière.")</f>
        <v>Ils continuent de descendre la rivière.</v>
      </c>
    </row>
    <row r="29790">
      <c r="A29790" s="4" t="s">
        <v>37515</v>
      </c>
      <c r="B29790" s="4" t="s">
        <v>37516</v>
      </c>
      <c r="C29790" s="5" t="str">
        <f>IFERROR(__xludf.DUMMYFUNCTION("GOOGLETRANSLATE(B29790,""en"",""fr"")"),"Un homme est assis sur une chaise dans un salon de coiffure.")</f>
        <v>Un homme est assis sur une chaise dans un salon de coiffure.</v>
      </c>
    </row>
    <row r="29791">
      <c r="A29791" s="4" t="s">
        <v>37515</v>
      </c>
      <c r="B29791" s="4" t="s">
        <v>37517</v>
      </c>
      <c r="C29791" s="5" t="str">
        <f>IFERROR(__xludf.DUMMYFUNCTION("GOOGLETRANSLATE(B29791,""en"",""fr"")"),"Il reçoit une coupe de cheveux d'un coiffeur qui porte une robe bleue.")</f>
        <v>Il reçoit une coupe de cheveux d'un coiffeur qui porte une robe bleue.</v>
      </c>
    </row>
    <row r="29792">
      <c r="A29792" s="4" t="s">
        <v>37515</v>
      </c>
      <c r="B29792" s="4" t="s">
        <v>37518</v>
      </c>
      <c r="C29792" s="5" t="str">
        <f>IFERROR(__xludf.DUMMYFUNCTION("GOOGLETRANSLATE(B29792,""en"",""fr"")"),"L'homme est assis avec une caméra à la main.")</f>
        <v>L'homme est assis avec une caméra à la main.</v>
      </c>
    </row>
    <row r="29793">
      <c r="A29793" s="4" t="s">
        <v>37515</v>
      </c>
      <c r="B29793" s="4" t="s">
        <v>37519</v>
      </c>
      <c r="C29793" s="5" t="str">
        <f>IFERROR(__xludf.DUMMYFUNCTION("GOOGLETRANSLATE(B29793,""en"",""fr"")"),"Le coiffeur finit de se couper les cheveux puis de reculer.")</f>
        <v>Le coiffeur finit de se couper les cheveux puis de reculer.</v>
      </c>
    </row>
    <row r="29794">
      <c r="A29794" s="4" t="s">
        <v>37520</v>
      </c>
      <c r="B29794" s="4" t="s">
        <v>37521</v>
      </c>
      <c r="C29794" s="5" t="str">
        <f>IFERROR(__xludf.DUMMYFUNCTION("GOOGLETRANSLATE(B29794,""en"",""fr"")"),"Un homme à genoux tente de déclencher un incendie tandis que plusieurs autres regardent.")</f>
        <v>Un homme à genoux tente de déclencher un incendie tandis que plusieurs autres regardent.</v>
      </c>
    </row>
    <row r="29795">
      <c r="A29795" s="4" t="s">
        <v>37520</v>
      </c>
      <c r="B29795" s="4" t="s">
        <v>37522</v>
      </c>
      <c r="C29795" s="5" t="str">
        <f>IFERROR(__xludf.DUMMYFUNCTION("GOOGLETRANSLATE(B29795,""en"",""fr"")"),"L'un des spectateurs s'éloigne brièvement.")</f>
        <v>L'un des spectateurs s'éloigne brièvement.</v>
      </c>
    </row>
    <row r="29796">
      <c r="A29796" s="4" t="s">
        <v>37520</v>
      </c>
      <c r="B29796" s="4" t="s">
        <v>37523</v>
      </c>
      <c r="C29796" s="5" t="str">
        <f>IFERROR(__xludf.DUMMYFUNCTION("GOOGLETRANSLATE(B29796,""en"",""fr"")"),"L'homme à genoux lance un feu.")</f>
        <v>L'homme à genoux lance un feu.</v>
      </c>
    </row>
    <row r="29797">
      <c r="A29797" s="4" t="s">
        <v>37520</v>
      </c>
      <c r="B29797" s="4" t="s">
        <v>37524</v>
      </c>
      <c r="C29797" s="5" t="str">
        <f>IFERROR(__xludf.DUMMYFUNCTION("GOOGLETRANSLATE(B29797,""en"",""fr"")"),"L'un des spectateurs embrasse l'homme à genoux.")</f>
        <v>L'un des spectateurs embrasse l'homme à genoux.</v>
      </c>
    </row>
    <row r="29798">
      <c r="A29798" s="4" t="s">
        <v>37525</v>
      </c>
      <c r="B29798" s="4" t="s">
        <v>37526</v>
      </c>
      <c r="C29798" s="5" t="str">
        <f>IFERROR(__xludf.DUMMYFUNCTION("GOOGLETRANSLATE(B29798,""en"",""fr"")"),"Un groupe d'hommes s'assoit autour d'un bar qui flirte avec un barman derrière le bar.")</f>
        <v>Un groupe d'hommes s'assoit autour d'un bar qui flirte avec un barman derrière le bar.</v>
      </c>
    </row>
    <row r="29799">
      <c r="A29799" s="4" t="s">
        <v>37525</v>
      </c>
      <c r="B29799" s="6" t="s">
        <v>37527</v>
      </c>
      <c r="C29799" s="5" t="str">
        <f>IFERROR(__xludf.DUMMYFUNCTION("GOOGLETRANSLATE(B29799,""en"",""fr"")"),"La femme continue de parler aux hommes pendant que la caméra se déroule autour de divers groupes de personnes à proximité du bar.")</f>
        <v>La femme continue de parler aux hommes pendant que la caméra se déroule autour de divers groupes de personnes à proximité du bar.</v>
      </c>
    </row>
    <row r="29800">
      <c r="A29800" s="4" t="s">
        <v>37525</v>
      </c>
      <c r="B29800" s="4" t="s">
        <v>37528</v>
      </c>
      <c r="C29800" s="5" t="str">
        <f>IFERROR(__xludf.DUMMYFUNCTION("GOOGLETRANSLATE(B29800,""en"",""fr"")"),"La femme s'éteint avec ses mains tout en traitant des cartes pour les gens du bar.")</f>
        <v>La femme s'éteint avec ses mains tout en traitant des cartes pour les gens du bar.</v>
      </c>
    </row>
    <row r="29801">
      <c r="A29801" s="4" t="s">
        <v>37529</v>
      </c>
      <c r="B29801" s="4" t="s">
        <v>37530</v>
      </c>
      <c r="C29801" s="5" t="str">
        <f>IFERROR(__xludf.DUMMYFUNCTION("GOOGLETRANSLATE(B29801,""en"",""fr"")"),"Un homme est vu parler à la caméra avec une paire de chaussures devant lui.")</f>
        <v>Un homme est vu parler à la caméra avec une paire de chaussures devant lui.</v>
      </c>
    </row>
    <row r="29802">
      <c r="A29802" s="4" t="s">
        <v>37529</v>
      </c>
      <c r="B29802" s="4" t="s">
        <v>37531</v>
      </c>
      <c r="C29802" s="5" t="str">
        <f>IFERROR(__xludf.DUMMYFUNCTION("GOOGLETRANSLATE(B29802,""en"",""fr"")"),"Il accueille les chaussures ainsi que les produits de nettoyage et commence à les utiliser sur les chaussures.")</f>
        <v>Il accueille les chaussures ainsi que les produits de nettoyage et commence à les utiliser sur les chaussures.</v>
      </c>
    </row>
    <row r="29803">
      <c r="A29803" s="4" t="s">
        <v>37529</v>
      </c>
      <c r="B29803" s="4" t="s">
        <v>37532</v>
      </c>
      <c r="C29803" s="5" t="str">
        <f>IFERROR(__xludf.DUMMYFUNCTION("GOOGLETRANSLATE(B29803,""en"",""fr"")"),"Il essuie les chaussures tout en montrant les produits de nettoyage et en parlant à la caméra.")</f>
        <v>Il essuie les chaussures tout en montrant les produits de nettoyage et en parlant à la caméra.</v>
      </c>
    </row>
    <row r="29804">
      <c r="A29804" s="4" t="s">
        <v>37533</v>
      </c>
      <c r="B29804" s="4" t="s">
        <v>37534</v>
      </c>
      <c r="C29804" s="5" t="str">
        <f>IFERROR(__xludf.DUMMYFUNCTION("GOOGLETRANSLATE(B29804,""en"",""fr"")"),"L'homme est assis dans la police d'une table pour parler de la façon de nettoyer une sneaker blanc.")</f>
        <v>L'homme est assis dans la police d'une table pour parler de la façon de nettoyer une sneaker blanc.</v>
      </c>
    </row>
    <row r="29805">
      <c r="A29805" s="4" t="s">
        <v>37533</v>
      </c>
      <c r="B29805" s="4" t="s">
        <v>37535</v>
      </c>
      <c r="C29805" s="5" t="str">
        <f>IFERROR(__xludf.DUMMYFUNCTION("GOOGLETRANSLATE(B29805,""en"",""fr"")"),"L'homme verse un liquide sur l'eau et nettoie la chaussure avec une brosse et avec une essuyage en polir.")</f>
        <v>L'homme verse un liquide sur l'eau et nettoie la chaussure avec une brosse et avec une essuyage en polir.</v>
      </c>
    </row>
    <row r="29806">
      <c r="A29806" s="4" t="s">
        <v>37536</v>
      </c>
      <c r="B29806" s="4" t="s">
        <v>37537</v>
      </c>
      <c r="C29806" s="5" t="str">
        <f>IFERROR(__xludf.DUMMYFUNCTION("GOOGLETRANSLATE(B29806,""en"",""fr"")"),"Les filles sont montrées une à la fois, en utilisant des tuyaux en PVC pour sauter dans un gymnase intérieur sur un tapis.")</f>
        <v>Les filles sont montrées une à la fois, en utilisant des tuyaux en PVC pour sauter dans un gymnase intérieur sur un tapis.</v>
      </c>
    </row>
    <row r="29807">
      <c r="A29807" s="4" t="s">
        <v>37536</v>
      </c>
      <c r="B29807" s="4" t="s">
        <v>37538</v>
      </c>
      <c r="C29807" s="5" t="str">
        <f>IFERROR(__xludf.DUMMYFUNCTION("GOOGLETRANSLATE(B29807,""en"",""fr"")"),"Enfin, un garçon est également montré en train de vautrer.")</f>
        <v>Enfin, un garçon est également montré en train de vautrer.</v>
      </c>
    </row>
    <row r="29808">
      <c r="A29808" s="4" t="s">
        <v>37539</v>
      </c>
      <c r="B29808" s="4" t="s">
        <v>37540</v>
      </c>
      <c r="C29808" s="5" t="str">
        <f>IFERROR(__xludf.DUMMYFUNCTION("GOOGLETRANSLATE(B29808,""en"",""fr"")"),"Un gros plan d'une terre de dessins animés est montré, suivi d'un caricaturé avec un javelot.")</f>
        <v>Un gros plan d'une terre de dessins animés est montré, suivi d'un caricaturé avec un javelot.</v>
      </c>
    </row>
    <row r="29809">
      <c r="A29809" s="4" t="s">
        <v>37539</v>
      </c>
      <c r="B29809" s="6" t="s">
        <v>37541</v>
      </c>
      <c r="C29809" s="5" t="str">
        <f>IFERROR(__xludf.DUMMYFUNCTION("GOOGLETRANSLATE(B29809,""en"",""fr"")"),"L'homme est ensuite montré jetant trois javelots différents en compétition, entrecoupés de mots à l'écran.")</f>
        <v>L'homme est ensuite montré jetant trois javelots différents en compétition, entrecoupés de mots à l'écran.</v>
      </c>
    </row>
    <row r="29810">
      <c r="A29810" s="4" t="s">
        <v>37542</v>
      </c>
      <c r="B29810" s="4" t="s">
        <v>37543</v>
      </c>
      <c r="C29810" s="5" t="str">
        <f>IFERROR(__xludf.DUMMYFUNCTION("GOOGLETRANSLATE(B29810,""en"",""fr"")"),"Une femme est vue debout à côté d'une voiture gelée tout en regardant loin de la caméra.")</f>
        <v>Une femme est vue debout à côté d'une voiture gelée tout en regardant loin de la caméra.</v>
      </c>
    </row>
    <row r="29811">
      <c r="A29811" s="4" t="s">
        <v>37542</v>
      </c>
      <c r="B29811" s="4" t="s">
        <v>37544</v>
      </c>
      <c r="C29811" s="5" t="str">
        <f>IFERROR(__xludf.DUMMYFUNCTION("GOOGLETRANSLATE(B29811,""en"",""fr"")"),"La femme commence alors à utiliser un grattoir pour gratter les côtés.")</f>
        <v>La femme commence alors à utiliser un grattoir pour gratter les côtés.</v>
      </c>
    </row>
    <row r="29812">
      <c r="A29812" s="4" t="s">
        <v>37542</v>
      </c>
      <c r="B29812" s="4" t="s">
        <v>37545</v>
      </c>
      <c r="C29812" s="5" t="str">
        <f>IFERROR(__xludf.DUMMYFUNCTION("GOOGLETRANSLATE(B29812,""en"",""fr"")"),"La femme continue de gratter la voiture et de regarder au loin.")</f>
        <v>La femme continue de gratter la voiture et de regarder au loin.</v>
      </c>
    </row>
    <row r="29813">
      <c r="A29813" s="4" t="s">
        <v>37546</v>
      </c>
      <c r="B29813" s="4" t="s">
        <v>37547</v>
      </c>
      <c r="C29813" s="5" t="str">
        <f>IFERROR(__xludf.DUMMYFUNCTION("GOOGLETRANSLATE(B29813,""en"",""fr"")"),"Les athlètes donnent des interviews et certains montrent leurs médailles de participation.")</f>
        <v>Les athlètes donnent des interviews et certains montrent leurs médailles de participation.</v>
      </c>
    </row>
    <row r="29814">
      <c r="A29814" s="4" t="s">
        <v>37546</v>
      </c>
      <c r="B29814" s="4" t="s">
        <v>37548</v>
      </c>
      <c r="C29814" s="5" t="str">
        <f>IFERROR(__xludf.DUMMYFUNCTION("GOOGLETRANSLATE(B29814,""en"",""fr"")"),"Les athlètes embarquent à bord des bus blancs.")</f>
        <v>Les athlètes embarquent à bord des bus blancs.</v>
      </c>
    </row>
    <row r="29815">
      <c r="A29815" s="4" t="s">
        <v>37546</v>
      </c>
      <c r="B29815" s="4" t="s">
        <v>37549</v>
      </c>
      <c r="C29815" s="5" t="str">
        <f>IFERROR(__xludf.DUMMYFUNCTION("GOOGLETRANSLATE(B29815,""en"",""fr"")"),"Les bus se déplacent sur la route.")</f>
        <v>Les bus se déplacent sur la route.</v>
      </c>
    </row>
    <row r="29816">
      <c r="A29816" s="4" t="s">
        <v>37546</v>
      </c>
      <c r="B29816" s="4" t="s">
        <v>37550</v>
      </c>
      <c r="C29816" s="5" t="str">
        <f>IFERROR(__xludf.DUMMYFUNCTION("GOOGLETRANSLATE(B29816,""en"",""fr"")"),"Une personne empile les tee-shirts.")</f>
        <v>Une personne empile les tee-shirts.</v>
      </c>
    </row>
    <row r="29817">
      <c r="A29817" s="4" t="s">
        <v>37546</v>
      </c>
      <c r="B29817" s="4" t="s">
        <v>37551</v>
      </c>
      <c r="C29817" s="5" t="str">
        <f>IFERROR(__xludf.DUMMYFUNCTION("GOOGLETRANSLATE(B29817,""en"",""fr"")"),"Les athlètes attendent à la ligne de départ.")</f>
        <v>Les athlètes attendent à la ligne de départ.</v>
      </c>
    </row>
    <row r="29818">
      <c r="A29818" s="4" t="s">
        <v>37546</v>
      </c>
      <c r="B29818" s="4" t="s">
        <v>37552</v>
      </c>
      <c r="C29818" s="5" t="str">
        <f>IFERROR(__xludf.DUMMYFUNCTION("GOOGLETRANSLATE(B29818,""en"",""fr"")"),"Les athlètes courent sur la route.")</f>
        <v>Les athlètes courent sur la route.</v>
      </c>
    </row>
    <row r="29819">
      <c r="A29819" s="4" t="s">
        <v>37546</v>
      </c>
      <c r="B29819" s="4" t="s">
        <v>37553</v>
      </c>
      <c r="C29819" s="5" t="str">
        <f>IFERROR(__xludf.DUMMYFUNCTION("GOOGLETRANSLATE(B29819,""en"",""fr"")"),"Les athlètes franchissent la ligne d'arrivée.")</f>
        <v>Les athlètes franchissent la ligne d'arrivée.</v>
      </c>
    </row>
    <row r="29820">
      <c r="A29820" s="4" t="s">
        <v>37546</v>
      </c>
      <c r="B29820" s="4" t="s">
        <v>1251</v>
      </c>
      <c r="C29820" s="5" t="str">
        <f>IFERROR(__xludf.DUMMYFUNCTION("GOOGLETRANSLATE(B29820,""en"",""fr"")"),"Les crédits du clip sont affichés.")</f>
        <v>Les crédits du clip sont affichés.</v>
      </c>
    </row>
    <row r="29821">
      <c r="A29821" s="4" t="s">
        <v>37554</v>
      </c>
      <c r="B29821" s="4" t="s">
        <v>37555</v>
      </c>
      <c r="C29821" s="5" t="str">
        <f>IFERROR(__xludf.DUMMYFUNCTION("GOOGLETRANSLATE(B29821,""en"",""fr"")"),"Un athlète est vu assis par terre lorsqu'un homme marche et lui tend des chaussures.")</f>
        <v>Un athlète est vu assis par terre lorsqu'un homme marche et lui tend des chaussures.</v>
      </c>
    </row>
    <row r="29822">
      <c r="A29822" s="4" t="s">
        <v>37554</v>
      </c>
      <c r="B29822" s="4" t="s">
        <v>37556</v>
      </c>
      <c r="C29822" s="5" t="str">
        <f>IFERROR(__xludf.DUMMYFUNCTION("GOOGLETRANSLATE(B29822,""en"",""fr"")"),"L'homme met ensuite les chaussures et commence à se déplacer sur le terrain.")</f>
        <v>L'homme met ensuite les chaussures et commence à se déplacer sur le terrain.</v>
      </c>
    </row>
    <row r="29823">
      <c r="A29823" s="4" t="s">
        <v>37554</v>
      </c>
      <c r="B29823" s="4" t="s">
        <v>37557</v>
      </c>
      <c r="C29823" s="5" t="str">
        <f>IFERROR(__xludf.DUMMYFUNCTION("GOOGLETRANSLATE(B29823,""en"",""fr"")"),"L'homme donne un coup de pied dans le ballon pendant que la caméra le suit par derrière.")</f>
        <v>L'homme donne un coup de pied dans le ballon pendant que la caméra le suit par derrière.</v>
      </c>
    </row>
    <row r="29824">
      <c r="A29824" s="4" t="s">
        <v>37558</v>
      </c>
      <c r="B29824" s="6" t="s">
        <v>37559</v>
      </c>
      <c r="C29824" s="5" t="str">
        <f>IFERROR(__xludf.DUMMYFUNCTION("GOOGLETRANSLATE(B29824,""en"",""fr"")"),"Les gens qui jouent à un jeu de baseball sont présentés sur un grand terrain avec des dizaines de personnes qui regardent sur le côté.")</f>
        <v>Les gens qui jouent à un jeu de baseball sont présentés sur un grand terrain avec des dizaines de personnes qui regardent sur le côté.</v>
      </c>
    </row>
    <row r="29825">
      <c r="A29825" s="4" t="s">
        <v>37558</v>
      </c>
      <c r="B29825" s="6" t="s">
        <v>37560</v>
      </c>
      <c r="C29825" s="5" t="str">
        <f>IFERROR(__xludf.DUMMYFUNCTION("GOOGLETRANSLATE(B29825,""en"",""fr"")"),"Les gens continuent de jouer au jeu et se terminent avec plusieurs joueurs qui se déroulent sur le terrain à la fin.")</f>
        <v>Les gens continuent de jouer au jeu et se terminent avec plusieurs joueurs qui se déroulent sur le terrain à la fin.</v>
      </c>
    </row>
    <row r="29826">
      <c r="A29826" s="4" t="s">
        <v>37561</v>
      </c>
      <c r="B29826" s="4" t="s">
        <v>37562</v>
      </c>
      <c r="C29826" s="5" t="str">
        <f>IFERROR(__xludf.DUMMYFUNCTION("GOOGLETRANSLATE(B29826,""en"",""fr"")"),"Une personne aide un jeune homme à sauter derrière les rails d'un pont et à vérifier les ceintures.")</f>
        <v>Une personne aide un jeune homme à sauter derrière les rails d'un pont et à vérifier les ceintures.</v>
      </c>
    </row>
    <row r="29827">
      <c r="A29827" s="4" t="s">
        <v>37561</v>
      </c>
      <c r="B29827" s="4" t="s">
        <v>37563</v>
      </c>
      <c r="C29827" s="5" t="str">
        <f>IFERROR(__xludf.DUMMYFUNCTION("GOOGLETRANSLATE(B29827,""en"",""fr"")"),"Ensuite, l'homme saute sur le pont.")</f>
        <v>Ensuite, l'homme saute sur le pont.</v>
      </c>
    </row>
    <row r="29828">
      <c r="A29828" s="4" t="s">
        <v>37564</v>
      </c>
      <c r="B29828" s="4" t="s">
        <v>37565</v>
      </c>
      <c r="C29828" s="5" t="str">
        <f>IFERROR(__xludf.DUMMYFUNCTION("GOOGLETRANSLATE(B29828,""en"",""fr"")"),"Un jeu de Croquette est en cours.")</f>
        <v>Un jeu de Croquette est en cours.</v>
      </c>
    </row>
    <row r="29829">
      <c r="A29829" s="4" t="s">
        <v>37564</v>
      </c>
      <c r="B29829" s="4" t="s">
        <v>37566</v>
      </c>
      <c r="C29829" s="5" t="str">
        <f>IFERROR(__xludf.DUMMYFUNCTION("GOOGLETRANSLATE(B29829,""en"",""fr"")"),"Un homme a aligné de nombreuses boules colorées.")</f>
        <v>Un homme a aligné de nombreuses boules colorées.</v>
      </c>
    </row>
    <row r="29830">
      <c r="A29830" s="4" t="s">
        <v>37564</v>
      </c>
      <c r="B29830" s="4" t="s">
        <v>37567</v>
      </c>
      <c r="C29830" s="5" t="str">
        <f>IFERROR(__xludf.DUMMYFUNCTION("GOOGLETRANSLATE(B29830,""en"",""fr"")"),"Il se déplace sur la ligne, frappant chaque balle à travers le but.")</f>
        <v>Il se déplace sur la ligne, frappant chaque balle à travers le but.</v>
      </c>
    </row>
    <row r="29831">
      <c r="A29831" s="4" t="s">
        <v>37568</v>
      </c>
      <c r="B29831" s="4" t="s">
        <v>37569</v>
      </c>
      <c r="C29831" s="5" t="str">
        <f>IFERROR(__xludf.DUMMYFUNCTION("GOOGLETRANSLATE(B29831,""en"",""fr"")"),"Cette vidéo est un tutoriel montrant aux gens comment skier correctement.")</f>
        <v>Cette vidéo est un tutoriel montrant aux gens comment skier correctement.</v>
      </c>
    </row>
    <row r="29832">
      <c r="A29832" s="4" t="s">
        <v>37568</v>
      </c>
      <c r="B29832" s="4" t="s">
        <v>37570</v>
      </c>
      <c r="C29832" s="5" t="str">
        <f>IFERROR(__xludf.DUMMYFUNCTION("GOOGLETRANSLATE(B29832,""en"",""fr"")"),"Il vous indique d'abord dans quel environnement vous devez skier.")</f>
        <v>Il vous indique d'abord dans quel environnement vous devez skier.</v>
      </c>
    </row>
    <row r="29833">
      <c r="A29833" s="4" t="s">
        <v>37568</v>
      </c>
      <c r="B29833" s="4" t="s">
        <v>37571</v>
      </c>
      <c r="C29833" s="5" t="str">
        <f>IFERROR(__xludf.DUMMYFUNCTION("GOOGLETRANSLATE(B29833,""en"",""fr"")"),"Cela montre également que quelqu'un skie dans la neige pour accompagner les étapes données.")</f>
        <v>Cela montre également que quelqu'un skie dans la neige pour accompagner les étapes données.</v>
      </c>
    </row>
    <row r="29834">
      <c r="A29834" s="4" t="s">
        <v>37572</v>
      </c>
      <c r="B29834" s="4" t="s">
        <v>37573</v>
      </c>
      <c r="C29834" s="5" t="str">
        <f>IFERROR(__xludf.DUMMYFUNCTION("GOOGLETRANSLATE(B29834,""en"",""fr"")"),"Un homme s'entraîne sur une machine elliptique.")</f>
        <v>Un homme s'entraîne sur une machine elliptique.</v>
      </c>
    </row>
    <row r="29835">
      <c r="A29835" s="4" t="s">
        <v>37572</v>
      </c>
      <c r="B29835" s="4" t="s">
        <v>37574</v>
      </c>
      <c r="C29835" s="5" t="str">
        <f>IFERROR(__xludf.DUMMYFUNCTION("GOOGLETRANSLATE(B29835,""en"",""fr"")"),"Il affiche l'écran sur la machine.")</f>
        <v>Il affiche l'écran sur la machine.</v>
      </c>
    </row>
    <row r="29836">
      <c r="A29836" s="4" t="s">
        <v>37575</v>
      </c>
      <c r="B29836" s="4" t="s">
        <v>37576</v>
      </c>
      <c r="C29836" s="5" t="str">
        <f>IFERROR(__xludf.DUMMYFUNCTION("GOOGLETRANSLATE(B29836,""en"",""fr"")"),"Une intro mène à un bateau plein de gens volant sur l'eau.")</f>
        <v>Une intro mène à un bateau plein de gens volant sur l'eau.</v>
      </c>
    </row>
    <row r="29837">
      <c r="A29837" s="4" t="s">
        <v>37575</v>
      </c>
      <c r="B29837" s="6" t="s">
        <v>37577</v>
      </c>
      <c r="C29837" s="5" t="str">
        <f>IFERROR(__xludf.DUMMYFUNCTION("GOOGLETRANSLATE(B29837,""en"",""fr"")"),"La caméra montre divers angles du bateau se déplaçant le long de l'eau ainsi que des gros plans sur les personnes à bord.")</f>
        <v>La caméra montre divers angles du bateau se déplaçant le long de l'eau ainsi que des gros plans sur les personnes à bord.</v>
      </c>
    </row>
    <row r="29838">
      <c r="A29838" s="4" t="s">
        <v>37578</v>
      </c>
      <c r="B29838" s="4" t="s">
        <v>37579</v>
      </c>
      <c r="C29838" s="5" t="str">
        <f>IFERROR(__xludf.DUMMYFUNCTION("GOOGLETRANSLATE(B29838,""en"",""fr"")"),"Nous voyons des hommes jouer à un jeu de football et marquer à plusieurs reprises à l'intérieur.")</f>
        <v>Nous voyons des hommes jouer à un jeu de football et marquer à plusieurs reprises à l'intérieur.</v>
      </c>
    </row>
    <row r="29839">
      <c r="A29839" s="4" t="s">
        <v>37578</v>
      </c>
      <c r="B29839" s="4" t="s">
        <v>37580</v>
      </c>
      <c r="C29839" s="5" t="str">
        <f>IFERROR(__xludf.DUMMYFUNCTION("GOOGLETRANSLATE(B29839,""en"",""fr"")"),"Nous voyons un gardien de but sauter autour et un homme tire et marque.")</f>
        <v>Nous voyons un gardien de but sauter autour et un homme tire et marque.</v>
      </c>
    </row>
    <row r="29840">
      <c r="A29840" s="4" t="s">
        <v>37578</v>
      </c>
      <c r="B29840" s="4" t="s">
        <v>37581</v>
      </c>
      <c r="C29840" s="5" t="str">
        <f>IFERROR(__xludf.DUMMYFUNCTION("GOOGLETRANSLATE(B29840,""en"",""fr"")"),"Nous voyons un jeune homme heureux attiser sa chemise.")</f>
        <v>Nous voyons un jeune homme heureux attiser sa chemise.</v>
      </c>
    </row>
    <row r="29841">
      <c r="A29841" s="4" t="s">
        <v>37582</v>
      </c>
      <c r="B29841" s="4" t="s">
        <v>37583</v>
      </c>
      <c r="C29841" s="5" t="str">
        <f>IFERROR(__xludf.DUMMYFUNCTION("GOOGLETRANSLATE(B29841,""en"",""fr"")"),"Appliquez les carreaux dans la même direction exacte.")</f>
        <v>Appliquez les carreaux dans la même direction exacte.</v>
      </c>
    </row>
    <row r="29842">
      <c r="A29842" s="4" t="s">
        <v>37582</v>
      </c>
      <c r="B29842" s="4" t="s">
        <v>37584</v>
      </c>
      <c r="C29842" s="5" t="str">
        <f>IFERROR(__xludf.DUMMYFUNCTION("GOOGLETRANSLATE(B29842,""en"",""fr"")"),"La tuile doit être installée sur l'adhésif.")</f>
        <v>La tuile doit être installée sur l'adhésif.</v>
      </c>
    </row>
    <row r="29843">
      <c r="A29843" s="4" t="s">
        <v>37582</v>
      </c>
      <c r="B29843" s="4" t="s">
        <v>37585</v>
      </c>
      <c r="C29843" s="5" t="str">
        <f>IFERROR(__xludf.DUMMYFUNCTION("GOOGLETRANSLATE(B29843,""en"",""fr"")"),"Roulez ensuite immédiatement avec un rouleau à cent points.")</f>
        <v>Roulez ensuite immédiatement avec un rouleau à cent points.</v>
      </c>
    </row>
    <row r="29844">
      <c r="A29844" s="4" t="s">
        <v>37582</v>
      </c>
      <c r="B29844" s="4" t="s">
        <v>37586</v>
      </c>
      <c r="C29844" s="5" t="str">
        <f>IFERROR(__xludf.DUMMYFUNCTION("GOOGLETRANSLATE(B29844,""en"",""fr"")"),"Coupez les carreaux près du périmètre pour assurer une installation fluide.")</f>
        <v>Coupez les carreaux près du périmètre pour assurer une installation fluide.</v>
      </c>
    </row>
    <row r="29845">
      <c r="A29845" s="4" t="s">
        <v>37587</v>
      </c>
      <c r="B29845" s="4" t="s">
        <v>37588</v>
      </c>
      <c r="C29845" s="5" t="str">
        <f>IFERROR(__xludf.DUMMYFUNCTION("GOOGLETRANSLATE(B29845,""en"",""fr"")"),"Une personne montre du bacon sur un plat, puis met de la mayonnaise sur deux morceaux de pain.")</f>
        <v>Une personne montre du bacon sur un plat, puis met de la mayonnaise sur deux morceaux de pain.</v>
      </c>
    </row>
    <row r="29846">
      <c r="A29846" s="4" t="s">
        <v>37587</v>
      </c>
      <c r="B29846" s="6" t="s">
        <v>37589</v>
      </c>
      <c r="C29846" s="5" t="str">
        <f>IFERROR(__xludf.DUMMYFUNCTION("GOOGLETRANSLATE(B29846,""en"",""fr"")"),"Ensuite, la personne met du bacon sur un pain et de la laitue et de la tomate sur l'autre pain, puis étaler Peeper et former le sandwich.")</f>
        <v>Ensuite, la personne met du bacon sur un pain et de la laitue et de la tomate sur l'autre pain, puis étaler Peeper et former le sandwich.</v>
      </c>
    </row>
    <row r="29847">
      <c r="A29847" s="4" t="s">
        <v>37587</v>
      </c>
      <c r="B29847" s="4" t="s">
        <v>37590</v>
      </c>
      <c r="C29847" s="5" t="str">
        <f>IFERROR(__xludf.DUMMYFUNCTION("GOOGLETRANSLATE(B29847,""en"",""fr"")"),"Ensuite, la personne coupe le sandwich en deux, puis prend une moitié et donne une bouchée.")</f>
        <v>Ensuite, la personne coupe le sandwich en deux, puis prend une moitié et donne une bouchée.</v>
      </c>
    </row>
    <row r="29848">
      <c r="A29848" s="4" t="s">
        <v>37591</v>
      </c>
      <c r="B29848" s="4" t="s">
        <v>37592</v>
      </c>
      <c r="C29848" s="5" t="str">
        <f>IFERROR(__xludf.DUMMYFUNCTION("GOOGLETRANSLATE(B29848,""en"",""fr"")"),"Un homme utilise un outil pour même le plâtre sur un mur.")</f>
        <v>Un homme utilise un outil pour même le plâtre sur un mur.</v>
      </c>
    </row>
    <row r="29849">
      <c r="A29849" s="4" t="s">
        <v>37591</v>
      </c>
      <c r="B29849" s="4" t="s">
        <v>37593</v>
      </c>
      <c r="C29849" s="5" t="str">
        <f>IFERROR(__xludf.DUMMYFUNCTION("GOOGLETRANSLATE(B29849,""en"",""fr"")"),"L'homme travaille sur le mur sous le cadre visible de la caméra.")</f>
        <v>L'homme travaille sur le mur sous le cadre visible de la caméra.</v>
      </c>
    </row>
    <row r="29850">
      <c r="A29850" s="4" t="s">
        <v>37591</v>
      </c>
      <c r="B29850" s="4" t="s">
        <v>37594</v>
      </c>
      <c r="C29850" s="5" t="str">
        <f>IFERROR(__xludf.DUMMYFUNCTION("GOOGLETRANSLATE(B29850,""en"",""fr"")"),"L'homme se lève devant la caméra et passe devant.")</f>
        <v>L'homme se lève devant la caméra et passe devant.</v>
      </c>
    </row>
    <row r="29851">
      <c r="A29851" s="4" t="s">
        <v>37595</v>
      </c>
      <c r="B29851" s="4" t="s">
        <v>37596</v>
      </c>
      <c r="C29851" s="5" t="str">
        <f>IFERROR(__xludf.DUMMYFUNCTION("GOOGLETRANSLATE(B29851,""en"",""fr"")"),"Les gens roulent dans un bateau dans l'eau.")</f>
        <v>Les gens roulent dans un bateau dans l'eau.</v>
      </c>
    </row>
    <row r="29852">
      <c r="A29852" s="4" t="s">
        <v>37595</v>
      </c>
      <c r="B29852" s="4" t="s">
        <v>37597</v>
      </c>
      <c r="C29852" s="5" t="str">
        <f>IFERROR(__xludf.DUMMYFUNCTION("GOOGLETRANSLATE(B29852,""en"",""fr"")"),"Le bateau tire un tube avec un homme derrière.")</f>
        <v>Le bateau tire un tube avec un homme derrière.</v>
      </c>
    </row>
    <row r="29853">
      <c r="A29853" s="4" t="s">
        <v>37595</v>
      </c>
      <c r="B29853" s="4" t="s">
        <v>37598</v>
      </c>
      <c r="C29853" s="5" t="str">
        <f>IFERROR(__xludf.DUMMYFUNCTION("GOOGLETRANSLATE(B29853,""en"",""fr"")"),"La personne vole du tube.")</f>
        <v>La personne vole du tube.</v>
      </c>
    </row>
    <row r="29854">
      <c r="A29854" s="4" t="s">
        <v>37595</v>
      </c>
      <c r="B29854" s="4" t="s">
        <v>37599</v>
      </c>
      <c r="C29854" s="5" t="str">
        <f>IFERROR(__xludf.DUMMYFUNCTION("GOOGLETRANSLATE(B29854,""en"",""fr"")"),"Le bateau tire le même tube avec plusieurs jeunes.")</f>
        <v>Le bateau tire le même tube avec plusieurs jeunes.</v>
      </c>
    </row>
    <row r="29855">
      <c r="A29855" s="4" t="s">
        <v>37595</v>
      </c>
      <c r="B29855" s="4" t="s">
        <v>37600</v>
      </c>
      <c r="C29855" s="5" t="str">
        <f>IFERROR(__xludf.DUMMYFUNCTION("GOOGLETRANSLATE(B29855,""en"",""fr"")"),"Une personne skis nautique derrière le bateau.")</f>
        <v>Une personne skis nautique derrière le bateau.</v>
      </c>
    </row>
    <row r="29856">
      <c r="A29856" s="4" t="s">
        <v>37595</v>
      </c>
      <c r="B29856" s="4" t="s">
        <v>37601</v>
      </c>
      <c r="C29856" s="5" t="str">
        <f>IFERROR(__xludf.DUMMYFUNCTION("GOOGLETRANSLATE(B29856,""en"",""fr"")"),"Un jet ski passe près du bateau puis nous voyons les passagers.")</f>
        <v>Un jet ski passe près du bateau puis nous voyons les passagers.</v>
      </c>
    </row>
    <row r="29857">
      <c r="A29857" s="4" t="s">
        <v>37602</v>
      </c>
      <c r="B29857" s="4" t="s">
        <v>37603</v>
      </c>
      <c r="C29857" s="5" t="str">
        <f>IFERROR(__xludf.DUMMYFUNCTION("GOOGLETRANSLATE(B29857,""en"",""fr"")"),"Un homme tenant une cape rouge se tient devant un taureau.")</f>
        <v>Un homme tenant une cape rouge se tient devant un taureau.</v>
      </c>
    </row>
    <row r="29858">
      <c r="A29858" s="4" t="s">
        <v>37602</v>
      </c>
      <c r="B29858" s="4" t="s">
        <v>37604</v>
      </c>
      <c r="C29858" s="5" t="str">
        <f>IFERROR(__xludf.DUMMYFUNCTION("GOOGLETRANSLATE(B29858,""en"",""fr"")"),"Le taureau le frappe et le frappe au sol.")</f>
        <v>Le taureau le frappe et le frappe au sol.</v>
      </c>
    </row>
    <row r="29859">
      <c r="A29859" s="4" t="s">
        <v>37602</v>
      </c>
      <c r="B29859" s="4" t="s">
        <v>37605</v>
      </c>
      <c r="C29859" s="5" t="str">
        <f>IFERROR(__xludf.DUMMYFUNCTION("GOOGLETRANSLATE(B29859,""en"",""fr"")"),"Les gens emportent l'homme de l'arène.")</f>
        <v>Les gens emportent l'homme de l'arène.</v>
      </c>
    </row>
    <row r="29860">
      <c r="A29860" s="4" t="s">
        <v>37606</v>
      </c>
      <c r="B29860" s="4" t="s">
        <v>37607</v>
      </c>
      <c r="C29860" s="5" t="str">
        <f>IFERROR(__xludf.DUMMYFUNCTION("GOOGLETRANSLATE(B29860,""en"",""fr"")"),"Un coiffeur frotte la crème à raser sur la tête chauve d'un homme.")</f>
        <v>Un coiffeur frotte la crème à raser sur la tête chauve d'un homme.</v>
      </c>
    </row>
    <row r="29861">
      <c r="A29861" s="4" t="s">
        <v>37606</v>
      </c>
      <c r="B29861" s="4" t="s">
        <v>37608</v>
      </c>
      <c r="C29861" s="5" t="str">
        <f>IFERROR(__xludf.DUMMYFUNCTION("GOOGLETRANSLATE(B29861,""en"",""fr"")"),"Le coiffeur s'arrête pour nettoyer ses mains avec une serviette.")</f>
        <v>Le coiffeur s'arrête pour nettoyer ses mains avec une serviette.</v>
      </c>
    </row>
    <row r="29862">
      <c r="A29862" s="4" t="s">
        <v>37606</v>
      </c>
      <c r="B29862" s="4" t="s">
        <v>37609</v>
      </c>
      <c r="C29862" s="5" t="str">
        <f>IFERROR(__xludf.DUMMYFUNCTION("GOOGLETRANSLATE(B29862,""en"",""fr"")"),"Le coiffeur attrape un rasoir et rasage lentement la tête de l'homme.")</f>
        <v>Le coiffeur attrape un rasoir et rasage lentement la tête de l'homme.</v>
      </c>
    </row>
    <row r="29863">
      <c r="A29863" s="4" t="s">
        <v>37610</v>
      </c>
      <c r="B29863" s="4" t="s">
        <v>37611</v>
      </c>
      <c r="C29863" s="5" t="str">
        <f>IFERROR(__xludf.DUMMYFUNCTION("GOOGLETRANSLATE(B29863,""en"",""fr"")"),"Un jeune homme se penche pour soulever un poids vers ses épaules, puis il soulève le poids au-dessus de sa tête.")</f>
        <v>Un jeune homme se penche pour soulever un poids vers ses épaules, puis il soulève le poids au-dessus de sa tête.</v>
      </c>
    </row>
    <row r="29864">
      <c r="A29864" s="4" t="s">
        <v>37610</v>
      </c>
      <c r="B29864" s="4" t="s">
        <v>37612</v>
      </c>
      <c r="C29864" s="5" t="str">
        <f>IFERROR(__xludf.DUMMYFUNCTION("GOOGLETRANSLATE(B29864,""en"",""fr"")"),"Le jeune homme laisse tomber le poids sur le sol.")</f>
        <v>Le jeune homme laisse tomber le poids sur le sol.</v>
      </c>
    </row>
    <row r="29865">
      <c r="A29865" s="4" t="s">
        <v>37610</v>
      </c>
      <c r="B29865" s="4" t="s">
        <v>37613</v>
      </c>
      <c r="C29865" s="5" t="str">
        <f>IFERROR(__xludf.DUMMYFUNCTION("GOOGLETRANSLATE(B29865,""en"",""fr"")"),"Après, l'homme se retourne, puis un homme vient et embrasse le jeune homme.")</f>
        <v>Après, l'homme se retourne, puis un homme vient et embrasse le jeune homme.</v>
      </c>
    </row>
    <row r="29866">
      <c r="A29866" s="4" t="s">
        <v>37614</v>
      </c>
      <c r="B29866" s="4" t="s">
        <v>37615</v>
      </c>
      <c r="C29866" s="5" t="str">
        <f>IFERROR(__xludf.DUMMYFUNCTION("GOOGLETRANSLATE(B29866,""en"",""fr"")"),"Une intro sur l'écran donnant des informations pour une entreprise de percussion.")</f>
        <v>Une intro sur l'écran donnant des informations pour une entreprise de percussion.</v>
      </c>
    </row>
    <row r="29867">
      <c r="A29867" s="4" t="s">
        <v>37614</v>
      </c>
      <c r="B29867" s="4" t="s">
        <v>37616</v>
      </c>
      <c r="C29867" s="5" t="str">
        <f>IFERROR(__xludf.DUMMYFUNCTION("GOOGLETRANSLATE(B29867,""en"",""fr"")"),"Un homme commence à jouer un ensemble de tambours avec la caméra le montrant sous plusieurs angles différents.")</f>
        <v>Un homme commence à jouer un ensemble de tambours avec la caméra le montrant sous plusieurs angles différents.</v>
      </c>
    </row>
    <row r="29868">
      <c r="A29868" s="4" t="s">
        <v>37614</v>
      </c>
      <c r="B29868" s="4" t="s">
        <v>37617</v>
      </c>
      <c r="C29868" s="5" t="str">
        <f>IFERROR(__xludf.DUMMYFUNCTION("GOOGLETRANSLATE(B29868,""en"",""fr"")"),"La caméra montre son pied à l'aide d'une pédale pour jouer à la batterie.")</f>
        <v>La caméra montre son pied à l'aide d'une pédale pour jouer à la batterie.</v>
      </c>
    </row>
    <row r="29869">
      <c r="A29869" s="4" t="s">
        <v>37614</v>
      </c>
      <c r="B29869" s="4" t="s">
        <v>37618</v>
      </c>
      <c r="C29869" s="5" t="str">
        <f>IFERROR(__xludf.DUMMYFUNCTION("GOOGLETRANSLATE(B29869,""en"",""fr"")"),"À mesure que la vidéo se termine, les crédits de clôture sont affichés.")</f>
        <v>À mesure que la vidéo se termine, les crédits de clôture sont affichés.</v>
      </c>
    </row>
    <row r="29870">
      <c r="A29870" s="4" t="s">
        <v>37619</v>
      </c>
      <c r="B29870" s="4" t="s">
        <v>37620</v>
      </c>
      <c r="C29870" s="5" t="str">
        <f>IFERROR(__xludf.DUMMYFUNCTION("GOOGLETRANSLATE(B29870,""en"",""fr"")"),"Une femme parle et sourit tout en reprenant un vêtement d'une buanderie.")</f>
        <v>Une femme parle et sourit tout en reprenant un vêtement d'une buanderie.</v>
      </c>
    </row>
    <row r="29871">
      <c r="A29871" s="4" t="s">
        <v>37619</v>
      </c>
      <c r="B29871" s="6" t="s">
        <v>37621</v>
      </c>
      <c r="C29871" s="5" t="str">
        <f>IFERROR(__xludf.DUMMYFUNCTION("GOOGLETRANSLATE(B29871,""en"",""fr"")"),"Une femme portant une chemise rose et un tablier se dresse dans une buanderie devant une laveuse et une sécheuse et parle face à la caméra.")</f>
        <v>Une femme portant une chemise rose et un tablier se dresse dans une buanderie devant une laveuse et une sécheuse et parle face à la caméra.</v>
      </c>
    </row>
    <row r="29872">
      <c r="A29872" s="4" t="s">
        <v>37619</v>
      </c>
      <c r="B29872" s="4" t="s">
        <v>37622</v>
      </c>
      <c r="C29872" s="5" t="str">
        <f>IFERROR(__xludf.DUMMYFUNCTION("GOOGLETRANSLATE(B29872,""en"",""fr"")"),"La femme se penche pour ramasser un vêtement, puis la répand sur une table de repassage.")</f>
        <v>La femme se penche pour ramasser un vêtement, puis la répand sur une table de repassage.</v>
      </c>
    </row>
    <row r="29873">
      <c r="A29873" s="4" t="s">
        <v>37619</v>
      </c>
      <c r="B29873" s="6" t="s">
        <v>37623</v>
      </c>
      <c r="C29873" s="5" t="str">
        <f>IFERROR(__xludf.DUMMYFUNCTION("GOOGLETRANSLATE(B29873,""en"",""fr"")"),"La femme procède au repassage du vêtement, s'arrêtant momentanément, pour vaporiser le vêtement avec un liquide d'un flacon pulvérisateur blanc, puis termine le vêtement et le tient sur le visage et les joues et les sourires.")</f>
        <v>La femme procède au repassage du vêtement, s'arrêtant momentanément, pour vaporiser le vêtement avec un liquide d'un flacon pulvérisateur blanc, puis termine le vêtement et le tient sur le visage et les joues et les sourires.</v>
      </c>
    </row>
    <row r="29874">
      <c r="A29874" s="4" t="s">
        <v>37624</v>
      </c>
      <c r="B29874" s="4" t="s">
        <v>37625</v>
      </c>
      <c r="C29874" s="5" t="str">
        <f>IFERROR(__xludf.DUMMYFUNCTION("GOOGLETRANSLATE(B29874,""en"",""fr"")"),"Il y a un homme dans une chemise rose et une dame dans un débardeur blanc tenant des cornemas à la main.")</f>
        <v>Il y a un homme dans une chemise rose et une dame dans un débardeur blanc tenant des cornemas à la main.</v>
      </c>
    </row>
    <row r="29875">
      <c r="A29875" s="4" t="s">
        <v>37624</v>
      </c>
      <c r="B29875" s="4" t="s">
        <v>37626</v>
      </c>
      <c r="C29875" s="5" t="str">
        <f>IFERROR(__xludf.DUMMYFUNCTION("GOOGLETRANSLATE(B29875,""en"",""fr"")"),"Ils se tiennent dans un parking près d'une voiture en argent.")</f>
        <v>Ils se tiennent dans un parking près d'une voiture en argent.</v>
      </c>
    </row>
    <row r="29876">
      <c r="A29876" s="4" t="s">
        <v>37624</v>
      </c>
      <c r="B29876" s="4" t="s">
        <v>37627</v>
      </c>
      <c r="C29876" s="5" t="str">
        <f>IFERROR(__xludf.DUMMYFUNCTION("GOOGLETRANSLATE(B29876,""en"",""fr"")"),"La dame commence à jouer ses cornemusets pendant que l'homme la regarde jouer.")</f>
        <v>La dame commence à jouer ses cornemusets pendant que l'homme la regarde jouer.</v>
      </c>
    </row>
    <row r="29877">
      <c r="A29877" s="4" t="s">
        <v>37624</v>
      </c>
      <c r="B29877" s="4" t="s">
        <v>37628</v>
      </c>
      <c r="C29877" s="5" t="str">
        <f>IFERROR(__xludf.DUMMYFUNCTION("GOOGLETRANSLATE(B29877,""en"",""fr"")"),"Elle continue de jouer et après avoir terminé, l'homme applaudit pour elle et lui fait un câlin.")</f>
        <v>Elle continue de jouer et après avoir terminé, l'homme applaudit pour elle et lui fait un câlin.</v>
      </c>
    </row>
    <row r="29878">
      <c r="A29878" s="4" t="s">
        <v>37629</v>
      </c>
      <c r="B29878" s="4" t="s">
        <v>37630</v>
      </c>
      <c r="C29878" s="5" t="str">
        <f>IFERROR(__xludf.DUMMYFUNCTION("GOOGLETRANSLATE(B29878,""en"",""fr"")"),"L'enfant se tient sur le terrain.")</f>
        <v>L'enfant se tient sur le terrain.</v>
      </c>
    </row>
    <row r="29879">
      <c r="A29879" s="4" t="s">
        <v>37629</v>
      </c>
      <c r="B29879" s="4" t="s">
        <v>37631</v>
      </c>
      <c r="C29879" s="5" t="str">
        <f>IFERROR(__xludf.DUMMYFUNCTION("GOOGLETRANSLATE(B29879,""en"",""fr"")"),"La petite fille est assise à l'autre bout d'un tapis.")</f>
        <v>La petite fille est assise à l'autre bout d'un tapis.</v>
      </c>
    </row>
    <row r="29880">
      <c r="A29880" s="4" t="s">
        <v>37629</v>
      </c>
      <c r="B29880" s="4" t="s">
        <v>37632</v>
      </c>
      <c r="C29880" s="5" t="str">
        <f>IFERROR(__xludf.DUMMYFUNCTION("GOOGLETRANSLATE(B29880,""en"",""fr"")"),"Le jeune garçon court vers le tapis et saute par-dessus le poteau.")</f>
        <v>Le jeune garçon court vers le tapis et saute par-dessus le poteau.</v>
      </c>
    </row>
    <row r="29881">
      <c r="A29881" s="4" t="s">
        <v>37633</v>
      </c>
      <c r="B29881" s="4" t="s">
        <v>37634</v>
      </c>
      <c r="C29881" s="5" t="str">
        <f>IFERROR(__xludf.DUMMYFUNCTION("GOOGLETRANSLATE(B29881,""en"",""fr"")"),"Une femme barman se tient derrière un bar.")</f>
        <v>Une femme barman se tient derrière un bar.</v>
      </c>
    </row>
    <row r="29882">
      <c r="A29882" s="4" t="s">
        <v>37633</v>
      </c>
      <c r="B29882" s="4" t="s">
        <v>37635</v>
      </c>
      <c r="C29882" s="5" t="str">
        <f>IFERROR(__xludf.DUMMYFUNCTION("GOOGLETRANSLATE(B29882,""en"",""fr"")"),"Un verre vide est devant elle pendant qu'elle parle.")</f>
        <v>Un verre vide est devant elle pendant qu'elle parle.</v>
      </c>
    </row>
    <row r="29883">
      <c r="A29883" s="4" t="s">
        <v>37633</v>
      </c>
      <c r="B29883" s="4" t="s">
        <v>37636</v>
      </c>
      <c r="C29883" s="5" t="str">
        <f>IFERROR(__xludf.DUMMYFUNCTION("GOOGLETRANSLATE(B29883,""en"",""fr"")"),"Elle ajoute de la glace au verre avec un scoop.")</f>
        <v>Elle ajoute de la glace au verre avec un scoop.</v>
      </c>
    </row>
    <row r="29884">
      <c r="A29884" s="4" t="s">
        <v>37633</v>
      </c>
      <c r="B29884" s="4" t="s">
        <v>37637</v>
      </c>
      <c r="C29884" s="5" t="str">
        <f>IFERROR(__xludf.DUMMYFUNCTION("GOOGLETRANSLATE(B29884,""en"",""fr"")"),"Elle ajoute trois liquides différents de trois bouteilles au verre.")</f>
        <v>Elle ajoute trois liquides différents de trois bouteilles au verre.</v>
      </c>
    </row>
    <row r="29885">
      <c r="A29885" s="4" t="s">
        <v>37633</v>
      </c>
      <c r="B29885" s="4" t="s">
        <v>37638</v>
      </c>
      <c r="C29885" s="5" t="str">
        <f>IFERROR(__xludf.DUMMYFUNCTION("GOOGLETRANSLATE(B29885,""en"",""fr"")"),"Elle remue et continue de parler de la boisson.")</f>
        <v>Elle remue et continue de parler de la boisson.</v>
      </c>
    </row>
    <row r="29886">
      <c r="A29886" s="4" t="s">
        <v>37639</v>
      </c>
      <c r="B29886" s="4" t="s">
        <v>37640</v>
      </c>
      <c r="C29886" s="5" t="str">
        <f>IFERROR(__xludf.DUMMYFUNCTION("GOOGLETRANSLATE(B29886,""en"",""fr"")"),"Nous voyons des gens sur un bateau, puis voyons des photos rapides de personnes sur un bateau en équipement de plongée.")</f>
        <v>Nous voyons des gens sur un bateau, puis voyons des photos rapides de personnes sur un bateau en équipement de plongée.</v>
      </c>
    </row>
    <row r="29887">
      <c r="A29887" s="4" t="s">
        <v>37639</v>
      </c>
      <c r="B29887" s="4" t="s">
        <v>37641</v>
      </c>
      <c r="C29887" s="5" t="str">
        <f>IFERROR(__xludf.DUMMYFUNCTION("GOOGLETRANSLATE(B29887,""en"",""fr"")"),"Nous voyons des gens sous la plongée dans l'eau.")</f>
        <v>Nous voyons des gens sous la plongée dans l'eau.</v>
      </c>
    </row>
    <row r="29888">
      <c r="A29888" s="4" t="s">
        <v>37639</v>
      </c>
      <c r="B29888" s="4" t="s">
        <v>37642</v>
      </c>
      <c r="C29888" s="5" t="str">
        <f>IFERROR(__xludf.DUMMYFUNCTION("GOOGLETRANSLATE(B29888,""en"",""fr"")"),"Un homme tient une chose blanche et la touche encore et encore.")</f>
        <v>Un homme tient une chose blanche et la touche encore et encore.</v>
      </c>
    </row>
    <row r="29889">
      <c r="A29889" s="4" t="s">
        <v>37639</v>
      </c>
      <c r="B29889" s="6" t="s">
        <v>37643</v>
      </c>
      <c r="C29889" s="5" t="str">
        <f>IFERROR(__xludf.DUMMYFUNCTION("GOOGLETRANSLATE(B29889,""en"",""fr"")"),"Au-dessus de l'eau, les gens sont sur le bateau et une personne tombe dans l'eau, nous voyons des gens sous-marins plonger et regarder Sealfe la nuit.")</f>
        <v>Au-dessus de l'eau, les gens sont sur le bateau et une personne tombe dans l'eau, nous voyons des gens sous-marins plonger et regarder Sealfe la nuit.</v>
      </c>
    </row>
    <row r="29890">
      <c r="A29890" s="4" t="s">
        <v>37639</v>
      </c>
      <c r="B29890" s="4" t="s">
        <v>37644</v>
      </c>
      <c r="C29890" s="5" t="str">
        <f>IFERROR(__xludf.DUMMYFUNCTION("GOOGLETRANSLATE(B29890,""en"",""fr"")"),"Une personne retombe dans l'eau et nous sommes sous l'eau près d'un naufrage dans la journée.")</f>
        <v>Une personne retombe dans l'eau et nous sommes sous l'eau près d'un naufrage dans la journée.</v>
      </c>
    </row>
    <row r="29891">
      <c r="A29891" s="4" t="s">
        <v>37639</v>
      </c>
      <c r="B29891" s="4" t="s">
        <v>37645</v>
      </c>
      <c r="C29891" s="5" t="str">
        <f>IFERROR(__xludf.DUMMYFUNCTION("GOOGLETRANSLATE(B29891,""en"",""fr"")"),"Les hommes montent sur le bateau après avoir terminé.")</f>
        <v>Les hommes montent sur le bateau après avoir terminé.</v>
      </c>
    </row>
    <row r="29892">
      <c r="A29892" s="4" t="s">
        <v>37646</v>
      </c>
      <c r="B29892" s="4" t="s">
        <v>37647</v>
      </c>
      <c r="C29892" s="5" t="str">
        <f>IFERROR(__xludf.DUMMYFUNCTION("GOOGLETRANSLATE(B29892,""en"",""fr"")"),"Un homme est vu parler à la caméra tout en tenant divers objets et en aiguisant un bâton.")</f>
        <v>Un homme est vu parler à la caméra tout en tenant divers objets et en aiguisant un bâton.</v>
      </c>
    </row>
    <row r="29893">
      <c r="A29893" s="4" t="s">
        <v>37646</v>
      </c>
      <c r="B29893" s="6" t="s">
        <v>37648</v>
      </c>
      <c r="C29893" s="5" t="str">
        <f>IFERROR(__xludf.DUMMYFUNCTION("GOOGLETRANSLATE(B29893,""en"",""fr"")"),"L'homme met ensuite un casque et a attaché le bâton à un support, menant à l'homme créant une étincelle et coupant un objet.")</f>
        <v>L'homme met ensuite un casque et a attaché le bâton à un support, menant à l'homme créant une étincelle et coupant un objet.</v>
      </c>
    </row>
    <row r="29894">
      <c r="A29894" s="4" t="s">
        <v>37646</v>
      </c>
      <c r="B29894" s="4" t="s">
        <v>37649</v>
      </c>
      <c r="C29894" s="5" t="str">
        <f>IFERROR(__xludf.DUMMYFUNCTION("GOOGLETRANSLATE(B29894,""en"",""fr"")"),"Il s'arrête pour parler davantage à la caméra et en regardant l'objet pour voir comment cela s'est avéré.")</f>
        <v>Il s'arrête pour parler davantage à la caméra et en regardant l'objet pour voir comment cela s'est avéré.</v>
      </c>
    </row>
    <row r="29895">
      <c r="A29895" s="4" t="s">
        <v>37650</v>
      </c>
      <c r="B29895" s="4" t="s">
        <v>37651</v>
      </c>
      <c r="C29895" s="5" t="str">
        <f>IFERROR(__xludf.DUMMYFUNCTION("GOOGLETRANSLATE(B29895,""en"",""fr"")"),"Un homme tondait sa pelouse, il a des poulets dans sa coop.")</f>
        <v>Un homme tondait sa pelouse, il a des poulets dans sa coop.</v>
      </c>
    </row>
    <row r="29896">
      <c r="A29896" s="4" t="s">
        <v>37650</v>
      </c>
      <c r="B29896" s="4" t="s">
        <v>37652</v>
      </c>
      <c r="C29896" s="5" t="str">
        <f>IFERROR(__xludf.DUMMYFUNCTION("GOOGLETRANSLATE(B29896,""en"",""fr"")"),"Le temps est accéléré si rapidement, donc il semble que ce soit en double.")</f>
        <v>Le temps est accéléré si rapidement, donc il semble que ce soit en double.</v>
      </c>
    </row>
    <row r="29897">
      <c r="A29897" s="4" t="s">
        <v>37650</v>
      </c>
      <c r="B29897" s="4" t="s">
        <v>37653</v>
      </c>
      <c r="C29897" s="5" t="str">
        <f>IFERROR(__xludf.DUMMYFUNCTION("GOOGLETRANSLATE(B29897,""en"",""fr"")"),"Il se promène dans la cour en regardant autour de lui.")</f>
        <v>Il se promène dans la cour en regardant autour de lui.</v>
      </c>
    </row>
    <row r="29898">
      <c r="A29898" s="4" t="s">
        <v>37650</v>
      </c>
      <c r="B29898" s="4" t="s">
        <v>37654</v>
      </c>
      <c r="C29898" s="5" t="str">
        <f>IFERROR(__xludf.DUMMYFUNCTION("GOOGLETRANSLATE(B29898,""en"",""fr"")"),"La cour a l'air très verte et très bien conservée.")</f>
        <v>La cour a l'air très verte et très bien conservée.</v>
      </c>
    </row>
    <row r="29899">
      <c r="A29899" s="4" t="s">
        <v>37655</v>
      </c>
      <c r="B29899" s="4" t="s">
        <v>37656</v>
      </c>
      <c r="C29899" s="5" t="str">
        <f>IFERROR(__xludf.DUMMYFUNCTION("GOOGLETRANSLATE(B29899,""en"",""fr"")"),"Un cow-boy sur un cheval court après une vache.")</f>
        <v>Un cow-boy sur un cheval court après une vache.</v>
      </c>
    </row>
    <row r="29900">
      <c r="A29900" s="4" t="s">
        <v>37655</v>
      </c>
      <c r="B29900" s="4" t="s">
        <v>37657</v>
      </c>
      <c r="C29900" s="5" t="str">
        <f>IFERROR(__xludf.DUMMYFUNCTION("GOOGLETRANSLATE(B29900,""en"",""fr"")"),"Le cow-boy saute du cheval et court après la vache.")</f>
        <v>Le cow-boy saute du cheval et court après la vache.</v>
      </c>
    </row>
    <row r="29901">
      <c r="A29901" s="4" t="s">
        <v>37655</v>
      </c>
      <c r="B29901" s="4" t="s">
        <v>37658</v>
      </c>
      <c r="C29901" s="5" t="str">
        <f>IFERROR(__xludf.DUMMYFUNCTION("GOOGLETRANSLATE(B29901,""en"",""fr"")"),"Le cow-boy attache la vache.")</f>
        <v>Le cow-boy attache la vache.</v>
      </c>
    </row>
    <row r="29902">
      <c r="A29902" s="4" t="s">
        <v>37659</v>
      </c>
      <c r="B29902" s="4" t="s">
        <v>37660</v>
      </c>
      <c r="C29902" s="5" t="str">
        <f>IFERROR(__xludf.DUMMYFUNCTION("GOOGLETRANSLATE(B29902,""en"",""fr"")"),"Une personne est assise dans un radeau en descendant un ruisseau.")</f>
        <v>Une personne est assise dans un radeau en descendant un ruisseau.</v>
      </c>
    </row>
    <row r="29903">
      <c r="A29903" s="4" t="s">
        <v>37659</v>
      </c>
      <c r="B29903" s="4" t="s">
        <v>37661</v>
      </c>
      <c r="C29903" s="5" t="str">
        <f>IFERROR(__xludf.DUMMYFUNCTION("GOOGLETRANSLATE(B29903,""en"",""fr"")"),"Il y a plusieurs personnes dans un radeau dans la rivière.")</f>
        <v>Il y a plusieurs personnes dans un radeau dans la rivière.</v>
      </c>
    </row>
    <row r="29904">
      <c r="A29904" s="4" t="s">
        <v>37659</v>
      </c>
      <c r="B29904" s="4" t="s">
        <v>37662</v>
      </c>
      <c r="C29904" s="5" t="str">
        <f>IFERROR(__xludf.DUMMYFUNCTION("GOOGLETRANSLATE(B29904,""en"",""fr"")"),"Quelqu'un tombe dans l'eau et est aidé à revenir.")</f>
        <v>Quelqu'un tombe dans l'eau et est aidé à revenir.</v>
      </c>
    </row>
    <row r="29905">
      <c r="A29905" s="4" t="s">
        <v>37663</v>
      </c>
      <c r="B29905" s="4" t="s">
        <v>2837</v>
      </c>
      <c r="C29905" s="5" t="str">
        <f>IFERROR(__xludf.DUMMYFUNCTION("GOOGLETRANSLATE(B29905,""en"",""fr"")"),"Les gens s'entraînent dans une pièce.")</f>
        <v>Les gens s'entraînent dans une pièce.</v>
      </c>
    </row>
    <row r="29906">
      <c r="A29906" s="4" t="s">
        <v>37663</v>
      </c>
      <c r="B29906" s="4" t="s">
        <v>37664</v>
      </c>
      <c r="C29906" s="5" t="str">
        <f>IFERROR(__xludf.DUMMYFUNCTION("GOOGLETRANSLATE(B29906,""en"",""fr"")"),"Ils marchent sur des tabourets.")</f>
        <v>Ils marchent sur des tabourets.</v>
      </c>
    </row>
    <row r="29907">
      <c r="A29907" s="4" t="s">
        <v>37663</v>
      </c>
      <c r="B29907" s="4" t="s">
        <v>37665</v>
      </c>
      <c r="C29907" s="5" t="str">
        <f>IFERROR(__xludf.DUMMYFUNCTION("GOOGLETRANSLATE(B29907,""en"",""fr"")"),"Ils dansent ensemble tout en s'entraînant.")</f>
        <v>Ils dansent ensemble tout en s'entraînant.</v>
      </c>
    </row>
    <row r="29908">
      <c r="A29908" s="4" t="s">
        <v>37666</v>
      </c>
      <c r="B29908" s="4" t="s">
        <v>37667</v>
      </c>
      <c r="C29908" s="5" t="str">
        <f>IFERROR(__xludf.DUMMYFUNCTION("GOOGLETRANSLATE(B29908,""en"",""fr"")"),"Nous voyons un œil de dames et des noes de près.")</f>
        <v>Nous voyons un œil de dames et des noes de près.</v>
      </c>
    </row>
    <row r="29909">
      <c r="A29909" s="4" t="s">
        <v>37666</v>
      </c>
      <c r="B29909" s="4" t="s">
        <v>37668</v>
      </c>
      <c r="C29909" s="5" t="str">
        <f>IFERROR(__xludf.DUMMYFUNCTION("GOOGLETRANSLATE(B29909,""en"",""fr"")"),"Nous voyons la dame dans le désert en rotation de cerceaux et des astuces.")</f>
        <v>Nous voyons la dame dans le désert en rotation de cerceaux et des astuces.</v>
      </c>
    </row>
    <row r="29910">
      <c r="A29910" s="4" t="s">
        <v>37666</v>
      </c>
      <c r="B29910" s="4" t="s">
        <v>37669</v>
      </c>
      <c r="C29910" s="5" t="str">
        <f>IFERROR(__xludf.DUMMYFUNCTION("GOOGLETRANSLATE(B29910,""en"",""fr"")"),"Les cerceaux Lady Hula avec environ 10 cerceaux dorés.")</f>
        <v>Les cerceaux Lady Hula avec environ 10 cerceaux dorés.</v>
      </c>
    </row>
    <row r="29911">
      <c r="A29911" s="4" t="s">
        <v>37666</v>
      </c>
      <c r="B29911" s="6" t="s">
        <v>37670</v>
      </c>
      <c r="C29911" s="5" t="str">
        <f>IFERROR(__xludf.DUMMYFUNCTION("GOOGLETRANSLATE(B29911,""en"",""fr"")"),"La dame tourne le cerceau sur sa main puis la transfère à sa jambe qui s'étenda vers le haut et nous la voyons à nouveau dans les cerceaux d'or.")</f>
        <v>La dame tourne le cerceau sur sa main puis la transfère à sa jambe qui s'étenda vers le haut et nous la voyons à nouveau dans les cerceaux d'or.</v>
      </c>
    </row>
    <row r="29912">
      <c r="A29912" s="4" t="s">
        <v>37666</v>
      </c>
      <c r="B29912" s="6" t="s">
        <v>37671</v>
      </c>
      <c r="C29912" s="5" t="str">
        <f>IFERROR(__xludf.DUMMYFUNCTION("GOOGLETRANSLATE(B29912,""en"",""fr"")"),"La dame tourne son corps dans et hors des cerceaux et nous la voyons dans un assiette avec le cerceau de hula sur ses pieds.")</f>
        <v>La dame tourne son corps dans et hors des cerceaux et nous la voyons dans un assiette avec le cerceau de hula sur ses pieds.</v>
      </c>
    </row>
    <row r="29913">
      <c r="A29913" s="4" t="s">
        <v>37666</v>
      </c>
      <c r="B29913" s="6" t="s">
        <v>37672</v>
      </c>
      <c r="C29913" s="5" t="str">
        <f>IFERROR(__xludf.DUMMYFUNCTION("GOOGLETRANSLATE(B29913,""en"",""fr"")"),"Elle est dans les cerceaux dorés alors qu'ils tombent au sol, elle fait ensuite tourner de nombreux cerceaux roses de ses mains à ses pieds et comme une jupe.")</f>
        <v>Elle est dans les cerceaux dorés alors qu'ils tombent au sol, elle fait ensuite tourner de nombreux cerceaux roses de ses mains à ses pieds et comme une jupe.</v>
      </c>
    </row>
    <row r="29914">
      <c r="A29914" s="4" t="s">
        <v>37666</v>
      </c>
      <c r="B29914" s="4" t="s">
        <v>4513</v>
      </c>
      <c r="C29914" s="5" t="str">
        <f>IFERROR(__xludf.DUMMYFUNCTION("GOOGLETRANSLATE(B29914,""en"",""fr"")"),"Nous voyons les crédits de fin.")</f>
        <v>Nous voyons les crédits de fin.</v>
      </c>
    </row>
    <row r="29915">
      <c r="A29915" s="4" t="s">
        <v>37673</v>
      </c>
      <c r="B29915" s="4" t="s">
        <v>37674</v>
      </c>
      <c r="C29915" s="5" t="str">
        <f>IFERROR(__xludf.DUMMYFUNCTION("GOOGLETRANSLATE(B29915,""en"",""fr"")"),"Un homme en chemise blanche se tient à côté d'une piscine.")</f>
        <v>Un homme en chemise blanche se tient à côté d'une piscine.</v>
      </c>
    </row>
    <row r="29916">
      <c r="A29916" s="4" t="s">
        <v>37673</v>
      </c>
      <c r="B29916" s="4" t="s">
        <v>37675</v>
      </c>
      <c r="C29916" s="5" t="str">
        <f>IFERROR(__xludf.DUMMYFUNCTION("GOOGLETRANSLATE(B29916,""en"",""fr"")"),"Un homme tient une caméra qui le filme sur les escaliers.")</f>
        <v>Un homme tient une caméra qui le filme sur les escaliers.</v>
      </c>
    </row>
    <row r="29917">
      <c r="A29917" s="4" t="s">
        <v>37673</v>
      </c>
      <c r="B29917" s="4" t="s">
        <v>37676</v>
      </c>
      <c r="C29917" s="5" t="str">
        <f>IFERROR(__xludf.DUMMYFUNCTION("GOOGLETRANSLATE(B29917,""en"",""fr"")"),"Il se tient sur un plongeon et saute dans la piscine en dessous de lui.")</f>
        <v>Il se tient sur un plongeon et saute dans la piscine en dessous de lui.</v>
      </c>
    </row>
    <row r="29918">
      <c r="A29918" s="4" t="s">
        <v>37673</v>
      </c>
      <c r="B29918" s="4" t="s">
        <v>37677</v>
      </c>
      <c r="C29918" s="5" t="str">
        <f>IFERROR(__xludf.DUMMYFUNCTION("GOOGLETRANSLATE(B29918,""en"",""fr"")"),"Il sort de l'eau et marche pour faire des câlins aux gens.")</f>
        <v>Il sort de l'eau et marche pour faire des câlins aux gens.</v>
      </c>
    </row>
    <row r="29919">
      <c r="A29919" s="4" t="s">
        <v>37678</v>
      </c>
      <c r="B29919" s="4" t="s">
        <v>37679</v>
      </c>
      <c r="C29919" s="5" t="str">
        <f>IFERROR(__xludf.DUMMYFUNCTION("GOOGLETRANSLATE(B29919,""en"",""fr"")"),"Une femme est vue assise sur une baignoire avec une serviette enroulée autour d'elle et se rasant les jambes.")</f>
        <v>Une femme est vue assise sur une baignoire avec une serviette enroulée autour d'elle et se rasant les jambes.</v>
      </c>
    </row>
    <row r="29920">
      <c r="A29920" s="4" t="s">
        <v>37678</v>
      </c>
      <c r="B29920" s="4" t="s">
        <v>37680</v>
      </c>
      <c r="C29920" s="5" t="str">
        <f>IFERROR(__xludf.DUMMYFUNCTION("GOOGLETRANSLATE(B29920,""en"",""fr"")"),"Elle rit ensuite à la caméra et s'épuise avec un jeune garçon la poussant au sol.")</f>
        <v>Elle rit ensuite à la caméra et s'épuise avec un jeune garçon la poussant au sol.</v>
      </c>
    </row>
    <row r="29921">
      <c r="A29921" s="4" t="s">
        <v>37681</v>
      </c>
      <c r="B29921" s="4" t="s">
        <v>37682</v>
      </c>
      <c r="C29921" s="5" t="str">
        <f>IFERROR(__xludf.DUMMYFUNCTION("GOOGLETRANSLATE(B29921,""en"",""fr"")"),"Deux hommes sont assis à une table de pique-nique se préparant à s'arrêter.")</f>
        <v>Deux hommes sont assis à une table de pique-nique se préparant à s'arrêter.</v>
      </c>
    </row>
    <row r="29922">
      <c r="A29922" s="4" t="s">
        <v>37681</v>
      </c>
      <c r="B29922" s="4" t="s">
        <v>37683</v>
      </c>
      <c r="C29922" s="5" t="str">
        <f>IFERROR(__xludf.DUMMYFUNCTION("GOOGLETRANSLATE(B29922,""en"",""fr"")"),"Diverses personnes regardent des côtés et les hommes commencent à s'arrêter.")</f>
        <v>Diverses personnes regardent des côtés et les hommes commencent à s'arrêter.</v>
      </c>
    </row>
    <row r="29923">
      <c r="A29923" s="4" t="s">
        <v>37681</v>
      </c>
      <c r="B29923" s="4" t="s">
        <v>37684</v>
      </c>
      <c r="C29923" s="5" t="str">
        <f>IFERROR(__xludf.DUMMYFUNCTION("GOOGLETRANSLATE(B29923,""en"",""fr"")"),"Un homme est interviewé par le caméraman et montre ses biceps à la caméra.")</f>
        <v>Un homme est interviewé par le caméraman et montre ses biceps à la caméra.</v>
      </c>
    </row>
    <row r="29924">
      <c r="A29924" s="4" t="s">
        <v>37681</v>
      </c>
      <c r="B29924" s="4" t="s">
        <v>37685</v>
      </c>
      <c r="C29924" s="5" t="str">
        <f>IFERROR(__xludf.DUMMYFUNCTION("GOOGLETRANSLATE(B29924,""en"",""fr"")"),"Deux hommes continuent de parler à la caméra et finalement recommencer à lutter contre les bras.")</f>
        <v>Deux hommes continuent de parler à la caméra et finalement recommencer à lutter contre les bras.</v>
      </c>
    </row>
    <row r="29925">
      <c r="A29925" s="4" t="s">
        <v>37681</v>
      </c>
      <c r="B29925" s="6" t="s">
        <v>37686</v>
      </c>
      <c r="C29925" s="5" t="str">
        <f>IFERROR(__xludf.DUMMYFUNCTION("GOOGLETRANSLATE(B29925,""en"",""fr"")"),"Ils jouent diverses matchs de lutte des bras et interviewent une femme avec un ombrément qui veut également s'arrêter.")</f>
        <v>Ils jouent diverses matchs de lutte des bras et interviewent une femme avec un ombrément qui veut également s'arrêter.</v>
      </c>
    </row>
    <row r="29926">
      <c r="A29926" s="4" t="s">
        <v>37681</v>
      </c>
      <c r="B29926" s="4" t="s">
        <v>37687</v>
      </c>
      <c r="C29926" s="5" t="str">
        <f>IFERROR(__xludf.DUMMYFUNCTION("GOOGLETRANSLATE(B29926,""en"",""fr"")"),"L'homme lui permet de gagner leur match de lutte au bras et la fille semble étourdie.")</f>
        <v>L'homme lui permet de gagner leur match de lutte au bras et la fille semble étourdie.</v>
      </c>
    </row>
    <row r="29927">
      <c r="A29927" s="4" t="s">
        <v>37688</v>
      </c>
      <c r="B29927" s="4" t="s">
        <v>37689</v>
      </c>
      <c r="C29927" s="5" t="str">
        <f>IFERROR(__xludf.DUMMYFUNCTION("GOOGLETRANSLATE(B29927,""en"",""fr"")"),"Un gars tatoue le haut du haut d'une dame.")</f>
        <v>Un gars tatoue le haut du haut d'une dame.</v>
      </c>
    </row>
    <row r="29928">
      <c r="A29928" s="4" t="s">
        <v>37688</v>
      </c>
      <c r="B29928" s="4" t="s">
        <v>37690</v>
      </c>
      <c r="C29928" s="5" t="str">
        <f>IFERROR(__xludf.DUMMYFUNCTION("GOOGLETRANSLATE(B29928,""en"",""fr"")"),"La dame souffre.")</f>
        <v>La dame souffre.</v>
      </c>
    </row>
    <row r="29929">
      <c r="A29929" s="4" t="s">
        <v>37688</v>
      </c>
      <c r="B29929" s="4" t="s">
        <v>37691</v>
      </c>
      <c r="C29929" s="5" t="str">
        <f>IFERROR(__xludf.DUMMYFUNCTION("GOOGLETRANSLATE(B29929,""en"",""fr"")"),"Le gars fouette avec une serviette en papier blanc.")</f>
        <v>Le gars fouette avec une serviette en papier blanc.</v>
      </c>
    </row>
    <row r="29930">
      <c r="A29930" s="4" t="s">
        <v>37692</v>
      </c>
      <c r="B29930" s="4" t="s">
        <v>37693</v>
      </c>
      <c r="C29930" s="5" t="str">
        <f>IFERROR(__xludf.DUMMYFUNCTION("GOOGLETRANSLATE(B29930,""en"",""fr"")"),"Une gymnaste est vue se pencher sur une longue poutre et commence à effectuer une routine de gymnastique.")</f>
        <v>Une gymnaste est vue se pencher sur une longue poutre et commence à effectuer une routine de gymnastique.</v>
      </c>
    </row>
    <row r="29931">
      <c r="A29931" s="4" t="s">
        <v>37692</v>
      </c>
      <c r="B29931" s="4" t="s">
        <v>37694</v>
      </c>
      <c r="C29931" s="5" t="str">
        <f>IFERROR(__xludf.DUMMYFUNCTION("GOOGLETRANSLATE(B29931,""en"",""fr"")"),"La fille se retourne et tourne le long du faisceau tandis que d'autres regardent sur le côté.")</f>
        <v>La fille se retourne et tourne le long du faisceau tandis que d'autres regardent sur le côté.</v>
      </c>
    </row>
    <row r="29932">
      <c r="A29932" s="4" t="s">
        <v>37692</v>
      </c>
      <c r="B29932" s="6" t="s">
        <v>37695</v>
      </c>
      <c r="C29932" s="5" t="str">
        <f>IFERROR(__xludf.DUMMYFUNCTION("GOOGLETRANSLATE(B29932,""en"",""fr"")"),"La femme continue de se déplacer le long du faisceau et se termine en sautant du côté et en descendant de la scène.")</f>
        <v>La femme continue de se déplacer le long du faisceau et se termine en sautant du côté et en descendant de la scène.</v>
      </c>
    </row>
    <row r="29933">
      <c r="A29933" s="4" t="s">
        <v>37696</v>
      </c>
      <c r="B29933" s="4" t="s">
        <v>37697</v>
      </c>
      <c r="C29933" s="5" t="str">
        <f>IFERROR(__xludf.DUMMYFUNCTION("GOOGLETRANSLATE(B29933,""en"",""fr"")"),"Le robinet montrant est alors une main attachée le tuyau et resserrer le tuyau.")</f>
        <v>Le robinet montrant est alors une main attachée le tuyau et resserrer le tuyau.</v>
      </c>
    </row>
    <row r="29934">
      <c r="A29934" s="4" t="s">
        <v>37696</v>
      </c>
      <c r="B29934" s="4" t="s">
        <v>37698</v>
      </c>
      <c r="C29934" s="5" t="str">
        <f>IFERROR(__xludf.DUMMYFUNCTION("GOOGLETRANSLATE(B29934,""en"",""fr"")"),"Une paille est attachée à un réservoir.")</f>
        <v>Une paille est attachée à un réservoir.</v>
      </c>
    </row>
    <row r="29935">
      <c r="A29935" s="4" t="s">
        <v>37696</v>
      </c>
      <c r="B29935" s="4" t="s">
        <v>37699</v>
      </c>
      <c r="C29935" s="5" t="str">
        <f>IFERROR(__xludf.DUMMYFUNCTION("GOOGLETRANSLATE(B29935,""en"",""fr"")"),"La femme lave le chien avec le tuyau dans la baignoire.")</f>
        <v>La femme lave le chien avec le tuyau dans la baignoire.</v>
      </c>
    </row>
    <row r="29936">
      <c r="A29936" s="4" t="s">
        <v>37700</v>
      </c>
      <c r="B29936" s="4" t="s">
        <v>37701</v>
      </c>
      <c r="C29936" s="5" t="str">
        <f>IFERROR(__xludf.DUMMYFUNCTION("GOOGLETRANSLATE(B29936,""en"",""fr"")"),"Un plateau de puces est illustré sur une table.")</f>
        <v>Un plateau de puces est illustré sur une table.</v>
      </c>
    </row>
    <row r="29937">
      <c r="A29937" s="4" t="s">
        <v>37700</v>
      </c>
      <c r="B29937" s="4" t="s">
        <v>37702</v>
      </c>
      <c r="C29937" s="5" t="str">
        <f>IFERROR(__xludf.DUMMYFUNCTION("GOOGLETRANSLATE(B29937,""en"",""fr"")"),"Une personne traite des cartes sur la table.")</f>
        <v>Une personne traite des cartes sur la table.</v>
      </c>
    </row>
    <row r="29938">
      <c r="A29938" s="4" t="s">
        <v>37700</v>
      </c>
      <c r="B29938" s="4" t="s">
        <v>37703</v>
      </c>
      <c r="C29938" s="5" t="str">
        <f>IFERROR(__xludf.DUMMYFUNCTION("GOOGLETRANSLATE(B29938,""en"",""fr"")"),"Les gens assis à la table se donnent des high fives.")</f>
        <v>Les gens assis à la table se donnent des high fives.</v>
      </c>
    </row>
    <row r="29939">
      <c r="A29939" s="4" t="s">
        <v>37704</v>
      </c>
      <c r="B29939" s="6" t="s">
        <v>37705</v>
      </c>
      <c r="C29939" s="5" t="str">
        <f>IFERROR(__xludf.DUMMYFUNCTION("GOOGLETRANSLATE(B29939,""en"",""fr"")"),"Un disque de rotation avec des cercles de couleur est montré, en se produisant une bobine de film et les films des films de l'Inde.")</f>
        <v>Un disque de rotation avec des cercles de couleur est montré, en se produisant une bobine de film et les films des films de l'Inde.</v>
      </c>
    </row>
    <row r="29940">
      <c r="A29940" s="4" t="s">
        <v>37704</v>
      </c>
      <c r="B29940" s="4" t="s">
        <v>37706</v>
      </c>
      <c r="C29940" s="5" t="str">
        <f>IFERROR(__xludf.DUMMYFUNCTION("GOOGLETRANSLATE(B29940,""en"",""fr"")"),"Un homme est illustré à s'étirer avant de s'engager dans un match de tennis devant une foule.")</f>
        <v>Un homme est illustré à s'étirer avant de s'engager dans un match de tennis devant une foule.</v>
      </c>
    </row>
    <row r="29941">
      <c r="A29941" s="4" t="s">
        <v>37704</v>
      </c>
      <c r="B29941" s="4" t="s">
        <v>37707</v>
      </c>
      <c r="C29941" s="5" t="str">
        <f>IFERROR(__xludf.DUMMYFUNCTION("GOOGLETRANSLATE(B29941,""en"",""fr"")"),"Il parle ensuite à la foule parmi les caméras clignotantes à travers un microphone.")</f>
        <v>Il parle ensuite à la foule parmi les caméras clignotantes à travers un microphone.</v>
      </c>
    </row>
    <row r="29942">
      <c r="A29942" s="4" t="s">
        <v>37704</v>
      </c>
      <c r="B29942" s="4" t="s">
        <v>37708</v>
      </c>
      <c r="C29942" s="5" t="str">
        <f>IFERROR(__xludf.DUMMYFUNCTION("GOOGLETRANSLATE(B29942,""en"",""fr"")"),"L'homme est parfois montré en jouant au tennis, puis recommence à parler au groupe.")</f>
        <v>L'homme est parfois montré en jouant au tennis, puis recommence à parler au groupe.</v>
      </c>
    </row>
    <row r="29943">
      <c r="A29943" s="4" t="s">
        <v>37709</v>
      </c>
      <c r="B29943" s="4" t="s">
        <v>37710</v>
      </c>
      <c r="C29943" s="5" t="str">
        <f>IFERROR(__xludf.DUMMYFUNCTION("GOOGLETRANSLATE(B29943,""en"",""fr"")"),"Un homme se tient au pied d'un grand mur.")</f>
        <v>Un homme se tient au pied d'un grand mur.</v>
      </c>
    </row>
    <row r="29944">
      <c r="A29944" s="4" t="s">
        <v>37709</v>
      </c>
      <c r="B29944" s="4" t="s">
        <v>37711</v>
      </c>
      <c r="C29944" s="5" t="str">
        <f>IFERROR(__xludf.DUMMYFUNCTION("GOOGLETRANSLATE(B29944,""en"",""fr"")"),"Il s'étire et le regarde comme s'il pourrait le grimper.")</f>
        <v>Il s'étire et le regarde comme s'il pourrait le grimper.</v>
      </c>
    </row>
    <row r="29945">
      <c r="A29945" s="4" t="s">
        <v>37709</v>
      </c>
      <c r="B29945" s="4" t="s">
        <v>37712</v>
      </c>
      <c r="C29945" s="5" t="str">
        <f>IFERROR(__xludf.DUMMYFUNCTION("GOOGLETRANSLATE(B29945,""en"",""fr"")"),"Il lève de haut en bas avant de mettre un pied sur la base du mur.")</f>
        <v>Il lève de haut en bas avant de mettre un pied sur la base du mur.</v>
      </c>
    </row>
    <row r="29946">
      <c r="A29946" s="4" t="s">
        <v>37709</v>
      </c>
      <c r="B29946" s="4" t="s">
        <v>37713</v>
      </c>
      <c r="C29946" s="5" t="str">
        <f>IFERROR(__xludf.DUMMYFUNCTION("GOOGLETRANSLATE(B29946,""en"",""fr"")"),"Il commence ensuite à grimper de plus en plus.")</f>
        <v>Il commence ensuite à grimper de plus en plus.</v>
      </c>
    </row>
    <row r="29947">
      <c r="A29947" s="4" t="s">
        <v>37709</v>
      </c>
      <c r="B29947" s="4" t="s">
        <v>37714</v>
      </c>
      <c r="C29947" s="5" t="str">
        <f>IFERROR(__xludf.DUMMYFUNCTION("GOOGLETRANSLATE(B29947,""en"",""fr"")"),"Il évolue très méthodique le mur.")</f>
        <v>Il évolue très méthodique le mur.</v>
      </c>
    </row>
    <row r="29948">
      <c r="A29948" s="4" t="s">
        <v>37709</v>
      </c>
      <c r="B29948" s="4" t="s">
        <v>37715</v>
      </c>
      <c r="C29948" s="5" t="str">
        <f>IFERROR(__xludf.DUMMYFUNCTION("GOOGLETRANSLATE(B29948,""en"",""fr"")"),"Il finit par arriver au sommet avec une relative facilité.")</f>
        <v>Il finit par arriver au sommet avec une relative facilité.</v>
      </c>
    </row>
    <row r="29949">
      <c r="A29949" s="4" t="s">
        <v>37716</v>
      </c>
      <c r="B29949" s="4" t="s">
        <v>37717</v>
      </c>
      <c r="C29949" s="5" t="str">
        <f>IFERROR(__xludf.DUMMYFUNCTION("GOOGLETRANSLATE(B29949,""en"",""fr"")"),"Un adolescent se tient dans une cuisine, tenant un pichet et parle.")</f>
        <v>Un adolescent se tient dans une cuisine, tenant un pichet et parle.</v>
      </c>
    </row>
    <row r="29950">
      <c r="A29950" s="4" t="s">
        <v>37716</v>
      </c>
      <c r="B29950" s="4" t="s">
        <v>37718</v>
      </c>
      <c r="C29950" s="5" t="str">
        <f>IFERROR(__xludf.DUMMYFUNCTION("GOOGLETRANSLATE(B29950,""en"",""fr"")"),"Il remplit le pichet d'eau à l'évier.")</f>
        <v>Il remplit le pichet d'eau à l'évier.</v>
      </c>
    </row>
    <row r="29951">
      <c r="A29951" s="4" t="s">
        <v>37716</v>
      </c>
      <c r="B29951" s="4" t="s">
        <v>37719</v>
      </c>
      <c r="C29951" s="5" t="str">
        <f>IFERROR(__xludf.DUMMYFUNCTION("GOOGLETRANSLATE(B29951,""en"",""fr"")"),"Il mélange ensuite une poudre dans l'eau, créant un mélange de boissons.")</f>
        <v>Il mélange ensuite une poudre dans l'eau, créant un mélange de boissons.</v>
      </c>
    </row>
    <row r="29952">
      <c r="A29952" s="4" t="s">
        <v>37716</v>
      </c>
      <c r="B29952" s="4" t="s">
        <v>37720</v>
      </c>
      <c r="C29952" s="5" t="str">
        <f>IFERROR(__xludf.DUMMYFUNCTION("GOOGLETRANSLATE(B29952,""en"",""fr"")"),"Il annonce de l'alcool, puis boit au pichet pour tester la saveur.")</f>
        <v>Il annonce de l'alcool, puis boit au pichet pour tester la saveur.</v>
      </c>
    </row>
    <row r="29953">
      <c r="A29953" s="4" t="s">
        <v>37721</v>
      </c>
      <c r="B29953" s="4" t="s">
        <v>37722</v>
      </c>
      <c r="C29953" s="5" t="str">
        <f>IFERROR(__xludf.DUMMYFUNCTION("GOOGLETRANSLATE(B29953,""en"",""fr"")"),"Un groupe de personnes se trouve dans un bâtiment.")</f>
        <v>Un groupe de personnes se trouve dans un bâtiment.</v>
      </c>
    </row>
    <row r="29954">
      <c r="A29954" s="4" t="s">
        <v>37721</v>
      </c>
      <c r="B29954" s="4" t="s">
        <v>37723</v>
      </c>
      <c r="C29954" s="5" t="str">
        <f>IFERROR(__xludf.DUMMYFUNCTION("GOOGLETRANSLATE(B29954,""en"",""fr"")"),"Ils jouent ensemble à un jeu de baby-foot.")</f>
        <v>Ils jouent ensemble à un jeu de baby-foot.</v>
      </c>
    </row>
    <row r="29955">
      <c r="A29955" s="4" t="s">
        <v>37721</v>
      </c>
      <c r="B29955" s="4" t="s">
        <v>37724</v>
      </c>
      <c r="C29955" s="5" t="str">
        <f>IFERROR(__xludf.DUMMYFUNCTION("GOOGLETRANSLATE(B29955,""en"",""fr"")"),"Ils lancent les chiffres d'avant en arrière, essayant de gagner le match.")</f>
        <v>Ils lancent les chiffres d'avant en arrière, essayant de gagner le match.</v>
      </c>
    </row>
    <row r="29956">
      <c r="A29956" s="4" t="s">
        <v>37725</v>
      </c>
      <c r="B29956" s="4" t="s">
        <v>37726</v>
      </c>
      <c r="C29956" s="5" t="str">
        <f>IFERROR(__xludf.DUMMYFUNCTION("GOOGLETRANSLATE(B29956,""en"",""fr"")"),"Un homme pratique le hockey sur glace jetant un disque avec un bâton.")</f>
        <v>Un homme pratique le hockey sur glace jetant un disque avec un bâton.</v>
      </c>
    </row>
    <row r="29957">
      <c r="A29957" s="4" t="s">
        <v>37725</v>
      </c>
      <c r="B29957" s="4" t="s">
        <v>37727</v>
      </c>
      <c r="C29957" s="5" t="str">
        <f>IFERROR(__xludf.DUMMYFUNCTION("GOOGLETRANSLATE(B29957,""en"",""fr"")"),"Ensuite, le joueur marque dans un match et il est félicité par les coéquipiers.")</f>
        <v>Ensuite, le joueur marque dans un match et il est félicité par les coéquipiers.</v>
      </c>
    </row>
    <row r="29958">
      <c r="A29958" s="4" t="s">
        <v>37725</v>
      </c>
      <c r="B29958" s="4" t="s">
        <v>37728</v>
      </c>
      <c r="C29958" s="5" t="str">
        <f>IFERROR(__xludf.DUMMYFUNCTION("GOOGLETRANSLATE(B29958,""en"",""fr"")"),"D'autres joueurs parlent et parlent lors du score pendant que les hommes jouent au hockey sur glace.")</f>
        <v>D'autres joueurs parlent et parlent lors du score pendant que les hommes jouent au hockey sur glace.</v>
      </c>
    </row>
    <row r="29959">
      <c r="A29959" s="4" t="s">
        <v>37725</v>
      </c>
      <c r="B29959" s="4" t="s">
        <v>37729</v>
      </c>
      <c r="C29959" s="5" t="str">
        <f>IFERROR(__xludf.DUMMYFUNCTION("GOOGLETRANSLATE(B29959,""en"",""fr"")"),"Un joueur parle et les équipes jouent dans le terrain de glace, et les joueurs marquent.")</f>
        <v>Un joueur parle et les équipes jouent dans le terrain de glace, et les joueurs marquent.</v>
      </c>
    </row>
    <row r="29960">
      <c r="A29960" s="4" t="s">
        <v>37730</v>
      </c>
      <c r="B29960" s="4" t="s">
        <v>37731</v>
      </c>
      <c r="C29960" s="5" t="str">
        <f>IFERROR(__xludf.DUMMYFUNCTION("GOOGLETRANSLATE(B29960,""en"",""fr"")"),"Un homme en tshirt s'appuie sur un comptoir de cuisine à côté de sacs d'ingrédients.")</f>
        <v>Un homme en tshirt s'appuie sur un comptoir de cuisine à côté de sacs d'ingrédients.</v>
      </c>
    </row>
    <row r="29961">
      <c r="A29961" s="4" t="s">
        <v>37730</v>
      </c>
      <c r="B29961" s="4" t="s">
        <v>37732</v>
      </c>
      <c r="C29961" s="5" t="str">
        <f>IFERROR(__xludf.DUMMYFUNCTION("GOOGLETRANSLATE(B29961,""en"",""fr"")"),"L'homme présente chaque ingrédient séparé et les tient en montrant chacun.")</f>
        <v>L'homme présente chaque ingrédient séparé et les tient en montrant chacun.</v>
      </c>
    </row>
    <row r="29962">
      <c r="A29962" s="4" t="s">
        <v>37730</v>
      </c>
      <c r="B29962" s="4" t="s">
        <v>37733</v>
      </c>
      <c r="C29962" s="5" t="str">
        <f>IFERROR(__xludf.DUMMYFUNCTION("GOOGLETRANSLATE(B29962,""en"",""fr"")"),"Une casserole de saucisses en tranches et de poivrons cuisent sur un poêle.")</f>
        <v>Une casserole de saucisses en tranches et de poivrons cuisent sur un poêle.</v>
      </c>
    </row>
    <row r="29963">
      <c r="A29963" s="4" t="s">
        <v>37730</v>
      </c>
      <c r="B29963" s="4" t="s">
        <v>37734</v>
      </c>
      <c r="C29963" s="5" t="str">
        <f>IFERROR(__xludf.DUMMYFUNCTION("GOOGLETRANSLATE(B29963,""en"",""fr"")"),"Un pot de soupe bouillonne.")</f>
        <v>Un pot de soupe bouillonne.</v>
      </c>
    </row>
    <row r="29964">
      <c r="A29964" s="4" t="s">
        <v>37730</v>
      </c>
      <c r="B29964" s="4" t="s">
        <v>37735</v>
      </c>
      <c r="C29964" s="5" t="str">
        <f>IFERROR(__xludf.DUMMYFUNCTION("GOOGLETRANSLATE(B29964,""en"",""fr"")"),"Les ingrédients sont assis à côté du creux et sont utilisés pour préparer la nourriture.")</f>
        <v>Les ingrédients sont assis à côté du creux et sont utilisés pour préparer la nourriture.</v>
      </c>
    </row>
    <row r="29965">
      <c r="A29965" s="4" t="s">
        <v>37730</v>
      </c>
      <c r="B29965" s="4" t="s">
        <v>37736</v>
      </c>
      <c r="C29965" s="5" t="str">
        <f>IFERROR(__xludf.DUMMYFUNCTION("GOOGLETRANSLATE(B29965,""en"",""fr"")"),"Un bol de légumes en tranches a les ingrédients des casseroles ajoutés.")</f>
        <v>Un bol de légumes en tranches a les ingrédients des casseroles ajoutés.</v>
      </c>
    </row>
    <row r="29966">
      <c r="A29966" s="4" t="s">
        <v>37730</v>
      </c>
      <c r="B29966" s="4" t="s">
        <v>37737</v>
      </c>
      <c r="C29966" s="5" t="str">
        <f>IFERROR(__xludf.DUMMYFUNCTION("GOOGLETRANSLATE(B29966,""en"",""fr"")"),"Un bol de collanture de pâtes est ajouté dans un bol et secoué.")</f>
        <v>Un bol de collanture de pâtes est ajouté dans un bol et secoué.</v>
      </c>
    </row>
    <row r="29967">
      <c r="A29967" s="4" t="s">
        <v>37730</v>
      </c>
      <c r="B29967" s="4" t="s">
        <v>37738</v>
      </c>
      <c r="C29967" s="5" t="str">
        <f>IFERROR(__xludf.DUMMYFUNCTION("GOOGLETRANSLATE(B29967,""en"",""fr"")"),"Un sac de fromage est tenu.")</f>
        <v>Un sac de fromage est tenu.</v>
      </c>
    </row>
    <row r="29968">
      <c r="A29968" s="4" t="s">
        <v>37730</v>
      </c>
      <c r="B29968" s="4" t="s">
        <v>37739</v>
      </c>
      <c r="C29968" s="5" t="str">
        <f>IFERROR(__xludf.DUMMYFUNCTION("GOOGLETRANSLATE(B29968,""en"",""fr"")"),"L'homme parle près de la caméra.")</f>
        <v>L'homme parle près de la caméra.</v>
      </c>
    </row>
    <row r="29969">
      <c r="A29969" s="4" t="s">
        <v>37740</v>
      </c>
      <c r="B29969" s="4" t="s">
        <v>37741</v>
      </c>
      <c r="C29969" s="5" t="str">
        <f>IFERROR(__xludf.DUMMYFUNCTION("GOOGLETRANSLATE(B29969,""en"",""fr"")"),"Une femme parle dans un bureau.")</f>
        <v>Une femme parle dans un bureau.</v>
      </c>
    </row>
    <row r="29970">
      <c r="A29970" s="4" t="s">
        <v>37740</v>
      </c>
      <c r="B29970" s="4" t="s">
        <v>37742</v>
      </c>
      <c r="C29970" s="5" t="str">
        <f>IFERROR(__xludf.DUMMYFUNCTION("GOOGLETRANSLATE(B29970,""en"",""fr"")"),"La femme explique comment elle se recroqueville les cheveux.")</f>
        <v>La femme explique comment elle se recroqueville les cheveux.</v>
      </c>
    </row>
    <row r="29971">
      <c r="A29971" s="4" t="s">
        <v>37743</v>
      </c>
      <c r="B29971" s="6" t="s">
        <v>37744</v>
      </c>
      <c r="C29971" s="5" t="str">
        <f>IFERROR(__xludf.DUMMYFUNCTION("GOOGLETRANSLATE(B29971,""en"",""fr"")"),"Un grand groupe de personnes est vue debout et assis autour d'une fosse de sable tandis qu'un coureur saute à l'intérieur.")</f>
        <v>Un grand groupe de personnes est vue debout et assis autour d'une fosse de sable tandis qu'un coureur saute à l'intérieur.</v>
      </c>
    </row>
    <row r="29972">
      <c r="A29972" s="4" t="s">
        <v>37743</v>
      </c>
      <c r="B29972" s="6" t="s">
        <v>37745</v>
      </c>
      <c r="C29972" s="5" t="str">
        <f>IFERROR(__xludf.DUMMYFUNCTION("GOOGLETRANSLATE(B29972,""en"",""fr"")"),"L'homme est montré à plusieurs reprises en sautant avec des gens mesurant son saut par la suite et ratissant le sable.")</f>
        <v>L'homme est montré à plusieurs reprises en sautant avec des gens mesurant son saut par la suite et ratissant le sable.</v>
      </c>
    </row>
    <row r="29973">
      <c r="A29973" s="4" t="s">
        <v>37746</v>
      </c>
      <c r="B29973" s="4" t="s">
        <v>37747</v>
      </c>
      <c r="C29973" s="5" t="str">
        <f>IFERROR(__xludf.DUMMYFUNCTION("GOOGLETRANSLATE(B29973,""en"",""fr"")"),"Deux pom-pom girls font de l'exercice dans un gymnase en parlant.")</f>
        <v>Deux pom-pom girls font de l'exercice dans un gymnase en parlant.</v>
      </c>
    </row>
    <row r="29974">
      <c r="A29974" s="4" t="s">
        <v>37746</v>
      </c>
      <c r="B29974" s="4" t="s">
        <v>37748</v>
      </c>
      <c r="C29974" s="5" t="str">
        <f>IFERROR(__xludf.DUMMYFUNCTION("GOOGLETRANSLATE(B29974,""en"",""fr"")"),"Une pom-pom girl est dans une pièce puis soulève du poids, tandis que l'autre parle sur son téléphone.")</f>
        <v>Une pom-pom girl est dans une pièce puis soulève du poids, tandis que l'autre parle sur son téléphone.</v>
      </c>
    </row>
    <row r="29975">
      <c r="A29975" s="4" t="s">
        <v>37746</v>
      </c>
      <c r="B29975" s="4" t="s">
        <v>37749</v>
      </c>
      <c r="C29975" s="5" t="str">
        <f>IFERROR(__xludf.DUMMYFUNCTION("GOOGLETRANSLATE(B29975,""en"",""fr"")"),"Après, les pom-pom girls parlent et font de l'exercice.")</f>
        <v>Après, les pom-pom girls parlent et font de l'exercice.</v>
      </c>
    </row>
    <row r="29976">
      <c r="A29976" s="4" t="s">
        <v>37746</v>
      </c>
      <c r="B29976" s="4" t="s">
        <v>37750</v>
      </c>
      <c r="C29976" s="5" t="str">
        <f>IFERROR(__xludf.DUMMYFUNCTION("GOOGLETRANSLATE(B29976,""en"",""fr"")"),"Après, les pom-pom girls font de l'exercice et parlent également.")</f>
        <v>Après, les pom-pom girls font de l'exercice et parlent également.</v>
      </c>
    </row>
    <row r="29977">
      <c r="A29977" s="4" t="s">
        <v>37751</v>
      </c>
      <c r="B29977" s="4" t="s">
        <v>37752</v>
      </c>
      <c r="C29977" s="5" t="str">
        <f>IFERROR(__xludf.DUMMYFUNCTION("GOOGLETRANSLATE(B29977,""en"",""fr"")"),"Une femme est sur un terrain concrète à l'extérieur.")</f>
        <v>Une femme est sur un terrain concrète à l'extérieur.</v>
      </c>
    </row>
    <row r="29978">
      <c r="A29978" s="4" t="s">
        <v>37751</v>
      </c>
      <c r="B29978" s="4" t="s">
        <v>37753</v>
      </c>
      <c r="C29978" s="5" t="str">
        <f>IFERROR(__xludf.DUMMYFUNCTION("GOOGLETRANSLATE(B29978,""en"",""fr"")"),"Elle saute à travers un jeu de marelle dessiné à la craie.")</f>
        <v>Elle saute à travers un jeu de marelle dessiné à la craie.</v>
      </c>
    </row>
    <row r="29979">
      <c r="A29979" s="4" t="s">
        <v>37751</v>
      </c>
      <c r="B29979" s="4" t="s">
        <v>37754</v>
      </c>
      <c r="C29979" s="5" t="str">
        <f>IFERROR(__xludf.DUMMYFUNCTION("GOOGLETRANSLATE(B29979,""en"",""fr"")"),"Elle va deux fois sur le puzzle deux fois.")</f>
        <v>Elle va deux fois sur le puzzle deux fois.</v>
      </c>
    </row>
    <row r="29980">
      <c r="A29980" s="4" t="s">
        <v>37755</v>
      </c>
      <c r="B29980" s="4" t="s">
        <v>37756</v>
      </c>
      <c r="C29980" s="5" t="str">
        <f>IFERROR(__xludf.DUMMYFUNCTION("GOOGLETRANSLATE(B29980,""en"",""fr"")"),"Deux chiens portant des vêtements courent ensemble dans les escaliers.")</f>
        <v>Deux chiens portant des vêtements courent ensemble dans les escaliers.</v>
      </c>
    </row>
    <row r="29981">
      <c r="A29981" s="4" t="s">
        <v>37755</v>
      </c>
      <c r="B29981" s="6" t="s">
        <v>37757</v>
      </c>
      <c r="C29981" s="5" t="str">
        <f>IFERROR(__xludf.DUMMYFUNCTION("GOOGLETRANSLATE(B29981,""en"",""fr"")"),"Les deux chiens sont montrés ensemble au milieu de la foule dans plusieurs endroits différents tout en suivant un homme.")</f>
        <v>Les deux chiens sont montrés ensemble au milieu de la foule dans plusieurs endroits différents tout en suivant un homme.</v>
      </c>
    </row>
    <row r="29982">
      <c r="A29982" s="4" t="s">
        <v>37755</v>
      </c>
      <c r="B29982" s="4" t="s">
        <v>37758</v>
      </c>
      <c r="C29982" s="5" t="str">
        <f>IFERROR(__xludf.DUMMYFUNCTION("GOOGLETRANSLATE(B29982,""en"",""fr"")"),"L'homme enseigne un chien à en tirer un autre par la laisse.")</f>
        <v>L'homme enseigne un chien à en tirer un autre par la laisse.</v>
      </c>
    </row>
    <row r="29983">
      <c r="A29983" s="4" t="s">
        <v>37759</v>
      </c>
      <c r="B29983" s="4" t="s">
        <v>37760</v>
      </c>
      <c r="C29983" s="5" t="str">
        <f>IFERROR(__xludf.DUMMYFUNCTION("GOOGLETRANSLATE(B29983,""en"",""fr"")"),"Une dame en costume parle dans une salle blanche.")</f>
        <v>Une dame en costume parle dans une salle blanche.</v>
      </c>
    </row>
    <row r="29984">
      <c r="A29984" s="4" t="s">
        <v>37759</v>
      </c>
      <c r="B29984" s="4" t="s">
        <v>37761</v>
      </c>
      <c r="C29984" s="5" t="str">
        <f>IFERROR(__xludf.DUMMYFUNCTION("GOOGLETRANSLATE(B29984,""en"",""fr"")"),"Nous voyons un homme laver une voiture avec une serviette.")</f>
        <v>Nous voyons un homme laver une voiture avec une serviette.</v>
      </c>
    </row>
    <row r="29985">
      <c r="A29985" s="4" t="s">
        <v>37759</v>
      </c>
      <c r="B29985" s="4" t="s">
        <v>37762</v>
      </c>
      <c r="C29985" s="5" t="str">
        <f>IFERROR(__xludf.DUMMYFUNCTION("GOOGLETRANSLATE(B29985,""en"",""fr"")"),"Nous voyons que la voiture est rincée avec une laveuse de pression et la roue est essuyée.")</f>
        <v>Nous voyons que la voiture est rincée avec une laveuse de pression et la roue est essuyée.</v>
      </c>
    </row>
    <row r="29986">
      <c r="A29986" s="4" t="s">
        <v>37759</v>
      </c>
      <c r="B29986" s="4" t="s">
        <v>37763</v>
      </c>
      <c r="C29986" s="5" t="str">
        <f>IFERROR(__xludf.DUMMYFUNCTION("GOOGLETRANSLATE(B29986,""en"",""fr"")"),"L'emblème apparaît sur l'écran alors que la mousse glisse dans une voiture.")</f>
        <v>L'emblème apparaît sur l'écran alors que la mousse glisse dans une voiture.</v>
      </c>
    </row>
    <row r="29987">
      <c r="A29987" s="4" t="s">
        <v>37764</v>
      </c>
      <c r="B29987" s="6" t="s">
        <v>37765</v>
      </c>
      <c r="C29987" s="5" t="str">
        <f>IFERROR(__xludf.DUMMYFUNCTION("GOOGLETRANSLATE(B29987,""en"",""fr"")"),"Un homme se tient dans une pièce avec trois murs et un mur de verre derrière lui frappant une balle avec une raquette.")</f>
        <v>Un homme se tient dans une pièce avec trois murs et un mur de verre derrière lui frappant une balle avec une raquette.</v>
      </c>
    </row>
    <row r="29988">
      <c r="A29988" s="4" t="s">
        <v>37764</v>
      </c>
      <c r="B29988" s="4" t="s">
        <v>37766</v>
      </c>
      <c r="C29988" s="5" t="str">
        <f>IFERROR(__xludf.DUMMYFUNCTION("GOOGLETRANSLATE(B29988,""en"",""fr"")"),"Une série de mots est ensuite affichée ainsi qu'une vidéo YouTube.")</f>
        <v>Une série de mots est ensuite affichée ainsi qu'une vidéo YouTube.</v>
      </c>
    </row>
    <row r="29989">
      <c r="A29989" s="4" t="s">
        <v>37764</v>
      </c>
      <c r="B29989" s="4" t="s">
        <v>37767</v>
      </c>
      <c r="C29989" s="5" t="str">
        <f>IFERROR(__xludf.DUMMYFUNCTION("GOOGLETRANSLATE(B29989,""en"",""fr"")"),"L'écran suivant arrive avec une grande montgolfière et des voitures animées.")</f>
        <v>L'écran suivant arrive avec une grande montgolfière et des voitures animées.</v>
      </c>
    </row>
    <row r="29990">
      <c r="A29990" s="4" t="s">
        <v>37768</v>
      </c>
      <c r="B29990" s="4" t="s">
        <v>37769</v>
      </c>
      <c r="C29990" s="5" t="str">
        <f>IFERROR(__xludf.DUMMYFUNCTION("GOOGLETRANSLATE(B29990,""en"",""fr"")"),"Un objet flou est montré et le texte blanc apparaît qui lit ""Fun Shoe Shine"".")</f>
        <v>Un objet flou est montré et le texte blanc apparaît qui lit "Fun Shoe Shine".</v>
      </c>
    </row>
    <row r="29991">
      <c r="A29991" s="4" t="s">
        <v>37768</v>
      </c>
      <c r="B29991" s="6" t="s">
        <v>37770</v>
      </c>
      <c r="C29991" s="5" t="str">
        <f>IFERROR(__xludf.DUMMYFUNCTION("GOOGLETRANSLATE(B29991,""en"",""fr"")"),"À mesure que l'image devient plus claire, il y a une petite boîte d'argent avec une vis sur le couvercle et l'écriture sur le ""Dr Martens Airwair"" de Can Say.")</f>
        <v>À mesure que l'image devient plus claire, il y a une petite boîte d'argent avec une vis sur le couvercle et l'écriture sur le "Dr Martens Airwair" de Can Say.</v>
      </c>
    </row>
    <row r="29992">
      <c r="A29992" s="4" t="s">
        <v>37768</v>
      </c>
      <c r="B29992" s="6" t="s">
        <v>37771</v>
      </c>
      <c r="C29992" s="5" t="str">
        <f>IFERROR(__xludf.DUMMYFUNCTION("GOOGLETRANSLATE(B29992,""en"",""fr"")"),"Une paire de bottes noires brillantes est debout et leurs lacets noirs sont attachés et le texte ""après"" apparaît sur la zone avant gauche de la botte.")</f>
        <v>Une paire de bottes noires brillantes est debout et leurs lacets noirs sont attachés et le texte "après" apparaît sur la zone avant gauche de la botte.</v>
      </c>
    </row>
    <row r="29993">
      <c r="A29993" s="4" t="s">
        <v>37768</v>
      </c>
      <c r="B29993" s="4" t="s">
        <v>37772</v>
      </c>
      <c r="C29993" s="5" t="str">
        <f>IFERROR(__xludf.DUMMYFUNCTION("GOOGLETRANSLATE(B29993,""en"",""fr"")"),"Quelques angles des bottes sont représentés et divers mots apparaissent devant eux.")</f>
        <v>Quelques angles des bottes sont représentés et divers mots apparaissent devant eux.</v>
      </c>
    </row>
    <row r="29994">
      <c r="A29994" s="4" t="s">
        <v>37768</v>
      </c>
      <c r="B29994" s="4" t="s">
        <v>37773</v>
      </c>
      <c r="C29994" s="5" t="str">
        <f>IFERROR(__xludf.DUMMYFUNCTION("GOOGLETRANSLATE(B29994,""en"",""fr"")"),"Une personne est ensuite vue en essuyant la botte avec un chiffon et plus de textes apparaissent.")</f>
        <v>Une personne est ensuite vue en essuyant la botte avec un chiffon et plus de textes apparaissent.</v>
      </c>
    </row>
    <row r="29995">
      <c r="A29995" s="4" t="s">
        <v>37768</v>
      </c>
      <c r="B29995" s="6" t="s">
        <v>37774</v>
      </c>
      <c r="C29995" s="5" t="str">
        <f>IFERROR(__xludf.DUMMYFUNCTION("GOOGLETRANSLATE(B29995,""en"",""fr"")"),"Un gros plan de la canette argentée ouverte par une main affiche le contenu et comment utiliser le contenu sur un démarrage.")</f>
        <v>Un gros plan de la canette argentée ouverte par une main affiche le contenu et comment utiliser le contenu sur un démarrage.</v>
      </c>
    </row>
    <row r="29996">
      <c r="A29996" s="4" t="s">
        <v>37768</v>
      </c>
      <c r="B29996" s="4" t="s">
        <v>37775</v>
      </c>
      <c r="C29996" s="5" t="str">
        <f>IFERROR(__xludf.DUMMYFUNCTION("GOOGLETRANSLATE(B29996,""en"",""fr"")"),"La boîte est ensuite à nouveau serrée et les textes ""à la prochaine fois"" met fin à la vidéo.")</f>
        <v>La boîte est ensuite à nouveau serrée et les textes "à la prochaine fois" met fin à la vidéo.</v>
      </c>
    </row>
    <row r="29997">
      <c r="A29997" s="4" t="s">
        <v>37768</v>
      </c>
      <c r="B29997" s="4" t="s">
        <v>37776</v>
      </c>
      <c r="C29997" s="5" t="str">
        <f>IFERROR(__xludf.DUMMYFUNCTION("GOOGLETRANSLATE(B29997,""en"",""fr"")"),"Des textes pop-up se produisent tout au long du temps.")</f>
        <v>Des textes pop-up se produisent tout au long du temps.</v>
      </c>
    </row>
    <row r="29998">
      <c r="A29998" s="4" t="s">
        <v>37777</v>
      </c>
      <c r="B29998" s="4" t="s">
        <v>37778</v>
      </c>
      <c r="C29998" s="5" t="str">
        <f>IFERROR(__xludf.DUMMYFUNCTION("GOOGLETRANSLATE(B29998,""en"",""fr"")"),"Une personne fait du vélo sur une piste de terre.")</f>
        <v>Une personne fait du vélo sur une piste de terre.</v>
      </c>
    </row>
    <row r="29999">
      <c r="A29999" s="4" t="s">
        <v>37777</v>
      </c>
      <c r="B29999" s="4" t="s">
        <v>37779</v>
      </c>
      <c r="C29999" s="5" t="str">
        <f>IFERROR(__xludf.DUMMYFUNCTION("GOOGLETRANSLATE(B29999,""en"",""fr"")"),"Un petit garçon portant du rouge conduit un petit vélo sur la piste.")</f>
        <v>Un petit garçon portant du rouge conduit un petit vélo sur la piste.</v>
      </c>
    </row>
    <row r="30000">
      <c r="A30000" s="4" t="s">
        <v>37777</v>
      </c>
      <c r="B30000" s="4" t="s">
        <v>37780</v>
      </c>
      <c r="C30000" s="5" t="str">
        <f>IFERROR(__xludf.DUMMYFUNCTION("GOOGLETRANSLATE(B30000,""en"",""fr"")"),"Une personne tombe à la fin.")</f>
        <v>Une personne tombe à la fin.</v>
      </c>
    </row>
    <row r="30001">
      <c r="A30001" s="4" t="s">
        <v>37781</v>
      </c>
      <c r="B30001" s="4" t="s">
        <v>37782</v>
      </c>
      <c r="C30001" s="5" t="str">
        <f>IFERROR(__xludf.DUMMYFUNCTION("GOOGLETRANSLATE(B30001,""en"",""fr"")"),"La nourriture grésillant dans l'huile chaude dans une poêle noire sur le poêle, une longue cuillère à tige est assise dans la poêle.")</f>
        <v>La nourriture grésillant dans l'huile chaude dans une poêle noire sur le poêle, une longue cuillère à tige est assise dans la poêle.</v>
      </c>
    </row>
    <row r="30002">
      <c r="A30002" s="4" t="s">
        <v>37781</v>
      </c>
      <c r="B30002" s="4" t="s">
        <v>37783</v>
      </c>
      <c r="C30002" s="5" t="str">
        <f>IFERROR(__xludf.DUMMYFUNCTION("GOOGLETRANSLATE(B30002,""en"",""fr"")"),"Les oignons sont ajoutés à la poêle.")</f>
        <v>Les oignons sont ajoutés à la poêle.</v>
      </c>
    </row>
    <row r="30003">
      <c r="A30003" s="4" t="s">
        <v>37781</v>
      </c>
      <c r="B30003" s="4" t="s">
        <v>37784</v>
      </c>
      <c r="C30003" s="5" t="str">
        <f>IFERROR(__xludf.DUMMYFUNCTION("GOOGLETRANSLATE(B30003,""en"",""fr"")"),"La poêle est remuée et la cuillère retirée.")</f>
        <v>La poêle est remuée et la cuillère retirée.</v>
      </c>
    </row>
    <row r="30004">
      <c r="A30004" s="4" t="s">
        <v>37781</v>
      </c>
      <c r="B30004" s="4" t="s">
        <v>37785</v>
      </c>
      <c r="C30004" s="5" t="str">
        <f>IFERROR(__xludf.DUMMYFUNCTION("GOOGLETRANSLATE(B30004,""en"",""fr"")"),"Le sel est ajouté et agité.")</f>
        <v>Le sel est ajouté et agité.</v>
      </c>
    </row>
    <row r="30005">
      <c r="A30005" s="4" t="s">
        <v>37781</v>
      </c>
      <c r="B30005" s="4" t="s">
        <v>37786</v>
      </c>
      <c r="C30005" s="5" t="str">
        <f>IFERROR(__xludf.DUMMYFUNCTION("GOOGLETRANSLATE(B30005,""en"",""fr"")"),"La poêle grésille doucement alors que le mélange cuit.")</f>
        <v>La poêle grésille doucement alors que le mélange cuit.</v>
      </c>
    </row>
    <row r="30006">
      <c r="A30006" s="4" t="s">
        <v>37781</v>
      </c>
      <c r="B30006" s="4" t="s">
        <v>37787</v>
      </c>
      <c r="C30006" s="5" t="str">
        <f>IFERROR(__xludf.DUMMYFUNCTION("GOOGLETRANSLATE(B30006,""en"",""fr"")"),"Des épices sont ajoutées à la poêle.")</f>
        <v>Des épices sont ajoutées à la poêle.</v>
      </c>
    </row>
    <row r="30007">
      <c r="A30007" s="4" t="s">
        <v>37781</v>
      </c>
      <c r="B30007" s="6" t="s">
        <v>37788</v>
      </c>
      <c r="C30007" s="5" t="str">
        <f>IFERROR(__xludf.DUMMYFUNCTION("GOOGLETRANSLATE(B30007,""en"",""fr"")"),"La flamme est visible car la poêle grésille plus vigoureusement, la poêle est remuée et la nourriture est brunissante.")</f>
        <v>La flamme est visible car la poêle grésille plus vigoureusement, la poêle est remuée et la nourriture est brunissante.</v>
      </c>
    </row>
    <row r="30008">
      <c r="A30008" s="4" t="s">
        <v>37781</v>
      </c>
      <c r="B30008" s="4" t="s">
        <v>37789</v>
      </c>
      <c r="C30008" s="5" t="str">
        <f>IFERROR(__xludf.DUMMYFUNCTION("GOOGLETRANSLATE(B30008,""en"",""fr"")"),"4 œufs sont brisés dans la poêle.")</f>
        <v>4 œufs sont brisés dans la poêle.</v>
      </c>
    </row>
    <row r="30009">
      <c r="A30009" s="4" t="s">
        <v>37781</v>
      </c>
      <c r="B30009" s="4" t="s">
        <v>37790</v>
      </c>
      <c r="C30009" s="5" t="str">
        <f>IFERROR(__xludf.DUMMYFUNCTION("GOOGLETRANSLATE(B30009,""en"",""fr"")"),"Le mélange est remué et laissé pour cuire.")</f>
        <v>Le mélange est remué et laissé pour cuire.</v>
      </c>
    </row>
    <row r="30010">
      <c r="A30010" s="4" t="s">
        <v>37781</v>
      </c>
      <c r="B30010" s="4" t="s">
        <v>37791</v>
      </c>
      <c r="C30010" s="5" t="str">
        <f>IFERROR(__xludf.DUMMYFUNCTION("GOOGLETRANSLATE(B30010,""en"",""fr"")"),"Les pâtes sont versées et remuées dans le mélange d'un tamis.")</f>
        <v>Les pâtes sont versées et remuées dans le mélange d'un tamis.</v>
      </c>
    </row>
    <row r="30011">
      <c r="A30011" s="4" t="s">
        <v>37781</v>
      </c>
      <c r="B30011" s="4" t="s">
        <v>37792</v>
      </c>
      <c r="C30011" s="5" t="str">
        <f>IFERROR(__xludf.DUMMYFUNCTION("GOOGLETRANSLATE(B30011,""en"",""fr"")"),"Il est laissé à cuisiner davantage.")</f>
        <v>Il est laissé à cuisiner davantage.</v>
      </c>
    </row>
    <row r="30012">
      <c r="A30012" s="4" t="s">
        <v>37781</v>
      </c>
      <c r="B30012" s="4" t="s">
        <v>37793</v>
      </c>
      <c r="C30012" s="5" t="str">
        <f>IFERROR(__xludf.DUMMYFUNCTION("GOOGLETRANSLATE(B30012,""en"",""fr"")"),"Il est maintenant plaqué et les herbes fraîches sont saupoudrées sur le dessus.")</f>
        <v>Il est maintenant plaqué et les herbes fraîches sont saupoudrées sur le dessus.</v>
      </c>
    </row>
    <row r="30013">
      <c r="A30013" s="4" t="s">
        <v>37794</v>
      </c>
      <c r="B30013" s="4" t="s">
        <v>37795</v>
      </c>
      <c r="C30013" s="5" t="str">
        <f>IFERROR(__xludf.DUMMYFUNCTION("GOOGLETRANSLATE(B30013,""en"",""fr"")"),"Un homme est vu se promener dans une zone pointant vers lui et parler à la caméra.")</f>
        <v>Un homme est vu se promener dans une zone pointant vers lui et parler à la caméra.</v>
      </c>
    </row>
    <row r="30014">
      <c r="A30014" s="4" t="s">
        <v>37794</v>
      </c>
      <c r="B30014" s="4" t="s">
        <v>37796</v>
      </c>
      <c r="C30014" s="5" t="str">
        <f>IFERROR(__xludf.DUMMYFUNCTION("GOOGLETRANSLATE(B30014,""en"",""fr"")"),"L'homme commence alors à effectuer divers mouvements d'arts martiaux et à se diriger vers la caméra.")</f>
        <v>L'homme commence alors à effectuer divers mouvements d'arts martiaux et à se diriger vers la caméra.</v>
      </c>
    </row>
    <row r="30015">
      <c r="A30015" s="4" t="s">
        <v>37794</v>
      </c>
      <c r="B30015" s="4" t="s">
        <v>37797</v>
      </c>
      <c r="C30015" s="5" t="str">
        <f>IFERROR(__xludf.DUMMYFUNCTION("GOOGLETRANSLATE(B30015,""en"",""fr"")"),"L'homme continue de se déplacer pendant que la caméra capture ses mouvements.")</f>
        <v>L'homme continue de se déplacer pendant que la caméra capture ses mouvements.</v>
      </c>
    </row>
    <row r="30016">
      <c r="A30016" s="4" t="s">
        <v>37798</v>
      </c>
      <c r="B30016" s="4" t="s">
        <v>37799</v>
      </c>
      <c r="C30016" s="5" t="str">
        <f>IFERROR(__xludf.DUMMYFUNCTION("GOOGLETRANSLATE(B30016,""en"",""fr"")"),"Un gymnaste s'incline avant de se diriger vers le faisceau.")</f>
        <v>Un gymnaste s'incline avant de se diriger vers le faisceau.</v>
      </c>
    </row>
    <row r="30017">
      <c r="A30017" s="4" t="s">
        <v>37798</v>
      </c>
      <c r="B30017" s="4" t="s">
        <v>37800</v>
      </c>
      <c r="C30017" s="5" t="str">
        <f>IFERROR(__xludf.DUMMYFUNCTION("GOOGLETRANSLATE(B30017,""en"",""fr"")"),"Il monte la poutre et commence à jouer.")</f>
        <v>Il monte la poutre et commence à jouer.</v>
      </c>
    </row>
    <row r="30018">
      <c r="A30018" s="4" t="s">
        <v>37798</v>
      </c>
      <c r="B30018" s="4" t="s">
        <v>37801</v>
      </c>
      <c r="C30018" s="5" t="str">
        <f>IFERROR(__xludf.DUMMYFUNCTION("GOOGLETRANSLATE(B30018,""en"",""fr"")"),"Il tourne plusieurs fois autour du faisceau.")</f>
        <v>Il tourne plusieurs fois autour du faisceau.</v>
      </c>
    </row>
    <row r="30019">
      <c r="A30019" s="4" t="s">
        <v>37798</v>
      </c>
      <c r="B30019" s="4" t="s">
        <v>37802</v>
      </c>
      <c r="C30019" s="5" t="str">
        <f>IFERROR(__xludf.DUMMYFUNCTION("GOOGLETRANSLATE(B30019,""en"",""fr"")"),"Il saute du faisceau dans une finale.")</f>
        <v>Il saute du faisceau dans une finale.</v>
      </c>
    </row>
    <row r="30020">
      <c r="A30020" s="4" t="s">
        <v>37803</v>
      </c>
      <c r="B30020" s="4" t="s">
        <v>37804</v>
      </c>
      <c r="C30020" s="5" t="str">
        <f>IFERROR(__xludf.DUMMYFUNCTION("GOOGLETRANSLATE(B30020,""en"",""fr"")"),"Un groupe d'hommes déguisés en redcoats marche sur une scène.")</f>
        <v>Un groupe d'hommes déguisés en redcoats marche sur une scène.</v>
      </c>
    </row>
    <row r="30021">
      <c r="A30021" s="4" t="s">
        <v>37803</v>
      </c>
      <c r="B30021" s="6" t="s">
        <v>37805</v>
      </c>
      <c r="C30021" s="5" t="str">
        <f>IFERROR(__xludf.DUMMYFUNCTION("GOOGLETRANSLATE(B30021,""en"",""fr"")"),"Nous voyons ensuite une femme tenant un drapeau au centre et de nombreuses femmes à ses côtés alors qu'elles sautent sur un saut massif.")</f>
        <v>Nous voyons ensuite une femme tenant un drapeau au centre et de nombreuses femmes à ses côtés alors qu'elles sautent sur un saut massif.</v>
      </c>
    </row>
    <row r="30022">
      <c r="A30022" s="4" t="s">
        <v>37803</v>
      </c>
      <c r="B30022" s="6" t="s">
        <v>37806</v>
      </c>
      <c r="C30022" s="5" t="str">
        <f>IFERROR(__xludf.DUMMYFUNCTION("GOOGLETRANSLATE(B30022,""en"",""fr"")"),"Ils effectuent de nombreux astuces de saut et de retournement avec les cordes, apportant plus de cordes toutes les quelques minutes.")</f>
        <v>Ils effectuent de nombreux astuces de saut et de retournement avec les cordes, apportant plus de cordes toutes les quelques minutes.</v>
      </c>
    </row>
    <row r="30023">
      <c r="A30023" s="4" t="s">
        <v>37803</v>
      </c>
      <c r="B30023" s="4" t="s">
        <v>37807</v>
      </c>
      <c r="C30023" s="5" t="str">
        <f>IFERROR(__xludf.DUMMYFUNCTION("GOOGLETRANSLATE(B30023,""en"",""fr"")"),"Quand ils terminent, ils gèlent dans une pose et l'écran devient noir.")</f>
        <v>Quand ils terminent, ils gèlent dans une pose et l'écran devient noir.</v>
      </c>
    </row>
    <row r="30024">
      <c r="A30024" s="4" t="s">
        <v>37808</v>
      </c>
      <c r="B30024" s="4" t="s">
        <v>37809</v>
      </c>
      <c r="C30024" s="5" t="str">
        <f>IFERROR(__xludf.DUMMYFUNCTION("GOOGLETRANSLATE(B30024,""en"",""fr"")"),"Une femme se brosse les dents.")</f>
        <v>Une femme se brosse les dents.</v>
      </c>
    </row>
    <row r="30025">
      <c r="A30025" s="4" t="s">
        <v>37808</v>
      </c>
      <c r="B30025" s="4" t="s">
        <v>37810</v>
      </c>
      <c r="C30025" s="5" t="str">
        <f>IFERROR(__xludf.DUMMYFUNCTION("GOOGLETRANSLATE(B30025,""en"",""fr"")"),"Une femme s'approche derrière elle.")</f>
        <v>Une femme s'approche derrière elle.</v>
      </c>
    </row>
    <row r="30026">
      <c r="A30026" s="4" t="s">
        <v>37808</v>
      </c>
      <c r="B30026" s="4" t="s">
        <v>37811</v>
      </c>
      <c r="C30026" s="5" t="str">
        <f>IFERROR(__xludf.DUMMYFUNCTION("GOOGLETRANSLATE(B30026,""en"",""fr"")"),"La femme cesse de se brosser les dents.")</f>
        <v>La femme cesse de se brosser les dents.</v>
      </c>
    </row>
    <row r="30027">
      <c r="A30027" s="4" t="s">
        <v>37808</v>
      </c>
      <c r="B30027" s="4" t="s">
        <v>37812</v>
      </c>
      <c r="C30027" s="5" t="str">
        <f>IFERROR(__xludf.DUMMYFUNCTION("GOOGLETRANSLATE(B30027,""en"",""fr"")"),"Une femme sourit vraiment grande.")</f>
        <v>Une femme sourit vraiment grande.</v>
      </c>
    </row>
    <row r="30028">
      <c r="A30028" s="4" t="s">
        <v>37813</v>
      </c>
      <c r="B30028" s="4" t="s">
        <v>37814</v>
      </c>
      <c r="C30028" s="5" t="str">
        <f>IFERROR(__xludf.DUMMYFUNCTION("GOOGLETRANSLATE(B30028,""en"",""fr"")"),"Une petite fille portant un arc brune se tient devant l'évier en se brossant les dents.")</f>
        <v>Une petite fille portant un arc brune se tient devant l'évier en se brossant les dents.</v>
      </c>
    </row>
    <row r="30029">
      <c r="A30029" s="4" t="s">
        <v>37813</v>
      </c>
      <c r="B30029" s="4" t="s">
        <v>37815</v>
      </c>
      <c r="C30029" s="5" t="str">
        <f>IFERROR(__xludf.DUMMYFUNCTION("GOOGLETRANSLATE(B30029,""en"",""fr"")"),"La petite fille allume ensuite l'eau et crache plusieurs fois dans l'évier.")</f>
        <v>La petite fille allume ensuite l'eau et crache plusieurs fois dans l'évier.</v>
      </c>
    </row>
    <row r="30030">
      <c r="A30030" s="4" t="s">
        <v>37813</v>
      </c>
      <c r="B30030" s="4" t="s">
        <v>37816</v>
      </c>
      <c r="C30030" s="5" t="str">
        <f>IFERROR(__xludf.DUMMYFUNCTION("GOOGLETRANSLATE(B30030,""en"",""fr"")"),"Enfin, elle pose le pinceau, rince sa bouche et la séche avec une serviette brune.")</f>
        <v>Enfin, elle pose le pinceau, rince sa bouche et la séche avec une serviette brune.</v>
      </c>
    </row>
    <row r="30031">
      <c r="A30031" s="4" t="s">
        <v>37817</v>
      </c>
      <c r="B30031" s="4" t="s">
        <v>37818</v>
      </c>
      <c r="C30031" s="5" t="str">
        <f>IFERROR(__xludf.DUMMYFUNCTION("GOOGLETRANSLATE(B30031,""en"",""fr"")"),"Un petit enfant est vu assis sur une diapositive et en regardant vers la caméra.")</f>
        <v>Un petit enfant est vu assis sur une diapositive et en regardant vers la caméra.</v>
      </c>
    </row>
    <row r="30032">
      <c r="A30032" s="4" t="s">
        <v>37817</v>
      </c>
      <c r="B30032" s="6" t="s">
        <v>37819</v>
      </c>
      <c r="C30032" s="5" t="str">
        <f>IFERROR(__xludf.DUMMYFUNCTION("GOOGLETRANSLATE(B30032,""en"",""fr"")"),"Le garçon se repousse alors en arrière sur la diapositive tout en se retournant à la fin et sautant.")</f>
        <v>Le garçon se repousse alors en arrière sur la diapositive tout en se retournant à la fin et sautant.</v>
      </c>
    </row>
    <row r="30033">
      <c r="A30033" s="4" t="s">
        <v>37820</v>
      </c>
      <c r="B30033" s="4" t="s">
        <v>37821</v>
      </c>
      <c r="C30033" s="5" t="str">
        <f>IFERROR(__xludf.DUMMYFUNCTION("GOOGLETRANSLATE(B30033,""en"",""fr"")"),"Une jeune fille est vue parler à la caméra et commence à jouer avec ses cheveux.")</f>
        <v>Une jeune fille est vue parler à la caméra et commence à jouer avec ses cheveux.</v>
      </c>
    </row>
    <row r="30034">
      <c r="A30034" s="4" t="s">
        <v>37820</v>
      </c>
      <c r="B30034" s="4" t="s">
        <v>37822</v>
      </c>
      <c r="C30034" s="5" t="str">
        <f>IFERROR(__xludf.DUMMYFUNCTION("GOOGLETRANSLATE(B30034,""en"",""fr"")"),"Elle la regorge et met un bandeau dans ses cheveux.")</f>
        <v>Elle la regorge et met un bandeau dans ses cheveux.</v>
      </c>
    </row>
    <row r="30035">
      <c r="A30035" s="4" t="s">
        <v>37820</v>
      </c>
      <c r="B30035" s="4" t="s">
        <v>37823</v>
      </c>
      <c r="C30035" s="5" t="str">
        <f>IFERROR(__xludf.DUMMYFUNCTION("GOOGLETRANSLATE(B30035,""en"",""fr"")"),"Elle met ensuite plus de faux cheveux ainsi que de se maquiller.")</f>
        <v>Elle met ensuite plus de faux cheveux ainsi que de se maquiller.</v>
      </c>
    </row>
    <row r="30036">
      <c r="A30036" s="4" t="s">
        <v>37820</v>
      </c>
      <c r="B30036" s="4" t="s">
        <v>37824</v>
      </c>
      <c r="C30036" s="5" t="str">
        <f>IFERROR(__xludf.DUMMYFUNCTION("GOOGLETRANSLATE(B30036,""en"",""fr"")"),"Elle pointe la caméra à la fin et sourit.")</f>
        <v>Elle pointe la caméra à la fin et sourit.</v>
      </c>
    </row>
    <row r="30037">
      <c r="A30037" s="4" t="s">
        <v>37825</v>
      </c>
      <c r="B30037" s="4" t="s">
        <v>37826</v>
      </c>
      <c r="C30037" s="5" t="str">
        <f>IFERROR(__xludf.DUMMYFUNCTION("GOOGLETRANSLATE(B30037,""en"",""fr"")"),"Une fille est assise dans un tube entouré d'un grand groupe de personnes assis également sur des tubes.")</f>
        <v>Une fille est assise dans un tube entouré d'un grand groupe de personnes assis également sur des tubes.</v>
      </c>
    </row>
    <row r="30038">
      <c r="A30038" s="4" t="s">
        <v>37825</v>
      </c>
      <c r="B30038" s="4" t="s">
        <v>37827</v>
      </c>
      <c r="C30038" s="5" t="str">
        <f>IFERROR(__xludf.DUMMYFUNCTION("GOOGLETRANSLATE(B30038,""en"",""fr"")"),"La caméra passe aux différentes personnes assises dans les tubes.")</f>
        <v>La caméra passe aux différentes personnes assises dans les tubes.</v>
      </c>
    </row>
    <row r="30039">
      <c r="A30039" s="4" t="s">
        <v>37825</v>
      </c>
      <c r="B30039" s="4" t="s">
        <v>37828</v>
      </c>
      <c r="C30039" s="5" t="str">
        <f>IFERROR(__xludf.DUMMYFUNCTION("GOOGLETRANSLATE(B30039,""en"",""fr"")"),"La fille saute de son tube et se retrouve à nager dans l'eau.")</f>
        <v>La fille saute de son tube et se retrouve à nager dans l'eau.</v>
      </c>
    </row>
    <row r="30040">
      <c r="A30040" s="4" t="s">
        <v>37829</v>
      </c>
      <c r="B30040" s="4" t="s">
        <v>37830</v>
      </c>
      <c r="C30040" s="5" t="str">
        <f>IFERROR(__xludf.DUMMYFUNCTION("GOOGLETRANSLATE(B30040,""en"",""fr"")"),"Une femme dans une chemise d'entraînement rouge parle des avantages d'un entraîneur croisé elliptique.")</f>
        <v>Une femme dans une chemise d'entraînement rouge parle des avantages d'un entraîneur croisé elliptique.</v>
      </c>
    </row>
    <row r="30041">
      <c r="A30041" s="4" t="s">
        <v>37829</v>
      </c>
      <c r="B30041" s="4" t="s">
        <v>37831</v>
      </c>
      <c r="C30041" s="5" t="str">
        <f>IFERROR(__xludf.DUMMYFUNCTION("GOOGLETRANSLATE(B30041,""en"",""fr"")"),"Une autre femme dans un débardeur rose montre l'utilisation de l'elliptique.")</f>
        <v>Une autre femme dans un débardeur rose montre l'utilisation de l'elliptique.</v>
      </c>
    </row>
    <row r="30042">
      <c r="A30042" s="4" t="s">
        <v>37829</v>
      </c>
      <c r="B30042" s="4" t="s">
        <v>37832</v>
      </c>
      <c r="C30042" s="5" t="str">
        <f>IFERROR(__xludf.DUMMYFUNCTION("GOOGLETRANSLATE(B30042,""en"",""fr"")"),"La femme en rouge continue d'expliquer l'utilisation de l'elliptique.")</f>
        <v>La femme en rouge continue d'expliquer l'utilisation de l'elliptique.</v>
      </c>
    </row>
    <row r="30043">
      <c r="A30043" s="4" t="s">
        <v>37829</v>
      </c>
      <c r="B30043" s="4" t="s">
        <v>37833</v>
      </c>
      <c r="C30043" s="5" t="str">
        <f>IFERROR(__xludf.DUMMYFUNCTION("GOOGLETRANSLATE(B30043,""en"",""fr"")"),"Ensuite, une démonstration de la façon dont les jambes doivent se déplacer sur l'elliptique est montrée.")</f>
        <v>Ensuite, une démonstration de la façon dont les jambes doivent se déplacer sur l'elliptique est montrée.</v>
      </c>
    </row>
    <row r="30044">
      <c r="A30044" s="4" t="s">
        <v>37829</v>
      </c>
      <c r="B30044" s="4" t="s">
        <v>37834</v>
      </c>
      <c r="C30044" s="5" t="str">
        <f>IFERROR(__xludf.DUMMYFUNCTION("GOOGLETRANSLATE(B30044,""en"",""fr"")"),"La femme en rouge explique en outre les avantages de l'entraînement avec un elliptique.")</f>
        <v>La femme en rouge explique en outre les avantages de l'entraînement avec un elliptique.</v>
      </c>
    </row>
    <row r="30045">
      <c r="A30045" s="4" t="s">
        <v>37829</v>
      </c>
      <c r="B30045" s="6" t="s">
        <v>37835</v>
      </c>
      <c r="C30045" s="5" t="str">
        <f>IFERROR(__xludf.DUMMYFUNCTION("GOOGLETRANSLATE(B30045,""en"",""fr"")"),"La femme sur la machine continue de montrer aux téléspectateurs la bonne façon d'exercer sur l'elliptique.")</f>
        <v>La femme sur la machine continue de montrer aux téléspectateurs la bonne façon d'exercer sur l'elliptique.</v>
      </c>
    </row>
    <row r="30046">
      <c r="A30046" s="4" t="s">
        <v>37829</v>
      </c>
      <c r="B30046" s="4" t="s">
        <v>37836</v>
      </c>
      <c r="C30046" s="5" t="str">
        <f>IFERROR(__xludf.DUMMYFUNCTION("GOOGLETRANSLATE(B30046,""en"",""fr"")"),"L'hôte conclut ensuite le tutoriel.")</f>
        <v>L'hôte conclut ensuite le tutoriel.</v>
      </c>
    </row>
    <row r="30047">
      <c r="A30047" s="4" t="s">
        <v>37837</v>
      </c>
      <c r="B30047" s="4" t="s">
        <v>37838</v>
      </c>
      <c r="C30047" s="5" t="str">
        <f>IFERROR(__xludf.DUMMYFUNCTION("GOOGLETRANSLATE(B30047,""en"",""fr"")"),"Plusieurs images d'individus différentes sont représentées le rafting en eau vive comme intro pour une vidéo.")</f>
        <v>Plusieurs images d'individus différentes sont représentées le rafting en eau vive comme intro pour une vidéo.</v>
      </c>
    </row>
    <row r="30048">
      <c r="A30048" s="4" t="s">
        <v>37837</v>
      </c>
      <c r="B30048" s="4" t="s">
        <v>37839</v>
      </c>
      <c r="C30048" s="5" t="str">
        <f>IFERROR(__xludf.DUMMYFUNCTION("GOOGLETRANSLATE(B30048,""en"",""fr"")"),"Les hommes arrivent ensuite dans un champ et retirent les radeaux avant que d'autres photos ne soient affichées.")</f>
        <v>Les hommes arrivent ensuite dans un champ et retirent les radeaux avant que d'autres photos ne soient affichées.</v>
      </c>
    </row>
    <row r="30049">
      <c r="A30049" s="4" t="s">
        <v>37837</v>
      </c>
      <c r="B30049" s="6" t="s">
        <v>37840</v>
      </c>
      <c r="C30049" s="5" t="str">
        <f>IFERROR(__xludf.DUMMYFUNCTION("GOOGLETRANSLATE(B30049,""en"",""fr"")"),"Les hommes se tiennent ensuite sur le terrain avec leurs pagaies et se mettent en fait dans le radeau démontrant la bonne façon de ramer.")</f>
        <v>Les hommes se tiennent ensuite sur le terrain avec leurs pagaies et se mettent en fait dans le radeau démontrant la bonne façon de ramer.</v>
      </c>
    </row>
    <row r="30050">
      <c r="A30050" s="4" t="s">
        <v>37837</v>
      </c>
      <c r="B30050" s="4" t="s">
        <v>37841</v>
      </c>
      <c r="C30050" s="5" t="str">
        <f>IFERROR(__xludf.DUMMYFUNCTION("GOOGLETRANSLATE(B30050,""en"",""fr"")"),"Enfin, ils sont dans l'eau et tous commencent à pagayer dans l'eau.")</f>
        <v>Enfin, ils sont dans l'eau et tous commencent à pagayer dans l'eau.</v>
      </c>
    </row>
    <row r="30051">
      <c r="A30051" s="4" t="s">
        <v>37837</v>
      </c>
      <c r="B30051" s="4" t="s">
        <v>37842</v>
      </c>
      <c r="C30051" s="5" t="str">
        <f>IFERROR(__xludf.DUMMYFUNCTION("GOOGLETRANSLATE(B30051,""en"",""fr"")"),"Plus de gens se joignent à eux et finissent par sortir de l'eau et retourner à la terre.")</f>
        <v>Plus de gens se joignent à eux et finissent par sortir de l'eau et retourner à la terre.</v>
      </c>
    </row>
    <row r="30052">
      <c r="A30052" s="4" t="s">
        <v>37843</v>
      </c>
      <c r="B30052" s="4" t="s">
        <v>37844</v>
      </c>
      <c r="C30052" s="5" t="str">
        <f>IFERROR(__xludf.DUMMYFUNCTION("GOOGLETRANSLATE(B30052,""en"",""fr"")"),"Un tutoriel vidéo est présenté d'une famille faisant de la vaisselle dans un camping.")</f>
        <v>Un tutoriel vidéo est présenté d'une famille faisant de la vaisselle dans un camping.</v>
      </c>
    </row>
    <row r="30053">
      <c r="A30053" s="4" t="s">
        <v>37843</v>
      </c>
      <c r="B30053" s="4" t="s">
        <v>37845</v>
      </c>
      <c r="C30053" s="5" t="str">
        <f>IFERROR(__xludf.DUMMYFUNCTION("GOOGLETRANSLATE(B30053,""en"",""fr"")"),"Tout est jeté dans deux seaux.")</f>
        <v>Tout est jeté dans deux seaux.</v>
      </c>
    </row>
    <row r="30054">
      <c r="A30054" s="4" t="s">
        <v>37843</v>
      </c>
      <c r="B30054" s="4" t="s">
        <v>37846</v>
      </c>
      <c r="C30054" s="5" t="str">
        <f>IFERROR(__xludf.DUMMYFUNCTION("GOOGLETRANSLATE(B30054,""en"",""fr"")"),"L'un avec du savon et l'autre pour rincer.")</f>
        <v>L'un avec du savon et l'autre pour rincer.</v>
      </c>
    </row>
    <row r="30055">
      <c r="A30055" s="4" t="s">
        <v>37847</v>
      </c>
      <c r="B30055" s="4" t="s">
        <v>37848</v>
      </c>
      <c r="C30055" s="5" t="str">
        <f>IFERROR(__xludf.DUMMYFUNCTION("GOOGLETRANSLATE(B30055,""en"",""fr"")"),"La femme jette un couteau à lancer sur la planche.")</f>
        <v>La femme jette un couteau à lancer sur la planche.</v>
      </c>
    </row>
    <row r="30056">
      <c r="A30056" s="4" t="s">
        <v>37847</v>
      </c>
      <c r="B30056" s="4" t="s">
        <v>37849</v>
      </c>
      <c r="C30056" s="5" t="str">
        <f>IFERROR(__xludf.DUMMYFUNCTION("GOOGLETRANSLATE(B30056,""en"",""fr"")"),"Trois hommes jettent des couteaux.")</f>
        <v>Trois hommes jettent des couteaux.</v>
      </c>
    </row>
    <row r="30057">
      <c r="A30057" s="4" t="s">
        <v>37847</v>
      </c>
      <c r="B30057" s="4" t="s">
        <v>37850</v>
      </c>
      <c r="C30057" s="5" t="str">
        <f>IFERROR(__xludf.DUMMYFUNCTION("GOOGLETRANSLATE(B30057,""en"",""fr"")"),"Les couteaux ont frappé une planche.")</f>
        <v>Les couteaux ont frappé une planche.</v>
      </c>
    </row>
    <row r="30058">
      <c r="A30058" s="4" t="s">
        <v>37847</v>
      </c>
      <c r="B30058" s="4" t="s">
        <v>37851</v>
      </c>
      <c r="C30058" s="5" t="str">
        <f>IFERROR(__xludf.DUMMYFUNCTION("GOOGLETRANSLATE(B30058,""en"",""fr"")"),"Deux hommes jettent des couteaux en arrière.")</f>
        <v>Deux hommes jettent des couteaux en arrière.</v>
      </c>
    </row>
    <row r="30059">
      <c r="A30059" s="4" t="s">
        <v>37847</v>
      </c>
      <c r="B30059" s="4" t="s">
        <v>37852</v>
      </c>
      <c r="C30059" s="5" t="str">
        <f>IFERROR(__xludf.DUMMYFUNCTION("GOOGLETRANSLATE(B30059,""en"",""fr"")"),"L'homme lance un couteau à lancer.")</f>
        <v>L'homme lance un couteau à lancer.</v>
      </c>
    </row>
    <row r="30060">
      <c r="A30060" s="4" t="s">
        <v>37847</v>
      </c>
      <c r="B30060" s="4" t="s">
        <v>37853</v>
      </c>
      <c r="C30060" s="5" t="str">
        <f>IFERROR(__xludf.DUMMYFUNCTION("GOOGLETRANSLATE(B30060,""en"",""fr"")"),"La femme lance un couteau à lancer.")</f>
        <v>La femme lance un couteau à lancer.</v>
      </c>
    </row>
    <row r="30061">
      <c r="A30061" s="4" t="s">
        <v>37847</v>
      </c>
      <c r="B30061" s="4" t="s">
        <v>37854</v>
      </c>
      <c r="C30061" s="5" t="str">
        <f>IFERROR(__xludf.DUMMYFUNCTION("GOOGLETRANSLATE(B30061,""en"",""fr"")"),"Un homme et une femme lancent des couteaux.")</f>
        <v>Un homme et une femme lancent des couteaux.</v>
      </c>
    </row>
    <row r="30062">
      <c r="A30062" s="4" t="s">
        <v>37847</v>
      </c>
      <c r="B30062" s="4" t="s">
        <v>37855</v>
      </c>
      <c r="C30062" s="5" t="str">
        <f>IFERROR(__xludf.DUMMYFUNCTION("GOOGLETRANSLATE(B30062,""en"",""fr"")"),"L'homme jette un couteau tout en allongeant.")</f>
        <v>L'homme jette un couteau tout en allongeant.</v>
      </c>
    </row>
    <row r="30063">
      <c r="A30063" s="4" t="s">
        <v>37847</v>
      </c>
      <c r="B30063" s="4" t="s">
        <v>37856</v>
      </c>
      <c r="C30063" s="5" t="str">
        <f>IFERROR(__xludf.DUMMYFUNCTION("GOOGLETRANSLATE(B30063,""en"",""fr"")"),"L'homme démontre des techniques aux étudiants.")</f>
        <v>L'homme démontre des techniques aux étudiants.</v>
      </c>
    </row>
    <row r="30064">
      <c r="A30064" s="4" t="s">
        <v>37847</v>
      </c>
      <c r="B30064" s="4" t="s">
        <v>37857</v>
      </c>
      <c r="C30064" s="5" t="str">
        <f>IFERROR(__xludf.DUMMYFUNCTION("GOOGLETRANSLATE(B30064,""en"",""fr"")"),"Les membres du dojo pratiquent les techniques.")</f>
        <v>Les membres du dojo pratiquent les techniques.</v>
      </c>
    </row>
    <row r="30065">
      <c r="A30065" s="4" t="s">
        <v>37847</v>
      </c>
      <c r="B30065" s="4" t="s">
        <v>37858</v>
      </c>
      <c r="C30065" s="5" t="str">
        <f>IFERROR(__xludf.DUMMYFUNCTION("GOOGLETRANSLATE(B30065,""en"",""fr"")"),"Les membres du Dojo s'inclinent devant l'homme.")</f>
        <v>Les membres du Dojo s'inclinent devant l'homme.</v>
      </c>
    </row>
    <row r="30066">
      <c r="A30066" s="4" t="s">
        <v>37859</v>
      </c>
      <c r="B30066" s="4" t="s">
        <v>37860</v>
      </c>
      <c r="C30066" s="5" t="str">
        <f>IFERROR(__xludf.DUMMYFUNCTION("GOOGLETRANSLATE(B30066,""en"",""fr"")"),"Un enfant marche par un motif de marelle.")</f>
        <v>Un enfant marche par un motif de marelle.</v>
      </c>
    </row>
    <row r="30067">
      <c r="A30067" s="4" t="s">
        <v>37859</v>
      </c>
      <c r="B30067" s="4" t="s">
        <v>37861</v>
      </c>
      <c r="C30067" s="5" t="str">
        <f>IFERROR(__xludf.DUMMYFUNCTION("GOOGLETRANSLATE(B30067,""en"",""fr"")"),"L'enfant met ses paumes sur le motif de la marelle.")</f>
        <v>L'enfant met ses paumes sur le motif de la marelle.</v>
      </c>
    </row>
    <row r="30068">
      <c r="A30068" s="4" t="s">
        <v>37859</v>
      </c>
      <c r="B30068" s="4" t="s">
        <v>37862</v>
      </c>
      <c r="C30068" s="5" t="str">
        <f>IFERROR(__xludf.DUMMYFUNCTION("GOOGLETRANSLATE(B30068,""en"",""fr"")"),"L'enfant saute sur le motif de la marelle.")</f>
        <v>L'enfant saute sur le motif de la marelle.</v>
      </c>
    </row>
    <row r="30069">
      <c r="A30069" s="4" t="s">
        <v>37863</v>
      </c>
      <c r="B30069" s="4" t="s">
        <v>37864</v>
      </c>
      <c r="C30069" s="5" t="str">
        <f>IFERROR(__xludf.DUMMYFUNCTION("GOOGLETRANSLATE(B30069,""en"",""fr"")"),"Une jeune femme se tient derrière un comptoir avec une poêle noire dessus.")</f>
        <v>Une jeune femme se tient derrière un comptoir avec une poêle noire dessus.</v>
      </c>
    </row>
    <row r="30070">
      <c r="A30070" s="4" t="s">
        <v>37863</v>
      </c>
      <c r="B30070" s="6" t="s">
        <v>37865</v>
      </c>
      <c r="C30070" s="5" t="str">
        <f>IFERROR(__xludf.DUMMYFUNCTION("GOOGLETRANSLATE(B30070,""en"",""fr"")"),"Dans ses mains, elle tient deux oignons, puis la vidéo la montre rapidement avec une tomate, un rutabaga et un sac de cheddar mature de la ville cathédrale.")</f>
        <v>Dans ses mains, elle tient deux oignons, puis la vidéo la montre rapidement avec une tomate, un rutabaga et un sac de cheddar mature de la ville cathédrale.</v>
      </c>
    </row>
    <row r="30071">
      <c r="A30071" s="4" t="s">
        <v>37863</v>
      </c>
      <c r="B30071" s="4" t="s">
        <v>37866</v>
      </c>
      <c r="C30071" s="5" t="str">
        <f>IFERROR(__xludf.DUMMYFUNCTION("GOOGLETRANSLATE(B30071,""en"",""fr"")"),"Ensuite, elle commence à couper chacun des ingrédients et ajoute du beurre à une poêle.")</f>
        <v>Ensuite, elle commence à couper chacun des ingrédients et ajoute du beurre à une poêle.</v>
      </c>
    </row>
    <row r="30072">
      <c r="A30072" s="4" t="s">
        <v>37863</v>
      </c>
      <c r="B30072" s="4" t="s">
        <v>37867</v>
      </c>
      <c r="C30072" s="5" t="str">
        <f>IFERROR(__xludf.DUMMYFUNCTION("GOOGLETRANSLATE(B30072,""en"",""fr"")"),"Après avoir frit pendant cinq minutes, les champignons vont dans le pot et trois œufs sont fissurés.")</f>
        <v>Après avoir frit pendant cinq minutes, les champignons vont dans le pot et trois œufs sont fissurés.</v>
      </c>
    </row>
    <row r="30073">
      <c r="A30073" s="4" t="s">
        <v>37863</v>
      </c>
      <c r="B30073" s="6" t="s">
        <v>37868</v>
      </c>
      <c r="C30073" s="5" t="str">
        <f>IFERROR(__xludf.DUMMYFUNCTION("GOOGLETRANSLATE(B30073,""en"",""fr"")"),"Le reste du contenu est ajouté dans une tasse de mesure, puis finalement tous les contenus sont versés dans une poêle.")</f>
        <v>Le reste du contenu est ajouté dans une tasse de mesure, puis finalement tous les contenus sont versés dans une poêle.</v>
      </c>
    </row>
    <row r="30074">
      <c r="A30074" s="4" t="s">
        <v>37863</v>
      </c>
      <c r="B30074" s="4" t="s">
        <v>37869</v>
      </c>
      <c r="C30074" s="5" t="str">
        <f>IFERROR(__xludf.DUMMYFUNCTION("GOOGLETRANSLATE(B30074,""en"",""fr"")"),"Après un certain temps, une omelette est créée et mise sur une assiette avec deux tranches de pain grillé.")</f>
        <v>Après un certain temps, une omelette est créée et mise sur une assiette avec deux tranches de pain grillé.</v>
      </c>
    </row>
    <row r="30075">
      <c r="A30075" s="4" t="s">
        <v>37870</v>
      </c>
      <c r="B30075" s="4" t="s">
        <v>37871</v>
      </c>
      <c r="C30075" s="5" t="str">
        <f>IFERROR(__xludf.DUMMYFUNCTION("GOOGLETRANSLATE(B30075,""en"",""fr"")"),"Une caméra se détache d'un panneau et mène à des gens qui poussent le matériel dans un sol.")</f>
        <v>Une caméra se détache d'un panneau et mène à des gens qui poussent le matériel dans un sol.</v>
      </c>
    </row>
    <row r="30076">
      <c r="A30076" s="4" t="s">
        <v>37870</v>
      </c>
      <c r="B30076" s="4" t="s">
        <v>37872</v>
      </c>
      <c r="C30076" s="5" t="str">
        <f>IFERROR(__xludf.DUMMYFUNCTION("GOOGLETRANSLATE(B30076,""en"",""fr"")"),"Un virage se penche autour d'un sol et pousse le matériau autour de la pièce.")</f>
        <v>Un virage se penche autour d'un sol et pousse le matériau autour de la pièce.</v>
      </c>
    </row>
    <row r="30077">
      <c r="A30077" s="4" t="s">
        <v>37870</v>
      </c>
      <c r="B30077" s="4" t="s">
        <v>37873</v>
      </c>
      <c r="C30077" s="5" t="str">
        <f>IFERROR(__xludf.DUMMYFUNCTION("GOOGLETRANSLATE(B30077,""en"",""fr"")"),"À la fin, la caméra se déroule autour du sol fini.")</f>
        <v>À la fin, la caméra se déroule autour du sol fini.</v>
      </c>
    </row>
    <row r="30078">
      <c r="A30078" s="4" t="s">
        <v>37874</v>
      </c>
      <c r="B30078" s="4" t="s">
        <v>37875</v>
      </c>
      <c r="C30078" s="5" t="str">
        <f>IFERROR(__xludf.DUMMYFUNCTION("GOOGLETRANSLATE(B30078,""en"",""fr"")"),"Les femmes de l'équipe américaine sont aux Jeux olympiques.")</f>
        <v>Les femmes de l'équipe américaine sont aux Jeux olympiques.</v>
      </c>
    </row>
    <row r="30079">
      <c r="A30079" s="4" t="s">
        <v>37874</v>
      </c>
      <c r="B30079" s="4" t="s">
        <v>37876</v>
      </c>
      <c r="C30079" s="5" t="str">
        <f>IFERROR(__xludf.DUMMYFUNCTION("GOOGLETRANSLATE(B30079,""en"",""fr"")"),"Tracy, Natalie, Nicole, Allison et Debbie sont photographiées en groupe dans plusieurs scènes.")</f>
        <v>Tracy, Natalie, Nicole, Allison et Debbie sont photographiées en groupe dans plusieurs scènes.</v>
      </c>
    </row>
    <row r="30080">
      <c r="A30080" s="4" t="s">
        <v>37874</v>
      </c>
      <c r="B30080" s="4" t="s">
        <v>37877</v>
      </c>
      <c r="C30080" s="5" t="str">
        <f>IFERROR(__xludf.DUMMYFUNCTION("GOOGLETRANSLATE(B30080,""en"",""fr"")"),"Alors que l'équipe américaine marque, les coéquipiers se serrent étreintes.")</f>
        <v>Alors que l'équipe américaine marque, les coéquipiers se serrent étreintes.</v>
      </c>
    </row>
    <row r="30081">
      <c r="A30081" s="4" t="s">
        <v>37878</v>
      </c>
      <c r="B30081" s="4" t="s">
        <v>37879</v>
      </c>
      <c r="C30081" s="5" t="str">
        <f>IFERROR(__xludf.DUMMYFUNCTION("GOOGLETRANSLATE(B30081,""en"",""fr"")"),"Les gens chevauchent des chameaux dans le désert.")</f>
        <v>Les gens chevauchent des chameaux dans le désert.</v>
      </c>
    </row>
    <row r="30082">
      <c r="A30082" s="4" t="s">
        <v>37878</v>
      </c>
      <c r="B30082" s="4" t="s">
        <v>37880</v>
      </c>
      <c r="C30082" s="5" t="str">
        <f>IFERROR(__xludf.DUMMYFUNCTION("GOOGLETRANSLATE(B30082,""en"",""fr"")"),"Les gens marchent aux côtés des chameaux.")</f>
        <v>Les gens marchent aux côtés des chameaux.</v>
      </c>
    </row>
    <row r="30083">
      <c r="A30083" s="4" t="s">
        <v>37878</v>
      </c>
      <c r="B30083" s="4" t="s">
        <v>37881</v>
      </c>
      <c r="C30083" s="5" t="str">
        <f>IFERROR(__xludf.DUMMYFUNCTION("GOOGLETRANSLATE(B30083,""en"",""fr"")"),"Une dame regarde et sur le côté de son chameau.")</f>
        <v>Une dame regarde et sur le côté de son chameau.</v>
      </c>
    </row>
    <row r="30084">
      <c r="A30084" s="4" t="s">
        <v>37882</v>
      </c>
      <c r="B30084" s="4" t="s">
        <v>37883</v>
      </c>
      <c r="C30084" s="5" t="str">
        <f>IFERROR(__xludf.DUMMYFUNCTION("GOOGLETRANSLATE(B30084,""en"",""fr"")"),"Une grande foule est assise dans un théâtre applaudissant et regardant.")</f>
        <v>Une grande foule est assise dans un théâtre applaudissant et regardant.</v>
      </c>
    </row>
    <row r="30085">
      <c r="A30085" s="4" t="s">
        <v>37882</v>
      </c>
      <c r="B30085" s="4" t="s">
        <v>37884</v>
      </c>
      <c r="C30085" s="5" t="str">
        <f>IFERROR(__xludf.DUMMYFUNCTION("GOOGLETRANSLATE(B30085,""en"",""fr"")"),"Deux femmes sont vues sur la danse de scène.")</f>
        <v>Deux femmes sont vues sur la danse de scène.</v>
      </c>
    </row>
    <row r="30086">
      <c r="A30086" s="4" t="s">
        <v>37882</v>
      </c>
      <c r="B30086" s="4" t="s">
        <v>37885</v>
      </c>
      <c r="C30086" s="5" t="str">
        <f>IFERROR(__xludf.DUMMYFUNCTION("GOOGLETRANSLATE(B30086,""en"",""fr"")"),"L'une des femmes montre que ses talents équilibrent les épées sur ses différentes parties de son corps.")</f>
        <v>L'une des femmes montre que ses talents équilibrent les épées sur ses différentes parties de son corps.</v>
      </c>
    </row>
    <row r="30087">
      <c r="A30087" s="4" t="s">
        <v>37886</v>
      </c>
      <c r="B30087" s="4" t="s">
        <v>37887</v>
      </c>
      <c r="C30087" s="5" t="str">
        <f>IFERROR(__xludf.DUMMYFUNCTION("GOOGLETRANSLATE(B30087,""en"",""fr"")"),"Plusieurs plages de plages sont montrées et mènent aux femmes en bikinis jouant à un jeu de volley.")</f>
        <v>Plusieurs plages de plages sont montrées et mènent aux femmes en bikinis jouant à un jeu de volley.</v>
      </c>
    </row>
    <row r="30088">
      <c r="A30088" s="4" t="s">
        <v>37886</v>
      </c>
      <c r="B30088" s="4" t="s">
        <v>37888</v>
      </c>
      <c r="C30088" s="5" t="str">
        <f>IFERROR(__xludf.DUMMYFUNCTION("GOOGLETRANSLATE(B30088,""en"",""fr"")"),"Les filles continuent de jouer puis s'asseoir sur les côtés et se touchent les jambes.")</f>
        <v>Les filles continuent de jouer puis s'asseoir sur les côtés et se touchent les jambes.</v>
      </c>
    </row>
    <row r="30089">
      <c r="A30089" s="4" t="s">
        <v>37886</v>
      </c>
      <c r="B30089" s="6" t="s">
        <v>37889</v>
      </c>
      <c r="C30089" s="5" t="str">
        <f>IFERROR(__xludf.DUMMYFUNCTION("GOOGLETRANSLATE(B30089,""en"",""fr"")"),"Ils ont ensuite mis de la lotion sur leurs jambes et commencent à se raser les jambes et à tenir le ballon en riant à la fin.")</f>
        <v>Ils ont ensuite mis de la lotion sur leurs jambes et commencent à se raser les jambes et à tenir le ballon en riant à la fin.</v>
      </c>
    </row>
    <row r="30090">
      <c r="A30090" s="4" t="s">
        <v>37890</v>
      </c>
      <c r="B30090" s="4" t="s">
        <v>37891</v>
      </c>
      <c r="C30090" s="5" t="str">
        <f>IFERROR(__xludf.DUMMYFUNCTION("GOOGLETRANSLATE(B30090,""en"",""fr"")"),"Un homme marche sur des échasses dans un parc.")</f>
        <v>Un homme marche sur des échasses dans un parc.</v>
      </c>
    </row>
    <row r="30091">
      <c r="A30091" s="4" t="s">
        <v>37890</v>
      </c>
      <c r="B30091" s="4" t="s">
        <v>37892</v>
      </c>
      <c r="C30091" s="5" t="str">
        <f>IFERROR(__xludf.DUMMYFUNCTION("GOOGLETRANSLATE(B30091,""en"",""fr"")"),"Se tourne vers sa droite et Walks passe une rangée de bancs.")</f>
        <v>Se tourne vers sa droite et Walks passe une rangée de bancs.</v>
      </c>
    </row>
    <row r="30092">
      <c r="A30092" s="4" t="s">
        <v>37890</v>
      </c>
      <c r="B30092" s="4" t="s">
        <v>37893</v>
      </c>
      <c r="C30092" s="5" t="str">
        <f>IFERROR(__xludf.DUMMYFUNCTION("GOOGLETRANSLATE(B30092,""en"",""fr"")"),"L'homme accélère puis revient à sa vitesse initiale.")</f>
        <v>L'homme accélère puis revient à sa vitesse initiale.</v>
      </c>
    </row>
    <row r="30093">
      <c r="A30093" s="4" t="s">
        <v>37890</v>
      </c>
      <c r="B30093" s="4" t="s">
        <v>37894</v>
      </c>
      <c r="C30093" s="5" t="str">
        <f>IFERROR(__xludf.DUMMYFUNCTION("GOOGLETRANSLATE(B30093,""en"",""fr"")"),"L'homme atteint le panneau du parc et s'arrête.")</f>
        <v>L'homme atteint le panneau du parc et s'arrête.</v>
      </c>
    </row>
    <row r="30094">
      <c r="A30094" s="4" t="s">
        <v>37895</v>
      </c>
      <c r="B30094" s="6" t="s">
        <v>37896</v>
      </c>
      <c r="C30094" s="5" t="str">
        <f>IFERROR(__xludf.DUMMYFUNCTION("GOOGLETRANSLATE(B30094,""en"",""fr"")"),"Un homme avec une moustache épaisse est vêtu de vêtements d'hiver est assis sur un seau blanc retourné sur un plan d'eau gelé alors qu'il boit une bière dans une boîte bleue et parlant.")</f>
        <v>Un homme avec une moustache épaisse est vêtu de vêtements d'hiver est assis sur un seau blanc retourné sur un plan d'eau gelé alors qu'il boit une bière dans une boîte bleue et parlant.</v>
      </c>
    </row>
    <row r="30095">
      <c r="A30095" s="4" t="s">
        <v>37895</v>
      </c>
      <c r="B30095" s="6" t="s">
        <v>37897</v>
      </c>
      <c r="C30095" s="5" t="str">
        <f>IFERROR(__xludf.DUMMYFUNCTION("GOOGLETRANSLATE(B30095,""en"",""fr"")"),"L'homme ramasse ensuite sa canne à pêche et tire sur le fil de pêche qui se trouve dans le trou de pêche devant lui, tient le fil, puis le remet dans le trou pendant qu'il parle encore.")</f>
        <v>L'homme ramasse ensuite sa canne à pêche et tire sur le fil de pêche qui se trouve dans le trou de pêche devant lui, tient le fil, puis le remet dans le trou pendant qu'il parle encore.</v>
      </c>
    </row>
    <row r="30096">
      <c r="A30096" s="4" t="s">
        <v>37895</v>
      </c>
      <c r="B30096" s="6" t="s">
        <v>37898</v>
      </c>
      <c r="C30096" s="5" t="str">
        <f>IFERROR(__xludf.DUMMYFUNCTION("GOOGLETRANSLATE(B30096,""en"",""fr"")"),"L'homme sort alors de son seau et pendant ses deux genoux, il met ses doigts dans et hors du trou de pêche et continue de parler.")</f>
        <v>L'homme sort alors de son seau et pendant ses deux genoux, il met ses doigts dans et hors du trou de pêche et continue de parler.</v>
      </c>
    </row>
    <row r="30097">
      <c r="A30097" s="4" t="s">
        <v>37899</v>
      </c>
      <c r="B30097" s="4" t="s">
        <v>37900</v>
      </c>
      <c r="C30097" s="5" t="str">
        <f>IFERROR(__xludf.DUMMYFUNCTION("GOOGLETRANSLATE(B30097,""en"",""fr"")"),"Un homme est vu assis dans une place de la ville animée jouant un accordéon tandis que d'autres regardent.")</f>
        <v>Un homme est vu assis dans une place de la ville animée jouant un accordéon tandis que d'autres regardent.</v>
      </c>
    </row>
    <row r="30098">
      <c r="A30098" s="4" t="s">
        <v>37899</v>
      </c>
      <c r="B30098" s="4" t="s">
        <v>37901</v>
      </c>
      <c r="C30098" s="5" t="str">
        <f>IFERROR(__xludf.DUMMYFUNCTION("GOOGLETRANSLATE(B30098,""en"",""fr"")"),"L'homme continue de jouer pendant que les gens se promènent et le remarquent.")</f>
        <v>L'homme continue de jouer pendant que les gens se promènent et le remarquent.</v>
      </c>
    </row>
    <row r="30099">
      <c r="A30099" s="4" t="s">
        <v>37902</v>
      </c>
      <c r="B30099" s="4" t="s">
        <v>37903</v>
      </c>
      <c r="C30099" s="5" t="str">
        <f>IFERROR(__xludf.DUMMYFUNCTION("GOOGLETRANSLATE(B30099,""en"",""fr"")"),"Un homme est devant un miroir.")</f>
        <v>Un homme est devant un miroir.</v>
      </c>
    </row>
    <row r="30100">
      <c r="A30100" s="4" t="s">
        <v>37902</v>
      </c>
      <c r="B30100" s="4" t="s">
        <v>37904</v>
      </c>
      <c r="C30100" s="5" t="str">
        <f>IFERROR(__xludf.DUMMYFUNCTION("GOOGLETRANSLATE(B30100,""en"",""fr"")"),"Il couvre son visage dans une substance liquide blanche.")</f>
        <v>Il couvre son visage dans une substance liquide blanche.</v>
      </c>
    </row>
    <row r="30101">
      <c r="A30101" s="4" t="s">
        <v>37902</v>
      </c>
      <c r="B30101" s="4" t="s">
        <v>37905</v>
      </c>
      <c r="C30101" s="5" t="str">
        <f>IFERROR(__xludf.DUMMYFUNCTION("GOOGLETRANSLATE(B30101,""en"",""fr"")"),"Il disparaît ensuite pendant un certain temps et revient avec un visage humide mais propre.")</f>
        <v>Il disparaît ensuite pendant un certain temps et revient avec un visage humide mais propre.</v>
      </c>
    </row>
    <row r="30102">
      <c r="A30102" s="4" t="s">
        <v>37906</v>
      </c>
      <c r="B30102" s="4" t="s">
        <v>16436</v>
      </c>
      <c r="C30102" s="5" t="str">
        <f>IFERROR(__xludf.DUMMYFUNCTION("GOOGLETRANSLATE(B30102,""en"",""fr"")"),"Une femme s'agenouille sur un tapis bleu.")</f>
        <v>Une femme s'agenouille sur un tapis bleu.</v>
      </c>
    </row>
    <row r="30103">
      <c r="A30103" s="4" t="s">
        <v>37906</v>
      </c>
      <c r="B30103" s="4" t="s">
        <v>37907</v>
      </c>
      <c r="C30103" s="5" t="str">
        <f>IFERROR(__xludf.DUMMYFUNCTION("GOOGLETRANSLATE(B30103,""en"",""fr"")"),"Elle attrape un bar et la tient à côté d'elle.")</f>
        <v>Elle attrape un bar et la tient à côté d'elle.</v>
      </c>
    </row>
    <row r="30104">
      <c r="A30104" s="4" t="s">
        <v>37906</v>
      </c>
      <c r="B30104" s="4" t="s">
        <v>37908</v>
      </c>
      <c r="C30104" s="5" t="str">
        <f>IFERROR(__xludf.DUMMYFUNCTION("GOOGLETRANSLATE(B30104,""en"",""fr"")"),"Elle pose la barre et ramasse une cloche de bouilloire.")</f>
        <v>Elle pose la barre et ramasse une cloche de bouilloire.</v>
      </c>
    </row>
    <row r="30105">
      <c r="A30105" s="4" t="s">
        <v>37906</v>
      </c>
      <c r="B30105" s="4" t="s">
        <v>37909</v>
      </c>
      <c r="C30105" s="5" t="str">
        <f>IFERROR(__xludf.DUMMYFUNCTION("GOOGLETRANSLATE(B30105,""en"",""fr"")"),"Elle soulève la cloche de la bouilloire et la remet.")</f>
        <v>Elle soulève la cloche de la bouilloire et la remet.</v>
      </c>
    </row>
    <row r="30106">
      <c r="A30106" s="4" t="s">
        <v>37906</v>
      </c>
      <c r="B30106" s="4" t="s">
        <v>37910</v>
      </c>
      <c r="C30106" s="5" t="str">
        <f>IFERROR(__xludf.DUMMYFUNCTION("GOOGLETRANSLATE(B30106,""en"",""fr"")"),"Elle le ramasse ensuite et le soulève de haut en bas plusieurs fois devant elle.")</f>
        <v>Elle le ramasse ensuite et le soulève de haut en bas plusieurs fois devant elle.</v>
      </c>
    </row>
    <row r="30107">
      <c r="A30107" s="4" t="s">
        <v>37911</v>
      </c>
      <c r="B30107" s="4" t="s">
        <v>37912</v>
      </c>
      <c r="C30107" s="5" t="str">
        <f>IFERROR(__xludf.DUMMYFUNCTION("GOOGLETRANSLATE(B30107,""en"",""fr"")"),"Une femme se présente à la caméra et commence à parler du sujet de la vidéo, Pasta.")</f>
        <v>Une femme se présente à la caméra et commence à parler du sujet de la vidéo, Pasta.</v>
      </c>
    </row>
    <row r="30108">
      <c r="A30108" s="4" t="s">
        <v>37911</v>
      </c>
      <c r="B30108" s="4" t="s">
        <v>37913</v>
      </c>
      <c r="C30108" s="5" t="str">
        <f>IFERROR(__xludf.DUMMYFUNCTION("GOOGLETRANSLATE(B30108,""en"",""fr"")"),"La caméra montre les ingrédients qui entrent dans la cuisson des pâtes.")</f>
        <v>La caméra montre les ingrédients qui entrent dans la cuisson des pâtes.</v>
      </c>
    </row>
    <row r="30109">
      <c r="A30109" s="4" t="s">
        <v>37911</v>
      </c>
      <c r="B30109" s="4" t="s">
        <v>37914</v>
      </c>
      <c r="C30109" s="5" t="str">
        <f>IFERROR(__xludf.DUMMYFUNCTION("GOOGLETRANSLATE(B30109,""en"",""fr"")"),"La femme laisse tomber du sel dans une casserole d'eau et allume les brûleurs.")</f>
        <v>La femme laisse tomber du sel dans une casserole d'eau et allume les brûleurs.</v>
      </c>
    </row>
    <row r="30110">
      <c r="A30110" s="4" t="s">
        <v>37911</v>
      </c>
      <c r="B30110" s="4" t="s">
        <v>37915</v>
      </c>
      <c r="C30110" s="5" t="str">
        <f>IFERROR(__xludf.DUMMYFUNCTION("GOOGLETRANSLATE(B30110,""en"",""fr"")"),"Une fois, bouillant, elle ajoute les pâtes dans le pot.")</f>
        <v>Une fois, bouillant, elle ajoute les pâtes dans le pot.</v>
      </c>
    </row>
    <row r="30111">
      <c r="A30111" s="4" t="s">
        <v>37911</v>
      </c>
      <c r="B30111" s="4" t="s">
        <v>37916</v>
      </c>
      <c r="C30111" s="5" t="str">
        <f>IFERROR(__xludf.DUMMYFUNCTION("GOOGLETRANSLATE(B30111,""en"",""fr"")"),"Elle remue les pâtes, puis vide le pot dans une colonie une fois que les pâtes sont al dente.")</f>
        <v>Elle remue les pâtes, puis vide le pot dans une colonie une fois que les pâtes sont al dente.</v>
      </c>
    </row>
    <row r="30112">
      <c r="A30112" s="4" t="s">
        <v>37911</v>
      </c>
      <c r="B30112" s="4" t="s">
        <v>37917</v>
      </c>
      <c r="C30112" s="5" t="str">
        <f>IFERROR(__xludf.DUMMYFUNCTION("GOOGLETRANSLATE(B30112,""en"",""fr"")"),"Elle retourne les pâtes dans le pot et ajoute de l'huile d'olive.")</f>
        <v>Elle retourne les pâtes dans le pot et ajoute de l'huile d'olive.</v>
      </c>
    </row>
    <row r="30113">
      <c r="A30113" s="4" t="s">
        <v>37918</v>
      </c>
      <c r="B30113" s="6" t="s">
        <v>37919</v>
      </c>
      <c r="C30113" s="5" t="str">
        <f>IFERROR(__xludf.DUMMYFUNCTION("GOOGLETRANSLATE(B30113,""en"",""fr"")"),"Un journaliste de la femme et des hommes de sport, reportez-vous, lors d'un journal télévisé en direct, par derrière une table de nouvelles, sur une histoire sur les dangers du ballon de dodge dans les écoles et si un ballon Dodge fait plus mal qu'un ball"&amp;"on de football lorsqu'il est frappé avec un ou le ou le autre.")</f>
        <v>Un journaliste de la femme et des hommes de sport, reportez-vous, lors d'un journal télévisé en direct, par derrière une table de nouvelles, sur une histoire sur les dangers du ballon de dodge dans les écoles et si un ballon Dodge fait plus mal qu'un ballon de football lorsqu'il est frappé avec un ou le ou le autre.</v>
      </c>
    </row>
    <row r="30114">
      <c r="A30114" s="4" t="s">
        <v>37918</v>
      </c>
      <c r="B30114" s="4" t="s">
        <v>37920</v>
      </c>
      <c r="C30114" s="5" t="str">
        <f>IFERROR(__xludf.DUMMYFUNCTION("GOOGLETRANSLATE(B30114,""en"",""fr"")"),"Deux actualités se parlent derrière une table de nouvelles.")</f>
        <v>Deux actualités se parlent derrière une table de nouvelles.</v>
      </c>
    </row>
    <row r="30115">
      <c r="A30115" s="4" t="s">
        <v>37918</v>
      </c>
      <c r="B30115" s="6" t="s">
        <v>37921</v>
      </c>
      <c r="C30115" s="5" t="str">
        <f>IFERROR(__xludf.DUMMYFUNCTION("GOOGLETRANSLATE(B30115,""en"",""fr"")"),"Le clip passe pour afficher une série de clips vidéo de différents enfants jouant au ballon de dodge dans les gymnases et étant frappé par le Dodgeball.")</f>
        <v>Le clip passe pour afficher une série de clips vidéo de différents enfants jouant au ballon de dodge dans les gymnases et étant frappé par le Dodgeball.</v>
      </c>
    </row>
    <row r="30116">
      <c r="A30116" s="4" t="s">
        <v>37918</v>
      </c>
      <c r="B30116" s="6" t="s">
        <v>37922</v>
      </c>
      <c r="C30116" s="5" t="str">
        <f>IFERROR(__xludf.DUMMYFUNCTION("GOOGLETRANSLATE(B30116,""en"",""fr"")"),"La journaliste emmène ensuite un groupe d'hommes dans une zone enfermée et pavée, à l'extérieur, et procède à leur lancement d'un ballon d'odge et d'un ballon de foot .")</f>
        <v>La journaliste emmène ensuite un groupe d'hommes dans une zone enfermée et pavée, à l'extérieur, et procède à leur lancement d'un ballon d'odge et d'un ballon de foot .</v>
      </c>
    </row>
    <row r="30117">
      <c r="A30117" s="4" t="s">
        <v>37923</v>
      </c>
      <c r="B30117" s="6" t="s">
        <v>37924</v>
      </c>
      <c r="C30117" s="5" t="str">
        <f>IFERROR(__xludf.DUMMYFUNCTION("GOOGLETRANSLATE(B30117,""en"",""fr"")"),"Un grand groupe de femmes est vu debout sur une scène frappant la batterie tandis qu'un autre groupe d'hommes joue derrière eux.")</f>
        <v>Un grand groupe de femmes est vu debout sur une scène frappant la batterie tandis qu'un autre groupe d'hommes joue derrière eux.</v>
      </c>
    </row>
    <row r="30118">
      <c r="A30118" s="4" t="s">
        <v>37923</v>
      </c>
      <c r="B30118" s="6" t="s">
        <v>37925</v>
      </c>
      <c r="C30118" s="5" t="str">
        <f>IFERROR(__xludf.DUMMYFUNCTION("GOOGLETRANSLATE(B30118,""en"",""fr"")"),"Le groupe joue continuellement devant une grande foule et se termine avec des crédits qui roulent le long de l'écran.")</f>
        <v>Le groupe joue continuellement devant une grande foule et se termine avec des crédits qui roulent le long de l'écran.</v>
      </c>
    </row>
    <row r="30119">
      <c r="A30119" s="4" t="s">
        <v>37926</v>
      </c>
      <c r="B30119" s="4" t="s">
        <v>37927</v>
      </c>
      <c r="C30119" s="5" t="str">
        <f>IFERROR(__xludf.DUMMYFUNCTION("GOOGLETRANSLATE(B30119,""en"",""fr"")"),"Une jeune femme est montrée en exercice sur un elliptique noir.")</f>
        <v>Une jeune femme est montrée en exercice sur un elliptique noir.</v>
      </c>
    </row>
    <row r="30120">
      <c r="A30120" s="4" t="s">
        <v>37926</v>
      </c>
      <c r="B30120" s="4" t="s">
        <v>37928</v>
      </c>
      <c r="C30120" s="5" t="str">
        <f>IFERROR(__xludf.DUMMYFUNCTION("GOOGLETRANSLATE(B30120,""en"",""fr"")"),"Elle continue de faire de l'exercice et un gros plan de la machine est montré.")</f>
        <v>Elle continue de faire de l'exercice et un gros plan de la machine est montré.</v>
      </c>
    </row>
    <row r="30121">
      <c r="A30121" s="4" t="s">
        <v>37926</v>
      </c>
      <c r="B30121" s="6" t="s">
        <v>37929</v>
      </c>
      <c r="C30121" s="5" t="str">
        <f>IFERROR(__xludf.DUMMYFUNCTION("GOOGLETRANSLATE(B30121,""en"",""fr"")"),"Enfin, elle prend une gorgée de son eau alors qu'elle termine son entraînement vif, puis Golds Gym apparaît au milieu de l'écran.")</f>
        <v>Enfin, elle prend une gorgée de son eau alors qu'elle termine son entraînement vif, puis Golds Gym apparaît au milieu de l'écran.</v>
      </c>
    </row>
    <row r="30122">
      <c r="A30122" s="4" t="s">
        <v>37930</v>
      </c>
      <c r="B30122" s="4" t="s">
        <v>37931</v>
      </c>
      <c r="C30122" s="5" t="str">
        <f>IFERROR(__xludf.DUMMYFUNCTION("GOOGLETRANSLATE(B30122,""en"",""fr"")"),"Un homme est vu parler à la caméra et le mène avec de la crème à raser.")</f>
        <v>Un homme est vu parler à la caméra et le mène avec de la crème à raser.</v>
      </c>
    </row>
    <row r="30123">
      <c r="A30123" s="4" t="s">
        <v>37930</v>
      </c>
      <c r="B30123" s="4" t="s">
        <v>37932</v>
      </c>
      <c r="C30123" s="5" t="str">
        <f>IFERROR(__xludf.DUMMYFUNCTION("GOOGLETRANSLATE(B30123,""en"",""fr"")"),"Il tient ensuite un rasoir et commence à se raser le visage pendant que de vieux coups de films sont montrés.")</f>
        <v>Il tient ensuite un rasoir et commence à se raser le visage pendant que de vieux coups de films sont montrés.</v>
      </c>
    </row>
    <row r="30124">
      <c r="A30124" s="4" t="s">
        <v>37930</v>
      </c>
      <c r="B30124" s="4" t="s">
        <v>37933</v>
      </c>
      <c r="C30124" s="5" t="str">
        <f>IFERROR(__xludf.DUMMYFUNCTION("GOOGLETRANSLATE(B30124,""en"",""fr"")"),"Les hommes continuent de se raser et se termine par du texte à travers l'écran.")</f>
        <v>Les hommes continuent de se raser et se termine par du texte à travers l'écran.</v>
      </c>
    </row>
    <row r="30125">
      <c r="A30125" s="4" t="s">
        <v>37934</v>
      </c>
      <c r="B30125" s="6" t="s">
        <v>37935</v>
      </c>
      <c r="C30125" s="5" t="str">
        <f>IFERROR(__xludf.DUMMYFUNCTION("GOOGLETRANSLATE(B30125,""en"",""fr"")"),"Un patient assis dans une chaise d'hôpital dans une chambre d'hôpital fait faire ses ongles par un manucure qui porte un chemisier vert.")</f>
        <v>Un patient assis dans une chaise d'hôpital dans une chambre d'hôpital fait faire ses ongles par un manucure qui porte un chemisier vert.</v>
      </c>
    </row>
    <row r="30126">
      <c r="A30126" s="4" t="s">
        <v>37934</v>
      </c>
      <c r="B30126" s="4" t="s">
        <v>37936</v>
      </c>
      <c r="C30126" s="5" t="str">
        <f>IFERROR(__xludf.DUMMYFUNCTION("GOOGLETRANSLATE(B30126,""en"",""fr"")"),"La patiente écoute de la musique alors qu'elle bouge ses pieds au rythme d'une musique.")</f>
        <v>La patiente écoute de la musique alors qu'elle bouge ses pieds au rythme d'une musique.</v>
      </c>
    </row>
    <row r="30127">
      <c r="A30127" s="4" t="s">
        <v>37937</v>
      </c>
      <c r="B30127" s="4" t="s">
        <v>37938</v>
      </c>
      <c r="C30127" s="5" t="str">
        <f>IFERROR(__xludf.DUMMYFUNCTION("GOOGLETRANSLATE(B30127,""en"",""fr"")"),"Nous voyons un jeu de baby-foot jouer.")</f>
        <v>Nous voyons un jeu de baby-foot jouer.</v>
      </c>
    </row>
    <row r="30128">
      <c r="A30128" s="4" t="s">
        <v>37937</v>
      </c>
      <c r="B30128" s="4" t="s">
        <v>37939</v>
      </c>
      <c r="C30128" s="5" t="str">
        <f>IFERROR(__xludf.DUMMYFUNCTION("GOOGLETRANSLATE(B30128,""en"",""fr"")"),"Nous accélérons et voyons les joueurs.")</f>
        <v>Nous accélérons et voyons les joueurs.</v>
      </c>
    </row>
    <row r="30129">
      <c r="A30129" s="4" t="s">
        <v>37937</v>
      </c>
      <c r="B30129" s="4" t="s">
        <v>37940</v>
      </c>
      <c r="C30129" s="5" t="str">
        <f>IFERROR(__xludf.DUMMYFUNCTION("GOOGLETRANSLATE(B30129,""en"",""fr"")"),"Nous voyons les joueurs de gauche.")</f>
        <v>Nous voyons les joueurs de gauche.</v>
      </c>
    </row>
    <row r="30130">
      <c r="A30130" s="4" t="s">
        <v>37937</v>
      </c>
      <c r="B30130" s="4" t="s">
        <v>37941</v>
      </c>
      <c r="C30130" s="5" t="str">
        <f>IFERROR(__xludf.DUMMYFUNCTION("GOOGLETRANSLATE(B30130,""en"",""fr"")"),"Une personne tourne la seconde de la barre droite.")</f>
        <v>Une personne tourne la seconde de la barre droite.</v>
      </c>
    </row>
    <row r="30131">
      <c r="A30131" s="4" t="s">
        <v>37942</v>
      </c>
      <c r="B30131" s="4" t="s">
        <v>37943</v>
      </c>
      <c r="C30131" s="5" t="str">
        <f>IFERROR(__xludf.DUMMYFUNCTION("GOOGLETRANSLATE(B30131,""en"",""fr"")"),"Une vidéo de mouvement rapide montre un jeune garçon qui commence à grimper à travers un ensemble de barres de singe.")</f>
        <v>Une vidéo de mouvement rapide montre un jeune garçon qui commence à grimper à travers un ensemble de barres de singe.</v>
      </c>
    </row>
    <row r="30132">
      <c r="A30132" s="4" t="s">
        <v>37942</v>
      </c>
      <c r="B30132" s="4" t="s">
        <v>37944</v>
      </c>
      <c r="C30132" s="5" t="str">
        <f>IFERROR(__xludf.DUMMYFUNCTION("GOOGLETRANSLATE(B30132,""en"",""fr"")"),"Le garçon traverse et saute pendant qu'une autre personne essaie juste derrière lui.")</f>
        <v>Le garçon traverse et saute pendant qu'une autre personne essaie juste derrière lui.</v>
      </c>
    </row>
    <row r="30133">
      <c r="A30133" s="4" t="s">
        <v>37945</v>
      </c>
      <c r="B30133" s="6" t="s">
        <v>37946</v>
      </c>
      <c r="C30133" s="5" t="str">
        <f>IFERROR(__xludf.DUMMYFUNCTION("GOOGLETRANSLATE(B30133,""en"",""fr"")"),"Un homme d'âge moyen pelle à la neige sur un trottoir tandis qu'un chien brun de taille moyenne poursuit la pelle.")</f>
        <v>Un homme d'âge moyen pelle à la neige sur un trottoir tandis qu'un chien brun de taille moyenne poursuit la pelle.</v>
      </c>
    </row>
    <row r="30134">
      <c r="A30134" s="4" t="s">
        <v>37945</v>
      </c>
      <c r="B30134" s="6" t="s">
        <v>37947</v>
      </c>
      <c r="C30134" s="5" t="str">
        <f>IFERROR(__xludf.DUMMYFUNCTION("GOOGLETRANSLATE(B30134,""en"",""fr"")"),"L'homme lance la neige et tourne dans l'autre sens de répéter la pelle pendant que le chien continue de chasser la pelle.")</f>
        <v>L'homme lance la neige et tourne dans l'autre sens de répéter la pelle pendant que le chien continue de chasser la pelle.</v>
      </c>
    </row>
    <row r="30135">
      <c r="A30135" s="4" t="s">
        <v>37945</v>
      </c>
      <c r="B30135" s="6" t="s">
        <v>37948</v>
      </c>
      <c r="C30135" s="5" t="str">
        <f>IFERROR(__xludf.DUMMYFUNCTION("GOOGLETRANSLATE(B30135,""en"",""fr"")"),"Au bout du trottoir près d'une allée, une jeune femme en neige noire gisant sur son estomac voit le chien chasser la pelle et rit.")</f>
        <v>Au bout du trottoir près d'une allée, une jeune femme en neige noire gisant sur son estomac voit le chien chasser la pelle et rit.</v>
      </c>
    </row>
    <row r="30136">
      <c r="A30136" s="4" t="s">
        <v>37945</v>
      </c>
      <c r="B30136" s="6" t="s">
        <v>37949</v>
      </c>
      <c r="C30136" s="5" t="str">
        <f>IFERROR(__xludf.DUMMYFUNCTION("GOOGLETRANSLATE(B30136,""en"",""fr"")"),"L'homme se retourne maintenant et court sur le trottoir pelletant à nouveau la neige et le chien coule avec lui.")</f>
        <v>L'homme se retourne maintenant et court sur le trottoir pelletant à nouveau la neige et le chien coule avec lui.</v>
      </c>
    </row>
    <row r="30137">
      <c r="A30137" s="4" t="s">
        <v>37945</v>
      </c>
      <c r="B30137" s="6" t="s">
        <v>37950</v>
      </c>
      <c r="C30137" s="5" t="str">
        <f>IFERROR(__xludf.DUMMYFUNCTION("GOOGLETRANSLATE(B30137,""en"",""fr"")"),"L'homme ne fait pas demi-tour et ne pelleter pas le trottoir à nouveau, mais porte la neige dans la pelle et s'éloigne du chien.")</f>
        <v>L'homme ne fait pas demi-tour et ne pelleter pas le trottoir à nouveau, mais porte la neige dans la pelle et s'éloigne du chien.</v>
      </c>
    </row>
    <row r="30138">
      <c r="A30138" s="4" t="s">
        <v>37945</v>
      </c>
      <c r="B30138" s="4" t="s">
        <v>37951</v>
      </c>
      <c r="C30138" s="5" t="str">
        <f>IFERROR(__xludf.DUMMYFUNCTION("GOOGLETRANSLATE(B30138,""en"",""fr"")"),"Le chien traîne derrière comme fatigué.")</f>
        <v>Le chien traîne derrière comme fatigué.</v>
      </c>
    </row>
    <row r="30139">
      <c r="A30139" s="4" t="s">
        <v>37952</v>
      </c>
      <c r="B30139" s="4" t="s">
        <v>37953</v>
      </c>
      <c r="C30139" s="5" t="str">
        <f>IFERROR(__xludf.DUMMYFUNCTION("GOOGLETRANSLATE(B30139,""en"",""fr"")"),"Les gens se tiennent sur une scène.")</f>
        <v>Les gens se tiennent sur une scène.</v>
      </c>
    </row>
    <row r="30140">
      <c r="A30140" s="4" t="s">
        <v>37952</v>
      </c>
      <c r="B30140" s="4" t="s">
        <v>37954</v>
      </c>
      <c r="C30140" s="5" t="str">
        <f>IFERROR(__xludf.DUMMYFUNCTION("GOOGLETRANSLATE(B30140,""en"",""fr"")"),"Ils commencent à jouer à un jeu de ciseaux en papier rock.")</f>
        <v>Ils commencent à jouer à un jeu de ciseaux en papier rock.</v>
      </c>
    </row>
    <row r="30141">
      <c r="A30141" s="4" t="s">
        <v>37952</v>
      </c>
      <c r="B30141" s="4" t="s">
        <v>37955</v>
      </c>
      <c r="C30141" s="5" t="str">
        <f>IFERROR(__xludf.DUMMYFUNCTION("GOOGLETRANSLATE(B30141,""en"",""fr"")"),"Les hommes debout dans des chemises arbitres se tiennent derrière eux.")</f>
        <v>Les hommes debout dans des chemises arbitres se tiennent derrière eux.</v>
      </c>
    </row>
    <row r="30142">
      <c r="A30142" s="4" t="s">
        <v>37956</v>
      </c>
      <c r="B30142" s="6" t="s">
        <v>37957</v>
      </c>
      <c r="C30142" s="5" t="str">
        <f>IFERROR(__xludf.DUMMYFUNCTION("GOOGLETRANSLATE(B30142,""en"",""fr"")"),"La femme portant une chemise rouge est Holdgina Ball et essaie de jeter le ballon à quelqu'un quand quelqu'un lui lance une balle et maintenant elle en a deux et les jeter.")</f>
        <v>La femme portant une chemise rouge est Holdgina Ball et essaie de jeter le ballon à quelqu'un quand quelqu'un lui lance une balle et maintenant elle en a deux et les jeter.</v>
      </c>
    </row>
    <row r="30143">
      <c r="A30143" s="4" t="s">
        <v>37956</v>
      </c>
      <c r="B30143" s="4" t="s">
        <v>37958</v>
      </c>
      <c r="C30143" s="5" t="str">
        <f>IFERROR(__xludf.DUMMYFUNCTION("GOOGLETRANSLATE(B30143,""en"",""fr"")"),"L'homme tient une balle rouge et marche dans un terrain en bois et lance le ballon.")</f>
        <v>L'homme tient une balle rouge et marche dans un terrain en bois et lance le ballon.</v>
      </c>
    </row>
    <row r="30144">
      <c r="A30144" s="4" t="s">
        <v>37956</v>
      </c>
      <c r="B30144" s="4" t="s">
        <v>37959</v>
      </c>
      <c r="C30144" s="5" t="str">
        <f>IFERROR(__xludf.DUMMYFUNCTION("GOOGLETRANSLATE(B30144,""en"",""fr"")"),"Les gens jouent au ballon de dodge dans un gymnase de bois.")</f>
        <v>Les gens jouent au ballon de dodge dans un gymnase de bois.</v>
      </c>
    </row>
    <row r="30145">
      <c r="A30145" s="4" t="s">
        <v>37960</v>
      </c>
      <c r="B30145" s="6" t="s">
        <v>37961</v>
      </c>
      <c r="C30145" s="5" t="str">
        <f>IFERROR(__xludf.DUMMYFUNCTION("GOOGLETRANSLATE(B30145,""en"",""fr"")"),"Une fille se tient à l'extérieur au milieu de la route en faisant des tours avec un cerceau, en le déplaçant autour de ses hanches et de ses bras.")</f>
        <v>Une fille se tient à l'extérieur au milieu de la route en faisant des tours avec un cerceau, en le déplaçant autour de ses hanches et de ses bras.</v>
      </c>
    </row>
    <row r="30146">
      <c r="A30146" s="4" t="s">
        <v>37960</v>
      </c>
      <c r="B30146" s="4" t="s">
        <v>37962</v>
      </c>
      <c r="C30146" s="5" t="str">
        <f>IFERROR(__xludf.DUMMYFUNCTION("GOOGLETRANSLATE(B30146,""en"",""fr"")"),"Pendant qu'elle se produit, une femme est assise derrière elle avec ses sacs au sol.")</f>
        <v>Pendant qu'elle se produit, une femme est assise derrière elle avec ses sacs au sol.</v>
      </c>
    </row>
    <row r="30147">
      <c r="A30147" s="4" t="s">
        <v>37960</v>
      </c>
      <c r="B30147" s="6" t="s">
        <v>37963</v>
      </c>
      <c r="C30147" s="5" t="str">
        <f>IFERROR(__xludf.DUMMYFUNCTION("GOOGLETRANSLATE(B30147,""en"",""fr"")"),"Lorsque la fille a fini de jouer, elle attrape un bonnet, le tient et commence ensuite à demander de l'argent à la foule de gens qui la regardaient.")</f>
        <v>Lorsque la fille a fini de jouer, elle attrape un bonnet, le tient et commence ensuite à demander de l'argent à la foule de gens qui la regardaient.</v>
      </c>
    </row>
    <row r="30148">
      <c r="A30148" s="4" t="s">
        <v>37964</v>
      </c>
      <c r="B30148" s="4" t="s">
        <v>37965</v>
      </c>
      <c r="C30148" s="5" t="str">
        <f>IFERROR(__xludf.DUMMYFUNCTION("GOOGLETRANSLATE(B30148,""en"",""fr"")"),"Deux lutteurs de sumo sont représentés dans un anneau en tant que spectateurs et une montre arbitre.")</f>
        <v>Deux lutteurs de sumo sont représentés dans un anneau en tant que spectateurs et une montre arbitre.</v>
      </c>
    </row>
    <row r="30149">
      <c r="A30149" s="4" t="s">
        <v>37964</v>
      </c>
      <c r="B30149" s="4" t="s">
        <v>37966</v>
      </c>
      <c r="C30149" s="5" t="str">
        <f>IFERROR(__xludf.DUMMYFUNCTION("GOOGLETRANSLATE(B30149,""en"",""fr"")"),"Les lutteurs s'accroupissent et se heurtent les uns aux autres.")</f>
        <v>Les lutteurs s'accroupissent et se heurtent les uns aux autres.</v>
      </c>
    </row>
    <row r="30150">
      <c r="A30150" s="4" t="s">
        <v>37964</v>
      </c>
      <c r="B30150" s="4" t="s">
        <v>37967</v>
      </c>
      <c r="C30150" s="5" t="str">
        <f>IFERROR(__xludf.DUMMYFUNCTION("GOOGLETRANSLATE(B30150,""en"",""fr"")"),"Ils luttent brièvement pendant qu'un homme est jeté hors du ring.")</f>
        <v>Ils luttent brièvement pendant qu'un homme est jeté hors du ring.</v>
      </c>
    </row>
    <row r="30151">
      <c r="A30151" s="4" t="s">
        <v>37964</v>
      </c>
      <c r="B30151" s="4" t="s">
        <v>37968</v>
      </c>
      <c r="C30151" s="5" t="str">
        <f>IFERROR(__xludf.DUMMYFUNCTION("GOOGLETRANSLATE(B30151,""en"",""fr"")"),"Le gagnant effectue un signal manuel avec l'arbitre.")</f>
        <v>Le gagnant effectue un signal manuel avec l'arbitre.</v>
      </c>
    </row>
    <row r="30152">
      <c r="A30152" s="4" t="s">
        <v>37964</v>
      </c>
      <c r="B30152" s="4" t="s">
        <v>37969</v>
      </c>
      <c r="C30152" s="5" t="str">
        <f>IFERROR(__xludf.DUMMYFUNCTION("GOOGLETRANSLATE(B30152,""en"",""fr"")"),"Le perdant marche dans le dos alors qu'ils montrent une rediffusion de la victoire.")</f>
        <v>Le perdant marche dans le dos alors qu'ils montrent une rediffusion de la victoire.</v>
      </c>
    </row>
    <row r="30153">
      <c r="A30153" s="4" t="s">
        <v>37964</v>
      </c>
      <c r="B30153" s="4" t="s">
        <v>37970</v>
      </c>
      <c r="C30153" s="5" t="str">
        <f>IFERROR(__xludf.DUMMYFUNCTION("GOOGLETRANSLATE(B30153,""en"",""fr"")"),"La vidéo se termine avec l'hôte interviewant le perdant et montrant la bague Sumo.")</f>
        <v>La vidéo se termine avec l'hôte interviewant le perdant et montrant la bague Sumo.</v>
      </c>
    </row>
    <row r="30154">
      <c r="A30154" s="4" t="s">
        <v>37971</v>
      </c>
      <c r="B30154" s="4" t="s">
        <v>1251</v>
      </c>
      <c r="C30154" s="5" t="str">
        <f>IFERROR(__xludf.DUMMYFUNCTION("GOOGLETRANSLATE(B30154,""en"",""fr"")"),"Les crédits du clip sont affichés.")</f>
        <v>Les crédits du clip sont affichés.</v>
      </c>
    </row>
    <row r="30155">
      <c r="A30155" s="4" t="s">
        <v>37971</v>
      </c>
      <c r="B30155" s="4" t="s">
        <v>37972</v>
      </c>
      <c r="C30155" s="5" t="str">
        <f>IFERROR(__xludf.DUMMYFUNCTION("GOOGLETRANSLATE(B30155,""en"",""fr"")"),"Les hommes travaillent sur un toit.")</f>
        <v>Les hommes travaillent sur un toit.</v>
      </c>
    </row>
    <row r="30156">
      <c r="A30156" s="4" t="s">
        <v>37971</v>
      </c>
      <c r="B30156" s="6" t="s">
        <v>37973</v>
      </c>
      <c r="C30156" s="5" t="str">
        <f>IFERROR(__xludf.DUMMYFUNCTION("GOOGLETRANSLATE(B30156,""en"",""fr"")"),"Un homme pulvérise la pâte sur le toit, un mâle remet les pièces et un gars ajoute les pièces à la zone collée sur le toit.")</f>
        <v>Un homme pulvérise la pâte sur le toit, un mâle remet les pièces et un gars ajoute les pièces à la zone collée sur le toit.</v>
      </c>
    </row>
    <row r="30157">
      <c r="A30157" s="4" t="s">
        <v>37971</v>
      </c>
      <c r="B30157" s="4" t="s">
        <v>37974</v>
      </c>
      <c r="C30157" s="5" t="str">
        <f>IFERROR(__xludf.DUMMYFUNCTION("GOOGLETRANSLATE(B30157,""en"",""fr"")"),"Une personne pulvérise la pâte sur les morceaux de toit.")</f>
        <v>Une personne pulvérise la pâte sur les morceaux de toit.</v>
      </c>
    </row>
    <row r="30158">
      <c r="A30158" s="4" t="s">
        <v>37971</v>
      </c>
      <c r="B30158" s="4" t="s">
        <v>573</v>
      </c>
      <c r="C30158" s="5" t="str">
        <f>IFERROR(__xludf.DUMMYFUNCTION("GOOGLETRANSLATE(B30158,""en"",""fr"")"),"Les crédits de la vidéo sont affichés.")</f>
        <v>Les crédits de la vidéo sont affichés.</v>
      </c>
    </row>
    <row r="30159">
      <c r="A30159" s="4" t="s">
        <v>37975</v>
      </c>
      <c r="B30159" s="4" t="s">
        <v>37976</v>
      </c>
      <c r="C30159" s="5" t="str">
        <f>IFERROR(__xludf.DUMMYFUNCTION("GOOGLETRANSLATE(B30159,""en"",""fr"")"),"Un jeune garçon asiatique se tient dans un salon avec une vadrouille à la main.")</f>
        <v>Un jeune garçon asiatique se tient dans un salon avec une vadrouille à la main.</v>
      </c>
    </row>
    <row r="30160">
      <c r="A30160" s="4" t="s">
        <v>37975</v>
      </c>
      <c r="B30160" s="4" t="s">
        <v>37977</v>
      </c>
      <c r="C30160" s="5" t="str">
        <f>IFERROR(__xludf.DUMMYFUNCTION("GOOGLETRANSLATE(B30160,""en"",""fr"")"),"Le garçon se penche, ramasse un flacon pulvérisateur et le gicle sur le sol.")</f>
        <v>Le garçon se penche, ramasse un flacon pulvérisateur et le gicle sur le sol.</v>
      </c>
    </row>
    <row r="30161">
      <c r="A30161" s="4" t="s">
        <v>37975</v>
      </c>
      <c r="B30161" s="4" t="s">
        <v>37978</v>
      </c>
      <c r="C30161" s="5" t="str">
        <f>IFERROR(__xludf.DUMMYFUNCTION("GOOGLETRANSLATE(B30161,""en"",""fr"")"),"Il déplace ensuite le balai d'avant en arrière et nettoie le sol.")</f>
        <v>Il déplace ensuite le balai d'avant en arrière et nettoie le sol.</v>
      </c>
    </row>
    <row r="30162">
      <c r="A30162" s="4" t="s">
        <v>37979</v>
      </c>
      <c r="B30162" s="4" t="s">
        <v>37980</v>
      </c>
      <c r="C30162" s="5" t="str">
        <f>IFERROR(__xludf.DUMMYFUNCTION("GOOGLETRANSLATE(B30162,""en"",""fr"")"),"Une femme s'assoit devant une grande foule tout en tenant de la crème à raser et un rasoir.")</f>
        <v>Une femme s'assoit devant une grande foule tout en tenant de la crème à raser et un rasoir.</v>
      </c>
    </row>
    <row r="30163">
      <c r="A30163" s="4" t="s">
        <v>37979</v>
      </c>
      <c r="B30163" s="4" t="s">
        <v>37981</v>
      </c>
      <c r="C30163" s="5" t="str">
        <f>IFERROR(__xludf.DUMMYFUNCTION("GOOGLETRANSLATE(B30163,""en"",""fr"")"),"Un autre homme est vu sur scène en se rasant le visage et la femme commence à se raser les jambes.")</f>
        <v>Un autre homme est vu sur scène en se rasant le visage et la femme commence à se raser les jambes.</v>
      </c>
    </row>
    <row r="30164">
      <c r="A30164" s="4" t="s">
        <v>37979</v>
      </c>
      <c r="B30164" s="4" t="s">
        <v>37982</v>
      </c>
      <c r="C30164" s="5" t="str">
        <f>IFERROR(__xludf.DUMMYFUNCTION("GOOGLETRANSLATE(B30164,""en"",""fr"")"),"La foule les encourage pour la compétition de rasage.")</f>
        <v>La foule les encourage pour la compétition de rasage.</v>
      </c>
    </row>
    <row r="30165">
      <c r="A30165" s="4" t="s">
        <v>37983</v>
      </c>
      <c r="B30165" s="6" t="s">
        <v>37984</v>
      </c>
      <c r="C30165" s="5" t="str">
        <f>IFERROR(__xludf.DUMMYFUNCTION("GOOGLETRANSLATE(B30165,""en"",""fr"")"),"Un petit groupe de personnes est vu debout côte à côte les uns les autres en train de frapper un sac l'un après l'autre.")</f>
        <v>Un petit groupe de personnes est vu debout côte à côte les uns les autres en train de frapper un sac l'un après l'autre.</v>
      </c>
    </row>
    <row r="30166">
      <c r="A30166" s="4" t="s">
        <v>37983</v>
      </c>
      <c r="B30166" s="4" t="s">
        <v>37985</v>
      </c>
      <c r="C30166" s="5" t="str">
        <f>IFERROR(__xludf.DUMMYFUNCTION("GOOGLETRANSLATE(B30166,""en"",""fr"")"),"Beaucoup de gens sont ensuite montrés en train de donner des coups de pied dans les sacs les uns aux autres.")</f>
        <v>Beaucoup de gens sont ensuite montrés en train de donner des coups de pied dans les sacs les uns aux autres.</v>
      </c>
    </row>
    <row r="30167">
      <c r="A30167" s="4" t="s">
        <v>37986</v>
      </c>
      <c r="B30167" s="4" t="s">
        <v>37987</v>
      </c>
      <c r="C30167" s="5" t="str">
        <f>IFERROR(__xludf.DUMMYFUNCTION("GOOGLETRANSLATE(B30167,""en"",""fr"")"),"Un homme se tient allumé un bâton avec des campeurs en arrière-plan et un feu de feu.")</f>
        <v>Un homme se tient allumé un bâton avec des campeurs en arrière-plan et un feu de feu.</v>
      </c>
    </row>
    <row r="30168">
      <c r="A30168" s="4" t="s">
        <v>37986</v>
      </c>
      <c r="B30168" s="4" t="s">
        <v>37988</v>
      </c>
      <c r="C30168" s="5" t="str">
        <f>IFERROR(__xludf.DUMMYFUNCTION("GOOGLETRANSLATE(B30168,""en"",""fr"")"),"Il colle le cône dans le feu et l'extrémité du bâton commence à prendre feu.")</f>
        <v>Il colle le cône dans le feu et l'extrémité du bâton commence à prendre feu.</v>
      </c>
    </row>
    <row r="30169">
      <c r="A30169" s="4" t="s">
        <v>37989</v>
      </c>
      <c r="B30169" s="4" t="s">
        <v>37990</v>
      </c>
      <c r="C30169" s="5" t="str">
        <f>IFERROR(__xludf.DUMMYFUNCTION("GOOGLETRANSLATE(B30169,""en"",""fr"")"),"Un gros plan d'une table de Fooseball est montré ainsi que des gens qui jouent sur la table.")</f>
        <v>Un gros plan d'une table de Fooseball est montré ainsi que des gens qui jouent sur la table.</v>
      </c>
    </row>
    <row r="30170">
      <c r="A30170" s="4" t="s">
        <v>37989</v>
      </c>
      <c r="B30170" s="6" t="s">
        <v>37991</v>
      </c>
      <c r="C30170" s="5" t="str">
        <f>IFERROR(__xludf.DUMMYFUNCTION("GOOGLETRANSLATE(B30170,""en"",""fr"")"),"Le jeu continue alors que les gens utilisent les bars pour déplacer le jeu à mesure que le ballon recule et quatrième.")</f>
        <v>Le jeu continue alors que les gens utilisent les bars pour déplacer le jeu à mesure que le ballon recule et quatrième.</v>
      </c>
    </row>
    <row r="30171">
      <c r="A30171" s="4" t="s">
        <v>37992</v>
      </c>
      <c r="B30171" s="4" t="s">
        <v>37993</v>
      </c>
      <c r="C30171" s="5" t="str">
        <f>IFERROR(__xludf.DUMMYFUNCTION("GOOGLETRANSLATE(B30171,""en"",""fr"")"),"Un groupe de personnes porte un équipement de plongée en apnée au bord de l'eau de l'océan.")</f>
        <v>Un groupe de personnes porte un équipement de plongée en apnée au bord de l'eau de l'océan.</v>
      </c>
    </row>
    <row r="30172">
      <c r="A30172" s="4" t="s">
        <v>37992</v>
      </c>
      <c r="B30172" s="4" t="s">
        <v>37994</v>
      </c>
      <c r="C30172" s="5" t="str">
        <f>IFERROR(__xludf.DUMMYFUNCTION("GOOGLETRANSLATE(B30172,""en"",""fr"")"),"Ils sont ensuite vus sous l'eau, explorant et regardant les poissons.")</f>
        <v>Ils sont ensuite vus sous l'eau, explorant et regardant les poissons.</v>
      </c>
    </row>
    <row r="30173">
      <c r="A30173" s="4" t="s">
        <v>37992</v>
      </c>
      <c r="B30173" s="4" t="s">
        <v>37995</v>
      </c>
      <c r="C30173" s="5" t="str">
        <f>IFERROR(__xludf.DUMMYFUNCTION("GOOGLETRANSLATE(B30173,""en"",""fr"")"),"Ils tendent la main pour toucher le poisson pendant qu'ils passent.")</f>
        <v>Ils tendent la main pour toucher le poisson pendant qu'ils passent.</v>
      </c>
    </row>
    <row r="30174">
      <c r="A30174" s="4" t="s">
        <v>37996</v>
      </c>
      <c r="B30174" s="4" t="s">
        <v>37997</v>
      </c>
      <c r="C30174" s="5" t="str">
        <f>IFERROR(__xludf.DUMMYFUNCTION("GOOGLETRANSLATE(B30174,""en"",""fr"")"),"Une fille joue sur un terrain de jeu.")</f>
        <v>Une fille joue sur un terrain de jeu.</v>
      </c>
    </row>
    <row r="30175">
      <c r="A30175" s="4" t="s">
        <v>37996</v>
      </c>
      <c r="B30175" s="4" t="s">
        <v>37998</v>
      </c>
      <c r="C30175" s="5" t="str">
        <f>IFERROR(__xludf.DUMMYFUNCTION("GOOGLETRANSLATE(B30175,""en"",""fr"")"),"Elle recule sur les barres de singe.")</f>
        <v>Elle recule sur les barres de singe.</v>
      </c>
    </row>
    <row r="30176">
      <c r="A30176" s="4" t="s">
        <v>37996</v>
      </c>
      <c r="B30176" s="4" t="s">
        <v>37999</v>
      </c>
      <c r="C30176" s="5" t="str">
        <f>IFERROR(__xludf.DUMMYFUNCTION("GOOGLETRANSLATE(B30176,""en"",""fr"")"),"Elle montre ses mains à la caméra et continue de parler.")</f>
        <v>Elle montre ses mains à la caméra et continue de parler.</v>
      </c>
    </row>
    <row r="30177">
      <c r="A30177" s="4" t="s">
        <v>38000</v>
      </c>
      <c r="B30177" s="4" t="s">
        <v>38001</v>
      </c>
      <c r="C30177" s="5" t="str">
        <f>IFERROR(__xludf.DUMMYFUNCTION("GOOGLETRANSLATE(B30177,""en"",""fr"")"),"Une femme joue une chanson classique sur le piano dans un film en noir et blanc.")</f>
        <v>Une femme joue une chanson classique sur le piano dans un film en noir et blanc.</v>
      </c>
    </row>
    <row r="30178">
      <c r="A30178" s="4" t="s">
        <v>38000</v>
      </c>
      <c r="B30178" s="4" t="s">
        <v>38002</v>
      </c>
      <c r="C30178" s="5" t="str">
        <f>IFERROR(__xludf.DUMMYFUNCTION("GOOGLETRANSLATE(B30178,""en"",""fr"")"),"Elle commence à accélérer le rythme de la musique qu'elle joue.")</f>
        <v>Elle commence à accélérer le rythme de la musique qu'elle joue.</v>
      </c>
    </row>
    <row r="30179">
      <c r="A30179" s="4" t="s">
        <v>38000</v>
      </c>
      <c r="B30179" s="4" t="s">
        <v>38003</v>
      </c>
      <c r="C30179" s="5" t="str">
        <f>IFERROR(__xludf.DUMMYFUNCTION("GOOGLETRANSLATE(B30179,""en"",""fr"")"),"La caméra la montre jouant du piano à partir des frais généraux.")</f>
        <v>La caméra la montre jouant du piano à partir des frais généraux.</v>
      </c>
    </row>
    <row r="30180">
      <c r="A30180" s="4" t="s">
        <v>38000</v>
      </c>
      <c r="B30180" s="4" t="s">
        <v>38004</v>
      </c>
      <c r="C30180" s="5" t="str">
        <f>IFERROR(__xludf.DUMMYFUNCTION("GOOGLETRANSLATE(B30180,""en"",""fr"")"),"Le public applaudit pour la femme et la vidéo se termine.")</f>
        <v>Le public applaudit pour la femme et la vidéo se termine.</v>
      </c>
    </row>
    <row r="30181">
      <c r="A30181" s="4" t="s">
        <v>38005</v>
      </c>
      <c r="B30181" s="4" t="s">
        <v>38006</v>
      </c>
      <c r="C30181" s="5" t="str">
        <f>IFERROR(__xludf.DUMMYFUNCTION("GOOGLETRANSLATE(B30181,""en"",""fr"")"),"Un groupe pose souriant pour la caméra.")</f>
        <v>Un groupe pose souriant pour la caméra.</v>
      </c>
    </row>
    <row r="30182">
      <c r="A30182" s="4" t="s">
        <v>38005</v>
      </c>
      <c r="B30182" s="4" t="s">
        <v>38007</v>
      </c>
      <c r="C30182" s="5" t="str">
        <f>IFERROR(__xludf.DUMMYFUNCTION("GOOGLETRANSLATE(B30182,""en"",""fr"")"),"Une vague de groupe à la caméra tandis que plus de personnes en arrière-plan marchent dans l'eau.")</f>
        <v>Une vague de groupe à la caméra tandis que plus de personnes en arrière-plan marchent dans l'eau.</v>
      </c>
    </row>
    <row r="30183">
      <c r="A30183" s="4" t="s">
        <v>38005</v>
      </c>
      <c r="B30183" s="4" t="s">
        <v>38008</v>
      </c>
      <c r="C30183" s="5" t="str">
        <f>IFERROR(__xludf.DUMMYFUNCTION("GOOGLETRANSLATE(B30183,""en"",""fr"")"),"Le groupe va rafter sur l'eau.")</f>
        <v>Le groupe va rafter sur l'eau.</v>
      </c>
    </row>
    <row r="30184">
      <c r="A30184" s="4" t="s">
        <v>38005</v>
      </c>
      <c r="B30184" s="4" t="s">
        <v>38009</v>
      </c>
      <c r="C30184" s="5" t="str">
        <f>IFERROR(__xludf.DUMMYFUNCTION("GOOGLETRANSLATE(B30184,""en"",""fr"")"),"Ils agitent à nouveau vers la caméra.")</f>
        <v>Ils agitent à nouveau vers la caméra.</v>
      </c>
    </row>
    <row r="30185">
      <c r="A30185" s="4" t="s">
        <v>38005</v>
      </c>
      <c r="B30185" s="4" t="s">
        <v>38010</v>
      </c>
      <c r="C30185" s="5" t="str">
        <f>IFERROR(__xludf.DUMMYFUNCTION("GOOGLETRANSLATE(B30185,""en"",""fr"")"),"Le groupe est montré dans leur radeau alors qu'ils naviguent le long de la rivière.")</f>
        <v>Le groupe est montré dans leur radeau alors qu'ils naviguent le long de la rivière.</v>
      </c>
    </row>
    <row r="30186">
      <c r="A30186" s="4" t="s">
        <v>38005</v>
      </c>
      <c r="B30186" s="4" t="s">
        <v>38011</v>
      </c>
      <c r="C30186" s="5" t="str">
        <f>IFERROR(__xludf.DUMMYFUNCTION("GOOGLETRANSLATE(B30186,""en"",""fr"")"),"On leur montre une pause dans la rivière.")</f>
        <v>On leur montre une pause dans la rivière.</v>
      </c>
    </row>
    <row r="30187">
      <c r="A30187" s="4" t="s">
        <v>38005</v>
      </c>
      <c r="B30187" s="4" t="s">
        <v>38012</v>
      </c>
      <c r="C30187" s="5" t="str">
        <f>IFERROR(__xludf.DUMMYFUNCTION("GOOGLETRANSLATE(B30187,""en"",""fr"")"),"Les images POV de l'un des chevrons.")</f>
        <v>Les images POV de l'un des chevrons.</v>
      </c>
    </row>
    <row r="30188">
      <c r="A30188" s="4" t="s">
        <v>38005</v>
      </c>
      <c r="B30188" s="4" t="s">
        <v>38013</v>
      </c>
      <c r="C30188" s="5" t="str">
        <f>IFERROR(__xludf.DUMMYFUNCTION("GOOGLETRANSLATE(B30188,""en"",""fr"")"),"Le groupe est hors de la rivière et de la randonnée.")</f>
        <v>Le groupe est hors de la rivière et de la randonnée.</v>
      </c>
    </row>
    <row r="30189">
      <c r="A30189" s="4" t="s">
        <v>38014</v>
      </c>
      <c r="B30189" s="4" t="s">
        <v>38015</v>
      </c>
      <c r="C30189" s="5" t="str">
        <f>IFERROR(__xludf.DUMMYFUNCTION("GOOGLETRANSLATE(B30189,""en"",""fr"")"),"Les hommes sont devant un miroir dans une pièce.")</f>
        <v>Les hommes sont devant un miroir dans une pièce.</v>
      </c>
    </row>
    <row r="30190">
      <c r="A30190" s="4" t="s">
        <v>38014</v>
      </c>
      <c r="B30190" s="4" t="s">
        <v>38016</v>
      </c>
      <c r="C30190" s="5" t="str">
        <f>IFERROR(__xludf.DUMMYFUNCTION("GOOGLETRANSLATE(B30190,""en"",""fr"")"),"L'homme est seul à pratiquer des coups de pied et des coups de poing.")</f>
        <v>L'homme est seul à pratiquer des coups de pied et des coups de poing.</v>
      </c>
    </row>
    <row r="30191">
      <c r="A30191" s="4" t="s">
        <v>38014</v>
      </c>
      <c r="B30191" s="4" t="s">
        <v>38017</v>
      </c>
      <c r="C30191" s="5" t="str">
        <f>IFERROR(__xludf.DUMMYFUNCTION("GOOGLETRANSLATE(B30191,""en"",""fr"")"),"L'homme portant une chemise blanche étire ses jambes en liant l'autre homme.")</f>
        <v>L'homme portant une chemise blanche étire ses jambes en liant l'autre homme.</v>
      </c>
    </row>
    <row r="30192">
      <c r="A30192" s="4" t="s">
        <v>38018</v>
      </c>
      <c r="B30192" s="6" t="s">
        <v>38019</v>
      </c>
      <c r="C30192" s="5" t="str">
        <f>IFERROR(__xludf.DUMMYFUNCTION("GOOGLETRANSLATE(B30192,""en"",""fr"")"),"Un grand groupe de personnes est vu se promener sur une place de la ville avec un jeune enfant au milieu jouant un instrument.")</f>
        <v>Un grand groupe de personnes est vu se promener sur une place de la ville avec un jeune enfant au milieu jouant un instrument.</v>
      </c>
    </row>
    <row r="30193">
      <c r="A30193" s="4" t="s">
        <v>38018</v>
      </c>
      <c r="B30193" s="4" t="s">
        <v>38020</v>
      </c>
      <c r="C30193" s="5" t="str">
        <f>IFERROR(__xludf.DUMMYFUNCTION("GOOGLETRANSLATE(B30193,""en"",""fr"")"),"Le garçon joue un saxophone pendant que les gens passent devant lui et mettent de l'argent.")</f>
        <v>Le garçon joue un saxophone pendant que les gens passent devant lui et mettent de l'argent.</v>
      </c>
    </row>
    <row r="30194">
      <c r="A30194" s="4" t="s">
        <v>38018</v>
      </c>
      <c r="B30194" s="4" t="s">
        <v>38021</v>
      </c>
      <c r="C30194" s="5" t="str">
        <f>IFERROR(__xludf.DUMMYFUNCTION("GOOGLETRANSLATE(B30194,""en"",""fr"")"),"Le garçon continue de jouer pendant que la caméra capture ses mouvements et d'autres s'arrêtent pour regarder.")</f>
        <v>Le garçon continue de jouer pendant que la caméra capture ses mouvements et d'autres s'arrêtent pour regarder.</v>
      </c>
    </row>
    <row r="30195">
      <c r="A30195" s="4" t="s">
        <v>38022</v>
      </c>
      <c r="B30195" s="4" t="s">
        <v>38023</v>
      </c>
      <c r="C30195" s="5" t="str">
        <f>IFERROR(__xludf.DUMMYFUNCTION("GOOGLETRANSLATE(B30195,""en"",""fr"")"),"Les gens sautent des planches de plongée dans la piscine en dessous d'eux.")</f>
        <v>Les gens sautent des planches de plongée dans la piscine en dessous d'eux.</v>
      </c>
    </row>
    <row r="30196">
      <c r="A30196" s="4" t="s">
        <v>38022</v>
      </c>
      <c r="B30196" s="4" t="s">
        <v>38024</v>
      </c>
      <c r="C30196" s="5" t="str">
        <f>IFERROR(__xludf.DUMMYFUNCTION("GOOGLETRANSLATE(B30196,""en"",""fr"")"),"Ils montent un escalier pour se rendre à la plongée.")</f>
        <v>Ils montent un escalier pour se rendre à la plongée.</v>
      </c>
    </row>
    <row r="30197">
      <c r="A30197" s="4" t="s">
        <v>38022</v>
      </c>
      <c r="B30197" s="4" t="s">
        <v>38025</v>
      </c>
      <c r="C30197" s="5" t="str">
        <f>IFERROR(__xludf.DUMMYFUNCTION("GOOGLETRANSLATE(B30197,""en"",""fr"")"),"Une personne fait un retour dans l'eau.")</f>
        <v>Une personne fait un retour dans l'eau.</v>
      </c>
    </row>
    <row r="30198">
      <c r="A30198" s="4" t="s">
        <v>38026</v>
      </c>
      <c r="B30198" s="4" t="s">
        <v>38027</v>
      </c>
      <c r="C30198" s="5" t="str">
        <f>IFERROR(__xludf.DUMMYFUNCTION("GOOGLETRANSLATE(B30198,""en"",""fr"")"),"La petite fille glisse sur le toboggan jaune et tomba sur la piscine de balles.")</f>
        <v>La petite fille glisse sur le toboggan jaune et tomba sur la piscine de balles.</v>
      </c>
    </row>
    <row r="30199">
      <c r="A30199" s="4" t="s">
        <v>38026</v>
      </c>
      <c r="B30199" s="4" t="s">
        <v>38028</v>
      </c>
      <c r="C30199" s="5" t="str">
        <f>IFERROR(__xludf.DUMMYFUNCTION("GOOGLETRANSLATE(B30199,""en"",""fr"")"),"La fille tend la main A alors qu'elle grimpe sur le dessus du toboggan.")</f>
        <v>La fille tend la main A alors qu'elle grimpe sur le dessus du toboggan.</v>
      </c>
    </row>
    <row r="30200">
      <c r="A30200" s="4" t="s">
        <v>38026</v>
      </c>
      <c r="B30200" s="4" t="s">
        <v>38029</v>
      </c>
      <c r="C30200" s="5" t="str">
        <f>IFERROR(__xludf.DUMMYFUNCTION("GOOGLETRANSLATE(B30200,""en"",""fr"")"),"La fille glisse à nouveau vers le bas et tomba sur la piscine de balle mais sur le ventre.")</f>
        <v>La fille glisse à nouveau vers le bas et tomba sur la piscine de balle mais sur le ventre.</v>
      </c>
    </row>
    <row r="30201">
      <c r="A30201" s="4" t="s">
        <v>38030</v>
      </c>
      <c r="B30201" s="4" t="s">
        <v>38031</v>
      </c>
      <c r="C30201" s="5" t="str">
        <f>IFERROR(__xludf.DUMMYFUNCTION("GOOGLETRANSLATE(B30201,""en"",""fr"")"),"Les filles descendent une petite diapositive rouge.")</f>
        <v>Les filles descendent une petite diapositive rouge.</v>
      </c>
    </row>
    <row r="30202">
      <c r="A30202" s="4" t="s">
        <v>38030</v>
      </c>
      <c r="B30202" s="4" t="s">
        <v>38032</v>
      </c>
      <c r="C30202" s="5" t="str">
        <f>IFERROR(__xludf.DUMMYFUNCTION("GOOGLETRANSLATE(B30202,""en"",""fr"")"),"Un homme en chemise rouge se tient derrière eux.")</f>
        <v>Un homme en chemise rouge se tient derrière eux.</v>
      </c>
    </row>
    <row r="30203">
      <c r="A30203" s="4" t="s">
        <v>38030</v>
      </c>
      <c r="B30203" s="4" t="s">
        <v>38033</v>
      </c>
      <c r="C30203" s="5" t="str">
        <f>IFERROR(__xludf.DUMMYFUNCTION("GOOGLETRANSLATE(B30203,""en"",""fr"")"),"Il s'éloigne vers la maison.")</f>
        <v>Il s'éloigne vers la maison.</v>
      </c>
    </row>
    <row r="30204">
      <c r="A30204" s="4" t="s">
        <v>38034</v>
      </c>
      <c r="B30204" s="4" t="s">
        <v>38035</v>
      </c>
      <c r="C30204" s="5" t="str">
        <f>IFERROR(__xludf.DUMMYFUNCTION("GOOGLETRANSLATE(B30204,""en"",""fr"")"),"Une jeune fille est à l'extérieur en descendant la route entre une forêt, puis se retrouve à l'aéroport.")</f>
        <v>Une jeune fille est à l'extérieur en descendant la route entre une forêt, puis se retrouve à l'aéroport.</v>
      </c>
    </row>
    <row r="30205">
      <c r="A30205" s="4" t="s">
        <v>38034</v>
      </c>
      <c r="B30205" s="4" t="s">
        <v>38036</v>
      </c>
      <c r="C30205" s="5" t="str">
        <f>IFERROR(__xludf.DUMMYFUNCTION("GOOGLETRANSLATE(B30205,""en"",""fr"")"),"Elle est assise à jouer sur son iPad, puis commence à monter à bord d'un avion.")</f>
        <v>Elle est assise à jouer sur son iPad, puis commence à monter à bord d'un avion.</v>
      </c>
    </row>
    <row r="30206">
      <c r="A30206" s="4" t="s">
        <v>38034</v>
      </c>
      <c r="B30206" s="4" t="s">
        <v>38037</v>
      </c>
      <c r="C30206" s="5" t="str">
        <f>IFERROR(__xludf.DUMMYFUNCTION("GOOGLETRANSLATE(B30206,""en"",""fr"")"),"L'avion atterrit et elle est dans une cabine et commence à skier dans une station.")</f>
        <v>L'avion atterrit et elle est dans une cabine et commence à skier dans une station.</v>
      </c>
    </row>
    <row r="30207">
      <c r="A30207" s="4" t="s">
        <v>38034</v>
      </c>
      <c r="B30207" s="6" t="s">
        <v>38038</v>
      </c>
      <c r="C30207" s="5" t="str">
        <f>IFERROR(__xludf.DUMMYFUNCTION("GOOGLETRANSLATE(B30207,""en"",""fr"")"),"Pendant qu'elle patine, elle change ses skis et l'écran est couvert d'un film statique gris et la personne continue avec ses activités de neige.")</f>
        <v>Pendant qu'elle patine, elle change ses skis et l'écran est couvert d'un film statique gris et la personne continue avec ses activités de neige.</v>
      </c>
    </row>
    <row r="30208">
      <c r="A30208" s="4" t="s">
        <v>38039</v>
      </c>
      <c r="B30208" s="4" t="s">
        <v>38040</v>
      </c>
      <c r="C30208" s="5" t="str">
        <f>IFERROR(__xludf.DUMMYFUNCTION("GOOGLETRANSLATE(B30208,""en"",""fr"")"),"Un homme flotte dans l'eau de l'océan qui parle.")</f>
        <v>Un homme flotte dans l'eau de l'océan qui parle.</v>
      </c>
    </row>
    <row r="30209">
      <c r="A30209" s="4" t="s">
        <v>38039</v>
      </c>
      <c r="B30209" s="4" t="s">
        <v>38041</v>
      </c>
      <c r="C30209" s="5" t="str">
        <f>IFERROR(__xludf.DUMMYFUNCTION("GOOGLETRANSLATE(B30209,""en"",""fr"")"),"Il parle ensuite à un groupe de personnes tout en buvant une boisson énergisante.")</f>
        <v>Il parle ensuite à un groupe de personnes tout en buvant une boisson énergisante.</v>
      </c>
    </row>
    <row r="30210">
      <c r="A30210" s="4" t="s">
        <v>38039</v>
      </c>
      <c r="B30210" s="4" t="s">
        <v>38042</v>
      </c>
      <c r="C30210" s="5" t="str">
        <f>IFERROR(__xludf.DUMMYFUNCTION("GOOGLETRANSLATE(B30210,""en"",""fr"")"),"Il élastique saute du côté d'un pont.")</f>
        <v>Il élastique saute du côté d'un pont.</v>
      </c>
    </row>
    <row r="30211">
      <c r="A30211" s="4" t="s">
        <v>38039</v>
      </c>
      <c r="B30211" s="4" t="s">
        <v>38043</v>
      </c>
      <c r="C30211" s="5" t="str">
        <f>IFERROR(__xludf.DUMMYFUNCTION("GOOGLETRANSLATE(B30211,""en"",""fr"")"),"Il parle à la caméra alors qu'il se balance au-dessus de l'eau.")</f>
        <v>Il parle à la caméra alors qu'il se balance au-dessus de l'eau.</v>
      </c>
    </row>
    <row r="30212">
      <c r="A30212" s="4" t="s">
        <v>38044</v>
      </c>
      <c r="B30212" s="4" t="s">
        <v>38045</v>
      </c>
      <c r="C30212" s="5" t="str">
        <f>IFERROR(__xludf.DUMMYFUNCTION("GOOGLETRANSLATE(B30212,""en"",""fr"")"),"Nous voyons un vestiaire et l'écran de titre.")</f>
        <v>Nous voyons un vestiaire et l'écran de titre.</v>
      </c>
    </row>
    <row r="30213">
      <c r="A30213" s="4" t="s">
        <v>38044</v>
      </c>
      <c r="B30213" s="4" t="s">
        <v>38046</v>
      </c>
      <c r="C30213" s="5" t="str">
        <f>IFERROR(__xludf.DUMMYFUNCTION("GOOGLETRANSLATE(B30213,""en"",""fr"")"),"Nous voyons un homme se terminer pour jeter le marteau sur l'athlétisme lors de sa troisième tentative.")</f>
        <v>Nous voyons un homme se terminer pour jeter le marteau sur l'athlétisme lors de sa troisième tentative.</v>
      </c>
    </row>
    <row r="30214">
      <c r="A30214" s="4" t="s">
        <v>38044</v>
      </c>
      <c r="B30214" s="4" t="s">
        <v>38047</v>
      </c>
      <c r="C30214" s="5" t="str">
        <f>IFERROR(__xludf.DUMMYFUNCTION("GOOGLETRANSLATE(B30214,""en"",""fr"")"),"Après son lancement, nous voyons des hommes mesurer la distance.")</f>
        <v>Après son lancement, nous voyons des hommes mesurer la distance.</v>
      </c>
    </row>
    <row r="30215">
      <c r="A30215" s="4" t="s">
        <v>38044</v>
      </c>
      <c r="B30215" s="4" t="s">
        <v>38048</v>
      </c>
      <c r="C30215" s="5" t="str">
        <f>IFERROR(__xludf.DUMMYFUNCTION("GOOGLETRANSLATE(B30215,""en"",""fr"")"),"Nous voyons ensuite sa cinquième tentative et la mesure.")</f>
        <v>Nous voyons ensuite sa cinquième tentative et la mesure.</v>
      </c>
    </row>
    <row r="30216">
      <c r="A30216" s="4" t="s">
        <v>38044</v>
      </c>
      <c r="B30216" s="4" t="s">
        <v>38049</v>
      </c>
      <c r="C30216" s="5" t="str">
        <f>IFERROR(__xludf.DUMMYFUNCTION("GOOGLETRANSLATE(B30216,""en"",""fr"")"),"Nous voyons ensuite sa sixième tentative et ses mesures.")</f>
        <v>Nous voyons ensuite sa sixième tentative et ses mesures.</v>
      </c>
    </row>
    <row r="30217">
      <c r="A30217" s="4" t="s">
        <v>38044</v>
      </c>
      <c r="B30217" s="4" t="s">
        <v>38050</v>
      </c>
      <c r="C30217" s="5" t="str">
        <f>IFERROR(__xludf.DUMMYFUNCTION("GOOGLETRANSLATE(B30217,""en"",""fr"")"),"La caméra zoome sur l'homme alors qu'il serre une autre main de l'homme.")</f>
        <v>La caméra zoome sur l'homme alors qu'il serre une autre main de l'homme.</v>
      </c>
    </row>
    <row r="30218">
      <c r="A30218" s="4" t="s">
        <v>38044</v>
      </c>
      <c r="B30218" s="4" t="s">
        <v>38051</v>
      </c>
      <c r="C30218" s="5" t="str">
        <f>IFERROR(__xludf.DUMMYFUNCTION("GOOGLETRANSLATE(B30218,""en"",""fr"")"),"Nous voyons ensuite 8 hommes debout sur des plates-formes tenant des plaques.")</f>
        <v>Nous voyons ensuite 8 hommes debout sur des plates-formes tenant des plaques.</v>
      </c>
    </row>
    <row r="30219">
      <c r="A30219" s="4" t="s">
        <v>38052</v>
      </c>
      <c r="B30219" s="4" t="s">
        <v>38053</v>
      </c>
      <c r="C30219" s="5" t="str">
        <f>IFERROR(__xludf.DUMMYFUNCTION("GOOGLETRANSLATE(B30219,""en"",""fr"")"),"Une jeune fille joue la clarinette.")</f>
        <v>Une jeune fille joue la clarinette.</v>
      </c>
    </row>
    <row r="30220">
      <c r="A30220" s="4" t="s">
        <v>38052</v>
      </c>
      <c r="B30220" s="4" t="s">
        <v>38054</v>
      </c>
      <c r="C30220" s="5" t="str">
        <f>IFERROR(__xludf.DUMMYFUNCTION("GOOGLETRANSLATE(B30220,""en"",""fr"")"),"La fille s'arrête une seconde pour retourner sa feuille de musique devant elle.")</f>
        <v>La fille s'arrête une seconde pour retourner sa feuille de musique devant elle.</v>
      </c>
    </row>
    <row r="30221">
      <c r="A30221" s="4" t="s">
        <v>38052</v>
      </c>
      <c r="B30221" s="4" t="s">
        <v>38055</v>
      </c>
      <c r="C30221" s="5" t="str">
        <f>IFERROR(__xludf.DUMMYFUNCTION("GOOGLETRANSLATE(B30221,""en"",""fr"")"),"La jeune fille reprend en jouant sa clarinette.")</f>
        <v>La jeune fille reprend en jouant sa clarinette.</v>
      </c>
    </row>
    <row r="30222">
      <c r="A30222" s="4" t="s">
        <v>38052</v>
      </c>
      <c r="B30222" s="4" t="s">
        <v>38056</v>
      </c>
      <c r="C30222" s="5" t="str">
        <f>IFERROR(__xludf.DUMMYFUNCTION("GOOGLETRANSLATE(B30222,""en"",""fr"")"),"La fille s'arrête et a l'air satisfaite de sa performance.")</f>
        <v>La fille s'arrête et a l'air satisfaite de sa performance.</v>
      </c>
    </row>
    <row r="30223">
      <c r="A30223" s="4" t="s">
        <v>38057</v>
      </c>
      <c r="B30223" s="4" t="s">
        <v>38058</v>
      </c>
      <c r="C30223" s="5" t="str">
        <f>IFERROR(__xludf.DUMMYFUNCTION("GOOGLETRANSLATE(B30223,""en"",""fr"")"),"Plusieurs intros mènent à une course à vélo entre 3 hommes sur des vélos.")</f>
        <v>Plusieurs intros mènent à une course à vélo entre 3 hommes sur des vélos.</v>
      </c>
    </row>
    <row r="30224">
      <c r="A30224" s="4" t="s">
        <v>38057</v>
      </c>
      <c r="B30224" s="4" t="s">
        <v>38059</v>
      </c>
      <c r="C30224" s="5" t="str">
        <f>IFERROR(__xludf.DUMMYFUNCTION("GOOGLETRANSLATE(B30224,""en"",""fr"")"),"L'un s'écrase fort pendant que les autres passent et continuent la course.")</f>
        <v>L'un s'écrase fort pendant que les autres passent et continuent la course.</v>
      </c>
    </row>
    <row r="30225">
      <c r="A30225" s="4" t="s">
        <v>38057</v>
      </c>
      <c r="B30225" s="4" t="s">
        <v>38060</v>
      </c>
      <c r="C30225" s="5" t="str">
        <f>IFERROR(__xludf.DUMMYFUNCTION("GOOGLETRANSLATE(B30225,""en"",""fr"")"),"Tous les hommes continuent de parcourir la piste jusqu'à ce que l'on gagne finalement tandis que l'on le poursuit.")</f>
        <v>Tous les hommes continuent de parcourir la piste jusqu'à ce que l'on gagne finalement tandis que l'on le poursuit.</v>
      </c>
    </row>
    <row r="30226">
      <c r="A30226" s="4" t="s">
        <v>38061</v>
      </c>
      <c r="B30226" s="4" t="s">
        <v>38062</v>
      </c>
      <c r="C30226" s="5" t="str">
        <f>IFERROR(__xludf.DUMMYFUNCTION("GOOGLETRANSLATE(B30226,""en"",""fr"")"),"Une jeune fille nettoie l'évier.")</f>
        <v>Une jeune fille nettoie l'évier.</v>
      </c>
    </row>
    <row r="30227">
      <c r="A30227" s="4" t="s">
        <v>38061</v>
      </c>
      <c r="B30227" s="4" t="s">
        <v>38063</v>
      </c>
      <c r="C30227" s="5" t="str">
        <f>IFERROR(__xludf.DUMMYFUNCTION("GOOGLETRANSLATE(B30227,""en"",""fr"")"),"La fille se fait mouiller sa chemise.")</f>
        <v>La fille se fait mouiller sa chemise.</v>
      </c>
    </row>
    <row r="30228">
      <c r="A30228" s="4" t="s">
        <v>38061</v>
      </c>
      <c r="B30228" s="4" t="s">
        <v>38064</v>
      </c>
      <c r="C30228" s="5" t="str">
        <f>IFERROR(__xludf.DUMMYFUNCTION("GOOGLETRANSLATE(B30228,""en"",""fr"")"),"La fille pointe vers le drain de l'évier.")</f>
        <v>La fille pointe vers le drain de l'évier.</v>
      </c>
    </row>
    <row r="30229">
      <c r="A30229" s="4" t="s">
        <v>38065</v>
      </c>
      <c r="B30229" s="4" t="s">
        <v>38066</v>
      </c>
      <c r="C30229" s="5" t="str">
        <f>IFERROR(__xludf.DUMMYFUNCTION("GOOGLETRANSLATE(B30229,""en"",""fr"")"),"Un jeune enfant est montré en frottant des paillettes sur ses lèvres et en marchant vers un miroir.")</f>
        <v>Un jeune enfant est montré en frottant des paillettes sur ses lèvres et en marchant vers un miroir.</v>
      </c>
    </row>
    <row r="30230">
      <c r="A30230" s="4" t="s">
        <v>38065</v>
      </c>
      <c r="B30230" s="6" t="s">
        <v>38067</v>
      </c>
      <c r="C30230" s="5" t="str">
        <f>IFERROR(__xludf.DUMMYFUNCTION("GOOGLETRANSLATE(B30230,""en"",""fr"")"),"Il continue de mettre le brillant sur ses lèvres et de frapper ses lèvres et finalement se tourner vers la caméra pour parler.")</f>
        <v>Il continue de mettre le brillant sur ses lèvres et de frapper ses lèvres et finalement se tourner vers la caméra pour parler.</v>
      </c>
    </row>
    <row r="30231">
      <c r="A30231" s="4" t="s">
        <v>38068</v>
      </c>
      <c r="B30231" s="4" t="s">
        <v>38069</v>
      </c>
      <c r="C30231" s="5" t="str">
        <f>IFERROR(__xludf.DUMMYFUNCTION("GOOGLETRANSLATE(B30231,""en"",""fr"")"),"Un homme et une femme travaillent sur la machine à cardio.")</f>
        <v>Un homme et une femme travaillent sur la machine à cardio.</v>
      </c>
    </row>
    <row r="30232">
      <c r="A30232" s="4" t="s">
        <v>38068</v>
      </c>
      <c r="B30232" s="4" t="s">
        <v>38070</v>
      </c>
      <c r="C30232" s="5" t="str">
        <f>IFERROR(__xludf.DUMMYFUNCTION("GOOGLETRANSLATE(B30232,""en"",""fr"")"),"La longueur de foulée de la pédale est affichée à l'écran.")</f>
        <v>La longueur de foulée de la pédale est affichée à l'écran.</v>
      </c>
    </row>
    <row r="30233">
      <c r="A30233" s="4" t="s">
        <v>38068</v>
      </c>
      <c r="B30233" s="4" t="s">
        <v>38071</v>
      </c>
      <c r="C30233" s="5" t="str">
        <f>IFERROR(__xludf.DUMMYFUNCTION("GOOGLETRANSLATE(B30233,""en"",""fr"")"),"Ensuite, l'homme vient rencontrer la femme qui fait de l'exercice.")</f>
        <v>Ensuite, l'homme vient rencontrer la femme qui fait de l'exercice.</v>
      </c>
    </row>
    <row r="30234">
      <c r="A30234" s="4" t="s">
        <v>38068</v>
      </c>
      <c r="B30234" s="4" t="s">
        <v>38072</v>
      </c>
      <c r="C30234" s="5" t="str">
        <f>IFERROR(__xludf.DUMMYFUNCTION("GOOGLETRANSLATE(B30234,""en"",""fr"")"),"Ensuite, l'exercice de l'homme et les muscles de l'abdomen sont montrés.")</f>
        <v>Ensuite, l'exercice de l'homme et les muscles de l'abdomen sont montrés.</v>
      </c>
    </row>
    <row r="30235">
      <c r="A30235" s="4" t="s">
        <v>38068</v>
      </c>
      <c r="B30235" s="4" t="s">
        <v>38073</v>
      </c>
      <c r="C30235" s="5" t="str">
        <f>IFERROR(__xludf.DUMMYFUNCTION("GOOGLETRANSLATE(B30235,""en"",""fr"")"),"Les étapes de la machine et du panneau d'écran sont affichées.")</f>
        <v>Les étapes de la machine et du panneau d'écran sont affichées.</v>
      </c>
    </row>
    <row r="30236">
      <c r="A30236" s="4" t="s">
        <v>38074</v>
      </c>
      <c r="B30236" s="6" t="s">
        <v>38075</v>
      </c>
      <c r="C30236" s="5" t="str">
        <f>IFERROR(__xludf.DUMMYFUNCTION("GOOGLETRANSLATE(B30236,""en"",""fr"")"),"Une fille et un garçon jouent au ping-pong dans une pièce de type sous-sol avec une table de ping-pong et des lumières florales pour l'éclairage.")</f>
        <v>Une fille et un garçon jouent au ping-pong dans une pièce de type sous-sol avec une table de ping-pong et des lumières florales pour l'éclairage.</v>
      </c>
    </row>
    <row r="30237">
      <c r="A30237" s="4" t="s">
        <v>38074</v>
      </c>
      <c r="B30237" s="4" t="s">
        <v>38076</v>
      </c>
      <c r="C30237" s="5" t="str">
        <f>IFERROR(__xludf.DUMMYFUNCTION("GOOGLETRANSLATE(B30237,""en"",""fr"")"),"Le garçon s'approche de la caméra pour un gros plan.")</f>
        <v>Le garçon s'approche de la caméra pour un gros plan.</v>
      </c>
    </row>
    <row r="30238">
      <c r="A30238" s="4" t="s">
        <v>38074</v>
      </c>
      <c r="B30238" s="4" t="s">
        <v>38077</v>
      </c>
      <c r="C30238" s="5" t="str">
        <f>IFERROR(__xludf.DUMMYFUNCTION("GOOGLETRANSLATE(B30238,""en"",""fr"")"),"Le garçon et la fille recommencent à jouer à nouveau de ping-pong.")</f>
        <v>Le garçon et la fille recommencent à jouer à nouveau de ping-pong.</v>
      </c>
    </row>
    <row r="30239">
      <c r="A30239" s="4" t="s">
        <v>38078</v>
      </c>
      <c r="B30239" s="6" t="s">
        <v>38079</v>
      </c>
      <c r="C30239" s="5" t="str">
        <f>IFERROR(__xludf.DUMMYFUNCTION("GOOGLETRANSLATE(B30239,""en"",""fr"")"),"La jeune fille en chemise grise brosse le string, tandis que la femme en t-shirt bleu lave les casseroles, et l'autre fille tient une éponge.")</f>
        <v>La jeune fille en chemise grise brosse le string, tandis que la femme en t-shirt bleu lave les casseroles, et l'autre fille tient une éponge.</v>
      </c>
    </row>
    <row r="30240">
      <c r="A30240" s="4" t="s">
        <v>38078</v>
      </c>
      <c r="B30240" s="4" t="s">
        <v>38080</v>
      </c>
      <c r="C30240" s="5" t="str">
        <f>IFERROR(__xludf.DUMMYFUNCTION("GOOGLETRANSLATE(B30240,""en"",""fr"")"),"La fille plus âgée en bleu lave le couteau, tandis que l'autre essuie le bol.")</f>
        <v>La fille plus âgée en bleu lave le couteau, tandis que l'autre essuie le bol.</v>
      </c>
    </row>
    <row r="30241">
      <c r="A30241" s="4" t="s">
        <v>38078</v>
      </c>
      <c r="B30241" s="4" t="s">
        <v>38081</v>
      </c>
      <c r="C30241" s="5" t="str">
        <f>IFERROR(__xludf.DUMMYFUNCTION("GOOGLETRANSLATE(B30241,""en"",""fr"")"),"Les filles ont mis la vaisselle propre sur le rack pour la sécher.")</f>
        <v>Les filles ont mis la vaisselle propre sur le rack pour la sécher.</v>
      </c>
    </row>
    <row r="30242">
      <c r="A30242" s="4" t="s">
        <v>38082</v>
      </c>
      <c r="B30242" s="4" t="s">
        <v>38083</v>
      </c>
      <c r="C30242" s="5" t="str">
        <f>IFERROR(__xludf.DUMMYFUNCTION("GOOGLETRANSLATE(B30242,""en"",""fr"")"),"Une femme sourit à la caméra.")</f>
        <v>Une femme sourit à la caméra.</v>
      </c>
    </row>
    <row r="30243">
      <c r="A30243" s="4" t="s">
        <v>38082</v>
      </c>
      <c r="B30243" s="4" t="s">
        <v>38084</v>
      </c>
      <c r="C30243" s="5" t="str">
        <f>IFERROR(__xludf.DUMMYFUNCTION("GOOGLETRANSLATE(B30243,""en"",""fr"")"),"La femme rince une brosse à dents sous l'eau.")</f>
        <v>La femme rince une brosse à dents sous l'eau.</v>
      </c>
    </row>
    <row r="30244">
      <c r="A30244" s="4" t="s">
        <v>38082</v>
      </c>
      <c r="B30244" s="4" t="s">
        <v>38085</v>
      </c>
      <c r="C30244" s="5" t="str">
        <f>IFERROR(__xludf.DUMMYFUNCTION("GOOGLETRANSLATE(B30244,""en"",""fr"")"),"La femme applique le dentifrice à la brosse à dents.")</f>
        <v>La femme applique le dentifrice à la brosse à dents.</v>
      </c>
    </row>
    <row r="30245">
      <c r="A30245" s="4" t="s">
        <v>38082</v>
      </c>
      <c r="B30245" s="4" t="s">
        <v>38086</v>
      </c>
      <c r="C30245" s="5" t="str">
        <f>IFERROR(__xludf.DUMMYFUNCTION("GOOGLETRANSLATE(B30245,""en"",""fr"")"),"La femme démontre le brossage des dents.")</f>
        <v>La femme démontre le brossage des dents.</v>
      </c>
    </row>
    <row r="30246">
      <c r="A30246" s="4" t="s">
        <v>38082</v>
      </c>
      <c r="B30246" s="4" t="s">
        <v>38087</v>
      </c>
      <c r="C30246" s="5" t="str">
        <f>IFERROR(__xludf.DUMMYFUNCTION("GOOGLETRANSLATE(B30246,""en"",""fr"")"),"La femme rince à nouveau la brosse à dents sous l'eau.")</f>
        <v>La femme rince à nouveau la brosse à dents sous l'eau.</v>
      </c>
    </row>
    <row r="30247">
      <c r="A30247" s="4" t="s">
        <v>38082</v>
      </c>
      <c r="B30247" s="4" t="s">
        <v>38088</v>
      </c>
      <c r="C30247" s="5" t="str">
        <f>IFERROR(__xludf.DUMMYFUNCTION("GOOGLETRANSLATE(B30247,""en"",""fr"")"),"La femme rince la bouche avec un verre d'eau.")</f>
        <v>La femme rince la bouche avec un verre d'eau.</v>
      </c>
    </row>
    <row r="30248">
      <c r="A30248" s="4" t="s">
        <v>38082</v>
      </c>
      <c r="B30248" s="4" t="s">
        <v>38089</v>
      </c>
      <c r="C30248" s="5" t="str">
        <f>IFERROR(__xludf.DUMMYFUNCTION("GOOGLETRANSLATE(B30248,""en"",""fr"")"),"La femme serpente sa bouche et montre ses dents.")</f>
        <v>La femme serpente sa bouche et montre ses dents.</v>
      </c>
    </row>
    <row r="30249">
      <c r="A30249" s="4" t="s">
        <v>38090</v>
      </c>
      <c r="B30249" s="4" t="s">
        <v>38091</v>
      </c>
      <c r="C30249" s="5" t="str">
        <f>IFERROR(__xludf.DUMMYFUNCTION("GOOGLETRANSLATE(B30249,""en"",""fr"")"),"Un groupe d'athlètes est montré debout sur un monticule, tandis que l'on lance une balle à un autre joueur.")</f>
        <v>Un groupe d'athlètes est montré debout sur un monticule, tandis que l'on lance une balle à un autre joueur.</v>
      </c>
    </row>
    <row r="30250">
      <c r="A30250" s="4" t="s">
        <v>38090</v>
      </c>
      <c r="B30250" s="4" t="s">
        <v>38092</v>
      </c>
      <c r="C30250" s="5" t="str">
        <f>IFERROR(__xludf.DUMMYFUNCTION("GOOGLETRANSLATE(B30250,""en"",""fr"")"),"Le frappeur frappe le ballon dans les tribunes et le moment est repris en 3D.")</f>
        <v>Le frappeur frappe le ballon dans les tribunes et le moment est repris en 3D.</v>
      </c>
    </row>
    <row r="30251">
      <c r="A30251" s="4" t="s">
        <v>38090</v>
      </c>
      <c r="B30251" s="4" t="s">
        <v>38093</v>
      </c>
      <c r="C30251" s="5" t="str">
        <f>IFERROR(__xludf.DUMMYFUNCTION("GOOGLETRANSLATE(B30251,""en"",""fr"")"),"Un journaliste commente à quel point le coup était incroyable et le rejoue sous différents angles.")</f>
        <v>Un journaliste commente à quel point le coup était incroyable et le rejoue sous différents angles.</v>
      </c>
    </row>
    <row r="30252">
      <c r="A30252" s="4" t="s">
        <v>38090</v>
      </c>
      <c r="B30252" s="4" t="s">
        <v>38094</v>
      </c>
      <c r="C30252" s="5" t="str">
        <f>IFERROR(__xludf.DUMMYFUNCTION("GOOGLETRANSLATE(B30252,""en"",""fr"")"),"Le joueur est interviewé par un journaliste et a encore une fois son moment affiché à la télévision.")</f>
        <v>Le joueur est interviewé par un journaliste et a encore une fois son moment affiché à la télévision.</v>
      </c>
    </row>
    <row r="30253">
      <c r="A30253" s="4" t="s">
        <v>38095</v>
      </c>
      <c r="B30253" s="4" t="s">
        <v>38096</v>
      </c>
      <c r="C30253" s="5" t="str">
        <f>IFERROR(__xludf.DUMMYFUNCTION("GOOGLETRANSLATE(B30253,""en"",""fr"")"),"À l'intérieur d'un magasin d'escalade, des hommes sont rassemblés autour d'un saut sur une corde.")</f>
        <v>À l'intérieur d'un magasin d'escalade, des hommes sont rassemblés autour d'un saut sur une corde.</v>
      </c>
    </row>
    <row r="30254">
      <c r="A30254" s="4" t="s">
        <v>38095</v>
      </c>
      <c r="B30254" s="4" t="s">
        <v>38097</v>
      </c>
      <c r="C30254" s="5" t="str">
        <f>IFERROR(__xludf.DUMMYFUNCTION("GOOGLETRANSLATE(B30254,""en"",""fr"")"),"L'homme dans le vert fait quelques trucs, puis un homme en sweat à capuche saute et marche dessus.")</f>
        <v>L'homme dans le vert fait quelques trucs, puis un homme en sweat à capuche saute et marche dessus.</v>
      </c>
    </row>
    <row r="30255">
      <c r="A30255" s="4" t="s">
        <v>38095</v>
      </c>
      <c r="B30255" s="4" t="s">
        <v>38098</v>
      </c>
      <c r="C30255" s="5" t="str">
        <f>IFERROR(__xludf.DUMMYFUNCTION("GOOGLETRANSLATE(B30255,""en"",""fr"")"),"Quelqu'un a une caméra et tout le monde est dispersé pour faire son propre truc.")</f>
        <v>Quelqu'un a une caméra et tout le monde est dispersé pour faire son propre truc.</v>
      </c>
    </row>
    <row r="30256">
      <c r="A30256" s="4" t="s">
        <v>38095</v>
      </c>
      <c r="B30256" s="4" t="s">
        <v>38099</v>
      </c>
      <c r="C30256" s="5" t="str">
        <f>IFERROR(__xludf.DUMMYFUNCTION("GOOGLETRANSLATE(B30256,""en"",""fr"")"),"L'homme dans le vert continue de sauter sur la corde jusqu'à ce qu'il le retire.")</f>
        <v>L'homme dans le vert continue de sauter sur la corde jusqu'à ce qu'il le retire.</v>
      </c>
    </row>
    <row r="30257">
      <c r="A30257" s="4" t="s">
        <v>38100</v>
      </c>
      <c r="B30257" s="6" t="s">
        <v>38101</v>
      </c>
      <c r="C30257" s="5" t="str">
        <f>IFERROR(__xludf.DUMMYFUNCTION("GOOGLETRANSLATE(B30257,""en"",""fr"")"),"Un long sauteur d'athlétisme des Gators de Floride vêtus de bleu et d'orange se prépare à faire sa course tandis que d'autres participants, entraîneurs et fonctionnaires se rassemblent autour du parcours d'athlétisme.")</f>
        <v>Un long sauteur d'athlétisme des Gators de Floride vêtus de bleu et d'orange se prépare à faire sa course tandis que d'autres participants, entraîneurs et fonctionnaires se rassemblent autour du parcours d'athlétisme.</v>
      </c>
    </row>
    <row r="30258">
      <c r="A30258" s="4" t="s">
        <v>38100</v>
      </c>
      <c r="B30258" s="6" t="s">
        <v>38102</v>
      </c>
      <c r="C30258" s="5" t="str">
        <f>IFERROR(__xludf.DUMMYFUNCTION("GOOGLETRANSLATE(B30258,""en"",""fr"")"),"Le Florida Gator Long Jumper commence sa course avec une marche avant progressive, puis un saut et un sprint rapide sur le marqueur de saut de sable.")</f>
        <v>Le Florida Gator Long Jumper commence sa course avec une marche avant progressive, puis un saut et un sprint rapide sur le marqueur de saut de sable.</v>
      </c>
    </row>
    <row r="30259">
      <c r="A30259" s="4" t="s">
        <v>38100</v>
      </c>
      <c r="B30259" s="4" t="s">
        <v>38103</v>
      </c>
      <c r="C30259" s="5" t="str">
        <f>IFERROR(__xludf.DUMMYFUNCTION("GOOGLETRANSLATE(B30259,""en"",""fr"")"),"Le long sauteur de Florida Gator saute et vole dans l'air et atterrit dans le sable.")</f>
        <v>Le long sauteur de Florida Gator saute et vole dans l'air et atterrit dans le sable.</v>
      </c>
    </row>
    <row r="30260">
      <c r="A30260" s="4" t="s">
        <v>38100</v>
      </c>
      <c r="B30260" s="4" t="s">
        <v>38104</v>
      </c>
      <c r="C30260" s="5" t="str">
        <f>IFERROR(__xludf.DUMMYFUNCTION("GOOGLETRANSLATE(B30260,""en"",""fr"")"),"La caméra passe à la carte de score montrant les résultats des cavaliers en longueur.")</f>
        <v>La caméra passe à la carte de score montrant les résultats des cavaliers en longueur.</v>
      </c>
    </row>
    <row r="30261">
      <c r="A30261" s="4" t="s">
        <v>38105</v>
      </c>
      <c r="B30261" s="4" t="s">
        <v>38106</v>
      </c>
      <c r="C30261" s="5" t="str">
        <f>IFERROR(__xludf.DUMMYFUNCTION("GOOGLETRANSLATE(B30261,""en"",""fr"")"),"Une intro commence et mène à une femme debout à côté d'un sheppard allemand sur une table.")</f>
        <v>Une intro commence et mène à une femme debout à côté d'un sheppard allemand sur une table.</v>
      </c>
    </row>
    <row r="30262">
      <c r="A30262" s="4" t="s">
        <v>38105</v>
      </c>
      <c r="B30262" s="6" t="s">
        <v>38107</v>
      </c>
      <c r="C30262" s="5" t="str">
        <f>IFERROR(__xludf.DUMMYFUNCTION("GOOGLETRANSLATE(B30262,""en"",""fr"")"),"Une montre de mouvement rapide autour de la boutique se produit puis montre que la femme brossant le chien avec plusieurs instruments.")</f>
        <v>Une montre de mouvement rapide autour de la boutique se produit puis montre que la femme brossant le chien avec plusieurs instruments.</v>
      </c>
    </row>
    <row r="30263">
      <c r="A30263" s="4" t="s">
        <v>38105</v>
      </c>
      <c r="B30263" s="4" t="s">
        <v>38108</v>
      </c>
      <c r="C30263" s="5" t="str">
        <f>IFERROR(__xludf.DUMMYFUNCTION("GOOGLETRANSLATE(B30263,""en"",""fr"")"),"Elle caresse un peu le chien tout en continuant à le brosser et à parler à la caméra.")</f>
        <v>Elle caresse un peu le chien tout en continuant à le brosser et à parler à la caméra.</v>
      </c>
    </row>
    <row r="30264">
      <c r="A30264" s="4" t="s">
        <v>38109</v>
      </c>
      <c r="B30264" s="4" t="s">
        <v>38110</v>
      </c>
      <c r="C30264" s="5" t="str">
        <f>IFERROR(__xludf.DUMMYFUNCTION("GOOGLETRANSLATE(B30264,""en"",""fr"")"),"Les petites filles permettent en tenant des bâtons se déplaçant autour d'un tour des bâtons.")</f>
        <v>Les petites filles permettent en tenant des bâtons se déplaçant autour d'un tour des bâtons.</v>
      </c>
    </row>
    <row r="30265">
      <c r="A30265" s="4" t="s">
        <v>38109</v>
      </c>
      <c r="B30265" s="4" t="s">
        <v>38111</v>
      </c>
      <c r="C30265" s="5" t="str">
        <f>IFERROR(__xludf.DUMMYFUNCTION("GOOGLETRANSLATE(B30265,""en"",""fr"")"),"Les petites filles tiennent les bâtons et sautent en se retournant.")</f>
        <v>Les petites filles tiennent les bâtons et sautent en se retournant.</v>
      </c>
    </row>
    <row r="30266">
      <c r="A30266" s="4" t="s">
        <v>38109</v>
      </c>
      <c r="B30266" s="4" t="s">
        <v>38112</v>
      </c>
      <c r="C30266" s="5" t="str">
        <f>IFERROR(__xludf.DUMMYFUNCTION("GOOGLETRANSLATE(B30266,""en"",""fr"")"),"Deux femmes se dirigent vers la porte.")</f>
        <v>Deux femmes se dirigent vers la porte.</v>
      </c>
    </row>
    <row r="30267">
      <c r="A30267" s="4" t="s">
        <v>38109</v>
      </c>
      <c r="B30267" s="4" t="s">
        <v>38113</v>
      </c>
      <c r="C30267" s="5" t="str">
        <f>IFERROR(__xludf.DUMMYFUNCTION("GOOGLETRANSLATE(B30267,""en"",""fr"")"),"Après, les petites filles tournent sur le sol, puis continuent de sauter et de tourner.")</f>
        <v>Après, les petites filles tournent sur le sol, puis continuent de sauter et de tourner.</v>
      </c>
    </row>
    <row r="30268">
      <c r="A30268" s="4" t="s">
        <v>38109</v>
      </c>
      <c r="B30268" s="4" t="s">
        <v>38114</v>
      </c>
      <c r="C30268" s="5" t="str">
        <f>IFERROR(__xludf.DUMMYFUNCTION("GOOGLETRANSLATE(B30268,""en"",""fr"")"),"Ensuite, les filles se réunissent pour saluer.")</f>
        <v>Ensuite, les filles se réunissent pour saluer.</v>
      </c>
    </row>
    <row r="30269">
      <c r="A30269" s="4" t="s">
        <v>38115</v>
      </c>
      <c r="B30269" s="4" t="s">
        <v>38116</v>
      </c>
      <c r="C30269" s="5" t="str">
        <f>IFERROR(__xludf.DUMMYFUNCTION("GOOGLETRANSLATE(B30269,""en"",""fr"")"),"Un homme joue Tam-Tam, puis il parle avec des mains croisées sur un tan.")</f>
        <v>Un homme joue Tam-Tam, puis il parle avec des mains croisées sur un tan.</v>
      </c>
    </row>
    <row r="30270">
      <c r="A30270" s="4" t="s">
        <v>38115</v>
      </c>
      <c r="B30270" s="4" t="s">
        <v>38117</v>
      </c>
      <c r="C30270" s="5" t="str">
        <f>IFERROR(__xludf.DUMMYFUNCTION("GOOGLETRANSLATE(B30270,""en"",""fr"")"),"Ensuite, l'homme joue Tam-Tam avec sa main droite et joue avec des bâtons avec la main gauche.")</f>
        <v>Ensuite, l'homme joue Tam-Tam avec sa main droite et joue avec des bâtons avec la main gauche.</v>
      </c>
    </row>
    <row r="30271">
      <c r="A30271" s="4" t="s">
        <v>38118</v>
      </c>
      <c r="B30271" s="4" t="s">
        <v>38119</v>
      </c>
      <c r="C30271" s="5" t="str">
        <f>IFERROR(__xludf.DUMMYFUNCTION("GOOGLETRANSLATE(B30271,""en"",""fr"")"),"Un homme sort sur un terrain de jeu avec un grand dalmatien.")</f>
        <v>Un homme sort sur un terrain de jeu avec un grand dalmatien.</v>
      </c>
    </row>
    <row r="30272">
      <c r="A30272" s="4" t="s">
        <v>38118</v>
      </c>
      <c r="B30272" s="4" t="s">
        <v>38120</v>
      </c>
      <c r="C30272" s="5" t="str">
        <f>IFERROR(__xludf.DUMMYFUNCTION("GOOGLETRANSLATE(B30272,""en"",""fr"")"),"L'homme s'arrête et jette le frisbee et le retourne à l'homme.")</f>
        <v>L'homme s'arrête et jette le frisbee et le retourne à l'homme.</v>
      </c>
    </row>
    <row r="30273">
      <c r="A30273" s="4" t="s">
        <v>38118</v>
      </c>
      <c r="B30273" s="4" t="s">
        <v>38121</v>
      </c>
      <c r="C30273" s="5" t="str">
        <f>IFERROR(__xludf.DUMMYFUNCTION("GOOGLETRANSLATE(B30273,""en"",""fr"")"),"Le chien court en rond sur le terrain avec le frisbee.")</f>
        <v>Le chien court en rond sur le terrain avec le frisbee.</v>
      </c>
    </row>
    <row r="30274">
      <c r="A30274" s="4" t="s">
        <v>38122</v>
      </c>
      <c r="B30274" s="4" t="s">
        <v>38123</v>
      </c>
      <c r="C30274" s="5" t="str">
        <f>IFERROR(__xludf.DUMMYFUNCTION("GOOGLETRANSLATE(B30274,""en"",""fr"")"),"Une personne coupe le bois de cordon à l'aide d'un séparateur de journal.")</f>
        <v>Une personne coupe le bois de cordon à l'aide d'un séparateur de journal.</v>
      </c>
    </row>
    <row r="30275">
      <c r="A30275" s="4" t="s">
        <v>38122</v>
      </c>
      <c r="B30275" s="4" t="s">
        <v>38124</v>
      </c>
      <c r="C30275" s="5" t="str">
        <f>IFERROR(__xludf.DUMMYFUNCTION("GOOGLETRANSLATE(B30275,""en"",""fr"")"),"Le bois restant est représenté et les souches sont coupées.")</f>
        <v>Le bois restant est représenté et les souches sont coupées.</v>
      </c>
    </row>
    <row r="30276">
      <c r="A30276" s="4" t="s">
        <v>38125</v>
      </c>
      <c r="B30276" s="4" t="s">
        <v>38126</v>
      </c>
      <c r="C30276" s="5" t="str">
        <f>IFERROR(__xludf.DUMMYFUNCTION("GOOGLETRANSLATE(B30276,""en"",""fr"")"),"Une caméra se déroule tout autour d'un lac et montre une personne qui roule sur un canoë.")</f>
        <v>Une caméra se déroule tout autour d'un lac et montre une personne qui roule sur un canoë.</v>
      </c>
    </row>
    <row r="30277">
      <c r="A30277" s="4" t="s">
        <v>38125</v>
      </c>
      <c r="B30277" s="4" t="s">
        <v>38127</v>
      </c>
      <c r="C30277" s="5" t="str">
        <f>IFERROR(__xludf.DUMMYFUNCTION("GOOGLETRANSLATE(B30277,""en"",""fr"")"),"La personne est coincée avant un rocher et se purse finalement.")</f>
        <v>La personne est coincée avant un rocher et se purse finalement.</v>
      </c>
    </row>
    <row r="30278">
      <c r="A30278" s="4" t="s">
        <v>38125</v>
      </c>
      <c r="B30278" s="4" t="s">
        <v>38128</v>
      </c>
      <c r="C30278" s="5" t="str">
        <f>IFERROR(__xludf.DUMMYFUNCTION("GOOGLETRANSLATE(B30278,""en"",""fr"")"),"La personne continue de rester coincée dans la région mais se déplace avec succès.")</f>
        <v>La personne continue de rester coincée dans la région mais se déplace avec succès.</v>
      </c>
    </row>
    <row r="30279">
      <c r="A30279" s="4" t="s">
        <v>38129</v>
      </c>
      <c r="B30279" s="4" t="s">
        <v>38130</v>
      </c>
      <c r="C30279" s="5" t="str">
        <f>IFERROR(__xludf.DUMMYFUNCTION("GOOGLETRANSLATE(B30279,""en"",""fr"")"),"L'homme en costume parle à la caméra car les gens sont derrière lui.")</f>
        <v>L'homme en costume parle à la caméra car les gens sont derrière lui.</v>
      </c>
    </row>
    <row r="30280">
      <c r="A30280" s="4" t="s">
        <v>38129</v>
      </c>
      <c r="B30280" s="4" t="s">
        <v>38131</v>
      </c>
      <c r="C30280" s="5" t="str">
        <f>IFERROR(__xludf.DUMMYFUNCTION("GOOGLETRANSLATE(B30280,""en"",""fr"")"),"L'homme plus âgé jette ses fléchettes sur le fléchettes et trois fléchettes ont atterri sur un seul endroit.")</f>
        <v>L'homme plus âgé jette ses fléchettes sur le fléchettes et trois fléchettes ont atterri sur un seul endroit.</v>
      </c>
    </row>
    <row r="30281">
      <c r="A30281" s="4" t="s">
        <v>38129</v>
      </c>
      <c r="B30281" s="6" t="s">
        <v>38132</v>
      </c>
      <c r="C30281" s="5" t="str">
        <f>IFERROR(__xludf.DUMMYFUNCTION("GOOGLETRANSLATE(B30281,""en"",""fr"")"),"L'homme se positionna puis jette les fléchettes au tableau et les fléchettes sont éloignées les unes des autres.")</f>
        <v>L'homme se positionna puis jette les fléchettes au tableau et les fléchettes sont éloignées les unes des autres.</v>
      </c>
    </row>
    <row r="30282">
      <c r="A30282" s="4" t="s">
        <v>38129</v>
      </c>
      <c r="B30282" s="4" t="s">
        <v>38133</v>
      </c>
      <c r="C30282" s="5" t="str">
        <f>IFERROR(__xludf.DUMMYFUNCTION("GOOGLETRANSLATE(B30282,""en"",""fr"")"),"L'homme continue de frapper le conseil d'administration avec des fléchettes.")</f>
        <v>L'homme continue de frapper le conseil d'administration avec des fléchettes.</v>
      </c>
    </row>
    <row r="30283">
      <c r="A30283" s="4" t="s">
        <v>38134</v>
      </c>
      <c r="B30283" s="6" t="s">
        <v>38135</v>
      </c>
      <c r="C30283" s="5" t="str">
        <f>IFERROR(__xludf.DUMMYFUNCTION("GOOGLETRANSLATE(B30283,""en"",""fr"")"),"La caméra se déroule autour d'un grand groupe de femmes assises dans une chaise à tricoter et à se parler.")</f>
        <v>La caméra se déroule autour d'un grand groupe de femmes assises dans une chaise à tricoter et à se parler.</v>
      </c>
    </row>
    <row r="30284">
      <c r="A30284" s="4" t="s">
        <v>38134</v>
      </c>
      <c r="B30284" s="6" t="s">
        <v>38136</v>
      </c>
      <c r="C30284" s="5" t="str">
        <f>IFERROR(__xludf.DUMMYFUNCTION("GOOGLETRANSLATE(B30284,""en"",""fr"")"),"Plusieurs plans sont montrés sur les femmes tricoter et ramener à des gens qui aident les uns les autres à tricoter et à plus d'images montrées.")</f>
        <v>Plusieurs plans sont montrés sur les femmes tricoter et ramener à des gens qui aident les uns les autres à tricoter et à plus d'images montrées.</v>
      </c>
    </row>
    <row r="30285">
      <c r="A30285" s="4" t="s">
        <v>38137</v>
      </c>
      <c r="B30285" s="4" t="s">
        <v>38138</v>
      </c>
      <c r="C30285" s="5" t="str">
        <f>IFERROR(__xludf.DUMMYFUNCTION("GOOGLETRANSLATE(B30285,""en"",""fr"")"),"Un tas de coéquipiers montent sur les chevaux sur le terrain.")</f>
        <v>Un tas de coéquipiers montent sur les chevaux sur le terrain.</v>
      </c>
    </row>
    <row r="30286">
      <c r="A30286" s="4" t="s">
        <v>38137</v>
      </c>
      <c r="B30286" s="4" t="s">
        <v>38139</v>
      </c>
      <c r="C30286" s="5" t="str">
        <f>IFERROR(__xludf.DUMMYFUNCTION("GOOGLETRANSLATE(B30286,""en"",""fr"")"),"Ils jouent à un jeu de polo.")</f>
        <v>Ils jouent à un jeu de polo.</v>
      </c>
    </row>
    <row r="30287">
      <c r="A30287" s="4" t="s">
        <v>38137</v>
      </c>
      <c r="B30287" s="4" t="s">
        <v>38140</v>
      </c>
      <c r="C30287" s="5" t="str">
        <f>IFERROR(__xludf.DUMMYFUNCTION("GOOGLETRANSLATE(B30287,""en"",""fr"")"),"Les gens courent sur leurs chevaux, essayant de frapper le ballon.")</f>
        <v>Les gens courent sur leurs chevaux, essayant de frapper le ballon.</v>
      </c>
    </row>
    <row r="30288">
      <c r="A30288" s="4" t="s">
        <v>38141</v>
      </c>
      <c r="B30288" s="4" t="s">
        <v>38142</v>
      </c>
      <c r="C30288" s="5" t="str">
        <f>IFERROR(__xludf.DUMMYFUNCTION("GOOGLETRANSLATE(B30288,""en"",""fr"")"),"Un homme parle devant un mur d'escalade.")</f>
        <v>Un homme parle devant un mur d'escalade.</v>
      </c>
    </row>
    <row r="30289">
      <c r="A30289" s="4" t="s">
        <v>38141</v>
      </c>
      <c r="B30289" s="4" t="s">
        <v>38143</v>
      </c>
      <c r="C30289" s="5" t="str">
        <f>IFERROR(__xludf.DUMMYFUNCTION("GOOGLETRANSLATE(B30289,""en"",""fr"")"),"Il commence à grimper le mur d'escalade.")</f>
        <v>Il commence à grimper le mur d'escalade.</v>
      </c>
    </row>
    <row r="30290">
      <c r="A30290" s="4" t="s">
        <v>38141</v>
      </c>
      <c r="B30290" s="4" t="s">
        <v>38144</v>
      </c>
      <c r="C30290" s="5" t="str">
        <f>IFERROR(__xludf.DUMMYFUNCTION("GOOGLETRANSLATE(B30290,""en"",""fr"")"),"Un homme dans un chapeau jaune parle.")</f>
        <v>Un homme dans un chapeau jaune parle.</v>
      </c>
    </row>
    <row r="30291">
      <c r="A30291" s="4" t="s">
        <v>38141</v>
      </c>
      <c r="B30291" s="4" t="s">
        <v>38145</v>
      </c>
      <c r="C30291" s="5" t="str">
        <f>IFERROR(__xludf.DUMMYFUNCTION("GOOGLETRANSLATE(B30291,""en"",""fr"")"),"Il grimpe le mur.")</f>
        <v>Il grimpe le mur.</v>
      </c>
    </row>
    <row r="30292">
      <c r="A30292" s="4" t="s">
        <v>38141</v>
      </c>
      <c r="B30292" s="4" t="s">
        <v>38146</v>
      </c>
      <c r="C30292" s="5" t="str">
        <f>IFERROR(__xludf.DUMMYFUNCTION("GOOGLETRANSLATE(B30292,""en"",""fr"")"),"Plusieurs personnes grimpent sur le mur d'escalade.")</f>
        <v>Plusieurs personnes grimpent sur le mur d'escalade.</v>
      </c>
    </row>
    <row r="30293">
      <c r="A30293" s="4" t="s">
        <v>38147</v>
      </c>
      <c r="B30293" s="4" t="s">
        <v>38148</v>
      </c>
      <c r="C30293" s="5" t="str">
        <f>IFERROR(__xludf.DUMMYFUNCTION("GOOGLETRANSLATE(B30293,""en"",""fr"")"),"Un homme portant des troncs de bain noirs assis sur un tube intérieur alors qu'il glisse sur une toboggan.")</f>
        <v>Un homme portant des troncs de bain noirs assis sur un tube intérieur alors qu'il glisse sur une toboggan.</v>
      </c>
    </row>
    <row r="30294">
      <c r="A30294" s="4" t="s">
        <v>38147</v>
      </c>
      <c r="B30294" s="4" t="s">
        <v>38149</v>
      </c>
      <c r="C30294" s="5" t="str">
        <f>IFERROR(__xludf.DUMMYFUNCTION("GOOGLETRANSLATE(B30294,""en"",""fr"")"),"Un homme portant des troncs sombres se tient sur une promenade à glissière aquatique fermée dans un parc aquatique.")</f>
        <v>Un homme portant des troncs sombres se tient sur une promenade à glissière aquatique fermée dans un parc aquatique.</v>
      </c>
    </row>
    <row r="30295">
      <c r="A30295" s="4" t="s">
        <v>38147</v>
      </c>
      <c r="B30295" s="4" t="s">
        <v>38150</v>
      </c>
      <c r="C30295" s="5" t="str">
        <f>IFERROR(__xludf.DUMMYFUNCTION("GOOGLETRANSLATE(B30295,""en"",""fr"")"),"Deux hommes glissent sur un toboggan bleu dans un parc aquatique et se retrouvent dans une énorme piscine.")</f>
        <v>Deux hommes glissent sur un toboggan bleu dans un parc aquatique et se retrouvent dans une énorme piscine.</v>
      </c>
    </row>
    <row r="30296">
      <c r="A30296" s="4" t="s">
        <v>38147</v>
      </c>
      <c r="B30296" s="4" t="s">
        <v>38151</v>
      </c>
      <c r="C30296" s="5" t="str">
        <f>IFERROR(__xludf.DUMMYFUNCTION("GOOGLETRANSLATE(B30296,""en"",""fr"")"),"Différentes scènes d'un groupe de personnes nageant dans différentes parties d'un parc aquatique.")</f>
        <v>Différentes scènes d'un groupe de personnes nageant dans différentes parties d'un parc aquatique.</v>
      </c>
    </row>
    <row r="30297">
      <c r="A30297" s="4" t="s">
        <v>38152</v>
      </c>
      <c r="B30297" s="4" t="s">
        <v>38153</v>
      </c>
      <c r="C30297" s="5" t="str">
        <f>IFERROR(__xludf.DUMMYFUNCTION("GOOGLETRANSLATE(B30297,""en"",""fr"")"),"Un homme vêtu d'un équipement de curling blanc participe au sport.")</f>
        <v>Un homme vêtu d'un équipement de curling blanc participe au sport.</v>
      </c>
    </row>
    <row r="30298">
      <c r="A30298" s="4" t="s">
        <v>38152</v>
      </c>
      <c r="B30298" s="4" t="s">
        <v>38154</v>
      </c>
      <c r="C30298" s="5" t="str">
        <f>IFERROR(__xludf.DUMMYFUNCTION("GOOGLETRANSLATE(B30298,""en"",""fr"")"),"Il va sur la patinoire avec son bâton et son rock.")</f>
        <v>Il va sur la patinoire avec son bâton et son rock.</v>
      </c>
    </row>
    <row r="30299">
      <c r="A30299" s="4" t="s">
        <v>38152</v>
      </c>
      <c r="B30299" s="4" t="s">
        <v>38155</v>
      </c>
      <c r="C30299" s="5" t="str">
        <f>IFERROR(__xludf.DUMMYFUNCTION("GOOGLETRANSLATE(B30299,""en"",""fr"")"),"Il joue le sport alors que dans un autre endroit, il y a deux musiciens.")</f>
        <v>Il joue le sport alors que dans un autre endroit, il y a deux musiciens.</v>
      </c>
    </row>
    <row r="30300">
      <c r="A30300" s="4" t="s">
        <v>38152</v>
      </c>
      <c r="B30300" s="6" t="s">
        <v>38156</v>
      </c>
      <c r="C30300" s="5" t="str">
        <f>IFERROR(__xludf.DUMMYFUNCTION("GOOGLETRANSLATE(B30300,""en"",""fr"")"),"Ils chantent tous les deux comme un musicien joue une guitare et l'autre bat un tambourin.")</f>
        <v>Ils chantent tous les deux comme un musicien joue une guitare et l'autre bat un tambourin.</v>
      </c>
    </row>
    <row r="30301">
      <c r="A30301" s="4" t="s">
        <v>38152</v>
      </c>
      <c r="B30301" s="4" t="s">
        <v>38157</v>
      </c>
      <c r="C30301" s="5" t="str">
        <f>IFERROR(__xludf.DUMMYFUNCTION("GOOGLETRANSLATE(B30301,""en"",""fr"")"),"L'homme continue de jouer au curling sur la patinoire alors qu'il pousse le rocher avec son bâton de curling.")</f>
        <v>L'homme continue de jouer au curling sur la patinoire alors qu'il pousse le rocher avec son bâton de curling.</v>
      </c>
    </row>
    <row r="30302">
      <c r="A30302" s="4" t="s">
        <v>38152</v>
      </c>
      <c r="B30302" s="4" t="s">
        <v>38158</v>
      </c>
      <c r="C30302" s="5" t="str">
        <f>IFERROR(__xludf.DUMMYFUNCTION("GOOGLETRANSLATE(B30302,""en"",""fr"")"),"Il est montré illustré avec un autre jeune homme.")</f>
        <v>Il est montré illustré avec un autre jeune homme.</v>
      </c>
    </row>
    <row r="30303">
      <c r="A30303" s="4" t="s">
        <v>38152</v>
      </c>
      <c r="B30303" s="4" t="s">
        <v>38159</v>
      </c>
      <c r="C30303" s="5" t="str">
        <f>IFERROR(__xludf.DUMMYFUNCTION("GOOGLETRANSLATE(B30303,""en"",""fr"")"),"Il pose pour des photos avec différentes personnes tout en tenant un balai dans sa main.")</f>
        <v>Il pose pour des photos avec différentes personnes tout en tenant un balai dans sa main.</v>
      </c>
    </row>
    <row r="30304">
      <c r="A30304" s="4" t="s">
        <v>38152</v>
      </c>
      <c r="B30304" s="4" t="s">
        <v>38160</v>
      </c>
      <c r="C30304" s="5" t="str">
        <f>IFERROR(__xludf.DUMMYFUNCTION("GOOGLETRANSLATE(B30304,""en"",""fr"")"),"Il est de retour dans la patinoire, chantant et tournoyant le bâton de curling dans ses mains.")</f>
        <v>Il est de retour dans la patinoire, chantant et tournoyant le bâton de curling dans ses mains.</v>
      </c>
    </row>
    <row r="30305">
      <c r="A30305" s="4" t="s">
        <v>38161</v>
      </c>
      <c r="B30305" s="4" t="s">
        <v>38162</v>
      </c>
      <c r="C30305" s="5" t="str">
        <f>IFERROR(__xludf.DUMMYFUNCTION("GOOGLETRANSLATE(B30305,""en"",""fr"")"),"Un homme se tient à une table en tenant un arc à la main en train de parler.")</f>
        <v>Un homme se tient à une table en tenant un arc à la main en train de parler.</v>
      </c>
    </row>
    <row r="30306">
      <c r="A30306" s="4" t="s">
        <v>38161</v>
      </c>
      <c r="B30306" s="4" t="s">
        <v>38163</v>
      </c>
      <c r="C30306" s="5" t="str">
        <f>IFERROR(__xludf.DUMMYFUNCTION("GOOGLETRANSLATE(B30306,""en"",""fr"")"),"Il sort ensuite et tire une flèche sur une cible.")</f>
        <v>Il sort ensuite et tire une flèche sur une cible.</v>
      </c>
    </row>
    <row r="30307">
      <c r="A30307" s="4" t="s">
        <v>38161</v>
      </c>
      <c r="B30307" s="4" t="s">
        <v>38164</v>
      </c>
      <c r="C30307" s="5" t="str">
        <f>IFERROR(__xludf.DUMMYFUNCTION("GOOGLETRANSLATE(B30307,""en"",""fr"")"),"Un gros plan de l'arc est montré.")</f>
        <v>Un gros plan de l'arc est montré.</v>
      </c>
    </row>
    <row r="30308">
      <c r="A30308" s="4" t="s">
        <v>38165</v>
      </c>
      <c r="B30308" s="4" t="s">
        <v>7411</v>
      </c>
      <c r="C30308" s="5" t="str">
        <f>IFERROR(__xludf.DUMMYFUNCTION("GOOGLETRANSLATE(B30308,""en"",""fr"")"),"Nous voyons un écran d'ouverture bleu.")</f>
        <v>Nous voyons un écran d'ouverture bleu.</v>
      </c>
    </row>
    <row r="30309">
      <c r="A30309" s="4" t="s">
        <v>38165</v>
      </c>
      <c r="B30309" s="4" t="s">
        <v>38166</v>
      </c>
      <c r="C30309" s="5" t="str">
        <f>IFERROR(__xludf.DUMMYFUNCTION("GOOGLETRANSLATE(B30309,""en"",""fr"")"),"Nous voyons ensuite des gens résoudre Rubiks Cubes dans une compétition.")</f>
        <v>Nous voyons ensuite des gens résoudre Rubiks Cubes dans une compétition.</v>
      </c>
    </row>
    <row r="30310">
      <c r="A30310" s="4" t="s">
        <v>38165</v>
      </c>
      <c r="B30310" s="4" t="s">
        <v>38167</v>
      </c>
      <c r="C30310" s="5" t="str">
        <f>IFERROR(__xludf.DUMMYFUNCTION("GOOGLETRANSLATE(B30310,""en"",""fr"")"),"Un garçon finit, jette ses bras et tourne sur sa chaise.")</f>
        <v>Un garçon finit, jette ses bras et tourne sur sa chaise.</v>
      </c>
    </row>
    <row r="30311">
      <c r="A30311" s="4" t="s">
        <v>38165</v>
      </c>
      <c r="B30311" s="4" t="s">
        <v>38168</v>
      </c>
      <c r="C30311" s="5" t="str">
        <f>IFERROR(__xludf.DUMMYFUNCTION("GOOGLETRANSLATE(B30311,""en"",""fr"")"),"Nous voyons un garçon jeter ses bras et hurler.")</f>
        <v>Nous voyons un garçon jeter ses bras et hurler.</v>
      </c>
    </row>
    <row r="30312">
      <c r="A30312" s="4" t="s">
        <v>38169</v>
      </c>
      <c r="B30312" s="4" t="s">
        <v>38170</v>
      </c>
      <c r="C30312" s="5" t="str">
        <f>IFERROR(__xludf.DUMMYFUNCTION("GOOGLETRANSLATE(B30312,""en"",""fr"")"),"Une équipe se prépare à jouer à un jeu appelé Hurling.")</f>
        <v>Une équipe se prépare à jouer à un jeu appelé Hurling.</v>
      </c>
    </row>
    <row r="30313">
      <c r="A30313" s="4" t="s">
        <v>38169</v>
      </c>
      <c r="B30313" s="4" t="s">
        <v>38171</v>
      </c>
      <c r="C30313" s="5" t="str">
        <f>IFERROR(__xludf.DUMMYFUNCTION("GOOGLETRANSLATE(B30313,""en"",""fr"")"),"Les faits saillants d'un jeu sont affichés et les joueurs sont interviewés.")</f>
        <v>Les faits saillants d'un jeu sont affichés et les joueurs sont interviewés.</v>
      </c>
    </row>
    <row r="30314">
      <c r="A30314" s="4" t="s">
        <v>38169</v>
      </c>
      <c r="B30314" s="4" t="s">
        <v>38172</v>
      </c>
      <c r="C30314" s="5" t="str">
        <f>IFERROR(__xludf.DUMMYFUNCTION("GOOGLETRANSLATE(B30314,""en"",""fr"")"),"Les coéquipiers applaudissent de la ligne de touche.")</f>
        <v>Les coéquipiers applaudissent de la ligne de touche.</v>
      </c>
    </row>
    <row r="30315">
      <c r="A30315" s="4" t="s">
        <v>38173</v>
      </c>
      <c r="B30315" s="4" t="s">
        <v>38174</v>
      </c>
      <c r="C30315" s="5" t="str">
        <f>IFERROR(__xludf.DUMMYFUNCTION("GOOGLETRANSLATE(B30315,""en"",""fr"")"),"Un homme en manteau bleu se tient dans la neige à parler.")</f>
        <v>Un homme en manteau bleu se tient dans la neige à parler.</v>
      </c>
    </row>
    <row r="30316">
      <c r="A30316" s="4" t="s">
        <v>38173</v>
      </c>
      <c r="B30316" s="4" t="s">
        <v>38175</v>
      </c>
      <c r="C30316" s="5" t="str">
        <f>IFERROR(__xludf.DUMMYFUNCTION("GOOGLETRANSLATE(B30316,""en"",""fr"")"),"Il commence à skier sur une colline de neige.")</f>
        <v>Il commence à skier sur une colline de neige.</v>
      </c>
    </row>
    <row r="30317">
      <c r="A30317" s="4" t="s">
        <v>38173</v>
      </c>
      <c r="B30317" s="4" t="s">
        <v>6460</v>
      </c>
      <c r="C30317" s="5" t="str">
        <f>IFERROR(__xludf.DUMMYFUNCTION("GOOGLETRANSLATE(B30317,""en"",""fr"")"),"Il continue de parler à la caméra.")</f>
        <v>Il continue de parler à la caméra.</v>
      </c>
    </row>
    <row r="30318">
      <c r="A30318" s="4" t="s">
        <v>38176</v>
      </c>
      <c r="B30318" s="4" t="s">
        <v>38177</v>
      </c>
      <c r="C30318" s="5" t="str">
        <f>IFERROR(__xludf.DUMMYFUNCTION("GOOGLETRANSLATE(B30318,""en"",""fr"")"),"Un homme est vu entrer en cercle et regarder au loin.")</f>
        <v>Un homme est vu entrer en cercle et regarder au loin.</v>
      </c>
    </row>
    <row r="30319">
      <c r="A30319" s="4" t="s">
        <v>38176</v>
      </c>
      <c r="B30319" s="4" t="s">
        <v>38178</v>
      </c>
      <c r="C30319" s="5" t="str">
        <f>IFERROR(__xludf.DUMMYFUNCTION("GOOGLETRANSLATE(B30319,""en"",""fr"")"),"L'homme s'étend un peu et commence à se tourner autour.")</f>
        <v>L'homme s'étend un peu et commence à se tourner autour.</v>
      </c>
    </row>
    <row r="30320">
      <c r="A30320" s="4" t="s">
        <v>38176</v>
      </c>
      <c r="B30320" s="4" t="s">
        <v>38179</v>
      </c>
      <c r="C30320" s="5" t="str">
        <f>IFERROR(__xludf.DUMMYFUNCTION("GOOGLETRANSLATE(B30320,""en"",""fr"")"),"Il continue de tourner et se termine en s'éloignant.")</f>
        <v>Il continue de tourner et se termine en s'éloignant.</v>
      </c>
    </row>
    <row r="30321">
      <c r="A30321" s="4" t="s">
        <v>38180</v>
      </c>
      <c r="B30321" s="4" t="s">
        <v>38181</v>
      </c>
      <c r="C30321" s="5" t="str">
        <f>IFERROR(__xludf.DUMMYFUNCTION("GOOGLETRANSLATE(B30321,""en"",""fr"")"),"L'homme en chemise bleue tient un flacon pulvérisateur blanc avec un couvercle vert et noir dessus.")</f>
        <v>L'homme en chemise bleue tient un flacon pulvérisateur blanc avec un couvercle vert et noir dessus.</v>
      </c>
    </row>
    <row r="30322">
      <c r="A30322" s="4" t="s">
        <v>38180</v>
      </c>
      <c r="B30322" s="4" t="s">
        <v>38182</v>
      </c>
      <c r="C30322" s="5" t="str">
        <f>IFERROR(__xludf.DUMMYFUNCTION("GOOGLETRANSLATE(B30322,""en"",""fr"")"),"Il a commencé à pulvériser le contenu de la bouteille sur le capot de la voiture blanche.")</f>
        <v>Il a commencé à pulvériser le contenu de la bouteille sur le capot de la voiture blanche.</v>
      </c>
    </row>
    <row r="30323">
      <c r="A30323" s="4" t="s">
        <v>38180</v>
      </c>
      <c r="B30323" s="4" t="s">
        <v>38183</v>
      </c>
      <c r="C30323" s="5" t="str">
        <f>IFERROR(__xludf.DUMMYFUNCTION("GOOGLETRANSLATE(B30323,""en"",""fr"")"),"Il essuya le capot et l'arrière de la voiture blanche avec un chiffon jaune.")</f>
        <v>Il essuya le capot et l'arrière de la voiture blanche avec un chiffon jaune.</v>
      </c>
    </row>
    <row r="30324">
      <c r="A30324" s="4" t="s">
        <v>38180</v>
      </c>
      <c r="B30324" s="6" t="s">
        <v>38184</v>
      </c>
      <c r="C30324" s="5" t="str">
        <f>IFERROR(__xludf.DUMMYFUNCTION("GOOGLETRANSLATE(B30324,""en"",""fr"")"),"Il aspire le sol de la voiture du côté du conducteur, essuyez la saleté du volant à l'aide du tissu jaune.")</f>
        <v>Il aspire le sol de la voiture du côté du conducteur, essuyez la saleté du volant à l'aide du tissu jaune.</v>
      </c>
    </row>
    <row r="30325">
      <c r="A30325" s="4" t="s">
        <v>38180</v>
      </c>
      <c r="B30325" s="4" t="s">
        <v>38185</v>
      </c>
      <c r="C30325" s="5" t="str">
        <f>IFERROR(__xludf.DUMMYFUNCTION("GOOGLETRANSLATE(B30325,""en"",""fr"")"),"Il a essuyé les mètres, la vitre latérale et le verre et la roue.")</f>
        <v>Il a essuyé les mètres, la vitre latérale et le verre et la roue.</v>
      </c>
    </row>
    <row r="30326">
      <c r="A30326" s="4" t="s">
        <v>38180</v>
      </c>
      <c r="B30326" s="4" t="s">
        <v>38186</v>
      </c>
      <c r="C30326" s="5" t="str">
        <f>IFERROR(__xludf.DUMMYFUNCTION("GOOGLETRANSLATE(B30326,""en"",""fr"")"),"Il montre un flacon pulvérisateur blanc avec un couvercle noir, alors qu'il tient un chiffon jaune.")</f>
        <v>Il montre un flacon pulvérisateur blanc avec un couvercle noir, alors qu'il tient un chiffon jaune.</v>
      </c>
    </row>
    <row r="30327">
      <c r="A30327" s="4" t="s">
        <v>38180</v>
      </c>
      <c r="B30327" s="4" t="s">
        <v>38187</v>
      </c>
      <c r="C30327" s="5" t="str">
        <f>IFERROR(__xludf.DUMMYFUNCTION("GOOGLETRANSLATE(B30327,""en"",""fr"")"),"Il essuie le bord de la voiture puis montrait le flacon pulvérisateur blanc.")</f>
        <v>Il essuie le bord de la voiture puis montrait le flacon pulvérisateur blanc.</v>
      </c>
    </row>
    <row r="30328">
      <c r="A30328" s="4" t="s">
        <v>38180</v>
      </c>
      <c r="B30328" s="4" t="s">
        <v>38188</v>
      </c>
      <c r="C30328" s="5" t="str">
        <f>IFERROR(__xludf.DUMMYFUNCTION("GOOGLETRANSLATE(B30328,""en"",""fr"")"),"Une voiture blanche est montrée sale, puis l'après où elle est propre et brillante.")</f>
        <v>Une voiture blanche est montrée sale, puis l'après où elle est propre et brillante.</v>
      </c>
    </row>
    <row r="30329">
      <c r="A30329" s="4" t="s">
        <v>38189</v>
      </c>
      <c r="B30329" s="4" t="s">
        <v>38190</v>
      </c>
      <c r="C30329" s="5" t="str">
        <f>IFERROR(__xludf.DUMMYFUNCTION("GOOGLETRANSLATE(B30329,""en"",""fr"")"),"Un pistolet est vu se déplacer dans plusieurs coins et frapper les gens à divers endroits.")</f>
        <v>Un pistolet est vu se déplacer dans plusieurs coins et frapper les gens à divers endroits.</v>
      </c>
    </row>
    <row r="30330">
      <c r="A30330" s="4" t="s">
        <v>38189</v>
      </c>
      <c r="B30330" s="6" t="s">
        <v>38191</v>
      </c>
      <c r="C30330" s="5" t="str">
        <f>IFERROR(__xludf.DUMMYFUNCTION("GOOGLETRANSLATE(B30330,""en"",""fr"")"),"Plus de photos d'une personne qui coule sur un terrain de paintball comme indiqué ainsi que de pointer vers les autres, de tirer sur les autres et de se cacher derrière des objets.")</f>
        <v>Plus de photos d'une personne qui coule sur un terrain de paintball comme indiqué ainsi que de pointer vers les autres, de tirer sur les autres et de se cacher derrière des objets.</v>
      </c>
    </row>
    <row r="30331">
      <c r="A30331" s="4" t="s">
        <v>38189</v>
      </c>
      <c r="B30331" s="4" t="s">
        <v>38192</v>
      </c>
      <c r="C30331" s="5" t="str">
        <f>IFERROR(__xludf.DUMMYFUNCTION("GOOGLETRANSLATE(B30331,""en"",""fr"")"),"Les hommes se regroupent à la fin, donnent un coup de pouce et montrent plus de coups de tirs de personnes.")</f>
        <v>Les hommes se regroupent à la fin, donnent un coup de pouce et montrent plus de coups de tirs de personnes.</v>
      </c>
    </row>
    <row r="30332">
      <c r="A30332" s="4" t="s">
        <v>38193</v>
      </c>
      <c r="B30332" s="4" t="s">
        <v>38194</v>
      </c>
      <c r="C30332" s="5" t="str">
        <f>IFERROR(__xludf.DUMMYFUNCTION("GOOGLETRANSLATE(B30332,""en"",""fr"")"),"Une bande dessinée d'un homme expliquant comment se laver avec un détergent.")</f>
        <v>Une bande dessinée d'un homme expliquant comment se laver avec un détergent.</v>
      </c>
    </row>
    <row r="30333">
      <c r="A30333" s="4" t="s">
        <v>38193</v>
      </c>
      <c r="B30333" s="4" t="s">
        <v>38195</v>
      </c>
      <c r="C30333" s="5" t="str">
        <f>IFERROR(__xludf.DUMMYFUNCTION("GOOGLETRANSLATE(B30333,""en"",""fr"")"),"Une maison est représentée avec une phrase sur la façon de laver le toit.")</f>
        <v>Une maison est représentée avec une phrase sur la façon de laver le toit.</v>
      </c>
    </row>
    <row r="30334">
      <c r="A30334" s="4" t="s">
        <v>38193</v>
      </c>
      <c r="B30334" s="4" t="s">
        <v>38196</v>
      </c>
      <c r="C30334" s="5" t="str">
        <f>IFERROR(__xludf.DUMMYFUNCTION("GOOGLETRANSLATE(B30334,""en"",""fr"")"),"Les chiffres et l'adresse sont indiqués dans la publicité.")</f>
        <v>Les chiffres et l'adresse sont indiqués dans la publicité.</v>
      </c>
    </row>
    <row r="30335">
      <c r="A30335" s="4" t="s">
        <v>38197</v>
      </c>
      <c r="B30335" s="4" t="s">
        <v>38198</v>
      </c>
      <c r="C30335" s="5" t="str">
        <f>IFERROR(__xludf.DUMMYFUNCTION("GOOGLETRANSLATE(B30335,""en"",""fr"")"),"Plusieurs plans sont illustrés aux panneaux et à la construction ainsi qu'aux images de plongeurs.")</f>
        <v>Plusieurs plans sont illustrés aux panneaux et à la construction ainsi qu'aux images de plongeurs.</v>
      </c>
    </row>
    <row r="30336">
      <c r="A30336" s="4" t="s">
        <v>38197</v>
      </c>
      <c r="B30336" s="4" t="s">
        <v>38199</v>
      </c>
      <c r="C30336" s="5" t="str">
        <f>IFERROR(__xludf.DUMMYFUNCTION("GOOGLETRANSLATE(B30336,""en"",""fr"")"),"Beaucoup de gens sont vus parler à la caméra tout en plongeant à tour de rôle sur une planche.")</f>
        <v>Beaucoup de gens sont vus parler à la caméra tout en plongeant à tour de rôle sur une planche.</v>
      </c>
    </row>
    <row r="30337">
      <c r="A30337" s="4" t="s">
        <v>38197</v>
      </c>
      <c r="B30337" s="6" t="s">
        <v>38200</v>
      </c>
      <c r="C30337" s="5" t="str">
        <f>IFERROR(__xludf.DUMMYFUNCTION("GOOGLETRANSLATE(B30337,""en"",""fr"")"),"Plus de clips sont montrés des gens qui plongent et agitent à la caméra ainsi que de parler les uns des autres et de maintenir un score.")</f>
        <v>Plus de clips sont montrés des gens qui plongent et agitent à la caméra ainsi que de parler les uns des autres et de maintenir un score.</v>
      </c>
    </row>
    <row r="30338">
      <c r="A30338" s="4" t="s">
        <v>38201</v>
      </c>
      <c r="B30338" s="4" t="s">
        <v>38202</v>
      </c>
      <c r="C30338" s="5" t="str">
        <f>IFERROR(__xludf.DUMMYFUNCTION("GOOGLETRANSLATE(B30338,""en"",""fr"")"),"Un groupe de personnes est à l'intérieur d'un gymnase.")</f>
        <v>Un groupe de personnes est à l'intérieur d'un gymnase.</v>
      </c>
    </row>
    <row r="30339">
      <c r="A30339" s="4" t="s">
        <v>38201</v>
      </c>
      <c r="B30339" s="4" t="s">
        <v>38203</v>
      </c>
      <c r="C30339" s="5" t="str">
        <f>IFERROR(__xludf.DUMMYFUNCTION("GOOGLETRANSLATE(B30339,""en"",""fr"")"),"Ils soulèvent des poids et dansent.")</f>
        <v>Ils soulèvent des poids et dansent.</v>
      </c>
    </row>
    <row r="30340">
      <c r="A30340" s="4" t="s">
        <v>38201</v>
      </c>
      <c r="B30340" s="4" t="s">
        <v>38204</v>
      </c>
      <c r="C30340" s="5" t="str">
        <f>IFERROR(__xludf.DUMMYFUNCTION("GOOGLETRANSLATE(B30340,""en"",""fr"")"),"D'autres utilisent rapidement des vélos couchés et pédalent rapidement.")</f>
        <v>D'autres utilisent rapidement des vélos couchés et pédalent rapidement.</v>
      </c>
    </row>
    <row r="30341">
      <c r="A30341" s="4" t="s">
        <v>38205</v>
      </c>
      <c r="B30341" s="4" t="s">
        <v>38206</v>
      </c>
      <c r="C30341" s="5" t="str">
        <f>IFERROR(__xludf.DUMMYFUNCTION("GOOGLETRANSLATE(B30341,""en"",""fr"")"),"Un homme donne un coup de pied à un ballon de football, puis il joue avec d'autres jeunes hommes dans la rue, l'homme marque.")</f>
        <v>Un homme donne un coup de pied à un ballon de football, puis il joue avec d'autres jeunes hommes dans la rue, l'homme marque.</v>
      </c>
    </row>
    <row r="30342">
      <c r="A30342" s="4" t="s">
        <v>38205</v>
      </c>
      <c r="B30342" s="4" t="s">
        <v>38207</v>
      </c>
      <c r="C30342" s="5" t="str">
        <f>IFERROR(__xludf.DUMMYFUNCTION("GOOGLETRANSLATE(B30342,""en"",""fr"")"),"Ensuite, ils continuent de jouer et le jeune homme marque, ainsi que l'homme marque.")</f>
        <v>Ensuite, ils continuent de jouer et le jeune homme marque, ainsi que l'homme marque.</v>
      </c>
    </row>
    <row r="30343">
      <c r="A30343" s="4" t="s">
        <v>38205</v>
      </c>
      <c r="B30343" s="6" t="s">
        <v>38208</v>
      </c>
      <c r="C30343" s="5" t="str">
        <f>IFERROR(__xludf.DUMMYFUNCTION("GOOGLETRANSLATE(B30343,""en"",""fr"")"),"Les équipes jouent au football en salle et l'homme portant des scores de t-shirts jaunes jouant avec plusieurs équipes.")</f>
        <v>Les équipes jouent au football en salle et l'homme portant des scores de t-shirts jaunes jouant avec plusieurs équipes.</v>
      </c>
    </row>
    <row r="30344">
      <c r="A30344" s="4" t="s">
        <v>38205</v>
      </c>
      <c r="B30344" s="6" t="s">
        <v>38209</v>
      </c>
      <c r="C30344" s="5" t="str">
        <f>IFERROR(__xludf.DUMMYFUNCTION("GOOGLETRANSLATE(B30344,""en"",""fr"")"),"L'homme conteste le ballon avec un autre joueur et le donne un coup de pied à un camarade de jeu, l'homme continue de jouer un score pour son équipe.")</f>
        <v>L'homme conteste le ballon avec un autre joueur et le donne un coup de pied à un camarade de jeu, l'homme continue de jouer un score pour son équipe.</v>
      </c>
    </row>
    <row r="30345">
      <c r="A30345" s="4" t="s">
        <v>38210</v>
      </c>
      <c r="B30345" s="4" t="s">
        <v>38211</v>
      </c>
      <c r="C30345" s="5" t="str">
        <f>IFERROR(__xludf.DUMMYFUNCTION("GOOGLETRANSLATE(B30345,""en"",""fr"")"),"Il y a un homme dans une chemise noire représentant le paintball de PEV qui parle du jeu récréatif.")</f>
        <v>Il y a un homme dans une chemise noire représentant le paintball de PEV qui parle du jeu récréatif.</v>
      </c>
    </row>
    <row r="30346">
      <c r="A30346" s="4" t="s">
        <v>38210</v>
      </c>
      <c r="B30346" s="4" t="s">
        <v>38212</v>
      </c>
      <c r="C30346" s="5" t="str">
        <f>IFERROR(__xludf.DUMMYFUNCTION("GOOGLETRANSLATE(B30346,""en"",""fr"")"),"Il tient un pistolet de paintball à la main alors qu'il raconte comment le sport est joué.")</f>
        <v>Il tient un pistolet de paintball à la main alors qu'il raconte comment le sport est joué.</v>
      </c>
    </row>
    <row r="30347">
      <c r="A30347" s="4" t="s">
        <v>38210</v>
      </c>
      <c r="B30347" s="4" t="s">
        <v>38213</v>
      </c>
      <c r="C30347" s="5" t="str">
        <f>IFERROR(__xludf.DUMMYFUNCTION("GOOGLETRANSLATE(B30347,""en"",""fr"")"),"Un homme vêtu d'une tenue d'impression de camouflage se cache et court avec un pistolet de paintball.")</f>
        <v>Un homme vêtu d'une tenue d'impression de camouflage se cache et court avec un pistolet de paintball.</v>
      </c>
    </row>
    <row r="30348">
      <c r="A30348" s="4" t="s">
        <v>38210</v>
      </c>
      <c r="B30348" s="4" t="s">
        <v>38214</v>
      </c>
      <c r="C30348" s="5" t="str">
        <f>IFERROR(__xludf.DUMMYFUNCTION("GOOGLETRANSLATE(B30348,""en"",""fr"")"),"Le représentant PEV explique les caractéristiques du pistolet de paintball et comment utiliser si efficacement.")</f>
        <v>Le représentant PEV explique les caractéristiques du pistolet de paintball et comment utiliser si efficacement.</v>
      </c>
    </row>
    <row r="30349">
      <c r="A30349" s="4" t="s">
        <v>38215</v>
      </c>
      <c r="B30349" s="4" t="s">
        <v>38216</v>
      </c>
      <c r="C30349" s="5" t="str">
        <f>IFERROR(__xludf.DUMMYFUNCTION("GOOGLETRANSLATE(B30349,""en"",""fr"")"),"Nous voyons un homme se préparer à lancer la discussion.")</f>
        <v>Nous voyons un homme se préparer à lancer la discussion.</v>
      </c>
    </row>
    <row r="30350">
      <c r="A30350" s="4" t="s">
        <v>38215</v>
      </c>
      <c r="B30350" s="4" t="s">
        <v>38217</v>
      </c>
      <c r="C30350" s="5" t="str">
        <f>IFERROR(__xludf.DUMMYFUNCTION("GOOGLETRANSLATE(B30350,""en"",""fr"")"),"Il jette et s'éloigne et nous le voyons au ralenti.")</f>
        <v>Il jette et s'éloigne et nous le voyons au ralenti.</v>
      </c>
    </row>
    <row r="30351">
      <c r="A30351" s="4" t="s">
        <v>38215</v>
      </c>
      <c r="B30351" s="4" t="s">
        <v>38218</v>
      </c>
      <c r="C30351" s="5" t="str">
        <f>IFERROR(__xludf.DUMMYFUNCTION("GOOGLETRANSLATE(B30351,""en"",""fr"")"),"Nous voyons l'homme suivant se lever et lancer et nous le voyons à nouveau.")</f>
        <v>Nous voyons l'homme suivant se lever et lancer et nous le voyons à nouveau.</v>
      </c>
    </row>
    <row r="30352">
      <c r="A30352" s="4" t="s">
        <v>38215</v>
      </c>
      <c r="B30352" s="4" t="s">
        <v>38219</v>
      </c>
      <c r="C30352" s="5" t="str">
        <f>IFERROR(__xludf.DUMMYFUNCTION("GOOGLETRANSLATE(B30352,""en"",""fr"")"),"Un gars en short jaune lance et nous le voyons à nouveau.")</f>
        <v>Un gars en short jaune lance et nous le voyons à nouveau.</v>
      </c>
    </row>
    <row r="30353">
      <c r="A30353" s="4" t="s">
        <v>38220</v>
      </c>
      <c r="B30353" s="4" t="s">
        <v>38221</v>
      </c>
      <c r="C30353" s="5" t="str">
        <f>IFERROR(__xludf.DUMMYFUNCTION("GOOGLETRANSLATE(B30353,""en"",""fr"")"),"Une jeune femme est vue effectuer plusieurs mouvements d'arts martiaux au milieu d'un grand tapis.")</f>
        <v>Une jeune femme est vue effectuer plusieurs mouvements d'arts martiaux au milieu d'un grand tapis.</v>
      </c>
    </row>
    <row r="30354">
      <c r="A30354" s="4" t="s">
        <v>38220</v>
      </c>
      <c r="B30354" s="4" t="s">
        <v>38222</v>
      </c>
      <c r="C30354" s="5" t="str">
        <f>IFERROR(__xludf.DUMMYFUNCTION("GOOGLETRANSLATE(B30354,""en"",""fr"")"),"La fille continue de se déplacer puis la mène dans ses combats d'un garçon.")</f>
        <v>La fille continue de se déplacer puis la mène dans ses combats d'un garçon.</v>
      </c>
    </row>
    <row r="30355">
      <c r="A30355" s="4" t="s">
        <v>38220</v>
      </c>
      <c r="B30355" s="4" t="s">
        <v>38223</v>
      </c>
      <c r="C30355" s="5" t="str">
        <f>IFERROR(__xludf.DUMMYFUNCTION("GOOGLETRANSLATE(B30355,""en"",""fr"")"),"Plus de photos d'elle sont montrées ainsi que ses combats.")</f>
        <v>Plus de photos d'elle sont montrées ainsi que ses combats.</v>
      </c>
    </row>
    <row r="30356">
      <c r="A30356" s="4" t="s">
        <v>38224</v>
      </c>
      <c r="B30356" s="4" t="s">
        <v>38225</v>
      </c>
      <c r="C30356" s="5" t="str">
        <f>IFERROR(__xludf.DUMMYFUNCTION("GOOGLETRANSLATE(B30356,""en"",""fr"")"),"Un homme se lève dans un radeau.")</f>
        <v>Un homme se lève dans un radeau.</v>
      </c>
    </row>
    <row r="30357">
      <c r="A30357" s="4" t="s">
        <v>38224</v>
      </c>
      <c r="B30357" s="4" t="s">
        <v>38226</v>
      </c>
      <c r="C30357" s="5" t="str">
        <f>IFERROR(__xludf.DUMMYFUNCTION("GOOGLETRANSLATE(B30357,""en"",""fr"")"),"Plusieurs radeaux sont au sol, remplis de personnes.")</f>
        <v>Plusieurs radeaux sont au sol, remplis de personnes.</v>
      </c>
    </row>
    <row r="30358">
      <c r="A30358" s="4" t="s">
        <v>38224</v>
      </c>
      <c r="B30358" s="4" t="s">
        <v>38227</v>
      </c>
      <c r="C30358" s="5" t="str">
        <f>IFERROR(__xludf.DUMMYFUNCTION("GOOGLETRANSLATE(B30358,""en"",""fr"")"),"Ils écoutent un instructeur leur dire ce qu'ils doivent faire.")</f>
        <v>Ils écoutent un instructeur leur dire ce qu'ils doivent faire.</v>
      </c>
    </row>
    <row r="30359">
      <c r="A30359" s="4" t="s">
        <v>38224</v>
      </c>
      <c r="B30359" s="4" t="s">
        <v>38228</v>
      </c>
      <c r="C30359" s="5" t="str">
        <f>IFERROR(__xludf.DUMMYFUNCTION("GOOGLETRANSLATE(B30359,""en"",""fr"")"),"Ils radert à travers les rapides d'une rivière fortement fluide.")</f>
        <v>Ils radert à travers les rapides d'une rivière fortement fluide.</v>
      </c>
    </row>
    <row r="30360">
      <c r="A30360" s="4" t="s">
        <v>38224</v>
      </c>
      <c r="B30360" s="4" t="s">
        <v>38229</v>
      </c>
      <c r="C30360" s="5" t="str">
        <f>IFERROR(__xludf.DUMMYFUNCTION("GOOGLETRANSLATE(B30360,""en"",""fr"")"),"L'un des radeaux se fait chanter à la fin.")</f>
        <v>L'un des radeaux se fait chanter à la fin.</v>
      </c>
    </row>
    <row r="30361">
      <c r="A30361" s="4" t="s">
        <v>38230</v>
      </c>
      <c r="B30361" s="4" t="s">
        <v>38231</v>
      </c>
      <c r="C30361" s="5" t="str">
        <f>IFERROR(__xludf.DUMMYFUNCTION("GOOGLETRANSLATE(B30361,""en"",""fr"")"),"Un homme flotte dans de l'eau calme et tient une corde en attendant que le bateau conduise.")</f>
        <v>Un homme flotte dans de l'eau calme et tient une corde en attendant que le bateau conduise.</v>
      </c>
    </row>
    <row r="30362">
      <c r="A30362" s="4" t="s">
        <v>38230</v>
      </c>
      <c r="B30362" s="4" t="s">
        <v>38232</v>
      </c>
      <c r="C30362" s="5" t="str">
        <f>IFERROR(__xludf.DUMMYFUNCTION("GOOGLETRANSLATE(B30362,""en"",""fr"")"),"L'homme skis au pied nu sur une corde sur le côté d'un bateau essayant de se lever.")</f>
        <v>L'homme skis au pied nu sur une corde sur le côté d'un bateau essayant de se lever.</v>
      </c>
    </row>
    <row r="30363">
      <c r="A30363" s="4" t="s">
        <v>38230</v>
      </c>
      <c r="B30363" s="4" t="s">
        <v>38233</v>
      </c>
      <c r="C30363" s="5" t="str">
        <f>IFERROR(__xludf.DUMMYFUNCTION("GOOGLETRANSLATE(B30363,""en"",""fr"")"),"L'homme se lève et tombe immédiatement dans l'eau à grande vitesse.")</f>
        <v>L'homme se lève et tombe immédiatement dans l'eau à grande vitesse.</v>
      </c>
    </row>
    <row r="30364">
      <c r="A30364" s="4" t="s">
        <v>38234</v>
      </c>
      <c r="B30364" s="4" t="s">
        <v>38235</v>
      </c>
      <c r="C30364" s="5" t="str">
        <f>IFERROR(__xludf.DUMMYFUNCTION("GOOGLETRANSLATE(B30364,""en"",""fr"")"),"Les gens jouent au futsal dans un gymnase couvert.")</f>
        <v>Les gens jouent au futsal dans un gymnase couvert.</v>
      </c>
    </row>
    <row r="30365">
      <c r="A30365" s="4" t="s">
        <v>38234</v>
      </c>
      <c r="B30365" s="4" t="s">
        <v>38236</v>
      </c>
      <c r="C30365" s="5" t="str">
        <f>IFERROR(__xludf.DUMMYFUNCTION("GOOGLETRANSLATE(B30365,""en"",""fr"")"),"L'arbitre regarde le match courir d'un côté à l'autre.")</f>
        <v>L'arbitre regarde le match courir d'un côté à l'autre.</v>
      </c>
    </row>
    <row r="30366">
      <c r="A30366" s="4" t="s">
        <v>38237</v>
      </c>
      <c r="B30366" s="4" t="s">
        <v>38238</v>
      </c>
      <c r="C30366" s="5" t="str">
        <f>IFERROR(__xludf.DUMMYFUNCTION("GOOGLETRANSLATE(B30366,""en"",""fr"")"),"Deux hommes décorent un arbre de Noël.")</f>
        <v>Deux hommes décorent un arbre de Noël.</v>
      </c>
    </row>
    <row r="30367">
      <c r="A30367" s="4" t="s">
        <v>38237</v>
      </c>
      <c r="B30367" s="4" t="s">
        <v>38239</v>
      </c>
      <c r="C30367" s="5" t="str">
        <f>IFERROR(__xludf.DUMMYFUNCTION("GOOGLETRANSLATE(B30367,""en"",""fr"")"),"Ils mettent un ruban rouge autour de l'arbre.")</f>
        <v>Ils mettent un ruban rouge autour de l'arbre.</v>
      </c>
    </row>
    <row r="30368">
      <c r="A30368" s="4" t="s">
        <v>38237</v>
      </c>
      <c r="B30368" s="4" t="s">
        <v>38240</v>
      </c>
      <c r="C30368" s="5" t="str">
        <f>IFERROR(__xludf.DUMMYFUNCTION("GOOGLETRANSLATE(B30368,""en"",""fr"")"),"Une commode est montrée à la fin.")</f>
        <v>Une commode est montrée à la fin.</v>
      </c>
    </row>
    <row r="30369">
      <c r="A30369" s="4" t="s">
        <v>38241</v>
      </c>
      <c r="B30369" s="4" t="s">
        <v>38242</v>
      </c>
      <c r="C30369" s="5" t="str">
        <f>IFERROR(__xludf.DUMMYFUNCTION("GOOGLETRANSLATE(B30369,""en"",""fr"")"),"Deux personnes sont vues assises sur des balançoires à l'extérieur.")</f>
        <v>Deux personnes sont vues assises sur des balançoires à l'extérieur.</v>
      </c>
    </row>
    <row r="30370">
      <c r="A30370" s="4" t="s">
        <v>38241</v>
      </c>
      <c r="B30370" s="4" t="s">
        <v>38243</v>
      </c>
      <c r="C30370" s="5" t="str">
        <f>IFERROR(__xludf.DUMMYFUNCTION("GOOGLETRANSLATE(B30370,""en"",""fr"")"),"Les gens commencent alors à reculer et quatrième.")</f>
        <v>Les gens commencent alors à reculer et quatrième.</v>
      </c>
    </row>
    <row r="30371">
      <c r="A30371" s="4" t="s">
        <v>38241</v>
      </c>
      <c r="B30371" s="4" t="s">
        <v>38244</v>
      </c>
      <c r="C30371" s="5" t="str">
        <f>IFERROR(__xludf.DUMMYFUNCTION("GOOGLETRANSLATE(B30371,""en"",""fr"")"),"Les gens se balancent continuellement en arrière et quatrième sur le swingset.")</f>
        <v>Les gens se balancent continuellement en arrière et quatrième sur le swingset.</v>
      </c>
    </row>
    <row r="30372">
      <c r="A30372" s="4" t="s">
        <v>38245</v>
      </c>
      <c r="B30372" s="4" t="s">
        <v>38246</v>
      </c>
      <c r="C30372" s="5" t="str">
        <f>IFERROR(__xludf.DUMMYFUNCTION("GOOGLETRANSLATE(B30372,""en"",""fr"")"),"Il y a un homme dans une chemise bleue utilisant la machine de traction LAT dans une salle de sport.")</f>
        <v>Il y a un homme dans une chemise bleue utilisant la machine de traction LAT dans une salle de sport.</v>
      </c>
    </row>
    <row r="30373">
      <c r="A30373" s="4" t="s">
        <v>38245</v>
      </c>
      <c r="B30373" s="4" t="s">
        <v>38247</v>
      </c>
      <c r="C30373" s="5" t="str">
        <f>IFERROR(__xludf.DUMMYFUNCTION("GOOGLETRANSLATE(B30373,""en"",""fr"")"),"Il y a quelques autres personnes qui courent sur le tapis roulant derrière l'homme.")</f>
        <v>Il y a quelques autres personnes qui courent sur le tapis roulant derrière l'homme.</v>
      </c>
    </row>
    <row r="30374">
      <c r="A30374" s="4" t="s">
        <v>38245</v>
      </c>
      <c r="B30374" s="4" t="s">
        <v>38248</v>
      </c>
      <c r="C30374" s="5" t="str">
        <f>IFERROR(__xludf.DUMMYFUNCTION("GOOGLETRANSLATE(B30374,""en"",""fr"")"),"Il commence par tirer les poignées de la machine, puis fait des allers-retours pour faire de l'exercice.")</f>
        <v>Il commence par tirer les poignées de la machine, puis fait des allers-retours pour faire de l'exercice.</v>
      </c>
    </row>
    <row r="30375">
      <c r="A30375" s="4" t="s">
        <v>38249</v>
      </c>
      <c r="B30375" s="4" t="s">
        <v>38250</v>
      </c>
      <c r="C30375" s="5" t="str">
        <f>IFERROR(__xludf.DUMMYFUNCTION("GOOGLETRANSLATE(B30375,""en"",""fr"")"),"Un garçon est montré en descendant une diapositive.")</f>
        <v>Un garçon est montré en descendant une diapositive.</v>
      </c>
    </row>
    <row r="30376">
      <c r="A30376" s="4" t="s">
        <v>38249</v>
      </c>
      <c r="B30376" s="4" t="s">
        <v>38251</v>
      </c>
      <c r="C30376" s="5" t="str">
        <f>IFERROR(__xludf.DUMMYFUNCTION("GOOGLETRANSLATE(B30376,""en"",""fr"")"),"Une femme parle à la caméra du parc.")</f>
        <v>Une femme parle à la caméra du parc.</v>
      </c>
    </row>
    <row r="30377">
      <c r="A30377" s="4" t="s">
        <v>38249</v>
      </c>
      <c r="B30377" s="4" t="s">
        <v>38252</v>
      </c>
      <c r="C30377" s="5" t="str">
        <f>IFERROR(__xludf.DUMMYFUNCTION("GOOGLETRANSLATE(B30377,""en"",""fr"")"),"Les enfants sont montrés en jouant sur divers équipements.")</f>
        <v>Les enfants sont montrés en jouant sur divers équipements.</v>
      </c>
    </row>
    <row r="30378">
      <c r="A30378" s="4" t="s">
        <v>38253</v>
      </c>
      <c r="B30378" s="4" t="s">
        <v>38254</v>
      </c>
      <c r="C30378" s="5" t="str">
        <f>IFERROR(__xludf.DUMMYFUNCTION("GOOGLETRANSLATE(B30378,""en"",""fr"")"),"La vidéo montre un mouvement au ralenti de trois personnes jouant au baby-foot.")</f>
        <v>La vidéo montre un mouvement au ralenti de trois personnes jouant au baby-foot.</v>
      </c>
    </row>
    <row r="30379">
      <c r="A30379" s="4" t="s">
        <v>38253</v>
      </c>
      <c r="B30379" s="4" t="s">
        <v>38255</v>
      </c>
      <c r="C30379" s="5" t="str">
        <f>IFERROR(__xludf.DUMMYFUNCTION("GOOGLETRANSLATE(B30379,""en"",""fr"")"),"Il y a deux personnes debout d'un côté et un seul joueur de l'autre côté.")</f>
        <v>Il y a deux personnes debout d'un côté et un seul joueur de l'autre côté.</v>
      </c>
    </row>
    <row r="30380">
      <c r="A30380" s="4" t="s">
        <v>38253</v>
      </c>
      <c r="B30380" s="4" t="s">
        <v>38256</v>
      </c>
      <c r="C30380" s="5" t="str">
        <f>IFERROR(__xludf.DUMMYFUNCTION("GOOGLETRANSLATE(B30380,""en"",""fr"")"),"Ils continuent de jouer au football les uns avec les autres.")</f>
        <v>Ils continuent de jouer au football les uns avec les autres.</v>
      </c>
    </row>
    <row r="30381">
      <c r="A30381" s="4" t="s">
        <v>38257</v>
      </c>
      <c r="B30381" s="6" t="s">
        <v>38258</v>
      </c>
      <c r="C30381" s="5" t="str">
        <f>IFERROR(__xludf.DUMMYFUNCTION("GOOGLETRANSLATE(B30381,""en"",""fr"")"),"Un petit groupe de filles portant des costumes est vu se promener sur un sol de gymnase et tenir une pose devant un large public.")</f>
        <v>Un petit groupe de filles portant des costumes est vu se promener sur un sol de gymnase et tenir une pose devant un large public.</v>
      </c>
    </row>
    <row r="30382">
      <c r="A30382" s="4" t="s">
        <v>38257</v>
      </c>
      <c r="B30382" s="6" t="s">
        <v>38259</v>
      </c>
      <c r="C30382" s="5" t="str">
        <f>IFERROR(__xludf.DUMMYFUNCTION("GOOGLETRANSLATE(B30382,""en"",""fr"")"),"Les filles interprètent une routine de danse avec des matraques à la main et se terminent en alignant et en s'éloignant.")</f>
        <v>Les filles interprètent une routine de danse avec des matraques à la main et se terminent en alignant et en s'éloignant.</v>
      </c>
    </row>
    <row r="30383">
      <c r="A30383" s="4" t="s">
        <v>38260</v>
      </c>
      <c r="B30383" s="4" t="s">
        <v>38261</v>
      </c>
      <c r="C30383" s="5" t="str">
        <f>IFERROR(__xludf.DUMMYFUNCTION("GOOGLETRANSLATE(B30383,""en"",""fr"")"),"Une femme nommée Sapna apparaît sur une photo.")</f>
        <v>Une femme nommée Sapna apparaît sur une photo.</v>
      </c>
    </row>
    <row r="30384">
      <c r="A30384" s="4" t="s">
        <v>38260</v>
      </c>
      <c r="B30384" s="4" t="s">
        <v>38262</v>
      </c>
      <c r="C30384" s="5" t="str">
        <f>IFERROR(__xludf.DUMMYFUNCTION("GOOGLETRANSLATE(B30384,""en"",""fr"")"),"Elle est ensuite vue en démonstration d'une variété de mouvements de corde de saut.")</f>
        <v>Elle est ensuite vue en démonstration d'une variété de mouvements de corde de saut.</v>
      </c>
    </row>
    <row r="30385">
      <c r="A30385" s="4" t="s">
        <v>38260</v>
      </c>
      <c r="B30385" s="4" t="s">
        <v>38263</v>
      </c>
      <c r="C30385" s="5" t="str">
        <f>IFERROR(__xludf.DUMMYFUNCTION("GOOGLETRANSLATE(B30385,""en"",""fr"")"),"Elle saute en avant et en arrière, et côte à côte.")</f>
        <v>Elle saute en avant et en arrière, et côte à côte.</v>
      </c>
    </row>
    <row r="30386">
      <c r="A30386" s="4" t="s">
        <v>38264</v>
      </c>
      <c r="B30386" s="4" t="s">
        <v>38265</v>
      </c>
      <c r="C30386" s="5" t="str">
        <f>IFERROR(__xludf.DUMMYFUNCTION("GOOGLETRANSLATE(B30386,""en"",""fr"")"),"Un homme portant un casque de construction applique du plâtre à un mur à l'aide d'un bord plat tenu à la main.")</f>
        <v>Un homme portant un casque de construction applique du plâtre à un mur à l'aide d'un bord plat tenu à la main.</v>
      </c>
    </row>
    <row r="30387">
      <c r="A30387" s="4" t="s">
        <v>38264</v>
      </c>
      <c r="B30387" s="4" t="s">
        <v>38266</v>
      </c>
      <c r="C30387" s="5" t="str">
        <f>IFERROR(__xludf.DUMMYFUNCTION("GOOGLETRANSLATE(B30387,""en"",""fr"")"),"L'homme s'arrête pour expliquer sa procédure.")</f>
        <v>L'homme s'arrête pour expliquer sa procédure.</v>
      </c>
    </row>
    <row r="30388">
      <c r="A30388" s="4" t="s">
        <v>38264</v>
      </c>
      <c r="B30388" s="4" t="s">
        <v>38267</v>
      </c>
      <c r="C30388" s="5" t="str">
        <f>IFERROR(__xludf.DUMMYFUNCTION("GOOGLETRANSLATE(B30388,""en"",""fr"")"),"Un nom et un slogan de l'entreprise sont vus en texte blanc.")</f>
        <v>Un nom et un slogan de l'entreprise sont vus en texte blanc.</v>
      </c>
    </row>
    <row r="30389">
      <c r="A30389" s="4" t="s">
        <v>38268</v>
      </c>
      <c r="B30389" s="4" t="s">
        <v>38269</v>
      </c>
      <c r="C30389" s="5" t="str">
        <f>IFERROR(__xludf.DUMMYFUNCTION("GOOGLETRANSLATE(B30389,""en"",""fr"")"),"Un groupe de rock joue une chanson rock dans un environnement noir et blanc.")</f>
        <v>Un groupe de rock joue une chanson rock dans un environnement noir et blanc.</v>
      </c>
    </row>
    <row r="30390">
      <c r="A30390" s="4" t="s">
        <v>38268</v>
      </c>
      <c r="B30390" s="4" t="s">
        <v>38270</v>
      </c>
      <c r="C30390" s="5" t="str">
        <f>IFERROR(__xludf.DUMMYFUNCTION("GOOGLETRANSLATE(B30390,""en"",""fr"")"),"Plusieurs bigoudis se préparent à un match de curling pendant que le groupe joue.")</f>
        <v>Plusieurs bigoudis se préparent à un match de curling pendant que le groupe joue.</v>
      </c>
    </row>
    <row r="30391">
      <c r="A30391" s="4" t="s">
        <v>38268</v>
      </c>
      <c r="B30391" s="4" t="s">
        <v>38271</v>
      </c>
      <c r="C30391" s="5" t="str">
        <f>IFERROR(__xludf.DUMMYFUNCTION("GOOGLETRANSLATE(B30391,""en"",""fr"")"),"Le groupe et les bigoudis sont tous deux sur la glace en interagissant les uns avec les autres.")</f>
        <v>Le groupe et les bigoudis sont tous deux sur la glace en interagissant les uns avec les autres.</v>
      </c>
    </row>
    <row r="30392">
      <c r="A30392" s="4" t="s">
        <v>38268</v>
      </c>
      <c r="B30392" s="6" t="s">
        <v>38272</v>
      </c>
      <c r="C30392" s="5" t="str">
        <f>IFERROR(__xludf.DUMMYFUNCTION("GOOGLETRANSLATE(B30392,""en"",""fr"")"),"La vidéo revient dans l'environnement noir et blanc où le burler et les membres du groupe chantent tous les deux.")</f>
        <v>La vidéo revient dans l'environnement noir et blanc où le burler et les membres du groupe chantent tous les deux.</v>
      </c>
    </row>
    <row r="30393">
      <c r="A30393" s="4" t="s">
        <v>38268</v>
      </c>
      <c r="B30393" s="4" t="s">
        <v>38273</v>
      </c>
      <c r="C30393" s="5" t="str">
        <f>IFERROR(__xludf.DUMMYFUNCTION("GOOGLETRANSLATE(B30393,""en"",""fr"")"),"La vidéo se concentre sur une femme se préparant à se recroqueviller pendant que les autres regardent.")</f>
        <v>La vidéo se concentre sur une femme se préparant à se recroqueviller pendant que les autres regardent.</v>
      </c>
    </row>
    <row r="30394">
      <c r="A30394" s="4" t="s">
        <v>38268</v>
      </c>
      <c r="B30394" s="4" t="s">
        <v>4761</v>
      </c>
      <c r="C30394" s="5" t="str">
        <f>IFERROR(__xludf.DUMMYFUNCTION("GOOGLETRANSLATE(B30394,""en"",""fr"")"),"La vidéo se termine par les crédits de clôture affichés à l'écran.")</f>
        <v>La vidéo se termine par les crédits de clôture affichés à l'écran.</v>
      </c>
    </row>
    <row r="30395">
      <c r="A30395" s="4" t="s">
        <v>38274</v>
      </c>
      <c r="B30395" s="4" t="s">
        <v>38275</v>
      </c>
      <c r="C30395" s="5" t="str">
        <f>IFERROR(__xludf.DUMMYFUNCTION("GOOGLETRANSLATE(B30395,""en"",""fr"")"),"Une jeune femme est vue en se brossant la dent, suivie de gros plans d'une brosse à dents.")</f>
        <v>Une jeune femme est vue en se brossant la dent, suivie de gros plans d'une brosse à dents.</v>
      </c>
    </row>
    <row r="30396">
      <c r="A30396" s="4" t="s">
        <v>38274</v>
      </c>
      <c r="B30396" s="4" t="s">
        <v>38276</v>
      </c>
      <c r="C30396" s="5" t="str">
        <f>IFERROR(__xludf.DUMMYFUNCTION("GOOGLETRANSLATE(B30396,""en"",""fr"")"),"Des coups de feu sont montrés de ses dents en se rapprochant ainsi que son brossage toujours.")</f>
        <v>Des coups de feu sont montrés de ses dents en se rapprochant ainsi que son brossage toujours.</v>
      </c>
    </row>
    <row r="30397">
      <c r="A30397" s="4" t="s">
        <v>38274</v>
      </c>
      <c r="B30397" s="4" t="s">
        <v>38277</v>
      </c>
      <c r="C30397" s="5" t="str">
        <f>IFERROR(__xludf.DUMMYFUNCTION("GOOGLETRANSLATE(B30397,""en"",""fr"")"),"Elle continue de brosser tout le long de ses dents pour démontrer comment cela se fait.")</f>
        <v>Elle continue de brosser tout le long de ses dents pour démontrer comment cela se fait.</v>
      </c>
    </row>
    <row r="30398">
      <c r="A30398" s="4" t="s">
        <v>38278</v>
      </c>
      <c r="B30398" s="4" t="s">
        <v>38279</v>
      </c>
      <c r="C30398" s="5" t="str">
        <f>IFERROR(__xludf.DUMMYFUNCTION("GOOGLETRANSLATE(B30398,""en"",""fr"")"),"Une annonce GoPro apparaît à l'écran.")</f>
        <v>Une annonce GoPro apparaît à l'écran.</v>
      </c>
    </row>
    <row r="30399">
      <c r="A30399" s="4" t="s">
        <v>38278</v>
      </c>
      <c r="B30399" s="4" t="s">
        <v>38280</v>
      </c>
      <c r="C30399" s="5" t="str">
        <f>IFERROR(__xludf.DUMMYFUNCTION("GOOGLETRANSLATE(B30399,""en"",""fr"")"),"Quelqu'un porte l'appareil car il utilise une tondeuse pour tondre sa pelouse.")</f>
        <v>Quelqu'un porte l'appareil car il utilise une tondeuse pour tondre sa pelouse.</v>
      </c>
    </row>
    <row r="30400">
      <c r="A30400" s="4" t="s">
        <v>38278</v>
      </c>
      <c r="B30400" s="6" t="s">
        <v>38281</v>
      </c>
      <c r="C30400" s="5" t="str">
        <f>IFERROR(__xludf.DUMMYFUNCTION("GOOGLETRANSLATE(B30400,""en"",""fr"")"),"Il est accéléré car il montre tous les angles alors qu'il termine la tonte, les allers-retours et les mêmes endroits jusqu'à ce qu'il soit parfait.")</f>
        <v>Il est accéléré car il montre tous les angles alors qu'il termine la tonte, les allers-retours et les mêmes endroits jusqu'à ce qu'il soit parfait.</v>
      </c>
    </row>
    <row r="30401">
      <c r="A30401" s="4" t="s">
        <v>38282</v>
      </c>
      <c r="B30401" s="6" t="s">
        <v>38283</v>
      </c>
      <c r="C30401" s="5" t="str">
        <f>IFERROR(__xludf.DUMMYFUNCTION("GOOGLETRANSLATE(B30401,""en"",""fr"")"),"Plusieurs clips sont montrés des personnes effectuant des flips et des astuces au milieu d'un sol tandis qu'une lumière brille au milieu.")</f>
        <v>Plusieurs clips sont montrés des personnes effectuant des flips et des astuces au milieu d'un sol tandis qu'une lumière brille au milieu.</v>
      </c>
    </row>
    <row r="30402">
      <c r="A30402" s="4" t="s">
        <v>38282</v>
      </c>
      <c r="B30402" s="6" t="s">
        <v>38284</v>
      </c>
      <c r="C30402" s="5" t="str">
        <f>IFERROR(__xludf.DUMMYFUNCTION("GOOGLETRANSLATE(B30402,""en"",""fr"")"),"Les enfants continuent de tourner entre eux et se terminent en se lançant ensemble et en tombant.")</f>
        <v>Les enfants continuent de tourner entre eux et se terminent en se lançant ensemble et en tombant.</v>
      </c>
    </row>
    <row r="30403">
      <c r="A30403" s="4" t="s">
        <v>38285</v>
      </c>
      <c r="B30403" s="4" t="s">
        <v>38286</v>
      </c>
      <c r="C30403" s="5" t="str">
        <f>IFERROR(__xludf.DUMMYFUNCTION("GOOGLETRANSLATE(B30403,""en"",""fr"")"),"Deux femmes sont dans une pièce à parler.")</f>
        <v>Deux femmes sont dans une pièce à parler.</v>
      </c>
    </row>
    <row r="30404">
      <c r="A30404" s="4" t="s">
        <v>38285</v>
      </c>
      <c r="B30404" s="4" t="s">
        <v>38287</v>
      </c>
      <c r="C30404" s="5" t="str">
        <f>IFERROR(__xludf.DUMMYFUNCTION("GOOGLETRANSLATE(B30404,""en"",""fr"")"),"Une femme commence à se maquiller sur l'autre femme.")</f>
        <v>Une femme commence à se maquiller sur l'autre femme.</v>
      </c>
    </row>
    <row r="30405">
      <c r="A30405" s="4" t="s">
        <v>38285</v>
      </c>
      <c r="B30405" s="4" t="s">
        <v>38288</v>
      </c>
      <c r="C30405" s="5" t="str">
        <f>IFERROR(__xludf.DUMMYFUNCTION("GOOGLETRANSLATE(B30405,""en"",""fr"")"),"Elle tamponne le visage de la femme avec une éponge.")</f>
        <v>Elle tamponne le visage de la femme avec une éponge.</v>
      </c>
    </row>
    <row r="30406">
      <c r="A30406" s="4" t="s">
        <v>38289</v>
      </c>
      <c r="B30406" s="4" t="s">
        <v>38290</v>
      </c>
      <c r="C30406" s="5" t="str">
        <f>IFERROR(__xludf.DUMMYFUNCTION("GOOGLETRANSLATE(B30406,""en"",""fr"")"),"Une femme avec ses cheveux dans une serviette présente sa vidéo montrant comment elle se lave le visage.")</f>
        <v>Une femme avec ses cheveux dans une serviette présente sa vidéo montrant comment elle se lave le visage.</v>
      </c>
    </row>
    <row r="30407">
      <c r="A30407" s="4" t="s">
        <v>38289</v>
      </c>
      <c r="B30407" s="4" t="s">
        <v>38291</v>
      </c>
      <c r="C30407" s="5" t="str">
        <f>IFERROR(__xludf.DUMMYFUNCTION("GOOGLETRANSLATE(B30407,""en"",""fr"")"),"Elle applique une crème hydratante sur son visage tout en dansant.")</f>
        <v>Elle applique une crème hydratante sur son visage tout en dansant.</v>
      </c>
    </row>
    <row r="30408">
      <c r="A30408" s="4" t="s">
        <v>38289</v>
      </c>
      <c r="B30408" s="4" t="s">
        <v>38292</v>
      </c>
      <c r="C30408" s="5" t="str">
        <f>IFERROR(__xludf.DUMMYFUNCTION("GOOGLETRANSLATE(B30408,""en"",""fr"")"),"Elle danse ensuite dans le salon avec la crème hydratante.")</f>
        <v>Elle danse ensuite dans le salon avec la crème hydratante.</v>
      </c>
    </row>
    <row r="30409">
      <c r="A30409" s="4" t="s">
        <v>38289</v>
      </c>
      <c r="B30409" s="4" t="s">
        <v>38293</v>
      </c>
      <c r="C30409" s="5" t="str">
        <f>IFERROR(__xludf.DUMMYFUNCTION("GOOGLETRANSLATE(B30409,""en"",""fr"")"),"Enfin, elle retourne aux toilettes et se lave le visage.")</f>
        <v>Enfin, elle retourne aux toilettes et se lave le visage.</v>
      </c>
    </row>
    <row r="30410">
      <c r="A30410" s="4" t="s">
        <v>38294</v>
      </c>
      <c r="B30410" s="4" t="s">
        <v>38295</v>
      </c>
      <c r="C30410" s="5" t="str">
        <f>IFERROR(__xludf.DUMMYFUNCTION("GOOGLETRANSLATE(B30410,""en"",""fr"")"),"L'homme se tient sur le côté de la voiture coincée dans la circulation.")</f>
        <v>L'homme se tient sur le côté de la voiture coincée dans la circulation.</v>
      </c>
    </row>
    <row r="30411">
      <c r="A30411" s="4" t="s">
        <v>38294</v>
      </c>
      <c r="B30411" s="4" t="s">
        <v>38296</v>
      </c>
      <c r="C30411" s="5" t="str">
        <f>IFERROR(__xludf.DUMMYFUNCTION("GOOGLETRANSLATE(B30411,""en"",""fr"")"),"L'homme tenant des cornemas qui marche dans la rue entre les voitures.")</f>
        <v>L'homme tenant des cornemas qui marche dans la rue entre les voitures.</v>
      </c>
    </row>
    <row r="30412">
      <c r="A30412" s="4" t="s">
        <v>38297</v>
      </c>
      <c r="B30412" s="4" t="s">
        <v>38298</v>
      </c>
      <c r="C30412" s="5" t="str">
        <f>IFERROR(__xludf.DUMMYFUNCTION("GOOGLETRANSLATE(B30412,""en"",""fr"")"),"Un journaliste télévisé parle alors qu'il montre un écran d'une personne jouant du hockey sur la glace.")</f>
        <v>Un journaliste télévisé parle alors qu'il montre un écran d'une personne jouant du hockey sur la glace.</v>
      </c>
    </row>
    <row r="30413">
      <c r="A30413" s="4" t="s">
        <v>38297</v>
      </c>
      <c r="B30413" s="4" t="s">
        <v>38299</v>
      </c>
      <c r="C30413" s="5" t="str">
        <f>IFERROR(__xludf.DUMMYFUNCTION("GOOGLETRANSLATE(B30413,""en"",""fr"")"),"Ensuite, les journalistes se parlent et se commentèrent, tandis que l'un des hommes est sur le devant un ordinateur portable.")</f>
        <v>Ensuite, les journalistes se parlent et se commentèrent, tandis que l'un des hommes est sur le devant un ordinateur portable.</v>
      </c>
    </row>
    <row r="30414">
      <c r="A30414" s="4" t="s">
        <v>38300</v>
      </c>
      <c r="B30414" s="4" t="s">
        <v>38301</v>
      </c>
      <c r="C30414" s="5" t="str">
        <f>IFERROR(__xludf.DUMMYFUNCTION("GOOGLETRANSLATE(B30414,""en"",""fr"")"),"Une gymnaste est vue courir vers un ensemble de barres inégales et effectuer une routine sur les barreaux.")</f>
        <v>Une gymnaste est vue courir vers un ensemble de barres inégales et effectuer une routine sur les barreaux.</v>
      </c>
    </row>
    <row r="30415">
      <c r="A30415" s="4" t="s">
        <v>38300</v>
      </c>
      <c r="B30415" s="4" t="s">
        <v>38302</v>
      </c>
      <c r="C30415" s="5" t="str">
        <f>IFERROR(__xludf.DUMMYFUNCTION("GOOGLETRANSLATE(B30415,""en"",""fr"")"),"Elle balance tout autour et saute sur le tapis pour mettre fin à sa routine.")</f>
        <v>Elle balance tout autour et saute sur le tapis pour mettre fin à sa routine.</v>
      </c>
    </row>
    <row r="30416">
      <c r="A30416" s="4" t="s">
        <v>38303</v>
      </c>
      <c r="B30416" s="4" t="s">
        <v>38304</v>
      </c>
      <c r="C30416" s="5" t="str">
        <f>IFERROR(__xludf.DUMMYFUNCTION("GOOGLETRANSLATE(B30416,""en"",""fr"")"),"Les gens jouent au football dans une arène de football en salle.")</f>
        <v>Les gens jouent au football dans une arène de football en salle.</v>
      </c>
    </row>
    <row r="30417">
      <c r="A30417" s="4" t="s">
        <v>38303</v>
      </c>
      <c r="B30417" s="4" t="s">
        <v>38305</v>
      </c>
      <c r="C30417" s="5" t="str">
        <f>IFERROR(__xludf.DUMMYFUNCTION("GOOGLETRANSLATE(B30417,""en"",""fr"")"),"Deux des hommes servent sur le terrain.")</f>
        <v>Deux des hommes servent sur le terrain.</v>
      </c>
    </row>
    <row r="30418">
      <c r="A30418" s="4" t="s">
        <v>38303</v>
      </c>
      <c r="B30418" s="4" t="s">
        <v>38306</v>
      </c>
      <c r="C30418" s="5" t="str">
        <f>IFERROR(__xludf.DUMMYFUNCTION("GOOGLETRANSLATE(B30418,""en"",""fr"")"),"Une personne lance un ballon dans le but.")</f>
        <v>Une personne lance un ballon dans le but.</v>
      </c>
    </row>
    <row r="30419">
      <c r="A30419" s="4" t="s">
        <v>38307</v>
      </c>
      <c r="B30419" s="4" t="s">
        <v>38308</v>
      </c>
      <c r="C30419" s="5" t="str">
        <f>IFERROR(__xludf.DUMMYFUNCTION("GOOGLETRANSLATE(B30419,""en"",""fr"")"),"Une femme pulvérise la lotion et se brosse les cheveux.")</f>
        <v>Une femme pulvérise la lotion et se brosse les cheveux.</v>
      </c>
    </row>
    <row r="30420">
      <c r="A30420" s="4" t="s">
        <v>38307</v>
      </c>
      <c r="B30420" s="4" t="s">
        <v>38309</v>
      </c>
      <c r="C30420" s="5" t="str">
        <f>IFERROR(__xludf.DUMMYFUNCTION("GOOGLETRANSLATE(B30420,""en"",""fr"")"),"Ensuite, la femme fait une tresse avec les cheveux avant et la fixer avec une épingle.")</f>
        <v>Ensuite, la femme fait une tresse avec les cheveux avant et la fixer avec une épingle.</v>
      </c>
    </row>
    <row r="30421">
      <c r="A30421" s="4" t="s">
        <v>38307</v>
      </c>
      <c r="B30421" s="4" t="s">
        <v>38310</v>
      </c>
      <c r="C30421" s="5" t="str">
        <f>IFERROR(__xludf.DUMMYFUNCTION("GOOGLETRANSLATE(B30421,""en"",""fr"")"),"Après, la femme fait une lotion de queue de poney et de pulvérisation à ses cheveux.")</f>
        <v>Après, la femme fait une lotion de queue de poney et de pulvérisation à ses cheveux.</v>
      </c>
    </row>
    <row r="30422">
      <c r="A30422" s="4" t="s">
        <v>38311</v>
      </c>
      <c r="B30422" s="4" t="s">
        <v>38312</v>
      </c>
      <c r="C30422" s="5" t="str">
        <f>IFERROR(__xludf.DUMMYFUNCTION("GOOGLETRANSLATE(B30422,""en"",""fr"")"),"Le logo initial est affiché et une page Web.")</f>
        <v>Le logo initial est affiché et une page Web.</v>
      </c>
    </row>
    <row r="30423">
      <c r="A30423" s="4" t="s">
        <v>38311</v>
      </c>
      <c r="B30423" s="4" t="s">
        <v>38313</v>
      </c>
      <c r="C30423" s="5" t="str">
        <f>IFERROR(__xludf.DUMMYFUNCTION("GOOGLETRANSLATE(B30423,""en"",""fr"")"),"L'homme est dans un patin à patiner dans des patins blancs.")</f>
        <v>L'homme est dans un patin à patiner dans des patins blancs.</v>
      </c>
    </row>
    <row r="30424">
      <c r="A30424" s="4" t="s">
        <v>38311</v>
      </c>
      <c r="B30424" s="4" t="s">
        <v>38314</v>
      </c>
      <c r="C30424" s="5" t="str">
        <f>IFERROR(__xludf.DUMMYFUNCTION("GOOGLETRANSLATE(B30424,""en"",""fr"")"),"L'homme est assis dans un tube et fait des tours dans un skate park, un autre homme est assis à le regarder.")</f>
        <v>L'homme est assis dans un tube et fait des tours dans un skate park, un autre homme est assis à le regarder.</v>
      </c>
    </row>
    <row r="30425">
      <c r="A30425" s="4" t="s">
        <v>38311</v>
      </c>
      <c r="B30425" s="4" t="s">
        <v>38315</v>
      </c>
      <c r="C30425" s="5" t="str">
        <f>IFERROR(__xludf.DUMMYFUNCTION("GOOGLETRANSLATE(B30425,""en"",""fr"")"),"Little Kid parle à quelqu'un et regarde l'homme en patins en faisant les astuces à Skate Park.")</f>
        <v>Little Kid parle à quelqu'un et regarde l'homme en patins en faisant les astuces à Skate Park.</v>
      </c>
    </row>
    <row r="30426">
      <c r="A30426" s="4" t="s">
        <v>38316</v>
      </c>
      <c r="B30426" s="4" t="s">
        <v>38317</v>
      </c>
      <c r="C30426" s="5" t="str">
        <f>IFERROR(__xludf.DUMMYFUNCTION("GOOGLETRANSLATE(B30426,""en"",""fr"")"),"Une femme plus âgée utilise un signal pour jouer au pool.")</f>
        <v>Une femme plus âgée utilise un signal pour jouer au pool.</v>
      </c>
    </row>
    <row r="30427">
      <c r="A30427" s="4" t="s">
        <v>38316</v>
      </c>
      <c r="B30427" s="4" t="s">
        <v>38318</v>
      </c>
      <c r="C30427" s="5" t="str">
        <f>IFERROR(__xludf.DUMMYFUNCTION("GOOGLETRANSLATE(B30427,""en"",""fr"")"),"Elle tire le ballon et s'éloigne.")</f>
        <v>Elle tire le ballon et s'éloigne.</v>
      </c>
    </row>
    <row r="30428">
      <c r="A30428" s="4" t="s">
        <v>38316</v>
      </c>
      <c r="B30428" s="4" t="s">
        <v>38319</v>
      </c>
      <c r="C30428" s="5" t="str">
        <f>IFERROR(__xludf.DUMMYFUNCTION("GOOGLETRANSLATE(B30428,""en"",""fr"")"),"Puis elle frappe les indices avec une autre personne.")</f>
        <v>Puis elle frappe les indices avec une autre personne.</v>
      </c>
    </row>
    <row r="30429">
      <c r="A30429" s="4" t="s">
        <v>38320</v>
      </c>
      <c r="B30429" s="4" t="s">
        <v>9420</v>
      </c>
      <c r="C30429" s="5" t="str">
        <f>IFERROR(__xludf.DUMMYFUNCTION("GOOGLETRANSLATE(B30429,""en"",""fr"")"),"Les gens dansent sur une scène.")</f>
        <v>Les gens dansent sur une scène.</v>
      </c>
    </row>
    <row r="30430">
      <c r="A30430" s="4" t="s">
        <v>38320</v>
      </c>
      <c r="B30430" s="4" t="s">
        <v>38321</v>
      </c>
      <c r="C30430" s="5" t="str">
        <f>IFERROR(__xludf.DUMMYFUNCTION("GOOGLETRANSLATE(B30430,""en"",""fr"")"),"Deux personnes parlent à une caméra à l'extérieur.")</f>
        <v>Deux personnes parlent à une caméra à l'extérieur.</v>
      </c>
    </row>
    <row r="30431">
      <c r="A30431" s="4" t="s">
        <v>38320</v>
      </c>
      <c r="B30431" s="4" t="s">
        <v>38322</v>
      </c>
      <c r="C30431" s="5" t="str">
        <f>IFERROR(__xludf.DUMMYFUNCTION("GOOGLETRANSLATE(B30431,""en"",""fr"")"),"Une ballerine fait plusieurs tourbillons sur scène.")</f>
        <v>Une ballerine fait plusieurs tourbillons sur scène.</v>
      </c>
    </row>
    <row r="30432">
      <c r="A30432" s="4" t="s">
        <v>38323</v>
      </c>
      <c r="B30432" s="4" t="s">
        <v>38324</v>
      </c>
      <c r="C30432" s="5" t="str">
        <f>IFERROR(__xludf.DUMMYFUNCTION("GOOGLETRANSLATE(B30432,""en"",""fr"")"),"L'homme fume une cigarrette dans une rue sombre.")</f>
        <v>L'homme fume une cigarrette dans une rue sombre.</v>
      </c>
    </row>
    <row r="30433">
      <c r="A30433" s="4" t="s">
        <v>38323</v>
      </c>
      <c r="B30433" s="4" t="s">
        <v>38325</v>
      </c>
      <c r="C30433" s="5" t="str">
        <f>IFERROR(__xludf.DUMMYFUNCTION("GOOGLETRANSLATE(B30433,""en"",""fr"")"),"L'homme porte un t-shirt blanc fumer une cigarrette et regarde la caméra.")</f>
        <v>L'homme porte un t-shirt blanc fumer une cigarrette et regarde la caméra.</v>
      </c>
    </row>
    <row r="30434">
      <c r="A30434" s="4" t="s">
        <v>38323</v>
      </c>
      <c r="B30434" s="4" t="s">
        <v>38326</v>
      </c>
      <c r="C30434" s="5" t="str">
        <f>IFERROR(__xludf.DUMMYFUNCTION("GOOGLETRANSLATE(B30434,""en"",""fr"")"),"L'homme est dans la nuit dans un champ sombre qui fumait.")</f>
        <v>L'homme est dans la nuit dans un champ sombre qui fumait.</v>
      </c>
    </row>
    <row r="30435">
      <c r="A30435" s="4" t="s">
        <v>38327</v>
      </c>
      <c r="B30435" s="4" t="s">
        <v>38328</v>
      </c>
      <c r="C30435" s="5" t="str">
        <f>IFERROR(__xludf.DUMMYFUNCTION("GOOGLETRANSLATE(B30435,""en"",""fr"")"),"Un gars est en bordure d'eau dans un plan d'eau.")</f>
        <v>Un gars est en bordure d'eau dans un plan d'eau.</v>
      </c>
    </row>
    <row r="30436">
      <c r="A30436" s="4" t="s">
        <v>38327</v>
      </c>
      <c r="B30436" s="4" t="s">
        <v>38329</v>
      </c>
      <c r="C30436" s="5" t="str">
        <f>IFERROR(__xludf.DUMMYFUNCTION("GOOGLETRANSLATE(B30436,""en"",""fr"")"),"Le gars gâche ses cheveux.")</f>
        <v>Le gars gâche ses cheveux.</v>
      </c>
    </row>
    <row r="30437">
      <c r="A30437" s="4" t="s">
        <v>38327</v>
      </c>
      <c r="B30437" s="4" t="s">
        <v>38330</v>
      </c>
      <c r="C30437" s="5" t="str">
        <f>IFERROR(__xludf.DUMMYFUNCTION("GOOGLETRANSLATE(B30437,""en"",""fr"")"),"Le gars donne un geste de mains.")</f>
        <v>Le gars donne un geste de mains.</v>
      </c>
    </row>
    <row r="30438">
      <c r="A30438" s="4" t="s">
        <v>38331</v>
      </c>
      <c r="B30438" s="6" t="s">
        <v>38332</v>
      </c>
      <c r="C30438" s="5" t="str">
        <f>IFERROR(__xludf.DUMMYFUNCTION("GOOGLETRANSLATE(B30438,""en"",""fr"")"),"Une femme athlétique est vue en train de courir sur une piste avec un grand groupe de personnes la regardant sur la touche.")</f>
        <v>Une femme athlétique est vue en train de courir sur une piste avec un grand groupe de personnes la regardant sur la touche.</v>
      </c>
    </row>
    <row r="30439">
      <c r="A30439" s="4" t="s">
        <v>38331</v>
      </c>
      <c r="B30439" s="6" t="s">
        <v>38333</v>
      </c>
      <c r="C30439" s="5" t="str">
        <f>IFERROR(__xludf.DUMMYFUNCTION("GOOGLETRANSLATE(B30439,""en"",""fr"")"),"Elle continue de courir et termine la course tout en s'effondrant sur le sol à la fin et en respirant fortement pendant les pleurs.")</f>
        <v>Elle continue de courir et termine la course tout en s'effondrant sur le sol à la fin et en respirant fortement pendant les pleurs.</v>
      </c>
    </row>
    <row r="30440">
      <c r="A30440" s="4" t="s">
        <v>38331</v>
      </c>
      <c r="B30440" s="6" t="s">
        <v>38334</v>
      </c>
      <c r="C30440" s="5" t="str">
        <f>IFERROR(__xludf.DUMMYFUNCTION("GOOGLETRANSLATE(B30440,""en"",""fr"")"),"Elle s'assoit en pleurant et une autre femme l'aide à se relever, se terminant par un court clip d'une fille en cours d'exécution.")</f>
        <v>Elle s'assoit en pleurant et une autre femme l'aide à se relever, se terminant par un court clip d'une fille en cours d'exécution.</v>
      </c>
    </row>
    <row r="30441">
      <c r="A30441" s="4" t="s">
        <v>38335</v>
      </c>
      <c r="B30441" s="4" t="s">
        <v>38336</v>
      </c>
      <c r="C30441" s="5" t="str">
        <f>IFERROR(__xludf.DUMMYFUNCTION("GOOGLETRANSLATE(B30441,""en"",""fr"")"),"Un homme court sur la piste lors d'une compétition d'athlétisme.")</f>
        <v>Un homme court sur la piste lors d'une compétition d'athlétisme.</v>
      </c>
    </row>
    <row r="30442">
      <c r="A30442" s="4" t="s">
        <v>38335</v>
      </c>
      <c r="B30442" s="4" t="s">
        <v>38337</v>
      </c>
      <c r="C30442" s="5" t="str">
        <f>IFERROR(__xludf.DUMMYFUNCTION("GOOGLETRANSLATE(B30442,""en"",""fr"")"),"Il commence à prendre quelques mesures rapides pour se donner ainsi un levier pour un saut qu'il essaie de faire.")</f>
        <v>Il commence à prendre quelques mesures rapides pour se donner ainsi un levier pour un saut qu'il essaie de faire.</v>
      </c>
    </row>
    <row r="30443">
      <c r="A30443" s="4" t="s">
        <v>38335</v>
      </c>
      <c r="B30443" s="4" t="s">
        <v>38338</v>
      </c>
      <c r="C30443" s="5" t="str">
        <f>IFERROR(__xludf.DUMMYFUNCTION("GOOGLETRANSLATE(B30443,""en"",""fr"")"),"Il décolle en l'air alors qu'il commence le saut.")</f>
        <v>Il décolle en l'air alors qu'il commence le saut.</v>
      </c>
    </row>
    <row r="30444">
      <c r="A30444" s="4" t="s">
        <v>38335</v>
      </c>
      <c r="B30444" s="4" t="s">
        <v>38339</v>
      </c>
      <c r="C30444" s="5" t="str">
        <f>IFERROR(__xludf.DUMMYFUNCTION("GOOGLETRANSLATE(B30444,""en"",""fr"")"),"Il atterrit par terre alors qu'il termine le saut.")</f>
        <v>Il atterrit par terre alors qu'il termine le saut.</v>
      </c>
    </row>
    <row r="30445">
      <c r="A30445" s="4" t="s">
        <v>38340</v>
      </c>
      <c r="B30445" s="6" t="s">
        <v>38341</v>
      </c>
      <c r="C30445" s="5" t="str">
        <f>IFERROR(__xludf.DUMMYFUNCTION("GOOGLETRANSLATE(B30445,""en"",""fr"")"),"Un homme avec une longue barbe parle dans la caméra tandis qu'une main brosse le côté de sa barbe, puis il continue de parler tandis que dans son dos, le téléviseur court, puis il a fermé sa barbe, a montré un homme en vert et le gamin assis assis à côté "&amp;"de lui.")</f>
        <v>Un homme avec une longue barbe parle dans la caméra tandis qu'une main brosse le côté de sa barbe, puis il continue de parler tandis que dans son dos, le téléviseur court, puis il a fermé sa barbe, a montré un homme en vert et le gamin assis assis à côté de lui.</v>
      </c>
    </row>
    <row r="30446">
      <c r="A30446" s="4" t="s">
        <v>38340</v>
      </c>
      <c r="B30446" s="6" t="s">
        <v>38342</v>
      </c>
      <c r="C30446" s="5" t="str">
        <f>IFERROR(__xludf.DUMMYFUNCTION("GOOGLETRANSLATE(B30446,""en"",""fr"")"),"L'homme en vert rasage la barbe de l'homme sur le côté puis l'a brossé puis continue de raser la longue barbe en quittant le chaume.")</f>
        <v>L'homme en vert rasage la barbe de l'homme sur le côté puis l'a brossé puis continue de raser la longue barbe en quittant le chaume.</v>
      </c>
    </row>
    <row r="30447">
      <c r="A30447" s="4" t="s">
        <v>38343</v>
      </c>
      <c r="B30447" s="4" t="s">
        <v>38344</v>
      </c>
      <c r="C30447" s="5" t="str">
        <f>IFERROR(__xludf.DUMMYFUNCTION("GOOGLETRANSLATE(B30447,""en"",""fr"")"),"Un gros plan d'une table de billard est montré suivi d'un homme frappant le ballon.")</f>
        <v>Un gros plan d'une table de billard est montré suivi d'un homme frappant le ballon.</v>
      </c>
    </row>
    <row r="30448">
      <c r="A30448" s="4" t="s">
        <v>38343</v>
      </c>
      <c r="B30448" s="4" t="s">
        <v>38345</v>
      </c>
      <c r="C30448" s="5" t="str">
        <f>IFERROR(__xludf.DUMMYFUNCTION("GOOGLETRANSLATE(B30448,""en"",""fr"")"),"L'homme célèbre et serre les mains de l'adversaire.")</f>
        <v>L'homme célèbre et serre les mains de l'adversaire.</v>
      </c>
    </row>
    <row r="30449">
      <c r="A30449" s="4" t="s">
        <v>38343</v>
      </c>
      <c r="B30449" s="4" t="s">
        <v>38346</v>
      </c>
      <c r="C30449" s="5" t="str">
        <f>IFERROR(__xludf.DUMMYFUNCTION("GOOGLETRANSLATE(B30449,""en"",""fr"")"),"Il se promène dans le public en célébrant avec eux et revient dans son sac.")</f>
        <v>Il se promène dans le public en célébrant avec eux et revient dans son sac.</v>
      </c>
    </row>
    <row r="30450">
      <c r="A30450" s="4" t="s">
        <v>38347</v>
      </c>
      <c r="B30450" s="4" t="s">
        <v>38348</v>
      </c>
      <c r="C30450" s="5" t="str">
        <f>IFERROR(__xludf.DUMMYFUNCTION("GOOGLETRANSLATE(B30450,""en"",""fr"")"),"Un homme parle à la caméra alors qu'il s'apprête à monter dans les tampres.")</f>
        <v>Un homme parle à la caméra alors qu'il s'apprête à monter dans les tampres.</v>
      </c>
    </row>
    <row r="30451">
      <c r="A30451" s="4" t="s">
        <v>38347</v>
      </c>
      <c r="B30451" s="6" t="s">
        <v>38349</v>
      </c>
      <c r="C30451" s="5" t="str">
        <f>IFERROR(__xludf.DUMMYFUNCTION("GOOGLETRANSLATE(B30451,""en"",""fr"")"),"L'homme monte dans la voiture de pare-chocs qui se heurte aux autres personnes pendant que la caméra regarde.")</f>
        <v>L'homme monte dans la voiture de pare-chocs qui se heurte aux autres personnes pendant que la caméra regarde.</v>
      </c>
    </row>
    <row r="30452">
      <c r="A30452" s="4" t="s">
        <v>38347</v>
      </c>
      <c r="B30452" s="4" t="s">
        <v>38350</v>
      </c>
      <c r="C30452" s="5" t="str">
        <f>IFERROR(__xludf.DUMMYFUNCTION("GOOGLETRANSLATE(B30452,""en"",""fr"")"),"La caméra zoome sur les gens pour un examen plus approfondi.")</f>
        <v>La caméra zoome sur les gens pour un examen plus approfondi.</v>
      </c>
    </row>
    <row r="30453">
      <c r="A30453" s="4" t="s">
        <v>38347</v>
      </c>
      <c r="B30453" s="4" t="s">
        <v>38351</v>
      </c>
      <c r="C30453" s="5" t="str">
        <f>IFERROR(__xludf.DUMMYFUNCTION("GOOGLETRANSLATE(B30453,""en"",""fr"")"),"Le trajet se termine et les gens sortent des tampants.")</f>
        <v>Le trajet se termine et les gens sortent des tampants.</v>
      </c>
    </row>
    <row r="30454">
      <c r="A30454" s="4" t="s">
        <v>38352</v>
      </c>
      <c r="B30454" s="4" t="s">
        <v>38353</v>
      </c>
      <c r="C30454" s="5" t="str">
        <f>IFERROR(__xludf.DUMMYFUNCTION("GOOGLETRANSLATE(B30454,""en"",""fr"")"),"Un homme lance un objet dans un événement d'athlétisme aux Jeux olympiques.")</f>
        <v>Un homme lance un objet dans un événement d'athlétisme aux Jeux olympiques.</v>
      </c>
    </row>
    <row r="30455">
      <c r="A30455" s="4" t="s">
        <v>38352</v>
      </c>
      <c r="B30455" s="4" t="s">
        <v>38354</v>
      </c>
      <c r="C30455" s="5" t="str">
        <f>IFERROR(__xludf.DUMMYFUNCTION("GOOGLETRANSLATE(B30455,""en"",""fr"")"),"Ceci est ensuite montré au ralenti puis accéléré.")</f>
        <v>Ceci est ensuite montré au ralenti puis accéléré.</v>
      </c>
    </row>
    <row r="30456">
      <c r="A30456" s="4" t="s">
        <v>38352</v>
      </c>
      <c r="B30456" s="4" t="s">
        <v>38355</v>
      </c>
      <c r="C30456" s="5" t="str">
        <f>IFERROR(__xludf.DUMMYFUNCTION("GOOGLETRANSLATE(B30456,""en"",""fr"")"),"L'entraîneur réagit et applaudit.")</f>
        <v>L'entraîneur réagit et applaudit.</v>
      </c>
    </row>
    <row r="30457">
      <c r="A30457" s="4" t="s">
        <v>38352</v>
      </c>
      <c r="B30457" s="4" t="s">
        <v>38356</v>
      </c>
      <c r="C30457" s="5" t="str">
        <f>IFERROR(__xludf.DUMMYFUNCTION("GOOGLETRANSLATE(B30457,""en"",""fr"")"),"L'athlète reçoit une médaille et des vagues à la foule.")</f>
        <v>L'athlète reçoit une médaille et des vagues à la foule.</v>
      </c>
    </row>
    <row r="30458">
      <c r="A30458" s="4" t="s">
        <v>38357</v>
      </c>
      <c r="B30458" s="4" t="s">
        <v>38358</v>
      </c>
      <c r="C30458" s="5" t="str">
        <f>IFERROR(__xludf.DUMMYFUNCTION("GOOGLETRANSLATE(B30458,""en"",""fr"")"),"Un homme est à l'extérieur, coupant des fils d'une pile de sangles.")</f>
        <v>Un homme est à l'extérieur, coupant des fils d'une pile de sangles.</v>
      </c>
    </row>
    <row r="30459">
      <c r="A30459" s="4" t="s">
        <v>38357</v>
      </c>
      <c r="B30459" s="4" t="s">
        <v>38359</v>
      </c>
      <c r="C30459" s="5" t="str">
        <f>IFERROR(__xludf.DUMMYFUNCTION("GOOGLETRANSLATE(B30459,""en"",""fr"")"),"Il déplace les draps, puis bouche les sols avant de les poser.")</f>
        <v>Il déplace les draps, puis bouche les sols avant de les poser.</v>
      </c>
    </row>
    <row r="30460">
      <c r="A30460" s="4" t="s">
        <v>38357</v>
      </c>
      <c r="B30460" s="4" t="s">
        <v>38360</v>
      </c>
      <c r="C30460" s="5" t="str">
        <f>IFERROR(__xludf.DUMMYFUNCTION("GOOGLETRANSLATE(B30460,""en"",""fr"")"),"L'homme presse les grandes draps sur le sol.")</f>
        <v>L'homme presse les grandes draps sur le sol.</v>
      </c>
    </row>
    <row r="30461">
      <c r="A30461" s="4" t="s">
        <v>38361</v>
      </c>
      <c r="B30461" s="6" t="s">
        <v>38362</v>
      </c>
      <c r="C30461" s="5" t="str">
        <f>IFERROR(__xludf.DUMMYFUNCTION("GOOGLETRANSLATE(B30461,""en"",""fr"")"),"Un homme tient un frisbee à côté d'un chien, puis le chien saute au-dessus de l'arrière de l'homme et attrape un frisbee.")</f>
        <v>Un homme tient un frisbee à côté d'un chien, puis le chien saute au-dessus de l'arrière de l'homme et attrape un frisbee.</v>
      </c>
    </row>
    <row r="30462">
      <c r="A30462" s="4" t="s">
        <v>38361</v>
      </c>
      <c r="B30462" s="4" t="s">
        <v>38363</v>
      </c>
      <c r="C30462" s="5" t="str">
        <f>IFERROR(__xludf.DUMMYFUNCTION("GOOGLETRANSLATE(B30462,""en"",""fr"")"),"L'homme lance un frisbee et le chien court pour l'obtenir, après que l'homme ait fait des tours avec le chien.")</f>
        <v>L'homme lance un frisbee et le chien court pour l'obtenir, après que l'homme ait fait des tours avec le chien.</v>
      </c>
    </row>
    <row r="30463">
      <c r="A30463" s="4" t="s">
        <v>38361</v>
      </c>
      <c r="B30463" s="4" t="s">
        <v>38364</v>
      </c>
      <c r="C30463" s="5" t="str">
        <f>IFERROR(__xludf.DUMMYFUNCTION("GOOGLETRANSLATE(B30463,""en"",""fr"")"),"Une personne se couchait avec les pieds, puis le chien se tient sur ses pieds et joue avec le frisbee.")</f>
        <v>Une personne se couchait avec les pieds, puis le chien se tient sur ses pieds et joue avec le frisbee.</v>
      </c>
    </row>
    <row r="30464">
      <c r="A30464" s="4" t="s">
        <v>38361</v>
      </c>
      <c r="B30464" s="4" t="s">
        <v>38365</v>
      </c>
      <c r="C30464" s="5" t="str">
        <f>IFERROR(__xludf.DUMMYFUNCTION("GOOGLETRANSLATE(B30464,""en"",""fr"")"),"L'homme joue avec le chien frisbee faisant des tours et lançant le frisbee.")</f>
        <v>L'homme joue avec le chien frisbee faisant des tours et lançant le frisbee.</v>
      </c>
    </row>
    <row r="30465">
      <c r="A30465" s="4" t="s">
        <v>38366</v>
      </c>
      <c r="B30465" s="4" t="s">
        <v>38367</v>
      </c>
      <c r="C30465" s="5" t="str">
        <f>IFERROR(__xludf.DUMMYFUNCTION("GOOGLETRANSLATE(B30465,""en"",""fr"")"),"L'extérieur d'une boîte contenant un pistolet est montré.")</f>
        <v>L'extérieur d'une boîte contenant un pistolet est montré.</v>
      </c>
    </row>
    <row r="30466">
      <c r="A30466" s="4" t="s">
        <v>38366</v>
      </c>
      <c r="B30466" s="4" t="s">
        <v>38368</v>
      </c>
      <c r="C30466" s="5" t="str">
        <f>IFERROR(__xludf.DUMMYFUNCTION("GOOGLETRANSLATE(B30466,""en"",""fr"")"),"Un homme est rejoint par deux autres devant une exposition d'armes à feu.")</f>
        <v>Un homme est rejoint par deux autres devant une exposition d'armes à feu.</v>
      </c>
    </row>
    <row r="30467">
      <c r="A30467" s="4" t="s">
        <v>38366</v>
      </c>
      <c r="B30467" s="6" t="s">
        <v>38369</v>
      </c>
      <c r="C30467" s="5" t="str">
        <f>IFERROR(__xludf.DUMMYFUNCTION("GOOGLETRANSLATE(B30467,""en"",""fr"")"),"Ils parlent des armes, puis rejoignent un jeu de paintball à l'extérieur, se cachant derrière des obstacles alors qu'ils tirent les uns aux autres.")</f>
        <v>Ils parlent des armes, puis rejoignent un jeu de paintball à l'extérieur, se cachant derrière des obstacles alors qu'ils tirent les uns aux autres.</v>
      </c>
    </row>
    <row r="30468">
      <c r="A30468" s="4" t="s">
        <v>38370</v>
      </c>
      <c r="B30468" s="4" t="s">
        <v>38371</v>
      </c>
      <c r="C30468" s="5" t="str">
        <f>IFERROR(__xludf.DUMMYFUNCTION("GOOGLETRANSLATE(B30468,""en"",""fr"")"),"Une dame debout à côté de la diapositive tient un petit enfant sur le dessus de la glissière.")</f>
        <v>Une dame debout à côté de la diapositive tient un petit enfant sur le dessus de la glissière.</v>
      </c>
    </row>
    <row r="30469">
      <c r="A30469" s="4" t="s">
        <v>38370</v>
      </c>
      <c r="B30469" s="4" t="s">
        <v>38372</v>
      </c>
      <c r="C30469" s="5" t="str">
        <f>IFERROR(__xludf.DUMMYFUNCTION("GOOGLETRANSLATE(B30469,""en"",""fr"")"),"Elle a regardé à l'intérieur du tunnel et a déplacé le petit enfant pour le montrer et saluer la personne.")</f>
        <v>Elle a regardé à l'intérieur du tunnel et a déplacé le petit enfant pour le montrer et saluer la personne.</v>
      </c>
    </row>
    <row r="30470">
      <c r="A30470" s="4" t="s">
        <v>38370</v>
      </c>
      <c r="B30470" s="4" t="s">
        <v>38373</v>
      </c>
      <c r="C30470" s="5" t="str">
        <f>IFERROR(__xludf.DUMMYFUNCTION("GOOGLETRANSLATE(B30470,""en"",""fr"")"),"La dame tient l'enfant pendant qu'elle le pousse sur la diapositive.")</f>
        <v>La dame tient l'enfant pendant qu'elle le pousse sur la diapositive.</v>
      </c>
    </row>
    <row r="30471">
      <c r="A30471" s="4" t="s">
        <v>38370</v>
      </c>
      <c r="B30471" s="4" t="s">
        <v>38374</v>
      </c>
      <c r="C30471" s="5" t="str">
        <f>IFERROR(__xludf.DUMMYFUNCTION("GOOGLETRANSLATE(B30471,""en"",""fr"")"),"La dame fait glisser l'enfant vers le haut.")</f>
        <v>La dame fait glisser l'enfant vers le haut.</v>
      </c>
    </row>
    <row r="30472">
      <c r="A30472" s="4" t="s">
        <v>38370</v>
      </c>
      <c r="B30472" s="4" t="s">
        <v>38375</v>
      </c>
      <c r="C30472" s="5" t="str">
        <f>IFERROR(__xludf.DUMMYFUNCTION("GOOGLETRANSLATE(B30472,""en"",""fr"")"),"La dame tient l'enfant et le poussa dans la diapositive.")</f>
        <v>La dame tient l'enfant et le poussa dans la diapositive.</v>
      </c>
    </row>
    <row r="30473">
      <c r="A30473" s="4" t="s">
        <v>38370</v>
      </c>
      <c r="B30473" s="4" t="s">
        <v>38376</v>
      </c>
      <c r="C30473" s="5" t="str">
        <f>IFERROR(__xludf.DUMMYFUNCTION("GOOGLETRANSLATE(B30473,""en"",""fr"")"),"L'enfant s'est assis au bas de la diapositive tout en regardant le regard.")</f>
        <v>L'enfant s'est assis au bas de la diapositive tout en regardant le regard.</v>
      </c>
    </row>
    <row r="30474">
      <c r="A30474" s="4" t="s">
        <v>38377</v>
      </c>
      <c r="B30474" s="4" t="s">
        <v>38378</v>
      </c>
      <c r="C30474" s="5" t="str">
        <f>IFERROR(__xludf.DUMMYFUNCTION("GOOGLETRANSLATE(B30474,""en"",""fr"")"),"Deux personnes sautent à l'extérieur sur un patio.")</f>
        <v>Deux personnes sautent à l'extérieur sur un patio.</v>
      </c>
    </row>
    <row r="30475">
      <c r="A30475" s="4" t="s">
        <v>38377</v>
      </c>
      <c r="B30475" s="4" t="s">
        <v>38379</v>
      </c>
      <c r="C30475" s="5" t="str">
        <f>IFERROR(__xludf.DUMMYFUNCTION("GOOGLETRANSLATE(B30475,""en"",""fr"")"),"Le garçon part et les filles commencent à sauter par elle-même.")</f>
        <v>Le garçon part et les filles commencent à sauter par elle-même.</v>
      </c>
    </row>
    <row r="30476">
      <c r="A30476" s="4" t="s">
        <v>38377</v>
      </c>
      <c r="B30476" s="4" t="s">
        <v>38380</v>
      </c>
      <c r="C30476" s="5" t="str">
        <f>IFERROR(__xludf.DUMMYFUNCTION("GOOGLETRANSLATE(B30476,""en"",""fr"")"),"La fille fait une main.")</f>
        <v>La fille fait une main.</v>
      </c>
    </row>
    <row r="30477">
      <c r="A30477" s="4" t="s">
        <v>38377</v>
      </c>
      <c r="B30477" s="4" t="s">
        <v>38381</v>
      </c>
      <c r="C30477" s="5" t="str">
        <f>IFERROR(__xludf.DUMMYFUNCTION("GOOGLETRANSLATE(B30477,""en"",""fr"")"),"Le garçon commence à sauter par lui-même.")</f>
        <v>Le garçon commence à sauter par lui-même.</v>
      </c>
    </row>
    <row r="30478">
      <c r="A30478" s="4" t="s">
        <v>38377</v>
      </c>
      <c r="B30478" s="4" t="s">
        <v>38382</v>
      </c>
      <c r="C30478" s="5" t="str">
        <f>IFERROR(__xludf.DUMMYFUNCTION("GOOGLETRANSLATE(B30478,""en"",""fr"")"),"La fille fait un retournement dans l'air.")</f>
        <v>La fille fait un retournement dans l'air.</v>
      </c>
    </row>
    <row r="30479">
      <c r="A30479" s="4" t="s">
        <v>38377</v>
      </c>
      <c r="B30479" s="4" t="s">
        <v>38383</v>
      </c>
      <c r="C30479" s="5" t="str">
        <f>IFERROR(__xludf.DUMMYFUNCTION("GOOGLETRANSLATE(B30479,""en"",""fr"")"),"Le garçon fait un retournement dans l'air.")</f>
        <v>Le garçon fait un retournement dans l'air.</v>
      </c>
    </row>
    <row r="30480">
      <c r="A30480" s="4" t="s">
        <v>38384</v>
      </c>
      <c r="B30480" s="4" t="s">
        <v>38385</v>
      </c>
      <c r="C30480" s="5" t="str">
        <f>IFERROR(__xludf.DUMMYFUNCTION("GOOGLETRANSLATE(B30480,""en"",""fr"")"),"Plusieurs personnes sont présentées dans un arrière-terrain des lasers dépeintes comme membres d'une équipe.")</f>
        <v>Plusieurs personnes sont présentées dans un arrière-terrain des lasers dépeintes comme membres d'une équipe.</v>
      </c>
    </row>
    <row r="30481">
      <c r="A30481" s="4" t="s">
        <v>38384</v>
      </c>
      <c r="B30481" s="6" t="s">
        <v>38386</v>
      </c>
      <c r="C30481" s="5" t="str">
        <f>IFERROR(__xludf.DUMMYFUNCTION("GOOGLETRANSLATE(B30481,""en"",""fr"")"),"Un homme de l'équipe vient alors et commence à skateboard sur la route dans un environnement communautaire.")</f>
        <v>Un homme de l'équipe vient alors et commence à skateboard sur la route dans un environnement communautaire.</v>
      </c>
    </row>
    <row r="30482">
      <c r="A30482" s="4" t="s">
        <v>38384</v>
      </c>
      <c r="B30482" s="6" t="s">
        <v>38387</v>
      </c>
      <c r="C30482" s="5" t="str">
        <f>IFERROR(__xludf.DUMMYFUNCTION("GOOGLETRANSLATE(B30482,""en"",""fr"")"),"Alors qu'il continue de patiner, il se déplace dans une zone plus rurale avec de grandes montagnes et un champ en plein air et des points commencent à accumuler dans le coin de l'écran.")</f>
        <v>Alors qu'il continue de patiner, il se déplace dans une zone plus rurale avec de grandes montagnes et un champ en plein air et des points commencent à accumuler dans le coin de l'écran.</v>
      </c>
    </row>
    <row r="30483">
      <c r="A30483" s="4" t="s">
        <v>38388</v>
      </c>
      <c r="B30483" s="4" t="s">
        <v>38389</v>
      </c>
      <c r="C30483" s="5" t="str">
        <f>IFERROR(__xludf.DUMMYFUNCTION("GOOGLETRANSLATE(B30483,""en"",""fr"")"),"Une femme est assise à prendre un verre.")</f>
        <v>Une femme est assise à prendre un verre.</v>
      </c>
    </row>
    <row r="30484">
      <c r="A30484" s="4" t="s">
        <v>38388</v>
      </c>
      <c r="B30484" s="4" t="s">
        <v>38390</v>
      </c>
      <c r="C30484" s="5" t="str">
        <f>IFERROR(__xludf.DUMMYFUNCTION("GOOGLETRANSLATE(B30484,""en"",""fr"")"),"Elle pose la boisson et commence à parler.")</f>
        <v>Elle pose la boisson et commence à parler.</v>
      </c>
    </row>
    <row r="30485">
      <c r="A30485" s="4" t="s">
        <v>38391</v>
      </c>
      <c r="B30485" s="4" t="s">
        <v>38392</v>
      </c>
      <c r="C30485" s="5" t="str">
        <f>IFERROR(__xludf.DUMMYFUNCTION("GOOGLETRANSLATE(B30485,""en"",""fr"")"),"Un petit tout-petit marche dans la rue en tenant sa laisse de chien.")</f>
        <v>Un petit tout-petit marche dans la rue en tenant sa laisse de chien.</v>
      </c>
    </row>
    <row r="30486">
      <c r="A30486" s="4" t="s">
        <v>38391</v>
      </c>
      <c r="B30486" s="4" t="s">
        <v>38393</v>
      </c>
      <c r="C30486" s="5" t="str">
        <f>IFERROR(__xludf.DUMMYFUNCTION("GOOGLETRANSLATE(B30486,""en"",""fr"")"),"Le chien marche devant elle ne la tirant pas, il est très doux.")</f>
        <v>Le chien marche devant elle ne la tirant pas, il est très doux.</v>
      </c>
    </row>
    <row r="30487">
      <c r="A30487" s="4" t="s">
        <v>38391</v>
      </c>
      <c r="B30487" s="4" t="s">
        <v>38394</v>
      </c>
      <c r="C30487" s="5" t="str">
        <f>IFERROR(__xludf.DUMMYFUNCTION("GOOGLETRANSLATE(B30487,""en"",""fr"")"),"Le chien s'arrête pour renifler puis recommence à marcher.")</f>
        <v>Le chien s'arrête pour renifler puis recommence à marcher.</v>
      </c>
    </row>
    <row r="30488">
      <c r="A30488" s="4" t="s">
        <v>38391</v>
      </c>
      <c r="B30488" s="4" t="s">
        <v>38395</v>
      </c>
      <c r="C30488" s="5" t="str">
        <f>IFERROR(__xludf.DUMMYFUNCTION("GOOGLETRANSLATE(B30488,""en"",""fr"")"),"La petite fille essayant de suivre de près lui.")</f>
        <v>La petite fille essayant de suivre de près lui.</v>
      </c>
    </row>
    <row r="30489">
      <c r="A30489" s="4" t="s">
        <v>38396</v>
      </c>
      <c r="B30489" s="4" t="s">
        <v>38397</v>
      </c>
      <c r="C30489" s="5" t="str">
        <f>IFERROR(__xludf.DUMMYFUNCTION("GOOGLETRANSLATE(B30489,""en"",""fr"")"),"Un homme s'étend devant la caméra.")</f>
        <v>Un homme s'étend devant la caméra.</v>
      </c>
    </row>
    <row r="30490">
      <c r="A30490" s="4" t="s">
        <v>38396</v>
      </c>
      <c r="B30490" s="4" t="s">
        <v>38398</v>
      </c>
      <c r="C30490" s="5" t="str">
        <f>IFERROR(__xludf.DUMMYFUNCTION("GOOGLETRANSLATE(B30490,""en"",""fr"")"),"La caméra coupe les scènes de l'homme sur un petit bateau pagayant.")</f>
        <v>La caméra coupe les scènes de l'homme sur un petit bateau pagayant.</v>
      </c>
    </row>
    <row r="30491">
      <c r="A30491" s="4" t="s">
        <v>38396</v>
      </c>
      <c r="B30491" s="6" t="s">
        <v>38399</v>
      </c>
      <c r="C30491" s="5" t="str">
        <f>IFERROR(__xludf.DUMMYFUNCTION("GOOGLETRANSLATE(B30491,""en"",""fr"")"),"La caméra coupe les scènes de divers hommes pagayant des bateaux sous différents angles, avec différents arrière-plans.")</f>
        <v>La caméra coupe les scènes de divers hommes pagayant des bateaux sous différents angles, avec différents arrière-plans.</v>
      </c>
    </row>
    <row r="30492">
      <c r="A30492" s="4" t="s">
        <v>38396</v>
      </c>
      <c r="B30492" s="4" t="s">
        <v>38400</v>
      </c>
      <c r="C30492" s="5" t="str">
        <f>IFERROR(__xludf.DUMMYFUNCTION("GOOGLETRANSLATE(B30492,""en"",""fr"")"),"La caméra montre des hommes qui rangent des bateaux.")</f>
        <v>La caméra montre des hommes qui rangent des bateaux.</v>
      </c>
    </row>
    <row r="30493">
      <c r="A30493" s="4" t="s">
        <v>38396</v>
      </c>
      <c r="B30493" s="4" t="s">
        <v>38401</v>
      </c>
      <c r="C30493" s="5" t="str">
        <f>IFERROR(__xludf.DUMMYFUNCTION("GOOGLETRANSLATE(B30493,""en"",""fr"")"),"La caméra montre plusieurs hommes dans une voiture.")</f>
        <v>La caméra montre plusieurs hommes dans une voiture.</v>
      </c>
    </row>
    <row r="30494">
      <c r="A30494" s="4" t="s">
        <v>38396</v>
      </c>
      <c r="B30494" s="4" t="s">
        <v>38402</v>
      </c>
      <c r="C30494" s="5" t="str">
        <f>IFERROR(__xludf.DUMMYFUNCTION("GOOGLETRANSLATE(B30494,""en"",""fr"")"),"La caméra montre des clips rapides d'hommes qui font de l'exercice dans une salle de sport.")</f>
        <v>La caméra montre des clips rapides d'hommes qui font de l'exercice dans une salle de sport.</v>
      </c>
    </row>
    <row r="30495">
      <c r="A30495" s="4" t="s">
        <v>38396</v>
      </c>
      <c r="B30495" s="4" t="s">
        <v>38403</v>
      </c>
      <c r="C30495" s="5" t="str">
        <f>IFERROR(__xludf.DUMMYFUNCTION("GOOGLETRANSLATE(B30495,""en"",""fr"")"),"La caméra revient à des scènes d'hommes pagayant des bateaux.")</f>
        <v>La caméra revient à des scènes d'hommes pagayant des bateaux.</v>
      </c>
    </row>
    <row r="30496">
      <c r="A30496" s="4" t="s">
        <v>38396</v>
      </c>
      <c r="B30496" s="4" t="s">
        <v>38404</v>
      </c>
      <c r="C30496" s="5" t="str">
        <f>IFERROR(__xludf.DUMMYFUNCTION("GOOGLETRANSLATE(B30496,""en"",""fr"")"),"La caméra coupe les images accélérées d'une voiture conduite.")</f>
        <v>La caméra coupe les images accélérées d'une voiture conduite.</v>
      </c>
    </row>
    <row r="30497">
      <c r="A30497" s="4" t="s">
        <v>38396</v>
      </c>
      <c r="B30497" s="4" t="s">
        <v>38405</v>
      </c>
      <c r="C30497" s="5" t="str">
        <f>IFERROR(__xludf.DUMMYFUNCTION("GOOGLETRANSLATE(B30497,""en"",""fr"")"),"La caméra coupe les scènes d'hommes se détendant et jetant une balle.")</f>
        <v>La caméra coupe les scènes d'hommes se détendant et jetant une balle.</v>
      </c>
    </row>
    <row r="30498">
      <c r="A30498" s="4" t="s">
        <v>38396</v>
      </c>
      <c r="B30498" s="4" t="s">
        <v>38406</v>
      </c>
      <c r="C30498" s="5" t="str">
        <f>IFERROR(__xludf.DUMMYFUNCTION("GOOGLETRANSLATE(B30498,""en"",""fr"")"),"La caméra coupe sur une scène d'un homme assis à la détente.")</f>
        <v>La caméra coupe sur une scène d'un homme assis à la détente.</v>
      </c>
    </row>
    <row r="30499">
      <c r="A30499" s="4" t="s">
        <v>38407</v>
      </c>
      <c r="B30499" s="4" t="s">
        <v>38408</v>
      </c>
      <c r="C30499" s="5" t="str">
        <f>IFERROR(__xludf.DUMMYFUNCTION("GOOGLETRANSLATE(B30499,""en"",""fr"")"),"Une personne est assise derrière une table en faisant un cube Rubiks à l'aveugle plié.")</f>
        <v>Une personne est assise derrière une table en faisant un cube Rubiks à l'aveugle plié.</v>
      </c>
    </row>
    <row r="30500">
      <c r="A30500" s="4" t="s">
        <v>38407</v>
      </c>
      <c r="B30500" s="4" t="s">
        <v>38409</v>
      </c>
      <c r="C30500" s="5" t="str">
        <f>IFERROR(__xludf.DUMMYFUNCTION("GOOGLETRANSLATE(B30500,""en"",""fr"")"),"Une minuterie est sur le bureau devant eux.")</f>
        <v>Une minuterie est sur le bureau devant eux.</v>
      </c>
    </row>
    <row r="30501">
      <c r="A30501" s="4" t="s">
        <v>38407</v>
      </c>
      <c r="B30501" s="4" t="s">
        <v>38410</v>
      </c>
      <c r="C30501" s="5" t="str">
        <f>IFERROR(__xludf.DUMMYFUNCTION("GOOGLETRANSLATE(B30501,""en"",""fr"")"),"La personne complète le cube Rubiks et le place sur la table.")</f>
        <v>La personne complète le cube Rubiks et le place sur la table.</v>
      </c>
    </row>
    <row r="30502">
      <c r="A30502" s="4" t="s">
        <v>38411</v>
      </c>
      <c r="B30502" s="4" t="s">
        <v>38412</v>
      </c>
      <c r="C30502" s="5" t="str">
        <f>IFERROR(__xludf.DUMMYFUNCTION("GOOGLETRANSLATE(B30502,""en"",""fr"")"),"Nous voyons une dame assise sur un canapé parler.")</f>
        <v>Nous voyons une dame assise sur un canapé parler.</v>
      </c>
    </row>
    <row r="30503">
      <c r="A30503" s="4" t="s">
        <v>38411</v>
      </c>
      <c r="B30503" s="4" t="s">
        <v>38413</v>
      </c>
      <c r="C30503" s="5" t="str">
        <f>IFERROR(__xludf.DUMMYFUNCTION("GOOGLETRANSLATE(B30503,""en"",""fr"")"),"La dame fait des grimaces et applaudie les mains.")</f>
        <v>La dame fait des grimaces et applaudie les mains.</v>
      </c>
    </row>
    <row r="30504">
      <c r="A30504" s="4" t="s">
        <v>38411</v>
      </c>
      <c r="B30504" s="4" t="s">
        <v>38414</v>
      </c>
      <c r="C30504" s="5" t="str">
        <f>IFERROR(__xludf.DUMMYFUNCTION("GOOGLETRANSLATE(B30504,""en"",""fr"")"),"Nous regardons la dame tirer des rouleaux de nos tresses.")</f>
        <v>Nous regardons la dame tirer des rouleaux de nos tresses.</v>
      </c>
    </row>
    <row r="30505">
      <c r="A30505" s="4" t="s">
        <v>38411</v>
      </c>
      <c r="B30505" s="4" t="s">
        <v>38415</v>
      </c>
      <c r="C30505" s="5" t="str">
        <f>IFERROR(__xludf.DUMMYFUNCTION("GOOGLETRANSLATE(B30505,""en"",""fr"")"),"Nous voyons ses cheveux de près.")</f>
        <v>Nous voyons ses cheveux de près.</v>
      </c>
    </row>
    <row r="30506">
      <c r="A30506" s="4" t="s">
        <v>38411</v>
      </c>
      <c r="B30506" s="4" t="s">
        <v>38416</v>
      </c>
      <c r="C30506" s="5" t="str">
        <f>IFERROR(__xludf.DUMMYFUNCTION("GOOGLETRANSLATE(B30506,""en"",""fr"")"),"La dame fait un signe de citation avec ses doigts.")</f>
        <v>La dame fait un signe de citation avec ses doigts.</v>
      </c>
    </row>
    <row r="30507">
      <c r="A30507" s="4" t="s">
        <v>38417</v>
      </c>
      <c r="B30507" s="4" t="s">
        <v>38418</v>
      </c>
      <c r="C30507" s="5" t="str">
        <f>IFERROR(__xludf.DUMMYFUNCTION("GOOGLETRANSLATE(B30507,""en"",""fr"")"),"Le gymnaste se rassemble et monte le cheval Pommel pour commencer son événement.")</f>
        <v>Le gymnaste se rassemble et monte le cheval Pommel pour commencer son événement.</v>
      </c>
    </row>
    <row r="30508">
      <c r="A30508" s="4" t="s">
        <v>38417</v>
      </c>
      <c r="B30508" s="4" t="s">
        <v>38419</v>
      </c>
      <c r="C30508" s="5" t="str">
        <f>IFERROR(__xludf.DUMMYFUNCTION("GOOGLETRANSLATE(B30508,""en"",""fr"")"),"Le public regarde et applaudit que les annonceurs donnent leur commentaire.")</f>
        <v>Le public regarde et applaudit que les annonceurs donnent leur commentaire.</v>
      </c>
    </row>
    <row r="30509">
      <c r="A30509" s="4" t="s">
        <v>38417</v>
      </c>
      <c r="B30509" s="4" t="s">
        <v>38420</v>
      </c>
      <c r="C30509" s="5" t="str">
        <f>IFERROR(__xludf.DUMMYFUNCTION("GOOGLETRANSLATE(B30509,""en"",""fr"")"),"Il monte à un support à main.")</f>
        <v>Il monte à un support à main.</v>
      </c>
    </row>
    <row r="30510">
      <c r="A30510" s="4" t="s">
        <v>38417</v>
      </c>
      <c r="B30510" s="4" t="s">
        <v>38421</v>
      </c>
      <c r="C30510" s="5" t="str">
        <f>IFERROR(__xludf.DUMMYFUNCTION("GOOGLETRANSLATE(B30510,""en"",""fr"")"),"Il ramasse sa vitesse une fois qu'il redescend du support à main.")</f>
        <v>Il ramasse sa vitesse une fois qu'il redescend du support à main.</v>
      </c>
    </row>
    <row r="30511">
      <c r="A30511" s="4" t="s">
        <v>38417</v>
      </c>
      <c r="B30511" s="4" t="s">
        <v>38422</v>
      </c>
      <c r="C30511" s="5" t="str">
        <f>IFERROR(__xludf.DUMMYFUNCTION("GOOGLETRANSLATE(B30511,""en"",""fr"")"),"La gymnaste a une belle démonstration.")</f>
        <v>La gymnaste a une belle démonstration.</v>
      </c>
    </row>
    <row r="30512">
      <c r="A30512" s="4" t="s">
        <v>38417</v>
      </c>
      <c r="B30512" s="4" t="s">
        <v>38423</v>
      </c>
      <c r="C30512" s="5" t="str">
        <f>IFERROR(__xludf.DUMMYFUNCTION("GOOGLETRANSLATE(B30512,""en"",""fr"")"),"Nous regardons à nouveau la performance au ralenti, puis voyons son sourire alors qu'il est assis après.")</f>
        <v>Nous regardons à nouveau la performance au ralenti, puis voyons son sourire alors qu'il est assis après.</v>
      </c>
    </row>
    <row r="30513">
      <c r="A30513" s="4" t="s">
        <v>38424</v>
      </c>
      <c r="B30513" s="4" t="s">
        <v>38425</v>
      </c>
      <c r="C30513" s="5" t="str">
        <f>IFERROR(__xludf.DUMMYFUNCTION("GOOGLETRANSLATE(B30513,""en"",""fr"")"),"La femme parle à la caméra et tient des pinceaux de maquillage.")</f>
        <v>La femme parle à la caméra et tient des pinceaux de maquillage.</v>
      </c>
    </row>
    <row r="30514">
      <c r="A30514" s="4" t="s">
        <v>38424</v>
      </c>
      <c r="B30514" s="4" t="s">
        <v>38426</v>
      </c>
      <c r="C30514" s="5" t="str">
        <f>IFERROR(__xludf.DUMMYFUNCTION("GOOGLETRANSLATE(B30514,""en"",""fr"")"),"La femme fait une tresse sur ses cheveux et elle est montrée comment faire la tresse.")</f>
        <v>La femme fait une tresse sur ses cheveux et elle est montrée comment faire la tresse.</v>
      </c>
    </row>
    <row r="30515">
      <c r="A30515" s="4" t="s">
        <v>38427</v>
      </c>
      <c r="B30515" s="4" t="s">
        <v>38428</v>
      </c>
      <c r="C30515" s="5" t="str">
        <f>IFERROR(__xludf.DUMMYFUNCTION("GOOGLETRANSLATE(B30515,""en"",""fr"")"),"Une fille voyage dans une voiture en parlant.")</f>
        <v>Une fille voyage dans une voiture en parlant.</v>
      </c>
    </row>
    <row r="30516">
      <c r="A30516" s="4" t="s">
        <v>38427</v>
      </c>
      <c r="B30516" s="4" t="s">
        <v>38429</v>
      </c>
      <c r="C30516" s="5" t="str">
        <f>IFERROR(__xludf.DUMMYFUNCTION("GOOGLETRANSLATE(B30516,""en"",""fr"")"),"La fille est dans un magasin perçant, puis un homme se frotte le nez avec un mouchoir et met une marque.")</f>
        <v>La fille est dans un magasin perçant, puis un homme se frotte le nez avec un mouchoir et met une marque.</v>
      </c>
    </row>
    <row r="30517">
      <c r="A30517" s="4" t="s">
        <v>38427</v>
      </c>
      <c r="B30517" s="4" t="s">
        <v>38430</v>
      </c>
      <c r="C30517" s="5" t="str">
        <f>IFERROR(__xludf.DUMMYFUNCTION("GOOGLETRANSLATE(B30517,""en"",""fr"")"),"Après, l'homme perce le nez de la fille et met un pourboire.")</f>
        <v>Après, l'homme perce le nez de la fille et met un pourboire.</v>
      </c>
    </row>
    <row r="30518">
      <c r="A30518" s="4" t="s">
        <v>38427</v>
      </c>
      <c r="B30518" s="4" t="s">
        <v>38431</v>
      </c>
      <c r="C30518" s="5" t="str">
        <f>IFERROR(__xludf.DUMMYFUNCTION("GOOGLETRANSLATE(B30518,""en"",""fr"")"),"Après, l'homme nettoie la zone et la fille sèche quelques larmes sur son visage.")</f>
        <v>Après, l'homme nettoie la zone et la fille sèche quelques larmes sur son visage.</v>
      </c>
    </row>
    <row r="30519">
      <c r="A30519" s="4" t="s">
        <v>38427</v>
      </c>
      <c r="B30519" s="4" t="s">
        <v>38432</v>
      </c>
      <c r="C30519" s="5" t="str">
        <f>IFERROR(__xludf.DUMMYFUNCTION("GOOGLETRANSLATE(B30519,""en"",""fr"")"),"Après, la fille tient une caméra sur son visage et parle également son piercing.")</f>
        <v>Après, la fille tient une caméra sur son visage et parle également son piercing.</v>
      </c>
    </row>
    <row r="30520">
      <c r="A30520" s="4" t="s">
        <v>38433</v>
      </c>
      <c r="B30520" s="4" t="s">
        <v>38434</v>
      </c>
      <c r="C30520" s="5" t="str">
        <f>IFERROR(__xludf.DUMMYFUNCTION("GOOGLETRANSLATE(B30520,""en"",""fr"")"),"Un équipement d'exercice tourne sur un panneau lorsqu'une femme apparaît soudainement.")</f>
        <v>Un équipement d'exercice tourne sur un panneau lorsqu'une femme apparaît soudainement.</v>
      </c>
    </row>
    <row r="30521">
      <c r="A30521" s="4" t="s">
        <v>38433</v>
      </c>
      <c r="B30521" s="4" t="s">
        <v>38435</v>
      </c>
      <c r="C30521" s="5" t="str">
        <f>IFERROR(__xludf.DUMMYFUNCTION("GOOGLETRANSLATE(B30521,""en"",""fr"")"),"Elle grimpe sur la machine et commence à faire de l'exercice pendant que la caméra se déroule autour de ses mouvements.")</f>
        <v>Elle grimpe sur la machine et commence à faire de l'exercice pendant que la caméra se déroule autour de ses mouvements.</v>
      </c>
    </row>
    <row r="30522">
      <c r="A30522" s="4" t="s">
        <v>38433</v>
      </c>
      <c r="B30522" s="4" t="s">
        <v>38436</v>
      </c>
      <c r="C30522" s="5" t="str">
        <f>IFERROR(__xludf.DUMMYFUNCTION("GOOGLETRANSLATE(B30522,""en"",""fr"")"),"Elle continue d'utiliser l'équipement et montre finalement une image de l'équipement.")</f>
        <v>Elle continue d'utiliser l'équipement et montre finalement une image de l'équipement.</v>
      </c>
    </row>
    <row r="30523">
      <c r="A30523" s="4" t="s">
        <v>38437</v>
      </c>
      <c r="B30523" s="4" t="s">
        <v>38438</v>
      </c>
      <c r="C30523" s="5" t="str">
        <f>IFERROR(__xludf.DUMMYFUNCTION("GOOGLETRANSLATE(B30523,""en"",""fr"")"),"Le garçon met un casque et répare son skateboard.")</f>
        <v>Le garçon met un casque et répare son skateboard.</v>
      </c>
    </row>
    <row r="30524">
      <c r="A30524" s="4" t="s">
        <v>38437</v>
      </c>
      <c r="B30524" s="4" t="s">
        <v>38439</v>
      </c>
      <c r="C30524" s="5" t="str">
        <f>IFERROR(__xludf.DUMMYFUNCTION("GOOGLETRANSLATE(B30524,""en"",""fr"")"),"Le garçon descend une pente passant par des maisons jusqu'à ce que ce soit sombre.")</f>
        <v>Le garçon descend une pente passant par des maisons jusqu'à ce que ce soit sombre.</v>
      </c>
    </row>
    <row r="30525">
      <c r="A30525" s="4" t="s">
        <v>38440</v>
      </c>
      <c r="B30525" s="4" t="s">
        <v>38441</v>
      </c>
      <c r="C30525" s="5" t="str">
        <f>IFERROR(__xludf.DUMMYFUNCTION("GOOGLETRANSLATE(B30525,""en"",""fr"")"),"Un gars est à l'extérieur de couper du bois.")</f>
        <v>Un gars est à l'extérieur de couper du bois.</v>
      </c>
    </row>
    <row r="30526">
      <c r="A30526" s="4" t="s">
        <v>38440</v>
      </c>
      <c r="B30526" s="4" t="s">
        <v>38442</v>
      </c>
      <c r="C30526" s="5" t="str">
        <f>IFERROR(__xludf.DUMMYFUNCTION("GOOGLETRANSLATE(B30526,""en"",""fr"")"),"La hache est coincée sur le bois lors de son premier essai.")</f>
        <v>La hache est coincée sur le bois lors de son premier essai.</v>
      </c>
    </row>
    <row r="30527">
      <c r="A30527" s="4" t="s">
        <v>38440</v>
      </c>
      <c r="B30527" s="4" t="s">
        <v>38443</v>
      </c>
      <c r="C30527" s="5" t="str">
        <f>IFERROR(__xludf.DUMMYFUNCTION("GOOGLETRANSLATE(B30527,""en"",""fr"")"),"Le gars sort la hache.")</f>
        <v>Le gars sort la hache.</v>
      </c>
    </row>
    <row r="30528">
      <c r="A30528" s="4" t="s">
        <v>38440</v>
      </c>
      <c r="B30528" s="4" t="s">
        <v>38444</v>
      </c>
      <c r="C30528" s="5" t="str">
        <f>IFERROR(__xludf.DUMMYFUNCTION("GOOGLETRANSLATE(B30528,""en"",""fr"")"),"Le gars continue de couper le bois de plus en plus petit.")</f>
        <v>Le gars continue de couper le bois de plus en plus petit.</v>
      </c>
    </row>
    <row r="30529">
      <c r="A30529" s="4" t="s">
        <v>38445</v>
      </c>
      <c r="B30529" s="4" t="s">
        <v>38446</v>
      </c>
      <c r="C30529" s="5" t="str">
        <f>IFERROR(__xludf.DUMMYFUNCTION("GOOGLETRANSLATE(B30529,""en"",""fr"")"),"Un homme et une femme parlent dans une écurie.")</f>
        <v>Un homme et une femme parlent dans une écurie.</v>
      </c>
    </row>
    <row r="30530">
      <c r="A30530" s="4" t="s">
        <v>38445</v>
      </c>
      <c r="B30530" s="4" t="s">
        <v>38447</v>
      </c>
      <c r="C30530" s="5" t="str">
        <f>IFERROR(__xludf.DUMMYFUNCTION("GOOGLETRANSLATE(B30530,""en"",""fr"")"),"L'homme aide la femme sur le cheval et elle le mène autour de l'arène.")</f>
        <v>L'homme aide la femme sur le cheval et elle le mène autour de l'arène.</v>
      </c>
    </row>
    <row r="30531">
      <c r="A30531" s="4" t="s">
        <v>38445</v>
      </c>
      <c r="B30531" s="4" t="s">
        <v>38448</v>
      </c>
      <c r="C30531" s="5" t="str">
        <f>IFERROR(__xludf.DUMMYFUNCTION("GOOGLETRANSLATE(B30531,""en"",""fr"")"),"La femme sort du cheval et parle à la caméra.")</f>
        <v>La femme sort du cheval et parle à la caméra.</v>
      </c>
    </row>
    <row r="30532">
      <c r="A30532" s="4" t="s">
        <v>38449</v>
      </c>
      <c r="B30532" s="4" t="s">
        <v>38450</v>
      </c>
      <c r="C30532" s="5" t="str">
        <f>IFERROR(__xludf.DUMMYFUNCTION("GOOGLETRANSLATE(B30532,""en"",""fr"")"),"Deux hommes sont vus assis sur un canapé à regarder la télévision et à parler et quatrième l'un contre l'autre.")</f>
        <v>Deux hommes sont vus assis sur un canapé à regarder la télévision et à parler et quatrième l'un contre l'autre.</v>
      </c>
    </row>
    <row r="30533">
      <c r="A30533" s="4" t="s">
        <v>38449</v>
      </c>
      <c r="B30533" s="6" t="s">
        <v>38451</v>
      </c>
      <c r="C30533" s="5" t="str">
        <f>IFERROR(__xludf.DUMMYFUNCTION("GOOGLETRANSLATE(B30533,""en"",""fr"")"),"Un autre entre en parlant et en tenant un verre et les deux hommes continuent de parler les uns aux autres.")</f>
        <v>Un autre entre en parlant et en tenant un verre et les deux hommes continuent de parler les uns aux autres.</v>
      </c>
    </row>
    <row r="30534">
      <c r="A30534" s="4" t="s">
        <v>38452</v>
      </c>
      <c r="B30534" s="4" t="s">
        <v>38453</v>
      </c>
      <c r="C30534" s="5" t="str">
        <f>IFERROR(__xludf.DUMMYFUNCTION("GOOGLETRANSLATE(B30534,""en"",""fr"")"),"Une main tient une vadrouille humide à la caméra.")</f>
        <v>Une main tient une vadrouille humide à la caméra.</v>
      </c>
    </row>
    <row r="30535">
      <c r="A30535" s="4" t="s">
        <v>38452</v>
      </c>
      <c r="B30535" s="4" t="s">
        <v>38454</v>
      </c>
      <c r="C30535" s="5" t="str">
        <f>IFERROR(__xludf.DUMMYFUNCTION("GOOGLETRANSLATE(B30535,""en"",""fr"")"),"Une personne mousse un sol, la caméra ne ramassant qu'une partie de la personne et de la vadrouille.")</f>
        <v>Une personne mousse un sol, la caméra ne ramassant qu'une partie de la personne et de la vadrouille.</v>
      </c>
    </row>
    <row r="30536">
      <c r="A30536" s="4" t="s">
        <v>38452</v>
      </c>
      <c r="B30536" s="4" t="s">
        <v>38455</v>
      </c>
      <c r="C30536" s="5" t="str">
        <f>IFERROR(__xludf.DUMMYFUNCTION("GOOGLETRANSLATE(B30536,""en"",""fr"")"),"La caméra montre un gros plan de la tête de vadrouille.")</f>
        <v>La caméra montre un gros plan de la tête de vadrouille.</v>
      </c>
    </row>
    <row r="30537">
      <c r="A30537" s="4" t="s">
        <v>38456</v>
      </c>
      <c r="B30537" s="4" t="s">
        <v>38457</v>
      </c>
      <c r="C30537" s="5" t="str">
        <f>IFERROR(__xludf.DUMMYFUNCTION("GOOGLETRANSLATE(B30537,""en"",""fr"")"),"Un homme est montré en rotation tout en lançant un tir en arrière au loin.")</f>
        <v>Un homme est montré en rotation tout en lançant un tir en arrière au loin.</v>
      </c>
    </row>
    <row r="30538">
      <c r="A30538" s="4" t="s">
        <v>38456</v>
      </c>
      <c r="B30538" s="6" t="s">
        <v>38458</v>
      </c>
      <c r="C30538" s="5" t="str">
        <f>IFERROR(__xludf.DUMMYFUNCTION("GOOGLETRANSLATE(B30538,""en"",""fr"")"),"Plusieurs hommes sont ensuite montrés encore et encore jetant l'objet au loin à divers endroits.")</f>
        <v>Plusieurs hommes sont ensuite montrés encore et encore jetant l'objet au loin à divers endroits.</v>
      </c>
    </row>
    <row r="30539">
      <c r="A30539" s="4" t="s">
        <v>38459</v>
      </c>
      <c r="B30539" s="4" t="s">
        <v>38460</v>
      </c>
      <c r="C30539" s="5" t="str">
        <f>IFERROR(__xludf.DUMMYFUNCTION("GOOGLETRANSLATE(B30539,""en"",""fr"")"),"Une intro mettant en vedette le texte ""How to Changer A Tire"" joue.")</f>
        <v>Une intro mettant en vedette le texte "How to Changer A Tire" joue.</v>
      </c>
    </row>
    <row r="30540">
      <c r="A30540" s="4" t="s">
        <v>38459</v>
      </c>
      <c r="B30540" s="4" t="s">
        <v>38461</v>
      </c>
      <c r="C30540" s="5" t="str">
        <f>IFERROR(__xludf.DUMMYFUNCTION("GOOGLETRANSLATE(B30540,""en"",""fr"")"),"Une femme a un outil qui vous permet de mettre le pneu sur une jante pendant qu'un homme tient l'outil.")</f>
        <v>Une femme a un outil qui vous permet de mettre le pneu sur une jante pendant qu'un homme tient l'outil.</v>
      </c>
    </row>
    <row r="30541">
      <c r="A30541" s="4" t="s">
        <v>38459</v>
      </c>
      <c r="B30541" s="4" t="s">
        <v>38462</v>
      </c>
      <c r="C30541" s="5" t="str">
        <f>IFERROR(__xludf.DUMMYFUNCTION("GOOGLETRANSLATE(B30541,""en"",""fr"")"),"La femme utilise ensuite le même outil pour retirer le pneu de la jante.")</f>
        <v>La femme utilise ensuite le même outil pour retirer le pneu de la jante.</v>
      </c>
    </row>
    <row r="30542">
      <c r="A30542" s="4" t="s">
        <v>38459</v>
      </c>
      <c r="B30542" s="6" t="s">
        <v>38463</v>
      </c>
      <c r="C30542" s="5" t="str">
        <f>IFERROR(__xludf.DUMMYFUNCTION("GOOGLETRANSLATE(B30542,""en"",""fr"")"),"La personne qui tourne montre la minuterie d'un iPhone à divers points pour montrer combien de temps devrait passer un pas.")</f>
        <v>La personne qui tourne montre la minuterie d'un iPhone à divers points pour montrer combien de temps devrait passer un pas.</v>
      </c>
    </row>
    <row r="30543">
      <c r="A30543" s="4" t="s">
        <v>38459</v>
      </c>
      <c r="B30543" s="4" t="s">
        <v>38464</v>
      </c>
      <c r="C30543" s="5" t="str">
        <f>IFERROR(__xludf.DUMMYFUNCTION("GOOGLETRANSLATE(B30543,""en"",""fr"")"),"L'outil qui supprime le niveau du bord est affiché et son fonctionnement.")</f>
        <v>L'outil qui supprime le niveau du bord est affiché et son fonctionnement.</v>
      </c>
    </row>
    <row r="30544">
      <c r="A30544" s="4" t="s">
        <v>38459</v>
      </c>
      <c r="B30544" s="4" t="s">
        <v>38465</v>
      </c>
      <c r="C30544" s="5" t="str">
        <f>IFERROR(__xludf.DUMMYFUNCTION("GOOGLETRANSLATE(B30544,""en"",""fr"")"),"Un homme ouvre un casier ou une machine Bridgestone pour montrer l'intérieur.")</f>
        <v>Un homme ouvre un casier ou une machine Bridgestone pour montrer l'intérieur.</v>
      </c>
    </row>
    <row r="30545">
      <c r="A30545" s="4" t="s">
        <v>38459</v>
      </c>
      <c r="B30545" s="4" t="s">
        <v>38466</v>
      </c>
      <c r="C30545" s="5" t="str">
        <f>IFERROR(__xludf.DUMMYFUNCTION("GOOGLETRANSLATE(B30545,""en"",""fr"")"),"La vidéo se termine par une image d'un véhicule solaire.")</f>
        <v>La vidéo se termine par une image d'un véhicule solaire.</v>
      </c>
    </row>
    <row r="30546">
      <c r="A30546" s="4" t="s">
        <v>38467</v>
      </c>
      <c r="B30546" s="4" t="s">
        <v>38468</v>
      </c>
      <c r="C30546" s="5" t="str">
        <f>IFERROR(__xludf.DUMMYFUNCTION("GOOGLETRANSLATE(B30546,""en"",""fr"")"),"Personnes Skateboard sur la route d'une ville.")</f>
        <v>Personnes Skateboard sur la route d'une ville.</v>
      </c>
    </row>
    <row r="30547">
      <c r="A30547" s="4" t="s">
        <v>38467</v>
      </c>
      <c r="B30547" s="4" t="s">
        <v>38469</v>
      </c>
      <c r="C30547" s="5" t="str">
        <f>IFERROR(__xludf.DUMMYFUNCTION("GOOGLETRANSLATE(B30547,""en"",""fr"")"),"Un groupe d'adolescents se rencontrent sur la route et regarde une planche à roulettes pour adolescents.")</f>
        <v>Un groupe d'adolescents se rencontrent sur la route et regarde une planche à roulettes pour adolescents.</v>
      </c>
    </row>
    <row r="30548">
      <c r="A30548" s="4" t="s">
        <v>38467</v>
      </c>
      <c r="B30548" s="4" t="s">
        <v>38470</v>
      </c>
      <c r="C30548" s="5" t="str">
        <f>IFERROR(__xludf.DUMMYFUNCTION("GOOGLETRANSLATE(B30548,""en"",""fr"")"),"Un adolescent entre dans une rampe de planche à roulettes et une planche à roulettes.")</f>
        <v>Un adolescent entre dans une rampe de planche à roulettes et une planche à roulettes.</v>
      </c>
    </row>
    <row r="30549">
      <c r="A30549" s="4" t="s">
        <v>38467</v>
      </c>
      <c r="B30549" s="4" t="s">
        <v>38471</v>
      </c>
      <c r="C30549" s="5" t="str">
        <f>IFERROR(__xludf.DUMMYFUNCTION("GOOGLETRANSLATE(B30549,""en"",""fr"")"),"Un garçon de skateboard sur une route passant une ville et un champ.")</f>
        <v>Un garçon de skateboard sur une route passant une ville et un champ.</v>
      </c>
    </row>
    <row r="30550">
      <c r="A30550" s="4" t="s">
        <v>38467</v>
      </c>
      <c r="B30550" s="4" t="s">
        <v>38472</v>
      </c>
      <c r="C30550" s="5" t="str">
        <f>IFERROR(__xludf.DUMMYFUNCTION("GOOGLETRANSLATE(B30550,""en"",""fr"")"),"Deux adolescents skateboard sur une route.")</f>
        <v>Deux adolescents skateboard sur une route.</v>
      </c>
    </row>
    <row r="30551">
      <c r="A30551" s="4" t="s">
        <v>38473</v>
      </c>
      <c r="B30551" s="4" t="s">
        <v>38474</v>
      </c>
      <c r="C30551" s="5" t="str">
        <f>IFERROR(__xludf.DUMMYFUNCTION("GOOGLETRANSLATE(B30551,""en"",""fr"")"),"Huit personnes se tiennent au studio, une femme a marché à l'arrière du groupe.")</f>
        <v>Huit personnes se tiennent au studio, une femme a marché à l'arrière du groupe.</v>
      </c>
    </row>
    <row r="30552">
      <c r="A30552" s="4" t="s">
        <v>38473</v>
      </c>
      <c r="B30552" s="6" t="s">
        <v>38475</v>
      </c>
      <c r="C30552" s="5" t="str">
        <f>IFERROR(__xludf.DUMMYFUNCTION("GOOGLETRANSLATE(B30552,""en"",""fr"")"),"Le groupe a commencé à danser, à tourbillonner, à secouer leurs hanches, à tourner, leurs bras et leurs mains se déplacent d'un côté à l'autre, devant.")</f>
        <v>Le groupe a commencé à danser, à tourbillonner, à secouer leurs hanches, à tourner, leurs bras et leurs mains se déplacent d'un côté à l'autre, devant.</v>
      </c>
    </row>
    <row r="30553">
      <c r="A30553" s="4" t="s">
        <v>38476</v>
      </c>
      <c r="B30553" s="4" t="s">
        <v>38477</v>
      </c>
      <c r="C30553" s="5" t="str">
        <f>IFERROR(__xludf.DUMMYFUNCTION("GOOGLETRANSLATE(B30553,""en"",""fr"")"),"Une femme se tient devant un miroir souriant et commence à se brosser les cheveux.")</f>
        <v>Une femme se tient devant un miroir souriant et commence à se brosser les cheveux.</v>
      </c>
    </row>
    <row r="30554">
      <c r="A30554" s="4" t="s">
        <v>38476</v>
      </c>
      <c r="B30554" s="4" t="s">
        <v>38478</v>
      </c>
      <c r="C30554" s="5" t="str">
        <f>IFERROR(__xludf.DUMMYFUNCTION("GOOGLETRANSLATE(B30554,""en"",""fr"")"),"Elle continue de se brosser les cheveux et de se regarder dans le miroir.")</f>
        <v>Elle continue de se brosser les cheveux et de se regarder dans le miroir.</v>
      </c>
    </row>
    <row r="30555">
      <c r="A30555" s="4" t="s">
        <v>38479</v>
      </c>
      <c r="B30555" s="4" t="s">
        <v>38480</v>
      </c>
      <c r="C30555" s="5" t="str">
        <f>IFERROR(__xludf.DUMMYFUNCTION("GOOGLETRANSLATE(B30555,""en"",""fr"")"),"Un homme se tient à l'extérieur sur un trottoir avec une caméra en argent dans sa main en train de filmer quelque chose.")</f>
        <v>Un homme se tient à l'extérieur sur un trottoir avec une caméra en argent dans sa main en train de filmer quelque chose.</v>
      </c>
    </row>
    <row r="30556">
      <c r="A30556" s="4" t="s">
        <v>38479</v>
      </c>
      <c r="B30556" s="6" t="s">
        <v>38481</v>
      </c>
      <c r="C30556" s="5" t="str">
        <f>IFERROR(__xludf.DUMMYFUNCTION("GOOGLETRANSLATE(B30556,""en"",""fr"")"),"Au fur et à mesure que la caméra tourne, l'homme filme quelqu'un sur un pagayage à un place alors qu'il joue un sac de tuyaux.")</f>
        <v>Au fur et à mesure que la caméra tourne, l'homme filme quelqu'un sur un pagayage à un place alors qu'il joue un sac de tuyaux.</v>
      </c>
    </row>
    <row r="30557">
      <c r="A30557" s="4" t="s">
        <v>38479</v>
      </c>
      <c r="B30557" s="6" t="s">
        <v>38482</v>
      </c>
      <c r="C30557" s="5" t="str">
        <f>IFERROR(__xludf.DUMMYFUNCTION("GOOGLETRANSLATE(B30557,""en"",""fr"")"),"L'homme continue, et un gruop de gens se pressent autour de lui et le regarde jusqu'à ce qu'il tombe du volant.")</f>
        <v>L'homme continue, et un gruop de gens se pressent autour de lui et le regarde jusqu'à ce qu'il tombe du volant.</v>
      </c>
    </row>
    <row r="30558">
      <c r="A30558" s="4" t="s">
        <v>38483</v>
      </c>
      <c r="B30558" s="4" t="s">
        <v>38484</v>
      </c>
      <c r="C30558" s="5" t="str">
        <f>IFERROR(__xludf.DUMMYFUNCTION("GOOGLETRANSLATE(B30558,""en"",""fr"")"),"L'homme s'approche des poids devant lui.")</f>
        <v>L'homme s'approche des poids devant lui.</v>
      </c>
    </row>
    <row r="30559">
      <c r="A30559" s="4" t="s">
        <v>38483</v>
      </c>
      <c r="B30559" s="4" t="s">
        <v>38485</v>
      </c>
      <c r="C30559" s="5" t="str">
        <f>IFERROR(__xludf.DUMMYFUNCTION("GOOGLETRANSLATE(B30559,""en"",""fr"")"),"L'homme soulève des poids et les laisse tomber au sol.")</f>
        <v>L'homme soulève des poids et les laisse tomber au sol.</v>
      </c>
    </row>
    <row r="30560">
      <c r="A30560" s="4" t="s">
        <v>38483</v>
      </c>
      <c r="B30560" s="4" t="s">
        <v>38486</v>
      </c>
      <c r="C30560" s="5" t="str">
        <f>IFERROR(__xludf.DUMMYFUNCTION("GOOGLETRANSLATE(B30560,""en"",""fr"")"),"L'homme soulève des poids et les tient pendant un certain temps.")</f>
        <v>L'homme soulève des poids et les tient pendant un certain temps.</v>
      </c>
    </row>
    <row r="30561">
      <c r="A30561" s="4" t="s">
        <v>38483</v>
      </c>
      <c r="B30561" s="4" t="s">
        <v>38487</v>
      </c>
      <c r="C30561" s="5" t="str">
        <f>IFERROR(__xludf.DUMMYFUNCTION("GOOGLETRANSLATE(B30561,""en"",""fr"")"),"L'homme secoue les mains pour célébrer.")</f>
        <v>L'homme secoue les mains pour célébrer.</v>
      </c>
    </row>
    <row r="30562">
      <c r="A30562" s="4" t="s">
        <v>38483</v>
      </c>
      <c r="B30562" s="4" t="s">
        <v>38488</v>
      </c>
      <c r="C30562" s="5" t="str">
        <f>IFERROR(__xludf.DUMMYFUNCTION("GOOGLETRANSLATE(B30562,""en"",""fr"")"),"L'homme crie en célébration.")</f>
        <v>L'homme crie en célébration.</v>
      </c>
    </row>
    <row r="30563">
      <c r="A30563" s="4" t="s">
        <v>38489</v>
      </c>
      <c r="B30563" s="4" t="s">
        <v>38490</v>
      </c>
      <c r="C30563" s="5" t="str">
        <f>IFERROR(__xludf.DUMMYFUNCTION("GOOGLETRANSLATE(B30563,""en"",""fr"")"),"Un bateau navigue dans les eaux agitées d'un océan.")</f>
        <v>Un bateau navigue dans les eaux agitées d'un océan.</v>
      </c>
    </row>
    <row r="30564">
      <c r="A30564" s="4" t="s">
        <v>38489</v>
      </c>
      <c r="B30564" s="4" t="s">
        <v>38491</v>
      </c>
      <c r="C30564" s="5" t="str">
        <f>IFERROR(__xludf.DUMMYFUNCTION("GOOGLETRANSLATE(B30564,""en"",""fr"")"),"Les grosses vagues se déplacent de haut en bas du bateau.")</f>
        <v>Les grosses vagues se déplacent de haut en bas du bateau.</v>
      </c>
    </row>
    <row r="30565">
      <c r="A30565" s="4" t="s">
        <v>38489</v>
      </c>
      <c r="B30565" s="4" t="s">
        <v>38492</v>
      </c>
      <c r="C30565" s="5" t="str">
        <f>IFERROR(__xludf.DUMMYFUNCTION("GOOGLETRANSLATE(B30565,""en"",""fr"")"),"Une personne se tient à l'avant sur le bateau avec des vêtements sombres.")</f>
        <v>Une personne se tient à l'avant sur le bateau avec des vêtements sombres.</v>
      </c>
    </row>
    <row r="30566">
      <c r="A30566" s="4" t="s">
        <v>38493</v>
      </c>
      <c r="B30566" s="4" t="s">
        <v>38494</v>
      </c>
      <c r="C30566" s="5" t="str">
        <f>IFERROR(__xludf.DUMMYFUNCTION("GOOGLETRANSLATE(B30566,""en"",""fr"")"),"Un grand groupe de personnes est vue errant dans une arène lorsqu'un homme monte à un poids.")</f>
        <v>Un grand groupe de personnes est vue errant dans une arène lorsqu'un homme monte à un poids.</v>
      </c>
    </row>
    <row r="30567">
      <c r="A30567" s="4" t="s">
        <v>38493</v>
      </c>
      <c r="B30567" s="4" t="s">
        <v>38495</v>
      </c>
      <c r="C30567" s="5" t="str">
        <f>IFERROR(__xludf.DUMMYFUNCTION("GOOGLETRANSLATE(B30567,""en"",""fr"")"),"L'homme soulève le poids sur sa tête et le jette sur le sol.")</f>
        <v>L'homme soulève le poids sur sa tête et le jette sur le sol.</v>
      </c>
    </row>
    <row r="30568">
      <c r="A30568" s="4" t="s">
        <v>38493</v>
      </c>
      <c r="B30568" s="6" t="s">
        <v>38496</v>
      </c>
      <c r="C30568" s="5" t="str">
        <f>IFERROR(__xludf.DUMMYFUNCTION("GOOGLETRANSLATE(B30568,""en"",""fr"")"),"Plusieurs autres hommes sont vus tenter de soulever le poids avec d'autres qui réussissent et applaudissent et d'autres laissent tomber le poids.")</f>
        <v>Plusieurs autres hommes sont vus tenter de soulever le poids avec d'autres qui réussissent et applaudissent et d'autres laissent tomber le poids.</v>
      </c>
    </row>
    <row r="30569">
      <c r="A30569" s="4" t="s">
        <v>38497</v>
      </c>
      <c r="B30569" s="4" t="s">
        <v>38498</v>
      </c>
      <c r="C30569" s="5" t="str">
        <f>IFERROR(__xludf.DUMMYFUNCTION("GOOGLETRANSLATE(B30569,""en"",""fr"")"),"Des graphiques avec ""FCC Presents"" suivis de ""The Great Intérieur avec Tracy Briggs"" apparaissent à l'écran.")</f>
        <v>Des graphiques avec "FCC Presents" suivis de "The Great Intérieur avec Tracy Briggs" apparaissent à l'écran.</v>
      </c>
    </row>
    <row r="30570">
      <c r="A30570" s="4" t="s">
        <v>38497</v>
      </c>
      <c r="B30570" s="4" t="s">
        <v>38499</v>
      </c>
      <c r="C30570" s="5" t="str">
        <f>IFERROR(__xludf.DUMMYFUNCTION("GOOGLETRANSLATE(B30570,""en"",""fr"")"),"Briggs parle à la caméra d'une cuisine.")</f>
        <v>Briggs parle à la caméra d'une cuisine.</v>
      </c>
    </row>
    <row r="30571">
      <c r="A30571" s="4" t="s">
        <v>38497</v>
      </c>
      <c r="B30571" s="4" t="s">
        <v>38500</v>
      </c>
      <c r="C30571" s="5" t="str">
        <f>IFERROR(__xludf.DUMMYFUNCTION("GOOGLETRANSLATE(B30571,""en"",""fr"")"),"Elle commence à préparer une pomme de terre et des tomtatos à manger.")</f>
        <v>Elle commence à préparer une pomme de terre et des tomtatos à manger.</v>
      </c>
    </row>
    <row r="30572">
      <c r="A30572" s="4" t="s">
        <v>38501</v>
      </c>
      <c r="B30572" s="4" t="s">
        <v>38502</v>
      </c>
      <c r="C30572" s="5" t="str">
        <f>IFERROR(__xludf.DUMMYFUNCTION("GOOGLETRANSLATE(B30572,""en"",""fr"")"),"Une femme est vue assise dans un fauteuil roulant en regardant la caméra et se roule sur un côté.")</f>
        <v>Une femme est vue assise dans un fauteuil roulant en regardant la caméra et se roule sur un côté.</v>
      </c>
    </row>
    <row r="30573">
      <c r="A30573" s="4" t="s">
        <v>38501</v>
      </c>
      <c r="B30573" s="4" t="s">
        <v>38503</v>
      </c>
      <c r="C30573" s="5" t="str">
        <f>IFERROR(__xludf.DUMMYFUNCTION("GOOGLETRANSLATE(B30573,""en"",""fr"")"),"Elle met ensuite ses chaussures avec l'aide d'un autre homme tout en souriant à la caméra.")</f>
        <v>Elle met ensuite ses chaussures avec l'aide d'un autre homme tout en souriant à la caméra.</v>
      </c>
    </row>
    <row r="30574">
      <c r="A30574" s="4" t="s">
        <v>38501</v>
      </c>
      <c r="B30574" s="4" t="s">
        <v>38504</v>
      </c>
      <c r="C30574" s="5" t="str">
        <f>IFERROR(__xludf.DUMMYFUNCTION("GOOGLETRANSLATE(B30574,""en"",""fr"")"),"Elle s'éloigne et applaudit à la fin.")</f>
        <v>Elle s'éloigne et applaudit à la fin.</v>
      </c>
    </row>
    <row r="30575">
      <c r="A30575" s="4" t="s">
        <v>38505</v>
      </c>
      <c r="B30575" s="4" t="s">
        <v>38506</v>
      </c>
      <c r="C30575" s="5" t="str">
        <f>IFERROR(__xludf.DUMMYFUNCTION("GOOGLETRANSLATE(B30575,""en"",""fr"")"),"Le chef commence par retirer et trancher l'endive.")</f>
        <v>Le chef commence par retirer et trancher l'endive.</v>
      </c>
    </row>
    <row r="30576">
      <c r="A30576" s="4" t="s">
        <v>38505</v>
      </c>
      <c r="B30576" s="4" t="s">
        <v>38507</v>
      </c>
      <c r="C30576" s="5" t="str">
        <f>IFERROR(__xludf.DUMMYFUNCTION("GOOGLETRANSLATE(B30576,""en"",""fr"")"),"Le chef les place alors dans une poubelle, ensuite il tranche et se décolle plus.")</f>
        <v>Le chef les place alors dans une poubelle, ensuite il tranche et se décolle plus.</v>
      </c>
    </row>
    <row r="30577">
      <c r="A30577" s="4" t="s">
        <v>38505</v>
      </c>
      <c r="B30577" s="4" t="s">
        <v>38508</v>
      </c>
      <c r="C30577" s="5" t="str">
        <f>IFERROR(__xludf.DUMMYFUNCTION("GOOGLETRANSLATE(B30577,""en"",""fr"")"),"Le chef coupe ensuite la romaine et les place dans un bac en argent et se mélange endive avec la romaine.")</f>
        <v>Le chef coupe ensuite la romaine et les place dans un bac en argent et se mélange endive avec la romaine.</v>
      </c>
    </row>
    <row r="30578">
      <c r="A30578" s="4" t="s">
        <v>38505</v>
      </c>
      <c r="B30578" s="6" t="s">
        <v>38509</v>
      </c>
      <c r="C30578" s="5" t="str">
        <f>IFERROR(__xludf.DUMMYFUNCTION("GOOGLETRANSLATE(B30578,""en"",""fr"")"),"Enfin, il enlève le mélange de salade avec une vinaigrette dessus dans un bol argent rond et place la salade sur une assiette blanche.")</f>
        <v>Enfin, il enlève le mélange de salade avec une vinaigrette dessus dans un bol argent rond et place la salade sur une assiette blanche.</v>
      </c>
    </row>
    <row r="30579">
      <c r="A30579" s="4" t="s">
        <v>38510</v>
      </c>
      <c r="B30579" s="4" t="s">
        <v>38511</v>
      </c>
      <c r="C30579" s="5" t="str">
        <f>IFERROR(__xludf.DUMMYFUNCTION("GOOGLETRANSLATE(B30579,""en"",""fr"")"),"Plusieurs personnes surfent sur une grande vague dans l'eau.")</f>
        <v>Plusieurs personnes surfent sur une grande vague dans l'eau.</v>
      </c>
    </row>
    <row r="30580">
      <c r="A30580" s="4" t="s">
        <v>38510</v>
      </c>
      <c r="B30580" s="4" t="s">
        <v>38512</v>
      </c>
      <c r="C30580" s="5" t="str">
        <f>IFERROR(__xludf.DUMMYFUNCTION("GOOGLETRANSLATE(B30580,""en"",""fr"")"),"Un homme et une petite fille nagent dans l'eau.")</f>
        <v>Un homme et une petite fille nagent dans l'eau.</v>
      </c>
    </row>
    <row r="30581">
      <c r="A30581" s="4" t="s">
        <v>38513</v>
      </c>
      <c r="B30581" s="4" t="s">
        <v>38514</v>
      </c>
      <c r="C30581" s="5" t="str">
        <f>IFERROR(__xludf.DUMMYFUNCTION("GOOGLETRANSLATE(B30581,""en"",""fr"")"),"Un jeune enfant est vu des coups de pied au milieu d'une pièce.")</f>
        <v>Un jeune enfant est vu des coups de pied au milieu d'une pièce.</v>
      </c>
    </row>
    <row r="30582">
      <c r="A30582" s="4" t="s">
        <v>38513</v>
      </c>
      <c r="B30582" s="4" t="s">
        <v>38515</v>
      </c>
      <c r="C30582" s="5" t="str">
        <f>IFERROR(__xludf.DUMMYFUNCTION("GOOGLETRANSLATE(B30582,""en"",""fr"")"),"L'enfant donne un coup de pied à ses deux jambes pendant que la caméra se déroule.")</f>
        <v>L'enfant donne un coup de pied à ses deux jambes pendant que la caméra se déroule.</v>
      </c>
    </row>
    <row r="30583">
      <c r="A30583" s="4" t="s">
        <v>38513</v>
      </c>
      <c r="B30583" s="4" t="s">
        <v>38516</v>
      </c>
      <c r="C30583" s="5" t="str">
        <f>IFERROR(__xludf.DUMMYFUNCTION("GOOGLETRANSLATE(B30583,""en"",""fr"")"),"Un autre enfant est vu des coups de pied sur le côté pendant qu'un chien entre dans et hors du cadre.")</f>
        <v>Un autre enfant est vu des coups de pied sur le côté pendant qu'un chien entre dans et hors du cadre.</v>
      </c>
    </row>
    <row r="30584">
      <c r="A30584" s="4" t="s">
        <v>38517</v>
      </c>
      <c r="B30584" s="4" t="s">
        <v>38518</v>
      </c>
      <c r="C30584" s="5" t="str">
        <f>IFERROR(__xludf.DUMMYFUNCTION("GOOGLETRANSLATE(B30584,""en"",""fr"")"),"On voit un petit enfant portant une perruque qui tient un violon et parle à la caméra.")</f>
        <v>On voit un petit enfant portant une perruque qui tient un violon et parle à la caméra.</v>
      </c>
    </row>
    <row r="30585">
      <c r="A30585" s="4" t="s">
        <v>38517</v>
      </c>
      <c r="B30585" s="6" t="s">
        <v>38519</v>
      </c>
      <c r="C30585" s="5" t="str">
        <f>IFERROR(__xludf.DUMMYFUNCTION("GOOGLETRANSLATE(B30585,""en"",""fr"")"),"Elle joue ensuite une chanson sur le violon déplaçant ses bras et ses mains en arrière et quatrième et se termine en parlant au loin.")</f>
        <v>Elle joue ensuite une chanson sur le violon déplaçant ses bras et ses mains en arrière et quatrième et se termine en parlant au loin.</v>
      </c>
    </row>
    <row r="30586">
      <c r="A30586" s="4" t="s">
        <v>38520</v>
      </c>
      <c r="B30586" s="4" t="s">
        <v>38521</v>
      </c>
      <c r="C30586" s="5" t="str">
        <f>IFERROR(__xludf.DUMMYFUNCTION("GOOGLETRANSLATE(B30586,""en"",""fr"")"),"Un homme est vu parler à la caméra et présente son couteau et son aigueur.")</f>
        <v>Un homme est vu parler à la caméra et présente son couteau et son aigueur.</v>
      </c>
    </row>
    <row r="30587">
      <c r="A30587" s="4" t="s">
        <v>38520</v>
      </c>
      <c r="B30587" s="6" t="s">
        <v>38522</v>
      </c>
      <c r="C30587" s="5" t="str">
        <f>IFERROR(__xludf.DUMMYFUNCTION("GOOGLETRANSLATE(B30587,""en"",""fr"")"),"Il glisse ensuite le couteau sur le taille-creux et montre comment les autres couteaux fonctionnent avec différents aiûrs.")</f>
        <v>Il glisse ensuite le couteau sur le taille-creux et montre comment les autres couteaux fonctionnent avec différents aiûrs.</v>
      </c>
    </row>
    <row r="30588">
      <c r="A30588" s="4" t="s">
        <v>38520</v>
      </c>
      <c r="B30588" s="4" t="s">
        <v>38523</v>
      </c>
      <c r="C30588" s="5" t="str">
        <f>IFERROR(__xludf.DUMMYFUNCTION("GOOGLETRANSLATE(B30588,""en"",""fr"")"),"Il présente le couteau une dernière fois tout en parlant à la caméra.")</f>
        <v>Il présente le couteau une dernière fois tout en parlant à la caméra.</v>
      </c>
    </row>
    <row r="30589">
      <c r="A30589" s="4" t="s">
        <v>38524</v>
      </c>
      <c r="B30589" s="4" t="s">
        <v>38525</v>
      </c>
      <c r="C30589" s="5" t="str">
        <f>IFERROR(__xludf.DUMMYFUNCTION("GOOGLETRANSLATE(B30589,""en"",""fr"")"),"Un homme éponge un sol.")</f>
        <v>Un homme éponge un sol.</v>
      </c>
    </row>
    <row r="30590">
      <c r="A30590" s="4" t="s">
        <v>38524</v>
      </c>
      <c r="B30590" s="4" t="s">
        <v>38526</v>
      </c>
      <c r="C30590" s="5" t="str">
        <f>IFERROR(__xludf.DUMMYFUNCTION("GOOGLETRANSLATE(B30590,""en"",""fr"")"),"Une femme mange.")</f>
        <v>Une femme mange.</v>
      </c>
    </row>
    <row r="30591">
      <c r="A30591" s="4" t="s">
        <v>38527</v>
      </c>
      <c r="B30591" s="4" t="s">
        <v>38528</v>
      </c>
      <c r="C30591" s="5" t="str">
        <f>IFERROR(__xludf.DUMMYFUNCTION("GOOGLETRANSLATE(B30591,""en"",""fr"")"),"Une personne se lave les mains et ferme un drain d'évier.")</f>
        <v>Une personne se lave les mains et ferme un drain d'évier.</v>
      </c>
    </row>
    <row r="30592">
      <c r="A30592" s="4" t="s">
        <v>38527</v>
      </c>
      <c r="B30592" s="4" t="s">
        <v>38529</v>
      </c>
      <c r="C30592" s="5" t="str">
        <f>IFERROR(__xludf.DUMMYFUNCTION("GOOGLETRANSLATE(B30592,""en"",""fr"")"),"La personne retire un contact du conteneur et place sur le bout de son doigt.")</f>
        <v>La personne retire un contact du conteneur et place sur le bout de son doigt.</v>
      </c>
    </row>
    <row r="30593">
      <c r="A30593" s="4" t="s">
        <v>38527</v>
      </c>
      <c r="B30593" s="4" t="s">
        <v>38530</v>
      </c>
      <c r="C30593" s="5" t="str">
        <f>IFERROR(__xludf.DUMMYFUNCTION("GOOGLETRANSLATE(B30593,""en"",""fr"")"),"La personne tient ouverte une paupière à la fois et insère le contact dans leur œil.")</f>
        <v>La personne tient ouverte une paupière à la fois et insère le contact dans leur œil.</v>
      </c>
    </row>
    <row r="30594">
      <c r="A30594" s="4" t="s">
        <v>38527</v>
      </c>
      <c r="B30594" s="4" t="s">
        <v>38531</v>
      </c>
      <c r="C30594" s="5" t="str">
        <f>IFERROR(__xludf.DUMMYFUNCTION("GOOGLETRANSLATE(B30594,""en"",""fr"")"),"Une solution plus propre est pulvérisée dans le récipient pour le nettoyer.")</f>
        <v>Une solution plus propre est pulvérisée dans le récipient pour le nettoyer.</v>
      </c>
    </row>
    <row r="30595">
      <c r="A30595" s="4" t="s">
        <v>38527</v>
      </c>
      <c r="B30595" s="4" t="s">
        <v>38532</v>
      </c>
      <c r="C30595" s="5" t="str">
        <f>IFERROR(__xludf.DUMMYFUNCTION("GOOGLETRANSLATE(B30595,""en"",""fr"")"),"La lentille de contact est retirée de l'œil.")</f>
        <v>La lentille de contact est retirée de l'œil.</v>
      </c>
    </row>
    <row r="30596">
      <c r="A30596" s="4" t="s">
        <v>38527</v>
      </c>
      <c r="B30596" s="6" t="s">
        <v>38533</v>
      </c>
      <c r="C30596" s="5" t="str">
        <f>IFERROR(__xludf.DUMMYFUNCTION("GOOGLETRANSLATE(B30596,""en"",""fr"")"),"La solution est pulvérisée sur l'objectif de contact reposant dans la paume d'une main avant d'être remis sur le comptoir.")</f>
        <v>La solution est pulvérisée sur l'objectif de contact reposant dans la paume d'une main avant d'être remis sur le comptoir.</v>
      </c>
    </row>
    <row r="30597">
      <c r="A30597" s="4" t="s">
        <v>38534</v>
      </c>
      <c r="B30597" s="4" t="s">
        <v>38535</v>
      </c>
      <c r="C30597" s="5" t="str">
        <f>IFERROR(__xludf.DUMMYFUNCTION("GOOGLETRANSLATE(B30597,""en"",""fr"")"),"Une série de masques est indiquée sur une table.")</f>
        <v>Une série de masques est indiquée sur une table.</v>
      </c>
    </row>
    <row r="30598">
      <c r="A30598" s="4" t="s">
        <v>38534</v>
      </c>
      <c r="B30598" s="4" t="s">
        <v>38536</v>
      </c>
      <c r="C30598" s="5" t="str">
        <f>IFERROR(__xludf.DUMMYFUNCTION("GOOGLETRANSLATE(B30598,""en"",""fr"")"),"Un chien Yorkie est montré sous plusieurs angles.")</f>
        <v>Un chien Yorkie est montré sous plusieurs angles.</v>
      </c>
    </row>
    <row r="30599">
      <c r="A30599" s="4" t="s">
        <v>38534</v>
      </c>
      <c r="B30599" s="4" t="s">
        <v>38537</v>
      </c>
      <c r="C30599" s="5" t="str">
        <f>IFERROR(__xludf.DUMMYFUNCTION("GOOGLETRANSLATE(B30599,""en"",""fr"")"),"Nous voyons ensuite les compétitions de victoires de chien et se préparons.")</f>
        <v>Nous voyons ensuite les compétitions de victoires de chien et se préparons.</v>
      </c>
    </row>
    <row r="30600">
      <c r="A30600" s="4" t="s">
        <v>38538</v>
      </c>
      <c r="B30600" s="4" t="s">
        <v>1487</v>
      </c>
      <c r="C30600" s="5" t="str">
        <f>IFERROR(__xludf.DUMMYFUNCTION("GOOGLETRANSLATE(B30600,""en"",""fr"")"),"Nous voyons un écran de titre d'ouverture.")</f>
        <v>Nous voyons un écran de titre d'ouverture.</v>
      </c>
    </row>
    <row r="30601">
      <c r="A30601" s="4" t="s">
        <v>38538</v>
      </c>
      <c r="B30601" s="4" t="s">
        <v>38539</v>
      </c>
      <c r="C30601" s="5" t="str">
        <f>IFERROR(__xludf.DUMMYFUNCTION("GOOGLETRANSLATE(B30601,""en"",""fr"")"),"Nous voyons un rasoir électrique sous différents angles.")</f>
        <v>Nous voyons un rasoir électrique sous différents angles.</v>
      </c>
    </row>
    <row r="30602">
      <c r="A30602" s="4" t="s">
        <v>38538</v>
      </c>
      <c r="B30602" s="4" t="s">
        <v>38540</v>
      </c>
      <c r="C30602" s="5" t="str">
        <f>IFERROR(__xludf.DUMMYFUNCTION("GOOGLETRANSLATE(B30602,""en"",""fr"")"),"L'homme débarque le produit et le sort du sac.")</f>
        <v>L'homme débarque le produit et le sort du sac.</v>
      </c>
    </row>
    <row r="30603">
      <c r="A30603" s="4" t="s">
        <v>38538</v>
      </c>
      <c r="B30603" s="4" t="s">
        <v>38541</v>
      </c>
      <c r="C30603" s="5" t="str">
        <f>IFERROR(__xludf.DUMMYFUNCTION("GOOGLETRANSLATE(B30603,""en"",""fr"")"),"Le produit est retiré de son emballage.")</f>
        <v>Le produit est retiré de son emballage.</v>
      </c>
    </row>
    <row r="30604">
      <c r="A30604" s="4" t="s">
        <v>38538</v>
      </c>
      <c r="B30604" s="4" t="s">
        <v>38542</v>
      </c>
      <c r="C30604" s="5" t="str">
        <f>IFERROR(__xludf.DUMMYFUNCTION("GOOGLETRANSLATE(B30604,""en"",""fr"")"),"L'homme se rase la main puis ajoute un garde et se rase sa barbe et la racine des cheveux à l'arrière.")</f>
        <v>L'homme se rase la main puis ajoute un garde et se rase sa barbe et la racine des cheveux à l'arrière.</v>
      </c>
    </row>
    <row r="30605">
      <c r="A30605" s="4" t="s">
        <v>38538</v>
      </c>
      <c r="B30605" s="4" t="s">
        <v>38543</v>
      </c>
      <c r="C30605" s="5" t="str">
        <f>IFERROR(__xludf.DUMMYFUNCTION("GOOGLETRANSLATE(B30605,""en"",""fr"")"),"L'homme rince le rasoir et travaille sur son cou.")</f>
        <v>L'homme rince le rasoir et travaille sur son cou.</v>
      </c>
    </row>
    <row r="30606">
      <c r="A30606" s="4" t="s">
        <v>38538</v>
      </c>
      <c r="B30606" s="4" t="s">
        <v>4452</v>
      </c>
      <c r="C30606" s="5" t="str">
        <f>IFERROR(__xludf.DUMMYFUNCTION("GOOGLETRANSLATE(B30606,""en"",""fr"")"),"Nous voyons ensuite l'écran de fin.")</f>
        <v>Nous voyons ensuite l'écran de fin.</v>
      </c>
    </row>
    <row r="30607">
      <c r="A30607" s="4" t="s">
        <v>38544</v>
      </c>
      <c r="B30607" s="6" t="s">
        <v>38545</v>
      </c>
      <c r="C30607" s="5" t="str">
        <f>IFERROR(__xludf.DUMMYFUNCTION("GOOGLETRANSLATE(B30607,""en"",""fr"")"),"Un homme et une femme vêtus de vêtements de neige marchent dans la neige et ils commencent à percer sur le terrain de glace avec des exercices longs rouges à la main.")</f>
        <v>Un homme et une femme vêtus de vêtements de neige marchent dans la neige et ils commencent à percer sur le terrain de glace avec des exercices longs rouges à la main.</v>
      </c>
    </row>
    <row r="30608">
      <c r="A30608" s="4" t="s">
        <v>38544</v>
      </c>
      <c r="B30608" s="6" t="s">
        <v>38546</v>
      </c>
      <c r="C30608" s="5" t="str">
        <f>IFERROR(__xludf.DUMMYFUNCTION("GOOGLETRANSLATE(B30608,""en"",""fr"")"),"Lorsqu'ils font un trou dans la glace, ils ont mis leur fil de pêche attaché avec des appâts dans le trou et commencent à pêcher la glace jusqu'à ce que la femme attrape un poisson.")</f>
        <v>Lorsqu'ils font un trou dans la glace, ils ont mis leur fil de pêche attaché avec des appâts dans le trou et commencent à pêcher la glace jusqu'à ce que la femme attrape un poisson.</v>
      </c>
    </row>
    <row r="30609">
      <c r="A30609" s="4" t="s">
        <v>38544</v>
      </c>
      <c r="B30609" s="4" t="s">
        <v>38547</v>
      </c>
      <c r="C30609" s="5" t="str">
        <f>IFERROR(__xludf.DUMMYFUNCTION("GOOGLETRANSLATE(B30609,""en"",""fr"")"),"Une fois la pêche terminée, ils sont maintenant en feu de bois et le poisson cuit sur le bois.")</f>
        <v>Une fois la pêche terminée, ils sont maintenant en feu de bois et le poisson cuit sur le bois.</v>
      </c>
    </row>
    <row r="30610">
      <c r="A30610" s="4" t="s">
        <v>38548</v>
      </c>
      <c r="B30610" s="4" t="s">
        <v>38549</v>
      </c>
      <c r="C30610" s="5" t="str">
        <f>IFERROR(__xludf.DUMMYFUNCTION("GOOGLETRANSLATE(B30610,""en"",""fr"")"),"Une femme exerce en coupant un bâton sur sa main dans un dossier.")</f>
        <v>Une femme exerce en coupant un bâton sur sa main dans un dossier.</v>
      </c>
    </row>
    <row r="30611">
      <c r="A30611" s="4" t="s">
        <v>38548</v>
      </c>
      <c r="B30611" s="4" t="s">
        <v>38550</v>
      </c>
      <c r="C30611" s="5" t="str">
        <f>IFERROR(__xludf.DUMMYFUNCTION("GOOGLETRANSLATE(B30611,""en"",""fr"")"),"La femme fait de l'exercice à l'avant l'océan faisant tourner le bâton sur son cou.")</f>
        <v>La femme fait de l'exercice à l'avant l'océan faisant tourner le bâton sur son cou.</v>
      </c>
    </row>
    <row r="30612">
      <c r="A30612" s="4" t="s">
        <v>38548</v>
      </c>
      <c r="B30612" s="4" t="s">
        <v>38551</v>
      </c>
      <c r="C30612" s="5" t="str">
        <f>IFERROR(__xludf.DUMMYFUNCTION("GOOGLETRANSLATE(B30612,""en"",""fr"")"),"Ensuite, la femme jette le bâton en l'air.")</f>
        <v>Ensuite, la femme jette le bâton en l'air.</v>
      </c>
    </row>
    <row r="30613">
      <c r="A30613" s="4" t="s">
        <v>38548</v>
      </c>
      <c r="B30613" s="4" t="s">
        <v>38552</v>
      </c>
      <c r="C30613" s="5" t="str">
        <f>IFERROR(__xludf.DUMMYFUNCTION("GOOGLETRANSLATE(B30613,""en"",""fr"")"),"Après, la femme passe le bâton de la main à une autre sur son bras plié.")</f>
        <v>Après, la femme passe le bâton de la main à une autre sur son bras plié.</v>
      </c>
    </row>
    <row r="30614">
      <c r="A30614" s="4" t="s">
        <v>38553</v>
      </c>
      <c r="B30614" s="4" t="s">
        <v>38554</v>
      </c>
      <c r="C30614" s="5" t="str">
        <f>IFERROR(__xludf.DUMMYFUNCTION("GOOGLETRANSLATE(B30614,""en"",""fr"")"),"Deux hommes en costumes de sumo rembourrés sont tirés le long d'une corde de remorqueur sur une pente de ski.")</f>
        <v>Deux hommes en costumes de sumo rembourrés sont tirés le long d'une corde de remorqueur sur une pente de ski.</v>
      </c>
    </row>
    <row r="30615">
      <c r="A30615" s="4" t="s">
        <v>38553</v>
      </c>
      <c r="B30615" s="4" t="s">
        <v>38555</v>
      </c>
      <c r="C30615" s="5" t="str">
        <f>IFERROR(__xludf.DUMMYFUNCTION("GOOGLETRANSLATE(B30615,""en"",""fr"")"),"Deux hommes en costumes de sumo rembourrés jaunes sautent sur leur snowboard sur un parcours de descente.")</f>
        <v>Deux hommes en costumes de sumo rembourrés jaunes sautent sur leur snowboard sur un parcours de descente.</v>
      </c>
    </row>
    <row r="30616">
      <c r="A30616" s="4" t="s">
        <v>38553</v>
      </c>
      <c r="B30616" s="4" t="s">
        <v>38556</v>
      </c>
      <c r="C30616" s="5" t="str">
        <f>IFERROR(__xludf.DUMMYFUNCTION("GOOGLETRANSLATE(B30616,""en"",""fr"")"),"Un cinéaste renonce à la caméra.")</f>
        <v>Un cinéaste renonce à la caméra.</v>
      </c>
    </row>
    <row r="30617">
      <c r="A30617" s="4" t="s">
        <v>38553</v>
      </c>
      <c r="B30617" s="4" t="s">
        <v>38557</v>
      </c>
      <c r="C30617" s="5" t="str">
        <f>IFERROR(__xludf.DUMMYFUNCTION("GOOGLETRANSLATE(B30617,""en"",""fr"")"),"L'homme tourne tout en glissant sur une plate-forme dans le costume SUMO.")</f>
        <v>L'homme tourne tout en glissant sur une plate-forme dans le costume SUMO.</v>
      </c>
    </row>
    <row r="30618">
      <c r="A30618" s="4" t="s">
        <v>38553</v>
      </c>
      <c r="B30618" s="4" t="s">
        <v>38558</v>
      </c>
      <c r="C30618" s="5" t="str">
        <f>IFERROR(__xludf.DUMMYFUNCTION("GOOGLETRANSLATE(B30618,""en"",""fr"")"),"Les deux hommes se donnent un high cinq.")</f>
        <v>Les deux hommes se donnent un high cinq.</v>
      </c>
    </row>
    <row r="30619">
      <c r="A30619" s="4" t="s">
        <v>38553</v>
      </c>
      <c r="B30619" s="4" t="s">
        <v>38559</v>
      </c>
      <c r="C30619" s="5" t="str">
        <f>IFERROR(__xludf.DUMMYFUNCTION("GOOGLETRANSLATE(B30619,""en"",""fr"")"),"L'homme en costume sumo passe en revue un petit obstacle triangulaire.")</f>
        <v>L'homme en costume sumo passe en revue un petit obstacle triangulaire.</v>
      </c>
    </row>
    <row r="30620">
      <c r="A30620" s="4" t="s">
        <v>38553</v>
      </c>
      <c r="B30620" s="4" t="s">
        <v>38560</v>
      </c>
      <c r="C30620" s="5" t="str">
        <f>IFERROR(__xludf.DUMMYFUNCTION("GOOGLETRANSLATE(B30620,""en"",""fr"")"),"Un homme sur de petits skis s'écrase en essayant de sauter.")</f>
        <v>Un homme sur de petits skis s'écrase en essayant de sauter.</v>
      </c>
    </row>
    <row r="30621">
      <c r="A30621" s="4" t="s">
        <v>38553</v>
      </c>
      <c r="B30621" s="4" t="s">
        <v>38561</v>
      </c>
      <c r="C30621" s="5" t="str">
        <f>IFERROR(__xludf.DUMMYFUNCTION("GOOGLETRANSLATE(B30621,""en"",""fr"")"),"L'homme saute et glisse sur une plate-forme tout en portant un costume sumo.")</f>
        <v>L'homme saute et glisse sur une plate-forme tout en portant un costume sumo.</v>
      </c>
    </row>
    <row r="30622">
      <c r="A30622" s="4" t="s">
        <v>38553</v>
      </c>
      <c r="B30622" s="4" t="s">
        <v>38562</v>
      </c>
      <c r="C30622" s="5" t="str">
        <f>IFERROR(__xludf.DUMMYFUNCTION("GOOGLETRANSLATE(B30622,""en"",""fr"")"),"L'homme rebondit sur une balustrade basse.")</f>
        <v>L'homme rebondit sur une balustrade basse.</v>
      </c>
    </row>
    <row r="30623">
      <c r="A30623" s="4" t="s">
        <v>38563</v>
      </c>
      <c r="B30623" s="4" t="s">
        <v>38564</v>
      </c>
      <c r="C30623" s="5" t="str">
        <f>IFERROR(__xludf.DUMMYFUNCTION("GOOGLETRANSLATE(B30623,""en"",""fr"")"),"Un garçon est assis sur une chaise derrière un comptoir.")</f>
        <v>Un garçon est assis sur une chaise derrière un comptoir.</v>
      </c>
    </row>
    <row r="30624">
      <c r="A30624" s="4" t="s">
        <v>38563</v>
      </c>
      <c r="B30624" s="4" t="s">
        <v>38565</v>
      </c>
      <c r="C30624" s="5" t="str">
        <f>IFERROR(__xludf.DUMMYFUNCTION("GOOGLETRANSLATE(B30624,""en"",""fr"")"),"Une fille vient à côté de lui et essaie de le nourrir de céréales.")</f>
        <v>Une fille vient à côté de lui et essaie de le nourrir de céréales.</v>
      </c>
    </row>
    <row r="30625">
      <c r="A30625" s="4" t="s">
        <v>38563</v>
      </c>
      <c r="B30625" s="4" t="s">
        <v>38566</v>
      </c>
      <c r="C30625" s="5" t="str">
        <f>IFERROR(__xludf.DUMMYFUNCTION("GOOGLETRANSLATE(B30625,""en"",""fr"")"),"Il commence à jeter des fléchettes sur un plancher de fléchettes.")</f>
        <v>Il commence à jeter des fléchettes sur un plancher de fléchettes.</v>
      </c>
    </row>
    <row r="30626">
      <c r="A30626" s="4" t="s">
        <v>38567</v>
      </c>
      <c r="B30626" s="4" t="s">
        <v>38568</v>
      </c>
      <c r="C30626" s="5" t="str">
        <f>IFERROR(__xludf.DUMMYFUNCTION("GOOGLETRANSLATE(B30626,""en"",""fr"")"),"Un gros plan est illustré à un sol très sale en cours de nettoyage avec un grand vide.")</f>
        <v>Un gros plan est illustré à un sol très sale en cours de nettoyage avec un grand vide.</v>
      </c>
    </row>
    <row r="30627">
      <c r="A30627" s="4" t="s">
        <v>38567</v>
      </c>
      <c r="B30627" s="4" t="s">
        <v>38569</v>
      </c>
      <c r="C30627" s="5" t="str">
        <f>IFERROR(__xludf.DUMMYFUNCTION("GOOGLETRANSLATE(B30627,""en"",""fr"")"),"Les mots à l'écran expliquent la force du vide au fur et à mesure que la personne continue.")</f>
        <v>Les mots à l'écran expliquent la force du vide au fur et à mesure que la personne continue.</v>
      </c>
    </row>
    <row r="30628">
      <c r="A30628" s="4" t="s">
        <v>38567</v>
      </c>
      <c r="B30628" s="4" t="s">
        <v>38570</v>
      </c>
      <c r="C30628" s="5" t="str">
        <f>IFERROR(__xludf.DUMMYFUNCTION("GOOGLETRANSLATE(B30628,""en"",""fr"")"),"Le sol est nettoyé à vitesse de marche.")</f>
        <v>Le sol est nettoyé à vitesse de marche.</v>
      </c>
    </row>
    <row r="30629">
      <c r="A30629" s="4" t="s">
        <v>38567</v>
      </c>
      <c r="B30629" s="4" t="s">
        <v>38571</v>
      </c>
      <c r="C30629" s="5" t="str">
        <f>IFERROR(__xludf.DUMMYFUNCTION("GOOGLETRANSLATE(B30629,""en"",""fr"")"),"L'homme continue de démontrer l'utilisation jusqu'à ce qu'une annonce pour l'entreprise apparaisse à la fin.")</f>
        <v>L'homme continue de démontrer l'utilisation jusqu'à ce qu'une annonce pour l'entreprise apparaisse à la fin.</v>
      </c>
    </row>
    <row r="30630">
      <c r="A30630" s="4" t="s">
        <v>38572</v>
      </c>
      <c r="B30630" s="4" t="s">
        <v>38573</v>
      </c>
      <c r="C30630" s="5" t="str">
        <f>IFERROR(__xludf.DUMMYFUNCTION("GOOGLETRANSLATE(B30630,""en"",""fr"")"),"Une vue est vue de l'extérieur d'un aéroport, puis de l'aile de l'avion volant.")</f>
        <v>Une vue est vue de l'extérieur d'un aéroport, puis de l'aile de l'avion volant.</v>
      </c>
    </row>
    <row r="30631">
      <c r="A30631" s="4" t="s">
        <v>38572</v>
      </c>
      <c r="B30631" s="4" t="s">
        <v>38574</v>
      </c>
      <c r="C30631" s="5" t="str">
        <f>IFERROR(__xludf.DUMMYFUNCTION("GOOGLETRANSLATE(B30631,""en"",""fr"")"),"Un homme est dans l'avion portant un masque.")</f>
        <v>Un homme est dans l'avion portant un masque.</v>
      </c>
    </row>
    <row r="30632">
      <c r="A30632" s="4" t="s">
        <v>38572</v>
      </c>
      <c r="B30632" s="4" t="s">
        <v>38575</v>
      </c>
      <c r="C30632" s="5" t="str">
        <f>IFERROR(__xludf.DUMMYFUNCTION("GOOGLETRANSLATE(B30632,""en"",""fr"")"),"Plusieurs personnes dorment dans les quartiers sombres.")</f>
        <v>Plusieurs personnes dorment dans les quartiers sombres.</v>
      </c>
    </row>
    <row r="30633">
      <c r="A30633" s="4" t="s">
        <v>38572</v>
      </c>
      <c r="B30633" s="4" t="s">
        <v>38576</v>
      </c>
      <c r="C30633" s="5" t="str">
        <f>IFERROR(__xludf.DUMMYFUNCTION("GOOGLETRANSLATE(B30633,""en"",""fr"")"),"Ils arrivent dans une station de ski et roulent sur les ascenseurs avant de porter des skis et de skier sur des collines perfides.")</f>
        <v>Ils arrivent dans une station de ski et roulent sur les ascenseurs avant de porter des skis et de skier sur des collines perfides.</v>
      </c>
    </row>
    <row r="30634">
      <c r="A30634" s="4" t="s">
        <v>38577</v>
      </c>
      <c r="B30634" s="4" t="s">
        <v>38578</v>
      </c>
      <c r="C30634" s="5" t="str">
        <f>IFERROR(__xludf.DUMMYFUNCTION("GOOGLETRANSLATE(B30634,""en"",""fr"")"),"Un homme tient le bras d'un vide de la cartouche dans une salle d'exposition sous vide.")</f>
        <v>Un homme tient le bras d'un vide de la cartouche dans une salle d'exposition sous vide.</v>
      </c>
    </row>
    <row r="30635">
      <c r="A30635" s="4" t="s">
        <v>38577</v>
      </c>
      <c r="B30635" s="4" t="s">
        <v>38579</v>
      </c>
      <c r="C30635" s="5" t="str">
        <f>IFERROR(__xludf.DUMMYFUNCTION("GOOGLETRANSLATE(B30635,""en"",""fr"")"),"L'homme lève le bras et le montre à la caméra.")</f>
        <v>L'homme lève le bras et le montre à la caméra.</v>
      </c>
    </row>
    <row r="30636">
      <c r="A30636" s="4" t="s">
        <v>38577</v>
      </c>
      <c r="B30636" s="4" t="s">
        <v>38580</v>
      </c>
      <c r="C30636" s="5" t="str">
        <f>IFERROR(__xludf.DUMMYFUNCTION("GOOGLETRANSLATE(B30636,""en"",""fr"")"),"L'homme prétend ensuite, puis aspire le sol du linoléum avec le vide.")</f>
        <v>L'homme prétend ensuite, puis aspire le sol du linoléum avec le vide.</v>
      </c>
    </row>
    <row r="30637">
      <c r="A30637" s="4" t="s">
        <v>38581</v>
      </c>
      <c r="B30637" s="4" t="s">
        <v>38582</v>
      </c>
      <c r="C30637" s="5" t="str">
        <f>IFERROR(__xludf.DUMMYFUNCTION("GOOGLETRANSLATE(B30637,""en"",""fr"")"),"Les scores sont affichés sur un écran devant l'eau de la piscine.")</f>
        <v>Les scores sont affichés sur un écran devant l'eau de la piscine.</v>
      </c>
    </row>
    <row r="30638">
      <c r="A30638" s="4" t="s">
        <v>38581</v>
      </c>
      <c r="B30638" s="4" t="s">
        <v>38583</v>
      </c>
      <c r="C30638" s="5" t="str">
        <f>IFERROR(__xludf.DUMMYFUNCTION("GOOGLETRANSLATE(B30638,""en"",""fr"")"),"Un homme se serpente dans une pièce.")</f>
        <v>Un homme se serpente dans une pièce.</v>
      </c>
    </row>
    <row r="30639">
      <c r="A30639" s="4" t="s">
        <v>38581</v>
      </c>
      <c r="B30639" s="4" t="s">
        <v>38584</v>
      </c>
      <c r="C30639" s="5" t="str">
        <f>IFERROR(__xludf.DUMMYFUNCTION("GOOGLETRANSLATE(B30639,""en"",""fr"")"),"Il entre dans la compétition, serrant la main après sa plongée.")</f>
        <v>Il entre dans la compétition, serrant la main après sa plongée.</v>
      </c>
    </row>
    <row r="30640">
      <c r="A30640" s="4" t="s">
        <v>38581</v>
      </c>
      <c r="B30640" s="4" t="s">
        <v>38585</v>
      </c>
      <c r="C30640" s="5" t="str">
        <f>IFERROR(__xludf.DUMMYFUNCTION("GOOGLETRANSLATE(B30640,""en"",""fr"")"),"Entre les plongées, le tableau de bord est à nouveau affiché.")</f>
        <v>Entre les plongées, le tableau de bord est à nouveau affiché.</v>
      </c>
    </row>
    <row r="30641">
      <c r="A30641" s="4" t="s">
        <v>38581</v>
      </c>
      <c r="B30641" s="4" t="s">
        <v>38586</v>
      </c>
      <c r="C30641" s="5" t="str">
        <f>IFERROR(__xludf.DUMMYFUNCTION("GOOGLETRANSLATE(B30641,""en"",""fr"")"),"La scène finale est de l'homme en retournant le plongeon.")</f>
        <v>La scène finale est de l'homme en retournant le plongeon.</v>
      </c>
    </row>
    <row r="30642">
      <c r="A30642" s="4" t="s">
        <v>38587</v>
      </c>
      <c r="B30642" s="4" t="s">
        <v>38588</v>
      </c>
      <c r="C30642" s="5" t="str">
        <f>IFERROR(__xludf.DUMMYFUNCTION("GOOGLETRANSLATE(B30642,""en"",""fr"")"),"Une femme est vue en souriant à la caméra en tenant un sèche-linge et divers accessoires.")</f>
        <v>Une femme est vue en souriant à la caméra en tenant un sèche-linge et divers accessoires.</v>
      </c>
    </row>
    <row r="30643">
      <c r="A30643" s="4" t="s">
        <v>38587</v>
      </c>
      <c r="B30643" s="6" t="s">
        <v>38589</v>
      </c>
      <c r="C30643" s="5" t="str">
        <f>IFERROR(__xludf.DUMMYFUNCTION("GOOGLETRANSLATE(B30643,""en"",""fr"")"),"Elle est ensuite vue avec des cheveux mouillés, puis pulvérise liquide dans ses cheveux, puis sèche plus ses cheveux.")</f>
        <v>Elle est ensuite vue avec des cheveux mouillés, puis pulvérise liquide dans ses cheveux, puis sèche plus ses cheveux.</v>
      </c>
    </row>
    <row r="30644">
      <c r="A30644" s="4" t="s">
        <v>38587</v>
      </c>
      <c r="B30644" s="6" t="s">
        <v>38590</v>
      </c>
      <c r="C30644" s="5" t="str">
        <f>IFERROR(__xludf.DUMMYFUNCTION("GOOGLETRANSLATE(B30644,""en"",""fr"")"),"Elle épingle ensuite ses cheveux, s'attache et s'attache au sèche-linge, et sèche ses cheveux tout autour, tournant à la caméra à la fin.")</f>
        <v>Elle épingle ensuite ses cheveux, s'attache et s'attache au sèche-linge, et sèche ses cheveux tout autour, tournant à la caméra à la fin.</v>
      </c>
    </row>
    <row r="30645">
      <c r="A30645" s="4" t="s">
        <v>38591</v>
      </c>
      <c r="B30645" s="4" t="s">
        <v>38592</v>
      </c>
      <c r="C30645" s="5" t="str">
        <f>IFERROR(__xludf.DUMMYFUNCTION("GOOGLETRANSLATE(B30645,""en"",""fr"")"),"Un homme utilise une grande batte bleue en plastique.")</f>
        <v>Un homme utilise une grande batte bleue en plastique.</v>
      </c>
    </row>
    <row r="30646">
      <c r="A30646" s="4" t="s">
        <v>38591</v>
      </c>
      <c r="B30646" s="4" t="s">
        <v>38593</v>
      </c>
      <c r="C30646" s="5" t="str">
        <f>IFERROR(__xludf.DUMMYFUNCTION("GOOGLETRANSLATE(B30646,""en"",""fr"")"),"Il le balance dans une pinata en forme de squarepants de Bob l'éponge.")</f>
        <v>Il le balance dans une pinata en forme de squarepants de Bob l'éponge.</v>
      </c>
    </row>
    <row r="30647">
      <c r="A30647" s="4" t="s">
        <v>38591</v>
      </c>
      <c r="B30647" s="4" t="s">
        <v>38594</v>
      </c>
      <c r="C30647" s="5" t="str">
        <f>IFERROR(__xludf.DUMMYFUNCTION("GOOGLETRANSLATE(B30647,""en"",""fr"")"),"Il manque plusieurs fois et continue de se balancer.")</f>
        <v>Il manque plusieurs fois et continue de se balancer.</v>
      </c>
    </row>
    <row r="30648">
      <c r="A30648" s="4" t="s">
        <v>38595</v>
      </c>
      <c r="B30648" s="4" t="s">
        <v>38596</v>
      </c>
      <c r="C30648" s="5" t="str">
        <f>IFERROR(__xludf.DUMMYFUNCTION("GOOGLETRANSLATE(B30648,""en"",""fr"")"),"Nous voyons un doigt sur l'objectif et une épaule.")</f>
        <v>Nous voyons un doigt sur l'objectif et une épaule.</v>
      </c>
    </row>
    <row r="30649">
      <c r="A30649" s="4" t="s">
        <v>38595</v>
      </c>
      <c r="B30649" s="4" t="s">
        <v>38597</v>
      </c>
      <c r="C30649" s="5" t="str">
        <f>IFERROR(__xludf.DUMMYFUNCTION("GOOGLETRANSLATE(B30649,""en"",""fr"")"),"Une femme pousse une tondeuse à gazon à travers l'herbe.")</f>
        <v>Une femme pousse une tondeuse à gazon à travers l'herbe.</v>
      </c>
    </row>
    <row r="30650">
      <c r="A30650" s="4" t="s">
        <v>38595</v>
      </c>
      <c r="B30650" s="4" t="s">
        <v>38598</v>
      </c>
      <c r="C30650" s="5" t="str">
        <f>IFERROR(__xludf.DUMMYFUNCTION("GOOGLETRANSLATE(B30650,""en"",""fr"")"),"La dame soulève la tondeuse et recule.")</f>
        <v>La dame soulève la tondeuse et recule.</v>
      </c>
    </row>
    <row r="30651">
      <c r="A30651" s="4" t="s">
        <v>38595</v>
      </c>
      <c r="B30651" s="4" t="s">
        <v>38599</v>
      </c>
      <c r="C30651" s="5" t="str">
        <f>IFERROR(__xludf.DUMMYFUNCTION("GOOGLETRANSLATE(B30651,""en"",""fr"")"),"La dame tourne la tondeuse.")</f>
        <v>La dame tourne la tondeuse.</v>
      </c>
    </row>
    <row r="30652">
      <c r="A30652" s="4" t="s">
        <v>38600</v>
      </c>
      <c r="B30652" s="4" t="s">
        <v>38601</v>
      </c>
      <c r="C30652" s="5" t="str">
        <f>IFERROR(__xludf.DUMMYFUNCTION("GOOGLETRANSLATE(B30652,""en"",""fr"")"),"La femme se tient dans la police d'un comptoir et parle à la caméra.")</f>
        <v>La femme se tient dans la police d'un comptoir et parle à la caméra.</v>
      </c>
    </row>
    <row r="30653">
      <c r="A30653" s="4" t="s">
        <v>38600</v>
      </c>
      <c r="B30653" s="6" t="s">
        <v>38602</v>
      </c>
      <c r="C30653" s="5" t="str">
        <f>IFERROR(__xludf.DUMMYFUNCTION("GOOGLETRANSLATE(B30653,""en"",""fr"")"),"Un évier propre est illustré et une femme qui monte la surface de l'eau et du vin avec un chiffon puis avec une éponge.")</f>
        <v>Un évier propre est illustré et une femme qui monte la surface de l'eau et du vin avec un chiffon puis avec une éponge.</v>
      </c>
    </row>
    <row r="30654">
      <c r="A30654" s="4" t="s">
        <v>38600</v>
      </c>
      <c r="B30654" s="6" t="s">
        <v>38603</v>
      </c>
      <c r="C30654" s="5" t="str">
        <f>IFERROR(__xludf.DUMMYFUNCTION("GOOGLETRANSLATE(B30654,""en"",""fr"")"),"La femme a mis un nettoyant sur un chiffon et nettoie l'évier, puis la femme parle et une table blanche couvre l'évier.")</f>
        <v>La femme a mis un nettoyant sur un chiffon et nettoie l'évier, puis la femme parle et une table blanche couvre l'évier.</v>
      </c>
    </row>
    <row r="30655">
      <c r="A30655" s="4" t="s">
        <v>38604</v>
      </c>
      <c r="B30655" s="6" t="s">
        <v>38605</v>
      </c>
      <c r="C30655" s="5" t="str">
        <f>IFERROR(__xludf.DUMMYFUNCTION("GOOGLETRANSLATE(B30655,""en"",""fr"")"),"Un grand groupe de personnes est vue assise autour d'un auditorium avec un homme volant des cerfs-volants au milieu.")</f>
        <v>Un grand groupe de personnes est vue assise autour d'un auditorium avec un homme volant des cerfs-volants au milieu.</v>
      </c>
    </row>
    <row r="30656">
      <c r="A30656" s="4" t="s">
        <v>38604</v>
      </c>
      <c r="B30656" s="6" t="s">
        <v>38606</v>
      </c>
      <c r="C30656" s="5" t="str">
        <f>IFERROR(__xludf.DUMMYFUNCTION("GOOGLETRANSLATE(B30656,""en"",""fr"")"),"La personne continue de se déplacer avec les cerfs-volants et s'éloigne à la fin avec une femme parlant à la foule.")</f>
        <v>La personne continue de se déplacer avec les cerfs-volants et s'éloigne à la fin avec une femme parlant à la foule.</v>
      </c>
    </row>
    <row r="30657">
      <c r="A30657" s="4" t="s">
        <v>38607</v>
      </c>
      <c r="B30657" s="4" t="s">
        <v>38608</v>
      </c>
      <c r="C30657" s="5" t="str">
        <f>IFERROR(__xludf.DUMMYFUNCTION("GOOGLETRANSLATE(B30657,""en"",""fr"")"),"Nous voyons des gens dans un champ tenant des drapeaux.")</f>
        <v>Nous voyons des gens dans un champ tenant des drapeaux.</v>
      </c>
    </row>
    <row r="30658">
      <c r="A30658" s="4" t="s">
        <v>38607</v>
      </c>
      <c r="B30658" s="4" t="s">
        <v>38609</v>
      </c>
      <c r="C30658" s="5" t="str">
        <f>IFERROR(__xludf.DUMMYFUNCTION("GOOGLETRANSLATE(B30658,""en"",""fr"")"),"Nous voyons des gens jouer au paintball dans les bois.")</f>
        <v>Nous voyons des gens jouer au paintball dans les bois.</v>
      </c>
    </row>
    <row r="30659">
      <c r="A30659" s="4" t="s">
        <v>38607</v>
      </c>
      <c r="B30659" s="4" t="s">
        <v>38610</v>
      </c>
      <c r="C30659" s="5" t="str">
        <f>IFERROR(__xludf.DUMMYFUNCTION("GOOGLETRANSLATE(B30659,""en"",""fr"")"),"Nous voyons des gens en lignes comme des soldats.")</f>
        <v>Nous voyons des gens en lignes comme des soldats.</v>
      </c>
    </row>
    <row r="30660">
      <c r="A30660" s="4" t="s">
        <v>38607</v>
      </c>
      <c r="B30660" s="4" t="s">
        <v>38611</v>
      </c>
      <c r="C30660" s="5" t="str">
        <f>IFERROR(__xludf.DUMMYFUNCTION("GOOGLETRANSLATE(B30660,""en"",""fr"")"),"Nous voyons les gens dans les bois dans des équipements de balle de peinture.")</f>
        <v>Nous voyons les gens dans les bois dans des équipements de balle de peinture.</v>
      </c>
    </row>
    <row r="30661">
      <c r="A30661" s="4" t="s">
        <v>38607</v>
      </c>
      <c r="B30661" s="4" t="s">
        <v>38612</v>
      </c>
      <c r="C30661" s="5" t="str">
        <f>IFERROR(__xludf.DUMMYFUNCTION("GOOGLETRANSLATE(B30661,""en"",""fr"")"),"Nous voyons un réservoir métallique vide.")</f>
        <v>Nous voyons un réservoir métallique vide.</v>
      </c>
    </row>
    <row r="30662">
      <c r="A30662" s="4" t="s">
        <v>38607</v>
      </c>
      <c r="B30662" s="4" t="s">
        <v>38613</v>
      </c>
      <c r="C30662" s="5" t="str">
        <f>IFERROR(__xludf.DUMMYFUNCTION("GOOGLETRANSLATE(B30662,""en"",""fr"")"),"Nous voyons à nouveau les gens dans les bois.")</f>
        <v>Nous voyons à nouveau les gens dans les bois.</v>
      </c>
    </row>
    <row r="30663">
      <c r="A30663" s="4" t="s">
        <v>38607</v>
      </c>
      <c r="B30663" s="4" t="s">
        <v>38614</v>
      </c>
      <c r="C30663" s="5" t="str">
        <f>IFERROR(__xludf.DUMMYFUNCTION("GOOGLETRANSLATE(B30663,""en"",""fr"")"),"Nous voyons à l'intérieur du réservoir.")</f>
        <v>Nous voyons à l'intérieur du réservoir.</v>
      </c>
    </row>
    <row r="30664">
      <c r="A30664" s="4" t="s">
        <v>38607</v>
      </c>
      <c r="B30664" s="4" t="s">
        <v>38615</v>
      </c>
      <c r="C30664" s="5" t="str">
        <f>IFERROR(__xludf.DUMMYFUNCTION("GOOGLETRANSLATE(B30664,""en"",""fr"")"),"Nous voyons les gens marcher sur le terrain.")</f>
        <v>Nous voyons les gens marcher sur le terrain.</v>
      </c>
    </row>
    <row r="30665">
      <c r="A30665" s="4" t="s">
        <v>38607</v>
      </c>
      <c r="B30665" s="4" t="s">
        <v>38616</v>
      </c>
      <c r="C30665" s="5" t="str">
        <f>IFERROR(__xludf.DUMMYFUNCTION("GOOGLETRANSLATE(B30665,""en"",""fr"")"),"Nous voyons des gens courir avec de la fumée.")</f>
        <v>Nous voyons des gens courir avec de la fumée.</v>
      </c>
    </row>
    <row r="30666">
      <c r="A30666" s="4" t="s">
        <v>38607</v>
      </c>
      <c r="B30666" s="4" t="s">
        <v>38617</v>
      </c>
      <c r="C30666" s="5" t="str">
        <f>IFERROR(__xludf.DUMMYFUNCTION("GOOGLETRANSLATE(B30666,""en"",""fr"")"),"Nous voyons un écran de titre de fin.")</f>
        <v>Nous voyons un écran de titre de fin.</v>
      </c>
    </row>
    <row r="30667">
      <c r="A30667" s="4" t="s">
        <v>38618</v>
      </c>
      <c r="B30667" s="4" t="s">
        <v>38619</v>
      </c>
      <c r="C30667" s="5" t="str">
        <f>IFERROR(__xludf.DUMMYFUNCTION("GOOGLETRANSLATE(B30667,""en"",""fr"")"),"Un homme s'agenouille par un arbre dans une cour.")</f>
        <v>Un homme s'agenouille par un arbre dans une cour.</v>
      </c>
    </row>
    <row r="30668">
      <c r="A30668" s="4" t="s">
        <v>38618</v>
      </c>
      <c r="B30668" s="4" t="s">
        <v>38620</v>
      </c>
      <c r="C30668" s="5" t="str">
        <f>IFERROR(__xludf.DUMMYFUNCTION("GOOGLETRANSLATE(B30668,""en"",""fr"")"),"Il parle alors qu'il creuse avec ses mains.")</f>
        <v>Il parle alors qu'il creuse avec ses mains.</v>
      </c>
    </row>
    <row r="30669">
      <c r="A30669" s="4" t="s">
        <v>38618</v>
      </c>
      <c r="B30669" s="4" t="s">
        <v>38621</v>
      </c>
      <c r="C30669" s="5" t="str">
        <f>IFERROR(__xludf.DUMMYFUNCTION("GOOGLETRANSLATE(B30669,""en"",""fr"")"),"Il montre et enseigne comment appliquer et emballer le paillage autour de la base de l'arbre.")</f>
        <v>Il montre et enseigne comment appliquer et emballer le paillage autour de la base de l'arbre.</v>
      </c>
    </row>
    <row r="30670">
      <c r="A30670" s="4" t="s">
        <v>38622</v>
      </c>
      <c r="B30670" s="4" t="s">
        <v>38623</v>
      </c>
      <c r="C30670" s="5" t="str">
        <f>IFERROR(__xludf.DUMMYFUNCTION("GOOGLETRANSLATE(B30670,""en"",""fr"")"),"Une personne court et saute avec des chaussures rebondissantes, et un homme fait un visage surpris.")</f>
        <v>Une personne court et saute avec des chaussures rebondissantes, et un homme fait un visage surpris.</v>
      </c>
    </row>
    <row r="30671">
      <c r="A30671" s="4" t="s">
        <v>38622</v>
      </c>
      <c r="B30671" s="6" t="s">
        <v>38624</v>
      </c>
      <c r="C30671" s="5" t="str">
        <f>IFERROR(__xludf.DUMMYFUNCTION("GOOGLETRANSLATE(B30671,""en"",""fr"")"),"Les gens portant des chaussures rebondissants rebondissent et sautent dans une salle de sport, un présentateur parle et essaie également les chaussures rebondissantes.")</f>
        <v>Les gens portant des chaussures rebondissants rebondissent et sautent dans une salle de sport, un présentateur parle et essaie également les chaussures rebondissantes.</v>
      </c>
    </row>
    <row r="30672">
      <c r="A30672" s="4" t="s">
        <v>38622</v>
      </c>
      <c r="B30672" s="4" t="s">
        <v>38625</v>
      </c>
      <c r="C30672" s="5" t="str">
        <f>IFERROR(__xludf.DUMMYFUNCTION("GOOGLETRANSLATE(B30672,""en"",""fr"")"),"Un homme rebondisse et saute haut dans la plage, dans la rue.")</f>
        <v>Un homme rebondisse et saute haut dans la plage, dans la rue.</v>
      </c>
    </row>
    <row r="30673">
      <c r="A30673" s="4" t="s">
        <v>38622</v>
      </c>
      <c r="B30673" s="6" t="s">
        <v>38626</v>
      </c>
      <c r="C30673" s="5" t="str">
        <f>IFERROR(__xludf.DUMMYFUNCTION("GOOGLETRANSLATE(B30673,""en"",""fr"")"),"Ensuite, les hommes se retournent en portant des chaussures rebondissantes, après qu'un homme joue au basket-ball portant des chaussures rebondissantes dans une salle de sport.")</f>
        <v>Ensuite, les hommes se retournent en portant des chaussures rebondissantes, après qu'un homme joue au basket-ball portant des chaussures rebondissantes dans une salle de sport.</v>
      </c>
    </row>
    <row r="30674">
      <c r="A30674" s="4" t="s">
        <v>38622</v>
      </c>
      <c r="B30674" s="4" t="s">
        <v>38627</v>
      </c>
      <c r="C30674" s="5" t="str">
        <f>IFERROR(__xludf.DUMMYFUNCTION("GOOGLETRANSLATE(B30674,""en"",""fr"")"),"Une personne fait du vélo dans le gymnase.")</f>
        <v>Une personne fait du vélo dans le gymnase.</v>
      </c>
    </row>
    <row r="30675">
      <c r="A30675" s="4" t="s">
        <v>38622</v>
      </c>
      <c r="B30675" s="4" t="s">
        <v>38628</v>
      </c>
      <c r="C30675" s="5" t="str">
        <f>IFERROR(__xludf.DUMMYFUNCTION("GOOGLETRANSLATE(B30675,""en"",""fr"")"),"Deux hommes portant des chaussures rebondissants se tiennent devant un téléviseur.")</f>
        <v>Deux hommes portant des chaussures rebondissants se tiennent devant un téléviseur.</v>
      </c>
    </row>
    <row r="30676">
      <c r="A30676" s="4" t="s">
        <v>38629</v>
      </c>
      <c r="B30676" s="6" t="s">
        <v>38630</v>
      </c>
      <c r="C30676" s="5" t="str">
        <f>IFERROR(__xludf.DUMMYFUNCTION("GOOGLETRANSLATE(B30676,""en"",""fr"")"),"Une femme est vue en parlant à la caméra et mène à sa glace versée dans un verre suivie de divers liquides.")</f>
        <v>Une femme est vue en parlant à la caméra et mène à sa glace versée dans un verre suivie de divers liquides.</v>
      </c>
    </row>
    <row r="30677">
      <c r="A30677" s="4" t="s">
        <v>38629</v>
      </c>
      <c r="B30677" s="6" t="s">
        <v>38631</v>
      </c>
      <c r="C30677" s="5" t="str">
        <f>IFERROR(__xludf.DUMMYFUNCTION("GOOGLETRANSLATE(B30677,""en"",""fr"")"),"Elle mélange les liquides en arrière et quatrième et se termine en présentant la boisson et en mettant un citron avec de la paille.")</f>
        <v>Elle mélange les liquides en arrière et quatrième et se termine en présentant la boisson et en mettant un citron avec de la paille.</v>
      </c>
    </row>
    <row r="30678">
      <c r="A30678" s="4" t="s">
        <v>38632</v>
      </c>
      <c r="B30678" s="4" t="s">
        <v>38633</v>
      </c>
      <c r="C30678" s="5" t="str">
        <f>IFERROR(__xludf.DUMMYFUNCTION("GOOGLETRANSLATE(B30678,""en"",""fr"")"),"Une femme sort sur l'herbe.")</f>
        <v>Une femme sort sur l'herbe.</v>
      </c>
    </row>
    <row r="30679">
      <c r="A30679" s="4" t="s">
        <v>38632</v>
      </c>
      <c r="B30679" s="4" t="s">
        <v>38634</v>
      </c>
      <c r="C30679" s="5" t="str">
        <f>IFERROR(__xludf.DUMMYFUNCTION("GOOGLETRANSLATE(B30679,""en"",""fr"")"),"Deux petits chiens la suivent en laisse.")</f>
        <v>Deux petits chiens la suivent en laisse.</v>
      </c>
    </row>
    <row r="30680">
      <c r="A30680" s="4" t="s">
        <v>38632</v>
      </c>
      <c r="B30680" s="4" t="s">
        <v>38635</v>
      </c>
      <c r="C30680" s="5" t="str">
        <f>IFERROR(__xludf.DUMMYFUNCTION("GOOGLETRANSLATE(B30680,""en"",""fr"")"),"Elle se penche et les chiens s'approchent d'elle.")</f>
        <v>Elle se penche et les chiens s'approchent d'elle.</v>
      </c>
    </row>
    <row r="30681">
      <c r="A30681" s="4" t="s">
        <v>38636</v>
      </c>
      <c r="B30681" s="4" t="s">
        <v>38637</v>
      </c>
      <c r="C30681" s="5" t="str">
        <f>IFERROR(__xludf.DUMMYFUNCTION("GOOGLETRANSLATE(B30681,""en"",""fr"")"),"Un jeune enfant est vu debout avant un match de Scotch Hop.")</f>
        <v>Un jeune enfant est vu debout avant un match de Scotch Hop.</v>
      </c>
    </row>
    <row r="30682">
      <c r="A30682" s="4" t="s">
        <v>38636</v>
      </c>
      <c r="B30682" s="4" t="s">
        <v>38638</v>
      </c>
      <c r="C30682" s="5" t="str">
        <f>IFERROR(__xludf.DUMMYFUNCTION("GOOGLETRANSLATE(B30682,""en"",""fr"")"),"La fille commence alors à sauter sur la craie.")</f>
        <v>La fille commence alors à sauter sur la craie.</v>
      </c>
    </row>
    <row r="30683">
      <c r="A30683" s="4" t="s">
        <v>38636</v>
      </c>
      <c r="B30683" s="4" t="s">
        <v>38639</v>
      </c>
      <c r="C30683" s="5" t="str">
        <f>IFERROR(__xludf.DUMMYFUNCTION("GOOGLETRANSLATE(B30683,""en"",""fr"")"),"La fille saute jusqu'à la fin et revient à l'écran.")</f>
        <v>La fille saute jusqu'à la fin et revient à l'écran.</v>
      </c>
    </row>
    <row r="30684">
      <c r="A30684" s="4" t="s">
        <v>38640</v>
      </c>
      <c r="B30684" s="4" t="s">
        <v>38641</v>
      </c>
      <c r="C30684" s="5" t="str">
        <f>IFERROR(__xludf.DUMMYFUNCTION("GOOGLETRANSLATE(B30684,""en"",""fr"")"),"Un groupe d'hommes est en kayak qui descendait la rive du fleuve.")</f>
        <v>Un groupe d'hommes est en kayak qui descendait la rive du fleuve.</v>
      </c>
    </row>
    <row r="30685">
      <c r="A30685" s="4" t="s">
        <v>38640</v>
      </c>
      <c r="B30685" s="4" t="s">
        <v>38642</v>
      </c>
      <c r="C30685" s="5" t="str">
        <f>IFERROR(__xludf.DUMMYFUNCTION("GOOGLETRANSLATE(B30685,""en"",""fr"")"),"Les pagayez et regardent les arbres au loin en profitant de leur journée.")</f>
        <v>Les pagayez et regardent les arbres au loin en profitant de leur journée.</v>
      </c>
    </row>
    <row r="30686">
      <c r="A30686" s="4" t="s">
        <v>38640</v>
      </c>
      <c r="B30686" s="6" t="s">
        <v>38643</v>
      </c>
      <c r="C30686" s="5" t="str">
        <f>IFERROR(__xludf.DUMMYFUNCTION("GOOGLETRANSLATE(B30686,""en"",""fr"")"),"L'un des hommes sort du bateau pour aller nager dans l'eau, ils entrent tous et commencent à éclabousser l'eau, en nageant et en profitant de la journée avant de rentrer pour revenir en arrière.")</f>
        <v>L'un des hommes sort du bateau pour aller nager dans l'eau, ils entrent tous et commencent à éclabousser l'eau, en nageant et en profitant de la journée avant de rentrer pour revenir en arrière.</v>
      </c>
    </row>
    <row r="30687">
      <c r="A30687" s="4" t="s">
        <v>38640</v>
      </c>
      <c r="B30687" s="4" t="s">
        <v>38644</v>
      </c>
      <c r="C30687" s="5" t="str">
        <f>IFERROR(__xludf.DUMMYFUNCTION("GOOGLETRANSLATE(B30687,""en"",""fr"")"),"Une fois qu'ils commencent à retourner sur terre et à se préparer à monter sur le quai.")</f>
        <v>Une fois qu'ils commencent à retourner sur terre et à se préparer à monter sur le quai.</v>
      </c>
    </row>
    <row r="30688">
      <c r="A30688" s="4" t="s">
        <v>38645</v>
      </c>
      <c r="B30688" s="4" t="s">
        <v>38646</v>
      </c>
      <c r="C30688" s="5" t="str">
        <f>IFERROR(__xludf.DUMMYFUNCTION("GOOGLETRANSLATE(B30688,""en"",""fr"")"),"Les gens raftent dans des radeaux sur une rivière agitée.")</f>
        <v>Les gens raftent dans des radeaux sur une rivière agitée.</v>
      </c>
    </row>
    <row r="30689">
      <c r="A30689" s="4" t="s">
        <v>38645</v>
      </c>
      <c r="B30689" s="4" t="s">
        <v>38647</v>
      </c>
      <c r="C30689" s="5" t="str">
        <f>IFERROR(__xludf.DUMMYFUNCTION("GOOGLETRANSLATE(B30689,""en"",""fr"")"),"Les gens sautent d'un rocher dans l'eau.")</f>
        <v>Les gens sautent d'un rocher dans l'eau.</v>
      </c>
    </row>
    <row r="30690">
      <c r="A30690" s="4" t="s">
        <v>38645</v>
      </c>
      <c r="B30690" s="4" t="s">
        <v>38648</v>
      </c>
      <c r="C30690" s="5" t="str">
        <f>IFERROR(__xludf.DUMMYFUNCTION("GOOGLETRANSLATE(B30690,""en"",""fr"")"),"Les gens font des flips sur le devant du radeau.")</f>
        <v>Les gens font des flips sur le devant du radeau.</v>
      </c>
    </row>
    <row r="30691">
      <c r="A30691" s="4" t="s">
        <v>38645</v>
      </c>
      <c r="B30691" s="4" t="s">
        <v>38649</v>
      </c>
      <c r="C30691" s="5" t="str">
        <f>IFERROR(__xludf.DUMMYFUNCTION("GOOGLETRANSLATE(B30691,""en"",""fr"")"),"Les gens sont assis sur un bateau tirant les radeaux.")</f>
        <v>Les gens sont assis sur un bateau tirant les radeaux.</v>
      </c>
    </row>
    <row r="30692">
      <c r="A30692" s="4" t="s">
        <v>38650</v>
      </c>
      <c r="B30692" s="4" t="s">
        <v>38651</v>
      </c>
      <c r="C30692" s="5" t="str">
        <f>IFERROR(__xludf.DUMMYFUNCTION("GOOGLETRANSLATE(B30692,""en"",""fr"")"),"Un athlète marche devant une foule se frottant les mains en poudre et saisissant un ensemble de poids.")</f>
        <v>Un athlète marche devant une foule se frottant les mains en poudre et saisissant un ensemble de poids.</v>
      </c>
    </row>
    <row r="30693">
      <c r="A30693" s="4" t="s">
        <v>38650</v>
      </c>
      <c r="B30693" s="6" t="s">
        <v>38652</v>
      </c>
      <c r="C30693" s="5" t="str">
        <f>IFERROR(__xludf.DUMMYFUNCTION("GOOGLETRANSLATE(B30693,""en"",""fr"")"),"Il soulève les poids au-dessus de sa tête et le jette après, levant les mains avec son entraîneur.")</f>
        <v>Il soulève les poids au-dessus de sa tête et le jette après, levant les mains avec son entraîneur.</v>
      </c>
    </row>
    <row r="30694">
      <c r="A30694" s="4" t="s">
        <v>38653</v>
      </c>
      <c r="B30694" s="4" t="s">
        <v>38654</v>
      </c>
      <c r="C30694" s="5" t="str">
        <f>IFERROR(__xludf.DUMMYFUNCTION("GOOGLETRANSLATE(B30694,""en"",""fr"")"),"Une pinata à licorne se balance dans le vent à partir d'une ligne.")</f>
        <v>Une pinata à licorne se balance dans le vent à partir d'une ligne.</v>
      </c>
    </row>
    <row r="30695">
      <c r="A30695" s="4" t="s">
        <v>38653</v>
      </c>
      <c r="B30695" s="4" t="s">
        <v>38655</v>
      </c>
      <c r="C30695" s="5" t="str">
        <f>IFERROR(__xludf.DUMMYFUNCTION("GOOGLETRANSLATE(B30695,""en"",""fr"")"),"Une femme se balance sauvagement avec une batte, car elle a les yeux bandés.")</f>
        <v>Une femme se balance sauvagement avec une batte, car elle a les yeux bandés.</v>
      </c>
    </row>
    <row r="30696">
      <c r="A30696" s="4" t="s">
        <v>38656</v>
      </c>
      <c r="B30696" s="4" t="s">
        <v>38657</v>
      </c>
      <c r="C30696" s="5" t="str">
        <f>IFERROR(__xludf.DUMMYFUNCTION("GOOGLETRANSLATE(B30696,""en"",""fr"")"),"Un homme est vu héberger un segment d'actualités et parler à la caméra.")</f>
        <v>Un homme est vu héberger un segment d'actualités et parler à la caméra.</v>
      </c>
    </row>
    <row r="30697">
      <c r="A30697" s="4" t="s">
        <v>38656</v>
      </c>
      <c r="B30697" s="4" t="s">
        <v>38658</v>
      </c>
      <c r="C30697" s="5" t="str">
        <f>IFERROR(__xludf.DUMMYFUNCTION("GOOGLETRANSLATE(B30697,""en"",""fr"")"),"L'homme est alors vu aider un autre plâtre fixé.")</f>
        <v>L'homme est alors vu aider un autre plâtre fixé.</v>
      </c>
    </row>
    <row r="30698">
      <c r="A30698" s="4" t="s">
        <v>38656</v>
      </c>
      <c r="B30698" s="4" t="s">
        <v>38659</v>
      </c>
      <c r="C30698" s="5" t="str">
        <f>IFERROR(__xludf.DUMMYFUNCTION("GOOGLETRANSLATE(B30698,""en"",""fr"")"),"L'hôte continue d'aider les hommes à déchirer le sol et à le poser et à parler à la caméra.")</f>
        <v>L'hôte continue d'aider les hommes à déchirer le sol et à le poser et à parler à la caméra.</v>
      </c>
    </row>
    <row r="30699">
      <c r="A30699" s="4" t="s">
        <v>38660</v>
      </c>
      <c r="B30699" s="4" t="s">
        <v>38661</v>
      </c>
      <c r="C30699" s="5" t="str">
        <f>IFERROR(__xludf.DUMMYFUNCTION("GOOGLETRANSLATE(B30699,""en"",""fr"")"),"Nous voyons un garçon utiliser des sauts dans une rue résidentielle.")</f>
        <v>Nous voyons un garçon utiliser des sauts dans une rue résidentielle.</v>
      </c>
    </row>
    <row r="30700">
      <c r="A30700" s="4" t="s">
        <v>38660</v>
      </c>
      <c r="B30700" s="4" t="s">
        <v>38662</v>
      </c>
      <c r="C30700" s="5" t="str">
        <f>IFERROR(__xludf.DUMMYFUNCTION("GOOGLETRANSLATE(B30700,""en"",""fr"")"),"L'homme arrête de sauter la première fois.")</f>
        <v>L'homme arrête de sauter la première fois.</v>
      </c>
    </row>
    <row r="30701">
      <c r="A30701" s="4" t="s">
        <v>38660</v>
      </c>
      <c r="B30701" s="4" t="s">
        <v>38663</v>
      </c>
      <c r="C30701" s="5" t="str">
        <f>IFERROR(__xludf.DUMMYFUNCTION("GOOGLETRANSLATE(B30701,""en"",""fr"")"),"Nous voyons une personne venir dehors puis entrer à l'intérieur.")</f>
        <v>Nous voyons une personne venir dehors puis entrer à l'intérieur.</v>
      </c>
    </row>
    <row r="30702">
      <c r="A30702" s="4" t="s">
        <v>38660</v>
      </c>
      <c r="B30702" s="4" t="s">
        <v>38664</v>
      </c>
      <c r="C30702" s="5" t="str">
        <f>IFERROR(__xludf.DUMMYFUNCTION("GOOGLETRANSLATE(B30702,""en"",""fr"")"),"L'homme sauté fait face et se dirige vers la caméra.")</f>
        <v>L'homme sauté fait face et se dirige vers la caméra.</v>
      </c>
    </row>
    <row r="30703">
      <c r="A30703" s="4" t="s">
        <v>38665</v>
      </c>
      <c r="B30703" s="4" t="s">
        <v>38666</v>
      </c>
      <c r="C30703" s="5" t="str">
        <f>IFERROR(__xludf.DUMMYFUNCTION("GOOGLETRANSLATE(B30703,""en"",""fr"")"),"Nous voyons l'écran de titre sur White, une dame est assise sur une chaise parler.")</f>
        <v>Nous voyons l'écran de titre sur White, une dame est assise sur une chaise parler.</v>
      </c>
    </row>
    <row r="30704">
      <c r="A30704" s="4" t="s">
        <v>38665</v>
      </c>
      <c r="B30704" s="4" t="s">
        <v>38667</v>
      </c>
      <c r="C30704" s="5" t="str">
        <f>IFERROR(__xludf.DUMMYFUNCTION("GOOGLETRANSLATE(B30704,""en"",""fr"")"),"La dame commence à peindre sur sa main.")</f>
        <v>La dame commence à peindre sur sa main.</v>
      </c>
    </row>
    <row r="30705">
      <c r="A30705" s="4" t="s">
        <v>38665</v>
      </c>
      <c r="B30705" s="4" t="s">
        <v>38668</v>
      </c>
      <c r="C30705" s="5" t="str">
        <f>IFERROR(__xludf.DUMMYFUNCTION("GOOGLETRANSLATE(B30705,""en"",""fr"")"),"Nous voyons les crédits de clôture sur un écran blanc.")</f>
        <v>Nous voyons les crédits de clôture sur un écran blanc.</v>
      </c>
    </row>
    <row r="30706">
      <c r="A30706" s="4" t="s">
        <v>38669</v>
      </c>
      <c r="B30706" s="4" t="s">
        <v>38670</v>
      </c>
      <c r="C30706" s="5" t="str">
        <f>IFERROR(__xludf.DUMMYFUNCTION("GOOGLETRANSLATE(B30706,""en"",""fr"")"),"Un jeune homme est vu pousser une rondelle dans une table vers un autre homme debout de l'autre côté.")</f>
        <v>Un jeune homme est vu pousser une rondelle dans une table vers un autre homme debout de l'autre côté.</v>
      </c>
    </row>
    <row r="30707">
      <c r="A30707" s="4" t="s">
        <v>38669</v>
      </c>
      <c r="B30707" s="4" t="s">
        <v>38671</v>
      </c>
      <c r="C30707" s="5" t="str">
        <f>IFERROR(__xludf.DUMMYFUNCTION("GOOGLETRANSLATE(B30707,""en"",""fr"")"),"L'autre homme pousse ensuite une rondelle et les garçons continuent de jouer au jeu et quatrième.")</f>
        <v>L'autre homme pousse ensuite une rondelle et les garçons continuent de jouer au jeu et quatrième.</v>
      </c>
    </row>
    <row r="30708">
      <c r="A30708" s="4" t="s">
        <v>38669</v>
      </c>
      <c r="B30708" s="4" t="s">
        <v>38672</v>
      </c>
      <c r="C30708" s="5" t="str">
        <f>IFERROR(__xludf.DUMMYFUNCTION("GOOGLETRANSLATE(B30708,""en"",""fr"")"),"La caméra zoome sur les hommes à la fin ainsi que sur d'autres personnes debout dans la pièce.")</f>
        <v>La caméra zoome sur les hommes à la fin ainsi que sur d'autres personnes debout dans la pièce.</v>
      </c>
    </row>
    <row r="30709">
      <c r="A30709" s="4" t="s">
        <v>38673</v>
      </c>
      <c r="B30709" s="4" t="s">
        <v>38674</v>
      </c>
      <c r="C30709" s="5" t="str">
        <f>IFERROR(__xludf.DUMMYFUNCTION("GOOGLETRANSLATE(B30709,""en"",""fr"")"),"Les gens jouent à un jeu de crosse sur un terrain.")</f>
        <v>Les gens jouent à un jeu de crosse sur un terrain.</v>
      </c>
    </row>
    <row r="30710">
      <c r="A30710" s="4" t="s">
        <v>38673</v>
      </c>
      <c r="B30710" s="4" t="s">
        <v>38675</v>
      </c>
      <c r="C30710" s="5" t="str">
        <f>IFERROR(__xludf.DUMMYFUNCTION("GOOGLETRANSLATE(B30710,""en"",""fr"")"),"Les équipes s'alignent et se serrent la main.")</f>
        <v>Les équipes s'alignent et se serrent la main.</v>
      </c>
    </row>
    <row r="30711">
      <c r="A30711" s="4" t="s">
        <v>38673</v>
      </c>
      <c r="B30711" s="4" t="s">
        <v>38676</v>
      </c>
      <c r="C30711" s="5" t="str">
        <f>IFERROR(__xludf.DUMMYFUNCTION("GOOGLETRANSLATE(B30711,""en"",""fr"")"),"Une femme en manteau bleu parle à la caméra.")</f>
        <v>Une femme en manteau bleu parle à la caméra.</v>
      </c>
    </row>
    <row r="30712">
      <c r="A30712" s="4" t="s">
        <v>38673</v>
      </c>
      <c r="B30712" s="4" t="s">
        <v>38677</v>
      </c>
      <c r="C30712" s="5" t="str">
        <f>IFERROR(__xludf.DUMMYFUNCTION("GOOGLETRANSLATE(B30712,""en"",""fr"")"),"Un homme en costume bronzé parle dans un microphone.")</f>
        <v>Un homme en costume bronzé parle dans un microphone.</v>
      </c>
    </row>
    <row r="30713">
      <c r="A30713" s="4" t="s">
        <v>38678</v>
      </c>
      <c r="B30713" s="4" t="s">
        <v>38679</v>
      </c>
      <c r="C30713" s="5" t="str">
        <f>IFERROR(__xludf.DUMMYFUNCTION("GOOGLETRANSLATE(B30713,""en"",""fr"")"),"Une fanfare joue dans un défilé pendant que les gens regardent se tenir debout sur le trottoir.")</f>
        <v>Une fanfare joue dans un défilé pendant que les gens regardent se tenir debout sur le trottoir.</v>
      </c>
    </row>
    <row r="30714">
      <c r="A30714" s="4" t="s">
        <v>38678</v>
      </c>
      <c r="B30714" s="4" t="s">
        <v>38680</v>
      </c>
      <c r="C30714" s="5" t="str">
        <f>IFERROR(__xludf.DUMMYFUNCTION("GOOGLETRANSLATE(B30714,""en"",""fr"")"),"La fanfare passe devant un carnaval et un champ vert.")</f>
        <v>La fanfare passe devant un carnaval et un champ vert.</v>
      </c>
    </row>
    <row r="30715">
      <c r="A30715" s="4" t="s">
        <v>38678</v>
      </c>
      <c r="B30715" s="4" t="s">
        <v>38681</v>
      </c>
      <c r="C30715" s="5" t="str">
        <f>IFERROR(__xludf.DUMMYFUNCTION("GOOGLETRANSLATE(B30715,""en"",""fr"")"),"Ensuite, la fanfare arrive dans une ville.")</f>
        <v>Ensuite, la fanfare arrive dans une ville.</v>
      </c>
    </row>
    <row r="30716">
      <c r="A30716" s="4" t="s">
        <v>38678</v>
      </c>
      <c r="B30716" s="4" t="s">
        <v>38682</v>
      </c>
      <c r="C30716" s="5" t="str">
        <f>IFERROR(__xludf.DUMMYFUNCTION("GOOGLETRANSLATE(B30716,""en"",""fr"")"),"Un vieil homme tenant un trophée marche sur la fanfare.")</f>
        <v>Un vieil homme tenant un trophée marche sur la fanfare.</v>
      </c>
    </row>
    <row r="30717">
      <c r="A30717" s="4" t="s">
        <v>38678</v>
      </c>
      <c r="B30717" s="4" t="s">
        <v>38683</v>
      </c>
      <c r="C30717" s="5" t="str">
        <f>IFERROR(__xludf.DUMMYFUNCTION("GOOGLETRANSLATE(B30717,""en"",""fr"")"),"Après, la fanfare arrive à une gare routière.")</f>
        <v>Après, la fanfare arrive à une gare routière.</v>
      </c>
    </row>
    <row r="30718">
      <c r="A30718" s="4" t="s">
        <v>38678</v>
      </c>
      <c r="B30718" s="4" t="s">
        <v>38684</v>
      </c>
      <c r="C30718" s="5" t="str">
        <f>IFERROR(__xludf.DUMMYFUNCTION("GOOGLETRANSLATE(B30718,""en"",""fr"")"),"Une dame de Bond applaudie, étreigne les gens et les discussions.")</f>
        <v>Une dame de Bond applaudie, étreigne les gens et les discussions.</v>
      </c>
    </row>
    <row r="30719">
      <c r="A30719" s="4" t="s">
        <v>38685</v>
      </c>
      <c r="B30719" s="4" t="s">
        <v>38686</v>
      </c>
      <c r="C30719" s="5" t="str">
        <f>IFERROR(__xludf.DUMMYFUNCTION("GOOGLETRANSLATE(B30719,""en"",""fr"")"),"Une intro est montrée avec une boisson versée dans un verre et une légende sur le mélange de boissons.")</f>
        <v>Une intro est montrée avec une boisson versée dans un verre et une légende sur le mélange de boissons.</v>
      </c>
    </row>
    <row r="30720">
      <c r="A30720" s="4" t="s">
        <v>38685</v>
      </c>
      <c r="B30720" s="4" t="s">
        <v>38687</v>
      </c>
      <c r="C30720" s="5" t="str">
        <f>IFERROR(__xludf.DUMMYFUNCTION("GOOGLETRANSLATE(B30720,""en"",""fr"")"),"Une fille commence à faire un verre appelé Mai Tai.")</f>
        <v>Une fille commence à faire un verre appelé Mai Tai.</v>
      </c>
    </row>
    <row r="30721">
      <c r="A30721" s="4" t="s">
        <v>38685</v>
      </c>
      <c r="B30721" s="4" t="s">
        <v>38688</v>
      </c>
      <c r="C30721" s="5" t="str">
        <f>IFERROR(__xludf.DUMMYFUNCTION("GOOGLETRANSLATE(B30721,""en"",""fr"")"),"Elle élimine toutes les choses dont elle aura besoin pour faire la boisson.")</f>
        <v>Elle élimine toutes les choses dont elle aura besoin pour faire la boisson.</v>
      </c>
    </row>
    <row r="30722">
      <c r="A30722" s="4" t="s">
        <v>38685</v>
      </c>
      <c r="B30722" s="4" t="s">
        <v>38689</v>
      </c>
      <c r="C30722" s="5" t="str">
        <f>IFERROR(__xludf.DUMMYFUNCTION("GOOGLETRANSLATE(B30722,""en"",""fr"")"),"Elle prend de la glace dans un verre et dans le shaker.")</f>
        <v>Elle prend de la glace dans un verre et dans le shaker.</v>
      </c>
    </row>
    <row r="30723">
      <c r="A30723" s="4" t="s">
        <v>38685</v>
      </c>
      <c r="B30723" s="4" t="s">
        <v>38690</v>
      </c>
      <c r="C30723" s="5" t="str">
        <f>IFERROR(__xludf.DUMMYFUNCTION("GOOGLETRANSLATE(B30723,""en"",""fr"")"),"Elle ajoute le rhum, le triple sec, le sirop, le mélange aigre et met le couvercle sur le shaker.")</f>
        <v>Elle ajoute le rhum, le triple sec, le sirop, le mélange aigre et met le couvercle sur le shaker.</v>
      </c>
    </row>
    <row r="30724">
      <c r="A30724" s="4" t="s">
        <v>38685</v>
      </c>
      <c r="B30724" s="4" t="s">
        <v>38691</v>
      </c>
      <c r="C30724" s="5" t="str">
        <f>IFERROR(__xludf.DUMMYFUNCTION("GOOGLETRANSLATE(B30724,""en"",""fr"")"),"Elle secoue un peu le shaker jusqu'à ce qu'il fasse froid et verse la boisson dans le verre sur la glace.")</f>
        <v>Elle secoue un peu le shaker jusqu'à ce qu'il fasse froid et verse la boisson dans le verre sur la glace.</v>
      </c>
    </row>
    <row r="30725">
      <c r="A30725" s="4" t="s">
        <v>38685</v>
      </c>
      <c r="B30725" s="4" t="s">
        <v>38692</v>
      </c>
      <c r="C30725" s="5" t="str">
        <f>IFERROR(__xludf.DUMMYFUNCTION("GOOGLETRANSLATE(B30725,""en"",""fr"")"),"Elle couronne avec un peu de mélange aigre et de cerises, ainsi qu'une paille.")</f>
        <v>Elle couronne avec un peu de mélange aigre et de cerises, ainsi qu'une paille.</v>
      </c>
    </row>
    <row r="30726">
      <c r="A30726" s="4" t="s">
        <v>38685</v>
      </c>
      <c r="B30726" s="4" t="s">
        <v>38693</v>
      </c>
      <c r="C30726" s="5" t="str">
        <f>IFERROR(__xludf.DUMMYFUNCTION("GOOGLETRANSLATE(B30726,""en"",""fr"")"),"La vidéo se termine par la légende de clôture.")</f>
        <v>La vidéo se termine par la légende de clôture.</v>
      </c>
    </row>
    <row r="30727">
      <c r="A30727" s="4" t="s">
        <v>38694</v>
      </c>
      <c r="B30727" s="4" t="s">
        <v>38695</v>
      </c>
      <c r="C30727" s="5" t="str">
        <f>IFERROR(__xludf.DUMMYFUNCTION("GOOGLETRANSLATE(B30727,""en"",""fr"")"),"Un grand groupe de personnes se trouve dans une région qui marche, parle et traîne.")</f>
        <v>Un grand groupe de personnes se trouve dans une région qui marche, parle et traîne.</v>
      </c>
    </row>
    <row r="30728">
      <c r="A30728" s="4" t="s">
        <v>38694</v>
      </c>
      <c r="B30728" s="6" t="s">
        <v>38696</v>
      </c>
      <c r="C30728" s="5" t="str">
        <f>IFERROR(__xludf.DUMMYFUNCTION("GOOGLETRANSLATE(B30728,""en"",""fr"")"),"Deux hommes avec un arbitre au milieu apparaissent sur une scène et ils sont dans un match de lutte à bras intense.")</f>
        <v>Deux hommes avec un arbitre au milieu apparaissent sur une scène et ils sont dans un match de lutte à bras intense.</v>
      </c>
    </row>
    <row r="30729">
      <c r="A30729" s="4" t="s">
        <v>38694</v>
      </c>
      <c r="B30729" s="4" t="s">
        <v>38697</v>
      </c>
      <c r="C30729" s="5" t="str">
        <f>IFERROR(__xludf.DUMMYFUNCTION("GOOGLETRANSLATE(B30729,""en"",""fr"")"),"L'homme sans chapeau remporte le match et est brièvement interviewé là où il sourit et parle.")</f>
        <v>L'homme sans chapeau remporte le match et est brièvement interviewé là où il sourit et parle.</v>
      </c>
    </row>
    <row r="30730">
      <c r="A30730" s="4" t="s">
        <v>38694</v>
      </c>
      <c r="B30730" s="6" t="s">
        <v>38698</v>
      </c>
      <c r="C30730" s="5" t="str">
        <f>IFERROR(__xludf.DUMMYFUNCTION("GOOGLETRANSLATE(B30730,""en"",""fr"")"),"Un autre match entre deux hommes recommence et un à nouveau le même homme qui a remporté le premier match des victoires.")</f>
        <v>Un autre match entre deux hommes recommence et un à nouveau le même homme qui a remporté le premier match des victoires.</v>
      </c>
    </row>
    <row r="30731">
      <c r="A30731" s="4" t="s">
        <v>38694</v>
      </c>
      <c r="B30731" s="6" t="s">
        <v>38699</v>
      </c>
      <c r="C30731" s="5" t="str">
        <f>IFERROR(__xludf.DUMMYFUNCTION("GOOGLETRANSLATE(B30731,""en"",""fr"")"),"Il tient son bras droit en fléchissant en souriant et son nom Allen Fisher apparaît sur l'écran et un écran noir avec les mots 25 fois champion du monde termine la vidéo.")</f>
        <v>Il tient son bras droit en fléchissant en souriant et son nom Allen Fisher apparaît sur l'écran et un écran noir avec les mots 25 fois champion du monde termine la vidéo.</v>
      </c>
    </row>
    <row r="30732">
      <c r="A30732" s="4" t="s">
        <v>38700</v>
      </c>
      <c r="B30732" s="4" t="s">
        <v>38701</v>
      </c>
      <c r="C30732" s="5" t="str">
        <f>IFERROR(__xludf.DUMMYFUNCTION("GOOGLETRANSLATE(B30732,""en"",""fr"")"),"Les hommes se tiennent dans un grand champ vert jouant à la crosse.")</f>
        <v>Les hommes se tiennent dans un grand champ vert jouant à la crosse.</v>
      </c>
    </row>
    <row r="30733">
      <c r="A30733" s="4" t="s">
        <v>38700</v>
      </c>
      <c r="B30733" s="4" t="s">
        <v>38702</v>
      </c>
      <c r="C30733" s="5" t="str">
        <f>IFERROR(__xludf.DUMMYFUNCTION("GOOGLETRANSLATE(B30733,""en"",""fr"")"),"Les gens sont sur le terrain en regardant le match.")</f>
        <v>Les gens sont sur le terrain en regardant le match.</v>
      </c>
    </row>
    <row r="30734">
      <c r="A30734" s="4" t="s">
        <v>38700</v>
      </c>
      <c r="B30734" s="4" t="s">
        <v>38703</v>
      </c>
      <c r="C30734" s="5" t="str">
        <f>IFERROR(__xludf.DUMMYFUNCTION("GOOGLETRANSLATE(B30734,""en"",""fr"")"),"Les hommes courent d'un côté à l'autre de l'IELD jouant à la crosse en essayant de marquer.")</f>
        <v>Les hommes courent d'un côté à l'autre de l'IELD jouant à la crosse en essayant de marquer.</v>
      </c>
    </row>
    <row r="30735">
      <c r="A30735" s="4" t="s">
        <v>38704</v>
      </c>
      <c r="B30735" s="4" t="s">
        <v>38705</v>
      </c>
      <c r="C30735" s="5" t="str">
        <f>IFERROR(__xludf.DUMMYFUNCTION("GOOGLETRANSLATE(B30735,""en"",""fr"")"),"Une main tient une pomme de douche près d'un chien.")</f>
        <v>Une main tient une pomme de douche près d'un chien.</v>
      </c>
    </row>
    <row r="30736">
      <c r="A30736" s="4" t="s">
        <v>38704</v>
      </c>
      <c r="B30736" s="4" t="s">
        <v>38706</v>
      </c>
      <c r="C30736" s="5" t="str">
        <f>IFERROR(__xludf.DUMMYFUNCTION("GOOGLETRANSLATE(B30736,""en"",""fr"")"),"Le chien se déplace autour de la baignoire alors qu'il essaie de mordre l'eau éclaboussée sur lui.")</f>
        <v>Le chien se déplace autour de la baignoire alors qu'il essaie de mordre l'eau éclaboussée sur lui.</v>
      </c>
    </row>
    <row r="30737">
      <c r="A30737" s="4" t="s">
        <v>38707</v>
      </c>
      <c r="B30737" s="4" t="s">
        <v>38708</v>
      </c>
      <c r="C30737" s="5" t="str">
        <f>IFERROR(__xludf.DUMMYFUNCTION("GOOGLETRANSLATE(B30737,""en"",""fr"")"),"Une caméra se déroule autour d'un escalier et mène aux personnes qui travaillent dans une classe.")</f>
        <v>Une caméra se déroule autour d'un escalier et mène aux personnes qui travaillent dans une classe.</v>
      </c>
    </row>
    <row r="30738">
      <c r="A30738" s="4" t="s">
        <v>38707</v>
      </c>
      <c r="B30738" s="4" t="s">
        <v>38709</v>
      </c>
      <c r="C30738" s="5" t="str">
        <f>IFERROR(__xludf.DUMMYFUNCTION("GOOGLETRANSLATE(B30738,""en"",""fr"")"),"Plusieurs plans sont montrés des personnes qui travaillent ensemble pendant qu'un homme parle à la caméra.")</f>
        <v>Plusieurs plans sont montrés des personnes qui travaillent ensemble pendant qu'un homme parle à la caméra.</v>
      </c>
    </row>
    <row r="30739">
      <c r="A30739" s="4" t="s">
        <v>38707</v>
      </c>
      <c r="B30739" s="4" t="s">
        <v>38710</v>
      </c>
      <c r="C30739" s="5" t="str">
        <f>IFERROR(__xludf.DUMMYFUNCTION("GOOGLETRANSLATE(B30739,""en"",""fr"")"),"L'homme continue de parler tandis que plus de gens sont montrés en train de travailler ensemble.")</f>
        <v>L'homme continue de parler tandis que plus de gens sont montrés en train de travailler ensemble.</v>
      </c>
    </row>
    <row r="30740">
      <c r="A30740" s="4" t="s">
        <v>38711</v>
      </c>
      <c r="B30740" s="4" t="s">
        <v>38712</v>
      </c>
      <c r="C30740" s="5" t="str">
        <f>IFERROR(__xludf.DUMMYFUNCTION("GOOGLETRANSLATE(B30740,""en"",""fr"")"),"Une femme soulève du papier peint alors qu'elle essaie de le lisser sans bulles avec un outil.")</f>
        <v>Une femme soulève du papier peint alors qu'elle essaie de le lisser sans bulles avec un outil.</v>
      </c>
    </row>
    <row r="30741">
      <c r="A30741" s="4" t="s">
        <v>38711</v>
      </c>
      <c r="B30741" s="4" t="s">
        <v>38713</v>
      </c>
      <c r="C30741" s="5" t="str">
        <f>IFERROR(__xludf.DUMMYFUNCTION("GOOGLETRANSLATE(B30741,""en"",""fr"")"),"Elle applique l'outil en douceur, en s'assurant de répéter et de corriger les erreurs au fur et à mesure.")</f>
        <v>Elle applique l'outil en douceur, en s'assurant de répéter et de corriger les erreurs au fur et à mesure.</v>
      </c>
    </row>
    <row r="30742">
      <c r="A30742" s="4" t="s">
        <v>38714</v>
      </c>
      <c r="B30742" s="4" t="s">
        <v>38715</v>
      </c>
      <c r="C30742" s="5" t="str">
        <f>IFERROR(__xludf.DUMMYFUNCTION("GOOGLETRANSLATE(B30742,""en"",""fr"")"),"Un petit groupe de personnes est vu debout autour d'un champ qui mène à un jeu de kickball.")</f>
        <v>Un petit groupe de personnes est vu debout autour d'un champ qui mène à un jeu de kickball.</v>
      </c>
    </row>
    <row r="30743">
      <c r="A30743" s="4" t="s">
        <v>38714</v>
      </c>
      <c r="B30743" s="4" t="s">
        <v>38716</v>
      </c>
      <c r="C30743" s="5" t="str">
        <f>IFERROR(__xludf.DUMMYFUNCTION("GOOGLETRANSLATE(B30743,""en"",""fr"")"),"Les gens se lancent dans le ballon et applaudissent les uns avec les autres alors qu'ils marquent des points de leur côté.")</f>
        <v>Les gens se lancent dans le ballon et applaudissent les uns avec les autres alors qu'ils marquent des points de leur côté.</v>
      </c>
    </row>
    <row r="30744">
      <c r="A30744" s="4" t="s">
        <v>38714</v>
      </c>
      <c r="B30744" s="4" t="s">
        <v>38717</v>
      </c>
      <c r="C30744" s="5" t="str">
        <f>IFERROR(__xludf.DUMMYFUNCTION("GOOGLETRANSLATE(B30744,""en"",""fr"")"),"Un autre membre de l'équipe marque un but et leurs coéquipiers sont en cours avec les bras.")</f>
        <v>Un autre membre de l'équipe marque un but et leurs coéquipiers sont en cours avec les bras.</v>
      </c>
    </row>
    <row r="30745">
      <c r="A30745" s="4" t="s">
        <v>38718</v>
      </c>
      <c r="B30745" s="6" t="s">
        <v>38719</v>
      </c>
      <c r="C30745" s="5" t="str">
        <f>IFERROR(__xludf.DUMMYFUNCTION("GOOGLETRANSLATE(B30745,""en"",""fr"")"),"Un homme athlétique portant un costume de piste et un bavoir 171 marche sur une piste et se réchauffe.")</f>
        <v>Un homme athlétique portant un costume de piste et un bavoir 171 marche sur une piste et se réchauffe.</v>
      </c>
    </row>
    <row r="30746">
      <c r="A30746" s="4" t="s">
        <v>38718</v>
      </c>
      <c r="B30746" s="6" t="s">
        <v>38720</v>
      </c>
      <c r="C30746" s="5" t="str">
        <f>IFERROR(__xludf.DUMMYFUNCTION("GOOGLETRANSLATE(B30746,""en"",""fr"")"),"L'homme attrape alors son collier, le met dans sa bouche et commence à applaudir au-dessus de sa tête et un nom ci-dessous apparaît et il dit qu'Irving Saladino.")</f>
        <v>L'homme attrape alors son collier, le met dans sa bouche et commence à applaudir au-dessus de sa tête et un nom ci-dessous apparaît et il dit qu'Irving Saladino.</v>
      </c>
    </row>
    <row r="30747">
      <c r="A30747" s="4" t="s">
        <v>38718</v>
      </c>
      <c r="B30747" s="6" t="s">
        <v>38721</v>
      </c>
      <c r="C30747" s="5" t="str">
        <f>IFERROR(__xludf.DUMMYFUNCTION("GOOGLETRANSLATE(B30747,""en"",""fr"")"),"L'homme laisse tomber le collier de sa bouche et commence immédiatement à courir et fait son saut, saute et saute.")</f>
        <v>L'homme laisse tomber le collier de sa bouche et commence immédiatement à courir et fait son saut, saute et saute.</v>
      </c>
    </row>
    <row r="30748">
      <c r="A30748" s="4" t="s">
        <v>38718</v>
      </c>
      <c r="B30748" s="6" t="s">
        <v>38722</v>
      </c>
      <c r="C30748" s="5" t="str">
        <f>IFERROR(__xludf.DUMMYFUNCTION("GOOGLETRANSLATE(B30748,""en"",""fr"")"),"Les rediffusions du jeu de course et de saut de l'homme et l'homme sont montrés se célébrant et avec d'autres sur le terrain.")</f>
        <v>Les rediffusions du jeu de course et de saut de l'homme et l'homme sont montrés se célébrant et avec d'autres sur le terrain.</v>
      </c>
    </row>
    <row r="30749">
      <c r="A30749" s="4" t="s">
        <v>38723</v>
      </c>
      <c r="B30749" s="4" t="s">
        <v>38724</v>
      </c>
      <c r="C30749" s="5" t="str">
        <f>IFERROR(__xludf.DUMMYFUNCTION("GOOGLETRANSLATE(B30749,""en"",""fr"")"),"Un homme est en ski nautique derrière un bateau tout en tenant une corde.")</f>
        <v>Un homme est en ski nautique derrière un bateau tout en tenant une corde.</v>
      </c>
    </row>
    <row r="30750">
      <c r="A30750" s="4" t="s">
        <v>38723</v>
      </c>
      <c r="B30750" s="4" t="s">
        <v>38725</v>
      </c>
      <c r="C30750" s="5" t="str">
        <f>IFERROR(__xludf.DUMMYFUNCTION("GOOGLETRANSLATE(B30750,""en"",""fr"")"),"Il essaie de s'accrocher alors qu'il se zippe sur le côté.")</f>
        <v>Il essaie de s'accrocher alors qu'il se zippe sur le côté.</v>
      </c>
    </row>
    <row r="30751">
      <c r="A30751" s="4" t="s">
        <v>38723</v>
      </c>
      <c r="B30751" s="4" t="s">
        <v>38726</v>
      </c>
      <c r="C30751" s="5" t="str">
        <f>IFERROR(__xludf.DUMMYFUNCTION("GOOGLETRANSLATE(B30751,""en"",""fr"")"),"Il glisse, se divise et tombe dans l'eau.")</f>
        <v>Il glisse, se divise et tombe dans l'eau.</v>
      </c>
    </row>
    <row r="30752">
      <c r="A30752" s="4" t="s">
        <v>38727</v>
      </c>
      <c r="B30752" s="6" t="s">
        <v>38728</v>
      </c>
      <c r="C30752" s="5" t="str">
        <f>IFERROR(__xludf.DUMMYFUNCTION("GOOGLETRANSLATE(B30752,""en"",""fr"")"),"Un petit groupe de personnes est vu debout ensemble sur une scène et les amenait en jouant les instruments et deux hommes à genoux devant.")</f>
        <v>Un petit groupe de personnes est vu debout ensemble sur une scène et les amenait en jouant les instruments et deux hommes à genoux devant.</v>
      </c>
    </row>
    <row r="30753">
      <c r="A30753" s="4" t="s">
        <v>38727</v>
      </c>
      <c r="B30753" s="6" t="s">
        <v>38729</v>
      </c>
      <c r="C30753" s="5" t="str">
        <f>IFERROR(__xludf.DUMMYFUNCTION("GOOGLETRANSLATE(B30753,""en"",""fr"")"),"Les hommes interprètent ensuite divers arts martiaux les uns les autres pendant que les gens se restent et regardent.")</f>
        <v>Les hommes interprètent ensuite divers arts martiaux les uns les autres pendant que les gens se restent et regardent.</v>
      </c>
    </row>
    <row r="30754">
      <c r="A30754" s="4" t="s">
        <v>38730</v>
      </c>
      <c r="B30754" s="4" t="s">
        <v>38731</v>
      </c>
      <c r="C30754" s="5" t="str">
        <f>IFERROR(__xludf.DUMMYFUNCTION("GOOGLETRANSLATE(B30754,""en"",""fr"")"),"Un homme monte une machine à aviron dans une salle de sport.")</f>
        <v>Un homme monte une machine à aviron dans une salle de sport.</v>
      </c>
    </row>
    <row r="30755">
      <c r="A30755" s="4" t="s">
        <v>38730</v>
      </c>
      <c r="B30755" s="4" t="s">
        <v>38732</v>
      </c>
      <c r="C30755" s="5" t="str">
        <f>IFERROR(__xludf.DUMMYFUNCTION("GOOGLETRANSLATE(B30755,""en"",""fr"")"),"Un doigt couvre brièvement une partie de l'objectif de la caméra.")</f>
        <v>Un doigt couvre brièvement une partie de l'objectif de la caméra.</v>
      </c>
    </row>
    <row r="30756">
      <c r="A30756" s="4" t="s">
        <v>38730</v>
      </c>
      <c r="B30756" s="4" t="s">
        <v>38733</v>
      </c>
      <c r="C30756" s="5" t="str">
        <f>IFERROR(__xludf.DUMMYFUNCTION("GOOGLETRANSLATE(B30756,""en"",""fr"")"),"L'homme continue de ramer alors que les gens passent dans le gymnase.")</f>
        <v>L'homme continue de ramer alors que les gens passent dans le gymnase.</v>
      </c>
    </row>
    <row r="30757">
      <c r="A30757" s="4" t="s">
        <v>38734</v>
      </c>
      <c r="B30757" s="4" t="s">
        <v>38735</v>
      </c>
      <c r="C30757" s="5" t="str">
        <f>IFERROR(__xludf.DUMMYFUNCTION("GOOGLETRANSLATE(B30757,""en"",""fr"")"),"Une personne déplace un pneu vers la porte.")</f>
        <v>Une personne déplace un pneu vers la porte.</v>
      </c>
    </row>
    <row r="30758">
      <c r="A30758" s="4" t="s">
        <v>38734</v>
      </c>
      <c r="B30758" s="4" t="s">
        <v>38736</v>
      </c>
      <c r="C30758" s="5" t="str">
        <f>IFERROR(__xludf.DUMMYFUNCTION("GOOGLETRANSLATE(B30758,""en"",""fr"")"),"Les portes se ferment dans leurs voies.")</f>
        <v>Les portes se ferment dans leurs voies.</v>
      </c>
    </row>
    <row r="30759">
      <c r="A30759" s="4" t="s">
        <v>38734</v>
      </c>
      <c r="B30759" s="4" t="s">
        <v>38737</v>
      </c>
      <c r="C30759" s="5" t="str">
        <f>IFERROR(__xludf.DUMMYFUNCTION("GOOGLETRANSLATE(B30759,""en"",""fr"")"),"Les gens sont assis sur des pneus derrière les portes.")</f>
        <v>Les gens sont assis sur des pneus derrière les portes.</v>
      </c>
    </row>
    <row r="30760">
      <c r="A30760" s="4" t="s">
        <v>38734</v>
      </c>
      <c r="B30760" s="4" t="s">
        <v>38738</v>
      </c>
      <c r="C30760" s="5" t="str">
        <f>IFERROR(__xludf.DUMMYFUNCTION("GOOGLETRANSLATE(B30760,""en"",""fr"")"),"Une personne bouge les pieds.")</f>
        <v>Une personne bouge les pieds.</v>
      </c>
    </row>
    <row r="30761">
      <c r="A30761" s="4" t="s">
        <v>38734</v>
      </c>
      <c r="B30761" s="4" t="s">
        <v>38739</v>
      </c>
      <c r="C30761" s="5" t="str">
        <f>IFERROR(__xludf.DUMMYFUNCTION("GOOGLETRANSLATE(B30761,""en"",""fr"")"),"Lorsque la porte est libérée, les gens glissent sur la glace sur les pneus.")</f>
        <v>Lorsque la porte est libérée, les gens glissent sur la glace sur les pneus.</v>
      </c>
    </row>
    <row r="30762">
      <c r="A30762" s="4" t="s">
        <v>38734</v>
      </c>
      <c r="B30762" s="4" t="s">
        <v>38740</v>
      </c>
      <c r="C30762" s="5" t="str">
        <f>IFERROR(__xludf.DUMMYFUNCTION("GOOGLETRANSLATE(B30762,""en"",""fr"")"),"Une personne célèbre et lève les mains.")</f>
        <v>Une personne célèbre et lève les mains.</v>
      </c>
    </row>
    <row r="30763">
      <c r="A30763" s="4" t="s">
        <v>38741</v>
      </c>
      <c r="B30763" s="4" t="s">
        <v>38742</v>
      </c>
      <c r="C30763" s="5" t="str">
        <f>IFERROR(__xludf.DUMMYFUNCTION("GOOGLETRANSLATE(B30763,""en"",""fr"")"),"Beaucoup de gens sont rassemblés sur la ligne d'arrivée d'un marathon, attendant que les coureurs entrent.")</f>
        <v>Beaucoup de gens sont rassemblés sur la ligne d'arrivée d'un marathon, attendant que les coureurs entrent.</v>
      </c>
    </row>
    <row r="30764">
      <c r="A30764" s="4" t="s">
        <v>38741</v>
      </c>
      <c r="B30764" s="4" t="s">
        <v>38743</v>
      </c>
      <c r="C30764" s="5" t="str">
        <f>IFERROR(__xludf.DUMMYFUNCTION("GOOGLETRANSLATE(B30764,""en"",""fr"")"),"De nombreux coureurs commencent à couler et ralentissent en s'arrêtant une fois qu'ils sont arrivés à ce point.")</f>
        <v>De nombreux coureurs commencent à couler et ralentissent en s'arrêtant une fois qu'ils sont arrivés à ce point.</v>
      </c>
    </row>
    <row r="30765">
      <c r="A30765" s="4" t="s">
        <v>38741</v>
      </c>
      <c r="B30765" s="6" t="s">
        <v>38744</v>
      </c>
      <c r="C30765" s="5" t="str">
        <f>IFERROR(__xludf.DUMMYFUNCTION("GOOGLETRANSLATE(B30765,""en"",""fr"")"),"Il y a beaucoup de coureurs et certaines personnes sur les côtés, mais les stands sont complètement vides de ce côté.")</f>
        <v>Il y a beaucoup de coureurs et certaines personnes sur les côtés, mais les stands sont complètement vides de ce côté.</v>
      </c>
    </row>
    <row r="30766">
      <c r="A30766" s="4" t="s">
        <v>38741</v>
      </c>
      <c r="B30766" s="4" t="s">
        <v>38745</v>
      </c>
      <c r="C30766" s="5" t="str">
        <f>IFERROR(__xludf.DUMMYFUNCTION("GOOGLETRANSLATE(B30766,""en"",""fr"")"),"De plus en plus d'hommes continuent de courir à petit.")</f>
        <v>De plus en plus d'hommes continuent de courir à petit.</v>
      </c>
    </row>
    <row r="30767">
      <c r="A30767" s="4" t="s">
        <v>38746</v>
      </c>
      <c r="B30767" s="4" t="s">
        <v>38747</v>
      </c>
      <c r="C30767" s="5" t="str">
        <f>IFERROR(__xludf.DUMMYFUNCTION("GOOGLETRANSLATE(B30767,""en"",""fr"")"),"Certaines personnes sont vues sur des skis nautiques dans le lac.")</f>
        <v>Certaines personnes sont vues sur des skis nautiques dans le lac.</v>
      </c>
    </row>
    <row r="30768">
      <c r="A30768" s="4" t="s">
        <v>38746</v>
      </c>
      <c r="B30768" s="4" t="s">
        <v>38748</v>
      </c>
      <c r="C30768" s="5" t="str">
        <f>IFERROR(__xludf.DUMMYFUNCTION("GOOGLETRANSLATE(B30768,""en"",""fr"")"),"Un homme parle à la caméra, démontrant comment skier nautique.")</f>
        <v>Un homme parle à la caméra, démontrant comment skier nautique.</v>
      </c>
    </row>
    <row r="30769">
      <c r="A30769" s="4" t="s">
        <v>38746</v>
      </c>
      <c r="B30769" s="4" t="s">
        <v>38749</v>
      </c>
      <c r="C30769" s="5" t="str">
        <f>IFERROR(__xludf.DUMMYFUNCTION("GOOGLETRANSLATE(B30769,""en"",""fr"")"),"Plusieurs mouvements et positions sont montrés pendant qu'il parle.")</f>
        <v>Plusieurs mouvements et positions sont montrés pendant qu'il parle.</v>
      </c>
    </row>
    <row r="30770">
      <c r="A30770" s="4" t="s">
        <v>38750</v>
      </c>
      <c r="B30770" s="4" t="s">
        <v>38751</v>
      </c>
      <c r="C30770" s="5" t="str">
        <f>IFERROR(__xludf.DUMMYFUNCTION("GOOGLETRANSLATE(B30770,""en"",""fr"")"),"Une femme boit une tasse de café.")</f>
        <v>Une femme boit une tasse de café.</v>
      </c>
    </row>
    <row r="30771">
      <c r="A30771" s="4" t="s">
        <v>38750</v>
      </c>
      <c r="B30771" s="4" t="s">
        <v>38752</v>
      </c>
      <c r="C30771" s="5" t="str">
        <f>IFERROR(__xludf.DUMMYFUNCTION("GOOGLETRANSLATE(B30771,""en"",""fr"")"),"Les grains de café sont représentés dans une tasse.")</f>
        <v>Les grains de café sont représentés dans une tasse.</v>
      </c>
    </row>
    <row r="30772">
      <c r="A30772" s="4" t="s">
        <v>38750</v>
      </c>
      <c r="B30772" s="4" t="s">
        <v>38753</v>
      </c>
      <c r="C30772" s="5" t="str">
        <f>IFERROR(__xludf.DUMMYFUNCTION("GOOGLETRANSLATE(B30772,""en"",""fr"")"),"Des articles Web sont présentés.")</f>
        <v>Des articles Web sont présentés.</v>
      </c>
    </row>
    <row r="30773">
      <c r="A30773" s="4" t="s">
        <v>38750</v>
      </c>
      <c r="B30773" s="4" t="s">
        <v>38754</v>
      </c>
      <c r="C30773" s="5" t="str">
        <f>IFERROR(__xludf.DUMMYFUNCTION("GOOGLETRANSLATE(B30773,""en"",""fr"")"),"Une tasse de tasse est remplie de café.")</f>
        <v>Une tasse de tasse est remplie de café.</v>
      </c>
    </row>
    <row r="30774">
      <c r="A30774" s="4" t="s">
        <v>38750</v>
      </c>
      <c r="B30774" s="4" t="s">
        <v>38755</v>
      </c>
      <c r="C30774" s="5" t="str">
        <f>IFERROR(__xludf.DUMMYFUNCTION("GOOGLETRANSLATE(B30774,""en"",""fr"")"),"Les gens font du vélo dans la rue.")</f>
        <v>Les gens font du vélo dans la rue.</v>
      </c>
    </row>
    <row r="30775">
      <c r="A30775" s="4" t="s">
        <v>38756</v>
      </c>
      <c r="B30775" s="4" t="s">
        <v>38757</v>
      </c>
      <c r="C30775" s="5" t="str">
        <f>IFERROR(__xludf.DUMMYFUNCTION("GOOGLETRANSLATE(B30775,""en"",""fr"")"),"Les motocyclistes courent autour d'une piste de terre lors d'une compétition.")</f>
        <v>Les motocyclistes courent autour d'une piste de terre lors d'une compétition.</v>
      </c>
    </row>
    <row r="30776">
      <c r="A30776" s="4" t="s">
        <v>38756</v>
      </c>
      <c r="B30776" s="4" t="s">
        <v>38758</v>
      </c>
      <c r="C30776" s="5" t="str">
        <f>IFERROR(__xludf.DUMMYFUNCTION("GOOGLETRANSLATE(B30776,""en"",""fr"")"),"Un cavalier s'écrase sur un saut et tombe de son vélo.")</f>
        <v>Un cavalier s'écrase sur un saut et tombe de son vélo.</v>
      </c>
    </row>
    <row r="30777">
      <c r="A30777" s="4" t="s">
        <v>38756</v>
      </c>
      <c r="B30777" s="4" t="s">
        <v>38759</v>
      </c>
      <c r="C30777" s="5" t="str">
        <f>IFERROR(__xludf.DUMMYFUNCTION("GOOGLETRANSLATE(B30777,""en"",""fr"")"),"L'autre cavalier ralentit et retire la piste.")</f>
        <v>L'autre cavalier ralentit et retire la piste.</v>
      </c>
    </row>
    <row r="30778">
      <c r="A30778" s="4" t="s">
        <v>38756</v>
      </c>
      <c r="B30778" s="4" t="s">
        <v>38760</v>
      </c>
      <c r="C30778" s="5" t="str">
        <f>IFERROR(__xludf.DUMMYFUNCTION("GOOGLETRANSLATE(B30778,""en"",""fr"")"),"Le cavalier écrasé rampe sur le sol et est aidé par un autre.")</f>
        <v>Le cavalier écrasé rampe sur le sol et est aidé par un autre.</v>
      </c>
    </row>
    <row r="30779">
      <c r="A30779" s="4" t="s">
        <v>38756</v>
      </c>
      <c r="B30779" s="4" t="s">
        <v>38761</v>
      </c>
      <c r="C30779" s="5" t="str">
        <f>IFERROR(__xludf.DUMMYFUNCTION("GOOGLETRANSLATE(B30779,""en"",""fr"")"),"Le cavalier agite ses bras pour signaler les autres et enlève le vélo écrasé du parcours.")</f>
        <v>Le cavalier agite ses bras pour signaler les autres et enlève le vélo écrasé du parcours.</v>
      </c>
    </row>
    <row r="30780">
      <c r="A30780" s="4" t="s">
        <v>38756</v>
      </c>
      <c r="B30780" s="4" t="s">
        <v>38762</v>
      </c>
      <c r="C30780" s="5" t="str">
        <f>IFERROR(__xludf.DUMMYFUNCTION("GOOGLETRANSLATE(B30780,""en"",""fr"")"),"Le cavalier est vu s'écraser au ralenti.")</f>
        <v>Le cavalier est vu s'écraser au ralenti.</v>
      </c>
    </row>
    <row r="30781">
      <c r="A30781" s="4" t="s">
        <v>38763</v>
      </c>
      <c r="B30781" s="4" t="s">
        <v>38764</v>
      </c>
      <c r="C30781" s="5" t="str">
        <f>IFERROR(__xludf.DUMMYFUNCTION("GOOGLETRANSLATE(B30781,""en"",""fr"")"),"Un groupe de personnes est vu debout dans une pièce avec certains tenant des instruments.")</f>
        <v>Un groupe de personnes est vu debout dans une pièce avec certains tenant des instruments.</v>
      </c>
    </row>
    <row r="30782">
      <c r="A30782" s="4" t="s">
        <v>38763</v>
      </c>
      <c r="B30782" s="4" t="s">
        <v>38765</v>
      </c>
      <c r="C30782" s="5" t="str">
        <f>IFERROR(__xludf.DUMMYFUNCTION("GOOGLETRANSLATE(B30782,""en"",""fr"")"),"Les gens sont assis à une table en jouant avec des tasses.")</f>
        <v>Les gens sont assis à une table en jouant avec des tasses.</v>
      </c>
    </row>
    <row r="30783">
      <c r="A30783" s="4" t="s">
        <v>38763</v>
      </c>
      <c r="B30783" s="4" t="s">
        <v>38766</v>
      </c>
      <c r="C30783" s="5" t="str">
        <f>IFERROR(__xludf.DUMMYFUNCTION("GOOGLETRANSLATE(B30783,""en"",""fr"")"),"Plus de gens sont vus tambour sur le côté tandis que les gens continuent de jouer avec des tasses.")</f>
        <v>Plus de gens sont vus tambour sur le côté tandis que les gens continuent de jouer avec des tasses.</v>
      </c>
    </row>
    <row r="30784">
      <c r="A30784" s="4" t="s">
        <v>38763</v>
      </c>
      <c r="B30784" s="4" t="s">
        <v>38767</v>
      </c>
      <c r="C30784" s="5" t="str">
        <f>IFERROR(__xludf.DUMMYFUNCTION("GOOGLETRANSLATE(B30784,""en"",""fr"")"),"Finalement, les gens jouent avec une guitare et se terminent en sortant de la scène.")</f>
        <v>Finalement, les gens jouent avec une guitare et se terminent en sortant de la scène.</v>
      </c>
    </row>
    <row r="30785">
      <c r="A30785" s="4" t="s">
        <v>38768</v>
      </c>
      <c r="B30785" s="4" t="s">
        <v>38769</v>
      </c>
      <c r="C30785" s="5" t="str">
        <f>IFERROR(__xludf.DUMMYFUNCTION("GOOGLETRANSLATE(B30785,""en"",""fr"")"),"Un jeune homme est assis sur une chaise, la tête vers le bas en se rasant la jambe avec un rasoir électrique.")</f>
        <v>Un jeune homme est assis sur une chaise, la tête vers le bas en se rasant la jambe avec un rasoir électrique.</v>
      </c>
    </row>
    <row r="30786">
      <c r="A30786" s="4" t="s">
        <v>38768</v>
      </c>
      <c r="B30786" s="4" t="s">
        <v>38770</v>
      </c>
      <c r="C30786" s="5" t="str">
        <f>IFERROR(__xludf.DUMMYFUNCTION("GOOGLETRANSLATE(B30786,""en"",""fr"")"),"L'homme s'arrête et nettoie le rasoir.")</f>
        <v>L'homme s'arrête et nettoie le rasoir.</v>
      </c>
    </row>
    <row r="30787">
      <c r="A30787" s="4" t="s">
        <v>38768</v>
      </c>
      <c r="B30787" s="6" t="s">
        <v>38771</v>
      </c>
      <c r="C30787" s="5" t="str">
        <f>IFERROR(__xludf.DUMMYFUNCTION("GOOGLETRANSLATE(B30787,""en"",""fr"")"),"L'homme secoue le rasoir quand il cesse de fonctionner jusqu'à ce qu'il recommence et continue de se raser la jambe.")</f>
        <v>L'homme secoue le rasoir quand il cesse de fonctionner jusqu'à ce qu'il recommence et continue de se raser la jambe.</v>
      </c>
    </row>
    <row r="30788">
      <c r="A30788" s="4" t="s">
        <v>38772</v>
      </c>
      <c r="B30788" s="4" t="s">
        <v>38773</v>
      </c>
      <c r="C30788" s="5" t="str">
        <f>IFERROR(__xludf.DUMMYFUNCTION("GOOGLETRANSLATE(B30788,""en"",""fr"")"),"Un chien est à l'extérieur dans un grand champ et court vers un homme tenant un frisbee jaune.")</f>
        <v>Un chien est à l'extérieur dans un grand champ et court vers un homme tenant un frisbee jaune.</v>
      </c>
    </row>
    <row r="30789">
      <c r="A30789" s="4" t="s">
        <v>38772</v>
      </c>
      <c r="B30789" s="4" t="s">
        <v>38774</v>
      </c>
      <c r="C30789" s="5" t="str">
        <f>IFERROR(__xludf.DUMMYFUNCTION("GOOGLETRANSLATE(B30789,""en"",""fr"")"),"L'homme commence alors à marcher et jette le frisbee pour que le chien puisse attraper.")</f>
        <v>L'homme commence alors à marcher et jette le frisbee pour que le chien puisse attraper.</v>
      </c>
    </row>
    <row r="30790">
      <c r="A30790" s="4" t="s">
        <v>38772</v>
      </c>
      <c r="B30790" s="4" t="s">
        <v>38775</v>
      </c>
      <c r="C30790" s="5" t="str">
        <f>IFERROR(__xludf.DUMMYFUNCTION("GOOGLETRANSLATE(B30790,""en"",""fr"")"),"Il le lance plusieurs fois et le chien attrape chacun.")</f>
        <v>Il le lance plusieurs fois et le chien attrape chacun.</v>
      </c>
    </row>
    <row r="30791">
      <c r="A30791" s="4" t="s">
        <v>38776</v>
      </c>
      <c r="B30791" s="4" t="s">
        <v>38777</v>
      </c>
      <c r="C30791" s="5" t="str">
        <f>IFERROR(__xludf.DUMMYFUNCTION("GOOGLETRANSLATE(B30791,""en"",""fr"")"),"Les enfants jouent au soccer Beach dans un champ poussiéreux.")</f>
        <v>Les enfants jouent au soccer Beach dans un champ poussiéreux.</v>
      </c>
    </row>
    <row r="30792">
      <c r="A30792" s="4" t="s">
        <v>38776</v>
      </c>
      <c r="B30792" s="4" t="s">
        <v>38778</v>
      </c>
      <c r="C30792" s="5" t="str">
        <f>IFERROR(__xludf.DUMMYFUNCTION("GOOGLETRANSLATE(B30792,""en"",""fr"")"),"Les gens se tiennent autour du champ dans des stands.")</f>
        <v>Les gens se tiennent autour du champ dans des stands.</v>
      </c>
    </row>
    <row r="30793">
      <c r="A30793" s="4" t="s">
        <v>38776</v>
      </c>
      <c r="B30793" s="4" t="s">
        <v>38779</v>
      </c>
      <c r="C30793" s="5" t="str">
        <f>IFERROR(__xludf.DUMMYFUNCTION("GOOGLETRANSLATE(B30793,""en"",""fr"")"),"L'homme fait un objectif et l'équipe et les gens dans les stands célèbrent.")</f>
        <v>L'homme fait un objectif et l'équipe et les gens dans les stands célèbrent.</v>
      </c>
    </row>
    <row r="30794">
      <c r="A30794" s="4" t="s">
        <v>38776</v>
      </c>
      <c r="B30794" s="4" t="s">
        <v>38780</v>
      </c>
      <c r="C30794" s="5" t="str">
        <f>IFERROR(__xludf.DUMMYFUNCTION("GOOGLETRANSLATE(B30794,""en"",""fr"")"),"L'homme fait un coin et marque un but et Ruun à ses coéquipiers pour célébrer.")</f>
        <v>L'homme fait un coin et marque un but et Ruun à ses coéquipiers pour célébrer.</v>
      </c>
    </row>
    <row r="30795">
      <c r="A30795" s="4" t="s">
        <v>38776</v>
      </c>
      <c r="B30795" s="6" t="s">
        <v>38781</v>
      </c>
      <c r="C30795" s="5" t="str">
        <f>IFERROR(__xludf.DUMMYFUNCTION("GOOGLETRANSLATE(B30795,""en"",""fr"")"),"Le jeu commence le jeu et les hommes continuent de courir et marque un autre but et célèbre pendant qu'il y a une répétition.")</f>
        <v>Le jeu commence le jeu et les hommes continuent de courir et marque un autre but et célèbre pendant qu'il y a une répétition.</v>
      </c>
    </row>
    <row r="30796">
      <c r="A30796" s="4" t="s">
        <v>38782</v>
      </c>
      <c r="B30796" s="4" t="s">
        <v>38783</v>
      </c>
      <c r="C30796" s="5" t="str">
        <f>IFERROR(__xludf.DUMMYFUNCTION("GOOGLETRANSLATE(B30796,""en"",""fr"")"),"Un adolescent sur un cheval faisant tourner une corde dans l'air poursuit une petite vache.")</f>
        <v>Un adolescent sur un cheval faisant tourner une corde dans l'air poursuit une petite vache.</v>
      </c>
    </row>
    <row r="30797">
      <c r="A30797" s="4" t="s">
        <v>38782</v>
      </c>
      <c r="B30797" s="4" t="s">
        <v>38784</v>
      </c>
      <c r="C30797" s="5" t="str">
        <f>IFERROR(__xludf.DUMMYFUNCTION("GOOGLETRANSLATE(B30797,""en"",""fr"")"),"La vache coule et le garçon jette la corde autour de son cou.")</f>
        <v>La vache coule et le garçon jette la corde autour de son cou.</v>
      </c>
    </row>
    <row r="30798">
      <c r="A30798" s="4" t="s">
        <v>38782</v>
      </c>
      <c r="B30798" s="4" t="s">
        <v>38785</v>
      </c>
      <c r="C30798" s="5" t="str">
        <f>IFERROR(__xludf.DUMMYFUNCTION("GOOGLETRANSLATE(B30798,""en"",""fr"")"),"Cela fait tomber la vache après avoir été tiré par la corde.")</f>
        <v>Cela fait tomber la vache après avoir été tiré par la corde.</v>
      </c>
    </row>
    <row r="30799">
      <c r="A30799" s="4" t="s">
        <v>38782</v>
      </c>
      <c r="B30799" s="4" t="s">
        <v>38786</v>
      </c>
      <c r="C30799" s="5" t="str">
        <f>IFERROR(__xludf.DUMMYFUNCTION("GOOGLETRANSLATE(B30799,""en"",""fr"")"),"Le garçon va courir du cheval après lui et épingle la petite vache.")</f>
        <v>Le garçon va courir du cheval après lui et épingle la petite vache.</v>
      </c>
    </row>
    <row r="30800">
      <c r="A30800" s="4" t="s">
        <v>38787</v>
      </c>
      <c r="B30800" s="4" t="s">
        <v>38788</v>
      </c>
      <c r="C30800" s="5" t="str">
        <f>IFERROR(__xludf.DUMMYFUNCTION("GOOGLETRANSLATE(B30800,""en"",""fr"")"),"Nous voyons de la viande et du fromage sur un comptoir.")</f>
        <v>Nous voyons de la viande et du fromage sur un comptoir.</v>
      </c>
    </row>
    <row r="30801">
      <c r="A30801" s="4" t="s">
        <v>38787</v>
      </c>
      <c r="B30801" s="4" t="s">
        <v>38789</v>
      </c>
      <c r="C30801" s="5" t="str">
        <f>IFERROR(__xludf.DUMMYFUNCTION("GOOGLETRANSLATE(B30801,""en"",""fr"")"),"Un homme parle à la caméra dans une cuisine.")</f>
        <v>Un homme parle à la caméra dans une cuisine.</v>
      </c>
    </row>
    <row r="30802">
      <c r="A30802" s="4" t="s">
        <v>38787</v>
      </c>
      <c r="B30802" s="4" t="s">
        <v>38790</v>
      </c>
      <c r="C30802" s="5" t="str">
        <f>IFERROR(__xludf.DUMMYFUNCTION("GOOGLETRANSLATE(B30802,""en"",""fr"")"),"L'homme écarte de la moutarde sur du pain.")</f>
        <v>L'homme écarte de la moutarde sur du pain.</v>
      </c>
    </row>
    <row r="30803">
      <c r="A30803" s="4" t="s">
        <v>38787</v>
      </c>
      <c r="B30803" s="4" t="s">
        <v>38791</v>
      </c>
      <c r="C30803" s="5" t="str">
        <f>IFERROR(__xludf.DUMMYFUNCTION("GOOGLETRANSLATE(B30803,""en"",""fr"")"),"L'homme assemble le sandwich.")</f>
        <v>L'homme assemble le sandwich.</v>
      </c>
    </row>
    <row r="30804">
      <c r="A30804" s="4" t="s">
        <v>38787</v>
      </c>
      <c r="B30804" s="4" t="s">
        <v>38792</v>
      </c>
      <c r="C30804" s="5" t="str">
        <f>IFERROR(__xludf.DUMMYFUNCTION("GOOGLETRANSLATE(B30804,""en"",""fr"")"),"Le sandwich est pressé.")</f>
        <v>Le sandwich est pressé.</v>
      </c>
    </row>
    <row r="30805">
      <c r="A30805" s="4" t="s">
        <v>38787</v>
      </c>
      <c r="B30805" s="4" t="s">
        <v>38793</v>
      </c>
      <c r="C30805" s="5" t="str">
        <f>IFERROR(__xludf.DUMMYFUNCTION("GOOGLETRANSLATE(B30805,""en"",""fr"")"),"L'homme coupe le sandwich.")</f>
        <v>L'homme coupe le sandwich.</v>
      </c>
    </row>
    <row r="30806">
      <c r="A30806" s="4" t="s">
        <v>38787</v>
      </c>
      <c r="B30806" s="4" t="s">
        <v>38794</v>
      </c>
      <c r="C30806" s="5" t="str">
        <f>IFERROR(__xludf.DUMMYFUNCTION("GOOGLETRANSLATE(B30806,""en"",""fr"")"),"L'homme assiette toute la nourriture.")</f>
        <v>L'homme assiette toute la nourriture.</v>
      </c>
    </row>
    <row r="30807">
      <c r="A30807" s="4" t="s">
        <v>38795</v>
      </c>
      <c r="B30807" s="4" t="s">
        <v>38796</v>
      </c>
      <c r="C30807" s="5" t="str">
        <f>IFERROR(__xludf.DUMMYFUNCTION("GOOGLETRANSLATE(B30807,""en"",""fr"")"),"Une dame souffle des feuilles d'un toit.")</f>
        <v>Une dame souffle des feuilles d'un toit.</v>
      </c>
    </row>
    <row r="30808">
      <c r="A30808" s="4" t="s">
        <v>38795</v>
      </c>
      <c r="B30808" s="4" t="s">
        <v>38797</v>
      </c>
      <c r="C30808" s="5" t="str">
        <f>IFERROR(__xludf.DUMMYFUNCTION("GOOGLETRANSLATE(B30808,""en"",""fr"")"),"La dame marche à droite alors vers le sommet.")</f>
        <v>La dame marche à droite alors vers le sommet.</v>
      </c>
    </row>
    <row r="30809">
      <c r="A30809" s="4" t="s">
        <v>38795</v>
      </c>
      <c r="B30809" s="4" t="s">
        <v>38798</v>
      </c>
      <c r="C30809" s="5" t="str">
        <f>IFERROR(__xludf.DUMMYFUNCTION("GOOGLETRANSLATE(B30809,""en"",""fr"")"),"La caméra se plisse et nous voyons un petit garçon au sol ci-dessous.")</f>
        <v>La caméra se plisse et nous voyons un petit garçon au sol ci-dessous.</v>
      </c>
    </row>
    <row r="30810">
      <c r="A30810" s="4" t="s">
        <v>38799</v>
      </c>
      <c r="B30810" s="4" t="s">
        <v>38800</v>
      </c>
      <c r="C30810" s="5" t="str">
        <f>IFERROR(__xludf.DUMMYFUNCTION("GOOGLETRANSLATE(B30810,""en"",""fr"")"),"Une personne lance une balle à un adolescent qui court et donne un coup de pied au ballon.")</f>
        <v>Une personne lance une balle à un adolescent qui court et donne un coup de pied au ballon.</v>
      </c>
    </row>
    <row r="30811">
      <c r="A30811" s="4" t="s">
        <v>38799</v>
      </c>
      <c r="B30811" s="4" t="s">
        <v>38801</v>
      </c>
      <c r="C30811" s="5" t="str">
        <f>IFERROR(__xludf.DUMMYFUNCTION("GOOGLETRANSLATE(B30811,""en"",""fr"")"),"Un adolescent attrape le ballon en l'air et jette à une autre fille.")</f>
        <v>Un adolescent attrape le ballon en l'air et jette à une autre fille.</v>
      </c>
    </row>
    <row r="30812">
      <c r="A30812" s="4" t="s">
        <v>38799</v>
      </c>
      <c r="B30812" s="4" t="s">
        <v>38802</v>
      </c>
      <c r="C30812" s="5" t="str">
        <f>IFERROR(__xludf.DUMMYFUNCTION("GOOGLETRANSLATE(B30812,""en"",""fr"")"),"Les chutes sur le sol et la fille le prend.")</f>
        <v>Les chutes sur le sol et la fille le prend.</v>
      </c>
    </row>
    <row r="30813">
      <c r="A30813" s="4" t="s">
        <v>38803</v>
      </c>
      <c r="B30813" s="4" t="s">
        <v>38804</v>
      </c>
      <c r="C30813" s="5" t="str">
        <f>IFERROR(__xludf.DUMMYFUNCTION("GOOGLETRANSLATE(B30813,""en"",""fr"")"),"Une femme est vue portant des lames à rouleaux et parle à la caméra.")</f>
        <v>Une femme est vue portant des lames à rouleaux et parle à la caméra.</v>
      </c>
    </row>
    <row r="30814">
      <c r="A30814" s="4" t="s">
        <v>38803</v>
      </c>
      <c r="B30814" s="4" t="s">
        <v>38805</v>
      </c>
      <c r="C30814" s="5" t="str">
        <f>IFERROR(__xludf.DUMMYFUNCTION("GOOGLETRANSLATE(B30814,""en"",""fr"")"),"Elle monte ensuite sur ses lames tout en regardant la caméra et en parlant.")</f>
        <v>Elle monte ensuite sur ses lames tout en regardant la caméra et en parlant.</v>
      </c>
    </row>
    <row r="30815">
      <c r="A30815" s="4" t="s">
        <v>38803</v>
      </c>
      <c r="B30815" s="4" t="s">
        <v>38806</v>
      </c>
      <c r="C30815" s="5" t="str">
        <f>IFERROR(__xludf.DUMMYFUNCTION("GOOGLETRANSLATE(B30815,""en"",""fr"")"),"Elle continue de démontrer comment utiliser correctement les lames et se déplacer.")</f>
        <v>Elle continue de démontrer comment utiliser correctement les lames et se déplacer.</v>
      </c>
    </row>
    <row r="30816">
      <c r="A30816" s="4" t="s">
        <v>38807</v>
      </c>
      <c r="B30816" s="4" t="s">
        <v>38808</v>
      </c>
      <c r="C30816" s="5" t="str">
        <f>IFERROR(__xludf.DUMMYFUNCTION("GOOGLETRANSLATE(B30816,""en"",""fr"")"),"Nous voyons un homme courir et faire un saut en hauteur 6'11 et voir la rediffusion.")</f>
        <v>Nous voyons un homme courir et faire un saut en hauteur 6'11 et voir la rediffusion.</v>
      </c>
    </row>
    <row r="30817">
      <c r="A30817" s="4" t="s">
        <v>38807</v>
      </c>
      <c r="B30817" s="4" t="s">
        <v>38809</v>
      </c>
      <c r="C30817" s="5" t="str">
        <f>IFERROR(__xludf.DUMMYFUNCTION("GOOGLETRANSLATE(B30817,""en"",""fr"")"),"Nous voyons ensuite l'homme sauter à 6'9 et voir la rediffusion.")</f>
        <v>Nous voyons ensuite l'homme sauter à 6'9 et voir la rediffusion.</v>
      </c>
    </row>
    <row r="30818">
      <c r="A30818" s="4" t="s">
        <v>38807</v>
      </c>
      <c r="B30818" s="4" t="s">
        <v>38810</v>
      </c>
      <c r="C30818" s="5" t="str">
        <f>IFERROR(__xludf.DUMMYFUNCTION("GOOGLETRANSLATE(B30818,""en"",""fr"")"),"L'homme saute à nouveau à 6'11 et nous voyons la rediffusion.")</f>
        <v>L'homme saute à nouveau à 6'11 et nous voyons la rediffusion.</v>
      </c>
    </row>
    <row r="30819">
      <c r="A30819" s="4" t="s">
        <v>38807</v>
      </c>
      <c r="B30819" s="4" t="s">
        <v>38811</v>
      </c>
      <c r="C30819" s="5" t="str">
        <f>IFERROR(__xludf.DUMMYFUNCTION("GOOGLETRANSLATE(B30819,""en"",""fr"")"),"Nous voyons l'homme sauter à 7'2 et nous voyons la rediffusion.")</f>
        <v>Nous voyons l'homme sauter à 7'2 et nous voyons la rediffusion.</v>
      </c>
    </row>
    <row r="30820">
      <c r="A30820" s="4" t="s">
        <v>38807</v>
      </c>
      <c r="B30820" s="4" t="s">
        <v>38812</v>
      </c>
      <c r="C30820" s="5" t="str">
        <f>IFERROR(__xludf.DUMMYFUNCTION("GOOGLETRANSLATE(B30820,""en"",""fr"")"),"Nous voyons l'homme sauter à 8'3 en utilisant un tremplin et nous voyons la rediffusion.")</f>
        <v>Nous voyons l'homme sauter à 8'3 en utilisant un tremplin et nous voyons la rediffusion.</v>
      </c>
    </row>
    <row r="30821">
      <c r="A30821" s="4" t="s">
        <v>38813</v>
      </c>
      <c r="B30821" s="4" t="s">
        <v>38814</v>
      </c>
      <c r="C30821" s="5" t="str">
        <f>IFERROR(__xludf.DUMMYFUNCTION("GOOGLETRANSLATE(B30821,""en"",""fr"")"),"Il existe des haltérophiles sur scène participant à des événements d'haltérophilie.")</f>
        <v>Il existe des haltérophiles sur scène participant à des événements d'haltérophilie.</v>
      </c>
    </row>
    <row r="30822">
      <c r="A30822" s="4" t="s">
        <v>38813</v>
      </c>
      <c r="B30822" s="4" t="s">
        <v>38815</v>
      </c>
      <c r="C30822" s="5" t="str">
        <f>IFERROR(__xludf.DUMMYFUNCTION("GOOGLETRANSLATE(B30822,""en"",""fr"")"),"Il y a plusieurs spectateurs qui regardent l'événement.")</f>
        <v>Il y a plusieurs spectateurs qui regardent l'événement.</v>
      </c>
    </row>
    <row r="30823">
      <c r="A30823" s="4" t="s">
        <v>38813</v>
      </c>
      <c r="B30823" s="4" t="s">
        <v>38816</v>
      </c>
      <c r="C30823" s="5" t="str">
        <f>IFERROR(__xludf.DUMMYFUNCTION("GOOGLETRANSLATE(B30823,""en"",""fr"")"),"L'un des haltérophiles soulève avec succès la barre de poids en haut puis la laisse tomber.")</f>
        <v>L'un des haltérophiles soulève avec succès la barre de poids en haut puis la laisse tomber.</v>
      </c>
    </row>
    <row r="30824">
      <c r="A30824" s="4" t="s">
        <v>38813</v>
      </c>
      <c r="B30824" s="4" t="s">
        <v>38817</v>
      </c>
      <c r="C30824" s="5" t="str">
        <f>IFERROR(__xludf.DUMMYFUNCTION("GOOGLETRANSLATE(B30824,""en"",""fr"")"),"Il soulève sa main droite triomphante.")</f>
        <v>Il soulève sa main droite triomphante.</v>
      </c>
    </row>
    <row r="30825">
      <c r="A30825" s="4" t="s">
        <v>38818</v>
      </c>
      <c r="B30825" s="4" t="s">
        <v>38819</v>
      </c>
      <c r="C30825" s="5" t="str">
        <f>IFERROR(__xludf.DUMMYFUNCTION("GOOGLETRANSLATE(B30825,""en"",""fr"")"),"Il y a un gros plan de plusieurs hommes et garçons qui transpirent.")</f>
        <v>Il y a un gros plan de plusieurs hommes et garçons qui transpirent.</v>
      </c>
    </row>
    <row r="30826">
      <c r="A30826" s="4" t="s">
        <v>38818</v>
      </c>
      <c r="B30826" s="4" t="s">
        <v>38820</v>
      </c>
      <c r="C30826" s="5" t="str">
        <f>IFERROR(__xludf.DUMMYFUNCTION("GOOGLETRANSLATE(B30826,""en"",""fr"")"),"Ils jouent des ciseaux en papier rocheux et le perdant devient enragé.")</f>
        <v>Ils jouent des ciseaux en papier rocheux et le perdant devient enragé.</v>
      </c>
    </row>
    <row r="30827">
      <c r="A30827" s="4" t="s">
        <v>38818</v>
      </c>
      <c r="B30827" s="4" t="s">
        <v>38821</v>
      </c>
      <c r="C30827" s="5" t="str">
        <f>IFERROR(__xludf.DUMMYFUNCTION("GOOGLETRANSLATE(B30827,""en"",""fr"")"),"Il traverse le bâtiment et l'extérieur, criant et frappant les airs.")</f>
        <v>Il traverse le bâtiment et l'extérieur, criant et frappant les airs.</v>
      </c>
    </row>
    <row r="30828">
      <c r="A30828" s="4" t="s">
        <v>38818</v>
      </c>
      <c r="B30828" s="4" t="s">
        <v>38822</v>
      </c>
      <c r="C30828" s="5" t="str">
        <f>IFERROR(__xludf.DUMMYFUNCTION("GOOGLETRANSLATE(B30828,""en"",""fr"")"),"L'homme est montré assis sur une chaise, parlant.")</f>
        <v>L'homme est montré assis sur une chaise, parlant.</v>
      </c>
    </row>
    <row r="30829">
      <c r="A30829" s="4" t="s">
        <v>38818</v>
      </c>
      <c r="B30829" s="4" t="s">
        <v>38823</v>
      </c>
      <c r="C30829" s="5" t="str">
        <f>IFERROR(__xludf.DUMMYFUNCTION("GOOGLETRANSLATE(B30829,""en"",""fr"")"),"Il secoue une bouteille et prend un verre avant de s'étouffer.")</f>
        <v>Il secoue une bouteille et prend un verre avant de s'étouffer.</v>
      </c>
    </row>
    <row r="30830">
      <c r="A30830" s="4" t="s">
        <v>38818</v>
      </c>
      <c r="B30830" s="4" t="s">
        <v>38824</v>
      </c>
      <c r="C30830" s="5" t="str">
        <f>IFERROR(__xludf.DUMMYFUNCTION("GOOGLETRANSLATE(B30830,""en"",""fr"")"),"Ils ont rejoué le jeu, se terminant avec lui à nouveau en parlant alors qu'il était assis sur la chaise.")</f>
        <v>Ils ont rejoué le jeu, se terminant avec lui à nouveau en parlant alors qu'il était assis sur la chaise.</v>
      </c>
    </row>
    <row r="30831">
      <c r="A30831" s="4" t="s">
        <v>38825</v>
      </c>
      <c r="B30831" s="4" t="s">
        <v>38826</v>
      </c>
      <c r="C30831" s="5" t="str">
        <f>IFERROR(__xludf.DUMMYFUNCTION("GOOGLETRANSLATE(B30831,""en"",""fr"")"),"Un homme est assis sur une pêche au godet.")</f>
        <v>Un homme est assis sur une pêche au godet.</v>
      </c>
    </row>
    <row r="30832">
      <c r="A30832" s="4" t="s">
        <v>38825</v>
      </c>
      <c r="B30832" s="4" t="s">
        <v>38827</v>
      </c>
      <c r="C30832" s="5" t="str">
        <f>IFERROR(__xludf.DUMMYFUNCTION("GOOGLETRANSLATE(B30832,""en"",""fr"")"),"Il se lève et sort un poisson hors du trou.")</f>
        <v>Il se lève et sort un poisson hors du trou.</v>
      </c>
    </row>
    <row r="30833">
      <c r="A30833" s="4" t="s">
        <v>38825</v>
      </c>
      <c r="B30833" s="4" t="s">
        <v>38828</v>
      </c>
      <c r="C30833" s="5" t="str">
        <f>IFERROR(__xludf.DUMMYFUNCTION("GOOGLETRANSLATE(B30833,""en"",""fr"")"),"Il coupe le crochet du poisson et jette le poisson sur la glace.")</f>
        <v>Il coupe le crochet du poisson et jette le poisson sur la glace.</v>
      </c>
    </row>
    <row r="30834">
      <c r="A30834" s="4" t="s">
        <v>38825</v>
      </c>
      <c r="B30834" s="4" t="s">
        <v>38829</v>
      </c>
      <c r="C30834" s="5" t="str">
        <f>IFERROR(__xludf.DUMMYFUNCTION("GOOGLETRANSLATE(B30834,""en"",""fr"")"),"Il s'assoit sur le seau.")</f>
        <v>Il s'assoit sur le seau.</v>
      </c>
    </row>
    <row r="30835">
      <c r="A30835" s="4" t="s">
        <v>38830</v>
      </c>
      <c r="B30835" s="4" t="s">
        <v>38831</v>
      </c>
      <c r="C30835" s="5" t="str">
        <f>IFERROR(__xludf.DUMMYFUNCTION("GOOGLETRANSLATE(B30835,""en"",""fr"")"),"Un coup de main d'un homme sur des skis nautiques est montré.")</f>
        <v>Un coup de main d'un homme sur des skis nautiques est montré.</v>
      </c>
    </row>
    <row r="30836">
      <c r="A30836" s="4" t="s">
        <v>38830</v>
      </c>
      <c r="B30836" s="4" t="s">
        <v>38832</v>
      </c>
      <c r="C30836" s="5" t="str">
        <f>IFERROR(__xludf.DUMMYFUNCTION("GOOGLETRANSLATE(B30836,""en"",""fr"")"),"Il saute ensuite vers le même ski nautique du même homme.")</f>
        <v>Il saute ensuite vers le même ski nautique du même homme.</v>
      </c>
    </row>
    <row r="30837">
      <c r="A30837" s="4" t="s">
        <v>38830</v>
      </c>
      <c r="B30837" s="4" t="s">
        <v>38833</v>
      </c>
      <c r="C30837" s="5" t="str">
        <f>IFERROR(__xludf.DUMMYFUNCTION("GOOGLETRANSLATE(B30837,""en"",""fr"")"),"Il tombe plusieurs fois et fait de son mieux pour rester droit.")</f>
        <v>Il tombe plusieurs fois et fait de son mieux pour rester droit.</v>
      </c>
    </row>
    <row r="30838">
      <c r="A30838" s="4" t="s">
        <v>38830</v>
      </c>
      <c r="B30838" s="4" t="s">
        <v>38834</v>
      </c>
      <c r="C30838" s="5" t="str">
        <f>IFERROR(__xludf.DUMMYFUNCTION("GOOGLETRANSLATE(B30838,""en"",""fr"")"),"La vidéo montre ensuite que d'autres personnes faisaient de leur mieux mais tombant à chaque fois.")</f>
        <v>La vidéo montre ensuite que d'autres personnes faisaient de leur mieux mais tombant à chaque fois.</v>
      </c>
    </row>
    <row r="30839">
      <c r="A30839" s="4" t="s">
        <v>38830</v>
      </c>
      <c r="B30839" s="4" t="s">
        <v>38835</v>
      </c>
      <c r="C30839" s="5" t="str">
        <f>IFERROR(__xludf.DUMMYFUNCTION("GOOGLETRANSLATE(B30839,""en"",""fr"")"),"La vidéo continue de montrer aux gens qui tombent encore et encore.")</f>
        <v>La vidéo continue de montrer aux gens qui tombent encore et encore.</v>
      </c>
    </row>
    <row r="30840">
      <c r="A30840" s="4" t="s">
        <v>38830</v>
      </c>
      <c r="B30840" s="4" t="s">
        <v>38836</v>
      </c>
      <c r="C30840" s="5" t="str">
        <f>IFERROR(__xludf.DUMMYFUNCTION("GOOGLETRANSLATE(B30840,""en"",""fr"")"),"À la fin, les crédits sont montrés pour savoir qui a filmé et joué dans la vidéo.")</f>
        <v>À la fin, les crédits sont montrés pour savoir qui a filmé et joué dans la vidéo.</v>
      </c>
    </row>
    <row r="30841">
      <c r="A30841" s="4" t="s">
        <v>38837</v>
      </c>
      <c r="B30841" s="4" t="s">
        <v>38838</v>
      </c>
      <c r="C30841" s="5" t="str">
        <f>IFERROR(__xludf.DUMMYFUNCTION("GOOGLETRANSLATE(B30841,""en"",""fr"")"),"Un homme joue les cornemas.")</f>
        <v>Un homme joue les cornemas.</v>
      </c>
    </row>
    <row r="30842">
      <c r="A30842" s="4" t="s">
        <v>38837</v>
      </c>
      <c r="B30842" s="4" t="s">
        <v>38839</v>
      </c>
      <c r="C30842" s="5" t="str">
        <f>IFERROR(__xludf.DUMMYFUNCTION("GOOGLETRANSLATE(B30842,""en"",""fr"")"),"Les gens jouent à un jeu de crosse à l'extérieur.")</f>
        <v>Les gens jouent à un jeu de crosse à l'extérieur.</v>
      </c>
    </row>
    <row r="30843">
      <c r="A30843" s="4" t="s">
        <v>38837</v>
      </c>
      <c r="B30843" s="4" t="s">
        <v>21371</v>
      </c>
      <c r="C30843" s="5" t="str">
        <f>IFERROR(__xludf.DUMMYFUNCTION("GOOGLETRANSLATE(B30843,""en"",""fr"")"),"Un homme en chemise bleue parle à la caméra.")</f>
        <v>Un homme en chemise bleue parle à la caméra.</v>
      </c>
    </row>
    <row r="30844">
      <c r="A30844" s="4" t="s">
        <v>38840</v>
      </c>
      <c r="B30844" s="4" t="s">
        <v>38841</v>
      </c>
      <c r="C30844" s="5" t="str">
        <f>IFERROR(__xludf.DUMMYFUNCTION("GOOGLETRANSLATE(B30844,""en"",""fr"")"),"Un garçon entend une cour à l'aide d'une tondeuse qui a un sac de récupération au dos.")</f>
        <v>Un garçon entend une cour à l'aide d'une tondeuse qui a un sac de récupération au dos.</v>
      </c>
    </row>
    <row r="30845">
      <c r="A30845" s="4" t="s">
        <v>38840</v>
      </c>
      <c r="B30845" s="4" t="s">
        <v>38842</v>
      </c>
      <c r="C30845" s="5" t="str">
        <f>IFERROR(__xludf.DUMMYFUNCTION("GOOGLETRANSLATE(B30845,""en"",""fr"")"),"Le garçon passe le trottoir et se tourne vers la cour pour continuer à couper l'herbe.")</f>
        <v>Le garçon passe le trottoir et se tourne vers la cour pour continuer à couper l'herbe.</v>
      </c>
    </row>
    <row r="30846">
      <c r="A30846" s="4" t="s">
        <v>38843</v>
      </c>
      <c r="B30846" s="4" t="s">
        <v>38844</v>
      </c>
      <c r="C30846" s="5" t="str">
        <f>IFERROR(__xludf.DUMMYFUNCTION("GOOGLETRANSLATE(B30846,""en"",""fr"")"),"Les gens montent sur des chevaux dans un champ.")</f>
        <v>Les gens montent sur des chevaux dans un champ.</v>
      </c>
    </row>
    <row r="30847">
      <c r="A30847" s="4" t="s">
        <v>38843</v>
      </c>
      <c r="B30847" s="4" t="s">
        <v>38845</v>
      </c>
      <c r="C30847" s="5" t="str">
        <f>IFERROR(__xludf.DUMMYFUNCTION("GOOGLETRANSLATE(B30847,""en"",""fr"")"),"Une personne en chemise rouge se tient à côté du cheval.")</f>
        <v>Une personne en chemise rouge se tient à côté du cheval.</v>
      </c>
    </row>
    <row r="30848">
      <c r="A30848" s="4" t="s">
        <v>38843</v>
      </c>
      <c r="B30848" s="4" t="s">
        <v>38846</v>
      </c>
      <c r="C30848" s="5" t="str">
        <f>IFERROR(__xludf.DUMMYFUNCTION("GOOGLETRANSLATE(B30848,""en"",""fr"")"),"Un homme en chapeau noir est à côté du cheval.")</f>
        <v>Un homme en chapeau noir est à côté du cheval.</v>
      </c>
    </row>
    <row r="30849">
      <c r="A30849" s="4" t="s">
        <v>38847</v>
      </c>
      <c r="B30849" s="6" t="s">
        <v>38848</v>
      </c>
      <c r="C30849" s="5" t="str">
        <f>IFERROR(__xludf.DUMMYFUNCTION("GOOGLETRANSLATE(B30849,""en"",""fr"")"),"Une femme est vue en rasant la fourrure d'un chien tandis que la caméra montre de nombreux chiens assis dans des caisses.")</f>
        <v>Une femme est vue en rasant la fourrure d'un chien tandis que la caméra montre de nombreux chiens assis dans des caisses.</v>
      </c>
    </row>
    <row r="30850">
      <c r="A30850" s="4" t="s">
        <v>38847</v>
      </c>
      <c r="B30850" s="6" t="s">
        <v>38849</v>
      </c>
      <c r="C30850" s="5" t="str">
        <f>IFERROR(__xludf.DUMMYFUNCTION("GOOGLETRANSLATE(B30850,""en"",""fr"")"),"Une femme est vue en parlant à la caméra et en montrant plusieurs chiens aux cheveux longs et après.")</f>
        <v>Une femme est vue en parlant à la caméra et en montrant plusieurs chiens aux cheveux longs et après.</v>
      </c>
    </row>
    <row r="30851">
      <c r="A30851" s="4" t="s">
        <v>38847</v>
      </c>
      <c r="B30851" s="6" t="s">
        <v>38850</v>
      </c>
      <c r="C30851" s="5" t="str">
        <f>IFERROR(__xludf.DUMMYFUNCTION("GOOGLETRANSLATE(B30851,""en"",""fr"")"),"La femme continue de se raser sur les côtés du chien tout en s'arrêtant pour parler à la caméra et montrer le chien rasé.")</f>
        <v>La femme continue de se raser sur les côtés du chien tout en s'arrêtant pour parler à la caméra et montrer le chien rasé.</v>
      </c>
    </row>
    <row r="30852">
      <c r="A30852" s="4" t="s">
        <v>38851</v>
      </c>
      <c r="B30852" s="4" t="s">
        <v>38852</v>
      </c>
      <c r="C30852" s="5" t="str">
        <f>IFERROR(__xludf.DUMMYFUNCTION("GOOGLETRANSLATE(B30852,""en"",""fr"")"),"Une personne en manteau noir gratte la glace d'une fenêtre.")</f>
        <v>Une personne en manteau noir gratte la glace d'une fenêtre.</v>
      </c>
    </row>
    <row r="30853">
      <c r="A30853" s="4" t="s">
        <v>38851</v>
      </c>
      <c r="B30853" s="4" t="s">
        <v>38853</v>
      </c>
      <c r="C30853" s="5" t="str">
        <f>IFERROR(__xludf.DUMMYFUNCTION("GOOGLETRANSLATE(B30853,""en"",""fr"")"),"Un enfant en manteau jaune sourit à la caméra.")</f>
        <v>Un enfant en manteau jaune sourit à la caméra.</v>
      </c>
    </row>
    <row r="30854">
      <c r="A30854" s="4" t="s">
        <v>38851</v>
      </c>
      <c r="B30854" s="4" t="s">
        <v>38854</v>
      </c>
      <c r="C30854" s="5" t="str">
        <f>IFERROR(__xludf.DUMMYFUNCTION("GOOGLETRANSLATE(B30854,""en"",""fr"")"),"Un garçon dans une veste verte gratte la glace d'une autre voiture.")</f>
        <v>Un garçon dans une veste verte gratte la glace d'une autre voiture.</v>
      </c>
    </row>
    <row r="30855">
      <c r="A30855" s="4" t="s">
        <v>38855</v>
      </c>
      <c r="B30855" s="6" t="s">
        <v>38856</v>
      </c>
      <c r="C30855" s="5" t="str">
        <f>IFERROR(__xludf.DUMMYFUNCTION("GOOGLETRANSLATE(B30855,""en"",""fr"")"),"La nouvelle montre une photo d'un nom d'homme Albertinho Gazio, pendant ce temps une femme qui sortait de sa maison en équipement de neige vers sa voiture garée.")</f>
        <v>La nouvelle montre une photo d'un nom d'homme Albertinho Gazio, pendant ce temps une femme qui sortait de sa maison en équipement de neige vers sa voiture garée.</v>
      </c>
    </row>
    <row r="30856">
      <c r="A30856" s="4" t="s">
        <v>38855</v>
      </c>
      <c r="B30856" s="6" t="s">
        <v>38857</v>
      </c>
      <c r="C30856" s="5" t="str">
        <f>IFERROR(__xludf.DUMMYFUNCTION("GOOGLETRANSLATE(B30856,""en"",""fr"")"),"L'homme derrière la caméra semble être Albertinho, il marche dans la neige et parle, lui et sa femme et enlevant la neige des voitures dans le parking.")</f>
        <v>L'homme derrière la caméra semble être Albertinho, il marche dans la neige et parle, lui et sa femme et enlevant la neige des voitures dans le parking.</v>
      </c>
    </row>
    <row r="30857">
      <c r="A30857" s="4" t="s">
        <v>38855</v>
      </c>
      <c r="B30857" s="4" t="s">
        <v>38858</v>
      </c>
      <c r="C30857" s="5" t="str">
        <f>IFERROR(__xludf.DUMMYFUNCTION("GOOGLETRANSLATE(B30857,""en"",""fr"")"),"Ses mains sont extrêmement rouges de la neige mais sa femme porte des gants, donc elle n'est pas affectée.")</f>
        <v>Ses mains sont extrêmement rouges de la neige mais sa femme porte des gants, donc elle n'est pas affectée.</v>
      </c>
    </row>
    <row r="30858">
      <c r="A30858" s="4" t="s">
        <v>38855</v>
      </c>
      <c r="B30858" s="6" t="s">
        <v>38859</v>
      </c>
      <c r="C30858" s="5" t="str">
        <f>IFERROR(__xludf.DUMMYFUNCTION("GOOGLETRANSLATE(B30858,""en"",""fr"")"),"Il sort un papier de sa poche et le lit, tandis que sa femme se moque de lui avant de commencer à rentrer à l'intérieur.")</f>
        <v>Il sort un papier de sa poche et le lit, tandis que sa femme se moque de lui avant de commencer à rentrer à l'intérieur.</v>
      </c>
    </row>
    <row r="30859">
      <c r="A30859" s="4" t="s">
        <v>38860</v>
      </c>
      <c r="B30859" s="4" t="s">
        <v>38861</v>
      </c>
      <c r="C30859" s="5" t="str">
        <f>IFERROR(__xludf.DUMMYFUNCTION("GOOGLETRANSLATE(B30859,""en"",""fr"")"),"Une fille a mis son pied sur une ligne puis se remonte.")</f>
        <v>Une fille a mis son pied sur une ligne puis se remonte.</v>
      </c>
    </row>
    <row r="30860">
      <c r="A30860" s="4" t="s">
        <v>38860</v>
      </c>
      <c r="B30860" s="4" t="s">
        <v>38862</v>
      </c>
      <c r="C30860" s="5" t="str">
        <f>IFERROR(__xludf.DUMMYFUNCTION("GOOGLETRANSLATE(B30860,""en"",""fr"")"),"Ses pieds sont sales mais elle essaie d'équilibrer sur la corde.")</f>
        <v>Ses pieds sont sales mais elle essaie d'équilibrer sur la corde.</v>
      </c>
    </row>
    <row r="30861">
      <c r="A30861" s="4" t="s">
        <v>38860</v>
      </c>
      <c r="B30861" s="6" t="s">
        <v>38863</v>
      </c>
      <c r="C30861" s="5" t="str">
        <f>IFERROR(__xludf.DUMMYFUNCTION("GOOGLETRANSLATE(B30861,""en"",""fr"")"),"Un homme se lève sur la corde en essayant de s'équilibrer également, il a du mal à maintenir son équilibre, ce qui se fait presque tomber un peu.")</f>
        <v>Un homme se lève sur la corde en essayant de s'équilibrer également, il a du mal à maintenir son équilibre, ce qui se fait presque tomber un peu.</v>
      </c>
    </row>
    <row r="30862">
      <c r="A30862" s="4" t="s">
        <v>38860</v>
      </c>
      <c r="B30862" s="4" t="s">
        <v>38864</v>
      </c>
      <c r="C30862" s="5" t="str">
        <f>IFERROR(__xludf.DUMMYFUNCTION("GOOGLETRANSLATE(B30862,""en"",""fr"")"),"Il a essayé cela sur l'eau, puis il regarde une femme essayer de s'équilibrer.")</f>
        <v>Il a essayé cela sur l'eau, puis il regarde une femme essayer de s'équilibrer.</v>
      </c>
    </row>
    <row r="30863">
      <c r="A30863" s="4" t="s">
        <v>38865</v>
      </c>
      <c r="B30863" s="6" t="s">
        <v>38866</v>
      </c>
      <c r="C30863" s="5" t="str">
        <f>IFERROR(__xludf.DUMMYFUNCTION("GOOGLETRANSLATE(B30863,""en"",""fr"")"),"Une personne prend les mains d'une petite et grosse brosse et d'un com, et pointe une cruche de détergent et un flacon pulvérisateur.")</f>
        <v>Une personne prend les mains d'une petite et grosse brosse et d'un com, et pointe une cruche de détergent et un flacon pulvérisateur.</v>
      </c>
    </row>
    <row r="30864">
      <c r="A30864" s="4" t="s">
        <v>38865</v>
      </c>
      <c r="B30864" s="4" t="s">
        <v>38867</v>
      </c>
      <c r="C30864" s="5" t="str">
        <f>IFERROR(__xludf.DUMMYFUNCTION("GOOGLETRANSLATE(B30864,""en"",""fr"")"),"La personne prend le gros pinceau et brosse la jambe arrière du chien de haut en bas.")</f>
        <v>La personne prend le gros pinceau et brosse la jambe arrière du chien de haut en bas.</v>
      </c>
    </row>
    <row r="30865">
      <c r="A30865" s="4" t="s">
        <v>38865</v>
      </c>
      <c r="B30865" s="6" t="s">
        <v>38868</v>
      </c>
      <c r="C30865" s="5" t="str">
        <f>IFERROR(__xludf.DUMMYFUNCTION("GOOGLETRANSLATE(B30865,""en"",""fr"")"),"Après, la personne brosse la jambe arrière du chien en utilisant la grosse brosse, puis elle a une petite brosse et le peigne.")</f>
        <v>Après, la personne brosse la jambe arrière du chien en utilisant la grosse brosse, puis elle a une petite brosse et le peigne.</v>
      </c>
    </row>
    <row r="30866">
      <c r="A30866" s="4" t="s">
        <v>38865</v>
      </c>
      <c r="B30866" s="4" t="s">
        <v>38869</v>
      </c>
      <c r="C30866" s="5" t="str">
        <f>IFERROR(__xludf.DUMMYFUNCTION("GOOGLETRANSLATE(B30866,""en"",""fr"")"),"Ensuite, la personne pulvérise la jambe du chien et des peignes.")</f>
        <v>Ensuite, la personne pulvérise la jambe du chien et des peignes.</v>
      </c>
    </row>
    <row r="30867">
      <c r="A30867" s="4" t="s">
        <v>38870</v>
      </c>
      <c r="B30867" s="4" t="s">
        <v>38871</v>
      </c>
      <c r="C30867" s="5" t="str">
        <f>IFERROR(__xludf.DUMMYFUNCTION("GOOGLETRANSLATE(B30867,""en"",""fr"")"),"Une personne joue des cornemas dans les rues alors que les gens passent.")</f>
        <v>Une personne joue des cornemas dans les rues alors que les gens passent.</v>
      </c>
    </row>
    <row r="30868">
      <c r="A30868" s="4" t="s">
        <v>38870</v>
      </c>
      <c r="B30868" s="4" t="s">
        <v>38872</v>
      </c>
      <c r="C30868" s="5" t="str">
        <f>IFERROR(__xludf.DUMMYFUNCTION("GOOGLETRANSLATE(B30868,""en"",""fr"")"),"La foule est montrée et quelqu'un prend une photo avec la femme.")</f>
        <v>La foule est montrée et quelqu'un prend une photo avec la femme.</v>
      </c>
    </row>
    <row r="30869">
      <c r="A30869" s="4" t="s">
        <v>38873</v>
      </c>
      <c r="B30869" s="6" t="s">
        <v>38874</v>
      </c>
      <c r="C30869" s="5" t="str">
        <f>IFERROR(__xludf.DUMMYFUNCTION("GOOGLETRANSLATE(B30869,""en"",""fr"")"),"Il y a une gymnaste portant des justaucorps rouges qui effectuent une gymnastique sur un bar à chevaux dans un grand stade avec des spectateurs et un panel de juges.")</f>
        <v>Il y a une gymnaste portant des justaucorps rouges qui effectuent une gymnastique sur un bar à chevaux dans un grand stade avec des spectateurs et un panel de juges.</v>
      </c>
    </row>
    <row r="30870">
      <c r="A30870" s="4" t="s">
        <v>38873</v>
      </c>
      <c r="B30870" s="4" t="s">
        <v>38875</v>
      </c>
      <c r="C30870" s="5" t="str">
        <f>IFERROR(__xludf.DUMMYFUNCTION("GOOGLETRANSLATE(B30870,""en"",""fr"")"),"Elle commence par monter sur le Horse Bar et fait des flips avant et quelques flips de dos.")</f>
        <v>Elle commence par monter sur le Horse Bar et fait des flips avant et quelques flips de dos.</v>
      </c>
    </row>
    <row r="30871">
      <c r="A30871" s="4" t="s">
        <v>38873</v>
      </c>
      <c r="B30871" s="4" t="s">
        <v>38876</v>
      </c>
      <c r="C30871" s="5" t="str">
        <f>IFERROR(__xludf.DUMMYFUNCTION("GOOGLETRANSLATE(B30871,""en"",""fr"")"),"Puis elle continue de tordre ses jambes et fait un autre côté se retourne en tournant son corps.")</f>
        <v>Puis elle continue de tordre ses jambes et fait un autre côté se retourne en tournant son corps.</v>
      </c>
    </row>
    <row r="30872">
      <c r="A30872" s="4" t="s">
        <v>38873</v>
      </c>
      <c r="B30872" s="4" t="s">
        <v>38877</v>
      </c>
      <c r="C30872" s="5" t="str">
        <f>IFERROR(__xludf.DUMMYFUNCTION("GOOGLETRANSLATE(B30872,""en"",""fr"")"),"Elle fait ensuite gracieusement peu de flips de dos plus continus et saute du bar et s'éloigne.")</f>
        <v>Elle fait ensuite gracieusement peu de flips de dos plus continus et saute du bar et s'éloigne.</v>
      </c>
    </row>
    <row r="30873">
      <c r="A30873" s="4" t="s">
        <v>38878</v>
      </c>
      <c r="B30873" s="4" t="s">
        <v>38879</v>
      </c>
      <c r="C30873" s="5" t="str">
        <f>IFERROR(__xludf.DUMMYFUNCTION("GOOGLETRANSLATE(B30873,""en"",""fr"")"),"Deux sumos se tiennent face à face sur le devant une femme.")</f>
        <v>Deux sumos se tiennent face à face sur le devant une femme.</v>
      </c>
    </row>
    <row r="30874">
      <c r="A30874" s="4" t="s">
        <v>38878</v>
      </c>
      <c r="B30874" s="4" t="s">
        <v>38880</v>
      </c>
      <c r="C30874" s="5" t="str">
        <f>IFERROR(__xludf.DUMMYFUNCTION("GOOGLETRANSLATE(B30874,""en"",""fr"")"),"Ensuite, les sumos se poussent pendant que la femme les regarde.")</f>
        <v>Ensuite, les sumos se poussent pendant que la femme les regarde.</v>
      </c>
    </row>
    <row r="30875">
      <c r="A30875" s="4" t="s">
        <v>38878</v>
      </c>
      <c r="B30875" s="4" t="s">
        <v>38881</v>
      </c>
      <c r="C30875" s="5" t="str">
        <f>IFERROR(__xludf.DUMMYFUNCTION("GOOGLETRANSLATE(B30875,""en"",""fr"")"),"Après, un sumo tombe fortement au sol, puis il se lève.")</f>
        <v>Après, un sumo tombe fortement au sol, puis il se lève.</v>
      </c>
    </row>
    <row r="30876">
      <c r="A30876" s="4" t="s">
        <v>38878</v>
      </c>
      <c r="B30876" s="4" t="s">
        <v>38882</v>
      </c>
      <c r="C30876" s="5" t="str">
        <f>IFERROR(__xludf.DUMMYFUNCTION("GOOGLETRANSLATE(B30876,""en"",""fr"")"),"Un homme portant des vêtements jaunes s'approche de la bague.")</f>
        <v>Un homme portant des vêtements jaunes s'approche de la bague.</v>
      </c>
    </row>
    <row r="30877">
      <c r="A30877" s="4" t="s">
        <v>38883</v>
      </c>
      <c r="B30877" s="4" t="s">
        <v>38884</v>
      </c>
      <c r="C30877" s="5" t="str">
        <f>IFERROR(__xludf.DUMMYFUNCTION("GOOGLETRANSLATE(B30877,""en"",""fr"")"),"Cinq produits sont alignés sur une table, illustrant les produits nécessaires pour se raser.")</f>
        <v>Cinq produits sont alignés sur une table, illustrant les produits nécessaires pour se raser.</v>
      </c>
    </row>
    <row r="30878">
      <c r="A30878" s="4" t="s">
        <v>38883</v>
      </c>
      <c r="B30878" s="4" t="s">
        <v>38885</v>
      </c>
      <c r="C30878" s="5" t="str">
        <f>IFERROR(__xludf.DUMMYFUNCTION("GOOGLETRANSLATE(B30878,""en"",""fr"")"),"Un jeune homme blanc entre dans la salle de bain, allume l'eau et commence à se frotter la barbe.")</f>
        <v>Un jeune homme blanc entre dans la salle de bain, allume l'eau et commence à se frotter la barbe.</v>
      </c>
    </row>
    <row r="30879">
      <c r="A30879" s="4" t="s">
        <v>38883</v>
      </c>
      <c r="B30879" s="6" t="s">
        <v>38886</v>
      </c>
      <c r="C30879" s="5" t="str">
        <f>IFERROR(__xludf.DUMMYFUNCTION("GOOGLETRANSLATE(B30879,""en"",""fr"")"),"Une série de différentes formes de produit est montrée, puis l'homme prépare sa peau d'huile et la met autour de sa barbe.")</f>
        <v>Une série de différentes formes de produit est montrée, puis l'homme prépare sa peau d'huile et la met autour de sa barbe.</v>
      </c>
    </row>
    <row r="30880">
      <c r="A30880" s="4" t="s">
        <v>38883</v>
      </c>
      <c r="B30880" s="4" t="s">
        <v>38887</v>
      </c>
      <c r="C30880" s="5" t="str">
        <f>IFERROR(__xludf.DUMMYFUNCTION("GOOGLETRANSLATE(B30880,""en"",""fr"")"),"Vient ensuite la brosse et il y ajoute de la crème blanche pour faire mousser ses cheveux.")</f>
        <v>Vient ensuite la brosse et il y ajoute de la crème blanche pour faire mousser ses cheveux.</v>
      </c>
    </row>
    <row r="30881">
      <c r="A30881" s="4" t="s">
        <v>38883</v>
      </c>
      <c r="B30881" s="4" t="s">
        <v>38888</v>
      </c>
      <c r="C30881" s="5" t="str">
        <f>IFERROR(__xludf.DUMMYFUNCTION("GOOGLETRANSLATE(B30881,""en"",""fr"")"),"Enfin, il est temps de se raser et la barbe est complètement baissée.")</f>
        <v>Enfin, il est temps de se raser et la barbe est complètement baissée.</v>
      </c>
    </row>
    <row r="30882">
      <c r="A30882" s="4" t="s">
        <v>38883</v>
      </c>
      <c r="B30882" s="4" t="s">
        <v>38889</v>
      </c>
      <c r="C30882" s="5" t="str">
        <f>IFERROR(__xludf.DUMMYFUNCTION("GOOGLETRANSLATE(B30882,""en"",""fr"")"),"Pour la touche finale, la lotion est ajoutée et l'homme est maintenant vêtu d'un costume prêt à partir.")</f>
        <v>Pour la touche finale, la lotion est ajoutée et l'homme est maintenant vêtu d'un costume prêt à partir.</v>
      </c>
    </row>
    <row r="30883">
      <c r="A30883" s="4" t="s">
        <v>38890</v>
      </c>
      <c r="B30883" s="4" t="s">
        <v>38891</v>
      </c>
      <c r="C30883" s="5" t="str">
        <f>IFERROR(__xludf.DUMMYFUNCTION("GOOGLETRANSLATE(B30883,""en"",""fr"")"),"Un homme portant un chapeau est vu à la caméra et en tenant divers produits de nettoyage.")</f>
        <v>Un homme portant un chapeau est vu à la caméra et en tenant divers produits de nettoyage.</v>
      </c>
    </row>
    <row r="30884">
      <c r="A30884" s="4" t="s">
        <v>38890</v>
      </c>
      <c r="B30884" s="4" t="s">
        <v>38892</v>
      </c>
      <c r="C30884" s="5" t="str">
        <f>IFERROR(__xludf.DUMMYFUNCTION("GOOGLETRANSLATE(B30884,""en"",""fr"")"),"Il tient ensuite une bouteille et un chiffon et commence à essuyer une porte de classe.")</f>
        <v>Il tient ensuite une bouteille et un chiffon et commence à essuyer une porte de classe.</v>
      </c>
    </row>
    <row r="30885">
      <c r="A30885" s="4" t="s">
        <v>38890</v>
      </c>
      <c r="B30885" s="4" t="s">
        <v>38893</v>
      </c>
      <c r="C30885" s="5" t="str">
        <f>IFERROR(__xludf.DUMMYFUNCTION("GOOGLETRANSLATE(B30885,""en"",""fr"")"),"Il continue d'essuyer une porte et de parler à la caméra.")</f>
        <v>Il continue d'essuyer une porte et de parler à la caméra.</v>
      </c>
    </row>
    <row r="30886">
      <c r="A30886" s="4" t="s">
        <v>38894</v>
      </c>
      <c r="B30886" s="4" t="s">
        <v>38895</v>
      </c>
      <c r="C30886" s="5" t="str">
        <f>IFERROR(__xludf.DUMMYFUNCTION("GOOGLETRANSLATE(B30886,""en"",""fr"")"),"Un homme parle à la caméra tout en coiffant les cheveux d'une femme.")</f>
        <v>Un homme parle à la caméra tout en coiffant les cheveux d'une femme.</v>
      </c>
    </row>
    <row r="30887">
      <c r="A30887" s="4" t="s">
        <v>38894</v>
      </c>
      <c r="B30887" s="4" t="s">
        <v>38896</v>
      </c>
      <c r="C30887" s="5" t="str">
        <f>IFERROR(__xludf.DUMMYFUNCTION("GOOGLETRANSLATE(B30887,""en"",""fr"")"),"L'homme montre divers produits de soins capillaires.")</f>
        <v>L'homme montre divers produits de soins capillaires.</v>
      </c>
    </row>
    <row r="30888">
      <c r="A30888" s="4" t="s">
        <v>38894</v>
      </c>
      <c r="B30888" s="4" t="s">
        <v>38897</v>
      </c>
      <c r="C30888" s="5" t="str">
        <f>IFERROR(__xludf.DUMMYFUNCTION("GOOGLETRANSLATE(B30888,""en"",""fr"")"),"L'homme sèche les cheveux de la femme avec un sèche-linge.")</f>
        <v>L'homme sèche les cheveux de la femme avec un sèche-linge.</v>
      </c>
    </row>
    <row r="30889">
      <c r="A30889" s="4" t="s">
        <v>38894</v>
      </c>
      <c r="B30889" s="4" t="s">
        <v>38898</v>
      </c>
      <c r="C30889" s="5" t="str">
        <f>IFERROR(__xludf.DUMMYFUNCTION("GOOGLETRANSLATE(B30889,""en"",""fr"")"),"L'homme montre une brosse à cheveux.")</f>
        <v>L'homme montre une brosse à cheveux.</v>
      </c>
    </row>
    <row r="30890">
      <c r="A30890" s="4" t="s">
        <v>38894</v>
      </c>
      <c r="B30890" s="4" t="s">
        <v>38899</v>
      </c>
      <c r="C30890" s="5" t="str">
        <f>IFERROR(__xludf.DUMMYFUNCTION("GOOGLETRANSLATE(B30890,""en"",""fr"")"),"L'homme tend la femme le pinceau et le sèche-linge.")</f>
        <v>L'homme tend la femme le pinceau et le sèche-linge.</v>
      </c>
    </row>
    <row r="30891">
      <c r="A30891" s="4" t="s">
        <v>38894</v>
      </c>
      <c r="B30891" s="4" t="s">
        <v>38900</v>
      </c>
      <c r="C30891" s="5" t="str">
        <f>IFERROR(__xludf.DUMMYFUNCTION("GOOGLETRANSLATE(B30891,""en"",""fr"")"),"La femme continue de sécher ses propres cheveux.")</f>
        <v>La femme continue de sécher ses propres cheveux.</v>
      </c>
    </row>
    <row r="30892">
      <c r="A30892" s="4" t="s">
        <v>38894</v>
      </c>
      <c r="B30892" s="4" t="s">
        <v>38901</v>
      </c>
      <c r="C30892" s="5" t="str">
        <f>IFERROR(__xludf.DUMMYFUNCTION("GOOGLETRANSLATE(B30892,""en"",""fr"")"),"L'homme reprend le séchage des cheveux de la femme.")</f>
        <v>L'homme reprend le séchage des cheveux de la femme.</v>
      </c>
    </row>
    <row r="30893">
      <c r="A30893" s="4" t="s">
        <v>38894</v>
      </c>
      <c r="B30893" s="4" t="s">
        <v>38902</v>
      </c>
      <c r="C30893" s="5" t="str">
        <f>IFERROR(__xludf.DUMMYFUNCTION("GOOGLETRANSLATE(B30893,""en"",""fr"")"),"L'homme pulvérise les cheveux de la femme avec un marécage.")</f>
        <v>L'homme pulvérise les cheveux de la femme avec un marécage.</v>
      </c>
    </row>
    <row r="30894">
      <c r="A30894" s="4" t="s">
        <v>38894</v>
      </c>
      <c r="B30894" s="4" t="s">
        <v>38903</v>
      </c>
      <c r="C30894" s="5" t="str">
        <f>IFERROR(__xludf.DUMMYFUNCTION("GOOGLETRANSLATE(B30894,""en"",""fr"")"),"Une rangée de produits de soins capillaires est montré.")</f>
        <v>Une rangée de produits de soins capillaires est montré.</v>
      </c>
    </row>
    <row r="30895">
      <c r="A30895" s="4" t="s">
        <v>38894</v>
      </c>
      <c r="B30895" s="4" t="s">
        <v>38904</v>
      </c>
      <c r="C30895" s="5" t="str">
        <f>IFERROR(__xludf.DUMMYFUNCTION("GOOGLETRANSLATE(B30895,""en"",""fr"")"),"Un logo pour les produits de soins capillaires est montré.")</f>
        <v>Un logo pour les produits de soins capillaires est montré.</v>
      </c>
    </row>
    <row r="30896">
      <c r="A30896" s="4" t="s">
        <v>38905</v>
      </c>
      <c r="B30896" s="4" t="s">
        <v>38906</v>
      </c>
      <c r="C30896" s="5" t="str">
        <f>IFERROR(__xludf.DUMMYFUNCTION("GOOGLETRANSLATE(B30896,""en"",""fr"")"),"Un groupe de personnes est dans l'arrière-cour d'une maison, jouant à Croquette.")</f>
        <v>Un groupe de personnes est dans l'arrière-cour d'une maison, jouant à Croquette.</v>
      </c>
    </row>
    <row r="30897">
      <c r="A30897" s="4" t="s">
        <v>38905</v>
      </c>
      <c r="B30897" s="4" t="s">
        <v>38907</v>
      </c>
      <c r="C30897" s="5" t="str">
        <f>IFERROR(__xludf.DUMMYFUNCTION("GOOGLETRANSLATE(B30897,""en"",""fr"")"),"Une femme utilise le maillet pour frapper le ballon, puis d'autres se joignent.")</f>
        <v>Une femme utilise le maillet pour frapper le ballon, puis d'autres se joignent.</v>
      </c>
    </row>
    <row r="30898">
      <c r="A30898" s="4" t="s">
        <v>38905</v>
      </c>
      <c r="B30898" s="6" t="s">
        <v>38908</v>
      </c>
      <c r="C30898" s="5" t="str">
        <f>IFERROR(__xludf.DUMMYFUNCTION("GOOGLETRANSLATE(B30898,""en"",""fr"")"),"Un homme tenant un maillet et une balle parle du processus de jouer au jeu, de jouer et de frapper le ballon et il l'explique.")</f>
        <v>Un homme tenant un maillet et une balle parle du processus de jouer au jeu, de jouer et de frapper le ballon et il l'explique.</v>
      </c>
    </row>
    <row r="30899">
      <c r="A30899" s="4" t="s">
        <v>38905</v>
      </c>
      <c r="B30899" s="4" t="s">
        <v>38909</v>
      </c>
      <c r="C30899" s="5" t="str">
        <f>IFERROR(__xludf.DUMMYFUNCTION("GOOGLETRANSLATE(B30899,""en"",""fr"")"),"Il met ensuite ses bras à ses côtés.")</f>
        <v>Il met ensuite ses bras à ses côtés.</v>
      </c>
    </row>
    <row r="30900">
      <c r="A30900" s="4" t="s">
        <v>38910</v>
      </c>
      <c r="B30900" s="6" t="s">
        <v>38911</v>
      </c>
      <c r="C30900" s="5" t="str">
        <f>IFERROR(__xludf.DUMMYFUNCTION("GOOGLETRANSLATE(B30900,""en"",""fr"")"),"Un cercle est formé de plusieurs enfants qui se parlent et se frappent dans la tête avec des maillets en mousse.")</f>
        <v>Un cercle est formé de plusieurs enfants qui se parlent et se frappent dans la tête avec des maillets en mousse.</v>
      </c>
    </row>
    <row r="30901">
      <c r="A30901" s="4" t="s">
        <v>38910</v>
      </c>
      <c r="B30901" s="4" t="s">
        <v>38912</v>
      </c>
      <c r="C30901" s="5" t="str">
        <f>IFERROR(__xludf.DUMMYFUNCTION("GOOGLETRANSLATE(B30901,""en"",""fr"")"),"Les autres rient en regardant.")</f>
        <v>Les autres rient en regardant.</v>
      </c>
    </row>
    <row r="30902">
      <c r="A30902" s="4" t="s">
        <v>38913</v>
      </c>
      <c r="B30902" s="4" t="s">
        <v>38914</v>
      </c>
      <c r="C30902" s="5" t="str">
        <f>IFERROR(__xludf.DUMMYFUNCTION("GOOGLETRANSLATE(B30902,""en"",""fr"")"),"Nous voyons une piste avec des gens debout.")</f>
        <v>Nous voyons une piste avec des gens debout.</v>
      </c>
    </row>
    <row r="30903">
      <c r="A30903" s="4" t="s">
        <v>38913</v>
      </c>
      <c r="B30903" s="4" t="s">
        <v>38915</v>
      </c>
      <c r="C30903" s="5" t="str">
        <f>IFERROR(__xludf.DUMMYFUNCTION("GOOGLETRANSLATE(B30903,""en"",""fr"")"),"Nous voyons un homme avec une course de javelot.")</f>
        <v>Nous voyons un homme avec une course de javelot.</v>
      </c>
    </row>
    <row r="30904">
      <c r="A30904" s="4" t="s">
        <v>38913</v>
      </c>
      <c r="B30904" s="4" t="s">
        <v>38916</v>
      </c>
      <c r="C30904" s="5" t="str">
        <f>IFERROR(__xludf.DUMMYFUNCTION("GOOGLETRANSLATE(B30904,""en"",""fr"")"),"L'homme revient et nous voyons un autre lanceur de javelot avec lui.")</f>
        <v>L'homme revient et nous voyons un autre lanceur de javelot avec lui.</v>
      </c>
    </row>
    <row r="30905">
      <c r="A30905" s="4" t="s">
        <v>38913</v>
      </c>
      <c r="B30905" s="4" t="s">
        <v>38917</v>
      </c>
      <c r="C30905" s="5" t="str">
        <f>IFERROR(__xludf.DUMMYFUNCTION("GOOGLETRANSLATE(B30905,""en"",""fr"")"),"Un homme en rouge et blanc court sur une piste et effectue un saut en hauteur.")</f>
        <v>Un homme en rouge et blanc court sur une piste et effectue un saut en hauteur.</v>
      </c>
    </row>
    <row r="30906">
      <c r="A30906" s="4" t="s">
        <v>38913</v>
      </c>
      <c r="B30906" s="4" t="s">
        <v>38918</v>
      </c>
      <c r="C30906" s="5" t="str">
        <f>IFERROR(__xludf.DUMMYFUNCTION("GOOGLETRANSLATE(B30906,""en"",""fr"")"),"La caméra est abaissée et recouverte d'une main.")</f>
        <v>La caméra est abaissée et recouverte d'une main.</v>
      </c>
    </row>
    <row r="30907">
      <c r="A30907" s="4" t="s">
        <v>38919</v>
      </c>
      <c r="B30907" s="4" t="s">
        <v>38920</v>
      </c>
      <c r="C30907" s="5" t="str">
        <f>IFERROR(__xludf.DUMMYFUNCTION("GOOGLETRANSLATE(B30907,""en"",""fr"")"),"Un homme est montré en faisant un saut au ralenti sur une piste à plusieurs reprises.")</f>
        <v>Un homme est montré en faisant un saut au ralenti sur une piste à plusieurs reprises.</v>
      </c>
    </row>
    <row r="30908">
      <c r="A30908" s="4" t="s">
        <v>38919</v>
      </c>
      <c r="B30908" s="6" t="s">
        <v>38921</v>
      </c>
      <c r="C30908" s="5" t="str">
        <f>IFERROR(__xludf.DUMMYFUNCTION("GOOGLETRANSLATE(B30908,""en"",""fr"")"),"La caméra montre plusieurs angles différents de l'athlète sautant dans une ligne ainsi que dans la fosse sur le sable.")</f>
        <v>La caméra montre plusieurs angles différents de l'athlète sautant dans une ligne ainsi que dans la fosse sur le sable.</v>
      </c>
    </row>
    <row r="30909">
      <c r="A30909" s="4" t="s">
        <v>38919</v>
      </c>
      <c r="B30909" s="4" t="s">
        <v>38922</v>
      </c>
      <c r="C30909" s="5" t="str">
        <f>IFERROR(__xludf.DUMMYFUNCTION("GOOGLETRANSLATE(B30909,""en"",""fr"")"),"Il effectue plusieurs sauts en longueur et montre sa distance acquise.")</f>
        <v>Il effectue plusieurs sauts en longueur et montre sa distance acquise.</v>
      </c>
    </row>
    <row r="30910">
      <c r="A30910" s="4" t="s">
        <v>38923</v>
      </c>
      <c r="B30910" s="4" t="s">
        <v>38924</v>
      </c>
      <c r="C30910" s="5" t="str">
        <f>IFERROR(__xludf.DUMMYFUNCTION("GOOGLETRANSLATE(B30910,""en"",""fr"")"),"Une fille allume une cigarette et souffle de la fumée.")</f>
        <v>Une fille allume une cigarette et souffle de la fumée.</v>
      </c>
    </row>
    <row r="30911">
      <c r="A30911" s="4" t="s">
        <v>38923</v>
      </c>
      <c r="B30911" s="4" t="s">
        <v>38925</v>
      </c>
      <c r="C30911" s="5" t="str">
        <f>IFERROR(__xludf.DUMMYFUNCTION("GOOGLETRANSLATE(B30911,""en"",""fr"")"),"Un bras apparaît et la fille le sent.")</f>
        <v>Un bras apparaît et la fille le sent.</v>
      </c>
    </row>
    <row r="30912">
      <c r="A30912" s="4" t="s">
        <v>38923</v>
      </c>
      <c r="B30912" s="4" t="s">
        <v>38926</v>
      </c>
      <c r="C30912" s="5" t="str">
        <f>IFERROR(__xludf.DUMMYFUNCTION("GOOGLETRANSLATE(B30912,""en"",""fr"")"),"Elle fume un peu plus et souffle de la fumée alors qu'elle joue avec ses cheveux.")</f>
        <v>Elle fume un peu plus et souffle de la fumée alors qu'elle joue avec ses cheveux.</v>
      </c>
    </row>
    <row r="30913">
      <c r="A30913" s="4" t="s">
        <v>38923</v>
      </c>
      <c r="B30913" s="4" t="s">
        <v>38927</v>
      </c>
      <c r="C30913" s="5" t="str">
        <f>IFERROR(__xludf.DUMMYFUNCTION("GOOGLETRANSLATE(B30913,""en"",""fr"")"),"Elle dit quelque chose à la caméra alors qu'elle fume.")</f>
        <v>Elle dit quelque chose à la caméra alors qu'elle fume.</v>
      </c>
    </row>
    <row r="30914">
      <c r="A30914" s="4" t="s">
        <v>38923</v>
      </c>
      <c r="B30914" s="4" t="s">
        <v>38928</v>
      </c>
      <c r="C30914" s="5" t="str">
        <f>IFERROR(__xludf.DUMMYFUNCTION("GOOGLETRANSLATE(B30914,""en"",""fr"")"),"Elle frappe ses cendres et continue de fumer.")</f>
        <v>Elle frappe ses cendres et continue de fumer.</v>
      </c>
    </row>
    <row r="30915">
      <c r="A30915" s="4" t="s">
        <v>38923</v>
      </c>
      <c r="B30915" s="4" t="s">
        <v>38929</v>
      </c>
      <c r="C30915" s="5" t="str">
        <f>IFERROR(__xludf.DUMMYFUNCTION("GOOGLETRANSLATE(B30915,""en"",""fr"")"),"Elle se retourne puis est de retour pour fumer.")</f>
        <v>Elle se retourne puis est de retour pour fumer.</v>
      </c>
    </row>
    <row r="30916">
      <c r="A30916" s="4" t="s">
        <v>38923</v>
      </c>
      <c r="B30916" s="4" t="s">
        <v>38930</v>
      </c>
      <c r="C30916" s="5" t="str">
        <f>IFERROR(__xludf.DUMMYFUNCTION("GOOGLETRANSLATE(B30916,""en"",""fr"")"),"Elle sort sa langue.")</f>
        <v>Elle sort sa langue.</v>
      </c>
    </row>
    <row r="30917">
      <c r="A30917" s="4" t="s">
        <v>38923</v>
      </c>
      <c r="B30917" s="4" t="s">
        <v>38931</v>
      </c>
      <c r="C30917" s="5" t="str">
        <f>IFERROR(__xludf.DUMMYFUNCTION("GOOGLETRANSLATE(B30917,""en"",""fr"")"),"Elle passe sur une photo d'une femme folle et essaie de l'imiter.")</f>
        <v>Elle passe sur une photo d'une femme folle et essaie de l'imiter.</v>
      </c>
    </row>
    <row r="30918">
      <c r="A30918" s="4" t="s">
        <v>38923</v>
      </c>
      <c r="B30918" s="4" t="s">
        <v>38932</v>
      </c>
      <c r="C30918" s="5" t="str">
        <f>IFERROR(__xludf.DUMMYFUNCTION("GOOGLETRANSLATE(B30918,""en"",""fr"")"),"Elle continue de fumer et de parler à la caméra.")</f>
        <v>Elle continue de fumer et de parler à la caméra.</v>
      </c>
    </row>
    <row r="30919">
      <c r="A30919" s="4" t="s">
        <v>38923</v>
      </c>
      <c r="B30919" s="4" t="s">
        <v>38933</v>
      </c>
      <c r="C30919" s="5" t="str">
        <f>IFERROR(__xludf.DUMMYFUNCTION("GOOGLETRANSLATE(B30919,""en"",""fr"")"),"Elle fait des visages à la caméra.")</f>
        <v>Elle fait des visages à la caméra.</v>
      </c>
    </row>
    <row r="30920">
      <c r="A30920" s="4" t="s">
        <v>38923</v>
      </c>
      <c r="B30920" s="4" t="s">
        <v>38934</v>
      </c>
      <c r="C30920" s="5" t="str">
        <f>IFERROR(__xludf.DUMMYFUNCTION("GOOGLETRANSLATE(B30920,""en"",""fr"")"),"Elle se rapproche de la caméra alors que quelqu'un marche derrière elle.")</f>
        <v>Elle se rapproche de la caméra alors que quelqu'un marche derrière elle.</v>
      </c>
    </row>
    <row r="30921">
      <c r="A30921" s="4" t="s">
        <v>38935</v>
      </c>
      <c r="B30921" s="6" t="s">
        <v>38936</v>
      </c>
      <c r="C30921" s="5" t="str">
        <f>IFERROR(__xludf.DUMMYFUNCTION("GOOGLETRANSLATE(B30921,""en"",""fr"")"),"On voit les mains d'une personne travailler sur la tête d'un humain et placer des morceaux de cheveux dans la tête.")</f>
        <v>On voit les mains d'une personne travailler sur la tête d'un humain et placer des morceaux de cheveux dans la tête.</v>
      </c>
    </row>
    <row r="30922">
      <c r="A30922" s="4" t="s">
        <v>38935</v>
      </c>
      <c r="B30922" s="6" t="s">
        <v>38937</v>
      </c>
      <c r="C30922" s="5" t="str">
        <f>IFERROR(__xludf.DUMMYFUNCTION("GOOGLETRANSLATE(B30922,""en"",""fr"")"),"La personne attache les cheveux en plusieurs tresses, puis transitions en photos des cheveux dans un chignon.")</f>
        <v>La personne attache les cheveux en plusieurs tresses, puis transitions en photos des cheveux dans un chignon.</v>
      </c>
    </row>
    <row r="30923">
      <c r="A30923" s="4" t="s">
        <v>38938</v>
      </c>
      <c r="B30923" s="4" t="s">
        <v>38939</v>
      </c>
      <c r="C30923" s="5" t="str">
        <f>IFERROR(__xludf.DUMMYFUNCTION("GOOGLETRANSLATE(B30923,""en"",""fr"")"),"Une femme fait des cerceaux à l'extérieur, puis dans l'obscurité en alternant.")</f>
        <v>Une femme fait des cerceaux à l'extérieur, puis dans l'obscurité en alternant.</v>
      </c>
    </row>
    <row r="30924">
      <c r="A30924" s="4" t="s">
        <v>38938</v>
      </c>
      <c r="B30924" s="4" t="s">
        <v>38940</v>
      </c>
      <c r="C30924" s="5" t="str">
        <f>IFERROR(__xludf.DUMMYFUNCTION("GOOGLETRANSLATE(B30924,""en"",""fr"")"),"Un homme prend un cerceau et le décrit avant de revenir à la femme.")</f>
        <v>Un homme prend un cerceau et le décrit avant de revenir à la femme.</v>
      </c>
    </row>
    <row r="30925">
      <c r="A30925" s="4" t="s">
        <v>38941</v>
      </c>
      <c r="B30925" s="4" t="s">
        <v>38942</v>
      </c>
      <c r="C30925" s="5" t="str">
        <f>IFERROR(__xludf.DUMMYFUNCTION("GOOGLETRANSLATE(B30925,""en"",""fr"")"),"Un homme est vu se pencher sur un bloc de bois et son ponçage.")</f>
        <v>Un homme est vu se pencher sur un bloc de bois et son ponçage.</v>
      </c>
    </row>
    <row r="30926">
      <c r="A30926" s="4" t="s">
        <v>38941</v>
      </c>
      <c r="B30926" s="4" t="s">
        <v>38943</v>
      </c>
      <c r="C30926" s="5" t="str">
        <f>IFERROR(__xludf.DUMMYFUNCTION("GOOGLETRANSLATE(B30926,""en"",""fr"")"),"Il verse plus de liquides devant un groupe de personnes et le frotte tout au long du bloc de bois.")</f>
        <v>Il verse plus de liquides devant un groupe de personnes et le frotte tout au long du bloc de bois.</v>
      </c>
    </row>
    <row r="30927">
      <c r="A30927" s="4" t="s">
        <v>38941</v>
      </c>
      <c r="B30927" s="4" t="s">
        <v>38944</v>
      </c>
      <c r="C30927" s="5" t="str">
        <f>IFERROR(__xludf.DUMMYFUNCTION("GOOGLETRANSLATE(B30927,""en"",""fr"")"),"Il continue de le frotter pendant que les gens sur la touche regardent.")</f>
        <v>Il continue de le frotter pendant que les gens sur la touche regardent.</v>
      </c>
    </row>
    <row r="30928">
      <c r="A30928" s="4" t="s">
        <v>38945</v>
      </c>
      <c r="B30928" s="4" t="s">
        <v>38946</v>
      </c>
      <c r="C30928" s="5" t="str">
        <f>IFERROR(__xludf.DUMMYFUNCTION("GOOGLETRANSLATE(B30928,""en"",""fr"")"),"Un gros plan d'un arbre de Noël est montré suivi d'un jeune enfant suspendu des ornements.")</f>
        <v>Un gros plan d'un arbre de Noël est montré suivi d'un jeune enfant suspendu des ornements.</v>
      </c>
    </row>
    <row r="30929">
      <c r="A30929" s="4" t="s">
        <v>38945</v>
      </c>
      <c r="B30929" s="4" t="s">
        <v>38947</v>
      </c>
      <c r="C30929" s="5" t="str">
        <f>IFERROR(__xludf.DUMMYFUNCTION("GOOGLETRANSLATE(B30929,""en"",""fr"")"),"La fille revient et la quatrième raccrocher sur un arbre.")</f>
        <v>La fille revient et la quatrième raccrocher sur un arbre.</v>
      </c>
    </row>
    <row r="30930">
      <c r="A30930" s="4" t="s">
        <v>38945</v>
      </c>
      <c r="B30930" s="4" t="s">
        <v>38948</v>
      </c>
      <c r="C30930" s="5" t="str">
        <f>IFERROR(__xludf.DUMMYFUNCTION("GOOGLETRANSLATE(B30930,""en"",""fr"")"),"La fille continue de raccrocher les ornements pendant que la caméra capture ses mouvements.")</f>
        <v>La fille continue de raccrocher les ornements pendant que la caméra capture ses mouvements.</v>
      </c>
    </row>
    <row r="30931">
      <c r="A30931" s="4" t="s">
        <v>38949</v>
      </c>
      <c r="B30931" s="4" t="s">
        <v>38950</v>
      </c>
      <c r="C30931" s="5" t="str">
        <f>IFERROR(__xludf.DUMMYFUNCTION("GOOGLETRANSLATE(B30931,""en"",""fr"")"),"Un homme décolle une pomme de terre tandis que les yeux bandés et deux petites filles regardent.")</f>
        <v>Un homme décolle une pomme de terre tandis que les yeux bandés et deux petites filles regardent.</v>
      </c>
    </row>
    <row r="30932">
      <c r="A30932" s="4" t="s">
        <v>38949</v>
      </c>
      <c r="B30932" s="4" t="s">
        <v>38951</v>
      </c>
      <c r="C30932" s="5" t="str">
        <f>IFERROR(__xludf.DUMMYFUNCTION("GOOGLETRANSLATE(B30932,""en"",""fr"")"),"L'homme finit et maintient la pomme de terre jusqu'à la caméra.")</f>
        <v>L'homme finit et maintient la pomme de terre jusqu'à la caméra.</v>
      </c>
    </row>
    <row r="30933">
      <c r="A30933" s="4" t="s">
        <v>38949</v>
      </c>
      <c r="B30933" s="4" t="s">
        <v>38952</v>
      </c>
      <c r="C30933" s="5" t="str">
        <f>IFERROR(__xludf.DUMMYFUNCTION("GOOGLETRANSLATE(B30933,""en"",""fr"")"),"L'homme ramasse une pelage de la table.")</f>
        <v>L'homme ramasse une pelage de la table.</v>
      </c>
    </row>
    <row r="30934">
      <c r="A30934" s="4" t="s">
        <v>38949</v>
      </c>
      <c r="B30934" s="4" t="s">
        <v>38953</v>
      </c>
      <c r="C30934" s="5" t="str">
        <f>IFERROR(__xludf.DUMMYFUNCTION("GOOGLETRANSLATE(B30934,""en"",""fr"")"),"L'homme enlève son bandeau.")</f>
        <v>L'homme enlève son bandeau.</v>
      </c>
    </row>
    <row r="30935">
      <c r="A30935" s="4" t="s">
        <v>38954</v>
      </c>
      <c r="B30935" s="4" t="s">
        <v>38955</v>
      </c>
      <c r="C30935" s="5" t="str">
        <f>IFERROR(__xludf.DUMMYFUNCTION("GOOGLETRANSLATE(B30935,""en"",""fr"")"),"La vidéo commence avec plusieurs personnes jouant au shuffleboard sur un terrain de shuffleboard.")</f>
        <v>La vidéo commence avec plusieurs personnes jouant au shuffleboard sur un terrain de shuffleboard.</v>
      </c>
    </row>
    <row r="30936">
      <c r="A30936" s="4" t="s">
        <v>38954</v>
      </c>
      <c r="B30936" s="4" t="s">
        <v>38956</v>
      </c>
      <c r="C30936" s="5" t="str">
        <f>IFERROR(__xludf.DUMMYFUNCTION("GOOGLETRANSLATE(B30936,""en"",""fr"")"),"Une personne fait un coup de feu avec une rondelle noire.")</f>
        <v>Une personne fait un coup de feu avec une rondelle noire.</v>
      </c>
    </row>
    <row r="30937">
      <c r="A30937" s="4" t="s">
        <v>38954</v>
      </c>
      <c r="B30937" s="4" t="s">
        <v>38957</v>
      </c>
      <c r="C30937" s="5" t="str">
        <f>IFERROR(__xludf.DUMMYFUNCTION("GOOGLETRANSLATE(B30937,""en"",""fr"")"),"La personne suivante fait un coup de feu avec une rondelle jaune.")</f>
        <v>La personne suivante fait un coup de feu avec une rondelle jaune.</v>
      </c>
    </row>
    <row r="30938">
      <c r="A30938" s="4" t="s">
        <v>38954</v>
      </c>
      <c r="B30938" s="4" t="s">
        <v>38958</v>
      </c>
      <c r="C30938" s="5" t="str">
        <f>IFERROR(__xludf.DUMMYFUNCTION("GOOGLETRANSLATE(B30938,""en"",""fr"")"),"Les gens continuent d'alterner des coups entre un puck jaune et une rondelle noire.")</f>
        <v>Les gens continuent d'alterner des coups entre un puck jaune et une rondelle noire.</v>
      </c>
    </row>
    <row r="30939">
      <c r="A30939" s="4" t="s">
        <v>38959</v>
      </c>
      <c r="B30939" s="4" t="s">
        <v>38960</v>
      </c>
      <c r="C30939" s="5" t="str">
        <f>IFERROR(__xludf.DUMMYFUNCTION("GOOGLETRANSLATE(B30939,""en"",""fr"")"),"Un homme âgé est assis dans le salon.")</f>
        <v>Un homme âgé est assis dans le salon.</v>
      </c>
    </row>
    <row r="30940">
      <c r="A30940" s="4" t="s">
        <v>38959</v>
      </c>
      <c r="B30940" s="4" t="s">
        <v>38961</v>
      </c>
      <c r="C30940" s="5" t="str">
        <f>IFERROR(__xludf.DUMMYFUNCTION("GOOGLETRANSLATE(B30940,""en"",""fr"")"),"Il joue un accordéan.")</f>
        <v>Il joue un accordéan.</v>
      </c>
    </row>
    <row r="30941">
      <c r="A30941" s="4" t="s">
        <v>38959</v>
      </c>
      <c r="B30941" s="4" t="s">
        <v>38962</v>
      </c>
      <c r="C30941" s="5" t="str">
        <f>IFERROR(__xludf.DUMMYFUNCTION("GOOGLETRANSLATE(B30941,""en"",""fr"")"),"Il continue de jouer à l'accordéan pour la caméra.")</f>
        <v>Il continue de jouer à l'accordéan pour la caméra.</v>
      </c>
    </row>
    <row r="30942">
      <c r="A30942" s="4" t="s">
        <v>38963</v>
      </c>
      <c r="B30942" s="4" t="s">
        <v>38964</v>
      </c>
      <c r="C30942" s="5" t="str">
        <f>IFERROR(__xludf.DUMMYFUNCTION("GOOGLETRANSLATE(B30942,""en"",""fr"")"),"Une femme joue une guitare acoustique.")</f>
        <v>Une femme joue une guitare acoustique.</v>
      </c>
    </row>
    <row r="30943">
      <c r="A30943" s="4" t="s">
        <v>38963</v>
      </c>
      <c r="B30943" s="4" t="s">
        <v>38965</v>
      </c>
      <c r="C30943" s="5" t="str">
        <f>IFERROR(__xludf.DUMMYFUNCTION("GOOGLETRANSLATE(B30943,""en"",""fr"")"),"Une femme debout à côté d'elle danse et tournoie un bâton.")</f>
        <v>Une femme debout à côté d'elle danse et tournoie un bâton.</v>
      </c>
    </row>
    <row r="30944">
      <c r="A30944" s="4" t="s">
        <v>38963</v>
      </c>
      <c r="B30944" s="4" t="s">
        <v>14926</v>
      </c>
      <c r="C30944" s="5" t="str">
        <f>IFERROR(__xludf.DUMMYFUNCTION("GOOGLETRANSLATE(B30944,""en"",""fr"")"),"Les mots sont ensuite affichés à l'écran.")</f>
        <v>Les mots sont ensuite affichés à l'écran.</v>
      </c>
    </row>
    <row r="30945">
      <c r="A30945" s="4" t="s">
        <v>38966</v>
      </c>
      <c r="B30945" s="4" t="s">
        <v>38967</v>
      </c>
      <c r="C30945" s="5" t="str">
        <f>IFERROR(__xludf.DUMMYFUNCTION("GOOGLETRANSLATE(B30945,""en"",""fr"")"),"Une personne est montrée à la recherche d'une ville et commence à laver les fenêtres avec ses outils.")</f>
        <v>Une personne est montrée à la recherche d'une ville et commence à laver les fenêtres avec ses outils.</v>
      </c>
    </row>
    <row r="30946">
      <c r="A30946" s="4" t="s">
        <v>38966</v>
      </c>
      <c r="B30946" s="6" t="s">
        <v>38968</v>
      </c>
      <c r="C30946" s="5" t="str">
        <f>IFERROR(__xludf.DUMMYFUNCTION("GOOGLETRANSLATE(B30946,""en"",""fr"")"),"Il monte et descendez les fenêtres à un rythme rapide et continue de se filmer à travers le verre.")</f>
        <v>Il monte et descendez les fenêtres à un rythme rapide et continue de se filmer à travers le verre.</v>
      </c>
    </row>
    <row r="30947">
      <c r="A30947" s="4" t="s">
        <v>38966</v>
      </c>
      <c r="B30947" s="4" t="s">
        <v>38969</v>
      </c>
      <c r="C30947" s="5" t="str">
        <f>IFERROR(__xludf.DUMMYFUNCTION("GOOGLETRANSLATE(B30947,""en"",""fr"")"),"Il termine le verre en un temps record et éteint la caméra.")</f>
        <v>Il termine le verre en un temps record et éteint la caméra.</v>
      </c>
    </row>
    <row r="30948">
      <c r="A30948" s="4" t="s">
        <v>38970</v>
      </c>
      <c r="B30948" s="4" t="s">
        <v>38971</v>
      </c>
      <c r="C30948" s="5" t="str">
        <f>IFERROR(__xludf.DUMMYFUNCTION("GOOGLETRANSLATE(B30948,""en"",""fr"")"),"Un homme explique à un autre homme comment utiliser une machine à aviron.")</f>
        <v>Un homme explique à un autre homme comment utiliser une machine à aviron.</v>
      </c>
    </row>
    <row r="30949">
      <c r="A30949" s="4" t="s">
        <v>38970</v>
      </c>
      <c r="B30949" s="4" t="s">
        <v>38972</v>
      </c>
      <c r="C30949" s="5" t="str">
        <f>IFERROR(__xludf.DUMMYFUNCTION("GOOGLETRANSLATE(B30949,""en"",""fr"")"),"L'un des principaux commence à ramer sur la machine à aviron avant l'autre.")</f>
        <v>L'un des principaux commence à ramer sur la machine à aviron avant l'autre.</v>
      </c>
    </row>
    <row r="30950">
      <c r="A30950" s="4" t="s">
        <v>38970</v>
      </c>
      <c r="B30950" s="4" t="s">
        <v>38973</v>
      </c>
      <c r="C30950" s="5" t="str">
        <f>IFERROR(__xludf.DUMMYFUNCTION("GOOGLETRANSLATE(B30950,""en"",""fr"")"),"Ensuite, l'autre homme rejoint le premier homme et commence à ramer.")</f>
        <v>Ensuite, l'autre homme rejoint le premier homme et commence à ramer.</v>
      </c>
    </row>
    <row r="30951">
      <c r="A30951" s="4" t="s">
        <v>38974</v>
      </c>
      <c r="B30951" s="4" t="s">
        <v>38975</v>
      </c>
      <c r="C30951" s="5" t="str">
        <f>IFERROR(__xludf.DUMMYFUNCTION("GOOGLETRANSLATE(B30951,""en"",""fr"")"),"Un homme en short est représenté devant certains buissons et les coupe avec une coupe-manuelle.")</f>
        <v>Un homme en short est représenté devant certains buissons et les coupe avec une coupe-manuelle.</v>
      </c>
    </row>
    <row r="30952">
      <c r="A30952" s="4" t="s">
        <v>38974</v>
      </c>
      <c r="B30952" s="4" t="s">
        <v>38976</v>
      </c>
      <c r="C30952" s="5" t="str">
        <f>IFERROR(__xludf.DUMMYFUNCTION("GOOGLETRANSLATE(B30952,""en"",""fr"")"),"Il est très précis et fait un travail très détaillé.")</f>
        <v>Il est très précis et fait un travail très détaillé.</v>
      </c>
    </row>
    <row r="30953">
      <c r="A30953" s="4" t="s">
        <v>38974</v>
      </c>
      <c r="B30953" s="4" t="s">
        <v>38977</v>
      </c>
      <c r="C30953" s="5" t="str">
        <f>IFERROR(__xludf.DUMMYFUNCTION("GOOGLETRANSLATE(B30953,""en"",""fr"")"),"Il monte et descend la longueur des buissons et fait attention à toutes les parties d'entre eux.")</f>
        <v>Il monte et descend la longueur des buissons et fait attention à toutes les parties d'entre eux.</v>
      </c>
    </row>
    <row r="30954">
      <c r="A30954" s="4" t="s">
        <v>38974</v>
      </c>
      <c r="B30954" s="4" t="s">
        <v>38978</v>
      </c>
      <c r="C30954" s="5" t="str">
        <f>IFERROR(__xludf.DUMMYFUNCTION("GOOGLETRANSLATE(B30954,""en"",""fr"")"),"Il se déplace ensuite de plus en plus haut en un plus haut de la brousse.")</f>
        <v>Il se déplace ensuite de plus en plus haut en un plus haut de la brousse.</v>
      </c>
    </row>
    <row r="30955">
      <c r="A30955" s="4" t="s">
        <v>38979</v>
      </c>
      <c r="B30955" s="4" t="s">
        <v>38980</v>
      </c>
      <c r="C30955" s="5" t="str">
        <f>IFERROR(__xludf.DUMMYFUNCTION("GOOGLETRANSLATE(B30955,""en"",""fr"")"),"Les enfants sont dans un parc autour d'un squarepants Bob Sponge Piñata tirant des fils.")</f>
        <v>Les enfants sont dans un parc autour d'un squarepants Bob Sponge Piñata tirant des fils.</v>
      </c>
    </row>
    <row r="30956">
      <c r="A30956" s="4" t="s">
        <v>38979</v>
      </c>
      <c r="B30956" s="4" t="s">
        <v>38981</v>
      </c>
      <c r="C30956" s="5" t="str">
        <f>IFERROR(__xludf.DUMMYFUNCTION("GOOGLETRANSLATE(B30956,""en"",""fr"")"),"La femme est derrière une aire de jeux en tenant un sac et en regardant les enfants.")</f>
        <v>La femme est derrière une aire de jeux en tenant un sac et en regardant les enfants.</v>
      </c>
    </row>
    <row r="30957">
      <c r="A30957" s="4" t="s">
        <v>38979</v>
      </c>
      <c r="B30957" s="4" t="s">
        <v>38982</v>
      </c>
      <c r="C30957" s="5" t="str">
        <f>IFERROR(__xludf.DUMMYFUNCTION("GOOGLETRANSLATE(B30957,""en"",""fr"")"),"La femme tient la piñata tandis que les enfants continuent de tirer de la piñata.")</f>
        <v>La femme tient la piñata tandis que les enfants continuent de tirer de la piñata.</v>
      </c>
    </row>
    <row r="30958">
      <c r="A30958" s="4" t="s">
        <v>38979</v>
      </c>
      <c r="B30958" s="4" t="s">
        <v>38983</v>
      </c>
      <c r="C30958" s="5" t="str">
        <f>IFERROR(__xludf.DUMMYFUNCTION("GOOGLETRANSLATE(B30958,""en"",""fr"")"),"Kid tire le fil et opn la piñata et s'agenouille dans le sol en ramassant des bonbons.")</f>
        <v>Kid tire le fil et opn la piñata et s'agenouille dans le sol en ramassant des bonbons.</v>
      </c>
    </row>
    <row r="30959">
      <c r="A30959" s="4" t="s">
        <v>38984</v>
      </c>
      <c r="B30959" s="6" t="s">
        <v>38985</v>
      </c>
      <c r="C30959" s="5" t="str">
        <f>IFERROR(__xludf.DUMMYFUNCTION("GOOGLETRANSLATE(B30959,""en"",""fr"")"),"Plusieurs personnes sont vues sauter les uns avec les autres ainsi que les autres comme les autres regardent sur le côté.")</f>
        <v>Plusieurs personnes sont vues sauter les uns avec les autres ainsi que les autres comme les autres regardent sur le côté.</v>
      </c>
    </row>
    <row r="30960">
      <c r="A30960" s="4" t="s">
        <v>38984</v>
      </c>
      <c r="B30960" s="6" t="s">
        <v>38986</v>
      </c>
      <c r="C30960" s="5" t="str">
        <f>IFERROR(__xludf.DUMMYFUNCTION("GOOGLETRANSLATE(B30960,""en"",""fr"")"),"Les gens effectuant plusieurs sauts et tournures avec la corde de saut ainsi que des plans qui sont montrés au ralenti.")</f>
        <v>Les gens effectuant plusieurs sauts et tournures avec la corde de saut ainsi que des plans qui sont montrés au ralenti.</v>
      </c>
    </row>
    <row r="30961">
      <c r="A30961" s="4" t="s">
        <v>38987</v>
      </c>
      <c r="B30961" s="6" t="s">
        <v>38988</v>
      </c>
      <c r="C30961" s="5" t="str">
        <f>IFERROR(__xludf.DUMMYFUNCTION("GOOGLETRANSLATE(B30961,""en"",""fr"")"),"Une personne assise sur un vélo est vue assise avant qu'une piste ne commence avec d'autres et l'emmente en terminant une course.")</f>
        <v>Une personne assise sur un vélo est vue assise avant qu'une piste ne commence avec d'autres et l'emmente en terminant une course.</v>
      </c>
    </row>
    <row r="30962">
      <c r="A30962" s="4" t="s">
        <v>38987</v>
      </c>
      <c r="B30962" s="6" t="s">
        <v>38989</v>
      </c>
      <c r="C30962" s="5" t="str">
        <f>IFERROR(__xludf.DUMMYFUNCTION("GOOGLETRANSLATE(B30962,""en"",""fr"")"),"Plusieurs autres tirs sont montrés des gens qui courent tous ensemble ainsi que de l'homme qui roule et d'autres l'enregistrant.")</f>
        <v>Plusieurs autres tirs sont montrés des gens qui courent tous ensemble ainsi que de l'homme qui roule et d'autres l'enregistrant.</v>
      </c>
    </row>
    <row r="30963">
      <c r="A30963" s="4" t="s">
        <v>38990</v>
      </c>
      <c r="B30963" s="4" t="s">
        <v>38991</v>
      </c>
      <c r="C30963" s="5" t="str">
        <f>IFERROR(__xludf.DUMMYFUNCTION("GOOGLETRANSLATE(B30963,""en"",""fr"")"),"Un surfeur d'éolien surfait contre de lourdes vagues.")</f>
        <v>Un surfeur d'éolien surfait contre de lourdes vagues.</v>
      </c>
    </row>
    <row r="30964">
      <c r="A30964" s="4" t="s">
        <v>38990</v>
      </c>
      <c r="B30964" s="4" t="s">
        <v>38992</v>
      </c>
      <c r="C30964" s="5" t="str">
        <f>IFERROR(__xludf.DUMMYFUNCTION("GOOGLETRANSLATE(B30964,""en"",""fr"")"),"Le surfeur jette sa planche contre une vague, volant en l'air.")</f>
        <v>Le surfeur jette sa planche contre une vague, volant en l'air.</v>
      </c>
    </row>
    <row r="30965">
      <c r="A30965" s="4" t="s">
        <v>38990</v>
      </c>
      <c r="B30965" s="4" t="s">
        <v>38993</v>
      </c>
      <c r="C30965" s="5" t="str">
        <f>IFERROR(__xludf.DUMMYFUNCTION("GOOGLETRANSLATE(B30965,""en"",""fr"")"),"Le surfeur atterrit sur les eaux et reprend ses surf.")</f>
        <v>Le surfeur atterrit sur les eaux et reprend ses surf.</v>
      </c>
    </row>
    <row r="30966">
      <c r="A30966" s="4" t="s">
        <v>38994</v>
      </c>
      <c r="B30966" s="4" t="s">
        <v>38995</v>
      </c>
      <c r="C30966" s="5" t="str">
        <f>IFERROR(__xludf.DUMMYFUNCTION("GOOGLETRANSLATE(B30966,""en"",""fr"")"),"Une femme fait du kickboxing devant un mur en miroir.")</f>
        <v>Une femme fait du kickboxing devant un mur en miroir.</v>
      </c>
    </row>
    <row r="30967">
      <c r="A30967" s="4" t="s">
        <v>38994</v>
      </c>
      <c r="B30967" s="4" t="s">
        <v>38996</v>
      </c>
      <c r="C30967" s="5" t="str">
        <f>IFERROR(__xludf.DUMMYFUNCTION("GOOGLETRANSLATE(B30967,""en"",""fr"")"),"Elle donne un coup de pied à ses jambes en l'air.")</f>
        <v>Elle donne un coup de pied à ses jambes en l'air.</v>
      </c>
    </row>
    <row r="30968">
      <c r="A30968" s="4" t="s">
        <v>38994</v>
      </c>
      <c r="B30968" s="4" t="s">
        <v>38997</v>
      </c>
      <c r="C30968" s="5" t="str">
        <f>IFERROR(__xludf.DUMMYFUNCTION("GOOGLETRANSLATE(B30968,""en"",""fr"")"),"Elle alterne les coups de pied avec des coups de poing.")</f>
        <v>Elle alterne les coups de pied avec des coups de poing.</v>
      </c>
    </row>
    <row r="30969">
      <c r="A30969" s="4" t="s">
        <v>38998</v>
      </c>
      <c r="B30969" s="4" t="s">
        <v>38999</v>
      </c>
      <c r="C30969" s="5" t="str">
        <f>IFERROR(__xludf.DUMMYFUNCTION("GOOGLETRANSLATE(B30969,""en"",""fr"")"),"Un homme est à l'extérieur avec une grande boîte en métal.")</f>
        <v>Un homme est à l'extérieur avec une grande boîte en métal.</v>
      </c>
    </row>
    <row r="30970">
      <c r="A30970" s="4" t="s">
        <v>38998</v>
      </c>
      <c r="B30970" s="4" t="s">
        <v>39000</v>
      </c>
      <c r="C30970" s="5" t="str">
        <f>IFERROR(__xludf.DUMMYFUNCTION("GOOGLETRANSLATE(B30970,""en"",""fr"")"),"Un autre homme ponçonne un mur et le plafond à l'intérieur d'un bâtiment.")</f>
        <v>Un autre homme ponçonne un mur et le plafond à l'intérieur d'un bâtiment.</v>
      </c>
    </row>
    <row r="30971">
      <c r="A30971" s="4" t="s">
        <v>38998</v>
      </c>
      <c r="B30971" s="4" t="s">
        <v>39001</v>
      </c>
      <c r="C30971" s="5" t="str">
        <f>IFERROR(__xludf.DUMMYFUNCTION("GOOGLETRANSLATE(B30971,""en"",""fr"")"),"Ils ponçonnent ensuite les sols.")</f>
        <v>Ils ponçonnent ensuite les sols.</v>
      </c>
    </row>
    <row r="30972">
      <c r="A30972" s="4" t="s">
        <v>39002</v>
      </c>
      <c r="B30972" s="4" t="s">
        <v>39003</v>
      </c>
      <c r="C30972" s="5" t="str">
        <f>IFERROR(__xludf.DUMMYFUNCTION("GOOGLETRANSLATE(B30972,""en"",""fr"")"),"Un joueur de cricket frappe une balle qui est lancée.")</f>
        <v>Un joueur de cricket frappe une balle qui est lancée.</v>
      </c>
    </row>
    <row r="30973">
      <c r="A30973" s="4" t="s">
        <v>39002</v>
      </c>
      <c r="B30973" s="4" t="s">
        <v>39004</v>
      </c>
      <c r="C30973" s="5" t="str">
        <f>IFERROR(__xludf.DUMMYFUNCTION("GOOGLETRANSLATE(B30973,""en"",""fr"")"),"Un joueur fait une prise de plongée dans le champ extérieur.")</f>
        <v>Un joueur fait une prise de plongée dans le champ extérieur.</v>
      </c>
    </row>
    <row r="30974">
      <c r="A30974" s="4" t="s">
        <v>39002</v>
      </c>
      <c r="B30974" s="4" t="s">
        <v>39005</v>
      </c>
      <c r="C30974" s="5" t="str">
        <f>IFERROR(__xludf.DUMMYFUNCTION("GOOGLETRANSLATE(B30974,""en"",""fr"")"),"Le joueur sourit et est un bon sport.")</f>
        <v>Le joueur sourit et est un bon sport.</v>
      </c>
    </row>
    <row r="30975">
      <c r="A30975" s="4" t="s">
        <v>39006</v>
      </c>
      <c r="B30975" s="6" t="s">
        <v>39007</v>
      </c>
      <c r="C30975" s="5" t="str">
        <f>IFERROR(__xludf.DUMMYFUNCTION("GOOGLETRANSLATE(B30975,""en"",""fr"")"),"On voit un jeune homme pulvérisant un chien avec de l'eau au milieu d'une ruelle tandis que le chien s'éloigne de l'eau.")</f>
        <v>On voit un jeune homme pulvérisant un chien avec de l'eau au milieu d'une ruelle tandis que le chien s'éloigne de l'eau.</v>
      </c>
    </row>
    <row r="30976">
      <c r="A30976" s="4" t="s">
        <v>39006</v>
      </c>
      <c r="B30976" s="4" t="s">
        <v>39008</v>
      </c>
      <c r="C30976" s="5" t="str">
        <f>IFERROR(__xludf.DUMMYFUNCTION("GOOGLETRANSLATE(B30976,""en"",""fr"")"),"La personne continue de pulvériser le chien avec le tuyau et de se tenir debout en attendant le chien.")</f>
        <v>La personne continue de pulvériser le chien avec le tuyau et de se tenir debout en attendant le chien.</v>
      </c>
    </row>
    <row r="30977">
      <c r="A30977" s="4" t="s">
        <v>39009</v>
      </c>
      <c r="B30977" s="4" t="s">
        <v>39010</v>
      </c>
      <c r="C30977" s="5" t="str">
        <f>IFERROR(__xludf.DUMMYFUNCTION("GOOGLETRANSLATE(B30977,""en"",""fr"")"),"Deux personnes s'arrêtent dans une compétition.")</f>
        <v>Deux personnes s'arrêtent dans une compétition.</v>
      </c>
    </row>
    <row r="30978">
      <c r="A30978" s="4" t="s">
        <v>39009</v>
      </c>
      <c r="B30978" s="4" t="s">
        <v>39011</v>
      </c>
      <c r="C30978" s="5" t="str">
        <f>IFERROR(__xludf.DUMMYFUNCTION("GOOGLETRANSLATE(B30978,""en"",""fr"")"),"Le bras des perdants est blessé.")</f>
        <v>Le bras des perdants est blessé.</v>
      </c>
    </row>
    <row r="30979">
      <c r="A30979" s="4" t="s">
        <v>39012</v>
      </c>
      <c r="B30979" s="4" t="s">
        <v>39013</v>
      </c>
      <c r="C30979" s="5" t="str">
        <f>IFERROR(__xludf.DUMMYFUNCTION("GOOGLETRANSLATE(B30979,""en"",""fr"")"),"Un groupe de personnes est vu monter et descendre des montagnes enneigées sur des skis et dans des wagons de ski.")</f>
        <v>Un groupe de personnes est vu monter et descendre des montagnes enneigées sur des skis et dans des wagons de ski.</v>
      </c>
    </row>
    <row r="30980">
      <c r="A30980" s="4" t="s">
        <v>39012</v>
      </c>
      <c r="B30980" s="4" t="s">
        <v>39014</v>
      </c>
      <c r="C30980" s="5" t="str">
        <f>IFERROR(__xludf.DUMMYFUNCTION("GOOGLETRANSLATE(B30980,""en"",""fr"")"),"Une vue est ensuite vue des montagnes enneigées avec un pont devant.")</f>
        <v>Une vue est ensuite vue des montagnes enneigées avec un pont devant.</v>
      </c>
    </row>
    <row r="30981">
      <c r="A30981" s="4" t="s">
        <v>39015</v>
      </c>
      <c r="B30981" s="4" t="s">
        <v>39016</v>
      </c>
      <c r="C30981" s="5" t="str">
        <f>IFERROR(__xludf.DUMMYFUNCTION("GOOGLETRANSLATE(B30981,""en"",""fr"")"),"Un homme est vu s'agenouiller à côté d'une voiture tout en parlant à la caméra.")</f>
        <v>Un homme est vu s'agenouiller à côté d'une voiture tout en parlant à la caméra.</v>
      </c>
    </row>
    <row r="30982">
      <c r="A30982" s="4" t="s">
        <v>39015</v>
      </c>
      <c r="B30982" s="6" t="s">
        <v>39017</v>
      </c>
      <c r="C30982" s="5" t="str">
        <f>IFERROR(__xludf.DUMMYFUNCTION("GOOGLETRANSLATE(B30982,""en"",""fr"")"),"La caméra se déroule tout autour de la voiture ainsi que le pneu pendant que l'homme continue de parler à la caméra.")</f>
        <v>La caméra se déroule tout autour de la voiture ainsi que le pneu pendant que l'homme continue de parler à la caméra.</v>
      </c>
    </row>
    <row r="30983">
      <c r="A30983" s="4" t="s">
        <v>39018</v>
      </c>
      <c r="B30983" s="6" t="s">
        <v>39019</v>
      </c>
      <c r="C30983" s="5" t="str">
        <f>IFERROR(__xludf.DUMMYFUNCTION("GOOGLETRANSLATE(B30983,""en"",""fr"")"),"Un homme sert une balle dans un match de beach-volley, puis il court sur le filet pour recevoir le ballon pendant que les gens regardent le match dans une plage.")</f>
        <v>Un homme sert une balle dans un match de beach-volley, puis il court sur le filet pour recevoir le ballon pendant que les gens regardent le match dans une plage.</v>
      </c>
    </row>
    <row r="30984">
      <c r="A30984" s="4" t="s">
        <v>39018</v>
      </c>
      <c r="B30984" s="4" t="s">
        <v>39020</v>
      </c>
      <c r="C30984" s="5" t="str">
        <f>IFERROR(__xludf.DUMMYFUNCTION("GOOGLETRANSLATE(B30984,""en"",""fr"")"),"A sert une balle et joue pendant que les gens regardent le match dans une plage.")</f>
        <v>A sert une balle et joue pendant que les gens regardent le match dans une plage.</v>
      </c>
    </row>
    <row r="30985">
      <c r="A30985" s="4" t="s">
        <v>39021</v>
      </c>
      <c r="B30985" s="4" t="s">
        <v>39022</v>
      </c>
      <c r="C30985" s="5" t="str">
        <f>IFERROR(__xludf.DUMMYFUNCTION("GOOGLETRANSLATE(B30985,""en"",""fr"")"),"Une paire de portes françaises est montrée sur une maison.")</f>
        <v>Une paire de portes françaises est montrée sur une maison.</v>
      </c>
    </row>
    <row r="30986">
      <c r="A30986" s="4" t="s">
        <v>39021</v>
      </c>
      <c r="B30986" s="4" t="s">
        <v>39023</v>
      </c>
      <c r="C30986" s="5" t="str">
        <f>IFERROR(__xludf.DUMMYFUNCTION("GOOGLETRANSLATE(B30986,""en"",""fr"")"),"Un homme montre comment nettoyer le verre dans les fenêtres des portes.")</f>
        <v>Un homme montre comment nettoyer le verre dans les fenêtres des portes.</v>
      </c>
    </row>
    <row r="30987">
      <c r="A30987" s="4" t="s">
        <v>39021</v>
      </c>
      <c r="B30987" s="4" t="s">
        <v>39024</v>
      </c>
      <c r="C30987" s="5" t="str">
        <f>IFERROR(__xludf.DUMMYFUNCTION("GOOGLETRANSLATE(B30987,""en"",""fr"")"),"Il les frotte avec un tissu, les essuyant.")</f>
        <v>Il les frotte avec un tissu, les essuyant.</v>
      </c>
    </row>
    <row r="30988">
      <c r="A30988" s="4" t="s">
        <v>39021</v>
      </c>
      <c r="B30988" s="4" t="s">
        <v>39025</v>
      </c>
      <c r="C30988" s="5" t="str">
        <f>IFERROR(__xludf.DUMMYFUNCTION("GOOGLETRANSLATE(B30988,""en"",""fr"")"),"Il continue de descendre une porte, nettoyant chaque fenêtre individuelle.")</f>
        <v>Il continue de descendre une porte, nettoyant chaque fenêtre individuelle.</v>
      </c>
    </row>
    <row r="30989">
      <c r="A30989" s="4" t="s">
        <v>39026</v>
      </c>
      <c r="B30989" s="4" t="s">
        <v>39027</v>
      </c>
      <c r="C30989" s="5" t="str">
        <f>IFERROR(__xludf.DUMMYFUNCTION("GOOGLETRANSLATE(B30989,""en"",""fr"")"),"Une femme tonte une pelouse, poussant la tondeuse d'avant en arrière.")</f>
        <v>Une femme tonte une pelouse, poussant la tondeuse d'avant en arrière.</v>
      </c>
    </row>
    <row r="30990">
      <c r="A30990" s="4" t="s">
        <v>39026</v>
      </c>
      <c r="B30990" s="4" t="s">
        <v>39028</v>
      </c>
      <c r="C30990" s="5" t="str">
        <f>IFERROR(__xludf.DUMMYFUNCTION("GOOGLETRANSLATE(B30990,""en"",""fr"")"),"Elle couvre la moitié de la pelouse et de l'allée avant la fin de la vidéo.")</f>
        <v>Elle couvre la moitié de la pelouse et de l'allée avant la fin de la vidéo.</v>
      </c>
    </row>
    <row r="30991">
      <c r="A30991" s="4" t="s">
        <v>39029</v>
      </c>
      <c r="B30991" s="4" t="s">
        <v>39030</v>
      </c>
      <c r="C30991" s="5" t="str">
        <f>IFERROR(__xludf.DUMMYFUNCTION("GOOGLETRANSLATE(B30991,""en"",""fr"")"),"Un groupe d'hommes joue au football dans une zone de sable.")</f>
        <v>Un groupe d'hommes joue au football dans une zone de sable.</v>
      </c>
    </row>
    <row r="30992">
      <c r="A30992" s="4" t="s">
        <v>39029</v>
      </c>
      <c r="B30992" s="4" t="s">
        <v>39031</v>
      </c>
      <c r="C30992" s="5" t="str">
        <f>IFERROR(__xludf.DUMMYFUNCTION("GOOGLETRANSLATE(B30992,""en"",""fr"")"),"Une foule regarde depuis les stands.")</f>
        <v>Une foule regarde depuis les stands.</v>
      </c>
    </row>
    <row r="30993">
      <c r="A30993" s="4" t="s">
        <v>39029</v>
      </c>
      <c r="B30993" s="4" t="s">
        <v>39032</v>
      </c>
      <c r="C30993" s="5" t="str">
        <f>IFERROR(__xludf.DUMMYFUNCTION("GOOGLETRANSLATE(B30993,""en"",""fr"")"),"Un gardien de but essaie de bloquer une balle et fait les divisions mais manque le ballon.")</f>
        <v>Un gardien de but essaie de bloquer une balle et fait les divisions mais manque le ballon.</v>
      </c>
    </row>
    <row r="30994">
      <c r="A30994" s="4" t="s">
        <v>39033</v>
      </c>
      <c r="B30994" s="4" t="s">
        <v>39034</v>
      </c>
      <c r="C30994" s="5" t="str">
        <f>IFERROR(__xludf.DUMMYFUNCTION("GOOGLETRANSLATE(B30994,""en"",""fr"")"),"Deux hommes entrent dans la salle de racquetball.")</f>
        <v>Deux hommes entrent dans la salle de racquetball.</v>
      </c>
    </row>
    <row r="30995">
      <c r="A30995" s="4" t="s">
        <v>39033</v>
      </c>
      <c r="B30995" s="4" t="s">
        <v>39035</v>
      </c>
      <c r="C30995" s="5" t="str">
        <f>IFERROR(__xludf.DUMMYFUNCTION("GOOGLETRANSLATE(B30995,""en"",""fr"")"),"Les deux hommes commencent à jouer au racquetball, coulant dans la pièce en essayant de frapper le ballon.")</f>
        <v>Les deux hommes commencent à jouer au racquetball, coulant dans la pièce en essayant de frapper le ballon.</v>
      </c>
    </row>
    <row r="30996">
      <c r="A30996" s="4" t="s">
        <v>39033</v>
      </c>
      <c r="B30996" s="4" t="s">
        <v>39036</v>
      </c>
      <c r="C30996" s="5" t="str">
        <f>IFERROR(__xludf.DUMMYFUNCTION("GOOGLETRANSLATE(B30996,""en"",""fr"")"),"Un homme a sauté la pièce et regarde la caméra.")</f>
        <v>Un homme a sauté la pièce et regarde la caméra.</v>
      </c>
    </row>
    <row r="30997">
      <c r="A30997" s="4" t="s">
        <v>39037</v>
      </c>
      <c r="B30997" s="4" t="s">
        <v>39038</v>
      </c>
      <c r="C30997" s="5" t="str">
        <f>IFERROR(__xludf.DUMMYFUNCTION("GOOGLETRANSLATE(B30997,""en"",""fr"")"),"La femme se tient dans une cuisine et mange un gâteau plein de crème.")</f>
        <v>La femme se tient dans une cuisine et mange un gâteau plein de crème.</v>
      </c>
    </row>
    <row r="30998">
      <c r="A30998" s="4" t="s">
        <v>39037</v>
      </c>
      <c r="B30998" s="4" t="s">
        <v>39039</v>
      </c>
      <c r="C30998" s="5" t="str">
        <f>IFERROR(__xludf.DUMMYFUNCTION("GOOGLETRANSLATE(B30998,""en"",""fr"")"),"Un gâteau est dans un pot sur le comptoir, la femme parle à la caméra dans la cuisine.")</f>
        <v>Un gâteau est dans un pot sur le comptoir, la femme parle à la caméra dans la cuisine.</v>
      </c>
    </row>
    <row r="30999">
      <c r="A30999" s="4" t="s">
        <v>39037</v>
      </c>
      <c r="B30999" s="4" t="s">
        <v>39040</v>
      </c>
      <c r="C30999" s="5" t="str">
        <f>IFERROR(__xludf.DUMMYFUNCTION("GOOGLETRANSLATE(B30999,""en"",""fr"")"),"Le mélange de gâteau est battu avec un mélangeur, la femme continue de parler et de mélanger le gâteau.")</f>
        <v>Le mélange de gâteau est battu avec un mélangeur, la femme continue de parler et de mélanger le gâteau.</v>
      </c>
    </row>
    <row r="31000">
      <c r="A31000" s="4" t="s">
        <v>39037</v>
      </c>
      <c r="B31000" s="4" t="s">
        <v>39041</v>
      </c>
      <c r="C31000" s="5" t="str">
        <f>IFERROR(__xludf.DUMMYFUNCTION("GOOGLETRANSLATE(B31000,""en"",""fr"")"),"L'huile est dans un pot.")</f>
        <v>L'huile est dans un pot.</v>
      </c>
    </row>
    <row r="31001">
      <c r="A31001" s="4" t="s">
        <v>39037</v>
      </c>
      <c r="B31001" s="4" t="s">
        <v>39042</v>
      </c>
      <c r="C31001" s="5" t="str">
        <f>IFERROR(__xludf.DUMMYFUNCTION("GOOGLETRANSLATE(B31001,""en"",""fr"")"),"La femme tient un pot vert plein de sable et il est mis sur l'autocuiseur.")</f>
        <v>La femme tient un pot vert plein de sable et il est mis sur l'autocuiseur.</v>
      </c>
    </row>
    <row r="31002">
      <c r="A31002" s="4" t="s">
        <v>39037</v>
      </c>
      <c r="B31002" s="4" t="s">
        <v>39043</v>
      </c>
      <c r="C31002" s="5" t="str">
        <f>IFERROR(__xludf.DUMMYFUNCTION("GOOGLETRANSLATE(B31002,""en"",""fr"")"),"Mettez le mélangeur sur le pot huileux.")</f>
        <v>Mettez le mélangeur sur le pot huileux.</v>
      </c>
    </row>
    <row r="31003">
      <c r="A31003" s="4" t="s">
        <v>39037</v>
      </c>
      <c r="B31003" s="6" t="s">
        <v>39044</v>
      </c>
      <c r="C31003" s="5" t="str">
        <f>IFERROR(__xludf.DUMMYFUNCTION("GOOGLETRANSLATE(B31003,""en"",""fr"")"),"Le mélange de presse est ouvert puis fermé pendant que la femme continue de parler dans la cuisine, après un IME, elle ouvre le pot et le gâteau est prêt.")</f>
        <v>Le mélange de presse est ouvert puis fermé pendant que la femme continue de parler dans la cuisine, après un IME, elle ouvre le pot et le gâteau est prêt.</v>
      </c>
    </row>
    <row r="31004">
      <c r="A31004" s="4" t="s">
        <v>39037</v>
      </c>
      <c r="B31004" s="4" t="s">
        <v>39045</v>
      </c>
      <c r="C31004" s="5" t="str">
        <f>IFERROR(__xludf.DUMMYFUNCTION("GOOGLETRANSLATE(B31004,""en"",""fr"")"),"Un gâteau décoré est montré et les gâteaux le long du pot de presse.")</f>
        <v>Un gâteau décoré est montré et les gâteaux le long du pot de presse.</v>
      </c>
    </row>
    <row r="31005">
      <c r="A31005" s="4" t="s">
        <v>39046</v>
      </c>
      <c r="B31005" s="4" t="s">
        <v>39047</v>
      </c>
      <c r="C31005" s="5" t="str">
        <f>IFERROR(__xludf.DUMMYFUNCTION("GOOGLETRANSLATE(B31005,""en"",""fr"")"),"Une vidéo en noir et blanc montre deux personnes dans une chambre, jouant des guitares.")</f>
        <v>Une vidéo en noir et blanc montre deux personnes dans une chambre, jouant des guitares.</v>
      </c>
    </row>
    <row r="31006">
      <c r="A31006" s="4" t="s">
        <v>39046</v>
      </c>
      <c r="B31006" s="4" t="s">
        <v>39048</v>
      </c>
      <c r="C31006" s="5" t="str">
        <f>IFERROR(__xludf.DUMMYFUNCTION("GOOGLETRANSLATE(B31006,""en"",""fr"")"),"Ils continuent tout au long de la vidéo, tremblant quelque peu pendant qu'ils jouent.")</f>
        <v>Ils continuent tout au long de la vidéo, tremblant quelque peu pendant qu'ils jouent.</v>
      </c>
    </row>
    <row r="31007">
      <c r="A31007" s="4" t="s">
        <v>39049</v>
      </c>
      <c r="B31007" s="4" t="s">
        <v>39050</v>
      </c>
      <c r="C31007" s="5" t="str">
        <f>IFERROR(__xludf.DUMMYFUNCTION("GOOGLETRANSLATE(B31007,""en"",""fr"")"),"Un groupe de coureurs marche sur un chemin de terre.")</f>
        <v>Un groupe de coureurs marche sur un chemin de terre.</v>
      </c>
    </row>
    <row r="31008">
      <c r="A31008" s="4" t="s">
        <v>39049</v>
      </c>
      <c r="B31008" s="4" t="s">
        <v>39051</v>
      </c>
      <c r="C31008" s="5" t="str">
        <f>IFERROR(__xludf.DUMMYFUNCTION("GOOGLETRANSLATE(B31008,""en"",""fr"")"),"Ils commencent à courir, sont passés par des voitures au fur et à mesure.")</f>
        <v>Ils commencent à courir, sont passés par des voitures au fur et à mesure.</v>
      </c>
    </row>
    <row r="31009">
      <c r="A31009" s="4" t="s">
        <v>39049</v>
      </c>
      <c r="B31009" s="4" t="s">
        <v>39052</v>
      </c>
      <c r="C31009" s="5" t="str">
        <f>IFERROR(__xludf.DUMMYFUNCTION("GOOGLETRANSLATE(B31009,""en"",""fr"")"),"Ils continuent de courir dans la ville ensemble.")</f>
        <v>Ils continuent de courir dans la ville ensemble.</v>
      </c>
    </row>
    <row r="31010">
      <c r="A31010" s="4" t="s">
        <v>39053</v>
      </c>
      <c r="B31010" s="4" t="s">
        <v>39054</v>
      </c>
      <c r="C31010" s="5" t="str">
        <f>IFERROR(__xludf.DUMMYFUNCTION("GOOGLETRANSLATE(B31010,""en"",""fr"")"),"Un gros plan d'une balle est montré suivi d'une personne frappant le ballon à plusieurs endroits.")</f>
        <v>Un gros plan d'une balle est montré suivi d'une personne frappant le ballon à plusieurs endroits.</v>
      </c>
    </row>
    <row r="31011">
      <c r="A31011" s="4" t="s">
        <v>39053</v>
      </c>
      <c r="B31011" s="6" t="s">
        <v>39055</v>
      </c>
      <c r="C31011" s="5" t="str">
        <f>IFERROR(__xludf.DUMMYFUNCTION("GOOGLETRANSLATE(B31011,""en"",""fr"")"),"L'homme continue de démontrer comment frapper le ballon sous différents angles ainsi que l'agencement sur le sol pour tirer.")</f>
        <v>L'homme continue de démontrer comment frapper le ballon sous différents angles ainsi que l'agencement sur le sol pour tirer.</v>
      </c>
    </row>
    <row r="31012">
      <c r="A31012" s="4" t="s">
        <v>39056</v>
      </c>
      <c r="B31012" s="4" t="s">
        <v>39057</v>
      </c>
      <c r="C31012" s="5" t="str">
        <f>IFERROR(__xludf.DUMMYFUNCTION("GOOGLETRANSLATE(B31012,""en"",""fr"")"),"Il y a une fille aux cheveux bruns longs jouant l'harmonica dans un ascenseur à l'hôpital.")</f>
        <v>Il y a une fille aux cheveux bruns longs jouant l'harmonica dans un ascenseur à l'hôpital.</v>
      </c>
    </row>
    <row r="31013">
      <c r="A31013" s="4" t="s">
        <v>39056</v>
      </c>
      <c r="B31013" s="4" t="s">
        <v>39058</v>
      </c>
      <c r="C31013" s="5" t="str">
        <f>IFERROR(__xludf.DUMMYFUNCTION("GOOGLETRANSLATE(B31013,""en"",""fr"")"),"La porte de l'ascenseur s'ouvre et plusieurs personnes entrent dans l'ascenseur.")</f>
        <v>La porte de l'ascenseur s'ouvre et plusieurs personnes entrent dans l'ascenseur.</v>
      </c>
    </row>
    <row r="31014">
      <c r="A31014" s="4" t="s">
        <v>39056</v>
      </c>
      <c r="B31014" s="4" t="s">
        <v>39059</v>
      </c>
      <c r="C31014" s="5" t="str">
        <f>IFERROR(__xludf.DUMMYFUNCTION("GOOGLETRANSLATE(B31014,""en"",""fr"")"),"Elle continue de jouer son harmonica.")</f>
        <v>Elle continue de jouer son harmonica.</v>
      </c>
    </row>
    <row r="31015">
      <c r="A31015" s="4" t="s">
        <v>39056</v>
      </c>
      <c r="B31015" s="4" t="s">
        <v>39060</v>
      </c>
      <c r="C31015" s="5" t="str">
        <f>IFERROR(__xludf.DUMMYFUNCTION("GOOGLETRANSLATE(B31015,""en"",""fr"")"),"Il y a un jeune garçon et sa mère qui sourient à la dame pendant qu'elle joue.")</f>
        <v>Il y a un jeune garçon et sa mère qui sourient à la dame pendant qu'elle joue.</v>
      </c>
    </row>
    <row r="31016">
      <c r="A31016" s="4" t="s">
        <v>39056</v>
      </c>
      <c r="B31016" s="4" t="s">
        <v>39061</v>
      </c>
      <c r="C31016" s="5" t="str">
        <f>IFERROR(__xludf.DUMMYFUNCTION("GOOGLETRANSLATE(B31016,""en"",""fr"")"),"Ensuite, ils descendent de l'ascenseur lorsqu'ils atteignent leur niveau.")</f>
        <v>Ensuite, ils descendent de l'ascenseur lorsqu'ils atteignent leur niveau.</v>
      </c>
    </row>
    <row r="31017">
      <c r="A31017" s="4" t="s">
        <v>39056</v>
      </c>
      <c r="B31017" s="6" t="s">
        <v>39062</v>
      </c>
      <c r="C31017" s="5" t="str">
        <f>IFERROR(__xludf.DUMMYFUNCTION("GOOGLETRANSLATE(B31017,""en"",""fr"")"),"La dame continue de jouer de l'harmonica alors que l'ascenseur se déplace plus loin et s'arrête à d'autres niveaux et plus de gens entrent.")</f>
        <v>La dame continue de jouer de l'harmonica alors que l'ascenseur se déplace plus loin et s'arrête à d'autres niveaux et plus de gens entrent.</v>
      </c>
    </row>
    <row r="31018">
      <c r="A31018" s="4" t="s">
        <v>39056</v>
      </c>
      <c r="B31018" s="4" t="s">
        <v>39063</v>
      </c>
      <c r="C31018" s="5" t="str">
        <f>IFERROR(__xludf.DUMMYFUNCTION("GOOGLETRANSLATE(B31018,""en"",""fr"")"),"Les gens continuent de monter et de sortir de l'ascenseur, mais elle continue de jouer son harmonica.")</f>
        <v>Les gens continuent de monter et de sortir de l'ascenseur, mais elle continue de jouer son harmonica.</v>
      </c>
    </row>
    <row r="31019">
      <c r="A31019" s="4" t="s">
        <v>39056</v>
      </c>
      <c r="B31019" s="4" t="s">
        <v>39064</v>
      </c>
      <c r="C31019" s="5" t="str">
        <f>IFERROR(__xludf.DUMMYFUNCTION("GOOGLETRANSLATE(B31019,""en"",""fr"")"),"Une personne entre dans l'ascenseur avec un homme sur une civière avec d'autres personnes.")</f>
        <v>Une personne entre dans l'ascenseur avec un homme sur une civière avec d'autres personnes.</v>
      </c>
    </row>
    <row r="31020">
      <c r="A31020" s="4" t="s">
        <v>39056</v>
      </c>
      <c r="B31020" s="4" t="s">
        <v>39065</v>
      </c>
      <c r="C31020" s="5" t="str">
        <f>IFERROR(__xludf.DUMMYFUNCTION("GOOGLETRANSLATE(B31020,""en"",""fr"")"),"Ils lui sourient et la complimentent.")</f>
        <v>Ils lui sourient et la complimentent.</v>
      </c>
    </row>
    <row r="31021">
      <c r="A31021" s="4" t="s">
        <v>39056</v>
      </c>
      <c r="B31021" s="4" t="s">
        <v>39066</v>
      </c>
      <c r="C31021" s="5" t="str">
        <f>IFERROR(__xludf.DUMMYFUNCTION("GOOGLETRANSLATE(B31021,""en"",""fr"")"),"Ils descendent de l'ascenseur lorsqu'ils atteignent le niveau souhaité à l'hôpital.")</f>
        <v>Ils descendent de l'ascenseur lorsqu'ils atteignent le niveau souhaité à l'hôpital.</v>
      </c>
    </row>
    <row r="31022">
      <c r="A31022" s="4" t="s">
        <v>39067</v>
      </c>
      <c r="B31022" s="4" t="s">
        <v>39068</v>
      </c>
      <c r="C31022" s="5" t="str">
        <f>IFERROR(__xludf.DUMMYFUNCTION("GOOGLETRANSLATE(B31022,""en"",""fr"")"),"Un tout-petit se lave les mains dans l'évier.")</f>
        <v>Un tout-petit se lave les mains dans l'évier.</v>
      </c>
    </row>
    <row r="31023">
      <c r="A31023" s="4" t="s">
        <v>39067</v>
      </c>
      <c r="B31023" s="4" t="s">
        <v>39069</v>
      </c>
      <c r="C31023" s="5" t="str">
        <f>IFERROR(__xludf.DUMMYFUNCTION("GOOGLETRANSLATE(B31023,""en"",""fr"")"),"Ensuite, le tout-petit éclaboussit l'eau sur son visage et sourit.")</f>
        <v>Ensuite, le tout-petit éclaboussit l'eau sur son visage et sourit.</v>
      </c>
    </row>
    <row r="31024">
      <c r="A31024" s="4" t="s">
        <v>39067</v>
      </c>
      <c r="B31024" s="4" t="s">
        <v>39070</v>
      </c>
      <c r="C31024" s="5" t="str">
        <f>IFERROR(__xludf.DUMMYFUNCTION("GOOGLETRANSLATE(B31024,""en"",""fr"")"),"Le Toddled met de l'eau sur son visage, puis bouge la tête.")</f>
        <v>Le Toddled met de l'eau sur son visage, puis bouge la tête.</v>
      </c>
    </row>
    <row r="31025">
      <c r="A31025" s="4" t="s">
        <v>39071</v>
      </c>
      <c r="B31025" s="4" t="s">
        <v>39072</v>
      </c>
      <c r="C31025" s="5" t="str">
        <f>IFERROR(__xludf.DUMMYFUNCTION("GOOGLETRANSLATE(B31025,""en"",""fr"")"),"Deux personnes sont vues des bras se luttent les uns avec les autres tandis qu'un homme tient les mains.")</f>
        <v>Deux personnes sont vues des bras se luttent les uns avec les autres tandis qu'un homme tient les mains.</v>
      </c>
    </row>
    <row r="31026">
      <c r="A31026" s="4" t="s">
        <v>39071</v>
      </c>
      <c r="B31026" s="4" t="s">
        <v>39073</v>
      </c>
      <c r="C31026" s="5" t="str">
        <f>IFERROR(__xludf.DUMMYFUNCTION("GOOGLETRANSLATE(B31026,""en"",""fr"")"),"Les hommes continuent alors de lutter avec l'un claquant la main de l'autre.")</f>
        <v>Les hommes continuent alors de lutter avec l'un claquant la main de l'autre.</v>
      </c>
    </row>
    <row r="31027">
      <c r="A31027" s="4" t="s">
        <v>39074</v>
      </c>
      <c r="B31027" s="6" t="s">
        <v>39075</v>
      </c>
      <c r="C31027" s="5" t="str">
        <f>IFERROR(__xludf.DUMMYFUNCTION("GOOGLETRANSLATE(B31027,""en"",""fr"")"),"Un groupe de personnes est vu blotti et mène à un groupe d'entre eux qui roule sur une rivière avec l'aide d'un homme.")</f>
        <v>Un groupe de personnes est vu blotti et mène à un groupe d'entre eux qui roule sur une rivière avec l'aide d'un homme.</v>
      </c>
    </row>
    <row r="31028">
      <c r="A31028" s="4" t="s">
        <v>39074</v>
      </c>
      <c r="B31028" s="6" t="s">
        <v>39076</v>
      </c>
      <c r="C31028" s="5" t="str">
        <f>IFERROR(__xludf.DUMMYFUNCTION("GOOGLETRANSLATE(B31028,""en"",""fr"")"),"La balade en continu en bas de la rivière se heurtant aux rochers le long du chemin et les amène à sortir sur le côté.")</f>
        <v>La balade en continu en bas de la rivière se heurtant aux rochers le long du chemin et les amène à sortir sur le côté.</v>
      </c>
    </row>
    <row r="31029">
      <c r="A31029" s="4" t="s">
        <v>39074</v>
      </c>
      <c r="B31029" s="4" t="s">
        <v>39077</v>
      </c>
      <c r="C31029" s="5" t="str">
        <f>IFERROR(__xludf.DUMMYFUNCTION("GOOGLETRANSLATE(B31029,""en"",""fr"")"),"Enfin une image de toutes ensemble dans la fin.")</f>
        <v>Enfin une image de toutes ensemble dans la fin.</v>
      </c>
    </row>
    <row r="31030">
      <c r="A31030" s="4" t="s">
        <v>39078</v>
      </c>
      <c r="B31030" s="6" t="s">
        <v>39079</v>
      </c>
      <c r="C31030" s="5" t="str">
        <f>IFERROR(__xludf.DUMMYFUNCTION("GOOGLETRANSLATE(B31030,""en"",""fr"")"),"Une femme plus âgée est vue assise dans une chaise tricoter tout en tenant deux aiguilles et l'emmente pour montrer son panier de tricot et parler à la caméra.")</f>
        <v>Une femme plus âgée est vue assise dans une chaise tricoter tout en tenant deux aiguilles et l'emmente pour montrer son panier de tricot et parler à la caméra.</v>
      </c>
    </row>
    <row r="31031">
      <c r="A31031" s="4" t="s">
        <v>39078</v>
      </c>
      <c r="B31031" s="4" t="s">
        <v>39080</v>
      </c>
      <c r="C31031" s="5" t="str">
        <f>IFERROR(__xludf.DUMMYFUNCTION("GOOGLETRANSLATE(B31031,""en"",""fr"")"),"La femme continue de parler tout en tenant les outils de tricot et se termine en s'estompant en noir.")</f>
        <v>La femme continue de parler tout en tenant les outils de tricot et se termine en s'estompant en noir.</v>
      </c>
    </row>
    <row r="31032">
      <c r="A31032" s="4" t="s">
        <v>39081</v>
      </c>
      <c r="B31032" s="4" t="s">
        <v>39082</v>
      </c>
      <c r="C31032" s="5" t="str">
        <f>IFERROR(__xludf.DUMMYFUNCTION("GOOGLETRANSLATE(B31032,""en"",""fr"")"),"Un groupe de deux femmes et deux hommes posent ensemble.")</f>
        <v>Un groupe de deux femmes et deux hommes posent ensemble.</v>
      </c>
    </row>
    <row r="31033">
      <c r="A31033" s="4" t="s">
        <v>39081</v>
      </c>
      <c r="B31033" s="4" t="s">
        <v>39083</v>
      </c>
      <c r="C31033" s="5" t="str">
        <f>IFERROR(__xludf.DUMMYFUNCTION("GOOGLETRANSLATE(B31033,""en"",""fr"")"),"Ils sont ensuite montrés en effectuant un exercice d'art appelé Zumba à l'intérieur d'un bâtiment.")</f>
        <v>Ils sont ensuite montrés en effectuant un exercice d'art appelé Zumba à l'intérieur d'un bâtiment.</v>
      </c>
    </row>
    <row r="31034">
      <c r="A31034" s="4" t="s">
        <v>39081</v>
      </c>
      <c r="B31034" s="6" t="s">
        <v>39084</v>
      </c>
      <c r="C31034" s="5" t="str">
        <f>IFERROR(__xludf.DUMMYFUNCTION("GOOGLETRANSLATE(B31034,""en"",""fr"")"),"Ils dansent d'avant en arrière à l'unisson, puis se montrent ensemble à la fin alors que les notes de musique flottent à travers l'écran.")</f>
        <v>Ils dansent d'avant en arrière à l'unisson, puis se montrent ensemble à la fin alors que les notes de musique flottent à travers l'écran.</v>
      </c>
    </row>
    <row r="31035">
      <c r="A31035" s="4" t="s">
        <v>39085</v>
      </c>
      <c r="B31035" s="4" t="s">
        <v>39086</v>
      </c>
      <c r="C31035" s="5" t="str">
        <f>IFERROR(__xludf.DUMMYFUNCTION("GOOGLETRANSLATE(B31035,""en"",""fr"")"),"Un homme dans un manteau brun et un chapeau pellette la neige de son allée.")</f>
        <v>Un homme dans un manteau brun et un chapeau pellette la neige de son allée.</v>
      </c>
    </row>
    <row r="31036">
      <c r="A31036" s="4" t="s">
        <v>39085</v>
      </c>
      <c r="B31036" s="4" t="s">
        <v>39087</v>
      </c>
      <c r="C31036" s="5" t="str">
        <f>IFERROR(__xludf.DUMMYFUNCTION("GOOGLETRANSLATE(B31036,""en"",""fr"")"),"Des photos de l'homme sont présentées.")</f>
        <v>Des photos de l'homme sont présentées.</v>
      </c>
    </row>
    <row r="31037">
      <c r="A31037" s="4" t="s">
        <v>39085</v>
      </c>
      <c r="B31037" s="4" t="s">
        <v>39088</v>
      </c>
      <c r="C31037" s="5" t="str">
        <f>IFERROR(__xludf.DUMMYFUNCTION("GOOGLETRANSLATE(B31037,""en"",""fr"")"),"L'homme sort une souffleuse à neige et commence à dénombrer son entrée.")</f>
        <v>L'homme sort une souffleuse à neige et commence à dénombrer son entrée.</v>
      </c>
    </row>
    <row r="31038">
      <c r="A31038" s="4" t="s">
        <v>39085</v>
      </c>
      <c r="B31038" s="4" t="s">
        <v>39089</v>
      </c>
      <c r="C31038" s="5" t="str">
        <f>IFERROR(__xludf.DUMMYFUNCTION("GOOGLETRANSLATE(B31038,""en"",""fr"")"),"Une femme en manteau bleu parle.")</f>
        <v>Une femme en manteau bleu parle.</v>
      </c>
    </row>
    <row r="31039">
      <c r="A31039" s="4" t="s">
        <v>39085</v>
      </c>
      <c r="B31039" s="4" t="s">
        <v>39090</v>
      </c>
      <c r="C31039" s="5" t="str">
        <f>IFERROR(__xludf.DUMMYFUNCTION("GOOGLETRANSLATE(B31039,""en"",""fr"")"),"L'homme continue de déborder avant de parler à la caméra.")</f>
        <v>L'homme continue de déborder avant de parler à la caméra.</v>
      </c>
    </row>
    <row r="31040">
      <c r="A31040" s="4" t="s">
        <v>39091</v>
      </c>
      <c r="B31040" s="4" t="s">
        <v>39092</v>
      </c>
      <c r="C31040" s="5" t="str">
        <f>IFERROR(__xludf.DUMMYFUNCTION("GOOGLETRANSLATE(B31040,""en"",""fr"")"),"Une personne soulève une couture d'un grand tuyau métallique portant un masque de protection.")</f>
        <v>Une personne soulève une couture d'un grand tuyau métallique portant un masque de protection.</v>
      </c>
    </row>
    <row r="31041">
      <c r="A31041" s="4" t="s">
        <v>39091</v>
      </c>
      <c r="B31041" s="4" t="s">
        <v>39093</v>
      </c>
      <c r="C31041" s="5" t="str">
        <f>IFERROR(__xludf.DUMMYFUNCTION("GOOGLETRANSLATE(B31041,""en"",""fr"")"),"La personne regarde à travers un petit trou dans un morceau de métal.")</f>
        <v>La personne regarde à travers un petit trou dans un morceau de métal.</v>
      </c>
    </row>
    <row r="31042">
      <c r="A31042" s="4" t="s">
        <v>39091</v>
      </c>
      <c r="B31042" s="4" t="s">
        <v>39094</v>
      </c>
      <c r="C31042" s="5" t="str">
        <f>IFERROR(__xludf.DUMMYFUNCTION("GOOGLETRANSLATE(B31042,""en"",""fr"")"),"L'homme termine la soudure et la couture est vue rouge brillant.")</f>
        <v>L'homme termine la soudure et la couture est vue rouge brillant.</v>
      </c>
    </row>
    <row r="31043">
      <c r="A31043" s="4" t="s">
        <v>39091</v>
      </c>
      <c r="B31043" s="4" t="s">
        <v>39095</v>
      </c>
      <c r="C31043" s="5" t="str">
        <f>IFERROR(__xludf.DUMMYFUNCTION("GOOGLETRANSLATE(B31043,""en"",""fr"")"),"Un homme puise le puits fini avec un fichier métallique.")</f>
        <v>Un homme puise le puits fini avec un fichier métallique.</v>
      </c>
    </row>
    <row r="31044">
      <c r="A31044" s="4" t="s">
        <v>39096</v>
      </c>
      <c r="B31044" s="4" t="s">
        <v>39097</v>
      </c>
      <c r="C31044" s="5" t="str">
        <f>IFERROR(__xludf.DUMMYFUNCTION("GOOGLETRANSLATE(B31044,""en"",""fr"")"),"La vidéo montre la main d'une personne qui tient une guitare acoustique.")</f>
        <v>La vidéo montre la main d'une personne qui tient une guitare acoustique.</v>
      </c>
    </row>
    <row r="31045">
      <c r="A31045" s="4" t="s">
        <v>39096</v>
      </c>
      <c r="B31045" s="4" t="s">
        <v>39098</v>
      </c>
      <c r="C31045" s="5" t="str">
        <f>IFERROR(__xludf.DUMMYFUNCTION("GOOGLETRANSLATE(B31045,""en"",""fr"")"),"Le cas Yamaha de la guitare est également montré.")</f>
        <v>Le cas Yamaha de la guitare est également montré.</v>
      </c>
    </row>
    <row r="31046">
      <c r="A31046" s="4" t="s">
        <v>39096</v>
      </c>
      <c r="B31046" s="4" t="s">
        <v>39099</v>
      </c>
      <c r="C31046" s="5" t="str">
        <f>IFERROR(__xludf.DUMMYFUNCTION("GOOGLETRANSLATE(B31046,""en"",""fr"")"),"Un jeune homme est vu jouer sa guitare acoustique.")</f>
        <v>Un jeune homme est vu jouer sa guitare acoustique.</v>
      </c>
    </row>
    <row r="31047">
      <c r="A31047" s="4" t="s">
        <v>39096</v>
      </c>
      <c r="B31047" s="4" t="s">
        <v>39100</v>
      </c>
      <c r="C31047" s="5" t="str">
        <f>IFERROR(__xludf.DUMMYFUNCTION("GOOGLETRANSLATE(B31047,""en"",""fr"")"),"Il gratte sa guitare à une mélodie.")</f>
        <v>Il gratte sa guitare à une mélodie.</v>
      </c>
    </row>
    <row r="31048">
      <c r="A31048" s="4" t="s">
        <v>39101</v>
      </c>
      <c r="B31048" s="4" t="s">
        <v>39102</v>
      </c>
      <c r="C31048" s="5" t="str">
        <f>IFERROR(__xludf.DUMMYFUNCTION("GOOGLETRANSLATE(B31048,""en"",""fr"")"),"Un homme est vu à plusieurs endroits marchant le long d'une corde longue attachée à deux arbres.")</f>
        <v>Un homme est vu à plusieurs endroits marchant le long d'une corde longue attachée à deux arbres.</v>
      </c>
    </row>
    <row r="31049">
      <c r="A31049" s="4" t="s">
        <v>39101</v>
      </c>
      <c r="B31049" s="6" t="s">
        <v>39103</v>
      </c>
      <c r="C31049" s="5" t="str">
        <f>IFERROR(__xludf.DUMMYFUNCTION("GOOGLETRANSLATE(B31049,""en"",""fr"")"),"L'homme continue d'effectuer plusieurs variations sur la façon de marcher sur la corde ainsi que de sauter de haut en bas et de continuer à marcher.")</f>
        <v>L'homme continue d'effectuer plusieurs variations sur la façon de marcher sur la corde ainsi que de sauter de haut en bas et de continuer à marcher.</v>
      </c>
    </row>
    <row r="31050">
      <c r="A31050" s="4" t="s">
        <v>39104</v>
      </c>
      <c r="B31050" s="4" t="s">
        <v>39105</v>
      </c>
      <c r="C31050" s="5" t="str">
        <f>IFERROR(__xludf.DUMMYFUNCTION("GOOGLETRANSLATE(B31050,""en"",""fr"")"),"Plusieurs chats sont représentés assis, suivis d'un homme parlant à la caméra.")</f>
        <v>Plusieurs chats sont représentés assis, suivis d'un homme parlant à la caméra.</v>
      </c>
    </row>
    <row r="31051">
      <c r="A31051" s="4" t="s">
        <v>39104</v>
      </c>
      <c r="B31051" s="4" t="s">
        <v>39106</v>
      </c>
      <c r="C31051" s="5" t="str">
        <f>IFERROR(__xludf.DUMMYFUNCTION("GOOGLETRANSLATE(B31051,""en"",""fr"")"),"Plus de coups de feu sont montrés des voitures et conduisent à une femme coupant les griffes d'un chat.")</f>
        <v>Plus de coups de feu sont montrés des voitures et conduisent à une femme coupant les griffes d'un chat.</v>
      </c>
    </row>
    <row r="31052">
      <c r="A31052" s="4" t="s">
        <v>39104</v>
      </c>
      <c r="B31052" s="4" t="s">
        <v>39107</v>
      </c>
      <c r="C31052" s="5" t="str">
        <f>IFERROR(__xludf.DUMMYFUNCTION("GOOGLETRANSLATE(B31052,""en"",""fr"")"),"Plusieurs produits sont présentés ainsi que plusieurs personnes qui tiennent des chats et se coupent les ongles.")</f>
        <v>Plusieurs produits sont présentés ainsi que plusieurs personnes qui tiennent des chats et se coupent les ongles.</v>
      </c>
    </row>
    <row r="31053">
      <c r="A31053" s="4" t="s">
        <v>39108</v>
      </c>
      <c r="B31053" s="4" t="s">
        <v>39109</v>
      </c>
      <c r="C31053" s="5" t="str">
        <f>IFERROR(__xludf.DUMMYFUNCTION("GOOGLETRANSLATE(B31053,""en"",""fr"")"),"Les hommes tiennent un seau et se tient dans l'oof d'une maison et il y travaille.")</f>
        <v>Les hommes tiennent un seau et se tient dans l'oof d'une maison et il y travaille.</v>
      </c>
    </row>
    <row r="31054">
      <c r="A31054" s="4" t="s">
        <v>39108</v>
      </c>
      <c r="B31054" s="4" t="s">
        <v>39110</v>
      </c>
      <c r="C31054" s="5" t="str">
        <f>IFERROR(__xludf.DUMMYFUNCTION("GOOGLETRANSLATE(B31054,""en"",""fr"")"),"L'homme fait le mélange dans un seau dans un sol et sur le toit à nouveau.")</f>
        <v>L'homme fait le mélange dans un seau dans un sol et sur le toit à nouveau.</v>
      </c>
    </row>
    <row r="31055">
      <c r="A31055" s="4" t="s">
        <v>39111</v>
      </c>
      <c r="B31055" s="4" t="s">
        <v>39112</v>
      </c>
      <c r="C31055" s="5" t="str">
        <f>IFERROR(__xludf.DUMMYFUNCTION("GOOGLETRANSLATE(B31055,""en"",""fr"")"),"Le texte est montré à travers l'écran menant à deux femmes qui se parlent.")</f>
        <v>Le texte est montré à travers l'écran menant à deux femmes qui se parlent.</v>
      </c>
    </row>
    <row r="31056">
      <c r="A31056" s="4" t="s">
        <v>39111</v>
      </c>
      <c r="B31056" s="4" t="s">
        <v>39113</v>
      </c>
      <c r="C31056" s="5" t="str">
        <f>IFERROR(__xludf.DUMMYFUNCTION("GOOGLETRANSLATE(B31056,""en"",""fr"")"),"On prend une gorgée de lavage de la bouche et le crache dans l'évier.")</f>
        <v>On prend une gorgée de lavage de la bouche et le crache dans l'évier.</v>
      </c>
    </row>
    <row r="31057">
      <c r="A31057" s="4" t="s">
        <v>39111</v>
      </c>
      <c r="B31057" s="4" t="s">
        <v>39114</v>
      </c>
      <c r="C31057" s="5" t="str">
        <f>IFERROR(__xludf.DUMMYFUNCTION("GOOGLETRANSLATE(B31057,""en"",""fr"")"),"Elle remet le conteneur à la femme qui se tourne pour parler à la caméra.")</f>
        <v>Elle remet le conteneur à la femme qui se tourne pour parler à la caméra.</v>
      </c>
    </row>
    <row r="31058">
      <c r="A31058" s="4" t="s">
        <v>39115</v>
      </c>
      <c r="B31058" s="6" t="s">
        <v>39116</v>
      </c>
      <c r="C31058" s="5" t="str">
        <f>IFERROR(__xludf.DUMMYFUNCTION("GOOGLETRANSLATE(B31058,""en"",""fr"")"),"Trois athlètes effectuent des lancers de marteau sur un événement sportif professionnel devant un public dans les gradins et les gardiens de la marque.")</f>
        <v>Trois athlètes effectuent des lancers de marteau sur un événement sportif professionnel devant un public dans les gradins et les gardiens de la marque.</v>
      </c>
    </row>
    <row r="31059">
      <c r="A31059" s="4" t="s">
        <v>39115</v>
      </c>
      <c r="B31059" s="6" t="s">
        <v>39117</v>
      </c>
      <c r="C31059" s="5" t="str">
        <f>IFERROR(__xludf.DUMMYFUNCTION("GOOGLETRANSLATE(B31059,""en"",""fr"")"),"Un homme tourne un marteau de marteau à nouveau à nouveau dans un événement sportif professionnel, puis laisse aller voler dans un champ entouré d'un public de gradins.")</f>
        <v>Un homme tourne un marteau de marteau à nouveau à nouveau dans un événement sportif professionnel, puis laisse aller voler dans un champ entouré d'un public de gradins.</v>
      </c>
    </row>
    <row r="31060">
      <c r="A31060" s="4" t="s">
        <v>39115</v>
      </c>
      <c r="B31060" s="4" t="s">
        <v>39118</v>
      </c>
      <c r="C31060" s="5" t="str">
        <f>IFERROR(__xludf.DUMMYFUNCTION("GOOGLETRANSLATE(B31060,""en"",""fr"")"),"L'athlète s'éloigne et a l'air déçu car un tableau de bord révèle le score.")</f>
        <v>L'athlète s'éloigne et a l'air déçu car un tableau de bord révèle le score.</v>
      </c>
    </row>
    <row r="31061">
      <c r="A31061" s="4" t="s">
        <v>39115</v>
      </c>
      <c r="B31061" s="4" t="s">
        <v>39119</v>
      </c>
      <c r="C31061" s="5" t="str">
        <f>IFERROR(__xludf.DUMMYFUNCTION("GOOGLETRANSLATE(B31061,""en"",""fr"")"),"Deux autres athlètes interprètent le même sport de la même manière, laissant le marteau voler en l'air.")</f>
        <v>Deux autres athlètes interprètent le même sport de la même manière, laissant le marteau voler en l'air.</v>
      </c>
    </row>
    <row r="31062">
      <c r="A31062" s="4" t="s">
        <v>39115</v>
      </c>
      <c r="B31062" s="4" t="s">
        <v>39120</v>
      </c>
      <c r="C31062" s="5" t="str">
        <f>IFERROR(__xludf.DUMMYFUNCTION("GOOGLETRANSLATE(B31062,""en"",""fr"")"),"Un tableau de bord final affiche des scores de lancer du marteau.")</f>
        <v>Un tableau de bord final affiche des scores de lancer du marteau.</v>
      </c>
    </row>
    <row r="31063">
      <c r="A31063" s="4" t="s">
        <v>39121</v>
      </c>
      <c r="B31063" s="4" t="s">
        <v>39122</v>
      </c>
      <c r="C31063" s="5" t="str">
        <f>IFERROR(__xludf.DUMMYFUNCTION("GOOGLETRANSLATE(B31063,""en"",""fr"")"),"Un homme porte un gilet jaune.")</f>
        <v>Un homme porte un gilet jaune.</v>
      </c>
    </row>
    <row r="31064">
      <c r="A31064" s="4" t="s">
        <v>39121</v>
      </c>
      <c r="B31064" s="4" t="s">
        <v>39123</v>
      </c>
      <c r="C31064" s="5" t="str">
        <f>IFERROR(__xludf.DUMMYFUNCTION("GOOGLETRANSLATE(B31064,""en"",""fr"")"),"Il se tient devant un bâtiment nettoyant une fenêtre.")</f>
        <v>Il se tient devant un bâtiment nettoyant une fenêtre.</v>
      </c>
    </row>
    <row r="31065">
      <c r="A31065" s="4" t="s">
        <v>39121</v>
      </c>
      <c r="B31065" s="4" t="s">
        <v>39124</v>
      </c>
      <c r="C31065" s="5" t="str">
        <f>IFERROR(__xludf.DUMMYFUNCTION("GOOGLETRANSLATE(B31065,""en"",""fr"")"),"Une personne est vue en train de regarder par l'une des fenêtres.")</f>
        <v>Une personne est vue en train de regarder par l'une des fenêtres.</v>
      </c>
    </row>
    <row r="31066">
      <c r="A31066" s="4" t="s">
        <v>39125</v>
      </c>
      <c r="B31066" s="6" t="s">
        <v>39126</v>
      </c>
      <c r="C31066" s="5" t="str">
        <f>IFERROR(__xludf.DUMMYFUNCTION("GOOGLETRANSLATE(B31066,""en"",""fr"")"),"Un chef est vu debout devant une table avec divers objets disposés et tirant un morceau de nourriture hors du pot.")</f>
        <v>Un chef est vu debout devant une table avec divers objets disposés et tirant un morceau de nourriture hors du pot.</v>
      </c>
    </row>
    <row r="31067">
      <c r="A31067" s="4" t="s">
        <v>39125</v>
      </c>
      <c r="B31067" s="4" t="s">
        <v>39127</v>
      </c>
      <c r="C31067" s="5" t="str">
        <f>IFERROR(__xludf.DUMMYFUNCTION("GOOGLETRANSLATE(B31067,""en"",""fr"")"),"Il montre l'objet à la caméra et commence à le décoller dans un bol.")</f>
        <v>Il montre l'objet à la caméra et commence à le décoller dans un bol.</v>
      </c>
    </row>
    <row r="31068">
      <c r="A31068" s="4" t="s">
        <v>39125</v>
      </c>
      <c r="B31068" s="4" t="s">
        <v>39128</v>
      </c>
      <c r="C31068" s="5" t="str">
        <f>IFERROR(__xludf.DUMMYFUNCTION("GOOGLETRANSLATE(B31068,""en"",""fr"")"),"La personne coupe ensuite la nourriture et continue de se décoller davantage dans un pot.")</f>
        <v>La personne coupe ensuite la nourriture et continue de se décoller davantage dans un pot.</v>
      </c>
    </row>
    <row r="31069">
      <c r="A31069" s="4" t="s">
        <v>39129</v>
      </c>
      <c r="B31069" s="4" t="s">
        <v>39130</v>
      </c>
      <c r="C31069" s="5" t="str">
        <f>IFERROR(__xludf.DUMMYFUNCTION("GOOGLETRANSLATE(B31069,""en"",""fr"")"),"Il y a une femme qui fait un tutoriel sur la façon d'utiliser un fer à friser sur les cheveux d'un modèle.")</f>
        <v>Il y a une femme qui fait un tutoriel sur la façon d'utiliser un fer à friser sur les cheveux d'un modèle.</v>
      </c>
    </row>
    <row r="31070">
      <c r="A31070" s="4" t="s">
        <v>39129</v>
      </c>
      <c r="B31070" s="6" t="s">
        <v>39131</v>
      </c>
      <c r="C31070" s="5" t="str">
        <f>IFERROR(__xludf.DUMMYFUNCTION("GOOGLETRANSLATE(B31070,""en"",""fr"")"),"Elle prend des sections des cheveux du modèle à un moment et la met dans le fer à friser, puis la libère progressivement pour retirer les boucles.")</f>
        <v>Elle prend des sections des cheveux du modèle à un moment et la met dans le fer à friser, puis la libère progressivement pour retirer les boucles.</v>
      </c>
    </row>
    <row r="31071">
      <c r="A31071" s="4" t="s">
        <v>39129</v>
      </c>
      <c r="B31071" s="4" t="s">
        <v>39132</v>
      </c>
      <c r="C31071" s="5" t="str">
        <f>IFERROR(__xludf.DUMMYFUNCTION("GOOGLETRANSLATE(B31071,""en"",""fr"")"),"Elle continue le processus jusqu'à ce que toute la chevette soit bouclée avec le fer.")</f>
        <v>Elle continue le processus jusqu'à ce que toute la chevette soit bouclée avec le fer.</v>
      </c>
    </row>
    <row r="31072">
      <c r="A31072" s="4" t="s">
        <v>39129</v>
      </c>
      <c r="B31072" s="4" t="s">
        <v>39133</v>
      </c>
      <c r="C31072" s="5" t="str">
        <f>IFERROR(__xludf.DUMMYFUNCTION("GOOGLETRANSLATE(B31072,""en"",""fr"")"),"Le modèle sourit ensuite et prend un selfie tout en regardant dans le miroir.")</f>
        <v>Le modèle sourit ensuite et prend un selfie tout en regardant dans le miroir.</v>
      </c>
    </row>
    <row r="31073">
      <c r="A31073" s="4" t="s">
        <v>39134</v>
      </c>
      <c r="B31073" s="4" t="s">
        <v>39135</v>
      </c>
      <c r="C31073" s="5" t="str">
        <f>IFERROR(__xludf.DUMMYFUNCTION("GOOGLETRANSLATE(B31073,""en"",""fr"")"),"Une caméra montre les pieds d'une personne qui roule sur une montagne de neige tout en tournant en rond.")</f>
        <v>Une caméra montre les pieds d'une personne qui roule sur une montagne de neige tout en tournant en rond.</v>
      </c>
    </row>
    <row r="31074">
      <c r="A31074" s="4" t="s">
        <v>39134</v>
      </c>
      <c r="B31074" s="6" t="s">
        <v>39136</v>
      </c>
      <c r="C31074" s="5" t="str">
        <f>IFERROR(__xludf.DUMMYFUNCTION("GOOGLETRANSLATE(B31074,""en"",""fr"")"),"La personne continue de tourner en bas de la colline pendant qu'une grande foule regarde sur le côté et un jeune garçon saute en bas.")</f>
        <v>La personne continue de tourner en bas de la colline pendant qu'une grande foule regarde sur le côté et un jeune garçon saute en bas.</v>
      </c>
    </row>
    <row r="31075">
      <c r="A31075" s="4" t="s">
        <v>39137</v>
      </c>
      <c r="B31075" s="4" t="s">
        <v>39138</v>
      </c>
      <c r="C31075" s="5" t="str">
        <f>IFERROR(__xludf.DUMMYFUNCTION("GOOGLETRANSLATE(B31075,""en"",""fr"")"),"Une personne sur une planche à roulettes se déplace vers le haut et se reproduise dans un coin.")</f>
        <v>Une personne sur une planche à roulettes se déplace vers le haut et se reproduise dans un coin.</v>
      </c>
    </row>
    <row r="31076">
      <c r="A31076" s="4" t="s">
        <v>39137</v>
      </c>
      <c r="B31076" s="4" t="s">
        <v>39139</v>
      </c>
      <c r="C31076" s="5" t="str">
        <f>IFERROR(__xludf.DUMMYFUNCTION("GOOGLETRANSLATE(B31076,""en"",""fr"")"),"La caméra le montre à faire divers mouvements et à interviewer la caméra.")</f>
        <v>La caméra le montre à faire divers mouvements et à interviewer la caméra.</v>
      </c>
    </row>
    <row r="31077">
      <c r="A31077" s="4" t="s">
        <v>39137</v>
      </c>
      <c r="B31077" s="4" t="s">
        <v>39140</v>
      </c>
      <c r="C31077" s="5" t="str">
        <f>IFERROR(__xludf.DUMMYFUNCTION("GOOGLETRANSLATE(B31077,""en"",""fr"")"),"Un autre homme chevauche un wakeboard faisant et tourne et finit par tomber.")</f>
        <v>Un autre homme chevauche un wakeboard faisant et tourne et finit par tomber.</v>
      </c>
    </row>
    <row r="31078">
      <c r="A31078" s="4" t="s">
        <v>39137</v>
      </c>
      <c r="B31078" s="4" t="s">
        <v>39141</v>
      </c>
      <c r="C31078" s="5" t="str">
        <f>IFERROR(__xludf.DUMMYFUNCTION("GOOGLETRANSLATE(B31078,""en"",""fr"")"),"Plusieurs autres clips sont montrés des personnes en kayak faisant plusieurs cascades pendant que la caméra enregistre.")</f>
        <v>Plusieurs autres clips sont montrés des personnes en kayak faisant plusieurs cascades pendant que la caméra enregistre.</v>
      </c>
    </row>
    <row r="31079">
      <c r="A31079" s="4" t="s">
        <v>39142</v>
      </c>
      <c r="B31079" s="4" t="s">
        <v>39143</v>
      </c>
      <c r="C31079" s="5" t="str">
        <f>IFERROR(__xludf.DUMMYFUNCTION("GOOGLETRANSLATE(B31079,""en"",""fr"")"),"Un homme est montré en faisant plusieurs sauts en longueur différents pendant que la caméra le capture.")</f>
        <v>Un homme est montré en faisant plusieurs sauts en longueur différents pendant que la caméra le capture.</v>
      </c>
    </row>
    <row r="31080">
      <c r="A31080" s="4" t="s">
        <v>39142</v>
      </c>
      <c r="B31080" s="4" t="s">
        <v>39144</v>
      </c>
      <c r="C31080" s="5" t="str">
        <f>IFERROR(__xludf.DUMMYFUNCTION("GOOGLETRANSLATE(B31080,""en"",""fr"")"),"Il balance ses bras pour démontrer une décision appropriée suivie de plusieurs autres sauts.")</f>
        <v>Il balance ses bras pour démontrer une décision appropriée suivie de plusieurs autres sauts.</v>
      </c>
    </row>
    <row r="31081">
      <c r="A31081" s="4" t="s">
        <v>39145</v>
      </c>
      <c r="B31081" s="4" t="s">
        <v>39146</v>
      </c>
      <c r="C31081" s="5" t="str">
        <f>IFERROR(__xludf.DUMMYFUNCTION("GOOGLETRANSLATE(B31081,""en"",""fr"")"),"Un homme est représenté à côté d'une annonce pour le yoga.")</f>
        <v>Un homme est représenté à côté d'une annonce pour le yoga.</v>
      </c>
    </row>
    <row r="31082">
      <c r="A31082" s="4" t="s">
        <v>39145</v>
      </c>
      <c r="B31082" s="4" t="s">
        <v>39147</v>
      </c>
      <c r="C31082" s="5" t="str">
        <f>IFERROR(__xludf.DUMMYFUNCTION("GOOGLETRANSLATE(B31082,""en"",""fr"")"),"Il se tient dans une forêt, faisant des mouvements de yoga lents et gracieux.")</f>
        <v>Il se tient dans une forêt, faisant des mouvements de yoga lents et gracieux.</v>
      </c>
    </row>
    <row r="31083">
      <c r="A31083" s="4" t="s">
        <v>39145</v>
      </c>
      <c r="B31083" s="4" t="s">
        <v>39148</v>
      </c>
      <c r="C31083" s="5" t="str">
        <f>IFERROR(__xludf.DUMMYFUNCTION("GOOGLETRANSLATE(B31083,""en"",""fr"")"),"Il se tient sur une plate-forme, poursuivant les mouvements gracieux.")</f>
        <v>Il se tient sur une plate-forme, poursuivant les mouvements gracieux.</v>
      </c>
    </row>
    <row r="31084">
      <c r="A31084" s="4" t="s">
        <v>39145</v>
      </c>
      <c r="B31084" s="4" t="s">
        <v>39149</v>
      </c>
      <c r="C31084" s="5" t="str">
        <f>IFERROR(__xludf.DUMMYFUNCTION("GOOGLETRANSLATE(B31084,""en"",""fr"")"),"Nous le voyons ensuite dans les bois, faisant toujours du yoga tranquillement.")</f>
        <v>Nous le voyons ensuite dans les bois, faisant toujours du yoga tranquillement.</v>
      </c>
    </row>
    <row r="31085">
      <c r="A31085" s="4" t="s">
        <v>39150</v>
      </c>
      <c r="B31085" s="4" t="s">
        <v>39151</v>
      </c>
      <c r="C31085" s="5" t="str">
        <f>IFERROR(__xludf.DUMMYFUNCTION("GOOGLETRANSLATE(B31085,""en"",""fr"")"),"Ces deux hommes sont présentés en pulvérisant l'extérieur de la voiture noire avec du savon.")</f>
        <v>Ces deux hommes sont présentés en pulvérisant l'extérieur de la voiture noire avec du savon.</v>
      </c>
    </row>
    <row r="31086">
      <c r="A31086" s="4" t="s">
        <v>39150</v>
      </c>
      <c r="B31086" s="4" t="s">
        <v>39152</v>
      </c>
      <c r="C31086" s="5" t="str">
        <f>IFERROR(__xludf.DUMMYFUNCTION("GOOGLETRANSLATE(B31086,""en"",""fr"")"),"Ensuite, ils ont commencé à laver la voiture en utilisant leurs mains et une serviette.")</f>
        <v>Ensuite, ils ont commencé à laver la voiture en utilisant leurs mains et une serviette.</v>
      </c>
    </row>
    <row r="31087">
      <c r="A31087" s="4" t="s">
        <v>39150</v>
      </c>
      <c r="B31087" s="4" t="s">
        <v>39153</v>
      </c>
      <c r="C31087" s="5" t="str">
        <f>IFERROR(__xludf.DUMMYFUNCTION("GOOGLETRANSLATE(B31087,""en"",""fr"")"),"Ils ont frotté presque partout pour faire briller le noir.")</f>
        <v>Ils ont frotté presque partout pour faire briller le noir.</v>
      </c>
    </row>
    <row r="31088">
      <c r="A31088" s="4" t="s">
        <v>39154</v>
      </c>
      <c r="B31088" s="4" t="s">
        <v>39155</v>
      </c>
      <c r="C31088" s="5" t="str">
        <f>IFERROR(__xludf.DUMMYFUNCTION("GOOGLETRANSLATE(B31088,""en"",""fr"")"),"Une personne coupe une pomme de terre.")</f>
        <v>Une personne coupe une pomme de terre.</v>
      </c>
    </row>
    <row r="31089">
      <c r="A31089" s="4" t="s">
        <v>39154</v>
      </c>
      <c r="B31089" s="4" t="s">
        <v>39156</v>
      </c>
      <c r="C31089" s="5" t="str">
        <f>IFERROR(__xludf.DUMMYFUNCTION("GOOGLETRANSLATE(B31089,""en"",""fr"")"),"Ils empilent les tranches de pommes de terre et commencent à les couper en petits morceaux.")</f>
        <v>Ils empilent les tranches de pommes de terre et commencent à les couper en petits morceaux.</v>
      </c>
    </row>
    <row r="31090">
      <c r="A31090" s="4" t="s">
        <v>39154</v>
      </c>
      <c r="B31090" s="4" t="s">
        <v>39157</v>
      </c>
      <c r="C31090" s="5" t="str">
        <f>IFERROR(__xludf.DUMMYFUNCTION("GOOGLETRANSLATE(B31090,""en"",""fr"")"),"Il place les morceaux sur une assiette assise dans un évier.")</f>
        <v>Il place les morceaux sur une assiette assise dans un évier.</v>
      </c>
    </row>
    <row r="31091">
      <c r="A31091" s="4" t="s">
        <v>39154</v>
      </c>
      <c r="B31091" s="4" t="s">
        <v>39158</v>
      </c>
      <c r="C31091" s="5" t="str">
        <f>IFERROR(__xludf.DUMMYFUNCTION("GOOGLETRANSLATE(B31091,""en"",""fr"")"),"Il y a des assiettes de nourriture dans l'évier.")</f>
        <v>Il y a des assiettes de nourriture dans l'évier.</v>
      </c>
    </row>
    <row r="31092">
      <c r="A31092" s="4" t="s">
        <v>39154</v>
      </c>
      <c r="B31092" s="4" t="s">
        <v>39159</v>
      </c>
      <c r="C31092" s="5" t="str">
        <f>IFERROR(__xludf.DUMMYFUNCTION("GOOGLETRANSLATE(B31092,""en"",""fr"")"),"Il vide les assiettes dans un pot.")</f>
        <v>Il vide les assiettes dans un pot.</v>
      </c>
    </row>
    <row r="31093">
      <c r="A31093" s="4" t="s">
        <v>39154</v>
      </c>
      <c r="B31093" s="4" t="s">
        <v>39160</v>
      </c>
      <c r="C31093" s="5" t="str">
        <f>IFERROR(__xludf.DUMMYFUNCTION("GOOGLETRANSLATE(B31093,""en"",""fr"")"),"Il remue tout dans le pot ensemble.")</f>
        <v>Il remue tout dans le pot ensemble.</v>
      </c>
    </row>
    <row r="31094">
      <c r="A31094" s="4" t="s">
        <v>39154</v>
      </c>
      <c r="B31094" s="4" t="s">
        <v>39161</v>
      </c>
      <c r="C31094" s="5" t="str">
        <f>IFERROR(__xludf.DUMMYFUNCTION("GOOGLETRANSLATE(B31094,""en"",""fr"")"),"Il en prend ensuite une boule et le met dans une assiette avec des légumes dessus.")</f>
        <v>Il en prend ensuite une boule et le met dans une assiette avec des légumes dessus.</v>
      </c>
    </row>
    <row r="31095">
      <c r="A31095" s="4" t="s">
        <v>39154</v>
      </c>
      <c r="B31095" s="4" t="s">
        <v>39162</v>
      </c>
      <c r="C31095" s="5" t="str">
        <f>IFERROR(__xludf.DUMMYFUNCTION("GOOGLETRANSLATE(B31095,""en"",""fr"")"),"Il le remplaçait de garnitures.")</f>
        <v>Il le remplaçait de garnitures.</v>
      </c>
    </row>
    <row r="31096">
      <c r="A31096" s="4" t="s">
        <v>39163</v>
      </c>
      <c r="B31096" s="4" t="s">
        <v>39164</v>
      </c>
      <c r="C31096" s="5" t="str">
        <f>IFERROR(__xludf.DUMMYFUNCTION("GOOGLETRANSLATE(B31096,""en"",""fr"")"),"Les hommes parlent à la caméra assise sur une chaise.")</f>
        <v>Les hommes parlent à la caméra assise sur une chaise.</v>
      </c>
    </row>
    <row r="31097">
      <c r="A31097" s="4" t="s">
        <v>39163</v>
      </c>
      <c r="B31097" s="6" t="s">
        <v>39165</v>
      </c>
      <c r="C31097" s="5" t="str">
        <f>IFERROR(__xludf.DUMMYFUNCTION("GOOGLETRANSLATE(B31097,""en"",""fr"")"),"Les hommes enlevant leurs lunettes et rasent la moitié de leurs visages pendant qu'une femme se maquille sur eux, faisant leurs sourcils et mettant un eye-liner et des cils.")</f>
        <v>Les hommes enlevant leurs lunettes et rasent la moitié de leurs visages pendant qu'une femme se maquille sur eux, faisant leurs sourcils et mettant un eye-liner et des cils.</v>
      </c>
    </row>
    <row r="31098">
      <c r="A31098" s="4" t="s">
        <v>39163</v>
      </c>
      <c r="B31098" s="6" t="s">
        <v>39166</v>
      </c>
      <c r="C31098" s="5" t="str">
        <f>IFERROR(__xludf.DUMMYFUNCTION("GOOGLETRANSLATE(B31098,""en"",""fr"")"),"Les hommes les regardent dans le miroir avec la mi-chemin du visage avec du maquillage et la moitié sans maquillage et parlent à la caméra.")</f>
        <v>Les hommes les regardent dans le miroir avec la mi-chemin du visage avec du maquillage et la moitié sans maquillage et parlent à la caméra.</v>
      </c>
    </row>
    <row r="31099">
      <c r="A31099" s="4" t="s">
        <v>39167</v>
      </c>
      <c r="B31099" s="4" t="s">
        <v>39168</v>
      </c>
      <c r="C31099" s="5" t="str">
        <f>IFERROR(__xludf.DUMMYFUNCTION("GOOGLETRANSLATE(B31099,""en"",""fr"")"),"Les gens pellent la neige à l'aide d'une pelle de neige à roues.")</f>
        <v>Les gens pellent la neige à l'aide d'une pelle de neige à roues.</v>
      </c>
    </row>
    <row r="31100">
      <c r="A31100" s="4" t="s">
        <v>39167</v>
      </c>
      <c r="B31100" s="4" t="s">
        <v>39169</v>
      </c>
      <c r="C31100" s="5" t="str">
        <f>IFERROR(__xludf.DUMMYFUNCTION("GOOGLETRANSLATE(B31100,""en"",""fr"")"),"Ensuite, un homme montre comment pelleter la neige, il utilise un sac.")</f>
        <v>Ensuite, un homme montre comment pelleter la neige, il utilise un sac.</v>
      </c>
    </row>
    <row r="31101">
      <c r="A31101" s="4" t="s">
        <v>39170</v>
      </c>
      <c r="B31101" s="4" t="s">
        <v>39171</v>
      </c>
      <c r="C31101" s="5" t="str">
        <f>IFERROR(__xludf.DUMMYFUNCTION("GOOGLETRANSLATE(B31101,""en"",""fr"")"),"Un groupe de personnes monte des chevaux et joue du polo.")</f>
        <v>Un groupe de personnes monte des chevaux et joue du polo.</v>
      </c>
    </row>
    <row r="31102">
      <c r="A31102" s="4" t="s">
        <v>39170</v>
      </c>
      <c r="B31102" s="4" t="s">
        <v>39172</v>
      </c>
      <c r="C31102" s="5" t="str">
        <f>IFERROR(__xludf.DUMMYFUNCTION("GOOGLETRANSLATE(B31102,""en"",""fr"")"),"Ils se battent sur le ballon devant la foule.")</f>
        <v>Ils se battent sur le ballon devant la foule.</v>
      </c>
    </row>
    <row r="31103">
      <c r="A31103" s="4" t="s">
        <v>39170</v>
      </c>
      <c r="B31103" s="4" t="s">
        <v>39173</v>
      </c>
      <c r="C31103" s="5" t="str">
        <f>IFERROR(__xludf.DUMMYFUNCTION("GOOGLETRANSLATE(B31103,""en"",""fr"")"),"Quand c'est fini, ils posent des photos à l'extérieur du rodéo et du stade.")</f>
        <v>Quand c'est fini, ils posent des photos à l'extérieur du rodéo et du stade.</v>
      </c>
    </row>
    <row r="31104">
      <c r="A31104" s="4" t="s">
        <v>39174</v>
      </c>
      <c r="B31104" s="4" t="s">
        <v>39175</v>
      </c>
      <c r="C31104" s="5" t="str">
        <f>IFERROR(__xludf.DUMMYFUNCTION("GOOGLETRANSLATE(B31104,""en"",""fr"")"),"Une dame en chemise rose se tient dans une buanderie en parlant à la caméra.")</f>
        <v>Une dame en chemise rose se tient dans une buanderie en parlant à la caméra.</v>
      </c>
    </row>
    <row r="31105">
      <c r="A31105" s="4" t="s">
        <v>39174</v>
      </c>
      <c r="B31105" s="4" t="s">
        <v>39176</v>
      </c>
      <c r="C31105" s="5" t="str">
        <f>IFERROR(__xludf.DUMMYFUNCTION("GOOGLETRANSLATE(B31105,""en"",""fr"")"),"La caméra zoome pour nous montrer toute la pièce.")</f>
        <v>La caméra zoome pour nous montrer toute la pièce.</v>
      </c>
    </row>
    <row r="31106">
      <c r="A31106" s="4" t="s">
        <v>39174</v>
      </c>
      <c r="B31106" s="4" t="s">
        <v>39177</v>
      </c>
      <c r="C31106" s="5" t="str">
        <f>IFERROR(__xludf.DUMMYFUNCTION("GOOGLETRANSLATE(B31106,""en"",""fr"")"),"La dame nous montre un flacon pulvérisateur et le secoue.")</f>
        <v>La dame nous montre un flacon pulvérisateur et le secoue.</v>
      </c>
    </row>
    <row r="31107">
      <c r="A31107" s="4" t="s">
        <v>39174</v>
      </c>
      <c r="B31107" s="4" t="s">
        <v>39178</v>
      </c>
      <c r="C31107" s="5" t="str">
        <f>IFERROR(__xludf.DUMMYFUNCTION("GOOGLETRANSLATE(B31107,""en"",""fr"")"),"La dame parle ensuite à la caméra.")</f>
        <v>La dame parle ensuite à la caméra.</v>
      </c>
    </row>
    <row r="31108">
      <c r="A31108" s="4" t="s">
        <v>39179</v>
      </c>
      <c r="B31108" s="4" t="s">
        <v>39180</v>
      </c>
      <c r="C31108" s="5" t="str">
        <f>IFERROR(__xludf.DUMMYFUNCTION("GOOGLETRANSLATE(B31108,""en"",""fr"")"),"Un gros plan d'un mur est montré suivi de plusieurs clips d'hommes ouvrant une fenêtre.")</f>
        <v>Un gros plan d'un mur est montré suivi de plusieurs clips d'hommes ouvrant une fenêtre.</v>
      </c>
    </row>
    <row r="31109">
      <c r="A31109" s="4" t="s">
        <v>39179</v>
      </c>
      <c r="B31109" s="4" t="s">
        <v>39181</v>
      </c>
      <c r="C31109" s="5" t="str">
        <f>IFERROR(__xludf.DUMMYFUNCTION("GOOGLETRANSLATE(B31109,""en"",""fr"")"),"On les voit également travailler sur un toit et mettre des carreaux sur le côté.")</f>
        <v>On les voit également travailler sur un toit et mettre des carreaux sur le côté.</v>
      </c>
    </row>
    <row r="31110">
      <c r="A31110" s="4" t="s">
        <v>39179</v>
      </c>
      <c r="B31110" s="4" t="s">
        <v>39182</v>
      </c>
      <c r="C31110" s="5" t="str">
        <f>IFERROR(__xludf.DUMMYFUNCTION("GOOGLETRANSLATE(B31110,""en"",""fr"")"),"Ils ont mis dans une fenêtre et se terminaient en fermant.")</f>
        <v>Ils ont mis dans une fenêtre et se terminaient en fermant.</v>
      </c>
    </row>
    <row r="31111">
      <c r="A31111" s="4" t="s">
        <v>39183</v>
      </c>
      <c r="B31111" s="4" t="s">
        <v>39184</v>
      </c>
      <c r="C31111" s="5" t="str">
        <f>IFERROR(__xludf.DUMMYFUNCTION("GOOGLETRANSLATE(B31111,""en"",""fr"")"),"Un homme nettoie les feuilles d'un trottoir avec un balai et une pelle.")</f>
        <v>Un homme nettoie les feuilles d'un trottoir avec un balai et une pelle.</v>
      </c>
    </row>
    <row r="31112">
      <c r="A31112" s="4" t="s">
        <v>39183</v>
      </c>
      <c r="B31112" s="4" t="s">
        <v>39185</v>
      </c>
      <c r="C31112" s="5" t="str">
        <f>IFERROR(__xludf.DUMMYFUNCTION("GOOGLETRANSLATE(B31112,""en"",""fr"")"),"L'homme balaie les feuilles en cercle et les met dans le bac.")</f>
        <v>L'homme balaie les feuilles en cercle et les met dans le bac.</v>
      </c>
    </row>
    <row r="31113">
      <c r="A31113" s="4" t="s">
        <v>39183</v>
      </c>
      <c r="B31113" s="4" t="s">
        <v>39186</v>
      </c>
      <c r="C31113" s="5" t="str">
        <f>IFERROR(__xludf.DUMMYFUNCTION("GOOGLETRANSLATE(B31113,""en"",""fr"")"),"Un bus jaune passe devant l'homme.")</f>
        <v>Un bus jaune passe devant l'homme.</v>
      </c>
    </row>
    <row r="31114">
      <c r="A31114" s="4" t="s">
        <v>39183</v>
      </c>
      <c r="B31114" s="4" t="s">
        <v>39187</v>
      </c>
      <c r="C31114" s="5" t="str">
        <f>IFERROR(__xludf.DUMMYFUNCTION("GOOGLETRANSLATE(B31114,""en"",""fr"")"),"L'homme balaie à nouveau et met les feuilles dans le bac.")</f>
        <v>L'homme balaie à nouveau et met les feuilles dans le bac.</v>
      </c>
    </row>
    <row r="31115">
      <c r="A31115" s="4" t="s">
        <v>39188</v>
      </c>
      <c r="B31115" s="4" t="s">
        <v>39189</v>
      </c>
      <c r="C31115" s="5" t="str">
        <f>IFERROR(__xludf.DUMMYFUNCTION("GOOGLETRANSLATE(B31115,""en"",""fr"")"),"Un tutoriel est présenté sur la façon de faire des mouvements de ballet simples.")</f>
        <v>Un tutoriel est présenté sur la façon de faire des mouvements de ballet simples.</v>
      </c>
    </row>
    <row r="31116">
      <c r="A31116" s="4" t="s">
        <v>39188</v>
      </c>
      <c r="B31116" s="4" t="s">
        <v>39190</v>
      </c>
      <c r="C31116" s="5" t="str">
        <f>IFERROR(__xludf.DUMMYFUNCTION("GOOGLETRANSLATE(B31116,""en"",""fr"")"),"Après avoir montré le matériel, l'enseignant touche l'élève pour montrer une forme parfaite.")</f>
        <v>Après avoir montré le matériel, l'enseignant touche l'élève pour montrer une forme parfaite.</v>
      </c>
    </row>
    <row r="31117">
      <c r="A31117" s="4" t="s">
        <v>39191</v>
      </c>
      <c r="B31117" s="4" t="s">
        <v>39192</v>
      </c>
      <c r="C31117" s="5" t="str">
        <f>IFERROR(__xludf.DUMMYFUNCTION("GOOGLETRANSLATE(B31117,""en"",""fr"")"),"Nous voyons un homme et un bébé décorer un arbre de Noël.")</f>
        <v>Nous voyons un homme et un bébé décorer un arbre de Noël.</v>
      </c>
    </row>
    <row r="31118">
      <c r="A31118" s="4" t="s">
        <v>39191</v>
      </c>
      <c r="B31118" s="4" t="s">
        <v>39193</v>
      </c>
      <c r="C31118" s="5" t="str">
        <f>IFERROR(__xludf.DUMMYFUNCTION("GOOGLETRANSLATE(B31118,""en"",""fr"")"),"Le bébé retire une ampoule bleue de l'arbre.")</f>
        <v>Le bébé retire une ampoule bleue de l'arbre.</v>
      </c>
    </row>
    <row r="31119">
      <c r="A31119" s="4" t="s">
        <v>39191</v>
      </c>
      <c r="B31119" s="4" t="s">
        <v>39194</v>
      </c>
      <c r="C31119" s="5" t="str">
        <f>IFERROR(__xludf.DUMMYFUNCTION("GOOGLETRANSLATE(B31119,""en"",""fr"")"),"Le père le remet et le bébé le reprend.")</f>
        <v>Le père le remet et le bébé le reprend.</v>
      </c>
    </row>
    <row r="31120">
      <c r="A31120" s="4" t="s">
        <v>39191</v>
      </c>
      <c r="B31120" s="4" t="s">
        <v>39195</v>
      </c>
      <c r="C31120" s="5" t="str">
        <f>IFERROR(__xludf.DUMMYFUNCTION("GOOGLETRANSLATE(B31120,""en"",""fr"")"),"L'enfant se tourne vers la caméra et le père se dirige vers un comptoir.")</f>
        <v>L'enfant se tourne vers la caméra et le père se dirige vers un comptoir.</v>
      </c>
    </row>
    <row r="31121">
      <c r="A31121" s="4" t="s">
        <v>39191</v>
      </c>
      <c r="B31121" s="4" t="s">
        <v>39196</v>
      </c>
      <c r="C31121" s="5" t="str">
        <f>IFERROR(__xludf.DUMMYFUNCTION("GOOGLETRANSLATE(B31121,""en"",""fr"")"),"L'enfant laisse tomber l'ampoule bleue et en va pour une autre.")</f>
        <v>L'enfant laisse tomber l'ampoule bleue et en va pour une autre.</v>
      </c>
    </row>
    <row r="31122">
      <c r="A31122" s="4" t="s">
        <v>39191</v>
      </c>
      <c r="B31122" s="4" t="s">
        <v>39197</v>
      </c>
      <c r="C31122" s="5" t="str">
        <f>IFERROR(__xludf.DUMMYFUNCTION("GOOGLETRANSLATE(B31122,""en"",""fr"")"),"L'enfant ajoute une autre ampoule bleue à l'arbre.")</f>
        <v>L'enfant ajoute une autre ampoule bleue à l'arbre.</v>
      </c>
    </row>
    <row r="31123">
      <c r="A31123" s="4" t="s">
        <v>39191</v>
      </c>
      <c r="B31123" s="4" t="s">
        <v>39198</v>
      </c>
      <c r="C31123" s="5" t="str">
        <f>IFERROR(__xludf.DUMMYFUNCTION("GOOGLETRANSLATE(B31123,""en"",""fr"")"),"La caméra se pavane pour montrer l'arbre puis affiche les bas.")</f>
        <v>La caméra se pavane pour montrer l'arbre puis affiche les bas.</v>
      </c>
    </row>
    <row r="31124">
      <c r="A31124" s="4" t="s">
        <v>39199</v>
      </c>
      <c r="B31124" s="6" t="s">
        <v>39200</v>
      </c>
      <c r="C31124" s="5" t="str">
        <f>IFERROR(__xludf.DUMMYFUNCTION("GOOGLETRANSLATE(B31124,""en"",""fr"")"),"Un homme est vu parler à la caméra et travailler sur un vélo suivi par lui tirant des chaînes et des roues en rotation sur le vélo.")</f>
        <v>Un homme est vu parler à la caméra et travailler sur un vélo suivi par lui tirant des chaînes et des roues en rotation sur le vélo.</v>
      </c>
    </row>
    <row r="31125">
      <c r="A31125" s="4" t="s">
        <v>39199</v>
      </c>
      <c r="B31125" s="6" t="s">
        <v>39201</v>
      </c>
      <c r="C31125" s="5" t="str">
        <f>IFERROR(__xludf.DUMMYFUNCTION("GOOGLETRANSLATE(B31125,""en"",""fr"")"),"Il colporte le vélo et montre à nouveau le pneu qui tourne, se terminant avec lui resserrant le pneu et le tournant une fois de plus.")</f>
        <v>Il colporte le vélo et montre à nouveau le pneu qui tourne, se terminant avec lui resserrant le pneu et le tournant une fois de plus.</v>
      </c>
    </row>
    <row r="31126">
      <c r="A31126" s="4" t="s">
        <v>39202</v>
      </c>
      <c r="B31126" s="4" t="s">
        <v>39203</v>
      </c>
      <c r="C31126" s="5" t="str">
        <f>IFERROR(__xludf.DUMMYFUNCTION("GOOGLETRANSLATE(B31126,""en"",""fr"")"),"Un spécialiste du soudage de Tulsa Welding School montre comment souder.")</f>
        <v>Un spécialiste du soudage de Tulsa Welding School montre comment souder.</v>
      </c>
    </row>
    <row r="31127">
      <c r="A31127" s="4" t="s">
        <v>39202</v>
      </c>
      <c r="B31127" s="6" t="s">
        <v>39204</v>
      </c>
      <c r="C31127" s="5" t="str">
        <f>IFERROR(__xludf.DUMMYFUNCTION("GOOGLETRANSLATE(B31127,""en"",""fr"")"),"Il explique les techniques de soudage à l'aide du soudeur portant du matériel de protection et du masque, en utilisant la torche.")</f>
        <v>Il explique les techniques de soudage à l'aide du soudeur portant du matériel de protection et du masque, en utilisant la torche.</v>
      </c>
    </row>
    <row r="31128">
      <c r="A31128" s="4" t="s">
        <v>39205</v>
      </c>
      <c r="B31128" s="4" t="s">
        <v>39206</v>
      </c>
      <c r="C31128" s="5" t="str">
        <f>IFERROR(__xludf.DUMMYFUNCTION("GOOGLETRANSLATE(B31128,""en"",""fr"")"),"Une personne coupe un poivre et met dans un bol.")</f>
        <v>Une personne coupe un poivre et met dans un bol.</v>
      </c>
    </row>
    <row r="31129">
      <c r="A31129" s="4" t="s">
        <v>39205</v>
      </c>
      <c r="B31129" s="4" t="s">
        <v>39207</v>
      </c>
      <c r="C31129" s="5" t="str">
        <f>IFERROR(__xludf.DUMMYFUNCTION("GOOGLETRANSLATE(B31129,""en"",""fr"")"),"De plus, la personne cuit des nouilles dans un pot.")</f>
        <v>De plus, la personne cuit des nouilles dans un pot.</v>
      </c>
    </row>
    <row r="31130">
      <c r="A31130" s="4" t="s">
        <v>39205</v>
      </c>
      <c r="B31130" s="4" t="s">
        <v>39208</v>
      </c>
      <c r="C31130" s="5" t="str">
        <f>IFERROR(__xludf.DUMMYFUNCTION("GOOGLETRANSLATE(B31130,""en"",""fr"")"),"Ensuite, la personne fait frire les champignons dans une casserole, ajouter du sel, de l'ail, des tomates et des racines.")</f>
        <v>Ensuite, la personne fait frire les champignons dans une casserole, ajouter du sel, de l'ail, des tomates et des racines.</v>
      </c>
    </row>
    <row r="31131">
      <c r="A31131" s="4" t="s">
        <v>39205</v>
      </c>
      <c r="B31131" s="4" t="s">
        <v>39209</v>
      </c>
      <c r="C31131" s="5" t="str">
        <f>IFERROR(__xludf.DUMMYFUNCTION("GOOGLETRANSLATE(B31131,""en"",""fr"")"),"Après, la personne ajoute le poivre et les nouilles, mélanger et sert.")</f>
        <v>Après, la personne ajoute le poivre et les nouilles, mélanger et sert.</v>
      </c>
    </row>
    <row r="31132">
      <c r="A31132" s="4" t="s">
        <v>39210</v>
      </c>
      <c r="B31132" s="6" t="s">
        <v>39211</v>
      </c>
      <c r="C31132" s="5" t="str">
        <f>IFERROR(__xludf.DUMMYFUNCTION("GOOGLETRANSLATE(B31132,""en"",""fr"")"),"Une femme est vue se pencher sur une table avec un tatoueur qui la frottait par derrière et saisit une aiguille de tatouage.")</f>
        <v>Une femme est vue se pencher sur une table avec un tatoueur qui la frottait par derrière et saisit une aiguille de tatouage.</v>
      </c>
    </row>
    <row r="31133">
      <c r="A31133" s="4" t="s">
        <v>39210</v>
      </c>
      <c r="B31133" s="6" t="s">
        <v>39212</v>
      </c>
      <c r="C31133" s="5" t="str">
        <f>IFERROR(__xludf.DUMMYFUNCTION("GOOGLETRANSLATE(B31133,""en"",""fr"")"),"La femme commence alors à tatouer l'arrière de la femme pendant que la caméra se déroule sous différents angles.")</f>
        <v>La femme commence alors à tatouer l'arrière de la femme pendant que la caméra se déroule sous différents angles.</v>
      </c>
    </row>
    <row r="31134">
      <c r="A31134" s="4" t="s">
        <v>39213</v>
      </c>
      <c r="B31134" s="4" t="s">
        <v>39214</v>
      </c>
      <c r="C31134" s="5" t="str">
        <f>IFERROR(__xludf.DUMMYFUNCTION("GOOGLETRANSLATE(B31134,""en"",""fr"")"),"Une vue d'un ventilateur de feuilles se trouve sur le sol dans une cour.")</f>
        <v>Une vue d'un ventilateur de feuilles se trouve sur le sol dans une cour.</v>
      </c>
    </row>
    <row r="31135">
      <c r="A31135" s="4" t="s">
        <v>39213</v>
      </c>
      <c r="B31135" s="4" t="s">
        <v>39215</v>
      </c>
      <c r="C31135" s="5" t="str">
        <f>IFERROR(__xludf.DUMMYFUNCTION("GOOGLETRANSLATE(B31135,""en"",""fr"")"),"Le souffleur de feuilles souffle des feuilles séchées brunes à l'aide du souffleur de feuilles.")</f>
        <v>Le souffleur de feuilles souffle des feuilles séchées brunes à l'aide du souffleur de feuilles.</v>
      </c>
    </row>
    <row r="31136">
      <c r="A31136" s="4" t="s">
        <v>39213</v>
      </c>
      <c r="B31136" s="4" t="s">
        <v>39216</v>
      </c>
      <c r="C31136" s="5" t="str">
        <f>IFERROR(__xludf.DUMMYFUNCTION("GOOGLETRANSLATE(B31136,""en"",""fr"")"),"Les feuilles sont époustouflées de quelques meubles de jardin et soufflées vers le milieu de la cour.")</f>
        <v>Les feuilles sont époustouflées de quelques meubles de jardin et soufflées vers le milieu de la cour.</v>
      </c>
    </row>
    <row r="31137">
      <c r="A31137" s="4" t="s">
        <v>39217</v>
      </c>
      <c r="B31137" s="4" t="s">
        <v>39218</v>
      </c>
      <c r="C31137" s="5" t="str">
        <f>IFERROR(__xludf.DUMMYFUNCTION("GOOGLETRANSLATE(B31137,""en"",""fr"")"),"Un grand objet noir est dessiné sur une longue feuille de papier blanc.")</f>
        <v>Un grand objet noir est dessiné sur une longue feuille de papier blanc.</v>
      </c>
    </row>
    <row r="31138">
      <c r="A31138" s="4" t="s">
        <v>39217</v>
      </c>
      <c r="B31138" s="4" t="s">
        <v>39219</v>
      </c>
      <c r="C31138" s="5" t="str">
        <f>IFERROR(__xludf.DUMMYFUNCTION("GOOGLETRANSLATE(B31138,""en"",""fr"")"),"Une personne utilise un pinceau pour continuer la peinture.")</f>
        <v>Une personne utilise un pinceau pour continuer la peinture.</v>
      </c>
    </row>
    <row r="31139">
      <c r="A31139" s="4" t="s">
        <v>39217</v>
      </c>
      <c r="B31139" s="4" t="s">
        <v>39220</v>
      </c>
      <c r="C31139" s="5" t="str">
        <f>IFERROR(__xludf.DUMMYFUNCTION("GOOGLETRANSLATE(B31139,""en"",""fr"")"),"Ils ajoutent des feuilles, créant une plante noire.")</f>
        <v>Ils ajoutent des feuilles, créant une plante noire.</v>
      </c>
    </row>
    <row r="31140">
      <c r="A31140" s="4" t="s">
        <v>39221</v>
      </c>
      <c r="B31140" s="6" t="s">
        <v>39222</v>
      </c>
      <c r="C31140" s="5" t="str">
        <f>IFERROR(__xludf.DUMMYFUNCTION("GOOGLETRANSLATE(B31140,""en"",""fr"")"),"Un jeune homme est vu ouverte l'œil devant un miroir et tente de mettre une lentille de contact.")</f>
        <v>Un jeune homme est vu ouverte l'œil devant un miroir et tente de mettre une lentille de contact.</v>
      </c>
    </row>
    <row r="31141">
      <c r="A31141" s="4" t="s">
        <v>39221</v>
      </c>
      <c r="B31141" s="4" t="s">
        <v>39223</v>
      </c>
      <c r="C31141" s="5" t="str">
        <f>IFERROR(__xludf.DUMMYFUNCTION("GOOGLETRANSLATE(B31141,""en"",""fr"")"),"Il laisse tomber l'objectif sur l'évier et essaie à nouveau de mettre le contact dans son œil.")</f>
        <v>Il laisse tomber l'objectif sur l'évier et essaie à nouveau de mettre le contact dans son œil.</v>
      </c>
    </row>
    <row r="31142">
      <c r="A31142" s="4" t="s">
        <v>39221</v>
      </c>
      <c r="B31142" s="6" t="s">
        <v>39224</v>
      </c>
      <c r="C31142" s="5" t="str">
        <f>IFERROR(__xludf.DUMMYFUNCTION("GOOGLETRANSLATE(B31142,""en"",""fr"")"),"Il laisse tomber l'objectif et continue en essayant de le mettre dans son œil et la caméra se déplace à la fin.")</f>
        <v>Il laisse tomber l'objectif et continue en essayant de le mettre dans son œil et la caméra se déplace à la fin.</v>
      </c>
    </row>
    <row r="31143">
      <c r="A31143" s="4" t="s">
        <v>39225</v>
      </c>
      <c r="B31143" s="4" t="s">
        <v>39226</v>
      </c>
      <c r="C31143" s="5" t="str">
        <f>IFERROR(__xludf.DUMMYFUNCTION("GOOGLETRANSLATE(B31143,""en"",""fr"")"),"La vidéo est un tutoriel sur la façon de faire des pâtes à sauce alfredo.")</f>
        <v>La vidéo est un tutoriel sur la façon de faire des pâtes à sauce alfredo.</v>
      </c>
    </row>
    <row r="31144">
      <c r="A31144" s="4" t="s">
        <v>39225</v>
      </c>
      <c r="B31144" s="6" t="s">
        <v>39227</v>
      </c>
      <c r="C31144" s="5" t="str">
        <f>IFERROR(__xludf.DUMMYFUNCTION("GOOGLETRANSLATE(B31144,""en"",""fr"")"),"Une dame aux cheveux blonds portant un débardeur marron montre comment faire bouillir de l'eau pour faire des pâtes en cravate.")</f>
        <v>Une dame aux cheveux blonds portant un débardeur marron montre comment faire bouillir de l'eau pour faire des pâtes en cravate.</v>
      </c>
    </row>
    <row r="31145">
      <c r="A31145" s="4" t="s">
        <v>39225</v>
      </c>
      <c r="B31145" s="4" t="s">
        <v>39228</v>
      </c>
      <c r="C31145" s="5" t="str">
        <f>IFERROR(__xludf.DUMMYFUNCTION("GOOGLETRANSLATE(B31145,""en"",""fr"")"),"Elle attache ensuite les pâtes dans un bol en jetant l'excès d'eau.")</f>
        <v>Elle attache ensuite les pâtes dans un bol en jetant l'excès d'eau.</v>
      </c>
    </row>
    <row r="31146">
      <c r="A31146" s="4" t="s">
        <v>39225</v>
      </c>
      <c r="B31146" s="4" t="s">
        <v>39229</v>
      </c>
      <c r="C31146" s="5" t="str">
        <f>IFERROR(__xludf.DUMMYFUNCTION("GOOGLETRANSLATE(B31146,""en"",""fr"")"),"Ensuite, elle prend un bâton de beurre et le coupe et ajoute à une casserole.")</f>
        <v>Ensuite, elle prend un bâton de beurre et le coupe et ajoute à une casserole.</v>
      </c>
    </row>
    <row r="31147">
      <c r="A31147" s="4" t="s">
        <v>39225</v>
      </c>
      <c r="B31147" s="4" t="s">
        <v>39230</v>
      </c>
      <c r="C31147" s="5" t="str">
        <f>IFERROR(__xludf.DUMMYFUNCTION("GOOGLETRANSLATE(B31147,""en"",""fr"")"),"Ensuite, elle y ajoute du lait et du fromage et le remue avec les pâtes cuites.")</f>
        <v>Ensuite, elle y ajoute du lait et du fromage et le remue avec les pâtes cuites.</v>
      </c>
    </row>
    <row r="31148">
      <c r="A31148" s="4" t="s">
        <v>39225</v>
      </c>
      <c r="B31148" s="4" t="s">
        <v>39231</v>
      </c>
      <c r="C31148" s="5" t="str">
        <f>IFERROR(__xludf.DUMMYFUNCTION("GOOGLETRANSLATE(B31148,""en"",""fr"")"),"Elle ajoute plus de lait et de fromage aux pâtes pour faire la sauce.")</f>
        <v>Elle ajoute plus de lait et de fromage aux pâtes pour faire la sauce.</v>
      </c>
    </row>
    <row r="31149">
      <c r="A31149" s="4" t="s">
        <v>39225</v>
      </c>
      <c r="B31149" s="4" t="s">
        <v>39232</v>
      </c>
      <c r="C31149" s="5" t="str">
        <f>IFERROR(__xludf.DUMMYFUNCTION("GOOGLETRANSLATE(B31149,""en"",""fr"")"),"Elle continue de remuer les pâtes dans la casserole.")</f>
        <v>Elle continue de remuer les pâtes dans la casserole.</v>
      </c>
    </row>
    <row r="31150">
      <c r="A31150" s="4" t="s">
        <v>39225</v>
      </c>
      <c r="B31150" s="4" t="s">
        <v>39233</v>
      </c>
      <c r="C31150" s="5" t="str">
        <f>IFERROR(__xludf.DUMMYFUNCTION("GOOGLETRANSLATE(B31150,""en"",""fr"")"),"Elle sert les pâtes dans une assiette marron carrée et prend une cuillerée de pâtes pour la goûter.")</f>
        <v>Elle sert les pâtes dans une assiette marron carrée et prend une cuillerée de pâtes pour la goûter.</v>
      </c>
    </row>
    <row r="31151">
      <c r="A31151" s="4" t="s">
        <v>39225</v>
      </c>
      <c r="B31151" s="4" t="s">
        <v>39234</v>
      </c>
      <c r="C31151" s="5" t="str">
        <f>IFERROR(__xludf.DUMMYFUNCTION("GOOGLETRANSLATE(B31151,""en"",""fr"")"),"Elle est satisfaite de la façon dont cela s'est avéré.")</f>
        <v>Elle est satisfaite de la façon dont cela s'est avéré.</v>
      </c>
    </row>
    <row r="31152">
      <c r="A31152" s="4" t="s">
        <v>39235</v>
      </c>
      <c r="B31152" s="4" t="s">
        <v>39236</v>
      </c>
      <c r="C31152" s="5" t="str">
        <f>IFERROR(__xludf.DUMMYFUNCTION("GOOGLETRANSLATE(B31152,""en"",""fr"")"),"Une femme portant une robe danse sur une scène.")</f>
        <v>Une femme portant une robe danse sur une scène.</v>
      </c>
    </row>
    <row r="31153">
      <c r="A31153" s="4" t="s">
        <v>39235</v>
      </c>
      <c r="B31153" s="4" t="s">
        <v>39237</v>
      </c>
      <c r="C31153" s="5" t="str">
        <f>IFERROR(__xludf.DUMMYFUNCTION("GOOGLETRANSLATE(B31153,""en"",""fr"")"),"La fumée est pompée sur la scène derrière elle.")</f>
        <v>La fumée est pompée sur la scène derrière elle.</v>
      </c>
    </row>
    <row r="31154">
      <c r="A31154" s="4" t="s">
        <v>39235</v>
      </c>
      <c r="B31154" s="4" t="s">
        <v>39238</v>
      </c>
      <c r="C31154" s="5" t="str">
        <f>IFERROR(__xludf.DUMMYFUNCTION("GOOGLETRANSLATE(B31154,""en"",""fr"")"),"Elle s'incline à la fin et recule.")</f>
        <v>Elle s'incline à la fin et recule.</v>
      </c>
    </row>
    <row r="31155">
      <c r="A31155" s="4" t="s">
        <v>39239</v>
      </c>
      <c r="B31155" s="4" t="s">
        <v>39240</v>
      </c>
      <c r="C31155" s="5" t="str">
        <f>IFERROR(__xludf.DUMMYFUNCTION("GOOGLETRANSLATE(B31155,""en"",""fr"")"),"Un homme portant un manteau noir coupe un morceau de bois avec une hache.")</f>
        <v>Un homme portant un manteau noir coupe un morceau de bois avec une hache.</v>
      </c>
    </row>
    <row r="31156">
      <c r="A31156" s="4" t="s">
        <v>39239</v>
      </c>
      <c r="B31156" s="4" t="s">
        <v>39241</v>
      </c>
      <c r="C31156" s="5" t="str">
        <f>IFERROR(__xludf.DUMMYFUNCTION("GOOGLETRANSLATE(B31156,""en"",""fr"")"),"Il essaie à nouveau et le coupe à nouveau.")</f>
        <v>Il essaie à nouveau et le coupe à nouveau.</v>
      </c>
    </row>
    <row r="31157">
      <c r="A31157" s="4" t="s">
        <v>39239</v>
      </c>
      <c r="B31157" s="4" t="s">
        <v>39242</v>
      </c>
      <c r="C31157" s="5" t="str">
        <f>IFERROR(__xludf.DUMMYFUNCTION("GOOGLETRANSLATE(B31157,""en"",""fr"")"),"Il déplace le moignon et essaie de le couper à nouveau.")</f>
        <v>Il déplace le moignon et essaie de le couper à nouveau.</v>
      </c>
    </row>
    <row r="31158">
      <c r="A31158" s="4" t="s">
        <v>39239</v>
      </c>
      <c r="B31158" s="4" t="s">
        <v>39243</v>
      </c>
      <c r="C31158" s="5" t="str">
        <f>IFERROR(__xludf.DUMMYFUNCTION("GOOGLETRANSLATE(B31158,""en"",""fr"")"),"Il continue de hacher le bois.")</f>
        <v>Il continue de hacher le bois.</v>
      </c>
    </row>
    <row r="31159">
      <c r="A31159" s="4" t="s">
        <v>39244</v>
      </c>
      <c r="B31159" s="4" t="s">
        <v>39245</v>
      </c>
      <c r="C31159" s="5" t="str">
        <f>IFERROR(__xludf.DUMMYFUNCTION("GOOGLETRANSLATE(B31159,""en"",""fr"")"),"Les nageurs nagent d'un côté de la piscine, puis ils s'arrêtent brièvement.")</f>
        <v>Les nageurs nagent d'un côté de la piscine, puis ils s'arrêtent brièvement.</v>
      </c>
    </row>
    <row r="31160">
      <c r="A31160" s="4" t="s">
        <v>39244</v>
      </c>
      <c r="B31160" s="4" t="s">
        <v>39246</v>
      </c>
      <c r="C31160" s="5" t="str">
        <f>IFERROR(__xludf.DUMMYFUNCTION("GOOGLETRANSLATE(B31160,""en"",""fr"")"),"Certains nageurs sur les lignes latéraux les regardent.")</f>
        <v>Certains nageurs sur les lignes latéraux les regardent.</v>
      </c>
    </row>
    <row r="31161">
      <c r="A31161" s="4" t="s">
        <v>39244</v>
      </c>
      <c r="B31161" s="4" t="s">
        <v>39247</v>
      </c>
      <c r="C31161" s="5" t="str">
        <f>IFERROR(__xludf.DUMMYFUNCTION("GOOGLETRANSLATE(B31161,""en"",""fr"")"),"Ils commencent à lancer une balle d'avant en arrière.")</f>
        <v>Ils commencent à lancer une balle d'avant en arrière.</v>
      </c>
    </row>
    <row r="31162">
      <c r="A31162" s="4" t="s">
        <v>39244</v>
      </c>
      <c r="B31162" s="4" t="s">
        <v>39248</v>
      </c>
      <c r="C31162" s="5" t="str">
        <f>IFERROR(__xludf.DUMMYFUNCTION("GOOGLETRANSLATE(B31162,""en"",""fr"")"),"Un homme dans le coin de la piscine essaie d'attraper le ballon et le manque.")</f>
        <v>Un homme dans le coin de la piscine essaie d'attraper le ballon et le manque.</v>
      </c>
    </row>
    <row r="31163">
      <c r="A31163" s="4" t="s">
        <v>39249</v>
      </c>
      <c r="B31163" s="6" t="s">
        <v>39250</v>
      </c>
      <c r="C31163" s="5" t="str">
        <f>IFERROR(__xludf.DUMMYFUNCTION("GOOGLETRANSLATE(B31163,""en"",""fr"")"),"Une femme parle, face à la caméra tout en tenant deux haltères, puis démontre un exercice de cycle de rotation devant une classe dans une salle de sport.")</f>
        <v>Une femme parle, face à la caméra tout en tenant deux haltères, puis démontre un exercice de cycle de rotation devant une classe dans une salle de sport.</v>
      </c>
    </row>
    <row r="31164">
      <c r="A31164" s="4" t="s">
        <v>39249</v>
      </c>
      <c r="B31164" s="6" t="s">
        <v>39251</v>
      </c>
      <c r="C31164" s="5" t="str">
        <f>IFERROR(__xludf.DUMMYFUNCTION("GOOGLETRANSLATE(B31164,""en"",""fr"")"),"Une femme se lève et parle face à la caméra, dans une salle de sport, avec un mur de miroirs à ses côtés et plusieurs personnes derrière elle près de divers morceaux d'équipement de gym.")</f>
        <v>Une femme se lève et parle face à la caméra, dans une salle de sport, avec un mur de miroirs à ses côtés et plusieurs personnes derrière elle près de divers morceaux d'équipement de gym.</v>
      </c>
    </row>
    <row r="31165">
      <c r="A31165" s="4" t="s">
        <v>39249</v>
      </c>
      <c r="B31165" s="6" t="s">
        <v>39252</v>
      </c>
      <c r="C31165" s="5" t="str">
        <f>IFERROR(__xludf.DUMMYFUNCTION("GOOGLETRANSLATE(B31165,""en"",""fr"")"),"La femme, portant maintenant un casque avec un micro attaché à l'embout buccal, commence à faire du vélo très rapidement sur une machine à cycle de spin devant un miroir avec une classe de personnes derrière elle qui sont également sur des machines à cycl"&amp;"e de spin.")</f>
        <v>La femme, portant maintenant un casque avec un micro attaché à l'embout buccal, commence à faire du vélo très rapidement sur une machine à cycle de spin devant un miroir avec une classe de personnes derrière elle qui sont également sur des machines à cycle de spin.</v>
      </c>
    </row>
    <row r="31166">
      <c r="A31166" s="4" t="s">
        <v>39249</v>
      </c>
      <c r="B31166" s="6" t="s">
        <v>39253</v>
      </c>
      <c r="C31166" s="5" t="str">
        <f>IFERROR(__xludf.DUMMYFUNCTION("GOOGLETRANSLATE(B31166,""en"",""fr"")"),"La femme soulève ensuite des haltères avec ses bras en se tenant debout, soulève des haltères en asseyant sur le sol, puis revient à la machine à cycle de spin avant que la scène ne se fonde en noir.")</f>
        <v>La femme soulève ensuite des haltères avec ses bras en se tenant debout, soulève des haltères en asseyant sur le sol, puis revient à la machine à cycle de spin avant que la scène ne se fonde en noir.</v>
      </c>
    </row>
    <row r="31167">
      <c r="A31167" s="4" t="s">
        <v>39254</v>
      </c>
      <c r="B31167" s="4" t="s">
        <v>39255</v>
      </c>
      <c r="C31167" s="5" t="str">
        <f>IFERROR(__xludf.DUMMYFUNCTION("GOOGLETRANSLATE(B31167,""en"",""fr"")"),"Quatre hommes sont à l'extérieur dans un terrain se jetant un baseball.")</f>
        <v>Quatre hommes sont à l'extérieur dans un terrain se jetant un baseball.</v>
      </c>
    </row>
    <row r="31168">
      <c r="A31168" s="4" t="s">
        <v>39254</v>
      </c>
      <c r="B31168" s="4" t="s">
        <v>39256</v>
      </c>
      <c r="C31168" s="5" t="str">
        <f>IFERROR(__xludf.DUMMYFUNCTION("GOOGLETRANSLATE(B31168,""en"",""fr"")"),"Une balle roule ensuite dans un étang et un petit garçon l'attrape et le jette.")</f>
        <v>Une balle roule ensuite dans un étang et un petit garçon l'attrape et le jette.</v>
      </c>
    </row>
    <row r="31169">
      <c r="A31169" s="4" t="s">
        <v>39254</v>
      </c>
      <c r="B31169" s="4" t="s">
        <v>39257</v>
      </c>
      <c r="C31169" s="5" t="str">
        <f>IFERROR(__xludf.DUMMYFUNCTION("GOOGLETRANSLATE(B31169,""en"",""fr"")"),"La scène se déplace vers un terrain de jeu et les garçons commencent à descendre la diapositive.")</f>
        <v>La scène se déplace vers un terrain de jeu et les garçons commencent à descendre la diapositive.</v>
      </c>
    </row>
    <row r="31170">
      <c r="A31170" s="4" t="s">
        <v>39254</v>
      </c>
      <c r="B31170" s="6" t="s">
        <v>39258</v>
      </c>
      <c r="C31170" s="5" t="str">
        <f>IFERROR(__xludf.DUMMYFUNCTION("GOOGLETRANSLATE(B31170,""en"",""fr"")"),"De plus en plus d'enfants sont montrés et ils font diverses activités car ils jouent comme The See Saw, Monkey Bars et Swings.")</f>
        <v>De plus en plus d'enfants sont montrés et ils font diverses activités car ils jouent comme The See Saw, Monkey Bars et Swings.</v>
      </c>
    </row>
    <row r="31171">
      <c r="A31171" s="4" t="s">
        <v>39254</v>
      </c>
      <c r="B31171" s="4" t="s">
        <v>39259</v>
      </c>
      <c r="C31171" s="5" t="str">
        <f>IFERROR(__xludf.DUMMYFUNCTION("GOOGLETRANSLATE(B31171,""en"",""fr"")"),"Sur le côté, un garçon commence à pomper son pneu et un petit bébé se baigne dans un bassin.")</f>
        <v>Sur le côté, un garçon commence à pomper son pneu et un petit bébé se baigne dans un bassin.</v>
      </c>
    </row>
    <row r="31172">
      <c r="A31172" s="4" t="s">
        <v>39260</v>
      </c>
      <c r="B31172" s="4" t="s">
        <v>39261</v>
      </c>
      <c r="C31172" s="5" t="str">
        <f>IFERROR(__xludf.DUMMYFUNCTION("GOOGLETRANSLATE(B31172,""en"",""fr"")"),"Un instructeur d'exercice explique l'étape.")</f>
        <v>Un instructeur d'exercice explique l'étape.</v>
      </c>
    </row>
    <row r="31173">
      <c r="A31173" s="4" t="s">
        <v>39260</v>
      </c>
      <c r="B31173" s="4" t="s">
        <v>39262</v>
      </c>
      <c r="C31173" s="5" t="str">
        <f>IFERROR(__xludf.DUMMYFUNCTION("GOOGLETRANSLATE(B31173,""en"",""fr"")"),"Elle s'intensifie et commence à montrer les exercices.")</f>
        <v>Elle s'intensifie et commence à montrer les exercices.</v>
      </c>
    </row>
    <row r="31174">
      <c r="A31174" s="4" t="s">
        <v>39260</v>
      </c>
      <c r="B31174" s="6" t="s">
        <v>39263</v>
      </c>
      <c r="C31174" s="5" t="str">
        <f>IFERROR(__xludf.DUMMYFUNCTION("GOOGLETRANSLATE(B31174,""en"",""fr"")"),"Elle va devant lui et montre plus d'exercices, monte et descendit et levant les bras pendant qu'elle marche.")</f>
        <v>Elle va devant lui et montre plus d'exercices, monte et descendit et levant les bras pendant qu'elle marche.</v>
      </c>
    </row>
    <row r="31175">
      <c r="A31175" s="4" t="s">
        <v>39260</v>
      </c>
      <c r="B31175" s="4" t="s">
        <v>39264</v>
      </c>
      <c r="C31175" s="5" t="str">
        <f>IFERROR(__xludf.DUMMYFUNCTION("GOOGLETRANSLATE(B31175,""en"",""fr"")"),"Elle s'arrête et explique plus.")</f>
        <v>Elle s'arrête et explique plus.</v>
      </c>
    </row>
    <row r="31176">
      <c r="A31176" s="4" t="s">
        <v>39260</v>
      </c>
      <c r="B31176" s="4" t="s">
        <v>39265</v>
      </c>
      <c r="C31176" s="5" t="str">
        <f>IFERROR(__xludf.DUMMYFUNCTION("GOOGLETRANSLATE(B31176,""en"",""fr"")"),"Elle se retourne à l'étape et commence plus d'étapes d'avancées.")</f>
        <v>Elle se retourne à l'étape et commence plus d'étapes d'avancées.</v>
      </c>
    </row>
    <row r="31177">
      <c r="A31177" s="4" t="s">
        <v>39260</v>
      </c>
      <c r="B31177" s="4" t="s">
        <v>39266</v>
      </c>
      <c r="C31177" s="5" t="str">
        <f>IFERROR(__xludf.DUMMYFUNCTION("GOOGLETRANSLATE(B31177,""en"",""fr"")"),"Elle s'arrête pendant un moment et montre à nouveau l'étape rapide.")</f>
        <v>Elle s'arrête pendant un moment et montre à nouveau l'étape rapide.</v>
      </c>
    </row>
    <row r="31178">
      <c r="A31178" s="4" t="s">
        <v>39267</v>
      </c>
      <c r="B31178" s="4" t="s">
        <v>39268</v>
      </c>
      <c r="C31178" s="5" t="str">
        <f>IFERROR(__xludf.DUMMYFUNCTION("GOOGLETRANSLATE(B31178,""en"",""fr"")"),"Deux hommes jouent ensemble une chanson sur une guitare dans une pièce faiblement éclairée.")</f>
        <v>Deux hommes jouent ensemble une chanson sur une guitare dans une pièce faiblement éclairée.</v>
      </c>
    </row>
    <row r="31179">
      <c r="A31179" s="4" t="s">
        <v>39267</v>
      </c>
      <c r="B31179" s="4" t="s">
        <v>39269</v>
      </c>
      <c r="C31179" s="5" t="str">
        <f>IFERROR(__xludf.DUMMYFUNCTION("GOOGLETRANSLATE(B31179,""en"",""fr"")"),"Ceux pour jouer de la guitare acoustique.")</f>
        <v>Ceux pour jouer de la guitare acoustique.</v>
      </c>
    </row>
    <row r="31180">
      <c r="A31180" s="4" t="s">
        <v>39270</v>
      </c>
      <c r="B31180" s="4" t="s">
        <v>39271</v>
      </c>
      <c r="C31180" s="5" t="str">
        <f>IFERROR(__xludf.DUMMYFUNCTION("GOOGLETRANSLATE(B31180,""en"",""fr"")"),"En mode accéléré, un homme âgé se dirige vers l'avant d'une maison et attrape une charrue de neige bleue.")</f>
        <v>En mode accéléré, un homme âgé se dirige vers l'avant d'une maison et attrape une charrue de neige bleue.</v>
      </c>
    </row>
    <row r="31181">
      <c r="A31181" s="4" t="s">
        <v>39270</v>
      </c>
      <c r="B31181" s="4" t="s">
        <v>39272</v>
      </c>
      <c r="C31181" s="5" t="str">
        <f>IFERROR(__xludf.DUMMYFUNCTION("GOOGLETRANSLATE(B31181,""en"",""fr"")"),"Poursuivant en mode accéléré, l'homme commence à labourer la neige pour faire un chemin.")</f>
        <v>Poursuivant en mode accéléré, l'homme commence à labourer la neige pour faire un chemin.</v>
      </c>
    </row>
    <row r="31182">
      <c r="A31182" s="4" t="s">
        <v>39270</v>
      </c>
      <c r="B31182" s="4" t="s">
        <v>39273</v>
      </c>
      <c r="C31182" s="5" t="str">
        <f>IFERROR(__xludf.DUMMYFUNCTION("GOOGLETRANSLATE(B31182,""en"",""fr"")"),"L'homme déplace ensuite la vue de la caméra et laboure la neige dans une autre zone qui est clôturée.")</f>
        <v>L'homme déplace ensuite la vue de la caméra et laboure la neige dans une autre zone qui est clôturée.</v>
      </c>
    </row>
    <row r="31183">
      <c r="A31183" s="4" t="s">
        <v>39270</v>
      </c>
      <c r="B31183" s="4" t="s">
        <v>39274</v>
      </c>
      <c r="C31183" s="5" t="str">
        <f>IFERROR(__xludf.DUMMYFUNCTION("GOOGLETRANSLATE(B31183,""en"",""fr"")"),"L'homme attrape la caméra, pointe vers la charrue, puis se pavane vers les différentes zones de la cour.")</f>
        <v>L'homme attrape la caméra, pointe vers la charrue, puis se pavane vers les différentes zones de la cour.</v>
      </c>
    </row>
    <row r="31184">
      <c r="A31184" s="4" t="s">
        <v>39270</v>
      </c>
      <c r="B31184" s="6" t="s">
        <v>39275</v>
      </c>
      <c r="C31184" s="5" t="str">
        <f>IFERROR(__xludf.DUMMYFUNCTION("GOOGLETRANSLATE(B31184,""en"",""fr"")"),"L'homme va alors à l'intérieur pour montrer un atelier désordonné et encombré rempli d'outils et de fournitures.")</f>
        <v>L'homme va alors à l'intérieur pour montrer un atelier désordonné et encombré rempli d'outils et de fournitures.</v>
      </c>
    </row>
    <row r="31185">
      <c r="A31185" s="4" t="s">
        <v>39270</v>
      </c>
      <c r="B31185" s="6" t="s">
        <v>39276</v>
      </c>
      <c r="C31185" s="5" t="str">
        <f>IFERROR(__xludf.DUMMYFUNCTION("GOOGLETRANSLATE(B31185,""en"",""fr"")"),"L'homme remonte à l'extérieur, montre son chien et se promène dans sa cour, pose son chien et le chien revient à l'atelier et pousse la porte.")</f>
        <v>L'homme remonte à l'extérieur, montre son chien et se promène dans sa cour, pose son chien et le chien revient à l'atelier et pousse la porte.</v>
      </c>
    </row>
    <row r="31186">
      <c r="A31186" s="4" t="s">
        <v>39277</v>
      </c>
      <c r="B31186" s="4" t="s">
        <v>573</v>
      </c>
      <c r="C31186" s="5" t="str">
        <f>IFERROR(__xludf.DUMMYFUNCTION("GOOGLETRANSLATE(B31186,""en"",""fr"")"),"Les crédits de la vidéo sont affichés.")</f>
        <v>Les crédits de la vidéo sont affichés.</v>
      </c>
    </row>
    <row r="31187">
      <c r="A31187" s="4" t="s">
        <v>39277</v>
      </c>
      <c r="B31187" s="4" t="s">
        <v>39278</v>
      </c>
      <c r="C31187" s="5" t="str">
        <f>IFERROR(__xludf.DUMMYFUNCTION("GOOGLETRANSLATE(B31187,""en"",""fr"")"),"Une dame s'assoit, parle et boit du café.")</f>
        <v>Une dame s'assoit, parle et boit du café.</v>
      </c>
    </row>
    <row r="31188">
      <c r="A31188" s="4" t="s">
        <v>39277</v>
      </c>
      <c r="B31188" s="4" t="s">
        <v>39279</v>
      </c>
      <c r="C31188" s="5" t="str">
        <f>IFERROR(__xludf.DUMMYFUNCTION("GOOGLETRANSLATE(B31188,""en"",""fr"")"),"Les crédits du clip sont affichés.")</f>
        <v>Les crédits du clip sont affichés.</v>
      </c>
    </row>
    <row r="31189">
      <c r="A31189" s="4" t="s">
        <v>39280</v>
      </c>
      <c r="B31189" s="4" t="s">
        <v>39281</v>
      </c>
      <c r="C31189" s="5" t="str">
        <f>IFERROR(__xludf.DUMMYFUNCTION("GOOGLETRANSLATE(B31189,""en"",""fr"")"),"Un vieil homme met du sel dans de l'eau de bowling dans un pot, puis il ajoute des pâtes et laisse cuire une minute.")</f>
        <v>Un vieil homme met du sel dans de l'eau de bowling dans un pot, puis il ajoute des pâtes et laisse cuire une minute.</v>
      </c>
    </row>
    <row r="31190">
      <c r="A31190" s="4" t="s">
        <v>39280</v>
      </c>
      <c r="B31190" s="4" t="s">
        <v>39282</v>
      </c>
      <c r="C31190" s="5" t="str">
        <f>IFERROR(__xludf.DUMMYFUNCTION("GOOGLETRANSLATE(B31190,""en"",""fr"")"),"Ensuite, l'homme éteint le poêle et met sur le pot un tissu et un couvercle et le laisse pendant 10 min.")</f>
        <v>Ensuite, l'homme éteint le poêle et met sur le pot un tissu et un couvercle et le laisse pendant 10 min.</v>
      </c>
    </row>
    <row r="31191">
      <c r="A31191" s="4" t="s">
        <v>39280</v>
      </c>
      <c r="B31191" s="4" t="s">
        <v>39283</v>
      </c>
      <c r="C31191" s="5" t="str">
        <f>IFERROR(__xludf.DUMMYFUNCTION("GOOGLETRANSLATE(B31191,""en"",""fr"")"),"Après, l'homme draine les pâtes dans l'évier.")</f>
        <v>Après, l'homme draine les pâtes dans l'évier.</v>
      </c>
    </row>
    <row r="31192">
      <c r="A31192" s="4" t="s">
        <v>39280</v>
      </c>
      <c r="B31192" s="4" t="s">
        <v>39284</v>
      </c>
      <c r="C31192" s="5" t="str">
        <f>IFERROR(__xludf.DUMMYFUNCTION("GOOGLETRANSLATE(B31192,""en"",""fr"")"),"Une femme vient et goûte les pâtes cuites et donne un coup de bruit.")</f>
        <v>Une femme vient et goûte les pâtes cuites et donne un coup de bruit.</v>
      </c>
    </row>
    <row r="31193">
      <c r="A31193" s="4" t="s">
        <v>39285</v>
      </c>
      <c r="B31193" s="4" t="s">
        <v>39286</v>
      </c>
      <c r="C31193" s="5" t="str">
        <f>IFERROR(__xludf.DUMMYFUNCTION("GOOGLETRANSLATE(B31193,""en"",""fr"")"),"Un homme est vu assis dans un tube et mène à des gens qui se promènent dans des tubes à transport.")</f>
        <v>Un homme est vu assis dans un tube et mène à des gens qui se promènent dans des tubes à transport.</v>
      </c>
    </row>
    <row r="31194">
      <c r="A31194" s="4" t="s">
        <v>39285</v>
      </c>
      <c r="B31194" s="4" t="s">
        <v>39287</v>
      </c>
      <c r="C31194" s="5" t="str">
        <f>IFERROR(__xludf.DUMMYFUNCTION("GOOGLETRANSLATE(B31194,""en"",""fr"")"),"Des photos de l'eau sont représentées, suivis par des personnes qui roulent sur une rivière sur les tubes.")</f>
        <v>Des photos de l'eau sont représentées, suivis par des personnes qui roulent sur une rivière sur les tubes.</v>
      </c>
    </row>
    <row r="31195">
      <c r="A31195" s="4" t="s">
        <v>39285</v>
      </c>
      <c r="B31195" s="4" t="s">
        <v>39288</v>
      </c>
      <c r="C31195" s="5" t="str">
        <f>IFERROR(__xludf.DUMMYFUNCTION("GOOGLETRANSLATE(B31195,""en"",""fr"")"),"Les gens continuent de descendre les uns après les autres pendant que les gens regardent sur le côté.")</f>
        <v>Les gens continuent de descendre les uns après les autres pendant que les gens regardent sur le côté.</v>
      </c>
    </row>
    <row r="31196">
      <c r="A31196" s="4" t="s">
        <v>39289</v>
      </c>
      <c r="B31196" s="4" t="s">
        <v>39290</v>
      </c>
      <c r="C31196" s="5" t="str">
        <f>IFERROR(__xludf.DUMMYFUNCTION("GOOGLETRANSLATE(B31196,""en"",""fr"")"),"Une fille frappe une pinata avec une batte de jouets orange.")</f>
        <v>Une fille frappe une pinata avec une batte de jouets orange.</v>
      </c>
    </row>
    <row r="31197">
      <c r="A31197" s="4" t="s">
        <v>39289</v>
      </c>
      <c r="B31197" s="4" t="s">
        <v>39291</v>
      </c>
      <c r="C31197" s="5" t="str">
        <f>IFERROR(__xludf.DUMMYFUNCTION("GOOGLETRANSLATE(B31197,""en"",""fr"")"),"La chauve-souris tombe et la fille le ramasse.")</f>
        <v>La chauve-souris tombe et la fille le ramasse.</v>
      </c>
    </row>
    <row r="31198">
      <c r="A31198" s="4" t="s">
        <v>39289</v>
      </c>
      <c r="B31198" s="4" t="s">
        <v>39292</v>
      </c>
      <c r="C31198" s="5" t="str">
        <f>IFERROR(__xludf.DUMMYFUNCTION("GOOGLETRANSLATE(B31198,""en"",""fr"")"),"Derrière elle, un garçon montre comment elle devrait la frapper et la encourager.")</f>
        <v>Derrière elle, un garçon montre comment elle devrait la frapper et la encourager.</v>
      </c>
    </row>
    <row r="31199">
      <c r="A31199" s="4" t="s">
        <v>39293</v>
      </c>
      <c r="B31199" s="4" t="s">
        <v>39294</v>
      </c>
      <c r="C31199" s="5" t="str">
        <f>IFERROR(__xludf.DUMMYFUNCTION("GOOGLETRANSLATE(B31199,""en"",""fr"")"),"Dans une cour en intérieur, des équipes d'hommes jouent au football tandis que le public est assis dans le stade.")</f>
        <v>Dans une cour en intérieur, des équipes d'hommes jouent au football tandis que le public est assis dans le stade.</v>
      </c>
    </row>
    <row r="31200">
      <c r="A31200" s="4" t="s">
        <v>39293</v>
      </c>
      <c r="B31200" s="6" t="s">
        <v>39295</v>
      </c>
      <c r="C31200" s="5" t="str">
        <f>IFERROR(__xludf.DUMMYFUNCTION("GOOGLETRANSLATE(B31200,""en"",""fr"")"),"L'équipe de Black essaie d'empêcher l'autre équipe de Red de marquer, le gardien de but bloque le score.")</f>
        <v>L'équipe de Black essaie d'empêcher l'autre équipe de Red de marquer, le gardien de but bloque le score.</v>
      </c>
    </row>
    <row r="31201">
      <c r="A31201" s="4" t="s">
        <v>39293</v>
      </c>
      <c r="B31201" s="4" t="s">
        <v>39296</v>
      </c>
      <c r="C31201" s="5" t="str">
        <f>IFERROR(__xludf.DUMMYFUNCTION("GOOGLETRANSLATE(B31201,""en"",""fr"")"),"Ils montent et descendent le terrain en essayant de marquer et d'empêcher l'autre de marquer.")</f>
        <v>Ils montent et descendent le terrain en essayant de marquer et d'empêcher l'autre de marquer.</v>
      </c>
    </row>
    <row r="31202">
      <c r="A31202" s="4" t="s">
        <v>39293</v>
      </c>
      <c r="B31202" s="4" t="s">
        <v>39297</v>
      </c>
      <c r="C31202" s="5" t="str">
        <f>IFERROR(__xludf.DUMMYFUNCTION("GOOGLETRANSLATE(B31202,""en"",""fr"")"),"L'équipe rouge marque et c'est 1-1, ils continuent sur le terrain jusqu'à ce que le match soit terminé.")</f>
        <v>L'équipe rouge marque et c'est 1-1, ils continuent sur le terrain jusqu'à ce que le match soit terminé.</v>
      </c>
    </row>
    <row r="31203">
      <c r="A31203" s="4" t="s">
        <v>39298</v>
      </c>
      <c r="B31203" s="4" t="s">
        <v>39299</v>
      </c>
      <c r="C31203" s="5" t="str">
        <f>IFERROR(__xludf.DUMMYFUNCTION("GOOGLETRANSLATE(B31203,""en"",""fr"")"),"Un groupe joue sur une scène.")</f>
        <v>Un groupe joue sur une scène.</v>
      </c>
    </row>
    <row r="31204">
      <c r="A31204" s="4" t="s">
        <v>39298</v>
      </c>
      <c r="B31204" s="4" t="s">
        <v>39300</v>
      </c>
      <c r="C31204" s="5" t="str">
        <f>IFERROR(__xludf.DUMMYFUNCTION("GOOGLETRANSLATE(B31204,""en"",""fr"")"),"Un homme en costume joue le saxophone à l'avant avec des lunettes de soleil.")</f>
        <v>Un homme en costume joue le saxophone à l'avant avec des lunettes de soleil.</v>
      </c>
    </row>
    <row r="31205">
      <c r="A31205" s="4" t="s">
        <v>39301</v>
      </c>
      <c r="B31205" s="6" t="s">
        <v>39302</v>
      </c>
      <c r="C31205" s="5" t="str">
        <f>IFERROR(__xludf.DUMMYFUNCTION("GOOGLETRANSLATE(B31205,""en"",""fr"")"),"Divers clips sont représentés dans un wakeboard, des flips, suivis par lui assis sur un bateau et parlant à la caméra.")</f>
        <v>Divers clips sont représentés dans un wakeboard, des flips, suivis par lui assis sur un bateau et parlant à la caméra.</v>
      </c>
    </row>
    <row r="31206">
      <c r="A31206" s="4" t="s">
        <v>39301</v>
      </c>
      <c r="B31206" s="6" t="s">
        <v>39303</v>
      </c>
      <c r="C31206" s="5" t="str">
        <f>IFERROR(__xludf.DUMMYFUNCTION("GOOGLETRANSLATE(B31206,""en"",""fr"")"),"Plusieurs autres photos de lui, la conduite et la parole sont montrées ainsi qu'une femme blonde qui se réveille également.")</f>
        <v>Plusieurs autres photos de lui, la conduite et la parole sont montrées ainsi qu'une femme blonde qui se réveille également.</v>
      </c>
    </row>
    <row r="31207">
      <c r="A31207" s="4" t="s">
        <v>39301</v>
      </c>
      <c r="B31207" s="4" t="s">
        <v>39304</v>
      </c>
      <c r="C31207" s="5" t="str">
        <f>IFERROR(__xludf.DUMMYFUNCTION("GOOGLETRANSLATE(B31207,""en"",""fr"")"),"Les deux roulent ensemble le long de l'eau pendant que l'homme continue de parler à la caméra.")</f>
        <v>Les deux roulent ensemble le long de l'eau pendant que l'homme continue de parler à la caméra.</v>
      </c>
    </row>
    <row r="31208">
      <c r="A31208" s="4" t="s">
        <v>39305</v>
      </c>
      <c r="B31208" s="4" t="s">
        <v>31981</v>
      </c>
      <c r="C31208" s="5" t="str">
        <f>IFERROR(__xludf.DUMMYFUNCTION("GOOGLETRANSLATE(B31208,""en"",""fr"")"),"Un emblème apparaît à l'écran.")</f>
        <v>Un emblème apparaît à l'écran.</v>
      </c>
    </row>
    <row r="31209">
      <c r="A31209" s="4" t="s">
        <v>39305</v>
      </c>
      <c r="B31209" s="4" t="s">
        <v>39306</v>
      </c>
      <c r="C31209" s="5" t="str">
        <f>IFERROR(__xludf.DUMMYFUNCTION("GOOGLETRANSLATE(B31209,""en"",""fr"")"),"Un groupe apparaît, marchant dans la rue et à travers un champ alors qu'ils jouent pour une foule.")</f>
        <v>Un groupe apparaît, marchant dans la rue et à travers un champ alors qu'ils jouent pour une foule.</v>
      </c>
    </row>
    <row r="31210">
      <c r="A31210" s="4" t="s">
        <v>39305</v>
      </c>
      <c r="B31210" s="4" t="s">
        <v>39307</v>
      </c>
      <c r="C31210" s="5" t="str">
        <f>IFERROR(__xludf.DUMMYFUNCTION("GOOGLETRANSLATE(B31210,""en"",""fr"")"),"Des mots apparaissent à l'écran parlant de célébrer le 4 mars avec un défilé.")</f>
        <v>Des mots apparaissent à l'écran parlant de célébrer le 4 mars avec un défilé.</v>
      </c>
    </row>
    <row r="31211">
      <c r="A31211" s="4" t="s">
        <v>39308</v>
      </c>
      <c r="B31211" s="4" t="s">
        <v>39309</v>
      </c>
      <c r="C31211" s="5" t="str">
        <f>IFERROR(__xludf.DUMMYFUNCTION("GOOGLETRANSLATE(B31211,""en"",""fr"")"),"Une introduction arrive à l'écran pour une vidéo sur une tournée pour un groupe.")</f>
        <v>Une introduction arrive à l'écran pour une vidéo sur une tournée pour un groupe.</v>
      </c>
    </row>
    <row r="31212">
      <c r="A31212" s="4" t="s">
        <v>39308</v>
      </c>
      <c r="B31212" s="4" t="s">
        <v>39310</v>
      </c>
      <c r="C31212" s="5" t="str">
        <f>IFERROR(__xludf.DUMMYFUNCTION("GOOGLETRANSLATE(B31212,""en"",""fr"")"),"On leur montre des coupes de cheveux dans un salon de coiffure et des commentaires sur la coupe de cheveux.")</f>
        <v>On leur montre des coupes de cheveux dans un salon de coiffure et des commentaires sur la coupe de cheveux.</v>
      </c>
    </row>
    <row r="31213">
      <c r="A31213" s="4" t="s">
        <v>39308</v>
      </c>
      <c r="B31213" s="6" t="s">
        <v>39311</v>
      </c>
      <c r="C31213" s="5" t="str">
        <f>IFERROR(__xludf.DUMMYFUNCTION("GOOGLETRANSLATE(B31213,""en"",""fr"")"),"On leur montre également un tournage dans une session avec plusieurs personnes qui dansent et passent un bon moment.")</f>
        <v>On leur montre également un tournage dans une session avec plusieurs personnes qui dansent et passent un bon moment.</v>
      </c>
    </row>
    <row r="31214">
      <c r="A31214" s="4" t="s">
        <v>39308</v>
      </c>
      <c r="B31214" s="4" t="s">
        <v>4761</v>
      </c>
      <c r="C31214" s="5" t="str">
        <f>IFERROR(__xludf.DUMMYFUNCTION("GOOGLETRANSLATE(B31214,""en"",""fr"")"),"La vidéo se termine par les crédits de clôture affichés à l'écran.")</f>
        <v>La vidéo se termine par les crédits de clôture affichés à l'écran.</v>
      </c>
    </row>
    <row r="31215">
      <c r="A31215" s="4" t="s">
        <v>39312</v>
      </c>
      <c r="B31215" s="4" t="s">
        <v>14047</v>
      </c>
      <c r="C31215" s="5" t="str">
        <f>IFERROR(__xludf.DUMMYFUNCTION("GOOGLETRANSLATE(B31215,""en"",""fr"")"),"Les crédits de la vidéo sont affichés.")</f>
        <v>Les crédits de la vidéo sont affichés.</v>
      </c>
    </row>
    <row r="31216">
      <c r="A31216" s="4" t="s">
        <v>39312</v>
      </c>
      <c r="B31216" s="4" t="s">
        <v>39313</v>
      </c>
      <c r="C31216" s="5" t="str">
        <f>IFERROR(__xludf.DUMMYFUNCTION("GOOGLETRANSLATE(B31216,""en"",""fr"")"),"Un homme fait des feuilles brunes dans une pelouse.")</f>
        <v>Un homme fait des feuilles brunes dans une pelouse.</v>
      </c>
    </row>
    <row r="31217">
      <c r="A31217" s="4" t="s">
        <v>39312</v>
      </c>
      <c r="B31217" s="4" t="s">
        <v>39314</v>
      </c>
      <c r="C31217" s="5" t="str">
        <f>IFERROR(__xludf.DUMMYFUNCTION("GOOGLETRANSLATE(B31217,""en"",""fr"")"),"L'homme met les feuilles dans une poubelle.")</f>
        <v>L'homme met les feuilles dans une poubelle.</v>
      </c>
    </row>
    <row r="31218">
      <c r="A31218" s="4" t="s">
        <v>39312</v>
      </c>
      <c r="B31218" s="4" t="s">
        <v>39315</v>
      </c>
      <c r="C31218" s="5" t="str">
        <f>IFERROR(__xludf.DUMMYFUNCTION("GOOGLETRANSLATE(B31218,""en"",""fr"")"),"L'homme s'arrête et déplace la poubelle.")</f>
        <v>L'homme s'arrête et déplace la poubelle.</v>
      </c>
    </row>
    <row r="31219">
      <c r="A31219" s="4" t="s">
        <v>39312</v>
      </c>
      <c r="B31219" s="4" t="s">
        <v>39316</v>
      </c>
      <c r="C31219" s="5" t="str">
        <f>IFERROR(__xludf.DUMMYFUNCTION("GOOGLETRANSLATE(B31219,""en"",""fr"")"),"L'homme sort un objet noir de sa poche et le présente.")</f>
        <v>L'homme sort un objet noir de sa poche et le présente.</v>
      </c>
    </row>
    <row r="31220">
      <c r="A31220" s="4" t="s">
        <v>39312</v>
      </c>
      <c r="B31220" s="4" t="s">
        <v>39317</v>
      </c>
      <c r="C31220" s="5" t="str">
        <f>IFERROR(__xludf.DUMMYFUNCTION("GOOGLETRANSLATE(B31220,""en"",""fr"")"),"L'homme baise l'objet noir à l'extrémité de la poignée de râteau.")</f>
        <v>L'homme baise l'objet noir à l'extrémité de la poignée de râteau.</v>
      </c>
    </row>
    <row r="31221">
      <c r="A31221" s="4" t="s">
        <v>39312</v>
      </c>
      <c r="B31221" s="4" t="s">
        <v>39318</v>
      </c>
      <c r="C31221" s="5" t="str">
        <f>IFERROR(__xludf.DUMMYFUNCTION("GOOGLETRANSLATE(B31221,""en"",""fr"")"),"L'homme déplace la poubelle et les râteaux.")</f>
        <v>L'homme déplace la poubelle et les râteaux.</v>
      </c>
    </row>
    <row r="31222">
      <c r="A31222" s="4" t="s">
        <v>39312</v>
      </c>
      <c r="B31222" s="4" t="s">
        <v>39319</v>
      </c>
      <c r="C31222" s="5" t="str">
        <f>IFERROR(__xludf.DUMMYFUNCTION("GOOGLETRANSLATE(B31222,""en"",""fr"")"),"L'homme arrête de ratir, se dirige vers un arbre et accroche le râteau sur l'arbre.")</f>
        <v>L'homme arrête de ratir, se dirige vers un arbre et accroche le râteau sur l'arbre.</v>
      </c>
    </row>
    <row r="31223">
      <c r="A31223" s="4" t="s">
        <v>39312</v>
      </c>
      <c r="B31223" s="4" t="s">
        <v>39320</v>
      </c>
      <c r="C31223" s="5" t="str">
        <f>IFERROR(__xludf.DUMMYFUNCTION("GOOGLETRANSLATE(B31223,""en"",""fr"")"),"L'homme enlève une paire de râteaux pour l'arbre et le soulève au-dessus de sa tête.")</f>
        <v>L'homme enlève une paire de râteaux pour l'arbre et le soulève au-dessus de sa tête.</v>
      </c>
    </row>
    <row r="31224">
      <c r="A31224" s="4" t="s">
        <v>39312</v>
      </c>
      <c r="B31224" s="4" t="s">
        <v>39321</v>
      </c>
      <c r="C31224" s="5" t="str">
        <f>IFERROR(__xludf.DUMMYFUNCTION("GOOGLETRANSLATE(B31224,""en"",""fr"")"),"L'homme utilise les doubles râteaux pour ramasser les feuilles et les mettre dans la poubelle.")</f>
        <v>L'homme utilise les doubles râteaux pour ramasser les feuilles et les mettre dans la poubelle.</v>
      </c>
    </row>
    <row r="31225">
      <c r="A31225" s="4" t="s">
        <v>39312</v>
      </c>
      <c r="B31225" s="4" t="s">
        <v>39322</v>
      </c>
      <c r="C31225" s="5" t="str">
        <f>IFERROR(__xludf.DUMMYFUNCTION("GOOGLETRANSLATE(B31225,""en"",""fr"")"),"L'homme soulève le double râteau au-dessus de sa tête, puis les associe ensemble.")</f>
        <v>L'homme soulève le double râteau au-dessus de sa tête, puis les associe ensemble.</v>
      </c>
    </row>
    <row r="31226">
      <c r="A31226" s="4" t="s">
        <v>39312</v>
      </c>
      <c r="B31226" s="4" t="s">
        <v>39323</v>
      </c>
      <c r="C31226" s="5" t="str">
        <f>IFERROR(__xludf.DUMMYFUNCTION("GOOGLETRANSLATE(B31226,""en"",""fr"")"),"L'homme ramène les râteaux jumelés à l'arbre où il les accroche sur une branche.")</f>
        <v>L'homme ramène les râteaux jumelés à l'arbre où il les accroche sur une branche.</v>
      </c>
    </row>
    <row r="31227">
      <c r="A31227" s="4" t="s">
        <v>39312</v>
      </c>
      <c r="B31227" s="4" t="s">
        <v>25249</v>
      </c>
      <c r="C31227" s="5" t="str">
        <f>IFERROR(__xludf.DUMMYFUNCTION("GOOGLETRANSLATE(B31227,""en"",""fr"")"),"Les crédits des clips sont affichés.")</f>
        <v>Les crédits des clips sont affichés.</v>
      </c>
    </row>
    <row r="31228">
      <c r="A31228" s="4" t="s">
        <v>39324</v>
      </c>
      <c r="B31228" s="4" t="s">
        <v>39325</v>
      </c>
      <c r="C31228" s="5" t="str">
        <f>IFERROR(__xludf.DUMMYFUNCTION("GOOGLETRANSLATE(B31228,""en"",""fr"")"),"Une femme dans un tablier blanche tranche de la laitue sur une planche.")</f>
        <v>Une femme dans un tablier blanche tranche de la laitue sur une planche.</v>
      </c>
    </row>
    <row r="31229">
      <c r="A31229" s="4" t="s">
        <v>39324</v>
      </c>
      <c r="B31229" s="4" t="s">
        <v>39326</v>
      </c>
      <c r="C31229" s="5" t="str">
        <f>IFERROR(__xludf.DUMMYFUNCTION("GOOGLETRANSLATE(B31229,""en"",""fr"")"),"Elle sèche et coupe des concombres pour mettre dans un bol de salade.")</f>
        <v>Elle sèche et coupe des concombres pour mettre dans un bol de salade.</v>
      </c>
    </row>
    <row r="31230">
      <c r="A31230" s="4" t="s">
        <v>39324</v>
      </c>
      <c r="B31230" s="4" t="s">
        <v>39327</v>
      </c>
      <c r="C31230" s="5" t="str">
        <f>IFERROR(__xludf.DUMMYFUNCTION("GOOGLETRANSLATE(B31230,""en"",""fr"")"),"Elle jette la salade avec ses mains.")</f>
        <v>Elle jette la salade avec ses mains.</v>
      </c>
    </row>
    <row r="31231">
      <c r="A31231" s="4" t="s">
        <v>39324</v>
      </c>
      <c r="B31231" s="4" t="s">
        <v>39328</v>
      </c>
      <c r="C31231" s="5" t="str">
        <f>IFERROR(__xludf.DUMMYFUNCTION("GOOGLETRANSLATE(B31231,""en"",""fr"")"),"Elle attrape une bouteille de vinaigre et la verse sur la salade.")</f>
        <v>Elle attrape une bouteille de vinaigre et la verse sur la salade.</v>
      </c>
    </row>
    <row r="31232">
      <c r="A31232" s="4" t="s">
        <v>39324</v>
      </c>
      <c r="B31232" s="4" t="s">
        <v>39329</v>
      </c>
      <c r="C31232" s="5" t="str">
        <f>IFERROR(__xludf.DUMMYFUNCTION("GOOGLETRANSLATE(B31232,""en"",""fr"")"),"Elle ouvre une bouteille avec ses dents et verse cela sur la salade aussi.")</f>
        <v>Elle ouvre une bouteille avec ses dents et verse cela sur la salade aussi.</v>
      </c>
    </row>
    <row r="31233">
      <c r="A31233" s="4" t="s">
        <v>39324</v>
      </c>
      <c r="B31233" s="4" t="s">
        <v>39330</v>
      </c>
      <c r="C31233" s="5" t="str">
        <f>IFERROR(__xludf.DUMMYFUNCTION("GOOGLETRANSLATE(B31233,""en"",""fr"")"),"Elle met plus de vinaigrette sur la salade.")</f>
        <v>Elle met plus de vinaigrette sur la salade.</v>
      </c>
    </row>
    <row r="31234">
      <c r="A31234" s="4" t="s">
        <v>39324</v>
      </c>
      <c r="B31234" s="4" t="s">
        <v>39331</v>
      </c>
      <c r="C31234" s="5" t="str">
        <f>IFERROR(__xludf.DUMMYFUNCTION("GOOGLETRANSLATE(B31234,""en"",""fr"")"),"Une dame en arrière-plan tire Saran envelopper.")</f>
        <v>Une dame en arrière-plan tire Saran envelopper.</v>
      </c>
    </row>
    <row r="31235">
      <c r="A31235" s="4" t="s">
        <v>39324</v>
      </c>
      <c r="B31235" s="4" t="s">
        <v>39332</v>
      </c>
      <c r="C31235" s="5" t="str">
        <f>IFERROR(__xludf.DUMMYFUNCTION("GOOGLETRANSLATE(B31235,""en"",""fr"")"),"Elle continue de jeter la salade et de mélanger la vinaigrette dedans.")</f>
        <v>Elle continue de jeter la salade et de mélanger la vinaigrette dedans.</v>
      </c>
    </row>
    <row r="31236">
      <c r="A31236" s="4" t="s">
        <v>39324</v>
      </c>
      <c r="B31236" s="4" t="s">
        <v>39333</v>
      </c>
      <c r="C31236" s="5" t="str">
        <f>IFERROR(__xludf.DUMMYFUNCTION("GOOGLETRANSLATE(B31236,""en"",""fr"")"),"Une femme derrière elle verse l'assaisonnement sur la salade.")</f>
        <v>Une femme derrière elle verse l'assaisonnement sur la salade.</v>
      </c>
    </row>
    <row r="31237">
      <c r="A31237" s="4" t="s">
        <v>39324</v>
      </c>
      <c r="B31237" s="4" t="s">
        <v>39334</v>
      </c>
      <c r="C31237" s="5" t="str">
        <f>IFERROR(__xludf.DUMMYFUNCTION("GOOGLETRANSLATE(B31237,""en"",""fr"")"),"Une femme tient le bol et montre la salade en souriant.")</f>
        <v>Une femme tient le bol et montre la salade en souriant.</v>
      </c>
    </row>
    <row r="31238">
      <c r="A31238" s="4" t="s">
        <v>39324</v>
      </c>
      <c r="B31238" s="4" t="s">
        <v>39335</v>
      </c>
      <c r="C31238" s="5" t="str">
        <f>IFERROR(__xludf.DUMMYFUNCTION("GOOGLETRANSLATE(B31238,""en"",""fr"")"),"La femme qui a jeté la salade se lave les mains sur une serviette.")</f>
        <v>La femme qui a jeté la salade se lave les mains sur une serviette.</v>
      </c>
    </row>
    <row r="31239">
      <c r="A31239" s="4" t="s">
        <v>39336</v>
      </c>
      <c r="B31239" s="4" t="s">
        <v>39337</v>
      </c>
      <c r="C31239" s="5" t="str">
        <f>IFERROR(__xludf.DUMMYFUNCTION("GOOGLETRANSLATE(B31239,""en"",""fr"")"),"Un graphique joue qui indique ""des retombées"" avec un lien vers leur page Facebook.")</f>
        <v>Un graphique joue qui indique "des retombées" avec un lien vers leur page Facebook.</v>
      </c>
    </row>
    <row r="31240">
      <c r="A31240" s="4" t="s">
        <v>39336</v>
      </c>
      <c r="B31240" s="4" t="s">
        <v>39338</v>
      </c>
      <c r="C31240" s="5" t="str">
        <f>IFERROR(__xludf.DUMMYFUNCTION("GOOGLETRANSLATE(B31240,""en"",""fr"")"),"Un homme montre une variété de tours de piscine sur sa table de billard dans sa maison.")</f>
        <v>Un homme montre une variété de tours de piscine sur sa table de billard dans sa maison.</v>
      </c>
    </row>
    <row r="31241">
      <c r="A31241" s="4" t="s">
        <v>39336</v>
      </c>
      <c r="B31241" s="4" t="s">
        <v>39339</v>
      </c>
      <c r="C31241" s="5" t="str">
        <f>IFERROR(__xludf.DUMMYFUNCTION("GOOGLETRANSLATE(B31241,""en"",""fr"")"),"Un graphique joue qui dit ""abonner"" et la vidéo se termine.")</f>
        <v>Un graphique joue qui dit "abonner" et la vidéo se termine.</v>
      </c>
    </row>
    <row r="31242">
      <c r="A31242" s="4" t="s">
        <v>39340</v>
      </c>
      <c r="B31242" s="4" t="s">
        <v>39341</v>
      </c>
      <c r="C31242" s="5" t="str">
        <f>IFERROR(__xludf.DUMMYFUNCTION("GOOGLETRANSLATE(B31242,""en"",""fr"")"),"Une pièce avec une table sans peinture est représentée et une émeri est au-dessus.")</f>
        <v>Une pièce avec une table sans peinture est représentée et une émeri est au-dessus.</v>
      </c>
    </row>
    <row r="31243">
      <c r="A31243" s="4" t="s">
        <v>39340</v>
      </c>
      <c r="B31243" s="4" t="s">
        <v>39342</v>
      </c>
      <c r="C31243" s="5" t="str">
        <f>IFERROR(__xludf.DUMMYFUNCTION("GOOGLETRANSLATE(B31243,""en"",""fr"")"),"L'homme entre dans une pièce et utilise l'émeri sur le dessus de la table.")</f>
        <v>L'homme entre dans une pièce et utilise l'émeri sur le dessus de la table.</v>
      </c>
    </row>
    <row r="31244">
      <c r="A31244" s="4" t="s">
        <v>39340</v>
      </c>
      <c r="B31244" s="4" t="s">
        <v>39343</v>
      </c>
      <c r="C31244" s="5" t="str">
        <f>IFERROR(__xludf.DUMMYFUNCTION("GOOGLETRANSLATE(B31244,""en"",""fr"")"),"L'homme sort les lunettes et nettoie le disque de l'Emery.")</f>
        <v>L'homme sort les lunettes et nettoie le disque de l'Emery.</v>
      </c>
    </row>
    <row r="31245">
      <c r="A31245" s="4" t="s">
        <v>39344</v>
      </c>
      <c r="B31245" s="4" t="s">
        <v>39345</v>
      </c>
      <c r="C31245" s="5" t="str">
        <f>IFERROR(__xludf.DUMMYFUNCTION("GOOGLETRANSLATE(B31245,""en"",""fr"")"),"Nous voyons une main sur la caméra.")</f>
        <v>Nous voyons une main sur la caméra.</v>
      </c>
    </row>
    <row r="31246">
      <c r="A31246" s="4" t="s">
        <v>39344</v>
      </c>
      <c r="B31246" s="4" t="s">
        <v>39346</v>
      </c>
      <c r="C31246" s="5" t="str">
        <f>IFERROR(__xludf.DUMMYFUNCTION("GOOGLETRANSLATE(B31246,""en"",""fr"")"),"Une fille nous montre alors son pinceau.")</f>
        <v>Une fille nous montre alors son pinceau.</v>
      </c>
    </row>
    <row r="31247">
      <c r="A31247" s="4" t="s">
        <v>39344</v>
      </c>
      <c r="B31247" s="4" t="s">
        <v>39347</v>
      </c>
      <c r="C31247" s="5" t="str">
        <f>IFERROR(__xludf.DUMMYFUNCTION("GOOGLETRANSLATE(B31247,""en"",""fr"")"),"La fille utilise la brosse pour se brosser les cheveux.")</f>
        <v>La fille utilise la brosse pour se brosser les cheveux.</v>
      </c>
    </row>
    <row r="31248">
      <c r="A31248" s="4" t="s">
        <v>39344</v>
      </c>
      <c r="B31248" s="4" t="s">
        <v>39348</v>
      </c>
      <c r="C31248" s="5" t="str">
        <f>IFERROR(__xludf.DUMMYFUNCTION("GOOGLETRANSLATE(B31248,""en"",""fr"")"),"Elle nous montre à nouveau son pinceau.")</f>
        <v>Elle nous montre à nouveau son pinceau.</v>
      </c>
    </row>
    <row r="31249">
      <c r="A31249" s="4" t="s">
        <v>39344</v>
      </c>
      <c r="B31249" s="4" t="s">
        <v>39349</v>
      </c>
      <c r="C31249" s="5" t="str">
        <f>IFERROR(__xludf.DUMMYFUNCTION("GOOGLETRANSLATE(B31249,""en"",""fr"")"),"Sa main couvre alors la caméra.")</f>
        <v>Sa main couvre alors la caméra.</v>
      </c>
    </row>
    <row r="31250">
      <c r="A31250" s="4" t="s">
        <v>39350</v>
      </c>
      <c r="B31250" s="4" t="s">
        <v>39351</v>
      </c>
      <c r="C31250" s="5" t="str">
        <f>IFERROR(__xludf.DUMMYFUNCTION("GOOGLETRANSLATE(B31250,""en"",""fr"")"),"Une femme asiatique est vue agenouillée sur le sol.")</f>
        <v>Une femme asiatique est vue agenouillée sur le sol.</v>
      </c>
    </row>
    <row r="31251">
      <c r="A31251" s="4" t="s">
        <v>39350</v>
      </c>
      <c r="B31251" s="4" t="s">
        <v>39352</v>
      </c>
      <c r="C31251" s="5" t="str">
        <f>IFERROR(__xludf.DUMMYFUNCTION("GOOGLETRANSLATE(B31251,""en"",""fr"")"),"Elle se lève très lentement, les bras en premier.")</f>
        <v>Elle se lève très lentement, les bras en premier.</v>
      </c>
    </row>
    <row r="31252">
      <c r="A31252" s="4" t="s">
        <v>39350</v>
      </c>
      <c r="B31252" s="4" t="s">
        <v>39353</v>
      </c>
      <c r="C31252" s="5" t="str">
        <f>IFERROR(__xludf.DUMMYFUNCTION("GOOGLETRANSLATE(B31252,""en"",""fr"")"),"Elle fait plusieurs mouvements d'arts martiaux pour la caméra.")</f>
        <v>Elle fait plusieurs mouvements d'arts martiaux pour la caméra.</v>
      </c>
    </row>
    <row r="31253">
      <c r="A31253" s="4" t="s">
        <v>39354</v>
      </c>
      <c r="B31253" s="4" t="s">
        <v>39355</v>
      </c>
      <c r="C31253" s="5" t="str">
        <f>IFERROR(__xludf.DUMMYFUNCTION("GOOGLETRANSLATE(B31253,""en"",""fr"")"),"Un homme est vu marcher dans une salle de bain et regarder à travers des brosses à dents sales.")</f>
        <v>Un homme est vu marcher dans une salle de bain et regarder à travers des brosses à dents sales.</v>
      </c>
    </row>
    <row r="31254">
      <c r="A31254" s="4" t="s">
        <v>39354</v>
      </c>
      <c r="B31254" s="4" t="s">
        <v>39356</v>
      </c>
      <c r="C31254" s="5" t="str">
        <f>IFERROR(__xludf.DUMMYFUNCTION("GOOGLETRANSLATE(B31254,""en"",""fr"")"),"La personne verse un dentifrice sur une brosse et se brosse continuellement les dents.")</f>
        <v>La personne verse un dentifrice sur une brosse et se brosse continuellement les dents.</v>
      </c>
    </row>
    <row r="31255">
      <c r="A31255" s="4" t="s">
        <v>39354</v>
      </c>
      <c r="B31255" s="6" t="s">
        <v>39357</v>
      </c>
      <c r="C31255" s="5" t="str">
        <f>IFERROR(__xludf.DUMMYFUNCTION("GOOGLETRANSLATE(B31255,""en"",""fr"")"),"Il se brosse ensuite plus et se termine en rinçant la bouche avec un lavage en bouche et en montrant l'évier.")</f>
        <v>Il se brosse ensuite plus et se termine en rinçant la bouche avec un lavage en bouche et en montrant l'évier.</v>
      </c>
    </row>
    <row r="31256">
      <c r="A31256" s="4" t="s">
        <v>39358</v>
      </c>
      <c r="B31256" s="4" t="s">
        <v>39359</v>
      </c>
      <c r="C31256" s="5" t="str">
        <f>IFERROR(__xludf.DUMMYFUNCTION("GOOGLETRANSLATE(B31256,""en"",""fr"")"),"Un type de gars marche sur une corde tout en tenant un bâton de selfie l'enregistrant.")</f>
        <v>Un type de gars marche sur une corde tout en tenant un bâton de selfie l'enregistrant.</v>
      </c>
    </row>
    <row r="31257">
      <c r="A31257" s="4" t="s">
        <v>39358</v>
      </c>
      <c r="B31257" s="6" t="s">
        <v>39360</v>
      </c>
      <c r="C31257" s="5" t="str">
        <f>IFERROR(__xludf.DUMMYFUNCTION("GOOGLETRANSLATE(B31257,""en"",""fr"")"),"Le type de gars marche sur l'eau sur une corde qui a une courte distance du quai à un bord de bateau pendant que les gens regardent.")</f>
        <v>Le type de gars marche sur l'eau sur une corde qui a une courte distance du quai à un bord de bateau pendant que les gens regardent.</v>
      </c>
    </row>
    <row r="31258">
      <c r="A31258" s="4" t="s">
        <v>39358</v>
      </c>
      <c r="B31258" s="4" t="s">
        <v>39361</v>
      </c>
      <c r="C31258" s="5" t="str">
        <f>IFERROR(__xludf.DUMMYFUNCTION("GOOGLETRANSLATE(B31258,""en"",""fr"")"),"Guy rebondisse également et fait également des astuces sur une corde de type rose.")</f>
        <v>Guy rebondisse également et fait également des astuces sur une corde de type rose.</v>
      </c>
    </row>
    <row r="31259">
      <c r="A31259" s="4" t="s">
        <v>39358</v>
      </c>
      <c r="B31259" s="4" t="s">
        <v>39362</v>
      </c>
      <c r="C31259" s="5" t="str">
        <f>IFERROR(__xludf.DUMMYFUNCTION("GOOGLETRANSLATE(B31259,""en"",""fr"")"),"Guy essaie de taper traverser l'eau mais tombe et certains traversent.")</f>
        <v>Guy essaie de taper traverser l'eau mais tombe et certains traversent.</v>
      </c>
    </row>
    <row r="31260">
      <c r="A31260" s="4" t="s">
        <v>39363</v>
      </c>
      <c r="B31260" s="4" t="s">
        <v>39364</v>
      </c>
      <c r="C31260" s="5" t="str">
        <f>IFERROR(__xludf.DUMMYFUNCTION("GOOGLETRANSLATE(B31260,""en"",""fr"")"),"Deux filles sont montrées en train de faire des feuilles dans une cour tout en parlant continuellement à la caméra.")</f>
        <v>Deux filles sont montrées en train de faire des feuilles dans une cour tout en parlant continuellement à la caméra.</v>
      </c>
    </row>
    <row r="31261">
      <c r="A31261" s="4" t="s">
        <v>39363</v>
      </c>
      <c r="B31261" s="6" t="s">
        <v>39365</v>
      </c>
      <c r="C31261" s="5" t="str">
        <f>IFERROR(__xludf.DUMMYFUNCTION("GOOGLETRANSLATE(B31261,""en"",""fr"")"),"La fille plus âgée montre le plus jeune comment ratifier tandis qu'une autre fille se tient à côté et regarde sur une diapositive voisine.")</f>
        <v>La fille plus âgée montre le plus jeune comment ratifier tandis qu'une autre fille se tient à côté et regarde sur une diapositive voisine.</v>
      </c>
    </row>
    <row r="31262">
      <c r="A31262" s="4" t="s">
        <v>39363</v>
      </c>
      <c r="B31262" s="4" t="s">
        <v>39366</v>
      </c>
      <c r="C31262" s="5" t="str">
        <f>IFERROR(__xludf.DUMMYFUNCTION("GOOGLETRANSLATE(B31262,""en"",""fr"")"),"La caméra zoome sur la jeune fille et la regarde ramener les feuilles.")</f>
        <v>La caméra zoome sur la jeune fille et la regarde ramener les feuilles.</v>
      </c>
    </row>
    <row r="31263">
      <c r="A31263" s="4" t="s">
        <v>39367</v>
      </c>
      <c r="B31263" s="4" t="s">
        <v>39368</v>
      </c>
      <c r="C31263" s="5" t="str">
        <f>IFERROR(__xludf.DUMMYFUNCTION("GOOGLETRANSLATE(B31263,""en"",""fr"")"),"Deux garçons sont agenouillés dans l'herbe coupant l'herbe avec une paire de ciseaux.")</f>
        <v>Deux garçons sont agenouillés dans l'herbe coupant l'herbe avec une paire de ciseaux.</v>
      </c>
    </row>
    <row r="31264">
      <c r="A31264" s="4" t="s">
        <v>39367</v>
      </c>
      <c r="B31264" s="4" t="s">
        <v>39369</v>
      </c>
      <c r="C31264" s="5" t="str">
        <f>IFERROR(__xludf.DUMMYFUNCTION("GOOGLETRANSLATE(B31264,""en"",""fr"")"),"Ils prennent des morceaux et utilisent les ciseaux pour le couper.")</f>
        <v>Ils prennent des morceaux et utilisent les ciseaux pour le couper.</v>
      </c>
    </row>
    <row r="31265">
      <c r="A31265" s="4" t="s">
        <v>39367</v>
      </c>
      <c r="B31265" s="4" t="s">
        <v>39370</v>
      </c>
      <c r="C31265" s="5" t="str">
        <f>IFERROR(__xludf.DUMMYFUNCTION("GOOGLETRANSLATE(B31265,""en"",""fr"")"),"Ensuite, jetez l'herbe qu'ils ont coupée derrière eux.")</f>
        <v>Ensuite, jetez l'herbe qu'ils ont coupée derrière eux.</v>
      </c>
    </row>
    <row r="31266">
      <c r="A31266" s="4" t="s">
        <v>39367</v>
      </c>
      <c r="B31266" s="4" t="s">
        <v>39371</v>
      </c>
      <c r="C31266" s="5" t="str">
        <f>IFERROR(__xludf.DUMMYFUNCTION("GOOGLETRANSLATE(B31266,""en"",""fr"")"),"Ils y vont un peu rapidement, ils semblent être des petits enfants très ennuyés avec rien d'autre à faire.")</f>
        <v>Ils y vont un peu rapidement, ils semblent être des petits enfants très ennuyés avec rien d'autre à faire.</v>
      </c>
    </row>
    <row r="31267">
      <c r="A31267" s="4" t="s">
        <v>39372</v>
      </c>
      <c r="B31267" s="6" t="s">
        <v>39373</v>
      </c>
      <c r="C31267" s="5" t="str">
        <f>IFERROR(__xludf.DUMMYFUNCTION("GOOGLETRANSLATE(B31267,""en"",""fr"")"),"Un logo Triple-A rouge et bleu est représenté sur un écran blanc, puis l'écran clignote vers un gros camion de neige.")</f>
        <v>Un logo Triple-A rouge et bleu est représenté sur un écran blanc, puis l'écran clignote vers un gros camion de neige.</v>
      </c>
    </row>
    <row r="31268">
      <c r="A31268" s="4" t="s">
        <v>39372</v>
      </c>
      <c r="B31268" s="6" t="s">
        <v>39374</v>
      </c>
      <c r="C31268" s="5" t="str">
        <f>IFERROR(__xludf.DUMMYFUNCTION("GOOGLETRANSLATE(B31268,""en"",""fr"")"),"Une fois le camion parti, diverses personnes labourent la neige pour tenter de la retirer des routes et de nettoyer une passerelle.")</f>
        <v>Une fois le camion parti, diverses personnes labourent la neige pour tenter de la retirer des routes et de nettoyer une passerelle.</v>
      </c>
    </row>
    <row r="31269">
      <c r="A31269" s="4" t="s">
        <v>39372</v>
      </c>
      <c r="B31269" s="6" t="s">
        <v>39375</v>
      </c>
      <c r="C31269" s="5" t="str">
        <f>IFERROR(__xludf.DUMMYFUNCTION("GOOGLETRANSLATE(B31269,""en"",""fr"")"),"Après, un jeune homme noir commence à parler et à illustrer la neige sur les voitures car il représente l'aspect des relations publiques de Triple A.")</f>
        <v>Après, un jeune homme noir commence à parler et à illustrer la neige sur les voitures car il représente l'aspect des relations publiques de Triple A.</v>
      </c>
    </row>
    <row r="31270">
      <c r="A31270" s="4" t="s">
        <v>39372</v>
      </c>
      <c r="B31270" s="6" t="s">
        <v>39376</v>
      </c>
      <c r="C31270" s="5" t="str">
        <f>IFERROR(__xludf.DUMMYFUNCTION("GOOGLETRANSLATE(B31270,""en"",""fr"")"),"Alors que l'homme continue de parler, un homme avec du seau d'eau est montré et il n'y a plus d'eau sur sa voiture.")</f>
        <v>Alors que l'homme continue de parler, un homme avec du seau d'eau est montré et il n'y a plus d'eau sur sa voiture.</v>
      </c>
    </row>
    <row r="31271">
      <c r="A31271" s="4" t="s">
        <v>39372</v>
      </c>
      <c r="B31271" s="6" t="s">
        <v>39377</v>
      </c>
      <c r="C31271" s="5" t="str">
        <f>IFERROR(__xludf.DUMMYFUNCTION("GOOGLETRANSLATE(B31271,""en"",""fr"")"),"Après un certain temps, un autre homme est photographié à pelleter la neige de sa voiture, puis à entrer à l'intérieur pour ajuster la radio, soudain, l'homme est de retour à l'extérieur et gratte la neige de tous les aspects de la voiture, y compris les "&amp;"fenêtres, les tuyaux d'échappement, les pare-brise, et Feux arrière, puis le mâle noir revient et continue de parler.")</f>
        <v>Après un certain temps, un autre homme est photographié à pelleter la neige de sa voiture, puis à entrer à l'intérieur pour ajuster la radio, soudain, l'homme est de retour à l'extérieur et gratte la neige de tous les aspects de la voiture, y compris les fenêtres, les tuyaux d'échappement, les pare-brise, et Feux arrière, puis le mâle noir revient et continue de parler.</v>
      </c>
    </row>
    <row r="31272">
      <c r="A31272" s="4" t="s">
        <v>39378</v>
      </c>
      <c r="B31272" s="4" t="s">
        <v>39379</v>
      </c>
      <c r="C31272" s="5" t="str">
        <f>IFERROR(__xludf.DUMMYFUNCTION("GOOGLETRANSLATE(B31272,""en"",""fr"")"),"Une petite fille saute en marelle dans la rue.")</f>
        <v>Une petite fille saute en marelle dans la rue.</v>
      </c>
    </row>
    <row r="31273">
      <c r="A31273" s="4" t="s">
        <v>39378</v>
      </c>
      <c r="B31273" s="4" t="s">
        <v>39380</v>
      </c>
      <c r="C31273" s="5" t="str">
        <f>IFERROR(__xludf.DUMMYFUNCTION("GOOGLETRANSLATE(B31273,""en"",""fr"")"),"La petite fille se retourne et saute la marelle.")</f>
        <v>La petite fille se retourne et saute la marelle.</v>
      </c>
    </row>
    <row r="31274">
      <c r="A31274" s="4" t="s">
        <v>39381</v>
      </c>
      <c r="B31274" s="4" t="s">
        <v>39382</v>
      </c>
      <c r="C31274" s="5" t="str">
        <f>IFERROR(__xludf.DUMMYFUNCTION("GOOGLETRANSLATE(B31274,""en"",""fr"")"),"Il y a plusieurs passagers voyageant dans un train de métro.")</f>
        <v>Il y a plusieurs passagers voyageant dans un train de métro.</v>
      </c>
    </row>
    <row r="31275">
      <c r="A31275" s="4" t="s">
        <v>39381</v>
      </c>
      <c r="B31275" s="4" t="s">
        <v>39383</v>
      </c>
      <c r="C31275" s="5" t="str">
        <f>IFERROR(__xludf.DUMMYFUNCTION("GOOGLETRANSLATE(B31275,""en"",""fr"")"),"Deux des passagers sont assis sur des chaises pliantes et ils jouent de la batterie sur des bongos.")</f>
        <v>Deux des passagers sont assis sur des chaises pliantes et ils jouent de la batterie sur des bongos.</v>
      </c>
    </row>
    <row r="31276">
      <c r="A31276" s="4" t="s">
        <v>39381</v>
      </c>
      <c r="B31276" s="4" t="s">
        <v>39384</v>
      </c>
      <c r="C31276" s="5" t="str">
        <f>IFERROR(__xludf.DUMMYFUNCTION("GOOGLETRANSLATE(B31276,""en"",""fr"")"),"Ils continuent de jouer les Bongos tandis que les autres passagers sont occupés à faire leur propre truc.")</f>
        <v>Ils continuent de jouer les Bongos tandis que les autres passagers sont occupés à faire leur propre truc.</v>
      </c>
    </row>
    <row r="31277">
      <c r="A31277" s="4" t="s">
        <v>39381</v>
      </c>
      <c r="B31277" s="4" t="s">
        <v>39385</v>
      </c>
      <c r="C31277" s="5" t="str">
        <f>IFERROR(__xludf.DUMMYFUNCTION("GOOGLETRANSLATE(B31277,""en"",""fr"")"),"Un jeune garçon assis près des joueurs les regarde jouer.")</f>
        <v>Un jeune garçon assis près des joueurs les regarde jouer.</v>
      </c>
    </row>
    <row r="31278">
      <c r="A31278" s="4" t="s">
        <v>39381</v>
      </c>
      <c r="B31278" s="4" t="s">
        <v>39386</v>
      </c>
      <c r="C31278" s="5" t="str">
        <f>IFERROR(__xludf.DUMMYFUNCTION("GOOGLETRANSLATE(B31278,""en"",""fr"")"),"Les joueurs continuent de jouer aux Bongos et de tambourner sur eux.")</f>
        <v>Les joueurs continuent de jouer aux Bongos et de tambourner sur eux.</v>
      </c>
    </row>
    <row r="31279">
      <c r="A31279" s="4" t="s">
        <v>39381</v>
      </c>
      <c r="B31279" s="4" t="s">
        <v>39387</v>
      </c>
      <c r="C31279" s="5" t="str">
        <f>IFERROR(__xludf.DUMMYFUNCTION("GOOGLETRANSLATE(B31279,""en"",""fr"")"),"Après avoir cessé de jouer, une personne les applaudit.")</f>
        <v>Après avoir cessé de jouer, une personne les applaudit.</v>
      </c>
    </row>
    <row r="31280">
      <c r="A31280" s="4" t="s">
        <v>39388</v>
      </c>
      <c r="B31280" s="4" t="s">
        <v>39389</v>
      </c>
      <c r="C31280" s="5" t="str">
        <f>IFERROR(__xludf.DUMMYFUNCTION("GOOGLETRANSLATE(B31280,""en"",""fr"")"),"Un homme ratisse les feuilles dans une grande cour.")</f>
        <v>Un homme ratisse les feuilles dans une grande cour.</v>
      </c>
    </row>
    <row r="31281">
      <c r="A31281" s="4" t="s">
        <v>39388</v>
      </c>
      <c r="B31281" s="4" t="s">
        <v>39390</v>
      </c>
      <c r="C31281" s="5" t="str">
        <f>IFERROR(__xludf.DUMMYFUNCTION("GOOGLETRANSLATE(B31281,""en"",""fr"")"),"Il utilise le râteau pour pousser les feuilles en piles.")</f>
        <v>Il utilise le râteau pour pousser les feuilles en piles.</v>
      </c>
    </row>
    <row r="31282">
      <c r="A31282" s="4" t="s">
        <v>39388</v>
      </c>
      <c r="B31282" s="4" t="s">
        <v>39391</v>
      </c>
      <c r="C31282" s="5" t="str">
        <f>IFERROR(__xludf.DUMMYFUNCTION("GOOGLETRANSLATE(B31282,""en"",""fr"")"),"Il continue de ratisser, dégageant un chemin de saleté en dessous.")</f>
        <v>Il continue de ratisser, dégageant un chemin de saleté en dessous.</v>
      </c>
    </row>
    <row r="31283">
      <c r="A31283" s="4" t="s">
        <v>39392</v>
      </c>
      <c r="B31283" s="4" t="s">
        <v>39393</v>
      </c>
      <c r="C31283" s="5" t="str">
        <f>IFERROR(__xludf.DUMMYFUNCTION("GOOGLETRANSLATE(B31283,""en"",""fr"")"),"Une équipe sur le terrain en train de jouer à la crosse.")</f>
        <v>Une équipe sur le terrain en train de jouer à la crosse.</v>
      </c>
    </row>
    <row r="31284">
      <c r="A31284" s="4" t="s">
        <v>39392</v>
      </c>
      <c r="B31284" s="4" t="s">
        <v>39394</v>
      </c>
      <c r="C31284" s="5" t="str">
        <f>IFERROR(__xludf.DUMMYFUNCTION("GOOGLETRANSLATE(B31284,""en"",""fr"")"),"Tout le monde court après les autres en essayant de faire l'objectif.")</f>
        <v>Tout le monde court après les autres en essayant de faire l'objectif.</v>
      </c>
    </row>
    <row r="31285">
      <c r="A31285" s="4" t="s">
        <v>39392</v>
      </c>
      <c r="B31285" s="4" t="s">
        <v>39395</v>
      </c>
      <c r="C31285" s="5" t="str">
        <f>IFERROR(__xludf.DUMMYFUNCTION("GOOGLETRANSLATE(B31285,""en"",""fr"")"),"Tout le monde court beaucoup en essayant d'empêcher l'autre équipe de marquer.")</f>
        <v>Tout le monde court beaucoup en essayant d'empêcher l'autre équipe de marquer.</v>
      </c>
    </row>
    <row r="31286">
      <c r="A31286" s="4" t="s">
        <v>39392</v>
      </c>
      <c r="B31286" s="4" t="s">
        <v>39396</v>
      </c>
      <c r="C31286" s="5" t="str">
        <f>IFERROR(__xludf.DUMMYFUNCTION("GOOGLETRANSLATE(B31286,""en"",""fr"")"),"La fille dans le rouge a l'air de le faire presque avant de s'enfuir.")</f>
        <v>La fille dans le rouge a l'air de le faire presque avant de s'enfuir.</v>
      </c>
    </row>
    <row r="31287">
      <c r="A31287" s="4" t="s">
        <v>39397</v>
      </c>
      <c r="B31287" s="4" t="s">
        <v>39398</v>
      </c>
      <c r="C31287" s="5" t="str">
        <f>IFERROR(__xludf.DUMMYFUNCTION("GOOGLETRANSLATE(B31287,""en"",""fr"")"),"Grand gratte-ciel avec une vue magnifique.")</f>
        <v>Grand gratte-ciel avec une vue magnifique.</v>
      </c>
    </row>
    <row r="31288">
      <c r="A31288" s="4" t="s">
        <v>39397</v>
      </c>
      <c r="B31288" s="4" t="s">
        <v>39399</v>
      </c>
      <c r="C31288" s="5" t="str">
        <f>IFERROR(__xludf.DUMMYFUNCTION("GOOGLETRANSLATE(B31288,""en"",""fr"")"),"Les hommes nettoient la fenêtre à l'extérieur accroché à l'échafaudage.")</f>
        <v>Les hommes nettoient la fenêtre à l'extérieur accroché à l'échafaudage.</v>
      </c>
    </row>
    <row r="31289">
      <c r="A31289" s="4" t="s">
        <v>39400</v>
      </c>
      <c r="B31289" s="6" t="s">
        <v>39401</v>
      </c>
      <c r="C31289" s="5" t="str">
        <f>IFERROR(__xludf.DUMMYFUNCTION("GOOGLETRANSLATE(B31289,""en"",""fr"")"),"Un homme athlétique est vu tenir un équipement d'exercice et s'agenouiller tout en parlant à la caméra.")</f>
        <v>Un homme athlétique est vu tenir un équipement d'exercice et s'agenouiller tout en parlant à la caméra.</v>
      </c>
    </row>
    <row r="31290">
      <c r="A31290" s="4" t="s">
        <v>39400</v>
      </c>
      <c r="B31290" s="4" t="s">
        <v>39402</v>
      </c>
      <c r="C31290" s="5" t="str">
        <f>IFERROR(__xludf.DUMMYFUNCTION("GOOGLETRANSLATE(B31290,""en"",""fr"")"),"Il continue de parler et commence à déplacer ses bras et son corps en arrière et quatrième.")</f>
        <v>Il continue de parler et commence à déplacer ses bras et son corps en arrière et quatrième.</v>
      </c>
    </row>
    <row r="31291">
      <c r="A31291" s="4" t="s">
        <v>39403</v>
      </c>
      <c r="B31291" s="4" t="s">
        <v>39404</v>
      </c>
      <c r="C31291" s="5" t="str">
        <f>IFERROR(__xludf.DUMMYFUNCTION("GOOGLETRANSLATE(B31291,""en"",""fr"")"),"L'homme surfait sur les vagues et tombe dans l'eau.")</f>
        <v>L'homme surfait sur les vagues et tombe dans l'eau.</v>
      </c>
    </row>
    <row r="31292">
      <c r="A31292" s="4" t="s">
        <v>39403</v>
      </c>
      <c r="B31292" s="4" t="s">
        <v>39405</v>
      </c>
      <c r="C31292" s="5" t="str">
        <f>IFERROR(__xludf.DUMMYFUNCTION("GOOGLETRANSLATE(B31292,""en"",""fr"")"),"L'homme surfait pendant que d'autres surfeurs sont derrière lui.")</f>
        <v>L'homme surfait pendant que d'autres surfeurs sont derrière lui.</v>
      </c>
    </row>
    <row r="31293">
      <c r="A31293" s="4" t="s">
        <v>39403</v>
      </c>
      <c r="B31293" s="4" t="s">
        <v>39406</v>
      </c>
      <c r="C31293" s="5" t="str">
        <f>IFERROR(__xludf.DUMMYFUNCTION("GOOGLETRANSLATE(B31293,""en"",""fr"")"),"Le surfeur surfer sur l'eau et est tombé près des rochers.")</f>
        <v>Le surfeur surfer sur l'eau et est tombé près des rochers.</v>
      </c>
    </row>
    <row r="31294">
      <c r="A31294" s="4" t="s">
        <v>39407</v>
      </c>
      <c r="B31294" s="6" t="s">
        <v>39408</v>
      </c>
      <c r="C31294" s="5" t="str">
        <f>IFERROR(__xludf.DUMMYFUNCTION("GOOGLETRANSLATE(B31294,""en"",""fr"")"),"Les hommes sont vêtus d'un équipement de football qui a le logo Pepsi sur leurs chemises et ils jouent sur un champ herbeux.")</f>
        <v>Les hommes sont vêtus d'un équipement de football qui a le logo Pepsi sur leurs chemises et ils jouent sur un champ herbeux.</v>
      </c>
    </row>
    <row r="31295">
      <c r="A31295" s="4" t="s">
        <v>39407</v>
      </c>
      <c r="B31295" s="6" t="s">
        <v>39409</v>
      </c>
      <c r="C31295" s="5" t="str">
        <f>IFERROR(__xludf.DUMMYFUNCTION("GOOGLETRANSLATE(B31295,""en"",""fr"")"),"Très gros sumos commencent à marcher sur le terrain avec leur propre ballon de football à la main, et les football les approchent et le sumo pointe vers la glacière Pepsi remplie de soda.")</f>
        <v>Très gros sumos commencent à marcher sur le terrain avec leur propre ballon de football à la main, et les football les approchent et le sumo pointe vers la glacière Pepsi remplie de soda.</v>
      </c>
    </row>
    <row r="31296">
      <c r="A31296" s="4" t="s">
        <v>39407</v>
      </c>
      <c r="B31296" s="6" t="s">
        <v>39410</v>
      </c>
      <c r="C31296" s="5" t="str">
        <f>IFERROR(__xludf.DUMMYFUNCTION("GOOGLETRANSLATE(B31296,""en"",""fr"")"),"Les hommes et les sumos commencent un match de football les uns contre les autres et quand un homme essaie de faire un but, un sumo bloque tout le but et dans divers autres mouvements, les victoires de Sumo, y compris un but lorsqu'un sumo est tombé et le"&amp;" ballon de football s'est envolé dans le filet.")</f>
        <v>Les hommes et les sumos commencent un match de football les uns contre les autres et quand un homme essaie de faire un but, un sumo bloque tout le but et dans divers autres mouvements, les victoires de Sumo, y compris un but lorsqu'un sumo est tombé et le ballon de football s'est envolé dans le filet.</v>
      </c>
    </row>
    <row r="31297">
      <c r="A31297" s="4" t="s">
        <v>39407</v>
      </c>
      <c r="B31297" s="6" t="s">
        <v>39411</v>
      </c>
      <c r="C31297" s="5" t="str">
        <f>IFERROR(__xludf.DUMMYFUNCTION("GOOGLETRANSLATE(B31297,""en"",""fr"")"),"Un homme attrape une boîte de pepsi et le jette à un sumo et tous les sumos courent vers la glacière, boit un pepsi, puis on leur montre en marche avec la glacière Pepsi.")</f>
        <v>Un homme attrape une boîte de pepsi et le jette à un sumo et tous les sumos courent vers la glacière, boit un pepsi, puis on leur montre en marche avec la glacière Pepsi.</v>
      </c>
    </row>
    <row r="31298">
      <c r="A31298" s="4" t="s">
        <v>39412</v>
      </c>
      <c r="B31298" s="4" t="s">
        <v>39413</v>
      </c>
      <c r="C31298" s="5" t="str">
        <f>IFERROR(__xludf.DUMMYFUNCTION("GOOGLETRANSLATE(B31298,""en"",""fr"")"),"Un homme est vu parler à la caméra tout en tenant plusieurs jeux de ping-pong sont joués.")</f>
        <v>Un homme est vu parler à la caméra tout en tenant plusieurs jeux de ping-pong sont joués.</v>
      </c>
    </row>
    <row r="31299">
      <c r="A31299" s="4" t="s">
        <v>39412</v>
      </c>
      <c r="B31299" s="4" t="s">
        <v>39414</v>
      </c>
      <c r="C31299" s="5" t="str">
        <f>IFERROR(__xludf.DUMMYFUNCTION("GOOGLETRANSLATE(B31299,""en"",""fr"")"),"L'homme continue de frapper le ballon tout en parlant à la caméra et en tenant des outils de ping-pong.")</f>
        <v>L'homme continue de frapper le ballon tout en parlant à la caméra et en tenant des outils de ping-pong.</v>
      </c>
    </row>
    <row r="31300">
      <c r="A31300" s="4" t="s">
        <v>39412</v>
      </c>
      <c r="B31300" s="6" t="s">
        <v>39415</v>
      </c>
      <c r="C31300" s="5" t="str">
        <f>IFERROR(__xludf.DUMMYFUNCTION("GOOGLETRANSLATE(B31300,""en"",""fr"")"),"L'homme montre comment frapper correctement le ballon et déplacer son corps tout en frappant le ballon.")</f>
        <v>L'homme montre comment frapper correctement le ballon et déplacer son corps tout en frappant le ballon.</v>
      </c>
    </row>
    <row r="31301">
      <c r="A31301" s="4" t="s">
        <v>39416</v>
      </c>
      <c r="B31301" s="6" t="s">
        <v>39417</v>
      </c>
      <c r="C31301" s="5" t="str">
        <f>IFERROR(__xludf.DUMMYFUNCTION("GOOGLETRANSLATE(B31301,""en"",""fr"")"),"Il y a un soudeur dans une chemise bleue portant un casque de protection jaune, soudant un grand tuyau métallique dans un atelier.")</f>
        <v>Il y a un soudeur dans une chemise bleue portant un casque de protection jaune, soudant un grand tuyau métallique dans un atelier.</v>
      </c>
    </row>
    <row r="31302">
      <c r="A31302" s="4" t="s">
        <v>39416</v>
      </c>
      <c r="B31302" s="6" t="s">
        <v>39418</v>
      </c>
      <c r="C31302" s="5" t="str">
        <f>IFERROR(__xludf.DUMMYFUNCTION("GOOGLETRANSLATE(B31302,""en"",""fr"")"),"Il y a un autre soudeur portant un costume de protection bleu et un casque blanc soudant un morceau de métal sur une table d'atelier.")</f>
        <v>Il y a un autre soudeur portant un costume de protection bleu et un casque blanc soudant un morceau de métal sur une table d'atelier.</v>
      </c>
    </row>
    <row r="31303">
      <c r="A31303" s="4" t="s">
        <v>39416</v>
      </c>
      <c r="B31303" s="4" t="s">
        <v>39419</v>
      </c>
      <c r="C31303" s="5" t="str">
        <f>IFERROR(__xludf.DUMMYFUNCTION("GOOGLETRANSLATE(B31303,""en"",""fr"")"),"Il soudure la pièce en métal avec précision de manière horizontale.")</f>
        <v>Il soudure la pièce en métal avec précision de manière horizontale.</v>
      </c>
    </row>
    <row r="31304">
      <c r="A31304" s="4" t="s">
        <v>39416</v>
      </c>
      <c r="B31304" s="4" t="s">
        <v>39420</v>
      </c>
      <c r="C31304" s="5" t="str">
        <f>IFERROR(__xludf.DUMMYFUNCTION("GOOGLETRANSLATE(B31304,""en"",""fr"")"),"Il y a une machine de soudage montrant comment elle fonctionne sur la fusion du métal à haute température.")</f>
        <v>Il y a une machine de soudage montrant comment elle fonctionne sur la fusion du métal à haute température.</v>
      </c>
    </row>
    <row r="31305">
      <c r="A31305" s="4" t="s">
        <v>39421</v>
      </c>
      <c r="B31305" s="6" t="s">
        <v>39422</v>
      </c>
      <c r="C31305" s="5" t="str">
        <f>IFERROR(__xludf.DUMMYFUNCTION("GOOGLETRANSLATE(B31305,""en"",""fr"")"),"Une jeune fille est vue assise sur un lit parlant à la caméra et mène à ses tours de gymnastique sur un trampoline.")</f>
        <v>Une jeune fille est vue assise sur un lit parlant à la caméra et mène à ses tours de gymnastique sur un trampoline.</v>
      </c>
    </row>
    <row r="31306">
      <c r="A31306" s="4" t="s">
        <v>39421</v>
      </c>
      <c r="B31306" s="6" t="s">
        <v>39423</v>
      </c>
      <c r="C31306" s="5" t="str">
        <f>IFERROR(__xludf.DUMMYFUNCTION("GOOGLETRANSLATE(B31306,""en"",""fr"")"),"Plus de coups sont montrés de plusieurs filles effectuant divers flips et astuces sur un sol de gym et se terminant par un groupe de filles qui font des ascenseurs de cheerleading.")</f>
        <v>Plus de coups sont montrés de plusieurs filles effectuant divers flips et astuces sur un sol de gym et se terminant par un groupe de filles qui font des ascenseurs de cheerleading.</v>
      </c>
    </row>
    <row r="31307">
      <c r="A31307" s="4" t="s">
        <v>39424</v>
      </c>
      <c r="B31307" s="4" t="s">
        <v>39425</v>
      </c>
      <c r="C31307" s="5" t="str">
        <f>IFERROR(__xludf.DUMMYFUNCTION("GOOGLETRANSLATE(B31307,""en"",""fr"")"),"Une fille tient une brosse à dents jusqu'à la caméra.")</f>
        <v>Une fille tient une brosse à dents jusqu'à la caméra.</v>
      </c>
    </row>
    <row r="31308">
      <c r="A31308" s="4" t="s">
        <v>39424</v>
      </c>
      <c r="B31308" s="4" t="s">
        <v>39426</v>
      </c>
      <c r="C31308" s="5" t="str">
        <f>IFERROR(__xludf.DUMMYFUNCTION("GOOGLETRANSLATE(B31308,""en"",""fr"")"),"Elle utilise le pinceau pour se brosser les dents.")</f>
        <v>Elle utilise le pinceau pour se brosser les dents.</v>
      </c>
    </row>
    <row r="31309">
      <c r="A31309" s="4" t="s">
        <v>39424</v>
      </c>
      <c r="B31309" s="4" t="s">
        <v>39427</v>
      </c>
      <c r="C31309" s="5" t="str">
        <f>IFERROR(__xludf.DUMMYFUNCTION("GOOGLETRANSLATE(B31309,""en"",""fr"")"),"Elle se frotte les dents d'avant en arrière pendant longtemps.")</f>
        <v>Elle se frotte les dents d'avant en arrière pendant longtemps.</v>
      </c>
    </row>
    <row r="31310">
      <c r="A31310" s="4" t="s">
        <v>39428</v>
      </c>
      <c r="B31310" s="4" t="s">
        <v>39429</v>
      </c>
      <c r="C31310" s="5" t="str">
        <f>IFERROR(__xludf.DUMMYFUNCTION("GOOGLETRANSLATE(B31310,""en"",""fr"")"),"Une personne à l'écran affiche une boîte contenant des jouets de lutte Sumo.")</f>
        <v>Une personne à l'écran affiche une boîte contenant des jouets de lutte Sumo.</v>
      </c>
    </row>
    <row r="31311">
      <c r="A31311" s="4" t="s">
        <v>39428</v>
      </c>
      <c r="B31311" s="4" t="s">
        <v>39430</v>
      </c>
      <c r="C31311" s="5" t="str">
        <f>IFERROR(__xludf.DUMMYFUNCTION("GOOGLETRANSLATE(B31311,""en"",""fr"")"),"La personne donne une démonstration sur la façon d'utiliser les jouets.")</f>
        <v>La personne donne une démonstration sur la façon d'utiliser les jouets.</v>
      </c>
    </row>
    <row r="31312">
      <c r="A31312" s="4" t="s">
        <v>39428</v>
      </c>
      <c r="B31312" s="6" t="s">
        <v>39431</v>
      </c>
      <c r="C31312" s="5" t="str">
        <f>IFERROR(__xludf.DUMMYFUNCTION("GOOGLETRANSLATE(B31312,""en"",""fr"")"),"Ensuite, la personne fait plusieurs démonstrations de l'ensemble de jouets de lutte SUMO en utilisant des jouets qu'ils ont faits ainsi que des jouets de l'ensemble.")</f>
        <v>Ensuite, la personne fait plusieurs démonstrations de l'ensemble de jouets de lutte SUMO en utilisant des jouets qu'ils ont faits ainsi que des jouets de l'ensemble.</v>
      </c>
    </row>
    <row r="31313">
      <c r="A31313" s="4" t="s">
        <v>39428</v>
      </c>
      <c r="B31313" s="4" t="s">
        <v>15945</v>
      </c>
      <c r="C31313" s="5" t="str">
        <f>IFERROR(__xludf.DUMMYFUNCTION("GOOGLETRANSLATE(B31313,""en"",""fr"")"),"À la fin de la vidéo, les crédits de clôture sont affichés.")</f>
        <v>À la fin de la vidéo, les crédits de clôture sont affichés.</v>
      </c>
    </row>
    <row r="31314">
      <c r="A31314" s="4" t="s">
        <v>39432</v>
      </c>
      <c r="B31314" s="4" t="s">
        <v>39433</v>
      </c>
      <c r="C31314" s="5" t="str">
        <f>IFERROR(__xludf.DUMMYFUNCTION("GOOGLETRANSLATE(B31314,""en"",""fr"")"),"Les gens regardent une gymnaste effectuer sa routine.")</f>
        <v>Les gens regardent une gymnaste effectuer sa routine.</v>
      </c>
    </row>
    <row r="31315">
      <c r="A31315" s="4" t="s">
        <v>39432</v>
      </c>
      <c r="B31315" s="4" t="s">
        <v>39434</v>
      </c>
      <c r="C31315" s="5" t="str">
        <f>IFERROR(__xludf.DUMMYFUNCTION("GOOGLETRANSLATE(B31315,""en"",""fr"")"),"La gymnaste se tient sur le côté de la poutre d'équilibre.")</f>
        <v>La gymnaste se tient sur le côté de la poutre d'équilibre.</v>
      </c>
    </row>
    <row r="31316">
      <c r="A31316" s="4" t="s">
        <v>39432</v>
      </c>
      <c r="B31316" s="4" t="s">
        <v>39435</v>
      </c>
      <c r="C31316" s="5" t="str">
        <f>IFERROR(__xludf.DUMMYFUNCTION("GOOGLETRANSLATE(B31316,""en"",""fr"")"),"Le gyjmnast monte le faisceau.")</f>
        <v>Le gyjmnast monte le faisceau.</v>
      </c>
    </row>
    <row r="31317">
      <c r="A31317" s="4" t="s">
        <v>39432</v>
      </c>
      <c r="B31317" s="4" t="s">
        <v>39436</v>
      </c>
      <c r="C31317" s="5" t="str">
        <f>IFERROR(__xludf.DUMMYFUNCTION("GOOGLETRANSLATE(B31317,""en"",""fr"")"),"La gymnaste effectue sa routine sur le faisceau.")</f>
        <v>La gymnaste effectue sa routine sur le faisceau.</v>
      </c>
    </row>
    <row r="31318">
      <c r="A31318" s="4" t="s">
        <v>39432</v>
      </c>
      <c r="B31318" s="4" t="s">
        <v>39437</v>
      </c>
      <c r="C31318" s="5" t="str">
        <f>IFERROR(__xludf.DUMMYFUNCTION("GOOGLETRANSLATE(B31318,""en"",""fr"")"),"La gymnaste tombe presque, mais se rattrape.")</f>
        <v>La gymnaste tombe presque, mais se rattrape.</v>
      </c>
    </row>
    <row r="31319">
      <c r="A31319" s="4" t="s">
        <v>39432</v>
      </c>
      <c r="B31319" s="4" t="s">
        <v>39438</v>
      </c>
      <c r="C31319" s="5" t="str">
        <f>IFERROR(__xludf.DUMMYFUNCTION("GOOGLETRANSLATE(B31319,""en"",""fr"")"),"La gymnaste démarre et atterrit sur le tapis bleu.")</f>
        <v>La gymnaste démarre et atterrit sur le tapis bleu.</v>
      </c>
    </row>
    <row r="31320">
      <c r="A31320" s="4" t="s">
        <v>39439</v>
      </c>
      <c r="B31320" s="4" t="s">
        <v>39440</v>
      </c>
      <c r="C31320" s="5" t="str">
        <f>IFERROR(__xludf.DUMMYFUNCTION("GOOGLETRANSLATE(B31320,""en"",""fr"")"),"Plusieurs clips montrés par des personnes jouant au kickball les unes contre les autres dans un grand champ.")</f>
        <v>Plusieurs clips montrés par des personnes jouant au kickball les unes contre les autres dans un grand champ.</v>
      </c>
    </row>
    <row r="31321">
      <c r="A31321" s="4" t="s">
        <v>39439</v>
      </c>
      <c r="B31321" s="6" t="s">
        <v>39441</v>
      </c>
      <c r="C31321" s="5" t="str">
        <f>IFERROR(__xludf.DUMMYFUNCTION("GOOGLETRANSLATE(B31321,""en"",""fr"")"),"Plusieurs clips sont montrés des personnes qui courent, attrapant et lançant le ballon, ainsi que la fête sur le côté.")</f>
        <v>Plusieurs clips sont montrés des personnes qui courent, attrapant et lançant le ballon, ainsi que la fête sur le côté.</v>
      </c>
    </row>
    <row r="31322">
      <c r="A31322" s="4" t="s">
        <v>39442</v>
      </c>
      <c r="B31322" s="4" t="s">
        <v>39443</v>
      </c>
      <c r="C31322" s="5" t="str">
        <f>IFERROR(__xludf.DUMMYFUNCTION("GOOGLETRANSLATE(B31322,""en"",""fr"")"),"Un homme est vu mettre des objets sur un mur et placer une planche le long du mur.")</f>
        <v>Un homme est vu mettre des objets sur un mur et placer une planche le long du mur.</v>
      </c>
    </row>
    <row r="31323">
      <c r="A31323" s="4" t="s">
        <v>39442</v>
      </c>
      <c r="B31323" s="6" t="s">
        <v>39444</v>
      </c>
      <c r="C31323" s="5" t="str">
        <f>IFERROR(__xludf.DUMMYFUNCTION("GOOGLETRANSLATE(B31323,""en"",""fr"")"),"Il continue de déplacer les objets sur le mur, puis les cloue avec un pistolet à ongles et présente les étagères qu'il a faites.")</f>
        <v>Il continue de déplacer les objets sur le mur, puis les cloue avec un pistolet à ongles et présente les étagères qu'il a faites.</v>
      </c>
    </row>
    <row r="31324">
      <c r="A31324" s="4" t="s">
        <v>39445</v>
      </c>
      <c r="B31324" s="4" t="s">
        <v>39446</v>
      </c>
      <c r="C31324" s="5" t="str">
        <f>IFERROR(__xludf.DUMMYFUNCTION("GOOGLETRANSLATE(B31324,""en"",""fr"")"),"Un homme est vu jouer un tambour de bongo bougeant rapidement ses mains tout autour de l'instrument.")</f>
        <v>Un homme est vu jouer un tambour de bongo bougeant rapidement ses mains tout autour de l'instrument.</v>
      </c>
    </row>
    <row r="31325">
      <c r="A31325" s="4" t="s">
        <v>39445</v>
      </c>
      <c r="B31325" s="6" t="s">
        <v>39447</v>
      </c>
      <c r="C31325" s="5" t="str">
        <f>IFERROR(__xludf.DUMMYFUNCTION("GOOGLETRANSLATE(B31325,""en"",""fr"")"),"Il joue continuellement le tambour tout en fermant les yeux en concentration et se termine en frappant ses mains plus rapidement.")</f>
        <v>Il joue continuellement le tambour tout en fermant les yeux en concentration et se termine en frappant ses mains plus rapidement.</v>
      </c>
    </row>
    <row r="31326">
      <c r="A31326" s="4" t="s">
        <v>39448</v>
      </c>
      <c r="B31326" s="4" t="s">
        <v>39449</v>
      </c>
      <c r="C31326" s="5" t="str">
        <f>IFERROR(__xludf.DUMMYFUNCTION("GOOGLETRANSLATE(B31326,""en"",""fr"")"),"Une paire de chaussures est affichée sur une table tandis qu'un homme et une femme ont une conversation.")</f>
        <v>Une paire de chaussures est affichée sur une table tandis qu'un homme et une femme ont une conversation.</v>
      </c>
    </row>
    <row r="31327">
      <c r="A31327" s="4" t="s">
        <v>39448</v>
      </c>
      <c r="B31327" s="4" t="s">
        <v>39450</v>
      </c>
      <c r="C31327" s="5" t="str">
        <f>IFERROR(__xludf.DUMMYFUNCTION("GOOGLETRANSLATE(B31327,""en"",""fr"")"),"Une femme défie un homme à armer la lutte.")</f>
        <v>Une femme défie un homme à armer la lutte.</v>
      </c>
    </row>
    <row r="31328">
      <c r="A31328" s="4" t="s">
        <v>39448</v>
      </c>
      <c r="B31328" s="4" t="s">
        <v>39451</v>
      </c>
      <c r="C31328" s="5" t="str">
        <f>IFERROR(__xludf.DUMMYFUNCTION("GOOGLETRANSLATE(B31328,""en"",""fr"")"),"L'homme retire les chaussures de la table.")</f>
        <v>L'homme retire les chaussures de la table.</v>
      </c>
    </row>
    <row r="31329">
      <c r="A31329" s="4" t="s">
        <v>39448</v>
      </c>
      <c r="B31329" s="4" t="s">
        <v>39452</v>
      </c>
      <c r="C31329" s="5" t="str">
        <f>IFERROR(__xludf.DUMMYFUNCTION("GOOGLETRANSLATE(B31329,""en"",""fr"")"),"La femme et l'homme se battent.")</f>
        <v>La femme et l'homme se battent.</v>
      </c>
    </row>
    <row r="31330">
      <c r="A31330" s="4" t="s">
        <v>39448</v>
      </c>
      <c r="B31330" s="4" t="s">
        <v>39453</v>
      </c>
      <c r="C31330" s="5" t="str">
        <f>IFERROR(__xludf.DUMMYFUNCTION("GOOGLETRANSLATE(B31330,""en"",""fr"")"),"L'homme bat la femme.")</f>
        <v>L'homme bat la femme.</v>
      </c>
    </row>
    <row r="31331">
      <c r="A31331" s="4" t="s">
        <v>39448</v>
      </c>
      <c r="B31331" s="4" t="s">
        <v>39454</v>
      </c>
      <c r="C31331" s="5" t="str">
        <f>IFERROR(__xludf.DUMMYFUNCTION("GOOGLETRANSLATE(B31331,""en"",""fr"")"),"Il sort les chaussures et les affiche sur la table.")</f>
        <v>Il sort les chaussures et les affiche sur la table.</v>
      </c>
    </row>
    <row r="31332">
      <c r="A31332" s="4" t="s">
        <v>39448</v>
      </c>
      <c r="B31332" s="4" t="s">
        <v>39455</v>
      </c>
      <c r="C31332" s="5" t="str">
        <f>IFERROR(__xludf.DUMMYFUNCTION("GOOGLETRANSLATE(B31332,""en"",""fr"")"),"La femme et l'homme rient en poursuivant une conversation.")</f>
        <v>La femme et l'homme rient en poursuivant une conversation.</v>
      </c>
    </row>
    <row r="31333">
      <c r="A31333" s="4" t="s">
        <v>39456</v>
      </c>
      <c r="B31333" s="4" t="s">
        <v>39457</v>
      </c>
      <c r="C31333" s="5" t="str">
        <f>IFERROR(__xludf.DUMMYFUNCTION("GOOGLETRANSLATE(B31333,""en"",""fr"")"),"Une femme parle dans un gymnase.")</f>
        <v>Une femme parle dans un gymnase.</v>
      </c>
    </row>
    <row r="31334">
      <c r="A31334" s="4" t="s">
        <v>39456</v>
      </c>
      <c r="B31334" s="4" t="s">
        <v>39458</v>
      </c>
      <c r="C31334" s="5" t="str">
        <f>IFERROR(__xludf.DUMMYFUNCTION("GOOGLETRANSLATE(B31334,""en"",""fr"")"),"La femme se tient sur une voie, puis elle court pour effectuer un saut en longueur qui atterrit dans le sable.")</f>
        <v>La femme se tient sur une voie, puis elle court pour effectuer un saut en longueur qui atterrit dans le sable.</v>
      </c>
    </row>
    <row r="31335">
      <c r="A31335" s="4" t="s">
        <v>39456</v>
      </c>
      <c r="B31335" s="4" t="s">
        <v>39459</v>
      </c>
      <c r="C31335" s="5" t="str">
        <f>IFERROR(__xludf.DUMMYFUNCTION("GOOGLETRANSLATE(B31335,""en"",""fr"")"),"Le saut de la femme est répété plusieurs fois.")</f>
        <v>Le saut de la femme est répété plusieurs fois.</v>
      </c>
    </row>
    <row r="31336">
      <c r="A31336" s="4" t="s">
        <v>39460</v>
      </c>
      <c r="B31336" s="4" t="s">
        <v>39461</v>
      </c>
      <c r="C31336" s="5" t="str">
        <f>IFERROR(__xludf.DUMMYFUNCTION("GOOGLETRANSLATE(B31336,""en"",""fr"")"),"Plusieurs personnes sont vues de cerf-volant surfant le long de l'eau et un tournant.")</f>
        <v>Plusieurs personnes sont vues de cerf-volant surfant le long de l'eau et un tournant.</v>
      </c>
    </row>
    <row r="31337">
      <c r="A31337" s="4" t="s">
        <v>39460</v>
      </c>
      <c r="B31337" s="4" t="s">
        <v>39462</v>
      </c>
      <c r="C31337" s="5" t="str">
        <f>IFERROR(__xludf.DUMMYFUNCTION("GOOGLETRANSLATE(B31337,""en"",""fr"")"),"Plus de gens effectuent des astuces et une tombe du côté, reprenant immédiatement.")</f>
        <v>Plus de gens effectuent des astuces et une tombe du côté, reprenant immédiatement.</v>
      </c>
    </row>
    <row r="31338">
      <c r="A31338" s="4" t="s">
        <v>39463</v>
      </c>
      <c r="B31338" s="4" t="s">
        <v>39464</v>
      </c>
      <c r="C31338" s="5" t="str">
        <f>IFERROR(__xludf.DUMMYFUNCTION("GOOGLETRANSLATE(B31338,""en"",""fr"")"),"Un enfant la peint des ongles avec du vernis à ongles blanc sur le devant un petit enfant.")</f>
        <v>Un enfant la peint des ongles avec du vernis à ongles blanc sur le devant un petit enfant.</v>
      </c>
    </row>
    <row r="31339">
      <c r="A31339" s="4" t="s">
        <v>39463</v>
      </c>
      <c r="B31339" s="4" t="s">
        <v>39465</v>
      </c>
      <c r="C31339" s="5" t="str">
        <f>IFERROR(__xludf.DUMMYFUNCTION("GOOGLETRANSLATE(B31339,""en"",""fr"")"),"Une personne entre dans la pièce et marche sur les enfants.")</f>
        <v>Une personne entre dans la pièce et marche sur les enfants.</v>
      </c>
    </row>
    <row r="31340">
      <c r="A31340" s="4" t="s">
        <v>39463</v>
      </c>
      <c r="B31340" s="4" t="s">
        <v>39466</v>
      </c>
      <c r="C31340" s="5" t="str">
        <f>IFERROR(__xludf.DUMMYFUNCTION("GOOGLETRANSLATE(B31340,""en"",""fr"")"),"Ensuite, l'enfant se tourne pour écouter quelqu'un pendant une seconde et continue de peindre ses ongles.")</f>
        <v>Ensuite, l'enfant se tourne pour écouter quelqu'un pendant une seconde et continue de peindre ses ongles.</v>
      </c>
    </row>
    <row r="31341">
      <c r="A31341" s="4" t="s">
        <v>39463</v>
      </c>
      <c r="B31341" s="6" t="s">
        <v>39467</v>
      </c>
      <c r="C31341" s="5" t="str">
        <f>IFERROR(__xludf.DUMMYFUNCTION("GOOGLETRANSLATE(B31341,""en"",""fr"")"),"Après, une main touche le dos de l'enfant deux fois qui se tourne puis continue de peindre ses ongles.")</f>
        <v>Après, une main touche le dos de l'enfant deux fois qui se tourne puis continue de peindre ses ongles.</v>
      </c>
    </row>
    <row r="31342">
      <c r="A31342" s="4" t="s">
        <v>39468</v>
      </c>
      <c r="B31342" s="4" t="s">
        <v>39469</v>
      </c>
      <c r="C31342" s="5" t="str">
        <f>IFERROR(__xludf.DUMMYFUNCTION("GOOGLETRANSLATE(B31342,""en"",""fr"")"),"Une personne verse du vinaigre dans un évier sur une serviette.")</f>
        <v>Une personne verse du vinaigre dans un évier sur une serviette.</v>
      </c>
    </row>
    <row r="31343">
      <c r="A31343" s="4" t="s">
        <v>39468</v>
      </c>
      <c r="B31343" s="4" t="s">
        <v>39470</v>
      </c>
      <c r="C31343" s="5" t="str">
        <f>IFERROR(__xludf.DUMMYFUNCTION("GOOGLETRANSLATE(B31343,""en"",""fr"")"),"La personne utilise ensuite la serviette pour frotter la surface de l'évier.")</f>
        <v>La personne utilise ensuite la serviette pour frotter la surface de l'évier.</v>
      </c>
    </row>
    <row r="31344">
      <c r="A31344" s="4" t="s">
        <v>39468</v>
      </c>
      <c r="B31344" s="4" t="s">
        <v>39471</v>
      </c>
      <c r="C31344" s="5" t="str">
        <f>IFERROR(__xludf.DUMMYFUNCTION("GOOGLETRANSLATE(B31344,""en"",""fr"")"),"La personne laisse tomber la serviette et la ramasse.")</f>
        <v>La personne laisse tomber la serviette et la ramasse.</v>
      </c>
    </row>
    <row r="31345">
      <c r="A31345" s="4" t="s">
        <v>39472</v>
      </c>
      <c r="B31345" s="6" t="s">
        <v>39473</v>
      </c>
      <c r="C31345" s="5" t="str">
        <f>IFERROR(__xludf.DUMMYFUNCTION("GOOGLETRANSLATE(B31345,""en"",""fr"")"),"Une femme est vue en parlant à la caméra tout en montrant ses ongles et l'emmente en le respectant une lentille de contact.")</f>
        <v>Une femme est vue en parlant à la caméra tout en montrant ses ongles et l'emmente en le respectant une lentille de contact.</v>
      </c>
    </row>
    <row r="31346">
      <c r="A31346" s="4" t="s">
        <v>39472</v>
      </c>
      <c r="B31346" s="6" t="s">
        <v>39474</v>
      </c>
      <c r="C31346" s="5" t="str">
        <f>IFERROR(__xludf.DUMMYFUNCTION("GOOGLETRANSLATE(B31346,""en"",""fr"")"),"La fille verse ensuite du liquide dans un récipient et leur montre comment mettre correctement et prendre une lentille de contact.")</f>
        <v>La fille verse ensuite du liquide dans un récipient et leur montre comment mettre correctement et prendre une lentille de contact.</v>
      </c>
    </row>
    <row r="31347">
      <c r="A31347" s="4" t="s">
        <v>39475</v>
      </c>
      <c r="B31347" s="6" t="s">
        <v>39476</v>
      </c>
      <c r="C31347" s="5" t="str">
        <f>IFERROR(__xludf.DUMMYFUNCTION("GOOGLETRANSLATE(B31347,""en"",""fr"")"),"Une femme parle à la caméra tenant un gros chat sur ses jambes qui est assise dans un coussin de chat et sa tête caresse.")</f>
        <v>Une femme parle à la caméra tenant un gros chat sur ses jambes qui est assise dans un coussin de chat et sa tête caresse.</v>
      </c>
    </row>
    <row r="31348">
      <c r="A31348" s="4" t="s">
        <v>39475</v>
      </c>
      <c r="B31348" s="4" t="s">
        <v>39477</v>
      </c>
      <c r="C31348" s="5" t="str">
        <f>IFERROR(__xludf.DUMMYFUNCTION("GOOGLETRANSLATE(B31348,""en"",""fr"")"),"La femme tient un coup de coude à ongles et coupe les ongles du chat expliquant la bonne façon de le faire.")</f>
        <v>La femme tient un coup de coude à ongles et coupe les ongles du chat expliquant la bonne façon de le faire.</v>
      </c>
    </row>
    <row r="31349">
      <c r="A31349" s="4" t="s">
        <v>39478</v>
      </c>
      <c r="B31349" s="4" t="s">
        <v>39479</v>
      </c>
      <c r="C31349" s="5" t="str">
        <f>IFERROR(__xludf.DUMMYFUNCTION("GOOGLETRANSLATE(B31349,""en"",""fr"")"),"Une personne skie nautique dans l'eau tenant une corde attachée à un bateau dans la rivière.")</f>
        <v>Une personne skie nautique dans l'eau tenant une corde attachée à un bateau dans la rivière.</v>
      </c>
    </row>
    <row r="31350">
      <c r="A31350" s="4" t="s">
        <v>39478</v>
      </c>
      <c r="B31350" s="4" t="s">
        <v>39480</v>
      </c>
      <c r="C31350" s="5" t="str">
        <f>IFERROR(__xludf.DUMMYFUNCTION("GOOGLETRANSLATE(B31350,""en"",""fr"")"),"La personne passe à l'avant un bateau dans la rivière en ski nautique.")</f>
        <v>La personne passe à l'avant un bateau dans la rivière en ski nautique.</v>
      </c>
    </row>
    <row r="31351">
      <c r="A31351" s="4" t="s">
        <v>39478</v>
      </c>
      <c r="B31351" s="6" t="s">
        <v>39481</v>
      </c>
      <c r="C31351" s="5" t="str">
        <f>IFERROR(__xludf.DUMMYFUNCTION("GOOGLETRANSLATE(B31351,""en"",""fr"")"),"Ensuite, la personne donne un coup de pouce tout en effectuant un ski nautique, après que la personne a continué le ski nautique.")</f>
        <v>Ensuite, la personne donne un coup de pouce tout en effectuant un ski nautique, après que la personne a continué le ski nautique.</v>
      </c>
    </row>
    <row r="31352">
      <c r="A31352" s="4" t="s">
        <v>39478</v>
      </c>
      <c r="B31352" s="4" t="s">
        <v>39482</v>
      </c>
      <c r="C31352" s="5" t="str">
        <f>IFERROR(__xludf.DUMMYFUNCTION("GOOGLETRANSLATE(B31352,""en"",""fr"")"),"Ensuite, la planche de surf flotte à l'avant une structure métallique.")</f>
        <v>Ensuite, la planche de surf flotte à l'avant une structure métallique.</v>
      </c>
    </row>
    <row r="31353">
      <c r="A31353" s="4" t="s">
        <v>39483</v>
      </c>
      <c r="B31353" s="6" t="s">
        <v>39484</v>
      </c>
      <c r="C31353" s="5" t="str">
        <f>IFERROR(__xludf.DUMMYFUNCTION("GOOGLETRANSLATE(B31353,""en"",""fr"")"),"Un entraîneur portant un costume humide donne des friandises de morse et le morse acquiesce la tête en ville avec excitation au début d'un spectacle.")</f>
        <v>Un entraîneur portant un costume humide donne des friandises de morse et le morse acquiesce la tête en ville avec excitation au début d'un spectacle.</v>
      </c>
    </row>
    <row r="31354">
      <c r="A31354" s="4" t="s">
        <v>39483</v>
      </c>
      <c r="B31354" s="4" t="s">
        <v>39485</v>
      </c>
      <c r="C31354" s="5" t="str">
        <f>IFERROR(__xludf.DUMMYFUNCTION("GOOGLETRANSLATE(B31354,""en"",""fr"")"),"L'entraîneur joue un petit saxophone et le morse acquiesce et reçoit un régal.")</f>
        <v>L'entraîneur joue un petit saxophone et le morse acquiesce et reçoit un régal.</v>
      </c>
    </row>
    <row r="31355">
      <c r="A31355" s="4" t="s">
        <v>39483</v>
      </c>
      <c r="B31355" s="4" t="s">
        <v>39486</v>
      </c>
      <c r="C31355" s="5" t="str">
        <f>IFERROR(__xludf.DUMMYFUNCTION("GOOGLETRANSLATE(B31355,""en"",""fr"")"),"Le morse reçoit le saxophone et il le joue pendant la danse avec l'entraîneur.")</f>
        <v>Le morse reçoit le saxophone et il le joue pendant la danse avec l'entraîneur.</v>
      </c>
    </row>
    <row r="31356">
      <c r="A31356" s="4" t="s">
        <v>39487</v>
      </c>
      <c r="B31356" s="4" t="s">
        <v>39488</v>
      </c>
      <c r="C31356" s="5" t="str">
        <f>IFERROR(__xludf.DUMMYFUNCTION("GOOGLETRANSLATE(B31356,""en"",""fr"")"),"Les mains d'une personne montrent comment styler et peigner une poupée aux cheveux blonds.")</f>
        <v>Les mains d'une personne montrent comment styler et peigner une poupée aux cheveux blonds.</v>
      </c>
    </row>
    <row r="31357">
      <c r="A31357" s="4" t="s">
        <v>39487</v>
      </c>
      <c r="B31357" s="6" t="s">
        <v>39489</v>
      </c>
      <c r="C31357" s="5" t="str">
        <f>IFERROR(__xludf.DUMMYFUNCTION("GOOGLETRANSLATE(B31357,""en"",""fr"")"),"La main de la personne commence à brosser les cheveux de la poupée avec une brosse à poils roses avant de tenir une bouteille de produit coiffeur.")</f>
        <v>La main de la personne commence à brosser les cheveux de la poupée avec une brosse à poils roses avant de tenir une bouteille de produit coiffeur.</v>
      </c>
    </row>
    <row r="31358">
      <c r="A31358" s="4" t="s">
        <v>39487</v>
      </c>
      <c r="B31358" s="6" t="s">
        <v>39490</v>
      </c>
      <c r="C31358" s="5" t="str">
        <f>IFERROR(__xludf.DUMMYFUNCTION("GOOGLETRANSLATE(B31358,""en"",""fr"")"),"La main pulvérise une partie du produit de coiffure sur les cheveux de la poupée, puis reproche à nouveau les cheveux.")</f>
        <v>La main pulvérise une partie du produit de coiffure sur les cheveux de la poupée, puis reproche à nouveau les cheveux.</v>
      </c>
    </row>
    <row r="31359">
      <c r="A31359" s="4" t="s">
        <v>39487</v>
      </c>
      <c r="B31359" s="6" t="s">
        <v>39491</v>
      </c>
      <c r="C31359" s="5" t="str">
        <f>IFERROR(__xludf.DUMMYFUNCTION("GOOGLETRANSLATE(B31359,""en"",""fr"")"),"La main retourne ensuite la poupée pour présenter le style fini, la main fait également des gestes aux zones autour des cheveux de poupées.")</f>
        <v>La main retourne ensuite la poupée pour présenter le style fini, la main fait également des gestes aux zones autour des cheveux de poupées.</v>
      </c>
    </row>
    <row r="31360">
      <c r="A31360" s="4" t="s">
        <v>39492</v>
      </c>
      <c r="B31360" s="4" t="s">
        <v>39493</v>
      </c>
      <c r="C31360" s="5" t="str">
        <f>IFERROR(__xludf.DUMMYFUNCTION("GOOGLETRANSLATE(B31360,""en"",""fr"")"),"Un voilier avec des voiles de couleur prune rouge foncé monte sur l'océan.")</f>
        <v>Un voilier avec des voiles de couleur prune rouge foncé monte sur l'océan.</v>
      </c>
    </row>
    <row r="31361">
      <c r="A31361" s="4" t="s">
        <v>39492</v>
      </c>
      <c r="B31361" s="4" t="s">
        <v>39494</v>
      </c>
      <c r="C31361" s="5" t="str">
        <f>IFERROR(__xludf.DUMMYFUNCTION("GOOGLETRANSLATE(B31361,""en"",""fr"")"),"Le bateau tourne et nous le voyons par derrière alors que nous nous déplaçons vers le côté gauche.")</f>
        <v>Le bateau tourne et nous le voyons par derrière alors que nous nous déplaçons vers le côté gauche.</v>
      </c>
    </row>
    <row r="31362">
      <c r="A31362" s="4" t="s">
        <v>39492</v>
      </c>
      <c r="B31362" s="4" t="s">
        <v>39495</v>
      </c>
      <c r="C31362" s="5" t="str">
        <f>IFERROR(__xludf.DUMMYFUNCTION("GOOGLETRANSLATE(B31362,""en"",""fr"")"),"L'appareil photo zoomez vers le bas et les sorties puis clignote ensuite vers un autre angle.")</f>
        <v>L'appareil photo zoomez vers le bas et les sorties puis clignote ensuite vers un autre angle.</v>
      </c>
    </row>
    <row r="31363">
      <c r="A31363" s="4" t="s">
        <v>39492</v>
      </c>
      <c r="B31363" s="4" t="s">
        <v>39496</v>
      </c>
      <c r="C31363" s="5" t="str">
        <f>IFERROR(__xludf.DUMMYFUNCTION("GOOGLETRANSLATE(B31363,""en"",""fr"")"),"Nous voyons les crédits passer sur la vidéo.")</f>
        <v>Nous voyons les crédits passer sur la vidéo.</v>
      </c>
    </row>
    <row r="31364">
      <c r="A31364" s="4" t="s">
        <v>39497</v>
      </c>
      <c r="B31364" s="4" t="s">
        <v>39498</v>
      </c>
      <c r="C31364" s="5" t="str">
        <f>IFERROR(__xludf.DUMMYFUNCTION("GOOGLETRANSLATE(B31364,""en"",""fr"")"),"Un homme balance ses bras sur sa tête.")</f>
        <v>Un homme balance ses bras sur sa tête.</v>
      </c>
    </row>
    <row r="31365">
      <c r="A31365" s="4" t="s">
        <v>39497</v>
      </c>
      <c r="B31365" s="4" t="s">
        <v>39499</v>
      </c>
      <c r="C31365" s="5" t="str">
        <f>IFERROR(__xludf.DUMMYFUNCTION("GOOGLETRANSLATE(B31365,""en"",""fr"")"),"Il tourne tout son corps.")</f>
        <v>Il tourne tout son corps.</v>
      </c>
    </row>
    <row r="31366">
      <c r="A31366" s="4" t="s">
        <v>39497</v>
      </c>
      <c r="B31366" s="4" t="s">
        <v>39500</v>
      </c>
      <c r="C31366" s="5" t="str">
        <f>IFERROR(__xludf.DUMMYFUNCTION("GOOGLETRANSLATE(B31366,""en"",""fr"")"),"L'homme libère le marteau et baisse les bras.")</f>
        <v>L'homme libère le marteau et baisse les bras.</v>
      </c>
    </row>
    <row r="31367">
      <c r="A31367" s="4" t="s">
        <v>39501</v>
      </c>
      <c r="B31367" s="6" t="s">
        <v>39502</v>
      </c>
      <c r="C31367" s="5" t="str">
        <f>IFERROR(__xludf.DUMMYFUNCTION("GOOGLETRANSLATE(B31367,""en"",""fr"")"),"Un homme et une femme décorent un arbre de Noël des décorations autour de la pièce dans une vidéo accélérée.")</f>
        <v>Un homme et une femme décorent un arbre de Noël des décorations autour de la pièce dans une vidéo accélérée.</v>
      </c>
    </row>
    <row r="31368">
      <c r="A31368" s="4" t="s">
        <v>39501</v>
      </c>
      <c r="B31368" s="4" t="s">
        <v>39503</v>
      </c>
      <c r="C31368" s="5" t="str">
        <f>IFERROR(__xludf.DUMMYFUNCTION("GOOGLETRANSLATE(B31368,""en"",""fr"")"),"Un chien marche dans le cadre de la caméra.")</f>
        <v>Un chien marche dans le cadre de la caméra.</v>
      </c>
    </row>
    <row r="31369">
      <c r="A31369" s="4" t="s">
        <v>39501</v>
      </c>
      <c r="B31369" s="4" t="s">
        <v>39504</v>
      </c>
      <c r="C31369" s="5" t="str">
        <f>IFERROR(__xludf.DUMMYFUNCTION("GOOGLETRANSLATE(B31369,""en"",""fr"")"),"L'homme quitte le cadre de la caméra.")</f>
        <v>L'homme quitte le cadre de la caméra.</v>
      </c>
    </row>
    <row r="31370">
      <c r="A31370" s="4" t="s">
        <v>39501</v>
      </c>
      <c r="B31370" s="4" t="s">
        <v>39505</v>
      </c>
      <c r="C31370" s="5" t="str">
        <f>IFERROR(__xludf.DUMMYFUNCTION("GOOGLETRANSLATE(B31370,""en"",""fr"")"),"L'homme revient à la décoration avec un chapeau de père Noël.")</f>
        <v>L'homme revient à la décoration avec un chapeau de père Noël.</v>
      </c>
    </row>
    <row r="31371">
      <c r="A31371" s="4" t="s">
        <v>39501</v>
      </c>
      <c r="B31371" s="4" t="s">
        <v>39506</v>
      </c>
      <c r="C31371" s="5" t="str">
        <f>IFERROR(__xludf.DUMMYFUNCTION("GOOGLETRANSLATE(B31371,""en"",""fr"")"),"L'homme se tient sur une chaise pour mettre une décoration au sommet de l'arbre.")</f>
        <v>L'homme se tient sur une chaise pour mettre une décoration au sommet de l'arbre.</v>
      </c>
    </row>
    <row r="31372">
      <c r="A31372" s="4" t="s">
        <v>39501</v>
      </c>
      <c r="B31372" s="4" t="s">
        <v>39507</v>
      </c>
      <c r="C31372" s="5" t="str">
        <f>IFERROR(__xludf.DUMMYFUNCTION("GOOGLETRANSLATE(B31372,""en"",""fr"")"),"L'arbre terminé est illustré par lui-même.")</f>
        <v>L'arbre terminé est illustré par lui-même.</v>
      </c>
    </row>
    <row r="31373">
      <c r="A31373" s="4" t="s">
        <v>39508</v>
      </c>
      <c r="B31373" s="4" t="s">
        <v>39509</v>
      </c>
      <c r="C31373" s="5" t="str">
        <f>IFERROR(__xludf.DUMMYFUNCTION("GOOGLETRANSLATE(B31373,""en"",""fr"")"),"Deux personnes se tiennent à l'eau, l'une des captures de planches.")</f>
        <v>Deux personnes se tiennent à l'eau, l'une des captures de planches.</v>
      </c>
    </row>
    <row r="31374">
      <c r="A31374" s="4" t="s">
        <v>39508</v>
      </c>
      <c r="B31374" s="4" t="s">
        <v>39510</v>
      </c>
      <c r="C31374" s="5" t="str">
        <f>IFERROR(__xludf.DUMMYFUNCTION("GOOGLETRANSLATE(B31374,""en"",""fr"")"),"Il le met dans l'eau et le monte, ça va assez vite.")</f>
        <v>Il le met dans l'eau et le monte, ça va assez vite.</v>
      </c>
    </row>
    <row r="31375">
      <c r="A31375" s="4" t="s">
        <v>39508</v>
      </c>
      <c r="B31375" s="4" t="s">
        <v>39511</v>
      </c>
      <c r="C31375" s="5" t="str">
        <f>IFERROR(__xludf.DUMMYFUNCTION("GOOGLETRANSLATE(B31375,""en"",""fr"")"),"Il le tourne plusieurs fois et passe par quelqu'un d'autre sur un autre.")</f>
        <v>Il le tourne plusieurs fois et passe par quelqu'un d'autre sur un autre.</v>
      </c>
    </row>
    <row r="31376">
      <c r="A31376" s="4" t="s">
        <v>39508</v>
      </c>
      <c r="B31376" s="4" t="s">
        <v>39512</v>
      </c>
      <c r="C31376" s="5" t="str">
        <f>IFERROR(__xludf.DUMMYFUNCTION("GOOGLETRANSLATE(B31376,""en"",""fr"")"),"Il descend et marche dans un champ avec lui au-dessus de sa tête.")</f>
        <v>Il descend et marche dans un champ avec lui au-dessus de sa tête.</v>
      </c>
    </row>
    <row r="31377">
      <c r="A31377" s="4" t="s">
        <v>39513</v>
      </c>
      <c r="B31377" s="4" t="s">
        <v>39514</v>
      </c>
      <c r="C31377" s="5" t="str">
        <f>IFERROR(__xludf.DUMMYFUNCTION("GOOGLETRANSLATE(B31377,""en"",""fr"")"),"Un homme portant des gants est à l'intérieur d'un bâtiment.")</f>
        <v>Un homme portant des gants est à l'intérieur d'un bâtiment.</v>
      </c>
    </row>
    <row r="31378">
      <c r="A31378" s="4" t="s">
        <v>39513</v>
      </c>
      <c r="B31378" s="4" t="s">
        <v>39515</v>
      </c>
      <c r="C31378" s="5" t="str">
        <f>IFERROR(__xludf.DUMMYFUNCTION("GOOGLETRANSLATE(B31378,""en"",""fr"")"),"Il rassemble un tapis et le met de côté.")</f>
        <v>Il rassemble un tapis et le met de côté.</v>
      </c>
    </row>
    <row r="31379">
      <c r="A31379" s="4" t="s">
        <v>39513</v>
      </c>
      <c r="B31379" s="4" t="s">
        <v>39516</v>
      </c>
      <c r="C31379" s="5" t="str">
        <f>IFERROR(__xludf.DUMMYFUNCTION("GOOGLETRANSLATE(B31379,""en"",""fr"")"),"Il balaie et éponge ensuite les sols jusqu'à ce qu'ils soient propres.")</f>
        <v>Il balaie et éponge ensuite les sols jusqu'à ce qu'ils soient propres.</v>
      </c>
    </row>
    <row r="31380">
      <c r="A31380" s="4" t="s">
        <v>39517</v>
      </c>
      <c r="B31380" s="4" t="s">
        <v>39518</v>
      </c>
      <c r="C31380" s="5" t="str">
        <f>IFERROR(__xludf.DUMMYFUNCTION("GOOGLETRANSLATE(B31380,""en"",""fr"")"),"Un logo apparaît brièvement à l'écran.")</f>
        <v>Un logo apparaît brièvement à l'écran.</v>
      </c>
    </row>
    <row r="31381">
      <c r="A31381" s="4" t="s">
        <v>39517</v>
      </c>
      <c r="B31381" s="4" t="s">
        <v>39519</v>
      </c>
      <c r="C31381" s="5" t="str">
        <f>IFERROR(__xludf.DUMMYFUNCTION("GOOGLETRANSLATE(B31381,""en"",""fr"")"),"Un homme parle à un groupe alors qu'il se tenait dans un radeau.")</f>
        <v>Un homme parle à un groupe alors qu'il se tenait dans un radeau.</v>
      </c>
    </row>
    <row r="31382">
      <c r="A31382" s="4" t="s">
        <v>39517</v>
      </c>
      <c r="B31382" s="4" t="s">
        <v>39520</v>
      </c>
      <c r="C31382" s="5" t="str">
        <f>IFERROR(__xludf.DUMMYFUNCTION("GOOGLETRANSLATE(B31382,""en"",""fr"")"),"Un groupe de personnes rafraîchit les rivières avec des rapides.")</f>
        <v>Un groupe de personnes rafraîchit les rivières avec des rapides.</v>
      </c>
    </row>
    <row r="31383">
      <c r="A31383" s="4" t="s">
        <v>39517</v>
      </c>
      <c r="B31383" s="4" t="s">
        <v>39521</v>
      </c>
      <c r="C31383" s="5" t="str">
        <f>IFERROR(__xludf.DUMMYFUNCTION("GOOGLETRANSLATE(B31383,""en"",""fr"")"),"Ils applaudissent en levant leurs pagaies.")</f>
        <v>Ils applaudissent en levant leurs pagaies.</v>
      </c>
    </row>
    <row r="31384">
      <c r="A31384" s="4" t="s">
        <v>39517</v>
      </c>
      <c r="B31384" s="4" t="s">
        <v>39522</v>
      </c>
      <c r="C31384" s="5" t="str">
        <f>IFERROR(__xludf.DUMMYFUNCTION("GOOGLETRANSLATE(B31384,""en"",""fr"")"),"Ils continuent de se radeer sur la rivière.")</f>
        <v>Ils continuent de se radeer sur la rivière.</v>
      </c>
    </row>
    <row r="31385">
      <c r="A31385" s="4" t="s">
        <v>39517</v>
      </c>
      <c r="B31385" s="4" t="s">
        <v>39523</v>
      </c>
      <c r="C31385" s="5" t="str">
        <f>IFERROR(__xludf.DUMMYFUNCTION("GOOGLETRANSLATE(B31385,""en"",""fr"")"),"Il coupe les gens de la banque dans un camping.")</f>
        <v>Il coupe les gens de la banque dans un camping.</v>
      </c>
    </row>
    <row r="31386">
      <c r="A31386" s="4" t="s">
        <v>39517</v>
      </c>
      <c r="B31386" s="4" t="s">
        <v>39524</v>
      </c>
      <c r="C31386" s="5" t="str">
        <f>IFERROR(__xludf.DUMMYFUNCTION("GOOGLETRANSLATE(B31386,""en"",""fr"")"),"Les gens raftent une fois de plus sur la rivière.")</f>
        <v>Les gens raftent une fois de plus sur la rivière.</v>
      </c>
    </row>
    <row r="31387">
      <c r="A31387" s="4" t="s">
        <v>39517</v>
      </c>
      <c r="B31387" s="4" t="s">
        <v>39525</v>
      </c>
      <c r="C31387" s="5" t="str">
        <f>IFERROR(__xludf.DUMMYFUNCTION("GOOGLETRANSLATE(B31387,""en"",""fr"")"),"Une personne se kayak sur la rivière.")</f>
        <v>Une personne se kayak sur la rivière.</v>
      </c>
    </row>
    <row r="31388">
      <c r="A31388" s="4" t="s">
        <v>39517</v>
      </c>
      <c r="B31388" s="4" t="s">
        <v>39526</v>
      </c>
      <c r="C31388" s="5" t="str">
        <f>IFERROR(__xludf.DUMMYFUNCTION("GOOGLETRANSLATE(B31388,""en"",""fr"")"),"Une autre personne se kayak sur la rivière.")</f>
        <v>Une autre personne se kayak sur la rivière.</v>
      </c>
    </row>
    <row r="31389">
      <c r="A31389" s="4" t="s">
        <v>39517</v>
      </c>
      <c r="B31389" s="4" t="s">
        <v>39527</v>
      </c>
      <c r="C31389" s="5" t="str">
        <f>IFERROR(__xludf.DUMMYFUNCTION("GOOGLETRANSLATE(B31389,""en"",""fr"")"),"Un autre groupe rade sur la rivière.")</f>
        <v>Un autre groupe rade sur la rivière.</v>
      </c>
    </row>
    <row r="31390">
      <c r="A31390" s="4" t="s">
        <v>39517</v>
      </c>
      <c r="B31390" s="4" t="s">
        <v>39528</v>
      </c>
      <c r="C31390" s="5" t="str">
        <f>IFERROR(__xludf.DUMMYFUNCTION("GOOGLETRANSLATE(B31390,""en"",""fr"")"),"Il montre des singes sur la banque.")</f>
        <v>Il montre des singes sur la banque.</v>
      </c>
    </row>
    <row r="31391">
      <c r="A31391" s="4" t="s">
        <v>39517</v>
      </c>
      <c r="B31391" s="4" t="s">
        <v>39529</v>
      </c>
      <c r="C31391" s="5" t="str">
        <f>IFERROR(__xludf.DUMMYFUNCTION("GOOGLETRANSLATE(B31391,""en"",""fr"")"),"Les gens sont éclaboussés par une cascade.")</f>
        <v>Les gens sont éclaboussés par une cascade.</v>
      </c>
    </row>
    <row r="31392">
      <c r="A31392" s="4" t="s">
        <v>39517</v>
      </c>
      <c r="B31392" s="4" t="s">
        <v>39530</v>
      </c>
      <c r="C31392" s="5" t="str">
        <f>IFERROR(__xludf.DUMMYFUNCTION("GOOGLETRANSLATE(B31392,""en"",""fr"")"),"Il coupe le logo et les informations.")</f>
        <v>Il coupe le logo et les informations.</v>
      </c>
    </row>
    <row r="31393">
      <c r="A31393" s="4" t="s">
        <v>39531</v>
      </c>
      <c r="B31393" s="4" t="s">
        <v>39532</v>
      </c>
      <c r="C31393" s="5" t="str">
        <f>IFERROR(__xludf.DUMMYFUNCTION("GOOGLETRANSLATE(B31393,""en"",""fr"")"),"Deux femmes sont vues debout devant un arbre de Noël avec de jeunes enfants présents également.")</f>
        <v>Deux femmes sont vues debout devant un arbre de Noël avec de jeunes enfants présents également.</v>
      </c>
    </row>
    <row r="31394">
      <c r="A31394" s="4" t="s">
        <v>39531</v>
      </c>
      <c r="B31394" s="4" t="s">
        <v>39533</v>
      </c>
      <c r="C31394" s="5" t="str">
        <f>IFERROR(__xludf.DUMMYFUNCTION("GOOGLETRANSLATE(B31394,""en"",""fr"")"),"Les gens se déplacent alors les uns autour des autres en mettant des ornements sur l'arbre en mouvement rapide.")</f>
        <v>Les gens se déplacent alors les uns autour des autres en mettant des ornements sur l'arbre en mouvement rapide.</v>
      </c>
    </row>
    <row r="31395">
      <c r="A31395" s="4" t="s">
        <v>39531</v>
      </c>
      <c r="B31395" s="4" t="s">
        <v>39534</v>
      </c>
      <c r="C31395" s="5" t="str">
        <f>IFERROR(__xludf.DUMMYFUNCTION("GOOGLETRANSLATE(B31395,""en"",""fr"")"),"Les filles continuent de mettre des objets sur l'arbre et se terminent en souriant à la caméra.")</f>
        <v>Les filles continuent de mettre des objets sur l'arbre et se terminent en souriant à la caméra.</v>
      </c>
    </row>
    <row r="31396">
      <c r="A31396" s="4" t="s">
        <v>39535</v>
      </c>
      <c r="B31396" s="4" t="s">
        <v>39536</v>
      </c>
      <c r="C31396" s="5" t="str">
        <f>IFERROR(__xludf.DUMMYFUNCTION("GOOGLETRANSLATE(B31396,""en"",""fr"")"),"Un homme est assis sur une chaise à côté d'un animateur de talk-show.")</f>
        <v>Un homme est assis sur une chaise à côté d'un animateur de talk-show.</v>
      </c>
    </row>
    <row r="31397">
      <c r="A31397" s="4" t="s">
        <v>39535</v>
      </c>
      <c r="B31397" s="4" t="s">
        <v>39537</v>
      </c>
      <c r="C31397" s="5" t="str">
        <f>IFERROR(__xludf.DUMMYFUNCTION("GOOGLETRANSLATE(B31397,""en"",""fr"")"),"Une femme organise un tournoi de bière Pong, et les deux hommes se rendent à la table.")</f>
        <v>Une femme organise un tournoi de bière Pong, et les deux hommes se rendent à la table.</v>
      </c>
    </row>
    <row r="31398">
      <c r="A31398" s="4" t="s">
        <v>39535</v>
      </c>
      <c r="B31398" s="4" t="s">
        <v>39538</v>
      </c>
      <c r="C31398" s="5" t="str">
        <f>IFERROR(__xludf.DUMMYFUNCTION("GOOGLETRANSLATE(B31398,""en"",""fr"")"),"Ils boivent et essaient de jeter les balles dans les tasses.")</f>
        <v>Ils boivent et essaient de jeter les balles dans les tasses.</v>
      </c>
    </row>
    <row r="31399">
      <c r="A31399" s="4" t="s">
        <v>39535</v>
      </c>
      <c r="B31399" s="4" t="s">
        <v>39539</v>
      </c>
      <c r="C31399" s="5" t="str">
        <f>IFERROR(__xludf.DUMMYFUNCTION("GOOGLETRANSLATE(B31399,""en"",""fr"")"),"Le groupe joue en arrière-plan alors que les hommes jouent.")</f>
        <v>Le groupe joue en arrière-plan alors que les hommes jouent.</v>
      </c>
    </row>
    <row r="31400">
      <c r="A31400" s="4" t="s">
        <v>39540</v>
      </c>
      <c r="B31400" s="4" t="s">
        <v>39541</v>
      </c>
      <c r="C31400" s="5" t="str">
        <f>IFERROR(__xludf.DUMMYFUNCTION("GOOGLETRANSLATE(B31400,""en"",""fr"")"),"Un grand groupe de personnes est vue debout autour d'une table avec une parlant à la caméra.")</f>
        <v>Un grand groupe de personnes est vue debout autour d'une table avec une parlant à la caméra.</v>
      </c>
    </row>
    <row r="31401">
      <c r="A31401" s="4" t="s">
        <v>39540</v>
      </c>
      <c r="B31401" s="4" t="s">
        <v>39542</v>
      </c>
      <c r="C31401" s="5" t="str">
        <f>IFERROR(__xludf.DUMMYFUNCTION("GOOGLETRANSLATE(B31401,""en"",""fr"")"),"Les gens s'entraident ensuite en mettant des ingrédients dans des casseroles et en les retournant.")</f>
        <v>Les gens s'entraident ensuite en mettant des ingrédients dans des casseroles et en les retournant.</v>
      </c>
    </row>
    <row r="31402">
      <c r="A31402" s="4" t="s">
        <v>39540</v>
      </c>
      <c r="B31402" s="4" t="s">
        <v>39543</v>
      </c>
      <c r="C31402" s="5" t="str">
        <f>IFERROR(__xludf.DUMMYFUNCTION("GOOGLETRANSLATE(B31402,""en"",""fr"")"),"Les gens continuent de mélanger les aliments ensemble et finissent en le présentant dans une assiette.")</f>
        <v>Les gens continuent de mélanger les aliments ensemble et finissent en le présentant dans une assiette.</v>
      </c>
    </row>
    <row r="31403">
      <c r="A31403" s="4" t="s">
        <v>39544</v>
      </c>
      <c r="B31403" s="4" t="s">
        <v>39545</v>
      </c>
      <c r="C31403" s="5" t="str">
        <f>IFERROR(__xludf.DUMMYFUNCTION("GOOGLETRANSLATE(B31403,""en"",""fr"")"),"Une femme est assise sur une chaise tandis qu'une femme derrière elle tient un sèche-cheveux.")</f>
        <v>Une femme est assise sur une chaise tandis qu'une femme derrière elle tient un sèche-cheveux.</v>
      </c>
    </row>
    <row r="31404">
      <c r="A31404" s="4" t="s">
        <v>39544</v>
      </c>
      <c r="B31404" s="4" t="s">
        <v>39546</v>
      </c>
      <c r="C31404" s="5" t="str">
        <f>IFERROR(__xludf.DUMMYFUNCTION("GOOGLETRANSLATE(B31404,""en"",""fr"")"),"Elle commence à sécher les cheveux de la femme.")</f>
        <v>Elle commence à sécher les cheveux de la femme.</v>
      </c>
    </row>
    <row r="31405">
      <c r="A31405" s="4" t="s">
        <v>39544</v>
      </c>
      <c r="B31405" s="4" t="s">
        <v>39547</v>
      </c>
      <c r="C31405" s="5" t="str">
        <f>IFERROR(__xludf.DUMMYFUNCTION("GOOGLETRANSLATE(B31405,""en"",""fr"")"),"La femme parle à la caméra pointant un sèche-cheveux.")</f>
        <v>La femme parle à la caméra pointant un sèche-cheveux.</v>
      </c>
    </row>
    <row r="31406">
      <c r="A31406" s="4" t="s">
        <v>39548</v>
      </c>
      <c r="B31406" s="4" t="s">
        <v>39549</v>
      </c>
      <c r="C31406" s="5" t="str">
        <f>IFERROR(__xludf.DUMMYFUNCTION("GOOGLETRANSLATE(B31406,""en"",""fr"")"),"Une femme est assise derrière une table en bois.")</f>
        <v>Une femme est assise derrière une table en bois.</v>
      </c>
    </row>
    <row r="31407">
      <c r="A31407" s="4" t="s">
        <v>39548</v>
      </c>
      <c r="B31407" s="4" t="s">
        <v>39550</v>
      </c>
      <c r="C31407" s="5" t="str">
        <f>IFERROR(__xludf.DUMMYFUNCTION("GOOGLETRANSLATE(B31407,""en"",""fr"")"),"Elle déplace rapidement des blocs de couleurs sur un puzzle, essayant de le résoudre.")</f>
        <v>Elle déplace rapidement des blocs de couleurs sur un puzzle, essayant de le résoudre.</v>
      </c>
    </row>
    <row r="31408">
      <c r="A31408" s="4" t="s">
        <v>39548</v>
      </c>
      <c r="B31408" s="4" t="s">
        <v>39551</v>
      </c>
      <c r="C31408" s="5" t="str">
        <f>IFERROR(__xludf.DUMMYFUNCTION("GOOGLETRANSLATE(B31408,""en"",""fr"")"),"Elle résout le puzzle et le montre à la caméra.")</f>
        <v>Elle résout le puzzle et le montre à la caméra.</v>
      </c>
    </row>
    <row r="31409">
      <c r="A31409" s="4" t="s">
        <v>39552</v>
      </c>
      <c r="B31409" s="6" t="s">
        <v>39553</v>
      </c>
      <c r="C31409" s="5" t="str">
        <f>IFERROR(__xludf.DUMMYFUNCTION("GOOGLETRANSLATE(B31409,""en"",""fr"")"),"Un petit groupe d'hommes est vu en marchant sur un chemin de terre suivi de plusieurs coups d'entre eux roulant dans des tubes et riant jusqu'à la caméra.")</f>
        <v>Un petit groupe d'hommes est vu en marchant sur un chemin de terre suivi de plusieurs coups d'entre eux roulant dans des tubes et riant jusqu'à la caméra.</v>
      </c>
    </row>
    <row r="31410">
      <c r="A31410" s="4" t="s">
        <v>39552</v>
      </c>
      <c r="B31410" s="4" t="s">
        <v>39554</v>
      </c>
      <c r="C31410" s="5" t="str">
        <f>IFERROR(__xludf.DUMMYFUNCTION("GOOGLETRANSLATE(B31410,""en"",""fr"")"),"Ils continuent de monter sur la rivière sous les arbres et a plus de gens qui tiennent la caméra.")</f>
        <v>Ils continuent de monter sur la rivière sous les arbres et a plus de gens qui tiennent la caméra.</v>
      </c>
    </row>
    <row r="31411">
      <c r="A31411" s="4" t="s">
        <v>39555</v>
      </c>
      <c r="B31411" s="6" t="s">
        <v>39556</v>
      </c>
      <c r="C31411" s="5" t="str">
        <f>IFERROR(__xludf.DUMMYFUNCTION("GOOGLETRANSLATE(B31411,""en"",""fr"")"),"Un gars vous montre comment faire un verre, le gars verse de la glace dans un grand verre, ajoute une demi-tasse d'un certain type d'alcool et le verser dans la tasse avec la glace.")</f>
        <v>Un gars vous montre comment faire un verre, le gars verse de la glace dans un grand verre, ajoute une demi-tasse d'un certain type d'alcool et le verser dans la tasse avec la glace.</v>
      </c>
    </row>
    <row r="31412">
      <c r="A31412" s="4" t="s">
        <v>39555</v>
      </c>
      <c r="B31412" s="6" t="s">
        <v>39557</v>
      </c>
      <c r="C31412" s="5" t="str">
        <f>IFERROR(__xludf.DUMMYFUNCTION("GOOGLETRANSLATE(B31412,""en"",""fr"")"),"Il ajoute ensuite du soda à la tasse qui rend la tasse pleine au sommet et commence à le remuer avec un outil métallique.")</f>
        <v>Il ajoute ensuite du soda à la tasse qui rend la tasse pleine au sommet et commence à le remuer avec un outil métallique.</v>
      </c>
    </row>
    <row r="31413">
      <c r="A31413" s="4" t="s">
        <v>39555</v>
      </c>
      <c r="B31413" s="6" t="s">
        <v>39558</v>
      </c>
      <c r="C31413" s="5" t="str">
        <f>IFERROR(__xludf.DUMMYFUNCTION("GOOGLETRANSLATE(B31413,""en"",""fr"")"),"Le gars serre ensuite trois demi-limes dans la tasse et pousse les trois chaux au fond de la tasse avec l'outil métallique qu'il utilise pour remuer la boisson.")</f>
        <v>Le gars serre ensuite trois demi-limes dans la tasse et pousse les trois chaux au fond de la tasse avec l'outil métallique qu'il utilise pour remuer la boisson.</v>
      </c>
    </row>
    <row r="31414">
      <c r="A31414" s="4" t="s">
        <v>39555</v>
      </c>
      <c r="B31414" s="6" t="s">
        <v>39559</v>
      </c>
      <c r="C31414" s="5" t="str">
        <f>IFERROR(__xludf.DUMMYFUNCTION("GOOGLETRANSLATE(B31414,""en"",""fr"")"),"Enfin, il verse la boisson du grand verre à un verre plus court, ajoute un type d'alcool différent avec une paille pour le terminer.")</f>
        <v>Enfin, il verse la boisson du grand verre à un verre plus court, ajoute un type d'alcool différent avec une paille pour le terminer.</v>
      </c>
    </row>
    <row r="31415">
      <c r="A31415" s="4" t="s">
        <v>39560</v>
      </c>
      <c r="B31415" s="4" t="s">
        <v>6935</v>
      </c>
      <c r="C31415" s="5" t="str">
        <f>IFERROR(__xludf.DUMMYFUNCTION("GOOGLETRANSLATE(B31415,""en"",""fr"")"),"Le texte apparaît brièvement à l'écran.")</f>
        <v>Le texte apparaît brièvement à l'écran.</v>
      </c>
    </row>
    <row r="31416">
      <c r="A31416" s="4" t="s">
        <v>39560</v>
      </c>
      <c r="B31416" s="4" t="s">
        <v>39561</v>
      </c>
      <c r="C31416" s="5" t="str">
        <f>IFERROR(__xludf.DUMMYFUNCTION("GOOGLETRANSLATE(B31416,""en"",""fr"")"),"Deux personnes se tiennent devant un gâteau et ils parlent.")</f>
        <v>Deux personnes se tiennent devant un gâteau et ils parlent.</v>
      </c>
    </row>
    <row r="31417">
      <c r="A31417" s="4" t="s">
        <v>39560</v>
      </c>
      <c r="B31417" s="4" t="s">
        <v>39562</v>
      </c>
      <c r="C31417" s="5" t="str">
        <f>IFERROR(__xludf.DUMMYFUNCTION("GOOGLETRANSLATE(B31417,""en"",""fr"")"),"Le texte apparaît à l'écran pendant qu'ils parlent.")</f>
        <v>Le texte apparaît à l'écran pendant qu'ils parlent.</v>
      </c>
    </row>
    <row r="31418">
      <c r="A31418" s="4" t="s">
        <v>39560</v>
      </c>
      <c r="B31418" s="4" t="s">
        <v>39563</v>
      </c>
      <c r="C31418" s="5" t="str">
        <f>IFERROR(__xludf.DUMMYFUNCTION("GOOGLETRANSLATE(B31418,""en"",""fr"")"),"Une femme mélange les ingrédients dans une casserole sur le poêle.")</f>
        <v>Une femme mélange les ingrédients dans une casserole sur le poêle.</v>
      </c>
    </row>
    <row r="31419">
      <c r="A31419" s="4" t="s">
        <v>39560</v>
      </c>
      <c r="B31419" s="4" t="s">
        <v>39564</v>
      </c>
      <c r="C31419" s="5" t="str">
        <f>IFERROR(__xludf.DUMMYFUNCTION("GOOGLETRANSLATE(B31419,""en"",""fr"")"),"Un homme verse du rhum dans le pot et le remue.")</f>
        <v>Un homme verse du rhum dans le pot et le remue.</v>
      </c>
    </row>
    <row r="31420">
      <c r="A31420" s="4" t="s">
        <v>39560</v>
      </c>
      <c r="B31420" s="4" t="s">
        <v>39565</v>
      </c>
      <c r="C31420" s="5" t="str">
        <f>IFERROR(__xludf.DUMMYFUNCTION("GOOGLETRANSLATE(B31420,""en"",""fr"")"),"Ils piquent les trous dans le gâteau avec des couteaux et versent le mélange dessus.")</f>
        <v>Ils piquent les trous dans le gâteau avec des couteaux et versent le mélange dessus.</v>
      </c>
    </row>
    <row r="31421">
      <c r="A31421" s="4" t="s">
        <v>39560</v>
      </c>
      <c r="B31421" s="4" t="s">
        <v>39566</v>
      </c>
      <c r="C31421" s="5" t="str">
        <f>IFERROR(__xludf.DUMMYFUNCTION("GOOGLETRANSLATE(B31421,""en"",""fr"")"),"Ils se tiennent à nouveau devant le gâteau et parlent.")</f>
        <v>Ils se tiennent à nouveau devant le gâteau et parlent.</v>
      </c>
    </row>
    <row r="31422">
      <c r="A31422" s="4" t="s">
        <v>39560</v>
      </c>
      <c r="B31422" s="4" t="s">
        <v>39567</v>
      </c>
      <c r="C31422" s="5" t="str">
        <f>IFERROR(__xludf.DUMMYFUNCTION("GOOGLETRANSLATE(B31422,""en"",""fr"")"),"Ils mangent le gâteau pendant qu'ils parlent.")</f>
        <v>Ils mangent le gâteau pendant qu'ils parlent.</v>
      </c>
    </row>
    <row r="31423">
      <c r="A31423" s="4" t="s">
        <v>39568</v>
      </c>
      <c r="B31423" s="4" t="s">
        <v>39569</v>
      </c>
      <c r="C31423" s="5" t="str">
        <f>IFERROR(__xludf.DUMMYFUNCTION("GOOGLETRANSLATE(B31423,""en"",""fr"")"),"Un homme remplit un narguilé d'eau et le place sur une table.")</f>
        <v>Un homme remplit un narguilé d'eau et le place sur une table.</v>
      </c>
    </row>
    <row r="31424">
      <c r="A31424" s="4" t="s">
        <v>39568</v>
      </c>
      <c r="B31424" s="4" t="s">
        <v>39570</v>
      </c>
      <c r="C31424" s="5" t="str">
        <f>IFERROR(__xludf.DUMMYFUNCTION("GOOGLETRANSLATE(B31424,""en"",""fr"")"),"Il met le tabac dans un appareil et le couvre avec du papier d'aluminium.")</f>
        <v>Il met le tabac dans un appareil et le couvre avec du papier d'aluminium.</v>
      </c>
    </row>
    <row r="31425">
      <c r="A31425" s="4" t="s">
        <v>39568</v>
      </c>
      <c r="B31425" s="4" t="s">
        <v>39571</v>
      </c>
      <c r="C31425" s="5" t="str">
        <f>IFERROR(__xludf.DUMMYFUNCTION("GOOGLETRANSLATE(B31425,""en"",""fr"")"),"Il pousse un trou dans le haut du papier d'aluminium plusieurs fois.")</f>
        <v>Il pousse un trou dans le haut du papier d'aluminium plusieurs fois.</v>
      </c>
    </row>
    <row r="31426">
      <c r="A31426" s="4" t="s">
        <v>39568</v>
      </c>
      <c r="B31426" s="4" t="s">
        <v>39572</v>
      </c>
      <c r="C31426" s="5" t="str">
        <f>IFERROR(__xludf.DUMMYFUNCTION("GOOGLETRANSLATE(B31426,""en"",""fr"")"),"Il met cela sur le haut du narguilé.")</f>
        <v>Il met cela sur le haut du narguilé.</v>
      </c>
    </row>
    <row r="31427">
      <c r="A31427" s="4" t="s">
        <v>39568</v>
      </c>
      <c r="B31427" s="4" t="s">
        <v>39573</v>
      </c>
      <c r="C31427" s="5" t="str">
        <f>IFERROR(__xludf.DUMMYFUNCTION("GOOGLETRANSLATE(B31427,""en"",""fr"")"),"Il enlève une fumée du narguilé et souffle la fumée.")</f>
        <v>Il enlève une fumée du narguilé et souffle la fumée.</v>
      </c>
    </row>
    <row r="31428">
      <c r="A31428" s="4" t="s">
        <v>39574</v>
      </c>
      <c r="B31428" s="4" t="s">
        <v>39575</v>
      </c>
      <c r="C31428" s="5" t="str">
        <f>IFERROR(__xludf.DUMMYFUNCTION("GOOGLETRANSLATE(B31428,""en"",""fr"")"),"Un groupe de personnes monte sur un bateau pour l'île de Catalina.")</f>
        <v>Un groupe de personnes monte sur un bateau pour l'île de Catalina.</v>
      </c>
    </row>
    <row r="31429">
      <c r="A31429" s="4" t="s">
        <v>39574</v>
      </c>
      <c r="B31429" s="4" t="s">
        <v>39576</v>
      </c>
      <c r="C31429" s="5" t="str">
        <f>IFERROR(__xludf.DUMMYFUNCTION("GOOGLETRANSLATE(B31429,""en"",""fr"")"),"Un homme portant un t-shirt gris se filme en utilisant un bâton de selfie tout en roulant sur un bateau.")</f>
        <v>Un homme portant un t-shirt gris se filme en utilisant un bâton de selfie tout en roulant sur un bateau.</v>
      </c>
    </row>
    <row r="31430">
      <c r="A31430" s="4" t="s">
        <v>39574</v>
      </c>
      <c r="B31430" s="4" t="s">
        <v>39577</v>
      </c>
      <c r="C31430" s="5" t="str">
        <f>IFERROR(__xludf.DUMMYFUNCTION("GOOGLETRANSLATE(B31430,""en"",""fr"")"),"Le groupe de personnes sur le bateau est vêtu d'un équipement de plongée sous-marine.")</f>
        <v>Le groupe de personnes sur le bateau est vêtu d'un équipement de plongée sous-marine.</v>
      </c>
    </row>
    <row r="31431">
      <c r="A31431" s="4" t="s">
        <v>39574</v>
      </c>
      <c r="B31431" s="4" t="s">
        <v>39578</v>
      </c>
      <c r="C31431" s="5" t="str">
        <f>IFERROR(__xludf.DUMMYFUNCTION("GOOGLETRANSLATE(B31431,""en"",""fr"")"),"Un homme en équipement de plongée entre dans l'eau tout en se tournant tout en tenant un bâton de selfie.")</f>
        <v>Un homme en équipement de plongée entre dans l'eau tout en se tournant tout en tenant un bâton de selfie.</v>
      </c>
    </row>
    <row r="31432">
      <c r="A31432" s="4" t="s">
        <v>39574</v>
      </c>
      <c r="B31432" s="4" t="s">
        <v>39579</v>
      </c>
      <c r="C31432" s="5" t="str">
        <f>IFERROR(__xludf.DUMMYFUNCTION("GOOGLETRANSLATE(B31432,""en"",""fr"")"),"Le plongeur se filme tout en plongeant sous l'eau.")</f>
        <v>Le plongeur se filme tout en plongeant sous l'eau.</v>
      </c>
    </row>
    <row r="31433">
      <c r="A31433" s="4" t="s">
        <v>39574</v>
      </c>
      <c r="B31433" s="4" t="s">
        <v>39580</v>
      </c>
      <c r="C31433" s="5" t="str">
        <f>IFERROR(__xludf.DUMMYFUNCTION("GOOGLETRANSLATE(B31433,""en"",""fr"")"),"Le DDiver filme une école de poissons et des poissons tropicaux jaunes vifs.")</f>
        <v>Le DDiver filme une école de poissons et des poissons tropicaux jaunes vifs.</v>
      </c>
    </row>
    <row r="31434">
      <c r="A31434" s="4" t="s">
        <v>39574</v>
      </c>
      <c r="B31434" s="4" t="s">
        <v>39581</v>
      </c>
      <c r="C31434" s="5" t="str">
        <f>IFERROR(__xludf.DUMMYFUNCTION("GOOGLETRANSLATE(B31434,""en"",""fr"")"),"Le caméraman de plongeur s'arrête sur les marches menant de l'eau.")</f>
        <v>Le caméraman de plongeur s'arrête sur les marches menant de l'eau.</v>
      </c>
    </row>
    <row r="31435">
      <c r="A31435" s="4" t="s">
        <v>39574</v>
      </c>
      <c r="B31435" s="4" t="s">
        <v>39582</v>
      </c>
      <c r="C31435" s="5" t="str">
        <f>IFERROR(__xludf.DUMMYFUNCTION("GOOGLETRANSLATE(B31435,""en"",""fr"")"),"Un groupe de plongeurs vêtus de vêtements de rue dans une voiturette de golf.")</f>
        <v>Un groupe de plongeurs vêtus de vêtements de rue dans une voiturette de golf.</v>
      </c>
    </row>
    <row r="31436">
      <c r="A31436" s="4" t="s">
        <v>39583</v>
      </c>
      <c r="B31436" s="4" t="s">
        <v>39584</v>
      </c>
      <c r="C31436" s="5" t="str">
        <f>IFERROR(__xludf.DUMMYFUNCTION("GOOGLETRANSLATE(B31436,""en"",""fr"")"),"La femme se tient dans une cuisine devant une caméra et montre des ingrédients sur la table.")</f>
        <v>La femme se tient dans une cuisine devant une caméra et montre des ingrédients sur la table.</v>
      </c>
    </row>
    <row r="31437">
      <c r="A31437" s="4" t="s">
        <v>39583</v>
      </c>
      <c r="B31437" s="6" t="s">
        <v>39585</v>
      </c>
      <c r="C31437" s="5" t="str">
        <f>IFERROR(__xludf.DUMMYFUNCTION("GOOGLETRANSLATE(B31437,""en"",""fr"")"),"La femme verse les ingrédients à l'intérieur d'une aide à la cuisine et les mélange et explique à la caméra comment faire la pâte.")</f>
        <v>La femme verse les ingrédients à l'intérieur d'une aide à la cuisine et les mélange et explique à la caméra comment faire la pâte.</v>
      </c>
    </row>
    <row r="31438">
      <c r="A31438" s="4" t="s">
        <v>39586</v>
      </c>
      <c r="B31438" s="4" t="s">
        <v>39587</v>
      </c>
      <c r="C31438" s="5" t="str">
        <f>IFERROR(__xludf.DUMMYFUNCTION("GOOGLETRANSLATE(B31438,""en"",""fr"")"),"Une femme derrière le bar parlant, elle a une bouteille de Corona.")</f>
        <v>Une femme derrière le bar parlant, elle a une bouteille de Corona.</v>
      </c>
    </row>
    <row r="31439">
      <c r="A31439" s="4" t="s">
        <v>39586</v>
      </c>
      <c r="B31439" s="4" t="s">
        <v>39588</v>
      </c>
      <c r="C31439" s="5" t="str">
        <f>IFERROR(__xludf.DUMMYFUNCTION("GOOGLETRANSLATE(B31439,""en"",""fr"")"),"Elle suce la bouteille de quelques fois.")</f>
        <v>Elle suce la bouteille de quelques fois.</v>
      </c>
    </row>
    <row r="31440">
      <c r="A31440" s="4" t="s">
        <v>39586</v>
      </c>
      <c r="B31440" s="4" t="s">
        <v>39589</v>
      </c>
      <c r="C31440" s="5" t="str">
        <f>IFERROR(__xludf.DUMMYFUNCTION("GOOGLETRANSLATE(B31440,""en"",""fr"")"),"Ensuite, elle l'attrape avec juste sa bouche et le maintient en train de chuger la bière.")</f>
        <v>Ensuite, elle l'attrape avec juste sa bouche et le maintient en train de chuger la bière.</v>
      </c>
    </row>
    <row r="31441">
      <c r="A31441" s="4" t="s">
        <v>39586</v>
      </c>
      <c r="B31441" s="4" t="s">
        <v>39590</v>
      </c>
      <c r="C31441" s="5" t="str">
        <f>IFERROR(__xludf.DUMMYFUNCTION("GOOGLETRANSLATE(B31441,""en"",""fr"")"),"Elle se dirige et se dirige jusqu'à ce qu'elle soit complètement vide.")</f>
        <v>Elle se dirige et se dirige jusqu'à ce qu'elle soit complètement vide.</v>
      </c>
    </row>
    <row r="31442">
      <c r="A31442" s="4" t="s">
        <v>39591</v>
      </c>
      <c r="B31442" s="4" t="s">
        <v>39592</v>
      </c>
      <c r="C31442" s="5" t="str">
        <f>IFERROR(__xludf.DUMMYFUNCTION("GOOGLETRANSLATE(B31442,""en"",""fr"")"),"Un homme caucasien est à l'extérieur en tenant une planche à roulettes.")</f>
        <v>Un homme caucasien est à l'extérieur en tenant une planche à roulettes.</v>
      </c>
    </row>
    <row r="31443">
      <c r="A31443" s="4" t="s">
        <v>39591</v>
      </c>
      <c r="B31443" s="6" t="s">
        <v>39593</v>
      </c>
      <c r="C31443" s="5" t="str">
        <f>IFERROR(__xludf.DUMMYFUNCTION("GOOGLETRANSLATE(B31443,""en"",""fr"")"),"Il descend alors sur une route sinueuse et descend le skateboard et l'image est toujours jusqu'à ce qu'il glisse dans un tour, puis il est à nouveau en pause.")</f>
        <v>Il descend alors sur une route sinueuse et descend le skateboard et l'image est toujours jusqu'à ce qu'il glisse dans un tour, puis il est à nouveau en pause.</v>
      </c>
    </row>
    <row r="31444">
      <c r="A31444" s="4" t="s">
        <v>39591</v>
      </c>
      <c r="B31444" s="4" t="s">
        <v>39594</v>
      </c>
      <c r="C31444" s="5" t="str">
        <f>IFERROR(__xludf.DUMMYFUNCTION("GOOGLETRANSLATE(B31444,""en"",""fr"")"),"La routine se poursuit, puis le joueur se lève alors que ce soit sur la route.")</f>
        <v>La routine se poursuit, puis le joueur se lève alors que ce soit sur la route.</v>
      </c>
    </row>
    <row r="31445">
      <c r="A31445" s="4" t="s">
        <v>39591</v>
      </c>
      <c r="B31445" s="6" t="s">
        <v>39595</v>
      </c>
      <c r="C31445" s="5" t="str">
        <f>IFERROR(__xludf.DUMMYFUNCTION("GOOGLETRANSLATE(B31445,""en"",""fr"")"),"Une fois qu'il a complètement fini, il remonte à l'endroit où il a commencé à l'origine et continue de parler à la caméra alors qu'il tient sa planche à roulettes dans sa main gauche.")</f>
        <v>Une fois qu'il a complètement fini, il remonte à l'endroit où il a commencé à l'origine et continue de parler à la caméra alors qu'il tient sa planche à roulettes dans sa main gauche.</v>
      </c>
    </row>
    <row r="31446">
      <c r="A31446" s="4" t="s">
        <v>39591</v>
      </c>
      <c r="B31446" s="6" t="s">
        <v>39596</v>
      </c>
      <c r="C31446" s="5" t="str">
        <f>IFERROR(__xludf.DUMMYFUNCTION("GOOGLETRANSLATE(B31446,""en"",""fr"")"),"Après, l'homme se retourne et montre comment son short de cargaison brun est réparti avec du ruban adhésif.")</f>
        <v>Après, l'homme se retourne et montre comment son short de cargaison brun est réparti avec du ruban adhésif.</v>
      </c>
    </row>
    <row r="31447">
      <c r="A31447" s="4" t="s">
        <v>39597</v>
      </c>
      <c r="B31447" s="6" t="s">
        <v>39598</v>
      </c>
      <c r="C31447" s="5" t="str">
        <f>IFERROR(__xludf.DUMMYFUNCTION("GOOGLETRANSLATE(B31447,""en"",""fr"")"),"Un gros plan d'une personne qui met sur un rack est montré suivi par plusieurs femmes soulevant de grandes quantités de poids.")</f>
        <v>Un gros plan d'une personne qui met sur un rack est montré suivi par plusieurs femmes soulevant de grandes quantités de poids.</v>
      </c>
    </row>
    <row r="31448">
      <c r="A31448" s="4" t="s">
        <v>39597</v>
      </c>
      <c r="B31448" s="6" t="s">
        <v>39599</v>
      </c>
      <c r="C31448" s="5" t="str">
        <f>IFERROR(__xludf.DUMMYFUNCTION("GOOGLETRANSLATE(B31448,""en"",""fr"")"),"Plus de gens sont vus soulever les poids lourds au-dessus de leur tête et le jeter lorsqu'ils ont fini.")</f>
        <v>Plus de gens sont vus soulever les poids lourds au-dessus de leur tête et le jeter lorsqu'ils ont fini.</v>
      </c>
    </row>
    <row r="31449">
      <c r="A31449" s="4" t="s">
        <v>39600</v>
      </c>
      <c r="B31449" s="6" t="s">
        <v>39601</v>
      </c>
      <c r="C31449" s="5" t="str">
        <f>IFERROR(__xludf.DUMMYFUNCTION("GOOGLETRANSLATE(B31449,""en"",""fr"")"),"Plusieurs personnes sont vues assises à l'extérieur à une table de pique-nique et conduit à deux personnes à attacher une corde autour d'un arbre.")</f>
        <v>Plusieurs personnes sont vues assises à l'extérieur à une table de pique-nique et conduit à deux personnes à attacher une corde autour d'un arbre.</v>
      </c>
    </row>
    <row r="31450">
      <c r="A31450" s="4" t="s">
        <v>39600</v>
      </c>
      <c r="B31450" s="4" t="s">
        <v>39602</v>
      </c>
      <c r="C31450" s="5" t="str">
        <f>IFERROR(__xludf.DUMMYFUNCTION("GOOGLETRANSLATE(B31450,""en"",""fr"")"),"Plus de gens viennent aider et conduire à un garçon marchant sur la corde avec l'aide d'un homme.")</f>
        <v>Plus de gens viennent aider et conduire à un garçon marchant sur la corde avec l'aide d'un homme.</v>
      </c>
    </row>
    <row r="31451">
      <c r="A31451" s="4" t="s">
        <v>39600</v>
      </c>
      <c r="B31451" s="4" t="s">
        <v>39603</v>
      </c>
      <c r="C31451" s="5" t="str">
        <f>IFERROR(__xludf.DUMMYFUNCTION("GOOGLETRANSLATE(B31451,""en"",""fr"")"),"Plus de gens tentent de marcher sur la corde avec l'aide des autres ainsi que d'eux-mêmes.")</f>
        <v>Plus de gens tentent de marcher sur la corde avec l'aide des autres ainsi que d'eux-mêmes.</v>
      </c>
    </row>
    <row r="31452">
      <c r="A31452" s="4" t="s">
        <v>39604</v>
      </c>
      <c r="B31452" s="4" t="s">
        <v>39605</v>
      </c>
      <c r="C31452" s="5" t="str">
        <f>IFERROR(__xludf.DUMMYFUNCTION("GOOGLETRANSLATE(B31452,""en"",""fr"")"),"Les mots natation freestyle flottent à travers l'écran.")</f>
        <v>Les mots natation freestyle flottent à travers l'écran.</v>
      </c>
    </row>
    <row r="31453">
      <c r="A31453" s="4" t="s">
        <v>39604</v>
      </c>
      <c r="B31453" s="4" t="s">
        <v>39606</v>
      </c>
      <c r="C31453" s="5" t="str">
        <f>IFERROR(__xludf.DUMMYFUNCTION("GOOGLETRANSLATE(B31453,""en"",""fr"")"),"Un homme saute dans la piscine et nage le freestyle.")</f>
        <v>Un homme saute dans la piscine et nage le freestyle.</v>
      </c>
    </row>
    <row r="31454">
      <c r="A31454" s="4" t="s">
        <v>39604</v>
      </c>
      <c r="B31454" s="4" t="s">
        <v>39607</v>
      </c>
      <c r="C31454" s="5" t="str">
        <f>IFERROR(__xludf.DUMMYFUNCTION("GOOGLETRANSLATE(B31454,""en"",""fr"")"),"Les mots de style backproke flottent à travers l'écran.")</f>
        <v>Les mots de style backproke flottent à travers l'écran.</v>
      </c>
    </row>
    <row r="31455">
      <c r="A31455" s="4" t="s">
        <v>39604</v>
      </c>
      <c r="B31455" s="4" t="s">
        <v>39608</v>
      </c>
      <c r="C31455" s="5" t="str">
        <f>IFERROR(__xludf.DUMMYFUNCTION("GOOGLETRANSLATE(B31455,""en"",""fr"")"),"Le même homme nage en arrière sur la voie d'où il est venu.")</f>
        <v>Le même homme nage en arrière sur la voie d'où il est venu.</v>
      </c>
    </row>
    <row r="31456">
      <c r="A31456" s="4" t="s">
        <v>39604</v>
      </c>
      <c r="B31456" s="4" t="s">
        <v>39609</v>
      </c>
      <c r="C31456" s="5" t="str">
        <f>IFERROR(__xludf.DUMMYFUNCTION("GOOGLETRANSLATE(B31456,""en"",""fr"")"),"Les mots brasse apparaissent à l'écran.")</f>
        <v>Les mots brasse apparaissent à l'écran.</v>
      </c>
    </row>
    <row r="31457">
      <c r="A31457" s="4" t="s">
        <v>39604</v>
      </c>
      <c r="B31457" s="4" t="s">
        <v>39610</v>
      </c>
      <c r="C31457" s="5" t="str">
        <f>IFERROR(__xludf.DUMMYFUNCTION("GOOGLETRANSLATE(B31457,""en"",""fr"")"),"L'homme fait la brasse à travers la piscine.")</f>
        <v>L'homme fait la brasse à travers la piscine.</v>
      </c>
    </row>
    <row r="31458">
      <c r="A31458" s="4" t="s">
        <v>39611</v>
      </c>
      <c r="B31458" s="4" t="s">
        <v>39612</v>
      </c>
      <c r="C31458" s="5" t="str">
        <f>IFERROR(__xludf.DUMMYFUNCTION("GOOGLETRANSLATE(B31458,""en"",""fr"")"),"Un journaliste de l'homme et de la femme est assis devant un écran de télévision pendant qu'ils parlent.")</f>
        <v>Un journaliste de l'homme et de la femme est assis devant un écran de télévision pendant qu'ils parlent.</v>
      </c>
    </row>
    <row r="31459">
      <c r="A31459" s="4" t="s">
        <v>39611</v>
      </c>
      <c r="B31459" s="4" t="s">
        <v>39613</v>
      </c>
      <c r="C31459" s="5" t="str">
        <f>IFERROR(__xludf.DUMMYFUNCTION("GOOGLETRANSLATE(B31459,""en"",""fr"")"),"Ils montrent ensuite des clips d'un match de volleyball en plein air.")</f>
        <v>Ils montrent ensuite des clips d'un match de volleyball en plein air.</v>
      </c>
    </row>
    <row r="31460">
      <c r="A31460" s="4" t="s">
        <v>39611</v>
      </c>
      <c r="B31460" s="4" t="s">
        <v>39614</v>
      </c>
      <c r="C31460" s="5" t="str">
        <f>IFERROR(__xludf.DUMMYFUNCTION("GOOGLETRANSLATE(B31460,""en"",""fr"")"),"Les coéquipiers ont frappé le ballon d'avant en arrière sur le filet.")</f>
        <v>Les coéquipiers ont frappé le ballon d'avant en arrière sur le filet.</v>
      </c>
    </row>
    <row r="31461">
      <c r="A31461" s="4" t="s">
        <v>39611</v>
      </c>
      <c r="B31461" s="4" t="s">
        <v>39615</v>
      </c>
      <c r="C31461" s="5" t="str">
        <f>IFERROR(__xludf.DUMMYFUNCTION("GOOGLETRANSLATE(B31461,""en"",""fr"")"),"Par la suite, ils serrent la main de leurs adversaires.")</f>
        <v>Par la suite, ils serrent la main de leurs adversaires.</v>
      </c>
    </row>
    <row r="31462">
      <c r="A31462" s="4" t="s">
        <v>39616</v>
      </c>
      <c r="B31462" s="6" t="s">
        <v>39617</v>
      </c>
      <c r="C31462" s="5" t="str">
        <f>IFERROR(__xludf.DUMMYFUNCTION("GOOGLETRANSLATE(B31462,""en"",""fr"")"),"On voit deux personnes parler à la caméra et mène à un souverain montré et la femme tenant une éponge.")</f>
        <v>On voit deux personnes parler à la caméra et mène à un souverain montré et la femme tenant une éponge.</v>
      </c>
    </row>
    <row r="31463">
      <c r="A31463" s="4" t="s">
        <v>39616</v>
      </c>
      <c r="B31463" s="6" t="s">
        <v>39618</v>
      </c>
      <c r="C31463" s="5" t="str">
        <f>IFERROR(__xludf.DUMMYFUNCTION("GOOGLETRANSLATE(B31463,""en"",""fr"")"),"Elle essuie un mur tandis que l'homme le ponce vers le bas, puis on voit mesurer la longueur du mur.")</f>
        <v>Elle essuie un mur tandis que l'homme le ponce vers le bas, puis on voit mesurer la longueur du mur.</v>
      </c>
    </row>
    <row r="31464">
      <c r="A31464" s="4" t="s">
        <v>39616</v>
      </c>
      <c r="B31464" s="4" t="s">
        <v>39619</v>
      </c>
      <c r="C31464" s="5" t="str">
        <f>IFERROR(__xludf.DUMMYFUNCTION("GOOGLETRANSLATE(B31464,""en"",""fr"")"),"Ensuite, ils déposent du papier, coupent le papier et l'alignent sur le mur.")</f>
        <v>Ensuite, ils déposent du papier, coupent le papier et l'alignent sur le mur.</v>
      </c>
    </row>
    <row r="31465">
      <c r="A31465" s="4" t="s">
        <v>39616</v>
      </c>
      <c r="B31465" s="4" t="s">
        <v>39620</v>
      </c>
      <c r="C31465" s="5" t="str">
        <f>IFERROR(__xludf.DUMMYFUNCTION("GOOGLETRANSLATE(B31465,""en"",""fr"")"),"Ils se frottent dans le papier, appuyent le long du mur et sourient à la caméra.")</f>
        <v>Ils se frottent dans le papier, appuyent le long du mur et sourient à la caméra.</v>
      </c>
    </row>
    <row r="31466">
      <c r="A31466" s="4" t="s">
        <v>39621</v>
      </c>
      <c r="B31466" s="4" t="s">
        <v>39622</v>
      </c>
      <c r="C31466" s="5" t="str">
        <f>IFERROR(__xludf.DUMMYFUNCTION("GOOGLETRANSLATE(B31466,""en"",""fr"")"),"Les gens participent à un match de lutte contre la guerre dans un gymnase.")</f>
        <v>Les gens participent à un match de lutte contre la guerre dans un gymnase.</v>
      </c>
    </row>
    <row r="31467">
      <c r="A31467" s="4" t="s">
        <v>39621</v>
      </c>
      <c r="B31467" s="4" t="s">
        <v>39623</v>
      </c>
      <c r="C31467" s="5" t="str">
        <f>IFERROR(__xludf.DUMMYFUNCTION("GOOGLETRANSLATE(B31467,""en"",""fr"")"),"L'équipe jaune sur le côté gauche tire la corde principalement vers la gauche ou gagne.")</f>
        <v>L'équipe jaune sur le côté gauche tire la corde principalement vers la gauche ou gagne.</v>
      </c>
    </row>
    <row r="31468">
      <c r="A31468" s="4" t="s">
        <v>39621</v>
      </c>
      <c r="B31468" s="4" t="s">
        <v>39624</v>
      </c>
      <c r="C31468" s="5" t="str">
        <f>IFERROR(__xludf.DUMMYFUNCTION("GOOGLETRANSLATE(B31468,""en"",""fr"")"),"Un adulte attrape le bras d'un membre de l'équipe bleue.")</f>
        <v>Un adulte attrape le bras d'un membre de l'équipe bleue.</v>
      </c>
    </row>
    <row r="31469">
      <c r="A31469" s="4" t="s">
        <v>39625</v>
      </c>
      <c r="B31469" s="4" t="s">
        <v>39626</v>
      </c>
      <c r="C31469" s="5" t="str">
        <f>IFERROR(__xludf.DUMMYFUNCTION("GOOGLETRANSLATE(B31469,""en"",""fr"")"),"Les mots ""Grandmaster Huang Sheng Shyan"" et ""Taiji Push Hands"" apparaissent à l'écran.")</f>
        <v>Les mots "Grandmaster Huang Sheng Shyan" et "Taiji Push Hands" apparaissent à l'écran.</v>
      </c>
    </row>
    <row r="31470">
      <c r="A31470" s="4" t="s">
        <v>39625</v>
      </c>
      <c r="B31470" s="6" t="s">
        <v>39627</v>
      </c>
      <c r="C31470" s="5" t="str">
        <f>IFERROR(__xludf.DUMMYFUNCTION("GOOGLETRANSLATE(B31470,""en"",""fr"")"),"Plusieurs étudiants s'approchent individuellement du Grand Master tentant de le combattre et sont repoussés rapidement.")</f>
        <v>Plusieurs étudiants s'approchent individuellement du Grand Master tentant de le combattre et sont repoussés rapidement.</v>
      </c>
    </row>
    <row r="31471">
      <c r="A31471" s="4" t="s">
        <v>39625</v>
      </c>
      <c r="B31471" s="4" t="s">
        <v>39628</v>
      </c>
      <c r="C31471" s="5" t="str">
        <f>IFERROR(__xludf.DUMMYFUNCTION("GOOGLETRANSLATE(B31471,""en"",""fr"")"),"Le Grandmaster puise un étudiant sur la tête et il tombe rapidement au sol.")</f>
        <v>Le Grandmaster puise un étudiant sur la tête et il tombe rapidement au sol.</v>
      </c>
    </row>
    <row r="31472">
      <c r="A31472" s="4" t="s">
        <v>39629</v>
      </c>
      <c r="B31472" s="4" t="s">
        <v>39630</v>
      </c>
      <c r="C31472" s="5" t="str">
        <f>IFERROR(__xludf.DUMMYFUNCTION("GOOGLETRANSLATE(B31472,""en"",""fr"")"),"Une personne est vue se promener dans la cour menant à une longue corde.")</f>
        <v>Une personne est vue se promener dans la cour menant à une longue corde.</v>
      </c>
    </row>
    <row r="31473">
      <c r="A31473" s="4" t="s">
        <v>39629</v>
      </c>
      <c r="B31473" s="4" t="s">
        <v>39631</v>
      </c>
      <c r="C31473" s="5" t="str">
        <f>IFERROR(__xludf.DUMMYFUNCTION("GOOGLETRANSLATE(B31473,""en"",""fr"")"),"L'homme saute sur la corde et tente de le traverser.")</f>
        <v>L'homme saute sur la corde et tente de le traverser.</v>
      </c>
    </row>
    <row r="31474">
      <c r="A31474" s="4" t="s">
        <v>39629</v>
      </c>
      <c r="B31474" s="4" t="s">
        <v>39632</v>
      </c>
      <c r="C31474" s="5" t="str">
        <f>IFERROR(__xludf.DUMMYFUNCTION("GOOGLETRANSLATE(B31474,""en"",""fr"")"),"Il continue de marcher et le mène en tombant.")</f>
        <v>Il continue de marcher et le mène en tombant.</v>
      </c>
    </row>
    <row r="31475">
      <c r="A31475" s="4" t="s">
        <v>39633</v>
      </c>
      <c r="B31475" s="6" t="s">
        <v>39634</v>
      </c>
      <c r="C31475" s="5" t="str">
        <f>IFERROR(__xludf.DUMMYFUNCTION("GOOGLETRANSLATE(B31475,""en"",""fr"")"),"Cat dort dans une table à fourrure et un homme le tient et montre un coup de ongles et commence à couper les ongles de chat assis dans un canapé.")</f>
        <v>Cat dort dans une table à fourrure et un homme le tient et montre un coup de ongles et commence à couper les ongles de chat assis dans un canapé.</v>
      </c>
    </row>
    <row r="31476">
      <c r="A31476" s="4" t="s">
        <v>39633</v>
      </c>
      <c r="B31476" s="4" t="s">
        <v>39635</v>
      </c>
      <c r="C31476" s="5" t="str">
        <f>IFERROR(__xludf.DUMMYFUNCTION("GOOGLETRANSLATE(B31476,""en"",""fr"")"),"Le chat est assis dans un tapis rouge.")</f>
        <v>Le chat est assis dans un tapis rouge.</v>
      </c>
    </row>
    <row r="31477">
      <c r="A31477" s="4" t="s">
        <v>39636</v>
      </c>
      <c r="B31477" s="4" t="s">
        <v>39637</v>
      </c>
      <c r="C31477" s="5" t="str">
        <f>IFERROR(__xludf.DUMMYFUNCTION("GOOGLETRANSLATE(B31477,""en"",""fr"")"),"Une vidéo de vodka versée dans un verre de martini est montrée.")</f>
        <v>Une vidéo de vodka versée dans un verre de martini est montrée.</v>
      </c>
    </row>
    <row r="31478">
      <c r="A31478" s="4" t="s">
        <v>39636</v>
      </c>
      <c r="B31478" s="4" t="s">
        <v>39638</v>
      </c>
      <c r="C31478" s="5" t="str">
        <f>IFERROR(__xludf.DUMMYFUNCTION("GOOGLETRANSLATE(B31478,""en"",""fr"")"),"Une femme se tient derrière un bar avec des bouteilles et des ingrédients.")</f>
        <v>Une femme se tient derrière un bar avec des bouteilles et des ingrédients.</v>
      </c>
    </row>
    <row r="31479">
      <c r="A31479" s="4" t="s">
        <v>39636</v>
      </c>
      <c r="B31479" s="6" t="s">
        <v>39639</v>
      </c>
      <c r="C31479" s="5" t="str">
        <f>IFERROR(__xludf.DUMMYFUNCTION("GOOGLETRANSLATE(B31479,""en"",""fr"")"),"Elle mélange les alcools dans un verre, puis les secoue avant de décorer et d'afficher la boisson.")</f>
        <v>Elle mélange les alcools dans un verre, puis les secoue avant de décorer et d'afficher la boisson.</v>
      </c>
    </row>
    <row r="31480">
      <c r="A31480" s="4" t="s">
        <v>39640</v>
      </c>
      <c r="B31480" s="6" t="s">
        <v>39641</v>
      </c>
      <c r="C31480" s="5" t="str">
        <f>IFERROR(__xludf.DUMMYFUNCTION("GOOGLETRANSLATE(B31480,""en"",""fr"")"),"Une grande montagne enneigée est montrée ainsi que des gens qui conduisent et les gens se tenant le long d'une montagne.")</f>
        <v>Une grande montagne enneigée est montrée ainsi que des gens qui conduisent et les gens se tenant le long d'une montagne.</v>
      </c>
    </row>
    <row r="31481">
      <c r="A31481" s="4" t="s">
        <v>39640</v>
      </c>
      <c r="B31481" s="6" t="s">
        <v>39642</v>
      </c>
      <c r="C31481" s="5" t="str">
        <f>IFERROR(__xludf.DUMMYFUNCTION("GOOGLETRANSLATE(B31481,""en"",""fr"")"),"Plusieurs plans sont représentés des personnes sur des snowboards, des tours de réalisation et des gestes à la caméra.")</f>
        <v>Plusieurs plans sont représentés des personnes sur des snowboards, des tours de réalisation et des gestes à la caméra.</v>
      </c>
    </row>
    <row r="31482">
      <c r="A31482" s="4" t="s">
        <v>39640</v>
      </c>
      <c r="B31482" s="6" t="s">
        <v>39643</v>
      </c>
      <c r="C31482" s="5" t="str">
        <f>IFERROR(__xludf.DUMMYFUNCTION("GOOGLETRANSLATE(B31482,""en"",""fr"")"),"La vidéo continue avec des clips impressionnants de personnes faisant des cascades ainsi que des gros plans de personnes.")</f>
        <v>La vidéo continue avec des clips impressionnants de personnes faisant des cascades ainsi que des gros plans de personnes.</v>
      </c>
    </row>
    <row r="31483">
      <c r="A31483" s="4" t="s">
        <v>39644</v>
      </c>
      <c r="B31483" s="4" t="s">
        <v>39645</v>
      </c>
      <c r="C31483" s="5" t="str">
        <f>IFERROR(__xludf.DUMMYFUNCTION("GOOGLETRANSLATE(B31483,""en"",""fr"")"),"Une femme met un harnais.")</f>
        <v>Une femme met un harnais.</v>
      </c>
    </row>
    <row r="31484">
      <c r="A31484" s="4" t="s">
        <v>39644</v>
      </c>
      <c r="B31484" s="4" t="s">
        <v>39646</v>
      </c>
      <c r="C31484" s="5" t="str">
        <f>IFERROR(__xludf.DUMMYFUNCTION("GOOGLETRANSLATE(B31484,""en"",""fr"")"),"Un homme coupe une corde à l'avant du harnais de la femme.")</f>
        <v>Un homme coupe une corde à l'avant du harnais de la femme.</v>
      </c>
    </row>
    <row r="31485">
      <c r="A31485" s="4" t="s">
        <v>39644</v>
      </c>
      <c r="B31485" s="4" t="s">
        <v>39647</v>
      </c>
      <c r="C31485" s="5" t="str">
        <f>IFERROR(__xludf.DUMMYFUNCTION("GOOGLETRANSLATE(B31485,""en"",""fr"")"),"Il attache la corde dans un nœud.")</f>
        <v>Il attache la corde dans un nœud.</v>
      </c>
    </row>
    <row r="31486">
      <c r="A31486" s="4" t="s">
        <v>39648</v>
      </c>
      <c r="B31486" s="4" t="s">
        <v>39649</v>
      </c>
      <c r="C31486" s="5" t="str">
        <f>IFERROR(__xludf.DUMMYFUNCTION("GOOGLETRANSLATE(B31486,""en"",""fr"")"),"Une personne se tient près d'une rivière.")</f>
        <v>Une personne se tient près d'une rivière.</v>
      </c>
    </row>
    <row r="31487">
      <c r="A31487" s="4" t="s">
        <v>39648</v>
      </c>
      <c r="B31487" s="4" t="s">
        <v>39650</v>
      </c>
      <c r="C31487" s="5" t="str">
        <f>IFERROR(__xludf.DUMMYFUNCTION("GOOGLETRANSLATE(B31487,""en"",""fr"")"),"Un groupe de personnes portant des gilets en kayak sur une rivière.")</f>
        <v>Un groupe de personnes portant des gilets en kayak sur une rivière.</v>
      </c>
    </row>
    <row r="31488">
      <c r="A31488" s="4" t="s">
        <v>39648</v>
      </c>
      <c r="B31488" s="4" t="s">
        <v>39651</v>
      </c>
      <c r="C31488" s="5" t="str">
        <f>IFERROR(__xludf.DUMMYFUNCTION("GOOGLETRANSLATE(B31488,""en"",""fr"")"),"Une personne tient sa pagaie au-dessus de sa tête.")</f>
        <v>Une personne tient sa pagaie au-dessus de sa tête.</v>
      </c>
    </row>
    <row r="31489">
      <c r="A31489" s="4" t="s">
        <v>39648</v>
      </c>
      <c r="B31489" s="4" t="s">
        <v>39652</v>
      </c>
      <c r="C31489" s="5" t="str">
        <f>IFERROR(__xludf.DUMMYFUNCTION("GOOGLETRANSLATE(B31489,""en"",""fr"")"),"Quelques personnes sont assises près de la rivière dans une zone herbeuse.")</f>
        <v>Quelques personnes sont assises près de la rivière dans une zone herbeuse.</v>
      </c>
    </row>
    <row r="31490">
      <c r="A31490" s="4" t="s">
        <v>39648</v>
      </c>
      <c r="B31490" s="4" t="s">
        <v>39653</v>
      </c>
      <c r="C31490" s="5" t="str">
        <f>IFERROR(__xludf.DUMMYFUNCTION("GOOGLETRANSLATE(B31490,""en"",""fr"")"),"Le kayak des gens s'approche d'un pont.")</f>
        <v>Le kayak des gens s'approche d'un pont.</v>
      </c>
    </row>
    <row r="31491">
      <c r="A31491" s="4" t="s">
        <v>39648</v>
      </c>
      <c r="B31491" s="4" t="s">
        <v>39654</v>
      </c>
      <c r="C31491" s="5" t="str">
        <f>IFERROR(__xludf.DUMMYFUNCTION("GOOGLETRANSLATE(B31491,""en"",""fr"")"),"Quelques personnes s'assoient près de quelques voitures à côté de la rivière.")</f>
        <v>Quelques personnes s'assoient près de quelques voitures à côté de la rivière.</v>
      </c>
    </row>
    <row r="31492">
      <c r="A31492" s="4" t="s">
        <v>39655</v>
      </c>
      <c r="B31492" s="4" t="s">
        <v>39656</v>
      </c>
      <c r="C31492" s="5" t="str">
        <f>IFERROR(__xludf.DUMMYFUNCTION("GOOGLETRANSLATE(B31492,""en"",""fr"")"),"Un homme kayak sur l'eau et bouge rapidement ses bras et quatrième.")</f>
        <v>Un homme kayak sur l'eau et bouge rapidement ses bras et quatrième.</v>
      </c>
    </row>
    <row r="31493">
      <c r="A31493" s="4" t="s">
        <v>39655</v>
      </c>
      <c r="B31493" s="6" t="s">
        <v>39657</v>
      </c>
      <c r="C31493" s="5" t="str">
        <f>IFERROR(__xludf.DUMMYFUNCTION("GOOGLETRANSLATE(B31493,""en"",""fr"")"),"La caméra le suit se déplaçant dans l'eau et finit par se diriger vers un pont.")</f>
        <v>La caméra le suit se déplaçant dans l'eau et finit par se diriger vers un pont.</v>
      </c>
    </row>
    <row r="31494">
      <c r="A31494" s="4" t="s">
        <v>39658</v>
      </c>
      <c r="B31494" s="4" t="s">
        <v>39659</v>
      </c>
      <c r="C31494" s="5" t="str">
        <f>IFERROR(__xludf.DUMMYFUNCTION("GOOGLETRANSLATE(B31494,""en"",""fr"")"),"Les crédits du clip le long d'un seau de peinture sont affichés.")</f>
        <v>Les crédits du clip le long d'un seau de peinture sont affichés.</v>
      </c>
    </row>
    <row r="31495">
      <c r="A31495" s="4" t="s">
        <v>39658</v>
      </c>
      <c r="B31495" s="4" t="s">
        <v>39660</v>
      </c>
      <c r="C31495" s="5" t="str">
        <f>IFERROR(__xludf.DUMMYFUNCTION("GOOGLETRANSLATE(B31495,""en"",""fr"")"),"Une main peint une garde-robe blanche avec un pinceau.")</f>
        <v>Une main peint une garde-robe blanche avec un pinceau.</v>
      </c>
    </row>
    <row r="31496">
      <c r="A31496" s="4" t="s">
        <v>39658</v>
      </c>
      <c r="B31496" s="4" t="s">
        <v>39661</v>
      </c>
      <c r="C31496" s="5" t="str">
        <f>IFERROR(__xludf.DUMMYFUNCTION("GOOGLETRANSLATE(B31496,""en"",""fr"")"),"La main ramasse un tapis blanc.")</f>
        <v>La main ramasse un tapis blanc.</v>
      </c>
    </row>
    <row r="31497">
      <c r="A31497" s="4" t="s">
        <v>39658</v>
      </c>
      <c r="B31497" s="4" t="s">
        <v>39662</v>
      </c>
      <c r="C31497" s="5" t="str">
        <f>IFERROR(__xludf.DUMMYFUNCTION("GOOGLETRANSLATE(B31497,""en"",""fr"")"),"La main place deux doigts à l'intérieur du tapis et procède à fouetter la garde-robe peinte.")</f>
        <v>La main place deux doigts à l'intérieur du tapis et procède à fouetter la garde-robe peinte.</v>
      </c>
    </row>
    <row r="31498">
      <c r="A31498" s="4" t="s">
        <v>39658</v>
      </c>
      <c r="B31498" s="4" t="s">
        <v>39663</v>
      </c>
      <c r="C31498" s="5" t="str">
        <f>IFERROR(__xludf.DUMMYFUNCTION("GOOGLETRANSLATE(B31498,""en"",""fr"")"),"Le produit final de la garde-robe peinte est montré.")</f>
        <v>Le produit final de la garde-robe peinte est montré.</v>
      </c>
    </row>
    <row r="31499">
      <c r="A31499" s="4" t="s">
        <v>39658</v>
      </c>
      <c r="B31499" s="4" t="s">
        <v>573</v>
      </c>
      <c r="C31499" s="5" t="str">
        <f>IFERROR(__xludf.DUMMYFUNCTION("GOOGLETRANSLATE(B31499,""en"",""fr"")"),"Les crédits de la vidéo sont affichés.")</f>
        <v>Les crédits de la vidéo sont affichés.</v>
      </c>
    </row>
    <row r="31500">
      <c r="A31500" s="4" t="s">
        <v>39664</v>
      </c>
      <c r="B31500" s="6" t="s">
        <v>39665</v>
      </c>
      <c r="C31500" s="5" t="str">
        <f>IFERROR(__xludf.DUMMYFUNCTION("GOOGLETRANSLATE(B31500,""en"",""fr"")"),"Les bras d'une personne sont vus reculer et quatrième dans l'eau contrôlant un kayak sous des tombes qui sortent de l'eau.")</f>
        <v>Les bras d'une personne sont vus reculer et quatrième dans l'eau contrôlant un kayak sous des tombes qui sortent de l'eau.</v>
      </c>
    </row>
    <row r="31501">
      <c r="A31501" s="4" t="s">
        <v>39664</v>
      </c>
      <c r="B31501" s="4" t="s">
        <v>39666</v>
      </c>
      <c r="C31501" s="5" t="str">
        <f>IFERROR(__xludf.DUMMYFUNCTION("GOOGLETRANSLATE(B31501,""en"",""fr"")"),"L'homme continue de pousser son chemin et se termine avec lui en collant son poteau dans l'eau.")</f>
        <v>L'homme continue de pousser son chemin et se termine avec lui en collant son poteau dans l'eau.</v>
      </c>
    </row>
    <row r="31502">
      <c r="A31502" s="4" t="s">
        <v>39667</v>
      </c>
      <c r="B31502" s="6" t="s">
        <v>39668</v>
      </c>
      <c r="C31502" s="5" t="str">
        <f>IFERROR(__xludf.DUMMYFUNCTION("GOOGLETRANSLATE(B31502,""en"",""fr"")"),"Diverses plans d'une boutique de tatouage sont présentés, suivis d'une femme assise sur une chaise et d'un homme préparant des articles.")</f>
        <v>Diverses plans d'une boutique de tatouage sont présentés, suivis d'une femme assise sur une chaise et d'un homme préparant des articles.</v>
      </c>
    </row>
    <row r="31503">
      <c r="A31503" s="4" t="s">
        <v>39667</v>
      </c>
      <c r="B31503" s="4" t="s">
        <v>39669</v>
      </c>
      <c r="C31503" s="5" t="str">
        <f>IFERROR(__xludf.DUMMYFUNCTION("GOOGLETRANSLATE(B31503,""en"",""fr"")"),"Elle prend une gorgée d'eau et l'homme perce ensuite sa lèvre avec une aiguille.")</f>
        <v>Elle prend une gorgée d'eau et l'homme perce ensuite sa lèvre avec une aiguille.</v>
      </c>
    </row>
    <row r="31504">
      <c r="A31504" s="4" t="s">
        <v>39667</v>
      </c>
      <c r="B31504" s="4" t="s">
        <v>39670</v>
      </c>
      <c r="C31504" s="5" t="str">
        <f>IFERROR(__xludf.DUMMYFUNCTION("GOOGLETRANSLATE(B31504,""en"",""fr"")"),"Elle est à nouveau montrée sur une photo de son nouveau piercing.")</f>
        <v>Elle est à nouveau montrée sur une photo de son nouveau piercing.</v>
      </c>
    </row>
    <row r="31505">
      <c r="A31505" s="4" t="s">
        <v>39671</v>
      </c>
      <c r="B31505" s="4" t="s">
        <v>39672</v>
      </c>
      <c r="C31505" s="5" t="str">
        <f>IFERROR(__xludf.DUMMYFUNCTION("GOOGLETRANSLATE(B31505,""en"",""fr"")"),"Un homme joue un accordéan tout en regardant occasionnellement dans la caméra.")</f>
        <v>Un homme joue un accordéan tout en regardant occasionnellement dans la caméra.</v>
      </c>
    </row>
    <row r="31506">
      <c r="A31506" s="4" t="s">
        <v>39671</v>
      </c>
      <c r="B31506" s="4" t="s">
        <v>39673</v>
      </c>
      <c r="C31506" s="5" t="str">
        <f>IFERROR(__xludf.DUMMYFUNCTION("GOOGLETRANSLATE(B31506,""en"",""fr"")"),"L'homme change constamment le bout de ses doigts et regarde au loin en jouant.")</f>
        <v>L'homme change constamment le bout de ses doigts et regarde au loin en jouant.</v>
      </c>
    </row>
    <row r="31507">
      <c r="A31507" s="4" t="s">
        <v>39671</v>
      </c>
      <c r="B31507" s="4" t="s">
        <v>39674</v>
      </c>
      <c r="C31507" s="5" t="str">
        <f>IFERROR(__xludf.DUMMYFUNCTION("GOOGLETRANSLATE(B31507,""en"",""fr"")"),"L'homme continue sa chanson et finit par se terminer en souriant dans la caméra.")</f>
        <v>L'homme continue sa chanson et finit par se terminer en souriant dans la caméra.</v>
      </c>
    </row>
    <row r="31508">
      <c r="A31508" s="4" t="s">
        <v>39675</v>
      </c>
      <c r="B31508" s="4" t="s">
        <v>39676</v>
      </c>
      <c r="C31508" s="5" t="str">
        <f>IFERROR(__xludf.DUMMYFUNCTION("GOOGLETRANSLATE(B31508,""en"",""fr"")"),"Un homme dans la cour avant montrant comment tondre la pelouse.")</f>
        <v>Un homme dans la cour avant montrant comment tondre la pelouse.</v>
      </c>
    </row>
    <row r="31509">
      <c r="A31509" s="4" t="s">
        <v>39675</v>
      </c>
      <c r="B31509" s="6" t="s">
        <v>39677</v>
      </c>
      <c r="C31509" s="5" t="str">
        <f>IFERROR(__xludf.DUMMYFUNCTION("GOOGLETRANSLATE(B31509,""en"",""fr"")"),"Il déplace d'abord tous les débris à l'écart afin que rien ne soit pris dans la tondeuse avant de tondre.")</f>
        <v>Il déplace d'abord tous les débris à l'écart afin que rien ne soit pris dans la tondeuse avant de tondre.</v>
      </c>
    </row>
    <row r="31510">
      <c r="A31510" s="4" t="s">
        <v>39675</v>
      </c>
      <c r="B31510" s="4" t="s">
        <v>39678</v>
      </c>
      <c r="C31510" s="5" t="str">
        <f>IFERROR(__xludf.DUMMYFUNCTION("GOOGLETRANSLATE(B31510,""en"",""fr"")"),"Puis il utilise un stéthoscope pour écouter la tondeuse pendant qu'il y met de l'huile.")</f>
        <v>Puis il utilise un stéthoscope pour écouter la tondeuse pendant qu'il y met de l'huile.</v>
      </c>
    </row>
    <row r="31511">
      <c r="A31511" s="4" t="s">
        <v>39675</v>
      </c>
      <c r="B31511" s="6" t="s">
        <v>39679</v>
      </c>
      <c r="C31511" s="5" t="str">
        <f>IFERROR(__xludf.DUMMYFUNCTION("GOOGLETRANSLATE(B31511,""en"",""fr"")"),"Il vous suggère de finir de tondre par le coucher du soleil et si vous utilisez une tondeuse en poussée, vous devez garder le dos strié et les bras pliés.")</f>
        <v>Il vous suggère de finir de tondre par le coucher du soleil et si vous utilisez une tondeuse en poussée, vous devez garder le dos strié et les bras pliés.</v>
      </c>
    </row>
    <row r="31512">
      <c r="A31512" s="4" t="s">
        <v>39680</v>
      </c>
      <c r="B31512" s="4" t="s">
        <v>39681</v>
      </c>
      <c r="C31512" s="5" t="str">
        <f>IFERROR(__xludf.DUMMYFUNCTION("GOOGLETRANSLATE(B31512,""en"",""fr"")"),"Une petite fille se tient dans une cuisine devant un bol et un mélange de biscuits au sucre.")</f>
        <v>Une petite fille se tient dans une cuisine devant un bol et un mélange de biscuits au sucre.</v>
      </c>
    </row>
    <row r="31513">
      <c r="A31513" s="4" t="s">
        <v>39680</v>
      </c>
      <c r="B31513" s="6" t="s">
        <v>39682</v>
      </c>
      <c r="C31513" s="5" t="str">
        <f>IFERROR(__xludf.DUMMYFUNCTION("GOOGLETRANSLATE(B31513,""en"",""fr"")"),"La fille commence à montrer les ingrédients à son public, avant de verser le mélange de biscuits dans un bol.")</f>
        <v>La fille commence à montrer les ingrédients à son public, avant de verser le mélange de biscuits dans un bol.</v>
      </c>
    </row>
    <row r="31514">
      <c r="A31514" s="4" t="s">
        <v>39680</v>
      </c>
      <c r="B31514" s="4" t="s">
        <v>39683</v>
      </c>
      <c r="C31514" s="5" t="str">
        <f>IFERROR(__xludf.DUMMYFUNCTION("GOOGLETRANSLATE(B31514,""en"",""fr"")"),"Elle ajoute ensuite du beurre et des jaunes d'oeuf et suscite le tout à l'aide d'un mélangeur à main.")</f>
        <v>Elle ajoute ensuite du beurre et des jaunes d'oeuf et suscite le tout à l'aide d'un mélangeur à main.</v>
      </c>
    </row>
    <row r="31515">
      <c r="A31515" s="4" t="s">
        <v>39680</v>
      </c>
      <c r="B31515" s="6" t="s">
        <v>39684</v>
      </c>
      <c r="C31515" s="5" t="str">
        <f>IFERROR(__xludf.DUMMYFUNCTION("GOOGLETRANSLATE(B31515,""en"",""fr"")"),"Elle roule la pâte dans une pellicule plastique avant de la répandre et de couper en formes avec des emporte-pièces.")</f>
        <v>Elle roule la pâte dans une pellicule plastique avant de la répandre et de couper en formes avec des emporte-pièces.</v>
      </c>
    </row>
    <row r="31516">
      <c r="A31516" s="4" t="s">
        <v>39680</v>
      </c>
      <c r="B31516" s="4" t="s">
        <v>39685</v>
      </c>
      <c r="C31516" s="5" t="str">
        <f>IFERROR(__xludf.DUMMYFUNCTION("GOOGLETRANSLATE(B31516,""en"",""fr"")"),"Les biscuits sont cuits au four et prêts à givrer avec des paillettes et un glaçage.")</f>
        <v>Les biscuits sont cuits au four et prêts à givrer avec des paillettes et un glaçage.</v>
      </c>
    </row>
    <row r="31517">
      <c r="A31517" s="4" t="s">
        <v>39686</v>
      </c>
      <c r="B31517" s="4" t="s">
        <v>1251</v>
      </c>
      <c r="C31517" s="5" t="str">
        <f>IFERROR(__xludf.DUMMYFUNCTION("GOOGLETRANSLATE(B31517,""en"",""fr"")"),"Les crédits du clip sont affichés.")</f>
        <v>Les crédits du clip sont affichés.</v>
      </c>
    </row>
    <row r="31518">
      <c r="A31518" s="4" t="s">
        <v>39686</v>
      </c>
      <c r="B31518" s="4" t="s">
        <v>39687</v>
      </c>
      <c r="C31518" s="5" t="str">
        <f>IFERROR(__xludf.DUMMYFUNCTION("GOOGLETRANSLATE(B31518,""en"",""fr"")"),"Une mains polies prend un morceau de ruban adhésif.")</f>
        <v>Une mains polies prend un morceau de ruban adhésif.</v>
      </c>
    </row>
    <row r="31519">
      <c r="A31519" s="4" t="s">
        <v>39686</v>
      </c>
      <c r="B31519" s="4" t="s">
        <v>39688</v>
      </c>
      <c r="C31519" s="5" t="str">
        <f>IFERROR(__xludf.DUMMYFUNCTION("GOOGLETRANSLATE(B31519,""en"",""fr"")"),"Les mains polies mettent un morceau de ruban adhésif au bord d'un objet brun.")</f>
        <v>Les mains polies mettent un morceau de ruban adhésif au bord d'un objet brun.</v>
      </c>
    </row>
    <row r="31520">
      <c r="A31520" s="4" t="s">
        <v>39686</v>
      </c>
      <c r="B31520" s="4" t="s">
        <v>39689</v>
      </c>
      <c r="C31520" s="5" t="str">
        <f>IFERROR(__xludf.DUMMYFUNCTION("GOOGLETRANSLATE(B31520,""en"",""fr"")"),"La main peint le vernis turquoise sur le ruban.")</f>
        <v>La main peint le vernis turquoise sur le ruban.</v>
      </c>
    </row>
    <row r="31521">
      <c r="A31521" s="4" t="s">
        <v>39686</v>
      </c>
      <c r="B31521" s="4" t="s">
        <v>39690</v>
      </c>
      <c r="C31521" s="5" t="str">
        <f>IFERROR(__xludf.DUMMYFUNCTION("GOOGLETRANSLATE(B31521,""en"",""fr"")"),"La main coupe le ruban poli en bandes.")</f>
        <v>La main coupe le ruban poli en bandes.</v>
      </c>
    </row>
    <row r="31522">
      <c r="A31522" s="4" t="s">
        <v>39686</v>
      </c>
      <c r="B31522" s="4" t="s">
        <v>39691</v>
      </c>
      <c r="C31522" s="5" t="str">
        <f>IFERROR(__xludf.DUMMYFUNCTION("GOOGLETRANSLATE(B31522,""en"",""fr"")"),"La main met la bande sur un clou poli.")</f>
        <v>La main met la bande sur un clou poli.</v>
      </c>
    </row>
    <row r="31523">
      <c r="A31523" s="4" t="s">
        <v>39686</v>
      </c>
      <c r="B31523" s="4" t="s">
        <v>39692</v>
      </c>
      <c r="C31523" s="5" t="str">
        <f>IFERROR(__xludf.DUMMYFUNCTION("GOOGLETRANSLATE(B31523,""en"",""fr"")"),"La main peint l'ongle avec du vernis à ongles transparent.")</f>
        <v>La main peint l'ongle avec du vernis à ongles transparent.</v>
      </c>
    </row>
    <row r="31524">
      <c r="A31524" s="4" t="s">
        <v>39686</v>
      </c>
      <c r="B31524" s="4" t="s">
        <v>39693</v>
      </c>
      <c r="C31524" s="5" t="str">
        <f>IFERROR(__xludf.DUMMYFUNCTION("GOOGLETRANSLATE(B31524,""en"",""fr"")"),"La main frotte une boule de coton trempée sur une ongle pour que le vernis soit retiré.")</f>
        <v>La main frotte une boule de coton trempée sur une ongle pour que le vernis soit retiré.</v>
      </c>
    </row>
    <row r="31525">
      <c r="A31525" s="4" t="s">
        <v>39686</v>
      </c>
      <c r="B31525" s="4" t="s">
        <v>573</v>
      </c>
      <c r="C31525" s="5" t="str">
        <f>IFERROR(__xludf.DUMMYFUNCTION("GOOGLETRANSLATE(B31525,""en"",""fr"")"),"Les crédits de la vidéo sont affichés.")</f>
        <v>Les crédits de la vidéo sont affichés.</v>
      </c>
    </row>
    <row r="31526">
      <c r="A31526" s="4" t="s">
        <v>39694</v>
      </c>
      <c r="B31526" s="6" t="s">
        <v>39695</v>
      </c>
      <c r="C31526" s="5" t="str">
        <f>IFERROR(__xludf.DUMMYFUNCTION("GOOGLETRANSLATE(B31526,""en"",""fr"")"),"Un homme étend les chemises sur une planche à repasser dans une zone d'atelier et utilise un fer plat pour le presser à la vapeur.")</f>
        <v>Un homme étend les chemises sur une planche à repasser dans une zone d'atelier et utilise un fer plat pour le presser à la vapeur.</v>
      </c>
    </row>
    <row r="31527">
      <c r="A31527" s="4" t="s">
        <v>39694</v>
      </c>
      <c r="B31527" s="4" t="s">
        <v>39696</v>
      </c>
      <c r="C31527" s="5" t="str">
        <f>IFERROR(__xludf.DUMMYFUNCTION("GOOGLETRANSLATE(B31527,""en"",""fr"")"),"L'homme enlève la chemise fermée et la place sur un cintre.")</f>
        <v>L'homme enlève la chemise fermée et la place sur un cintre.</v>
      </c>
    </row>
    <row r="31528">
      <c r="A31528" s="4" t="s">
        <v>39694</v>
      </c>
      <c r="B31528" s="4" t="s">
        <v>39697</v>
      </c>
      <c r="C31528" s="5" t="str">
        <f>IFERROR(__xludf.DUMMYFUNCTION("GOOGLETRANSLATE(B31528,""en"",""fr"")"),"L'homme donne à la chemise un repassage rapide de plus sur un seul endroit puis accroche la chemise sur un rack.")</f>
        <v>L'homme donne à la chemise un repassage rapide de plus sur un seul endroit puis accroche la chemise sur un rack.</v>
      </c>
    </row>
    <row r="31529">
      <c r="A31529" s="4" t="s">
        <v>39698</v>
      </c>
      <c r="B31529" s="4" t="s">
        <v>39699</v>
      </c>
      <c r="C31529" s="5" t="str">
        <f>IFERROR(__xludf.DUMMYFUNCTION("GOOGLETRANSLATE(B31529,""en"",""fr"")"),"Un homme saute à plusieurs reprises dans une piscine dans une piscine.")</f>
        <v>Un homme saute à plusieurs reprises dans une piscine dans une piscine.</v>
      </c>
    </row>
    <row r="31530">
      <c r="A31530" s="4" t="s">
        <v>39698</v>
      </c>
      <c r="B31530" s="4" t="s">
        <v>39700</v>
      </c>
      <c r="C31530" s="5" t="str">
        <f>IFERROR(__xludf.DUMMYFUNCTION("GOOGLETRANSLATE(B31530,""en"",""fr"")"),"Une autre personne nage dans la piscine.")</f>
        <v>Une autre personne nage dans la piscine.</v>
      </c>
    </row>
    <row r="31531">
      <c r="A31531" s="4" t="s">
        <v>39698</v>
      </c>
      <c r="B31531" s="4" t="s">
        <v>39701</v>
      </c>
      <c r="C31531" s="5" t="str">
        <f>IFERROR(__xludf.DUMMYFUNCTION("GOOGLETRANSLATE(B31531,""en"",""fr"")"),"Il fait un flip et atterrit dans l'eau avant de faire surface.")</f>
        <v>Il fait un flip et atterrit dans l'eau avant de faire surface.</v>
      </c>
    </row>
    <row r="31532">
      <c r="A31532" s="4" t="s">
        <v>39702</v>
      </c>
      <c r="B31532" s="4" t="s">
        <v>1487</v>
      </c>
      <c r="C31532" s="5" t="str">
        <f>IFERROR(__xludf.DUMMYFUNCTION("GOOGLETRANSLATE(B31532,""en"",""fr"")"),"Nous voyons un écran de titre d'ouverture.")</f>
        <v>Nous voyons un écran de titre d'ouverture.</v>
      </c>
    </row>
    <row r="31533">
      <c r="A31533" s="4" t="s">
        <v>39702</v>
      </c>
      <c r="B31533" s="4" t="s">
        <v>39703</v>
      </c>
      <c r="C31533" s="5" t="str">
        <f>IFERROR(__xludf.DUMMYFUNCTION("GOOGLETRANSLATE(B31533,""en"",""fr"")"),"Nous voyons une dame assise à une table avec des chaussures et des fournitures parler à la caméra.")</f>
        <v>Nous voyons une dame assise à une table avec des chaussures et des fournitures parler à la caméra.</v>
      </c>
    </row>
    <row r="31534">
      <c r="A31534" s="4" t="s">
        <v>39702</v>
      </c>
      <c r="B31534" s="4" t="s">
        <v>39704</v>
      </c>
      <c r="C31534" s="5" t="str">
        <f>IFERROR(__xludf.DUMMYFUNCTION("GOOGLETRANSLATE(B31534,""en"",""fr"")"),"Nous voyons des écrans avec des chaussures dessus.")</f>
        <v>Nous voyons des écrans avec des chaussures dessus.</v>
      </c>
    </row>
    <row r="31535">
      <c r="A31535" s="4" t="s">
        <v>39702</v>
      </c>
      <c r="B31535" s="4" t="s">
        <v>39705</v>
      </c>
      <c r="C31535" s="5" t="str">
        <f>IFERROR(__xludf.DUMMYFUNCTION("GOOGLETRANSLATE(B31535,""en"",""fr"")"),"La dame nous montre diverses chaussures.")</f>
        <v>La dame nous montre diverses chaussures.</v>
      </c>
    </row>
    <row r="31536">
      <c r="A31536" s="4" t="s">
        <v>39702</v>
      </c>
      <c r="B31536" s="4" t="s">
        <v>39706</v>
      </c>
      <c r="C31536" s="5" t="str">
        <f>IFERROR(__xludf.DUMMYFUNCTION("GOOGLETRANSLATE(B31536,""en"",""fr"")"),"La dame nous montre les fournitures de chaussures.")</f>
        <v>La dame nous montre les fournitures de chaussures.</v>
      </c>
    </row>
    <row r="31537">
      <c r="A31537" s="4" t="s">
        <v>39702</v>
      </c>
      <c r="B31537" s="4" t="s">
        <v>39707</v>
      </c>
      <c r="C31537" s="5" t="str">
        <f>IFERROR(__xludf.DUMMYFUNCTION("GOOGLETRANSLATE(B31537,""en"",""fr"")"),"La dame ajoute un produit aux chaussures.")</f>
        <v>La dame ajoute un produit aux chaussures.</v>
      </c>
    </row>
    <row r="31538">
      <c r="A31538" s="4" t="s">
        <v>39702</v>
      </c>
      <c r="B31538" s="4" t="s">
        <v>39708</v>
      </c>
      <c r="C31538" s="5" t="str">
        <f>IFERROR(__xludf.DUMMYFUNCTION("GOOGLETRANSLATE(B31538,""en"",""fr"")"),"La dame essuie ensuite le produit avec une serviette.")</f>
        <v>La dame essuie ensuite le produit avec une serviette.</v>
      </c>
    </row>
    <row r="31539">
      <c r="A31539" s="4" t="s">
        <v>39702</v>
      </c>
      <c r="B31539" s="4" t="s">
        <v>39709</v>
      </c>
      <c r="C31539" s="5" t="str">
        <f>IFERROR(__xludf.DUMMYFUNCTION("GOOGLETRANSLATE(B31539,""en"",""fr"")"),"La dame ajoute ensuite des chaussures de cire à la chaussure et l'essuie.")</f>
        <v>La dame ajoute ensuite des chaussures de cire à la chaussure et l'essuie.</v>
      </c>
    </row>
    <row r="31540">
      <c r="A31540" s="4" t="s">
        <v>39702</v>
      </c>
      <c r="B31540" s="4" t="s">
        <v>2892</v>
      </c>
      <c r="C31540" s="5" t="str">
        <f>IFERROR(__xludf.DUMMYFUNCTION("GOOGLETRANSLATE(B31540,""en"",""fr"")"),"Nous voyons l'écran de titre de clôture.")</f>
        <v>Nous voyons l'écran de titre de clôture.</v>
      </c>
    </row>
    <row r="31541">
      <c r="A31541" s="4" t="s">
        <v>39710</v>
      </c>
      <c r="B31541" s="4" t="s">
        <v>39711</v>
      </c>
      <c r="C31541" s="5" t="str">
        <f>IFERROR(__xludf.DUMMYFUNCTION("GOOGLETRANSLATE(B31541,""en"",""fr"")"),"Un homme nettoie la neige d'une voiture dans un parking couvert de neige.")</f>
        <v>Un homme nettoie la neige d'une voiture dans un parking couvert de neige.</v>
      </c>
    </row>
    <row r="31542">
      <c r="A31542" s="4" t="s">
        <v>39710</v>
      </c>
      <c r="B31542" s="6" t="s">
        <v>39712</v>
      </c>
      <c r="C31542" s="5" t="str">
        <f>IFERROR(__xludf.DUMMYFUNCTION("GOOGLETRANSLATE(B31542,""en"",""fr"")"),"Un homme dans un couloir étroit tient et dirige une caméra dans le couloir, appuie sur un bouton dans le couloir, puis sort par la porte dans le couloir et sort.")</f>
        <v>Un homme dans un couloir étroit tient et dirige une caméra dans le couloir, appuie sur un bouton dans le couloir, puis sort par la porte dans le couloir et sort.</v>
      </c>
    </row>
    <row r="31543">
      <c r="A31543" s="4" t="s">
        <v>39710</v>
      </c>
      <c r="B31543" s="6" t="s">
        <v>39713</v>
      </c>
      <c r="C31543" s="5" t="str">
        <f>IFERROR(__xludf.DUMMYFUNCTION("GOOGLETRANSLATE(B31543,""en"",""fr"")"),"Une fois à l'extérieur, la caméra ramasse un parking enneigé rempli de voitures enneigées et une fille en pantalon rose.")</f>
        <v>Une fois à l'extérieur, la caméra ramasse un parking enneigé rempli de voitures enneigées et une fille en pantalon rose.</v>
      </c>
    </row>
    <row r="31544">
      <c r="A31544" s="4" t="s">
        <v>39710</v>
      </c>
      <c r="B31544" s="6" t="s">
        <v>39714</v>
      </c>
      <c r="C31544" s="5" t="str">
        <f>IFERROR(__xludf.DUMMYFUNCTION("GOOGLETRANSLATE(B31544,""en"",""fr"")"),"Un homme tenant une longue brosse en retirage de neige s'approche d'une voiture et commence à essuyer la neige de la voiture en train de se promener sauvagement avec ses bras.")</f>
        <v>Un homme tenant une longue brosse en retirage de neige s'approche d'une voiture et commence à essuyer la neige de la voiture en train de se promener sauvagement avec ses bras.</v>
      </c>
    </row>
    <row r="31545">
      <c r="A31545" s="4" t="s">
        <v>39710</v>
      </c>
      <c r="B31545" s="6" t="s">
        <v>39715</v>
      </c>
      <c r="C31545" s="5" t="str">
        <f>IFERROR(__xludf.DUMMYFUNCTION("GOOGLETRANSLATE(B31545,""en"",""fr"")"),"L'homme efface toute la voiture avec de la neige, avec la brosse et une pelle avant que la scène ne passe à un véhicule en descendant dans la rue dans la neige.")</f>
        <v>L'homme efface toute la voiture avec de la neige, avec la brosse et une pelle avant que la scène ne passe à un véhicule en descendant dans la rue dans la neige.</v>
      </c>
    </row>
    <row r="31546">
      <c r="A31546" s="4" t="s">
        <v>39716</v>
      </c>
      <c r="B31546" s="4" t="s">
        <v>39717</v>
      </c>
      <c r="C31546" s="5" t="str">
        <f>IFERROR(__xludf.DUMMYFUNCTION("GOOGLETRANSLATE(B31546,""en"",""fr"")"),"Nous voyons des hommes debout dans un casino tenant des bières.")</f>
        <v>Nous voyons des hommes debout dans un casino tenant des bières.</v>
      </c>
    </row>
    <row r="31547">
      <c r="A31547" s="4" t="s">
        <v>39716</v>
      </c>
      <c r="B31547" s="4" t="s">
        <v>39718</v>
      </c>
      <c r="C31547" s="5" t="str">
        <f>IFERROR(__xludf.DUMMYFUNCTION("GOOGLETRANSLATE(B31547,""en"",""fr"")"),"Nous voyons un homme et mettons de l'argent sur la table.")</f>
        <v>Nous voyons un homme et mettons de l'argent sur la table.</v>
      </c>
    </row>
    <row r="31548">
      <c r="A31548" s="4" t="s">
        <v>39716</v>
      </c>
      <c r="B31548" s="4" t="s">
        <v>39719</v>
      </c>
      <c r="C31548" s="5" t="str">
        <f>IFERROR(__xludf.DUMMYFUNCTION("GOOGLETRANSLATE(B31548,""en"",""fr"")"),"Le concessionnaire compte l'argent et donne à l'homme des jetons.")</f>
        <v>Le concessionnaire compte l'argent et donne à l'homme des jetons.</v>
      </c>
    </row>
    <row r="31549">
      <c r="A31549" s="4" t="s">
        <v>39716</v>
      </c>
      <c r="B31549" s="4" t="s">
        <v>39720</v>
      </c>
      <c r="C31549" s="5" t="str">
        <f>IFERROR(__xludf.DUMMYFUNCTION("GOOGLETRANSLATE(B31549,""en"",""fr"")"),"Le concessionnaire traite des mains de blackjack et nous voyons les hommes applaudir et le concessionnaire rit.")</f>
        <v>Le concessionnaire traite des mains de blackjack et nous voyons les hommes applaudir et le concessionnaire rit.</v>
      </c>
    </row>
    <row r="31550">
      <c r="A31550" s="4" t="s">
        <v>39716</v>
      </c>
      <c r="B31550" s="6" t="s">
        <v>39721</v>
      </c>
      <c r="C31550" s="5" t="str">
        <f>IFERROR(__xludf.DUMMYFUNCTION("GOOGLETRANSLATE(B31550,""en"",""fr"")"),"Nous voyons le concessionnaire donner à l'homme des jetons et l'homme se tient dans son groupe montrant à ses amis sa pile de jetons.")</f>
        <v>Nous voyons le concessionnaire donner à l'homme des jetons et l'homme se tient dans son groupe montrant à ses amis sa pile de jetons.</v>
      </c>
    </row>
    <row r="31551">
      <c r="A31551" s="4" t="s">
        <v>39716</v>
      </c>
      <c r="B31551" s="4" t="s">
        <v>39722</v>
      </c>
      <c r="C31551" s="5" t="str">
        <f>IFERROR(__xludf.DUMMYFUNCTION("GOOGLETRANSLATE(B31551,""en"",""fr"")"),"Deux hommes applaudissent et jettent leurs poings dans les airs et les moi rient et applaudissent et marchent.")</f>
        <v>Deux hommes applaudissent et jettent leurs poings dans les airs et les moi rient et applaudissent et marchent.</v>
      </c>
    </row>
    <row r="31552">
      <c r="A31552" s="4" t="s">
        <v>39723</v>
      </c>
      <c r="B31552" s="4" t="s">
        <v>31448</v>
      </c>
      <c r="C31552" s="5" t="str">
        <f>IFERROR(__xludf.DUMMYFUNCTION("GOOGLETRANSLATE(B31552,""en"",""fr"")"),"Un enfant glisse sur une diapositive.")</f>
        <v>Un enfant glisse sur une diapositive.</v>
      </c>
    </row>
    <row r="31553">
      <c r="A31553" s="4" t="s">
        <v>39723</v>
      </c>
      <c r="B31553" s="4" t="s">
        <v>39724</v>
      </c>
      <c r="C31553" s="5" t="str">
        <f>IFERROR(__xludf.DUMMYFUNCTION("GOOGLETRANSLATE(B31553,""en"",""fr"")"),"Il s'arrête alors qu'un autre glisse vers le bas.")</f>
        <v>Il s'arrête alors qu'un autre glisse vers le bas.</v>
      </c>
    </row>
    <row r="31554">
      <c r="A31554" s="4" t="s">
        <v>39723</v>
      </c>
      <c r="B31554" s="4" t="s">
        <v>39725</v>
      </c>
      <c r="C31554" s="5" t="str">
        <f>IFERROR(__xludf.DUMMYFUNCTION("GOOGLETRANSLATE(B31554,""en"",""fr"")"),"Il glisse alors qu'elle s'arrête.")</f>
        <v>Il glisse alors qu'elle s'arrête.</v>
      </c>
    </row>
    <row r="31555">
      <c r="A31555" s="4" t="s">
        <v>39723</v>
      </c>
      <c r="B31555" s="4" t="s">
        <v>39726</v>
      </c>
      <c r="C31555" s="5" t="str">
        <f>IFERROR(__xludf.DUMMYFUNCTION("GOOGLETRANSLATE(B31555,""en"",""fr"")"),"Il court vers elle et elle glisse jusqu'au bout.")</f>
        <v>Il court vers elle et elle glisse jusqu'au bout.</v>
      </c>
    </row>
    <row r="31556">
      <c r="A31556" s="4" t="s">
        <v>39727</v>
      </c>
      <c r="B31556" s="4" t="s">
        <v>39728</v>
      </c>
      <c r="C31556" s="5" t="str">
        <f>IFERROR(__xludf.DUMMYFUNCTION("GOOGLETRANSLATE(B31556,""en"",""fr"")"),"Nous voyons le titre sur un paysage.")</f>
        <v>Nous voyons le titre sur un paysage.</v>
      </c>
    </row>
    <row r="31557">
      <c r="A31557" s="4" t="s">
        <v>39727</v>
      </c>
      <c r="B31557" s="4" t="s">
        <v>39729</v>
      </c>
      <c r="C31557" s="5" t="str">
        <f>IFERROR(__xludf.DUMMYFUNCTION("GOOGLETRANSLATE(B31557,""en"",""fr"")"),"Les gens jouent des instruments dans un domaine.")</f>
        <v>Les gens jouent des instruments dans un domaine.</v>
      </c>
    </row>
    <row r="31558">
      <c r="A31558" s="4" t="s">
        <v>39727</v>
      </c>
      <c r="B31558" s="4" t="s">
        <v>39730</v>
      </c>
      <c r="C31558" s="5" t="str">
        <f>IFERROR(__xludf.DUMMYFUNCTION("GOOGLETRANSLATE(B31558,""en"",""fr"")"),"Nous voyons ensuite des hommes pratiquer les arts martiaux.")</f>
        <v>Nous voyons ensuite des hommes pratiquer les arts martiaux.</v>
      </c>
    </row>
    <row r="31559">
      <c r="A31559" s="4" t="s">
        <v>39727</v>
      </c>
      <c r="B31559" s="4" t="s">
        <v>39731</v>
      </c>
      <c r="C31559" s="5" t="str">
        <f>IFERROR(__xludf.DUMMYFUNCTION("GOOGLETRANSLATE(B31559,""en"",""fr"")"),"Un homme frappe un autre homme au sol.")</f>
        <v>Un homme frappe un autre homme au sol.</v>
      </c>
    </row>
    <row r="31560">
      <c r="A31560" s="4" t="s">
        <v>39727</v>
      </c>
      <c r="B31560" s="4" t="s">
        <v>39732</v>
      </c>
      <c r="C31560" s="5" t="str">
        <f>IFERROR(__xludf.DUMMYFUNCTION("GOOGLETRANSLATE(B31560,""en"",""fr"")"),"Nous voyons un homme jeter un autre homme sur le dos.")</f>
        <v>Nous voyons un homme jeter un autre homme sur le dos.</v>
      </c>
    </row>
    <row r="31561">
      <c r="A31561" s="4" t="s">
        <v>39727</v>
      </c>
      <c r="B31561" s="4" t="s">
        <v>39733</v>
      </c>
      <c r="C31561" s="5" t="str">
        <f>IFERROR(__xludf.DUMMYFUNCTION("GOOGLETRANSLATE(B31561,""en"",""fr"")"),"Un homme fait un flip, puis fait un retournement du dos.")</f>
        <v>Un homme fait un flip, puis fait un retournement du dos.</v>
      </c>
    </row>
    <row r="31562">
      <c r="A31562" s="4" t="s">
        <v>39727</v>
      </c>
      <c r="B31562" s="4" t="s">
        <v>39734</v>
      </c>
      <c r="C31562" s="5" t="str">
        <f>IFERROR(__xludf.DUMMYFUNCTION("GOOGLETRANSLATE(B31562,""en"",""fr"")"),"Nous voyons les gens jouer à nouveau des instruments.")</f>
        <v>Nous voyons les gens jouer à nouveau des instruments.</v>
      </c>
    </row>
    <row r="31563">
      <c r="A31563" s="4" t="s">
        <v>39727</v>
      </c>
      <c r="B31563" s="4" t="s">
        <v>39735</v>
      </c>
      <c r="C31563" s="5" t="str">
        <f>IFERROR(__xludf.DUMMYFUNCTION("GOOGLETRANSLATE(B31563,""en"",""fr"")"),"130 Nous voyons des mots apparaître à l'écran et les crédits de fin apparaissent.")</f>
        <v>130 Nous voyons des mots apparaître à l'écran et les crédits de fin apparaissent.</v>
      </c>
    </row>
    <row r="31564">
      <c r="A31564" s="4" t="s">
        <v>39736</v>
      </c>
      <c r="B31564" s="4" t="s">
        <v>39737</v>
      </c>
      <c r="C31564" s="5" t="str">
        <f>IFERROR(__xludf.DUMMYFUNCTION("GOOGLETRANSLATE(B31564,""en"",""fr"")"),"Un jeune enfant est vu jouer avec un jouet et mettre un bâton de lèvres sur ses lèvres.")</f>
        <v>Un jeune enfant est vu jouer avec un jouet et mettre un bâton de lèvres sur ses lèvres.</v>
      </c>
    </row>
    <row r="31565">
      <c r="A31565" s="4" t="s">
        <v>39736</v>
      </c>
      <c r="B31565" s="4" t="s">
        <v>39738</v>
      </c>
      <c r="C31565" s="5" t="str">
        <f>IFERROR(__xludf.DUMMYFUNCTION("GOOGLETRANSLATE(B31565,""en"",""fr"")"),"On voit ensuite la caméra se déplacer dans une pièce, marchant dans les escaliers et suivant la jeune fille.")</f>
        <v>On voit ensuite la caméra se déplacer dans une pièce, marchant dans les escaliers et suivant la jeune fille.</v>
      </c>
    </row>
    <row r="31566">
      <c r="A31566" s="4" t="s">
        <v>39736</v>
      </c>
      <c r="B31566" s="4" t="s">
        <v>39739</v>
      </c>
      <c r="C31566" s="5" t="str">
        <f>IFERROR(__xludf.DUMMYFUNCTION("GOOGLETRANSLATE(B31566,""en"",""fr"")"),"La fille revient dans sa chambre pour jouer avec son jouet pendant que la caméra suit.")</f>
        <v>La fille revient dans sa chambre pour jouer avec son jouet pendant que la caméra suit.</v>
      </c>
    </row>
    <row r="31567">
      <c r="A31567" s="4" t="s">
        <v>39740</v>
      </c>
      <c r="B31567" s="4" t="s">
        <v>39741</v>
      </c>
      <c r="C31567" s="5" t="str">
        <f>IFERROR(__xludf.DUMMYFUNCTION("GOOGLETRANSLATE(B31567,""en"",""fr"")"),"Deux hommes jouent à des jeux de ciseaux en papier de rock devant un arbitre.")</f>
        <v>Deux hommes jouent à des jeux de ciseaux en papier de rock devant un arbitre.</v>
      </c>
    </row>
    <row r="31568">
      <c r="A31568" s="4" t="s">
        <v>39740</v>
      </c>
      <c r="B31568" s="4" t="s">
        <v>39742</v>
      </c>
      <c r="C31568" s="5" t="str">
        <f>IFERROR(__xludf.DUMMYFUNCTION("GOOGLETRANSLATE(B31568,""en"",""fr"")"),"Une femme tape l'un d'eux dans le dos.")</f>
        <v>Une femme tape l'un d'eux dans le dos.</v>
      </c>
    </row>
    <row r="31569">
      <c r="A31569" s="4" t="s">
        <v>39740</v>
      </c>
      <c r="B31569" s="4" t="s">
        <v>39743</v>
      </c>
      <c r="C31569" s="5" t="str">
        <f>IFERROR(__xludf.DUMMYFUNCTION("GOOGLETRANSLATE(B31569,""en"",""fr"")"),"Ils jouent un dernier match et un homme célèbre sa victoire.")</f>
        <v>Ils jouent un dernier match et un homme célèbre sa victoire.</v>
      </c>
    </row>
    <row r="31570">
      <c r="A31570" s="4" t="s">
        <v>39744</v>
      </c>
      <c r="B31570" s="4" t="s">
        <v>39745</v>
      </c>
      <c r="C31570" s="5" t="str">
        <f>IFERROR(__xludf.DUMMYFUNCTION("GOOGLETRANSLATE(B31570,""en"",""fr"")"),"Un homme est assis derrière une table.")</f>
        <v>Un homme est assis derrière une table.</v>
      </c>
    </row>
    <row r="31571">
      <c r="A31571" s="4" t="s">
        <v>39744</v>
      </c>
      <c r="B31571" s="4" t="s">
        <v>39746</v>
      </c>
      <c r="C31571" s="5" t="str">
        <f>IFERROR(__xludf.DUMMYFUNCTION("GOOGLETRANSLATE(B31571,""en"",""fr"")"),"Il ramasse un cube Rubiks et le termine.")</f>
        <v>Il ramasse un cube Rubiks et le termine.</v>
      </c>
    </row>
    <row r="31572">
      <c r="A31572" s="4" t="s">
        <v>39744</v>
      </c>
      <c r="B31572" s="4" t="s">
        <v>39747</v>
      </c>
      <c r="C31572" s="5" t="str">
        <f>IFERROR(__xludf.DUMMYFUNCTION("GOOGLETRANSLATE(B31572,""en"",""fr"")"),"Un homme se tient à côté de lui et écrit quelque chose sur un papier.")</f>
        <v>Un homme se tient à côté de lui et écrit quelque chose sur un papier.</v>
      </c>
    </row>
    <row r="31573">
      <c r="A31573" s="4" t="s">
        <v>39748</v>
      </c>
      <c r="B31573" s="4" t="s">
        <v>39749</v>
      </c>
      <c r="C31573" s="5" t="str">
        <f>IFERROR(__xludf.DUMMYFUNCTION("GOOGLETRANSLATE(B31573,""en"",""fr"")"),"Un homme est vu parler à la caméra et commence à tenir des couteaux.")</f>
        <v>Un homme est vu parler à la caméra et commence à tenir des couteaux.</v>
      </c>
    </row>
    <row r="31574">
      <c r="A31574" s="4" t="s">
        <v>39748</v>
      </c>
      <c r="B31574" s="4" t="s">
        <v>39750</v>
      </c>
      <c r="C31574" s="5" t="str">
        <f>IFERROR(__xludf.DUMMYFUNCTION("GOOGLETRANSLATE(B31574,""en"",""fr"")"),"Il se déroule tout autour de ses outils et montre un kit.")</f>
        <v>Il se déroule tout autour de ses outils et montre un kit.</v>
      </c>
    </row>
    <row r="31575">
      <c r="A31575" s="4" t="s">
        <v>39748</v>
      </c>
      <c r="B31575" s="6" t="s">
        <v>39751</v>
      </c>
      <c r="C31575" s="5" t="str">
        <f>IFERROR(__xludf.DUMMYFUNCTION("GOOGLETRANSLATE(B31575,""en"",""fr"")"),"Il mène ensuite à l'affûtage d'un couteau avec diverses planches et bâtons tout en parlant à la caméra.")</f>
        <v>Il mène ensuite à l'affûtage d'un couteau avec diverses planches et bâtons tout en parlant à la caméra.</v>
      </c>
    </row>
    <row r="31576">
      <c r="A31576" s="4" t="s">
        <v>39752</v>
      </c>
      <c r="B31576" s="4" t="s">
        <v>39753</v>
      </c>
      <c r="C31576" s="5" t="str">
        <f>IFERROR(__xludf.DUMMYFUNCTION("GOOGLETRANSLATE(B31576,""en"",""fr"")"),"Un groupe de nageurs est prêt sur une plate-forme et se pliez jusqu'à leurs pieds.")</f>
        <v>Un groupe de nageurs est prêt sur une plate-forme et se pliez jusqu'à leurs pieds.</v>
      </c>
    </row>
    <row r="31577">
      <c r="A31577" s="4" t="s">
        <v>39752</v>
      </c>
      <c r="B31577" s="4" t="s">
        <v>39754</v>
      </c>
      <c r="C31577" s="5" t="str">
        <f>IFERROR(__xludf.DUMMYFUNCTION("GOOGLETRANSLATE(B31577,""en"",""fr"")"),"Plusieurs hommes se tiennent derrière eux quand ils sautent tous en même temps.")</f>
        <v>Plusieurs hommes se tiennent derrière eux quand ils sautent tous en même temps.</v>
      </c>
    </row>
    <row r="31578">
      <c r="A31578" s="4" t="s">
        <v>39752</v>
      </c>
      <c r="B31578" s="6" t="s">
        <v>39755</v>
      </c>
      <c r="C31578" s="5" t="str">
        <f>IFERROR(__xludf.DUMMYFUNCTION("GOOGLETRANSLATE(B31578,""en"",""fr"")"),"Les hommes courent en arrière et quatrième faisant un mouvement de papillon et quatrième jusqu'à ce qu'ils atteignent tous la fin.")</f>
        <v>Les hommes courent en arrière et quatrième faisant un mouvement de papillon et quatrième jusqu'à ce qu'ils atteignent tous la fin.</v>
      </c>
    </row>
    <row r="31579">
      <c r="A31579" s="4" t="s">
        <v>39756</v>
      </c>
      <c r="B31579" s="4" t="s">
        <v>39757</v>
      </c>
      <c r="C31579" s="5" t="str">
        <f>IFERROR(__xludf.DUMMYFUNCTION("GOOGLETRANSLATE(B31579,""en"",""fr"")"),"Une adolescente se brosse les cheveux.")</f>
        <v>Une adolescente se brosse les cheveux.</v>
      </c>
    </row>
    <row r="31580">
      <c r="A31580" s="4" t="s">
        <v>39756</v>
      </c>
      <c r="B31580" s="4" t="s">
        <v>39758</v>
      </c>
      <c r="C31580" s="5" t="str">
        <f>IFERROR(__xludf.DUMMYFUNCTION("GOOGLETRANSLATE(B31580,""en"",""fr"")"),"La fille regarde comme si elle était confuse.")</f>
        <v>La fille regarde comme si elle était confuse.</v>
      </c>
    </row>
    <row r="31581">
      <c r="A31581" s="4" t="s">
        <v>39756</v>
      </c>
      <c r="B31581" s="4" t="s">
        <v>32637</v>
      </c>
      <c r="C31581" s="5" t="str">
        <f>IFERROR(__xludf.DUMMYFUNCTION("GOOGLETRANSLATE(B31581,""en"",""fr"")"),"La fille parle à la caméra.")</f>
        <v>La fille parle à la caméra.</v>
      </c>
    </row>
    <row r="31582">
      <c r="A31582" s="4" t="s">
        <v>39759</v>
      </c>
      <c r="B31582" s="6" t="s">
        <v>39760</v>
      </c>
      <c r="C31582" s="5" t="str">
        <f>IFERROR(__xludf.DUMMYFUNCTION("GOOGLETRANSLATE(B31582,""en"",""fr"")"),"Diverses personnes sont présentées au début dans un grand gymnase effectuant plusieurs feuillets et astuces sur un trampoline un à la fois.")</f>
        <v>Diverses personnes sont présentées au début dans un grand gymnase effectuant plusieurs feuillets et astuces sur un trampoline un à la fois.</v>
      </c>
    </row>
    <row r="31583">
      <c r="A31583" s="4" t="s">
        <v>39759</v>
      </c>
      <c r="B31583" s="6" t="s">
        <v>39761</v>
      </c>
      <c r="C31583" s="5" t="str">
        <f>IFERROR(__xludf.DUMMYFUNCTION("GOOGLETRANSLATE(B31583,""en"",""fr"")"),"Les gens continuent de sauter et de se retourner dans le gymnase avec une fin par une grande fosse à la fin.")</f>
        <v>Les gens continuent de sauter et de se retourner dans le gymnase avec une fin par une grande fosse à la fin.</v>
      </c>
    </row>
    <row r="31584">
      <c r="A31584" s="4" t="s">
        <v>39762</v>
      </c>
      <c r="B31584" s="4" t="s">
        <v>39763</v>
      </c>
      <c r="C31584" s="5" t="str">
        <f>IFERROR(__xludf.DUMMYFUNCTION("GOOGLETRANSLATE(B31584,""en"",""fr"")"),"Le toiletteur pulvérise le chien brun.")</f>
        <v>Le toiletteur pulvérise le chien brun.</v>
      </c>
    </row>
    <row r="31585">
      <c r="A31585" s="4" t="s">
        <v>39762</v>
      </c>
      <c r="B31585" s="4" t="s">
        <v>39764</v>
      </c>
      <c r="C31585" s="5" t="str">
        <f>IFERROR(__xludf.DUMMYFUNCTION("GOOGLETRANSLATE(B31585,""en"",""fr"")"),"Le chien court dans la boutique.")</f>
        <v>Le chien court dans la boutique.</v>
      </c>
    </row>
    <row r="31586">
      <c r="A31586" s="4" t="s">
        <v>39762</v>
      </c>
      <c r="B31586" s="4" t="s">
        <v>39765</v>
      </c>
      <c r="C31586" s="5" t="str">
        <f>IFERROR(__xludf.DUMMYFUNCTION("GOOGLETRANSLATE(B31586,""en"",""fr"")"),"Le toiletteur bouscule le chien brun.")</f>
        <v>Le toiletteur bouscule le chien brun.</v>
      </c>
    </row>
    <row r="31587">
      <c r="A31587" s="4" t="s">
        <v>39766</v>
      </c>
      <c r="B31587" s="4" t="s">
        <v>39767</v>
      </c>
      <c r="C31587" s="5" t="str">
        <f>IFERROR(__xludf.DUMMYFUNCTION("GOOGLETRANSLATE(B31587,""en"",""fr"")"),"Une personne est vue en train de tenir divers aliments tout en riant et en parlant avec les autres.")</f>
        <v>Une personne est vue en train de tenir divers aliments tout en riant et en parlant avec les autres.</v>
      </c>
    </row>
    <row r="31588">
      <c r="A31588" s="4" t="s">
        <v>39766</v>
      </c>
      <c r="B31588" s="6" t="s">
        <v>39768</v>
      </c>
      <c r="C31588" s="5" t="str">
        <f>IFERROR(__xludf.DUMMYFUNCTION("GOOGLETRANSLATE(B31588,""en"",""fr"")"),"Les hommes commencent alors à cuisiner ensemble en mélangeant divers ingrédients et en les présentant sur une assiette.")</f>
        <v>Les hommes commencent alors à cuisiner ensemble en mélangeant divers ingrédients et en les présentant sur une assiette.</v>
      </c>
    </row>
    <row r="31589">
      <c r="A31589" s="4" t="s">
        <v>39766</v>
      </c>
      <c r="B31589" s="6" t="s">
        <v>39769</v>
      </c>
      <c r="C31589" s="5" t="str">
        <f>IFERROR(__xludf.DUMMYFUNCTION("GOOGLETRANSLATE(B31589,""en"",""fr"")"),"La recette est ensuite montrée pour cuire les aliments et mène à des clips des aliments cuits et présentés avec les hommes qui mangent ensemble.")</f>
        <v>La recette est ensuite montrée pour cuire les aliments et mène à des clips des aliments cuits et présentés avec les hommes qui mangent ensemble.</v>
      </c>
    </row>
    <row r="31590">
      <c r="A31590" s="4" t="s">
        <v>39770</v>
      </c>
      <c r="B31590" s="6" t="s">
        <v>39771</v>
      </c>
      <c r="C31590" s="5" t="str">
        <f>IFERROR(__xludf.DUMMYFUNCTION("GOOGLETRANSLATE(B31590,""en"",""fr"")"),"Une introduction mène à plusieurs plans d'eau cuit à la vapeur et à une jeune femme nageant en arrière et quatrième dans l'eau.")</f>
        <v>Une introduction mène à plusieurs plans d'eau cuit à la vapeur et à une jeune femme nageant en arrière et quatrième dans l'eau.</v>
      </c>
    </row>
    <row r="31591">
      <c r="A31591" s="4" t="s">
        <v>39770</v>
      </c>
      <c r="B31591" s="6" t="s">
        <v>39772</v>
      </c>
      <c r="C31591" s="5" t="str">
        <f>IFERROR(__xludf.DUMMYFUNCTION("GOOGLETRANSLATE(B31591,""en"",""fr"")"),"Elle remonte à la surface et parle à la caméra tandis que plusieurs autres coups d'eau sont représentés.")</f>
        <v>Elle remonte à la surface et parle à la caméra tandis que plusieurs autres coups d'eau sont représentés.</v>
      </c>
    </row>
    <row r="31592">
      <c r="A31592" s="4" t="s">
        <v>39773</v>
      </c>
      <c r="B31592" s="4" t="s">
        <v>39774</v>
      </c>
      <c r="C31592" s="5" t="str">
        <f>IFERROR(__xludf.DUMMYFUNCTION("GOOGLETRANSLATE(B31592,""en"",""fr"")"),"Un homme est vu assis sur un chameau suivi en descendant et un autre homme grimpant.")</f>
        <v>Un homme est vu assis sur un chameau suivi en descendant et un autre homme grimpant.</v>
      </c>
    </row>
    <row r="31593">
      <c r="A31593" s="4" t="s">
        <v>39773</v>
      </c>
      <c r="B31593" s="4" t="s">
        <v>39775</v>
      </c>
      <c r="C31593" s="5" t="str">
        <f>IFERROR(__xludf.DUMMYFUNCTION("GOOGLETRANSLATE(B31593,""en"",""fr"")"),"L'homme mène ensuite l'autre sur le chameau.")</f>
        <v>L'homme mène ensuite l'autre sur le chameau.</v>
      </c>
    </row>
    <row r="31594">
      <c r="A31594" s="4" t="s">
        <v>39773</v>
      </c>
      <c r="B31594" s="4" t="s">
        <v>39776</v>
      </c>
      <c r="C31594" s="5" t="str">
        <f>IFERROR(__xludf.DUMMYFUNCTION("GOOGLETRANSLATE(B31594,""en"",""fr"")"),"L'homme arrête le chameau et retire l'autre personne tout en remontez.")</f>
        <v>L'homme arrête le chameau et retire l'autre personne tout en remontez.</v>
      </c>
    </row>
    <row r="31595">
      <c r="A31595" s="4" t="s">
        <v>39777</v>
      </c>
      <c r="B31595" s="4" t="s">
        <v>39778</v>
      </c>
      <c r="C31595" s="5" t="str">
        <f>IFERROR(__xludf.DUMMYFUNCTION("GOOGLETRANSLATE(B31595,""en"",""fr"")"),"Plusieurs artistes sortent d'une boîte et cela finit par être un homme et une femme.")</f>
        <v>Plusieurs artistes sortent d'une boîte et cela finit par être un homme et une femme.</v>
      </c>
    </row>
    <row r="31596">
      <c r="A31596" s="4" t="s">
        <v>39777</v>
      </c>
      <c r="B31596" s="4" t="s">
        <v>39779</v>
      </c>
      <c r="C31596" s="5" t="str">
        <f>IFERROR(__xludf.DUMMYFUNCTION("GOOGLETRANSLATE(B31596,""en"",""fr"")"),"La dame commence alors à se déplacer de manière étrange et à continuer à raconter une histoire sous forme de ballerine.")</f>
        <v>La dame commence alors à se déplacer de manière étrange et à continuer à raconter une histoire sous forme de ballerine.</v>
      </c>
    </row>
    <row r="31597">
      <c r="A31597" s="4" t="s">
        <v>39777</v>
      </c>
      <c r="B31597" s="6" t="s">
        <v>39780</v>
      </c>
      <c r="C31597" s="5" t="str">
        <f>IFERROR(__xludf.DUMMYFUNCTION("GOOGLETRANSLATE(B31597,""en"",""fr"")"),"Après quelques minutes, le mâle les rejoint et ils continuent à danser avec des jambes fortes et des bras fermes.")</f>
        <v>Après quelques minutes, le mâle les rejoint et ils continuent à danser avec des jambes fortes et des bras fermes.</v>
      </c>
    </row>
    <row r="31598">
      <c r="A31598" s="4" t="s">
        <v>39781</v>
      </c>
      <c r="B31598" s="4" t="s">
        <v>39782</v>
      </c>
      <c r="C31598" s="5" t="str">
        <f>IFERROR(__xludf.DUMMYFUNCTION("GOOGLETRANSLATE(B31598,""en"",""fr"")"),"Un homme tient un fer jaune assis sur une boîte.")</f>
        <v>Un homme tient un fer jaune assis sur une boîte.</v>
      </c>
    </row>
    <row r="31599">
      <c r="A31599" s="4" t="s">
        <v>39781</v>
      </c>
      <c r="B31599" s="4" t="s">
        <v>39783</v>
      </c>
      <c r="C31599" s="5" t="str">
        <f>IFERROR(__xludf.DUMMYFUNCTION("GOOGLETRANSLATE(B31599,""en"",""fr"")"),"Il fait fondre une barre de la base du fer chaud.")</f>
        <v>Il fait fondre une barre de la base du fer chaud.</v>
      </c>
    </row>
    <row r="31600">
      <c r="A31600" s="4" t="s">
        <v>39781</v>
      </c>
      <c r="B31600" s="4" t="s">
        <v>39784</v>
      </c>
      <c r="C31600" s="5" t="str">
        <f>IFERROR(__xludf.DUMMYFUNCTION("GOOGLETRANSLATE(B31600,""en"",""fr"")"),"Il fout ensuite sur la cire qui coulait sur un ski.")</f>
        <v>Il fout ensuite sur la cire qui coulait sur un ski.</v>
      </c>
    </row>
    <row r="31601">
      <c r="A31601" s="4" t="s">
        <v>39781</v>
      </c>
      <c r="B31601" s="4" t="s">
        <v>39785</v>
      </c>
      <c r="C31601" s="5" t="str">
        <f>IFERROR(__xludf.DUMMYFUNCTION("GOOGLETRANSLATE(B31601,""en"",""fr"")"),"Il termine et pose le fer.")</f>
        <v>Il termine et pose le fer.</v>
      </c>
    </row>
    <row r="31602">
      <c r="A31602" s="4" t="s">
        <v>39786</v>
      </c>
      <c r="B31602" s="4" t="s">
        <v>39787</v>
      </c>
      <c r="C31602" s="5" t="str">
        <f>IFERROR(__xludf.DUMMYFUNCTION("GOOGLETRANSLATE(B31602,""en"",""fr"")"),"Un logo pour une entreprise apparaît sur un écran noir.")</f>
        <v>Un logo pour une entreprise apparaît sur un écran noir.</v>
      </c>
    </row>
    <row r="31603">
      <c r="A31603" s="4" t="s">
        <v>39786</v>
      </c>
      <c r="B31603" s="4" t="s">
        <v>39788</v>
      </c>
      <c r="C31603" s="5" t="str">
        <f>IFERROR(__xludf.DUMMYFUNCTION("GOOGLETRANSLATE(B31603,""en"",""fr"")"),"Un homme dans une veste jaune et un casque orange est représenté le kayak de l'océan.")</f>
        <v>Un homme dans une veste jaune et un casque orange est représenté le kayak de l'océan.</v>
      </c>
    </row>
    <row r="31604">
      <c r="A31604" s="4" t="s">
        <v>39786</v>
      </c>
      <c r="B31604" s="4" t="s">
        <v>39789</v>
      </c>
      <c r="C31604" s="5" t="str">
        <f>IFERROR(__xludf.DUMMYFUNCTION("GOOGLETRANSLATE(B31604,""en"",""fr"")"),"D'autres kayakers sont montrés contre les vagues et les chevaucher.")</f>
        <v>D'autres kayakers sont montrés contre les vagues et les chevaucher.</v>
      </c>
    </row>
    <row r="31605">
      <c r="A31605" s="4" t="s">
        <v>39786</v>
      </c>
      <c r="B31605" s="4" t="s">
        <v>39790</v>
      </c>
      <c r="C31605" s="5" t="str">
        <f>IFERROR(__xludf.DUMMYFUNCTION("GOOGLETRANSLATE(B31605,""en"",""fr"")"),"Un ensemble de photos montre les kayakers naviguant dans l'océan et s'écrasant sur des vagues.")</f>
        <v>Un ensemble de photos montre les kayakers naviguant dans l'océan et s'écrasant sur des vagues.</v>
      </c>
    </row>
    <row r="31606">
      <c r="A31606" s="4" t="s">
        <v>39791</v>
      </c>
      <c r="B31606" s="4" t="s">
        <v>39792</v>
      </c>
      <c r="C31606" s="5" t="str">
        <f>IFERROR(__xludf.DUMMYFUNCTION("GOOGLETRANSLATE(B31606,""en"",""fr"")"),"Une femme se tient à l'intérieur d'un terrain de racquetball.")</f>
        <v>Une femme se tient à l'intérieur d'un terrain de racquetball.</v>
      </c>
    </row>
    <row r="31607">
      <c r="A31607" s="4" t="s">
        <v>39791</v>
      </c>
      <c r="B31607" s="4" t="s">
        <v>39793</v>
      </c>
      <c r="C31607" s="5" t="str">
        <f>IFERROR(__xludf.DUMMYFUNCTION("GOOGLETRANSLATE(B31607,""en"",""fr"")"),"Elle commence à frapper le ballon, courir après.")</f>
        <v>Elle commence à frapper le ballon, courir après.</v>
      </c>
    </row>
    <row r="31608">
      <c r="A31608" s="4" t="s">
        <v>39791</v>
      </c>
      <c r="B31608" s="4" t="s">
        <v>39794</v>
      </c>
      <c r="C31608" s="5" t="str">
        <f>IFERROR(__xludf.DUMMYFUNCTION("GOOGLETRANSLATE(B31608,""en"",""fr"")"),"Elle trébuche et tombe, frappant le sol tandis qu'un homme sauve le ballon.")</f>
        <v>Elle trébuche et tombe, frappant le sol tandis qu'un homme sauve le ballon.</v>
      </c>
    </row>
    <row r="31609">
      <c r="A31609" s="4" t="s">
        <v>39795</v>
      </c>
      <c r="B31609" s="4" t="s">
        <v>39796</v>
      </c>
      <c r="C31609" s="5" t="str">
        <f>IFERROR(__xludf.DUMMYFUNCTION("GOOGLETRANSLATE(B31609,""en"",""fr"")"),"Un homme se tient devant une tente.")</f>
        <v>Un homme se tient devant une tente.</v>
      </c>
    </row>
    <row r="31610">
      <c r="A31610" s="4" t="s">
        <v>39795</v>
      </c>
      <c r="B31610" s="4" t="s">
        <v>39797</v>
      </c>
      <c r="C31610" s="5" t="str">
        <f>IFERROR(__xludf.DUMMYFUNCTION("GOOGLETRANSLATE(B31610,""en"",""fr"")"),"Il regarde à l'intérieur de la tente dans un groupe d'enfants qui jouent aux cartes et une femme assise à l'extérieur.")</f>
        <v>Il regarde à l'intérieur de la tente dans un groupe d'enfants qui jouent aux cartes et une femme assise à l'extérieur.</v>
      </c>
    </row>
    <row r="31611">
      <c r="A31611" s="4" t="s">
        <v>39795</v>
      </c>
      <c r="B31611" s="4" t="s">
        <v>39798</v>
      </c>
      <c r="C31611" s="5" t="str">
        <f>IFERROR(__xludf.DUMMYFUNCTION("GOOGLETRANSLATE(B31611,""en"",""fr"")"),"Un garçon marche dans des voitures garées, souriant.")</f>
        <v>Un garçon marche dans des voitures garées, souriant.</v>
      </c>
    </row>
    <row r="31612">
      <c r="A31612" s="4" t="s">
        <v>39795</v>
      </c>
      <c r="B31612" s="4" t="s">
        <v>39799</v>
      </c>
      <c r="C31612" s="5" t="str">
        <f>IFERROR(__xludf.DUMMYFUNCTION("GOOGLETRANSLATE(B31612,""en"",""fr"")"),"Il est ensuite montré sur un kayak dans un lac.")</f>
        <v>Il est ensuite montré sur un kayak dans un lac.</v>
      </c>
    </row>
    <row r="31613">
      <c r="A31613" s="4" t="s">
        <v>39795</v>
      </c>
      <c r="B31613" s="4" t="s">
        <v>39800</v>
      </c>
      <c r="C31613" s="5" t="str">
        <f>IFERROR(__xludf.DUMMYFUNCTION("GOOGLETRANSLATE(B31613,""en"",""fr"")"),"Le reste de la famille le rejoint bientôt.")</f>
        <v>Le reste de la famille le rejoint bientôt.</v>
      </c>
    </row>
    <row r="31614">
      <c r="A31614" s="4" t="s">
        <v>39801</v>
      </c>
      <c r="B31614" s="4" t="s">
        <v>39802</v>
      </c>
      <c r="C31614" s="5" t="str">
        <f>IFERROR(__xludf.DUMMYFUNCTION("GOOGLETRANSLATE(B31614,""en"",""fr"")"),"Un jeune garçon est à une fête organisant un bâton et frappant une pinata.")</f>
        <v>Un jeune garçon est à une fête organisant un bâton et frappant une pinata.</v>
      </c>
    </row>
    <row r="31615">
      <c r="A31615" s="4" t="s">
        <v>39801</v>
      </c>
      <c r="B31615" s="4" t="s">
        <v>39803</v>
      </c>
      <c r="C31615" s="5" t="str">
        <f>IFERROR(__xludf.DUMMYFUNCTION("GOOGLETRANSLATE(B31615,""en"",""fr"")"),"Lorsque le garçon a fini de le frapper, un adulte se dirige vers la pinata.")</f>
        <v>Lorsque le garçon a fini de le frapper, un adulte se dirige vers la pinata.</v>
      </c>
    </row>
    <row r="31616">
      <c r="A31616" s="4" t="s">
        <v>39801</v>
      </c>
      <c r="B31616" s="4" t="s">
        <v>39804</v>
      </c>
      <c r="C31616" s="5" t="str">
        <f>IFERROR(__xludf.DUMMYFUNCTION("GOOGLETRANSLATE(B31616,""en"",""fr"")"),"Un autre enfant debout avec l'adulte commence également à marcher vers la pinata.")</f>
        <v>Un autre enfant debout avec l'adulte commence également à marcher vers la pinata.</v>
      </c>
    </row>
    <row r="31617">
      <c r="A31617" s="4" t="s">
        <v>39805</v>
      </c>
      <c r="B31617" s="4" t="s">
        <v>39806</v>
      </c>
      <c r="C31617" s="5" t="str">
        <f>IFERROR(__xludf.DUMMYFUNCTION("GOOGLETRANSLATE(B31617,""en"",""fr"")"),"Un océan accidenté a de grandes vagues blanches et un voilier traversant.")</f>
        <v>Un océan accidenté a de grandes vagues blanches et un voilier traversant.</v>
      </c>
    </row>
    <row r="31618">
      <c r="A31618" s="4" t="s">
        <v>39805</v>
      </c>
      <c r="B31618" s="4" t="s">
        <v>39807</v>
      </c>
      <c r="C31618" s="5" t="str">
        <f>IFERROR(__xludf.DUMMYFUNCTION("GOOGLETRANSLATE(B31618,""en"",""fr"")"),"Le voilier va au-dessus de grandes vagues et atterrit avec une éclaboussure.")</f>
        <v>Le voilier va au-dessus de grandes vagues et atterrit avec une éclaboussure.</v>
      </c>
    </row>
    <row r="31619">
      <c r="A31619" s="4" t="s">
        <v>39805</v>
      </c>
      <c r="B31619" s="4" t="s">
        <v>39808</v>
      </c>
      <c r="C31619" s="5" t="str">
        <f>IFERROR(__xludf.DUMMYFUNCTION("GOOGLETRANSLATE(B31619,""en"",""fr"")"),"Le bateau manœuvre et est incliné sur le côté car il passe sur les vagues.")</f>
        <v>Le bateau manœuvre et est incliné sur le côté car il passe sur les vagues.</v>
      </c>
    </row>
    <row r="31620">
      <c r="A31620" s="4" t="s">
        <v>39809</v>
      </c>
      <c r="B31620" s="4" t="s">
        <v>39810</v>
      </c>
      <c r="C31620" s="5" t="str">
        <f>IFERROR(__xludf.DUMMYFUNCTION("GOOGLETRANSLATE(B31620,""en"",""fr"")"),"Deux équipes jouent au beach-volley sur le devant une foule.")</f>
        <v>Deux équipes jouent au beach-volley sur le devant une foule.</v>
      </c>
    </row>
    <row r="31621">
      <c r="A31621" s="4" t="s">
        <v>39809</v>
      </c>
      <c r="B31621" s="4" t="s">
        <v>39811</v>
      </c>
      <c r="C31621" s="5" t="str">
        <f>IFERROR(__xludf.DUMMYFUNCTION("GOOGLETRANSLATE(B31621,""en"",""fr"")"),"Une femme tient un téléphone intelligent.")</f>
        <v>Une femme tient un téléphone intelligent.</v>
      </c>
    </row>
    <row r="31622">
      <c r="A31622" s="4" t="s">
        <v>39809</v>
      </c>
      <c r="B31622" s="4" t="s">
        <v>39812</v>
      </c>
      <c r="C31622" s="5" t="str">
        <f>IFERROR(__xludf.DUMMYFUNCTION("GOOGLETRANSLATE(B31622,""en"",""fr"")"),"Un homme sert une balle.")</f>
        <v>Un homme sert une balle.</v>
      </c>
    </row>
    <row r="31623">
      <c r="A31623" s="4" t="s">
        <v>39809</v>
      </c>
      <c r="B31623" s="4" t="s">
        <v>39813</v>
      </c>
      <c r="C31623" s="5" t="str">
        <f>IFERROR(__xludf.DUMMYFUNCTION("GOOGLETRANSLATE(B31623,""en"",""fr"")"),"Un homme portant une casquette et une chemise à carreaux à l'avant les joueurs.")</f>
        <v>Un homme portant une casquette et une chemise à carreaux à l'avant les joueurs.</v>
      </c>
    </row>
    <row r="31624">
      <c r="A31624" s="4" t="s">
        <v>39814</v>
      </c>
      <c r="B31624" s="4" t="s">
        <v>39815</v>
      </c>
      <c r="C31624" s="5" t="str">
        <f>IFERROR(__xludf.DUMMYFUNCTION("GOOGLETRANSLATE(B31624,""en"",""fr"")"),"Un homme se tient sur une colline, célébrant devant une foule.")</f>
        <v>Un homme se tient sur une colline, célébrant devant une foule.</v>
      </c>
    </row>
    <row r="31625">
      <c r="A31625" s="4" t="s">
        <v>39814</v>
      </c>
      <c r="B31625" s="4" t="s">
        <v>39816</v>
      </c>
      <c r="C31625" s="5" t="str">
        <f>IFERROR(__xludf.DUMMYFUNCTION("GOOGLETRANSLATE(B31625,""en"",""fr"")"),"Il est montré sur un vélo de saleté BMX, effectuant une pléthore de cascades, de roues et de tours pour une foule.")</f>
        <v>Il est montré sur un vélo de saleté BMX, effectuant une pléthore de cascades, de roues et de tours pour une foule.</v>
      </c>
    </row>
    <row r="31626">
      <c r="A31626" s="4" t="s">
        <v>39814</v>
      </c>
      <c r="B31626" s="4" t="s">
        <v>39817</v>
      </c>
      <c r="C31626" s="5" t="str">
        <f>IFERROR(__xludf.DUMMYFUNCTION("GOOGLETRANSLATE(B31626,""en"",""fr"")"),"Les femmes sont montrées grossières, dansant.")</f>
        <v>Les femmes sont montrées grossières, dansant.</v>
      </c>
    </row>
    <row r="31627">
      <c r="A31627" s="4" t="s">
        <v>39818</v>
      </c>
      <c r="B31627" s="6" t="s">
        <v>39819</v>
      </c>
      <c r="C31627" s="5" t="str">
        <f>IFERROR(__xludf.DUMMYFUNCTION("GOOGLETRANSLATE(B31627,""en"",""fr"")"),"Deux garçons jouent au ping-pong dans une salle de sport et l'un des garçons utilise un nunchaku comme raquette pour jouer et faire des tours.")</f>
        <v>Deux garçons jouent au ping-pong dans une salle de sport et l'un des garçons utilise un nunchaku comme raquette pour jouer et faire des tours.</v>
      </c>
    </row>
    <row r="31628">
      <c r="A31628" s="4" t="s">
        <v>39818</v>
      </c>
      <c r="B31628" s="4" t="s">
        <v>39820</v>
      </c>
      <c r="C31628" s="5" t="str">
        <f>IFERROR(__xludf.DUMMYFUNCTION("GOOGLETRANSLATE(B31628,""en"",""fr"")"),"Un homme passe à l'avant la table de ping-pong et se tiendra près de la table.")</f>
        <v>Un homme passe à l'avant la table de ping-pong et se tiendra près de la table.</v>
      </c>
    </row>
    <row r="31629">
      <c r="A31629" s="4" t="s">
        <v>39818</v>
      </c>
      <c r="B31629" s="6" t="s">
        <v>39821</v>
      </c>
      <c r="C31629" s="5" t="str">
        <f>IFERROR(__xludf.DUMMYFUNCTION("GOOGLETRANSLATE(B31629,""en"",""fr"")"),"Ensuite, l'homme joint l'un des joueurs et commencez à jouer, après, Bruce Lee apparaît à l'écran d'un téléphone intelligent qui se retourne.")</f>
        <v>Ensuite, l'homme joint l'un des joueurs et commencez à jouer, après, Bruce Lee apparaît à l'écran d'un téléphone intelligent qui se retourne.</v>
      </c>
    </row>
    <row r="31630">
      <c r="A31630" s="4" t="s">
        <v>39818</v>
      </c>
      <c r="B31630" s="6" t="s">
        <v>39822</v>
      </c>
      <c r="C31630" s="5" t="str">
        <f>IFERROR(__xludf.DUMMYFUNCTION("GOOGLETRANSLATE(B31630,""en"",""fr"")"),"Un garçon fait des arts martiaux et en braks une planche, puis il répare le nunchaku et l'a utilisé pour allumer un match dans la bouche de l'autre garçon.")</f>
        <v>Un garçon fait des arts martiaux et en braks une planche, puis il répare le nunchaku et l'a utilisé pour allumer un match dans la bouche de l'autre garçon.</v>
      </c>
    </row>
    <row r="31631">
      <c r="A31631" s="4" t="s">
        <v>39823</v>
      </c>
      <c r="B31631" s="4" t="s">
        <v>39824</v>
      </c>
      <c r="C31631" s="5" t="str">
        <f>IFERROR(__xludf.DUMMYFUNCTION("GOOGLETRANSLATE(B31631,""en"",""fr"")"),"Une femme tient une bouteille de vernis à ongles violet jusqu'à la caméra.")</f>
        <v>Une femme tient une bouteille de vernis à ongles violet jusqu'à la caméra.</v>
      </c>
    </row>
    <row r="31632">
      <c r="A31632" s="4" t="s">
        <v>39823</v>
      </c>
      <c r="B31632" s="4" t="s">
        <v>39825</v>
      </c>
      <c r="C31632" s="5" t="str">
        <f>IFERROR(__xludf.DUMMYFUNCTION("GOOGLETRANSLATE(B31632,""en"",""fr"")"),"Elle l'applique ensuite à ses ongles.")</f>
        <v>Elle l'applique ensuite à ses ongles.</v>
      </c>
    </row>
    <row r="31633">
      <c r="A31633" s="4" t="s">
        <v>39823</v>
      </c>
      <c r="B31633" s="4" t="s">
        <v>39826</v>
      </c>
      <c r="C31633" s="5" t="str">
        <f>IFERROR(__xludf.DUMMYFUNCTION("GOOGLETRANSLATE(B31633,""en"",""fr"")"),"Quand elle a fini, elle montre ses ongles et le polonais une dernière fois.")</f>
        <v>Quand elle a fini, elle montre ses ongles et le polonais une dernière fois.</v>
      </c>
    </row>
    <row r="31634">
      <c r="A31634" s="4" t="s">
        <v>39827</v>
      </c>
      <c r="B31634" s="4" t="s">
        <v>39828</v>
      </c>
      <c r="C31634" s="5" t="str">
        <f>IFERROR(__xludf.DUMMYFUNCTION("GOOGLETRANSLATE(B31634,""en"",""fr"")"),"La corrida est annoncée à l'écran.")</f>
        <v>La corrida est annoncée à l'écran.</v>
      </c>
    </row>
    <row r="31635">
      <c r="A31635" s="4" t="s">
        <v>39827</v>
      </c>
      <c r="B31635" s="4" t="s">
        <v>39829</v>
      </c>
      <c r="C31635" s="5" t="str">
        <f>IFERROR(__xludf.DUMMYFUNCTION("GOOGLETRANSLATE(B31635,""en"",""fr"")"),"Il y a des clips de combats de taureaux et l'homme parle de son expérience de combat taureau.")</f>
        <v>Il y a des clips de combats de taureaux et l'homme parle de son expérience de combat taureau.</v>
      </c>
    </row>
    <row r="31636">
      <c r="A31636" s="4" t="s">
        <v>39827</v>
      </c>
      <c r="B31636" s="4" t="s">
        <v>39830</v>
      </c>
      <c r="C31636" s="5" t="str">
        <f>IFERROR(__xludf.DUMMYFUNCTION("GOOGLETRANSLATE(B31636,""en"",""fr"")"),"Le taureau roule un baril pendant que le clown est derrière.")</f>
        <v>Le taureau roule un baril pendant que le clown est derrière.</v>
      </c>
    </row>
    <row r="31637">
      <c r="A31637" s="4" t="s">
        <v>39827</v>
      </c>
      <c r="B31637" s="4" t="s">
        <v>39831</v>
      </c>
      <c r="C31637" s="5" t="str">
        <f>IFERROR(__xludf.DUMMYFUNCTION("GOOGLETRANSLATE(B31637,""en"",""fr"")"),"Un trophée est attribué au Bull Fighter.")</f>
        <v>Un trophée est attribué au Bull Fighter.</v>
      </c>
    </row>
    <row r="31638">
      <c r="A31638" s="4" t="s">
        <v>39832</v>
      </c>
      <c r="B31638" s="6" t="s">
        <v>39833</v>
      </c>
      <c r="C31638" s="5" t="str">
        <f>IFERROR(__xludf.DUMMYFUNCTION("GOOGLETRANSLATE(B31638,""en"",""fr"")"),"Une femme debout à côté d'un véhicule parle à la caméra tout en gelant occasionnellement le véhicule.")</f>
        <v>Une femme debout à côté d'un véhicule parle à la caméra tout en gelant occasionnellement le véhicule.</v>
      </c>
    </row>
    <row r="31639">
      <c r="A31639" s="4" t="s">
        <v>39832</v>
      </c>
      <c r="B31639" s="4" t="s">
        <v>39834</v>
      </c>
      <c r="C31639" s="5" t="str">
        <f>IFERROR(__xludf.DUMMYFUNCTION("GOOGLETRANSLATE(B31639,""en"",""fr"")"),"La femme tient une bouteille de pulvérisation.")</f>
        <v>La femme tient une bouteille de pulvérisation.</v>
      </c>
    </row>
    <row r="31640">
      <c r="A31640" s="4" t="s">
        <v>39832</v>
      </c>
      <c r="B31640" s="4" t="s">
        <v>39835</v>
      </c>
      <c r="C31640" s="5" t="str">
        <f>IFERROR(__xludf.DUMMYFUNCTION("GOOGLETRANSLATE(B31640,""en"",""fr"")"),"La femme pulvérise la fenêtre du véhicule avec la bouteille.")</f>
        <v>La femme pulvérise la fenêtre du véhicule avec la bouteille.</v>
      </c>
    </row>
    <row r="31641">
      <c r="A31641" s="4" t="s">
        <v>39832</v>
      </c>
      <c r="B31641" s="4" t="s">
        <v>39836</v>
      </c>
      <c r="C31641" s="5" t="str">
        <f>IFERROR(__xludf.DUMMYFUNCTION("GOOGLETRANSLATE(B31641,""en"",""fr"")"),"La femme utilise une serviette pour nettoyer la fenêtre.")</f>
        <v>La femme utilise une serviette pour nettoyer la fenêtre.</v>
      </c>
    </row>
    <row r="31642">
      <c r="A31642" s="4" t="s">
        <v>39832</v>
      </c>
      <c r="B31642" s="4" t="s">
        <v>39837</v>
      </c>
      <c r="C31642" s="5" t="str">
        <f>IFERROR(__xludf.DUMMYFUNCTION("GOOGLETRANSLATE(B31642,""en"",""fr"")"),"La femme parle à nouveau à la caméra.")</f>
        <v>La femme parle à nouveau à la caméra.</v>
      </c>
    </row>
    <row r="31643">
      <c r="A31643" s="4" t="s">
        <v>39832</v>
      </c>
      <c r="B31643" s="4" t="s">
        <v>39838</v>
      </c>
      <c r="C31643" s="5" t="str">
        <f>IFERROR(__xludf.DUMMYFUNCTION("GOOGLETRANSLATE(B31643,""en"",""fr"")"),"La femme retourne au nettoyage de la fenêtre.")</f>
        <v>La femme retourne au nettoyage de la fenêtre.</v>
      </c>
    </row>
    <row r="31644">
      <c r="A31644" s="4" t="s">
        <v>39832</v>
      </c>
      <c r="B31644" s="4" t="s">
        <v>39839</v>
      </c>
      <c r="C31644" s="5" t="str">
        <f>IFERROR(__xludf.DUMMYFUNCTION("GOOGLETRANSLATE(B31644,""en"",""fr"")"),"La femme parle à nouveau à la caméra.")</f>
        <v>La femme parle à nouveau à la caméra.</v>
      </c>
    </row>
    <row r="31645">
      <c r="A31645" s="4" t="s">
        <v>39840</v>
      </c>
      <c r="B31645" s="4" t="s">
        <v>39841</v>
      </c>
      <c r="C31645" s="5" t="str">
        <f>IFERROR(__xludf.DUMMYFUNCTION("GOOGLETRANSLATE(B31645,""en"",""fr"")"),"Un panneau de paletterie est illustré dans une pièce.")</f>
        <v>Un panneau de paletterie est illustré dans une pièce.</v>
      </c>
    </row>
    <row r="31646">
      <c r="A31646" s="4" t="s">
        <v>39840</v>
      </c>
      <c r="B31646" s="4" t="s">
        <v>39842</v>
      </c>
      <c r="C31646" s="5" t="str">
        <f>IFERROR(__xludf.DUMMYFUNCTION("GOOGLETRANSLATE(B31646,""en"",""fr"")"),"Un homme dans un pull bleu jette une balle dans le panneau de palet.")</f>
        <v>Un homme dans un pull bleu jette une balle dans le panneau de palet.</v>
      </c>
    </row>
    <row r="31647">
      <c r="A31647" s="4" t="s">
        <v>39840</v>
      </c>
      <c r="B31647" s="4" t="s">
        <v>29481</v>
      </c>
      <c r="C31647" s="5" t="str">
        <f>IFERROR(__xludf.DUMMYFUNCTION("GOOGLETRANSLATE(B31647,""en"",""fr"")"),"Un verre de bière est montré.")</f>
        <v>Un verre de bière est montré.</v>
      </c>
    </row>
    <row r="31648">
      <c r="A31648" s="4" t="s">
        <v>39843</v>
      </c>
      <c r="B31648" s="6" t="s">
        <v>39844</v>
      </c>
      <c r="C31648" s="5" t="str">
        <f>IFERROR(__xludf.DUMMYFUNCTION("GOOGLETRANSLATE(B31648,""en"",""fr"")"),"Un grand groupe de personnes est vue assise dans un étage suivie de gens tirant sur un arc et des flèches et courir autour d'un parcours.")</f>
        <v>Un grand groupe de personnes est vue assise dans un étage suivie de gens tirant sur un arc et des flèches et courir autour d'un parcours.</v>
      </c>
    </row>
    <row r="31649">
      <c r="A31649" s="4" t="s">
        <v>39843</v>
      </c>
      <c r="B31649" s="6" t="s">
        <v>39845</v>
      </c>
      <c r="C31649" s="5" t="str">
        <f>IFERROR(__xludf.DUMMYFUNCTION("GOOGLETRANSLATE(B31649,""en"",""fr"")"),"Les enfants continuent de courir les uns des autres en tirant sur l'arc et des flèches et se termine avec une femme levant la main et montrant une photo.")</f>
        <v>Les enfants continuent de courir les uns des autres en tirant sur l'arc et des flèches et se termine avec une femme levant la main et montrant une photo.</v>
      </c>
    </row>
    <row r="31650">
      <c r="A31650" s="4" t="s">
        <v>39846</v>
      </c>
      <c r="B31650" s="6" t="s">
        <v>39847</v>
      </c>
      <c r="C31650" s="5" t="str">
        <f>IFERROR(__xludf.DUMMYFUNCTION("GOOGLETRANSLATE(B31650,""en"",""fr"")"),"Une ancienne vidéo de mauvaise qualité commence à jouer et il y a des mots blancs sur des blocs rouges qui lisent ""Leichtathletik leicht gemacht diskus"".")</f>
        <v>Une ancienne vidéo de mauvaise qualité commence à jouer et il y a des mots blancs sur des blocs rouges qui lisent "Leichtathletik leicht gemacht diskus".</v>
      </c>
    </row>
    <row r="31651">
      <c r="A31651" s="4" t="s">
        <v>39846</v>
      </c>
      <c r="B31651" s="6" t="s">
        <v>39848</v>
      </c>
      <c r="C31651" s="5" t="str">
        <f>IFERROR(__xludf.DUMMYFUNCTION("GOOGLETRANSLATE(B31651,""en"",""fr"")"),"Un disque vole dans les airs et atterrit sur un champ, puis une photo encore tirée d'un homme nu tenant un disque apparaît brièvement jusqu'à ce qu'un autre clip joue un homme sur un grand champ jetant un disque.")</f>
        <v>Un disque vole dans les airs et atterrit sur un champ, puis une photo encore tirée d'un homme nu tenant un disque apparaît brièvement jusqu'à ce qu'un autre clip joue un homme sur un grand champ jetant un disque.</v>
      </c>
    </row>
    <row r="31652">
      <c r="A31652" s="4" t="s">
        <v>39846</v>
      </c>
      <c r="B31652" s="6" t="s">
        <v>39849</v>
      </c>
      <c r="C31652" s="5" t="str">
        <f>IFERROR(__xludf.DUMMYFUNCTION("GOOGLETRANSLATE(B31652,""en"",""fr"")"),"Un homme est maintenant assis sur un champ et les mots à l'écran disent qu'il est ""Lars Riedel"" et en dessous, le mot ""Olympiasieger"", et cela le montre en train de passer des allers-retours aux clips d'un homme sur un champ est Tenant un disque sur l"&amp;"e terrain, le balançant puis le jetant.")</f>
        <v>Un homme est maintenant assis sur un champ et les mots à l'écran disent qu'il est "Lars Riedel" et en dessous, le mot "Olympiasieger", et cela le montre en train de passer des allers-retours aux clips d'un homme sur un champ est Tenant un disque sur le terrain, le balançant puis le jetant.</v>
      </c>
    </row>
    <row r="31653">
      <c r="A31653" s="4" t="s">
        <v>39846</v>
      </c>
      <c r="B31653" s="6" t="s">
        <v>39850</v>
      </c>
      <c r="C31653" s="5" t="str">
        <f>IFERROR(__xludf.DUMMYFUNCTION("GOOGLETRANSLATE(B31653,""en"",""fr"")"),"L'image encore prise de l'homme nu tenant le Dickus apparaît à nouveau, puis remonte aux clips de l'homme qui marche maintenant sur le terrain.")</f>
        <v>L'image encore prise de l'homme nu tenant le Dickus apparaît à nouveau, puis remonte aux clips de l'homme qui marche maintenant sur le terrain.</v>
      </c>
    </row>
    <row r="31654">
      <c r="A31654" s="4" t="s">
        <v>39851</v>
      </c>
      <c r="B31654" s="4" t="s">
        <v>39852</v>
      </c>
      <c r="C31654" s="5" t="str">
        <f>IFERROR(__xludf.DUMMYFUNCTION("GOOGLETRANSLATE(B31654,""en"",""fr"")"),"Un groupe de personnes commence à marcher dans une pièce et ils commencent à jouer à un jeu de football.")</f>
        <v>Un groupe de personnes commence à marcher dans une pièce et ils commencent à jouer à un jeu de football.</v>
      </c>
    </row>
    <row r="31655">
      <c r="A31655" s="4" t="s">
        <v>39851</v>
      </c>
      <c r="B31655" s="6" t="s">
        <v>39853</v>
      </c>
      <c r="C31655" s="5" t="str">
        <f>IFERROR(__xludf.DUMMYFUNCTION("GOOGLETRANSLATE(B31655,""en"",""fr"")"),"Le jeu commence à s'intensifier et les hommes commencent à se regarder dans les yeux alors qu'ils commencent à faire des objectifs.")</f>
        <v>Le jeu commence à s'intensifier et les hommes commencent à se regarder dans les yeux alors qu'ils commencent à faire des objectifs.</v>
      </c>
    </row>
    <row r="31656">
      <c r="A31656" s="4" t="s">
        <v>39851</v>
      </c>
      <c r="B31656" s="6" t="s">
        <v>39854</v>
      </c>
      <c r="C31656" s="5" t="str">
        <f>IFERROR(__xludf.DUMMYFUNCTION("GOOGLETRANSLATE(B31656,""en"",""fr"")"),"Une fois le premier jeu terminé, un autre ensemble d'hommes commence à concourir et commence à couper le ballon sur les gens.")</f>
        <v>Une fois le premier jeu terminé, un autre ensemble d'hommes commence à concourir et commence à couper le ballon sur les gens.</v>
      </c>
    </row>
    <row r="31657">
      <c r="A31657" s="4" t="s">
        <v>39851</v>
      </c>
      <c r="B31657" s="4" t="s">
        <v>39855</v>
      </c>
      <c r="C31657" s="5" t="str">
        <f>IFERROR(__xludf.DUMMYFUNCTION("GOOGLETRANSLATE(B31657,""en"",""fr"")"),"Ensuite, les femmes se joignent et commencent à rouler le ballon sur le bord de la table alors qu'elles font des buts.")</f>
        <v>Ensuite, les femmes se joignent et commencent à rouler le ballon sur le bord de la table alors qu'elles font des buts.</v>
      </c>
    </row>
    <row r="31658">
      <c r="A31658" s="4" t="s">
        <v>39851</v>
      </c>
      <c r="B31658" s="6" t="s">
        <v>39856</v>
      </c>
      <c r="C31658" s="5" t="str">
        <f>IFERROR(__xludf.DUMMYFUNCTION("GOOGLETRANSLATE(B31658,""en"",""fr"")"),"Enfin, un homme apparaît avec un téléphone Nokia enregistrant le jeu et affiche des options vidéo de différentes astuces qui ont été effectuées.")</f>
        <v>Enfin, un homme apparaît avec un téléphone Nokia enregistrant le jeu et affiche des options vidéo de différentes astuces qui ont été effectuées.</v>
      </c>
    </row>
    <row r="31659">
      <c r="A31659" s="4" t="s">
        <v>39857</v>
      </c>
      <c r="B31659" s="4" t="s">
        <v>39858</v>
      </c>
      <c r="C31659" s="5" t="str">
        <f>IFERROR(__xludf.DUMMYFUNCTION("GOOGLETRANSLATE(B31659,""en"",""fr"")"),"Il y a un homme montré soulevant un poids qui pèse plus de 90 livres.")</f>
        <v>Il y a un homme montré soulevant un poids qui pèse plus de 90 livres.</v>
      </c>
    </row>
    <row r="31660">
      <c r="A31660" s="4" t="s">
        <v>39857</v>
      </c>
      <c r="B31660" s="4" t="s">
        <v>39859</v>
      </c>
      <c r="C31660" s="5" t="str">
        <f>IFERROR(__xludf.DUMMYFUNCTION("GOOGLETRANSLATE(B31660,""en"",""fr"")"),"Il y a une femme qui court sur le tapis roulant derrière lui.")</f>
        <v>Il y a une femme qui court sur le tapis roulant derrière lui.</v>
      </c>
    </row>
    <row r="31661">
      <c r="A31661" s="4" t="s">
        <v>39860</v>
      </c>
      <c r="B31661" s="4" t="s">
        <v>39861</v>
      </c>
      <c r="C31661" s="5" t="str">
        <f>IFERROR(__xludf.DUMMYFUNCTION("GOOGLETRANSLATE(B31661,""en"",""fr"")"),"Un skieur ajuste ses chaussures sur la planche.")</f>
        <v>Un skieur ajuste ses chaussures sur la planche.</v>
      </c>
    </row>
    <row r="31662">
      <c r="A31662" s="4" t="s">
        <v>39860</v>
      </c>
      <c r="B31662" s="4" t="s">
        <v>39862</v>
      </c>
      <c r="C31662" s="5" t="str">
        <f>IFERROR(__xludf.DUMMYFUNCTION("GOOGLETRANSLATE(B31662,""en"",""fr"")"),"Puis il est vu voler dans les airs sur la planche d'eau.")</f>
        <v>Puis il est vu voler dans les airs sur la planche d'eau.</v>
      </c>
    </row>
    <row r="31663">
      <c r="A31663" s="4" t="s">
        <v>39860</v>
      </c>
      <c r="B31663" s="4" t="s">
        <v>39863</v>
      </c>
      <c r="C31663" s="5" t="str">
        <f>IFERROR(__xludf.DUMMYFUNCTION("GOOGLETRANSLATE(B31663,""en"",""fr"")"),"Il skient alors qu'il était attaché à l'arrière d'un bateau.")</f>
        <v>Il skient alors qu'il était attaché à l'arrière d'un bateau.</v>
      </c>
    </row>
    <row r="31664">
      <c r="A31664" s="4" t="s">
        <v>39864</v>
      </c>
      <c r="B31664" s="6" t="s">
        <v>39865</v>
      </c>
      <c r="C31664" s="5" t="str">
        <f>IFERROR(__xludf.DUMMYFUNCTION("GOOGLETRANSLATE(B31664,""en"",""fr"")"),"Un joueur tenant un basket dribble le ballon, courez et saute pour jeter le ballon dans le panier à plusieurs reprises.")</f>
        <v>Un joueur tenant un basket dribble le ballon, courez et saute pour jeter le ballon dans le panier à plusieurs reprises.</v>
      </c>
    </row>
    <row r="31665">
      <c r="A31665" s="4" t="s">
        <v>39864</v>
      </c>
      <c r="B31665" s="4" t="s">
        <v>39866</v>
      </c>
      <c r="C31665" s="5" t="str">
        <f>IFERROR(__xludf.DUMMYFUNCTION("GOOGLETRANSLATE(B31665,""en"",""fr"")"),"Un homme jette un ballon de basket sur le terrain puis partit.")</f>
        <v>Un homme jette un ballon de basket sur le terrain puis partit.</v>
      </c>
    </row>
    <row r="31666">
      <c r="A31666" s="4" t="s">
        <v>39867</v>
      </c>
      <c r="B31666" s="4" t="s">
        <v>39868</v>
      </c>
      <c r="C31666" s="5" t="str">
        <f>IFERROR(__xludf.DUMMYFUNCTION("GOOGLETRANSLATE(B31666,""en"",""fr"")"),"Un jeune enfant est vu tenir un bâton dans un salon tout en poussant une balle.")</f>
        <v>Un jeune enfant est vu tenir un bâton dans un salon tout en poussant une balle.</v>
      </c>
    </row>
    <row r="31667">
      <c r="A31667" s="4" t="s">
        <v>39867</v>
      </c>
      <c r="B31667" s="4" t="s">
        <v>39869</v>
      </c>
      <c r="C31667" s="5" t="str">
        <f>IFERROR(__xludf.DUMMYFUNCTION("GOOGLETRANSLATE(B31667,""en"",""fr"")"),"Le garçon continue de pousser le ballon pendant que la caméra capture ses mouvements.")</f>
        <v>Le garçon continue de pousser le ballon pendant que la caméra capture ses mouvements.</v>
      </c>
    </row>
    <row r="31668">
      <c r="A31668" s="4" t="s">
        <v>39867</v>
      </c>
      <c r="B31668" s="4" t="s">
        <v>39870</v>
      </c>
      <c r="C31668" s="5" t="str">
        <f>IFERROR(__xludf.DUMMYFUNCTION("GOOGLETRANSLATE(B31668,""en"",""fr"")"),"Il s'arrête pour parler à la caméra et continue de frapper le ballon.")</f>
        <v>Il s'arrête pour parler à la caméra et continue de frapper le ballon.</v>
      </c>
    </row>
    <row r="31669">
      <c r="A31669" s="4" t="s">
        <v>39871</v>
      </c>
      <c r="B31669" s="4" t="s">
        <v>39872</v>
      </c>
      <c r="C31669" s="5" t="str">
        <f>IFERROR(__xludf.DUMMYFUNCTION("GOOGLETRANSLATE(B31669,""en"",""fr"")"),"Un gymast masculin se prépare à monter une poutre.")</f>
        <v>Un gymast masculin se prépare à monter une poutre.</v>
      </c>
    </row>
    <row r="31670">
      <c r="A31670" s="4" t="s">
        <v>39871</v>
      </c>
      <c r="B31670" s="4" t="s">
        <v>39873</v>
      </c>
      <c r="C31670" s="5" t="str">
        <f>IFERROR(__xludf.DUMMYFUNCTION("GOOGLETRANSLATE(B31670,""en"",""fr"")"),"Il saute, faisant une poignée sur le bar.")</f>
        <v>Il saute, faisant une poignée sur le bar.</v>
      </c>
    </row>
    <row r="31671">
      <c r="A31671" s="4" t="s">
        <v>39871</v>
      </c>
      <c r="B31671" s="4" t="s">
        <v>39874</v>
      </c>
      <c r="C31671" s="5" t="str">
        <f>IFERROR(__xludf.DUMMYFUNCTION("GOOGLETRANSLATE(B31671,""en"",""fr"")"),"Il tourne ensuite et retourne plusieurs fois.")</f>
        <v>Il tourne ensuite et retourne plusieurs fois.</v>
      </c>
    </row>
    <row r="31672">
      <c r="A31672" s="4" t="s">
        <v>39871</v>
      </c>
      <c r="B31672" s="4" t="s">
        <v>39875</v>
      </c>
      <c r="C31672" s="5" t="str">
        <f>IFERROR(__xludf.DUMMYFUNCTION("GOOGLETRANSLATE(B31672,""en"",""fr"")"),"Il démonte, jetant ses bras en l'air.")</f>
        <v>Il démonte, jetant ses bras en l'air.</v>
      </c>
    </row>
    <row r="31673">
      <c r="A31673" s="4" t="s">
        <v>39876</v>
      </c>
      <c r="B31673" s="4" t="s">
        <v>39877</v>
      </c>
      <c r="C31673" s="5" t="str">
        <f>IFERROR(__xludf.DUMMYFUNCTION("GOOGLETRANSLATE(B31673,""en"",""fr"")"),"Une petite fille tient un bâton et frappe doucement une grande pinata qui est le thème Ninja Turtled.")</f>
        <v>Une petite fille tient un bâton et frappe doucement une grande pinata qui est le thème Ninja Turtled.</v>
      </c>
    </row>
    <row r="31674">
      <c r="A31674" s="4" t="s">
        <v>39876</v>
      </c>
      <c r="B31674" s="4" t="s">
        <v>39878</v>
      </c>
      <c r="C31674" s="5" t="str">
        <f>IFERROR(__xludf.DUMMYFUNCTION("GOOGLETRANSLATE(B31674,""en"",""fr"")"),"En arrière-plan, un garçon sur une chaise blanche jette doucement une balle dans les airs au-dessus de ses genoux.")</f>
        <v>En arrière-plan, un garçon sur une chaise blanche jette doucement une balle dans les airs au-dessus de ses genoux.</v>
      </c>
    </row>
    <row r="31675">
      <c r="A31675" s="4" t="s">
        <v>39876</v>
      </c>
      <c r="B31675" s="6" t="s">
        <v>39879</v>
      </c>
      <c r="C31675" s="5" t="str">
        <f>IFERROR(__xludf.DUMMYFUNCTION("GOOGLETRANSLATE(B31675,""en"",""fr"")"),"Un garçon plus grand se tient debout et marche près du garçon assis sur la chaise et il a un sac en plastique vert sur sa main gauche qu'il se déplace d'avant en arrière avec une torsion de son poignet.")</f>
        <v>Un garçon plus grand se tient debout et marche près du garçon assis sur la chaise et il a un sac en plastique vert sur sa main gauche qu'il se déplace d'avant en arrière avec une torsion de son poignet.</v>
      </c>
    </row>
    <row r="31676">
      <c r="A31676" s="4" t="s">
        <v>39876</v>
      </c>
      <c r="B31676" s="4" t="s">
        <v>39880</v>
      </c>
      <c r="C31676" s="5" t="str">
        <f>IFERROR(__xludf.DUMMYFUNCTION("GOOGLETRANSLATE(B31676,""en"",""fr"")"),"Une petite fille sur le côté commence à sauter alors qu'elle attend son tour.")</f>
        <v>Une petite fille sur le côté commence à sauter alors qu'elle attend son tour.</v>
      </c>
    </row>
    <row r="31677">
      <c r="A31677" s="4" t="s">
        <v>39881</v>
      </c>
      <c r="B31677" s="6" t="s">
        <v>39882</v>
      </c>
      <c r="C31677" s="5" t="str">
        <f>IFERROR(__xludf.DUMMYFUNCTION("GOOGLETRANSLATE(B31677,""en"",""fr"")"),"Un garçon blond tenant un bâton de piscine frappe des balles sur une table de billard qui est sectionnée de ruban jaune tandis qu'une grande foule est rassemblée à l'extérieur du ruban jaune.")</f>
        <v>Un garçon blond tenant un bâton de piscine frappe des balles sur une table de billard qui est sectionnée de ruban jaune tandis qu'une grande foule est rassemblée à l'extérieur du ruban jaune.</v>
      </c>
    </row>
    <row r="31678">
      <c r="A31678" s="4" t="s">
        <v>39881</v>
      </c>
      <c r="B31678" s="6" t="s">
        <v>39883</v>
      </c>
      <c r="C31678" s="5" t="str">
        <f>IFERROR(__xludf.DUMMYFUNCTION("GOOGLETRANSLATE(B31678,""en"",""fr"")"),"Le garçon attrape un autre bâton sous la table de billard, le met sur la table, fait la gâle de son bâton, puis frappe avec succès le ballon dans le trou malgré une femme qui essaie de le distraire.")</f>
        <v>Le garçon attrape un autre bâton sous la table de billard, le met sur la table, fait la gâle de son bâton, puis frappe avec succès le ballon dans le trou malgré une femme qui essaie de le distraire.</v>
      </c>
    </row>
    <row r="31679">
      <c r="A31679" s="4" t="s">
        <v>39881</v>
      </c>
      <c r="B31679" s="6" t="s">
        <v>39884</v>
      </c>
      <c r="C31679" s="5" t="str">
        <f>IFERROR(__xludf.DUMMYFUNCTION("GOOGLETRANSLATE(B31679,""en"",""fr"")"),"Le garçon fait le tour de la table et continue de frapper les balles restantes dans les trous, la foule l'encourage, et il fait le tour de la foule et donne à tout le monde des fives.")</f>
        <v>Le garçon fait le tour de la table et continue de frapper les balles restantes dans les trous, la foule l'encourage, et il fait le tour de la foule et donne à tout le monde des fives.</v>
      </c>
    </row>
    <row r="31680">
      <c r="A31680" s="4" t="s">
        <v>39881</v>
      </c>
      <c r="B31680" s="6" t="s">
        <v>39885</v>
      </c>
      <c r="C31680" s="5" t="str">
        <f>IFERROR(__xludf.DUMMYFUNCTION("GOOGLETRANSLATE(B31680,""en"",""fr"")"),"Le garçon embrasse la femme qui essayait de le distraire tout le temps, il pose son bâton et elle le serre à nouveau dans ses bras.")</f>
        <v>Le garçon embrasse la femme qui essayait de le distraire tout le temps, il pose son bâton et elle le serre à nouveau dans ses bras.</v>
      </c>
    </row>
    <row r="31681">
      <c r="A31681" s="4" t="s">
        <v>39881</v>
      </c>
      <c r="B31681" s="6" t="s">
        <v>39886</v>
      </c>
      <c r="C31681" s="5" t="str">
        <f>IFERROR(__xludf.DUMMYFUNCTION("GOOGLETRANSLATE(B31681,""en"",""fr"")"),"Un écran noir apparaît et les mots blancs sur l'écran disent ""la veuve noire Jeanette Lee Worlds Meilleure joueuse de piscine féminine une vidéo Ron Hawks"".")</f>
        <v>Un écran noir apparaît et les mots blancs sur l'écran disent "la veuve noire Jeanette Lee Worlds Meilleure joueuse de piscine féminine une vidéo Ron Hawks".</v>
      </c>
    </row>
    <row r="31682">
      <c r="A31682" s="4" t="s">
        <v>39887</v>
      </c>
      <c r="B31682" s="4" t="s">
        <v>39888</v>
      </c>
      <c r="C31682" s="5" t="str">
        <f>IFERROR(__xludf.DUMMYFUNCTION("GOOGLETRANSLATE(B31682,""en"",""fr"")"),"Un homme vêtu de tout blanc est montré en combattant différents hommes à l'extérieur et en les frappant très fort.")</f>
        <v>Un homme vêtu de tout blanc est montré en combattant différents hommes à l'extérieur et en les frappant très fort.</v>
      </c>
    </row>
    <row r="31683">
      <c r="A31683" s="4" t="s">
        <v>39887</v>
      </c>
      <c r="B31683" s="6" t="s">
        <v>39889</v>
      </c>
      <c r="C31683" s="5" t="str">
        <f>IFERROR(__xludf.DUMMYFUNCTION("GOOGLETRANSLATE(B31683,""en"",""fr"")"),"Tai Chi Combat avec son site Web et diverses autres icônes de site Web sont situées en bas à droite.")</f>
        <v>Tai Chi Combat avec son site Web et diverses autres icônes de site Web sont situées en bas à droite.</v>
      </c>
    </row>
    <row r="31684">
      <c r="A31684" s="4" t="s">
        <v>39887</v>
      </c>
      <c r="B31684" s="6" t="s">
        <v>39890</v>
      </c>
      <c r="C31684" s="5" t="str">
        <f>IFERROR(__xludf.DUMMYFUNCTION("GOOGLETRANSLATE(B31684,""en"",""fr"")"),"L'homme se tient alors seul à l'extérieur où il porte toujours la même tenue blanche et parle de très passionnément en utilisant des mouvements de la main et de nombreuses expressions faciales.")</f>
        <v>L'homme se tient alors seul à l'extérieur où il porte toujours la même tenue blanche et parle de très passionnément en utilisant des mouvements de la main et de nombreuses expressions faciales.</v>
      </c>
    </row>
    <row r="31685">
      <c r="A31685" s="4" t="s">
        <v>39887</v>
      </c>
      <c r="B31685" s="6" t="s">
        <v>39891</v>
      </c>
      <c r="C31685" s="5" t="str">
        <f>IFERROR(__xludf.DUMMYFUNCTION("GOOGLETRANSLATE(B31685,""en"",""fr"")"),"L'homme est à nouveau démontré qu'il combat différents hommes à l'extérieur et il semble gagner chaque combat.")</f>
        <v>L'homme est à nouveau démontré qu'il combat différents hommes à l'extérieur et il semble gagner chaque combat.</v>
      </c>
    </row>
    <row r="31686">
      <c r="A31686" s="4" t="s">
        <v>39887</v>
      </c>
      <c r="B31686" s="6" t="s">
        <v>39892</v>
      </c>
      <c r="C31686" s="5" t="str">
        <f>IFERROR(__xludf.DUMMYFUNCTION("GOOGLETRANSLATE(B31686,""en"",""fr"")"),"Après cette série de combats, l'homme parle à nouveau très passionnément avec beaucoup de mouvements de la main et d'expressions faciales.")</f>
        <v>Après cette série de combats, l'homme parle à nouveau très passionnément avec beaucoup de mouvements de la main et d'expressions faciales.</v>
      </c>
    </row>
    <row r="31687">
      <c r="A31687" s="4" t="s">
        <v>39887</v>
      </c>
      <c r="B31687" s="6" t="s">
        <v>39893</v>
      </c>
      <c r="C31687" s="5" t="str">
        <f>IFERROR(__xludf.DUMMYFUNCTION("GOOGLETRANSLATE(B31687,""en"",""fr"")"),"L'homme remonte ensuite à plus de combats avec différents hommes quelque part à l'extérieur où il continue de gagner les combats en frappant et en coupant parfois des coups de pied.")</f>
        <v>L'homme remonte ensuite à plus de combats avec différents hommes quelque part à l'extérieur où il continue de gagner les combats en frappant et en coupant parfois des coups de pied.</v>
      </c>
    </row>
    <row r="31688">
      <c r="A31688" s="4" t="s">
        <v>39887</v>
      </c>
      <c r="B31688" s="6" t="s">
        <v>39894</v>
      </c>
      <c r="C31688" s="5" t="str">
        <f>IFERROR(__xludf.DUMMYFUNCTION("GOOGLETRANSLATE(B31688,""en"",""fr"")"),"Enfin, l'homme montre une fois de plus parler très passionnément avec les mouvements de la main et beaucoup d'expressions faciales et autour de lui sont des superpositions sur l'écran annonçant sa chaîne YouTube avec son site Web pour Tai Chi Combat.")</f>
        <v>Enfin, l'homme montre une fois de plus parler très passionnément avec les mouvements de la main et beaucoup d'expressions faciales et autour de lui sont des superpositions sur l'écran annonçant sa chaîne YouTube avec son site Web pour Tai Chi Combat.</v>
      </c>
    </row>
    <row r="31689">
      <c r="A31689" s="4" t="s">
        <v>39895</v>
      </c>
      <c r="B31689" s="4" t="s">
        <v>39896</v>
      </c>
      <c r="C31689" s="5" t="str">
        <f>IFERROR(__xludf.DUMMYFUNCTION("GOOGLETRANSLATE(B31689,""en"",""fr"")"),"Un homme en manteau néon conduit une voiture avec la caméra sur un bâton à l'extérieur de la fenêtre.")</f>
        <v>Un homme en manteau néon conduit une voiture avec la caméra sur un bâton à l'extérieur de la fenêtre.</v>
      </c>
    </row>
    <row r="31690">
      <c r="A31690" s="4" t="s">
        <v>39895</v>
      </c>
      <c r="B31690" s="4" t="s">
        <v>39897</v>
      </c>
      <c r="C31690" s="5" t="str">
        <f>IFERROR(__xludf.DUMMYFUNCTION("GOOGLETRANSLATE(B31690,""en"",""fr"")"),"Il roule rapidement sur la neige, riant alors qu'il enregistre lui-même.")</f>
        <v>Il roule rapidement sur la neige, riant alors qu'il enregistre lui-même.</v>
      </c>
    </row>
    <row r="31691">
      <c r="A31691" s="4" t="s">
        <v>39895</v>
      </c>
      <c r="B31691" s="4" t="s">
        <v>39898</v>
      </c>
      <c r="C31691" s="5" t="str">
        <f>IFERROR(__xludf.DUMMYFUNCTION("GOOGLETRANSLATE(B31691,""en"",""fr"")"),"Lui et ses passagers se tiennent sur un monticule enneigé, tournant alors qu'ils enregistrent eux-mêmes.")</f>
        <v>Lui et ses passagers se tiennent sur un monticule enneigé, tournant alors qu'ils enregistrent eux-mêmes.</v>
      </c>
    </row>
    <row r="31692">
      <c r="A31692" s="4" t="s">
        <v>39895</v>
      </c>
      <c r="B31692" s="4" t="s">
        <v>39899</v>
      </c>
      <c r="C31692" s="5" t="str">
        <f>IFERROR(__xludf.DUMMYFUNCTION("GOOGLETRANSLATE(B31692,""en"",""fr"")"),"Ils utilisent ensuite des scies pour couper un chemin dans la neige.")</f>
        <v>Ils utilisent ensuite des scies pour couper un chemin dans la neige.</v>
      </c>
    </row>
    <row r="31693">
      <c r="A31693" s="4" t="s">
        <v>39895</v>
      </c>
      <c r="B31693" s="4" t="s">
        <v>39900</v>
      </c>
      <c r="C31693" s="5" t="str">
        <f>IFERROR(__xludf.DUMMYFUNCTION("GOOGLETRANSLATE(B31693,""en"",""fr"")"),"Ils skient nautique sur le chemin de l'eau gelé.")</f>
        <v>Ils skient nautique sur le chemin de l'eau gelé.</v>
      </c>
    </row>
    <row r="31694">
      <c r="A31694" s="4" t="s">
        <v>39901</v>
      </c>
      <c r="B31694" s="4" t="s">
        <v>39902</v>
      </c>
      <c r="C31694" s="5" t="str">
        <f>IFERROR(__xludf.DUMMYFUNCTION("GOOGLETRANSLATE(B31694,""en"",""fr"")"),"Une personne nettoie un évier extrêmement sale avec une serviette en papier.")</f>
        <v>Une personne nettoie un évier extrêmement sale avec une serviette en papier.</v>
      </c>
    </row>
    <row r="31695">
      <c r="A31695" s="4" t="s">
        <v>39901</v>
      </c>
      <c r="B31695" s="4" t="s">
        <v>39903</v>
      </c>
      <c r="C31695" s="5" t="str">
        <f>IFERROR(__xludf.DUMMYFUNCTION("GOOGLETRANSLATE(B31695,""en"",""fr"")"),"Le titre, Tubotowels, apparaît à l'écran.")</f>
        <v>Le titre, Tubotowels, apparaît à l'écran.</v>
      </c>
    </row>
    <row r="31696">
      <c r="A31696" s="4" t="s">
        <v>39904</v>
      </c>
      <c r="B31696" s="4" t="s">
        <v>39905</v>
      </c>
      <c r="C31696" s="5" t="str">
        <f>IFERROR(__xludf.DUMMYFUNCTION("GOOGLETRANSLATE(B31696,""en"",""fr"")"),"Un jeune homme en blanc coule sur la scène dansant.")</f>
        <v>Un jeune homme en blanc coule sur la scène dansant.</v>
      </c>
    </row>
    <row r="31697">
      <c r="A31697" s="4" t="s">
        <v>39904</v>
      </c>
      <c r="B31697" s="4" t="s">
        <v>39906</v>
      </c>
      <c r="C31697" s="5" t="str">
        <f>IFERROR(__xludf.DUMMYFUNCTION("GOOGLETRANSLATE(B31697,""en"",""fr"")"),"D'autres hommes dansent en arrière-plan.")</f>
        <v>D'autres hommes dansent en arrière-plan.</v>
      </c>
    </row>
    <row r="31698">
      <c r="A31698" s="4" t="s">
        <v>39904</v>
      </c>
      <c r="B31698" s="4" t="s">
        <v>39907</v>
      </c>
      <c r="C31698" s="5" t="str">
        <f>IFERROR(__xludf.DUMMYFUNCTION("GOOGLETRANSLATE(B31698,""en"",""fr"")"),"Un petit garçon court sur scène, confus.")</f>
        <v>Un petit garçon court sur scène, confus.</v>
      </c>
    </row>
    <row r="31699">
      <c r="A31699" s="4" t="s">
        <v>39904</v>
      </c>
      <c r="B31699" s="4" t="s">
        <v>39908</v>
      </c>
      <c r="C31699" s="5" t="str">
        <f>IFERROR(__xludf.DUMMYFUNCTION("GOOGLETRANSLATE(B31699,""en"",""fr"")"),"Un homme avec un microphone parle au jeune enfant.")</f>
        <v>Un homme avec un microphone parle au jeune enfant.</v>
      </c>
    </row>
    <row r="31700">
      <c r="A31700" s="4" t="s">
        <v>39904</v>
      </c>
      <c r="B31700" s="4" t="s">
        <v>39909</v>
      </c>
      <c r="C31700" s="5" t="str">
        <f>IFERROR(__xludf.DUMMYFUNCTION("GOOGLETRANSLATE(B31700,""en"",""fr"")"),"Le jeune garçon commence à danser.")</f>
        <v>Le jeune garçon commence à danser.</v>
      </c>
    </row>
    <row r="31701">
      <c r="A31701" s="4" t="s">
        <v>39904</v>
      </c>
      <c r="B31701" s="4" t="s">
        <v>39910</v>
      </c>
      <c r="C31701" s="5" t="str">
        <f>IFERROR(__xludf.DUMMYFUNCTION("GOOGLETRANSLATE(B31701,""en"",""fr"")"),"Tout le monde sur la scène cesse de danser.")</f>
        <v>Tout le monde sur la scène cesse de danser.</v>
      </c>
    </row>
    <row r="31702">
      <c r="A31702" s="4" t="s">
        <v>39904</v>
      </c>
      <c r="B31702" s="4" t="s">
        <v>39911</v>
      </c>
      <c r="C31702" s="5" t="str">
        <f>IFERROR(__xludf.DUMMYFUNCTION("GOOGLETRANSLATE(B31702,""en"",""fr"")"),"Les hommes pointent vers le chanteur.")</f>
        <v>Les hommes pointent vers le chanteur.</v>
      </c>
    </row>
    <row r="31703">
      <c r="A31703" s="4" t="s">
        <v>39904</v>
      </c>
      <c r="B31703" s="4" t="s">
        <v>39912</v>
      </c>
      <c r="C31703" s="5" t="str">
        <f>IFERROR(__xludf.DUMMYFUNCTION("GOOGLETRANSLATE(B31703,""en"",""fr"")"),"Le chanteur en rouge commence à danser.")</f>
        <v>Le chanteur en rouge commence à danser.</v>
      </c>
    </row>
    <row r="31704">
      <c r="A31704" s="4" t="s">
        <v>39913</v>
      </c>
      <c r="B31704" s="6" t="s">
        <v>39914</v>
      </c>
      <c r="C31704" s="5" t="str">
        <f>IFERROR(__xludf.DUMMYFUNCTION("GOOGLETRANSLATE(B31704,""en"",""fr"")"),"Un chiffon jaune, une éponge jaune et verte et un nettoyant CIF Creme est placé sur le comptoir à côté d'un évier peu profond avec un draineur d'argent.")</f>
        <v>Un chiffon jaune, une éponge jaune et verte et un nettoyant CIF Creme est placé sur le comptoir à côté d'un évier peu profond avec un draineur d'argent.</v>
      </c>
    </row>
    <row r="31705">
      <c r="A31705" s="4" t="s">
        <v>39913</v>
      </c>
      <c r="B31705" s="6" t="s">
        <v>39915</v>
      </c>
      <c r="C31705" s="5" t="str">
        <f>IFERROR(__xludf.DUMMYFUNCTION("GOOGLETRANSLATE(B31705,""en"",""fr"")"),"Une main verse une goutte de crème Cif, l'essuya avec le côté vert de l'éponge, l'essuya en mouvement circulaire, puis essuyez le comptoir avec un chiffon jaune.")</f>
        <v>Une main verse une goutte de crème Cif, l'essuya avec le côté vert de l'éponge, l'essuya en mouvement circulaire, puis essuyez le comptoir avec un chiffon jaune.</v>
      </c>
    </row>
    <row r="31706">
      <c r="A31706" s="4" t="s">
        <v>39916</v>
      </c>
      <c r="B31706" s="4" t="s">
        <v>39917</v>
      </c>
      <c r="C31706" s="5" t="str">
        <f>IFERROR(__xludf.DUMMYFUNCTION("GOOGLETRANSLATE(B31706,""en"",""fr"")"),"Un homme prépare ses fournitures près d'une table de pique-nique puis en place une.")</f>
        <v>Un homme prépare ses fournitures près d'une table de pique-nique puis en place une.</v>
      </c>
    </row>
    <row r="31707">
      <c r="A31707" s="4" t="s">
        <v>39916</v>
      </c>
      <c r="B31707" s="4" t="s">
        <v>39918</v>
      </c>
      <c r="C31707" s="5" t="str">
        <f>IFERROR(__xludf.DUMMYFUNCTION("GOOGLETRANSLATE(B31707,""en"",""fr"")"),"L'homme verse un liquide plus léger dans un cycle de feu de camp.")</f>
        <v>L'homme verse un liquide plus léger dans un cycle de feu de camp.</v>
      </c>
    </row>
    <row r="31708">
      <c r="A31708" s="4" t="s">
        <v>39916</v>
      </c>
      <c r="B31708" s="4" t="s">
        <v>39919</v>
      </c>
      <c r="C31708" s="5" t="str">
        <f>IFERROR(__xludf.DUMMYFUNCTION("GOOGLETRANSLATE(B31708,""en"",""fr"")"),"L'homme récupère des matchs qui tombent sur le feu et il éclate en flammes.")</f>
        <v>L'homme récupère des matchs qui tombent sur le feu et il éclate en flammes.</v>
      </c>
    </row>
    <row r="31709">
      <c r="A31709" s="4" t="s">
        <v>39920</v>
      </c>
      <c r="B31709" s="6" t="s">
        <v>39921</v>
      </c>
      <c r="C31709" s="5" t="str">
        <f>IFERROR(__xludf.DUMMYFUNCTION("GOOGLETRANSLATE(B31709,""en"",""fr"")"),"Un groupe de personnes en équipement de neige est représenté à l'embarquement de neige sur les pentes de neige couvertes de neige avec un accent visuel montré à un pensionnaire particulier dans un manteau vert.")</f>
        <v>Un groupe de personnes en équipement de neige est représenté à l'embarquement de neige sur les pentes de neige couvertes de neige avec un accent visuel montré à un pensionnaire particulier dans un manteau vert.</v>
      </c>
    </row>
    <row r="31710">
      <c r="A31710" s="4" t="s">
        <v>39920</v>
      </c>
      <c r="B31710" s="6" t="s">
        <v>39922</v>
      </c>
      <c r="C31710" s="5" t="str">
        <f>IFERROR(__xludf.DUMMYFUNCTION("GOOGLETRANSLATE(B31710,""en"",""fr"")"),"Un homme dans un manteau vert traîne des traîneaux sur de nombreuses surfaces de haut en bas alors qu'il dépasse d'autres traîneaux de neige alors qu'il était entouré de feuillage brun nu et de toits et de collines couverts de neige.")</f>
        <v>Un homme dans un manteau vert traîne des traîneaux sur de nombreuses surfaces de haut en bas alors qu'il dépasse d'autres traîneaux de neige alors qu'il était entouré de feuillage brun nu et de toits et de collines couverts de neige.</v>
      </c>
    </row>
    <row r="31711">
      <c r="A31711" s="4" t="s">
        <v>39920</v>
      </c>
      <c r="B31711" s="6" t="s">
        <v>39923</v>
      </c>
      <c r="C31711" s="5" t="str">
        <f>IFERROR(__xludf.DUMMYFUNCTION("GOOGLETRANSLATE(B31711,""en"",""fr"")"),"Alors que l'homme snowboards, une personne qu'il dépasse tombe et se brise son traîneau et plusieurs des autres skieurs effectuent un tour alors qu'ils snowboard, y compris la neige en train de monter sur des plates-formes surélevées et de faire des sauts"&amp;" pendant qu'ils embarquaient.")</f>
        <v>Alors que l'homme snowboards, une personne qu'il dépasse tombe et se brise son traîneau et plusieurs des autres skieurs effectuent un tour alors qu'ils snowboard, y compris la neige en train de monter sur des plates-formes surélevées et de faire des sauts pendant qu'ils embarquaient.</v>
      </c>
    </row>
    <row r="31712">
      <c r="A31712" s="4" t="s">
        <v>39924</v>
      </c>
      <c r="B31712" s="4" t="s">
        <v>39925</v>
      </c>
      <c r="C31712" s="5" t="str">
        <f>IFERROR(__xludf.DUMMYFUNCTION("GOOGLETRANSLATE(B31712,""en"",""fr"")"),"Un petit garçon mousse une rampe en bois, pieds nus, à l'extérieur avec une mini-lamelle et un seau d'eau.")</f>
        <v>Un petit garçon mousse une rampe en bois, pieds nus, à l'extérieur avec une mini-lamelle et un seau d'eau.</v>
      </c>
    </row>
    <row r="31713">
      <c r="A31713" s="4" t="s">
        <v>39924</v>
      </c>
      <c r="B31713" s="6" t="s">
        <v>39926</v>
      </c>
      <c r="C31713" s="5" t="str">
        <f>IFERROR(__xludf.DUMMYFUNCTION("GOOGLETRANSLATE(B31713,""en"",""fr"")"),"Un jeune garçon se tient à l'extérieur, sans chemise, pieds nus et jeans et tarticule une rampe en bois avec une mini-lamelle jaune.")</f>
        <v>Un jeune garçon se tient à l'extérieur, sans chemise, pieds nus et jeans et tarticule une rampe en bois avec une mini-lamelle jaune.</v>
      </c>
    </row>
    <row r="31714">
      <c r="A31714" s="4" t="s">
        <v>39924</v>
      </c>
      <c r="B31714" s="4" t="s">
        <v>39927</v>
      </c>
      <c r="C31714" s="5" t="str">
        <f>IFERROR(__xludf.DUMMYFUNCTION("GOOGLETRANSLATE(B31714,""en"",""fr"")"),"Le garçon trempe la vadrouille dans l'eau après un certain temps et continue de nettoyer la rampe.")</f>
        <v>Le garçon trempe la vadrouille dans l'eau après un certain temps et continue de nettoyer la rampe.</v>
      </c>
    </row>
    <row r="31715">
      <c r="A31715" s="4" t="s">
        <v>39928</v>
      </c>
      <c r="B31715" s="4" t="s">
        <v>39929</v>
      </c>
      <c r="C31715" s="5" t="str">
        <f>IFERROR(__xludf.DUMMYFUNCTION("GOOGLETRANSLATE(B31715,""en"",""fr"")"),"Une femme de presse parle dans une salle de nouvelles.")</f>
        <v>Une femme de presse parle dans une salle de nouvelles.</v>
      </c>
    </row>
    <row r="31716">
      <c r="A31716" s="4" t="s">
        <v>39928</v>
      </c>
      <c r="B31716" s="6" t="s">
        <v>39930</v>
      </c>
      <c r="C31716" s="5" t="str">
        <f>IFERROR(__xludf.DUMMYFUNCTION("GOOGLETRANSLATE(B31716,""en"",""fr"")"),"Un couple de danseurs professionnels est montré dansant et jouant du ballet sur une scène, la femelle étant parfois montrée parlant à la caméra.")</f>
        <v>Un couple de danseurs professionnels est montré dansant et jouant du ballet sur une scène, la femelle étant parfois montrée parlant à la caméra.</v>
      </c>
    </row>
    <row r="31717">
      <c r="A31717" s="4" t="s">
        <v>39928</v>
      </c>
      <c r="B31717" s="6" t="s">
        <v>39931</v>
      </c>
      <c r="C31717" s="5" t="str">
        <f>IFERROR(__xludf.DUMMYFUNCTION("GOOGLETRANSLATE(B31717,""en"",""fr"")"),"Elle est vue en sortir après une performance pour voir une pièce remplie de gens et faire une conférence de presse.")</f>
        <v>Elle est vue en sortir après une performance pour voir une pièce remplie de gens et faire une conférence de presse.</v>
      </c>
    </row>
    <row r="31718">
      <c r="A31718" s="4" t="s">
        <v>39928</v>
      </c>
      <c r="B31718" s="4" t="s">
        <v>39932</v>
      </c>
      <c r="C31718" s="5" t="str">
        <f>IFERROR(__xludf.DUMMYFUNCTION("GOOGLETRANSLATE(B31718,""en"",""fr"")"),"Une affiche de trois femmes est montrée à la fin.")</f>
        <v>Une affiche de trois femmes est montrée à la fin.</v>
      </c>
    </row>
    <row r="31719">
      <c r="A31719" s="4" t="s">
        <v>39933</v>
      </c>
      <c r="B31719" s="4" t="s">
        <v>39934</v>
      </c>
      <c r="C31719" s="5" t="str">
        <f>IFERROR(__xludf.DUMMYFUNCTION("GOOGLETRANSLATE(B31719,""en"",""fr"")"),"Un homme palette une planche de surf avec un bébé sur la planche devant lui.")</f>
        <v>Un homme palette une planche de surf avec un bébé sur la planche devant lui.</v>
      </c>
    </row>
    <row r="31720">
      <c r="A31720" s="4" t="s">
        <v>39933</v>
      </c>
      <c r="B31720" s="4" t="s">
        <v>39935</v>
      </c>
      <c r="C31720" s="5" t="str">
        <f>IFERROR(__xludf.DUMMYFUNCTION("GOOGLETRANSLATE(B31720,""en"",""fr"")"),"Il soulève momentanément le bébé jusqu'à une position debout.")</f>
        <v>Il soulève momentanément le bébé jusqu'à une position debout.</v>
      </c>
    </row>
    <row r="31721">
      <c r="A31721" s="4" t="s">
        <v>39933</v>
      </c>
      <c r="B31721" s="4" t="s">
        <v>39936</v>
      </c>
      <c r="C31721" s="5" t="str">
        <f>IFERROR(__xludf.DUMMYFUNCTION("GOOGLETRANSLATE(B31721,""en"",""fr"")"),"Une femme se dirige vers l'homme et le bébé.")</f>
        <v>Une femme se dirige vers l'homme et le bébé.</v>
      </c>
    </row>
    <row r="31722">
      <c r="A31722" s="4" t="s">
        <v>39933</v>
      </c>
      <c r="B31722" s="4" t="s">
        <v>39937</v>
      </c>
      <c r="C31722" s="5" t="str">
        <f>IFERROR(__xludf.DUMMYFUNCTION("GOOGLETRANSLATE(B31722,""en"",""fr"")"),"L'homme soulève momentanément le bébé jusqu'à une position debout à nouveau.")</f>
        <v>L'homme soulève momentanément le bébé jusqu'à une position debout à nouveau.</v>
      </c>
    </row>
    <row r="31723">
      <c r="A31723" s="4" t="s">
        <v>39933</v>
      </c>
      <c r="B31723" s="4" t="s">
        <v>39938</v>
      </c>
      <c r="C31723" s="5" t="str">
        <f>IFERROR(__xludf.DUMMYFUNCTION("GOOGLETRANSLATE(B31723,""en"",""fr"")"),"L'homme soulève momentanément le bébé jusqu'à une position debout une fois de plus.")</f>
        <v>L'homme soulève momentanément le bébé jusqu'à une position debout une fois de plus.</v>
      </c>
    </row>
    <row r="31724">
      <c r="A31724" s="4" t="s">
        <v>39939</v>
      </c>
      <c r="B31724" s="4" t="s">
        <v>39940</v>
      </c>
      <c r="C31724" s="5" t="str">
        <f>IFERROR(__xludf.DUMMYFUNCTION("GOOGLETRANSLATE(B31724,""en"",""fr"")"),"L'homme en chemise marron se tient à côté d'un tas de ballon de tennis pendant qu'il parle à la caméra.")</f>
        <v>L'homme en chemise marron se tient à côté d'un tas de ballon de tennis pendant qu'il parle à la caméra.</v>
      </c>
    </row>
    <row r="31725">
      <c r="A31725" s="4" t="s">
        <v>39939</v>
      </c>
      <c r="B31725" s="4" t="s">
        <v>39941</v>
      </c>
      <c r="C31725" s="5" t="str">
        <f>IFERROR(__xludf.DUMMYFUNCTION("GOOGLETRANSLATE(B31725,""en"",""fr"")"),"Il a joué au ballon de tennis avec une autre personne.")</f>
        <v>Il a joué au ballon de tennis avec une autre personne.</v>
      </c>
    </row>
    <row r="31726">
      <c r="A31726" s="4" t="s">
        <v>39939</v>
      </c>
      <c r="B31726" s="4" t="s">
        <v>39942</v>
      </c>
      <c r="C31726" s="5" t="str">
        <f>IFERROR(__xludf.DUMMYFUNCTION("GOOGLETRANSLATE(B31726,""en"",""fr"")"),"L'homme en chemise violette sert le ballon tandis que l'homme noir a frappé le ballon en arrière.")</f>
        <v>L'homme en chemise violette sert le ballon tandis que l'homme noir a frappé le ballon en arrière.</v>
      </c>
    </row>
    <row r="31727">
      <c r="A31727" s="4" t="s">
        <v>39943</v>
      </c>
      <c r="B31727" s="4" t="s">
        <v>39944</v>
      </c>
      <c r="C31727" s="5" t="str">
        <f>IFERROR(__xludf.DUMMYFUNCTION("GOOGLETRANSLATE(B31727,""en"",""fr"")"),"Une femme donne un tutoriel des cheveux.")</f>
        <v>Une femme donne un tutoriel des cheveux.</v>
      </c>
    </row>
    <row r="31728">
      <c r="A31728" s="4" t="s">
        <v>39943</v>
      </c>
      <c r="B31728" s="4" t="s">
        <v>39945</v>
      </c>
      <c r="C31728" s="5" t="str">
        <f>IFERROR(__xludf.DUMMYFUNCTION("GOOGLETRANSLATE(B31728,""en"",""fr"")"),"La femme attache ses cheveux et la prépare pour qu'elle ait l'air mieux.")</f>
        <v>La femme attache ses cheveux et la prépare pour qu'elle ait l'air mieux.</v>
      </c>
    </row>
    <row r="31729">
      <c r="A31729" s="4" t="s">
        <v>39946</v>
      </c>
      <c r="B31729" s="6" t="s">
        <v>39947</v>
      </c>
      <c r="C31729" s="5" t="str">
        <f>IFERROR(__xludf.DUMMYFUNCTION("GOOGLETRANSLATE(B31729,""en"",""fr"")"),"Une intro à effet spécial d'un homme aérien sur un tableau d'eau avec les mots MMXiv Hyperlite Collection est à l'écran.")</f>
        <v>Une intro à effet spécial d'un homme aérien sur un tableau d'eau avec les mots MMXiv Hyperlite Collection est à l'écran.</v>
      </c>
    </row>
    <row r="31730">
      <c r="A31730" s="4" t="s">
        <v>39946</v>
      </c>
      <c r="B31730" s="6" t="s">
        <v>39948</v>
      </c>
      <c r="C31730" s="5" t="str">
        <f>IFERROR(__xludf.DUMMYFUNCTION("GOOGLETRANSLATE(B31730,""en"",""fr"")"),"Quelques hommes apparaissent près du lac, puis une série de différents clips et hommes sur les planches d'eau en jouent les uns après les autres alors qu'ils ont tous rapidement du tableau d'eau sur l'eau et certains font des flips tout en tenant la corde"&amp;".")</f>
        <v>Quelques hommes apparaissent près du lac, puis une série de différents clips et hommes sur les planches d'eau en jouent les uns après les autres alors qu'ils ont tous rapidement du tableau d'eau sur l'eau et certains font des flips tout en tenant la corde.</v>
      </c>
    </row>
    <row r="31731">
      <c r="A31731" s="4" t="s">
        <v>39946</v>
      </c>
      <c r="B31731" s="4" t="s">
        <v>39949</v>
      </c>
      <c r="C31731" s="5" t="str">
        <f>IFERROR(__xludf.DUMMYFUNCTION("GOOGLETRANSLATE(B31731,""en"",""fr"")"),"Une femme en short rose apparaît et elle est également brièvement montrée à l'embarquement en eau.")</f>
        <v>Une femme en short rose apparaît et elle est également brièvement montrée à l'embarquement en eau.</v>
      </c>
    </row>
    <row r="31732">
      <c r="A31732" s="4" t="s">
        <v>39946</v>
      </c>
      <c r="B31732" s="6" t="s">
        <v>39950</v>
      </c>
      <c r="C31732" s="5" t="str">
        <f>IFERROR(__xludf.DUMMYFUNCTION("GOOGLETRANSLATE(B31732,""en"",""fr"")"),"Maintenant, un homme est assis sur un bateau tandis qu'un grand avion télécommandé vole vers lui, et un homme debout l'attrape rapidement avant qu'il ne frappe le visage de l'homme assis, et l'homme assis se tourne vers la caméra pour donner un choqué et "&amp;"un soulagement regarde son visage.")</f>
        <v>Maintenant, un homme est assis sur un bateau tandis qu'un grand avion télécommandé vole vers lui, et un homme debout l'attrape rapidement avant qu'il ne frappe le visage de l'homme assis, et l'homme assis se tourne vers la caméra pour donner un choqué et un soulagement regarde son visage.</v>
      </c>
    </row>
    <row r="31733">
      <c r="A31733" s="4" t="s">
        <v>39946</v>
      </c>
      <c r="B31733" s="6" t="s">
        <v>39951</v>
      </c>
      <c r="C31733" s="5" t="str">
        <f>IFERROR(__xludf.DUMMYFUNCTION("GOOGLETRANSLATE(B31733,""en"",""fr"")"),"Les clips de diverses personnes sur le dos de l'eau apparaissent à nouveau et ils tiennent toujours la corde tout en se tenant sur les planches et en faisant des sauts, des flips et d'autres astuces.")</f>
        <v>Les clips de diverses personnes sur le dos de l'eau apparaissent à nouveau et ils tiennent toujours la corde tout en se tenant sur les planches et en faisant des sauts, des flips et d'autres astuces.</v>
      </c>
    </row>
    <row r="31734">
      <c r="A31734" s="4" t="s">
        <v>39946</v>
      </c>
      <c r="B31734" s="4" t="s">
        <v>39952</v>
      </c>
      <c r="C31734" s="5" t="str">
        <f>IFERROR(__xludf.DUMMYFUNCTION("GOOGLETRANSLATE(B31734,""en"",""fr"")"),"Le clip outro commence et il est similaire à l'intro.")</f>
        <v>Le clip outro commence et il est similaire à l'intro.</v>
      </c>
    </row>
    <row r="31735">
      <c r="A31735" s="4" t="s">
        <v>39953</v>
      </c>
      <c r="B31735" s="4" t="s">
        <v>39954</v>
      </c>
      <c r="C31735" s="5" t="str">
        <f>IFERROR(__xludf.DUMMYFUNCTION("GOOGLETRANSLATE(B31735,""en"",""fr"")"),"Un homme explique une procédure tissus et des matériaux de nettoyage tout en montrant les tissus.")</f>
        <v>Un homme explique une procédure tissus et des matériaux de nettoyage tout en montrant les tissus.</v>
      </c>
    </row>
    <row r="31736">
      <c r="A31736" s="4" t="s">
        <v>39953</v>
      </c>
      <c r="B31736" s="6" t="s">
        <v>39955</v>
      </c>
      <c r="C31736" s="5" t="str">
        <f>IFERROR(__xludf.DUMMYFUNCTION("GOOGLETRANSLATE(B31736,""en"",""fr"")"),"Après, l'homme s'approche d'une fenêtre et commence à nettoyer pendant un instant, puis continue d'expliquer.")</f>
        <v>Après, l'homme s'approche d'une fenêtre et commence à nettoyer pendant un instant, puis continue d'expliquer.</v>
      </c>
    </row>
    <row r="31737">
      <c r="A31737" s="4" t="s">
        <v>39956</v>
      </c>
      <c r="B31737" s="4" t="s">
        <v>1487</v>
      </c>
      <c r="C31737" s="5" t="str">
        <f>IFERROR(__xludf.DUMMYFUNCTION("GOOGLETRANSLATE(B31737,""en"",""fr"")"),"Nous voyons un écran de titre d'ouverture.")</f>
        <v>Nous voyons un écran de titre d'ouverture.</v>
      </c>
    </row>
    <row r="31738">
      <c r="A31738" s="4" t="s">
        <v>39956</v>
      </c>
      <c r="B31738" s="4" t="s">
        <v>39957</v>
      </c>
      <c r="C31738" s="5" t="str">
        <f>IFERROR(__xludf.DUMMYFUNCTION("GOOGLETRANSLATE(B31738,""en"",""fr"")"),"Une dame est assise à une table avec une chaussure, de l'eau, du sel, des broussailles et une serviette.")</f>
        <v>Une dame est assise à une table avec une chaussure, de l'eau, du sel, des broussailles et une serviette.</v>
      </c>
    </row>
    <row r="31739">
      <c r="A31739" s="4" t="s">
        <v>39956</v>
      </c>
      <c r="B31739" s="4" t="s">
        <v>39958</v>
      </c>
      <c r="C31739" s="5" t="str">
        <f>IFERROR(__xludf.DUMMYFUNCTION("GOOGLETRANSLATE(B31739,""en"",""fr"")"),"La dame met le saline dans l'eau et trempe la brosse puis brosse la chaussure.")</f>
        <v>La dame met le saline dans l'eau et trempe la brosse puis brosse la chaussure.</v>
      </c>
    </row>
    <row r="31740">
      <c r="A31740" s="4" t="s">
        <v>39956</v>
      </c>
      <c r="B31740" s="4" t="s">
        <v>39959</v>
      </c>
      <c r="C31740" s="5" t="str">
        <f>IFERROR(__xludf.DUMMYFUNCTION("GOOGLETRANSLATE(B31740,""en"",""fr"")"),"La dame essuie la chaussure avec la serviette et parle à la caméra.")</f>
        <v>La dame essuie la chaussure avec la serviette et parle à la caméra.</v>
      </c>
    </row>
    <row r="31741">
      <c r="A31741" s="4" t="s">
        <v>39956</v>
      </c>
      <c r="B31741" s="4" t="s">
        <v>39960</v>
      </c>
      <c r="C31741" s="5" t="str">
        <f>IFERROR(__xludf.DUMMYFUNCTION("GOOGLETRANSLATE(B31741,""en"",""fr"")"),"Nous voyons un écran de titre de fin.")</f>
        <v>Nous voyons un écran de titre de fin.</v>
      </c>
    </row>
    <row r="31742">
      <c r="A31742" s="4" t="s">
        <v>39961</v>
      </c>
      <c r="B31742" s="4" t="s">
        <v>39962</v>
      </c>
      <c r="C31742" s="5" t="str">
        <f>IFERROR(__xludf.DUMMYFUNCTION("GOOGLETRANSLATE(B31742,""en"",""fr"")"),"Un chien prend un bain à l'extérieur.")</f>
        <v>Un chien prend un bain à l'extérieur.</v>
      </c>
    </row>
    <row r="31743">
      <c r="A31743" s="4" t="s">
        <v>39961</v>
      </c>
      <c r="B31743" s="4" t="s">
        <v>39963</v>
      </c>
      <c r="C31743" s="5" t="str">
        <f>IFERROR(__xludf.DUMMYFUNCTION("GOOGLETRANSLATE(B31743,""en"",""fr"")"),"Le savon est travaillé à travers le manteau puis lavé.")</f>
        <v>Le savon est travaillé à travers le manteau puis lavé.</v>
      </c>
    </row>
    <row r="31744">
      <c r="A31744" s="4" t="s">
        <v>39964</v>
      </c>
      <c r="B31744" s="4" t="s">
        <v>39965</v>
      </c>
      <c r="C31744" s="5" t="str">
        <f>IFERROR(__xludf.DUMMYFUNCTION("GOOGLETRANSLATE(B31744,""en"",""fr"")"),"Il y a un homme torse nu portant un jean en jean dans une forêt.")</f>
        <v>Il y a un homme torse nu portant un jean en jean dans une forêt.</v>
      </c>
    </row>
    <row r="31745">
      <c r="A31745" s="4" t="s">
        <v>39964</v>
      </c>
      <c r="B31745" s="4" t="s">
        <v>39966</v>
      </c>
      <c r="C31745" s="5" t="str">
        <f>IFERROR(__xludf.DUMMYFUNCTION("GOOGLETRANSLATE(B31745,""en"",""fr"")"),"Il hache du bois d'une écorce d'arbre coupée avec un marteau.")</f>
        <v>Il hache du bois d'une écorce d'arbre coupée avec un marteau.</v>
      </c>
    </row>
    <row r="31746">
      <c r="A31746" s="4" t="s">
        <v>39964</v>
      </c>
      <c r="B31746" s="4" t="s">
        <v>39967</v>
      </c>
      <c r="C31746" s="5" t="str">
        <f>IFERROR(__xludf.DUMMYFUNCTION("GOOGLETRANSLATE(B31746,""en"",""fr"")"),"Il a frappé la bûche de bois hachée de toute sa force.")</f>
        <v>Il a frappé la bûche de bois hachée de toute sa force.</v>
      </c>
    </row>
    <row r="31747">
      <c r="A31747" s="4" t="s">
        <v>39968</v>
      </c>
      <c r="B31747" s="6" t="s">
        <v>39969</v>
      </c>
      <c r="C31747" s="5" t="str">
        <f>IFERROR(__xludf.DUMMYFUNCTION("GOOGLETRANSLATE(B31747,""en"",""fr"")"),"Un petit groupe de personnes est vu debout autour d'une table remplie de tasses en solo et une capture d'une tasse.")</f>
        <v>Un petit groupe de personnes est vu debout autour d'une table remplie de tasses en solo et une capture d'une tasse.</v>
      </c>
    </row>
    <row r="31748">
      <c r="A31748" s="4" t="s">
        <v>39968</v>
      </c>
      <c r="B31748" s="4" t="s">
        <v>39970</v>
      </c>
      <c r="C31748" s="5" t="str">
        <f>IFERROR(__xludf.DUMMYFUNCTION("GOOGLETRANSLATE(B31748,""en"",""fr"")"),"L'homme boit ensuite dans une tasse et continue de s'effondrer sur la table.")</f>
        <v>L'homme boit ensuite dans une tasse et continue de s'effondrer sur la table.</v>
      </c>
    </row>
    <row r="31749">
      <c r="A31749" s="4" t="s">
        <v>39971</v>
      </c>
      <c r="B31749" s="4" t="s">
        <v>39972</v>
      </c>
      <c r="C31749" s="5" t="str">
        <f>IFERROR(__xludf.DUMMYFUNCTION("GOOGLETRANSLATE(B31749,""en"",""fr"")"),"Un homme est en plein essor à l'extérieur dans un parking.")</f>
        <v>Un homme est en plein essor à l'extérieur dans un parking.</v>
      </c>
    </row>
    <row r="31750">
      <c r="A31750" s="4" t="s">
        <v>39971</v>
      </c>
      <c r="B31750" s="4" t="s">
        <v>39973</v>
      </c>
      <c r="C31750" s="5" t="str">
        <f>IFERROR(__xludf.DUMMYFUNCTION("GOOGLETRANSLATE(B31750,""en"",""fr"")"),"Il fait plusieurs astuces sur ses rouleaux.")</f>
        <v>Il fait plusieurs astuces sur ses rouleaux.</v>
      </c>
    </row>
    <row r="31751">
      <c r="A31751" s="4" t="s">
        <v>39971</v>
      </c>
      <c r="B31751" s="4" t="s">
        <v>39974</v>
      </c>
      <c r="C31751" s="5" t="str">
        <f>IFERROR(__xludf.DUMMYFUNCTION("GOOGLETRANSLATE(B31751,""en"",""fr"")"),"Il fait une roue de charrette sur le sol.")</f>
        <v>Il fait une roue de charrette sur le sol.</v>
      </c>
    </row>
    <row r="31752">
      <c r="A31752" s="4" t="s">
        <v>39975</v>
      </c>
      <c r="B31752" s="4" t="s">
        <v>39976</v>
      </c>
      <c r="C31752" s="5" t="str">
        <f>IFERROR(__xludf.DUMMYFUNCTION("GOOGLETRANSLATE(B31752,""en"",""fr"")"),"Un homme écrivant sur le mur.")</f>
        <v>Un homme écrivant sur le mur.</v>
      </c>
    </row>
    <row r="31753">
      <c r="A31753" s="4" t="s">
        <v>39975</v>
      </c>
      <c r="B31753" s="4" t="s">
        <v>39977</v>
      </c>
      <c r="C31753" s="5" t="str">
        <f>IFERROR(__xludf.DUMMYFUNCTION("GOOGLETRANSLATE(B31753,""en"",""fr"")"),"Passe à un produit présenté.")</f>
        <v>Passe à un produit présenté.</v>
      </c>
    </row>
    <row r="31754">
      <c r="A31754" s="4" t="s">
        <v>39975</v>
      </c>
      <c r="B31754" s="4" t="s">
        <v>39978</v>
      </c>
      <c r="C31754" s="5" t="str">
        <f>IFERROR(__xludf.DUMMYFUNCTION("GOOGLETRANSLATE(B31754,""en"",""fr"")"),"L'homme écrit à nouveau sur le mur.")</f>
        <v>L'homme écrit à nouveau sur le mur.</v>
      </c>
    </row>
    <row r="31755">
      <c r="A31755" s="4" t="s">
        <v>39975</v>
      </c>
      <c r="B31755" s="4" t="s">
        <v>39979</v>
      </c>
      <c r="C31755" s="5" t="str">
        <f>IFERROR(__xludf.DUMMYFUNCTION("GOOGLETRANSLATE(B31755,""en"",""fr"")"),"Il commence à appliquer le produit.")</f>
        <v>Il commence à appliquer le produit.</v>
      </c>
    </row>
    <row r="31756">
      <c r="A31756" s="4" t="s">
        <v>39975</v>
      </c>
      <c r="B31756" s="4" t="s">
        <v>39980</v>
      </c>
      <c r="C31756" s="5" t="str">
        <f>IFERROR(__xludf.DUMMYFUNCTION("GOOGLETRANSLATE(B31756,""en"",""fr"")"),"Passe à nouveau au produit.")</f>
        <v>Passe à nouveau au produit.</v>
      </c>
    </row>
    <row r="31757">
      <c r="A31757" s="4" t="s">
        <v>39975</v>
      </c>
      <c r="B31757" s="4" t="s">
        <v>39981</v>
      </c>
      <c r="C31757" s="5" t="str">
        <f>IFERROR(__xludf.DUMMYFUNCTION("GOOGLETRANSLATE(B31757,""en"",""fr"")"),"Il écrit sur le mur.")</f>
        <v>Il écrit sur le mur.</v>
      </c>
    </row>
    <row r="31758">
      <c r="A31758" s="4" t="s">
        <v>39975</v>
      </c>
      <c r="B31758" s="4" t="s">
        <v>39982</v>
      </c>
      <c r="C31758" s="5" t="str">
        <f>IFERROR(__xludf.DUMMYFUNCTION("GOOGLETRANSLATE(B31758,""en"",""fr"")"),"Il commence à présenter des outils.")</f>
        <v>Il commence à présenter des outils.</v>
      </c>
    </row>
    <row r="31759">
      <c r="A31759" s="4" t="s">
        <v>39975</v>
      </c>
      <c r="B31759" s="4" t="s">
        <v>39983</v>
      </c>
      <c r="C31759" s="5" t="str">
        <f>IFERROR(__xludf.DUMMYFUNCTION("GOOGLETRANSLATE(B31759,""en"",""fr"")"),"Ensuite, il mesure et nivelle le mur.")</f>
        <v>Ensuite, il mesure et nivelle le mur.</v>
      </c>
    </row>
    <row r="31760">
      <c r="A31760" s="4" t="s">
        <v>39975</v>
      </c>
      <c r="B31760" s="4" t="s">
        <v>39984</v>
      </c>
      <c r="C31760" s="5" t="str">
        <f>IFERROR(__xludf.DUMMYFUNCTION("GOOGLETRANSLATE(B31760,""en"",""fr"")"),"Il sort le produit et commence à placer une couche sur la fissure dans le mur.")</f>
        <v>Il sort le produit et commence à placer une couche sur la fissure dans le mur.</v>
      </c>
    </row>
    <row r="31761">
      <c r="A31761" s="4" t="s">
        <v>39975</v>
      </c>
      <c r="B31761" s="4" t="s">
        <v>39985</v>
      </c>
      <c r="C31761" s="5" t="str">
        <f>IFERROR(__xludf.DUMMYFUNCTION("GOOGLETRANSLATE(B31761,""en"",""fr"")"),"Il prend ensuite un rouleau et le roule le long du mur.")</f>
        <v>Il prend ensuite un rouleau et le roule le long du mur.</v>
      </c>
    </row>
    <row r="31762">
      <c r="A31762" s="4" t="s">
        <v>39975</v>
      </c>
      <c r="B31762" s="4" t="s">
        <v>39986</v>
      </c>
      <c r="C31762" s="5" t="str">
        <f>IFERROR(__xludf.DUMMYFUNCTION("GOOGLETRANSLATE(B31762,""en"",""fr"")"),"Ensuite, il accroche et applique une feuille blanche sur le mur.")</f>
        <v>Ensuite, il accroche et applique une feuille blanche sur le mur.</v>
      </c>
    </row>
    <row r="31763">
      <c r="A31763" s="4" t="s">
        <v>39975</v>
      </c>
      <c r="B31763" s="4" t="s">
        <v>39987</v>
      </c>
      <c r="C31763" s="5" t="str">
        <f>IFERROR(__xludf.DUMMYFUNCTION("GOOGLETRANSLATE(B31763,""en"",""fr"")"),"Il répète le processus dans les différentes sections du mur qui en ont besoin.")</f>
        <v>Il répète le processus dans les différentes sections du mur qui en ont besoin.</v>
      </c>
    </row>
    <row r="31764">
      <c r="A31764" s="4" t="s">
        <v>39975</v>
      </c>
      <c r="B31764" s="4" t="s">
        <v>39988</v>
      </c>
      <c r="C31764" s="5" t="str">
        <f>IFERROR(__xludf.DUMMYFUNCTION("GOOGLETRANSLATE(B31764,""en"",""fr"")"),"Maintenant, il écrit à nouveau sur le mur.")</f>
        <v>Maintenant, il écrit à nouveau sur le mur.</v>
      </c>
    </row>
    <row r="31765">
      <c r="A31765" s="4" t="s">
        <v>39975</v>
      </c>
      <c r="B31765" s="4" t="s">
        <v>39989</v>
      </c>
      <c r="C31765" s="5" t="str">
        <f>IFERROR(__xludf.DUMMYFUNCTION("GOOGLETRANSLATE(B31765,""en"",""fr"")"),"Ensuite, un chien saute devant un mur.")</f>
        <v>Ensuite, un chien saute devant un mur.</v>
      </c>
    </row>
    <row r="31766">
      <c r="A31766" s="4" t="s">
        <v>39975</v>
      </c>
      <c r="B31766" s="4" t="s">
        <v>39990</v>
      </c>
      <c r="C31766" s="5" t="str">
        <f>IFERROR(__xludf.DUMMYFUNCTION("GOOGLETRANSLATE(B31766,""en"",""fr"")"),"Il écrit à nouveau sur le mur.")</f>
        <v>Il écrit à nouveau sur le mur.</v>
      </c>
    </row>
    <row r="31767">
      <c r="A31767" s="4" t="s">
        <v>39975</v>
      </c>
      <c r="B31767" s="4" t="s">
        <v>39991</v>
      </c>
      <c r="C31767" s="5" t="str">
        <f>IFERROR(__xludf.DUMMYFUNCTION("GOOGLETRANSLATE(B31767,""en"",""fr"")"),"Le lettrage apparaît à l'écran pour le produit.")</f>
        <v>Le lettrage apparaît à l'écran pour le produit.</v>
      </c>
    </row>
    <row r="31768">
      <c r="A31768" s="4" t="s">
        <v>39992</v>
      </c>
      <c r="B31768" s="4" t="s">
        <v>39993</v>
      </c>
      <c r="C31768" s="5" t="str">
        <f>IFERROR(__xludf.DUMMYFUNCTION("GOOGLETRANSLATE(B31768,""en"",""fr"")"),"Plusieurs personnes flottent sur une rivière dans des tubes.")</f>
        <v>Plusieurs personnes flottent sur une rivière dans des tubes.</v>
      </c>
    </row>
    <row r="31769">
      <c r="A31769" s="4" t="s">
        <v>39992</v>
      </c>
      <c r="B31769" s="4" t="s">
        <v>39994</v>
      </c>
      <c r="C31769" s="5" t="str">
        <f>IFERROR(__xludf.DUMMYFUNCTION("GOOGLETRANSLATE(B31769,""en"",""fr"")"),"Ils traversent plusieurs rochers.")</f>
        <v>Ils traversent plusieurs rochers.</v>
      </c>
    </row>
    <row r="31770">
      <c r="A31770" s="4" t="s">
        <v>39992</v>
      </c>
      <c r="B31770" s="4" t="s">
        <v>39995</v>
      </c>
      <c r="C31770" s="5" t="str">
        <f>IFERROR(__xludf.DUMMYFUNCTION("GOOGLETRANSLATE(B31770,""en"",""fr"")"),"L'eau devient rugueuse pendant le passé à travers des rochers.")</f>
        <v>L'eau devient rugueuse pendant le passé à travers des rochers.</v>
      </c>
    </row>
    <row r="31771">
      <c r="A31771" s="4" t="s">
        <v>39992</v>
      </c>
      <c r="B31771" s="4" t="s">
        <v>39996</v>
      </c>
      <c r="C31771" s="5" t="str">
        <f>IFERROR(__xludf.DUMMYFUNCTION("GOOGLETRANSLATE(B31771,""en"",""fr"")"),"Plusieurs personnes se lèvent dans la rivière.")</f>
        <v>Plusieurs personnes se lèvent dans la rivière.</v>
      </c>
    </row>
    <row r="31772">
      <c r="A31772" s="4" t="s">
        <v>39997</v>
      </c>
      <c r="B31772" s="4" t="s">
        <v>39998</v>
      </c>
      <c r="C31772" s="5" t="str">
        <f>IFERROR(__xludf.DUMMYFUNCTION("GOOGLETRANSLATE(B31772,""en"",""fr"")"),"Les individus se tiennent derrière des plates-formes noires en attente d'instructions.")</f>
        <v>Les individus se tiennent derrière des plates-formes noires en attente d'instructions.</v>
      </c>
    </row>
    <row r="31773">
      <c r="A31773" s="4" t="s">
        <v>39997</v>
      </c>
      <c r="B31773" s="4" t="s">
        <v>39999</v>
      </c>
      <c r="C31773" s="5" t="str">
        <f>IFERROR(__xludf.DUMMYFUNCTION("GOOGLETRANSLATE(B31773,""en"",""fr"")"),"Les individus utilisent des mouvements de danse pour faire de l'exercice en utilisant la plate-forme.")</f>
        <v>Les individus utilisent des mouvements de danse pour faire de l'exercice en utilisant la plate-forme.</v>
      </c>
    </row>
    <row r="31774">
      <c r="A31774" s="4" t="s">
        <v>39997</v>
      </c>
      <c r="B31774" s="4" t="s">
        <v>40000</v>
      </c>
      <c r="C31774" s="5" t="str">
        <f>IFERROR(__xludf.DUMMYFUNCTION("GOOGLETRANSLATE(B31774,""en"",""fr"")"),"Les gens font des saut à droite de la plate-forme.")</f>
        <v>Les gens font des saut à droite de la plate-forme.</v>
      </c>
    </row>
    <row r="31775">
      <c r="A31775" s="4" t="s">
        <v>39997</v>
      </c>
      <c r="B31775" s="4" t="s">
        <v>40001</v>
      </c>
      <c r="C31775" s="5" t="str">
        <f>IFERROR(__xludf.DUMMYFUNCTION("GOOGLETRANSLATE(B31775,""en"",""fr"")"),"Les individus font des saut à gauche de la plate-forme.")</f>
        <v>Les individus font des saut à gauche de la plate-forme.</v>
      </c>
    </row>
    <row r="31776">
      <c r="A31776" s="4" t="s">
        <v>39997</v>
      </c>
      <c r="B31776" s="4" t="s">
        <v>40002</v>
      </c>
      <c r="C31776" s="5" t="str">
        <f>IFERROR(__xludf.DUMMYFUNCTION("GOOGLETRANSLATE(B31776,""en"",""fr"")"),"La dame qui avait instruit le groupe frappe continuellement ses mains et commence à partir.")</f>
        <v>La dame qui avait instruit le groupe frappe continuellement ses mains et commence à partir.</v>
      </c>
    </row>
    <row r="31777">
      <c r="A31777" s="4" t="s">
        <v>40003</v>
      </c>
      <c r="B31777" s="4" t="s">
        <v>40004</v>
      </c>
      <c r="C31777" s="5" t="str">
        <f>IFERROR(__xludf.DUMMYFUNCTION("GOOGLETRANSLATE(B31777,""en"",""fr"")"),"Une fille tient un morceau de papier blanc et il a un dessin qui se fait à l'encre noire.")</f>
        <v>Une fille tient un morceau de papier blanc et il a un dessin qui se fait à l'encre noire.</v>
      </c>
    </row>
    <row r="31778">
      <c r="A31778" s="4" t="s">
        <v>40003</v>
      </c>
      <c r="B31778" s="6" t="s">
        <v>40005</v>
      </c>
      <c r="C31778" s="5" t="str">
        <f>IFERROR(__xludf.DUMMYFUNCTION("GOOGLETRANSLATE(B31778,""en"",""fr"")"),"La fille se retourne alors et la vidéo est accélérée pour montrer son dessin sur une citrouille près d'une cuisine tandis que plusieurs personnes se déplacent autour d'elle.")</f>
        <v>La fille se retourne alors et la vidéo est accélérée pour montrer son dessin sur une citrouille près d'une cuisine tandis que plusieurs personnes se déplacent autour d'elle.</v>
      </c>
    </row>
    <row r="31779">
      <c r="A31779" s="4" t="s">
        <v>40003</v>
      </c>
      <c r="B31779" s="6" t="s">
        <v>40006</v>
      </c>
      <c r="C31779" s="5" t="str">
        <f>IFERROR(__xludf.DUMMYFUNCTION("GOOGLETRANSLATE(B31779,""en"",""fr"")"),"La fille termine le dessin et elle commence à sculpter le design de la citrouille tandis que la vidéo est toujours en mode accéléré.")</f>
        <v>La fille termine le dessin et elle commence à sculpter le design de la citrouille tandis que la vidéo est toujours en mode accéléré.</v>
      </c>
    </row>
    <row r="31780">
      <c r="A31780" s="4" t="s">
        <v>40003</v>
      </c>
      <c r="B31780" s="6" t="s">
        <v>40007</v>
      </c>
      <c r="C31780" s="5" t="str">
        <f>IFERROR(__xludf.DUMMYFUNCTION("GOOGLETRANSLATE(B31780,""en"",""fr"")"),"La citrouille est maintenant terminée et elle apparaît sur un écran noir avec juste la zone sculptée éclairant d'une couleur orange.")</f>
        <v>La citrouille est maintenant terminée et elle apparaît sur un écran noir avec juste la zone sculptée éclairant d'une couleur orange.</v>
      </c>
    </row>
    <row r="31781">
      <c r="A31781" s="4" t="s">
        <v>40003</v>
      </c>
      <c r="B31781" s="6" t="s">
        <v>40008</v>
      </c>
      <c r="C31781" s="5" t="str">
        <f>IFERROR(__xludf.DUMMYFUNCTION("GOOGLETRANSLATE(B31781,""en"",""fr"")"),"La fille apparaît à nouveau en levant le papier blanc, sort de la pièce et l'écran remonte au noir avec juste la citrouille illuminante.")</f>
        <v>La fille apparaît à nouveau en levant le papier blanc, sort de la pièce et l'écran remonte au noir avec juste la citrouille illuminante.</v>
      </c>
    </row>
    <row r="31782">
      <c r="A31782" s="4" t="s">
        <v>40009</v>
      </c>
      <c r="B31782" s="4" t="s">
        <v>40010</v>
      </c>
      <c r="C31782" s="5" t="str">
        <f>IFERROR(__xludf.DUMMYFUNCTION("GOOGLETRANSLATE(B31782,""en"",""fr"")"),"Un grand homme est vu debout sur un grand tapis marchant en avant et hurlant au public.")</f>
        <v>Un grand homme est vu debout sur un grand tapis marchant en avant et hurlant au public.</v>
      </c>
    </row>
    <row r="31783">
      <c r="A31783" s="4" t="s">
        <v>40009</v>
      </c>
      <c r="B31783" s="4" t="s">
        <v>40011</v>
      </c>
      <c r="C31783" s="5" t="str">
        <f>IFERROR(__xludf.DUMMYFUNCTION("GOOGLETRANSLATE(B31783,""en"",""fr"")"),"L'homme soulève ensuite la barre puis redescendit et hurle à haute voix.")</f>
        <v>L'homme soulève ensuite la barre puis redescendit et hurle à haute voix.</v>
      </c>
    </row>
    <row r="31784">
      <c r="A31784" s="4" t="s">
        <v>40009</v>
      </c>
      <c r="B31784" s="4" t="s">
        <v>40012</v>
      </c>
      <c r="C31784" s="5" t="str">
        <f>IFERROR(__xludf.DUMMYFUNCTION("GOOGLETRANSLATE(B31784,""en"",""fr"")"),"Les mêmes clips sont à nouveau illustrés immédiatement après.")</f>
        <v>Les mêmes clips sont à nouveau illustrés immédiatement après.</v>
      </c>
    </row>
    <row r="31785">
      <c r="A31785" s="4" t="s">
        <v>40013</v>
      </c>
      <c r="B31785" s="4" t="s">
        <v>40014</v>
      </c>
      <c r="C31785" s="5" t="str">
        <f>IFERROR(__xludf.DUMMYFUNCTION("GOOGLETRANSLATE(B31785,""en"",""fr"")"),"Un homme est vu parler à la caméra tout en tenant une chaussure et en polir et en pointant des objets.")</f>
        <v>Un homme est vu parler à la caméra tout en tenant une chaussure et en polir et en pointant des objets.</v>
      </c>
    </row>
    <row r="31786">
      <c r="A31786" s="4" t="s">
        <v>40013</v>
      </c>
      <c r="B31786" s="6" t="s">
        <v>40015</v>
      </c>
      <c r="C31786" s="5" t="str">
        <f>IFERROR(__xludf.DUMMYFUNCTION("GOOGLETRANSLATE(B31786,""en"",""fr"")"),"L'homme frotte ensuite la chaussure avec un chiffon tandis que la caméra zoome sur plus de produits et parlant à la caméra.")</f>
        <v>L'homme frotte ensuite la chaussure avec un chiffon tandis que la caméra zoome sur plus de produits et parlant à la caméra.</v>
      </c>
    </row>
    <row r="31787">
      <c r="A31787" s="4" t="s">
        <v>40016</v>
      </c>
      <c r="B31787" s="4" t="s">
        <v>40017</v>
      </c>
      <c r="C31787" s="5" t="str">
        <f>IFERROR(__xludf.DUMMYFUNCTION("GOOGLETRANSLATE(B31787,""en"",""fr"")"),"L'homme est assis dans une salle blanche en jouant aux congas un bongos.")</f>
        <v>L'homme est assis dans une salle blanche en jouant aux congas un bongos.</v>
      </c>
    </row>
    <row r="31788">
      <c r="A31788" s="4" t="s">
        <v>40016</v>
      </c>
      <c r="B31788" s="4" t="s">
        <v>40018</v>
      </c>
      <c r="C31788" s="5" t="str">
        <f>IFERROR(__xludf.DUMMYFUNCTION("GOOGLETRANSLATE(B31788,""en"",""fr"")"),"Le gros homme portant des lunettes est assis sur une chaise dans une pièce blanche.")</f>
        <v>Le gros homme portant des lunettes est assis sur une chaise dans une pièce blanche.</v>
      </c>
    </row>
    <row r="31789">
      <c r="A31789" s="4" t="s">
        <v>40016</v>
      </c>
      <c r="B31789" s="4" t="s">
        <v>40019</v>
      </c>
      <c r="C31789" s="5" t="str">
        <f>IFERROR(__xludf.DUMMYFUNCTION("GOOGLETRANSLATE(B31789,""en"",""fr"")"),"L'homme est assis dans une pièce en jouant de la musique de salsa avec les Bongos.")</f>
        <v>L'homme est assis dans une pièce en jouant de la musique de salsa avec les Bongos.</v>
      </c>
    </row>
    <row r="31790">
      <c r="A31790" s="4" t="s">
        <v>40020</v>
      </c>
      <c r="B31790" s="4" t="s">
        <v>40021</v>
      </c>
      <c r="C31790" s="5" t="str">
        <f>IFERROR(__xludf.DUMMYFUNCTION("GOOGLETRANSLATE(B31790,""en"",""fr"")"),"La femme grimpe une paroi rocheuse dans une salle de sport et un homme tire les cordes.")</f>
        <v>La femme grimpe une paroi rocheuse dans une salle de sport et un homme tire les cordes.</v>
      </c>
    </row>
    <row r="31791">
      <c r="A31791" s="4" t="s">
        <v>40020</v>
      </c>
      <c r="B31791" s="4" t="s">
        <v>40022</v>
      </c>
      <c r="C31791" s="5" t="str">
        <f>IFERROR(__xludf.DUMMYFUNCTION("GOOGLETRANSLATE(B31791,""en"",""fr"")"),"La femme commence à descendre de la paroi rocheuse.")</f>
        <v>La femme commence à descendre de la paroi rocheuse.</v>
      </c>
    </row>
    <row r="31792">
      <c r="A31792" s="4" t="s">
        <v>40023</v>
      </c>
      <c r="B31792" s="4" t="s">
        <v>40024</v>
      </c>
      <c r="C31792" s="5" t="str">
        <f>IFERROR(__xludf.DUMMYFUNCTION("GOOGLETRANSLATE(B31792,""en"",""fr"")"),"Un clip est illustré à une personne sur une planche de réveil sur quelques vagues et s'écraser dans l'eau.")</f>
        <v>Un clip est illustré à une personne sur une planche de réveil sur quelques vagues et s'écraser dans l'eau.</v>
      </c>
    </row>
    <row r="31793">
      <c r="A31793" s="4" t="s">
        <v>40023</v>
      </c>
      <c r="B31793" s="6" t="s">
        <v>40025</v>
      </c>
      <c r="C31793" s="5" t="str">
        <f>IFERROR(__xludf.DUMMYFUNCTION("GOOGLETRANSLATE(B31793,""en"",""fr"")"),"Plusieurs autres clips sont montrés de personnes qui roulent sur les tableaux de réveil sur les vagues de l'océan glissant.")</f>
        <v>Plusieurs autres clips sont montrés de personnes qui roulent sur les tableaux de réveil sur les vagues de l'océan glissant.</v>
      </c>
    </row>
    <row r="31794">
      <c r="A31794" s="4" t="s">
        <v>40026</v>
      </c>
      <c r="B31794" s="6" t="s">
        <v>40027</v>
      </c>
      <c r="C31794" s="5" t="str">
        <f>IFERROR(__xludf.DUMMYFUNCTION("GOOGLETRANSLATE(B31794,""en"",""fr"")"),"Une fille portant une écharpe est vue en parlant à la caméra et commence à mélanger divers ingrédients dans un bol.")</f>
        <v>Une fille portant une écharpe est vue en parlant à la caméra et commence à mélanger divers ingrédients dans un bol.</v>
      </c>
    </row>
    <row r="31795">
      <c r="A31795" s="4" t="s">
        <v>40026</v>
      </c>
      <c r="B31795" s="6" t="s">
        <v>40028</v>
      </c>
      <c r="C31795" s="5" t="str">
        <f>IFERROR(__xludf.DUMMYFUNCTION("GOOGLETRANSLATE(B31795,""en"",""fr"")"),"Elle place la pâte en cercles sur des casseroles séparées et montre les cookies qu'elle a fabriqués après avoir terminé.")</f>
        <v>Elle place la pâte en cercles sur des casseroles séparées et montre les cookies qu'elle a fabriqués après avoir terminé.</v>
      </c>
    </row>
    <row r="31796">
      <c r="A31796" s="4" t="s">
        <v>40029</v>
      </c>
      <c r="B31796" s="4" t="s">
        <v>40030</v>
      </c>
      <c r="C31796" s="5" t="str">
        <f>IFERROR(__xludf.DUMMYFUNCTION("GOOGLETRANSLATE(B31796,""en"",""fr"")"),"Un homme marche en rond au centre d'une foule.")</f>
        <v>Un homme marche en rond au centre d'une foule.</v>
      </c>
    </row>
    <row r="31797">
      <c r="A31797" s="4" t="s">
        <v>40029</v>
      </c>
      <c r="B31797" s="4" t="s">
        <v>40031</v>
      </c>
      <c r="C31797" s="5" t="str">
        <f>IFERROR(__xludf.DUMMYFUNCTION("GOOGLETRANSLATE(B31797,""en"",""fr"")"),"Il commence à casser la danse.")</f>
        <v>Il commence à casser la danse.</v>
      </c>
    </row>
    <row r="31798">
      <c r="A31798" s="4" t="s">
        <v>40029</v>
      </c>
      <c r="B31798" s="6" t="s">
        <v>40032</v>
      </c>
      <c r="C31798" s="5" t="str">
        <f>IFERROR(__xludf.DUMMYFUNCTION("GOOGLETRANSLATE(B31798,""en"",""fr"")"),"Plusieurs clips d'hommes se brisent dans différents lieux sont montrés, car ils se retournent, tournent et se produisent pour des foules.")</f>
        <v>Plusieurs clips d'hommes se brisent dans différents lieux sont montrés, car ils se retournent, tournent et se produisent pour des foules.</v>
      </c>
    </row>
    <row r="31799">
      <c r="A31799" s="4" t="s">
        <v>40033</v>
      </c>
      <c r="B31799" s="4" t="s">
        <v>40034</v>
      </c>
      <c r="C31799" s="5" t="str">
        <f>IFERROR(__xludf.DUMMYFUNCTION("GOOGLETRANSLATE(B31799,""en"",""fr"")"),"Il y a deux hommes habillés des kilts écossais et des vêtements debout dans la cour.")</f>
        <v>Il y a deux hommes habillés des kilts écossais et des vêtements debout dans la cour.</v>
      </c>
    </row>
    <row r="31800">
      <c r="A31800" s="4" t="s">
        <v>40033</v>
      </c>
      <c r="B31800" s="4" t="s">
        <v>40035</v>
      </c>
      <c r="C31800" s="5" t="str">
        <f>IFERROR(__xludf.DUMMYFUNCTION("GOOGLETRANSLATE(B31800,""en"",""fr"")"),"L'un des hommes joue les cornemas et l'autre joue de la batterie.")</f>
        <v>L'un des hommes joue les cornemas et l'autre joue de la batterie.</v>
      </c>
    </row>
    <row r="31801">
      <c r="A31801" s="4" t="s">
        <v>40033</v>
      </c>
      <c r="B31801" s="4" t="s">
        <v>40036</v>
      </c>
      <c r="C31801" s="5" t="str">
        <f>IFERROR(__xludf.DUMMYFUNCTION("GOOGLETRANSLATE(B31801,""en"",""fr"")"),"Une femme touristique passe devant eux alors qu'ils continuent de jouer.")</f>
        <v>Une femme touristique passe devant eux alors qu'ils continuent de jouer.</v>
      </c>
    </row>
    <row r="31802">
      <c r="A31802" s="4" t="s">
        <v>40037</v>
      </c>
      <c r="B31802" s="4" t="s">
        <v>40038</v>
      </c>
      <c r="C31802" s="5" t="str">
        <f>IFERROR(__xludf.DUMMYFUNCTION("GOOGLETRANSLATE(B31802,""en"",""fr"")"),"Une table de poker vide est montrée suivie d'une femme traitant des cartes et en parlant à la caméra.")</f>
        <v>Une table de poker vide est montrée suivie d'une femme traitant des cartes et en parlant à la caméra.</v>
      </c>
    </row>
    <row r="31803">
      <c r="A31803" s="4" t="s">
        <v>40037</v>
      </c>
      <c r="B31803" s="4" t="s">
        <v>40039</v>
      </c>
      <c r="C31803" s="5" t="str">
        <f>IFERROR(__xludf.DUMMYFUNCTION("GOOGLETRANSLATE(B31803,""en"",""fr"")"),"Elle enseigne comment jouer au jeu tout en parlant à la caméra et en souriant.")</f>
        <v>Elle enseigne comment jouer au jeu tout en parlant à la caméra et en souriant.</v>
      </c>
    </row>
    <row r="31804">
      <c r="A31804" s="4" t="s">
        <v>40040</v>
      </c>
      <c r="B31804" s="4" t="s">
        <v>40041</v>
      </c>
      <c r="C31804" s="5" t="str">
        <f>IFERROR(__xludf.DUMMYFUNCTION("GOOGLETRANSLATE(B31804,""en"",""fr"")"),"Un homme se tient dans une pièce.")</f>
        <v>Un homme se tient dans une pièce.</v>
      </c>
    </row>
    <row r="31805">
      <c r="A31805" s="4" t="s">
        <v>40040</v>
      </c>
      <c r="B31805" s="4" t="s">
        <v>40042</v>
      </c>
      <c r="C31805" s="5" t="str">
        <f>IFERROR(__xludf.DUMMYFUNCTION("GOOGLETRANSLATE(B31805,""en"",""fr"")"),"Ils jettent des fléchettes sur un plancher de fléchettes.")</f>
        <v>Ils jettent des fléchettes sur un plancher de fléchettes.</v>
      </c>
    </row>
    <row r="31806">
      <c r="A31806" s="4" t="s">
        <v>40040</v>
      </c>
      <c r="B31806" s="4" t="s">
        <v>40043</v>
      </c>
      <c r="C31806" s="5" t="str">
        <f>IFERROR(__xludf.DUMMYFUNCTION("GOOGLETRANSLATE(B31806,""en"",""fr"")"),"Une femme vient ensuite et jette des fléchettes sur un plancher de fléchettes.")</f>
        <v>Une femme vient ensuite et jette des fléchettes sur un plancher de fléchettes.</v>
      </c>
    </row>
    <row r="31807">
      <c r="A31807" s="4" t="s">
        <v>40044</v>
      </c>
      <c r="B31807" s="4" t="s">
        <v>40045</v>
      </c>
      <c r="C31807" s="5" t="str">
        <f>IFERROR(__xludf.DUMMYFUNCTION("GOOGLETRANSLATE(B31807,""en"",""fr"")"),"Les gens radelttent dans une rivière boueuse, puis ils campent sur le rivage pour se reposer et jouer.")</f>
        <v>Les gens radelttent dans une rivière boueuse, puis ils campent sur le rivage pour se reposer et jouer.</v>
      </c>
    </row>
    <row r="31808">
      <c r="A31808" s="4" t="s">
        <v>40044</v>
      </c>
      <c r="B31808" s="6" t="s">
        <v>40046</v>
      </c>
      <c r="C31808" s="5" t="str">
        <f>IFERROR(__xludf.DUMMYFUNCTION("GOOGLETRANSLATE(B31808,""en"",""fr"")"),"Ensuite, l'homme continue de rafter dans la rivière, et un homme tombe dans l'eau et ses amis le sauvent, puis ils continuent de rafting.")</f>
        <v>Ensuite, l'homme continue de rafter dans la rivière, et un homme tombe dans l'eau et ses amis le sauvent, puis ils continuent de rafting.</v>
      </c>
    </row>
    <row r="31809">
      <c r="A31809" s="4" t="s">
        <v>40044</v>
      </c>
      <c r="B31809" s="4" t="s">
        <v>40047</v>
      </c>
      <c r="C31809" s="5" t="str">
        <f>IFERROR(__xludf.DUMMYFUNCTION("GOOGLETRANSLATE(B31809,""en"",""fr"")"),"Une femme et un homme se tient ensuite un hélicoptère, puis l'hélicoptère vole.")</f>
        <v>Une femme et un homme se tient ensuite un hélicoptère, puis l'hélicoptère vole.</v>
      </c>
    </row>
    <row r="31810">
      <c r="A31810" s="4" t="s">
        <v>40048</v>
      </c>
      <c r="B31810" s="4" t="s">
        <v>40049</v>
      </c>
      <c r="C31810" s="5" t="str">
        <f>IFERROR(__xludf.DUMMYFUNCTION("GOOGLETRANSLATE(B31810,""en"",""fr"")"),"Un feu de camp brûle brillamment dans la nuit.")</f>
        <v>Un feu de camp brûle brillamment dans la nuit.</v>
      </c>
    </row>
    <row r="31811">
      <c r="A31811" s="4" t="s">
        <v>40048</v>
      </c>
      <c r="B31811" s="4" t="s">
        <v>40050</v>
      </c>
      <c r="C31811" s="5" t="str">
        <f>IFERROR(__xludf.DUMMYFUNCTION("GOOGLETRANSLATE(B31811,""en"",""fr"")"),"Le feu pousse lentement en taille.")</f>
        <v>Le feu pousse lentement en taille.</v>
      </c>
    </row>
    <row r="31812">
      <c r="A31812" s="4" t="s">
        <v>40048</v>
      </c>
      <c r="B31812" s="4" t="s">
        <v>40051</v>
      </c>
      <c r="C31812" s="5" t="str">
        <f>IFERROR(__xludf.DUMMYFUNCTION("GOOGLETRANSLATE(B31812,""en"",""fr"")"),"La scène devient plus lumineuse et mieux éclairée.")</f>
        <v>La scène devient plus lumineuse et mieux éclairée.</v>
      </c>
    </row>
    <row r="31813">
      <c r="A31813" s="4" t="s">
        <v>40048</v>
      </c>
      <c r="B31813" s="4" t="s">
        <v>40052</v>
      </c>
      <c r="C31813" s="5" t="str">
        <f>IFERROR(__xludf.DUMMYFUNCTION("GOOGLETRANSLATE(B31813,""en"",""fr"")"),"Il y a des arbres en arrière-plan.")</f>
        <v>Il y a des arbres en arrière-plan.</v>
      </c>
    </row>
    <row r="31814">
      <c r="A31814" s="4" t="s">
        <v>40053</v>
      </c>
      <c r="B31814" s="4" t="s">
        <v>40054</v>
      </c>
      <c r="C31814" s="5" t="str">
        <f>IFERROR(__xludf.DUMMYFUNCTION("GOOGLETRANSLATE(B31814,""en"",""fr"")"),"Un gros plan d'une personne mène à la personne qui regarde ses mains et la frotter avec du savon.")</f>
        <v>Un gros plan d'une personne mène à la personne qui regarde ses mains et la frotter avec du savon.</v>
      </c>
    </row>
    <row r="31815">
      <c r="A31815" s="4" t="s">
        <v>40053</v>
      </c>
      <c r="B31815" s="6" t="s">
        <v>40055</v>
      </c>
      <c r="C31815" s="5" t="str">
        <f>IFERROR(__xludf.DUMMYFUNCTION("GOOGLETRANSLATE(B31815,""en"",""fr"")"),"Un homme est montré frottant ses mains dans un évier tout en démontrant la bonne façon de se laver les mains et de les tremper sous l'eau.")</f>
        <v>Un homme est montré frottant ses mains dans un évier tout en démontrant la bonne façon de se laver les mains et de les tremper sous l'eau.</v>
      </c>
    </row>
    <row r="31816">
      <c r="A31816" s="4" t="s">
        <v>40053</v>
      </c>
      <c r="B31816" s="4" t="s">
        <v>40056</v>
      </c>
      <c r="C31816" s="5" t="str">
        <f>IFERROR(__xludf.DUMMYFUNCTION("GOOGLETRANSLATE(B31816,""en"",""fr"")"),"L'homme le sèche avec un chiffon à la fin.")</f>
        <v>L'homme le sèche avec un chiffon à la fin.</v>
      </c>
    </row>
    <row r="31817">
      <c r="A31817" s="4" t="s">
        <v>40057</v>
      </c>
      <c r="B31817" s="4" t="s">
        <v>40058</v>
      </c>
      <c r="C31817" s="5" t="str">
        <f>IFERROR(__xludf.DUMMYFUNCTION("GOOGLETRANSLATE(B31817,""en"",""fr"")"),"Une voiture roule dans une baie de lavage de voiture.")</f>
        <v>Une voiture roule dans une baie de lavage de voiture.</v>
      </c>
    </row>
    <row r="31818">
      <c r="A31818" s="4" t="s">
        <v>40057</v>
      </c>
      <c r="B31818" s="4" t="s">
        <v>40059</v>
      </c>
      <c r="C31818" s="5" t="str">
        <f>IFERROR(__xludf.DUMMYFUNCTION("GOOGLETRANSLATE(B31818,""en"",""fr"")"),"Le conducteur sort et insère de l'argent dans une machine.")</f>
        <v>Le conducteur sort et insère de l'argent dans une machine.</v>
      </c>
    </row>
    <row r="31819">
      <c r="A31819" s="4" t="s">
        <v>40057</v>
      </c>
      <c r="B31819" s="4" t="s">
        <v>40060</v>
      </c>
      <c r="C31819" s="5" t="str">
        <f>IFERROR(__xludf.DUMMYFUNCTION("GOOGLETRANSLATE(B31819,""en"",""fr"")"),"La personne lave ensuite sa voiture avec une laveuse sous pression.")</f>
        <v>La personne lave ensuite sa voiture avec une laveuse sous pression.</v>
      </c>
    </row>
    <row r="31820">
      <c r="A31820" s="4" t="s">
        <v>40057</v>
      </c>
      <c r="B31820" s="4" t="s">
        <v>40061</v>
      </c>
      <c r="C31820" s="5" t="str">
        <f>IFERROR(__xludf.DUMMYFUNCTION("GOOGLETRANSLATE(B31820,""en"",""fr"")"),"Nous voyons une autre machine et un distributeur automatique.")</f>
        <v>Nous voyons une autre machine et un distributeur automatique.</v>
      </c>
    </row>
    <row r="31821">
      <c r="A31821" s="4" t="s">
        <v>40062</v>
      </c>
      <c r="B31821" s="4" t="s">
        <v>40063</v>
      </c>
      <c r="C31821" s="5" t="str">
        <f>IFERROR(__xludf.DUMMYFUNCTION("GOOGLETRANSLATE(B31821,""en"",""fr"")"),"Un homme est vu debout à côté d'une clôture tandis que la caméra se déroule autour du lac à proximité.")</f>
        <v>Un homme est vu debout à côté d'une clôture tandis que la caméra se déroule autour du lac à proximité.</v>
      </c>
    </row>
    <row r="31822">
      <c r="A31822" s="4" t="s">
        <v>40062</v>
      </c>
      <c r="B31822" s="6" t="s">
        <v>40064</v>
      </c>
      <c r="C31822" s="5" t="str">
        <f>IFERROR(__xludf.DUMMYFUNCTION("GOOGLETRANSLATE(B31822,""en"",""fr"")"),"L'homme se penche et commence à peindre la clôture tandis que la caméra se concentre sur une personne qui descendit.")</f>
        <v>L'homme se penche et commence à peindre la clôture tandis que la caméra se concentre sur une personne qui descendit.</v>
      </c>
    </row>
    <row r="31823">
      <c r="A31823" s="4" t="s">
        <v>40062</v>
      </c>
      <c r="B31823" s="6" t="s">
        <v>40065</v>
      </c>
      <c r="C31823" s="5" t="str">
        <f>IFERROR(__xludf.DUMMYFUNCTION("GOOGLETRANSLATE(B31823,""en"",""fr"")"),"Un autre homme s'approche d'un seau et aide l'homme à peindre pendant que le caméraman continue de regarder autour de lui.")</f>
        <v>Un autre homme s'approche d'un seau et aide l'homme à peindre pendant que le caméraman continue de regarder autour de lui.</v>
      </c>
    </row>
    <row r="31824">
      <c r="A31824" s="4" t="s">
        <v>40066</v>
      </c>
      <c r="B31824" s="4" t="s">
        <v>40067</v>
      </c>
      <c r="C31824" s="5" t="str">
        <f>IFERROR(__xludf.DUMMYFUNCTION("GOOGLETRANSLATE(B31824,""en"",""fr"")"),"Une voiture voyage à travers des routes et des arbres couverts de neige avant d'arriver dans une cabine.")</f>
        <v>Une voiture voyage à travers des routes et des arbres couverts de neige avant d'arriver dans une cabine.</v>
      </c>
    </row>
    <row r="31825">
      <c r="A31825" s="4" t="s">
        <v>40066</v>
      </c>
      <c r="B31825" s="4" t="s">
        <v>40068</v>
      </c>
      <c r="C31825" s="5" t="str">
        <f>IFERROR(__xludf.DUMMYFUNCTION("GOOGLETRANSLATE(B31825,""en"",""fr"")"),"Les gens ont mis des skis et sont montrés en descendant les collines, skiant.")</f>
        <v>Les gens ont mis des skis et sont montrés en descendant les collines, skiant.</v>
      </c>
    </row>
    <row r="31826">
      <c r="A31826" s="4" t="s">
        <v>40066</v>
      </c>
      <c r="B31826" s="6" t="s">
        <v>40069</v>
      </c>
      <c r="C31826" s="5" t="str">
        <f>IFERROR(__xludf.DUMMYFUNCTION("GOOGLETRANSLATE(B31826,""en"",""fr"")"),"Ils continuent de skier, agitent la caméra et montrant une dernière vue panoramique à la fin de la vidéo.")</f>
        <v>Ils continuent de skier, agitent la caméra et montrant une dernière vue panoramique à la fin de la vidéo.</v>
      </c>
    </row>
    <row r="31827">
      <c r="A31827" s="4" t="s">
        <v>40070</v>
      </c>
      <c r="B31827" s="4" t="s">
        <v>40071</v>
      </c>
      <c r="C31827" s="5" t="str">
        <f>IFERROR(__xludf.DUMMYFUNCTION("GOOGLETRANSLATE(B31827,""en"",""fr"")"),"Diverses cartes de titre clignotent devant l'écran.")</f>
        <v>Diverses cartes de titre clignotent devant l'écran.</v>
      </c>
    </row>
    <row r="31828">
      <c r="A31828" s="4" t="s">
        <v>40070</v>
      </c>
      <c r="B31828" s="4" t="s">
        <v>40072</v>
      </c>
      <c r="C31828" s="5" t="str">
        <f>IFERROR(__xludf.DUMMYFUNCTION("GOOGLETRANSLATE(B31828,""en"",""fr"")"),"Nous voyons un chien et un homme avec un bâton de selfie portant un snowboard.")</f>
        <v>Nous voyons un chien et un homme avec un bâton de selfie portant un snowboard.</v>
      </c>
    </row>
    <row r="31829">
      <c r="A31829" s="4" t="s">
        <v>40070</v>
      </c>
      <c r="B31829" s="4" t="s">
        <v>40073</v>
      </c>
      <c r="C31829" s="5" t="str">
        <f>IFERROR(__xludf.DUMMYFUNCTION("GOOGLETRANSLATE(B31829,""en"",""fr"")"),"L'homme est du snowboard et tient le bâton de selfie.")</f>
        <v>L'homme est du snowboard et tient le bâton de selfie.</v>
      </c>
    </row>
    <row r="31830">
      <c r="A31830" s="4" t="s">
        <v>40070</v>
      </c>
      <c r="B31830" s="4" t="s">
        <v>40074</v>
      </c>
      <c r="C31830" s="5" t="str">
        <f>IFERROR(__xludf.DUMMYFUNCTION("GOOGLETRANSLATE(B31830,""en"",""fr"")"),"L'homme joue avec le chien et nous voyons le chien se rapprocher.")</f>
        <v>L'homme joue avec le chien et nous voyons le chien se rapprocher.</v>
      </c>
    </row>
    <row r="31831">
      <c r="A31831" s="4" t="s">
        <v>40070</v>
      </c>
      <c r="B31831" s="4" t="s">
        <v>40075</v>
      </c>
      <c r="C31831" s="5" t="str">
        <f>IFERROR(__xludf.DUMMYFUNCTION("GOOGLETRANSLATE(B31831,""en"",""fr"")"),"L'homme est en descente de snowboard.")</f>
        <v>L'homme est en descente de snowboard.</v>
      </c>
    </row>
    <row r="31832">
      <c r="A31832" s="4" t="s">
        <v>40070</v>
      </c>
      <c r="B31832" s="4" t="s">
        <v>40076</v>
      </c>
      <c r="C31832" s="5" t="str">
        <f>IFERROR(__xludf.DUMMYFUNCTION("GOOGLETRANSLATE(B31832,""en"",""fr"")"),"Il s'arrête à nouveau pour caresser son chien avant le snowboard.")</f>
        <v>Il s'arrête à nouveau pour caresser son chien avant le snowboard.</v>
      </c>
    </row>
    <row r="31833">
      <c r="A31833" s="4" t="s">
        <v>40070</v>
      </c>
      <c r="B31833" s="4" t="s">
        <v>40077</v>
      </c>
      <c r="C31833" s="5" t="str">
        <f>IFERROR(__xludf.DUMMYFUNCTION("GOOGLETRANSLATE(B31833,""en"",""fr"")"),"L'homme et le chien marchent dans une zone avec peu de neige.")</f>
        <v>L'homme et le chien marchent dans une zone avec peu de neige.</v>
      </c>
    </row>
    <row r="31834">
      <c r="A31834" s="4" t="s">
        <v>40070</v>
      </c>
      <c r="B31834" s="4" t="s">
        <v>40078</v>
      </c>
      <c r="C31834" s="5" t="str">
        <f>IFERROR(__xludf.DUMMYFUNCTION("GOOGLETRANSLATE(B31834,""en"",""fr"")"),"L'homme monte la planche et les snowboards avant de le mettre dans son camion.")</f>
        <v>L'homme monte la planche et les snowboards avant de le mettre dans son camion.</v>
      </c>
    </row>
    <row r="31835">
      <c r="A31835" s="4" t="s">
        <v>40070</v>
      </c>
      <c r="B31835" s="4" t="s">
        <v>40079</v>
      </c>
      <c r="C31835" s="5" t="str">
        <f>IFERROR(__xludf.DUMMYFUNCTION("GOOGLETRANSLATE(B31835,""en"",""fr"")"),"Nous voyons l'écran GoPro.")</f>
        <v>Nous voyons l'écran GoPro.</v>
      </c>
    </row>
    <row r="31836">
      <c r="A31836" s="4" t="s">
        <v>40080</v>
      </c>
      <c r="B31836" s="4" t="s">
        <v>40081</v>
      </c>
      <c r="C31836" s="5" t="str">
        <f>IFERROR(__xludf.DUMMYFUNCTION("GOOGLETRANSLATE(B31836,""en"",""fr"")"),"Un plongeur nage sous l'eau bleue.")</f>
        <v>Un plongeur nage sous l'eau bleue.</v>
      </c>
    </row>
    <row r="31837">
      <c r="A31837" s="4" t="s">
        <v>40080</v>
      </c>
      <c r="B31837" s="4" t="s">
        <v>40082</v>
      </c>
      <c r="C31837" s="5" t="str">
        <f>IFERROR(__xludf.DUMMYFUNCTION("GOOGLETRANSLATE(B31837,""en"",""fr"")"),"Deux plongeurs portant leur oxygène sont sous l'eau, ils tiennent la corde forte.")</f>
        <v>Deux plongeurs portant leur oxygène sont sous l'eau, ils tiennent la corde forte.</v>
      </c>
    </row>
    <row r="31838">
      <c r="A31838" s="4" t="s">
        <v>40080</v>
      </c>
      <c r="B31838" s="4" t="s">
        <v>40083</v>
      </c>
      <c r="C31838" s="5" t="str">
        <f>IFERROR(__xludf.DUMMYFUNCTION("GOOGLETRANSLATE(B31838,""en"",""fr"")"),"Les plongeurs plongent plus profondément dans l'eau, ils nagent vers un lit de corail sous l'eau.")</f>
        <v>Les plongeurs plongent plus profondément dans l'eau, ils nagent vers un lit de corail sous l'eau.</v>
      </c>
    </row>
    <row r="31839">
      <c r="A31839" s="4" t="s">
        <v>40080</v>
      </c>
      <c r="B31839" s="4" t="s">
        <v>40084</v>
      </c>
      <c r="C31839" s="5" t="str">
        <f>IFERROR(__xludf.DUMMYFUNCTION("GOOGLETRANSLATE(B31839,""en"",""fr"")"),"Les gens montent sur le bateau blanc vers l'océan.")</f>
        <v>Les gens montent sur le bateau blanc vers l'océan.</v>
      </c>
    </row>
    <row r="31840">
      <c r="A31840" s="4" t="s">
        <v>40085</v>
      </c>
      <c r="B31840" s="4" t="s">
        <v>40086</v>
      </c>
      <c r="C31840" s="5" t="str">
        <f>IFERROR(__xludf.DUMMYFUNCTION("GOOGLETRANSLATE(B31840,""en"",""fr"")"),"Une gymnaste féminine se prépare à monter la barre.")</f>
        <v>Une gymnaste féminine se prépare à monter la barre.</v>
      </c>
    </row>
    <row r="31841">
      <c r="A31841" s="4" t="s">
        <v>40085</v>
      </c>
      <c r="B31841" s="4" t="s">
        <v>40087</v>
      </c>
      <c r="C31841" s="5" t="str">
        <f>IFERROR(__xludf.DUMMYFUNCTION("GOOGLETRANSLATE(B31841,""en"",""fr"")"),"Elle monte, puis fait plusieurs ressorts à la main, des retournements vers l'avant et des flips du dos.")</f>
        <v>Elle monte, puis fait plusieurs ressorts à la main, des retournements vers l'avant et des flips du dos.</v>
      </c>
    </row>
    <row r="31842">
      <c r="A31842" s="4" t="s">
        <v>40085</v>
      </c>
      <c r="B31842" s="4" t="s">
        <v>40088</v>
      </c>
      <c r="C31842" s="5" t="str">
        <f>IFERROR(__xludf.DUMMYFUNCTION("GOOGLETRANSLATE(B31842,""en"",""fr"")"),"Puis elle démonte, jetant ses bras en l'air.")</f>
        <v>Puis elle démonte, jetant ses bras en l'air.</v>
      </c>
    </row>
    <row r="31843">
      <c r="A31843" s="4" t="s">
        <v>40089</v>
      </c>
      <c r="B31843" s="6" t="s">
        <v>40090</v>
      </c>
      <c r="C31843" s="5" t="str">
        <f>IFERROR(__xludf.DUMMYFUNCTION("GOOGLETRANSLATE(B31843,""en"",""fr"")"),"Un tout-petit descend sur une diapositive dans une aire de jeux pleine de gens, lorsque le tout-petit touche le sol, elle se tiendra et court.")</f>
        <v>Un tout-petit descend sur une diapositive dans une aire de jeux pleine de gens, lorsque le tout-petit touche le sol, elle se tiendra et court.</v>
      </c>
    </row>
    <row r="31844">
      <c r="A31844" s="4" t="s">
        <v>40089</v>
      </c>
      <c r="B31844" s="4" t="s">
        <v>40091</v>
      </c>
      <c r="C31844" s="5" t="str">
        <f>IFERROR(__xludf.DUMMYFUNCTION("GOOGLETRANSLATE(B31844,""en"",""fr"")"),"Soudain, un homme court derrière le tout-petit.")</f>
        <v>Soudain, un homme court derrière le tout-petit.</v>
      </c>
    </row>
    <row r="31845">
      <c r="A31845" s="4" t="s">
        <v>40092</v>
      </c>
      <c r="B31845" s="4" t="s">
        <v>40093</v>
      </c>
      <c r="C31845" s="5" t="str">
        <f>IFERROR(__xludf.DUMMYFUNCTION("GOOGLETRANSLATE(B31845,""en"",""fr"")"),"Un homme en chemise blanche tient un outil à la main.")</f>
        <v>Un homme en chemise blanche tient un outil à la main.</v>
      </c>
    </row>
    <row r="31846">
      <c r="A31846" s="4" t="s">
        <v>40092</v>
      </c>
      <c r="B31846" s="4" t="s">
        <v>40094</v>
      </c>
      <c r="C31846" s="5" t="str">
        <f>IFERROR(__xludf.DUMMYFUNCTION("GOOGLETRANSLATE(B31846,""en"",""fr"")"),"Il commence à couper les mauvaises herbes dans un champ.")</f>
        <v>Il commence à couper les mauvaises herbes dans un champ.</v>
      </c>
    </row>
    <row r="31847">
      <c r="A31847" s="4" t="s">
        <v>40092</v>
      </c>
      <c r="B31847" s="4" t="s">
        <v>40095</v>
      </c>
      <c r="C31847" s="5" t="str">
        <f>IFERROR(__xludf.DUMMYFUNCTION("GOOGLETRANSLATE(B31847,""en"",""fr"")"),"Il s'arrête et met l'outil contre une clôture.")</f>
        <v>Il s'arrête et met l'outil contre une clôture.</v>
      </c>
    </row>
    <row r="31848">
      <c r="A31848" s="4" t="s">
        <v>40096</v>
      </c>
      <c r="B31848" s="4" t="s">
        <v>40097</v>
      </c>
      <c r="C31848" s="5" t="str">
        <f>IFERROR(__xludf.DUMMYFUNCTION("GOOGLETRANSLATE(B31848,""en"",""fr"")"),"La course commence, l'un des coureurs a une énorme longueur d'avance avant que l'autre ne commence même à bouger.")</f>
        <v>La course commence, l'un des coureurs a une énorme longueur d'avance avant que l'autre ne commence même à bouger.</v>
      </c>
    </row>
    <row r="31849">
      <c r="A31849" s="4" t="s">
        <v>40096</v>
      </c>
      <c r="B31849" s="6" t="s">
        <v>40098</v>
      </c>
      <c r="C31849" s="5" t="str">
        <f>IFERROR(__xludf.DUMMYFUNCTION("GOOGLETRANSLATE(B31849,""en"",""fr"")"),"Ils recommencent à courir, mais cette fois, l'homme qui a eu le pas de longueur prend son temps et l'homme en bleu court rapidement et saute dans le sable.")</f>
        <v>Ils recommencent à courir, mais cette fois, l'homme qui a eu le pas de longueur prend son temps et l'homme en bleu court rapidement et saute dans le sable.</v>
      </c>
    </row>
    <row r="31850">
      <c r="A31850" s="4" t="s">
        <v>40096</v>
      </c>
      <c r="B31850" s="4" t="s">
        <v>40099</v>
      </c>
      <c r="C31850" s="5" t="str">
        <f>IFERROR(__xludf.DUMMYFUNCTION("GOOGLETRANSLATE(B31850,""en"",""fr"")"),"Il court et saute à nouveau, cette fois, ils le montrent à nouveau au ralenti.")</f>
        <v>Il court et saute à nouveau, cette fois, ils le montrent à nouveau au ralenti.</v>
      </c>
    </row>
    <row r="31851">
      <c r="A31851" s="4" t="s">
        <v>40096</v>
      </c>
      <c r="B31851" s="4" t="s">
        <v>40100</v>
      </c>
      <c r="C31851" s="5" t="str">
        <f>IFERROR(__xludf.DUMMYFUNCTION("GOOGLETRANSLATE(B31851,""en"",""fr"")"),"Il continue de pratiquer sa course et de sauter encore et plus en essayant de le rendre parfait.")</f>
        <v>Il continue de pratiquer sa course et de sauter encore et plus en essayant de le rendre parfait.</v>
      </c>
    </row>
    <row r="31852">
      <c r="A31852" s="4" t="s">
        <v>40101</v>
      </c>
      <c r="B31852" s="4" t="s">
        <v>40102</v>
      </c>
      <c r="C31852" s="5" t="str">
        <f>IFERROR(__xludf.DUMMYFUNCTION("GOOGLETRANSLATE(B31852,""en"",""fr"")"),"Les gens sont à roues roulages dans des ensembles d'escaliers.")</f>
        <v>Les gens sont à roues roulages dans des ensembles d'escaliers.</v>
      </c>
    </row>
    <row r="31853">
      <c r="A31853" s="4" t="s">
        <v>40101</v>
      </c>
      <c r="B31853" s="4" t="s">
        <v>40103</v>
      </c>
      <c r="C31853" s="5" t="str">
        <f>IFERROR(__xludf.DUMMYFUNCTION("GOOGLETRANSLATE(B31853,""en"",""fr"")"),"Une personne tombe dans la rue.")</f>
        <v>Une personne tombe dans la rue.</v>
      </c>
    </row>
    <row r="31854">
      <c r="A31854" s="4" t="s">
        <v>40101</v>
      </c>
      <c r="B31854" s="4" t="s">
        <v>40104</v>
      </c>
      <c r="C31854" s="5" t="str">
        <f>IFERROR(__xludf.DUMMYFUNCTION("GOOGLETRANSLATE(B31854,""en"",""fr"")"),"Un bus scolaire est dans la rue derrière eux.")</f>
        <v>Un bus scolaire est dans la rue derrière eux.</v>
      </c>
    </row>
    <row r="31855">
      <c r="A31855" s="4" t="s">
        <v>40105</v>
      </c>
      <c r="B31855" s="4" t="s">
        <v>40106</v>
      </c>
      <c r="C31855" s="5" t="str">
        <f>IFERROR(__xludf.DUMMYFUNCTION("GOOGLETRANSLATE(B31855,""en"",""fr"")"),"Une femme se tient sur un champ en cercle.")</f>
        <v>Une femme se tient sur un champ en cercle.</v>
      </c>
    </row>
    <row r="31856">
      <c r="A31856" s="4" t="s">
        <v>40105</v>
      </c>
      <c r="B31856" s="4" t="s">
        <v>40107</v>
      </c>
      <c r="C31856" s="5" t="str">
        <f>IFERROR(__xludf.DUMMYFUNCTION("GOOGLETRANSLATE(B31856,""en"",""fr"")"),"Elle tourne tout en tenant un disque.")</f>
        <v>Elle tourne tout en tenant un disque.</v>
      </c>
    </row>
    <row r="31857">
      <c r="A31857" s="4" t="s">
        <v>40105</v>
      </c>
      <c r="B31857" s="4" t="s">
        <v>40108</v>
      </c>
      <c r="C31857" s="5" t="str">
        <f>IFERROR(__xludf.DUMMYFUNCTION("GOOGLETRANSLATE(B31857,""en"",""fr"")"),"Elle lâche accidentellement la prise et le disque vole derrière elle.")</f>
        <v>Elle lâche accidentellement la prise et le disque vole derrière elle.</v>
      </c>
    </row>
    <row r="31858">
      <c r="A31858" s="4" t="s">
        <v>40109</v>
      </c>
      <c r="B31858" s="6" t="s">
        <v>40110</v>
      </c>
      <c r="C31858" s="5" t="str">
        <f>IFERROR(__xludf.DUMMYFUNCTION("GOOGLETRANSLATE(B31858,""en"",""fr"")"),"Une jeune fille est vue jouer un saxophone tout en regardant la caméra et en déplaçant ses mains de haut en bas.")</f>
        <v>Une jeune fille est vue jouer un saxophone tout en regardant la caméra et en déplaçant ses mains de haut en bas.</v>
      </c>
    </row>
    <row r="31859">
      <c r="A31859" s="4" t="s">
        <v>40109</v>
      </c>
      <c r="B31859" s="4" t="s">
        <v>40111</v>
      </c>
      <c r="C31859" s="5" t="str">
        <f>IFERROR(__xludf.DUMMYFUNCTION("GOOGLETRANSLATE(B31859,""en"",""fr"")"),"La femme continue de jouer l'instrument et se termine en éteignant la caméra.")</f>
        <v>La femme continue de jouer l'instrument et se termine en éteignant la caméra.</v>
      </c>
    </row>
    <row r="31860">
      <c r="A31860" s="4" t="s">
        <v>40112</v>
      </c>
      <c r="B31860" s="4" t="s">
        <v>40113</v>
      </c>
      <c r="C31860" s="5" t="str">
        <f>IFERROR(__xludf.DUMMYFUNCTION("GOOGLETRANSLATE(B31860,""en"",""fr"")"),"Nous voyons des hommes jouer des instruments sur une place.")</f>
        <v>Nous voyons des hommes jouer des instruments sur une place.</v>
      </c>
    </row>
    <row r="31861">
      <c r="A31861" s="4" t="s">
        <v>40112</v>
      </c>
      <c r="B31861" s="4" t="s">
        <v>40114</v>
      </c>
      <c r="C31861" s="5" t="str">
        <f>IFERROR(__xludf.DUMMYFUNCTION("GOOGLETRANSLATE(B31861,""en"",""fr"")"),"L'homme avant se retourne vers les hommes derrière lui.")</f>
        <v>L'homme avant se retourne vers les hommes derrière lui.</v>
      </c>
    </row>
    <row r="31862">
      <c r="A31862" s="4" t="s">
        <v>40112</v>
      </c>
      <c r="B31862" s="4" t="s">
        <v>40115</v>
      </c>
      <c r="C31862" s="5" t="str">
        <f>IFERROR(__xludf.DUMMYFUNCTION("GOOGLETRANSLATE(B31862,""en"",""fr"")"),"L'homme à l'avant attrape le microphone.")</f>
        <v>L'homme à l'avant attrape le microphone.</v>
      </c>
    </row>
    <row r="31863">
      <c r="A31863" s="4" t="s">
        <v>40112</v>
      </c>
      <c r="B31863" s="4" t="s">
        <v>40116</v>
      </c>
      <c r="C31863" s="5" t="str">
        <f>IFERROR(__xludf.DUMMYFUNCTION("GOOGLETRANSLATE(B31863,""en"",""fr"")"),"Le groupe finit de jouer leurs instruments.")</f>
        <v>Le groupe finit de jouer leurs instruments.</v>
      </c>
    </row>
    <row r="31864">
      <c r="A31864" s="4" t="s">
        <v>40117</v>
      </c>
      <c r="B31864" s="4" t="s">
        <v>40118</v>
      </c>
      <c r="C31864" s="5" t="str">
        <f>IFERROR(__xludf.DUMMYFUNCTION("GOOGLETRANSLATE(B31864,""en"",""fr"")"),"Sur un grand terrain, il y a une équipe de crosse qui joue à un jeu, ils se déplacent tous stratégiquement.")</f>
        <v>Sur un grand terrain, il y a une équipe de crosse qui joue à un jeu, ils se déplacent tous stratégiquement.</v>
      </c>
    </row>
    <row r="31865">
      <c r="A31865" s="4" t="s">
        <v>40117</v>
      </c>
      <c r="B31865" s="4" t="s">
        <v>40119</v>
      </c>
      <c r="C31865" s="5" t="str">
        <f>IFERROR(__xludf.DUMMYFUNCTION("GOOGLETRANSLATE(B31865,""en"",""fr"")"),"Ils lancent le ballon en essayant de faire le but tandis que l'autre équipe essaie de les bloquer.")</f>
        <v>Ils lancent le ballon en essayant de faire le but tandis que l'autre équipe essaie de les bloquer.</v>
      </c>
    </row>
    <row r="31866">
      <c r="A31866" s="4" t="s">
        <v>40117</v>
      </c>
      <c r="B31866" s="4" t="s">
        <v>40120</v>
      </c>
      <c r="C31866" s="5" t="str">
        <f>IFERROR(__xludf.DUMMYFUNCTION("GOOGLETRANSLATE(B31866,""en"",""fr"")"),"Ils courent, vous pouvez voir des flèches pour pointer de ce qui se passe ici et là.")</f>
        <v>Ils courent, vous pouvez voir des flèches pour pointer de ce qui se passe ici et là.</v>
      </c>
    </row>
    <row r="31867">
      <c r="A31867" s="4" t="s">
        <v>40117</v>
      </c>
      <c r="B31867" s="4" t="s">
        <v>40121</v>
      </c>
      <c r="C31867" s="5" t="str">
        <f>IFERROR(__xludf.DUMMYFUNCTION("GOOGLETRANSLATE(B31867,""en"",""fr"")"),"C'est un sport très physique et pratique qui nécessite de l'endurance et de l'énergie.")</f>
        <v>C'est un sport très physique et pratique qui nécessite de l'endurance et de l'énergie.</v>
      </c>
    </row>
    <row r="31868">
      <c r="A31868" s="4" t="s">
        <v>40122</v>
      </c>
      <c r="B31868" s="4" t="s">
        <v>40123</v>
      </c>
      <c r="C31868" s="5" t="str">
        <f>IFERROR(__xludf.DUMMYFUNCTION("GOOGLETRANSLATE(B31868,""en"",""fr"")"),"Un gars avec des extensions de jambe entre.")</f>
        <v>Un gars avec des extensions de jambe entre.</v>
      </c>
    </row>
    <row r="31869">
      <c r="A31869" s="4" t="s">
        <v>40122</v>
      </c>
      <c r="B31869" s="4" t="s">
        <v>40124</v>
      </c>
      <c r="C31869" s="5" t="str">
        <f>IFERROR(__xludf.DUMMYFUNCTION("GOOGLETRANSLATE(B31869,""en"",""fr"")"),"Le gars saute et se retourne sur un trampoline.")</f>
        <v>Le gars saute et se retourne sur un trampoline.</v>
      </c>
    </row>
    <row r="31870">
      <c r="A31870" s="4" t="s">
        <v>40122</v>
      </c>
      <c r="B31870" s="4" t="s">
        <v>40125</v>
      </c>
      <c r="C31870" s="5" t="str">
        <f>IFERROR(__xludf.DUMMYFUNCTION("GOOGLETRANSLATE(B31870,""en"",""fr"")"),"Un homme et une femme retirent une fixation d'un câble et fixez-en un autre.")</f>
        <v>Un homme et une femme retirent une fixation d'un câble et fixez-en un autre.</v>
      </c>
    </row>
    <row r="31871">
      <c r="A31871" s="4" t="s">
        <v>40122</v>
      </c>
      <c r="B31871" s="4" t="s">
        <v>40126</v>
      </c>
      <c r="C31871" s="5" t="str">
        <f>IFERROR(__xludf.DUMMYFUNCTION("GOOGLETRANSLATE(B31871,""en"",""fr"")"),"Les câbles sont soulevés.")</f>
        <v>Les câbles sont soulevés.</v>
      </c>
    </row>
    <row r="31872">
      <c r="A31872" s="4" t="s">
        <v>40122</v>
      </c>
      <c r="B31872" s="4" t="s">
        <v>40127</v>
      </c>
      <c r="C31872" s="5" t="str">
        <f>IFERROR(__xludf.DUMMYFUNCTION("GOOGLETRANSLATE(B31872,""en"",""fr"")"),"L'homme et la femme retirent ce qu'ils ont retiré du trampoline et partent.")</f>
        <v>L'homme et la femme retirent ce qu'ils ont retiré du trampoline et partent.</v>
      </c>
    </row>
    <row r="31873">
      <c r="A31873" s="4" t="s">
        <v>40122</v>
      </c>
      <c r="B31873" s="4" t="s">
        <v>40128</v>
      </c>
      <c r="C31873" s="5" t="str">
        <f>IFERROR(__xludf.DUMMYFUNCTION("GOOGLETRANSLATE(B31873,""en"",""fr"")"),"Le gars avec des extensions de jambe part.")</f>
        <v>Le gars avec des extensions de jambe part.</v>
      </c>
    </row>
    <row r="31874">
      <c r="A31874" s="4" t="s">
        <v>40122</v>
      </c>
      <c r="B31874" s="4" t="s">
        <v>40129</v>
      </c>
      <c r="C31874" s="5" t="str">
        <f>IFERROR(__xludf.DUMMYFUNCTION("GOOGLETRANSLATE(B31874,""en"",""fr"")"),"Deux personnes entrent avec une chaise et un seau.")</f>
        <v>Deux personnes entrent avec une chaise et un seau.</v>
      </c>
    </row>
    <row r="31875">
      <c r="A31875" s="4" t="s">
        <v>40130</v>
      </c>
      <c r="B31875" s="4" t="s">
        <v>40131</v>
      </c>
      <c r="C31875" s="5" t="str">
        <f>IFERROR(__xludf.DUMMYFUNCTION("GOOGLETRANSLATE(B31875,""en"",""fr"")"),"Un plongeur de plongée nage dans l'eau sur un jeu vidéo.")</f>
        <v>Un plongeur de plongée nage dans l'eau sur un jeu vidéo.</v>
      </c>
    </row>
    <row r="31876">
      <c r="A31876" s="4" t="s">
        <v>40130</v>
      </c>
      <c r="B31876" s="4" t="s">
        <v>40132</v>
      </c>
      <c r="C31876" s="5" t="str">
        <f>IFERROR(__xludf.DUMMYFUNCTION("GOOGLETRANSLATE(B31876,""en"",""fr"")"),"Ils regardent à travers les décombres d'un vieux navire.")</f>
        <v>Ils regardent à travers les décombres d'un vieux navire.</v>
      </c>
    </row>
    <row r="31877">
      <c r="A31877" s="4" t="s">
        <v>40130</v>
      </c>
      <c r="B31877" s="4" t="s">
        <v>40133</v>
      </c>
      <c r="C31877" s="5" t="str">
        <f>IFERROR(__xludf.DUMMYFUNCTION("GOOGLETRANSLATE(B31877,""en"",""fr"")"),"Ils montent dans leur bateau et conduisent.")</f>
        <v>Ils montent dans leur bateau et conduisent.</v>
      </c>
    </row>
    <row r="31878">
      <c r="A31878" s="4" t="s">
        <v>40130</v>
      </c>
      <c r="B31878" s="4" t="s">
        <v>40134</v>
      </c>
      <c r="C31878" s="5" t="str">
        <f>IFERROR(__xludf.DUMMYFUNCTION("GOOGLETRANSLATE(B31878,""en"",""fr"")"),"Ils sautent à nouveau sous l'eau.")</f>
        <v>Ils sautent à nouveau sous l'eau.</v>
      </c>
    </row>
    <row r="31879">
      <c r="A31879" s="4" t="s">
        <v>40135</v>
      </c>
      <c r="B31879" s="4" t="s">
        <v>40136</v>
      </c>
      <c r="C31879" s="5" t="str">
        <f>IFERROR(__xludf.DUMMYFUNCTION("GOOGLETRANSLATE(B31879,""en"",""fr"")"),"Un homme se prépare à courir le long d'une piste intérieure.")</f>
        <v>Un homme se prépare à courir le long d'une piste intérieure.</v>
      </c>
    </row>
    <row r="31880">
      <c r="A31880" s="4" t="s">
        <v>40135</v>
      </c>
      <c r="B31880" s="4" t="s">
        <v>40137</v>
      </c>
      <c r="C31880" s="5" t="str">
        <f>IFERROR(__xludf.DUMMYFUNCTION("GOOGLETRANSLATE(B31880,""en"",""fr"")"),"Il court, faisant de très grands progrès.")</f>
        <v>Il court, faisant de très grands progrès.</v>
      </c>
    </row>
    <row r="31881">
      <c r="A31881" s="4" t="s">
        <v>40135</v>
      </c>
      <c r="B31881" s="4" t="s">
        <v>40138</v>
      </c>
      <c r="C31881" s="5" t="str">
        <f>IFERROR(__xludf.DUMMYFUNCTION("GOOGLETRANSLATE(B31881,""en"",""fr"")"),"Il saute maladroitement dans le sable, atterrissant sur son visage.")</f>
        <v>Il saute maladroitement dans le sable, atterrissant sur son visage.</v>
      </c>
    </row>
    <row r="31882">
      <c r="A31882" s="4" t="s">
        <v>40139</v>
      </c>
      <c r="B31882" s="6" t="s">
        <v>40140</v>
      </c>
      <c r="C31882" s="5" t="str">
        <f>IFERROR(__xludf.DUMMYFUNCTION("GOOGLETRANSLATE(B31882,""en"",""fr"")"),"Il y a un jeune homme portant une veste bleue et une chemise blanche debout près d'un mur avec des carreaux de salle de bain blancs.")</f>
        <v>Il y a un jeune homme portant une veste bleue et une chemise blanche debout près d'un mur avec des carreaux de salle de bain blancs.</v>
      </c>
    </row>
    <row r="31883">
      <c r="A31883" s="4" t="s">
        <v>40139</v>
      </c>
      <c r="B31883" s="4" t="s">
        <v>40141</v>
      </c>
      <c r="C31883" s="5" t="str">
        <f>IFERROR(__xludf.DUMMYFUNCTION("GOOGLETRANSLATE(B31883,""en"",""fr"")"),"Il fume une cigarette.")</f>
        <v>Il fume une cigarette.</v>
      </c>
    </row>
    <row r="31884">
      <c r="A31884" s="4" t="s">
        <v>40139</v>
      </c>
      <c r="B31884" s="6" t="s">
        <v>40142</v>
      </c>
      <c r="C31884" s="5" t="str">
        <f>IFERROR(__xludf.DUMMYFUNCTION("GOOGLETRANSLATE(B31884,""en"",""fr"")"),"Il continue de prendre plusieurs bouffées de cigarette alors qu'il vide les cendres de la cigarette brûlée sur le côté.")</f>
        <v>Il continue de prendre plusieurs bouffées de cigarette alors qu'il vide les cendres de la cigarette brûlée sur le côté.</v>
      </c>
    </row>
    <row r="31885">
      <c r="A31885" s="4" t="s">
        <v>40139</v>
      </c>
      <c r="B31885" s="4" t="s">
        <v>40143</v>
      </c>
      <c r="C31885" s="5" t="str">
        <f>IFERROR(__xludf.DUMMYFUNCTION("GOOGLETRANSLATE(B31885,""en"",""fr"")"),"Il a l'air un peu confus alors qu'il continue de fumer la cigarette.")</f>
        <v>Il a l'air un peu confus alors qu'il continue de fumer la cigarette.</v>
      </c>
    </row>
    <row r="31886">
      <c r="A31886" s="4" t="s">
        <v>40144</v>
      </c>
      <c r="B31886" s="4" t="s">
        <v>40145</v>
      </c>
      <c r="C31886" s="5" t="str">
        <f>IFERROR(__xludf.DUMMYFUNCTION("GOOGLETRANSLATE(B31886,""en"",""fr"")"),"Trois personnes sont vues debout sur un champ de sable et mènent en un seul but.")</f>
        <v>Trois personnes sont vues debout sur un champ de sable et mènent en un seul but.</v>
      </c>
    </row>
    <row r="31887">
      <c r="A31887" s="4" t="s">
        <v>40144</v>
      </c>
      <c r="B31887" s="4" t="s">
        <v>40146</v>
      </c>
      <c r="C31887" s="5" t="str">
        <f>IFERROR(__xludf.DUMMYFUNCTION("GOOGLETRANSLATE(B31887,""en"",""fr"")"),"Les hommes célèbrent tandis que son clip est à nouveau montré plusieurs fois.")</f>
        <v>Les hommes célèbrent tandis que son clip est à nouveau montré plusieurs fois.</v>
      </c>
    </row>
    <row r="31888">
      <c r="A31888" s="4" t="s">
        <v>40144</v>
      </c>
      <c r="B31888" s="4" t="s">
        <v>40147</v>
      </c>
      <c r="C31888" s="5" t="str">
        <f>IFERROR(__xludf.DUMMYFUNCTION("GOOGLETRANSLATE(B31888,""en"",""fr"")"),"Les hommes continuent de célébrer et de recommencer à jouer le jeu.")</f>
        <v>Les hommes continuent de célébrer et de recommencer à jouer le jeu.</v>
      </c>
    </row>
    <row r="31889">
      <c r="A31889" s="4" t="s">
        <v>40148</v>
      </c>
      <c r="B31889" s="4" t="s">
        <v>40149</v>
      </c>
      <c r="C31889" s="5" t="str">
        <f>IFERROR(__xludf.DUMMYFUNCTION("GOOGLETRANSLATE(B31889,""en"",""fr"")"),"Une dame essuie le rouge à lèvres de son visage.")</f>
        <v>Une dame essuie le rouge à lèvres de son visage.</v>
      </c>
    </row>
    <row r="31890">
      <c r="A31890" s="4" t="s">
        <v>40148</v>
      </c>
      <c r="B31890" s="4" t="s">
        <v>40150</v>
      </c>
      <c r="C31890" s="5" t="str">
        <f>IFERROR(__xludf.DUMMYFUNCTION("GOOGLETRANSLATE(B31890,""en"",""fr"")"),"La dame baisse alors ses lèvres avec un crayon.")</f>
        <v>La dame baisse alors ses lèvres avec un crayon.</v>
      </c>
    </row>
    <row r="31891">
      <c r="A31891" s="4" t="s">
        <v>40148</v>
      </c>
      <c r="B31891" s="4" t="s">
        <v>40151</v>
      </c>
      <c r="C31891" s="5" t="str">
        <f>IFERROR(__xludf.DUMMYFUNCTION("GOOGLETRANSLATE(B31891,""en"",""fr"")"),"La dame s'arrête et ajuste la caméra.")</f>
        <v>La dame s'arrête et ajuste la caméra.</v>
      </c>
    </row>
    <row r="31892">
      <c r="A31892" s="4" t="s">
        <v>40148</v>
      </c>
      <c r="B31892" s="4" t="s">
        <v>40152</v>
      </c>
      <c r="C31892" s="5" t="str">
        <f>IFERROR(__xludf.DUMMYFUNCTION("GOOGLETRANSLATE(B31892,""en"",""fr"")"),"La caméra bouge et nous voyons un homme à côté de la dame.")</f>
        <v>La caméra bouge et nous voyons un homme à côté de la dame.</v>
      </c>
    </row>
    <row r="31893">
      <c r="A31893" s="4" t="s">
        <v>40148</v>
      </c>
      <c r="B31893" s="4" t="s">
        <v>40153</v>
      </c>
      <c r="C31893" s="5" t="str">
        <f>IFERROR(__xludf.DUMMYFUNCTION("GOOGLETRANSLATE(B31893,""en"",""fr"")"),"La dame répare ses cheveux dans la caméra.")</f>
        <v>La dame répare ses cheveux dans la caméra.</v>
      </c>
    </row>
    <row r="31894">
      <c r="A31894" s="4" t="s">
        <v>40154</v>
      </c>
      <c r="B31894" s="4" t="s">
        <v>40155</v>
      </c>
      <c r="C31894" s="5" t="str">
        <f>IFERROR(__xludf.DUMMYFUNCTION("GOOGLETRANSLATE(B31894,""en"",""fr"")"),"Un homme est vu debout devant un évier de cuisine et laver la vaisselle dans ses mains.")</f>
        <v>Un homme est vu debout devant un évier de cuisine et laver la vaisselle dans ses mains.</v>
      </c>
    </row>
    <row r="31895">
      <c r="A31895" s="4" t="s">
        <v>40154</v>
      </c>
      <c r="B31895" s="4" t="s">
        <v>40156</v>
      </c>
      <c r="C31895" s="5" t="str">
        <f>IFERROR(__xludf.DUMMYFUNCTION("GOOGLETRANSLATE(B31895,""en"",""fr"")"),"L'homme nettoie ensuite la vaisselle et les range, puis regardant bouleversé pour voir plus de plats.")</f>
        <v>L'homme nettoie ensuite la vaisselle et les range, puis regardant bouleversé pour voir plus de plats.</v>
      </c>
    </row>
    <row r="31896">
      <c r="A31896" s="4" t="s">
        <v>40157</v>
      </c>
      <c r="B31896" s="4" t="s">
        <v>40158</v>
      </c>
      <c r="C31896" s="5" t="str">
        <f>IFERROR(__xludf.DUMMYFUNCTION("GOOGLETRANSLATE(B31896,""en"",""fr"")"),"Une jeune femme est vêtue d'une grenouillère zébrée assise sur son lit pour fumer un narguilé.")</f>
        <v>Une jeune femme est vêtue d'une grenouillère zébrée assise sur son lit pour fumer un narguilé.</v>
      </c>
    </row>
    <row r="31897">
      <c r="A31897" s="4" t="s">
        <v>40157</v>
      </c>
      <c r="B31897" s="4" t="s">
        <v>40159</v>
      </c>
      <c r="C31897" s="5" t="str">
        <f>IFERROR(__xludf.DUMMYFUNCTION("GOOGLETRANSLATE(B31897,""en"",""fr"")"),"Elle prend deux bouffées, expire la fumée et une étincelle vole de l'extrémité du tube.")</f>
        <v>Elle prend deux bouffées, expire la fumée et une étincelle vole de l'extrémité du tube.</v>
      </c>
    </row>
    <row r="31898">
      <c r="A31898" s="4" t="s">
        <v>40157</v>
      </c>
      <c r="B31898" s="6" t="s">
        <v>40160</v>
      </c>
      <c r="C31898" s="5" t="str">
        <f>IFERROR(__xludf.DUMMYFUNCTION("GOOGLETRANSLATE(B31898,""en"",""fr"")"),"L'homme derrière la caméra change puis commence à fumer le narguilé alors que la fille commence à enregistrer.")</f>
        <v>L'homme derrière la caméra change puis commence à fumer le narguilé alors que la fille commence à enregistrer.</v>
      </c>
    </row>
    <row r="31899">
      <c r="A31899" s="4" t="s">
        <v>40157</v>
      </c>
      <c r="B31899" s="4" t="s">
        <v>40161</v>
      </c>
      <c r="C31899" s="5" t="str">
        <f>IFERROR(__xludf.DUMMYFUNCTION("GOOGLETRANSLATE(B31899,""en"",""fr"")"),"Une fois qu'il a terminé, le narguilé est rendu à la fille et elle commence à fumer.")</f>
        <v>Une fois qu'il a terminé, le narguilé est rendu à la fille et elle commence à fumer.</v>
      </c>
    </row>
    <row r="31900">
      <c r="A31900" s="4" t="s">
        <v>40162</v>
      </c>
      <c r="B31900" s="4" t="s">
        <v>40163</v>
      </c>
      <c r="C31900" s="5" t="str">
        <f>IFERROR(__xludf.DUMMYFUNCTION("GOOGLETRANSLATE(B31900,""en"",""fr"")"),"Une personne déguisée alors que Dark Vador joue un violon sur le trottoir.")</f>
        <v>Une personne déguisée alors que Dark Vador joue un violon sur le trottoir.</v>
      </c>
    </row>
    <row r="31901">
      <c r="A31901" s="4" t="s">
        <v>40162</v>
      </c>
      <c r="B31901" s="4" t="s">
        <v>40164</v>
      </c>
      <c r="C31901" s="5" t="str">
        <f>IFERROR(__xludf.DUMMYFUNCTION("GOOGLETRANSLATE(B31901,""en"",""fr"")"),"Les gens marchent devant lui.")</f>
        <v>Les gens marchent devant lui.</v>
      </c>
    </row>
    <row r="31902">
      <c r="A31902" s="4" t="s">
        <v>40165</v>
      </c>
      <c r="B31902" s="4" t="s">
        <v>40166</v>
      </c>
      <c r="C31902" s="5" t="str">
        <f>IFERROR(__xludf.DUMMYFUNCTION("GOOGLETRANSLATE(B31902,""en"",""fr"")"),"Un homme porte une robe blanche avec une ceinture noire.")</f>
        <v>Un homme porte une robe blanche avec une ceinture noire.</v>
      </c>
    </row>
    <row r="31903">
      <c r="A31903" s="4" t="s">
        <v>40165</v>
      </c>
      <c r="B31903" s="4" t="s">
        <v>40167</v>
      </c>
      <c r="C31903" s="5" t="str">
        <f>IFERROR(__xludf.DUMMYFUNCTION("GOOGLETRANSLATE(B31903,""en"",""fr"")"),"Il commence à faire des mouvements de karaté dans une pièce.")</f>
        <v>Il commence à faire des mouvements de karaté dans une pièce.</v>
      </c>
    </row>
    <row r="31904">
      <c r="A31904" s="4" t="s">
        <v>40165</v>
      </c>
      <c r="B31904" s="4" t="s">
        <v>40168</v>
      </c>
      <c r="C31904" s="5" t="str">
        <f>IFERROR(__xludf.DUMMYFUNCTION("GOOGLETRANSLATE(B31904,""en"",""fr"")"),"Il se lève à la fin.")</f>
        <v>Il se lève à la fin.</v>
      </c>
    </row>
    <row r="31905">
      <c r="A31905" s="4" t="s">
        <v>40169</v>
      </c>
      <c r="B31905" s="6" t="s">
        <v>40170</v>
      </c>
      <c r="C31905" s="5" t="str">
        <f>IFERROR(__xludf.DUMMYFUNCTION("GOOGLETRANSLATE(B31905,""en"",""fr"")"),"Un homme excité est vu parler à la caméra et passer à plusieurs plans de matchs qui gagnent des hommes, de la bière et d'être interviewé par l'hôte.")</f>
        <v>Un homme excité est vu parler à la caméra et passer à plusieurs plans de matchs qui gagnent des hommes, de la bière et d'être interviewé par l'hôte.</v>
      </c>
    </row>
    <row r="31906">
      <c r="A31906" s="4" t="s">
        <v>40169</v>
      </c>
      <c r="B31906" s="6" t="s">
        <v>40171</v>
      </c>
      <c r="C31906" s="5" t="str">
        <f>IFERROR(__xludf.DUMMYFUNCTION("GOOGLETRANSLATE(B31906,""en"",""fr"")"),"Les hommes sont ensuite vus jouer à un jeu de bière avec plusieurs autres et montrer une tête rasée.")</f>
        <v>Les hommes sont ensuite vus jouer à un jeu de bière avec plusieurs autres et montrer une tête rasée.</v>
      </c>
    </row>
    <row r="31907">
      <c r="A31907" s="4" t="s">
        <v>40169</v>
      </c>
      <c r="B31907" s="4" t="s">
        <v>40172</v>
      </c>
      <c r="C31907" s="5" t="str">
        <f>IFERROR(__xludf.DUMMYFUNCTION("GOOGLETRANSLATE(B31907,""en"",""fr"")"),"Un homme est vu parler sur un téléphone et plus de photos des hommes jouant à la bière pong sont montrées.")</f>
        <v>Un homme est vu parler sur un téléphone et plus de photos des hommes jouant à la bière pong sont montrées.</v>
      </c>
    </row>
    <row r="31908">
      <c r="A31908" s="4" t="s">
        <v>40173</v>
      </c>
      <c r="B31908" s="4" t="s">
        <v>40174</v>
      </c>
      <c r="C31908" s="5" t="str">
        <f>IFERROR(__xludf.DUMMYFUNCTION("GOOGLETRANSLATE(B31908,""en"",""fr"")"),"Une femme tourne autour, montrant sa coiffure.")</f>
        <v>Une femme tourne autour, montrant sa coiffure.</v>
      </c>
    </row>
    <row r="31909">
      <c r="A31909" s="4" t="s">
        <v>40173</v>
      </c>
      <c r="B31909" s="4" t="s">
        <v>40175</v>
      </c>
      <c r="C31909" s="5" t="str">
        <f>IFERROR(__xludf.DUMMYFUNCTION("GOOGLETRANSLATE(B31909,""en"",""fr"")"),"Nous voyons une séchage de cheveux noirs tourner à l'écran.")</f>
        <v>Nous voyons une séchage de cheveux noirs tourner à l'écran.</v>
      </c>
    </row>
    <row r="31910">
      <c r="A31910" s="4" t="s">
        <v>40173</v>
      </c>
      <c r="B31910" s="6" t="s">
        <v>40176</v>
      </c>
      <c r="C31910" s="5" t="str">
        <f>IFERROR(__xludf.DUMMYFUNCTION("GOOGLETRANSLATE(B31910,""en"",""fr"")"),"La femme se fait coiffer les cheveux en arrière-plan par une autre femme, tandis que le texte couvre l'écran avec des instructions.")</f>
        <v>La femme se fait coiffer les cheveux en arrière-plan par une autre femme, tandis que le texte couvre l'écran avec des instructions.</v>
      </c>
    </row>
    <row r="31911">
      <c r="A31911" s="4" t="s">
        <v>40173</v>
      </c>
      <c r="B31911" s="4" t="s">
        <v>40177</v>
      </c>
      <c r="C31911" s="5" t="str">
        <f>IFERROR(__xludf.DUMMYFUNCTION("GOOGLETRANSLATE(B31911,""en"",""fr"")"),"La femme brosse et finalise le style, et le client a un énorme sourire heureux.")</f>
        <v>La femme brosse et finalise le style, et le client a un énorme sourire heureux.</v>
      </c>
    </row>
    <row r="31912">
      <c r="A31912" s="4" t="s">
        <v>40178</v>
      </c>
      <c r="B31912" s="4" t="s">
        <v>40179</v>
      </c>
      <c r="C31912" s="5" t="str">
        <f>IFERROR(__xludf.DUMMYFUNCTION("GOOGLETRANSLATE(B31912,""en"",""fr"")"),"Un homme est vu assis sur un banc de parc jouant de la guitare avec un petit garçon à côté de lui.")</f>
        <v>Un homme est vu assis sur un banc de parc jouant de la guitare avec un petit garçon à côté de lui.</v>
      </c>
    </row>
    <row r="31913">
      <c r="A31913" s="4" t="s">
        <v>40178</v>
      </c>
      <c r="B31913" s="4" t="s">
        <v>40180</v>
      </c>
      <c r="C31913" s="5" t="str">
        <f>IFERROR(__xludf.DUMMYFUNCTION("GOOGLETRANSLATE(B31913,""en"",""fr"")"),"Le garçon commence alors à jouer un ensemble de tambours à côté de l'homme jouant de la guitare.")</f>
        <v>Le garçon commence alors à jouer un ensemble de tambours à côté de l'homme jouant de la guitare.</v>
      </c>
    </row>
    <row r="31914">
      <c r="A31914" s="4" t="s">
        <v>40178</v>
      </c>
      <c r="B31914" s="6" t="s">
        <v>40181</v>
      </c>
      <c r="C31914" s="5" t="str">
        <f>IFERROR(__xludf.DUMMYFUNCTION("GOOGLETRANSLATE(B31914,""en"",""fr"")"),"Les deux continuent de jouer les uns avec les autres et s'arrêtent pour agiter la caméra et se parler.")</f>
        <v>Les deux continuent de jouer les uns avec les autres et s'arrêtent pour agiter la caméra et se parler.</v>
      </c>
    </row>
    <row r="31915">
      <c r="A31915" s="4" t="s">
        <v>40182</v>
      </c>
      <c r="B31915" s="4" t="s">
        <v>40183</v>
      </c>
      <c r="C31915" s="5" t="str">
        <f>IFERROR(__xludf.DUMMYFUNCTION("GOOGLETRANSLATE(B31915,""en"",""fr"")"),"Une personne allume une machine et regarde un tuyau grossir pendant qu'il tourne le cadran.")</f>
        <v>Une personne allume une machine et regarde un tuyau grossir pendant qu'il tourne le cadran.</v>
      </c>
    </row>
    <row r="31916">
      <c r="A31916" s="4" t="s">
        <v>40182</v>
      </c>
      <c r="B31916" s="4" t="s">
        <v>40184</v>
      </c>
      <c r="C31916" s="5" t="str">
        <f>IFERROR(__xludf.DUMMYFUNCTION("GOOGLETRANSLATE(B31916,""en"",""fr"")"),"Il continue d'appuyer sur des boutons et commence à préparer un chien.")</f>
        <v>Il continue d'appuyer sur des boutons et commence à préparer un chien.</v>
      </c>
    </row>
    <row r="31917">
      <c r="A31917" s="4" t="s">
        <v>40182</v>
      </c>
      <c r="B31917" s="6" t="s">
        <v>40185</v>
      </c>
      <c r="C31917" s="5" t="str">
        <f>IFERROR(__xludf.DUMMYFUNCTION("GOOGLETRANSLATE(B31917,""en"",""fr"")"),"La personne monte et descend sur le chien et le fait finalement bien paraître comme nouveau avec différents paramètres.")</f>
        <v>La personne monte et descend sur le chien et le fait finalement bien paraître comme nouveau avec différents paramètres.</v>
      </c>
    </row>
    <row r="31918">
      <c r="A31918" s="4" t="s">
        <v>40186</v>
      </c>
      <c r="B31918" s="4" t="s">
        <v>40187</v>
      </c>
      <c r="C31918" s="5" t="str">
        <f>IFERROR(__xludf.DUMMYFUNCTION("GOOGLETRANSLATE(B31918,""en"",""fr"")"),"Une jeune fille est assise dans une baignoire vide en rasant la jambe d'un homme qui est jeté sur la baignoire.")</f>
        <v>Une jeune fille est assise dans une baignoire vide en rasant la jambe d'un homme qui est jeté sur la baignoire.</v>
      </c>
    </row>
    <row r="31919">
      <c r="A31919" s="4" t="s">
        <v>40186</v>
      </c>
      <c r="B31919" s="4" t="s">
        <v>40188</v>
      </c>
      <c r="C31919" s="5" t="str">
        <f>IFERROR(__xludf.DUMMYFUNCTION("GOOGLETRANSLATE(B31919,""en"",""fr"")"),"Pendant qu'elle continue, le chien vient et elle montre les cheveux sur le rasoir jusqu'à la caméra.")</f>
        <v>Pendant qu'elle continue, le chien vient et elle montre les cheveux sur le rasoir jusqu'à la caméra.</v>
      </c>
    </row>
    <row r="31920">
      <c r="A31920" s="4" t="s">
        <v>40189</v>
      </c>
      <c r="B31920" s="4" t="s">
        <v>40190</v>
      </c>
      <c r="C31920" s="5" t="str">
        <f>IFERROR(__xludf.DUMMYFUNCTION("GOOGLETRANSLATE(B31920,""en"",""fr"")"),"Il y a deux étudiants, un garçon et une fille sur une piste de saut à la perche.")</f>
        <v>Il y a deux étudiants, un garçon et une fille sur une piste de saut à la perche.</v>
      </c>
    </row>
    <row r="31921">
      <c r="A31921" s="4" t="s">
        <v>40189</v>
      </c>
      <c r="B31921" s="6" t="s">
        <v>40191</v>
      </c>
      <c r="C31921" s="5" t="str">
        <f>IFERROR(__xludf.DUMMYFUNCTION("GOOGLETRANSLATE(B31921,""en"",""fr"")"),"L'un des étudiants, un garçon sprinte avec le poteau sur la piste tandis qu'une personne en bleu L'autre étudiant le regarde.")</f>
        <v>L'un des étudiants, un garçon sprinte avec le poteau sur la piste tandis qu'une personne en bleu L'autre étudiant le regarde.</v>
      </c>
    </row>
    <row r="31922">
      <c r="A31922" s="4" t="s">
        <v>40189</v>
      </c>
      <c r="B31922" s="4" t="s">
        <v>40192</v>
      </c>
      <c r="C31922" s="5" t="str">
        <f>IFERROR(__xludf.DUMMYFUNCTION("GOOGLETRANSLATE(B31922,""en"",""fr"")"),"Puis il saute haut et atterrit à quelques mètres de là sur la zone d'atterrissage.")</f>
        <v>Puis il saute haut et atterrit à quelques mètres de là sur la zone d'atterrissage.</v>
      </c>
    </row>
    <row r="31923">
      <c r="A31923" s="4" t="s">
        <v>40189</v>
      </c>
      <c r="B31923" s="4" t="s">
        <v>40193</v>
      </c>
      <c r="C31923" s="5" t="str">
        <f>IFERROR(__xludf.DUMMYFUNCTION("GOOGLETRANSLATE(B31923,""en"",""fr"")"),"Ses actions sont rejouées au ralenti pour capturer son saut et son atterrissage.")</f>
        <v>Ses actions sont rejouées au ralenti pour capturer son saut et son atterrissage.</v>
      </c>
    </row>
    <row r="31924">
      <c r="A31924" s="4" t="s">
        <v>40194</v>
      </c>
      <c r="B31924" s="4" t="s">
        <v>40195</v>
      </c>
      <c r="C31924" s="5" t="str">
        <f>IFERROR(__xludf.DUMMYFUNCTION("GOOGLETRANSLATE(B31924,""en"",""fr"")"),"Un petit groupe de filles est vu marcher sur une scène suivi de plus de personnes qui suivent derrière.")</f>
        <v>Un petit groupe de filles est vu marcher sur une scène suivi de plus de personnes qui suivent derrière.</v>
      </c>
    </row>
    <row r="31925">
      <c r="A31925" s="4" t="s">
        <v>40194</v>
      </c>
      <c r="B31925" s="6" t="s">
        <v>40196</v>
      </c>
      <c r="C31925" s="5" t="str">
        <f>IFERROR(__xludf.DUMMYFUNCTION("GOOGLETRANSLATE(B31925,""en"",""fr"")"),"Plus de gens continuent de monter sur scène avec des panneaux qui tiennent des panneaux et d'autres qui regardent sur le côté.")</f>
        <v>Plus de gens continuent de monter sur scène avec des panneaux qui tiennent des panneaux et d'autres qui regardent sur le côté.</v>
      </c>
    </row>
    <row r="31926">
      <c r="A31926" s="4" t="s">
        <v>40197</v>
      </c>
      <c r="B31926" s="4" t="s">
        <v>40198</v>
      </c>
      <c r="C31926" s="5" t="str">
        <f>IFERROR(__xludf.DUMMYFUNCTION("GOOGLETRANSLATE(B31926,""en"",""fr"")"),"Un garçon en classe de karaté s'incline avant une performance.")</f>
        <v>Un garçon en classe de karaté s'incline avant une performance.</v>
      </c>
    </row>
    <row r="31927">
      <c r="A31927" s="4" t="s">
        <v>40197</v>
      </c>
      <c r="B31927" s="4" t="s">
        <v>40199</v>
      </c>
      <c r="C31927" s="5" t="str">
        <f>IFERROR(__xludf.DUMMYFUNCTION("GOOGLETRANSLATE(B31927,""en"",""fr"")"),"Le garçon effectue une routine de karaté avec des fausses à main.")</f>
        <v>Le garçon effectue une routine de karaté avec des fausses à main.</v>
      </c>
    </row>
    <row r="31928">
      <c r="A31928" s="4" t="s">
        <v>40197</v>
      </c>
      <c r="B31928" s="4" t="s">
        <v>40200</v>
      </c>
      <c r="C31928" s="5" t="str">
        <f>IFERROR(__xludf.DUMMYFUNCTION("GOOGLETRANSLATE(B31928,""en"",""fr"")"),"Le garçon termine sa routine et ses arcs.")</f>
        <v>Le garçon termine sa routine et ses arcs.</v>
      </c>
    </row>
    <row r="31929">
      <c r="A31929" s="4" t="s">
        <v>40201</v>
      </c>
      <c r="B31929" s="4" t="s">
        <v>40202</v>
      </c>
      <c r="C31929" s="5" t="str">
        <f>IFERROR(__xludf.DUMMYFUNCTION("GOOGLETRANSLATE(B31929,""en"",""fr"")"),"Nous voyons un homme marcher jusqu'aux barres parallèles et sauter.")</f>
        <v>Nous voyons un homme marcher jusqu'aux barres parallèles et sauter.</v>
      </c>
    </row>
    <row r="31930">
      <c r="A31930" s="4" t="s">
        <v>40201</v>
      </c>
      <c r="B31930" s="4" t="s">
        <v>40203</v>
      </c>
      <c r="C31930" s="5" t="str">
        <f>IFERROR(__xludf.DUMMYFUNCTION("GOOGLETRANSLATE(B31930,""en"",""fr"")"),"Nous voyons l'homme effectuer une routine sur les barreaux.")</f>
        <v>Nous voyons l'homme effectuer une routine sur les barreaux.</v>
      </c>
    </row>
    <row r="31931">
      <c r="A31931" s="4" t="s">
        <v>40201</v>
      </c>
      <c r="B31931" s="4" t="s">
        <v>40204</v>
      </c>
      <c r="C31931" s="5" t="str">
        <f>IFERROR(__xludf.DUMMYFUNCTION("GOOGLETRANSLATE(B31931,""en"",""fr"")"),"L'homme fait une poignée.")</f>
        <v>L'homme fait une poignée.</v>
      </c>
    </row>
    <row r="31932">
      <c r="A31932" s="4" t="s">
        <v>40201</v>
      </c>
      <c r="B31932" s="4" t="s">
        <v>40205</v>
      </c>
      <c r="C31932" s="5" t="str">
        <f>IFERROR(__xludf.DUMMYFUNCTION("GOOGLETRANSLATE(B31932,""en"",""fr"")"),"L'homme se retourne et démonte des barreaux.")</f>
        <v>L'homme se retourne et démonte des barreaux.</v>
      </c>
    </row>
    <row r="31933">
      <c r="A31933" s="4" t="s">
        <v>40201</v>
      </c>
      <c r="B31933" s="4" t="s">
        <v>40206</v>
      </c>
      <c r="C31933" s="5" t="str">
        <f>IFERROR(__xludf.DUMMYFUNCTION("GOOGLETRANSLATE(B31933,""en"",""fr"")"),"L'homme lève les bras en l'air.")</f>
        <v>L'homme lève les bras en l'air.</v>
      </c>
    </row>
    <row r="31934">
      <c r="A31934" s="4" t="s">
        <v>40201</v>
      </c>
      <c r="B31934" s="4" t="s">
        <v>40207</v>
      </c>
      <c r="C31934" s="5" t="str">
        <f>IFERROR(__xludf.DUMMYFUNCTION("GOOGLETRANSLATE(B31934,""en"",""fr"")"),"L'homme s'éloigne et embrasse un autre homme.")</f>
        <v>L'homme s'éloigne et embrasse un autre homme.</v>
      </c>
    </row>
    <row r="31935">
      <c r="A31935" s="4" t="s">
        <v>40208</v>
      </c>
      <c r="B31935" s="4" t="s">
        <v>40209</v>
      </c>
      <c r="C31935" s="5" t="str">
        <f>IFERROR(__xludf.DUMMYFUNCTION("GOOGLETRANSLATE(B31935,""en"",""fr"")"),"Une dame se tient dans un salon et discute.")</f>
        <v>Une dame se tient dans un salon et discute.</v>
      </c>
    </row>
    <row r="31936">
      <c r="A31936" s="4" t="s">
        <v>40208</v>
      </c>
      <c r="B31936" s="4" t="s">
        <v>40210</v>
      </c>
      <c r="C31936" s="5" t="str">
        <f>IFERROR(__xludf.DUMMYFUNCTION("GOOGLETRANSLATE(B31936,""en"",""fr"")"),"La dame tire facilement le papier peint du mur.")</f>
        <v>La dame tire facilement le papier peint du mur.</v>
      </c>
    </row>
    <row r="31937">
      <c r="A31937" s="4" t="s">
        <v>40208</v>
      </c>
      <c r="B31937" s="4" t="s">
        <v>40211</v>
      </c>
      <c r="C31937" s="5" t="str">
        <f>IFERROR(__xludf.DUMMYFUNCTION("GOOGLETRANSLATE(B31937,""en"",""fr"")"),"Une femme peint le mur avec un liquide.")</f>
        <v>Une femme peint le mur avec un liquide.</v>
      </c>
    </row>
    <row r="31938">
      <c r="A31938" s="4" t="s">
        <v>40208</v>
      </c>
      <c r="B31938" s="4" t="s">
        <v>40212</v>
      </c>
      <c r="C31938" s="5" t="str">
        <f>IFERROR(__xludf.DUMMYFUNCTION("GOOGLETRANSLATE(B31938,""en"",""fr"")"),"La femme met du papier peint sur la région.")</f>
        <v>La femme met du papier peint sur la région.</v>
      </c>
    </row>
    <row r="31939">
      <c r="A31939" s="4" t="s">
        <v>40208</v>
      </c>
      <c r="B31939" s="4" t="s">
        <v>40213</v>
      </c>
      <c r="C31939" s="5" t="str">
        <f>IFERROR(__xludf.DUMMYFUNCTION("GOOGLETRANSLATE(B31939,""en"",""fr"")"),"La femme coupe le papier peint avec un coupe-boîte.")</f>
        <v>La femme coupe le papier peint avec un coupe-boîte.</v>
      </c>
    </row>
    <row r="31940">
      <c r="A31940" s="4" t="s">
        <v>40208</v>
      </c>
      <c r="B31940" s="4" t="s">
        <v>40214</v>
      </c>
      <c r="C31940" s="5" t="str">
        <f>IFERROR(__xludf.DUMMYFUNCTION("GOOGLETRANSLATE(B31940,""en"",""fr"")"),"La femme peint le papier peint avec de la peinture.")</f>
        <v>La femme peint le papier peint avec de la peinture.</v>
      </c>
    </row>
    <row r="31941">
      <c r="A31941" s="4" t="s">
        <v>40215</v>
      </c>
      <c r="B31941" s="4" t="s">
        <v>40216</v>
      </c>
      <c r="C31941" s="5" t="str">
        <f>IFERROR(__xludf.DUMMYFUNCTION("GOOGLETRANSLATE(B31941,""en"",""fr"")"),"Un homme athlétique est vu debout prêt et commence à courir sur une piste et à sauter dans une fosse.")</f>
        <v>Un homme athlétique est vu debout prêt et commence à courir sur une piste et à sauter dans une fosse.</v>
      </c>
    </row>
    <row r="31942">
      <c r="A31942" s="4" t="s">
        <v>40215</v>
      </c>
      <c r="B31942" s="4" t="s">
        <v>40217</v>
      </c>
      <c r="C31942" s="5" t="str">
        <f>IFERROR(__xludf.DUMMYFUNCTION("GOOGLETRANSLATE(B31942,""en"",""fr"")"),"L'homme célèbre lorsque sa partition est montrée et son saut est à nouveau montré au ralenti.")</f>
        <v>L'homme célèbre lorsque sa partition est montrée et son saut est à nouveau montré au ralenti.</v>
      </c>
    </row>
    <row r="31943">
      <c r="A31943" s="4" t="s">
        <v>40218</v>
      </c>
      <c r="B31943" s="4" t="s">
        <v>40219</v>
      </c>
      <c r="C31943" s="5" t="str">
        <f>IFERROR(__xludf.DUMMYFUNCTION("GOOGLETRANSLATE(B31943,""en"",""fr"")"),"Un homme enseigne la bonne façon d'obtenir un porte-parole sur un saxophone.")</f>
        <v>Un homme enseigne la bonne façon d'obtenir un porte-parole sur un saxophone.</v>
      </c>
    </row>
    <row r="31944">
      <c r="A31944" s="4" t="s">
        <v>40218</v>
      </c>
      <c r="B31944" s="4" t="s">
        <v>40220</v>
      </c>
      <c r="C31944" s="5" t="str">
        <f>IFERROR(__xludf.DUMMYFUNCTION("GOOGLETRANSLATE(B31944,""en"",""fr"")"),"Il décrit ensuite comment jouer correctement le klaxon.")</f>
        <v>Il décrit ensuite comment jouer correctement le klaxon.</v>
      </c>
    </row>
    <row r="31945">
      <c r="A31945" s="4" t="s">
        <v>40221</v>
      </c>
      <c r="B31945" s="4" t="s">
        <v>1487</v>
      </c>
      <c r="C31945" s="5" t="str">
        <f>IFERROR(__xludf.DUMMYFUNCTION("GOOGLETRANSLATE(B31945,""en"",""fr"")"),"Nous voyons un écran de titre d'ouverture.")</f>
        <v>Nous voyons un écran de titre d'ouverture.</v>
      </c>
    </row>
    <row r="31946">
      <c r="A31946" s="4" t="s">
        <v>40221</v>
      </c>
      <c r="B31946" s="4" t="s">
        <v>40222</v>
      </c>
      <c r="C31946" s="5" t="str">
        <f>IFERROR(__xludf.DUMMYFUNCTION("GOOGLETRANSLATE(B31946,""en"",""fr"")"),"Un homme torse nu parle dans une salle de sport.")</f>
        <v>Un homme torse nu parle dans une salle de sport.</v>
      </c>
    </row>
    <row r="31947">
      <c r="A31947" s="4" t="s">
        <v>40221</v>
      </c>
      <c r="B31947" s="4" t="s">
        <v>40223</v>
      </c>
      <c r="C31947" s="5" t="str">
        <f>IFERROR(__xludf.DUMMYFUNCTION("GOOGLETRANSLATE(B31947,""en"",""fr"")"),"Une dame passe devant les deux sens, puis saute la corde derrière l'homme.")</f>
        <v>Une dame passe devant les deux sens, puis saute la corde derrière l'homme.</v>
      </c>
    </row>
    <row r="31948">
      <c r="A31948" s="4" t="s">
        <v>40221</v>
      </c>
      <c r="B31948" s="4" t="s">
        <v>40224</v>
      </c>
      <c r="C31948" s="5" t="str">
        <f>IFERROR(__xludf.DUMMYFUNCTION("GOOGLETRANSLATE(B31948,""en"",""fr"")"),"Nous voyons des écrans de titre avec des instructions.")</f>
        <v>Nous voyons des écrans de titre avec des instructions.</v>
      </c>
    </row>
    <row r="31949">
      <c r="A31949" s="4" t="s">
        <v>40221</v>
      </c>
      <c r="B31949" s="4" t="s">
        <v>40225</v>
      </c>
      <c r="C31949" s="5" t="str">
        <f>IFERROR(__xludf.DUMMYFUNCTION("GOOGLETRANSLATE(B31949,""en"",""fr"")"),"Nous voyons une dame sauter en corde onze manières différentes.")</f>
        <v>Nous voyons une dame sauter en corde onze manières différentes.</v>
      </c>
    </row>
    <row r="31950">
      <c r="A31950" s="4" t="s">
        <v>40221</v>
      </c>
      <c r="B31950" s="4" t="s">
        <v>777</v>
      </c>
      <c r="C31950" s="5" t="str">
        <f>IFERROR(__xludf.DUMMYFUNCTION("GOOGLETRANSLATE(B31950,""en"",""fr"")"),"Nous voyons l'écran du titre de fin.")</f>
        <v>Nous voyons l'écran du titre de fin.</v>
      </c>
    </row>
    <row r="31951">
      <c r="A31951" s="4" t="s">
        <v>40226</v>
      </c>
      <c r="B31951" s="4" t="s">
        <v>40227</v>
      </c>
      <c r="C31951" s="5" t="str">
        <f>IFERROR(__xludf.DUMMYFUNCTION("GOOGLETRANSLATE(B31951,""en"",""fr"")"),"Une rivière est représentée et une voiture est un chemin de poussière.")</f>
        <v>Une rivière est représentée et une voiture est un chemin de poussière.</v>
      </c>
    </row>
    <row r="31952">
      <c r="A31952" s="4" t="s">
        <v>40226</v>
      </c>
      <c r="B31952" s="4" t="s">
        <v>40228</v>
      </c>
      <c r="C31952" s="5" t="str">
        <f>IFERROR(__xludf.DUMMYFUNCTION("GOOGLETRANSLATE(B31952,""en"",""fr"")"),"Les hommes raftent sur un lac sur les rapides.")</f>
        <v>Les hommes raftent sur un lac sur les rapides.</v>
      </c>
    </row>
    <row r="31953">
      <c r="A31953" s="4" t="s">
        <v>40229</v>
      </c>
      <c r="B31953" s="4" t="s">
        <v>40230</v>
      </c>
      <c r="C31953" s="5" t="str">
        <f>IFERROR(__xludf.DUMMYFUNCTION("GOOGLETRANSLATE(B31953,""en"",""fr"")"),"Un logo graphique est vu en noir et blanc de couleur avec la lettre ""n"".")</f>
        <v>Un logo graphique est vu en noir et blanc de couleur avec la lettre "n".</v>
      </c>
    </row>
    <row r="31954">
      <c r="A31954" s="4" t="s">
        <v>40229</v>
      </c>
      <c r="B31954" s="4" t="s">
        <v>40231</v>
      </c>
      <c r="C31954" s="5" t="str">
        <f>IFERROR(__xludf.DUMMYFUNCTION("GOOGLETRANSLATE(B31954,""en"",""fr"")"),"Un hôte de télévision se tient devant un fond camouflé.")</f>
        <v>Un hôte de télévision se tient devant un fond camouflé.</v>
      </c>
    </row>
    <row r="31955">
      <c r="A31955" s="4" t="s">
        <v>40229</v>
      </c>
      <c r="B31955" s="4" t="s">
        <v>40232</v>
      </c>
      <c r="C31955" s="5" t="str">
        <f>IFERROR(__xludf.DUMMYFUNCTION("GOOGLETRANSLATE(B31955,""en"",""fr"")"),"Deux filles sont vues marcher sur une photo en uniformes de baseball.")</f>
        <v>Deux filles sont vues marcher sur une photo en uniformes de baseball.</v>
      </c>
    </row>
    <row r="31956">
      <c r="A31956" s="4" t="s">
        <v>40229</v>
      </c>
      <c r="B31956" s="6" t="s">
        <v>40233</v>
      </c>
      <c r="C31956" s="5" t="str">
        <f>IFERROR(__xludf.DUMMYFUNCTION("GOOGLETRANSLATE(B31956,""en"",""fr"")"),"Un grand groupe de fans foule sur un terrain de baseball et entoure un célèbre chanteur faisant une performance.")</f>
        <v>Un grand groupe de fans foule sur un terrain de baseball et entoure un célèbre chanteur faisant une performance.</v>
      </c>
    </row>
    <row r="31957">
      <c r="A31957" s="4" t="s">
        <v>40229</v>
      </c>
      <c r="B31957" s="4" t="s">
        <v>40234</v>
      </c>
      <c r="C31957" s="5" t="str">
        <f>IFERROR(__xludf.DUMMYFUNCTION("GOOGLETRANSLATE(B31957,""en"",""fr"")"),"Un handball rouge est roulé à un kicker lors d'un match de kickball qui le lance dans le champ extérieur pour une course.")</f>
        <v>Un handball rouge est roulé à un kicker lors d'un match de kickball qui le lance dans le champ extérieur pour une course.</v>
      </c>
    </row>
    <row r="31958">
      <c r="A31958" s="4" t="s">
        <v>40229</v>
      </c>
      <c r="B31958" s="6" t="s">
        <v>40235</v>
      </c>
      <c r="C31958" s="5" t="str">
        <f>IFERROR(__xludf.DUMMYFUNCTION("GOOGLETRANSLATE(B31958,""en"",""fr"")"),"Un autre homme en tshirt et des sueurs noirs donne un coup de pied à une balle et court autour des bases en essayant d'éviter d'être étiqueté avec le ballon.")</f>
        <v>Un autre homme en tshirt et des sueurs noirs donne un coup de pied à une balle et court autour des bases en essayant d'éviter d'être étiqueté avec le ballon.</v>
      </c>
    </row>
    <row r="31959">
      <c r="A31959" s="4" t="s">
        <v>40229</v>
      </c>
      <c r="B31959" s="4" t="s">
        <v>40236</v>
      </c>
      <c r="C31959" s="5" t="str">
        <f>IFERROR(__xludf.DUMMYFUNCTION("GOOGLETRANSLATE(B31959,""en"",""fr"")"),"Le même homme monte sur une planche à roulettes dans la ville.")</f>
        <v>Le même homme monte sur une planche à roulettes dans la ville.</v>
      </c>
    </row>
    <row r="31960">
      <c r="A31960" s="4" t="s">
        <v>40229</v>
      </c>
      <c r="B31960" s="4" t="s">
        <v>40237</v>
      </c>
      <c r="C31960" s="5" t="str">
        <f>IFERROR(__xludf.DUMMYFUNCTION("GOOGLETRANSLATE(B31960,""en"",""fr"")"),"L'homme est revu dans une vidéo de près dans une pièce.")</f>
        <v>L'homme est revu dans une vidéo de près dans une pièce.</v>
      </c>
    </row>
    <row r="31961">
      <c r="A31961" s="4" t="s">
        <v>40238</v>
      </c>
      <c r="B31961" s="4" t="s">
        <v>40239</v>
      </c>
      <c r="C31961" s="5" t="str">
        <f>IFERROR(__xludf.DUMMYFUNCTION("GOOGLETRANSLATE(B31961,""en"",""fr"")"),"Les spectacles de titre en tant qu'homme montent un cheval à travers une arène.")</f>
        <v>Les spectacles de titre en tant qu'homme montent un cheval à travers une arène.</v>
      </c>
    </row>
    <row r="31962">
      <c r="A31962" s="4" t="s">
        <v>40238</v>
      </c>
      <c r="B31962" s="4" t="s">
        <v>40240</v>
      </c>
      <c r="C31962" s="5" t="str">
        <f>IFERROR(__xludf.DUMMYFUNCTION("GOOGLETRANSLATE(B31962,""en"",""fr"")"),"Il y a alors une vitrine de chevaux sautant par-dessus les obstacles.")</f>
        <v>Il y a alors une vitrine de chevaux sautant par-dessus les obstacles.</v>
      </c>
    </row>
    <row r="31963">
      <c r="A31963" s="4" t="s">
        <v>40238</v>
      </c>
      <c r="B31963" s="4" t="s">
        <v>40241</v>
      </c>
      <c r="C31963" s="5" t="str">
        <f>IFERROR(__xludf.DUMMYFUNCTION("GOOGLETRANSLATE(B31963,""en"",""fr"")"),"L'une des images tourne dans un cercle et la vidéo suivante se reproduit sur elle-même.")</f>
        <v>L'une des images tourne dans un cercle et la vidéo suivante se reproduit sur elle-même.</v>
      </c>
    </row>
    <row r="31964">
      <c r="A31964" s="4" t="s">
        <v>40238</v>
      </c>
      <c r="B31964" s="4" t="s">
        <v>40242</v>
      </c>
      <c r="C31964" s="5" t="str">
        <f>IFERROR(__xludf.DUMMYFUNCTION("GOOGLETRANSLATE(B31964,""en"",""fr"")"),"Il continue de montrer à des obstacles à cheval sur des obstacles avec des effets vidéo.")</f>
        <v>Il continue de montrer à des obstacles à cheval sur des obstacles avec des effets vidéo.</v>
      </c>
    </row>
    <row r="31965">
      <c r="A31965" s="4" t="s">
        <v>40238</v>
      </c>
      <c r="B31965" s="4" t="s">
        <v>40243</v>
      </c>
      <c r="C31965" s="5" t="str">
        <f>IFERROR(__xludf.DUMMYFUNCTION("GOOGLETRANSLATE(B31965,""en"",""fr"")"),"Un homme marche sur le côté avec un partenaire.")</f>
        <v>Un homme marche sur le côté avec un partenaire.</v>
      </c>
    </row>
    <row r="31966">
      <c r="A31966" s="4" t="s">
        <v>40238</v>
      </c>
      <c r="B31966" s="4" t="s">
        <v>40244</v>
      </c>
      <c r="C31966" s="5" t="str">
        <f>IFERROR(__xludf.DUMMYFUNCTION("GOOGLETRANSLATE(B31966,""en"",""fr"")"),"Le rôle de crédits avec quelques éloges.")</f>
        <v>Le rôle de crédits avec quelques éloges.</v>
      </c>
    </row>
    <row r="31967">
      <c r="A31967" s="4" t="s">
        <v>40245</v>
      </c>
      <c r="B31967" s="4" t="s">
        <v>40246</v>
      </c>
      <c r="C31967" s="5" t="str">
        <f>IFERROR(__xludf.DUMMYFUNCTION("GOOGLETRANSLATE(B31967,""en"",""fr"")"),"La femme à Red Top est debout.")</f>
        <v>La femme à Red Top est debout.</v>
      </c>
    </row>
    <row r="31968">
      <c r="A31968" s="4" t="s">
        <v>40245</v>
      </c>
      <c r="B31968" s="4" t="s">
        <v>40247</v>
      </c>
      <c r="C31968" s="5" t="str">
        <f>IFERROR(__xludf.DUMMYFUNCTION("GOOGLETRANSLATE(B31968,""en"",""fr"")"),"La femme étire ses bras d'un côté d'abord puis le suivant.")</f>
        <v>La femme étire ses bras d'un côté d'abord puis le suivant.</v>
      </c>
    </row>
    <row r="31969">
      <c r="A31969" s="4" t="s">
        <v>40245</v>
      </c>
      <c r="B31969" s="4" t="s">
        <v>40248</v>
      </c>
      <c r="C31969" s="5" t="str">
        <f>IFERROR(__xludf.DUMMYFUNCTION("GOOGLETRANSLATE(B31969,""en"",""fr"")"),"La femme a mis ses bras devant elle, puis s'est étendu et s'est retournée.")</f>
        <v>La femme a mis ses bras devant elle, puis s'est étendu et s'est retournée.</v>
      </c>
    </row>
    <row r="31970">
      <c r="A31970" s="4" t="s">
        <v>40249</v>
      </c>
      <c r="B31970" s="4" t="s">
        <v>40250</v>
      </c>
      <c r="C31970" s="5" t="str">
        <f>IFERROR(__xludf.DUMMYFUNCTION("GOOGLETRANSLATE(B31970,""en"",""fr"")"),"Un homme est à l'extérieur sur une piste.")</f>
        <v>Un homme est à l'extérieur sur une piste.</v>
      </c>
    </row>
    <row r="31971">
      <c r="A31971" s="4" t="s">
        <v>40249</v>
      </c>
      <c r="B31971" s="4" t="s">
        <v>40251</v>
      </c>
      <c r="C31971" s="5" t="str">
        <f>IFERROR(__xludf.DUMMYFUNCTION("GOOGLETRANSLATE(B31971,""en"",""fr"")"),"Il court avec un javelot à la main.")</f>
        <v>Il court avec un javelot à la main.</v>
      </c>
    </row>
    <row r="31972">
      <c r="A31972" s="4" t="s">
        <v>40249</v>
      </c>
      <c r="B31972" s="4" t="s">
        <v>40252</v>
      </c>
      <c r="C31972" s="5" t="str">
        <f>IFERROR(__xludf.DUMMYFUNCTION("GOOGLETRANSLATE(B31972,""en"",""fr"")"),"Il le jette aussi loin que possible, levant les bras avec victoire.")</f>
        <v>Il le jette aussi loin que possible, levant les bras avec victoire.</v>
      </c>
    </row>
    <row r="31973">
      <c r="A31973" s="4" t="s">
        <v>40253</v>
      </c>
      <c r="B31973" s="4" t="s">
        <v>40254</v>
      </c>
      <c r="C31973" s="5" t="str">
        <f>IFERROR(__xludf.DUMMYFUNCTION("GOOGLETRANSLATE(B31973,""en"",""fr"")"),"Une fille et un homme sont à l'intérieur d'une structure élevée portant du matériel de saut à l'élastique.")</f>
        <v>Une fille et un homme sont à l'intérieur d'une structure élevée portant du matériel de saut à l'élastique.</v>
      </c>
    </row>
    <row r="31974">
      <c r="A31974" s="4" t="s">
        <v>40253</v>
      </c>
      <c r="B31974" s="6" t="s">
        <v>40255</v>
      </c>
      <c r="C31974" s="5" t="str">
        <f>IFERROR(__xludf.DUMMYFUNCTION("GOOGLETRANSLATE(B31974,""en"",""fr"")"),"La fille sort et se tient à la frontière de la structure, alors tandis que l'homme met une corde derrière la fille.")</f>
        <v>La fille sort et se tient à la frontière de la structure, alors tandis que l'homme met une corde derrière la fille.</v>
      </c>
    </row>
    <row r="31975">
      <c r="A31975" s="4" t="s">
        <v>40253</v>
      </c>
      <c r="B31975" s="4" t="s">
        <v>40256</v>
      </c>
      <c r="C31975" s="5" t="str">
        <f>IFERROR(__xludf.DUMMYFUNCTION("GOOGLETRANSLATE(B31975,""en"",""fr"")"),"Après, la fille saute de la structure pendant un moment, puis elle se lève sur la structure.")</f>
        <v>Après, la fille saute de la structure pendant un moment, puis elle se lève sur la structure.</v>
      </c>
    </row>
    <row r="31976">
      <c r="A31976" s="4" t="s">
        <v>40257</v>
      </c>
      <c r="B31976" s="4" t="s">
        <v>40258</v>
      </c>
      <c r="C31976" s="5" t="str">
        <f>IFERROR(__xludf.DUMMYFUNCTION("GOOGLETRANSLATE(B31976,""en"",""fr"")"),"Un homme portant un capot ouvre un papier, puis il est descendu l'escalier et a marché jusqu'à un chemin.")</f>
        <v>Un homme portant un capot ouvre un papier, puis il est descendu l'escalier et a marché jusqu'à un chemin.</v>
      </c>
    </row>
    <row r="31977">
      <c r="A31977" s="4" t="s">
        <v>40257</v>
      </c>
      <c r="B31977" s="4" t="s">
        <v>40259</v>
      </c>
      <c r="C31977" s="5" t="str">
        <f>IFERROR(__xludf.DUMMYFUNCTION("GOOGLETRANSLATE(B31977,""en"",""fr"")"),"La femme parle à la caméra et montre le sol recouvert de neige.")</f>
        <v>La femme parle à la caméra et montre le sol recouvert de neige.</v>
      </c>
    </row>
    <row r="31978">
      <c r="A31978" s="4" t="s">
        <v>40257</v>
      </c>
      <c r="B31978" s="6" t="s">
        <v>40260</v>
      </c>
      <c r="C31978" s="5" t="str">
        <f>IFERROR(__xludf.DUMMYFUNCTION("GOOGLETRANSLATE(B31978,""en"",""fr"")"),"L'homme se tient à côté de la camionnette et a commencé à retirer la neige sur le toit de la voiture, tandis que l'autre personne utilise un balai pour retirer la neige de la voiture.")</f>
        <v>L'homme se tient à côté de la camionnette et a commencé à retirer la neige sur le toit de la voiture, tandis que l'autre personne utilise un balai pour retirer la neige de la voiture.</v>
      </c>
    </row>
    <row r="31979">
      <c r="A31979" s="4" t="s">
        <v>40261</v>
      </c>
      <c r="B31979" s="4" t="s">
        <v>40262</v>
      </c>
      <c r="C31979" s="5" t="str">
        <f>IFERROR(__xludf.DUMMYFUNCTION("GOOGLETRANSLATE(B31979,""en"",""fr"")"),"Un travailleur de la construction est debout et parle à la caméra tout en tenant un pulvérisateur.")</f>
        <v>Un travailleur de la construction est debout et parle à la caméra tout en tenant un pulvérisateur.</v>
      </c>
    </row>
    <row r="31980">
      <c r="A31980" s="4" t="s">
        <v>40261</v>
      </c>
      <c r="B31980" s="4" t="s">
        <v>40263</v>
      </c>
      <c r="C31980" s="5" t="str">
        <f>IFERROR(__xludf.DUMMYFUNCTION("GOOGLETRANSLATE(B31980,""en"",""fr"")"),"Il est très animé pendant qu'il revient au ponçage et à la pulvérisation.")</f>
        <v>Il est très animé pendant qu'il revient au ponçage et à la pulvérisation.</v>
      </c>
    </row>
    <row r="31981">
      <c r="A31981" s="4" t="s">
        <v>40264</v>
      </c>
      <c r="B31981" s="6" t="s">
        <v>40265</v>
      </c>
      <c r="C31981" s="5" t="str">
        <f>IFERROR(__xludf.DUMMYFUNCTION("GOOGLETRANSLATE(B31981,""en"",""fr"")"),"Un homme est montré à la caméra avec enthousiasme et montre plusieurs plans de l'homme grimpant à une paroi rocheuse et à divers endroits.")</f>
        <v>Un homme est montré à la caméra avec enthousiasme et montre plusieurs plans de l'homme grimpant à une paroi rocheuse et à divers endroits.</v>
      </c>
    </row>
    <row r="31982">
      <c r="A31982" s="4" t="s">
        <v>40264</v>
      </c>
      <c r="B31982" s="6" t="s">
        <v>40266</v>
      </c>
      <c r="C31982" s="5" t="str">
        <f>IFERROR(__xludf.DUMMYFUNCTION("GOOGLETRANSLATE(B31982,""en"",""fr"")"),"Ensuite, l'homme continue ensuite de parler à la caméra et montre comment grimper correctement le mur tout en parlant.")</f>
        <v>Ensuite, l'homme continue ensuite de parler à la caméra et montre comment grimper correctement le mur tout en parlant.</v>
      </c>
    </row>
    <row r="31983">
      <c r="A31983" s="4" t="s">
        <v>40267</v>
      </c>
      <c r="B31983" s="6" t="s">
        <v>40268</v>
      </c>
      <c r="C31983" s="5" t="str">
        <f>IFERROR(__xludf.DUMMYFUNCTION("GOOGLETRANSLATE(B31983,""en"",""fr"")"),"L'homme se tient devant un tissu blanc dans un studio faisant de l'exercice dans une machine elliptique montrant les caractéristiques du vélo.")</f>
        <v>L'homme se tient devant un tissu blanc dans un studio faisant de l'exercice dans une machine elliptique montrant les caractéristiques du vélo.</v>
      </c>
    </row>
    <row r="31984">
      <c r="A31984" s="4" t="s">
        <v>40267</v>
      </c>
      <c r="B31984" s="4" t="s">
        <v>40269</v>
      </c>
      <c r="C31984" s="5" t="str">
        <f>IFERROR(__xludf.DUMMYFUNCTION("GOOGLETRANSLATE(B31984,""en"",""fr"")"),"La femme fait de même que l'homme, en regardant l'elliptique et en faisant de l'exercice.")</f>
        <v>La femme fait de même que l'homme, en regardant l'elliptique et en faisant de l'exercice.</v>
      </c>
    </row>
    <row r="31985">
      <c r="A31985" s="4" t="s">
        <v>40270</v>
      </c>
      <c r="B31985" s="4" t="s">
        <v>40271</v>
      </c>
      <c r="C31985" s="5" t="str">
        <f>IFERROR(__xludf.DUMMYFUNCTION("GOOGLETRANSLATE(B31985,""en"",""fr"")"),"Une fille assise au siège conducteur d'une voiture parle sur son téléphone sur le haut-parleur.")</f>
        <v>Une fille assise au siège conducteur d'une voiture parle sur son téléphone sur le haut-parleur.</v>
      </c>
    </row>
    <row r="31986">
      <c r="A31986" s="4" t="s">
        <v>40270</v>
      </c>
      <c r="B31986" s="6" t="s">
        <v>40272</v>
      </c>
      <c r="C31986" s="5" t="str">
        <f>IFERROR(__xludf.DUMMYFUNCTION("GOOGLETRANSLATE(B31986,""en"",""fr"")"),"Elle raccroche et commence à parler à haute voix, puis elle et son amie se promènent dans un parking.")</f>
        <v>Elle raccroche et commence à parler à haute voix, puis elle et son amie se promènent dans un parking.</v>
      </c>
    </row>
    <row r="31987">
      <c r="A31987" s="4" t="s">
        <v>40270</v>
      </c>
      <c r="B31987" s="4" t="s">
        <v>40273</v>
      </c>
      <c r="C31987" s="5" t="str">
        <f>IFERROR(__xludf.DUMMYFUNCTION("GOOGLETRANSLATE(B31987,""en"",""fr"")"),"Les filles marchent et parlent dans le centre commercial, puis elles se rendent à Claires pour faire percer les oreilles.")</f>
        <v>Les filles marchent et parlent dans le centre commercial, puis elles se rendent à Claires pour faire percer les oreilles.</v>
      </c>
    </row>
    <row r="31988">
      <c r="A31988" s="4" t="s">
        <v>40270</v>
      </c>
      <c r="B31988" s="4" t="s">
        <v>40274</v>
      </c>
      <c r="C31988" s="5" t="str">
        <f>IFERROR(__xludf.DUMMYFUNCTION("GOOGLETRANSLATE(B31988,""en"",""fr"")"),"Ils continuent de se promener dans le centre commercial pendant un certain temps.")</f>
        <v>Ils continuent de se promener dans le centre commercial pendant un certain temps.</v>
      </c>
    </row>
    <row r="31989">
      <c r="A31989" s="4" t="s">
        <v>40275</v>
      </c>
      <c r="B31989" s="4" t="s">
        <v>1251</v>
      </c>
      <c r="C31989" s="5" t="str">
        <f>IFERROR(__xludf.DUMMYFUNCTION("GOOGLETRANSLATE(B31989,""en"",""fr"")"),"Les crédits du clip sont affichés.")</f>
        <v>Les crédits du clip sont affichés.</v>
      </c>
    </row>
    <row r="31990">
      <c r="A31990" s="4" t="s">
        <v>40275</v>
      </c>
      <c r="B31990" s="4" t="s">
        <v>40276</v>
      </c>
      <c r="C31990" s="5" t="str">
        <f>IFERROR(__xludf.DUMMYFUNCTION("GOOGLETRANSLATE(B31990,""en"",""fr"")"),"Un homme se tient dans un rail d'escalier tenant un couteau.")</f>
        <v>Un homme se tient dans un rail d'escalier tenant un couteau.</v>
      </c>
    </row>
    <row r="31991">
      <c r="A31991" s="4" t="s">
        <v>40275</v>
      </c>
      <c r="B31991" s="4" t="s">
        <v>40277</v>
      </c>
      <c r="C31991" s="5" t="str">
        <f>IFERROR(__xludf.DUMMYFUNCTION("GOOGLETRANSLATE(B31991,""en"",""fr"")"),"Un gars se prépare à jouer de la batterie.")</f>
        <v>Un gars se prépare à jouer de la batterie.</v>
      </c>
    </row>
    <row r="31992">
      <c r="A31992" s="4" t="s">
        <v>40275</v>
      </c>
      <c r="B31992" s="4" t="s">
        <v>40278</v>
      </c>
      <c r="C31992" s="5" t="str">
        <f>IFERROR(__xludf.DUMMYFUNCTION("GOOGLETRANSLATE(B31992,""en"",""fr"")"),"Le gars joue un ensemble de batterie.")</f>
        <v>Le gars joue un ensemble de batterie.</v>
      </c>
    </row>
    <row r="31993">
      <c r="A31993" s="4" t="s">
        <v>40279</v>
      </c>
      <c r="B31993" s="4" t="s">
        <v>40280</v>
      </c>
      <c r="C31993" s="5" t="str">
        <f>IFERROR(__xludf.DUMMYFUNCTION("GOOGLETRANSLATE(B31993,""en"",""fr"")"),"Plusieurs plans sont montrés d'un homme qui se réchauffait ainsi que des astuces d'arts martiaux.")</f>
        <v>Plusieurs plans sont montrés d'un homme qui se réchauffait ainsi que des astuces d'arts martiaux.</v>
      </c>
    </row>
    <row r="31994">
      <c r="A31994" s="4" t="s">
        <v>40279</v>
      </c>
      <c r="B31994" s="6" t="s">
        <v>40281</v>
      </c>
      <c r="C31994" s="5" t="str">
        <f>IFERROR(__xludf.DUMMYFUNCTION("GOOGLETRANSLATE(B31994,""en"",""fr"")"),"Un homme parle à la caméra tandis que plusieurs clips sont montrés des personnes qui retournent et font des astuces à divers endroits.")</f>
        <v>Un homme parle à la caméra tandis que plusieurs clips sont montrés des personnes qui retournent et font des astuces à divers endroits.</v>
      </c>
    </row>
    <row r="31995">
      <c r="A31995" s="4" t="s">
        <v>40279</v>
      </c>
      <c r="B31995" s="4" t="s">
        <v>40282</v>
      </c>
      <c r="C31995" s="5" t="str">
        <f>IFERROR(__xludf.DUMMYFUNCTION("GOOGLETRANSLATE(B31995,""en"",""fr"")"),"Les gens sautent et se retournent les uns les autres et continuent d'exécuter le parkour.")</f>
        <v>Les gens sautent et se retournent les uns les autres et continuent d'exécuter le parkour.</v>
      </c>
    </row>
    <row r="31996">
      <c r="A31996" s="4" t="s">
        <v>40283</v>
      </c>
      <c r="B31996" s="6" t="s">
        <v>40284</v>
      </c>
      <c r="C31996" s="5" t="str">
        <f>IFERROR(__xludf.DUMMYFUNCTION("GOOGLETRANSLATE(B31996,""en"",""fr"")"),"Un grand défilé de personnes marchant dans une rue est montrée avec plusieurs centaines de personnes qui regardent sur le côté.")</f>
        <v>Un grand défilé de personnes marchant dans une rue est montrée avec plusieurs centaines de personnes qui regardent sur le côté.</v>
      </c>
    </row>
    <row r="31997">
      <c r="A31997" s="4" t="s">
        <v>40283</v>
      </c>
      <c r="B31997" s="6" t="s">
        <v>40285</v>
      </c>
      <c r="C31997" s="5" t="str">
        <f>IFERROR(__xludf.DUMMYFUNCTION("GOOGLETRANSLATE(B31997,""en"",""fr"")"),"Les gens continuent de jouer les instruments alors que la caméra se déroule autour du grand groupe de personnes et suivant le défilé.")</f>
        <v>Les gens continuent de jouer les instruments alors que la caméra se déroule autour du grand groupe de personnes et suivant le défilé.</v>
      </c>
    </row>
    <row r="31998">
      <c r="A31998" s="4" t="s">
        <v>40286</v>
      </c>
      <c r="B31998" s="4" t="s">
        <v>40287</v>
      </c>
      <c r="C31998" s="5" t="str">
        <f>IFERROR(__xludf.DUMMYFUNCTION("GOOGLETRANSLATE(B31998,""en"",""fr"")"),"Un homme boit une bière pendant un match tandis que d'autres regardent et sourient.")</f>
        <v>Un homme boit une bière pendant un match tandis que d'autres regardent et sourient.</v>
      </c>
    </row>
    <row r="31999">
      <c r="A31999" s="4" t="s">
        <v>40286</v>
      </c>
      <c r="B31999" s="6" t="s">
        <v>40288</v>
      </c>
      <c r="C31999" s="5" t="str">
        <f>IFERROR(__xludf.DUMMYFUNCTION("GOOGLETRANSLATE(B31999,""en"",""fr"")"),"Plusieurs personnes regardent le match et l'homme buvant une bière regarde la caméra et sourit.")</f>
        <v>Plusieurs personnes regardent le match et l'homme buvant une bière regarde la caméra et sourit.</v>
      </c>
    </row>
    <row r="32000">
      <c r="A32000" s="4" t="s">
        <v>40289</v>
      </c>
      <c r="B32000" s="4" t="s">
        <v>40290</v>
      </c>
      <c r="C32000" s="5" t="str">
        <f>IFERROR(__xludf.DUMMYFUNCTION("GOOGLETRANSLATE(B32000,""en"",""fr"")"),"Un groupe de personnes conduisant des vélos stationnaires dans une grande salle de sport.")</f>
        <v>Un groupe de personnes conduisant des vélos stationnaires dans une grande salle de sport.</v>
      </c>
    </row>
    <row r="32001">
      <c r="A32001" s="4" t="s">
        <v>40289</v>
      </c>
      <c r="B32001" s="4" t="s">
        <v>40291</v>
      </c>
      <c r="C32001" s="5" t="str">
        <f>IFERROR(__xludf.DUMMYFUNCTION("GOOGLETRANSLATE(B32001,""en"",""fr"")"),"Un homme déplace un vélo stationnaire.")</f>
        <v>Un homme déplace un vélo stationnaire.</v>
      </c>
    </row>
    <row r="32002">
      <c r="A32002" s="4" t="s">
        <v>40289</v>
      </c>
      <c r="B32002" s="4" t="s">
        <v>40292</v>
      </c>
      <c r="C32002" s="5" t="str">
        <f>IFERROR(__xludf.DUMMYFUNCTION("GOOGLETRANSLATE(B32002,""en"",""fr"")"),"Une femme ajuste le chapeau haut de gamme qu'elle porte.")</f>
        <v>Une femme ajuste le chapeau haut de gamme qu'elle porte.</v>
      </c>
    </row>
    <row r="32003">
      <c r="A32003" s="4" t="s">
        <v>40293</v>
      </c>
      <c r="B32003" s="4" t="s">
        <v>40294</v>
      </c>
      <c r="C32003" s="5" t="str">
        <f>IFERROR(__xludf.DUMMYFUNCTION("GOOGLETRANSLATE(B32003,""en"",""fr"")"),"Un homme est vu parler à la caméra et commence à disposer de la bâche à côté d'un arbre.")</f>
        <v>Un homme est vu parler à la caméra et commence à disposer de la bâche à côté d'un arbre.</v>
      </c>
    </row>
    <row r="32004">
      <c r="A32004" s="4" t="s">
        <v>40293</v>
      </c>
      <c r="B32004" s="4" t="s">
        <v>40295</v>
      </c>
      <c r="C32004" s="5" t="str">
        <f>IFERROR(__xludf.DUMMYFUNCTION("GOOGLETRANSLATE(B32004,""en"",""fr"")"),"L'homme coupe la bâche et commence à mettre du paillis tout autour de l'arbre.")</f>
        <v>L'homme coupe la bâche et commence à mettre du paillis tout autour de l'arbre.</v>
      </c>
    </row>
    <row r="32005">
      <c r="A32005" s="4" t="s">
        <v>40296</v>
      </c>
      <c r="B32005" s="4" t="s">
        <v>40297</v>
      </c>
      <c r="C32005" s="5" t="str">
        <f>IFERROR(__xludf.DUMMYFUNCTION("GOOGLETRANSLATE(B32005,""en"",""fr"")"),"Deux hommes s'assoient sur une table et commencent un match de lutte de bras.")</f>
        <v>Deux hommes s'assoient sur une table et commencent un match de lutte de bras.</v>
      </c>
    </row>
    <row r="32006">
      <c r="A32006" s="4" t="s">
        <v>40296</v>
      </c>
      <c r="B32006" s="4" t="s">
        <v>40298</v>
      </c>
      <c r="C32006" s="5" t="str">
        <f>IFERROR(__xludf.DUMMYFUNCTION("GOOGLETRANSLATE(B32006,""en"",""fr"")"),"Ils ont tous les deux des difficultés un peu jusqu'à ce que l'homme de gauche finisse par gagner.")</f>
        <v>Ils ont tous les deux des difficultés un peu jusqu'à ce que l'homme de gauche finisse par gagner.</v>
      </c>
    </row>
    <row r="32007">
      <c r="A32007" s="4" t="s">
        <v>40299</v>
      </c>
      <c r="B32007" s="6" t="s">
        <v>40300</v>
      </c>
      <c r="C32007" s="5" t="str">
        <f>IFERROR(__xludf.DUMMYFUNCTION("GOOGLETRANSLATE(B32007,""en"",""fr"")"),"Un petit groupe d'enfants est vu tenant une corde avec un homme debout devant eux qui leur parlent.")</f>
        <v>Un petit groupe d'enfants est vu tenant une corde avec un homme debout devant eux qui leur parlent.</v>
      </c>
    </row>
    <row r="32008">
      <c r="A32008" s="4" t="s">
        <v>40299</v>
      </c>
      <c r="B32008" s="4" t="s">
        <v>40301</v>
      </c>
      <c r="C32008" s="5" t="str">
        <f>IFERROR(__xludf.DUMMYFUNCTION("GOOGLETRANSLATE(B32008,""en"",""fr"")"),"Les enfants continuent de tirer avec l'aide de l'adulte, puis applaudissent à la fin.")</f>
        <v>Les enfants continuent de tirer avec l'aide de l'adulte, puis applaudissent à la fin.</v>
      </c>
    </row>
    <row r="32009">
      <c r="A32009" s="4" t="s">
        <v>40302</v>
      </c>
      <c r="B32009" s="4" t="s">
        <v>40303</v>
      </c>
      <c r="C32009" s="5" t="str">
        <f>IFERROR(__xludf.DUMMYFUNCTION("GOOGLETRANSLATE(B32009,""en"",""fr"")"),"Un cavalier est assis sur un cheval et une personne se tient sur le devant une goulotte de compression de bétail.")</f>
        <v>Un cavalier est assis sur un cheval et une personne se tient sur le devant une goulotte de compression de bétail.</v>
      </c>
    </row>
    <row r="32010">
      <c r="A32010" s="4" t="s">
        <v>40302</v>
      </c>
      <c r="B32010" s="6" t="s">
        <v>40304</v>
      </c>
      <c r="C32010" s="5" t="str">
        <f>IFERROR(__xludf.DUMMYFUNCTION("GOOGLETRANSLATE(B32010,""en"",""fr"")"),"Soudain, le cavalier et un veau courent vers l'arène, tandis que le cavalier court derrière le veau qui tourne en l'air une corde.")</f>
        <v>Soudain, le cavalier et un veau courent vers l'arène, tandis que le cavalier court derrière le veau qui tourne en l'air une corde.</v>
      </c>
    </row>
    <row r="32011">
      <c r="A32011" s="4" t="s">
        <v>40302</v>
      </c>
      <c r="B32011" s="6" t="s">
        <v>40305</v>
      </c>
      <c r="C32011" s="5" t="str">
        <f>IFERROR(__xludf.DUMMYFUNCTION("GOOGLETRANSLATE(B32011,""en"",""fr"")"),"Après, le cavalier jette le cerceau et attrape le veau, puis rapidement il met le veau sur le sol et attache les jambes.")</f>
        <v>Après, le cavalier jette le cerceau et attrape le veau, puis rapidement il met le veau sur le sol et attache les jambes.</v>
      </c>
    </row>
    <row r="32012">
      <c r="A32012" s="4" t="s">
        <v>40306</v>
      </c>
      <c r="B32012" s="4" t="s">
        <v>40307</v>
      </c>
      <c r="C32012" s="5" t="str">
        <f>IFERROR(__xludf.DUMMYFUNCTION("GOOGLETRANSLATE(B32012,""en"",""fr"")"),"Un jeune enfant est vu grimper dans une toboggan et se rapprocher du bord.")</f>
        <v>Un jeune enfant est vu grimper dans une toboggan et se rapprocher du bord.</v>
      </c>
    </row>
    <row r="32013">
      <c r="A32013" s="4" t="s">
        <v>40306</v>
      </c>
      <c r="B32013" s="4" t="s">
        <v>40308</v>
      </c>
      <c r="C32013" s="5" t="str">
        <f>IFERROR(__xludf.DUMMYFUNCTION("GOOGLETRANSLATE(B32013,""en"",""fr"")"),"La fille monte ensuite sur la diapositive en souriant et s'éloigne.")</f>
        <v>La fille monte ensuite sur la diapositive en souriant et s'éloigne.</v>
      </c>
    </row>
    <row r="32014">
      <c r="A32014" s="4" t="s">
        <v>40309</v>
      </c>
      <c r="B32014" s="4" t="s">
        <v>40310</v>
      </c>
      <c r="C32014" s="5" t="str">
        <f>IFERROR(__xludf.DUMMYFUNCTION("GOOGLETRANSLATE(B32014,""en"",""fr"")"),"Une bouteille claire verse un verre dans un verre à cocktail.")</f>
        <v>Une bouteille claire verse un verre dans un verre à cocktail.</v>
      </c>
    </row>
    <row r="32015">
      <c r="A32015" s="4" t="s">
        <v>40309</v>
      </c>
      <c r="B32015" s="4" t="s">
        <v>40311</v>
      </c>
      <c r="C32015" s="5" t="str">
        <f>IFERROR(__xludf.DUMMYFUNCTION("GOOGLETRANSLATE(B32015,""en"",""fr"")"),"Un barman ramasse une tasse en acier inoxydable et y recoupe de la glace.")</f>
        <v>Un barman ramasse une tasse en acier inoxydable et y recoupe de la glace.</v>
      </c>
    </row>
    <row r="32016">
      <c r="A32016" s="4" t="s">
        <v>40309</v>
      </c>
      <c r="B32016" s="4" t="s">
        <v>40312</v>
      </c>
      <c r="C32016" s="5" t="str">
        <f>IFERROR(__xludf.DUMMYFUNCTION("GOOGLETRANSLATE(B32016,""en"",""fr"")"),"Le barman verse des liqueurs dans un verre de tir et les jette dans une tasse.")</f>
        <v>Le barman verse des liqueurs dans un verre de tir et les jette dans une tasse.</v>
      </c>
    </row>
    <row r="32017">
      <c r="A32017" s="4" t="s">
        <v>40309</v>
      </c>
      <c r="B32017" s="4" t="s">
        <v>40313</v>
      </c>
      <c r="C32017" s="5" t="str">
        <f>IFERROR(__xludf.DUMMYFUNCTION("GOOGLETRANSLATE(B32017,""en"",""fr"")"),"Le barman plafonne la tasse et secoue vigoureusement.")</f>
        <v>Le barman plafonne la tasse et secoue vigoureusement.</v>
      </c>
    </row>
    <row r="32018">
      <c r="A32018" s="4" t="s">
        <v>40309</v>
      </c>
      <c r="B32018" s="4" t="s">
        <v>40314</v>
      </c>
      <c r="C32018" s="5" t="str">
        <f>IFERROR(__xludf.DUMMYFUNCTION("GOOGLETRANSLATE(B32018,""en"",""fr"")"),"Le contenu de la tasse de mélange est versé dans un verre à martini.")</f>
        <v>Le contenu de la tasse de mélange est versé dans un verre à martini.</v>
      </c>
    </row>
    <row r="32019">
      <c r="A32019" s="4" t="s">
        <v>40315</v>
      </c>
      <c r="B32019" s="4" t="s">
        <v>40316</v>
      </c>
      <c r="C32019" s="5" t="str">
        <f>IFERROR(__xludf.DUMMYFUNCTION("GOOGLETRANSLATE(B32019,""en"",""fr"")"),"Un homme touche ses visages et ses vagues.")</f>
        <v>Un homme touche ses visages et ses vagues.</v>
      </c>
    </row>
    <row r="32020">
      <c r="A32020" s="4" t="s">
        <v>40315</v>
      </c>
      <c r="B32020" s="4" t="s">
        <v>40317</v>
      </c>
      <c r="C32020" s="5" t="str">
        <f>IFERROR(__xludf.DUMMYFUNCTION("GOOGLETRANSLATE(B32020,""en"",""fr"")"),"L'homme marche une tondeuse à travers l'herbe de croissance très grande.")</f>
        <v>L'homme marche une tondeuse à travers l'herbe de croissance très grande.</v>
      </c>
    </row>
    <row r="32021">
      <c r="A32021" s="4" t="s">
        <v>40318</v>
      </c>
      <c r="B32021" s="6" t="s">
        <v>40319</v>
      </c>
      <c r="C32021" s="5" t="str">
        <f>IFERROR(__xludf.DUMMYFUNCTION("GOOGLETRANSLATE(B32021,""en"",""fr"")"),"Une femme d'âge moyen est debout dans une pièce derrière une table pleine de douleur et de brosses de différentes tailles et une image d'arbres sur un chevalet.")</f>
        <v>Une femme d'âge moyen est debout dans une pièce derrière une table pleine de douleur et de brosses de différentes tailles et une image d'arbres sur un chevalet.</v>
      </c>
    </row>
    <row r="32022">
      <c r="A32022" s="4" t="s">
        <v>40318</v>
      </c>
      <c r="B32022" s="6" t="s">
        <v>40320</v>
      </c>
      <c r="C32022" s="5" t="str">
        <f>IFERROR(__xludf.DUMMYFUNCTION("GOOGLETRANSLATE(B32022,""en"",""fr"")"),"Dans sa main gauche, elle a une roue de peinture et commence à faire des Stokes sur l'image pour compléter sa photo.")</f>
        <v>Dans sa main gauche, elle a une roue de peinture et commence à faire des Stokes sur l'image pour compléter sa photo.</v>
      </c>
    </row>
    <row r="32023">
      <c r="A32023" s="4" t="s">
        <v>40318</v>
      </c>
      <c r="B32023" s="6" t="s">
        <v>40321</v>
      </c>
      <c r="C32023" s="5" t="str">
        <f>IFERROR(__xludf.DUMMYFUNCTION("GOOGLETRANSLATE(B32023,""en"",""fr"")"),"Elle va et vient de la peinture à la planche et montre comment faire un arbre puis nettoie ses pinceaux.")</f>
        <v>Elle va et vient de la peinture à la planche et montre comment faire un arbre puis nettoie ses pinceaux.</v>
      </c>
    </row>
    <row r="32024">
      <c r="A32024" s="4" t="s">
        <v>40322</v>
      </c>
      <c r="B32024" s="4" t="s">
        <v>40323</v>
      </c>
      <c r="C32024" s="5" t="str">
        <f>IFERROR(__xludf.DUMMYFUNCTION("GOOGLETRANSLATE(B32024,""en"",""fr"")"),"Une personne sculpte une citrouille.")</f>
        <v>Une personne sculpte une citrouille.</v>
      </c>
    </row>
    <row r="32025">
      <c r="A32025" s="4" t="s">
        <v>40322</v>
      </c>
      <c r="B32025" s="4" t="s">
        <v>40324</v>
      </c>
      <c r="C32025" s="5" t="str">
        <f>IFERROR(__xludf.DUMMYFUNCTION("GOOGLETRANSLATE(B32025,""en"",""fr"")"),"Nous voyons deux personnes côte à côte en sculpture de citrouilles.")</f>
        <v>Nous voyons deux personnes côte à côte en sculpture de citrouilles.</v>
      </c>
    </row>
    <row r="32026">
      <c r="A32026" s="4" t="s">
        <v>40322</v>
      </c>
      <c r="B32026" s="4" t="s">
        <v>40325</v>
      </c>
      <c r="C32026" s="5" t="str">
        <f>IFERROR(__xludf.DUMMYFUNCTION("GOOGLETRANSLATE(B32026,""en"",""fr"")"),"Nous voyons de l'intérieur de la citrouille lorsqu'ils sont sculptés.")</f>
        <v>Nous voyons de l'intérieur de la citrouille lorsqu'ils sont sculptés.</v>
      </c>
    </row>
    <row r="32027">
      <c r="A32027" s="4" t="s">
        <v>40322</v>
      </c>
      <c r="B32027" s="4" t="s">
        <v>40326</v>
      </c>
      <c r="C32027" s="5" t="str">
        <f>IFERROR(__xludf.DUMMYFUNCTION("GOOGLETRANSLATE(B32027,""en"",""fr"")"),"Nous voyons cinq citrouilles sur un canapé et dans l'obscurité éclairée de l'intérieur.")</f>
        <v>Nous voyons cinq citrouilles sur un canapé et dans l'obscurité éclairée de l'intérieur.</v>
      </c>
    </row>
    <row r="32028">
      <c r="A32028" s="4" t="s">
        <v>40322</v>
      </c>
      <c r="B32028" s="4" t="s">
        <v>27504</v>
      </c>
      <c r="C32028" s="5" t="str">
        <f>IFERROR(__xludf.DUMMYFUNCTION("GOOGLETRANSLATE(B32028,""en"",""fr"")"),"Nous voyons un écran de titre de clôture.")</f>
        <v>Nous voyons un écran de titre de clôture.</v>
      </c>
    </row>
    <row r="32029">
      <c r="A32029" s="4" t="s">
        <v>40327</v>
      </c>
      <c r="B32029" s="4" t="s">
        <v>40328</v>
      </c>
      <c r="C32029" s="5" t="str">
        <f>IFERROR(__xludf.DUMMYFUNCTION("GOOGLETRANSLATE(B32029,""en"",""fr"")"),"Une femme est assise sur le canapé et met ses pieds dans des talons imprimés python.")</f>
        <v>Une femme est assise sur le canapé et met ses pieds dans des talons imprimés python.</v>
      </c>
    </row>
    <row r="32030">
      <c r="A32030" s="4" t="s">
        <v>40327</v>
      </c>
      <c r="B32030" s="6" t="s">
        <v>40329</v>
      </c>
      <c r="C32030" s="5" t="str">
        <f>IFERROR(__xludf.DUMMYFUNCTION("GOOGLETRANSLATE(B32030,""en"",""fr"")"),"Une fois qu'ils sont sur, elle se lève et se promène alors que la caméra zoome sur ses ongles à orteils peints rouges.")</f>
        <v>Une fois qu'ils sont sur, elle se lève et se promène alors que la caméra zoome sur ses ongles à orteils peints rouges.</v>
      </c>
    </row>
    <row r="32031">
      <c r="A32031" s="4" t="s">
        <v>40330</v>
      </c>
      <c r="B32031" s="4" t="s">
        <v>40331</v>
      </c>
      <c r="C32031" s="5" t="str">
        <f>IFERROR(__xludf.DUMMYFUNCTION("GOOGLETRANSLATE(B32031,""en"",""fr"")"),"Un homme en costume bleu jette quelque chose dans le public.")</f>
        <v>Un homme en costume bleu jette quelque chose dans le public.</v>
      </c>
    </row>
    <row r="32032">
      <c r="A32032" s="4" t="s">
        <v>40330</v>
      </c>
      <c r="B32032" s="4" t="s">
        <v>40332</v>
      </c>
      <c r="C32032" s="5" t="str">
        <f>IFERROR(__xludf.DUMMYFUNCTION("GOOGLETRANSLATE(B32032,""en"",""fr"")"),"Il ramasse une canette verte et prend un verre.")</f>
        <v>Il ramasse une canette verte et prend un verre.</v>
      </c>
    </row>
    <row r="32033">
      <c r="A32033" s="4" t="s">
        <v>40330</v>
      </c>
      <c r="B32033" s="4" t="s">
        <v>40333</v>
      </c>
      <c r="C32033" s="5" t="str">
        <f>IFERROR(__xludf.DUMMYFUNCTION("GOOGLETRANSLATE(B32033,""en"",""fr"")"),"Il joue ensuite des ciseaux en papier rock avec un autre homme en face de lui.")</f>
        <v>Il joue ensuite des ciseaux en papier rock avec un autre homme en face de lui.</v>
      </c>
    </row>
    <row r="32034">
      <c r="A32034" s="4" t="s">
        <v>40334</v>
      </c>
      <c r="B32034" s="4" t="s">
        <v>40335</v>
      </c>
      <c r="C32034" s="5" t="str">
        <f>IFERROR(__xludf.DUMMYFUNCTION("GOOGLETRANSLATE(B32034,""en"",""fr"")"),"Un homme pelle de la neige dans une allée.")</f>
        <v>Un homme pelle de la neige dans une allée.</v>
      </c>
    </row>
    <row r="32035">
      <c r="A32035" s="4" t="s">
        <v>40334</v>
      </c>
      <c r="B32035" s="6" t="s">
        <v>40336</v>
      </c>
      <c r="C32035" s="5" t="str">
        <f>IFERROR(__xludf.DUMMYFUNCTION("GOOGLETRANSLATE(B32035,""en"",""fr"")"),"La caméra est en train de montrer un autre homme à l'aide d'une machine à pelleter électrique pour effacer le spectacle depuis son allée.")</f>
        <v>La caméra est en train de montrer un autre homme à l'aide d'une machine à pelleter électrique pour effacer le spectacle depuis son allée.</v>
      </c>
    </row>
    <row r="32036">
      <c r="A32036" s="4" t="s">
        <v>40334</v>
      </c>
      <c r="B32036" s="4" t="s">
        <v>40337</v>
      </c>
      <c r="C32036" s="5" t="str">
        <f>IFERROR(__xludf.DUMMYFUNCTION("GOOGLETRANSLATE(B32036,""en"",""fr"")"),"L'homme finit de nettoyer la neige et se tourne vers la caméra.")</f>
        <v>L'homme finit de nettoyer la neige et se tourne vers la caméra.</v>
      </c>
    </row>
    <row r="32037">
      <c r="A32037" s="4" t="s">
        <v>40338</v>
      </c>
      <c r="B32037" s="4" t="s">
        <v>27300</v>
      </c>
      <c r="C32037" s="5" t="str">
        <f>IFERROR(__xludf.DUMMYFUNCTION("GOOGLETRANSLATE(B32037,""en"",""fr"")"),"Nous voyons un écran d'ouverture animé.")</f>
        <v>Nous voyons un écran d'ouverture animé.</v>
      </c>
    </row>
    <row r="32038">
      <c r="A32038" s="4" t="s">
        <v>40338</v>
      </c>
      <c r="B32038" s="4" t="s">
        <v>40339</v>
      </c>
      <c r="C32038" s="5" t="str">
        <f>IFERROR(__xludf.DUMMYFUNCTION("GOOGLETRANSLATE(B32038,""en"",""fr"")"),"Nous voyons une vue aérienne d'une plage avec des gens partout.")</f>
        <v>Nous voyons une vue aérienne d'une plage avec des gens partout.</v>
      </c>
    </row>
    <row r="32039">
      <c r="A32039" s="4" t="s">
        <v>40338</v>
      </c>
      <c r="B32039" s="4" t="s">
        <v>40340</v>
      </c>
      <c r="C32039" s="5" t="str">
        <f>IFERROR(__xludf.DUMMYFUNCTION("GOOGLETRANSLATE(B32039,""en"",""fr"")"),"Nous voyons des gens construire des châteaux de sable.")</f>
        <v>Nous voyons des gens construire des châteaux de sable.</v>
      </c>
    </row>
    <row r="32040">
      <c r="A32040" s="4" t="s">
        <v>40338</v>
      </c>
      <c r="B32040" s="4" t="s">
        <v>40341</v>
      </c>
      <c r="C32040" s="5" t="str">
        <f>IFERROR(__xludf.DUMMYFUNCTION("GOOGLETRANSLATE(B32040,""en"",""fr"")"),"Nous interrogeons un juge, qui marche ensuite parmi les gens.")</f>
        <v>Nous interrogeons un juge, qui marche ensuite parmi les gens.</v>
      </c>
    </row>
    <row r="32041">
      <c r="A32041" s="4" t="s">
        <v>40338</v>
      </c>
      <c r="B32041" s="4" t="s">
        <v>40342</v>
      </c>
      <c r="C32041" s="5" t="str">
        <f>IFERROR(__xludf.DUMMYFUNCTION("GOOGLETRANSLATE(B32041,""en"",""fr"")"),"Nous voyons deux hommes interrogés.")</f>
        <v>Nous voyons deux hommes interrogés.</v>
      </c>
    </row>
    <row r="32042">
      <c r="A32042" s="4" t="s">
        <v>40338</v>
      </c>
      <c r="B32042" s="4" t="s">
        <v>40343</v>
      </c>
      <c r="C32042" s="5" t="str">
        <f>IFERROR(__xludf.DUMMYFUNCTION("GOOGLETRANSLATE(B32042,""en"",""fr"")"),"Nous voyons un auvent sur la plage et les auvents au-delà de cela.")</f>
        <v>Nous voyons un auvent sur la plage et les auvents au-delà de cela.</v>
      </c>
    </row>
    <row r="32043">
      <c r="A32043" s="4" t="s">
        <v>40344</v>
      </c>
      <c r="B32043" s="6" t="s">
        <v>40345</v>
      </c>
      <c r="C32043" s="5" t="str">
        <f>IFERROR(__xludf.DUMMYFUNCTION("GOOGLETRANSLATE(B32043,""en"",""fr"")"),"Il y a une femme dans un pull rouge et une chemise blanche et un pantalon bleu assis dans son salon sur un canapé en cuir marron.")</f>
        <v>Il y a une femme dans un pull rouge et une chemise blanche et un pantalon bleu assis dans son salon sur un canapé en cuir marron.</v>
      </c>
    </row>
    <row r="32044">
      <c r="A32044" s="4" t="s">
        <v>40344</v>
      </c>
      <c r="B32044" s="4" t="s">
        <v>40346</v>
      </c>
      <c r="C32044" s="5" t="str">
        <f>IFERROR(__xludf.DUMMYFUNCTION("GOOGLETRANSLATE(B32044,""en"",""fr"")"),"Elle tient une boîte de meubles en vertu du meuble à la main.")</f>
        <v>Elle tient une boîte de meubles en vertu du meuble à la main.</v>
      </c>
    </row>
    <row r="32045">
      <c r="A32045" s="4" t="s">
        <v>40344</v>
      </c>
      <c r="B32045" s="4" t="s">
        <v>40347</v>
      </c>
      <c r="C32045" s="5" t="str">
        <f>IFERROR(__xludf.DUMMYFUNCTION("GOOGLETRANSLATE(B32045,""en"",""fr"")"),"Elle a également une serviette en papier dans son autre main qu'elle utilise pour essuyer la table.")</f>
        <v>Elle a également une serviette en papier dans son autre main qu'elle utilise pour essuyer la table.</v>
      </c>
    </row>
    <row r="32046">
      <c r="A32046" s="4" t="s">
        <v>40344</v>
      </c>
      <c r="B32046" s="4" t="s">
        <v>40348</v>
      </c>
      <c r="C32046" s="5" t="str">
        <f>IFERROR(__xludf.DUMMYFUNCTION("GOOGLETRANSLATE(B32046,""en"",""fr"")"),"Elle pulvérise la surface de la table en bois avec le spray puis l'essuie avec la serviette en papier blanc.")</f>
        <v>Elle pulvérise la surface de la table en bois avec le spray puis l'essuie avec la serviette en papier blanc.</v>
      </c>
    </row>
    <row r="32047">
      <c r="A32047" s="4" t="s">
        <v>40344</v>
      </c>
      <c r="B32047" s="4" t="s">
        <v>40349</v>
      </c>
      <c r="C32047" s="5" t="str">
        <f>IFERROR(__xludf.DUMMYFUNCTION("GOOGLETRANSLATE(B32047,""en"",""fr"")"),"Elle explique comment utiliser le spray et essuyer les meubles.")</f>
        <v>Elle explique comment utiliser le spray et essuyer les meubles.</v>
      </c>
    </row>
    <row r="32048">
      <c r="A32048" s="4" t="s">
        <v>40350</v>
      </c>
      <c r="B32048" s="4" t="s">
        <v>40351</v>
      </c>
      <c r="C32048" s="5" t="str">
        <f>IFERROR(__xludf.DUMMYFUNCTION("GOOGLETRANSLATE(B32048,""en"",""fr"")"),"Nous voyons un homme debout dans une pièce.")</f>
        <v>Nous voyons un homme debout dans une pièce.</v>
      </c>
    </row>
    <row r="32049">
      <c r="A32049" s="4" t="s">
        <v>40350</v>
      </c>
      <c r="B32049" s="4" t="s">
        <v>40352</v>
      </c>
      <c r="C32049" s="5" t="str">
        <f>IFERROR(__xludf.DUMMYFUNCTION("GOOGLETRANSLATE(B32049,""en"",""fr"")"),"L'homme commence à effectuer du tai-chi.")</f>
        <v>L'homme commence à effectuer du tai-chi.</v>
      </c>
    </row>
    <row r="32050">
      <c r="A32050" s="4" t="s">
        <v>40350</v>
      </c>
      <c r="B32050" s="4" t="s">
        <v>40353</v>
      </c>
      <c r="C32050" s="5" t="str">
        <f>IFERROR(__xludf.DUMMYFUNCTION("GOOGLETRANSLATE(B32050,""en"",""fr"")"),"L'homme se tourne et fait face à gauche.")</f>
        <v>L'homme se tourne et fait face à gauche.</v>
      </c>
    </row>
    <row r="32051">
      <c r="A32051" s="4" t="s">
        <v>40350</v>
      </c>
      <c r="B32051" s="4" t="s">
        <v>40354</v>
      </c>
      <c r="C32051" s="5" t="str">
        <f>IFERROR(__xludf.DUMMYFUNCTION("GOOGLETRANSLATE(B32051,""en"",""fr"")"),"L'homme se tourne vers la droite.")</f>
        <v>L'homme se tourne vers la droite.</v>
      </c>
    </row>
    <row r="32052">
      <c r="A32052" s="4" t="s">
        <v>40350</v>
      </c>
      <c r="B32052" s="4" t="s">
        <v>40355</v>
      </c>
      <c r="C32052" s="5" t="str">
        <f>IFERROR(__xludf.DUMMYFUNCTION("GOOGLETRANSLATE(B32052,""en"",""fr"")"),"L'homme se dirige lentement sur le côté droit de la pièce.")</f>
        <v>L'homme se dirige lentement sur le côté droit de la pièce.</v>
      </c>
    </row>
    <row r="32053">
      <c r="A32053" s="4" t="s">
        <v>40350</v>
      </c>
      <c r="B32053" s="4" t="s">
        <v>40356</v>
      </c>
      <c r="C32053" s="5" t="str">
        <f>IFERROR(__xludf.DUMMYFUNCTION("GOOGLETRANSLATE(B32053,""en"",""fr"")"),"L'écran s'estompe ensuite en noir.")</f>
        <v>L'écran s'estompe ensuite en noir.</v>
      </c>
    </row>
    <row r="32054">
      <c r="A32054" s="4" t="s">
        <v>40357</v>
      </c>
      <c r="B32054" s="4" t="s">
        <v>40358</v>
      </c>
      <c r="C32054" s="5" t="str">
        <f>IFERROR(__xludf.DUMMYFUNCTION("GOOGLETRANSLATE(B32054,""en"",""fr"")"),"Un jeune homme joue le violon sur un trottoir pour les gens qui passent dans le centre-ville.")</f>
        <v>Un jeune homme joue le violon sur un trottoir pour les gens qui passent dans le centre-ville.</v>
      </c>
    </row>
    <row r="32055">
      <c r="A32055" s="4" t="s">
        <v>40357</v>
      </c>
      <c r="B32055" s="4" t="s">
        <v>40359</v>
      </c>
      <c r="C32055" s="5" t="str">
        <f>IFERROR(__xludf.DUMMYFUNCTION("GOOGLETRANSLATE(B32055,""en"",""fr"")"),"Deux étudiants passent derrière le musicien pendant qu'il joue.")</f>
        <v>Deux étudiants passent derrière le musicien pendant qu'il joue.</v>
      </c>
    </row>
    <row r="32056">
      <c r="A32056" s="4" t="s">
        <v>40357</v>
      </c>
      <c r="B32056" s="4" t="s">
        <v>40360</v>
      </c>
      <c r="C32056" s="5" t="str">
        <f>IFERROR(__xludf.DUMMYFUNCTION("GOOGLETRANSLATE(B32056,""en"",""fr"")"),"La femme sur le banc s'est tournée pour regarder face à l'homme jouer la chanson.")</f>
        <v>La femme sur le banc s'est tournée pour regarder face à l'homme jouer la chanson.</v>
      </c>
    </row>
    <row r="32057">
      <c r="A32057" s="4" t="s">
        <v>40357</v>
      </c>
      <c r="B32057" s="4" t="s">
        <v>40361</v>
      </c>
      <c r="C32057" s="5" t="str">
        <f>IFERROR(__xludf.DUMMYFUNCTION("GOOGLETRANSLATE(B32057,""en"",""fr"")"),"Un homme laisse un changement dans la Coupe du musicien après avoir joué.")</f>
        <v>Un homme laisse un changement dans la Coupe du musicien après avoir joué.</v>
      </c>
    </row>
    <row r="32058">
      <c r="A32058" s="4" t="s">
        <v>40362</v>
      </c>
      <c r="B32058" s="6" t="s">
        <v>40363</v>
      </c>
      <c r="C32058" s="5" t="str">
        <f>IFERROR(__xludf.DUMMYFUNCTION("GOOGLETRANSLATE(B32058,""en"",""fr"")"),"Un homme monte un cheval dans un rodéo et attrape un taureau tandis que les stands les regardent et que d'autres hommes en HSE sont du côté du terrain.")</f>
        <v>Un homme monte un cheval dans un rodéo et attrape un taureau tandis que les stands les regardent et que d'autres hommes en HSE sont du côté du terrain.</v>
      </c>
    </row>
    <row r="32059">
      <c r="A32059" s="4" t="s">
        <v>40362</v>
      </c>
      <c r="B32059" s="4" t="s">
        <v>40364</v>
      </c>
      <c r="C32059" s="5" t="str">
        <f>IFERROR(__xludf.DUMMYFUNCTION("GOOGLETRANSLATE(B32059,""en"",""fr"")"),"Les hommes montent un cheval dans une grange et jettent une corde pour attraper un taureau.")</f>
        <v>Les hommes montent un cheval dans une grange et jettent une corde pour attraper un taureau.</v>
      </c>
    </row>
    <row r="32060">
      <c r="A32060" s="4" t="s">
        <v>40365</v>
      </c>
      <c r="B32060" s="4" t="s">
        <v>40366</v>
      </c>
      <c r="C32060" s="5" t="str">
        <f>IFERROR(__xludf.DUMMYFUNCTION("GOOGLETRANSLATE(B32060,""en"",""fr"")"),"Un homme enlève sa chemise.")</f>
        <v>Un homme enlève sa chemise.</v>
      </c>
    </row>
    <row r="32061">
      <c r="A32061" s="4" t="s">
        <v>40365</v>
      </c>
      <c r="B32061" s="4" t="s">
        <v>40367</v>
      </c>
      <c r="C32061" s="5" t="str">
        <f>IFERROR(__xludf.DUMMYFUNCTION("GOOGLETRANSLATE(B32061,""en"",""fr"")"),"Il commence à faire des mouvements de karaté sur un tapis bleu.")</f>
        <v>Il commence à faire des mouvements de karaté sur un tapis bleu.</v>
      </c>
    </row>
    <row r="32062">
      <c r="A32062" s="4" t="s">
        <v>40365</v>
      </c>
      <c r="B32062" s="4" t="s">
        <v>40368</v>
      </c>
      <c r="C32062" s="5" t="str">
        <f>IFERROR(__xludf.DUMMYFUNCTION("GOOGLETRANSLATE(B32062,""en"",""fr"")"),"Il fait plusieurs flips dans les airs.")</f>
        <v>Il fait plusieurs flips dans les airs.</v>
      </c>
    </row>
    <row r="32063">
      <c r="A32063" s="4" t="s">
        <v>40369</v>
      </c>
      <c r="B32063" s="4" t="s">
        <v>40370</v>
      </c>
      <c r="C32063" s="5" t="str">
        <f>IFERROR(__xludf.DUMMYFUNCTION("GOOGLETRANSLATE(B32063,""en"",""fr"")"),"La jeune femme dort d'abord dans son lit, mais elle se réveille pour dire quelque chose.")</f>
        <v>La jeune femme dort d'abord dans son lit, mais elle se réveille pour dire quelque chose.</v>
      </c>
    </row>
    <row r="32064">
      <c r="A32064" s="4" t="s">
        <v>40369</v>
      </c>
      <c r="B32064" s="6" t="s">
        <v>40371</v>
      </c>
      <c r="C32064" s="5" t="str">
        <f>IFERROR(__xludf.DUMMYFUNCTION("GOOGLETRANSLATE(B32064,""en"",""fr"")"),"Ensuite, elle est montrée assise au restaurant en train de manger des frites, puis elle est à nouveau montrée dans sa chambre, fixant les vêtements sur son lit et mettant ses chaussures.")</f>
        <v>Ensuite, elle est montrée assise au restaurant en train de manger des frites, puis elle est à nouveau montrée dans sa chambre, fixant les vêtements sur son lit et mettant ses chaussures.</v>
      </c>
    </row>
    <row r="32065">
      <c r="A32065" s="4" t="s">
        <v>40369</v>
      </c>
      <c r="B32065" s="4" t="s">
        <v>40372</v>
      </c>
      <c r="C32065" s="5" t="str">
        <f>IFERROR(__xludf.DUMMYFUNCTION("GOOGLETRANSLATE(B32065,""en"",""fr"")"),"On lui montre également que faire des choses amusantes dans la vidéo et les autres filles le sont aussi.")</f>
        <v>On lui montre également que faire des choses amusantes dans la vidéo et les autres filles le sont aussi.</v>
      </c>
    </row>
    <row r="32066">
      <c r="A32066" s="4" t="s">
        <v>40373</v>
      </c>
      <c r="B32066" s="6" t="s">
        <v>40374</v>
      </c>
      <c r="C32066" s="5" t="str">
        <f>IFERROR(__xludf.DUMMYFUNCTION("GOOGLETRANSLATE(B32066,""en"",""fr"")"),"Un jeune homme met un détergent dans un seau bleu, puis montre et explique comment nettoyer une fenêtre d'écran à l'aide d'une raclette.")</f>
        <v>Un jeune homme met un détergent dans un seau bleu, puis montre et explique comment nettoyer une fenêtre d'écran à l'aide d'une raclette.</v>
      </c>
    </row>
    <row r="32067">
      <c r="A32067" s="4" t="s">
        <v>40373</v>
      </c>
      <c r="B32067" s="4" t="s">
        <v>40375</v>
      </c>
      <c r="C32067" s="5" t="str">
        <f>IFERROR(__xludf.DUMMYFUNCTION("GOOGLETRANSLATE(B32067,""en"",""fr"")"),"Après, le jeune homme nettoie l'écran humide avec un chiffon.")</f>
        <v>Après, le jeune homme nettoie l'écran humide avec un chiffon.</v>
      </c>
    </row>
    <row r="32068">
      <c r="A32068" s="4" t="s">
        <v>40373</v>
      </c>
      <c r="B32068" s="4" t="s">
        <v>40376</v>
      </c>
      <c r="C32068" s="5" t="str">
        <f>IFERROR(__xludf.DUMMYFUNCTION("GOOGLETRANSLATE(B32068,""en"",""fr"")"),"Le jeune homme compare un écran de saleté avec celui propre et donne un coup de bruit.")</f>
        <v>Le jeune homme compare un écran de saleté avec celui propre et donne un coup de bruit.</v>
      </c>
    </row>
    <row r="32069">
      <c r="A32069" s="4" t="s">
        <v>40377</v>
      </c>
      <c r="B32069" s="6" t="s">
        <v>40378</v>
      </c>
      <c r="C32069" s="5" t="str">
        <f>IFERROR(__xludf.DUMMYFUNCTION("GOOGLETRANSLATE(B32069,""en"",""fr"")"),"Une caméra se déroule autour d'une zone clôturée et mène à un homme et à son chien effectuant des tours avec un frisbee.")</f>
        <v>Une caméra se déroule autour d'une zone clôturée et mène à un homme et à son chien effectuant des tours avec un frisbee.</v>
      </c>
    </row>
    <row r="32070">
      <c r="A32070" s="4" t="s">
        <v>40377</v>
      </c>
      <c r="B32070" s="6" t="s">
        <v>40379</v>
      </c>
      <c r="C32070" s="5" t="str">
        <f>IFERROR(__xludf.DUMMYFUNCTION("GOOGLETRANSLATE(B32070,""en"",""fr"")"),"L'an continue d'effectuer des astuces avec le chien en utilisant les jouets et autres chiens qui regardent sur le côté.")</f>
        <v>L'an continue d'effectuer des astuces avec le chien en utilisant les jouets et autres chiens qui regardent sur le côté.</v>
      </c>
    </row>
    <row r="32071">
      <c r="A32071" s="4" t="s">
        <v>40380</v>
      </c>
      <c r="B32071" s="4" t="s">
        <v>40381</v>
      </c>
      <c r="C32071" s="5" t="str">
        <f>IFERROR(__xludf.DUMMYFUNCTION("GOOGLETRANSLATE(B32071,""en"",""fr"")"),"Un collage de dessins et de logos est vu en noir et blanc qui constituent un logo plus grand.")</f>
        <v>Un collage de dessins et de logos est vu en noir et blanc qui constituent un logo plus grand.</v>
      </c>
    </row>
    <row r="32072">
      <c r="A32072" s="4" t="s">
        <v>40380</v>
      </c>
      <c r="B32072" s="4" t="s">
        <v>40382</v>
      </c>
      <c r="C32072" s="5" t="str">
        <f>IFERROR(__xludf.DUMMYFUNCTION("GOOGLETRANSLATE(B32072,""en"",""fr"")"),"Une plage est vue à distance et les maisons sont visibles sur une colline dans une petite ville balnéaire.")</f>
        <v>Une plage est vue à distance et les maisons sont visibles sur une colline dans une petite ville balnéaire.</v>
      </c>
    </row>
    <row r="32073">
      <c r="A32073" s="4" t="s">
        <v>40380</v>
      </c>
      <c r="B32073" s="4" t="s">
        <v>40383</v>
      </c>
      <c r="C32073" s="5" t="str">
        <f>IFERROR(__xludf.DUMMYFUNCTION("GOOGLETRANSLATE(B32073,""en"",""fr"")"),"Un surfeur descend vers la plage.")</f>
        <v>Un surfeur descend vers la plage.</v>
      </c>
    </row>
    <row r="32074">
      <c r="A32074" s="4" t="s">
        <v>40380</v>
      </c>
      <c r="B32074" s="4" t="s">
        <v>32466</v>
      </c>
      <c r="C32074" s="5" t="str">
        <f>IFERROR(__xludf.DUMMYFUNCTION("GOOGLETRANSLATE(B32074,""en"",""fr"")"),"Les surfeurs conduisent de grandes vagues dans l'océan.")</f>
        <v>Les surfeurs conduisent de grandes vagues dans l'océan.</v>
      </c>
    </row>
    <row r="32075">
      <c r="A32075" s="4" t="s">
        <v>40384</v>
      </c>
      <c r="B32075" s="4" t="s">
        <v>40385</v>
      </c>
      <c r="C32075" s="5" t="str">
        <f>IFERROR(__xludf.DUMMYFUNCTION("GOOGLETRANSLATE(B32075,""en"",""fr"")"),"Une femme est vue en train de regarder au loin qui tient un harmonica.")</f>
        <v>Une femme est vue en train de regarder au loin qui tient un harmonica.</v>
      </c>
    </row>
    <row r="32076">
      <c r="A32076" s="4" t="s">
        <v>40384</v>
      </c>
      <c r="B32076" s="4" t="s">
        <v>40386</v>
      </c>
      <c r="C32076" s="5" t="str">
        <f>IFERROR(__xludf.DUMMYFUNCTION("GOOGLETRANSLATE(B32076,""en"",""fr"")"),"Elle commence à jouer l'harmonica tout en détournant les yeux de la caméra.")</f>
        <v>Elle commence à jouer l'harmonica tout en détournant les yeux de la caméra.</v>
      </c>
    </row>
    <row r="32077">
      <c r="A32077" s="4" t="s">
        <v>40384</v>
      </c>
      <c r="B32077" s="4" t="s">
        <v>40387</v>
      </c>
      <c r="C32077" s="5" t="str">
        <f>IFERROR(__xludf.DUMMYFUNCTION("GOOGLETRANSLATE(B32077,""en"",""fr"")"),"Le continue de jouer l'harmonica et s'arrête pour regarder la caméra.")</f>
        <v>Le continue de jouer l'harmonica et s'arrête pour regarder la caméra.</v>
      </c>
    </row>
    <row r="32078">
      <c r="A32078" s="4" t="s">
        <v>40388</v>
      </c>
      <c r="B32078" s="4" t="s">
        <v>40389</v>
      </c>
      <c r="C32078" s="5" t="str">
        <f>IFERROR(__xludf.DUMMYFUNCTION("GOOGLETRANSLATE(B32078,""en"",""fr"")"),"Une personne utilisant une scie à chaîne coupe les membres d'un arbre.")</f>
        <v>Une personne utilisant une scie à chaîne coupe les membres d'un arbre.</v>
      </c>
    </row>
    <row r="32079">
      <c r="A32079" s="4" t="s">
        <v>40388</v>
      </c>
      <c r="B32079" s="4" t="s">
        <v>40390</v>
      </c>
      <c r="C32079" s="5" t="str">
        <f>IFERROR(__xludf.DUMMYFUNCTION("GOOGLETRANSLATE(B32079,""en"",""fr"")"),"L'homme utilise une extension pour couper un membre du haut de l'arbre.")</f>
        <v>L'homme utilise une extension pour couper un membre du haut de l'arbre.</v>
      </c>
    </row>
    <row r="32080">
      <c r="A32080" s="4" t="s">
        <v>40391</v>
      </c>
      <c r="B32080" s="4" t="s">
        <v>40392</v>
      </c>
      <c r="C32080" s="5" t="str">
        <f>IFERROR(__xludf.DUMMYFUNCTION("GOOGLETRANSLATE(B32080,""en"",""fr"")"),"Un homme descend d'une pente de vapeur sur son snowboard.")</f>
        <v>Un homme descend d'une pente de vapeur sur son snowboard.</v>
      </c>
    </row>
    <row r="32081">
      <c r="A32081" s="4" t="s">
        <v>40391</v>
      </c>
      <c r="B32081" s="4" t="s">
        <v>40393</v>
      </c>
      <c r="C32081" s="5" t="str">
        <f>IFERROR(__xludf.DUMMYFUNCTION("GOOGLETRANSLATE(B32081,""en"",""fr"")"),"Un autre attrape de l'air alors qu'il vole sur une colline enneigée.")</f>
        <v>Un autre attrape de l'air alors qu'il vole sur une colline enneigée.</v>
      </c>
    </row>
    <row r="32082">
      <c r="A32082" s="4" t="s">
        <v>40391</v>
      </c>
      <c r="B32082" s="4" t="s">
        <v>40394</v>
      </c>
      <c r="C32082" s="5" t="str">
        <f>IFERROR(__xludf.DUMMYFUNCTION("GOOGLETRANSLATE(B32082,""en"",""fr"")"),"Un autre snowboarder glisse brusquement sur une colline escarpée jusqu'à la base.")</f>
        <v>Un autre snowboarder glisse brusquement sur une colline escarpée jusqu'à la base.</v>
      </c>
    </row>
    <row r="32083">
      <c r="A32083" s="4" t="s">
        <v>40391</v>
      </c>
      <c r="B32083" s="4" t="s">
        <v>40395</v>
      </c>
      <c r="C32083" s="5" t="str">
        <f>IFERROR(__xludf.DUMMYFUNCTION("GOOGLETRANSLATE(B32083,""en"",""fr"")"),"Un homme en gris est montré en effectuant quelques astuces dans l'air.")</f>
        <v>Un homme en gris est montré en effectuant quelques astuces dans l'air.</v>
      </c>
    </row>
    <row r="32084">
      <c r="A32084" s="4" t="s">
        <v>40391</v>
      </c>
      <c r="B32084" s="4" t="s">
        <v>40396</v>
      </c>
      <c r="C32084" s="5" t="str">
        <f>IFERROR(__xludf.DUMMYFUNCTION("GOOGLETRANSLATE(B32084,""en"",""fr"")"),"La perspective de la première personne d'un snowboarder descendant sur une colline est montrée.")</f>
        <v>La perspective de la première personne d'un snowboarder descendant sur une colline est montrée.</v>
      </c>
    </row>
    <row r="32085">
      <c r="A32085" s="4" t="s">
        <v>40391</v>
      </c>
      <c r="B32085" s="4" t="s">
        <v>40397</v>
      </c>
      <c r="C32085" s="5" t="str">
        <f>IFERROR(__xludf.DUMMYFUNCTION("GOOGLETRANSLATE(B32085,""en"",""fr"")"),"Un autre snowboarder vole en bas de la colline, coupant de manière experte à gauche et à droite.")</f>
        <v>Un autre snowboarder vole en bas de la colline, coupant de manière experte à gauche et à droite.</v>
      </c>
    </row>
    <row r="32086">
      <c r="A32086" s="4" t="s">
        <v>40391</v>
      </c>
      <c r="B32086" s="4" t="s">
        <v>40398</v>
      </c>
      <c r="C32086" s="5" t="str">
        <f>IFERROR(__xludf.DUMMYFUNCTION("GOOGLETRANSLATE(B32086,""en"",""fr"")"),"Diverses images de snowboarders descendant de grandes pentes sont montrées.")</f>
        <v>Diverses images de snowboarders descendant de grandes pentes sont montrées.</v>
      </c>
    </row>
    <row r="32087">
      <c r="A32087" s="4" t="s">
        <v>40391</v>
      </c>
      <c r="B32087" s="4" t="s">
        <v>40399</v>
      </c>
      <c r="C32087" s="5" t="str">
        <f>IFERROR(__xludf.DUMMYFUNCTION("GOOGLETRANSLATE(B32087,""en"",""fr"")"),"La perspective de la première personne du snowboarder avec un collègue cavalier devant lui ferme la vidéo.")</f>
        <v>La perspective de la première personne du snowboarder avec un collègue cavalier devant lui ferme la vidéo.</v>
      </c>
    </row>
    <row r="32088">
      <c r="A32088" s="4" t="s">
        <v>40400</v>
      </c>
      <c r="B32088" s="4" t="s">
        <v>40401</v>
      </c>
      <c r="C32088" s="5" t="str">
        <f>IFERROR(__xludf.DUMMYFUNCTION("GOOGLETRANSLATE(B32088,""en"",""fr"")"),"La femme en pull blanc parle à la caméra.")</f>
        <v>La femme en pull blanc parle à la caméra.</v>
      </c>
    </row>
    <row r="32089">
      <c r="A32089" s="4" t="s">
        <v>40400</v>
      </c>
      <c r="B32089" s="4" t="s">
        <v>40402</v>
      </c>
      <c r="C32089" s="5" t="str">
        <f>IFERROR(__xludf.DUMMYFUNCTION("GOOGLETRANSLATE(B32089,""en"",""fr"")"),"La femme tient un violon et un bâton.")</f>
        <v>La femme tient un violon et un bâton.</v>
      </c>
    </row>
    <row r="32090">
      <c r="A32090" s="4" t="s">
        <v>40400</v>
      </c>
      <c r="B32090" s="6" t="s">
        <v>40403</v>
      </c>
      <c r="C32090" s="5" t="str">
        <f>IFERROR(__xludf.DUMMYFUNCTION("GOOGLETRANSLATE(B32090,""en"",""fr"")"),"La femme a mis le violon entre son cou et son épaule et a commencé à jouer pendant quelques secondes, puis a parlé à la caméra.")</f>
        <v>La femme a mis le violon entre son cou et son épaule et a commencé à jouer pendant quelques secondes, puis a parlé à la caméra.</v>
      </c>
    </row>
    <row r="32091">
      <c r="A32091" s="4" t="s">
        <v>40404</v>
      </c>
      <c r="B32091" s="4" t="s">
        <v>40405</v>
      </c>
      <c r="C32091" s="5" t="str">
        <f>IFERROR(__xludf.DUMMYFUNCTION("GOOGLETRANSLATE(B32091,""en"",""fr"")"),"Les gens se tiennent à la frontière des planches de plongée et ils plongent dans l'eau.")</f>
        <v>Les gens se tiennent à la frontière des planches de plongée et ils plongent dans l'eau.</v>
      </c>
    </row>
    <row r="32092">
      <c r="A32092" s="4" t="s">
        <v>40404</v>
      </c>
      <c r="B32092" s="4" t="s">
        <v>40406</v>
      </c>
      <c r="C32092" s="5" t="str">
        <f>IFERROR(__xludf.DUMMYFUNCTION("GOOGLETRANSLATE(B32092,""en"",""fr"")"),"Le nageur se tient sur les planches de plongée, puis ils sautent en tournant dans l'air et en plongeant dans l'eau.")</f>
        <v>Le nageur se tient sur les planches de plongée, puis ils sautent en tournant dans l'air et en plongeant dans l'eau.</v>
      </c>
    </row>
    <row r="32093">
      <c r="A32093" s="4" t="s">
        <v>40404</v>
      </c>
      <c r="B32093" s="6" t="s">
        <v>40407</v>
      </c>
      <c r="C32093" s="5" t="str">
        <f>IFERROR(__xludf.DUMMYFUNCTION("GOOGLETRANSLATE(B32093,""en"",""fr"")"),"Les nageurs sautent de la plongée, ils tournent trois fois dans les airs avant de plonger dans l'eau.")</f>
        <v>Les nageurs sautent de la plongée, ils tournent trois fois dans les airs avant de plonger dans l'eau.</v>
      </c>
    </row>
    <row r="32094">
      <c r="A32094" s="4" t="s">
        <v>40408</v>
      </c>
      <c r="B32094" s="6" t="s">
        <v>40409</v>
      </c>
      <c r="C32094" s="5" t="str">
        <f>IFERROR(__xludf.DUMMYFUNCTION("GOOGLETRANSLATE(B32094,""en"",""fr"")"),"Une fille démontre une guitare acoustique en utilisant ses mains pour créer du bruit de percussion sur le corps de la guitare.")</f>
        <v>Une fille démontre une guitare acoustique en utilisant ses mains pour créer du bruit de percussion sur le corps de la guitare.</v>
      </c>
    </row>
    <row r="32095">
      <c r="A32095" s="4" t="s">
        <v>40408</v>
      </c>
      <c r="B32095" s="6" t="s">
        <v>40410</v>
      </c>
      <c r="C32095" s="5" t="str">
        <f>IFERROR(__xludf.DUMMYFUNCTION("GOOGLETRANSLATE(B32095,""en"",""fr"")"),"Une fille entre dans une pièce où une guitare acoustique se penche contre un canapé et s'assoit sur le canapé et commence à jouer de la guitare.")</f>
        <v>Une fille entre dans une pièce où une guitare acoustique se penche contre un canapé et s'assoit sur le canapé et commence à jouer de la guitare.</v>
      </c>
    </row>
    <row r="32096">
      <c r="A32096" s="4" t="s">
        <v>40408</v>
      </c>
      <c r="B32096" s="6" t="s">
        <v>40411</v>
      </c>
      <c r="C32096" s="5" t="str">
        <f>IFERROR(__xludf.DUMMYFUNCTION("GOOGLETRANSLATE(B32096,""en"",""fr"")"),"La fille utilise sa main droite pour faire des battements avec la guitare et choisit les accords avec la main gauche tout en regardant attentivement la guitare.")</f>
        <v>La fille utilise sa main droite pour faire des battements avec la guitare et choisit les accords avec la main gauche tout en regardant attentivement la guitare.</v>
      </c>
    </row>
    <row r="32097">
      <c r="A32097" s="4" t="s">
        <v>40408</v>
      </c>
      <c r="B32097" s="4" t="s">
        <v>40412</v>
      </c>
      <c r="C32097" s="5" t="str">
        <f>IFERROR(__xludf.DUMMYFUNCTION("GOOGLETRANSLATE(B32097,""en"",""fr"")"),"La fille continue de jouer intensément, hochant parfois la tête au rythme.")</f>
        <v>La fille continue de jouer intensément, hochant parfois la tête au rythme.</v>
      </c>
    </row>
    <row r="32098">
      <c r="A32098" s="4" t="s">
        <v>40413</v>
      </c>
      <c r="B32098" s="6" t="s">
        <v>40414</v>
      </c>
      <c r="C32098" s="5" t="str">
        <f>IFERROR(__xludf.DUMMYFUNCTION("GOOGLETRANSLATE(B32098,""en"",""fr"")"),"Un jeune homme en chemise verte se tient au but, tandis que le jeune joueur en bleu a donné un coup de pied au ballon au but, et le ballon est entré dans le but, l'homme en chemise verte a raté le ballon.")</f>
        <v>Un jeune homme en chemise verte se tient au but, tandis que le jeune joueur en bleu a donné un coup de pied au ballon au but, et le ballon est entré dans le but, l'homme en chemise verte a raté le ballon.</v>
      </c>
    </row>
    <row r="32099">
      <c r="A32099" s="4" t="s">
        <v>40413</v>
      </c>
      <c r="B32099" s="6" t="s">
        <v>40415</v>
      </c>
      <c r="C32099" s="5" t="str">
        <f>IFERROR(__xludf.DUMMYFUNCTION("GOOGLETRANSLATE(B32099,""en"",""fr"")"),"L'homme en chemise rouge coule vers le ballon, a donné un coup de pied au ballon et le gardien de but n'a pas pu le bloquer, le joueur High Five ses coéquipiers.")</f>
        <v>L'homme en chemise rouge coule vers le ballon, a donné un coup de pied au ballon et le gardien de but n'a pas pu le bloquer, le joueur High Five ses coéquipiers.</v>
      </c>
    </row>
    <row r="32100">
      <c r="A32100" s="4" t="s">
        <v>40413</v>
      </c>
      <c r="B32100" s="4" t="s">
        <v>40416</v>
      </c>
      <c r="C32100" s="5" t="str">
        <f>IFERROR(__xludf.DUMMYFUNCTION("GOOGLETRANSLATE(B32100,""en"",""fr"")"),"Les joueurs lancent le ballon au but et les gardiens n'ont pas été en mesure de bloquer le ballon.")</f>
        <v>Les joueurs lancent le ballon au but et les gardiens n'ont pas été en mesure de bloquer le ballon.</v>
      </c>
    </row>
    <row r="32101">
      <c r="A32101" s="4" t="s">
        <v>40417</v>
      </c>
      <c r="B32101" s="4" t="s">
        <v>40418</v>
      </c>
      <c r="C32101" s="5" t="str">
        <f>IFERROR(__xludf.DUMMYFUNCTION("GOOGLETRANSLATE(B32101,""en"",""fr"")"),"Nous voyons la scène d'une corrida avec des matadors sur le ring et les voyons poignarder les taureaux.")</f>
        <v>Nous voyons la scène d'une corrida avec des matadors sur le ring et les voyons poignarder les taureaux.</v>
      </c>
    </row>
    <row r="32102">
      <c r="A32102" s="4" t="s">
        <v>40417</v>
      </c>
      <c r="B32102" s="4" t="s">
        <v>40419</v>
      </c>
      <c r="C32102" s="5" t="str">
        <f>IFERROR(__xludf.DUMMYFUNCTION("GOOGLETRANSLATE(B32102,""en"",""fr"")"),"Nous voyons des images de taureaux sanglants et de carcasses traînés sur le sol.")</f>
        <v>Nous voyons des images de taureaux sanglants et de carcasses traînés sur le sol.</v>
      </c>
    </row>
    <row r="32103">
      <c r="A32103" s="4" t="s">
        <v>40417</v>
      </c>
      <c r="B32103" s="4" t="s">
        <v>40420</v>
      </c>
      <c r="C32103" s="5" t="str">
        <f>IFERROR(__xludf.DUMMYFUNCTION("GOOGLETRANSLATE(B32103,""en"",""fr"")"),"Nous voyons des images d'un taureau dans un abattoir.")</f>
        <v>Nous voyons des images d'un taureau dans un abattoir.</v>
      </c>
    </row>
    <row r="32104">
      <c r="A32104" s="4" t="s">
        <v>40417</v>
      </c>
      <c r="B32104" s="4" t="s">
        <v>40421</v>
      </c>
      <c r="C32104" s="5" t="str">
        <f>IFERROR(__xludf.DUMMYFUNCTION("GOOGLETRANSLATE(B32104,""en"",""fr"")"),"Les mots traversent l'écran sur la torture des taureaux.")</f>
        <v>Les mots traversent l'écran sur la torture des taureaux.</v>
      </c>
    </row>
    <row r="32105">
      <c r="A32105" s="4" t="s">
        <v>40417</v>
      </c>
      <c r="B32105" s="4" t="s">
        <v>40422</v>
      </c>
      <c r="C32105" s="5" t="str">
        <f>IFERROR(__xludf.DUMMYFUNCTION("GOOGLETRANSLATE(B32105,""en"",""fr"")"),"Nous voyons ensuite un écran de fin PETA.")</f>
        <v>Nous voyons ensuite un écran de fin PETA.</v>
      </c>
    </row>
    <row r="32106">
      <c r="A32106" s="4" t="s">
        <v>40423</v>
      </c>
      <c r="B32106" s="4" t="s">
        <v>40424</v>
      </c>
      <c r="C32106" s="5" t="str">
        <f>IFERROR(__xludf.DUMMYFUNCTION("GOOGLETRANSLATE(B32106,""en"",""fr"")"),"Un cavalier de kayak dérive dans la baie d'un océan.")</f>
        <v>Un cavalier de kayak dérive dans la baie d'un océan.</v>
      </c>
    </row>
    <row r="32107">
      <c r="A32107" s="4" t="s">
        <v>40423</v>
      </c>
      <c r="B32107" s="4" t="s">
        <v>40425</v>
      </c>
      <c r="C32107" s="5" t="str">
        <f>IFERROR(__xludf.DUMMYFUNCTION("GOOGLETRANSLATE(B32107,""en"",""fr"")"),"Deux coureurs de kayak parlent en étant assis dans leurs kayaks.")</f>
        <v>Deux coureurs de kayak parlent en étant assis dans leurs kayaks.</v>
      </c>
    </row>
    <row r="32108">
      <c r="A32108" s="4" t="s">
        <v>40423</v>
      </c>
      <c r="B32108" s="4" t="s">
        <v>40426</v>
      </c>
      <c r="C32108" s="5" t="str">
        <f>IFERROR(__xludf.DUMMYFUNCTION("GOOGLETRANSLATE(B32108,""en"",""fr"")"),"La vue des montagnes environnantes est visible.")</f>
        <v>La vue des montagnes environnantes est visible.</v>
      </c>
    </row>
    <row r="32109">
      <c r="A32109" s="4" t="s">
        <v>40427</v>
      </c>
      <c r="B32109" s="4" t="s">
        <v>40428</v>
      </c>
      <c r="C32109" s="5" t="str">
        <f>IFERROR(__xludf.DUMMYFUNCTION("GOOGLETRANSLATE(B32109,""en"",""fr"")"),"Deux personnes se tiennent dans une cuisine.")</f>
        <v>Deux personnes se tiennent dans une cuisine.</v>
      </c>
    </row>
    <row r="32110">
      <c r="A32110" s="4" t="s">
        <v>40427</v>
      </c>
      <c r="B32110" s="4" t="s">
        <v>40429</v>
      </c>
      <c r="C32110" s="5" t="str">
        <f>IFERROR(__xludf.DUMMYFUNCTION("GOOGLETRANSLATE(B32110,""en"",""fr"")"),"Un homme déplace un bol en verre du comptoir.")</f>
        <v>Un homme déplace un bol en verre du comptoir.</v>
      </c>
    </row>
    <row r="32111">
      <c r="A32111" s="4" t="s">
        <v>40427</v>
      </c>
      <c r="B32111" s="4" t="s">
        <v>40430</v>
      </c>
      <c r="C32111" s="5" t="str">
        <f>IFERROR(__xludf.DUMMYFUNCTION("GOOGLETRANSLATE(B32111,""en"",""fr"")"),"Une femme commence à couper une tomate sur une planche.")</f>
        <v>Une femme commence à couper une tomate sur une planche.</v>
      </c>
    </row>
    <row r="32112">
      <c r="A32112" s="4" t="s">
        <v>40431</v>
      </c>
      <c r="B32112" s="6" t="s">
        <v>40432</v>
      </c>
      <c r="C32112" s="5" t="str">
        <f>IFERROR(__xludf.DUMMYFUNCTION("GOOGLETRANSLATE(B32112,""en"",""fr"")"),"Nous, un homme, lavant la vaisselle dans une cuisine de restaurant avec deux autres hommes debout derrière lui pour masser son épaule.")</f>
        <v>Nous, un homme, lavant la vaisselle dans une cuisine de restaurant avec deux autres hommes debout derrière lui pour masser son épaule.</v>
      </c>
    </row>
    <row r="32113">
      <c r="A32113" s="4" t="s">
        <v>40431</v>
      </c>
      <c r="B32113" s="4" t="s">
        <v>40433</v>
      </c>
      <c r="C32113" s="5" t="str">
        <f>IFERROR(__xludf.DUMMYFUNCTION("GOOGLETRANSLATE(B32113,""en"",""fr"")"),"Le lave-vaisselle secoue l'homme de ses épaules.")</f>
        <v>Le lave-vaisselle secoue l'homme de ses épaules.</v>
      </c>
    </row>
    <row r="32114">
      <c r="A32114" s="4" t="s">
        <v>40431</v>
      </c>
      <c r="B32114" s="4" t="s">
        <v>40434</v>
      </c>
      <c r="C32114" s="5" t="str">
        <f>IFERROR(__xludf.DUMMYFUNCTION("GOOGLETRANSLATE(B32114,""en"",""fr"")"),"L'homme à l'arrière en bleu sort de la pièce.")</f>
        <v>L'homme à l'arrière en bleu sort de la pièce.</v>
      </c>
    </row>
    <row r="32115">
      <c r="A32115" s="4" t="s">
        <v>40431</v>
      </c>
      <c r="B32115" s="4" t="s">
        <v>40435</v>
      </c>
      <c r="C32115" s="5" t="str">
        <f>IFERROR(__xludf.DUMMYFUNCTION("GOOGLETRANSLATE(B32115,""en"",""fr"")"),"L'autre homme fait semblant de laver la vaisselle puis se lave les mains.")</f>
        <v>L'autre homme fait semblant de laver la vaisselle puis se lave les mains.</v>
      </c>
    </row>
    <row r="32116">
      <c r="A32116" s="4" t="s">
        <v>40436</v>
      </c>
      <c r="B32116" s="4" t="s">
        <v>40437</v>
      </c>
      <c r="C32116" s="5" t="str">
        <f>IFERROR(__xludf.DUMMYFUNCTION("GOOGLETRANSLATE(B32116,""en"",""fr"")"),"Un journaliste a diffusé à partir d'un set de studio de télévision.")</f>
        <v>Un journaliste a diffusé à partir d'un set de studio de télévision.</v>
      </c>
    </row>
    <row r="32117">
      <c r="A32117" s="4" t="s">
        <v>40436</v>
      </c>
      <c r="B32117" s="6" t="s">
        <v>40438</v>
      </c>
      <c r="C32117" s="5" t="str">
        <f>IFERROR(__xludf.DUMMYFUNCTION("GOOGLETRANSLATE(B32117,""en"",""fr"")"),"Ensuite, le journaliste montre des interviews, un homme une joueuse à côté d'une piscine tandis qu'un groupe de joueurs saute dans l'eau.")</f>
        <v>Ensuite, le journaliste montre des interviews, un homme une joueuse à côté d'une piscine tandis qu'un groupe de joueurs saute dans l'eau.</v>
      </c>
    </row>
    <row r="32118">
      <c r="A32118" s="4" t="s">
        <v>40436</v>
      </c>
      <c r="B32118" s="6" t="s">
        <v>40439</v>
      </c>
      <c r="C32118" s="5" t="str">
        <f>IFERROR(__xludf.DUMMYFUNCTION("GOOGLETRANSLATE(B32118,""en"",""fr"")"),"Deux équipes jouent du water-polo dans la piscine tandis que le journaliste continue d'interviewer des gens.")</f>
        <v>Deux équipes jouent du water-polo dans la piscine tandis que le journaliste continue d'interviewer des gens.</v>
      </c>
    </row>
    <row r="32119">
      <c r="A32119" s="4" t="s">
        <v>40436</v>
      </c>
      <c r="B32119" s="4" t="s">
        <v>40440</v>
      </c>
      <c r="C32119" s="5" t="str">
        <f>IFERROR(__xludf.DUMMYFUNCTION("GOOGLETRANSLATE(B32119,""en"",""fr"")"),"Une femme et un homme écrit les scores sur un jeu, puis les gens applaudent.")</f>
        <v>Une femme et un homme écrit les scores sur un jeu, puis les gens applaudent.</v>
      </c>
    </row>
    <row r="32120">
      <c r="A32120" s="4" t="s">
        <v>40436</v>
      </c>
      <c r="B32120" s="6" t="s">
        <v>40441</v>
      </c>
      <c r="C32120" s="5" t="str">
        <f>IFERROR(__xludf.DUMMYFUNCTION("GOOGLETRANSLATE(B32120,""en"",""fr"")"),"L'équipe gagnante sort l'eau et célèbre, puis le journaliste interviewe les membres de l'équipe.")</f>
        <v>L'équipe gagnante sort l'eau et célèbre, puis le journaliste interviewe les membres de l'équipe.</v>
      </c>
    </row>
    <row r="32121">
      <c r="A32121" s="4" t="s">
        <v>40436</v>
      </c>
      <c r="B32121" s="4" t="s">
        <v>40442</v>
      </c>
      <c r="C32121" s="5" t="str">
        <f>IFERROR(__xludf.DUMMYFUNCTION("GOOGLETRANSLATE(B32121,""en"",""fr"")"),"Encore une fois, l'équipe monte dans l'eau, puis le journaliste a diffusé à partir d'un décor de studio.")</f>
        <v>Encore une fois, l'équipe monte dans l'eau, puis le journaliste a diffusé à partir d'un décor de studio.</v>
      </c>
    </row>
    <row r="32122">
      <c r="A32122" s="4" t="s">
        <v>40443</v>
      </c>
      <c r="B32122" s="4" t="s">
        <v>40444</v>
      </c>
      <c r="C32122" s="5" t="str">
        <f>IFERROR(__xludf.DUMMYFUNCTION("GOOGLETRANSLATE(B32122,""en"",""fr"")"),"La femme se tient devant un comptoir en parlant à la caméra et en montrant des boissons.")</f>
        <v>La femme se tient devant un comptoir en parlant à la caméra et en montrant des boissons.</v>
      </c>
    </row>
    <row r="32123">
      <c r="A32123" s="4" t="s">
        <v>40443</v>
      </c>
      <c r="B32123" s="4" t="s">
        <v>40445</v>
      </c>
      <c r="C32123" s="5" t="str">
        <f>IFERROR(__xludf.DUMMYFUNCTION("GOOGLETRANSLATE(B32123,""en"",""fr"")"),"La femme saisit le jus et l'alcool et le sert dans une tasse.")</f>
        <v>La femme saisit le jus et l'alcool et le sert dans une tasse.</v>
      </c>
    </row>
    <row r="32124">
      <c r="A32124" s="4" t="s">
        <v>40443</v>
      </c>
      <c r="B32124" s="4" t="s">
        <v>40446</v>
      </c>
      <c r="C32124" s="5" t="str">
        <f>IFERROR(__xludf.DUMMYFUNCTION("GOOGLETRANSLATE(B32124,""en"",""fr"")"),"La femme montre dans un bar comment préparer un cocktail.")</f>
        <v>La femme montre dans un bar comment préparer un cocktail.</v>
      </c>
    </row>
    <row r="32125">
      <c r="A32125" s="4" t="s">
        <v>40447</v>
      </c>
      <c r="B32125" s="4" t="s">
        <v>40448</v>
      </c>
      <c r="C32125" s="5" t="str">
        <f>IFERROR(__xludf.DUMMYFUNCTION("GOOGLETRANSLATE(B32125,""en"",""fr"")"),"Un homme portant une chemise bleue se promène vers des congas et s'asseyait.")</f>
        <v>Un homme portant une chemise bleue se promène vers des congas et s'asseyait.</v>
      </c>
    </row>
    <row r="32126">
      <c r="A32126" s="4" t="s">
        <v>40447</v>
      </c>
      <c r="B32126" s="4" t="s">
        <v>40449</v>
      </c>
      <c r="C32126" s="5" t="str">
        <f>IFERROR(__xludf.DUMMYFUNCTION("GOOGLETRANSLATE(B32126,""en"",""fr"")"),"Le musicien commence à jouer les congas dans une petite pièce.")</f>
        <v>Le musicien commence à jouer les congas dans une petite pièce.</v>
      </c>
    </row>
    <row r="32127">
      <c r="A32127" s="4" t="s">
        <v>40447</v>
      </c>
      <c r="B32127" s="4" t="s">
        <v>40450</v>
      </c>
      <c r="C32127" s="5" t="str">
        <f>IFERROR(__xludf.DUMMYFUNCTION("GOOGLETRANSLATE(B32127,""en"",""fr"")"),"L'homme se lève ensuite et s'approche de la caméra.")</f>
        <v>L'homme se lève ensuite et s'approche de la caméra.</v>
      </c>
    </row>
    <row r="32128">
      <c r="A32128" s="4" t="s">
        <v>40451</v>
      </c>
      <c r="B32128" s="4" t="s">
        <v>40452</v>
      </c>
      <c r="C32128" s="5" t="str">
        <f>IFERROR(__xludf.DUMMYFUNCTION("GOOGLETRANSLATE(B32128,""en"",""fr"")"),"Nous voyons des photos d'un évier.")</f>
        <v>Nous voyons des photos d'un évier.</v>
      </c>
    </row>
    <row r="32129">
      <c r="A32129" s="4" t="s">
        <v>40451</v>
      </c>
      <c r="B32129" s="4" t="s">
        <v>40453</v>
      </c>
      <c r="C32129" s="5" t="str">
        <f>IFERROR(__xludf.DUMMYFUNCTION("GOOGLETRANSLATE(B32129,""en"",""fr"")"),"Une personne pulvérise l'évier avec une bouteille puis utilise des brosses à laver pour frotter l'évier.")</f>
        <v>Une personne pulvérise l'évier avec une bouteille puis utilise des brosses à laver pour frotter l'évier.</v>
      </c>
    </row>
    <row r="32130">
      <c r="A32130" s="4" t="s">
        <v>40451</v>
      </c>
      <c r="B32130" s="4" t="s">
        <v>40454</v>
      </c>
      <c r="C32130" s="5" t="str">
        <f>IFERROR(__xludf.DUMMYFUNCTION("GOOGLETRANSLATE(B32130,""en"",""fr"")"),"La personne rinçait l'évier les essuies avec une serviette bleue.")</f>
        <v>La personne rinçait l'évier les essuies avec une serviette bleue.</v>
      </c>
    </row>
    <row r="32131">
      <c r="A32131" s="4" t="s">
        <v>40451</v>
      </c>
      <c r="B32131" s="4" t="s">
        <v>40455</v>
      </c>
      <c r="C32131" s="5" t="str">
        <f>IFERROR(__xludf.DUMMYFUNCTION("GOOGLETRANSLATE(B32131,""en"",""fr"")"),"La personne rinçait ensuite à nouveau l'évier et l'essuie à nouveau avec la serviette bleue.")</f>
        <v>La personne rinçait ensuite à nouveau l'évier et l'essuie à nouveau avec la serviette bleue.</v>
      </c>
    </row>
    <row r="32132">
      <c r="A32132" s="4" t="s">
        <v>40451</v>
      </c>
      <c r="B32132" s="6" t="s">
        <v>40456</v>
      </c>
      <c r="C32132" s="5" t="str">
        <f>IFERROR(__xludf.DUMMYFUNCTION("GOOGLETRANSLATE(B32132,""en"",""fr"")"),"La personne pulvérise l'évier avec une solution et utilise un petit pinceau à rouleau pour exécuter la solution dans l'évier.")</f>
        <v>La personne pulvérise l'évier avec une solution et utilise un petit pinceau à rouleau pour exécuter la solution dans l'évier.</v>
      </c>
    </row>
    <row r="32133">
      <c r="A32133" s="4" t="s">
        <v>40451</v>
      </c>
      <c r="B32133" s="4" t="s">
        <v>40457</v>
      </c>
      <c r="C32133" s="5" t="str">
        <f>IFERROR(__xludf.DUMMYFUNCTION("GOOGLETRANSLATE(B32133,""en"",""fr"")"),"Nous voyons avant et après les photos de l'évier.")</f>
        <v>Nous voyons avant et après les photos de l'évier.</v>
      </c>
    </row>
    <row r="32134">
      <c r="A32134" s="4" t="s">
        <v>40458</v>
      </c>
      <c r="B32134" s="4" t="s">
        <v>40459</v>
      </c>
      <c r="C32134" s="5" t="str">
        <f>IFERROR(__xludf.DUMMYFUNCTION("GOOGLETRANSLATE(B32134,""en"",""fr"")"),"Un groupe de personnes joue au ping-pong avec des machines et des robots automatisés.")</f>
        <v>Un groupe de personnes joue au ping-pong avec des machines et des robots automatisés.</v>
      </c>
    </row>
    <row r="32135">
      <c r="A32135" s="4" t="s">
        <v>40458</v>
      </c>
      <c r="B32135" s="6" t="s">
        <v>40460</v>
      </c>
      <c r="C32135" s="5" t="str">
        <f>IFERROR(__xludf.DUMMYFUNCTION("GOOGLETRANSLATE(B32135,""en"",""fr"")"),"Un homme joue au ping-pong avec une machine orange avec une pagaie rouge attachée à la fin d'un bras robotique.")</f>
        <v>Un homme joue au ping-pong avec une machine orange avec une pagaie rouge attachée à la fin d'un bras robotique.</v>
      </c>
    </row>
    <row r="32136">
      <c r="A32136" s="4" t="s">
        <v>40458</v>
      </c>
      <c r="B32136" s="6" t="s">
        <v>40461</v>
      </c>
      <c r="C32136" s="5" t="str">
        <f>IFERROR(__xludf.DUMMYFUNCTION("GOOGLETRANSLATE(B32136,""en"",""fr"")"),"Un homme et un enfant jouent au ping-pong sur une table de ping-pong bleu alors qu'un homme apparaît à côté d'une machine automatisée orange et parle.")</f>
        <v>Un homme et un enfant jouent au ping-pong sur une table de ping-pong bleu alors qu'un homme apparaît à côté d'une machine automatisée orange et parle.</v>
      </c>
    </row>
    <row r="32137">
      <c r="A32137" s="4" t="s">
        <v>40458</v>
      </c>
      <c r="B32137" s="4" t="s">
        <v>40462</v>
      </c>
      <c r="C32137" s="5" t="str">
        <f>IFERROR(__xludf.DUMMYFUNCTION("GOOGLETRANSLATE(B32137,""en"",""fr"")"),"Un autre homme joue au ping-pong sur une table de ping-pong bleu avec un robot blanc, en métal.")</f>
        <v>Un autre homme joue au ping-pong sur une table de ping-pong bleu avec un robot blanc, en métal.</v>
      </c>
    </row>
    <row r="32138">
      <c r="A32138" s="4" t="s">
        <v>40458</v>
      </c>
      <c r="B32138" s="6" t="s">
        <v>40463</v>
      </c>
      <c r="C32138" s="5" t="str">
        <f>IFERROR(__xludf.DUMMYFUNCTION("GOOGLETRANSLATE(B32138,""en"",""fr"")"),"Un homme en costume et cravate parle tandis qu'une main place une balle orange dans la main automatisée de deux volets d'un robot blanc avant d'aller dans une zone dans une pièce remplie de machines robotiques orange.")</f>
        <v>Un homme en costume et cravate parle tandis qu'une main place une balle orange dans la main automatisée de deux volets d'un robot blanc avant d'aller dans une zone dans une pièce remplie de machines robotiques orange.</v>
      </c>
    </row>
    <row r="32139">
      <c r="A32139" s="4" t="s">
        <v>40464</v>
      </c>
      <c r="B32139" s="4" t="s">
        <v>40465</v>
      </c>
      <c r="C32139" s="5" t="str">
        <f>IFERROR(__xludf.DUMMYFUNCTION("GOOGLETRANSLATE(B32139,""en"",""fr"")"),"Nous voyons une série d'écrans d'ouverture.")</f>
        <v>Nous voyons une série d'écrans d'ouverture.</v>
      </c>
    </row>
    <row r="32140">
      <c r="A32140" s="4" t="s">
        <v>40464</v>
      </c>
      <c r="B32140" s="4" t="s">
        <v>40466</v>
      </c>
      <c r="C32140" s="5" t="str">
        <f>IFERROR(__xludf.DUMMYFUNCTION("GOOGLETRANSLATE(B32140,""en"",""fr"")"),"Une personne jette un frisbee alors qu'un chien les attrape.")</f>
        <v>Une personne jette un frisbee alors qu'un chien les attrape.</v>
      </c>
    </row>
    <row r="32141">
      <c r="A32141" s="4" t="s">
        <v>40464</v>
      </c>
      <c r="B32141" s="4" t="s">
        <v>40467</v>
      </c>
      <c r="C32141" s="5" t="str">
        <f>IFERROR(__xludf.DUMMYFUNCTION("GOOGLETRANSLATE(B32141,""en"",""fr"")"),"Un homme lève les mains en l'air et s'éloigne et une autre personne passe devant la caméra.")</f>
        <v>Un homme lève les mains en l'air et s'éloigne et une autre personne passe devant la caméra.</v>
      </c>
    </row>
    <row r="32142">
      <c r="A32142" s="4" t="s">
        <v>40464</v>
      </c>
      <c r="B32142" s="4" t="s">
        <v>6208</v>
      </c>
      <c r="C32142" s="5" t="str">
        <f>IFERROR(__xludf.DUMMYFUNCTION("GOOGLETRANSLATE(B32142,""en"",""fr"")"),"Nous voyons un écran de titre.")</f>
        <v>Nous voyons un écran de titre.</v>
      </c>
    </row>
    <row r="32143">
      <c r="A32143" s="4" t="s">
        <v>40464</v>
      </c>
      <c r="B32143" s="4" t="s">
        <v>40468</v>
      </c>
      <c r="C32143" s="5" t="str">
        <f>IFERROR(__xludf.DUMMYFUNCTION("GOOGLETRANSLATE(B32143,""en"",""fr"")"),"Nous voyons une image du chien allongé dans l'herbe avec des mots à l'écran.")</f>
        <v>Nous voyons une image du chien allongé dans l'herbe avec des mots à l'écran.</v>
      </c>
    </row>
    <row r="32144">
      <c r="A32144" s="4" t="s">
        <v>40469</v>
      </c>
      <c r="B32144" s="4" t="s">
        <v>40470</v>
      </c>
      <c r="C32144" s="5" t="str">
        <f>IFERROR(__xludf.DUMMYFUNCTION("GOOGLETRANSLATE(B32144,""en"",""fr"")"),"Plusieurs plans sont illustrés à des plongeurs de plongée se déplaçant le long de l'eau et du poisson se déplaçant autour d'eux.")</f>
        <v>Plusieurs plans sont illustrés à des plongeurs de plongée se déplaçant le long de l'eau et du poisson se déplaçant autour d'eux.</v>
      </c>
    </row>
    <row r="32145">
      <c r="A32145" s="4" t="s">
        <v>40469</v>
      </c>
      <c r="B32145" s="6" t="s">
        <v>40471</v>
      </c>
      <c r="C32145" s="5" t="str">
        <f>IFERROR(__xludf.DUMMYFUNCTION("GOOGLETRANSLATE(B32145,""en"",""fr"")"),"Plus de gens sont vus se déplacer le long de l'océan tout en faisant un geste vers la caméra et en capturant toute la faune autour d'eux.")</f>
        <v>Plus de gens sont vus se déplacer le long de l'océan tout en faisant un geste vers la caméra et en capturant toute la faune autour d'eux.</v>
      </c>
    </row>
    <row r="32146">
      <c r="A32146" s="4" t="s">
        <v>40469</v>
      </c>
      <c r="B32146" s="4" t="s">
        <v>40472</v>
      </c>
      <c r="C32146" s="5" t="str">
        <f>IFERROR(__xludf.DUMMYFUNCTION("GOOGLETRANSLATE(B32146,""en"",""fr"")"),"En fin de compte, on les voit monter ensemble sur un bateau et agiter la caméra.")</f>
        <v>En fin de compte, on les voit monter ensemble sur un bateau et agiter la caméra.</v>
      </c>
    </row>
    <row r="32147">
      <c r="A32147" s="4" t="s">
        <v>40473</v>
      </c>
      <c r="B32147" s="4" t="s">
        <v>40474</v>
      </c>
      <c r="C32147" s="5" t="str">
        <f>IFERROR(__xludf.DUMMYFUNCTION("GOOGLETRANSLATE(B32147,""en"",""fr"")"),"Un petit garçon court rapidement vers son set swing et son chien court après lui.")</f>
        <v>Un petit garçon court rapidement vers son set swing et son chien court après lui.</v>
      </c>
    </row>
    <row r="32148">
      <c r="A32148" s="4" t="s">
        <v>40473</v>
      </c>
      <c r="B32148" s="4" t="s">
        <v>40475</v>
      </c>
      <c r="C32148" s="5" t="str">
        <f>IFERROR(__xludf.DUMMYFUNCTION("GOOGLETRANSLATE(B32148,""en"",""fr"")"),"Il grimpe la glissière et le glissement et son petit frère revient aussi pour jouer.")</f>
        <v>Il grimpe la glissière et le glissement et son petit frère revient aussi pour jouer.</v>
      </c>
    </row>
    <row r="32149">
      <c r="A32149" s="4" t="s">
        <v>40473</v>
      </c>
      <c r="B32149" s="4" t="s">
        <v>40476</v>
      </c>
      <c r="C32149" s="5" t="str">
        <f>IFERROR(__xludf.DUMMYFUNCTION("GOOGLETRANSLATE(B32149,""en"",""fr"")"),"La maman vient jouer sur la scie marine avec l'un des garçons et il tombe.")</f>
        <v>La maman vient jouer sur la scie marine avec l'un des garçons et il tombe.</v>
      </c>
    </row>
    <row r="32150">
      <c r="A32150" s="4" t="s">
        <v>40473</v>
      </c>
      <c r="B32150" s="4" t="s">
        <v>40477</v>
      </c>
      <c r="C32150" s="5" t="str">
        <f>IFERROR(__xludf.DUMMYFUNCTION("GOOGLETRANSLATE(B32150,""en"",""fr"")"),"Ils jouent pendant un certain temps en passant d'une partie du plateau à la suivante.")</f>
        <v>Ils jouent pendant un certain temps en passant d'une partie du plateau à la suivante.</v>
      </c>
    </row>
    <row r="32151">
      <c r="A32151" s="4" t="s">
        <v>40478</v>
      </c>
      <c r="B32151" s="4" t="s">
        <v>40479</v>
      </c>
      <c r="C32151" s="5" t="str">
        <f>IFERROR(__xludf.DUMMYFUNCTION("GOOGLETRANSLATE(B32151,""en"",""fr"")"),"Une caméra se déroule dans une pièce et mène à deux femmes parlant et sortant des carreaux de roche.")</f>
        <v>Une caméra se déroule dans une pièce et mène à deux femmes parlant et sortant des carreaux de roche.</v>
      </c>
    </row>
    <row r="32152">
      <c r="A32152" s="4" t="s">
        <v>40478</v>
      </c>
      <c r="B32152" s="6" t="s">
        <v>40480</v>
      </c>
      <c r="C32152" s="5" t="str">
        <f>IFERROR(__xludf.DUMMYFUNCTION("GOOGLETRANSLATE(B32152,""en"",""fr"")"),"Les femmes ont ensuite posé le plâtre suivi des carreaux de roche et montrant la douche finie à la fin et les gens réagissant.")</f>
        <v>Les femmes ont ensuite posé le plâtre suivi des carreaux de roche et montrant la douche finie à la fin et les gens réagissant.</v>
      </c>
    </row>
    <row r="32153">
      <c r="A32153" s="4" t="s">
        <v>40481</v>
      </c>
      <c r="B32153" s="4" t="s">
        <v>40482</v>
      </c>
      <c r="C32153" s="5" t="str">
        <f>IFERROR(__xludf.DUMMYFUNCTION("GOOGLETRANSLATE(B32153,""en"",""fr"")"),"Une femme âgée est assise dans une chaise tricoter et parler à la caméra.")</f>
        <v>Une femme âgée est assise dans une chaise tricoter et parler à la caméra.</v>
      </c>
    </row>
    <row r="32154">
      <c r="A32154" s="4" t="s">
        <v>40481</v>
      </c>
      <c r="B32154" s="4" t="s">
        <v>40483</v>
      </c>
      <c r="C32154" s="5" t="str">
        <f>IFERROR(__xludf.DUMMYFUNCTION("GOOGLETRANSLATE(B32154,""en"",""fr"")"),"La dame secoue légèrement la tête en regardant la caméra.")</f>
        <v>La dame secoue légèrement la tête en regardant la caméra.</v>
      </c>
    </row>
    <row r="32155">
      <c r="A32155" s="4" t="s">
        <v>40481</v>
      </c>
      <c r="B32155" s="4" t="s">
        <v>40484</v>
      </c>
      <c r="C32155" s="5" t="str">
        <f>IFERROR(__xludf.DUMMYFUNCTION("GOOGLETRANSLATE(B32155,""en"",""fr"")"),"La dame s'arrête et regarde par la fenêtre.")</f>
        <v>La dame s'arrête et regarde par la fenêtre.</v>
      </c>
    </row>
    <row r="32156">
      <c r="A32156" s="4" t="s">
        <v>40485</v>
      </c>
      <c r="B32156" s="4" t="s">
        <v>40486</v>
      </c>
      <c r="C32156" s="5" t="str">
        <f>IFERROR(__xludf.DUMMYFUNCTION("GOOGLETRANSLATE(B32156,""en"",""fr"")"),"Une femme portant un justaucorps rouge démontre un mouvement de ballet en voyage.")</f>
        <v>Une femme portant un justaucorps rouge démontre un mouvement de ballet en voyage.</v>
      </c>
    </row>
    <row r="32157">
      <c r="A32157" s="4" t="s">
        <v>40485</v>
      </c>
      <c r="B32157" s="4" t="s">
        <v>40487</v>
      </c>
      <c r="C32157" s="5" t="str">
        <f>IFERROR(__xludf.DUMMYFUNCTION("GOOGLETRANSLATE(B32157,""en"",""fr"")"),"L'instructeur de ballet brille sur le sol en prenant de petites petites marches latérales.")</f>
        <v>L'instructeur de ballet brille sur le sol en prenant de petites petites marches latérales.</v>
      </c>
    </row>
    <row r="32158">
      <c r="A32158" s="4" t="s">
        <v>40485</v>
      </c>
      <c r="B32158" s="4" t="s">
        <v>40488</v>
      </c>
      <c r="C32158" s="5" t="str">
        <f>IFERROR(__xludf.DUMMYFUNCTION("GOOGLETRANSLATE(B32158,""en"",""fr"")"),"L'instructeur démontre un tour de ballet à tour de ballet.")</f>
        <v>L'instructeur démontre un tour de ballet à tour de ballet.</v>
      </c>
    </row>
    <row r="32159">
      <c r="A32159" s="4" t="s">
        <v>40485</v>
      </c>
      <c r="B32159" s="4" t="s">
        <v>40489</v>
      </c>
      <c r="C32159" s="5" t="str">
        <f>IFERROR(__xludf.DUMMYFUNCTION("GOOGLETRANSLATE(B32159,""en"",""fr"")"),"L'instructeur qui combine l'étape de l'orteil latéral avec le mouvement de virage spot.")</f>
        <v>L'instructeur qui combine l'étape de l'orteil latéral avec le mouvement de virage spot.</v>
      </c>
    </row>
    <row r="32160">
      <c r="A32160" s="4" t="s">
        <v>40490</v>
      </c>
      <c r="B32160" s="4" t="s">
        <v>40491</v>
      </c>
      <c r="C32160" s="5" t="str">
        <f>IFERROR(__xludf.DUMMYFUNCTION("GOOGLETRANSLATE(B32160,""en"",""fr"")"),"Deux jeunes adolescentes tiennent des savons dans leurs mains dans une cuisine.")</f>
        <v>Deux jeunes adolescentes tiennent des savons dans leurs mains dans une cuisine.</v>
      </c>
    </row>
    <row r="32161">
      <c r="A32161" s="4" t="s">
        <v>40490</v>
      </c>
      <c r="B32161" s="4" t="s">
        <v>40492</v>
      </c>
      <c r="C32161" s="5" t="str">
        <f>IFERROR(__xludf.DUMMYFUNCTION("GOOGLETRANSLATE(B32161,""en"",""fr"")"),"Les filles jettent la mousse sur les visages de l'autre.")</f>
        <v>Les filles jettent la mousse sur les visages de l'autre.</v>
      </c>
    </row>
    <row r="32162">
      <c r="A32162" s="4" t="s">
        <v>40490</v>
      </c>
      <c r="B32162" s="4" t="s">
        <v>40493</v>
      </c>
      <c r="C32162" s="5" t="str">
        <f>IFERROR(__xludf.DUMMYFUNCTION("GOOGLETRANSLATE(B32162,""en"",""fr"")"),"Une fille saute sur les épaules de l'autre.")</f>
        <v>Une fille saute sur les épaules de l'autre.</v>
      </c>
    </row>
    <row r="32163">
      <c r="A32163" s="4" t="s">
        <v>40490</v>
      </c>
      <c r="B32163" s="4" t="s">
        <v>40494</v>
      </c>
      <c r="C32163" s="5" t="str">
        <f>IFERROR(__xludf.DUMMYFUNCTION("GOOGLETRANSLATE(B32163,""en"",""fr"")"),"Ils commencent à laver la vaisselle.")</f>
        <v>Ils commencent à laver la vaisselle.</v>
      </c>
    </row>
    <row r="32164">
      <c r="A32164" s="4" t="s">
        <v>40495</v>
      </c>
      <c r="B32164" s="4" t="s">
        <v>40496</v>
      </c>
      <c r="C32164" s="5" t="str">
        <f>IFERROR(__xludf.DUMMYFUNCTION("GOOGLETRANSLATE(B32164,""en"",""fr"")"),"Un jeune garçon et un petit garçon sont sur un champ clôturé.")</f>
        <v>Un jeune garçon et un petit garçon sont sur un champ clôturé.</v>
      </c>
    </row>
    <row r="32165">
      <c r="A32165" s="4" t="s">
        <v>40495</v>
      </c>
      <c r="B32165" s="4" t="s">
        <v>40497</v>
      </c>
      <c r="C32165" s="5" t="str">
        <f>IFERROR(__xludf.DUMMYFUNCTION("GOOGLETRANSLATE(B32165,""en"",""fr"")"),"Ils donnent un coup de pied à une balle, puis essaient de le chasser.")</f>
        <v>Ils donnent un coup de pied à une balle, puis essaient de le chasser.</v>
      </c>
    </row>
    <row r="32166">
      <c r="A32166" s="4" t="s">
        <v>40495</v>
      </c>
      <c r="B32166" s="4" t="s">
        <v>40498</v>
      </c>
      <c r="C32166" s="5" t="str">
        <f>IFERROR(__xludf.DUMMYFUNCTION("GOOGLETRANSLATE(B32166,""en"",""fr"")"),"Les enfants continuent de jouer alors qu'un homme se joint, se disputant le ballon.")</f>
        <v>Les enfants continuent de jouer alors qu'un homme se joint, se disputant le ballon.</v>
      </c>
    </row>
    <row r="32167">
      <c r="A32167" s="4" t="s">
        <v>40499</v>
      </c>
      <c r="B32167" s="4" t="s">
        <v>40500</v>
      </c>
      <c r="C32167" s="5" t="str">
        <f>IFERROR(__xludf.DUMMYFUNCTION("GOOGLETRANSLATE(B32167,""en"",""fr"")"),"Une mer est représentée avec une forêt verte au bord de la mer.")</f>
        <v>Une mer est représentée avec une forêt verte au bord de la mer.</v>
      </c>
    </row>
    <row r="32168">
      <c r="A32168" s="4" t="s">
        <v>40499</v>
      </c>
      <c r="B32168" s="4" t="s">
        <v>40501</v>
      </c>
      <c r="C32168" s="5" t="str">
        <f>IFERROR(__xludf.DUMMYFUNCTION("GOOGLETRANSLATE(B32168,""en"",""fr"")"),"Blond Man se tient à la mer et parle à la caméra et surfait sur de grandes vagues sur la mer.")</f>
        <v>Blond Man se tient à la mer et parle à la caméra et surfait sur de grandes vagues sur la mer.</v>
      </c>
    </row>
    <row r="32169">
      <c r="A32169" s="4" t="s">
        <v>40499</v>
      </c>
      <c r="B32169" s="6" t="s">
        <v>40502</v>
      </c>
      <c r="C32169" s="5" t="str">
        <f>IFERROR(__xludf.DUMMYFUNCTION("GOOGLETRANSLATE(B32169,""en"",""fr"")"),"L'homme marche sur la mer à travers beaucoup de gens et parle à la caméra et tient un prix et parle de surfer sur le bord de la mer.")</f>
        <v>L'homme marche sur la mer à travers beaucoup de gens et parle à la caméra et tient un prix et parle de surfer sur le bord de la mer.</v>
      </c>
    </row>
    <row r="32170">
      <c r="A32170" s="4" t="s">
        <v>40503</v>
      </c>
      <c r="B32170" s="4" t="s">
        <v>40504</v>
      </c>
      <c r="C32170" s="5" t="str">
        <f>IFERROR(__xludf.DUMMYFUNCTION("GOOGLETRANSLATE(B32170,""en"",""fr"")"),"Un homme est vu parler à la caméra tout en tenant un bâton.")</f>
        <v>Un homme est vu parler à la caméra tout en tenant un bâton.</v>
      </c>
    </row>
    <row r="32171">
      <c r="A32171" s="4" t="s">
        <v>40503</v>
      </c>
      <c r="B32171" s="4" t="s">
        <v>40505</v>
      </c>
      <c r="C32171" s="5" t="str">
        <f>IFERROR(__xludf.DUMMYFUNCTION("GOOGLETRANSLATE(B32171,""en"",""fr"")"),"Il pointe vers les balles devant lui ainsi que son corps.")</f>
        <v>Il pointe vers les balles devant lui ainsi que son corps.</v>
      </c>
    </row>
    <row r="32172">
      <c r="A32172" s="4" t="s">
        <v>40503</v>
      </c>
      <c r="B32172" s="4" t="s">
        <v>40506</v>
      </c>
      <c r="C32172" s="5" t="str">
        <f>IFERROR(__xludf.DUMMYFUNCTION("GOOGLETRANSLATE(B32172,""en"",""fr"")"),"Il les montre comment frapper correctement le ballon tout en parlant.")</f>
        <v>Il les montre comment frapper correctement le ballon tout en parlant.</v>
      </c>
    </row>
    <row r="32173">
      <c r="A32173" s="4" t="s">
        <v>40507</v>
      </c>
      <c r="B32173" s="4" t="s">
        <v>40508</v>
      </c>
      <c r="C32173" s="5" t="str">
        <f>IFERROR(__xludf.DUMMYFUNCTION("GOOGLETRANSLATE(B32173,""en"",""fr"")"),"Une femme âgée se met à la caméra et fait divers mouvements de main sur le sol.")</f>
        <v>Une femme âgée se met à la caméra et fait divers mouvements de main sur le sol.</v>
      </c>
    </row>
    <row r="32174">
      <c r="A32174" s="4" t="s">
        <v>40507</v>
      </c>
      <c r="B32174" s="4" t="s">
        <v>40509</v>
      </c>
      <c r="C32174" s="5" t="str">
        <f>IFERROR(__xludf.DUMMYFUNCTION("GOOGLETRANSLATE(B32174,""en"",""fr"")"),"La femme attrape plusieurs vêtements et montre comment elle les lave dans l'évier.")</f>
        <v>La femme attrape plusieurs vêtements et montre comment elle les lave dans l'évier.</v>
      </c>
    </row>
    <row r="32175">
      <c r="A32175" s="4" t="s">
        <v>40507</v>
      </c>
      <c r="B32175" s="4" t="s">
        <v>40510</v>
      </c>
      <c r="C32175" s="5" t="str">
        <f>IFERROR(__xludf.DUMMYFUNCTION("GOOGLETRANSLATE(B32175,""en"",""fr"")"),"Elle tient une barre de savon et la frotte sur les vêtements et la plonge dans l'eau.")</f>
        <v>Elle tient une barre de savon et la frotte sur les vêtements et la plonge dans l'eau.</v>
      </c>
    </row>
    <row r="32176">
      <c r="A32176" s="4" t="s">
        <v>40507</v>
      </c>
      <c r="B32176" s="4" t="s">
        <v>40511</v>
      </c>
      <c r="C32176" s="5" t="str">
        <f>IFERROR(__xludf.DUMMYFUNCTION("GOOGLETRANSLATE(B32176,""en"",""fr"")"),"Elle continue de nettoyer les vêtements dans l'eau et montrant comment elle nettoie ses vêtements.")</f>
        <v>Elle continue de nettoyer les vêtements dans l'eau et montrant comment elle nettoie ses vêtements.</v>
      </c>
    </row>
    <row r="32177">
      <c r="A32177" s="4" t="s">
        <v>40512</v>
      </c>
      <c r="B32177" s="4" t="s">
        <v>40513</v>
      </c>
      <c r="C32177" s="5" t="str">
        <f>IFERROR(__xludf.DUMMYFUNCTION("GOOGLETRANSLATE(B32177,""en"",""fr"")"),"La femme attrape d'abord des plats pour préparer quelque chose et les met dans un réfrigérateur.")</f>
        <v>La femme attrape d'abord des plats pour préparer quelque chose et les met dans un réfrigérateur.</v>
      </c>
    </row>
    <row r="32178">
      <c r="A32178" s="4" t="s">
        <v>40512</v>
      </c>
      <c r="B32178" s="4" t="s">
        <v>40514</v>
      </c>
      <c r="C32178" s="5" t="str">
        <f>IFERROR(__xludf.DUMMYFUNCTION("GOOGLETRANSLATE(B32178,""en"",""fr"")"),"Elle tient ensuite une tasse sous un distributeur de mousse et retire le repos quand il est rempli.")</f>
        <v>Elle tient ensuite une tasse sous un distributeur de mousse et retire le repos quand il est rempli.</v>
      </c>
    </row>
    <row r="32179">
      <c r="A32179" s="4" t="s">
        <v>40512</v>
      </c>
      <c r="B32179" s="4" t="s">
        <v>40515</v>
      </c>
      <c r="C32179" s="5" t="str">
        <f>IFERROR(__xludf.DUMMYFUNCTION("GOOGLETRANSLATE(B32179,""en"",""fr"")"),"Elle le surmonte ensuite avec des ours Graham écrasés.")</f>
        <v>Elle le surmonte ensuite avec des ours Graham écrasés.</v>
      </c>
    </row>
    <row r="32180">
      <c r="A32180" s="4" t="s">
        <v>40512</v>
      </c>
      <c r="B32180" s="4" t="s">
        <v>40516</v>
      </c>
      <c r="C32180" s="5" t="str">
        <f>IFERROR(__xludf.DUMMYFUNCTION("GOOGLETRANSLATE(B32180,""en"",""fr"")"),"Ensuite, elle obtient une assiette et un pochoir rond.")</f>
        <v>Ensuite, elle obtient une assiette et un pochoir rond.</v>
      </c>
    </row>
    <row r="32181">
      <c r="A32181" s="4" t="s">
        <v>40512</v>
      </c>
      <c r="B32181" s="6" t="s">
        <v>40517</v>
      </c>
      <c r="C32181" s="5" t="str">
        <f>IFERROR(__xludf.DUMMYFUNCTION("GOOGLETRANSLATE(B32181,""en"",""fr"")"),"Elle met l'assiette sous le distributeur et elle le retire et retire lentement le cercle du gâteau une fois qu'elle a fini de lisser la pâte.")</f>
        <v>Elle met l'assiette sous le distributeur et elle le retire et retire lentement le cercle du gâteau une fois qu'elle a fini de lisser la pâte.</v>
      </c>
    </row>
    <row r="32182">
      <c r="A32182" s="4" t="s">
        <v>40512</v>
      </c>
      <c r="B32182" s="4" t="s">
        <v>40518</v>
      </c>
      <c r="C32182" s="5" t="str">
        <f>IFERROR(__xludf.DUMMYFUNCTION("GOOGLETRANSLATE(B32182,""en"",""fr"")"),"Ensuite, elle utilise un couteau pour mettre des lignes sur les côtés du gâteau.")</f>
        <v>Ensuite, elle utilise un couteau pour mettre des lignes sur les côtés du gâteau.</v>
      </c>
    </row>
    <row r="32183">
      <c r="A32183" s="4" t="s">
        <v>40512</v>
      </c>
      <c r="B32183" s="4" t="s">
        <v>40519</v>
      </c>
      <c r="C32183" s="5" t="str">
        <f>IFERROR(__xludf.DUMMYFUNCTION("GOOGLETRANSLATE(B32183,""en"",""fr"")"),"Ensuite, elle met de la crème sur les bords de haut en bas.")</f>
        <v>Ensuite, elle met de la crème sur les bords de haut en bas.</v>
      </c>
    </row>
    <row r="32184">
      <c r="A32184" s="4" t="s">
        <v>40512</v>
      </c>
      <c r="B32184" s="4" t="s">
        <v>40520</v>
      </c>
      <c r="C32184" s="5" t="str">
        <f>IFERROR(__xludf.DUMMYFUNCTION("GOOGLETRANSLATE(B32184,""en"",""fr"")"),"Ensuite, elle arrosait un peu de sirop de chocolat là-bas.")</f>
        <v>Ensuite, elle arrosait un peu de sirop de chocolat là-bas.</v>
      </c>
    </row>
    <row r="32185">
      <c r="A32185" s="4" t="s">
        <v>40512</v>
      </c>
      <c r="B32185" s="4" t="s">
        <v>40521</v>
      </c>
      <c r="C32185" s="5" t="str">
        <f>IFERROR(__xludf.DUMMYFUNCTION("GOOGLETRANSLATE(B32185,""en"",""fr"")"),"Elle a maintenant fini de faire le gâteau.")</f>
        <v>Elle a maintenant fini de faire le gâteau.</v>
      </c>
    </row>
    <row r="32186">
      <c r="A32186" s="4" t="s">
        <v>40522</v>
      </c>
      <c r="B32186" s="6" t="s">
        <v>40523</v>
      </c>
      <c r="C32186" s="5" t="str">
        <f>IFERROR(__xludf.DUMMYFUNCTION("GOOGLETRANSLATE(B32186,""en"",""fr"")"),"Un jeune enfant est vu assis devant un piano et jouant une chanson tout en portant un costume d'Halloween.")</f>
        <v>Un jeune enfant est vu assis devant un piano et jouant une chanson tout en portant un costume d'Halloween.</v>
      </c>
    </row>
    <row r="32187">
      <c r="A32187" s="4" t="s">
        <v>40522</v>
      </c>
      <c r="B32187" s="4" t="s">
        <v>40524</v>
      </c>
      <c r="C32187" s="5" t="str">
        <f>IFERROR(__xludf.DUMMYFUNCTION("GOOGLETRANSLATE(B32187,""en"",""fr"")"),"Le garçon continue de jouer de l'instrument et se termine en baissant son masque.")</f>
        <v>Le garçon continue de jouer de l'instrument et se termine en baissant son masque.</v>
      </c>
    </row>
    <row r="32188">
      <c r="A32188" s="4" t="s">
        <v>40525</v>
      </c>
      <c r="B32188" s="4" t="s">
        <v>40526</v>
      </c>
      <c r="C32188" s="5" t="str">
        <f>IFERROR(__xludf.DUMMYFUNCTION("GOOGLETRANSLATE(B32188,""en"",""fr"")"),"Un jeune homme de race blanche est assis dans une pièce derrière un clavier.")</f>
        <v>Un jeune homme de race blanche est assis dans une pièce derrière un clavier.</v>
      </c>
    </row>
    <row r="32189">
      <c r="A32189" s="4" t="s">
        <v>40525</v>
      </c>
      <c r="B32189" s="6" t="s">
        <v>40527</v>
      </c>
      <c r="C32189" s="5" t="str">
        <f>IFERROR(__xludf.DUMMYFUNCTION("GOOGLETRANSLATE(B32189,""en"",""fr"")"),"Avant de jouer, il commence à parler et à faire des mouvements à travers trois clés noires avec sa main droite alors qu'il continue de parler.")</f>
        <v>Avant de jouer, il commence à parler et à faire des mouvements à travers trois clés noires avec sa main droite alors qu'il continue de parler.</v>
      </c>
    </row>
    <row r="32190">
      <c r="A32190" s="4" t="s">
        <v>40525</v>
      </c>
      <c r="B32190" s="6" t="s">
        <v>40528</v>
      </c>
      <c r="C32190" s="5" t="str">
        <f>IFERROR(__xludf.DUMMYFUNCTION("GOOGLETRANSLATE(B32190,""en"",""fr"")"),"Il commence enfin à jouer et vous pouvez voir sa main se déplacer rapidement sur le clavier sur le côté gauche de l'écran.")</f>
        <v>Il commence enfin à jouer et vous pouvez voir sa main se déplacer rapidement sur le clavier sur le côté gauche de l'écran.</v>
      </c>
    </row>
    <row r="32191">
      <c r="A32191" s="4" t="s">
        <v>40525</v>
      </c>
      <c r="B32191" s="4" t="s">
        <v>40529</v>
      </c>
      <c r="C32191" s="5" t="str">
        <f>IFERROR(__xludf.DUMMYFUNCTION("GOOGLETRANSLATE(B32191,""en"",""fr"")"),"Pour ses derniers accords, il retire sa main du tableau et déplace sa tête en cercle.")</f>
        <v>Pour ses derniers accords, il retire sa main du tableau et déplace sa tête en cercle.</v>
      </c>
    </row>
    <row r="32192">
      <c r="A32192" s="4" t="s">
        <v>40530</v>
      </c>
      <c r="B32192" s="4" t="s">
        <v>40531</v>
      </c>
      <c r="C32192" s="5" t="str">
        <f>IFERROR(__xludf.DUMMYFUNCTION("GOOGLETRANSLATE(B32192,""en"",""fr"")"),"Une femme et un garçon font un signe de victoire et souriant.")</f>
        <v>Une femme et un garçon font un signe de victoire et souriant.</v>
      </c>
    </row>
    <row r="32193">
      <c r="A32193" s="4" t="s">
        <v>40530</v>
      </c>
      <c r="B32193" s="4" t="s">
        <v>40532</v>
      </c>
      <c r="C32193" s="5" t="str">
        <f>IFERROR(__xludf.DUMMYFUNCTION("GOOGLETRANSLATE(B32193,""en"",""fr"")"),"La femme se maquille sur le visage du garçon, puis le garçon montre son visage.")</f>
        <v>La femme se maquille sur le visage du garçon, puis le garçon montre son visage.</v>
      </c>
    </row>
    <row r="32194">
      <c r="A32194" s="4" t="s">
        <v>40530</v>
      </c>
      <c r="B32194" s="4" t="s">
        <v>40533</v>
      </c>
      <c r="C32194" s="5" t="str">
        <f>IFERROR(__xludf.DUMMYFUNCTION("GOOGLETRANSLATE(B32194,""en"",""fr"")"),"Ensuite, la femme a mis un visage de fille.")</f>
        <v>Ensuite, la femme a mis un visage de fille.</v>
      </c>
    </row>
    <row r="32195">
      <c r="A32195" s="4" t="s">
        <v>40530</v>
      </c>
      <c r="B32195" s="4" t="s">
        <v>40534</v>
      </c>
      <c r="C32195" s="5" t="str">
        <f>IFERROR(__xludf.DUMMYFUNCTION("GOOGLETRANSLATE(B32195,""en"",""fr"")"),"Le garçon et la fille regardent leurs visages sur un miroir faisant des visages drôles et agitant.")</f>
        <v>Le garçon et la fille regardent leurs visages sur un miroir faisant des visages drôles et agitant.</v>
      </c>
    </row>
    <row r="32196">
      <c r="A32196" s="4" t="s">
        <v>40535</v>
      </c>
      <c r="B32196" s="4" t="s">
        <v>40536</v>
      </c>
      <c r="C32196" s="5" t="str">
        <f>IFERROR(__xludf.DUMMYFUNCTION("GOOGLETRANSLATE(B32196,""en"",""fr"")"),"Une fille interprète des cascades de gymnastique.")</f>
        <v>Une fille interprète des cascades de gymnastique.</v>
      </c>
    </row>
    <row r="32197">
      <c r="A32197" s="4" t="s">
        <v>40535</v>
      </c>
      <c r="B32197" s="4" t="s">
        <v>40537</v>
      </c>
      <c r="C32197" s="5" t="str">
        <f>IFERROR(__xludf.DUMMYFUNCTION("GOOGLETRANSLATE(B32197,""en"",""fr"")"),"Une fille se tient en place face à une dame.")</f>
        <v>Une fille se tient en place face à une dame.</v>
      </c>
    </row>
    <row r="32198">
      <c r="A32198" s="4" t="s">
        <v>40535</v>
      </c>
      <c r="B32198" s="4" t="s">
        <v>40538</v>
      </c>
      <c r="C32198" s="5" t="str">
        <f>IFERROR(__xludf.DUMMYFUNCTION("GOOGLETRANSLATE(B32198,""en"",""fr"")"),"La fille le ait la main.")</f>
        <v>La fille le ait la main.</v>
      </c>
    </row>
    <row r="32199">
      <c r="A32199" s="4" t="s">
        <v>40535</v>
      </c>
      <c r="B32199" s="4" t="s">
        <v>40539</v>
      </c>
      <c r="C32199" s="5" t="str">
        <f>IFERROR(__xludf.DUMMYFUNCTION("GOOGLETRANSLATE(B32199,""en"",""fr"")"),"La fille se retourne et grimpe le bar en bois de gymnastique.")</f>
        <v>La fille se retourne et grimpe le bar en bois de gymnastique.</v>
      </c>
    </row>
    <row r="32200">
      <c r="A32200" s="4" t="s">
        <v>40535</v>
      </c>
      <c r="B32200" s="4" t="s">
        <v>40540</v>
      </c>
      <c r="C32200" s="5" t="str">
        <f>IFERROR(__xludf.DUMMYFUNCTION("GOOGLETRANSLATE(B32200,""en"",""fr"")"),"Avec ses mains sur le bar, la fille se soulève et divise ses jambes au-dessus de sa tête.")</f>
        <v>Avec ses mains sur le bar, la fille se soulève et divise ses jambes au-dessus de sa tête.</v>
      </c>
    </row>
    <row r="32201">
      <c r="A32201" s="4" t="s">
        <v>40535</v>
      </c>
      <c r="B32201" s="4" t="s">
        <v>40541</v>
      </c>
      <c r="C32201" s="5" t="str">
        <f>IFERROR(__xludf.DUMMYFUNCTION("GOOGLETRANSLATE(B32201,""en"",""fr"")"),"La dame déplace une plate-forme sur le côté gauche du bar.")</f>
        <v>La dame déplace une plate-forme sur le côté gauche du bar.</v>
      </c>
    </row>
    <row r="32202">
      <c r="A32202" s="4" t="s">
        <v>40535</v>
      </c>
      <c r="B32202" s="4" t="s">
        <v>40542</v>
      </c>
      <c r="C32202" s="5" t="str">
        <f>IFERROR(__xludf.DUMMYFUNCTION("GOOGLETRANSLATE(B32202,""en"",""fr"")"),"La fille est assise sur le bar, la main levée.")</f>
        <v>La fille est assise sur le bar, la main levée.</v>
      </c>
    </row>
    <row r="32203">
      <c r="A32203" s="4" t="s">
        <v>40535</v>
      </c>
      <c r="B32203" s="4" t="s">
        <v>40543</v>
      </c>
      <c r="C32203" s="5" t="str">
        <f>IFERROR(__xludf.DUMMYFUNCTION("GOOGLETRANSLATE(B32203,""en"",""fr"")"),"La fille genoue sur le bar.")</f>
        <v>La fille genoue sur le bar.</v>
      </c>
    </row>
    <row r="32204">
      <c r="A32204" s="4" t="s">
        <v>40535</v>
      </c>
      <c r="B32204" s="4" t="s">
        <v>40544</v>
      </c>
      <c r="C32204" s="5" t="str">
        <f>IFERROR(__xludf.DUMMYFUNCTION("GOOGLETRANSLATE(B32204,""en"",""fr"")"),"La fille se tient sur le bar.")</f>
        <v>La fille se tient sur le bar.</v>
      </c>
    </row>
    <row r="32205">
      <c r="A32205" s="4" t="s">
        <v>40535</v>
      </c>
      <c r="B32205" s="4" t="s">
        <v>40545</v>
      </c>
      <c r="C32205" s="5" t="str">
        <f>IFERROR(__xludf.DUMMYFUNCTION("GOOGLETRANSLATE(B32205,""en"",""fr"")"),"La fille se soulève du bar et atterrit sur le bord du bar.")</f>
        <v>La fille se soulève du bar et atterrit sur le bord du bar.</v>
      </c>
    </row>
    <row r="32206">
      <c r="A32206" s="4" t="s">
        <v>40535</v>
      </c>
      <c r="B32206" s="4" t="s">
        <v>40546</v>
      </c>
      <c r="C32206" s="5" t="str">
        <f>IFERROR(__xludf.DUMMYFUNCTION("GOOGLETRANSLATE(B32206,""en"",""fr"")"),"Le dos de la fille se retourne trois fois.")</f>
        <v>Le dos de la fille se retourne trois fois.</v>
      </c>
    </row>
    <row r="32207">
      <c r="A32207" s="4" t="s">
        <v>40535</v>
      </c>
      <c r="B32207" s="4" t="s">
        <v>40547</v>
      </c>
      <c r="C32207" s="5" t="str">
        <f>IFERROR(__xludf.DUMMYFUNCTION("GOOGLETRANSLATE(B32207,""en"",""fr"")"),"La fille fait deux étapes et les flips avant.")</f>
        <v>La fille fait deux étapes et les flips avant.</v>
      </c>
    </row>
    <row r="32208">
      <c r="A32208" s="4" t="s">
        <v>40535</v>
      </c>
      <c r="B32208" s="4" t="s">
        <v>40548</v>
      </c>
      <c r="C32208" s="5" t="str">
        <f>IFERROR(__xludf.DUMMYFUNCTION("GOOGLETRANSLATE(B32208,""en"",""fr"")"),"La fille se soulève du bar et atterrit dans la même position.")</f>
        <v>La fille se soulève du bar et atterrit dans la même position.</v>
      </c>
    </row>
    <row r="32209">
      <c r="A32209" s="4" t="s">
        <v>40535</v>
      </c>
      <c r="B32209" s="4" t="s">
        <v>40549</v>
      </c>
      <c r="C32209" s="5" t="str">
        <f>IFERROR(__xludf.DUMMYFUNCTION("GOOGLETRANSLATE(B32209,""en"",""fr"")"),"La fille se retourne, saute en place et le dos flips.")</f>
        <v>La fille se retourne, saute en place et le dos flips.</v>
      </c>
    </row>
    <row r="32210">
      <c r="A32210" s="4" t="s">
        <v>40535</v>
      </c>
      <c r="B32210" s="4" t="s">
        <v>40550</v>
      </c>
      <c r="C32210" s="5" t="str">
        <f>IFERROR(__xludf.DUMMYFUNCTION("GOOGLETRANSLATE(B32210,""en"",""fr"")"),"La fille se retourne et tourne avec des mains levées.")</f>
        <v>La fille se retourne et tourne avec des mains levées.</v>
      </c>
    </row>
    <row r="32211">
      <c r="A32211" s="4" t="s">
        <v>40535</v>
      </c>
      <c r="B32211" s="4" t="s">
        <v>40551</v>
      </c>
      <c r="C32211" s="5" t="str">
        <f>IFERROR(__xludf.DUMMYFUNCTION("GOOGLETRANSLATE(B32211,""en"",""fr"")"),"La fille s'avance, saute et se tourne.")</f>
        <v>La fille s'avance, saute et se tourne.</v>
      </c>
    </row>
    <row r="32212">
      <c r="A32212" s="4" t="s">
        <v>40535</v>
      </c>
      <c r="B32212" s="4" t="s">
        <v>40552</v>
      </c>
      <c r="C32212" s="5" t="str">
        <f>IFERROR(__xludf.DUMMYFUNCTION("GOOGLETRANSLATE(B32212,""en"",""fr"")"),"Les filles s'avancent et les retournent et atterrissent au bord.")</f>
        <v>Les filles s'avancent et les retournent et atterrissent au bord.</v>
      </c>
    </row>
    <row r="32213">
      <c r="A32213" s="4" t="s">
        <v>40535</v>
      </c>
      <c r="B32213" s="4" t="s">
        <v>40553</v>
      </c>
      <c r="C32213" s="5" t="str">
        <f>IFERROR(__xludf.DUMMYFUNCTION("GOOGLETRANSLATE(B32213,""en"",""fr"")"),"Le dos de la fille se retourne à trois reprises du bar et atterrit sur un tapis bleu.")</f>
        <v>Le dos de la fille se retourne à trois reprises du bar et atterrit sur un tapis bleu.</v>
      </c>
    </row>
    <row r="32214">
      <c r="A32214" s="4" t="s">
        <v>40554</v>
      </c>
      <c r="B32214" s="6" t="s">
        <v>40555</v>
      </c>
      <c r="C32214" s="5" t="str">
        <f>IFERROR(__xludf.DUMMYFUNCTION("GOOGLETRANSLATE(B32214,""en"",""fr"")"),"Une maison blanche et une arrière-cour pleine de neige semblent qu'une personne nettoie l'entrée de la maison.")</f>
        <v>Une maison blanche et une arrière-cour pleine de neige semblent qu'une personne nettoie l'entrée de la maison.</v>
      </c>
    </row>
    <row r="32215">
      <c r="A32215" s="4" t="s">
        <v>40554</v>
      </c>
      <c r="B32215" s="6" t="s">
        <v>40556</v>
      </c>
      <c r="C32215" s="5" t="str">
        <f>IFERROR(__xludf.DUMMYFUNCTION("GOOGLETRANSLATE(B32215,""en"",""fr"")"),"Une voiture recouverte de neige apparaît et la personne nettoie la neige de la voiture et elle ouvre la route devant la voiture.")</f>
        <v>Une voiture recouverte de neige apparaît et la personne nettoie la neige de la voiture et elle ouvre la route devant la voiture.</v>
      </c>
    </row>
    <row r="32216">
      <c r="A32216" s="4" t="s">
        <v>40554</v>
      </c>
      <c r="B32216" s="4" t="s">
        <v>40557</v>
      </c>
      <c r="C32216" s="5" t="str">
        <f>IFERROR(__xludf.DUMMYFUNCTION("GOOGLETRANSLATE(B32216,""en"",""fr"")"),"Une voiture rouge semble couverte de neige et une personne nettoie la neige.")</f>
        <v>Une voiture rouge semble couverte de neige et une personne nettoie la neige.</v>
      </c>
    </row>
    <row r="32217">
      <c r="A32217" s="4" t="s">
        <v>40554</v>
      </c>
      <c r="B32217" s="4" t="s">
        <v>40558</v>
      </c>
      <c r="C32217" s="5" t="str">
        <f>IFERROR(__xludf.DUMMYFUNCTION("GOOGLETRANSLATE(B32217,""en"",""fr"")"),"Une voiture noire est recouverte de neige.")</f>
        <v>Une voiture noire est recouverte de neige.</v>
      </c>
    </row>
    <row r="32218">
      <c r="A32218" s="4" t="s">
        <v>40559</v>
      </c>
      <c r="B32218" s="4" t="s">
        <v>40560</v>
      </c>
      <c r="C32218" s="5" t="str">
        <f>IFERROR(__xludf.DUMMYFUNCTION("GOOGLETRANSLATE(B32218,""en"",""fr"")"),"Un logo rose et jaune avec des lèvres apparaît à l'écran.")</f>
        <v>Un logo rose et jaune avec des lèvres apparaît à l'écran.</v>
      </c>
    </row>
    <row r="32219">
      <c r="A32219" s="4" t="s">
        <v>40559</v>
      </c>
      <c r="B32219" s="4" t="s">
        <v>40561</v>
      </c>
      <c r="C32219" s="5" t="str">
        <f>IFERROR(__xludf.DUMMYFUNCTION("GOOGLETRANSLATE(B32219,""en"",""fr"")"),"Un coiffeur masculin travaille sur les cheveux d'une femme assise dans un salon de beauté de luxe.")</f>
        <v>Un coiffeur masculin travaille sur les cheveux d'une femme assise dans un salon de beauté de luxe.</v>
      </c>
    </row>
    <row r="32220">
      <c r="A32220" s="4" t="s">
        <v>40559</v>
      </c>
      <c r="B32220" s="4" t="s">
        <v>40562</v>
      </c>
      <c r="C32220" s="5" t="str">
        <f>IFERROR(__xludf.DUMMYFUNCTION("GOOGLETRANSLATE(B32220,""en"",""fr"")"),"L'homme sèche et applique un produit aux cheveux de la femme.")</f>
        <v>L'homme sèche et applique un produit aux cheveux de la femme.</v>
      </c>
    </row>
    <row r="32221">
      <c r="A32221" s="4" t="s">
        <v>40563</v>
      </c>
      <c r="B32221" s="4" t="s">
        <v>40564</v>
      </c>
      <c r="C32221" s="5" t="str">
        <f>IFERROR(__xludf.DUMMYFUNCTION("GOOGLETRANSLATE(B32221,""en"",""fr"")"),"Un homme ramasse une boule de bowling et le jette dans la voie à certaines épingles.")</f>
        <v>Un homme ramasse une boule de bowling et le jette dans la voie à certaines épingles.</v>
      </c>
    </row>
    <row r="32222">
      <c r="A32222" s="4" t="s">
        <v>40563</v>
      </c>
      <c r="B32222" s="4" t="s">
        <v>40565</v>
      </c>
      <c r="C32222" s="5" t="str">
        <f>IFERROR(__xludf.DUMMYFUNCTION("GOOGLETRANSLATE(B32222,""en"",""fr"")"),"Il tombe par terre.")</f>
        <v>Il tombe par terre.</v>
      </c>
    </row>
    <row r="32223">
      <c r="A32223" s="4" t="s">
        <v>40563</v>
      </c>
      <c r="B32223" s="4" t="s">
        <v>40566</v>
      </c>
      <c r="C32223" s="5" t="str">
        <f>IFERROR(__xludf.DUMMYFUNCTION("GOOGLETRANSLATE(B32223,""en"",""fr"")"),"Le public derrière lui l'applaudit.")</f>
        <v>Le public derrière lui l'applaudit.</v>
      </c>
    </row>
    <row r="32224">
      <c r="A32224" s="4" t="s">
        <v>40567</v>
      </c>
      <c r="B32224" s="4" t="s">
        <v>40568</v>
      </c>
      <c r="C32224" s="5" t="str">
        <f>IFERROR(__xludf.DUMMYFUNCTION("GOOGLETRANSLATE(B32224,""en"",""fr"")"),"Une femme se tient près d'une marelle jaune et parle à la caméra.")</f>
        <v>Une femme se tient près d'une marelle jaune et parle à la caméra.</v>
      </c>
    </row>
    <row r="32225">
      <c r="A32225" s="4" t="s">
        <v>40567</v>
      </c>
      <c r="B32225" s="4" t="s">
        <v>40569</v>
      </c>
      <c r="C32225" s="5" t="str">
        <f>IFERROR(__xludf.DUMMYFUNCTION("GOOGLETRANSLATE(B32225,""en"",""fr"")"),"La femme joue de la marelle sur le béton peint.")</f>
        <v>La femme joue de la marelle sur le béton peint.</v>
      </c>
    </row>
    <row r="32226">
      <c r="A32226" s="4" t="s">
        <v>40567</v>
      </c>
      <c r="B32226" s="4" t="s">
        <v>40570</v>
      </c>
      <c r="C32226" s="5" t="str">
        <f>IFERROR(__xludf.DUMMYFUNCTION("GOOGLETRANSLATE(B32226,""en"",""fr"")"),"La femme parle à nouveau à la caméra.")</f>
        <v>La femme parle à nouveau à la caméra.</v>
      </c>
    </row>
    <row r="32227">
      <c r="A32227" s="4" t="s">
        <v>40571</v>
      </c>
      <c r="B32227" s="6" t="s">
        <v>40572</v>
      </c>
      <c r="C32227" s="5" t="str">
        <f>IFERROR(__xludf.DUMMYFUNCTION("GOOGLETRANSLATE(B32227,""en"",""fr"")"),"Une scène d'ouverture avec un enfant avec un sabre léger déviant les lasers alors qu'ils frappent le mur pour introduire un spectacle.")</f>
        <v>Une scène d'ouverture avec un enfant avec un sabre léger déviant les lasers alors qu'ils frappent le mur pour introduire un spectacle.</v>
      </c>
    </row>
    <row r="32228">
      <c r="A32228" s="4" t="s">
        <v>40571</v>
      </c>
      <c r="B32228" s="6" t="s">
        <v>40573</v>
      </c>
      <c r="C32228" s="5" t="str">
        <f>IFERROR(__xludf.DUMMYFUNCTION("GOOGLETRANSLATE(B32228,""en"",""fr"")"),"Un homme en t-shirt bleu et des lunettes se tient devant une vieille cabine téléphonique et explique à ses disciples sur YouTube comment il était allé à l'hôpital pour réparer un genou endommagé d'un match de lutte de bras.")</f>
        <v>Un homme en t-shirt bleu et des lunettes se tient devant une vieille cabine téléphonique et explique à ses disciples sur YouTube comment il était allé à l'hôpital pour réparer un genou endommagé d'un match de lutte de bras.</v>
      </c>
    </row>
    <row r="32229">
      <c r="A32229" s="4" t="s">
        <v>40571</v>
      </c>
      <c r="B32229" s="6" t="s">
        <v>40574</v>
      </c>
      <c r="C32229" s="5" t="str">
        <f>IFERROR(__xludf.DUMMYFUNCTION("GOOGLETRANSLATE(B32229,""en"",""fr"")"),"Ensuite, une vidéo est montrée de l'incident où il a endommagé son genou lors d'un match de lutte de bras alors que ces deux hommes sont assis à une table avec un arbitre surplombant alors que l'homme dans les lunettes à la fin du match tombe de sa chaise"&amp;" et sort de la scène .")</f>
        <v>Ensuite, une vidéo est montrée de l'incident où il a endommagé son genou lors d'un match de lutte de bras alors que ces deux hommes sont assis à une table avec un arbitre surplombant alors que l'homme dans les lunettes à la fin du match tombe de sa chaise et sort de la scène .</v>
      </c>
    </row>
    <row r="32230">
      <c r="A32230" s="4" t="s">
        <v>40575</v>
      </c>
      <c r="B32230" s="6" t="s">
        <v>40576</v>
      </c>
      <c r="C32230" s="5" t="str">
        <f>IFERROR(__xludf.DUMMYFUNCTION("GOOGLETRANSLATE(B32230,""en"",""fr"")"),"Un groupe joue de la musique, tandis qu'une femme en costume gris chante, et derrière elle est un homme en costume noir chante aussi, le gars en chemise verte joue le tambour, les gens de la grande salle dansent et chantent tandis que d'autres Sont assis,"&amp;" deux personnes parlent dans un coin pendant que le chant et la danse continuent.")</f>
        <v>Un groupe joue de la musique, tandis qu'une femme en costume gris chante, et derrière elle est un homme en costume noir chante aussi, le gars en chemise verte joue le tambour, les gens de la grande salle dansent et chantent tandis que d'autres Sont assis, deux personnes parlent dans un coin pendant que le chant et la danse continuent.</v>
      </c>
    </row>
    <row r="32231">
      <c r="A32231" s="4" t="s">
        <v>40575</v>
      </c>
      <c r="B32231" s="4" t="s">
        <v>40577</v>
      </c>
      <c r="C32231" s="5" t="str">
        <f>IFERROR(__xludf.DUMMYFUNCTION("GOOGLETRANSLATE(B32231,""en"",""fr"")"),"Le gars en chemise verte joue la batterie.")</f>
        <v>Le gars en chemise verte joue la batterie.</v>
      </c>
    </row>
    <row r="32232">
      <c r="A32232" s="4" t="s">
        <v>40578</v>
      </c>
      <c r="B32232" s="4" t="s">
        <v>40579</v>
      </c>
      <c r="C32232" s="5" t="str">
        <f>IFERROR(__xludf.DUMMYFUNCTION("GOOGLETRANSLATE(B32232,""en"",""fr"")"),"Un homme et une femme sourient sur une photo.")</f>
        <v>Un homme et une femme sourient sur une photo.</v>
      </c>
    </row>
    <row r="32233">
      <c r="A32233" s="4" t="s">
        <v>40578</v>
      </c>
      <c r="B32233" s="4" t="s">
        <v>40580</v>
      </c>
      <c r="C32233" s="5" t="str">
        <f>IFERROR(__xludf.DUMMYFUNCTION("GOOGLETRANSLATE(B32233,""en"",""fr"")"),"Quelqu'un tient un rasoir sur un évier.")</f>
        <v>Quelqu'un tient un rasoir sur un évier.</v>
      </c>
    </row>
    <row r="32234">
      <c r="A32234" s="4" t="s">
        <v>40578</v>
      </c>
      <c r="B32234" s="4" t="s">
        <v>40581</v>
      </c>
      <c r="C32234" s="5" t="str">
        <f>IFERROR(__xludf.DUMMYFUNCTION("GOOGLETRANSLATE(B32234,""en"",""fr"")"),"Un homme avec de la crème à raser sur sa barbe commence à se raser.")</f>
        <v>Un homme avec de la crème à raser sur sa barbe commence à se raser.</v>
      </c>
    </row>
    <row r="32235">
      <c r="A32235" s="4" t="s">
        <v>40578</v>
      </c>
      <c r="B32235" s="4" t="s">
        <v>16935</v>
      </c>
      <c r="C32235" s="5" t="str">
        <f>IFERROR(__xludf.DUMMYFUNCTION("GOOGLETRANSLATE(B32235,""en"",""fr"")"),"Les mots sont écrits à l'écran.")</f>
        <v>Les mots sont écrits à l'écran.</v>
      </c>
    </row>
    <row r="32236">
      <c r="A32236" s="4" t="s">
        <v>40578</v>
      </c>
      <c r="B32236" s="4" t="s">
        <v>40582</v>
      </c>
      <c r="C32236" s="5" t="str">
        <f>IFERROR(__xludf.DUMMYFUNCTION("GOOGLETRANSLATE(B32236,""en"",""fr"")"),"L'homme continue de raser sa barbe.")</f>
        <v>L'homme continue de raser sa barbe.</v>
      </c>
    </row>
    <row r="32237">
      <c r="A32237" s="4" t="s">
        <v>40578</v>
      </c>
      <c r="B32237" s="4" t="s">
        <v>40583</v>
      </c>
      <c r="C32237" s="5" t="str">
        <f>IFERROR(__xludf.DUMMYFUNCTION("GOOGLETRANSLATE(B32237,""en"",""fr"")"),"Il essuie son visage avec une serviette et sourit.")</f>
        <v>Il essuie son visage avec une serviette et sourit.</v>
      </c>
    </row>
    <row r="32238">
      <c r="A32238" s="4" t="s">
        <v>40584</v>
      </c>
      <c r="B32238" s="4" t="s">
        <v>40585</v>
      </c>
      <c r="C32238" s="5" t="str">
        <f>IFERROR(__xludf.DUMMYFUNCTION("GOOGLETRANSLATE(B32238,""en"",""fr"")"),"Une jeune fille a les cheveux reculés et les lunettes alors que quelqu'un marque ici le cartilage.")</f>
        <v>Une jeune fille a les cheveux reculés et les lunettes alors que quelqu'un marque ici le cartilage.</v>
      </c>
    </row>
    <row r="32239">
      <c r="A32239" s="4" t="s">
        <v>40584</v>
      </c>
      <c r="B32239" s="4" t="s">
        <v>40586</v>
      </c>
      <c r="C32239" s="5" t="str">
        <f>IFERROR(__xludf.DUMMYFUNCTION("GOOGLETRANSLATE(B32239,""en"",""fr"")"),"Une fois marqué, elle commence à sourire à la caméra.")</f>
        <v>Une fois marqué, elle commence à sourire à la caméra.</v>
      </c>
    </row>
    <row r="32240">
      <c r="A32240" s="4" t="s">
        <v>40584</v>
      </c>
      <c r="B32240" s="4" t="s">
        <v>40587</v>
      </c>
      <c r="C32240" s="5" t="str">
        <f>IFERROR(__xludf.DUMMYFUNCTION("GOOGLETRANSLATE(B32240,""en"",""fr"")"),"L'homme attrape ensuite une paire de pincettes et coupe l'oreille de la fille.")</f>
        <v>L'homme attrape ensuite une paire de pincettes et coupe l'oreille de la fille.</v>
      </c>
    </row>
    <row r="32241">
      <c r="A32241" s="4" t="s">
        <v>40584</v>
      </c>
      <c r="B32241" s="4" t="s">
        <v>40588</v>
      </c>
      <c r="C32241" s="5" t="str">
        <f>IFERROR(__xludf.DUMMYFUNCTION("GOOGLETRANSLATE(B32241,""en"",""fr"")"),"La boucle d'oreille est enfin dedans et la fille commence à sourire avec approbation et touche son autre oreille.")</f>
        <v>La boucle d'oreille est enfin dedans et la fille commence à sourire avec approbation et touche son autre oreille.</v>
      </c>
    </row>
    <row r="32242">
      <c r="A32242" s="4" t="s">
        <v>40589</v>
      </c>
      <c r="B32242" s="4" t="s">
        <v>40590</v>
      </c>
      <c r="C32242" s="5" t="str">
        <f>IFERROR(__xludf.DUMMYFUNCTION("GOOGLETRANSLATE(B32242,""en"",""fr"")"),"Plusieurs clips sont illustrés par des athlètes qui coulent sur une grande piste dans une fosse de sable.")</f>
        <v>Plusieurs clips sont illustrés par des athlètes qui coulent sur une grande piste dans une fosse de sable.</v>
      </c>
    </row>
    <row r="32243">
      <c r="A32243" s="4" t="s">
        <v>40589</v>
      </c>
      <c r="B32243" s="6" t="s">
        <v>40591</v>
      </c>
      <c r="C32243" s="5" t="str">
        <f>IFERROR(__xludf.DUMMYFUNCTION("GOOGLETRANSLATE(B32243,""en"",""fr"")"),"Plus de gens sont montrés en train de courir sur la piste en effectuant des sauts impressionnants et célébrant par la suite.")</f>
        <v>Plus de gens sont montrés en train de courir sur la piste en effectuant des sauts impressionnants et célébrant par la suite.</v>
      </c>
    </row>
    <row r="32244">
      <c r="A32244" s="4" t="s">
        <v>40589</v>
      </c>
      <c r="B32244" s="6" t="s">
        <v>40592</v>
      </c>
      <c r="C32244" s="5" t="str">
        <f>IFERROR(__xludf.DUMMYFUNCTION("GOOGLETRANSLATE(B32244,""en"",""fr"")"),"Plusieurs clips sont montrés des athlètes qui coulent sur la piste ainsi que de sauter par-dessus les poutres et d'agiter le public.")</f>
        <v>Plusieurs clips sont montrés des athlètes qui coulent sur la piste ainsi que de sauter par-dessus les poutres et d'agiter le public.</v>
      </c>
    </row>
    <row r="32245">
      <c r="A32245" s="4" t="s">
        <v>40593</v>
      </c>
      <c r="B32245" s="6" t="s">
        <v>40594</v>
      </c>
      <c r="C32245" s="5" t="str">
        <f>IFERROR(__xludf.DUMMYFUNCTION("GOOGLETRANSLATE(B32245,""en"",""fr"")"),"Un groupe d'hommes est vu se promener autour d'une table remplie de tasses tout en riant et en souriant.")</f>
        <v>Un groupe d'hommes est vu se promener autour d'une table remplie de tasses tout en riant et en souriant.</v>
      </c>
    </row>
    <row r="32246">
      <c r="A32246" s="4" t="s">
        <v>40593</v>
      </c>
      <c r="B32246" s="4" t="s">
        <v>40595</v>
      </c>
      <c r="C32246" s="5" t="str">
        <f>IFERROR(__xludf.DUMMYFUNCTION("GOOGLETRANSLATE(B32246,""en"",""fr"")"),"Un homme saute ensuite sur la table et l'écrase au sol tandis que d'autres courent et rit.")</f>
        <v>Un homme saute ensuite sur la table et l'écrase au sol tandis que d'autres courent et rit.</v>
      </c>
    </row>
    <row r="32247">
      <c r="A32247" s="4" t="s">
        <v>40596</v>
      </c>
      <c r="B32247" s="4" t="s">
        <v>40597</v>
      </c>
      <c r="C32247" s="5" t="str">
        <f>IFERROR(__xludf.DUMMYFUNCTION("GOOGLETRANSLATE(B32247,""en"",""fr"")"),"Une vue est vue des personnes dans l'océan.")</f>
        <v>Une vue est vue des personnes dans l'océan.</v>
      </c>
    </row>
    <row r="32248">
      <c r="A32248" s="4" t="s">
        <v>40596</v>
      </c>
      <c r="B32248" s="4" t="s">
        <v>40598</v>
      </c>
      <c r="C32248" s="5" t="str">
        <f>IFERROR(__xludf.DUMMYFUNCTION("GOOGLETRANSLATE(B32248,""en"",""fr"")"),"Les eaux sont rugueuses, éclaboussant durement contre les rochers.")</f>
        <v>Les eaux sont rugueuses, éclaboussant durement contre les rochers.</v>
      </c>
    </row>
    <row r="32249">
      <c r="A32249" s="4" t="s">
        <v>40596</v>
      </c>
      <c r="B32249" s="4" t="s">
        <v>40599</v>
      </c>
      <c r="C32249" s="5" t="str">
        <f>IFERROR(__xludf.DUMMYFUNCTION("GOOGLETRANSLATE(B32249,""en"",""fr"")"),"Les gens sont éliminés de leurs planches de surf.")</f>
        <v>Les gens sont éliminés de leurs planches de surf.</v>
      </c>
    </row>
    <row r="32250">
      <c r="A32250" s="4" t="s">
        <v>40600</v>
      </c>
      <c r="B32250" s="4" t="s">
        <v>40601</v>
      </c>
      <c r="C32250" s="5" t="str">
        <f>IFERROR(__xludf.DUMMYFUNCTION("GOOGLETRANSLATE(B32250,""en"",""fr"")"),"Les gens sont assis et chevauchent des chameaux à l'extérieur.")</f>
        <v>Les gens sont assis et chevauchent des chameaux à l'extérieur.</v>
      </c>
    </row>
    <row r="32251">
      <c r="A32251" s="4" t="s">
        <v>40600</v>
      </c>
      <c r="B32251" s="4" t="s">
        <v>40602</v>
      </c>
      <c r="C32251" s="5" t="str">
        <f>IFERROR(__xludf.DUMMYFUNCTION("GOOGLETRANSLATE(B32251,""en"",""fr"")"),"Une personne marche et tient une ficelle attachée au visage du chameau.")</f>
        <v>Une personne marche et tient une ficelle attachée au visage du chameau.</v>
      </c>
    </row>
    <row r="32252">
      <c r="A32252" s="4" t="s">
        <v>40600</v>
      </c>
      <c r="B32252" s="4" t="s">
        <v>40603</v>
      </c>
      <c r="C32252" s="5" t="str">
        <f>IFERROR(__xludf.DUMMYFUNCTION("GOOGLETRANSLATE(B32252,""en"",""fr"")"),"Un liquide brun clair est versé dans de petits verres.")</f>
        <v>Un liquide brun clair est versé dans de petits verres.</v>
      </c>
    </row>
    <row r="32253">
      <c r="A32253" s="4" t="s">
        <v>40604</v>
      </c>
      <c r="B32253" s="4" t="s">
        <v>40605</v>
      </c>
      <c r="C32253" s="5" t="str">
        <f>IFERROR(__xludf.DUMMYFUNCTION("GOOGLETRANSLATE(B32253,""en"",""fr"")"),"Un homme s'entraîne sur les bars.")</f>
        <v>Un homme s'entraîne sur les bars.</v>
      </c>
    </row>
    <row r="32254">
      <c r="A32254" s="4" t="s">
        <v>40604</v>
      </c>
      <c r="B32254" s="4" t="s">
        <v>40606</v>
      </c>
      <c r="C32254" s="5" t="str">
        <f>IFERROR(__xludf.DUMMYFUNCTION("GOOGLETRANSLATE(B32254,""en"",""fr"")"),"Il a un poids attaché à sa ceinture.")</f>
        <v>Il a un poids attaché à sa ceinture.</v>
      </c>
    </row>
    <row r="32255">
      <c r="A32255" s="4" t="s">
        <v>40604</v>
      </c>
      <c r="B32255" s="4" t="s">
        <v>40607</v>
      </c>
      <c r="C32255" s="5" t="str">
        <f>IFERROR(__xludf.DUMMYFUNCTION("GOOGLETRANSLATE(B32255,""en"",""fr"")"),"Il monte et descend sur les barreaux.")</f>
        <v>Il monte et descend sur les barreaux.</v>
      </c>
    </row>
    <row r="32256">
      <c r="A32256" s="4" t="s">
        <v>40608</v>
      </c>
      <c r="B32256" s="4" t="s">
        <v>40609</v>
      </c>
      <c r="C32256" s="5" t="str">
        <f>IFERROR(__xludf.DUMMYFUNCTION("GOOGLETRANSLATE(B32256,""en"",""fr"")"),"On nous montre la cour envahie.")</f>
        <v>On nous montre la cour envahie.</v>
      </c>
    </row>
    <row r="32257">
      <c r="A32257" s="4" t="s">
        <v>40608</v>
      </c>
      <c r="B32257" s="4" t="s">
        <v>40610</v>
      </c>
      <c r="C32257" s="5" t="str">
        <f>IFERROR(__xludf.DUMMYFUNCTION("GOOGLETRANSLATE(B32257,""en"",""fr"")"),"Un camion blanc est vu dans une allée.")</f>
        <v>Un camion blanc est vu dans une allée.</v>
      </c>
    </row>
    <row r="32258">
      <c r="A32258" s="4" t="s">
        <v>40608</v>
      </c>
      <c r="B32258" s="4" t="s">
        <v>40611</v>
      </c>
      <c r="C32258" s="5" t="str">
        <f>IFERROR(__xludf.DUMMYFUNCTION("GOOGLETRANSLATE(B32258,""en"",""fr"")"),"Nous voyons l'ombre du caméraman.")</f>
        <v>Nous voyons l'ombre du caméraman.</v>
      </c>
    </row>
    <row r="32259">
      <c r="A32259" s="4" t="s">
        <v>40608</v>
      </c>
      <c r="B32259" s="4" t="s">
        <v>40612</v>
      </c>
      <c r="C32259" s="5" t="str">
        <f>IFERROR(__xludf.DUMMYFUNCTION("GOOGLETRANSLATE(B32259,""en"",""fr"")"),"Une personne en bleu tondait la pelouse.")</f>
        <v>Une personne en bleu tondait la pelouse.</v>
      </c>
    </row>
    <row r="32260">
      <c r="A32260" s="4" t="s">
        <v>40608</v>
      </c>
      <c r="B32260" s="4" t="s">
        <v>40613</v>
      </c>
      <c r="C32260" s="5" t="str">
        <f>IFERROR(__xludf.DUMMYFUNCTION("GOOGLETRANSLATE(B32260,""en"",""fr"")"),"Une personne que les gens utilisent des souffleurs de feuilles.")</f>
        <v>Une personne que les gens utilisent des souffleurs de feuilles.</v>
      </c>
    </row>
    <row r="32261">
      <c r="A32261" s="4" t="s">
        <v>40608</v>
      </c>
      <c r="B32261" s="4" t="s">
        <v>40614</v>
      </c>
      <c r="C32261" s="5" t="str">
        <f>IFERROR(__xludf.DUMMYFUNCTION("GOOGLETRANSLATE(B32261,""en"",""fr"")"),"La caméra est en train de montrer les arbres et le jardin.")</f>
        <v>La caméra est en train de montrer les arbres et le jardin.</v>
      </c>
    </row>
    <row r="32262">
      <c r="A32262" s="4" t="s">
        <v>40615</v>
      </c>
      <c r="B32262" s="4" t="s">
        <v>40616</v>
      </c>
      <c r="C32262" s="5" t="str">
        <f>IFERROR(__xludf.DUMMYFUNCTION("GOOGLETRANSLATE(B32262,""en"",""fr"")"),"Dans l'introduction avec le titre du spectacle et le site Web est vu.")</f>
        <v>Dans l'introduction avec le titre du spectacle et le site Web est vu.</v>
      </c>
    </row>
    <row r="32263">
      <c r="A32263" s="4" t="s">
        <v>40615</v>
      </c>
      <c r="B32263" s="4" t="s">
        <v>40617</v>
      </c>
      <c r="C32263" s="5" t="str">
        <f>IFERROR(__xludf.DUMMYFUNCTION("GOOGLETRANSLATE(B32263,""en"",""fr"")"),"Une femme se tient dans la salle de bain puis place une lentille de contact dans ses yeux.")</f>
        <v>Une femme se tient dans la salle de bain puis place une lentille de contact dans ses yeux.</v>
      </c>
    </row>
    <row r="32264">
      <c r="A32264" s="4" t="s">
        <v>40615</v>
      </c>
      <c r="B32264" s="4" t="s">
        <v>40618</v>
      </c>
      <c r="C32264" s="5" t="str">
        <f>IFERROR(__xludf.DUMMYFUNCTION("GOOGLETRANSLATE(B32264,""en"",""fr"")"),"La femme retire ensuite l'objectif de contact hors de son œil.")</f>
        <v>La femme retire ensuite l'objectif de contact hors de son œil.</v>
      </c>
    </row>
    <row r="32265">
      <c r="A32265" s="4" t="s">
        <v>40615</v>
      </c>
      <c r="B32265" s="4" t="s">
        <v>40619</v>
      </c>
      <c r="C32265" s="5" t="str">
        <f>IFERROR(__xludf.DUMMYFUNCTION("GOOGLETRANSLATE(B32265,""en"",""fr"")"),"La femme montre une paire de pincettes et les utilise pour retirer le contact de son œil à la place.")</f>
        <v>La femme montre une paire de pincettes et les utilise pour retirer le contact de son œil à la place.</v>
      </c>
    </row>
    <row r="32266">
      <c r="A32266" s="4" t="s">
        <v>40620</v>
      </c>
      <c r="B32266" s="6" t="s">
        <v>40621</v>
      </c>
      <c r="C32266" s="5" t="str">
        <f>IFERROR(__xludf.DUMMYFUNCTION("GOOGLETRANSLATE(B32266,""en"",""fr"")"),"Diverses plans de Windersurfers sont représentés sur un grand plan d'eau avec plusieurs personnes nageant au loin.")</f>
        <v>Diverses plans de Windersurfers sont représentés sur un grand plan d'eau avec plusieurs personnes nageant au loin.</v>
      </c>
    </row>
    <row r="32267">
      <c r="A32267" s="4" t="s">
        <v>40620</v>
      </c>
      <c r="B32267" s="4" t="s">
        <v>40622</v>
      </c>
      <c r="C32267" s="5" t="str">
        <f>IFERROR(__xludf.DUMMYFUNCTION("GOOGLETRANSLATE(B32267,""en"",""fr"")"),"Les Wake Boarders reviennent et quatrième devant et effectuent plusieurs astuces.")</f>
        <v>Les Wake Boarders reviennent et quatrième devant et effectuent plusieurs astuces.</v>
      </c>
    </row>
    <row r="32268">
      <c r="A32268" s="4" t="s">
        <v>40620</v>
      </c>
      <c r="B32268" s="4" t="s">
        <v>40623</v>
      </c>
      <c r="C32268" s="5" t="str">
        <f>IFERROR(__xludf.DUMMYFUNCTION("GOOGLETRANSLATE(B32268,""en"",""fr"")"),"Le trajet près de Shore faisant des tours un par un.")</f>
        <v>Le trajet près de Shore faisant des tours un par un.</v>
      </c>
    </row>
    <row r="32269">
      <c r="A32269" s="4" t="s">
        <v>40624</v>
      </c>
      <c r="B32269" s="4" t="s">
        <v>18713</v>
      </c>
      <c r="C32269" s="5" t="str">
        <f>IFERROR(__xludf.DUMMYFUNCTION("GOOGLETRANSLATE(B32269,""en"",""fr"")"),"Une gymnaste se prépare à monter une poutre.")</f>
        <v>Une gymnaste se prépare à monter une poutre.</v>
      </c>
    </row>
    <row r="32270">
      <c r="A32270" s="4" t="s">
        <v>40624</v>
      </c>
      <c r="B32270" s="4" t="s">
        <v>40625</v>
      </c>
      <c r="C32270" s="5" t="str">
        <f>IFERROR(__xludf.DUMMYFUNCTION("GOOGLETRANSLATE(B32270,""en"",""fr"")"),"Il monte, puis procède à de nombreux flips etprings.")</f>
        <v>Il monte, puis procède à de nombreux flips etprings.</v>
      </c>
    </row>
    <row r="32271">
      <c r="A32271" s="4" t="s">
        <v>40624</v>
      </c>
      <c r="B32271" s="4" t="s">
        <v>40626</v>
      </c>
      <c r="C32271" s="5" t="str">
        <f>IFERROR(__xludf.DUMMYFUNCTION("GOOGLETRANSLATE(B32271,""en"",""fr"")"),"Quand il a terminé, il démarre.")</f>
        <v>Quand il a terminé, il démarre.</v>
      </c>
    </row>
    <row r="32272">
      <c r="A32272" s="4" t="s">
        <v>40627</v>
      </c>
      <c r="B32272" s="4" t="s">
        <v>40628</v>
      </c>
      <c r="C32272" s="5" t="str">
        <f>IFERROR(__xludf.DUMMYFUNCTION("GOOGLETRANSLATE(B32272,""en"",""fr"")"),"Une fille frappe une piñata les yeux bandés tandis que la piñata monte et descend dans une cour.")</f>
        <v>Une fille frappe une piñata les yeux bandés tandis que la piñata monte et descend dans une cour.</v>
      </c>
    </row>
    <row r="32273">
      <c r="A32273" s="4" t="s">
        <v>40627</v>
      </c>
      <c r="B32273" s="4" t="s">
        <v>40629</v>
      </c>
      <c r="C32273" s="5" t="str">
        <f>IFERROR(__xludf.DUMMYFUNCTION("GOOGLETRANSLATE(B32273,""en"",""fr"")"),"Ensuite, la fille enlève le tissu sur les yeux et sourit.")</f>
        <v>Ensuite, la fille enlève le tissu sur les yeux et sourit.</v>
      </c>
    </row>
    <row r="32274">
      <c r="A32274" s="4" t="s">
        <v>40630</v>
      </c>
      <c r="B32274" s="4" t="s">
        <v>40631</v>
      </c>
      <c r="C32274" s="5" t="str">
        <f>IFERROR(__xludf.DUMMYFUNCTION("GOOGLETRANSLATE(B32274,""en"",""fr"")"),"Un pneu pour un vélo tourne, et un homme l'attrape.")</f>
        <v>Un pneu pour un vélo tourne, et un homme l'attrape.</v>
      </c>
    </row>
    <row r="32275">
      <c r="A32275" s="4" t="s">
        <v>40630</v>
      </c>
      <c r="B32275" s="4" t="s">
        <v>40632</v>
      </c>
      <c r="C32275" s="5" t="str">
        <f>IFERROR(__xludf.DUMMYFUNCTION("GOOGLETRANSLATE(B32275,""en"",""fr"")"),"Nous voyons une question écrite sur papier, puis un homme dans un magasin de vélos pendant qu'il parle.")</f>
        <v>Nous voyons une question écrite sur papier, puis un homme dans un magasin de vélos pendant qu'il parle.</v>
      </c>
    </row>
    <row r="32276">
      <c r="A32276" s="4" t="s">
        <v>40630</v>
      </c>
      <c r="B32276" s="4" t="s">
        <v>40633</v>
      </c>
      <c r="C32276" s="5" t="str">
        <f>IFERROR(__xludf.DUMMYFUNCTION("GOOGLETRANSLATE(B32276,""en"",""fr"")"),"Il montre comment retirer le caoutchouc d'un pneu du cadre et le remplacer.")</f>
        <v>Il montre comment retirer le caoutchouc d'un pneu du cadre et le remplacer.</v>
      </c>
    </row>
    <row r="32277">
      <c r="A32277" s="4" t="s">
        <v>40630</v>
      </c>
      <c r="B32277" s="4" t="s">
        <v>40634</v>
      </c>
      <c r="C32277" s="5" t="str">
        <f>IFERROR(__xludf.DUMMYFUNCTION("GOOGLETRANSLATE(B32277,""en"",""fr"")"),"Il parle ensuite à la caméra un peu plus longtemps.")</f>
        <v>Il parle ensuite à la caméra un peu plus longtemps.</v>
      </c>
    </row>
    <row r="32278">
      <c r="A32278" s="4" t="s">
        <v>40635</v>
      </c>
      <c r="B32278" s="4" t="s">
        <v>40636</v>
      </c>
      <c r="C32278" s="5" t="str">
        <f>IFERROR(__xludf.DUMMYFUNCTION("GOOGLETRANSLATE(B32278,""en"",""fr"")"),"Les cheveux d'un homme sont vus de près suivis d'un rasoir utilisé sur les côtés.")</f>
        <v>Les cheveux d'un homme sont vus de près suivis d'un rasoir utilisé sur les côtés.</v>
      </c>
    </row>
    <row r="32279">
      <c r="A32279" s="4" t="s">
        <v>40635</v>
      </c>
      <c r="B32279" s="4" t="s">
        <v>40637</v>
      </c>
      <c r="C32279" s="5" t="str">
        <f>IFERROR(__xludf.DUMMYFUNCTION("GOOGLETRANSLATE(B32279,""en"",""fr"")"),"Une personne est vue en train de peigner les cheveux de la personne tout en utilisant la coupe-tonalité.")</f>
        <v>Une personne est vue en train de peigner les cheveux de la personne tout en utilisant la coupe-tonalité.</v>
      </c>
    </row>
    <row r="32280">
      <c r="A32280" s="4" t="s">
        <v>40635</v>
      </c>
      <c r="B32280" s="4" t="s">
        <v>40638</v>
      </c>
      <c r="C32280" s="5" t="str">
        <f>IFERROR(__xludf.DUMMYFUNCTION("GOOGLETRANSLATE(B32280,""en"",""fr"")"),"On voit également la tête de l'homme rasé sur le côté.")</f>
        <v>On voit également la tête de l'homme rasé sur le côté.</v>
      </c>
    </row>
    <row r="32281">
      <c r="A32281" s="4" t="s">
        <v>40639</v>
      </c>
      <c r="B32281" s="6" t="s">
        <v>40640</v>
      </c>
      <c r="C32281" s="5" t="str">
        <f>IFERROR(__xludf.DUMMYFUNCTION("GOOGLETRANSLATE(B32281,""en"",""fr"")"),"Il y a une nageuse qui plonge dans une piscine intérieure à partir d'un grand plongeur pendant qu'un petit groupe de personnes la regarde.")</f>
        <v>Il y a une nageuse qui plonge dans une piscine intérieure à partir d'un grand plongeur pendant qu'un petit groupe de personnes la regarde.</v>
      </c>
    </row>
    <row r="32282">
      <c r="A32282" s="4" t="s">
        <v>40639</v>
      </c>
      <c r="B32282" s="6" t="s">
        <v>40641</v>
      </c>
      <c r="C32282" s="5" t="str">
        <f>IFERROR(__xludf.DUMMYFUNCTION("GOOGLETRANSLATE(B32282,""en"",""fr"")"),"Le plongeur se tient d'abord dans une position pour ajuster sa position, puis s'avance progressivement sur le plongeon.")</f>
        <v>Le plongeur se tient d'abord dans une position pour ajuster sa position, puis s'avance progressivement sur le plongeon.</v>
      </c>
    </row>
    <row r="32283">
      <c r="A32283" s="4" t="s">
        <v>40639</v>
      </c>
      <c r="B32283" s="4" t="s">
        <v>40642</v>
      </c>
      <c r="C32283" s="5" t="str">
        <f>IFERROR(__xludf.DUMMYFUNCTION("GOOGLETRANSLATE(B32283,""en"",""fr"")"),"Elle saute haut et tord son corps alors qu'elle fait le saut.")</f>
        <v>Elle saute haut et tord son corps alors qu'elle fait le saut.</v>
      </c>
    </row>
    <row r="32284">
      <c r="A32284" s="4" t="s">
        <v>40639</v>
      </c>
      <c r="B32284" s="6" t="s">
        <v>40643</v>
      </c>
      <c r="C32284" s="5" t="str">
        <f>IFERROR(__xludf.DUMMYFUNCTION("GOOGLETRANSLATE(B32284,""en"",""fr"")"),"Elle finit par se blesser dans le dos alors qu'elle juge mal la distance de la plongée alors qu'elle tombe dans la piscine.")</f>
        <v>Elle finit par se blesser dans le dos alors qu'elle juge mal la distance de la plongée alors qu'elle tombe dans la piscine.</v>
      </c>
    </row>
    <row r="32285">
      <c r="A32285" s="4" t="s">
        <v>40644</v>
      </c>
      <c r="B32285" s="6" t="s">
        <v>40645</v>
      </c>
      <c r="C32285" s="5" t="str">
        <f>IFERROR(__xludf.DUMMYFUNCTION("GOOGLETRANSLATE(B32285,""en"",""fr"")"),"Plusieurs intros différentes mènent finalement à deux hommes pointant sur un terrain et se préparent pour le paintball.")</f>
        <v>Plusieurs intros différentes mènent finalement à deux hommes pointant sur un terrain et se préparent pour le paintball.</v>
      </c>
    </row>
    <row r="32286">
      <c r="A32286" s="4" t="s">
        <v>40644</v>
      </c>
      <c r="B32286" s="4" t="s">
        <v>40646</v>
      </c>
      <c r="C32286" s="5" t="str">
        <f>IFERROR(__xludf.DUMMYFUNCTION("GOOGLETRANSLATE(B32286,""en"",""fr"")"),"Ensuite, les hommes courent sur le terrain et s'attaquent avec des canons de paintball.")</f>
        <v>Ensuite, les hommes courent sur le terrain et s'attaquent avec des canons de paintball.</v>
      </c>
    </row>
    <row r="32287">
      <c r="A32287" s="4" t="s">
        <v>40644</v>
      </c>
      <c r="B32287" s="4" t="s">
        <v>40647</v>
      </c>
      <c r="C32287" s="5" t="str">
        <f>IFERROR(__xludf.DUMMYFUNCTION("GOOGLETRANSLATE(B32287,""en"",""fr"")"),"Ils traversent le champ rapidement et s'attaquent mutuellement à l'aide du pistolet de peinture.")</f>
        <v>Ils traversent le champ rapidement et s'attaquent mutuellement à l'aide du pistolet de peinture.</v>
      </c>
    </row>
    <row r="32288">
      <c r="A32288" s="4" t="s">
        <v>40648</v>
      </c>
      <c r="B32288" s="4" t="s">
        <v>40649</v>
      </c>
      <c r="C32288" s="5" t="str">
        <f>IFERROR(__xludf.DUMMYFUNCTION("GOOGLETRANSLATE(B32288,""en"",""fr"")"),"Une gymnaste de filles dans le justaucorps scintillant rouge fait de la gymnastique sur un bar à cheval.")</f>
        <v>Une gymnaste de filles dans le justaucorps scintillant rouge fait de la gymnastique sur un bar à cheval.</v>
      </c>
    </row>
    <row r="32289">
      <c r="A32289" s="4" t="s">
        <v>40648</v>
      </c>
      <c r="B32289" s="4" t="s">
        <v>40650</v>
      </c>
      <c r="C32289" s="5" t="str">
        <f>IFERROR(__xludf.DUMMYFUNCTION("GOOGLETRANSLATE(B32289,""en"",""fr"")"),"Elle saute rapidement et fait des prises de mains et des flips du dos sur la barre de cheval.")</f>
        <v>Elle saute rapidement et fait des prises de mains et des flips du dos sur la barre de cheval.</v>
      </c>
    </row>
    <row r="32290">
      <c r="A32290" s="4" t="s">
        <v>40648</v>
      </c>
      <c r="B32290" s="4" t="s">
        <v>40651</v>
      </c>
      <c r="C32290" s="5" t="str">
        <f>IFERROR(__xludf.DUMMYFUNCTION("GOOGLETRANSLATE(B32290,""en"",""fr"")"),"Il y a un panel de juges qui la regarde dans le stade à Nanning, en Chine.")</f>
        <v>Il y a un panel de juges qui la regarde dans le stade à Nanning, en Chine.</v>
      </c>
    </row>
    <row r="32291">
      <c r="A32291" s="4" t="s">
        <v>40648</v>
      </c>
      <c r="B32291" s="6" t="s">
        <v>40652</v>
      </c>
      <c r="C32291" s="5" t="str">
        <f>IFERROR(__xludf.DUMMYFUNCTION("GOOGLETRANSLATE(B32291,""en"",""fr"")"),"Elle continue de marcher gracieusement sur le Horse Bar alors qu'elle saute et fait un retour au dos sur le sol, puis s'éloigne.")</f>
        <v>Elle continue de marcher gracieusement sur le Horse Bar alors qu'elle saute et fait un retour au dos sur le sol, puis s'éloigne.</v>
      </c>
    </row>
    <row r="32292">
      <c r="A32292" s="4" t="s">
        <v>40653</v>
      </c>
      <c r="B32292" s="4" t="s">
        <v>40654</v>
      </c>
      <c r="C32292" s="5" t="str">
        <f>IFERROR(__xludf.DUMMYFUNCTION("GOOGLETRANSLATE(B32292,""en"",""fr"")"),"Un gros plan de nourriture est montré suivi par une personne mettant divers ingrédients dans une tasse.")</f>
        <v>Un gros plan de nourriture est montré suivi par une personne mettant divers ingrédients dans une tasse.</v>
      </c>
    </row>
    <row r="32293">
      <c r="A32293" s="4" t="s">
        <v>40653</v>
      </c>
      <c r="B32293" s="6" t="s">
        <v>40655</v>
      </c>
      <c r="C32293" s="5" t="str">
        <f>IFERROR(__xludf.DUMMYFUNCTION("GOOGLETRANSLATE(B32293,""en"",""fr"")"),"Ils se mélangent autour des ingrédients, mettent la tasse au micro-ondes et les retirent à la fin en montrant le gâteau.")</f>
        <v>Ils se mélangent autour des ingrédients, mettent la tasse au micro-ondes et les retirent à la fin en montrant le gâteau.</v>
      </c>
    </row>
    <row r="32294">
      <c r="A32294" s="4" t="s">
        <v>40656</v>
      </c>
      <c r="B32294" s="4" t="s">
        <v>40657</v>
      </c>
      <c r="C32294" s="5" t="str">
        <f>IFERROR(__xludf.DUMMYFUNCTION("GOOGLETRANSLATE(B32294,""en"",""fr"")"),"Quelqu'un frappe une batte contre deux balles.")</f>
        <v>Quelqu'un frappe une batte contre deux balles.</v>
      </c>
    </row>
    <row r="32295">
      <c r="A32295" s="4" t="s">
        <v>40656</v>
      </c>
      <c r="B32295" s="4" t="s">
        <v>40658</v>
      </c>
      <c r="C32295" s="5" t="str">
        <f>IFERROR(__xludf.DUMMYFUNCTION("GOOGLETRANSLATE(B32295,""en"",""fr"")"),"Les boules vont à une boucle dans le sol.")</f>
        <v>Les boules vont à une boucle dans le sol.</v>
      </c>
    </row>
    <row r="32296">
      <c r="A32296" s="4" t="s">
        <v>40656</v>
      </c>
      <c r="B32296" s="4" t="s">
        <v>40659</v>
      </c>
      <c r="C32296" s="5" t="str">
        <f>IFERROR(__xludf.DUMMYFUNCTION("GOOGLETRANSLATE(B32296,""en"",""fr"")"),"Ils se séparent et prennent différentes distances.")</f>
        <v>Ils se séparent et prennent différentes distances.</v>
      </c>
    </row>
    <row r="32297">
      <c r="A32297" s="4" t="s">
        <v>40660</v>
      </c>
      <c r="B32297" s="4" t="s">
        <v>40661</v>
      </c>
      <c r="C32297" s="5" t="str">
        <f>IFERROR(__xludf.DUMMYFUNCTION("GOOGLETRANSLATE(B32297,""en"",""fr"")"),"Deux femmes balayent un sol ensemble alors qu'une balle glisse derrière elles.")</f>
        <v>Deux femmes balayent un sol ensemble alors qu'une balle glisse derrière elles.</v>
      </c>
    </row>
    <row r="32298">
      <c r="A32298" s="4" t="s">
        <v>40660</v>
      </c>
      <c r="B32298" s="6" t="s">
        <v>40662</v>
      </c>
      <c r="C32298" s="5" t="str">
        <f>IFERROR(__xludf.DUMMYFUNCTION("GOOGLETRANSLATE(B32298,""en"",""fr"")"),"Ils balayent à nouveau le sol et l'une des femmes s'arrête pendant une seconde alors que son partenaire commence à balayer plus vite.")</f>
        <v>Ils balayent à nouveau le sol et l'une des femmes s'arrête pendant une seconde alors que son partenaire commence à balayer plus vite.</v>
      </c>
    </row>
    <row r="32299">
      <c r="A32299" s="4" t="s">
        <v>40660</v>
      </c>
      <c r="B32299" s="6" t="s">
        <v>40663</v>
      </c>
      <c r="C32299" s="5" t="str">
        <f>IFERROR(__xludf.DUMMYFUNCTION("GOOGLETRANSLATE(B32299,""en"",""fr"")"),"Ils balayent à nouveau le sol avec une femme balayant furieusement vers la fin alors que son partenaire s'arrête une seconde et lève les yeux.")</f>
        <v>Ils balayent à nouveau le sol avec une femme balayant furieusement vers la fin alors que son partenaire s'arrête une seconde et lève les yeux.</v>
      </c>
    </row>
    <row r="32300">
      <c r="A32300" s="4" t="s">
        <v>40664</v>
      </c>
      <c r="B32300" s="4" t="s">
        <v>40665</v>
      </c>
      <c r="C32300" s="5" t="str">
        <f>IFERROR(__xludf.DUMMYFUNCTION("GOOGLETRANSLATE(B32300,""en"",""fr"")"),"Les gens réchauffent le levant les mains et se penchent.")</f>
        <v>Les gens réchauffent le levant les mains et se penchent.</v>
      </c>
    </row>
    <row r="32301">
      <c r="A32301" s="4" t="s">
        <v>40664</v>
      </c>
      <c r="B32301" s="4" t="s">
        <v>40666</v>
      </c>
      <c r="C32301" s="5" t="str">
        <f>IFERROR(__xludf.DUMMYFUNCTION("GOOGLETRANSLATE(B32301,""en"",""fr"")"),"Ensuite, les gens s'entraînent à faire un entraînement pas à pas en mettant un pied à chaque fois.")</f>
        <v>Ensuite, les gens s'entraînent à faire un entraînement pas à pas en mettant un pied à chaque fois.</v>
      </c>
    </row>
    <row r="32302">
      <c r="A32302" s="4" t="s">
        <v>40664</v>
      </c>
      <c r="B32302" s="4" t="s">
        <v>40667</v>
      </c>
      <c r="C32302" s="5" t="str">
        <f>IFERROR(__xludf.DUMMYFUNCTION("GOOGLETRANSLATE(B32302,""en"",""fr"")"),"Après, les gens se tournent avant le pas sur le pas de pas.")</f>
        <v>Après, les gens se tournent avant le pas sur le pas de pas.</v>
      </c>
    </row>
    <row r="32303">
      <c r="A32303" s="4" t="s">
        <v>40668</v>
      </c>
      <c r="B32303" s="6" t="s">
        <v>40669</v>
      </c>
      <c r="C32303" s="5" t="str">
        <f>IFERROR(__xludf.DUMMYFUNCTION("GOOGLETRANSLATE(B32303,""en"",""fr"")"),"Il y a un homme dans une chemise bleue et un pantalon beige assis dans la cour avant sur le paillis brun pour parler de pelouse et de soins du jardin.")</f>
        <v>Il y a un homme dans une chemise bleue et un pantalon beige assis dans la cour avant sur le paillis brun pour parler de pelouse et de soins du jardin.</v>
      </c>
    </row>
    <row r="32304">
      <c r="A32304" s="4" t="s">
        <v>40668</v>
      </c>
      <c r="B32304" s="6" t="s">
        <v>40670</v>
      </c>
      <c r="C32304" s="5" t="str">
        <f>IFERROR(__xludf.DUMMYFUNCTION("GOOGLETRANSLATE(B32304,""en"",""fr"")"),"Il pointe le paillis brun et l'arbuste près de lui alors qu'il explique les choses à faire et à ne pas faire sur les soins de la pelouse.")</f>
        <v>Il pointe le paillis brun et l'arbuste près de lui alors qu'il explique les choses à faire et à ne pas faire sur les soins de la pelouse.</v>
      </c>
    </row>
    <row r="32305">
      <c r="A32305" s="4" t="s">
        <v>40671</v>
      </c>
      <c r="B32305" s="4" t="s">
        <v>40672</v>
      </c>
      <c r="C32305" s="5" t="str">
        <f>IFERROR(__xludf.DUMMYFUNCTION("GOOGLETRANSLATE(B32305,""en"",""fr"")"),"Le papier peint sur un mur est montré.")</f>
        <v>Le papier peint sur un mur est montré.</v>
      </c>
    </row>
    <row r="32306">
      <c r="A32306" s="4" t="s">
        <v>40671</v>
      </c>
      <c r="B32306" s="4" t="s">
        <v>40673</v>
      </c>
      <c r="C32306" s="5" t="str">
        <f>IFERROR(__xludf.DUMMYFUNCTION("GOOGLETRANSLATE(B32306,""en"",""fr"")"),"Une personne met un morceau de papier ciré sur le papier peint.")</f>
        <v>Une personne met un morceau de papier ciré sur le papier peint.</v>
      </c>
    </row>
    <row r="32307">
      <c r="A32307" s="4" t="s">
        <v>40671</v>
      </c>
      <c r="B32307" s="4" t="s">
        <v>40674</v>
      </c>
      <c r="C32307" s="5" t="str">
        <f>IFERROR(__xludf.DUMMYFUNCTION("GOOGLETRANSLATE(B32307,""en"",""fr"")"),"Ils coulent un pinceau sur le devant du papier.")</f>
        <v>Ils coulent un pinceau sur le devant du papier.</v>
      </c>
    </row>
    <row r="32308">
      <c r="A32308" s="4" t="s">
        <v>40675</v>
      </c>
      <c r="B32308" s="4" t="s">
        <v>40676</v>
      </c>
      <c r="C32308" s="5" t="str">
        <f>IFERROR(__xludf.DUMMYFUNCTION("GOOGLETRANSLATE(B32308,""en"",""fr"")"),"Nous voyons un barman derrière un bar ajouter de la glace à un verre.")</f>
        <v>Nous voyons un barman derrière un bar ajouter de la glace à un verre.</v>
      </c>
    </row>
    <row r="32309">
      <c r="A32309" s="4" t="s">
        <v>40675</v>
      </c>
      <c r="B32309" s="4" t="s">
        <v>40677</v>
      </c>
      <c r="C32309" s="5" t="str">
        <f>IFERROR(__xludf.DUMMYFUNCTION("GOOGLETRANSLATE(B32309,""en"",""fr"")"),"L'homme verse trois liqueurs dans un verre et le secoue.")</f>
        <v>L'homme verse trois liqueurs dans un verre et le secoue.</v>
      </c>
    </row>
    <row r="32310">
      <c r="A32310" s="4" t="s">
        <v>40675</v>
      </c>
      <c r="B32310" s="4" t="s">
        <v>40678</v>
      </c>
      <c r="C32310" s="5" t="str">
        <f>IFERROR(__xludf.DUMMYFUNCTION("GOOGLETRANSLATE(B32310,""en"",""fr"")"),"L'homme le verse dans un verre et ajoute du soda.")</f>
        <v>L'homme le verse dans un verre et ajoute du soda.</v>
      </c>
    </row>
    <row r="32311">
      <c r="A32311" s="4" t="s">
        <v>40675</v>
      </c>
      <c r="B32311" s="4" t="s">
        <v>40679</v>
      </c>
      <c r="C32311" s="5" t="str">
        <f>IFERROR(__xludf.DUMMYFUNCTION("GOOGLETRANSLATE(B32311,""en"",""fr"")"),"L'homme serre un citron, remue dans le verre et le transfère à un verre plus petit.")</f>
        <v>L'homme serre un citron, remue dans le verre et le transfère à un verre plus petit.</v>
      </c>
    </row>
    <row r="32312">
      <c r="A32312" s="4" t="s">
        <v>40675</v>
      </c>
      <c r="B32312" s="4" t="s">
        <v>40680</v>
      </c>
      <c r="C32312" s="5" t="str">
        <f>IFERROR(__xludf.DUMMYFUNCTION("GOOGLETRANSLATE(B32312,""en"",""fr"")"),"L'homme ajoute une paille et nous présente le verre.")</f>
        <v>L'homme ajoute une paille et nous présente le verre.</v>
      </c>
    </row>
    <row r="32313">
      <c r="A32313" s="4" t="s">
        <v>40681</v>
      </c>
      <c r="B32313" s="4" t="s">
        <v>40682</v>
      </c>
      <c r="C32313" s="5" t="str">
        <f>IFERROR(__xludf.DUMMYFUNCTION("GOOGLETRANSLATE(B32313,""en"",""fr"")"),"Les présentateurs de nouvelles présentent un clip assis à un bureau dans une salle de rédaction.")</f>
        <v>Les présentateurs de nouvelles présentent un clip assis à un bureau dans une salle de rédaction.</v>
      </c>
    </row>
    <row r="32314">
      <c r="A32314" s="4" t="s">
        <v>40681</v>
      </c>
      <c r="B32314" s="4" t="s">
        <v>40683</v>
      </c>
      <c r="C32314" s="5" t="str">
        <f>IFERROR(__xludf.DUMMYFUNCTION("GOOGLETRANSLATE(B32314,""en"",""fr"")"),"Le président Obama présente et interviewe un groupe jouant sur scène.")</f>
        <v>Le président Obama présente et interviewe un groupe jouant sur scène.</v>
      </c>
    </row>
    <row r="32315">
      <c r="A32315" s="4" t="s">
        <v>40681</v>
      </c>
      <c r="B32315" s="4" t="s">
        <v>40684</v>
      </c>
      <c r="C32315" s="5" t="str">
        <f>IFERROR(__xludf.DUMMYFUNCTION("GOOGLETRANSLATE(B32315,""en"",""fr"")"),"Le président Clinton joue le saxophone sur scène avec un groupe.")</f>
        <v>Le président Clinton joue le saxophone sur scène avec un groupe.</v>
      </c>
    </row>
    <row r="32316">
      <c r="A32316" s="4" t="s">
        <v>40681</v>
      </c>
      <c r="B32316" s="4" t="s">
        <v>40685</v>
      </c>
      <c r="C32316" s="5" t="str">
        <f>IFERROR(__xludf.DUMMYFUNCTION("GOOGLETRANSLATE(B32316,""en"",""fr"")"),"Le président George Bush danse avec un joueur de tambour africain et d'autres diplomates.")</f>
        <v>Le président George Bush danse avec un joueur de tambour africain et d'autres diplomates.</v>
      </c>
    </row>
    <row r="32317">
      <c r="A32317" s="4" t="s">
        <v>40686</v>
      </c>
      <c r="B32317" s="4" t="s">
        <v>40687</v>
      </c>
      <c r="C32317" s="5" t="str">
        <f>IFERROR(__xludf.DUMMYFUNCTION("GOOGLETRANSLATE(B32317,""en"",""fr"")"),"Un homme est vu parler à la caméra tout en présentant divers liquides et ingrédients.")</f>
        <v>Un homme est vu parler à la caméra tout en présentant divers liquides et ingrédients.</v>
      </c>
    </row>
    <row r="32318">
      <c r="A32318" s="4" t="s">
        <v>40686</v>
      </c>
      <c r="B32318" s="4" t="s">
        <v>40688</v>
      </c>
      <c r="C32318" s="5" t="str">
        <f>IFERROR(__xludf.DUMMYFUNCTION("GOOGLETRANSLATE(B32318,""en"",""fr"")"),"L'homme mélange les ingrédients dans un verre avec des fruits pour plusieurs verres tout en s'arrêtant pour prendre un verre.")</f>
        <v>L'homme mélange les ingrédients dans un verre avec des fruits pour plusieurs verres tout en s'arrêtant pour prendre un verre.</v>
      </c>
    </row>
    <row r="32319">
      <c r="A32319" s="4" t="s">
        <v>40686</v>
      </c>
      <c r="B32319" s="4" t="s">
        <v>40689</v>
      </c>
      <c r="C32319" s="5" t="str">
        <f>IFERROR(__xludf.DUMMYFUNCTION("GOOGLETRANSLATE(B32319,""en"",""fr"")"),"Il continue de préparer plus de boissons en utilisant différents ingrédients et de parler à la caméra.")</f>
        <v>Il continue de préparer plus de boissons en utilisant différents ingrédients et de parler à la caméra.</v>
      </c>
    </row>
    <row r="32320">
      <c r="A32320" s="4" t="s">
        <v>40690</v>
      </c>
      <c r="B32320" s="4" t="s">
        <v>40691</v>
      </c>
      <c r="C32320" s="5" t="str">
        <f>IFERROR(__xludf.DUMMYFUNCTION("GOOGLETRANSLATE(B32320,""en"",""fr"")"),"Le visage d'un homme se déplace d'avant en arrière.")</f>
        <v>Le visage d'un homme se déplace d'avant en arrière.</v>
      </c>
    </row>
    <row r="32321">
      <c r="A32321" s="4" t="s">
        <v>40690</v>
      </c>
      <c r="B32321" s="4" t="s">
        <v>40692</v>
      </c>
      <c r="C32321" s="5" t="str">
        <f>IFERROR(__xludf.DUMMYFUNCTION("GOOGLETRANSLATE(B32321,""en"",""fr"")"),"L'homme brille une chaussure.")</f>
        <v>L'homme brille une chaussure.</v>
      </c>
    </row>
    <row r="32322">
      <c r="A32322" s="4" t="s">
        <v>40693</v>
      </c>
      <c r="B32322" s="4" t="s">
        <v>40694</v>
      </c>
      <c r="C32322" s="5" t="str">
        <f>IFERROR(__xludf.DUMMYFUNCTION("GOOGLETRANSLATE(B32322,""en"",""fr"")"),"Le texte vert explique plusieurs règles du jeu.")</f>
        <v>Le texte vert explique plusieurs règles du jeu.</v>
      </c>
    </row>
    <row r="32323">
      <c r="A32323" s="4" t="s">
        <v>40693</v>
      </c>
      <c r="B32323" s="4" t="s">
        <v>40695</v>
      </c>
      <c r="C32323" s="5" t="str">
        <f>IFERROR(__xludf.DUMMYFUNCTION("GOOGLETRANSLATE(B32323,""en"",""fr"")"),"Un homme et un garçon s'entraînent ensemble, et l'entraîneur montre son point de vue.")</f>
        <v>Un homme et un garçon s'entraînent ensemble, et l'entraîneur montre son point de vue.</v>
      </c>
    </row>
    <row r="32324">
      <c r="A32324" s="4" t="s">
        <v>40693</v>
      </c>
      <c r="B32324" s="4" t="s">
        <v>40696</v>
      </c>
      <c r="C32324" s="5" t="str">
        <f>IFERROR(__xludf.DUMMYFUNCTION("GOOGLETRANSLATE(B32324,""en"",""fr"")"),"Ils démontrent quelques mouvements différents.")</f>
        <v>Ils démontrent quelques mouvements différents.</v>
      </c>
    </row>
    <row r="32325">
      <c r="A32325" s="4" t="s">
        <v>40697</v>
      </c>
      <c r="B32325" s="6" t="s">
        <v>40698</v>
      </c>
      <c r="C32325" s="5" t="str">
        <f>IFERROR(__xludf.DUMMYFUNCTION("GOOGLETRANSLATE(B32325,""en"",""fr"")"),"On voit un homme athlétique coulant sur une longue piste et jetant un javelot au loin avec d'autres mesurant son lancer.")</f>
        <v>On voit un homme athlétique coulant sur une longue piste et jetant un javelot au loin avec d'autres mesurant son lancer.</v>
      </c>
    </row>
    <row r="32326">
      <c r="A32326" s="4" t="s">
        <v>40697</v>
      </c>
      <c r="B32326" s="6" t="s">
        <v>40699</v>
      </c>
      <c r="C32326" s="5" t="str">
        <f>IFERROR(__xludf.DUMMYFUNCTION("GOOGLETRANSLATE(B32326,""en"",""fr"")"),"L'homme s'éloigne et high five un homme dans la foule tandis que son score est montré et un autre monte sur le côté.")</f>
        <v>L'homme s'éloigne et high five un homme dans la foule tandis que son score est montré et un autre monte sur le côté.</v>
      </c>
    </row>
    <row r="32327">
      <c r="A32327" s="4" t="s">
        <v>40700</v>
      </c>
      <c r="B32327" s="4" t="s">
        <v>40701</v>
      </c>
      <c r="C32327" s="5" t="str">
        <f>IFERROR(__xludf.DUMMYFUNCTION("GOOGLETRANSLATE(B32327,""en"",""fr"")"),"Un homme se tient à l'extérieur en tenant une tronçonneuse.")</f>
        <v>Un homme se tient à l'extérieur en tenant une tronçonneuse.</v>
      </c>
    </row>
    <row r="32328">
      <c r="A32328" s="4" t="s">
        <v>40700</v>
      </c>
      <c r="B32328" s="4" t="s">
        <v>40702</v>
      </c>
      <c r="C32328" s="5" t="str">
        <f>IFERROR(__xludf.DUMMYFUNCTION("GOOGLETRANSLATE(B32328,""en"",""fr"")"),"Il commence à couper un arbre à côté de lui.")</f>
        <v>Il commence à couper un arbre à côté de lui.</v>
      </c>
    </row>
    <row r="32329">
      <c r="A32329" s="4" t="s">
        <v>40700</v>
      </c>
      <c r="B32329" s="4" t="s">
        <v>40703</v>
      </c>
      <c r="C32329" s="5" t="str">
        <f>IFERROR(__xludf.DUMMYFUNCTION("GOOGLETRANSLATE(B32329,""en"",""fr"")"),"Il se tient à côté de l'arbre qui parle.")</f>
        <v>Il se tient à côté de l'arbre qui parle.</v>
      </c>
    </row>
    <row r="32330">
      <c r="A32330" s="4" t="s">
        <v>40704</v>
      </c>
      <c r="B32330" s="6" t="s">
        <v>40705</v>
      </c>
      <c r="C32330" s="5" t="str">
        <f>IFERROR(__xludf.DUMMYFUNCTION("GOOGLETRANSLATE(B32330,""en"",""fr"")"),"Une femme est vue parler à la caméra pendant qu'une femme nage et quatrième dans la piscine derrière elle.")</f>
        <v>Une femme est vue parler à la caméra pendant qu'une femme nage et quatrième dans la piscine derrière elle.</v>
      </c>
    </row>
    <row r="32331">
      <c r="A32331" s="4" t="s">
        <v>40704</v>
      </c>
      <c r="B32331" s="6" t="s">
        <v>40706</v>
      </c>
      <c r="C32331" s="5" t="str">
        <f>IFERROR(__xludf.DUMMYFUNCTION("GOOGLETRANSLATE(B32331,""en"",""fr"")"),"Les clips sont ensuite affichés de près sur la façon d'effectuer des techniques de nage appropriées pendant que la caméra l'inhumation avec la femme parlant.")</f>
        <v>Les clips sont ensuite affichés de près sur la façon d'effectuer des techniques de nage appropriées pendant que la caméra l'inhumation avec la femme parlant.</v>
      </c>
    </row>
    <row r="32332">
      <c r="A32332" s="4" t="s">
        <v>40707</v>
      </c>
      <c r="B32332" s="6" t="s">
        <v>40708</v>
      </c>
      <c r="C32332" s="5" t="str">
        <f>IFERROR(__xludf.DUMMYFUNCTION("GOOGLETRANSLATE(B32332,""en"",""fr"")"),"Un homme portant un chapeau de cowboy, des lunettes de soleil et des gants en latex jaunes se tient à côté d'un cheval dans une écurie.")</f>
        <v>Un homme portant un chapeau de cowboy, des lunettes de soleil et des gants en latex jaunes se tient à côté d'un cheval dans une écurie.</v>
      </c>
    </row>
    <row r="32333">
      <c r="A32333" s="4" t="s">
        <v>40707</v>
      </c>
      <c r="B32333" s="4" t="s">
        <v>40709</v>
      </c>
      <c r="C32333" s="5" t="str">
        <f>IFERROR(__xludf.DUMMYFUNCTION("GOOGLETRANSLATE(B32333,""en"",""fr"")"),"Il utilise un sèche-linge pour sécher le corps humide du cheval.")</f>
        <v>Il utilise un sèche-linge pour sécher le corps humide du cheval.</v>
      </c>
    </row>
    <row r="32334">
      <c r="A32334" s="4" t="s">
        <v>40707</v>
      </c>
      <c r="B32334" s="4" t="s">
        <v>40710</v>
      </c>
      <c r="C32334" s="5" t="str">
        <f>IFERROR(__xludf.DUMMYFUNCTION("GOOGLETRANSLATE(B32334,""en"",""fr"")"),"Il déplace le sèche-linge d'avant en arrière partout dans le dos du cheval pour le sécher.")</f>
        <v>Il déplace le sèche-linge d'avant en arrière partout dans le dos du cheval pour le sécher.</v>
      </c>
    </row>
    <row r="32335">
      <c r="A32335" s="4" t="s">
        <v>40707</v>
      </c>
      <c r="B32335" s="4" t="s">
        <v>40711</v>
      </c>
      <c r="C32335" s="5" t="str">
        <f>IFERROR(__xludf.DUMMYFUNCTION("GOOGLETRANSLATE(B32335,""en"",""fr"")"),"Il utilise également un pinceau à nettoyer sur le dos du cheval pour nettoyer le cheval.")</f>
        <v>Il utilise également un pinceau à nettoyer sur le dos du cheval pour nettoyer le cheval.</v>
      </c>
    </row>
    <row r="32336">
      <c r="A32336" s="4" t="s">
        <v>40712</v>
      </c>
      <c r="B32336" s="4" t="s">
        <v>40713</v>
      </c>
      <c r="C32336" s="5" t="str">
        <f>IFERROR(__xludf.DUMMYFUNCTION("GOOGLETRANSLATE(B32336,""en"",""fr"")"),"Un peintre démontre diverses œuvres d'art dans son studio.")</f>
        <v>Un peintre démontre diverses œuvres d'art dans son studio.</v>
      </c>
    </row>
    <row r="32337">
      <c r="A32337" s="4" t="s">
        <v>40712</v>
      </c>
      <c r="B32337" s="4" t="s">
        <v>40714</v>
      </c>
      <c r="C32337" s="5" t="str">
        <f>IFERROR(__xludf.DUMMYFUNCTION("GOOGLETRANSLATE(B32337,""en"",""fr"")"),"Elle est assise dans son studio, parlant.")</f>
        <v>Elle est assise dans son studio, parlant.</v>
      </c>
    </row>
    <row r="32338">
      <c r="A32338" s="4" t="s">
        <v>40712</v>
      </c>
      <c r="B32338" s="4" t="s">
        <v>40715</v>
      </c>
      <c r="C32338" s="5" t="str">
        <f>IFERROR(__xludf.DUMMYFUNCTION("GOOGLETRANSLATE(B32338,""en"",""fr"")"),"Elle attrape un pinceau et le plonge en peinture noire à plusieurs reprises, alors qu'elle peint un arbre noir.")</f>
        <v>Elle attrape un pinceau et le plonge en peinture noire à plusieurs reprises, alors qu'elle peint un arbre noir.</v>
      </c>
    </row>
    <row r="32339">
      <c r="A32339" s="4" t="s">
        <v>40712</v>
      </c>
      <c r="B32339" s="4" t="s">
        <v>40716</v>
      </c>
      <c r="C32339" s="5" t="str">
        <f>IFERROR(__xludf.DUMMYFUNCTION("GOOGLETRANSLATE(B32339,""en"",""fr"")"),"Elle attrape une éponge et la plonge en peinture verte et bleue tout en peignant les feuilles de l'arbre.")</f>
        <v>Elle attrape une éponge et la plonge en peinture verte et bleue tout en peignant les feuilles de l'arbre.</v>
      </c>
    </row>
    <row r="32340">
      <c r="A32340" s="4" t="s">
        <v>40712</v>
      </c>
      <c r="B32340" s="6" t="s">
        <v>40717</v>
      </c>
      <c r="C32340" s="5" t="str">
        <f>IFERROR(__xludf.DUMMYFUNCTION("GOOGLETRANSLATE(B32340,""en"",""fr"")"),"Elle passe à l'attraction du pinceau et le plonge en peinture noire à plusieurs reprises, et passe à la peinture d'un autre arbre.")</f>
        <v>Elle passe à l'attraction du pinceau et le plonge en peinture noire à plusieurs reprises, et passe à la peinture d'un autre arbre.</v>
      </c>
    </row>
    <row r="32341">
      <c r="A32341" s="4" t="s">
        <v>40712</v>
      </c>
      <c r="B32341" s="4" t="s">
        <v>40718</v>
      </c>
      <c r="C32341" s="5" t="str">
        <f>IFERROR(__xludf.DUMMYFUNCTION("GOOGLETRANSLATE(B32341,""en"",""fr"")"),"Avec le même pinceau, cette fois, la plongeant dans de la peinture verte, elle peint les pins de trois.")</f>
        <v>Avec le même pinceau, cette fois, la plongeant dans de la peinture verte, elle peint les pins de trois.</v>
      </c>
    </row>
    <row r="32342">
      <c r="A32342" s="4" t="s">
        <v>40712</v>
      </c>
      <c r="B32342" s="4" t="s">
        <v>40719</v>
      </c>
      <c r="C32342" s="5" t="str">
        <f>IFERROR(__xludf.DUMMYFUNCTION("GOOGLETRANSLATE(B32342,""en"",""fr"")"),"Elle termine sa peinture et parle un peu.")</f>
        <v>Elle termine sa peinture et parle un peu.</v>
      </c>
    </row>
    <row r="32343">
      <c r="A32343" s="4" t="s">
        <v>40720</v>
      </c>
      <c r="B32343" s="4" t="s">
        <v>1487</v>
      </c>
      <c r="C32343" s="5" t="str">
        <f>IFERROR(__xludf.DUMMYFUNCTION("GOOGLETRANSLATE(B32343,""en"",""fr"")"),"Nous voyons un écran de titre d'ouverture.")</f>
        <v>Nous voyons un écran de titre d'ouverture.</v>
      </c>
    </row>
    <row r="32344">
      <c r="A32344" s="4" t="s">
        <v>40720</v>
      </c>
      <c r="B32344" s="4" t="s">
        <v>40721</v>
      </c>
      <c r="C32344" s="5" t="str">
        <f>IFERROR(__xludf.DUMMYFUNCTION("GOOGLETRANSLATE(B32344,""en"",""fr"")"),"Un homme est assis sur une piste et parle lorsqu'il est interviewé.")</f>
        <v>Un homme est assis sur une piste et parle lorsqu'il est interviewé.</v>
      </c>
    </row>
    <row r="32345">
      <c r="A32345" s="4" t="s">
        <v>40720</v>
      </c>
      <c r="B32345" s="4" t="s">
        <v>40722</v>
      </c>
      <c r="C32345" s="5" t="str">
        <f>IFERROR(__xludf.DUMMYFUNCTION("GOOGLETRANSLATE(B32345,""en"",""fr"")"),"Deux hommes en rouge montent les gradins et un s'arrête pour parler à quelqu'un.")</f>
        <v>Deux hommes en rouge montent les gradins et un s'arrête pour parler à quelqu'un.</v>
      </c>
    </row>
    <row r="32346">
      <c r="A32346" s="4" t="s">
        <v>40720</v>
      </c>
      <c r="B32346" s="4" t="s">
        <v>40723</v>
      </c>
      <c r="C32346" s="5" t="str">
        <f>IFERROR(__xludf.DUMMYFUNCTION("GOOGLETRANSLATE(B32346,""en"",""fr"")"),"Un groupe de femmes marche derrière l'homme en tant qu'intervieweur.")</f>
        <v>Un groupe de femmes marche derrière l'homme en tant qu'intervieweur.</v>
      </c>
    </row>
    <row r="32347">
      <c r="A32347" s="4" t="s">
        <v>40720</v>
      </c>
      <c r="B32347" s="4" t="s">
        <v>5107</v>
      </c>
      <c r="C32347" s="5" t="str">
        <f>IFERROR(__xludf.DUMMYFUNCTION("GOOGLETRANSLATE(B32347,""en"",""fr"")"),"Nous voyons ensuite l'écran du titre de fin.")</f>
        <v>Nous voyons ensuite l'écran du titre de fin.</v>
      </c>
    </row>
    <row r="32348">
      <c r="A32348" s="4" t="s">
        <v>40724</v>
      </c>
      <c r="B32348" s="6" t="s">
        <v>40725</v>
      </c>
      <c r="C32348" s="5" t="str">
        <f>IFERROR(__xludf.DUMMYFUNCTION("GOOGLETRANSLATE(B32348,""en"",""fr"")"),"Un homme est vu debout avec un grand groupe d'enfants et mène aux enfants jouer à Dodgbeall dans un grand gymnase.")</f>
        <v>Un homme est vu debout avec un grand groupe d'enfants et mène aux enfants jouer à Dodgbeall dans un grand gymnase.</v>
      </c>
    </row>
    <row r="32349">
      <c r="A32349" s="4" t="s">
        <v>40724</v>
      </c>
      <c r="B32349" s="6" t="s">
        <v>40726</v>
      </c>
      <c r="C32349" s="5" t="str">
        <f>IFERROR(__xludf.DUMMYFUNCTION("GOOGLETRANSLATE(B32349,""en"",""fr"")"),"Une femme est vue en parlant à la caméra tandis que davantage de photos du jeu sont montrées et que l'homme parle aux enfants.")</f>
        <v>Une femme est vue en parlant à la caméra tandis que davantage de photos du jeu sont montrées et que l'homme parle aux enfants.</v>
      </c>
    </row>
    <row r="32350">
      <c r="A32350" s="4" t="s">
        <v>40724</v>
      </c>
      <c r="B32350" s="4" t="s">
        <v>40727</v>
      </c>
      <c r="C32350" s="5" t="str">
        <f>IFERROR(__xludf.DUMMYFUNCTION("GOOGLETRANSLATE(B32350,""en"",""fr"")"),"Ils sont tous vus assis ensemble et l'homme interviewe les enfants dans une salle de classe.")</f>
        <v>Ils sont tous vus assis ensemble et l'homme interviewe les enfants dans une salle de classe.</v>
      </c>
    </row>
    <row r="32351">
      <c r="A32351" s="4" t="s">
        <v>40728</v>
      </c>
      <c r="B32351" s="4" t="s">
        <v>40729</v>
      </c>
      <c r="C32351" s="5" t="str">
        <f>IFERROR(__xludf.DUMMYFUNCTION("GOOGLETRANSLATE(B32351,""en"",""fr"")"),"Lawrence Welk joue un accordéon et dirige son groupe.")</f>
        <v>Lawrence Welk joue un accordéon et dirige son groupe.</v>
      </c>
    </row>
    <row r="32352">
      <c r="A32352" s="4" t="s">
        <v>40728</v>
      </c>
      <c r="B32352" s="4" t="s">
        <v>40730</v>
      </c>
      <c r="C32352" s="5" t="str">
        <f>IFERROR(__xludf.DUMMYFUNCTION("GOOGLETRANSLATE(B32352,""en"",""fr"")"),"Il est rejoint par un autre joueur d'accordéon.")</f>
        <v>Il est rejoint par un autre joueur d'accordéon.</v>
      </c>
    </row>
    <row r="32353">
      <c r="A32353" s="4" t="s">
        <v>40728</v>
      </c>
      <c r="B32353" s="6" t="s">
        <v>40731</v>
      </c>
      <c r="C32353" s="5" t="str">
        <f>IFERROR(__xludf.DUMMYFUNCTION("GOOGLETRANSLATE(B32353,""en"",""fr"")"),"Le groupe résiste à la planification et la caméra va et vient entre les joueurs de l'accordéon et le groupe.")</f>
        <v>Le groupe résiste à la planification et la caméra va et vient entre les joueurs de l'accordéon et le groupe.</v>
      </c>
    </row>
    <row r="32354">
      <c r="A32354" s="4" t="s">
        <v>40728</v>
      </c>
      <c r="B32354" s="4" t="s">
        <v>40732</v>
      </c>
      <c r="C32354" s="5" t="str">
        <f>IFERROR(__xludf.DUMMYFUNCTION("GOOGLETRANSLATE(B32354,""en"",""fr"")"),"Ils continuent de jouer les accordéons avec le groupe derrière eux.")</f>
        <v>Ils continuent de jouer les accordéons avec le groupe derrière eux.</v>
      </c>
    </row>
    <row r="32355">
      <c r="A32355" s="4" t="s">
        <v>40733</v>
      </c>
      <c r="B32355" s="4" t="s">
        <v>40734</v>
      </c>
      <c r="C32355" s="5" t="str">
        <f>IFERROR(__xludf.DUMMYFUNCTION("GOOGLETRANSLATE(B32355,""en"",""fr"")"),"Un homme est vu parler à la caméra devant une voiture et commence à retirer un coffret.")</f>
        <v>Un homme est vu parler à la caméra devant une voiture et commence à retirer un coffret.</v>
      </c>
    </row>
    <row r="32356">
      <c r="A32356" s="4" t="s">
        <v>40733</v>
      </c>
      <c r="B32356" s="4" t="s">
        <v>40735</v>
      </c>
      <c r="C32356" s="5" t="str">
        <f>IFERROR(__xludf.DUMMYFUNCTION("GOOGLETRANSLATE(B32356,""en"",""fr"")"),"Il glisse les morceaux du pneu.")</f>
        <v>Il glisse les morceaux du pneu.</v>
      </c>
    </row>
    <row r="32357">
      <c r="A32357" s="4" t="s">
        <v>40733</v>
      </c>
      <c r="B32357" s="4" t="s">
        <v>40736</v>
      </c>
      <c r="C32357" s="5" t="str">
        <f>IFERROR(__xludf.DUMMYFUNCTION("GOOGLETRANSLATE(B32357,""en"",""fr"")"),"Finalement, il remet le co-cap en place.")</f>
        <v>Finalement, il remet le co-cap en place.</v>
      </c>
    </row>
    <row r="32358">
      <c r="A32358" s="4" t="s">
        <v>40737</v>
      </c>
      <c r="B32358" s="6" t="s">
        <v>40738</v>
      </c>
      <c r="C32358" s="5" t="str">
        <f>IFERROR(__xludf.DUMMYFUNCTION("GOOGLETRANSLATE(B32358,""en"",""fr"")"),"Une chemise d'homme ina qui dit que le mode Beast fait une vidéo sur les meilleurs entraînements gratuits à faire sans gymnase.")</f>
        <v>Une chemise d'homme ina qui dit que le mode Beast fait une vidéo sur les meilleurs entraînements gratuits à faire sans gymnase.</v>
      </c>
    </row>
    <row r="32359">
      <c r="A32359" s="4" t="s">
        <v>40737</v>
      </c>
      <c r="B32359" s="4" t="s">
        <v>40739</v>
      </c>
      <c r="C32359" s="5" t="str">
        <f>IFERROR(__xludf.DUMMYFUNCTION("GOOGLETRANSLATE(B32359,""en"",""fr"")"),"Il a une barre de poids sans poids et il se penche sur une certaine manière.")</f>
        <v>Il a une barre de poids sans poids et il se penche sur une certaine manière.</v>
      </c>
    </row>
    <row r="32360">
      <c r="A32360" s="4" t="s">
        <v>40737</v>
      </c>
      <c r="B32360" s="4" t="s">
        <v>40740</v>
      </c>
      <c r="C32360" s="5" t="str">
        <f>IFERROR(__xludf.DUMMYFUNCTION("GOOGLETRANSLATE(B32360,""en"",""fr"")"),"Il vous montre comment utiliser la barre de poids pour différentes positions de levage de poids.")</f>
        <v>Il vous montre comment utiliser la barre de poids pour différentes positions de levage de poids.</v>
      </c>
    </row>
    <row r="32361">
      <c r="A32361" s="4" t="s">
        <v>40737</v>
      </c>
      <c r="B32361" s="4" t="s">
        <v>40741</v>
      </c>
      <c r="C32361" s="5" t="str">
        <f>IFERROR(__xludf.DUMMYFUNCTION("GOOGLETRANSLATE(B32361,""en"",""fr"")"),"Une fois qu'il a terminé avec la barre de poids, il recule et parle de tout cela.")</f>
        <v>Une fois qu'il a terminé avec la barre de poids, il recule et parle de tout cela.</v>
      </c>
    </row>
    <row r="32362">
      <c r="A32362" s="4" t="s">
        <v>40742</v>
      </c>
      <c r="B32362" s="4" t="s">
        <v>40743</v>
      </c>
      <c r="C32362" s="5" t="str">
        <f>IFERROR(__xludf.DUMMYFUNCTION("GOOGLETRANSLATE(B32362,""en"",""fr"")"),"Les gens sont assis sur un banc.")</f>
        <v>Les gens sont assis sur un banc.</v>
      </c>
    </row>
    <row r="32363">
      <c r="A32363" s="4" t="s">
        <v>40742</v>
      </c>
      <c r="B32363" s="4" t="s">
        <v>40744</v>
      </c>
      <c r="C32363" s="5" t="str">
        <f>IFERROR(__xludf.DUMMYFUNCTION("GOOGLETRANSLATE(B32363,""en"",""fr"")"),"Un homme boit dans une tasse de café.")</f>
        <v>Un homme boit dans une tasse de café.</v>
      </c>
    </row>
    <row r="32364">
      <c r="A32364" s="4" t="s">
        <v>40742</v>
      </c>
      <c r="B32364" s="4" t="s">
        <v>40745</v>
      </c>
      <c r="C32364" s="5" t="str">
        <f>IFERROR(__xludf.DUMMYFUNCTION("GOOGLETRANSLATE(B32364,""en"",""fr"")"),"Une femme boit dans une tasse de café.")</f>
        <v>Une femme boit dans une tasse de café.</v>
      </c>
    </row>
    <row r="32365">
      <c r="A32365" s="4" t="s">
        <v>40746</v>
      </c>
      <c r="B32365" s="4" t="s">
        <v>40747</v>
      </c>
      <c r="C32365" s="5" t="str">
        <f>IFERROR(__xludf.DUMMYFUNCTION("GOOGLETRANSLATE(B32365,""en"",""fr"")"),"Deux personnes sont sur une dalle blanche et ils commencent à se clôturer les uns les autres.")</f>
        <v>Deux personnes sont sur une dalle blanche et ils commencent à se clôturer les uns les autres.</v>
      </c>
    </row>
    <row r="32366">
      <c r="A32366" s="4" t="s">
        <v>40746</v>
      </c>
      <c r="B32366" s="4" t="s">
        <v>40748</v>
      </c>
      <c r="C32366" s="5" t="str">
        <f>IFERROR(__xludf.DUMMYFUNCTION("GOOGLETRANSLATE(B32366,""en"",""fr"")"),"Il y a des arrêts constants et le garçon le plus proche de la caméra continue de gagner.")</f>
        <v>Il y a des arrêts constants et le garçon le plus proche de la caméra continue de gagner.</v>
      </c>
    </row>
    <row r="32367">
      <c r="A32367" s="4" t="s">
        <v>40746</v>
      </c>
      <c r="B32367" s="6" t="s">
        <v>40749</v>
      </c>
      <c r="C32367" s="5" t="str">
        <f>IFERROR(__xludf.DUMMYFUNCTION("GOOGLETRANSLATE(B32367,""en"",""fr"")"),"Les deux continuent d'être réinitialisés, mais le résultat n'est pas différent et la dame sur le côté continue de marcher dans les deux sens en cliquant sur un bouton noir.")</f>
        <v>Les deux continuent d'être réinitialisés, mais le résultat n'est pas différent et la dame sur le côté continue de marcher dans les deux sens en cliquant sur un bouton noir.</v>
      </c>
    </row>
    <row r="32368">
      <c r="A32368" s="4" t="s">
        <v>40750</v>
      </c>
      <c r="B32368" s="6" t="s">
        <v>40751</v>
      </c>
      <c r="C32368" s="5" t="str">
        <f>IFERROR(__xludf.DUMMYFUNCTION("GOOGLETRANSLATE(B32368,""en"",""fr"")"),"Un terrain d'intérieur est rempli de personnes portant des uniformes et jouant au ballon de dodge lançant les balles de chaque côté de l'équipe.")</f>
        <v>Un terrain d'intérieur est rempli de personnes portant des uniformes et jouant au ballon de dodge lançant les balles de chaque côté de l'équipe.</v>
      </c>
    </row>
    <row r="32369">
      <c r="A32369" s="4" t="s">
        <v>40750</v>
      </c>
      <c r="B32369" s="4" t="s">
        <v>40752</v>
      </c>
      <c r="C32369" s="5" t="str">
        <f>IFERROR(__xludf.DUMMYFUNCTION("GOOGLETRANSLATE(B32369,""en"",""fr"")"),"Une relecture au ralenti d'un ballon de dodge-ball et capturé est rejouée.")</f>
        <v>Une relecture au ralenti d'un ballon de dodge-ball et capturé est rejouée.</v>
      </c>
    </row>
    <row r="32370">
      <c r="A32370" s="4" t="s">
        <v>40750</v>
      </c>
      <c r="B32370" s="6" t="s">
        <v>40753</v>
      </c>
      <c r="C32370" s="5" t="str">
        <f>IFERROR(__xludf.DUMMYFUNCTION("GOOGLETRANSLATE(B32370,""en"",""fr"")"),"Un homme lance rapidement une balle et sa cible l'attrape, il se retourne et marche avec le droit en l'air pendant que les autres joueurs continuent de jouer.")</f>
        <v>Un homme lance rapidement une balle et sa cible l'attrape, il se retourne et marche avec le droit en l'air pendant que les autres joueurs continuent de jouer.</v>
      </c>
    </row>
    <row r="32371">
      <c r="A32371" s="4" t="s">
        <v>40750</v>
      </c>
      <c r="B32371" s="6" t="s">
        <v>40754</v>
      </c>
      <c r="C32371" s="5" t="str">
        <f>IFERROR(__xludf.DUMMYFUNCTION("GOOGLETRANSLATE(B32371,""en"",""fr"")"),"Une image encore tirée d'un homme tenant deux balles et des mots noirs faisant défiler du bas vers le haut avec le mot et le numéro ""Jardine 77"" est en haut.")</f>
        <v>Une image encore tirée d'un homme tenant deux balles et des mots noirs faisant défiler du bas vers le haut avec le mot et le numéro "Jardine 77" est en haut.</v>
      </c>
    </row>
    <row r="32372">
      <c r="A32372" s="4" t="s">
        <v>40755</v>
      </c>
      <c r="B32372" s="4" t="s">
        <v>40756</v>
      </c>
      <c r="C32372" s="5" t="str">
        <f>IFERROR(__xludf.DUMMYFUNCTION("GOOGLETRANSLATE(B32372,""en"",""fr"")"),"Un homme nage en arrière dans l'eau du lac.")</f>
        <v>Un homme nage en arrière dans l'eau du lac.</v>
      </c>
    </row>
    <row r="32373">
      <c r="A32373" s="4" t="s">
        <v>40755</v>
      </c>
      <c r="B32373" s="4" t="s">
        <v>40757</v>
      </c>
      <c r="C32373" s="5" t="str">
        <f>IFERROR(__xludf.DUMMYFUNCTION("GOOGLETRANSLATE(B32373,""en"",""fr"")"),"Les deux hommes montrés commencent le ski nautique.")</f>
        <v>Les deux hommes montrés commencent le ski nautique.</v>
      </c>
    </row>
    <row r="32374">
      <c r="A32374" s="4" t="s">
        <v>40755</v>
      </c>
      <c r="B32374" s="6" t="s">
        <v>40758</v>
      </c>
      <c r="C32374" s="5" t="str">
        <f>IFERROR(__xludf.DUMMYFUNCTION("GOOGLETRANSLATE(B32374,""en"",""fr"")"),"Ils perdent leur dispositif GoPro et doivent le trouver, prenant plus de deux semaines pour localiser l'appareil de travail immobile.")</f>
        <v>Ils perdent leur dispositif GoPro et doivent le trouver, prenant plus de deux semaines pour localiser l'appareil de travail immobile.</v>
      </c>
    </row>
    <row r="32375">
      <c r="A32375" s="4" t="s">
        <v>40759</v>
      </c>
      <c r="B32375" s="4" t="s">
        <v>40760</v>
      </c>
      <c r="C32375" s="5" t="str">
        <f>IFERROR(__xludf.DUMMYFUNCTION("GOOGLETRANSLATE(B32375,""en"",""fr"")"),"Diverses plans de cordes sont représentés suivis par des fournitures de tricot et des personnes tricoter dans une bibliothèque.")</f>
        <v>Diverses plans de cordes sont représentés suivis par des fournitures de tricot et des personnes tricoter dans une bibliothèque.</v>
      </c>
    </row>
    <row r="32376">
      <c r="A32376" s="4" t="s">
        <v>40759</v>
      </c>
      <c r="B32376" s="4" t="s">
        <v>40761</v>
      </c>
      <c r="C32376" s="5" t="str">
        <f>IFERROR(__xludf.DUMMYFUNCTION("GOOGLETRANSLATE(B32376,""en"",""fr"")"),"La femme donne à un petit enfant en tricot et démontre comment ils tricotent correctement la jeune fille.")</f>
        <v>La femme donne à un petit enfant en tricot et démontre comment ils tricotent correctement la jeune fille.</v>
      </c>
    </row>
    <row r="32377">
      <c r="A32377" s="4" t="s">
        <v>40762</v>
      </c>
      <c r="B32377" s="4" t="s">
        <v>40763</v>
      </c>
      <c r="C32377" s="5" t="str">
        <f>IFERROR(__xludf.DUMMYFUNCTION("GOOGLETRANSLATE(B32377,""en"",""fr"")"),"""EPBF Millennium Series"" apparaît à l'écran.")</f>
        <v>"EPBF Millennium Series" apparaît à l'écran.</v>
      </c>
    </row>
    <row r="32378">
      <c r="A32378" s="4" t="s">
        <v>40762</v>
      </c>
      <c r="B32378" s="6" t="s">
        <v>40764</v>
      </c>
      <c r="C32378" s="5" t="str">
        <f>IFERROR(__xludf.DUMMYFUNCTION("GOOGLETRANSLATE(B32378,""en"",""fr"")"),"L'extrémité ouverte du véhicule apparaît avec ""WWW Paint-Supply Net"" imprimé sur un pare-chocs tandis que les outils sont placés à l'intérieur.")</f>
        <v>L'extrémité ouverte du véhicule apparaît avec "WWW Paint-Supply Net" imprimé sur un pare-chocs tandis que les outils sont placés à l'intérieur.</v>
      </c>
    </row>
    <row r="32379">
      <c r="A32379" s="4" t="s">
        <v>40762</v>
      </c>
      <c r="B32379" s="4" t="s">
        <v>40765</v>
      </c>
      <c r="C32379" s="5" t="str">
        <f>IFERROR(__xludf.DUMMYFUNCTION("GOOGLETRANSLATE(B32379,""en"",""fr"")"),"La voiture conduit sur une route noire noire avec des objets photoshoppés sur chaque côté.")</f>
        <v>La voiture conduit sur une route noire noire avec des objets photoshoppés sur chaque côté.</v>
      </c>
    </row>
    <row r="32380">
      <c r="A32380" s="4" t="s">
        <v>40762</v>
      </c>
      <c r="B32380" s="6" t="s">
        <v>40766</v>
      </c>
      <c r="C32380" s="5" t="str">
        <f>IFERROR(__xludf.DUMMYFUNCTION("GOOGLETRANSLATE(B32380,""en"",""fr"")"),"La fin de la route apparaît avec le mot ""Paintball échoue"" au-dessus et des images de paintball en dessous.")</f>
        <v>La fin de la route apparaît avec le mot "Paintball échoue" au-dessus et des images de paintball en dessous.</v>
      </c>
    </row>
    <row r="32381">
      <c r="A32381" s="4" t="s">
        <v>40762</v>
      </c>
      <c r="B32381" s="4" t="s">
        <v>40767</v>
      </c>
      <c r="C32381" s="5" t="str">
        <f>IFERROR(__xludf.DUMMYFUNCTION("GOOGLETRANSLATE(B32381,""en"",""fr"")"),"Les mots «feu amical» apparaissent.")</f>
        <v>Les mots «feu amical» apparaissent.</v>
      </c>
    </row>
    <row r="32382">
      <c r="A32382" s="4" t="s">
        <v>40762</v>
      </c>
      <c r="B32382" s="4" t="s">
        <v>40768</v>
      </c>
      <c r="C32382" s="5" t="str">
        <f>IFERROR(__xludf.DUMMYFUNCTION("GOOGLETRANSLATE(B32382,""en"",""fr"")"),"Un groupe de personnes joue au paintball sur un champ herbeux avec des obstacles gonflables.")</f>
        <v>Un groupe de personnes joue au paintball sur un champ herbeux avec des obstacles gonflables.</v>
      </c>
    </row>
    <row r="32383">
      <c r="A32383" s="4" t="s">
        <v>40762</v>
      </c>
      <c r="B32383" s="4" t="s">
        <v>40769</v>
      </c>
      <c r="C32383" s="5" t="str">
        <f>IFERROR(__xludf.DUMMYFUNCTION("GOOGLETRANSLATE(B32383,""en"",""fr"")"),"Les mots ""Stupid Hopper"" apparaissent.")</f>
        <v>Les mots "Stupid Hopper" apparaissent.</v>
      </c>
    </row>
    <row r="32384">
      <c r="A32384" s="4" t="s">
        <v>40762</v>
      </c>
      <c r="B32384" s="4" t="s">
        <v>40770</v>
      </c>
      <c r="C32384" s="5" t="str">
        <f>IFERROR(__xludf.DUMMYFUNCTION("GOOGLETRANSLATE(B32384,""en"",""fr"")"),"Les gens jouent à nouveau sur le paintball sur le terrain.")</f>
        <v>Les gens jouent à nouveau sur le paintball sur le terrain.</v>
      </c>
    </row>
    <row r="32385">
      <c r="A32385" s="4" t="s">
        <v>40762</v>
      </c>
      <c r="B32385" s="4" t="s">
        <v>40771</v>
      </c>
      <c r="C32385" s="5" t="str">
        <f>IFERROR(__xludf.DUMMYFUNCTION("GOOGLETRANSLATE(B32385,""en"",""fr"")"),"Les mots ""1/3 lauf"" apparaissent.")</f>
        <v>Les mots "1/3 lauf" apparaissent.</v>
      </c>
    </row>
    <row r="32386">
      <c r="A32386" s="4" t="s">
        <v>40762</v>
      </c>
      <c r="B32386" s="4" t="s">
        <v>40772</v>
      </c>
      <c r="C32386" s="5" t="str">
        <f>IFERROR(__xludf.DUMMYFUNCTION("GOOGLETRANSLATE(B32386,""en"",""fr"")"),"Les gens jouent à nouveau sur le paintball sur le terrain.")</f>
        <v>Les gens jouent à nouveau sur le paintball sur le terrain.</v>
      </c>
    </row>
    <row r="32387">
      <c r="A32387" s="4" t="s">
        <v>40762</v>
      </c>
      <c r="B32387" s="4" t="s">
        <v>40773</v>
      </c>
      <c r="C32387" s="5" t="str">
        <f>IFERROR(__xludf.DUMMYFUNCTION("GOOGLETRANSLATE(B32387,""en"",""fr"")"),"Le mot ""fehlstart"" apparaît à l'écran.")</f>
        <v>Le mot "fehlstart" apparaît à l'écran.</v>
      </c>
    </row>
    <row r="32388">
      <c r="A32388" s="4" t="s">
        <v>40762</v>
      </c>
      <c r="B32388" s="4" t="s">
        <v>40774</v>
      </c>
      <c r="C32388" s="5" t="str">
        <f>IFERROR(__xludf.DUMMYFUNCTION("GOOGLETRANSLATE(B32388,""en"",""fr"")"),"Les gens jouent au paintball sur le terrain.")</f>
        <v>Les gens jouent au paintball sur le terrain.</v>
      </c>
    </row>
    <row r="32389">
      <c r="A32389" s="4" t="s">
        <v>40762</v>
      </c>
      <c r="B32389" s="4" t="s">
        <v>40775</v>
      </c>
      <c r="C32389" s="5" t="str">
        <f>IFERROR(__xludf.DUMMYFUNCTION("GOOGLETRANSLATE(B32389,""en"",""fr"")"),"Les coordonnées de la fourniture de peinture GmbH apparaissent.")</f>
        <v>Les coordonnées de la fourniture de peinture GmbH apparaissent.</v>
      </c>
    </row>
    <row r="32390">
      <c r="A32390" s="4" t="s">
        <v>40776</v>
      </c>
      <c r="B32390" s="4" t="s">
        <v>40777</v>
      </c>
      <c r="C32390" s="5" t="str">
        <f>IFERROR(__xludf.DUMMYFUNCTION("GOOGLETRANSLATE(B32390,""en"",""fr"")"),"Il y a quelques messieurs plus âgés qui jouent à un jeu sur la glace.")</f>
        <v>Il y a quelques messieurs plus âgés qui jouent à un jeu sur la glace.</v>
      </c>
    </row>
    <row r="32391">
      <c r="A32391" s="4" t="s">
        <v>40776</v>
      </c>
      <c r="B32391" s="4" t="s">
        <v>40778</v>
      </c>
      <c r="C32391" s="5" t="str">
        <f>IFERROR(__xludf.DUMMYFUNCTION("GOOGLETRANSLATE(B32391,""en"",""fr"")"),"Ils ont un entraîneur pour les aider et il parle de la façon de se recroqueviller.")</f>
        <v>Ils ont un entraîneur pour les aider et il parle de la façon de se recroqueviller.</v>
      </c>
    </row>
    <row r="32392">
      <c r="A32392" s="4" t="s">
        <v>40776</v>
      </c>
      <c r="B32392" s="4" t="s">
        <v>40779</v>
      </c>
      <c r="C32392" s="5" t="str">
        <f>IFERROR(__xludf.DUMMYFUNCTION("GOOGLETRANSLATE(B32392,""en"",""fr"")"),"Il parle des étapes et de la façon de se mettre dans le hack, même en manifestant.")</f>
        <v>Il parle des étapes et de la façon de se mettre dans le hack, même en manifestant.</v>
      </c>
    </row>
    <row r="32393">
      <c r="A32393" s="4" t="s">
        <v>40776</v>
      </c>
      <c r="B32393" s="4" t="s">
        <v>40780</v>
      </c>
      <c r="C32393" s="5" t="str">
        <f>IFERROR(__xludf.DUMMYFUNCTION("GOOGLETRANSLATE(B32393,""en"",""fr"")"),"Il semble assez professionnel marcher sur la glace avec ses chaussures tout en démontrant.")</f>
        <v>Il semble assez professionnel marcher sur la glace avec ses chaussures tout en démontrant.</v>
      </c>
    </row>
    <row r="32394">
      <c r="A32394" s="4" t="s">
        <v>40781</v>
      </c>
      <c r="B32394" s="4" t="s">
        <v>40782</v>
      </c>
      <c r="C32394" s="5" t="str">
        <f>IFERROR(__xludf.DUMMYFUNCTION("GOOGLETRANSLATE(B32394,""en"",""fr"")"),"Un gros plan est vu d'un double évier en métal.")</f>
        <v>Un gros plan est vu d'un double évier en métal.</v>
      </c>
    </row>
    <row r="32395">
      <c r="A32395" s="4" t="s">
        <v>40781</v>
      </c>
      <c r="B32395" s="4" t="s">
        <v>40783</v>
      </c>
      <c r="C32395" s="5" t="str">
        <f>IFERROR(__xludf.DUMMYFUNCTION("GOOGLETRANSLATE(B32395,""en"",""fr"")"),"Ensuite, nous voyons deux bols avec de la poudre et un citron vert coupé.")</f>
        <v>Ensuite, nous voyons deux bols avec de la poudre et un citron vert coupé.</v>
      </c>
    </row>
    <row r="32396">
      <c r="A32396" s="4" t="s">
        <v>40781</v>
      </c>
      <c r="B32396" s="6" t="s">
        <v>40784</v>
      </c>
      <c r="C32396" s="5" t="str">
        <f>IFERROR(__xludf.DUMMYFUNCTION("GOOGLETRANSLATE(B32396,""en"",""fr"")"),"Une femme utilise le citron vert trempé dans de la poudre pour frotter puis rincer l'évier avant de le sécher, montrant un évier propre perfectionné.")</f>
        <v>Une femme utilise le citron vert trempé dans de la poudre pour frotter puis rincer l'évier avant de le sécher, montrant un évier propre perfectionné.</v>
      </c>
    </row>
    <row r="32397">
      <c r="A32397" s="4" t="s">
        <v>40785</v>
      </c>
      <c r="B32397" s="4" t="s">
        <v>40786</v>
      </c>
      <c r="C32397" s="5" t="str">
        <f>IFERROR(__xludf.DUMMYFUNCTION("GOOGLETRANSLATE(B32397,""en"",""fr"")"),"Une personne assemble un vélo sur un chiffon blanc.")</f>
        <v>Une personne assemble un vélo sur un chiffon blanc.</v>
      </c>
    </row>
    <row r="32398">
      <c r="A32398" s="4" t="s">
        <v>40785</v>
      </c>
      <c r="B32398" s="4" t="s">
        <v>40787</v>
      </c>
      <c r="C32398" s="5" t="str">
        <f>IFERROR(__xludf.DUMMYFUNCTION("GOOGLETRANSLATE(B32398,""en"",""fr"")"),"Ils ont mis un tablier bleu et des gants.")</f>
        <v>Ils ont mis un tablier bleu et des gants.</v>
      </c>
    </row>
    <row r="32399">
      <c r="A32399" s="4" t="s">
        <v>40785</v>
      </c>
      <c r="B32399" s="4" t="s">
        <v>40788</v>
      </c>
      <c r="C32399" s="5" t="str">
        <f>IFERROR(__xludf.DUMMYFUNCTION("GOOGLETRANSLATE(B32399,""en"",""fr"")"),"Ils mettent des barres de poignée sur le vélo.")</f>
        <v>Ils mettent des barres de poignée sur le vélo.</v>
      </c>
    </row>
    <row r="32400">
      <c r="A32400" s="4" t="s">
        <v>40789</v>
      </c>
      <c r="B32400" s="4" t="s">
        <v>40790</v>
      </c>
      <c r="C32400" s="5" t="str">
        <f>IFERROR(__xludf.DUMMYFUNCTION("GOOGLETRANSLATE(B32400,""en"",""fr"")"),"Deux hommes font du vélo d'eau dans une mer tandis qu'une grande vague est derrière eux.")</f>
        <v>Deux hommes font du vélo d'eau dans une mer tandis qu'une grande vague est derrière eux.</v>
      </c>
    </row>
    <row r="32401">
      <c r="A32401" s="4" t="s">
        <v>40789</v>
      </c>
      <c r="B32401" s="4" t="s">
        <v>40791</v>
      </c>
      <c r="C32401" s="5" t="str">
        <f>IFERROR(__xludf.DUMMYFUNCTION("GOOGLETRANSLATE(B32401,""en"",""fr"")"),"Beaucoup de scènes de personnes surfant sur de grandes vagues sur la mer et une ville est en arrière-plan.")</f>
        <v>Beaucoup de scènes de personnes surfant sur de grandes vagues sur la mer et une ville est en arrière-plan.</v>
      </c>
    </row>
    <row r="32402">
      <c r="A32402" s="4" t="s">
        <v>40792</v>
      </c>
      <c r="B32402" s="4" t="s">
        <v>40793</v>
      </c>
      <c r="C32402" s="5" t="str">
        <f>IFERROR(__xludf.DUMMYFUNCTION("GOOGLETRANSLATE(B32402,""en"",""fr"")"),"Un chien est vu errer dans une cour ainsi qu'un homme qui parle à la caméra.")</f>
        <v>Un chien est vu errer dans une cour ainsi qu'un homme qui parle à la caméra.</v>
      </c>
    </row>
    <row r="32403">
      <c r="A32403" s="4" t="s">
        <v>40792</v>
      </c>
      <c r="B32403" s="4" t="s">
        <v>40794</v>
      </c>
      <c r="C32403" s="5" t="str">
        <f>IFERROR(__xludf.DUMMYFUNCTION("GOOGLETRANSLATE(B32403,""en"",""fr"")"),"Le chien se déplace dans la zone pendant que l'homme continue de parler à la caméra.")</f>
        <v>Le chien se déplace dans la zone pendant que l'homme continue de parler à la caméra.</v>
      </c>
    </row>
    <row r="32404">
      <c r="A32404" s="4" t="s">
        <v>40792</v>
      </c>
      <c r="B32404" s="4" t="s">
        <v>40795</v>
      </c>
      <c r="C32404" s="5" t="str">
        <f>IFERROR(__xludf.DUMMYFUNCTION("GOOGLETRANSLATE(B32404,""en"",""fr"")"),"Le chien revient et quatrième tandis que la caméra zoome sur son visage.")</f>
        <v>Le chien revient et quatrième tandis que la caméra zoome sur son visage.</v>
      </c>
    </row>
    <row r="32405">
      <c r="A32405" s="4" t="s">
        <v>40796</v>
      </c>
      <c r="B32405" s="4" t="s">
        <v>40797</v>
      </c>
      <c r="C32405" s="5" t="str">
        <f>IFERROR(__xludf.DUMMYFUNCTION("GOOGLETRANSLATE(B32405,""en"",""fr"")"),"Un gros plan est montré des yeux d'une femme.")</f>
        <v>Un gros plan est montré des yeux d'une femme.</v>
      </c>
    </row>
    <row r="32406">
      <c r="A32406" s="4" t="s">
        <v>40796</v>
      </c>
      <c r="B32406" s="4" t="s">
        <v>40798</v>
      </c>
      <c r="C32406" s="5" t="str">
        <f>IFERROR(__xludf.DUMMYFUNCTION("GOOGLETRANSLATE(B32406,""en"",""fr"")"),"Elle est assise sur un rocher, puis fait du vélo, puis ornant du matériel de plongée.")</f>
        <v>Elle est assise sur un rocher, puis fait du vélo, puis ornant du matériel de plongée.</v>
      </c>
    </row>
    <row r="32407">
      <c r="A32407" s="4" t="s">
        <v>40796</v>
      </c>
      <c r="B32407" s="4" t="s">
        <v>40799</v>
      </c>
      <c r="C32407" s="5" t="str">
        <f>IFERROR(__xludf.DUMMYFUNCTION("GOOGLETRANSLATE(B32407,""en"",""fr"")"),"Elle plonge, nageant aux côtés des poissons tropicaux et un requin allaiteur.")</f>
        <v>Elle plonge, nageant aux côtés des poissons tropicaux et un requin allaiteur.</v>
      </c>
    </row>
    <row r="32408">
      <c r="A32408" s="4" t="s">
        <v>40796</v>
      </c>
      <c r="B32408" s="4" t="s">
        <v>40800</v>
      </c>
      <c r="C32408" s="5" t="str">
        <f>IFERROR(__xludf.DUMMYFUNCTION("GOOGLETRANSLATE(B32408,""en"",""fr"")"),"Elle est finalement montrée portant des lunettes de soleil, souriant et riant.")</f>
        <v>Elle est finalement montrée portant des lunettes de soleil, souriant et riant.</v>
      </c>
    </row>
    <row r="32409">
      <c r="A32409" s="4" t="s">
        <v>40801</v>
      </c>
      <c r="B32409" s="4" t="s">
        <v>40802</v>
      </c>
      <c r="C32409" s="5" t="str">
        <f>IFERROR(__xludf.DUMMYFUNCTION("GOOGLETRANSLATE(B32409,""en"",""fr"")"),"Un homme détient un dispositif de soudage et l'ajuste tout en montrant sa zone de travail.")</f>
        <v>Un homme détient un dispositif de soudage et l'ajuste tout en montrant sa zone de travail.</v>
      </c>
    </row>
    <row r="32410">
      <c r="A32410" s="4" t="s">
        <v>40801</v>
      </c>
      <c r="B32410" s="4" t="s">
        <v>40803</v>
      </c>
      <c r="C32410" s="5" t="str">
        <f>IFERROR(__xludf.DUMMYFUNCTION("GOOGLETRANSLATE(B32410,""en"",""fr"")"),"Le soudeur est maintenu sur une plaque d'acier et déplacé lentement.")</f>
        <v>Le soudeur est maintenu sur une plaque d'acier et déplacé lentement.</v>
      </c>
    </row>
    <row r="32411">
      <c r="A32411" s="4" t="s">
        <v>40801</v>
      </c>
      <c r="B32411" s="4" t="s">
        <v>40804</v>
      </c>
      <c r="C32411" s="5" t="str">
        <f>IFERROR(__xludf.DUMMYFUNCTION("GOOGLETRANSLATE(B32411,""en"",""fr"")"),"L'homme tire le soudeur sur un morceau de métal de couleur cuivre.")</f>
        <v>L'homme tire le soudeur sur un morceau de métal de couleur cuivre.</v>
      </c>
    </row>
    <row r="32412">
      <c r="A32412" s="4" t="s">
        <v>40801</v>
      </c>
      <c r="B32412" s="4" t="s">
        <v>40805</v>
      </c>
      <c r="C32412" s="5" t="str">
        <f>IFERROR(__xludf.DUMMYFUNCTION("GOOGLETRANSLATE(B32412,""en"",""fr"")"),"L'homme pose son garde-corps et soulève une place sur un morceau de métal.")</f>
        <v>L'homme pose son garde-corps et soulève une place sur un morceau de métal.</v>
      </c>
    </row>
    <row r="32413">
      <c r="A32413" s="4" t="s">
        <v>40801</v>
      </c>
      <c r="B32413" s="4" t="s">
        <v>40806</v>
      </c>
      <c r="C32413" s="5" t="str">
        <f>IFERROR(__xludf.DUMMYFUNCTION("GOOGLETRANSLATE(B32413,""en"",""fr"")"),"L'homme s'arrête pour une pause.")</f>
        <v>L'homme s'arrête pour une pause.</v>
      </c>
    </row>
    <row r="32414">
      <c r="A32414" s="4" t="s">
        <v>40801</v>
      </c>
      <c r="B32414" s="4" t="s">
        <v>40807</v>
      </c>
      <c r="C32414" s="5" t="str">
        <f>IFERROR(__xludf.DUMMYFUNCTION("GOOGLETRANSLATE(B32414,""en"",""fr"")"),"L'homme soulève une ligne dans un morceau de matériau.")</f>
        <v>L'homme soulève une ligne dans un morceau de matériau.</v>
      </c>
    </row>
    <row r="32415">
      <c r="A32415" s="4" t="s">
        <v>40801</v>
      </c>
      <c r="B32415" s="4" t="s">
        <v>40808</v>
      </c>
      <c r="C32415" s="5" t="str">
        <f>IFERROR(__xludf.DUMMYFUNCTION("GOOGLETRANSLATE(B32415,""en"",""fr"")"),"L'homme maintient un ciseau à marteau sur la barre du métal et des jetons de quelques pièces.")</f>
        <v>L'homme maintient un ciseau à marteau sur la barre du métal et des jetons de quelques pièces.</v>
      </c>
    </row>
    <row r="32416">
      <c r="A32416" s="4" t="s">
        <v>40801</v>
      </c>
      <c r="B32416" s="4" t="s">
        <v>40809</v>
      </c>
      <c r="C32416" s="5" t="str">
        <f>IFERROR(__xludf.DUMMYFUNCTION("GOOGLETRANSLATE(B32416,""en"",""fr"")"),"L'homme utilise une brosse métallique pour nettoyer le métal.")</f>
        <v>L'homme utilise une brosse métallique pour nettoyer le métal.</v>
      </c>
    </row>
    <row r="32417">
      <c r="A32417" s="4" t="s">
        <v>40810</v>
      </c>
      <c r="B32417" s="4" t="s">
        <v>40811</v>
      </c>
      <c r="C32417" s="5" t="str">
        <f>IFERROR(__xludf.DUMMYFUNCTION("GOOGLETRANSLATE(B32417,""en"",""fr"")"),"Une fille est assise et fume des cigarettes.")</f>
        <v>Une fille est assise et fume des cigarettes.</v>
      </c>
    </row>
    <row r="32418">
      <c r="A32418" s="4" t="s">
        <v>40810</v>
      </c>
      <c r="B32418" s="4" t="s">
        <v>40812</v>
      </c>
      <c r="C32418" s="5" t="str">
        <f>IFERROR(__xludf.DUMMYFUNCTION("GOOGLETRANSLATE(B32418,""en"",""fr"")"),"Johnny Cash joue en arrière-plan et elle a un verre à la main.")</f>
        <v>Johnny Cash joue en arrière-plan et elle a un verre à la main.</v>
      </c>
    </row>
    <row r="32419">
      <c r="A32419" s="4" t="s">
        <v>40810</v>
      </c>
      <c r="B32419" s="4" t="s">
        <v>40813</v>
      </c>
      <c r="C32419" s="5" t="str">
        <f>IFERROR(__xludf.DUMMYFUNCTION("GOOGLETRANSLATE(B32419,""en"",""fr"")"),"Elle regarde dans la caméra tout en prenant des bouffées sur sa cigarette.")</f>
        <v>Elle regarde dans la caméra tout en prenant des bouffées sur sa cigarette.</v>
      </c>
    </row>
    <row r="32420">
      <c r="A32420" s="4" t="s">
        <v>40810</v>
      </c>
      <c r="B32420" s="4" t="s">
        <v>40814</v>
      </c>
      <c r="C32420" s="5" t="str">
        <f>IFERROR(__xludf.DUMMYFUNCTION("GOOGLETRANSLATE(B32420,""en"",""fr"")"),"Elle répare un peu ses cheveux tout en regardant dans la caméra.")</f>
        <v>Elle répare un peu ses cheveux tout en regardant dans la caméra.</v>
      </c>
    </row>
    <row r="32421">
      <c r="A32421" s="4" t="s">
        <v>40810</v>
      </c>
      <c r="B32421" s="4" t="s">
        <v>40815</v>
      </c>
      <c r="C32421" s="5" t="str">
        <f>IFERROR(__xludf.DUMMYFUNCTION("GOOGLETRANSLATE(B32421,""en"",""fr"")"),"Elle sourit dans la caméra et se rapproche.")</f>
        <v>Elle sourit dans la caméra et se rapproche.</v>
      </c>
    </row>
    <row r="32422">
      <c r="A32422" s="4" t="s">
        <v>40816</v>
      </c>
      <c r="B32422" s="6" t="s">
        <v>40817</v>
      </c>
      <c r="C32422" s="5" t="str">
        <f>IFERROR(__xludf.DUMMYFUNCTION("GOOGLETRANSLATE(B32422,""en"",""fr"")"),"Une femme se tient à l'avant sur une table avec des produits pour bébé, puis la femme enroule des couches et met autour d'un récipient circulaire avec un ruban.")</f>
        <v>Une femme se tient à l'avant sur une table avec des produits pour bébé, puis la femme enroule des couches et met autour d'un récipient circulaire avec un ruban.</v>
      </c>
    </row>
    <row r="32423">
      <c r="A32423" s="4" t="s">
        <v>40816</v>
      </c>
      <c r="B32423" s="4" t="s">
        <v>40818</v>
      </c>
      <c r="C32423" s="5" t="str">
        <f>IFERROR(__xludf.DUMMYFUNCTION("GOOGLETRANSLATE(B32423,""en"",""fr"")"),"Après, la femme met des couches autour d'une serviette pliée avec un ruban.")</f>
        <v>Après, la femme met des couches autour d'une serviette pliée avec un ruban.</v>
      </c>
    </row>
    <row r="32424">
      <c r="A32424" s="4" t="s">
        <v>40816</v>
      </c>
      <c r="B32424" s="6" t="s">
        <v>40819</v>
      </c>
      <c r="C32424" s="5" t="str">
        <f>IFERROR(__xludf.DUMMYFUNCTION("GOOGLETRANSLATE(B32424,""en"",""fr"")"),"Ensuite, la femme remplit le récipient circulaire de produits pour bébés et a mis sur la serviette, une peluche et une bouteille.")</f>
        <v>Ensuite, la femme remplit le récipient circulaire de produits pour bébés et a mis sur la serviette, une peluche et une bouteille.</v>
      </c>
    </row>
    <row r="32425">
      <c r="A32425" s="4" t="s">
        <v>40820</v>
      </c>
      <c r="B32425" s="4" t="s">
        <v>40821</v>
      </c>
      <c r="C32425" s="5" t="str">
        <f>IFERROR(__xludf.DUMMYFUNCTION("GOOGLETRANSLATE(B32425,""en"",""fr"")"),"Un garçon ramasse une boule de bowling et court sur la voie.")</f>
        <v>Un garçon ramasse une boule de bowling et court sur la voie.</v>
      </c>
    </row>
    <row r="32426">
      <c r="A32426" s="4" t="s">
        <v>40820</v>
      </c>
      <c r="B32426" s="4" t="s">
        <v>40822</v>
      </c>
      <c r="C32426" s="5" t="str">
        <f>IFERROR(__xludf.DUMMYFUNCTION("GOOGLETRANSLATE(B32426,""en"",""fr"")"),"Il plonge dans les épingles à la fin.")</f>
        <v>Il plonge dans les épingles à la fin.</v>
      </c>
    </row>
    <row r="32427">
      <c r="A32427" s="4" t="s">
        <v>40820</v>
      </c>
      <c r="B32427" s="4" t="s">
        <v>40823</v>
      </c>
      <c r="C32427" s="5" t="str">
        <f>IFERROR(__xludf.DUMMYFUNCTION("GOOGLETRANSLATE(B32427,""en"",""fr"")"),"Il revient et tombe sur la voie.")</f>
        <v>Il revient et tombe sur la voie.</v>
      </c>
    </row>
    <row r="32428">
      <c r="A32428" s="4" t="s">
        <v>40824</v>
      </c>
      <c r="B32428" s="6" t="s">
        <v>40825</v>
      </c>
      <c r="C32428" s="5" t="str">
        <f>IFERROR(__xludf.DUMMYFUNCTION("GOOGLETRANSLATE(B32428,""en"",""fr"")"),"Un homme vêtu de tout noir et un masque est à l'extérieur dans un lieu public jouant et instrument avec des sacs au milieu et au petit clavier à l'extérieur.")</f>
        <v>Un homme vêtu de tout noir et un masque est à l'extérieur dans un lieu public jouant et instrument avec des sacs au milieu et au petit clavier à l'extérieur.</v>
      </c>
    </row>
    <row r="32429">
      <c r="A32429" s="4" t="s">
        <v>40824</v>
      </c>
      <c r="B32429" s="4" t="s">
        <v>40826</v>
      </c>
      <c r="C32429" s="5" t="str">
        <f>IFERROR(__xludf.DUMMYFUNCTION("GOOGLETRANSLATE(B32429,""en"",""fr"")"),"Alors qu'il joue, plusieurs personnes marchent en continuant leur vie.")</f>
        <v>Alors qu'il joue, plusieurs personnes marchent en continuant leur vie.</v>
      </c>
    </row>
    <row r="32430">
      <c r="A32430" s="4" t="s">
        <v>40824</v>
      </c>
      <c r="B32430" s="4" t="s">
        <v>40827</v>
      </c>
      <c r="C32430" s="5" t="str">
        <f>IFERROR(__xludf.DUMMYFUNCTION("GOOGLETRANSLATE(B32430,""en"",""fr"")"),"Aucun d'eux ne le reconnaît et le chapeau devant HI reste vide.")</f>
        <v>Aucun d'eux ne le reconnaît et le chapeau devant HI reste vide.</v>
      </c>
    </row>
    <row r="32431">
      <c r="A32431" s="4" t="s">
        <v>40828</v>
      </c>
      <c r="B32431" s="4" t="s">
        <v>40829</v>
      </c>
      <c r="C32431" s="5" t="str">
        <f>IFERROR(__xludf.DUMMYFUNCTION("GOOGLETRANSLATE(B32431,""en"",""fr"")"),"Deux filles tenant Pom Pom effectuent une routine de danse dans un gymnase.")</f>
        <v>Deux filles tenant Pom Pom effectuent une routine de danse dans un gymnase.</v>
      </c>
    </row>
    <row r="32432">
      <c r="A32432" s="4" t="s">
        <v>40828</v>
      </c>
      <c r="B32432" s="6" t="s">
        <v>40830</v>
      </c>
      <c r="C32432" s="5" t="str">
        <f>IFERROR(__xludf.DUMMYFUNCTION("GOOGLETRANSLATE(B32432,""en"",""fr"")"),"Plusieurs personnes sont montrées en regardant en arrière-plan pendant que les filles continuent de faire des mouvements flexibles.")</f>
        <v>Plusieurs personnes sont montrées en regardant en arrière-plan pendant que les filles continuent de faire des mouvements flexibles.</v>
      </c>
    </row>
    <row r="32433">
      <c r="A32433" s="4" t="s">
        <v>40828</v>
      </c>
      <c r="B32433" s="6" t="s">
        <v>40831</v>
      </c>
      <c r="C32433" s="5" t="str">
        <f>IFERROR(__xludf.DUMMYFUNCTION("GOOGLETRANSLATE(B32433,""en"",""fr"")"),"Les cannes à saisir et continuent de faire tourner les cannes tout en faisant des divisions et divers autres mouvements de danse.")</f>
        <v>Les cannes à saisir et continuent de faire tourner les cannes tout en faisant des divisions et divers autres mouvements de danse.</v>
      </c>
    </row>
    <row r="32434">
      <c r="A32434" s="4" t="s">
        <v>40832</v>
      </c>
      <c r="B32434" s="4" t="s">
        <v>40833</v>
      </c>
      <c r="C32434" s="5" t="str">
        <f>IFERROR(__xludf.DUMMYFUNCTION("GOOGLETRANSLATE(B32434,""en"",""fr"")"),"Une femme portant une salopette parle à la caméra.")</f>
        <v>Une femme portant une salopette parle à la caméra.</v>
      </c>
    </row>
    <row r="32435">
      <c r="A32435" s="4" t="s">
        <v>40832</v>
      </c>
      <c r="B32435" s="4" t="s">
        <v>40834</v>
      </c>
      <c r="C32435" s="5" t="str">
        <f>IFERROR(__xludf.DUMMYFUNCTION("GOOGLETRANSLATE(B32435,""en"",""fr"")"),"Elle présente du papier d'emballage, montrant comment envelopper un jouet dedans.")</f>
        <v>Elle présente du papier d'emballage, montrant comment envelopper un jouet dedans.</v>
      </c>
    </row>
    <row r="32436">
      <c r="A32436" s="4" t="s">
        <v>40832</v>
      </c>
      <c r="B32436" s="4" t="s">
        <v>40835</v>
      </c>
      <c r="C32436" s="5" t="str">
        <f>IFERROR(__xludf.DUMMYFUNCTION("GOOGLETRANSLATE(B32436,""en"",""fr"")"),"Elle l'enroule autour du jouet, puis le enregistre.")</f>
        <v>Elle l'enroule autour du jouet, puis le enregistre.</v>
      </c>
    </row>
    <row r="32437">
      <c r="A32437" s="4" t="s">
        <v>40836</v>
      </c>
      <c r="B32437" s="4" t="s">
        <v>40837</v>
      </c>
      <c r="C32437" s="5" t="str">
        <f>IFERROR(__xludf.DUMMYFUNCTION("GOOGLETRANSLATE(B32437,""en"",""fr"")"),"Nous voyons une dame laver une serviette blanche dans un évier.")</f>
        <v>Nous voyons une dame laver une serviette blanche dans un évier.</v>
      </c>
    </row>
    <row r="32438">
      <c r="A32438" s="4" t="s">
        <v>40836</v>
      </c>
      <c r="B32438" s="4" t="s">
        <v>40838</v>
      </c>
      <c r="C32438" s="5" t="str">
        <f>IFERROR(__xludf.DUMMYFUNCTION("GOOGLETRANSLATE(B32438,""en"",""fr"")"),"La dame soulève la serviette.")</f>
        <v>La dame soulève la serviette.</v>
      </c>
    </row>
    <row r="32439">
      <c r="A32439" s="4" t="s">
        <v>40836</v>
      </c>
      <c r="B32439" s="4" t="s">
        <v>40839</v>
      </c>
      <c r="C32439" s="5" t="str">
        <f>IFERROR(__xludf.DUMMYFUNCTION("GOOGLETRANSLATE(B32439,""en"",""fr"")"),"La dame prend quelque chose du sol.")</f>
        <v>La dame prend quelque chose du sol.</v>
      </c>
    </row>
    <row r="32440">
      <c r="A32440" s="4" t="s">
        <v>40836</v>
      </c>
      <c r="B32440" s="4" t="s">
        <v>40840</v>
      </c>
      <c r="C32440" s="5" t="str">
        <f>IFERROR(__xludf.DUMMYFUNCTION("GOOGLETRANSLATE(B32440,""en"",""fr"")"),"La dame essouffle la serviette dans l'évier.")</f>
        <v>La dame essouffle la serviette dans l'évier.</v>
      </c>
    </row>
    <row r="32441">
      <c r="A32441" s="4" t="s">
        <v>40836</v>
      </c>
      <c r="B32441" s="4" t="s">
        <v>40841</v>
      </c>
      <c r="C32441" s="5" t="str">
        <f>IFERROR(__xludf.DUMMYFUNCTION("GOOGLETRANSLATE(B32441,""en"",""fr"")"),"La dame s'éloigne alors.")</f>
        <v>La dame s'éloigne alors.</v>
      </c>
    </row>
    <row r="32442">
      <c r="A32442" s="4" t="s">
        <v>40842</v>
      </c>
      <c r="B32442" s="4" t="s">
        <v>40843</v>
      </c>
      <c r="C32442" s="5" t="str">
        <f>IFERROR(__xludf.DUMMYFUNCTION("GOOGLETRANSLATE(B32442,""en"",""fr"")"),"Nous voyons un écran noir avec l'intro.")</f>
        <v>Nous voyons un écran noir avec l'intro.</v>
      </c>
    </row>
    <row r="32443">
      <c r="A32443" s="4" t="s">
        <v>40842</v>
      </c>
      <c r="B32443" s="4" t="s">
        <v>40844</v>
      </c>
      <c r="C32443" s="5" t="str">
        <f>IFERROR(__xludf.DUMMYFUNCTION("GOOGLETRANSLATE(B32443,""en"",""fr"")"),"Nous voyons des gens en bleu jouer de la batterie.")</f>
        <v>Nous voyons des gens en bleu jouer de la batterie.</v>
      </c>
    </row>
    <row r="32444">
      <c r="A32444" s="4" t="s">
        <v>40842</v>
      </c>
      <c r="B32444" s="4" t="s">
        <v>40845</v>
      </c>
      <c r="C32444" s="5" t="str">
        <f>IFERROR(__xludf.DUMMYFUNCTION("GOOGLETRANSLATE(B32444,""en"",""fr"")"),"Un écran de titre apparaît et nous voyons une autre équipe.")</f>
        <v>Un écran de titre apparaît et nous voyons une autre équipe.</v>
      </c>
    </row>
    <row r="32445">
      <c r="A32445" s="4" t="s">
        <v>40842</v>
      </c>
      <c r="B32445" s="4" t="s">
        <v>40846</v>
      </c>
      <c r="C32445" s="5" t="str">
        <f>IFERROR(__xludf.DUMMYFUNCTION("GOOGLETRANSLATE(B32445,""en"",""fr"")"),"Un autre écran de titre et une équipe avec un homme sautant un ruban.")</f>
        <v>Un autre écran de titre et une équipe avec un homme sautant un ruban.</v>
      </c>
    </row>
    <row r="32446">
      <c r="A32446" s="4" t="s">
        <v>40842</v>
      </c>
      <c r="B32446" s="4" t="s">
        <v>40847</v>
      </c>
      <c r="C32446" s="5" t="str">
        <f>IFERROR(__xludf.DUMMYFUNCTION("GOOGLETRANSLATE(B32446,""en"",""fr"")"),"Le titre apparaît deux fois et nous voyons une équipe rouge.")</f>
        <v>Le titre apparaît deux fois et nous voyons une équipe rouge.</v>
      </c>
    </row>
    <row r="32447">
      <c r="A32447" s="4" t="s">
        <v>40842</v>
      </c>
      <c r="B32447" s="4" t="s">
        <v>40848</v>
      </c>
      <c r="C32447" s="5" t="str">
        <f>IFERROR(__xludf.DUMMYFUNCTION("GOOGLETRANSLATE(B32447,""en"",""fr"")"),"L'écran de titre revient et nous voyons une équipe en violet.")</f>
        <v>L'écran de titre revient et nous voyons une équipe en violet.</v>
      </c>
    </row>
    <row r="32448">
      <c r="A32448" s="4" t="s">
        <v>40842</v>
      </c>
      <c r="B32448" s="4" t="s">
        <v>40849</v>
      </c>
      <c r="C32448" s="5" t="str">
        <f>IFERROR(__xludf.DUMMYFUNCTION("GOOGLETRANSLATE(B32448,""en"",""fr"")"),"Le titre revient 3 fois et les gens sont en plein air.")</f>
        <v>Le titre revient 3 fois et les gens sont en plein air.</v>
      </c>
    </row>
    <row r="32449">
      <c r="A32449" s="4" t="s">
        <v>40842</v>
      </c>
      <c r="B32449" s="4" t="s">
        <v>40850</v>
      </c>
      <c r="C32449" s="5" t="str">
        <f>IFERROR(__xludf.DUMMYFUNCTION("GOOGLETRANSLATE(B32449,""en"",""fr"")"),"Nous voyons des gens se produire devant une foule.")</f>
        <v>Nous voyons des gens se produire devant une foule.</v>
      </c>
    </row>
    <row r="32450">
      <c r="A32450" s="4" t="s">
        <v>40842</v>
      </c>
      <c r="B32450" s="4" t="s">
        <v>40851</v>
      </c>
      <c r="C32450" s="5" t="str">
        <f>IFERROR(__xludf.DUMMYFUNCTION("GOOGLETRANSLATE(B32450,""en"",""fr"")"),"Nous voyons un tas de photos rapides d'équipes, puis l'écran de fin.")</f>
        <v>Nous voyons un tas de photos rapides d'équipes, puis l'écran de fin.</v>
      </c>
    </row>
    <row r="32451">
      <c r="A32451" s="4" t="s">
        <v>40852</v>
      </c>
      <c r="B32451" s="4" t="s">
        <v>40853</v>
      </c>
      <c r="C32451" s="5" t="str">
        <f>IFERROR(__xludf.DUMMYFUNCTION("GOOGLETRANSLATE(B32451,""en"",""fr"")"),"Un cow-boy sur un cheval est libéré d'une porte.")</f>
        <v>Un cow-boy sur un cheval est libéré d'une porte.</v>
      </c>
    </row>
    <row r="32452">
      <c r="A32452" s="4" t="s">
        <v>40852</v>
      </c>
      <c r="B32452" s="4" t="s">
        <v>40854</v>
      </c>
      <c r="C32452" s="5" t="str">
        <f>IFERROR(__xludf.DUMMYFUNCTION("GOOGLETRANSLATE(B32452,""en"",""fr"")"),"Il lassos un peu de mollet.")</f>
        <v>Il lassos un peu de mollet.</v>
      </c>
    </row>
    <row r="32453">
      <c r="A32453" s="4" t="s">
        <v>40852</v>
      </c>
      <c r="B32453" s="4" t="s">
        <v>40855</v>
      </c>
      <c r="C32453" s="5" t="str">
        <f>IFERROR(__xludf.DUMMYFUNCTION("GOOGLETRANSLATE(B32453,""en"",""fr"")"),"Il démonte, puis attache le veau.")</f>
        <v>Il démonte, puis attache le veau.</v>
      </c>
    </row>
    <row r="32454">
      <c r="A32454" s="4" t="s">
        <v>40856</v>
      </c>
      <c r="B32454" s="4" t="s">
        <v>40857</v>
      </c>
      <c r="C32454" s="5" t="str">
        <f>IFERROR(__xludf.DUMMYFUNCTION("GOOGLETRANSLATE(B32454,""en"",""fr"")"),"Plusieurs personnes sont vues errant dans une ville sombre tout en portant des échasses sur leurs pieds pour marcher.")</f>
        <v>Plusieurs personnes sont vues errant dans une ville sombre tout en portant des échasses sur leurs pieds pour marcher.</v>
      </c>
    </row>
    <row r="32455">
      <c r="A32455" s="4" t="s">
        <v>40856</v>
      </c>
      <c r="B32455" s="6" t="s">
        <v>40858</v>
      </c>
      <c r="C32455" s="5" t="str">
        <f>IFERROR(__xludf.DUMMYFUNCTION("GOOGLETRANSLATE(B32455,""en"",""fr"")"),"Les gens continuent de marcher et de sauter sur les échasses tout en agitant vers la caméra et en s'asseyant par terre.")</f>
        <v>Les gens continuent de marcher et de sauter sur les échasses tout en agitant vers la caméra et en s'asseyant par terre.</v>
      </c>
    </row>
    <row r="32456">
      <c r="A32456" s="4" t="s">
        <v>40859</v>
      </c>
      <c r="B32456" s="4" t="s">
        <v>40860</v>
      </c>
      <c r="C32456" s="5" t="str">
        <f>IFERROR(__xludf.DUMMYFUNCTION("GOOGLETRANSLATE(B32456,""en"",""fr"")"),"Un homme est assis dans un piano, l'air confus alors qu'il joue et qu'une femme âgée regarde.")</f>
        <v>Un homme est assis dans un piano, l'air confus alors qu'il joue et qu'une femme âgée regarde.</v>
      </c>
    </row>
    <row r="32457">
      <c r="A32457" s="4" t="s">
        <v>40859</v>
      </c>
      <c r="B32457" s="4" t="s">
        <v>40861</v>
      </c>
      <c r="C32457" s="5" t="str">
        <f>IFERROR(__xludf.DUMMYFUNCTION("GOOGLETRANSLATE(B32457,""en"",""fr"")"),"Il accélère son jeu en l'état.")</f>
        <v>Il accélère son jeu en l'état.</v>
      </c>
    </row>
    <row r="32458">
      <c r="A32458" s="4" t="s">
        <v>40859</v>
      </c>
      <c r="B32458" s="4" t="s">
        <v>40862</v>
      </c>
      <c r="C32458" s="5" t="str">
        <f>IFERROR(__xludf.DUMMYFUNCTION("GOOGLETRANSLATE(B32458,""en"",""fr"")"),"Le public a l'air perplexe et amusé, dansant en place.")</f>
        <v>Le public a l'air perplexe et amusé, dansant en place.</v>
      </c>
    </row>
    <row r="32459">
      <c r="A32459" s="4" t="s">
        <v>40859</v>
      </c>
      <c r="B32459" s="4" t="s">
        <v>40863</v>
      </c>
      <c r="C32459" s="5" t="str">
        <f>IFERROR(__xludf.DUMMYFUNCTION("GOOGLETRANSLATE(B32459,""en"",""fr"")"),"Les gens se lèvent et dansent sur la musique.")</f>
        <v>Les gens se lèvent et dansent sur la musique.</v>
      </c>
    </row>
    <row r="32460">
      <c r="A32460" s="4" t="s">
        <v>40859</v>
      </c>
      <c r="B32460" s="4" t="s">
        <v>40864</v>
      </c>
      <c r="C32460" s="5" t="str">
        <f>IFERROR(__xludf.DUMMYFUNCTION("GOOGLETRANSLATE(B32460,""en"",""fr"")"),"Il s'éloigne ensuite avec son bras chez une femme.")</f>
        <v>Il s'éloigne ensuite avec son bras chez une femme.</v>
      </c>
    </row>
    <row r="32461">
      <c r="A32461" s="4" t="s">
        <v>40865</v>
      </c>
      <c r="B32461" s="4" t="s">
        <v>40866</v>
      </c>
      <c r="C32461" s="5" t="str">
        <f>IFERROR(__xludf.DUMMYFUNCTION("GOOGLETRANSLATE(B32461,""en"",""fr"")"),"Une femme décolle des pommes de terre dans une cuisine rustique.")</f>
        <v>Une femme décolle des pommes de terre dans une cuisine rustique.</v>
      </c>
    </row>
    <row r="32462">
      <c r="A32462" s="4" t="s">
        <v>40865</v>
      </c>
      <c r="B32462" s="4" t="s">
        <v>40867</v>
      </c>
      <c r="C32462" s="5" t="str">
        <f>IFERROR(__xludf.DUMMYFUNCTION("GOOGLETRANSLATE(B32462,""en"",""fr"")"),"Ensuite, la femme prend une autre pomme de terre et la fait décoller avec un couteau.")</f>
        <v>Ensuite, la femme prend une autre pomme de terre et la fait décoller avec un couteau.</v>
      </c>
    </row>
    <row r="32463">
      <c r="A32463" s="4" t="s">
        <v>40865</v>
      </c>
      <c r="B32463" s="4" t="s">
        <v>40868</v>
      </c>
      <c r="C32463" s="5" t="str">
        <f>IFERROR(__xludf.DUMMYFUNCTION("GOOGLETRANSLATE(B32463,""en"",""fr"")"),"Après, la femme met la pommes de terre sur Adish.")</f>
        <v>Après, la femme met la pommes de terre sur Adish.</v>
      </c>
    </row>
    <row r="32464">
      <c r="A32464" s="4" t="s">
        <v>40869</v>
      </c>
      <c r="B32464" s="4" t="s">
        <v>40870</v>
      </c>
      <c r="C32464" s="5" t="str">
        <f>IFERROR(__xludf.DUMMYFUNCTION("GOOGLETRANSLATE(B32464,""en"",""fr"")"),"Deux jeunes homme et un homme jouent à la piscine frappant des boules blanches avec un bâton de repère.")</f>
        <v>Deux jeunes homme et un homme jouent à la piscine frappant des boules blanches avec un bâton de repère.</v>
      </c>
    </row>
    <row r="32465">
      <c r="A32465" s="4" t="s">
        <v>40869</v>
      </c>
      <c r="B32465" s="4" t="s">
        <v>40871</v>
      </c>
      <c r="C32465" s="5" t="str">
        <f>IFERROR(__xludf.DUMMYFUNCTION("GOOGLETRANSLATE(B32465,""en"",""fr"")"),"Le jeune homme frappe des balles qui atterrissent dans la poche de la table de billard.")</f>
        <v>Le jeune homme frappe des balles qui atterrissent dans la poche de la table de billard.</v>
      </c>
    </row>
    <row r="32466">
      <c r="A32466" s="4" t="s">
        <v>40869</v>
      </c>
      <c r="B32466" s="4" t="s">
        <v>40872</v>
      </c>
      <c r="C32466" s="5" t="str">
        <f>IFERROR(__xludf.DUMMYFUNCTION("GOOGLETRANSLATE(B32466,""en"",""fr"")"),"Ensuite, l'homme met les balles dans un triangle métallique et organise d'autres balles.")</f>
        <v>Ensuite, l'homme met les balles dans un triangle métallique et organise d'autres balles.</v>
      </c>
    </row>
    <row r="32467">
      <c r="A32467" s="4" t="s">
        <v>40869</v>
      </c>
      <c r="B32467" s="4" t="s">
        <v>40873</v>
      </c>
      <c r="C32467" s="5" t="str">
        <f>IFERROR(__xludf.DUMMYFUNCTION("GOOGLETRANSLATE(B32467,""en"",""fr"")"),"Après, le jeune homme frappe la balle blanche mais l'arrête immièrement avec les bâtons de repère.")</f>
        <v>Après, le jeune homme frappe la balle blanche mais l'arrête immièrement avec les bâtons de repère.</v>
      </c>
    </row>
    <row r="32468">
      <c r="A32468" s="4" t="s">
        <v>40869</v>
      </c>
      <c r="B32468" s="4" t="s">
        <v>40874</v>
      </c>
      <c r="C32468" s="5" t="str">
        <f>IFERROR(__xludf.DUMMYFUNCTION("GOOGLETRANSLATE(B32468,""en"",""fr"")"),"Ensuite, le jeune homme frappe les balles et envoie une balle blanche dans une poche.")</f>
        <v>Ensuite, le jeune homme frappe les balles et envoie une balle blanche dans une poche.</v>
      </c>
    </row>
    <row r="32469">
      <c r="A32469" s="4" t="s">
        <v>40869</v>
      </c>
      <c r="B32469" s="4" t="s">
        <v>40875</v>
      </c>
      <c r="C32469" s="5" t="str">
        <f>IFERROR(__xludf.DUMMYFUNCTION("GOOGLETRANSLATE(B32469,""en"",""fr"")"),"L'homme frappe une balle blanche et envoie des balles dans la poche.")</f>
        <v>L'homme frappe une balle blanche et envoie des balles dans la poche.</v>
      </c>
    </row>
    <row r="32470">
      <c r="A32470" s="4" t="s">
        <v>40869</v>
      </c>
      <c r="B32470" s="4" t="s">
        <v>40876</v>
      </c>
      <c r="C32470" s="5" t="str">
        <f>IFERROR(__xludf.DUMMYFUNCTION("GOOGLETRANSLATE(B32470,""en"",""fr"")"),"À la fin, le jeune homme met le ballon à l'intérieur d'un triangle métallique.")</f>
        <v>À la fin, le jeune homme met le ballon à l'intérieur d'un triangle métallique.</v>
      </c>
    </row>
    <row r="32471">
      <c r="A32471" s="4" t="s">
        <v>40877</v>
      </c>
      <c r="B32471" s="4" t="s">
        <v>40878</v>
      </c>
      <c r="C32471" s="5" t="str">
        <f>IFERROR(__xludf.DUMMYFUNCTION("GOOGLETRANSLATE(B32471,""en"",""fr"")"),"Trois filles se tiennent ensemble sur un sol vert qui se parle d'un sport.")</f>
        <v>Trois filles se tiennent ensemble sur un sol vert qui se parle d'un sport.</v>
      </c>
    </row>
    <row r="32472">
      <c r="A32472" s="4" t="s">
        <v>40877</v>
      </c>
      <c r="B32472" s="6" t="s">
        <v>40879</v>
      </c>
      <c r="C32472" s="5" t="str">
        <f>IFERROR(__xludf.DUMMYFUNCTION("GOOGLETRANSLATE(B32472,""en"",""fr"")"),"Une personne est ensuite montrée au hockey sur le terrain de jeu, puis revient pour parler de ce qu'elle vient de faire.")</f>
        <v>Une personne est ensuite montrée au hockey sur le terrain de jeu, puis revient pour parler de ce qu'elle vient de faire.</v>
      </c>
    </row>
    <row r="32473">
      <c r="A32473" s="4" t="s">
        <v>40877</v>
      </c>
      <c r="B32473" s="6" t="s">
        <v>40880</v>
      </c>
      <c r="C32473" s="5" t="str">
        <f>IFERROR(__xludf.DUMMYFUNCTION("GOOGLETRANSLATE(B32473,""en"",""fr"")"),"Ensuite, ils passent en revue les bonnes façons de défendre le ballon, puis ils commencent tous à parler un par un du sport.")</f>
        <v>Ensuite, ils passent en revue les bonnes façons de défendre le ballon, puis ils commencent tous à parler un par un du sport.</v>
      </c>
    </row>
    <row r="32474">
      <c r="A32474" s="4" t="s">
        <v>40877</v>
      </c>
      <c r="B32474" s="6" t="s">
        <v>40881</v>
      </c>
      <c r="C32474" s="5" t="str">
        <f>IFERROR(__xludf.DUMMYFUNCTION("GOOGLETRANSLATE(B32474,""en"",""fr"")"),"Après, un écran apparaît avec la question: ""Et si le jeu est lié?"" Et la jeune femme entre en détail pour la réponse.")</f>
        <v>Après, un écran apparaît avec la question: "Et si le jeu est lié?" Et la jeune femme entre en détail pour la réponse.</v>
      </c>
    </row>
    <row r="32475">
      <c r="A32475" s="4" t="s">
        <v>40877</v>
      </c>
      <c r="B32475" s="4" t="s">
        <v>40882</v>
      </c>
      <c r="C32475" s="5" t="str">
        <f>IFERROR(__xludf.DUMMYFUNCTION("GOOGLETRANSLATE(B32475,""en"",""fr"")"),"Enfin, les questions sont répondues et ils se réunissent tous ensemble et terminent la vidéo.")</f>
        <v>Enfin, les questions sont répondues et ils se réunissent tous ensemble et terminent la vidéo.</v>
      </c>
    </row>
    <row r="32476">
      <c r="A32476" s="4" t="s">
        <v>40883</v>
      </c>
      <c r="B32476" s="4" t="s">
        <v>40884</v>
      </c>
      <c r="C32476" s="5" t="str">
        <f>IFERROR(__xludf.DUMMYFUNCTION("GOOGLETRANSLATE(B32476,""en"",""fr"")"),"Les gens pagayent des canoës dans une piscine intérieure.")</f>
        <v>Les gens pagayent des canoës dans une piscine intérieure.</v>
      </c>
    </row>
    <row r="32477">
      <c r="A32477" s="4" t="s">
        <v>40883</v>
      </c>
      <c r="B32477" s="4" t="s">
        <v>40885</v>
      </c>
      <c r="C32477" s="5" t="str">
        <f>IFERROR(__xludf.DUMMYFUNCTION("GOOGLETRANSLATE(B32477,""en"",""fr"")"),"Un garçon palette un canoë.")</f>
        <v>Un garçon palette un canoë.</v>
      </c>
    </row>
    <row r="32478">
      <c r="A32478" s="4" t="s">
        <v>40883</v>
      </c>
      <c r="B32478" s="4" t="s">
        <v>40886</v>
      </c>
      <c r="C32478" s="5" t="str">
        <f>IFERROR(__xludf.DUMMYFUNCTION("GOOGLETRANSLATE(B32478,""en"",""fr"")"),"Le garçon se penche sur le côté et le canoë se retourne.")</f>
        <v>Le garçon se penche sur le côté et le canoë se retourne.</v>
      </c>
    </row>
    <row r="32479">
      <c r="A32479" s="4" t="s">
        <v>40883</v>
      </c>
      <c r="B32479" s="4" t="s">
        <v>40887</v>
      </c>
      <c r="C32479" s="5" t="str">
        <f>IFERROR(__xludf.DUMMYFUNCTION("GOOGLETRANSLATE(B32479,""en"",""fr"")"),"Le garçon nage à la surface de l'eau.")</f>
        <v>Le garçon nage à la surface de l'eau.</v>
      </c>
    </row>
    <row r="32480">
      <c r="A32480" s="4" t="s">
        <v>40888</v>
      </c>
      <c r="B32480" s="4" t="s">
        <v>40889</v>
      </c>
      <c r="C32480" s="5" t="str">
        <f>IFERROR(__xludf.DUMMYFUNCTION("GOOGLETRANSLATE(B32480,""en"",""fr"")"),"Il y a un homme debout sur son pont qui est couvert de neige.")</f>
        <v>Il y a un homme debout sur son pont qui est couvert de neige.</v>
      </c>
    </row>
    <row r="32481">
      <c r="A32481" s="4" t="s">
        <v>40888</v>
      </c>
      <c r="B32481" s="4" t="s">
        <v>40890</v>
      </c>
      <c r="C32481" s="5" t="str">
        <f>IFERROR(__xludf.DUMMYFUNCTION("GOOGLETRANSLATE(B32481,""en"",""fr"")"),"Il s'apprête à monter dans son bain à remous sur son pont.")</f>
        <v>Il s'apprête à monter dans son bain à remous sur son pont.</v>
      </c>
    </row>
    <row r="32482">
      <c r="A32482" s="4" t="s">
        <v>40888</v>
      </c>
      <c r="B32482" s="4" t="s">
        <v>40891</v>
      </c>
      <c r="C32482" s="5" t="str">
        <f>IFERROR(__xludf.DUMMYFUNCTION("GOOGLETRANSLATE(B32482,""en"",""fr"")"),"Il marche au pied nu dans la neige pour entrer dans son bain à remous.")</f>
        <v>Il marche au pied nu dans la neige pour entrer dans son bain à remous.</v>
      </c>
    </row>
    <row r="32483">
      <c r="A32483" s="4" t="s">
        <v>40888</v>
      </c>
      <c r="B32483" s="4" t="s">
        <v>40892</v>
      </c>
      <c r="C32483" s="5" t="str">
        <f>IFERROR(__xludf.DUMMYFUNCTION("GOOGLETRANSLATE(B32483,""en"",""fr"")"),"Il commence à pelleter la neige du pont pour lui faciliter la marche.")</f>
        <v>Il commence à pelleter la neige du pont pour lui faciliter la marche.</v>
      </c>
    </row>
    <row r="32484">
      <c r="A32484" s="4" t="s">
        <v>40888</v>
      </c>
      <c r="B32484" s="4" t="s">
        <v>40893</v>
      </c>
      <c r="C32484" s="5" t="str">
        <f>IFERROR(__xludf.DUMMYFUNCTION("GOOGLETRANSLATE(B32484,""en"",""fr"")"),"Il efface la neige du pont pour créer un chemin vers le bain à remous.")</f>
        <v>Il efface la neige du pont pour créer un chemin vers le bain à remous.</v>
      </c>
    </row>
    <row r="32485">
      <c r="A32485" s="4" t="s">
        <v>40894</v>
      </c>
      <c r="B32485" s="4" t="s">
        <v>40895</v>
      </c>
      <c r="C32485" s="5" t="str">
        <f>IFERROR(__xludf.DUMMYFUNCTION("GOOGLETRANSLATE(B32485,""en"",""fr"")"),"Diverses plans de paysages sont montrés ainsi que des personnes conduites et des autres sont interrogés.")</f>
        <v>Diverses plans de paysages sont montrés ainsi que des personnes conduites et des autres sont interrogés.</v>
      </c>
    </row>
    <row r="32486">
      <c r="A32486" s="4" t="s">
        <v>40894</v>
      </c>
      <c r="B32486" s="6" t="s">
        <v>40896</v>
      </c>
      <c r="C32486" s="5" t="str">
        <f>IFERROR(__xludf.DUMMYFUNCTION("GOOGLETRANSLATE(B32486,""en"",""fr"")"),"Plusieurs plans de personnes sur la plage sont représentés et mènent à des personnes pratiquant divers sports sur la plage.")</f>
        <v>Plusieurs plans de personnes sur la plage sont représentés et mènent à des personnes pratiquant divers sports sur la plage.</v>
      </c>
    </row>
    <row r="32487">
      <c r="A32487" s="4" t="s">
        <v>40894</v>
      </c>
      <c r="B32487" s="4" t="s">
        <v>40897</v>
      </c>
      <c r="C32487" s="5" t="str">
        <f>IFERROR(__xludf.DUMMYFUNCTION("GOOGLETRANSLATE(B32487,""en"",""fr"")"),"Les gens reviennent et quatrième tandis que d'autres interviewent et beaucoup regardent sur les côtés.")</f>
        <v>Les gens reviennent et quatrième tandis que d'autres interviewent et beaucoup regardent sur les côtés.</v>
      </c>
    </row>
    <row r="32488">
      <c r="A32488" s="4" t="s">
        <v>40898</v>
      </c>
      <c r="B32488" s="6" t="s">
        <v>40899</v>
      </c>
      <c r="C32488" s="5" t="str">
        <f>IFERROR(__xludf.DUMMYFUNCTION("GOOGLETRANSLATE(B32488,""en"",""fr"")"),"Une femme est vue en poussant une tondeuse à gazon le long d'une cour et en s'arrêtant pour tirer la corde et la faire avancer.")</f>
        <v>Une femme est vue en poussant une tondeuse à gazon le long d'une cour et en s'arrêtant pour tirer la corde et la faire avancer.</v>
      </c>
    </row>
    <row r="32489">
      <c r="A32489" s="4" t="s">
        <v>40898</v>
      </c>
      <c r="B32489" s="4" t="s">
        <v>40900</v>
      </c>
      <c r="C32489" s="5" t="str">
        <f>IFERROR(__xludf.DUMMYFUNCTION("GOOGLETRANSLATE(B32489,""en"",""fr"")"),"La femme continue de pousser la tondeuse le long de la pelouse et de retourner à l'endroit où elle a commencé.")</f>
        <v>La femme continue de pousser la tondeuse le long de la pelouse et de retourner à l'endroit où elle a commencé.</v>
      </c>
    </row>
    <row r="32490">
      <c r="A32490" s="4" t="s">
        <v>40901</v>
      </c>
      <c r="B32490" s="4" t="s">
        <v>40902</v>
      </c>
      <c r="C32490" s="5" t="str">
        <f>IFERROR(__xludf.DUMMYFUNCTION("GOOGLETRANSLATE(B32490,""en"",""fr"")"),"Une personne est volontaire sur un faisceau suivi de plusieurs autres clips de personnes sautant.")</f>
        <v>Une personne est volontaire sur un faisceau suivi de plusieurs autres clips de personnes sautant.</v>
      </c>
    </row>
    <row r="32491">
      <c r="A32491" s="4" t="s">
        <v>40901</v>
      </c>
      <c r="B32491" s="4" t="s">
        <v>40903</v>
      </c>
      <c r="C32491" s="5" t="str">
        <f>IFERROR(__xludf.DUMMYFUNCTION("GOOGLETRANSLATE(B32491,""en"",""fr"")"),"De plus en plus de personnes sont présentées en utilisant la barre pour se volser sur une poutre.")</f>
        <v>De plus en plus de personnes sont présentées en utilisant la barre pour se volser sur une poutre.</v>
      </c>
    </row>
    <row r="32492">
      <c r="A32492" s="4" t="s">
        <v>40904</v>
      </c>
      <c r="B32492" s="4" t="s">
        <v>40905</v>
      </c>
      <c r="C32492" s="5" t="str">
        <f>IFERROR(__xludf.DUMMYFUNCTION("GOOGLETRANSLATE(B32492,""en"",""fr"")"),"Une rangée de tondeuses, de pinceaux et de rasoirs est montrée.")</f>
        <v>Une rangée de tondeuses, de pinceaux et de rasoirs est montrée.</v>
      </c>
    </row>
    <row r="32493">
      <c r="A32493" s="4" t="s">
        <v>40904</v>
      </c>
      <c r="B32493" s="4" t="s">
        <v>40906</v>
      </c>
      <c r="C32493" s="5" t="str">
        <f>IFERROR(__xludf.DUMMYFUNCTION("GOOGLETRANSLATE(B32493,""en"",""fr"")"),"Peu de temps après, l'avant du bâtiment est indiqué et le nom sur la place est indiqué.")</f>
        <v>Peu de temps après, l'avant du bâtiment est indiqué et le nom sur la place est indiqué.</v>
      </c>
    </row>
    <row r="32494">
      <c r="A32494" s="4" t="s">
        <v>40904</v>
      </c>
      <c r="B32494" s="6" t="s">
        <v>40907</v>
      </c>
      <c r="C32494" s="5" t="str">
        <f>IFERROR(__xludf.DUMMYFUNCTION("GOOGLETRANSLATE(B32494,""en"",""fr"")"),"Un homme aux longs cheveux bouclés est montré assis dans le salon de coiffure en train de descendre ses cheveux et le coiffeur utilise une combinaison de ciseaux, de pinceaux et de séchoirs pour compléter le look.")</f>
        <v>Un homme aux longs cheveux bouclés est montré assis dans le salon de coiffure en train de descendre ses cheveux et le coiffeur utilise une combinaison de ciseaux, de pinceaux et de séchoirs pour compléter le look.</v>
      </c>
    </row>
    <row r="32495">
      <c r="A32495" s="4" t="s">
        <v>40904</v>
      </c>
      <c r="B32495" s="4" t="s">
        <v>40908</v>
      </c>
      <c r="C32495" s="5" t="str">
        <f>IFERROR(__xludf.DUMMYFUNCTION("GOOGLETRANSLATE(B32495,""en"",""fr"")"),"Une fois terminé, une image immobile du coiffeur et de ses informations sont indiquées pour la publicité.")</f>
        <v>Une fois terminé, une image immobile du coiffeur et de ses informations sont indiquées pour la publicité.</v>
      </c>
    </row>
    <row r="32496">
      <c r="A32496" s="4" t="s">
        <v>40909</v>
      </c>
      <c r="B32496" s="6" t="s">
        <v>40910</v>
      </c>
      <c r="C32496" s="5" t="str">
        <f>IFERROR(__xludf.DUMMYFUNCTION("GOOGLETRANSLATE(B32496,""en"",""fr"")"),"Une personne est vue monter sur un cheval autour des autres tout en parlant à d'autres personnes et aux enfants qui tiennent un panneau.")</f>
        <v>Une personne est vue monter sur un cheval autour des autres tout en parlant à d'autres personnes et aux enfants qui tiennent un panneau.</v>
      </c>
    </row>
    <row r="32497">
      <c r="A32497" s="4" t="s">
        <v>40909</v>
      </c>
      <c r="B32497" s="4" t="s">
        <v>40911</v>
      </c>
      <c r="C32497" s="5" t="str">
        <f>IFERROR(__xludf.DUMMYFUNCTION("GOOGLETRANSLATE(B32497,""en"",""fr"")"),"Les enfants continuent de tenir des panneaux et de regarder la caméra tandis que plus de gens roulent sur des chevaux.")</f>
        <v>Les enfants continuent de tenir des panneaux et de regarder la caméra tandis que plus de gens roulent sur des chevaux.</v>
      </c>
    </row>
    <row r="32498">
      <c r="A32498" s="4" t="s">
        <v>40909</v>
      </c>
      <c r="B32498" s="4" t="s">
        <v>40912</v>
      </c>
      <c r="C32498" s="5" t="str">
        <f>IFERROR(__xludf.DUMMYFUNCTION("GOOGLETRANSLATE(B32498,""en"",""fr"")"),"Plus de clips sont représentés par des personnes chevauchant des chevaux et des enfants portant des casques.")</f>
        <v>Plus de clips sont représentés par des personnes chevauchant des chevaux et des enfants portant des casques.</v>
      </c>
    </row>
    <row r="32499">
      <c r="A32499" s="4" t="s">
        <v>40913</v>
      </c>
      <c r="B32499" s="4" t="s">
        <v>40914</v>
      </c>
      <c r="C32499" s="5" t="str">
        <f>IFERROR(__xludf.DUMMYFUNCTION("GOOGLETRANSLATE(B32499,""en"",""fr"")"),"Un homme est assis dans l'eau en tenant une corde.")</f>
        <v>Un homme est assis dans l'eau en tenant une corde.</v>
      </c>
    </row>
    <row r="32500">
      <c r="A32500" s="4" t="s">
        <v>40913</v>
      </c>
      <c r="B32500" s="4" t="s">
        <v>40915</v>
      </c>
      <c r="C32500" s="5" t="str">
        <f>IFERROR(__xludf.DUMMYFUNCTION("GOOGLETRANSLATE(B32500,""en"",""fr"")"),"Il se lève et commence le wakeboard.")</f>
        <v>Il se lève et commence le wakeboard.</v>
      </c>
    </row>
    <row r="32501">
      <c r="A32501" s="4" t="s">
        <v>40913</v>
      </c>
      <c r="B32501" s="4" t="s">
        <v>40916</v>
      </c>
      <c r="C32501" s="5" t="str">
        <f>IFERROR(__xludf.DUMMYFUNCTION("GOOGLETRANSLATE(B32501,""en"",""fr"")"),"Il retombe dans l'eau.")</f>
        <v>Il retombe dans l'eau.</v>
      </c>
    </row>
    <row r="32502">
      <c r="A32502" s="4" t="s">
        <v>40917</v>
      </c>
      <c r="B32502" s="4" t="s">
        <v>40918</v>
      </c>
      <c r="C32502" s="5" t="str">
        <f>IFERROR(__xludf.DUMMYFUNCTION("GOOGLETRANSLATE(B32502,""en"",""fr"")"),"Deux lignes de personnes se dressent sur une longue corde.")</f>
        <v>Deux lignes de personnes se dressent sur une longue corde.</v>
      </c>
    </row>
    <row r="32503">
      <c r="A32503" s="4" t="s">
        <v>40917</v>
      </c>
      <c r="B32503" s="4" t="s">
        <v>40919</v>
      </c>
      <c r="C32503" s="5" t="str">
        <f>IFERROR(__xludf.DUMMYFUNCTION("GOOGLETRANSLATE(B32503,""en"",""fr"")"),"Chaque ligne reprend la corde et commence à jouer à la corde de remorqueur pendant qu'une grande foule regarde.")</f>
        <v>Chaque ligne reprend la corde et commence à jouer à la corde de remorqueur pendant qu'une grande foule regarde.</v>
      </c>
    </row>
    <row r="32504">
      <c r="A32504" s="4" t="s">
        <v>40917</v>
      </c>
      <c r="B32504" s="4" t="s">
        <v>40920</v>
      </c>
      <c r="C32504" s="5" t="str">
        <f>IFERROR(__xludf.DUMMYFUNCTION("GOOGLETRANSLATE(B32504,""en"",""fr"")"),"L'équipe portant des chemises bleu clair gagne le tour.")</f>
        <v>L'équipe portant des chemises bleu clair gagne le tour.</v>
      </c>
    </row>
    <row r="32505">
      <c r="A32505" s="4" t="s">
        <v>40921</v>
      </c>
      <c r="B32505" s="6" t="s">
        <v>40922</v>
      </c>
      <c r="C32505" s="5" t="str">
        <f>IFERROR(__xludf.DUMMYFUNCTION("GOOGLETRANSLATE(B32505,""en"",""fr"")"),"Un écran d'introduction blanc apparaît avec de petites images de cercle d'un homme en haut à gauche, une femme en bas à droite, et les mots ""accrochés à une formation intelligente pour les femmes occupées"" au milieu.")</f>
        <v>Un écran d'introduction blanc apparaît avec de petites images de cercle d'un homme en haut à gauche, une femme en bas à droite, et les mots "accrochés à une formation intelligente pour les femmes occupées" au milieu.</v>
      </c>
    </row>
    <row r="32506">
      <c r="A32506" s="4" t="s">
        <v>40921</v>
      </c>
      <c r="B32506" s="6" t="s">
        <v>40923</v>
      </c>
      <c r="C32506" s="5" t="str">
        <f>IFERROR(__xludf.DUMMYFUNCTION("GOOGLETRANSLATE(B32506,""en"",""fr"")"),"Une femme portant un chapeau, des lunettes et un haut rose vif à manches longues se tient devant un mur de briques et parle.")</f>
        <v>Une femme portant un chapeau, des lunettes et un haut rose vif à manches longues se tient devant un mur de briques et parle.</v>
      </c>
    </row>
    <row r="32507">
      <c r="A32507" s="4" t="s">
        <v>40921</v>
      </c>
      <c r="B32507" s="6" t="s">
        <v>40924</v>
      </c>
      <c r="C32507" s="5" t="str">
        <f>IFERROR(__xludf.DUMMYFUNCTION("GOOGLETRANSLATE(B32507,""en"",""fr"")"),"La femme se tient maintenant derrière une table et met des papiers froissés dans une chaussure de course et le farcir autant qu'elle le peut.")</f>
        <v>La femme se tient maintenant derrière une table et met des papiers froissés dans une chaussure de course et le farcir autant qu'elle le peut.</v>
      </c>
    </row>
    <row r="32508">
      <c r="A32508" s="4" t="s">
        <v>40921</v>
      </c>
      <c r="B32508" s="4" t="s">
        <v>40925</v>
      </c>
      <c r="C32508" s="5" t="str">
        <f>IFERROR(__xludf.DUMMYFUNCTION("GOOGLETRANSLATE(B32508,""en"",""fr"")"),"La femme attrape ensuite une semelle rose de la chaussure et verse du bicarbonate de soude partout.")</f>
        <v>La femme attrape ensuite une semelle rose de la chaussure et verse du bicarbonate de soude partout.</v>
      </c>
    </row>
    <row r="32509">
      <c r="A32509" s="4" t="s">
        <v>40921</v>
      </c>
      <c r="B32509" s="6" t="s">
        <v>40926</v>
      </c>
      <c r="C32509" s="5" t="str">
        <f>IFERROR(__xludf.DUMMYFUNCTION("GOOGLETRANSLATE(B32509,""en"",""fr"")"),"La femme attrape ensuite une brosse à dents et le spectacle qu'elle vient de fourrer et fait un nettoyage mais ne le fait pas vraiment, puis met à la fois la brosse à dents et la chaussure hors de vue.")</f>
        <v>La femme attrape ensuite une brosse à dents et le spectacle qu'elle vient de fourrer et fait un nettoyage mais ne le fait pas vraiment, puis met à la fois la brosse à dents et la chaussure hors de vue.</v>
      </c>
    </row>
    <row r="32510">
      <c r="A32510" s="4" t="s">
        <v>40921</v>
      </c>
      <c r="B32510" s="6" t="s">
        <v>40927</v>
      </c>
      <c r="C32510" s="5" t="str">
        <f>IFERROR(__xludf.DUMMYFUNCTION("GOOGLETRANSLATE(B32510,""en"",""fr"")"),"La femme attrape une autre paire de chaussures, la chaussure droite est sans relâche et la chaussure de gauche est lacée et elle les tient puis les pose.")</f>
        <v>La femme attrape une autre paire de chaussures, la chaussure droite est sans relâche et la chaussure de gauche est lacée et elle les tient puis les pose.</v>
      </c>
    </row>
    <row r="32511">
      <c r="A32511" s="4" t="s">
        <v>40928</v>
      </c>
      <c r="B32511" s="4" t="s">
        <v>40929</v>
      </c>
      <c r="C32511" s="5" t="str">
        <f>IFERROR(__xludf.DUMMYFUNCTION("GOOGLETRANSLATE(B32511,""en"",""fr"")"),"Un cheval noir se tient dans une écurie avec plusieurs choses jaunes sur ses cheveux.")</f>
        <v>Un cheval noir se tient dans une écurie avec plusieurs choses jaunes sur ses cheveux.</v>
      </c>
    </row>
    <row r="32512">
      <c r="A32512" s="4" t="s">
        <v>40928</v>
      </c>
      <c r="B32512" s="4" t="s">
        <v>40930</v>
      </c>
      <c r="C32512" s="5" t="str">
        <f>IFERROR(__xludf.DUMMYFUNCTION("GOOGLETRANSLATE(B32512,""en"",""fr"")"),"Une femme apparaît alors et commence à raser tous les cheveux du cheval.")</f>
        <v>Une femme apparaît alors et commence à raser tous les cheveux du cheval.</v>
      </c>
    </row>
    <row r="32513">
      <c r="A32513" s="4" t="s">
        <v>40928</v>
      </c>
      <c r="B32513" s="6" t="s">
        <v>40931</v>
      </c>
      <c r="C32513" s="5" t="str">
        <f>IFERROR(__xludf.DUMMYFUNCTION("GOOGLETRANSLATE(B32513,""en"",""fr"")"),"Le côté a complètement disparu et lorsqu'elle se déplace de l'arrière, elle passe sous son corps pour enlever ces cheveux également.")</f>
        <v>Le côté a complètement disparu et lorsqu'elle se déplace de l'arrière, elle passe sous son corps pour enlever ces cheveux également.</v>
      </c>
    </row>
    <row r="32514">
      <c r="A32514" s="4" t="s">
        <v>40932</v>
      </c>
      <c r="B32514" s="4" t="s">
        <v>40933</v>
      </c>
      <c r="C32514" s="5" t="str">
        <f>IFERROR(__xludf.DUMMYFUNCTION("GOOGLETRANSLATE(B32514,""en"",""fr"")"),"Un homme est vu debout devant une fenêtre parlant à la caméra tout en portant un casque.")</f>
        <v>Un homme est vu debout devant une fenêtre parlant à la caméra tout en portant un casque.</v>
      </c>
    </row>
    <row r="32515">
      <c r="A32515" s="4" t="s">
        <v>40932</v>
      </c>
      <c r="B32515" s="6" t="s">
        <v>40934</v>
      </c>
      <c r="C32515" s="5" t="str">
        <f>IFERROR(__xludf.DUMMYFUNCTION("GOOGLETRANSLATE(B32515,""en"",""fr"")"),"L'homme se brosse ensuite les côtés de la fenêtre et pointe en arrière et quatrième jusqu'à la fenêtre tout en parlant à la caméra.")</f>
        <v>L'homme se brosse ensuite les côtés de la fenêtre et pointe en arrière et quatrième jusqu'à la fenêtre tout en parlant à la caméra.</v>
      </c>
    </row>
    <row r="32516">
      <c r="A32516" s="4" t="s">
        <v>40935</v>
      </c>
      <c r="B32516" s="4" t="s">
        <v>40936</v>
      </c>
      <c r="C32516" s="5" t="str">
        <f>IFERROR(__xludf.DUMMYFUNCTION("GOOGLETRANSLATE(B32516,""en"",""fr"")"),"Un homme est montré à la caméra puis à s'agenouiller et appuye sur le tapis avec un outil.")</f>
        <v>Un homme est montré à la caméra puis à s'agenouiller et appuye sur le tapis avec un outil.</v>
      </c>
    </row>
    <row r="32517">
      <c r="A32517" s="4" t="s">
        <v>40935</v>
      </c>
      <c r="B32517" s="4" t="s">
        <v>40937</v>
      </c>
      <c r="C32517" s="5" t="str">
        <f>IFERROR(__xludf.DUMMYFUNCTION("GOOGLETRANSLATE(B32517,""en"",""fr"")"),"Il se visse ensuite dans les escaliers et s'agenouille tout en parlant à la caméra.")</f>
        <v>Il se visse ensuite dans les escaliers et s'agenouille tout en parlant à la caméra.</v>
      </c>
    </row>
    <row r="32518">
      <c r="A32518" s="4" t="s">
        <v>40938</v>
      </c>
      <c r="B32518" s="4" t="s">
        <v>40939</v>
      </c>
      <c r="C32518" s="5" t="str">
        <f>IFERROR(__xludf.DUMMYFUNCTION("GOOGLETRANSLATE(B32518,""en"",""fr"")"),"Une femme parle et montre sa longue tresse française.")</f>
        <v>Une femme parle et montre sa longue tresse française.</v>
      </c>
    </row>
    <row r="32519">
      <c r="A32519" s="4" t="s">
        <v>40938</v>
      </c>
      <c r="B32519" s="4" t="s">
        <v>40940</v>
      </c>
      <c r="C32519" s="5" t="str">
        <f>IFERROR(__xludf.DUMMYFUNCTION("GOOGLETRANSLATE(B32519,""en"",""fr"")"),"Ensuite, la femme allonge sur le lit et brossez ses cheveux à la frontière du lit.")</f>
        <v>Ensuite, la femme allonge sur le lit et brossez ses cheveux à la frontière du lit.</v>
      </c>
    </row>
    <row r="32520">
      <c r="A32520" s="4" t="s">
        <v>40938</v>
      </c>
      <c r="B32520" s="4" t="s">
        <v>40941</v>
      </c>
      <c r="C32520" s="5" t="str">
        <f>IFERROR(__xludf.DUMMYFUNCTION("GOOGLETRANSLATE(B32520,""en"",""fr"")"),"Ensuite, la femme prend une serrure de cheveux avant et de tresse en prenant les cheveux des côtés.")</f>
        <v>Ensuite, la femme prend une serrure de cheveux avant et de tresse en prenant les cheveux des côtés.</v>
      </c>
    </row>
    <row r="32521">
      <c r="A32521" s="4" t="s">
        <v>40938</v>
      </c>
      <c r="B32521" s="4" t="s">
        <v>40942</v>
      </c>
      <c r="C32521" s="5" t="str">
        <f>IFERROR(__xludf.DUMMYFUNCTION("GOOGLETRANSLATE(B32521,""en"",""fr"")"),"Ensuite, la femme montre la tresse en continuant à parler.")</f>
        <v>Ensuite, la femme montre la tresse en continuant à parler.</v>
      </c>
    </row>
    <row r="32522">
      <c r="A32522" s="4" t="s">
        <v>40943</v>
      </c>
      <c r="B32522" s="4" t="s">
        <v>40944</v>
      </c>
      <c r="C32522" s="5" t="str">
        <f>IFERROR(__xludf.DUMMYFUNCTION("GOOGLETRANSLATE(B32522,""en"",""fr"")"),"Il y a un plongeur participant à un événement dans un grand stade dans de nombreux spectateurs.")</f>
        <v>Il y a un plongeur participant à un événement dans un grand stade dans de nombreux spectateurs.</v>
      </c>
    </row>
    <row r="32523">
      <c r="A32523" s="4" t="s">
        <v>40943</v>
      </c>
      <c r="B32523" s="4" t="s">
        <v>40945</v>
      </c>
      <c r="C32523" s="5" t="str">
        <f>IFERROR(__xludf.DUMMYFUNCTION("GOOGLETRANSLATE(B32523,""en"",""fr"")"),"Il saute du tableau de bord et plonge dans la piscine profonde.")</f>
        <v>Il saute du tableau de bord et plonge dans la piscine profonde.</v>
      </c>
    </row>
    <row r="32524">
      <c r="A32524" s="4" t="s">
        <v>40943</v>
      </c>
      <c r="B32524" s="4" t="s">
        <v>40946</v>
      </c>
      <c r="C32524" s="5" t="str">
        <f>IFERROR(__xludf.DUMMYFUNCTION("GOOGLETRANSLATE(B32524,""en"",""fr"")"),"Pendant la plongée, il se cogne accidentellement la tête sur le plongeon et se blesse.")</f>
        <v>Pendant la plongée, il se cogne accidentellement la tête sur le plongeon et se blesse.</v>
      </c>
    </row>
    <row r="32525">
      <c r="A32525" s="4" t="s">
        <v>40943</v>
      </c>
      <c r="B32525" s="4" t="s">
        <v>40947</v>
      </c>
      <c r="C32525" s="5" t="str">
        <f>IFERROR(__xludf.DUMMYFUNCTION("GOOGLETRANSLATE(B32525,""en"",""fr"")"),"Il exprime la douleur alors qu'il descend de la piscine et son entraîneur vient l'aider.")</f>
        <v>Il exprime la douleur alors qu'il descend de la piscine et son entraîneur vient l'aider.</v>
      </c>
    </row>
    <row r="32526">
      <c r="A32526" s="4" t="s">
        <v>40943</v>
      </c>
      <c r="B32526" s="6" t="s">
        <v>40948</v>
      </c>
      <c r="C32526" s="5" t="str">
        <f>IFERROR(__xludf.DUMMYFUNCTION("GOOGLETRANSLATE(B32526,""en"",""fr"")"),"La deuxième fois que le plongeur plonge, il parvient à faire avec succès la piscine sans blessures.")</f>
        <v>La deuxième fois que le plongeur plonge, il parvient à faire avec succès la piscine sans blessures.</v>
      </c>
    </row>
    <row r="32527">
      <c r="A32527" s="4" t="s">
        <v>40943</v>
      </c>
      <c r="B32527" s="6" t="s">
        <v>40949</v>
      </c>
      <c r="C32527" s="5" t="str">
        <f>IFERROR(__xludf.DUMMYFUNCTION("GOOGLETRANSLATE(B32527,""en"",""fr"")"),"Un autre événement de plongée historique est montré où le plongeur se blesse accidentellement sur la tête sur le plongeur tout en plongeant dans la piscine.")</f>
        <v>Un autre événement de plongée historique est montré où le plongeur se blesse accidentellement sur la tête sur le plongeur tout en plongeant dans la piscine.</v>
      </c>
    </row>
    <row r="32528">
      <c r="A32528" s="4" t="s">
        <v>40950</v>
      </c>
      <c r="B32528" s="4" t="s">
        <v>40951</v>
      </c>
      <c r="C32528" s="5" t="str">
        <f>IFERROR(__xludf.DUMMYFUNCTION("GOOGLETRANSLATE(B32528,""en"",""fr"")"),"Un petit groupe de personnes est vu debout dans une zone clôturée avec un homme assis sur un cheval.")</f>
        <v>Un petit groupe de personnes est vu debout dans une zone clôturée avec un homme assis sur un cheval.</v>
      </c>
    </row>
    <row r="32529">
      <c r="A32529" s="4" t="s">
        <v>40950</v>
      </c>
      <c r="B32529" s="4" t="s">
        <v>40952</v>
      </c>
      <c r="C32529" s="5" t="str">
        <f>IFERROR(__xludf.DUMMYFUNCTION("GOOGLETRANSLATE(B32529,""en"",""fr"")"),"L'homme monte dans la fosse et poursuit un mollet avec une corde.")</f>
        <v>L'homme monte dans la fosse et poursuit un mollet avec une corde.</v>
      </c>
    </row>
    <row r="32530">
      <c r="A32530" s="4" t="s">
        <v>40950</v>
      </c>
      <c r="B32530" s="6" t="s">
        <v>40953</v>
      </c>
      <c r="C32530" s="5" t="str">
        <f>IFERROR(__xludf.DUMMYFUNCTION("GOOGLETRANSLATE(B32530,""en"",""fr"")"),"L'homme attache le veau après qu'il soit attrapé et remonte sur le cheval tandis qu'un autre détache le veau.")</f>
        <v>L'homme attache le veau après qu'il soit attrapé et remonte sur le cheval tandis qu'un autre détache le veau.</v>
      </c>
    </row>
    <row r="32531">
      <c r="A32531" s="4" t="s">
        <v>40954</v>
      </c>
      <c r="B32531" s="4" t="s">
        <v>40955</v>
      </c>
      <c r="C32531" s="5" t="str">
        <f>IFERROR(__xludf.DUMMYFUNCTION("GOOGLETRANSLATE(B32531,""en"",""fr"")"),"Il y a des enfants qui rebondissent dans les trampolines.")</f>
        <v>Il y a des enfants qui rebondissent dans les trampolines.</v>
      </c>
    </row>
    <row r="32532">
      <c r="A32532" s="4" t="s">
        <v>40954</v>
      </c>
      <c r="B32532" s="4" t="s">
        <v>40956</v>
      </c>
      <c r="C32532" s="5" t="str">
        <f>IFERROR(__xludf.DUMMYFUNCTION("GOOGLETRANSLATE(B32532,""en"",""fr"")"),"Plusieurs enfants sautent de haut en bas.")</f>
        <v>Plusieurs enfants sautent de haut en bas.</v>
      </c>
    </row>
    <row r="32533">
      <c r="A32533" s="4" t="s">
        <v>40954</v>
      </c>
      <c r="B32533" s="4" t="s">
        <v>40957</v>
      </c>
      <c r="C32533" s="5" t="str">
        <f>IFERROR(__xludf.DUMMYFUNCTION("GOOGLETRANSLATE(B32533,""en"",""fr"")"),"La caméra est très tremblante.")</f>
        <v>La caméra est très tremblante.</v>
      </c>
    </row>
    <row r="32534">
      <c r="A32534" s="4" t="s">
        <v>40958</v>
      </c>
      <c r="B32534" s="4" t="s">
        <v>27352</v>
      </c>
      <c r="C32534" s="5" t="str">
        <f>IFERROR(__xludf.DUMMYFUNCTION("GOOGLETRANSLATE(B32534,""en"",""fr"")"),"Les enfants sont assis dans des voitures tamponneuses.")</f>
        <v>Les enfants sont assis dans des voitures tamponneuses.</v>
      </c>
    </row>
    <row r="32535">
      <c r="A32535" s="4" t="s">
        <v>40958</v>
      </c>
      <c r="B32535" s="4" t="s">
        <v>40959</v>
      </c>
      <c r="C32535" s="5" t="str">
        <f>IFERROR(__xludf.DUMMYFUNCTION("GOOGLETRANSLATE(B32535,""en"",""fr"")"),"Ils commencent à aller et se cognent.")</f>
        <v>Ils commencent à aller et se cognent.</v>
      </c>
    </row>
    <row r="32536">
      <c r="A32536" s="4" t="s">
        <v>40958</v>
      </c>
      <c r="B32536" s="4" t="s">
        <v>40960</v>
      </c>
      <c r="C32536" s="5" t="str">
        <f>IFERROR(__xludf.DUMMYFUNCTION("GOOGLETRANSLATE(B32536,""en"",""fr"")"),"Les gens se tiennent derrière la porte les regardant.")</f>
        <v>Les gens se tiennent derrière la porte les regardant.</v>
      </c>
    </row>
    <row r="32537">
      <c r="A32537" s="4" t="s">
        <v>40958</v>
      </c>
      <c r="B32537" s="4" t="s">
        <v>40961</v>
      </c>
      <c r="C32537" s="5" t="str">
        <f>IFERROR(__xludf.DUMMYFUNCTION("GOOGLETRANSLATE(B32537,""en"",""fr"")"),"Un homme en chemise bleue marche devant eux.")</f>
        <v>Un homme en chemise bleue marche devant eux.</v>
      </c>
    </row>
    <row r="32538">
      <c r="A32538" s="4" t="s">
        <v>40962</v>
      </c>
      <c r="B32538" s="6" t="s">
        <v>40963</v>
      </c>
      <c r="C32538" s="5" t="str">
        <f>IFERROR(__xludf.DUMMYFUNCTION("GOOGLETRANSLATE(B32538,""en"",""fr"")"),"Une intro qui est un écran bleu avec des mots blancs qui lisent ""Megazip Sentosa Dot Singapore Dot novembre 2010"" apparaissent à l'écran.")</f>
        <v>Une intro qui est un écran bleu avec des mots blancs qui lisent "Megazip Sentosa Dot Singapore Dot novembre 2010" apparaissent à l'écran.</v>
      </c>
    </row>
    <row r="32539">
      <c r="A32539" s="4" t="s">
        <v>40962</v>
      </c>
      <c r="B32539" s="4" t="s">
        <v>40964</v>
      </c>
      <c r="C32539" s="5" t="str">
        <f>IFERROR(__xludf.DUMMYFUNCTION("GOOGLETRANSLATE(B32539,""en"",""fr"")"),"Quatre personnes apparaissent près d'une balustrade où elles sont toutes attachées à des harnais.")</f>
        <v>Quatre personnes apparaissent près d'une balustrade où elles sont toutes attachées à des harnais.</v>
      </c>
    </row>
    <row r="32540">
      <c r="A32540" s="4" t="s">
        <v>40962</v>
      </c>
      <c r="B32540" s="6" t="s">
        <v>40965</v>
      </c>
      <c r="C32540" s="5" t="str">
        <f>IFERROR(__xludf.DUMMYFUNCTION("GOOGLETRANSLATE(B32540,""en"",""fr"")"),"Un homme met sa main sur l'épaule de la femme et la guide à l'ouverture où elle doit partir, mais un écran bleu apparaît avec les mots blancs dire ""oui"", puis il retourne à la femme en train de se préparer à sauter et elle plie ses genoux Et un écran bl"&amp;"eu apparaît et dit ""non"", et elle secoue la tête et recule.")</f>
        <v>Un homme met sa main sur l'épaule de la femme et la guide à l'ouverture où elle doit partir, mais un écran bleu apparaît avec les mots blancs dire "oui", puis il retourne à la femme en train de se préparer à sauter et elle plie ses genoux Et un écran bleu apparaît et dit "non", et elle secoue la tête et recule.</v>
      </c>
    </row>
    <row r="32541">
      <c r="A32541" s="4" t="s">
        <v>40962</v>
      </c>
      <c r="B32541" s="6" t="s">
        <v>40966</v>
      </c>
      <c r="C32541" s="5" t="str">
        <f>IFERROR(__xludf.DUMMYFUNCTION("GOOGLETRANSLATE(B32541,""en"",""fr"")"),"Un écran bleu apparaît à nouveau et il dit ""ok peut-être"" et la femme se prépare à nouveau à sauter à l'ouverture et en même temps que l'autre homme attaché au harnais est également prêt à partir.")</f>
        <v>Un écran bleu apparaît à nouveau et il dit "ok peut-être" et la femme se prépare à nouveau à sauter à l'ouverture et en même temps que l'autre homme attaché au harnais est également prêt à partir.</v>
      </c>
    </row>
    <row r="32542">
      <c r="A32542" s="4" t="s">
        <v>40962</v>
      </c>
      <c r="B32542" s="6" t="s">
        <v>40967</v>
      </c>
      <c r="C32542" s="5" t="str">
        <f>IFERROR(__xludf.DUMMYFUNCTION("GOOGLETRANSLATE(B32542,""en"",""fr"")"),"Un écran bleu apparaît qui dit ""non"" mais la femme et l'homme lâchent prise et ils partent à zip sur la forêt verte fortement des arbres ci-dessous et un écran bleu apparaît à nouveau et de dire ""Je pense qu'elle a dit oui?"".")</f>
        <v>Un écran bleu apparaît qui dit "non" mais la femme et l'homme lâchent prise et ils partent à zip sur la forêt verte fortement des arbres ci-dessous et un écran bleu apparaît à nouveau et de dire "Je pense qu'elle a dit oui?".</v>
      </c>
    </row>
    <row r="32543">
      <c r="A32543" s="4" t="s">
        <v>40962</v>
      </c>
      <c r="B32543" s="6" t="s">
        <v>40968</v>
      </c>
      <c r="C32543" s="5" t="str">
        <f>IFERROR(__xludf.DUMMYFUNCTION("GOOGLETRANSLATE(B32543,""en"",""fr"")"),"Un nouveau groupe est maintenant exploité et ils sont filmés en train de descendre la tyrolienne et l'homme tenant la caméra le tourne vers lui pour révéler un coup de près de son visage souriant ainsi que le paysage qui l'entoure, notamment la forêt en d"&amp;"essous eux et la plage au point de fin.")</f>
        <v>Un nouveau groupe est maintenant exploité et ils sont filmés en train de descendre la tyrolienne et l'homme tenant la caméra le tourne vers lui pour révéler un coup de près de son visage souriant ainsi que le paysage qui l'entoure, notamment la forêt en dessous eux et la plage au point de fin.</v>
      </c>
    </row>
    <row r="32544">
      <c r="A32544" s="4" t="s">
        <v>40962</v>
      </c>
      <c r="B32544" s="6" t="s">
        <v>40969</v>
      </c>
      <c r="C32544" s="5" t="str">
        <f>IFERROR(__xludf.DUMMYFUNCTION("GOOGLETRANSLATE(B32544,""en"",""fr"")"),"Ils atteignent la fin de la tyrolienne et le travailleur commence à les tirer au point d'atterrissage où un gros plan du travailleur apparaît et il a également un grand sourire sur son visage pendant que d'autres doublures zippées se tiennent là et souria"&amp;"nt également.")</f>
        <v>Ils atteignent la fin de la tyrolienne et le travailleur commence à les tirer au point d'atterrissage où un gros plan du travailleur apparaît et il a également un grand sourire sur son visage pendant que d'autres doublures zippées se tiennent là et souriant également.</v>
      </c>
    </row>
    <row r="32545">
      <c r="A32545" s="4" t="s">
        <v>40962</v>
      </c>
      <c r="B32545" s="4" t="s">
        <v>40970</v>
      </c>
      <c r="C32545" s="5" t="str">
        <f>IFERROR(__xludf.DUMMYFUNCTION("GOOGLETRANSLATE(B32545,""en"",""fr"")"),"La vue passe à la vue au sol et il montre à quoi ressemblent les doublures zippées à partir du sol.")</f>
        <v>La vue passe à la vue au sol et il montre à quoi ressemblent les doublures zippées à partir du sol.</v>
      </c>
    </row>
    <row r="32546">
      <c r="A32546" s="4" t="s">
        <v>40962</v>
      </c>
      <c r="B32546" s="4" t="s">
        <v>40971</v>
      </c>
      <c r="C32546" s="5" t="str">
        <f>IFERROR(__xludf.DUMMYFUNCTION("GOOGLETRANSLATE(B32546,""en"",""fr"")"),"L'ouvre-outro bleu apparaît et les mots ""Sentosa Megazip novembre 2010 la fin"" sont affichés.")</f>
        <v>L'ouvre-outro bleu apparaît et les mots "Sentosa Megazip novembre 2010 la fin" sont affichés.</v>
      </c>
    </row>
    <row r="32547">
      <c r="A32547" s="4" t="s">
        <v>40972</v>
      </c>
      <c r="B32547" s="4" t="s">
        <v>40973</v>
      </c>
      <c r="C32547" s="5" t="str">
        <f>IFERROR(__xludf.DUMMYFUNCTION("GOOGLETRANSLATE(B32547,""en"",""fr"")"),"Un jeune mâle vêtu d'une combinaison rouge est sur la scénario dansant.")</f>
        <v>Un jeune mâle vêtu d'une combinaison rouge est sur la scénario dansant.</v>
      </c>
    </row>
    <row r="32548">
      <c r="A32548" s="4" t="s">
        <v>40972</v>
      </c>
      <c r="B32548" s="6" t="s">
        <v>40974</v>
      </c>
      <c r="C32548" s="5" t="str">
        <f>IFERROR(__xludf.DUMMYFUNCTION("GOOGLETRANSLATE(B32548,""en"",""fr"")"),"Une fois qu'il a terminé, un groupe de gars l'essaise et ils pointent tous vers un autre garçon afin qu'il puisse monter sur scène.")</f>
        <v>Une fois qu'il a terminé, un groupe de gars l'essaise et ils pointent tous vers un autre garçon afin qu'il puisse monter sur scène.</v>
      </c>
    </row>
    <row r="32549">
      <c r="A32549" s="4" t="s">
        <v>40972</v>
      </c>
      <c r="B32549" s="4" t="s">
        <v>40975</v>
      </c>
      <c r="C32549" s="5" t="str">
        <f>IFERROR(__xludf.DUMMYFUNCTION("GOOGLETRANSLATE(B32549,""en"",""fr"")"),"Le garçon vient et commence à retourner et à faire une variation du robot.")</f>
        <v>Le garçon vient et commence à retourner et à faire une variation du robot.</v>
      </c>
    </row>
    <row r="32550">
      <c r="A32550" s="4" t="s">
        <v>40972</v>
      </c>
      <c r="B32550" s="6" t="s">
        <v>40976</v>
      </c>
      <c r="C32550" s="5" t="str">
        <f>IFERROR(__xludf.DUMMYFUNCTION("GOOGLETRANSLATE(B32550,""en"",""fr"")"),"Tous les hommes derrière lui deviennent alors ses danseurs de fond alors que le garçon prend un microphone et commence à chanter.")</f>
        <v>Tous les hommes derrière lui deviennent alors ses danseurs de fond alors que le garçon prend un microphone et commence à chanter.</v>
      </c>
    </row>
    <row r="32551">
      <c r="A32551" s="4" t="s">
        <v>40977</v>
      </c>
      <c r="B32551" s="4" t="s">
        <v>40978</v>
      </c>
      <c r="C32551" s="5" t="str">
        <f>IFERROR(__xludf.DUMMYFUNCTION("GOOGLETRANSLATE(B32551,""en"",""fr"")"),"Nous voyons les cartes de titre sur le bleu.")</f>
        <v>Nous voyons les cartes de titre sur le bleu.</v>
      </c>
    </row>
    <row r="32552">
      <c r="A32552" s="4" t="s">
        <v>40977</v>
      </c>
      <c r="B32552" s="4" t="s">
        <v>40979</v>
      </c>
      <c r="C32552" s="5" t="str">
        <f>IFERROR(__xludf.DUMMYFUNCTION("GOOGLETRANSLATE(B32552,""en"",""fr"")"),"Nous voyons des hommes jouer au beach-volley.")</f>
        <v>Nous voyons des hommes jouer au beach-volley.</v>
      </c>
    </row>
    <row r="32553">
      <c r="A32553" s="4" t="s">
        <v>40977</v>
      </c>
      <c r="B32553" s="4" t="s">
        <v>40980</v>
      </c>
      <c r="C32553" s="5" t="str">
        <f>IFERROR(__xludf.DUMMYFUNCTION("GOOGLETRANSLATE(B32553,""en"",""fr"")"),"Nous voyons une interview avec un homme.")</f>
        <v>Nous voyons une interview avec un homme.</v>
      </c>
    </row>
    <row r="32554">
      <c r="A32554" s="4" t="s">
        <v>40977</v>
      </c>
      <c r="B32554" s="4" t="s">
        <v>40981</v>
      </c>
      <c r="C32554" s="5" t="str">
        <f>IFERROR(__xludf.DUMMYFUNCTION("GOOGLETRANSLATE(B32554,""en"",""fr"")"),"Deux hommes se sont élevés les uns les autres, les hommes échangent tous les côtés.")</f>
        <v>Deux hommes se sont élevés les uns les autres, les hommes échangent tous les côtés.</v>
      </c>
    </row>
    <row r="32555">
      <c r="A32555" s="4" t="s">
        <v>40977</v>
      </c>
      <c r="B32555" s="4" t="s">
        <v>40982</v>
      </c>
      <c r="C32555" s="5" t="str">
        <f>IFERROR(__xludf.DUMMYFUNCTION("GOOGLETRANSLATE(B32555,""en"",""fr"")"),"Le ballon atterrit sur le sol.")</f>
        <v>Le ballon atterrit sur le sol.</v>
      </c>
    </row>
    <row r="32556">
      <c r="A32556" s="4" t="s">
        <v>40977</v>
      </c>
      <c r="B32556" s="4" t="s">
        <v>40983</v>
      </c>
      <c r="C32556" s="5" t="str">
        <f>IFERROR(__xludf.DUMMYFUNCTION("GOOGLETRANSLATE(B32556,""en"",""fr"")"),"Un homme donne un coup de pied au ballon de l'autre côté.")</f>
        <v>Un homme donne un coup de pied au ballon de l'autre côté.</v>
      </c>
    </row>
    <row r="32557">
      <c r="A32557" s="4" t="s">
        <v>40977</v>
      </c>
      <c r="B32557" s="4" t="s">
        <v>40984</v>
      </c>
      <c r="C32557" s="5" t="str">
        <f>IFERROR(__xludf.DUMMYFUNCTION("GOOGLETRANSLATE(B32557,""en"",""fr"")"),"Un homme saute et tourne dans l'air.")</f>
        <v>Un homme saute et tourne dans l'air.</v>
      </c>
    </row>
    <row r="32558">
      <c r="A32558" s="4" t="s">
        <v>40977</v>
      </c>
      <c r="B32558" s="4" t="s">
        <v>40985</v>
      </c>
      <c r="C32558" s="5" t="str">
        <f>IFERROR(__xludf.DUMMYFUNCTION("GOOGLETRANSLATE(B32558,""en"",""fr"")"),"L'homme en daces gris alors que les autres hommes sautent autour.")</f>
        <v>L'homme en daces gris alors que les autres hommes sautent autour.</v>
      </c>
    </row>
    <row r="32559">
      <c r="A32559" s="4" t="s">
        <v>40977</v>
      </c>
      <c r="B32559" s="4" t="s">
        <v>40986</v>
      </c>
      <c r="C32559" s="5" t="str">
        <f>IFERROR(__xludf.DUMMYFUNCTION("GOOGLETRANSLATE(B32559,""en"",""fr"")"),"Les hommes posent pour une photo.")</f>
        <v>Les hommes posent pour une photo.</v>
      </c>
    </row>
    <row r="32560">
      <c r="A32560" s="4" t="s">
        <v>40977</v>
      </c>
      <c r="B32560" s="4" t="s">
        <v>40987</v>
      </c>
      <c r="C32560" s="5" t="str">
        <f>IFERROR(__xludf.DUMMYFUNCTION("GOOGLETRANSLATE(B32560,""en"",""fr"")"),"La carte de titre est affichée et nous nous sommesompons.")</f>
        <v>La carte de titre est affichée et nous nous sommesompons.</v>
      </c>
    </row>
    <row r="32561">
      <c r="A32561" s="4" t="s">
        <v>40988</v>
      </c>
      <c r="B32561" s="6" t="s">
        <v>40989</v>
      </c>
      <c r="C32561" s="5" t="str">
        <f>IFERROR(__xludf.DUMMYFUNCTION("GOOGLETRANSLATE(B32561,""en"",""fr"")"),"Un clip d'une vieille émission de télévision est montré avec une femme lavant la vaisselle et une jeune fille entrant dans le cadre.")</f>
        <v>Un clip d'une vieille émission de télévision est montré avec une femme lavant la vaisselle et une jeune fille entrant dans le cadre.</v>
      </c>
    </row>
    <row r="32562">
      <c r="A32562" s="4" t="s">
        <v>40988</v>
      </c>
      <c r="B32562" s="6" t="s">
        <v>40990</v>
      </c>
      <c r="C32562" s="5" t="str">
        <f>IFERROR(__xludf.DUMMYFUNCTION("GOOGLETRANSLATE(B32562,""en"",""fr"")"),"La femme tend la fille d'un verre d'eau et est à nouveau représentée sous différents angles, se terminant par une femme lavant les vêtements.")</f>
        <v>La femme tend la fille d'un verre d'eau et est à nouveau représentée sous différents angles, se terminant par une femme lavant les vêtements.</v>
      </c>
    </row>
    <row r="32563">
      <c r="A32563" s="4" t="s">
        <v>40991</v>
      </c>
      <c r="B32563" s="4" t="s">
        <v>40992</v>
      </c>
      <c r="C32563" s="5" t="str">
        <f>IFERROR(__xludf.DUMMYFUNCTION("GOOGLETRANSLATE(B32563,""en"",""fr"")"),"Un petit enfant est vu debout sur le trottoir et regardant au loin.")</f>
        <v>Un petit enfant est vu debout sur le trottoir et regardant au loin.</v>
      </c>
    </row>
    <row r="32564">
      <c r="A32564" s="4" t="s">
        <v>40991</v>
      </c>
      <c r="B32564" s="4" t="s">
        <v>40993</v>
      </c>
      <c r="C32564" s="5" t="str">
        <f>IFERROR(__xludf.DUMMYFUNCTION("GOOGLETRANSLATE(B32564,""en"",""fr"")"),"La fille lance alors le rocher et commence à jouer à un jeu de marelle.")</f>
        <v>La fille lance alors le rocher et commence à jouer à un jeu de marelle.</v>
      </c>
    </row>
    <row r="32565">
      <c r="A32565" s="4" t="s">
        <v>40991</v>
      </c>
      <c r="B32565" s="4" t="s">
        <v>40994</v>
      </c>
      <c r="C32565" s="5" t="str">
        <f>IFERROR(__xludf.DUMMYFUNCTION("GOOGLETRANSLATE(B32565,""en"",""fr"")"),"Elle lance et saute plusieurs fois en s'arrêtant pour regarder vers la caméra.")</f>
        <v>Elle lance et saute plusieurs fois en s'arrêtant pour regarder vers la caméra.</v>
      </c>
    </row>
    <row r="32566">
      <c r="A32566" s="4" t="s">
        <v>40995</v>
      </c>
      <c r="B32566" s="4" t="s">
        <v>40996</v>
      </c>
      <c r="C32566" s="5" t="str">
        <f>IFERROR(__xludf.DUMMYFUNCTION("GOOGLETRANSLATE(B32566,""en"",""fr"")"),"Un annonceur de la télévision couple sur ses jambes tout en chantant l'introduction d'une émission.")</f>
        <v>Un annonceur de la télévision couple sur ses jambes tout en chantant l'introduction d'une émission.</v>
      </c>
    </row>
    <row r="32567">
      <c r="A32567" s="4" t="s">
        <v>40995</v>
      </c>
      <c r="B32567" s="4" t="s">
        <v>40997</v>
      </c>
      <c r="C32567" s="5" t="str">
        <f>IFERROR(__xludf.DUMMYFUNCTION("GOOGLETRANSLATE(B32567,""en"",""fr"")"),"Un groupe de danseurs en costumes colorés fait un acte de danse avec Hula Hoops.")</f>
        <v>Un groupe de danseurs en costumes colorés fait un acte de danse avec Hula Hoops.</v>
      </c>
    </row>
    <row r="32568">
      <c r="A32568" s="4" t="s">
        <v>40995</v>
      </c>
      <c r="B32568" s="4" t="s">
        <v>40998</v>
      </c>
      <c r="C32568" s="5" t="str">
        <f>IFERROR(__xludf.DUMMYFUNCTION("GOOGLETRANSLATE(B32568,""en"",""fr"")"),"Le public est vu et les membres applaudissent pour le groupe.")</f>
        <v>Le public est vu et les membres applaudissent pour le groupe.</v>
      </c>
    </row>
    <row r="32569">
      <c r="A32569" s="4" t="s">
        <v>40995</v>
      </c>
      <c r="B32569" s="4" t="s">
        <v>40999</v>
      </c>
      <c r="C32569" s="5" t="str">
        <f>IFERROR(__xludf.DUMMYFUNCTION("GOOGLETRANSLATE(B32569,""en"",""fr"")"),"Les membres plus âgés du groupe contiennent des poteaux pour les enfants qui dansent.")</f>
        <v>Les membres plus âgés du groupe contiennent des poteaux pour les enfants qui dansent.</v>
      </c>
    </row>
    <row r="32570">
      <c r="A32570" s="4" t="s">
        <v>40995</v>
      </c>
      <c r="B32570" s="4" t="s">
        <v>41000</v>
      </c>
      <c r="C32570" s="5" t="str">
        <f>IFERROR(__xludf.DUMMYFUNCTION("GOOGLETRANSLATE(B32570,""en"",""fr"")"),"Les danseurs Hula Hoop obtiennent encore plus de cerceaux pour la finale.")</f>
        <v>Les danseurs Hula Hoop obtiennent encore plus de cerceaux pour la finale.</v>
      </c>
    </row>
    <row r="32571">
      <c r="A32571" s="4" t="s">
        <v>40995</v>
      </c>
      <c r="B32571" s="4" t="s">
        <v>41001</v>
      </c>
      <c r="C32571" s="5" t="str">
        <f>IFERROR(__xludf.DUMMYFUNCTION("GOOGLETRANSLATE(B32571,""en"",""fr"")"),"Confetti pleut de l'air sur les interprètes.")</f>
        <v>Confetti pleut de l'air sur les interprètes.</v>
      </c>
    </row>
    <row r="32572">
      <c r="A32572" s="4" t="s">
        <v>40995</v>
      </c>
      <c r="B32572" s="4" t="s">
        <v>41002</v>
      </c>
      <c r="C32572" s="5" t="str">
        <f>IFERROR(__xludf.DUMMYFUNCTION("GOOGLETRANSLATE(B32572,""en"",""fr"")"),"L'annonceur se lève et applaudit le groupe.")</f>
        <v>L'annonceur se lève et applaudit le groupe.</v>
      </c>
    </row>
    <row r="32573">
      <c r="A32573" s="4" t="s">
        <v>41003</v>
      </c>
      <c r="B32573" s="4" t="s">
        <v>41004</v>
      </c>
      <c r="C32573" s="5" t="str">
        <f>IFERROR(__xludf.DUMMYFUNCTION("GOOGLETRANSLATE(B32573,""en"",""fr"")"),"Un homme est assis avec des cisaillements reposant dans la main dans une roseraie.")</f>
        <v>Un homme est assis avec des cisaillements reposant dans la main dans une roseraie.</v>
      </c>
    </row>
    <row r="32574">
      <c r="A32574" s="4" t="s">
        <v>41003</v>
      </c>
      <c r="B32574" s="4" t="s">
        <v>41005</v>
      </c>
      <c r="C32574" s="5" t="str">
        <f>IFERROR(__xludf.DUMMYFUNCTION("GOOGLETRANSLATE(B32574,""en"",""fr"")"),"L'homme coupe des roses mortes d'un rosier avec des cisaillements.")</f>
        <v>L'homme coupe des roses mortes d'un rosier avec des cisaillements.</v>
      </c>
    </row>
    <row r="32575">
      <c r="A32575" s="4" t="s">
        <v>41003</v>
      </c>
      <c r="B32575" s="4" t="s">
        <v>41006</v>
      </c>
      <c r="C32575" s="5" t="str">
        <f>IFERROR(__xludf.DUMMYFUNCTION("GOOGLETRANSLATE(B32575,""en"",""fr"")"),"L'homme coupe des branches entières près de la base des rosiers.")</f>
        <v>L'homme coupe des branches entières près de la base des rosiers.</v>
      </c>
    </row>
    <row r="32576">
      <c r="A32576" s="4" t="s">
        <v>41003</v>
      </c>
      <c r="B32576" s="4" t="s">
        <v>41007</v>
      </c>
      <c r="C32576" s="5" t="str">
        <f>IFERROR(__xludf.DUMMYFUNCTION("GOOGLETRANSLATE(B32576,""en"",""fr"")"),"Le rosier mourant laisse un vu de près.")</f>
        <v>Le rosier mourant laisse un vu de près.</v>
      </c>
    </row>
    <row r="32577">
      <c r="A32577" s="4" t="s">
        <v>41003</v>
      </c>
      <c r="B32577" s="4" t="s">
        <v>41008</v>
      </c>
      <c r="C32577" s="5" t="str">
        <f>IFERROR(__xludf.DUMMYFUNCTION("GOOGLETRANSLATE(B32577,""en"",""fr"")"),"Des feuilles de rosier saines sont visibles de près.")</f>
        <v>Des feuilles de rosier saines sont visibles de près.</v>
      </c>
    </row>
    <row r="32578">
      <c r="A32578" s="4" t="s">
        <v>41009</v>
      </c>
      <c r="B32578" s="4" t="s">
        <v>41010</v>
      </c>
      <c r="C32578" s="5" t="str">
        <f>IFERROR(__xludf.DUMMYFUNCTION("GOOGLETRANSLATE(B32578,""en"",""fr"")"),"Plusieurs images sont montrées d'une femme debout seule ainsi qu'avec des amis.")</f>
        <v>Plusieurs images sont montrées d'une femme debout seule ainsi qu'avec des amis.</v>
      </c>
    </row>
    <row r="32579">
      <c r="A32579" s="4" t="s">
        <v>41009</v>
      </c>
      <c r="B32579" s="6" t="s">
        <v>41011</v>
      </c>
      <c r="C32579" s="5" t="str">
        <f>IFERROR(__xludf.DUMMYFUNCTION("GOOGLETRANSLATE(B32579,""en"",""fr"")"),"Les séquences vidéo sont ensuite montrées de sa course aux côtés d'un grand groupe de personnes tandis que beaucoup regardent sur les côtés.")</f>
        <v>Les séquences vidéo sont ensuite montrées de sa course aux côtés d'un grand groupe de personnes tandis que beaucoup regardent sur les côtés.</v>
      </c>
    </row>
    <row r="32580">
      <c r="A32580" s="4" t="s">
        <v>41009</v>
      </c>
      <c r="B32580" s="4" t="s">
        <v>41012</v>
      </c>
      <c r="C32580" s="5" t="str">
        <f>IFERROR(__xludf.DUMMYFUNCTION("GOOGLETRANSLATE(B32580,""en"",""fr"")"),"Plus de photos sont montrées de sa finition de la course ainsi que des autres.")</f>
        <v>Plus de photos sont montrées de sa finition de la course ainsi que des autres.</v>
      </c>
    </row>
    <row r="32581">
      <c r="A32581" s="4" t="s">
        <v>41013</v>
      </c>
      <c r="B32581" s="4" t="s">
        <v>41014</v>
      </c>
      <c r="C32581" s="5" t="str">
        <f>IFERROR(__xludf.DUMMYFUNCTION("GOOGLETRANSLATE(B32581,""en"",""fr"")"),"Un homme avec un saxaphone autour de son cou parle de la caméra dans une pièce sombre.")</f>
        <v>Un homme avec un saxaphone autour de son cou parle de la caméra dans une pièce sombre.</v>
      </c>
    </row>
    <row r="32582">
      <c r="A32582" s="4" t="s">
        <v>41013</v>
      </c>
      <c r="B32582" s="4" t="s">
        <v>41015</v>
      </c>
      <c r="C32582" s="5" t="str">
        <f>IFERROR(__xludf.DUMMYFUNCTION("GOOGLETRANSLATE(B32582,""en"",""fr"")"),"La caméra change comme une boîte en rotation.")</f>
        <v>La caméra change comme une boîte en rotation.</v>
      </c>
    </row>
    <row r="32583">
      <c r="A32583" s="4" t="s">
        <v>41013</v>
      </c>
      <c r="B32583" s="4" t="s">
        <v>41016</v>
      </c>
      <c r="C32583" s="5" t="str">
        <f>IFERROR(__xludf.DUMMYFUNCTION("GOOGLETRANSLATE(B32583,""en"",""fr"")"),"L'homme regarde autour de lui puis il joue son saxophone.")</f>
        <v>L'homme regarde autour de lui puis il joue son saxophone.</v>
      </c>
    </row>
    <row r="32584">
      <c r="A32584" s="4" t="s">
        <v>41013</v>
      </c>
      <c r="B32584" s="4" t="s">
        <v>41017</v>
      </c>
      <c r="C32584" s="5" t="str">
        <f>IFERROR(__xludf.DUMMYFUNCTION("GOOGLETRANSLATE(B32584,""en"",""fr"")"),"Un site Web une personne l'écran dans le coin inférieur gauche et l'écran s'estompe.")</f>
        <v>Un site Web une personne l'écran dans le coin inférieur gauche et l'écran s'estompe.</v>
      </c>
    </row>
    <row r="32585">
      <c r="A32585" s="4" t="s">
        <v>41018</v>
      </c>
      <c r="B32585" s="4" t="s">
        <v>41019</v>
      </c>
      <c r="C32585" s="5" t="str">
        <f>IFERROR(__xludf.DUMMYFUNCTION("GOOGLETRANSLATE(B32585,""en"",""fr"")"),"L'avant d'un grand bâtiment brun avec de la neige devant lui est illustré.")</f>
        <v>L'avant d'un grand bâtiment brun avec de la neige devant lui est illustré.</v>
      </c>
    </row>
    <row r="32586">
      <c r="A32586" s="4" t="s">
        <v>41018</v>
      </c>
      <c r="B32586" s="4" t="s">
        <v>41020</v>
      </c>
      <c r="C32586" s="5" t="str">
        <f>IFERROR(__xludf.DUMMYFUNCTION("GOOGLETRANSLATE(B32586,""en"",""fr"")"),"À l'intérieur, il y a une table de ping-pong et deux mâles adultes commencent à se promener l'un vers l'autre.")</f>
        <v>À l'intérieur, il y a une table de ping-pong et deux mâles adultes commencent à se promener l'un vers l'autre.</v>
      </c>
    </row>
    <row r="32587">
      <c r="A32587" s="4" t="s">
        <v>41018</v>
      </c>
      <c r="B32587" s="4" t="s">
        <v>41021</v>
      </c>
      <c r="C32587" s="5" t="str">
        <f>IFERROR(__xludf.DUMMYFUNCTION("GOOGLETRANSLATE(B32587,""en"",""fr"")"),"Ils commencent alors à jouer au ping-pong avec des cercons et en utilisant leurs pieds pour frapper le ballon.")</f>
        <v>Ils commencent alors à jouer au ping-pong avec des cercons et en utilisant leurs pieds pour frapper le ballon.</v>
      </c>
    </row>
    <row r="32588">
      <c r="A32588" s="4" t="s">
        <v>41018</v>
      </c>
      <c r="B32588" s="4" t="s">
        <v>41022</v>
      </c>
      <c r="C32588" s="5" t="str">
        <f>IFERROR(__xludf.DUMMYFUNCTION("GOOGLETRANSLATE(B32588,""en"",""fr"")"),"Au fur et à mesure que le jeu progresse, plus de balles sont ajoutées et ils continuent de jouer sans manquer une balle.")</f>
        <v>Au fur et à mesure que le jeu progresse, plus de balles sont ajoutées et ils continuent de jouer sans manquer une balle.</v>
      </c>
    </row>
    <row r="32589">
      <c r="A32589" s="4" t="s">
        <v>41018</v>
      </c>
      <c r="B32589" s="4" t="s">
        <v>41023</v>
      </c>
      <c r="C32589" s="5" t="str">
        <f>IFERROR(__xludf.DUMMYFUNCTION("GOOGLETRANSLATE(B32589,""en"",""fr"")"),"Le jeu s'intensifie et l'homme à droite manque le ballon et l'homme se félicite.")</f>
        <v>Le jeu s'intensifie et l'homme à droite manque le ballon et l'homme se félicite.</v>
      </c>
    </row>
    <row r="32590">
      <c r="A32590" s="4" t="s">
        <v>41024</v>
      </c>
      <c r="B32590" s="6" t="s">
        <v>41025</v>
      </c>
      <c r="C32590" s="5" t="str">
        <f>IFERROR(__xludf.DUMMYFUNCTION("GOOGLETRANSLATE(B32590,""en"",""fr"")"),"Un grand groupe de personnes coule sur un terrain jouant un jeu de crosse les uns avec les autres.")</f>
        <v>Un grand groupe de personnes coule sur un terrain jouant un jeu de crosse les uns avec les autres.</v>
      </c>
    </row>
    <row r="32591">
      <c r="A32591" s="4" t="s">
        <v>41024</v>
      </c>
      <c r="B32591" s="4" t="s">
        <v>41026</v>
      </c>
      <c r="C32591" s="5" t="str">
        <f>IFERROR(__xludf.DUMMYFUNCTION("GOOGLETRANSLATE(B32591,""en"",""fr"")"),"Les joueurs montent et descendent sur le terrain pendant que la caméra capture leurs mouvements.")</f>
        <v>Les joueurs montent et descendent sur le terrain pendant que la caméra capture leurs mouvements.</v>
      </c>
    </row>
    <row r="32592">
      <c r="A32592" s="4" t="s">
        <v>41024</v>
      </c>
      <c r="B32592" s="6" t="s">
        <v>41027</v>
      </c>
      <c r="C32592" s="5" t="str">
        <f>IFERROR(__xludf.DUMMYFUNCTION("GOOGLETRANSLATE(B32592,""en"",""fr"")"),"Les hommes continuent de jouer les uns avec les autres pendant que les gens regardent sur le côté et les encouragent.")</f>
        <v>Les hommes continuent de jouer les uns avec les autres pendant que les gens regardent sur le côté et les encouragent.</v>
      </c>
    </row>
    <row r="32593">
      <c r="A32593" s="4" t="s">
        <v>41028</v>
      </c>
      <c r="B32593" s="4" t="s">
        <v>41029</v>
      </c>
      <c r="C32593" s="5" t="str">
        <f>IFERROR(__xludf.DUMMYFUNCTION("GOOGLETRANSLATE(B32593,""en"",""fr"")"),"Un homme soulève plusieurs fois un gros poids au-dessus de sa tête.")</f>
        <v>Un homme soulève plusieurs fois un gros poids au-dessus de sa tête.</v>
      </c>
    </row>
    <row r="32594">
      <c r="A32594" s="4" t="s">
        <v>41028</v>
      </c>
      <c r="B32594" s="4" t="s">
        <v>41030</v>
      </c>
      <c r="C32594" s="5" t="str">
        <f>IFERROR(__xludf.DUMMYFUNCTION("GOOGLETRANSLATE(B32594,""en"",""fr"")"),"Une femme marche devant lui.")</f>
        <v>Une femme marche devant lui.</v>
      </c>
    </row>
    <row r="32595">
      <c r="A32595" s="4" t="s">
        <v>41028</v>
      </c>
      <c r="B32595" s="4" t="s">
        <v>41031</v>
      </c>
      <c r="C32595" s="5" t="str">
        <f>IFERROR(__xludf.DUMMYFUNCTION("GOOGLETRANSLATE(B32595,""en"",""fr"")"),"Un homme en chemise noire se tient derrière lui.")</f>
        <v>Un homme en chemise noire se tient derrière lui.</v>
      </c>
    </row>
    <row r="32596">
      <c r="A32596" s="4" t="s">
        <v>41028</v>
      </c>
      <c r="B32596" s="4" t="s">
        <v>33798</v>
      </c>
      <c r="C32596" s="5" t="str">
        <f>IFERROR(__xludf.DUMMYFUNCTION("GOOGLETRANSLATE(B32596,""en"",""fr"")"),"Les mots viennent à l'écran à la fin.")</f>
        <v>Les mots viennent à l'écran à la fin.</v>
      </c>
    </row>
    <row r="32597">
      <c r="A32597" s="4" t="s">
        <v>41032</v>
      </c>
      <c r="B32597" s="4" t="s">
        <v>41033</v>
      </c>
      <c r="C32597" s="5" t="str">
        <f>IFERROR(__xludf.DUMMYFUNCTION("GOOGLETRANSLATE(B32597,""en"",""fr"")"),"Un jack-o-lantern éclairé entre au point.")</f>
        <v>Un jack-o-lantern éclairé entre au point.</v>
      </c>
    </row>
    <row r="32598">
      <c r="A32598" s="4" t="s">
        <v>41032</v>
      </c>
      <c r="B32598" s="4" t="s">
        <v>41034</v>
      </c>
      <c r="C32598" s="5" t="str">
        <f>IFERROR(__xludf.DUMMYFUNCTION("GOOGLETRANSLATE(B32598,""en"",""fr"")"),"Le jack-o-lantern se déplace vers la caméra.")</f>
        <v>Le jack-o-lantern se déplace vers la caméra.</v>
      </c>
    </row>
    <row r="32599">
      <c r="A32599" s="4" t="s">
        <v>41032</v>
      </c>
      <c r="B32599" s="4" t="s">
        <v>41035</v>
      </c>
      <c r="C32599" s="5" t="str">
        <f>IFERROR(__xludf.DUMMYFUNCTION("GOOGLETRANSLATE(B32599,""en"",""fr"")"),"Une jeune femme parle de façon très animée devant un mur blanc.")</f>
        <v>Une jeune femme parle de façon très animée devant un mur blanc.</v>
      </c>
    </row>
    <row r="32600">
      <c r="A32600" s="4" t="s">
        <v>41032</v>
      </c>
      <c r="B32600" s="4" t="s">
        <v>41036</v>
      </c>
      <c r="C32600" s="5" t="str">
        <f>IFERROR(__xludf.DUMMYFUNCTION("GOOGLETRANSLATE(B32600,""en"",""fr"")"),"La femme tient une petite citrouille à la main en parlant.")</f>
        <v>La femme tient une petite citrouille à la main en parlant.</v>
      </c>
    </row>
    <row r="32601">
      <c r="A32601" s="4" t="s">
        <v>41032</v>
      </c>
      <c r="B32601" s="4" t="s">
        <v>41037</v>
      </c>
      <c r="C32601" s="5" t="str">
        <f>IFERROR(__xludf.DUMMYFUNCTION("GOOGLETRANSLATE(B32601,""en"",""fr"")"),"La femme tient un morceau de papier avec quelques autocollants dessus.")</f>
        <v>La femme tient un morceau de papier avec quelques autocollants dessus.</v>
      </c>
    </row>
    <row r="32602">
      <c r="A32602" s="4" t="s">
        <v>41032</v>
      </c>
      <c r="B32602" s="4" t="s">
        <v>41038</v>
      </c>
      <c r="C32602" s="5" t="str">
        <f>IFERROR(__xludf.DUMMYFUNCTION("GOOGLETRANSLATE(B32602,""en"",""fr"")"),"La citrouille se voit se déplacer seule sur une table avec une nappe noire.")</f>
        <v>La citrouille se voit se déplacer seule sur une table avec une nappe noire.</v>
      </c>
    </row>
    <row r="32603">
      <c r="A32603" s="4" t="s">
        <v>41032</v>
      </c>
      <c r="B32603" s="4" t="s">
        <v>41039</v>
      </c>
      <c r="C32603" s="5" t="str">
        <f>IFERROR(__xludf.DUMMYFUNCTION("GOOGLETRANSLATE(B32603,""en"",""fr"")"),"La citrouille tourne en montrant des visages de dessins animés.")</f>
        <v>La citrouille tourne en montrant des visages de dessins animés.</v>
      </c>
    </row>
    <row r="32604">
      <c r="A32604" s="4" t="s">
        <v>41032</v>
      </c>
      <c r="B32604" s="4" t="s">
        <v>41040</v>
      </c>
      <c r="C32604" s="5" t="str">
        <f>IFERROR(__xludf.DUMMYFUNCTION("GOOGLETRANSLATE(B32604,""en"",""fr"")"),"Une animation d'un couteau poignarde la citrouille et un chat court à côté de la table.")</f>
        <v>Une animation d'un couteau poignarde la citrouille et un chat court à côté de la table.</v>
      </c>
    </row>
    <row r="32605">
      <c r="A32605" s="4" t="s">
        <v>41032</v>
      </c>
      <c r="B32605" s="4" t="s">
        <v>41041</v>
      </c>
      <c r="C32605" s="5" t="str">
        <f>IFERROR(__xludf.DUMMYFUNCTION("GOOGLETRANSLATE(B32605,""en"",""fr"")"),"La citrouille est remplacée par d'autres objets un à la fois, un couteau, une cuillère, une bougie, etc.")</f>
        <v>La citrouille est remplacée par d'autres objets un à la fois, un couteau, une cuillère, une bougie, etc.</v>
      </c>
    </row>
    <row r="32606">
      <c r="A32606" s="4" t="s">
        <v>41032</v>
      </c>
      <c r="B32606" s="6" t="s">
        <v>41042</v>
      </c>
      <c r="C32606" s="5" t="str">
        <f>IFERROR(__xludf.DUMMYFUNCTION("GOOGLETRANSLATE(B32606,""en"",""fr"")"),"La femme porte un autocollant de moustache sur son visage et s'appuie sur la petite citrouille avec un stylo en feutre noir.")</f>
        <v>La femme porte un autocollant de moustache sur son visage et s'appuie sur la petite citrouille avec un stylo en feutre noir.</v>
      </c>
    </row>
    <row r="32607">
      <c r="A32607" s="4" t="s">
        <v>41032</v>
      </c>
      <c r="B32607" s="4" t="s">
        <v>41043</v>
      </c>
      <c r="C32607" s="5" t="str">
        <f>IFERROR(__xludf.DUMMYFUNCTION("GOOGLETRANSLATE(B32607,""en"",""fr"")"),"La femme tient un couteau et commence à sculpter la citrouille le long des lignes qu'elle a dessinées.")</f>
        <v>La femme tient un couteau et commence à sculpter la citrouille le long des lignes qu'elle a dessinées.</v>
      </c>
    </row>
    <row r="32608">
      <c r="A32608" s="4" t="s">
        <v>41032</v>
      </c>
      <c r="B32608" s="6" t="s">
        <v>41044</v>
      </c>
      <c r="C32608" s="5" t="str">
        <f>IFERROR(__xludf.DUMMYFUNCTION("GOOGLETRANSLATE(B32608,""en"",""fr"")"),"La femme ramasse les graines de citrouille avec une cuillère et met les graines dans une tasse en papier à thème d'Halloween.")</f>
        <v>La femme ramasse les graines de citrouille avec une cuillère et met les graines dans une tasse en papier à thème d'Halloween.</v>
      </c>
    </row>
    <row r="32609">
      <c r="A32609" s="4" t="s">
        <v>41032</v>
      </c>
      <c r="B32609" s="4" t="s">
        <v>41045</v>
      </c>
      <c r="C32609" s="5" t="str">
        <f>IFERROR(__xludf.DUMMYFUNCTION("GOOGLETRANSLATE(B32609,""en"",""fr"")"),"La femme continue de sculpter le visage de la citrouille pour la transformer en jack-o-lantern.")</f>
        <v>La femme continue de sculpter le visage de la citrouille pour la transformer en jack-o-lantern.</v>
      </c>
    </row>
    <row r="32610">
      <c r="A32610" s="4" t="s">
        <v>41032</v>
      </c>
      <c r="B32610" s="6" t="s">
        <v>41046</v>
      </c>
      <c r="C32610" s="5" t="str">
        <f>IFERROR(__xludf.DUMMYFUNCTION("GOOGLETRANSLATE(B32610,""en"",""fr"")"),"La femme nettoie le visage du jack-o-lantern avec une serviette et place le dessus avec la tige.")</f>
        <v>La femme nettoie le visage du jack-o-lantern avec une serviette et place le dessus avec la tige.</v>
      </c>
    </row>
    <row r="32611">
      <c r="A32611" s="4" t="s">
        <v>41032</v>
      </c>
      <c r="B32611" s="4" t="s">
        <v>41047</v>
      </c>
      <c r="C32611" s="5" t="str">
        <f>IFERROR(__xludf.DUMMYFUNCTION("GOOGLETRANSLATE(B32611,""en"",""fr"")"),"La femme place la bougie à l'intérieur du jack-o-lantern.")</f>
        <v>La femme place la bougie à l'intérieur du jack-o-lantern.</v>
      </c>
    </row>
    <row r="32612">
      <c r="A32612" s="4" t="s">
        <v>41032</v>
      </c>
      <c r="B32612" s="4" t="s">
        <v>41048</v>
      </c>
      <c r="C32612" s="5" t="str">
        <f>IFERROR(__xludf.DUMMYFUNCTION("GOOGLETRANSLATE(B32612,""en"",""fr"")"),"La femme vacille sur un briquet jetable.")</f>
        <v>La femme vacille sur un briquet jetable.</v>
      </c>
    </row>
    <row r="32613">
      <c r="A32613" s="4" t="s">
        <v>41032</v>
      </c>
      <c r="B32613" s="4" t="s">
        <v>41049</v>
      </c>
      <c r="C32613" s="5" t="str">
        <f>IFERROR(__xludf.DUMMYFUNCTION("GOOGLETRANSLATE(B32613,""en"",""fr"")"),"Le Jack-O-Lantern éclairé est vu à nouveau se déplacer seul sur la table noire.")</f>
        <v>Le Jack-O-Lantern éclairé est vu à nouveau se déplacer seul sur la table noire.</v>
      </c>
    </row>
    <row r="32614">
      <c r="A32614" s="4" t="s">
        <v>41032</v>
      </c>
      <c r="B32614" s="6" t="s">
        <v>41050</v>
      </c>
      <c r="C32614" s="5" t="str">
        <f>IFERROR(__xludf.DUMMYFUNCTION("GOOGLETRANSLATE(B32614,""en"",""fr"")"),"La vidéo se termine et montre un écran partagé avec des échantillons de trois autres vidéos que la femme a faites, avec un bouton ""abonner"" au milieu.")</f>
        <v>La vidéo se termine et montre un écran partagé avec des échantillons de trois autres vidéos que la femme a faites, avec un bouton "abonner" au milieu.</v>
      </c>
    </row>
    <row r="32615">
      <c r="A32615" s="4" t="s">
        <v>41051</v>
      </c>
      <c r="B32615" s="4" t="s">
        <v>41052</v>
      </c>
      <c r="C32615" s="5" t="str">
        <f>IFERROR(__xludf.DUMMYFUNCTION("GOOGLETRANSLATE(B32615,""en"",""fr"")"),"L'homme est assis dans un lavage des mains et un autre homme entre dans la bain et commence une conversation.")</f>
        <v>L'homme est assis dans un lavage des mains et un autre homme entre dans la bain et commence une conversation.</v>
      </c>
    </row>
    <row r="32616">
      <c r="A32616" s="4" t="s">
        <v>41051</v>
      </c>
      <c r="B32616" s="4" t="s">
        <v>41053</v>
      </c>
      <c r="C32616" s="5" t="str">
        <f>IFERROR(__xludf.DUMMYFUNCTION("GOOGLETRANSLATE(B32616,""en"",""fr"")"),"L'homme propage le dentifrice en brosse à dents et se lave la dent.")</f>
        <v>L'homme propage le dentifrice en brosse à dents et se lave la dent.</v>
      </c>
    </row>
    <row r="32617">
      <c r="A32617" s="4" t="s">
        <v>41054</v>
      </c>
      <c r="B32617" s="4" t="s">
        <v>41055</v>
      </c>
      <c r="C32617" s="5" t="str">
        <f>IFERROR(__xludf.DUMMYFUNCTION("GOOGLETRANSLATE(B32617,""en"",""fr"")"),"Un homme fait des feuilles de la cour dans un tas et les jette dans une poubelle en métal.")</f>
        <v>Un homme fait des feuilles de la cour dans un tas et les jette dans une poubelle en métal.</v>
      </c>
    </row>
    <row r="32618">
      <c r="A32618" s="4" t="s">
        <v>41054</v>
      </c>
      <c r="B32618" s="4" t="s">
        <v>41056</v>
      </c>
      <c r="C32618" s="5" t="str">
        <f>IFERROR(__xludf.DUMMYFUNCTION("GOOGLETRANSLATE(B32618,""en"",""fr"")"),"L'homme range ses outils dans le hangar et emporte un sac de feuilles.")</f>
        <v>L'homme range ses outils dans le hangar et emporte un sac de feuilles.</v>
      </c>
    </row>
    <row r="32619">
      <c r="A32619" s="4" t="s">
        <v>41057</v>
      </c>
      <c r="B32619" s="4" t="s">
        <v>41058</v>
      </c>
      <c r="C32619" s="5" t="str">
        <f>IFERROR(__xludf.DUMMYFUNCTION("GOOGLETRANSLATE(B32619,""en"",""fr"")"),"Un groupe d'hommes et de femmes de divers âges s'entraîne sur des machines d'exercice elliptiques.")</f>
        <v>Un groupe d'hommes et de femmes de divers âges s'entraîne sur des machines d'exercice elliptiques.</v>
      </c>
    </row>
    <row r="32620">
      <c r="A32620" s="4" t="s">
        <v>41057</v>
      </c>
      <c r="B32620" s="4" t="s">
        <v>41059</v>
      </c>
      <c r="C32620" s="5" t="str">
        <f>IFERROR(__xludf.DUMMYFUNCTION("GOOGLETRANSLATE(B32620,""en"",""fr"")"),"Un homme, portant uniquement des shorts, les lingettes transpirent de son brun et se penche contre un mur.")</f>
        <v>Un homme, portant uniquement des shorts, les lingettes transpirent de son brun et se penche contre un mur.</v>
      </c>
    </row>
    <row r="32621">
      <c r="A32621" s="4" t="s">
        <v>41057</v>
      </c>
      <c r="B32621" s="6" t="s">
        <v>41060</v>
      </c>
      <c r="C32621" s="5" t="str">
        <f>IFERROR(__xludf.DUMMYFUNCTION("GOOGLETRANSLATE(B32621,""en"",""fr"")"),"Une femme en forme dans un bikini blanche présente une femme et un homme dans les vêtements de travail semblent travailler sur des machines elliptiques.")</f>
        <v>Une femme en forme dans un bikini blanche présente une femme et un homme dans les vêtements de travail semblent travailler sur des machines elliptiques.</v>
      </c>
    </row>
    <row r="32622">
      <c r="A32622" s="4" t="s">
        <v>41057</v>
      </c>
      <c r="B32622" s="6" t="s">
        <v>41061</v>
      </c>
      <c r="C32622" s="5" t="str">
        <f>IFERROR(__xludf.DUMMYFUNCTION("GOOGLETRANSLATE(B32622,""en"",""fr"")"),"La femme et l'homme semblent alors vêtus d'une tenue décontractée complète avant de retourner dans les machines elliptiques en train d'étuiter, et de faire du vélo en arrière et en avant sur les machines elliptiques et en présentant des profils d'ajusteme"&amp;"nt seuls et sur la machine.")</f>
        <v>La femme et l'homme semblent alors vêtus d'une tenue décontractée complète avant de retourner dans les machines elliptiques en train d'étuiter, et de faire du vélo en arrière et en avant sur les machines elliptiques et en présentant des profils d'ajustement seuls et sur la machine.</v>
      </c>
    </row>
    <row r="32623">
      <c r="A32623" s="4" t="s">
        <v>41062</v>
      </c>
      <c r="B32623" s="6" t="s">
        <v>41063</v>
      </c>
      <c r="C32623" s="5" t="str">
        <f>IFERROR(__xludf.DUMMYFUNCTION("GOOGLETRANSLATE(B32623,""en"",""fr"")"),"Un groupe de femmes dans un grand studio porte du noir, ils sont dans une formation, puis l'homme en gilet noir et un pantalon blanc a marché au centre.")</f>
        <v>Un groupe de femmes dans un grand studio porte du noir, ils sont dans une formation, puis l'homme en gilet noir et un pantalon blanc a marché au centre.</v>
      </c>
    </row>
    <row r="32624">
      <c r="A32624" s="4" t="s">
        <v>41062</v>
      </c>
      <c r="B32624" s="6" t="s">
        <v>41064</v>
      </c>
      <c r="C32624" s="5" t="str">
        <f>IFERROR(__xludf.DUMMYFUNCTION("GOOGLETRANSLATE(B32624,""en"",""fr"")"),"Les femelles et l'homme ont commencé à marcher, puis à dansé, à monter les bras, puis à descendre, puis à avancer puis à l'arrière, sur le côté, et à déplacer leurs bras côte à côte, ils secouent également leurs hanches et leur corps.")</f>
        <v>Les femelles et l'homme ont commencé à marcher, puis à dansé, à monter les bras, puis à descendre, puis à avancer puis à l'arrière, sur le côté, et à déplacer leurs bras côte à côte, ils secouent également leurs hanches et leur corps.</v>
      </c>
    </row>
    <row r="32625">
      <c r="A32625" s="4" t="s">
        <v>41065</v>
      </c>
      <c r="B32625" s="4" t="s">
        <v>41066</v>
      </c>
      <c r="C32625" s="5" t="str">
        <f>IFERROR(__xludf.DUMMYFUNCTION("GOOGLETRANSLATE(B32625,""en"",""fr"")"),"Plusieurs femmes sont à l'extérieur sur une scène en faisant plusieurs exercices et en travaillant en groupe.")</f>
        <v>Plusieurs femmes sont à l'extérieur sur une scène en faisant plusieurs exercices et en travaillant en groupe.</v>
      </c>
    </row>
    <row r="32626">
      <c r="A32626" s="4" t="s">
        <v>41065</v>
      </c>
      <c r="B32626" s="4" t="s">
        <v>41067</v>
      </c>
      <c r="C32626" s="5" t="str">
        <f>IFERROR(__xludf.DUMMYFUNCTION("GOOGLETRANSLATE(B32626,""en"",""fr"")"),"Alors qu'ils continuent, plusieurs personnes commencent à marcher sur la scène et à les regarder jouer.")</f>
        <v>Alors qu'ils continuent, plusieurs personnes commencent à marcher sur la scène et à les regarder jouer.</v>
      </c>
    </row>
    <row r="32627">
      <c r="A32627" s="4" t="s">
        <v>41065</v>
      </c>
      <c r="B32627" s="6" t="s">
        <v>41068</v>
      </c>
      <c r="C32627" s="5" t="str">
        <f>IFERROR(__xludf.DUMMYFUNCTION("GOOGLETRANSLATE(B32627,""en"",""fr"")"),"Les instructeurs continuent de danser et d'amplier les autres équipes pour danser et ils se terminent en applaudissant ensemble.")</f>
        <v>Les instructeurs continuent de danser et d'amplier les autres équipes pour danser et ils se terminent en applaudissant ensemble.</v>
      </c>
    </row>
    <row r="32628">
      <c r="A32628" s="4" t="s">
        <v>41069</v>
      </c>
      <c r="B32628" s="4" t="s">
        <v>41070</v>
      </c>
      <c r="C32628" s="5" t="str">
        <f>IFERROR(__xludf.DUMMYFUNCTION("GOOGLETRANSLATE(B32628,""en"",""fr"")"),"Instruction sur la façon de tresser vos cheveux.")</f>
        <v>Instruction sur la façon de tresser vos cheveux.</v>
      </c>
    </row>
    <row r="32629">
      <c r="A32629" s="4" t="s">
        <v>41069</v>
      </c>
      <c r="B32629" s="4" t="s">
        <v>41071</v>
      </c>
      <c r="C32629" s="5" t="str">
        <f>IFERROR(__xludf.DUMMYFUNCTION("GOOGLETRANSLATE(B32629,""en"",""fr"")"),"Une fille dans un t-shirt gris montre comment tresser vos cheveux et montre un processus étape par étape.")</f>
        <v>Une fille dans un t-shirt gris montre comment tresser vos cheveux et montre un processus étape par étape.</v>
      </c>
    </row>
    <row r="32630">
      <c r="A32630" s="4" t="s">
        <v>41069</v>
      </c>
      <c r="B32630" s="4" t="s">
        <v>41072</v>
      </c>
      <c r="C32630" s="5" t="str">
        <f>IFERROR(__xludf.DUMMYFUNCTION("GOOGLETRANSLATE(B32630,""en"",""fr"")"),"Certains conseils sont affichés sur papier.")</f>
        <v>Certains conseils sont affichés sur papier.</v>
      </c>
    </row>
    <row r="32631">
      <c r="A32631" s="4" t="s">
        <v>41069</v>
      </c>
      <c r="B32631" s="4" t="s">
        <v>41073</v>
      </c>
      <c r="C32631" s="5" t="str">
        <f>IFERROR(__xludf.DUMMYFUNCTION("GOOGLETRANSLATE(B32631,""en"",""fr"")"),"Le coiffeur montre le produit fini tandis que les robes en haut noir et des lunettes de soleil.")</f>
        <v>Le coiffeur montre le produit fini tandis que les robes en haut noir et des lunettes de soleil.</v>
      </c>
    </row>
    <row r="32632">
      <c r="A32632" s="4" t="s">
        <v>41074</v>
      </c>
      <c r="B32632" s="4" t="s">
        <v>41075</v>
      </c>
      <c r="C32632" s="5" t="str">
        <f>IFERROR(__xludf.DUMMYFUNCTION("GOOGLETRANSLATE(B32632,""en"",""fr"")"),"Quelques personnes tentent de surfer dans un océan.")</f>
        <v>Quelques personnes tentent de surfer dans un océan.</v>
      </c>
    </row>
    <row r="32633">
      <c r="A32633" s="4" t="s">
        <v>41074</v>
      </c>
      <c r="B32633" s="4" t="s">
        <v>41076</v>
      </c>
      <c r="C32633" s="5" t="str">
        <f>IFERROR(__xludf.DUMMYFUNCTION("GOOGLETRANSLATE(B32633,""en"",""fr"")"),"Parfois, ils tombent, mais souvent les surfeurs font un excellent travail.")</f>
        <v>Parfois, ils tombent, mais souvent les surfeurs font un excellent travail.</v>
      </c>
    </row>
    <row r="32634">
      <c r="A32634" s="4" t="s">
        <v>41077</v>
      </c>
      <c r="B32634" s="4" t="s">
        <v>41078</v>
      </c>
      <c r="C32634" s="5" t="str">
        <f>IFERROR(__xludf.DUMMYFUNCTION("GOOGLETRANSLATE(B32634,""en"",""fr"")"),"Un homme est assis sur une chaise de coiffure.")</f>
        <v>Un homme est assis sur une chaise de coiffure.</v>
      </c>
    </row>
    <row r="32635">
      <c r="A32635" s="4" t="s">
        <v>41077</v>
      </c>
      <c r="B32635" s="4" t="s">
        <v>41079</v>
      </c>
      <c r="C32635" s="5" t="str">
        <f>IFERROR(__xludf.DUMMYFUNCTION("GOOGLETRANSLATE(B32635,""en"",""fr"")"),"Un autre homme commence à raser les côtés de sa tête.")</f>
        <v>Un autre homme commence à raser les côtés de sa tête.</v>
      </c>
    </row>
    <row r="32636">
      <c r="A32636" s="4" t="s">
        <v>41077</v>
      </c>
      <c r="B32636" s="4" t="s">
        <v>41080</v>
      </c>
      <c r="C32636" s="5" t="str">
        <f>IFERROR(__xludf.DUMMYFUNCTION("GOOGLETRANSLATE(B32636,""en"",""fr"")"),"Il sèche ses cheveux et les styles.")</f>
        <v>Il sèche ses cheveux et les styles.</v>
      </c>
    </row>
    <row r="32637">
      <c r="A32637" s="4" t="s">
        <v>41077</v>
      </c>
      <c r="B32637" s="4" t="s">
        <v>41081</v>
      </c>
      <c r="C32637" s="5" t="str">
        <f>IFERROR(__xludf.DUMMYFUNCTION("GOOGLETRANSLATE(B32637,""en"",""fr"")"),"Il met du gel dans ses cheveux.")</f>
        <v>Il met du gel dans ses cheveux.</v>
      </c>
    </row>
    <row r="32638">
      <c r="A32638" s="4" t="s">
        <v>41082</v>
      </c>
      <c r="B32638" s="4" t="s">
        <v>41083</v>
      </c>
      <c r="C32638" s="5" t="str">
        <f>IFERROR(__xludf.DUMMYFUNCTION("GOOGLETRANSLATE(B32638,""en"",""fr"")"),"Une caméra se déroule tout autour d'un lac et arbore et mène les gens qui tirent une corde.")</f>
        <v>Une caméra se déroule tout autour d'un lac et arbore et mène les gens qui tirent une corde.</v>
      </c>
    </row>
    <row r="32639">
      <c r="A32639" s="4" t="s">
        <v>41082</v>
      </c>
      <c r="B32639" s="6" t="s">
        <v>41084</v>
      </c>
      <c r="C32639" s="5" t="str">
        <f>IFERROR(__xludf.DUMMYFUNCTION("GOOGLETRANSLATE(B32639,""en"",""fr"")"),"Un homme attache la corde en place et montre plusieurs clips de personnes accrochées à la corde et marche.")</f>
        <v>Un homme attache la corde en place et montre plusieurs clips de personnes accrochées à la corde et marche.</v>
      </c>
    </row>
    <row r="32640">
      <c r="A32640" s="4" t="s">
        <v>41082</v>
      </c>
      <c r="B32640" s="4" t="s">
        <v>41085</v>
      </c>
      <c r="C32640" s="5" t="str">
        <f>IFERROR(__xludf.DUMMYFUNCTION("GOOGLETRANSLATE(B32640,""en"",""fr"")"),"Plus de clips sont représentés des gens qui marchent le long de la corde ainsi que de plus de paysages.")</f>
        <v>Plus de clips sont représentés des gens qui marchent le long de la corde ainsi que de plus de paysages.</v>
      </c>
    </row>
    <row r="32641">
      <c r="A32641" s="4" t="s">
        <v>41086</v>
      </c>
      <c r="B32641" s="4" t="s">
        <v>41087</v>
      </c>
      <c r="C32641" s="5" t="str">
        <f>IFERROR(__xludf.DUMMYFUNCTION("GOOGLETRANSLATE(B32641,""en"",""fr"")"),"Une dame joue avec ses cheveux.")</f>
        <v>Une dame joue avec ses cheveux.</v>
      </c>
    </row>
    <row r="32642">
      <c r="A32642" s="4" t="s">
        <v>41086</v>
      </c>
      <c r="B32642" s="4" t="s">
        <v>4828</v>
      </c>
      <c r="C32642" s="5" t="str">
        <f>IFERROR(__xludf.DUMMYFUNCTION("GOOGLETRANSLATE(B32642,""en"",""fr"")"),"La dame se brosse les cheveux.")</f>
        <v>La dame se brosse les cheveux.</v>
      </c>
    </row>
    <row r="32643">
      <c r="A32643" s="4" t="s">
        <v>41086</v>
      </c>
      <c r="B32643" s="6" t="s">
        <v>41088</v>
      </c>
      <c r="C32643" s="5" t="str">
        <f>IFERROR(__xludf.DUMMYFUNCTION("GOOGLETRANSLATE(B32643,""en"",""fr"")"),"La dame brosse le fond de ses cheveux en étirant son bras vers le haut, elle brosse le haut puis les extrémités et les finitions.")</f>
        <v>La dame brosse le fond de ses cheveux en étirant son bras vers le haut, elle brosse le haut puis les extrémités et les finitions.</v>
      </c>
    </row>
    <row r="32644">
      <c r="A32644" s="4" t="s">
        <v>41089</v>
      </c>
      <c r="B32644" s="4" t="s">
        <v>41090</v>
      </c>
      <c r="C32644" s="5" t="str">
        <f>IFERROR(__xludf.DUMMYFUNCTION("GOOGLETRANSLATE(B32644,""en"",""fr"")"),"Un groupe de personnes est dans un gymnase de lycée.")</f>
        <v>Un groupe de personnes est dans un gymnase de lycée.</v>
      </c>
    </row>
    <row r="32645">
      <c r="A32645" s="4" t="s">
        <v>41089</v>
      </c>
      <c r="B32645" s="4" t="s">
        <v>41091</v>
      </c>
      <c r="C32645" s="5" t="str">
        <f>IFERROR(__xludf.DUMMYFUNCTION("GOOGLETRANSLATE(B32645,""en"",""fr"")"),"Les mâles sont associés à des femmes et se tiennent la main.")</f>
        <v>Les mâles sont associés à des femmes et se tiennent la main.</v>
      </c>
    </row>
    <row r="32646">
      <c r="A32646" s="4" t="s">
        <v>41089</v>
      </c>
      <c r="B32646" s="4" t="s">
        <v>41092</v>
      </c>
      <c r="C32646" s="5" t="str">
        <f>IFERROR(__xludf.DUMMYFUNCTION("GOOGLETRANSLATE(B32646,""en"",""fr"")"),"Maintenant, ils dansent tous la même danse.")</f>
        <v>Maintenant, ils dansent tous la même danse.</v>
      </c>
    </row>
    <row r="32647">
      <c r="A32647" s="4" t="s">
        <v>41089</v>
      </c>
      <c r="B32647" s="4" t="s">
        <v>41093</v>
      </c>
      <c r="C32647" s="5" t="str">
        <f>IFERROR(__xludf.DUMMYFUNCTION("GOOGLETRANSLATE(B32647,""en"",""fr"")"),"Il semble que ce soit une sorte de danse de tango.")</f>
        <v>Il semble que ce soit une sorte de danse de tango.</v>
      </c>
    </row>
    <row r="32648">
      <c r="A32648" s="4" t="s">
        <v>41089</v>
      </c>
      <c r="B32648" s="4" t="s">
        <v>41094</v>
      </c>
      <c r="C32648" s="5" t="str">
        <f>IFERROR(__xludf.DUMMYFUNCTION("GOOGLETRANSLATE(B32648,""en"",""fr"")"),"Les hommes tournonnent les filles autour de leurs mains.")</f>
        <v>Les hommes tournonnent les filles autour de leurs mains.</v>
      </c>
    </row>
    <row r="32649">
      <c r="A32649" s="4" t="s">
        <v>41089</v>
      </c>
      <c r="B32649" s="4" t="s">
        <v>41095</v>
      </c>
      <c r="C32649" s="5" t="str">
        <f>IFERROR(__xludf.DUMMYFUNCTION("GOOGLETRANSLATE(B32649,""en"",""fr"")"),"Les hommes mènent les filles dans la danse.")</f>
        <v>Les hommes mènent les filles dans la danse.</v>
      </c>
    </row>
    <row r="32650">
      <c r="A32650" s="4" t="s">
        <v>41089</v>
      </c>
      <c r="B32650" s="4" t="s">
        <v>41096</v>
      </c>
      <c r="C32650" s="5" t="str">
        <f>IFERROR(__xludf.DUMMYFUNCTION("GOOGLETRANSLATE(B32650,""en"",""fr"")"),"Les filles tournent autour des garçons.")</f>
        <v>Les filles tournent autour des garçons.</v>
      </c>
    </row>
    <row r="32651">
      <c r="A32651" s="4" t="s">
        <v>41089</v>
      </c>
      <c r="B32651" s="4" t="s">
        <v>41097</v>
      </c>
      <c r="C32651" s="5" t="str">
        <f>IFERROR(__xludf.DUMMYFUNCTION("GOOGLETRANSLATE(B32651,""en"",""fr"")"),"La danse continue pendant de nombreux autres instants.")</f>
        <v>La danse continue pendant de nombreux autres instants.</v>
      </c>
    </row>
    <row r="32652">
      <c r="A32652" s="4" t="s">
        <v>41089</v>
      </c>
      <c r="B32652" s="4" t="s">
        <v>41098</v>
      </c>
      <c r="C32652" s="5" t="str">
        <f>IFERROR(__xludf.DUMMYFUNCTION("GOOGLETRANSLATE(B32652,""en"",""fr"")"),"Les filles et les garçons se séparent.")</f>
        <v>Les filles et les garçons se séparent.</v>
      </c>
    </row>
    <row r="32653">
      <c r="A32653" s="4" t="s">
        <v>41089</v>
      </c>
      <c r="B32653" s="4" t="s">
        <v>41099</v>
      </c>
      <c r="C32653" s="5" t="str">
        <f>IFERROR(__xludf.DUMMYFUNCTION("GOOGLETRANSLATE(B32653,""en"",""fr"")"),"Les filles tourbillonnent des écharpes, puis les garçons viennent les chercher pour terminer.")</f>
        <v>Les filles tourbillonnent des écharpes, puis les garçons viennent les chercher pour terminer.</v>
      </c>
    </row>
    <row r="32654">
      <c r="A32654" s="4" t="s">
        <v>41100</v>
      </c>
      <c r="B32654" s="4" t="s">
        <v>41101</v>
      </c>
      <c r="C32654" s="5" t="str">
        <f>IFERROR(__xludf.DUMMYFUNCTION("GOOGLETRANSLATE(B32654,""en"",""fr"")"),"Nous voyons un homme dans une chemise rose jeter une balle dans une tasse dans un jeu de bière.")</f>
        <v>Nous voyons un homme dans une chemise rose jeter une balle dans une tasse dans un jeu de bière.</v>
      </c>
    </row>
    <row r="32655">
      <c r="A32655" s="4" t="s">
        <v>41100</v>
      </c>
      <c r="B32655" s="4" t="s">
        <v>41102</v>
      </c>
      <c r="C32655" s="5" t="str">
        <f>IFERROR(__xludf.DUMMYFUNCTION("GOOGLETRANSLATE(B32655,""en"",""fr"")"),"L'homme de l'équipe de gauche souffle le ballon hors de la tasse.")</f>
        <v>L'homme de l'équipe de gauche souffle le ballon hors de la tasse.</v>
      </c>
    </row>
    <row r="32656">
      <c r="A32656" s="4" t="s">
        <v>41100</v>
      </c>
      <c r="B32656" s="4" t="s">
        <v>41103</v>
      </c>
      <c r="C32656" s="5" t="str">
        <f>IFERROR(__xludf.DUMMYFUNCTION("GOOGLETRANSLATE(B32656,""en"",""fr"")"),"L'homme et les deux dames rient et applaudissent et il est très élevé une dame.")</f>
        <v>L'homme et les deux dames rient et applaudissent et il est très élevé une dame.</v>
      </c>
    </row>
    <row r="32657">
      <c r="A32657" s="4" t="s">
        <v>41100</v>
      </c>
      <c r="B32657" s="4" t="s">
        <v>41104</v>
      </c>
      <c r="C32657" s="5" t="str">
        <f>IFERROR(__xludf.DUMMYFUNCTION("GOOGLETRANSLATE(B32657,""en"",""fr"")"),"L'homme fait des signes de main.")</f>
        <v>L'homme fait des signes de main.</v>
      </c>
    </row>
    <row r="32658">
      <c r="A32658" s="4" t="s">
        <v>41105</v>
      </c>
      <c r="B32658" s="6" t="s">
        <v>41106</v>
      </c>
      <c r="C32658" s="5" t="str">
        <f>IFERROR(__xludf.DUMMYFUNCTION("GOOGLETRANSLATE(B32658,""en"",""fr"")"),"Il y a un jeune homme vêtu d'une chemise noire en rond pour montrer ses cheveux de l'avant et du dos.")</f>
        <v>Il y a un jeune homme vêtu d'une chemise noire en rond pour montrer ses cheveux de l'avant et du dos.</v>
      </c>
    </row>
    <row r="32659">
      <c r="A32659" s="4" t="s">
        <v>41105</v>
      </c>
      <c r="B32659" s="4" t="s">
        <v>41107</v>
      </c>
      <c r="C32659" s="5" t="str">
        <f>IFERROR(__xludf.DUMMYFUNCTION("GOOGLETRANSLATE(B32659,""en"",""fr"")"),"Puis il prend un flacon pulvérisateur et pulvérise ses cheveux avec de l'eau et le peigne.")</f>
        <v>Puis il prend un flacon pulvérisateur et pulvérise ses cheveux avec de l'eau et le peigne.</v>
      </c>
    </row>
    <row r="32660">
      <c r="A32660" s="4" t="s">
        <v>41105</v>
      </c>
      <c r="B32660" s="4" t="s">
        <v>41108</v>
      </c>
      <c r="C32660" s="5" t="str">
        <f>IFERROR(__xludf.DUMMYFUNCTION("GOOGLETRANSLATE(B32660,""en"",""fr"")"),"Il prend ensuite un rasoir et commence à raser les côtés et l'arrière de sa tête.")</f>
        <v>Il prend ensuite un rasoir et commence à raser les côtés et l'arrière de sa tête.</v>
      </c>
    </row>
    <row r="32661">
      <c r="A32661" s="4" t="s">
        <v>41105</v>
      </c>
      <c r="B32661" s="4" t="s">
        <v>41109</v>
      </c>
      <c r="C32661" s="5" t="str">
        <f>IFERROR(__xludf.DUMMYFUNCTION("GOOGLETRANSLATE(B32661,""en"",""fr"")"),"Il prend une paire de ciseaux et commence à couper la partie supérieure des cheveux.")</f>
        <v>Il prend une paire de ciseaux et commence à couper la partie supérieure des cheveux.</v>
      </c>
    </row>
    <row r="32662">
      <c r="A32662" s="4" t="s">
        <v>41105</v>
      </c>
      <c r="B32662" s="4" t="s">
        <v>41110</v>
      </c>
      <c r="C32662" s="5" t="str">
        <f>IFERROR(__xludf.DUMMYFUNCTION("GOOGLETRANSLATE(B32662,""en"",""fr"")"),"Il utilise un peigne noir et des ciseaux pour pointer ses cheveux.")</f>
        <v>Il utilise un peigne noir et des ciseaux pour pointer ses cheveux.</v>
      </c>
    </row>
    <row r="32663">
      <c r="A32663" s="4" t="s">
        <v>41105</v>
      </c>
      <c r="B32663" s="4" t="s">
        <v>41111</v>
      </c>
      <c r="C32663" s="5" t="str">
        <f>IFERROR(__xludf.DUMMYFUNCTION("GOOGLETRANSLATE(B32663,""en"",""fr"")"),"Il tient les cheveux dans sa main alors qu'il la coupe.")</f>
        <v>Il tient les cheveux dans sa main alors qu'il la coupe.</v>
      </c>
    </row>
    <row r="32664">
      <c r="A32664" s="4" t="s">
        <v>41105</v>
      </c>
      <c r="B32664" s="4" t="s">
        <v>41112</v>
      </c>
      <c r="C32664" s="5" t="str">
        <f>IFERROR(__xludf.DUMMYFUNCTION("GOOGLETRANSLATE(B32664,""en"",""fr"")"),"Il reprend le rasoir et rasage les côtés.")</f>
        <v>Il reprend le rasoir et rasage les côtés.</v>
      </c>
    </row>
    <row r="32665">
      <c r="A32665" s="4" t="s">
        <v>41105</v>
      </c>
      <c r="B32665" s="4" t="s">
        <v>41113</v>
      </c>
      <c r="C32665" s="5" t="str">
        <f>IFERROR(__xludf.DUMMYFUNCTION("GOOGLETRANSLATE(B32665,""en"",""fr"")"),"Il prend aussi les ciseaux et coupe ses cheveux.")</f>
        <v>Il prend aussi les ciseaux et coupe ses cheveux.</v>
      </c>
    </row>
    <row r="32666">
      <c r="A32666" s="4" t="s">
        <v>41105</v>
      </c>
      <c r="B32666" s="4" t="s">
        <v>41114</v>
      </c>
      <c r="C32666" s="5" t="str">
        <f>IFERROR(__xludf.DUMMYFUNCTION("GOOGLETRANSLATE(B32666,""en"",""fr"")"),"Il sèche ensuite ses cheveux.")</f>
        <v>Il sèche ensuite ses cheveux.</v>
      </c>
    </row>
    <row r="32667">
      <c r="A32667" s="4" t="s">
        <v>41105</v>
      </c>
      <c r="B32667" s="6" t="s">
        <v>41115</v>
      </c>
      <c r="C32667" s="5" t="str">
        <f>IFERROR(__xludf.DUMMYFUNCTION("GOOGLETRANSLATE(B32667,""en"",""fr"")"),"Il prend une petite quantité de gel capillaire sur son doigt du récipient et le frotte à travers la longue section de ses cheveux.")</f>
        <v>Il prend une petite quantité de gel capillaire sur son doigt du récipient et le frotte à travers la longue section de ses cheveux.</v>
      </c>
    </row>
    <row r="32668">
      <c r="A32668" s="4" t="s">
        <v>41105</v>
      </c>
      <c r="B32668" s="4" t="s">
        <v>41116</v>
      </c>
      <c r="C32668" s="5" t="str">
        <f>IFERROR(__xludf.DUMMYFUNCTION("GOOGLETRANSLATE(B32668,""en"",""fr"")"),"Il peigne ensuite les cheveux pour les coiffer.")</f>
        <v>Il peigne ensuite les cheveux pour les coiffer.</v>
      </c>
    </row>
    <row r="32669">
      <c r="A32669" s="4" t="s">
        <v>41105</v>
      </c>
      <c r="B32669" s="4" t="s">
        <v>41117</v>
      </c>
      <c r="C32669" s="5" t="str">
        <f>IFERROR(__xludf.DUMMYFUNCTION("GOOGLETRANSLATE(B32669,""en"",""fr"")"),"Il passe ses doigts dans les cheveux pour terminer le look.")</f>
        <v>Il passe ses doigts dans les cheveux pour terminer le look.</v>
      </c>
    </row>
    <row r="32670">
      <c r="A32670" s="4" t="s">
        <v>41105</v>
      </c>
      <c r="B32670" s="4" t="s">
        <v>41118</v>
      </c>
      <c r="C32670" s="5" t="str">
        <f>IFERROR(__xludf.DUMMYFUNCTION("GOOGLETRANSLATE(B32670,""en"",""fr"")"),"Il tourne pour montrer sa coiffure sous tous les angles.")</f>
        <v>Il tourne pour montrer sa coiffure sous tous les angles.</v>
      </c>
    </row>
    <row r="32671">
      <c r="A32671" s="4" t="s">
        <v>41119</v>
      </c>
      <c r="B32671" s="4" t="s">
        <v>41120</v>
      </c>
      <c r="C32671" s="5" t="str">
        <f>IFERROR(__xludf.DUMMYFUNCTION("GOOGLETRANSLATE(B32671,""en"",""fr"")"),"Un groupe de personnes est rassemblé en cercle.")</f>
        <v>Un groupe de personnes est rassemblé en cercle.</v>
      </c>
    </row>
    <row r="32672">
      <c r="A32672" s="4" t="s">
        <v>41119</v>
      </c>
      <c r="B32672" s="4" t="s">
        <v>41121</v>
      </c>
      <c r="C32672" s="5" t="str">
        <f>IFERROR(__xludf.DUMMYFUNCTION("GOOGLETRANSLATE(B32672,""en"",""fr"")"),"Deux hommes sont dans le cercle démontrant un art martial.")</f>
        <v>Deux hommes sont dans le cercle démontrant un art martial.</v>
      </c>
    </row>
    <row r="32673">
      <c r="A32673" s="4" t="s">
        <v>41119</v>
      </c>
      <c r="B32673" s="4" t="s">
        <v>41122</v>
      </c>
      <c r="C32673" s="5" t="str">
        <f>IFERROR(__xludf.DUMMYFUNCTION("GOOGLETRANSLATE(B32673,""en"",""fr"")"),"Plusieurs hommes du cercle jouent un instrument.")</f>
        <v>Plusieurs hommes du cercle jouent un instrument.</v>
      </c>
    </row>
    <row r="32674">
      <c r="A32674" s="4" t="s">
        <v>41123</v>
      </c>
      <c r="B32674" s="4" t="s">
        <v>41124</v>
      </c>
      <c r="C32674" s="5" t="str">
        <f>IFERROR(__xludf.DUMMYFUNCTION("GOOGLETRANSLATE(B32674,""en"",""fr"")"),"Un coiffeur coupe les cheveux d'un homme, en commençant par le haut.")</f>
        <v>Un coiffeur coupe les cheveux d'un homme, en commençant par le haut.</v>
      </c>
    </row>
    <row r="32675">
      <c r="A32675" s="4" t="s">
        <v>41123</v>
      </c>
      <c r="B32675" s="4" t="s">
        <v>41125</v>
      </c>
      <c r="C32675" s="5" t="str">
        <f>IFERROR(__xludf.DUMMYFUNCTION("GOOGLETRANSLATE(B32675,""en"",""fr"")"),"Ensuite, il commence à la coupe arrière et peignant là-bas.")</f>
        <v>Ensuite, il commence à la coupe arrière et peignant là-bas.</v>
      </c>
    </row>
    <row r="32676">
      <c r="A32676" s="4" t="s">
        <v>41123</v>
      </c>
      <c r="B32676" s="4" t="s">
        <v>41126</v>
      </c>
      <c r="C32676" s="5" t="str">
        <f>IFERROR(__xludf.DUMMYFUNCTION("GOOGLETRANSLATE(B32676,""en"",""fr"")"),"Après cela, il utilise des tondeuses pour couper certaines des zones les plus dures.")</f>
        <v>Après cela, il utilise des tondeuses pour couper certaines des zones les plus dures.</v>
      </c>
    </row>
    <row r="32677">
      <c r="A32677" s="4" t="s">
        <v>41123</v>
      </c>
      <c r="B32677" s="4" t="s">
        <v>41127</v>
      </c>
      <c r="C32677" s="5" t="str">
        <f>IFERROR(__xludf.DUMMYFUNCTION("GOOGLETRANSLATE(B32677,""en"",""fr"")"),"Enfin, en utilisant le peigne pour le coiffer un peu et lui donner des touches de finition.")</f>
        <v>Enfin, en utilisant le peigne pour le coiffer un peu et lui donner des touches de finition.</v>
      </c>
    </row>
    <row r="32678">
      <c r="A32678" s="4" t="s">
        <v>41128</v>
      </c>
      <c r="B32678" s="4" t="s">
        <v>41129</v>
      </c>
      <c r="C32678" s="5" t="str">
        <f>IFERROR(__xludf.DUMMYFUNCTION("GOOGLETRANSLATE(B32678,""en"",""fr"")"),"Deux gars apparaissent dans une cour et parlent à la caméra.")</f>
        <v>Deux gars apparaissent dans une cour et parlent à la caméra.</v>
      </c>
    </row>
    <row r="32679">
      <c r="A32679" s="4" t="s">
        <v>41128</v>
      </c>
      <c r="B32679" s="6" t="s">
        <v>41130</v>
      </c>
      <c r="C32679" s="5" t="str">
        <f>IFERROR(__xludf.DUMMYFUNCTION("GOOGLETRANSLATE(B32679,""en"",""fr"")"),"Les gars sont dans une surface en bois jouant des ciseaux en papier de roche et le perdant reçoit un coup en bois dans les noix et est tombé au sol.")</f>
        <v>Les gars sont dans une surface en bois jouant des ciseaux en papier de roche et le perdant reçoit un coup en bois dans les noix et est tombé au sol.</v>
      </c>
    </row>
    <row r="32680">
      <c r="A32680" s="4" t="s">
        <v>41128</v>
      </c>
      <c r="B32680" s="4" t="s">
        <v>41131</v>
      </c>
      <c r="C32680" s="5" t="str">
        <f>IFERROR(__xludf.DUMMYFUNCTION("GOOGLETRANSLATE(B32680,""en"",""fr"")"),"L'homme parle à la caméra et d'autres gars sont à l'arrière, puis parle au gagnant.")</f>
        <v>L'homme parle à la caméra et d'autres gars sont à l'arrière, puis parle au gagnant.</v>
      </c>
    </row>
    <row r="32681">
      <c r="A32681" s="4" t="s">
        <v>41128</v>
      </c>
      <c r="B32681" s="6" t="s">
        <v>41132</v>
      </c>
      <c r="C32681" s="5" t="str">
        <f>IFERROR(__xludf.DUMMYFUNCTION("GOOGLETRANSLATE(B32681,""en"",""fr"")"),"Ils jouent le tour de deux ciseaux en papier r rock et encore le perdant est un coup sûr en bois dans les noix et un homme parle à la caméra.")</f>
        <v>Ils jouent le tour de deux ciseaux en papier r rock et encore le perdant est un coup sûr en bois dans les noix et un homme parle à la caméra.</v>
      </c>
    </row>
    <row r="32682">
      <c r="A32682" s="4" t="s">
        <v>41128</v>
      </c>
      <c r="B32682" s="6" t="s">
        <v>41133</v>
      </c>
      <c r="C32682" s="5" t="str">
        <f>IFERROR(__xludf.DUMMYFUNCTION("GOOGLETRANSLATE(B32682,""en"",""fr"")"),"Les gars font le dernier tour de ciseaux en papier rock et le vainqueur est annoncé, l'un des hommes Gaves un coup dans les noix des deux gars.")</f>
        <v>Les gars font le dernier tour de ciseaux en papier rock et le vainqueur est annoncé, l'un des hommes Gaves un coup dans les noix des deux gars.</v>
      </c>
    </row>
    <row r="32683">
      <c r="A32683" s="4" t="s">
        <v>41134</v>
      </c>
      <c r="B32683" s="4" t="s">
        <v>41135</v>
      </c>
      <c r="C32683" s="5" t="str">
        <f>IFERROR(__xludf.DUMMYFUNCTION("GOOGLETRANSLATE(B32683,""en"",""fr"")"),"Une personne se tient sur un tapis.")</f>
        <v>Une personne se tient sur un tapis.</v>
      </c>
    </row>
    <row r="32684">
      <c r="A32684" s="4" t="s">
        <v>41134</v>
      </c>
      <c r="B32684" s="4" t="s">
        <v>41136</v>
      </c>
      <c r="C32684" s="5" t="str">
        <f>IFERROR(__xludf.DUMMYFUNCTION("GOOGLETRANSLATE(B32684,""en"",""fr"")"),"Ils descendent une piste tenant un poteau et un saut sur un bar.")</f>
        <v>Ils descendent une piste tenant un poteau et un saut sur un bar.</v>
      </c>
    </row>
    <row r="32685">
      <c r="A32685" s="4" t="s">
        <v>41134</v>
      </c>
      <c r="B32685" s="4" t="s">
        <v>41137</v>
      </c>
      <c r="C32685" s="5" t="str">
        <f>IFERROR(__xludf.DUMMYFUNCTION("GOOGLETRANSLATE(B32685,""en"",""fr"")"),"Ils atterrissent sur le dos sur un tapis.")</f>
        <v>Ils atterrissent sur le dos sur un tapis.</v>
      </c>
    </row>
    <row r="32686">
      <c r="A32686" s="4" t="s">
        <v>41138</v>
      </c>
      <c r="B32686" s="6" t="s">
        <v>41139</v>
      </c>
      <c r="C32686" s="5" t="str">
        <f>IFERROR(__xludf.DUMMYFUNCTION("GOOGLETRANSLATE(B32686,""en"",""fr"")"),"Deux jumeaux vêtus de la même manière et avec la même coiffure se trouvent dans une pièce à parler à la caméra.")</f>
        <v>Deux jumeaux vêtus de la même manière et avec la même coiffure se trouvent dans une pièce à parler à la caméra.</v>
      </c>
    </row>
    <row r="32687">
      <c r="A32687" s="4" t="s">
        <v>41138</v>
      </c>
      <c r="B32687" s="6" t="s">
        <v>41140</v>
      </c>
      <c r="C32687" s="5" t="str">
        <f>IFERROR(__xludf.DUMMYFUNCTION("GOOGLETRANSLATE(B32687,""en"",""fr"")"),"L'homme à l'arrière commence à mettre des boxeurs au-dessus du pantalon et l'homme devant continue de parler à la caméra.")</f>
        <v>L'homme à l'arrière commence à mettre des boxeurs au-dessus du pantalon et l'homme devant continue de parler à la caméra.</v>
      </c>
    </row>
    <row r="32688">
      <c r="A32688" s="4" t="s">
        <v>41138</v>
      </c>
      <c r="B32688" s="6" t="s">
        <v>41141</v>
      </c>
      <c r="C32688" s="5" t="str">
        <f>IFERROR(__xludf.DUMMYFUNCTION("GOOGLETRANSLATE(B32688,""en"",""fr"")"),"L'homme à l'avant tient un pinceau et met du dentifrice et nettoie ses dents, puis le gars introduit la brosse à dents dans un pot de miel et brosse les dents avec.")</f>
        <v>L'homme à l'avant tient un pinceau et met du dentifrice et nettoie ses dents, puis le gars introduit la brosse à dents dans un pot de miel et brosse les dents avec.</v>
      </c>
    </row>
    <row r="32689">
      <c r="A32689" s="4" t="s">
        <v>41138</v>
      </c>
      <c r="B32689" s="6" t="s">
        <v>41142</v>
      </c>
      <c r="C32689" s="5" t="str">
        <f>IFERROR(__xludf.DUMMYFUNCTION("GOOGLETRANSLATE(B32689,""en"",""fr"")"),"L'homme à l'avant tient une brosse à cheveux et l'autre gars boit de l'eau, l'autre gars tient une brosse à dents avec de la confiture et se bronche les dents.")</f>
        <v>L'homme à l'avant tient une brosse à cheveux et l'autre gars boit de l'eau, l'autre gars tient une brosse à dents avec de la confiture et se bronche les dents.</v>
      </c>
    </row>
    <row r="32690">
      <c r="A32690" s="4" t="s">
        <v>41143</v>
      </c>
      <c r="B32690" s="4" t="s">
        <v>41144</v>
      </c>
      <c r="C32690" s="5" t="str">
        <f>IFERROR(__xludf.DUMMYFUNCTION("GOOGLETRANSLATE(B32690,""en"",""fr"")"),"Un petit chien joue avec un frisbee rose.")</f>
        <v>Un petit chien joue avec un frisbee rose.</v>
      </c>
    </row>
    <row r="32691">
      <c r="A32691" s="4" t="s">
        <v>41143</v>
      </c>
      <c r="B32691" s="4" t="s">
        <v>41145</v>
      </c>
      <c r="C32691" s="5" t="str">
        <f>IFERROR(__xludf.DUMMYFUNCTION("GOOGLETRANSLATE(B32691,""en"",""fr"")"),"Un homme dans une chemise blanche et un short rouge se couche et met ses pieds en l'air.")</f>
        <v>Un homme dans une chemise blanche et un short rouge se couche et met ses pieds en l'air.</v>
      </c>
    </row>
    <row r="32692">
      <c r="A32692" s="4" t="s">
        <v>41143</v>
      </c>
      <c r="B32692" s="4" t="s">
        <v>41146</v>
      </c>
      <c r="C32692" s="5" t="str">
        <f>IFERROR(__xludf.DUMMYFUNCTION("GOOGLETRANSLATE(B32692,""en"",""fr"")"),"Le chien se tient au-dessus des pieds de l'homme.")</f>
        <v>Le chien se tient au-dessus des pieds de l'homme.</v>
      </c>
    </row>
    <row r="32693">
      <c r="A32693" s="4" t="s">
        <v>41143</v>
      </c>
      <c r="B32693" s="4" t="s">
        <v>41147</v>
      </c>
      <c r="C32693" s="5" t="str">
        <f>IFERROR(__xludf.DUMMYFUNCTION("GOOGLETRANSLATE(B32693,""en"",""fr"")"),"Les gens les regardent sur la touche.")</f>
        <v>Les gens les regardent sur la touche.</v>
      </c>
    </row>
    <row r="32694">
      <c r="A32694" s="4" t="s">
        <v>41148</v>
      </c>
      <c r="B32694" s="4" t="s">
        <v>41149</v>
      </c>
      <c r="C32694" s="5" t="str">
        <f>IFERROR(__xludf.DUMMYFUNCTION("GOOGLETRANSLATE(B32694,""en"",""fr"")"),"L'homme est assis sur un bateau dans un lac calme.")</f>
        <v>L'homme est assis sur un bateau dans un lac calme.</v>
      </c>
    </row>
    <row r="32695">
      <c r="A32695" s="4" t="s">
        <v>41148</v>
      </c>
      <c r="B32695" s="4" t="s">
        <v>41150</v>
      </c>
      <c r="C32695" s="5" t="str">
        <f>IFERROR(__xludf.DUMMYFUNCTION("GOOGLETRANSLATE(B32695,""en"",""fr"")"),"La voiture est conduite dans une autoroute avec des voitures debout sur les côtés.")</f>
        <v>La voiture est conduite dans une autoroute avec des voitures debout sur les côtés.</v>
      </c>
    </row>
    <row r="32696">
      <c r="A32696" s="4" t="s">
        <v>41148</v>
      </c>
      <c r="B32696" s="4" t="s">
        <v>41151</v>
      </c>
      <c r="C32696" s="5" t="str">
        <f>IFERROR(__xludf.DUMMYFUNCTION("GOOGLETRANSLATE(B32696,""en"",""fr"")"),"Une photo d'un iver est montrée et sa voiture passant par la chaise et arrive dans un lac.")</f>
        <v>Une photo d'un iver est montrée et sa voiture passant par la chaise et arrive dans un lac.</v>
      </c>
    </row>
    <row r="32697">
      <c r="A32697" s="4" t="s">
        <v>41148</v>
      </c>
      <c r="B32697" s="4" t="s">
        <v>41152</v>
      </c>
      <c r="C32697" s="5" t="str">
        <f>IFERROR(__xludf.DUMMYFUNCTION("GOOGLETRANSLATE(B32697,""en"",""fr"")"),"Les gens sont en bateau pagayant dans la rivière et arrivent dans un camp sur Pier.")</f>
        <v>Les gens sont en bateau pagayant dans la rivière et arrivent dans un camp sur Pier.</v>
      </c>
    </row>
    <row r="32698">
      <c r="A32698" s="4" t="s">
        <v>41153</v>
      </c>
      <c r="B32698" s="4" t="s">
        <v>41154</v>
      </c>
      <c r="C32698" s="5" t="str">
        <f>IFERROR(__xludf.DUMMYFUNCTION("GOOGLETRANSLATE(B32698,""en"",""fr"")"),"Un homme court en tenant un poteau avec les deux mains.")</f>
        <v>Un homme court en tenant un poteau avec les deux mains.</v>
      </c>
    </row>
    <row r="32699">
      <c r="A32699" s="4" t="s">
        <v>41153</v>
      </c>
      <c r="B32699" s="4" t="s">
        <v>41155</v>
      </c>
      <c r="C32699" s="5" t="str">
        <f>IFERROR(__xludf.DUMMYFUNCTION("GOOGLETRANSLATE(B32699,""en"",""fr"")"),"Ensuite, elle saute haut avec le poteau pour passer sur une barre horizontale.")</f>
        <v>Ensuite, elle saute haut avec le poteau pour passer sur une barre horizontale.</v>
      </c>
    </row>
    <row r="32700">
      <c r="A32700" s="4" t="s">
        <v>41153</v>
      </c>
      <c r="B32700" s="4" t="s">
        <v>41156</v>
      </c>
      <c r="C32700" s="5" t="str">
        <f>IFERROR(__xludf.DUMMYFUNCTION("GOOGLETRANSLATE(B32700,""en"",""fr"")"),"L'homme tombe sur le tapis.")</f>
        <v>L'homme tombe sur le tapis.</v>
      </c>
    </row>
    <row r="32701">
      <c r="A32701" s="4" t="s">
        <v>41157</v>
      </c>
      <c r="B32701" s="4" t="s">
        <v>41158</v>
      </c>
      <c r="C32701" s="5" t="str">
        <f>IFERROR(__xludf.DUMMYFUNCTION("GOOGLETRANSLATE(B32701,""en"",""fr"")"),"Quelques garçons roulent sur des planches à roulettes.")</f>
        <v>Quelques garçons roulent sur des planches à roulettes.</v>
      </c>
    </row>
    <row r="32702">
      <c r="A32702" s="4" t="s">
        <v>41157</v>
      </c>
      <c r="B32702" s="4" t="s">
        <v>41159</v>
      </c>
      <c r="C32702" s="5" t="str">
        <f>IFERROR(__xludf.DUMMYFUNCTION("GOOGLETRANSLATE(B32702,""en"",""fr"")"),"Ils regardent un autre couple d'hommes jouer au basket.")</f>
        <v>Ils regardent un autre couple d'hommes jouer au basket.</v>
      </c>
    </row>
    <row r="32703">
      <c r="A32703" s="4" t="s">
        <v>41157</v>
      </c>
      <c r="B32703" s="4" t="s">
        <v>41160</v>
      </c>
      <c r="C32703" s="5" t="str">
        <f>IFERROR(__xludf.DUMMYFUNCTION("GOOGLETRANSLATE(B32703,""en"",""fr"")"),"Ils discutent, puis les basketteurs partent.")</f>
        <v>Ils discutent, puis les basketteurs partent.</v>
      </c>
    </row>
    <row r="32704">
      <c r="A32704" s="4" t="s">
        <v>41161</v>
      </c>
      <c r="B32704" s="6" t="s">
        <v>41162</v>
      </c>
      <c r="C32704" s="5" t="str">
        <f>IFERROR(__xludf.DUMMYFUNCTION("GOOGLETRANSLATE(B32704,""en"",""fr"")"),"Une boîte de rollerbldes est affichée et le couvercle est ouvert AMD TJE Les accessoires sont affichés avec les rouleaux.")</f>
        <v>Une boîte de rollerbldes est affichée et le couvercle est ouvert AMD TJE Les accessoires sont affichés avec les rouleaux.</v>
      </c>
    </row>
    <row r="32705">
      <c r="A32705" s="4" t="s">
        <v>41161</v>
      </c>
      <c r="B32705" s="4" t="s">
        <v>41163</v>
      </c>
      <c r="C32705" s="5" t="str">
        <f>IFERROR(__xludf.DUMMYFUNCTION("GOOGLETRANSLATE(B32705,""en"",""fr"")"),"L'homme est en patinage de rue et montre des photos des patins.")</f>
        <v>L'homme est en patinage de rue et montre des photos des patins.</v>
      </c>
    </row>
    <row r="32706">
      <c r="A32706" s="4" t="s">
        <v>41164</v>
      </c>
      <c r="B32706" s="6" t="s">
        <v>41165</v>
      </c>
      <c r="C32706" s="5" t="str">
        <f>IFERROR(__xludf.DUMMYFUNCTION("GOOGLETRANSLATE(B32706,""en"",""fr"")"),"Une femme dans un parking rebondit de haut en bas avec une sorte d'attaches de bâton Pogo sur ses jambes.")</f>
        <v>Une femme dans un parking rebondit de haut en bas avec une sorte d'attaches de bâton Pogo sur ses jambes.</v>
      </c>
    </row>
    <row r="32707">
      <c r="A32707" s="4" t="s">
        <v>41164</v>
      </c>
      <c r="B32707" s="4" t="s">
        <v>41166</v>
      </c>
      <c r="C32707" s="5" t="str">
        <f>IFERROR(__xludf.DUMMYFUNCTION("GOOGLETRANSLATE(B32707,""en"",""fr"")"),"La femme se promène dans le parking.")</f>
        <v>La femme se promène dans le parking.</v>
      </c>
    </row>
    <row r="32708">
      <c r="A32708" s="4" t="s">
        <v>41164</v>
      </c>
      <c r="B32708" s="4" t="s">
        <v>41167</v>
      </c>
      <c r="C32708" s="5" t="str">
        <f>IFERROR(__xludf.DUMMYFUNCTION("GOOGLETRANSLATE(B32708,""en"",""fr"")"),"La femme commence à rebondir de haut en bas en se promenant.")</f>
        <v>La femme commence à rebondir de haut en bas en se promenant.</v>
      </c>
    </row>
    <row r="32709">
      <c r="A32709" s="4" t="s">
        <v>41164</v>
      </c>
      <c r="B32709" s="4" t="s">
        <v>41168</v>
      </c>
      <c r="C32709" s="5" t="str">
        <f>IFERROR(__xludf.DUMMYFUNCTION("GOOGLETRANSLATE(B32709,""en"",""fr"")"),"Un homme s'approche et parle à la femme.")</f>
        <v>Un homme s'approche et parle à la femme.</v>
      </c>
    </row>
    <row r="32710">
      <c r="A32710" s="4" t="s">
        <v>41164</v>
      </c>
      <c r="B32710" s="4" t="s">
        <v>41169</v>
      </c>
      <c r="C32710" s="5" t="str">
        <f>IFERROR(__xludf.DUMMYFUNCTION("GOOGLETRANSLATE(B32710,""en"",""fr"")"),"La femme tient les mains de l'homme pour l'équilibre tout en rebondissant.")</f>
        <v>La femme tient les mains de l'homme pour l'équilibre tout en rebondissant.</v>
      </c>
    </row>
    <row r="32711">
      <c r="A32711" s="4" t="s">
        <v>41170</v>
      </c>
      <c r="B32711" s="4" t="s">
        <v>41171</v>
      </c>
      <c r="C32711" s="5" t="str">
        <f>IFERROR(__xludf.DUMMYFUNCTION("GOOGLETRANSLATE(B32711,""en"",""fr"")"),"Un homme ouvre sa porte arrière pour laisser une petite fille dehors.")</f>
        <v>Un homme ouvre sa porte arrière pour laisser une petite fille dehors.</v>
      </c>
    </row>
    <row r="32712">
      <c r="A32712" s="4" t="s">
        <v>41170</v>
      </c>
      <c r="B32712" s="4" t="s">
        <v>41172</v>
      </c>
      <c r="C32712" s="5" t="str">
        <f>IFERROR(__xludf.DUMMYFUNCTION("GOOGLETRANSLATE(B32712,""en"",""fr"")"),"L'homme suit la petite fille.")</f>
        <v>L'homme suit la petite fille.</v>
      </c>
    </row>
    <row r="32713">
      <c r="A32713" s="4" t="s">
        <v>41170</v>
      </c>
      <c r="B32713" s="4" t="s">
        <v>41173</v>
      </c>
      <c r="C32713" s="5" t="str">
        <f>IFERROR(__xludf.DUMMYFUNCTION("GOOGLETRANSLATE(B32713,""en"",""fr"")"),"Une petite fille marche et pointe vers la caméra.")</f>
        <v>Une petite fille marche et pointe vers la caméra.</v>
      </c>
    </row>
    <row r="32714">
      <c r="A32714" s="4" t="s">
        <v>41170</v>
      </c>
      <c r="B32714" s="4" t="s">
        <v>41174</v>
      </c>
      <c r="C32714" s="5" t="str">
        <f>IFERROR(__xludf.DUMMYFUNCTION("GOOGLETRANSLATE(B32714,""en"",""fr"")"),"Un chien entre dans la scène et la petite fille saute de bonheur.")</f>
        <v>Un chien entre dans la scène et la petite fille saute de bonheur.</v>
      </c>
    </row>
    <row r="32715">
      <c r="A32715" s="4" t="s">
        <v>41170</v>
      </c>
      <c r="B32715" s="4" t="s">
        <v>41175</v>
      </c>
      <c r="C32715" s="5" t="str">
        <f>IFERROR(__xludf.DUMMYFUNCTION("GOOGLETRANSLATE(B32715,""en"",""fr"")"),"La petite fille se promène dans sa diapositive.")</f>
        <v>La petite fille se promène dans sa diapositive.</v>
      </c>
    </row>
    <row r="32716">
      <c r="A32716" s="4" t="s">
        <v>41170</v>
      </c>
      <c r="B32716" s="4" t="s">
        <v>41176</v>
      </c>
      <c r="C32716" s="5" t="str">
        <f>IFERROR(__xludf.DUMMYFUNCTION("GOOGLETRANSLATE(B32716,""en"",""fr"")"),"La petite fille commence à grimper le toboggan et l'homme l'aide à atteindre le sommet.")</f>
        <v>La petite fille commence à grimper le toboggan et l'homme l'aide à atteindre le sommet.</v>
      </c>
    </row>
    <row r="32717">
      <c r="A32717" s="4" t="s">
        <v>41170</v>
      </c>
      <c r="B32717" s="4" t="s">
        <v>41177</v>
      </c>
      <c r="C32717" s="5" t="str">
        <f>IFERROR(__xludf.DUMMYFUNCTION("GOOGLETRANSLATE(B32717,""en"",""fr"")"),"La petite fille commence à jouer avec la roue et se met à genoux.")</f>
        <v>La petite fille commence à jouer avec la roue et se met à genoux.</v>
      </c>
    </row>
    <row r="32718">
      <c r="A32718" s="4" t="s">
        <v>41170</v>
      </c>
      <c r="B32718" s="4" t="s">
        <v>41178</v>
      </c>
      <c r="C32718" s="5" t="str">
        <f>IFERROR(__xludf.DUMMYFUNCTION("GOOGLETRANSLATE(B32718,""en"",""fr"")"),"L'homme aide la petite fille à descendre la diapositive.")</f>
        <v>L'homme aide la petite fille à descendre la diapositive.</v>
      </c>
    </row>
    <row r="32719">
      <c r="A32719" s="4" t="s">
        <v>41170</v>
      </c>
      <c r="B32719" s="4" t="s">
        <v>41179</v>
      </c>
      <c r="C32719" s="5" t="str">
        <f>IFERROR(__xludf.DUMMYFUNCTION("GOOGLETRANSLATE(B32719,""en"",""fr"")"),"La petite fille va à la balançoire et l'homme l'aide à y faire.")</f>
        <v>La petite fille va à la balançoire et l'homme l'aide à y faire.</v>
      </c>
    </row>
    <row r="32720">
      <c r="A32720" s="4" t="s">
        <v>41170</v>
      </c>
      <c r="B32720" s="4" t="s">
        <v>41180</v>
      </c>
      <c r="C32720" s="5" t="str">
        <f>IFERROR(__xludf.DUMMYFUNCTION("GOOGLETRANSLATE(B32720,""en"",""fr"")"),"La petite fille pointe vers la caméra.")</f>
        <v>La petite fille pointe vers la caméra.</v>
      </c>
    </row>
    <row r="32721">
      <c r="A32721" s="4" t="s">
        <v>41170</v>
      </c>
      <c r="B32721" s="4" t="s">
        <v>41181</v>
      </c>
      <c r="C32721" s="5" t="str">
        <f>IFERROR(__xludf.DUMMYFUNCTION("GOOGLETRANSLATE(B32721,""en"",""fr"")"),"L'homme pousse la petite fille sur le swing.")</f>
        <v>L'homme pousse la petite fille sur le swing.</v>
      </c>
    </row>
    <row r="32722">
      <c r="A32722" s="4" t="s">
        <v>41182</v>
      </c>
      <c r="B32722" s="4" t="s">
        <v>41183</v>
      </c>
      <c r="C32722" s="5" t="str">
        <f>IFERROR(__xludf.DUMMYFUNCTION("GOOGLETRANSLATE(B32722,""en"",""fr"")"),"Les gens font glisser un gros cerf-volant rouge à travers un champ.")</f>
        <v>Les gens font glisser un gros cerf-volant rouge à travers un champ.</v>
      </c>
    </row>
    <row r="32723">
      <c r="A32723" s="4" t="s">
        <v>41182</v>
      </c>
      <c r="B32723" s="4" t="s">
        <v>41184</v>
      </c>
      <c r="C32723" s="5" t="str">
        <f>IFERROR(__xludf.DUMMYFUNCTION("GOOGLETRANSLATE(B32723,""en"",""fr"")"),"Le cerf-volant est dans les airs et les enfants se tiennent sous le regard.")</f>
        <v>Le cerf-volant est dans les airs et les enfants se tiennent sous le regard.</v>
      </c>
    </row>
    <row r="32724">
      <c r="A32724" s="4" t="s">
        <v>41182</v>
      </c>
      <c r="B32724" s="4" t="s">
        <v>41185</v>
      </c>
      <c r="C32724" s="5" t="str">
        <f>IFERROR(__xludf.DUMMYFUNCTION("GOOGLETRANSLATE(B32724,""en"",""fr"")"),"Le cerf-volant est dans l'air volant.")</f>
        <v>Le cerf-volant est dans l'air volant.</v>
      </c>
    </row>
    <row r="32725">
      <c r="A32725" s="4" t="s">
        <v>41182</v>
      </c>
      <c r="B32725" s="4" t="s">
        <v>41186</v>
      </c>
      <c r="C32725" s="5" t="str">
        <f>IFERROR(__xludf.DUMMYFUNCTION("GOOGLETRANSLATE(B32725,""en"",""fr"")"),"Un homme et une petite fille et un garçon volent le cerf-volant et en tiennent la base.")</f>
        <v>Un homme et une petite fille et un garçon volent le cerf-volant et en tiennent la base.</v>
      </c>
    </row>
    <row r="32726">
      <c r="A32726" s="4" t="s">
        <v>41182</v>
      </c>
      <c r="B32726" s="4" t="s">
        <v>41187</v>
      </c>
      <c r="C32726" s="5" t="str">
        <f>IFERROR(__xludf.DUMMYFUNCTION("GOOGLETRANSLATE(B32726,""en"",""fr"")"),"Une petite fille jette quelque chose sur le sol.")</f>
        <v>Une petite fille jette quelque chose sur le sol.</v>
      </c>
    </row>
    <row r="32727">
      <c r="A32727" s="4" t="s">
        <v>41188</v>
      </c>
      <c r="B32727" s="4" t="s">
        <v>41189</v>
      </c>
      <c r="C32727" s="5" t="str">
        <f>IFERROR(__xludf.DUMMYFUNCTION("GOOGLETRANSLATE(B32727,""en"",""fr"")"),"Nous voyons une planche de fléchette se balancer doucement.")</f>
        <v>Nous voyons une planche de fléchette se balancer doucement.</v>
      </c>
    </row>
    <row r="32728">
      <c r="A32728" s="4" t="s">
        <v>41188</v>
      </c>
      <c r="B32728" s="4" t="s">
        <v>41190</v>
      </c>
      <c r="C32728" s="5" t="str">
        <f>IFERROR(__xludf.DUMMYFUNCTION("GOOGLETRANSLATE(B32728,""en"",""fr"")"),"Deux fléchettes, un rouge, un vert a frappé la planche.")</f>
        <v>Deux fléchettes, un rouge, un vert a frappé la planche.</v>
      </c>
    </row>
    <row r="32729">
      <c r="A32729" s="4" t="s">
        <v>41188</v>
      </c>
      <c r="B32729" s="4" t="s">
        <v>41191</v>
      </c>
      <c r="C32729" s="5" t="str">
        <f>IFERROR(__xludf.DUMMYFUNCTION("GOOGLETRANSLATE(B32729,""en"",""fr"")"),"Nous changeons d'angle et deux autres fléchettes ont frappé la planche.")</f>
        <v>Nous changeons d'angle et deux autres fléchettes ont frappé la planche.</v>
      </c>
    </row>
    <row r="32730">
      <c r="A32730" s="4" t="s">
        <v>41188</v>
      </c>
      <c r="B32730" s="4" t="s">
        <v>41192</v>
      </c>
      <c r="C32730" s="5" t="str">
        <f>IFERROR(__xludf.DUMMYFUNCTION("GOOGLETRANSLATE(B32730,""en"",""fr"")"),"L'écran s'estompe en noir et nous voyons les crédits de fin.")</f>
        <v>L'écran s'estompe en noir et nous voyons les crédits de fin.</v>
      </c>
    </row>
    <row r="32731">
      <c r="A32731" s="4" t="s">
        <v>41193</v>
      </c>
      <c r="B32731" s="4" t="s">
        <v>41194</v>
      </c>
      <c r="C32731" s="5" t="str">
        <f>IFERROR(__xludf.DUMMYFUNCTION("GOOGLETRANSLATE(B32731,""en"",""fr"")"),"Un homme est vu s'éloigner de la caméra tout en parlant et en tenant un cerceau.")</f>
        <v>Un homme est vu s'éloigner de la caméra tout en parlant et en tenant un cerceau.</v>
      </c>
    </row>
    <row r="32732">
      <c r="A32732" s="4" t="s">
        <v>41193</v>
      </c>
      <c r="B32732" s="4" t="s">
        <v>41195</v>
      </c>
      <c r="C32732" s="5" t="str">
        <f>IFERROR(__xludf.DUMMYFUNCTION("GOOGLETRANSLATE(B32732,""en"",""fr"")"),"L'homme balance ensuite le cerceau tout autour de lui en marchant vers la caméra.")</f>
        <v>L'homme balance ensuite le cerceau tout autour de lui en marchant vers la caméra.</v>
      </c>
    </row>
    <row r="32733">
      <c r="A32733" s="4" t="s">
        <v>41193</v>
      </c>
      <c r="B32733" s="4" t="s">
        <v>41196</v>
      </c>
      <c r="C32733" s="5" t="str">
        <f>IFERROR(__xludf.DUMMYFUNCTION("GOOGLETRANSLATE(B32733,""en"",""fr"")"),"Un autre homme entre dans le cadre et les cerceaux avec l'homme tout en regardant la caméra.")</f>
        <v>Un autre homme entre dans le cadre et les cerceaux avec l'homme tout en regardant la caméra.</v>
      </c>
    </row>
    <row r="32734">
      <c r="A32734" s="4" t="s">
        <v>41197</v>
      </c>
      <c r="B32734" s="6" t="s">
        <v>41198</v>
      </c>
      <c r="C32734" s="5" t="str">
        <f>IFERROR(__xludf.DUMMYFUNCTION("GOOGLETRANSLATE(B32734,""en"",""fr"")"),"Un homme est vu s'asseoir et parler à la caméra tout en tenant un tuyau de narguilé et une autre personne est vue dans le cadre.")</f>
        <v>Un homme est vu s'asseoir et parler à la caméra tout en tenant un tuyau de narguilé et une autre personne est vue dans le cadre.</v>
      </c>
    </row>
    <row r="32735">
      <c r="A32735" s="4" t="s">
        <v>41197</v>
      </c>
      <c r="B32735" s="6" t="s">
        <v>41199</v>
      </c>
      <c r="C32735" s="5" t="str">
        <f>IFERROR(__xludf.DUMMYFUNCTION("GOOGLETRANSLATE(B32735,""en"",""fr"")"),"L'homme prend une bouffée du tuyau tout en parlant à la caméra et le remet à l'autre homme qui prend également un coup.")</f>
        <v>L'homme prend une bouffée du tuyau tout en parlant à la caméra et le remet à l'autre homme qui prend également un coup.</v>
      </c>
    </row>
    <row r="32736">
      <c r="A32736" s="4" t="s">
        <v>41197</v>
      </c>
      <c r="B32736" s="4" t="s">
        <v>41200</v>
      </c>
      <c r="C32736" s="5" t="str">
        <f>IFERROR(__xludf.DUMMYFUNCTION("GOOGLETRANSLATE(B32736,""en"",""fr"")"),"Il souffle la fumée et le premier homme est encore vu parler à la caméra.")</f>
        <v>Il souffle la fumée et le premier homme est encore vu parler à la caméra.</v>
      </c>
    </row>
    <row r="32737">
      <c r="A32737" s="4" t="s">
        <v>41201</v>
      </c>
      <c r="B32737" s="4" t="s">
        <v>41202</v>
      </c>
      <c r="C32737" s="5" t="str">
        <f>IFERROR(__xludf.DUMMYFUNCTION("GOOGLETRANSLATE(B32737,""en"",""fr"")"),"Une personne se prépare à sauter à l'élastique par-dessus un plan d'eau tandis que les spectateurs regardent du sol.")</f>
        <v>Une personne se prépare à sauter à l'élastique par-dessus un plan d'eau tandis que les spectateurs regardent du sol.</v>
      </c>
    </row>
    <row r="32738">
      <c r="A32738" s="4" t="s">
        <v>41201</v>
      </c>
      <c r="B32738" s="4" t="s">
        <v>41203</v>
      </c>
      <c r="C32738" s="5" t="str">
        <f>IFERROR(__xludf.DUMMYFUNCTION("GOOGLETRANSLATE(B32738,""en"",""fr"")"),"La personne est assise, d'abord, attachée à du matériel de saut à l'élastique.")</f>
        <v>La personne est assise, d'abord, attachée à du matériel de saut à l'élastique.</v>
      </c>
    </row>
    <row r="32739">
      <c r="A32739" s="4" t="s">
        <v>41201</v>
      </c>
      <c r="B32739" s="4" t="s">
        <v>41204</v>
      </c>
      <c r="C32739" s="5" t="str">
        <f>IFERROR(__xludf.DUMMYFUNCTION("GOOGLETRANSLATE(B32739,""en"",""fr"")"),"La personne se tient au bord d'une surface de saut en bois alors que les badauds regardent du sol.")</f>
        <v>La personne se tient au bord d'une surface de saut en bois alors que les badauds regardent du sol.</v>
      </c>
    </row>
    <row r="32740">
      <c r="A32740" s="4" t="s">
        <v>41201</v>
      </c>
      <c r="B32740" s="6" t="s">
        <v>41205</v>
      </c>
      <c r="C32740" s="5" t="str">
        <f>IFERROR(__xludf.DUMMYFUNCTION("GOOGLETRANSLATE(B32740,""en"",""fr"")"),"La personne saute du bord et tombe alors que la caméra suit et révèle que c'est un homme qui a sauté, et l'homme sourit et rit alors qu'il s'échappe dans les airs juste au-dessus de l'eau.")</f>
        <v>La personne saute du bord et tombe alors que la caméra suit et révèle que c'est un homme qui a sauté, et l'homme sourit et rit alors qu'il s'échappe dans les airs juste au-dessus de l'eau.</v>
      </c>
    </row>
    <row r="32741">
      <c r="A32741" s="4" t="s">
        <v>41206</v>
      </c>
      <c r="B32741" s="4" t="s">
        <v>41207</v>
      </c>
      <c r="C32741" s="5" t="str">
        <f>IFERROR(__xludf.DUMMYFUNCTION("GOOGLETRANSLATE(B32741,""en"",""fr"")"),"Un petit garçon monte sur le balancement fermant son petit gardien de sécurité.")</f>
        <v>Un petit garçon monte sur le balancement fermant son petit gardien de sécurité.</v>
      </c>
    </row>
    <row r="32742">
      <c r="A32742" s="4" t="s">
        <v>41206</v>
      </c>
      <c r="B32742" s="4" t="s">
        <v>41208</v>
      </c>
      <c r="C32742" s="5" t="str">
        <f>IFERROR(__xludf.DUMMYFUNCTION("GOOGLETRANSLATE(B32742,""en"",""fr"")"),"Il le ferme et crée un certain élan pour commencer à aller vite.")</f>
        <v>Il le ferme et crée un certain élan pour commencer à aller vite.</v>
      </c>
    </row>
    <row r="32743">
      <c r="A32743" s="4" t="s">
        <v>41206</v>
      </c>
      <c r="B32743" s="4" t="s">
        <v>41209</v>
      </c>
      <c r="C32743" s="5" t="str">
        <f>IFERROR(__xludf.DUMMYFUNCTION("GOOGLETRANSLATE(B32743,""en"",""fr"")"),"Il donne des coups de pied dans les pieds en devenant assez haut.")</f>
        <v>Il donne des coups de pied dans les pieds en devenant assez haut.</v>
      </c>
    </row>
    <row r="32744">
      <c r="A32744" s="4" t="s">
        <v>41206</v>
      </c>
      <c r="B32744" s="4" t="s">
        <v>41210</v>
      </c>
      <c r="C32744" s="5" t="str">
        <f>IFERROR(__xludf.DUMMYFUNCTION("GOOGLETRANSLATE(B32744,""en"",""fr"")"),"Il aime juste son temps se balançant à l'extérieur en profitant de la journée.")</f>
        <v>Il aime juste son temps se balançant à l'extérieur en profitant de la journée.</v>
      </c>
    </row>
    <row r="32745">
      <c r="A32745" s="4" t="s">
        <v>41211</v>
      </c>
      <c r="B32745" s="6" t="s">
        <v>41212</v>
      </c>
      <c r="C32745" s="5" t="str">
        <f>IFERROR(__xludf.DUMMYFUNCTION("GOOGLETRANSLATE(B32745,""en"",""fr"")"),"Un gros plan est illustré pendant que la caméra se déroule vers l'arrière et que le texte se déplace sur l'écran.")</f>
        <v>Un gros plan est illustré pendant que la caméra se déroule vers l'arrière et que le texte se déplace sur l'écran.</v>
      </c>
    </row>
    <row r="32746">
      <c r="A32746" s="4" t="s">
        <v>41211</v>
      </c>
      <c r="B32746" s="4" t="s">
        <v>41213</v>
      </c>
      <c r="C32746" s="5" t="str">
        <f>IFERROR(__xludf.DUMMYFUNCTION("GOOGLETRANSLATE(B32746,""en"",""fr"")"),"La caméra suit de près la chaise et mène à une femme assise à l'aise sur la chaise.")</f>
        <v>La caméra suit de près la chaise et mène à une femme assise à l'aise sur la chaise.</v>
      </c>
    </row>
    <row r="32747">
      <c r="A32747" s="4" t="s">
        <v>41211</v>
      </c>
      <c r="B32747" s="4" t="s">
        <v>41214</v>
      </c>
      <c r="C32747" s="5" t="str">
        <f>IFERROR(__xludf.DUMMYFUNCTION("GOOGLETRANSLATE(B32747,""en"",""fr"")"),"La femme ajuste le siège et mène à plusieurs autres gros plans de la chaise.")</f>
        <v>La femme ajuste le siège et mène à plusieurs autres gros plans de la chaise.</v>
      </c>
    </row>
    <row r="32748">
      <c r="A32748" s="4" t="s">
        <v>41215</v>
      </c>
      <c r="B32748" s="4" t="s">
        <v>24280</v>
      </c>
      <c r="C32748" s="5" t="str">
        <f>IFERROR(__xludf.DUMMYFUNCTION("GOOGLETRANSLATE(B32748,""en"",""fr"")"),"Nous voyons une série d'écrans de titre.")</f>
        <v>Nous voyons une série d'écrans de titre.</v>
      </c>
    </row>
    <row r="32749">
      <c r="A32749" s="4" t="s">
        <v>41215</v>
      </c>
      <c r="B32749" s="4" t="s">
        <v>41216</v>
      </c>
      <c r="C32749" s="5" t="str">
        <f>IFERROR(__xludf.DUMMYFUNCTION("GOOGLETRANSLATE(B32749,""en"",""fr"")"),"Nous voyons un hors-bord accélérer à travers un lac et un jet-ski pour homme.")</f>
        <v>Nous voyons un hors-bord accélérer à travers un lac et un jet-ski pour homme.</v>
      </c>
    </row>
    <row r="32750">
      <c r="A32750" s="4" t="s">
        <v>41215</v>
      </c>
      <c r="B32750" s="4" t="s">
        <v>41217</v>
      </c>
      <c r="C32750" s="5" t="str">
        <f>IFERROR(__xludf.DUMMYFUNCTION("GOOGLETRANSLATE(B32750,""en"",""fr"")"),"L'écran clignote en noir et nous voyons plus de jet ski.")</f>
        <v>L'écran clignote en noir et nous voyons plus de jet ski.</v>
      </c>
    </row>
    <row r="32751">
      <c r="A32751" s="4" t="s">
        <v>41215</v>
      </c>
      <c r="B32751" s="4" t="s">
        <v>777</v>
      </c>
      <c r="C32751" s="5" t="str">
        <f>IFERROR(__xludf.DUMMYFUNCTION("GOOGLETRANSLATE(B32751,""en"",""fr"")"),"Nous voyons l'écran du titre de fin.")</f>
        <v>Nous voyons l'écran du titre de fin.</v>
      </c>
    </row>
    <row r="32752">
      <c r="A32752" s="4" t="s">
        <v>41218</v>
      </c>
      <c r="B32752" s="4" t="s">
        <v>41219</v>
      </c>
      <c r="C32752" s="5" t="str">
        <f>IFERROR(__xludf.DUMMYFUNCTION("GOOGLETRANSLATE(B32752,""en"",""fr"")"),"Un jeune homme nommé Sean portant un bonnet et des goujons de boucle d'oreille noirs.")</f>
        <v>Un jeune homme nommé Sean portant un bonnet et des goujons de boucle d'oreille noirs.</v>
      </c>
    </row>
    <row r="32753">
      <c r="A32753" s="4" t="s">
        <v>41218</v>
      </c>
      <c r="B32753" s="4" t="s">
        <v>41220</v>
      </c>
      <c r="C32753" s="5" t="str">
        <f>IFERROR(__xludf.DUMMYFUNCTION("GOOGLETRANSLATE(B32753,""en"",""fr"")"),"Il montre comment percer l'oreille avec des boucles d'oreilles.")</f>
        <v>Il montre comment percer l'oreille avec des boucles d'oreilles.</v>
      </c>
    </row>
    <row r="32754">
      <c r="A32754" s="4" t="s">
        <v>41218</v>
      </c>
      <c r="B32754" s="4" t="s">
        <v>41221</v>
      </c>
      <c r="C32754" s="5" t="str">
        <f>IFERROR(__xludf.DUMMYFUNCTION("GOOGLETRANSLATE(B32754,""en"",""fr"")"),"Il exprime une douleur intense alors qu'il essaie de percer son lobe d'oreille.")</f>
        <v>Il exprime une douleur intense alors qu'il essaie de percer son lobe d'oreille.</v>
      </c>
    </row>
    <row r="32755">
      <c r="A32755" s="4" t="s">
        <v>41218</v>
      </c>
      <c r="B32755" s="4" t="s">
        <v>41222</v>
      </c>
      <c r="C32755" s="5" t="str">
        <f>IFERROR(__xludf.DUMMYFUNCTION("GOOGLETRANSLATE(B32755,""en"",""fr"")"),"Il prend un glaçon pour apaiser son lobe d'oreille.")</f>
        <v>Il prend un glaçon pour apaiser son lobe d'oreille.</v>
      </c>
    </row>
    <row r="32756">
      <c r="A32756" s="4" t="s">
        <v>41218</v>
      </c>
      <c r="B32756" s="4" t="s">
        <v>41223</v>
      </c>
      <c r="C32756" s="5" t="str">
        <f>IFERROR(__xludf.DUMMYFUNCTION("GOOGLETRANSLATE(B32756,""en"",""fr"")"),"Ensuite, il utilise un allume-cigare pour chauffer la boucle d'oreille pour la désinfecter.")</f>
        <v>Ensuite, il utilise un allume-cigare pour chauffer la boucle d'oreille pour la désinfecter.</v>
      </c>
    </row>
    <row r="32757">
      <c r="A32757" s="4" t="s">
        <v>41218</v>
      </c>
      <c r="B32757" s="4" t="s">
        <v>41224</v>
      </c>
      <c r="C32757" s="5" t="str">
        <f>IFERROR(__xludf.DUMMYFUNCTION("GOOGLETRANSLATE(B32757,""en"",""fr"")"),"Il essaie d'utiliser un punier pour aider le piercing mais finit par provoquer de graves saignements à l'oreille.")</f>
        <v>Il essaie d'utiliser un punier pour aider le piercing mais finit par provoquer de graves saignements à l'oreille.</v>
      </c>
    </row>
    <row r="32758">
      <c r="A32758" s="4" t="s">
        <v>41218</v>
      </c>
      <c r="B32758" s="4" t="s">
        <v>41225</v>
      </c>
      <c r="C32758" s="5" t="str">
        <f>IFERROR(__xludf.DUMMYFUNCTION("GOOGLETRANSLATE(B32758,""en"",""fr"")"),"Il essaie ensuite un maillet en caoutchouc pour forcer la boucle d'oreille.")</f>
        <v>Il essaie ensuite un maillet en caoutchouc pour forcer la boucle d'oreille.</v>
      </c>
    </row>
    <row r="32759">
      <c r="A32759" s="4" t="s">
        <v>41218</v>
      </c>
      <c r="B32759" s="4" t="s">
        <v>41226</v>
      </c>
      <c r="C32759" s="5" t="str">
        <f>IFERROR(__xludf.DUMMYFUNCTION("GOOGLETRANSLATE(B32759,""en"",""fr"")"),"Il pleure et sanglote de douleur à sa tentative infructueuse de percer son propre lobe d'oreille.")</f>
        <v>Il pleure et sanglote de douleur à sa tentative infructueuse de percer son propre lobe d'oreille.</v>
      </c>
    </row>
    <row r="32760">
      <c r="A32760" s="4" t="s">
        <v>41227</v>
      </c>
      <c r="B32760" s="4" t="s">
        <v>41228</v>
      </c>
      <c r="C32760" s="5" t="str">
        <f>IFERROR(__xludf.DUMMYFUNCTION("GOOGLETRANSLATE(B32760,""en"",""fr"")"),"Un homme est vu assis dans un kayak regardant vers la caméra.")</f>
        <v>Un homme est vu assis dans un kayak regardant vers la caméra.</v>
      </c>
    </row>
    <row r="32761">
      <c r="A32761" s="4" t="s">
        <v>41227</v>
      </c>
      <c r="B32761" s="4" t="s">
        <v>41229</v>
      </c>
      <c r="C32761" s="5" t="str">
        <f>IFERROR(__xludf.DUMMYFUNCTION("GOOGLETRANSLATE(B32761,""en"",""fr"")"),"Il colle ensuite sa pagaie dans l'eau et commence à se déplacer.")</f>
        <v>Il colle ensuite sa pagaie dans l'eau et commence à se déplacer.</v>
      </c>
    </row>
    <row r="32762">
      <c r="A32762" s="4" t="s">
        <v>41227</v>
      </c>
      <c r="B32762" s="4" t="s">
        <v>41230</v>
      </c>
      <c r="C32762" s="5" t="str">
        <f>IFERROR(__xludf.DUMMYFUNCTION("GOOGLETRANSLATE(B32762,""en"",""fr"")"),"Il continue de rouler dans une zone tout en déplaçant la pagaie.")</f>
        <v>Il continue de rouler dans une zone tout en déplaçant la pagaie.</v>
      </c>
    </row>
    <row r="32763">
      <c r="A32763" s="4" t="s">
        <v>41231</v>
      </c>
      <c r="B32763" s="6" t="s">
        <v>41232</v>
      </c>
      <c r="C32763" s="5" t="str">
        <f>IFERROR(__xludf.DUMMYFUNCTION("GOOGLETRANSLATE(B32763,""en"",""fr"")"),"Un adolescent tourne un disque dans sa main droite, puis la fille lance le disque tout en concurrençant dans un stade.")</f>
        <v>Un adolescent tourne un disque dans sa main droite, puis la fille lance le disque tout en concurrençant dans un stade.</v>
      </c>
    </row>
    <row r="32764">
      <c r="A32764" s="4" t="s">
        <v>41231</v>
      </c>
      <c r="B32764" s="4" t="s">
        <v>41233</v>
      </c>
      <c r="C32764" s="5" t="str">
        <f>IFERROR(__xludf.DUMMYFUNCTION("GOOGLETRANSLATE(B32764,""en"",""fr"")"),"Ensuite, une autre jeune femme tourne autour d'un disque.")</f>
        <v>Ensuite, une autre jeune femme tourne autour d'un disque.</v>
      </c>
    </row>
    <row r="32765">
      <c r="A32765" s="4" t="s">
        <v>41231</v>
      </c>
      <c r="B32765" s="4" t="s">
        <v>41234</v>
      </c>
      <c r="C32765" s="5" t="str">
        <f>IFERROR(__xludf.DUMMYFUNCTION("GOOGLETRANSLATE(B32765,""en"",""fr"")"),"Une femelle tourne et jette un disque loin et elle gagne la compétition.")</f>
        <v>Une femelle tourne et jette un disque loin et elle gagne la compétition.</v>
      </c>
    </row>
    <row r="32766">
      <c r="A32766" s="4" t="s">
        <v>41231</v>
      </c>
      <c r="B32766" s="4" t="s">
        <v>41235</v>
      </c>
      <c r="C32766" s="5" t="str">
        <f>IFERROR(__xludf.DUMMYFUNCTION("GOOGLETRANSLATE(B32766,""en"",""fr"")"),"Un homme sur la piste élève un drapeau blanc sur son bras droit.")</f>
        <v>Un homme sur la piste élève un drapeau blanc sur son bras droit.</v>
      </c>
    </row>
    <row r="32767">
      <c r="A32767" s="4" t="s">
        <v>41236</v>
      </c>
      <c r="B32767" s="4" t="s">
        <v>41237</v>
      </c>
      <c r="C32767" s="5" t="str">
        <f>IFERROR(__xludf.DUMMYFUNCTION("GOOGLETRANSLATE(B32767,""en"",""fr"")"),"La gymnaste d'Ukraine effectue un saut en longueur dans une compétition finale.")</f>
        <v>La gymnaste d'Ukraine effectue un saut en longueur dans une compétition finale.</v>
      </c>
    </row>
    <row r="32768">
      <c r="A32768" s="4" t="s">
        <v>41236</v>
      </c>
      <c r="B32768" s="4" t="s">
        <v>41238</v>
      </c>
      <c r="C32768" s="5" t="str">
        <f>IFERROR(__xludf.DUMMYFUNCTION("GOOGLETRANSLATE(B32768,""en"",""fr"")"),"Un homme tient un blanc et des drapeaux rouges.")</f>
        <v>Un homme tient un blanc et des drapeaux rouges.</v>
      </c>
    </row>
    <row r="32769">
      <c r="A32769" s="4" t="s">
        <v>41236</v>
      </c>
      <c r="B32769" s="4" t="s">
        <v>41239</v>
      </c>
      <c r="C32769" s="5" t="str">
        <f>IFERROR(__xludf.DUMMYFUNCTION("GOOGLETRANSLATE(B32769,""en"",""fr"")"),"Le gymnaste court sur la piste jusqu'à une ligne blanche et saute pour effectuer le saut en longueur.")</f>
        <v>Le gymnaste court sur la piste jusqu'à une ligne blanche et saute pour effectuer le saut en longueur.</v>
      </c>
    </row>
    <row r="32770">
      <c r="A32770" s="4" t="s">
        <v>41236</v>
      </c>
      <c r="B32770" s="6" t="s">
        <v>41240</v>
      </c>
      <c r="C32770" s="5" t="str">
        <f>IFERROR(__xludf.DUMMYFUNCTION("GOOGLETRANSLATE(B32770,""en"",""fr"")"),"Ensuite, une femme d'Allemagne effectue le saut en longueur, et après qu'une fille d'Australie saute longtemps sur le sable.")</f>
        <v>Ensuite, une femme d'Allemagne effectue le saut en longueur, et après qu'une fille d'Australie saute longtemps sur le sable.</v>
      </c>
    </row>
    <row r="32771">
      <c r="A32771" s="4" t="s">
        <v>41236</v>
      </c>
      <c r="B32771" s="4" t="s">
        <v>41241</v>
      </c>
      <c r="C32771" s="5" t="str">
        <f>IFERROR(__xludf.DUMMYFUNCTION("GOOGLETRANSLATE(B32771,""en"",""fr"")"),"La femme d'Allemagne remporte la compétition, elle dirige et grande le public.")</f>
        <v>La femme d'Allemagne remporte la compétition, elle dirige et grande le public.</v>
      </c>
    </row>
    <row r="32772">
      <c r="A32772" s="4" t="s">
        <v>41242</v>
      </c>
      <c r="B32772" s="4" t="s">
        <v>41243</v>
      </c>
      <c r="C32772" s="5" t="str">
        <f>IFERROR(__xludf.DUMMYFUNCTION("GOOGLETRANSLATE(B32772,""en"",""fr"")"),"Un homme dans un gilet est assis dans un bateau.")</f>
        <v>Un homme dans un gilet est assis dans un bateau.</v>
      </c>
    </row>
    <row r="32773">
      <c r="A32773" s="4" t="s">
        <v>41242</v>
      </c>
      <c r="B32773" s="4" t="s">
        <v>41244</v>
      </c>
      <c r="C32773" s="5" t="str">
        <f>IFERROR(__xludf.DUMMYFUNCTION("GOOGLETRANSLATE(B32773,""en"",""fr"")"),"Ensuite, l'homme est dans l'eau, tenant un bâton et une ligne attachée au bateau.")</f>
        <v>Ensuite, l'homme est dans l'eau, tenant un bâton et une ligne attachée au bateau.</v>
      </c>
    </row>
    <row r="32774">
      <c r="A32774" s="4" t="s">
        <v>41242</v>
      </c>
      <c r="B32774" s="4" t="s">
        <v>41245</v>
      </c>
      <c r="C32774" s="5" t="str">
        <f>IFERROR(__xludf.DUMMYFUNCTION("GOOGLETRANSLATE(B32774,""en"",""fr"")"),"Le bateau commence à le tirer dans l'eau alors qu'il commence le ski nautique.")</f>
        <v>Le bateau commence à le tirer dans l'eau alors qu'il commence le ski nautique.</v>
      </c>
    </row>
    <row r="32775">
      <c r="A32775" s="4" t="s">
        <v>41242</v>
      </c>
      <c r="B32775" s="4" t="s">
        <v>41246</v>
      </c>
      <c r="C32775" s="5" t="str">
        <f>IFERROR(__xludf.DUMMYFUNCTION("GOOGLETRANSLATE(B32775,""en"",""fr"")"),"Il skis pendant longtemps.")</f>
        <v>Il skis pendant longtemps.</v>
      </c>
    </row>
    <row r="32776">
      <c r="A32776" s="4" t="s">
        <v>41247</v>
      </c>
      <c r="B32776" s="4" t="s">
        <v>41248</v>
      </c>
      <c r="C32776" s="5" t="str">
        <f>IFERROR(__xludf.DUMMYFUNCTION("GOOGLETRANSLATE(B32776,""en"",""fr"")"),"Les filles sont assises dans une ROM et les garçons sont debout derrière eux, les garçons commencent à peigner les cheveux.")</f>
        <v>Les filles sont assises dans une ROM et les garçons sont debout derrière eux, les garçons commencent à peigner les cheveux.</v>
      </c>
    </row>
    <row r="32777">
      <c r="A32777" s="4" t="s">
        <v>41247</v>
      </c>
      <c r="B32777" s="4" t="s">
        <v>41249</v>
      </c>
      <c r="C32777" s="5" t="str">
        <f>IFERROR(__xludf.DUMMYFUNCTION("GOOGLETRANSLATE(B32777,""en"",""fr"")"),"Femme portant un pull bleu ramper à quatre pattes.")</f>
        <v>Femme portant un pull bleu ramper à quatre pattes.</v>
      </c>
    </row>
    <row r="32778">
      <c r="A32778" s="4" t="s">
        <v>41247</v>
      </c>
      <c r="B32778" s="4" t="s">
        <v>41250</v>
      </c>
      <c r="C32778" s="5" t="str">
        <f>IFERROR(__xludf.DUMMYFUNCTION("GOOGLETRANSLATE(B32778,""en"",""fr"")"),"Les garçons continuent de peigner les cheveux et de mettre des rouleaux de cheveux sur les filles.")</f>
        <v>Les garçons continuent de peigner les cheveux et de mettre des rouleaux de cheveux sur les filles.</v>
      </c>
    </row>
    <row r="32779">
      <c r="A32779" s="4" t="s">
        <v>41247</v>
      </c>
      <c r="B32779" s="6" t="s">
        <v>41251</v>
      </c>
      <c r="C32779" s="5" t="str">
        <f>IFERROR(__xludf.DUMMYFUNCTION("GOOGLETRANSLATE(B32779,""en"",""fr"")"),"La femme au milieu est irritée et se tient et retire les rouleaux pour la tête et s'assoit à nouveau et rient beaucoup.")</f>
        <v>La femme au milieu est irritée et se tient et retire les rouleaux pour la tête et s'assoit à nouveau et rient beaucoup.</v>
      </c>
    </row>
    <row r="32780">
      <c r="A32780" s="4" t="s">
        <v>41252</v>
      </c>
      <c r="B32780" s="4" t="s">
        <v>41253</v>
      </c>
      <c r="C32780" s="5" t="str">
        <f>IFERROR(__xludf.DUMMYFUNCTION("GOOGLETRANSLATE(B32780,""en"",""fr"")"),"Un homme est assis sur une scène.")</f>
        <v>Un homme est assis sur une scène.</v>
      </c>
    </row>
    <row r="32781">
      <c r="A32781" s="4" t="s">
        <v>41252</v>
      </c>
      <c r="B32781" s="4" t="s">
        <v>41254</v>
      </c>
      <c r="C32781" s="5" t="str">
        <f>IFERROR(__xludf.DUMMYFUNCTION("GOOGLETRANSLATE(B32781,""en"",""fr"")"),"Il y a une chambre pleine de gens qui le regardent.")</f>
        <v>Il y a une chambre pleine de gens qui le regardent.</v>
      </c>
    </row>
    <row r="32782">
      <c r="A32782" s="4" t="s">
        <v>41252</v>
      </c>
      <c r="B32782" s="4" t="s">
        <v>41255</v>
      </c>
      <c r="C32782" s="5" t="str">
        <f>IFERROR(__xludf.DUMMYFUNCTION("GOOGLETRANSLATE(B32782,""en"",""fr"")"),"Il joue un ensemble de tambours avec ses mains.")</f>
        <v>Il joue un ensemble de tambours avec ses mains.</v>
      </c>
    </row>
    <row r="32783">
      <c r="A32783" s="4" t="s">
        <v>41256</v>
      </c>
      <c r="B32783" s="4" t="s">
        <v>41257</v>
      </c>
      <c r="C32783" s="5" t="str">
        <f>IFERROR(__xludf.DUMMYFUNCTION("GOOGLETRANSLATE(B32783,""en"",""fr"")"),"Une vue aérienne d'un match de piscine.")</f>
        <v>Une vue aérienne d'un match de piscine.</v>
      </c>
    </row>
    <row r="32784">
      <c r="A32784" s="4" t="s">
        <v>41256</v>
      </c>
      <c r="B32784" s="4" t="s">
        <v>41258</v>
      </c>
      <c r="C32784" s="5" t="str">
        <f>IFERROR(__xludf.DUMMYFUNCTION("GOOGLETRANSLATE(B32784,""en"",""fr"")"),"Un homme dans un gilet bleu drôle est montré comme le prochain joueur à prendre une photo.")</f>
        <v>Un homme dans un gilet bleu drôle est montré comme le prochain joueur à prendre une photo.</v>
      </c>
    </row>
    <row r="32785">
      <c r="A32785" s="4" t="s">
        <v>41256</v>
      </c>
      <c r="B32785" s="4" t="s">
        <v>41259</v>
      </c>
      <c r="C32785" s="5" t="str">
        <f>IFERROR(__xludf.DUMMYFUNCTION("GOOGLETRANSLATE(B32785,""en"",""fr"")"),"Il s'arrête et étudie la table avant de prendre sa photo.")</f>
        <v>Il s'arrête et étudie la table avant de prendre sa photo.</v>
      </c>
    </row>
    <row r="32786">
      <c r="A32786" s="4" t="s">
        <v>41256</v>
      </c>
      <c r="B32786" s="4" t="s">
        <v>41260</v>
      </c>
      <c r="C32786" s="5" t="str">
        <f>IFERROR(__xludf.DUMMYFUNCTION("GOOGLETRANSLATE(B32786,""en"",""fr"")"),"Il tire et frappe la balle bleue dans la poche du coin droit.")</f>
        <v>Il tire et frappe la balle bleue dans la poche du coin droit.</v>
      </c>
    </row>
    <row r="32787">
      <c r="A32787" s="4" t="s">
        <v>41261</v>
      </c>
      <c r="B32787" s="6" t="s">
        <v>41262</v>
      </c>
      <c r="C32787" s="5" t="str">
        <f>IFERROR(__xludf.DUMMYFUNCTION("GOOGLETRANSLATE(B32787,""en"",""fr"")"),"Un gros plan de nourriture est montré suivi par deux femmes parlant à la caméra et présentant divers ingrédients.")</f>
        <v>Un gros plan de nourriture est montré suivi par deux femmes parlant à la caméra et présentant divers ingrédients.</v>
      </c>
    </row>
    <row r="32788">
      <c r="A32788" s="4" t="s">
        <v>41261</v>
      </c>
      <c r="B32788" s="6" t="s">
        <v>41263</v>
      </c>
      <c r="C32788" s="5" t="str">
        <f>IFERROR(__xludf.DUMMYFUNCTION("GOOGLETRANSLATE(B32788,""en"",""fr"")"),"Les femmes mélangent ensuite les ingrédients dans un pot après que les nouilles sont cuites, puis mélangent tout dans un bol.")</f>
        <v>Les femmes mélangent ensuite les ingrédients dans un pot après que les nouilles sont cuites, puis mélangent tout dans un bol.</v>
      </c>
    </row>
    <row r="32789">
      <c r="A32789" s="4" t="s">
        <v>41261</v>
      </c>
      <c r="B32789" s="4" t="s">
        <v>41264</v>
      </c>
      <c r="C32789" s="5" t="str">
        <f>IFERROR(__xludf.DUMMYFUNCTION("GOOGLETRANSLATE(B32789,""en"",""fr"")"),"Enfin, le plat est montré sur une assiette à la fin et les femmes mangent la nourriture.")</f>
        <v>Enfin, le plat est montré sur une assiette à la fin et les femmes mangent la nourriture.</v>
      </c>
    </row>
    <row r="32790">
      <c r="A32790" s="4" t="s">
        <v>41265</v>
      </c>
      <c r="B32790" s="4" t="s">
        <v>41266</v>
      </c>
      <c r="C32790" s="5" t="str">
        <f>IFERROR(__xludf.DUMMYFUNCTION("GOOGLETRANSLATE(B32790,""en"",""fr"")"),"Le chien noir marche dans un tapis roulant dans une pièce blanche.")</f>
        <v>Le chien noir marche dans un tapis roulant dans une pièce blanche.</v>
      </c>
    </row>
    <row r="32791">
      <c r="A32791" s="4" t="s">
        <v>41265</v>
      </c>
      <c r="B32791" s="4" t="s">
        <v>41267</v>
      </c>
      <c r="C32791" s="5" t="str">
        <f>IFERROR(__xludf.DUMMYFUNCTION("GOOGLETRANSLATE(B32791,""en"",""fr"")"),"Le chien court dans le tapis roulant qui est à côté d'un tiroir.")</f>
        <v>Le chien court dans le tapis roulant qui est à côté d'un tiroir.</v>
      </c>
    </row>
    <row r="32792">
      <c r="A32792" s="4" t="s">
        <v>41265</v>
      </c>
      <c r="B32792" s="4" t="s">
        <v>41268</v>
      </c>
      <c r="C32792" s="5" t="str">
        <f>IFERROR(__xludf.DUMMYFUNCTION("GOOGLETRANSLATE(B32792,""en"",""fr"")"),"Le chien porte un collier rouge et fait de l'exercice.")</f>
        <v>Le chien porte un collier rouge et fait de l'exercice.</v>
      </c>
    </row>
    <row r="32793">
      <c r="A32793" s="4" t="s">
        <v>41269</v>
      </c>
      <c r="B32793" s="4" t="s">
        <v>41270</v>
      </c>
      <c r="C32793" s="5" t="str">
        <f>IFERROR(__xludf.DUMMYFUNCTION("GOOGLETRANSLATE(B32793,""en"",""fr"")"),"Une fille marche sur une plongée.")</f>
        <v>Une fille marche sur une plongée.</v>
      </c>
    </row>
    <row r="32794">
      <c r="A32794" s="4" t="s">
        <v>41269</v>
      </c>
      <c r="B32794" s="4" t="s">
        <v>41271</v>
      </c>
      <c r="C32794" s="5" t="str">
        <f>IFERROR(__xludf.DUMMYFUNCTION("GOOGLETRANSLATE(B32794,""en"",""fr"")"),"Les gens sont en arrière-plan.")</f>
        <v>Les gens sont en arrière-plan.</v>
      </c>
    </row>
    <row r="32795">
      <c r="A32795" s="4" t="s">
        <v>41269</v>
      </c>
      <c r="B32795" s="4" t="s">
        <v>41272</v>
      </c>
      <c r="C32795" s="5" t="str">
        <f>IFERROR(__xludf.DUMMYFUNCTION("GOOGLETRANSLATE(B32795,""en"",""fr"")"),"La fille saute de la plongée dans la piscine.")</f>
        <v>La fille saute de la plongée dans la piscine.</v>
      </c>
    </row>
    <row r="32796">
      <c r="A32796" s="4" t="s">
        <v>41269</v>
      </c>
      <c r="B32796" s="4" t="s">
        <v>41273</v>
      </c>
      <c r="C32796" s="5" t="str">
        <f>IFERROR(__xludf.DUMMYFUNCTION("GOOGLETRANSLATE(B32796,""en"",""fr"")"),"Il y a une petite éclaboussure dans l'eau.")</f>
        <v>Il y a une petite éclaboussure dans l'eau.</v>
      </c>
    </row>
    <row r="32797">
      <c r="A32797" s="4" t="s">
        <v>41274</v>
      </c>
      <c r="B32797" s="4" t="s">
        <v>41275</v>
      </c>
      <c r="C32797" s="5" t="str">
        <f>IFERROR(__xludf.DUMMYFUNCTION("GOOGLETRANSLATE(B32797,""en"",""fr"")"),"Un jeune homme est vu mettre un morceau de bois sur une écorce et maintient une hache.")</f>
        <v>Un jeune homme est vu mettre un morceau de bois sur une écorce et maintient une hache.</v>
      </c>
    </row>
    <row r="32798">
      <c r="A32798" s="4" t="s">
        <v>41274</v>
      </c>
      <c r="B32798" s="4" t="s">
        <v>41276</v>
      </c>
      <c r="C32798" s="5" t="str">
        <f>IFERROR(__xludf.DUMMYFUNCTION("GOOGLETRANSLATE(B32798,""en"",""fr"")"),"Il balance ensuite la hache l'écorce le brisant en deux, suivi par lui criant dans l'air.")</f>
        <v>Il balance ensuite la hache l'écorce le brisant en deux, suivi par lui criant dans l'air.</v>
      </c>
    </row>
    <row r="32799">
      <c r="A32799" s="4" t="s">
        <v>41277</v>
      </c>
      <c r="B32799" s="4" t="s">
        <v>41278</v>
      </c>
      <c r="C32799" s="5" t="str">
        <f>IFERROR(__xludf.DUMMYFUNCTION("GOOGLETRANSLATE(B32799,""en"",""fr"")"),"Une femme est assise sur le sol à côté d'un vide.")</f>
        <v>Une femme est assise sur le sol à côté d'un vide.</v>
      </c>
    </row>
    <row r="32800">
      <c r="A32800" s="4" t="s">
        <v>41277</v>
      </c>
      <c r="B32800" s="4" t="s">
        <v>41279</v>
      </c>
      <c r="C32800" s="5" t="str">
        <f>IFERROR(__xludf.DUMMYFUNCTION("GOOGLETRANSLATE(B32800,""en"",""fr"")"),"La femme aspire la saleté sur un sol dur.")</f>
        <v>La femme aspire la saleté sur un sol dur.</v>
      </c>
    </row>
    <row r="32801">
      <c r="A32801" s="4" t="s">
        <v>41277</v>
      </c>
      <c r="B32801" s="4" t="s">
        <v>41280</v>
      </c>
      <c r="C32801" s="5" t="str">
        <f>IFERROR(__xludf.DUMMYFUNCTION("GOOGLETRANSLATE(B32801,""en"",""fr"")"),"Ensuite, la femme nettoie les déchets sur un tapis.")</f>
        <v>Ensuite, la femme nettoie les déchets sur un tapis.</v>
      </c>
    </row>
    <row r="32802">
      <c r="A32802" s="4" t="s">
        <v>41277</v>
      </c>
      <c r="B32802" s="4" t="s">
        <v>41281</v>
      </c>
      <c r="C32802" s="5" t="str">
        <f>IFERROR(__xludf.DUMMYFUNCTION("GOOGLETRANSLATE(B32802,""en"",""fr"")"),"Après, la femme s'aspire à un oreiller à l'aide d'une buse plus petite.")</f>
        <v>Après, la femme s'aspire à un oreiller à l'aide d'une buse plus petite.</v>
      </c>
    </row>
    <row r="32803">
      <c r="A32803" s="4" t="s">
        <v>41277</v>
      </c>
      <c r="B32803" s="4" t="s">
        <v>41282</v>
      </c>
      <c r="C32803" s="5" t="str">
        <f>IFERROR(__xludf.DUMMYFUNCTION("GOOGLETRANSLATE(B32803,""en"",""fr"")"),"Ensuite, alors la femme a mis une nouvelle buse pour nettoyer les surfaces étroites.")</f>
        <v>Ensuite, alors la femme a mis une nouvelle buse pour nettoyer les surfaces étroites.</v>
      </c>
    </row>
    <row r="32804">
      <c r="A32804" s="4" t="s">
        <v>41277</v>
      </c>
      <c r="B32804" s="4" t="s">
        <v>41283</v>
      </c>
      <c r="C32804" s="5" t="str">
        <f>IFERROR(__xludf.DUMMYFUNCTION("GOOGLETRANSLATE(B32804,""en"",""fr"")"),"La femme mesure également la pression de l'aspiration et montre l'intérieur du vide.")</f>
        <v>La femme mesure également la pression de l'aspiration et montre l'intérieur du vide.</v>
      </c>
    </row>
    <row r="32805">
      <c r="A32805" s="4" t="s">
        <v>41284</v>
      </c>
      <c r="B32805" s="6" t="s">
        <v>41285</v>
      </c>
      <c r="C32805" s="5" t="str">
        <f>IFERROR(__xludf.DUMMYFUNCTION("GOOGLETRANSLATE(B32805,""en"",""fr"")"),"Nous voyons deux filles représentant la Chine debout sur des planches de plongée au-dessus d'une piscine de taille olympique et plonger à l'unisson et nous voyons leurs scores.")</f>
        <v>Nous voyons deux filles représentant la Chine debout sur des planches de plongée au-dessus d'une piscine de taille olympique et plonger à l'unisson et nous voyons leurs scores.</v>
      </c>
    </row>
    <row r="32806">
      <c r="A32806" s="4" t="s">
        <v>41284</v>
      </c>
      <c r="B32806" s="4" t="s">
        <v>41286</v>
      </c>
      <c r="C32806" s="5" t="str">
        <f>IFERROR(__xludf.DUMMYFUNCTION("GOOGLETRANSLATE(B32806,""en"",""fr"")"),"Nous voyons ensuite deux filles représentant les États-Unis plonger à l'unisson et voir leurs scores.")</f>
        <v>Nous voyons ensuite deux filles représentant les États-Unis plonger à l'unisson et voir leurs scores.</v>
      </c>
    </row>
    <row r="32807">
      <c r="A32807" s="4" t="s">
        <v>41284</v>
      </c>
      <c r="B32807" s="4" t="s">
        <v>41287</v>
      </c>
      <c r="C32807" s="5" t="str">
        <f>IFERROR(__xludf.DUMMYFUNCTION("GOOGLETRANSLATE(B32807,""en"",""fr"")"),"Viennent ensuite deux filles représentant la plongée en Italie et les scores sont affichés.")</f>
        <v>Viennent ensuite deux filles représentant la plongée en Italie et les scores sont affichés.</v>
      </c>
    </row>
    <row r="32808">
      <c r="A32808" s="4" t="s">
        <v>41284</v>
      </c>
      <c r="B32808" s="4" t="s">
        <v>41288</v>
      </c>
      <c r="C32808" s="5" t="str">
        <f>IFERROR(__xludf.DUMMYFUNCTION("GOOGLETRANSLATE(B32808,""en"",""fr"")"),"L'Allemagne est la prochaine équipe à plonger et les scores sont présentés pour eux.")</f>
        <v>L'Allemagne est la prochaine équipe à plonger et les scores sont présentés pour eux.</v>
      </c>
    </row>
    <row r="32809">
      <c r="A32809" s="4" t="s">
        <v>41289</v>
      </c>
      <c r="B32809" s="4" t="s">
        <v>41290</v>
      </c>
      <c r="C32809" s="5" t="str">
        <f>IFERROR(__xludf.DUMMYFUNCTION("GOOGLETRANSLATE(B32809,""en"",""fr"")"),"Un homme est vu parler à la caméra tout en tenant un harmonica.")</f>
        <v>Un homme est vu parler à la caméra tout en tenant un harmonica.</v>
      </c>
    </row>
    <row r="32810">
      <c r="A32810" s="4" t="s">
        <v>41289</v>
      </c>
      <c r="B32810" s="4" t="s">
        <v>41291</v>
      </c>
      <c r="C32810" s="5" t="str">
        <f>IFERROR(__xludf.DUMMYFUNCTION("GOOGLETRANSLATE(B32810,""en"",""fr"")"),"L'homme souffle dans l'instrument tout en s'arrêtant pour parler à la caméra.")</f>
        <v>L'homme souffle dans l'instrument tout en s'arrêtant pour parler à la caméra.</v>
      </c>
    </row>
    <row r="32811">
      <c r="A32811" s="4" t="s">
        <v>41289</v>
      </c>
      <c r="B32811" s="4" t="s">
        <v>41292</v>
      </c>
      <c r="C32811" s="5" t="str">
        <f>IFERROR(__xludf.DUMMYFUNCTION("GOOGLETRANSLATE(B32811,""en"",""fr"")"),"Il continue de jouer de l'instrument et de s'arrêter pour parler à la caméra.")</f>
        <v>Il continue de jouer de l'instrument et de s'arrêter pour parler à la caméra.</v>
      </c>
    </row>
    <row r="32812">
      <c r="A32812" s="4" t="s">
        <v>41293</v>
      </c>
      <c r="B32812" s="4" t="s">
        <v>41294</v>
      </c>
      <c r="C32812" s="5" t="str">
        <f>IFERROR(__xludf.DUMMYFUNCTION("GOOGLETRANSLATE(B32812,""en"",""fr"")"),"Les gens sont du snowboard sur une grande colline de neige.")</f>
        <v>Les gens sont du snowboard sur une grande colline de neige.</v>
      </c>
    </row>
    <row r="32813">
      <c r="A32813" s="4" t="s">
        <v>41293</v>
      </c>
      <c r="B32813" s="4" t="s">
        <v>41295</v>
      </c>
      <c r="C32813" s="5" t="str">
        <f>IFERROR(__xludf.DUMMYFUNCTION("GOOGLETRANSLATE(B32813,""en"",""fr"")"),"Une personne dans une veste verte est du snowboard tout en tenant une caméra devant elle.")</f>
        <v>Une personne dans une veste verte est du snowboard tout en tenant une caméra devant elle.</v>
      </c>
    </row>
    <row r="32814">
      <c r="A32814" s="4" t="s">
        <v>41293</v>
      </c>
      <c r="B32814" s="4" t="s">
        <v>41296</v>
      </c>
      <c r="C32814" s="5" t="str">
        <f>IFERROR(__xludf.DUMMYFUNCTION("GOOGLETRANSLATE(B32814,""en"",""fr"")"),"Les gens arrivent au fond et commencent à enlever leurs snowboards.")</f>
        <v>Les gens arrivent au fond et commencent à enlever leurs snowboards.</v>
      </c>
    </row>
    <row r="32815">
      <c r="A32815" s="4" t="s">
        <v>41297</v>
      </c>
      <c r="B32815" s="4" t="s">
        <v>41298</v>
      </c>
      <c r="C32815" s="5" t="str">
        <f>IFERROR(__xludf.DUMMYFUNCTION("GOOGLETRANSLATE(B32815,""en"",""fr"")"),"Des hommes sur la plage jouant au volleyball dans le sable.")</f>
        <v>Des hommes sur la plage jouant au volleyball dans le sable.</v>
      </c>
    </row>
    <row r="32816">
      <c r="A32816" s="4" t="s">
        <v>41297</v>
      </c>
      <c r="B32816" s="4" t="s">
        <v>41299</v>
      </c>
      <c r="C32816" s="5" t="str">
        <f>IFERROR(__xludf.DUMMYFUNCTION("GOOGLETRANSLATE(B32816,""en"",""fr"")"),"L'un des gars frappe le ballon de l'autre côté et ils l'ont frappé.")</f>
        <v>L'un des gars frappe le ballon de l'autre côté et ils l'ont frappé.</v>
      </c>
    </row>
    <row r="32817">
      <c r="A32817" s="4" t="s">
        <v>41297</v>
      </c>
      <c r="B32817" s="4" t="s">
        <v>41300</v>
      </c>
      <c r="C32817" s="5" t="str">
        <f>IFERROR(__xludf.DUMMYFUNCTION("GOOGLETRANSLATE(B32817,""en"",""fr"")"),"Ensuite, de l'autre côté de la plage, il y a un groupe de femmes qui jouent également au volleyball.")</f>
        <v>Ensuite, de l'autre côté de la plage, il y a un groupe de femmes qui jouent également au volleyball.</v>
      </c>
    </row>
    <row r="32818">
      <c r="A32818" s="4" t="s">
        <v>41297</v>
      </c>
      <c r="B32818" s="4" t="s">
        <v>41301</v>
      </c>
      <c r="C32818" s="5" t="str">
        <f>IFERROR(__xludf.DUMMYFUNCTION("GOOGLETRANSLATE(B32818,""en"",""fr"")"),"Ils jouent un très bon jeu, l'une des filles atterrit juste sur le ventre.")</f>
        <v>Ils jouent un très bon jeu, l'une des filles atterrit juste sur le ventre.</v>
      </c>
    </row>
    <row r="32819">
      <c r="A32819" s="4" t="s">
        <v>41302</v>
      </c>
      <c r="B32819" s="4" t="s">
        <v>41303</v>
      </c>
      <c r="C32819" s="5" t="str">
        <f>IFERROR(__xludf.DUMMYFUNCTION("GOOGLETRANSLATE(B32819,""en"",""fr"")"),"Un chien nage dans une petite piscine.")</f>
        <v>Un chien nage dans une petite piscine.</v>
      </c>
    </row>
    <row r="32820">
      <c r="A32820" s="4" t="s">
        <v>41302</v>
      </c>
      <c r="B32820" s="4" t="s">
        <v>41304</v>
      </c>
      <c r="C32820" s="5" t="str">
        <f>IFERROR(__xludf.DUMMYFUNCTION("GOOGLETRANSLATE(B32820,""en"",""fr"")"),"Il est frotté avec du shampooing.")</f>
        <v>Il est frotté avec du shampooing.</v>
      </c>
    </row>
    <row r="32821">
      <c r="A32821" s="4" t="s">
        <v>41302</v>
      </c>
      <c r="B32821" s="4" t="s">
        <v>41305</v>
      </c>
      <c r="C32821" s="5" t="str">
        <f>IFERROR(__xludf.DUMMYFUNCTION("GOOGLETRANSLATE(B32821,""en"",""fr"")"),"Il est de retour dans l'eau qui se nettoie.")</f>
        <v>Il est de retour dans l'eau qui se nettoie.</v>
      </c>
    </row>
    <row r="32822">
      <c r="A32822" s="4" t="s">
        <v>41302</v>
      </c>
      <c r="B32822" s="4" t="s">
        <v>41306</v>
      </c>
      <c r="C32822" s="5" t="str">
        <f>IFERROR(__xludf.DUMMYFUNCTION("GOOGLETRANSLATE(B32822,""en"",""fr"")"),"Une personne pulvérise le chien avec un tuyau.")</f>
        <v>Une personne pulvérise le chien avec un tuyau.</v>
      </c>
    </row>
    <row r="32823">
      <c r="A32823" s="4" t="s">
        <v>41302</v>
      </c>
      <c r="B32823" s="4" t="s">
        <v>41307</v>
      </c>
      <c r="C32823" s="5" t="str">
        <f>IFERROR(__xludf.DUMMYFUNCTION("GOOGLETRANSLATE(B32823,""en"",""fr"")"),"Le chien est ensuite mis dans un stylo métallique.")</f>
        <v>Le chien est ensuite mis dans un stylo métallique.</v>
      </c>
    </row>
    <row r="32824">
      <c r="A32824" s="4" t="s">
        <v>41308</v>
      </c>
      <c r="B32824" s="4" t="s">
        <v>41309</v>
      </c>
      <c r="C32824" s="5" t="str">
        <f>IFERROR(__xludf.DUMMYFUNCTION("GOOGLETRANSLATE(B32824,""en"",""fr"")"),"Une personne explique comment jouer à la courge tenant une raquette et une boule bleue.")</f>
        <v>Une personne explique comment jouer à la courge tenant une raquette et une boule bleue.</v>
      </c>
    </row>
    <row r="32825">
      <c r="A32825" s="4" t="s">
        <v>41308</v>
      </c>
      <c r="B32825" s="4" t="s">
        <v>41310</v>
      </c>
      <c r="C32825" s="5" t="str">
        <f>IFERROR(__xludf.DUMMYFUNCTION("GOOGLETRANSLATE(B32825,""en"",""fr"")"),"Ensuite, il continue d'expliquer comment frapper le ballon sur le mur.")</f>
        <v>Ensuite, il continue d'expliquer comment frapper le ballon sur le mur.</v>
      </c>
    </row>
    <row r="32826">
      <c r="A32826" s="4" t="s">
        <v>41311</v>
      </c>
      <c r="B32826" s="4" t="s">
        <v>41312</v>
      </c>
      <c r="C32826" s="5" t="str">
        <f>IFERROR(__xludf.DUMMYFUNCTION("GOOGLETRANSLATE(B32826,""en"",""fr"")"),"Un vélo est vu à l'extérieur d'un bâtiment.")</f>
        <v>Un vélo est vu à l'extérieur d'un bâtiment.</v>
      </c>
    </row>
    <row r="32827">
      <c r="A32827" s="4" t="s">
        <v>41311</v>
      </c>
      <c r="B32827" s="4" t="s">
        <v>41313</v>
      </c>
      <c r="C32827" s="5" t="str">
        <f>IFERROR(__xludf.DUMMYFUNCTION("GOOGLETRANSLATE(B32827,""en"",""fr"")"),"Un groupe d'hommes est à l'extérieur, buvant une Eer et parlant en jouant à Beer Pong.")</f>
        <v>Un groupe d'hommes est à l'extérieur, buvant une Eer et parlant en jouant à Beer Pong.</v>
      </c>
    </row>
    <row r="32828">
      <c r="A32828" s="4" t="s">
        <v>41311</v>
      </c>
      <c r="B32828" s="4" t="s">
        <v>41314</v>
      </c>
      <c r="C32828" s="5" t="str">
        <f>IFERROR(__xludf.DUMMYFUNCTION("GOOGLETRANSLATE(B32828,""en"",""fr"")"),"Ils essaient de jeter le ballon dans les lunettes.")</f>
        <v>Ils essaient de jeter le ballon dans les lunettes.</v>
      </c>
    </row>
    <row r="32829">
      <c r="A32829" s="4" t="s">
        <v>41311</v>
      </c>
      <c r="B32829" s="4" t="s">
        <v>41315</v>
      </c>
      <c r="C32829" s="5" t="str">
        <f>IFERROR(__xludf.DUMMYFUNCTION("GOOGLETRANSLATE(B32829,""en"",""fr"")"),"Ils rient et parlent en jouant.")</f>
        <v>Ils rient et parlent en jouant.</v>
      </c>
    </row>
    <row r="32830">
      <c r="A32830" s="4" t="s">
        <v>41316</v>
      </c>
      <c r="B32830" s="6" t="s">
        <v>41317</v>
      </c>
      <c r="C32830" s="5" t="str">
        <f>IFERROR(__xludf.DUMMYFUNCTION("GOOGLETRANSLATE(B32830,""en"",""fr"")"),"Une caméra est vue en parlant autour d'un grand lac suivi d'une personne qui traverse des skis derrière un jet ski.")</f>
        <v>Une caméra est vue en parlant autour d'un grand lac suivi d'une personne qui traverse des skis derrière un jet ski.</v>
      </c>
    </row>
    <row r="32831">
      <c r="A32831" s="4" t="s">
        <v>41316</v>
      </c>
      <c r="B32831" s="4" t="s">
        <v>41318</v>
      </c>
      <c r="C32831" s="5" t="str">
        <f>IFERROR(__xludf.DUMMYFUNCTION("GOOGLETRANSLATE(B32831,""en"",""fr"")"),"Deux personnes sont vues rouler derrière le jet ski et continuent de se déplacer le long de l'eau.")</f>
        <v>Deux personnes sont vues rouler derrière le jet ski et continuent de se déplacer le long de l'eau.</v>
      </c>
    </row>
    <row r="32832">
      <c r="A32832" s="4" t="s">
        <v>41319</v>
      </c>
      <c r="B32832" s="6" t="s">
        <v>41320</v>
      </c>
      <c r="C32832" s="5" t="str">
        <f>IFERROR(__xludf.DUMMYFUNCTION("GOOGLETRANSLATE(B32832,""en"",""fr"")"),"Le joueur en chemise jaune a lancé le ballon vers le but, et le gardien de but n'a pas pu l'attraper, un autre joueur en chemise rouge a lancé le ballon et le gardien n'a pas été en mesure de l'attraper.")</f>
        <v>Le joueur en chemise jaune a lancé le ballon vers le but, et le gardien de but n'a pas pu l'attraper, un autre joueur en chemise rouge a lancé le ballon et le gardien n'a pas été en mesure de l'attraper.</v>
      </c>
    </row>
    <row r="32833">
      <c r="A32833" s="4" t="s">
        <v>41319</v>
      </c>
      <c r="B32833" s="4" t="s">
        <v>41321</v>
      </c>
      <c r="C32833" s="5" t="str">
        <f>IFERROR(__xludf.DUMMYFUNCTION("GOOGLETRANSLATE(B32833,""en"",""fr"")"),"Le gardien de but se tient devant le filet, la foule applaudie.")</f>
        <v>Le gardien de but se tient devant le filet, la foule applaudie.</v>
      </c>
    </row>
    <row r="32834">
      <c r="A32834" s="4" t="s">
        <v>41322</v>
      </c>
      <c r="B32834" s="4" t="s">
        <v>41323</v>
      </c>
      <c r="C32834" s="5" t="str">
        <f>IFERROR(__xludf.DUMMYFUNCTION("GOOGLETRANSLATE(B32834,""en"",""fr"")"),"Un écran blanc est affiché et plusieurs mots sont affichés sur l'écran.")</f>
        <v>Un écran blanc est affiché et plusieurs mots sont affichés sur l'écran.</v>
      </c>
    </row>
    <row r="32835">
      <c r="A32835" s="4" t="s">
        <v>41322</v>
      </c>
      <c r="B32835" s="6" t="s">
        <v>41324</v>
      </c>
      <c r="C32835" s="5" t="str">
        <f>IFERROR(__xludf.DUMMYFUNCTION("GOOGLETRANSLATE(B32835,""en"",""fr"")"),"Ensuite, un tapis bleu est illustré et un individu commence à balayer et à poser le tapis bleu contre le tapis.")</f>
        <v>Ensuite, un tapis bleu est illustré et un individu commence à balayer et à poser le tapis bleu contre le tapis.</v>
      </c>
    </row>
    <row r="32836">
      <c r="A32836" s="4" t="s">
        <v>41322</v>
      </c>
      <c r="B32836" s="6" t="s">
        <v>41325</v>
      </c>
      <c r="C32836" s="5" t="str">
        <f>IFERROR(__xludf.DUMMYFUNCTION("GOOGLETRANSLATE(B32836,""en"",""fr"")"),"L'homme sort un ruban à mesurer et coupe un morceau du tapis bleu et continue de couvrir le sol.")</f>
        <v>L'homme sort un ruban à mesurer et coupe un morceau du tapis bleu et continue de couvrir le sol.</v>
      </c>
    </row>
    <row r="32837">
      <c r="A32837" s="4" t="s">
        <v>41326</v>
      </c>
      <c r="B32837" s="4" t="s">
        <v>41327</v>
      </c>
      <c r="C32837" s="5" t="str">
        <f>IFERROR(__xludf.DUMMYFUNCTION("GOOGLETRANSLATE(B32837,""en"",""fr"")"),"Deux personnes sont vues jouer à un jeu de piscine tandis que d'autres regardent sur le côté et la conversation.")</f>
        <v>Deux personnes sont vues jouer à un jeu de piscine tandis que d'autres regardent sur le côté et la conversation.</v>
      </c>
    </row>
    <row r="32838">
      <c r="A32838" s="4" t="s">
        <v>41326</v>
      </c>
      <c r="B32838" s="4" t="s">
        <v>41328</v>
      </c>
      <c r="C32838" s="5" t="str">
        <f>IFERROR(__xludf.DUMMYFUNCTION("GOOGLETRANSLATE(B32838,""en"",""fr"")"),"Les hommes continuent de frapper le ballon autour de la table et de se déplacer.")</f>
        <v>Les hommes continuent de frapper le ballon autour de la table et de se déplacer.</v>
      </c>
    </row>
    <row r="32839">
      <c r="A32839" s="4" t="s">
        <v>41329</v>
      </c>
      <c r="B32839" s="4" t="s">
        <v>41330</v>
      </c>
      <c r="C32839" s="5" t="str">
        <f>IFERROR(__xludf.DUMMYFUNCTION("GOOGLETRANSLATE(B32839,""en"",""fr"")"),"Deux hommes se parlent à l'extérieur et ils commencent à faire des étirements de bras.")</f>
        <v>Deux hommes se parlent à l'extérieur et ils commencent à faire des étirements de bras.</v>
      </c>
    </row>
    <row r="32840">
      <c r="A32840" s="4" t="s">
        <v>41329</v>
      </c>
      <c r="B32840" s="4" t="s">
        <v>41331</v>
      </c>
      <c r="C32840" s="5" t="str">
        <f>IFERROR(__xludf.DUMMYFUNCTION("GOOGLETRANSLATE(B32840,""en"",""fr"")"),"Ils s'arrêtent ensuite et font une série de rock, de papier, de ciseaux.")</f>
        <v>Ils s'arrêtent ensuite et font une série de rock, de papier, de ciseaux.</v>
      </c>
    </row>
    <row r="32841">
      <c r="A32841" s="4" t="s">
        <v>41332</v>
      </c>
      <c r="B32841" s="4" t="s">
        <v>41333</v>
      </c>
      <c r="C32841" s="5" t="str">
        <f>IFERROR(__xludf.DUMMYFUNCTION("GOOGLETRANSLATE(B32841,""en"",""fr"")"),"Plusieurs petits enfants conduisent dans les tampants.")</f>
        <v>Plusieurs petits enfants conduisent dans les tampants.</v>
      </c>
    </row>
    <row r="32842">
      <c r="A32842" s="4" t="s">
        <v>41332</v>
      </c>
      <c r="B32842" s="4" t="s">
        <v>41334</v>
      </c>
      <c r="C32842" s="5" t="str">
        <f>IFERROR(__xludf.DUMMYFUNCTION("GOOGLETRANSLATE(B32842,""en"",""fr"")"),"L'un d'eux tourne en continu en cercles.")</f>
        <v>L'un d'eux tourne en continu en cercles.</v>
      </c>
    </row>
    <row r="32843">
      <c r="A32843" s="4" t="s">
        <v>41332</v>
      </c>
      <c r="B32843" s="4" t="s">
        <v>41335</v>
      </c>
      <c r="C32843" s="5" t="str">
        <f>IFERROR(__xludf.DUMMYFUNCTION("GOOGLETRANSLATE(B32843,""en"",""fr"")"),"Elle roule seule après le départ des autres.")</f>
        <v>Elle roule seule après le départ des autres.</v>
      </c>
    </row>
    <row r="32844">
      <c r="A32844" s="4" t="s">
        <v>41336</v>
      </c>
      <c r="B32844" s="4" t="s">
        <v>41337</v>
      </c>
      <c r="C32844" s="5" t="str">
        <f>IFERROR(__xludf.DUMMYFUNCTION("GOOGLETRANSLATE(B32844,""en"",""fr"")"),"Nous voyons une dame peindre ses ongles.")</f>
        <v>Nous voyons une dame peindre ses ongles.</v>
      </c>
    </row>
    <row r="32845">
      <c r="A32845" s="4" t="s">
        <v>41336</v>
      </c>
      <c r="B32845" s="4" t="s">
        <v>41338</v>
      </c>
      <c r="C32845" s="5" t="str">
        <f>IFERROR(__xludf.DUMMYFUNCTION("GOOGLETRANSLATE(B32845,""en"",""fr"")"),"Nous voyons un écran de titres.")</f>
        <v>Nous voyons un écran de titres.</v>
      </c>
    </row>
    <row r="32846">
      <c r="A32846" s="4" t="s">
        <v>41336</v>
      </c>
      <c r="B32846" s="4" t="s">
        <v>41339</v>
      </c>
      <c r="C32846" s="5" t="str">
        <f>IFERROR(__xludf.DUMMYFUNCTION("GOOGLETRANSLATE(B32846,""en"",""fr"")"),"La dame dépose et met une couche claire.")</f>
        <v>La dame dépose et met une couche claire.</v>
      </c>
    </row>
    <row r="32847">
      <c r="A32847" s="4" t="s">
        <v>41336</v>
      </c>
      <c r="B32847" s="4" t="s">
        <v>41340</v>
      </c>
      <c r="C32847" s="5" t="str">
        <f>IFERROR(__xludf.DUMMYFUNCTION("GOOGLETRANSLATE(B32847,""en"",""fr"")"),"La dame peint son doigt en bleu.")</f>
        <v>La dame peint son doigt en bleu.</v>
      </c>
    </row>
    <row r="32848">
      <c r="A32848" s="4" t="s">
        <v>41336</v>
      </c>
      <c r="B32848" s="4" t="s">
        <v>41341</v>
      </c>
      <c r="C32848" s="5" t="str">
        <f>IFERROR(__xludf.DUMMYFUNCTION("GOOGLETRANSLATE(B32848,""en"",""fr"")"),"La dame ajoute une couche de finition de vernis clair.")</f>
        <v>La dame ajoute une couche de finition de vernis clair.</v>
      </c>
    </row>
    <row r="32849">
      <c r="A32849" s="4" t="s">
        <v>41336</v>
      </c>
      <c r="B32849" s="4" t="s">
        <v>41342</v>
      </c>
      <c r="C32849" s="5" t="str">
        <f>IFERROR(__xludf.DUMMYFUNCTION("GOOGLETRANSLATE(B32849,""en"",""fr"")"),"La dame met de l'huile sur ses cuticules et nous voyons le produit fini.")</f>
        <v>La dame met de l'huile sur ses cuticules et nous voyons le produit fini.</v>
      </c>
    </row>
    <row r="32850">
      <c r="A32850" s="4" t="s">
        <v>41336</v>
      </c>
      <c r="B32850" s="4" t="s">
        <v>777</v>
      </c>
      <c r="C32850" s="5" t="str">
        <f>IFERROR(__xludf.DUMMYFUNCTION("GOOGLETRANSLATE(B32850,""en"",""fr"")"),"Nous voyons l'écran du titre de fin.")</f>
        <v>Nous voyons l'écran du titre de fin.</v>
      </c>
    </row>
    <row r="32851">
      <c r="A32851" s="4" t="s">
        <v>41343</v>
      </c>
      <c r="B32851" s="4" t="s">
        <v>41344</v>
      </c>
      <c r="C32851" s="5" t="str">
        <f>IFERROR(__xludf.DUMMYFUNCTION("GOOGLETRANSLATE(B32851,""en"",""fr"")"),"Cette femme est montrée en jouant à l'harmonica noir.")</f>
        <v>Cette femme est montrée en jouant à l'harmonica noir.</v>
      </c>
    </row>
    <row r="32852">
      <c r="A32852" s="4" t="s">
        <v>41343</v>
      </c>
      <c r="B32852" s="4" t="s">
        <v>41345</v>
      </c>
      <c r="C32852" s="5" t="str">
        <f>IFERROR(__xludf.DUMMYFUNCTION("GOOGLETRANSLATE(B32852,""en"",""fr"")"),"Elle s'arrête un peu, mais elle continue de continuer.")</f>
        <v>Elle s'arrête un peu, mais elle continue de continuer.</v>
      </c>
    </row>
    <row r="32853">
      <c r="A32853" s="4" t="s">
        <v>41346</v>
      </c>
      <c r="B32853" s="4" t="s">
        <v>41347</v>
      </c>
      <c r="C32853" s="5" t="str">
        <f>IFERROR(__xludf.DUMMYFUNCTION("GOOGLETRANSLATE(B32853,""en"",""fr"")"),"Un grand mâle noir se tient à l'extérieur en applaudissant en essayant de gagner la participation de la foule.")</f>
        <v>Un grand mâle noir se tient à l'extérieur en applaudissant en essayant de gagner la participation de la foule.</v>
      </c>
    </row>
    <row r="32854">
      <c r="A32854" s="4" t="s">
        <v>41346</v>
      </c>
      <c r="B32854" s="4" t="s">
        <v>41348</v>
      </c>
      <c r="C32854" s="5" t="str">
        <f>IFERROR(__xludf.DUMMYFUNCTION("GOOGLETRANSLATE(B32854,""en"",""fr"")"),"L'athlète décolle alors et fait un triple saut dans la fosse.")</f>
        <v>L'athlète décolle alors et fait un triple saut dans la fosse.</v>
      </c>
    </row>
    <row r="32855">
      <c r="A32855" s="4" t="s">
        <v>41346</v>
      </c>
      <c r="B32855" s="6" t="s">
        <v>41349</v>
      </c>
      <c r="C32855" s="5" t="str">
        <f>IFERROR(__xludf.DUMMYFUNCTION("GOOGLETRANSLATE(B32855,""en"",""fr"")"),"Une fois qu'il est sorti de la fosse, il se promène et une rediffusion est montrée pour s'assurer qu'il ne s'est pas rayé et que le saut peut être compté.")</f>
        <v>Une fois qu'il est sorti de la fosse, il se promène et une rediffusion est montrée pour s'assurer qu'il ne s'est pas rayé et que le saut peut être compté.</v>
      </c>
    </row>
    <row r="32856">
      <c r="A32856" s="4" t="s">
        <v>41346</v>
      </c>
      <c r="B32856" s="4" t="s">
        <v>41350</v>
      </c>
      <c r="C32856" s="5" t="str">
        <f>IFERROR(__xludf.DUMMYFUNCTION("GOOGLETRANSLATE(B32856,""en"",""fr"")"),"Un autre homme s'approche du chemin de course et répète la même étape mais finit par se gratter.")</f>
        <v>Un autre homme s'approche du chemin de course et répète la même étape mais finit par se gratter.</v>
      </c>
    </row>
    <row r="32857">
      <c r="A32857" s="4" t="s">
        <v>41351</v>
      </c>
      <c r="B32857" s="4" t="s">
        <v>41352</v>
      </c>
      <c r="C32857" s="5" t="str">
        <f>IFERROR(__xludf.DUMMYFUNCTION("GOOGLETRANSLATE(B32857,""en"",""fr"")"),"Les gens volent des cerfs-volants à partir d'un toit contenant des piscines de kite.")</f>
        <v>Les gens volent des cerfs-volants à partir d'un toit contenant des piscines de kite.</v>
      </c>
    </row>
    <row r="32858">
      <c r="A32858" s="4" t="s">
        <v>41351</v>
      </c>
      <c r="B32858" s="4" t="s">
        <v>41353</v>
      </c>
      <c r="C32858" s="5" t="str">
        <f>IFERROR(__xludf.DUMMYFUNCTION("GOOGLETRANSLATE(B32858,""en"",""fr"")"),"Plusieurs cerfs-volants volent dans le ciel.")</f>
        <v>Plusieurs cerfs-volants volent dans le ciel.</v>
      </c>
    </row>
    <row r="32859">
      <c r="A32859" s="4" t="s">
        <v>41351</v>
      </c>
      <c r="B32859" s="4" t="s">
        <v>41354</v>
      </c>
      <c r="C32859" s="5" t="str">
        <f>IFERROR(__xludf.DUMMYFUNCTION("GOOGLETRANSLATE(B32859,""en"",""fr"")"),"Un homme tient une piscine à cordes de cerf-volant tout en pilotant un cerf-volant.")</f>
        <v>Un homme tient une piscine à cordes de cerf-volant tout en pilotant un cerf-volant.</v>
      </c>
    </row>
    <row r="32860">
      <c r="A32860" s="4" t="s">
        <v>41355</v>
      </c>
      <c r="B32860" s="4" t="s">
        <v>41356</v>
      </c>
      <c r="C32860" s="5" t="str">
        <f>IFERROR(__xludf.DUMMYFUNCTION("GOOGLETRANSLATE(B32860,""en"",""fr"")"),"Un homme est montré en tenant un morceau de métal et le place le long d'un mur.")</f>
        <v>Un homme est montré en tenant un morceau de métal et le place le long d'un mur.</v>
      </c>
    </row>
    <row r="32861">
      <c r="A32861" s="4" t="s">
        <v>41355</v>
      </c>
      <c r="B32861" s="6" t="s">
        <v>41357</v>
      </c>
      <c r="C32861" s="5" t="str">
        <f>IFERROR(__xludf.DUMMYFUNCTION("GOOGLETRANSLATE(B32861,""en"",""fr"")"),"Il met ensuite du plâtre le long du métal et frotte la ponceuse sur tout le mur tout en regardant la caméra.")</f>
        <v>Il met ensuite du plâtre le long du métal et frotte la ponceuse sur tout le mur tout en regardant la caméra.</v>
      </c>
    </row>
    <row r="32862">
      <c r="A32862" s="4" t="s">
        <v>41358</v>
      </c>
      <c r="B32862" s="4" t="s">
        <v>41359</v>
      </c>
      <c r="C32862" s="5" t="str">
        <f>IFERROR(__xludf.DUMMYFUNCTION("GOOGLETRANSLATE(B32862,""en"",""fr"")"),"Deux équipes jouent un jeu de football en salle.")</f>
        <v>Deux équipes jouent un jeu de football en salle.</v>
      </c>
    </row>
    <row r="32863">
      <c r="A32863" s="4" t="s">
        <v>41358</v>
      </c>
      <c r="B32863" s="4" t="s">
        <v>41360</v>
      </c>
      <c r="C32863" s="5" t="str">
        <f>IFERROR(__xludf.DUMMYFUNCTION("GOOGLETRANSLATE(B32863,""en"",""fr"")"),"Les joueurs de l'équipe blanche dribblent et passent le ballon tout le long du terrain et atteignent un but.")</f>
        <v>Les joueurs de l'équipe blanche dribblent et passent le ballon tout le long du terrain et atteignent un but.</v>
      </c>
    </row>
    <row r="32864">
      <c r="A32864" s="4" t="s">
        <v>41358</v>
      </c>
      <c r="B32864" s="4" t="s">
        <v>41361</v>
      </c>
      <c r="C32864" s="5" t="str">
        <f>IFERROR(__xludf.DUMMYFUNCTION("GOOGLETRANSLATE(B32864,""en"",""fr"")"),"Les joueurs de l'équipe bleue dribblent et dépassent tout le long du terrain et font un but.")</f>
        <v>Les joueurs de l'équipe bleue dribblent et dépassent tout le long du terrain et font un but.</v>
      </c>
    </row>
    <row r="32865">
      <c r="A32865" s="4" t="s">
        <v>41358</v>
      </c>
      <c r="B32865" s="4" t="s">
        <v>41362</v>
      </c>
      <c r="C32865" s="5" t="str">
        <f>IFERROR(__xludf.DUMMYFUNCTION("GOOGLETRANSLATE(B32865,""en"",""fr"")"),"Un membre de l'équipe bleue combat deux défenseurs près du but et fait un point.")</f>
        <v>Un membre de l'équipe bleue combat deux défenseurs près du but et fait un point.</v>
      </c>
    </row>
    <row r="32866">
      <c r="A32866" s="4" t="s">
        <v>41358</v>
      </c>
      <c r="B32866" s="4" t="s">
        <v>41363</v>
      </c>
      <c r="C32866" s="5" t="str">
        <f>IFERROR(__xludf.DUMMYFUNCTION("GOOGLETRANSLATE(B32866,""en"",""fr"")"),"Les joueurs prennent des coups de pied d'angle et aident les buts.")</f>
        <v>Les joueurs prennent des coups de pied d'angle et aident les buts.</v>
      </c>
    </row>
    <row r="32867">
      <c r="A32867" s="4" t="s">
        <v>41364</v>
      </c>
      <c r="B32867" s="4" t="s">
        <v>41365</v>
      </c>
      <c r="C32867" s="5" t="str">
        <f>IFERROR(__xludf.DUMMYFUNCTION("GOOGLETRANSLATE(B32867,""en"",""fr"")"),"Deux femmes fument un narguilé alors qu'elle était assise sur un canapé.")</f>
        <v>Deux femmes fument un narguilé alors qu'elle était assise sur un canapé.</v>
      </c>
    </row>
    <row r="32868">
      <c r="A32868" s="4" t="s">
        <v>41364</v>
      </c>
      <c r="B32868" s="4" t="s">
        <v>41366</v>
      </c>
      <c r="C32868" s="5" t="str">
        <f>IFERROR(__xludf.DUMMYFUNCTION("GOOGLETRANSLATE(B32868,""en"",""fr"")"),"Ils prennent tour à tour des tubes et soufflent de la fumée.")</f>
        <v>Ils prennent tour à tour des tubes et soufflent de la fumée.</v>
      </c>
    </row>
    <row r="32869">
      <c r="A32869" s="4" t="s">
        <v>41364</v>
      </c>
      <c r="B32869" s="4" t="s">
        <v>41367</v>
      </c>
      <c r="C32869" s="5" t="str">
        <f>IFERROR(__xludf.DUMMYFUNCTION("GOOGLETRANSLATE(B32869,""en"",""fr"")"),"Ils soufflent la fumée dans les anneaux vers la caméra.")</f>
        <v>Ils soufflent la fumée dans les anneaux vers la caméra.</v>
      </c>
    </row>
    <row r="32870">
      <c r="A32870" s="4" t="s">
        <v>41368</v>
      </c>
      <c r="B32870" s="4" t="s">
        <v>41369</v>
      </c>
      <c r="C32870" s="5" t="str">
        <f>IFERROR(__xludf.DUMMYFUNCTION("GOOGLETRANSLATE(B32870,""en"",""fr"")"),"Un homme debout dans une cour parle à la caméra de sa cour.")</f>
        <v>Un homme debout dans une cour parle à la caméra de sa cour.</v>
      </c>
    </row>
    <row r="32871">
      <c r="A32871" s="4" t="s">
        <v>41368</v>
      </c>
      <c r="B32871" s="4" t="s">
        <v>41370</v>
      </c>
      <c r="C32871" s="5" t="str">
        <f>IFERROR(__xludf.DUMMYFUNCTION("GOOGLETRANSLATE(B32871,""en"",""fr"")"),"L'homme se moque qu'il avait à travers la cour.")</f>
        <v>L'homme se moque qu'il avait à travers la cour.</v>
      </c>
    </row>
    <row r="32872">
      <c r="A32872" s="4" t="s">
        <v>41368</v>
      </c>
      <c r="B32872" s="4" t="s">
        <v>41371</v>
      </c>
      <c r="C32872" s="5" t="str">
        <f>IFERROR(__xludf.DUMMYFUNCTION("GOOGLETRANSLATE(B32872,""en"",""fr"")"),"L'homme mode alors sa pelouse avec sa tondeuse.")</f>
        <v>L'homme mode alors sa pelouse avec sa tondeuse.</v>
      </c>
    </row>
    <row r="32873">
      <c r="A32873" s="4" t="s">
        <v>41368</v>
      </c>
      <c r="B32873" s="4" t="s">
        <v>41372</v>
      </c>
      <c r="C32873" s="5" t="str">
        <f>IFERROR(__xludf.DUMMYFUNCTION("GOOGLETRANSLATE(B32873,""en"",""fr"")"),"L'homme s'arrête et montre le cordon électrique de sa tondeuse.")</f>
        <v>L'homme s'arrête et montre le cordon électrique de sa tondeuse.</v>
      </c>
    </row>
    <row r="32874">
      <c r="A32874" s="4" t="s">
        <v>41373</v>
      </c>
      <c r="B32874" s="4" t="s">
        <v>41374</v>
      </c>
      <c r="C32874" s="5" t="str">
        <f>IFERROR(__xludf.DUMMYFUNCTION("GOOGLETRANSLATE(B32874,""en"",""fr"")"),"Nous voyons une dame debout dans un studio de nouvelles parler à la caméra.")</f>
        <v>Nous voyons une dame debout dans un studio de nouvelles parler à la caméra.</v>
      </c>
    </row>
    <row r="32875">
      <c r="A32875" s="4" t="s">
        <v>41373</v>
      </c>
      <c r="B32875" s="4" t="s">
        <v>41375</v>
      </c>
      <c r="C32875" s="5" t="str">
        <f>IFERROR(__xludf.DUMMYFUNCTION("GOOGLETRANSLATE(B32875,""en"",""fr"")"),"Nous voyons ensuite des gens dans un champ sur des chevaux.")</f>
        <v>Nous voyons ensuite des gens dans un champ sur des chevaux.</v>
      </c>
    </row>
    <row r="32876">
      <c r="A32876" s="4" t="s">
        <v>41373</v>
      </c>
      <c r="B32876" s="4" t="s">
        <v>41376</v>
      </c>
      <c r="C32876" s="5" t="str">
        <f>IFERROR(__xludf.DUMMYFUNCTION("GOOGLETRANSLATE(B32876,""en"",""fr"")"),"Les gens jouent au polo sur les chevaux.")</f>
        <v>Les gens jouent au polo sur les chevaux.</v>
      </c>
    </row>
    <row r="32877">
      <c r="A32877" s="4" t="s">
        <v>41373</v>
      </c>
      <c r="B32877" s="4" t="s">
        <v>41377</v>
      </c>
      <c r="C32877" s="5" t="str">
        <f>IFERROR(__xludf.DUMMYFUNCTION("GOOGLETRANSLATE(B32877,""en"",""fr"")"),"Nous voyons un homme parler à la caméra.")</f>
        <v>Nous voyons un homme parler à la caméra.</v>
      </c>
    </row>
    <row r="32878">
      <c r="A32878" s="4" t="s">
        <v>41373</v>
      </c>
      <c r="B32878" s="4" t="s">
        <v>41378</v>
      </c>
      <c r="C32878" s="5" t="str">
        <f>IFERROR(__xludf.DUMMYFUNCTION("GOOGLETRANSLATE(B32878,""en"",""fr"")"),"Nous voyons ensuite les gens jouer à nouveau.")</f>
        <v>Nous voyons ensuite les gens jouer à nouveau.</v>
      </c>
    </row>
    <row r="32879">
      <c r="A32879" s="4" t="s">
        <v>41373</v>
      </c>
      <c r="B32879" s="4" t="s">
        <v>41379</v>
      </c>
      <c r="C32879" s="5" t="str">
        <f>IFERROR(__xludf.DUMMYFUNCTION("GOOGLETRANSLATE(B32879,""en"",""fr"")"),"L'homme parle à nouveau à la caméra.")</f>
        <v>L'homme parle à nouveau à la caméra.</v>
      </c>
    </row>
    <row r="32880">
      <c r="A32880" s="4" t="s">
        <v>41373</v>
      </c>
      <c r="B32880" s="4" t="s">
        <v>41380</v>
      </c>
      <c r="C32880" s="5" t="str">
        <f>IFERROR(__xludf.DUMMYFUNCTION("GOOGLETRANSLATE(B32880,""en"",""fr"")"),"Nous voyons les joueurs de polo sur leurs chevaux.")</f>
        <v>Nous voyons les joueurs de polo sur leurs chevaux.</v>
      </c>
    </row>
    <row r="32881">
      <c r="A32881" s="4" t="s">
        <v>41373</v>
      </c>
      <c r="B32881" s="4" t="s">
        <v>41381</v>
      </c>
      <c r="C32881" s="5" t="str">
        <f>IFERROR(__xludf.DUMMYFUNCTION("GOOGLETRANSLATE(B32881,""en"",""fr"")"),"Un homme tient de l'alcool devant une bouche de chevaux, nous revoyons le journal.")</f>
        <v>Un homme tient de l'alcool devant une bouche de chevaux, nous revoyons le journal.</v>
      </c>
    </row>
    <row r="32882">
      <c r="A32882" s="4" t="s">
        <v>41382</v>
      </c>
      <c r="B32882" s="4" t="s">
        <v>41383</v>
      </c>
      <c r="C32882" s="5" t="str">
        <f>IFERROR(__xludf.DUMMYFUNCTION("GOOGLETRANSLATE(B32882,""en"",""fr"")"),"Une femme se tient dans une cour fermée à côté d'une fille à cheval.")</f>
        <v>Une femme se tient dans une cour fermée à côté d'une fille à cheval.</v>
      </c>
    </row>
    <row r="32883">
      <c r="A32883" s="4" t="s">
        <v>41382</v>
      </c>
      <c r="B32883" s="4" t="s">
        <v>41384</v>
      </c>
      <c r="C32883" s="5" t="str">
        <f>IFERROR(__xludf.DUMMYFUNCTION("GOOGLETRANSLATE(B32883,""en"",""fr"")"),"Elle s'éloigne alors que la fille monte soigneusement le cheval autour de la clôture.")</f>
        <v>Elle s'éloigne alors que la fille monte soigneusement le cheval autour de la clôture.</v>
      </c>
    </row>
    <row r="32884">
      <c r="A32884" s="4" t="s">
        <v>41382</v>
      </c>
      <c r="B32884" s="4" t="s">
        <v>41385</v>
      </c>
      <c r="C32884" s="5" t="str">
        <f>IFERROR(__xludf.DUMMYFUNCTION("GOOGLETRANSLATE(B32884,""en"",""fr"")"),"Elle emmène ensuite le cheval dans un trot léger pendant qu'elle roule.")</f>
        <v>Elle emmène ensuite le cheval dans un trot léger pendant qu'elle roule.</v>
      </c>
    </row>
    <row r="32885">
      <c r="A32885" s="4" t="s">
        <v>41386</v>
      </c>
      <c r="B32885" s="4" t="s">
        <v>41387</v>
      </c>
      <c r="C32885" s="5" t="str">
        <f>IFERROR(__xludf.DUMMYFUNCTION("GOOGLETRANSLATE(B32885,""en"",""fr"")"),"Un homme torse nu gratte le gravier de toiture à l'aide d'une pelle.")</f>
        <v>Un homme torse nu gratte le gravier de toiture à l'aide d'une pelle.</v>
      </c>
    </row>
    <row r="32886">
      <c r="A32886" s="4" t="s">
        <v>41386</v>
      </c>
      <c r="B32886" s="6" t="s">
        <v>41388</v>
      </c>
      <c r="C32886" s="5" t="str">
        <f>IFERROR(__xludf.DUMMYFUNCTION("GOOGLETRANSLATE(B32886,""en"",""fr"")"),"L'homme s'arrête et s'appuie sur la pelle pendant un moment pour regarder la quantité de travail qui est devant lui.")</f>
        <v>L'homme s'arrête et s'appuie sur la pelle pendant un moment pour regarder la quantité de travail qui est devant lui.</v>
      </c>
    </row>
    <row r="32887">
      <c r="A32887" s="4" t="s">
        <v>41386</v>
      </c>
      <c r="B32887" s="4" t="s">
        <v>41389</v>
      </c>
      <c r="C32887" s="5" t="str">
        <f>IFERROR(__xludf.DUMMYFUNCTION("GOOGLETRANSLATE(B32887,""en"",""fr"")"),"L'homme continue de gratter le toit de gravier et se tourne le dos vers la caméra.")</f>
        <v>L'homme continue de gratter le toit de gravier et se tourne le dos vers la caméra.</v>
      </c>
    </row>
    <row r="32888">
      <c r="A32888" s="4" t="s">
        <v>41390</v>
      </c>
      <c r="B32888" s="6" t="s">
        <v>41391</v>
      </c>
      <c r="C32888" s="5" t="str">
        <f>IFERROR(__xludf.DUMMYFUNCTION("GOOGLETRANSLATE(B32888,""en"",""fr"")"),"Deux hommes sont vus debout autour d'une table de paletterie suivie par les hommes qui frappent des rondelles à travers le tableau.")</f>
        <v>Deux hommes sont vus debout autour d'une table de paletterie suivie par les hommes qui frappent des rondelles à travers le tableau.</v>
      </c>
    </row>
    <row r="32889">
      <c r="A32889" s="4" t="s">
        <v>41390</v>
      </c>
      <c r="B32889" s="4" t="s">
        <v>41392</v>
      </c>
      <c r="C32889" s="5" t="str">
        <f>IFERROR(__xludf.DUMMYFUNCTION("GOOGLETRANSLATE(B32889,""en"",""fr"")"),"Les hommes continuent de frapper les rondelles et de zoomer sur leurs visages à la fin.")</f>
        <v>Les hommes continuent de frapper les rondelles et de zoomer sur leurs visages à la fin.</v>
      </c>
    </row>
    <row r="32890">
      <c r="A32890" s="4" t="s">
        <v>41393</v>
      </c>
      <c r="B32890" s="4" t="s">
        <v>41394</v>
      </c>
      <c r="C32890" s="5" t="str">
        <f>IFERROR(__xludf.DUMMYFUNCTION("GOOGLETRANSLATE(B32890,""en"",""fr"")"),"Les nuits sombres sont représentées avec des éclairs clignotant dans le ciel.")</f>
        <v>Les nuits sombres sont représentées avec des éclairs clignotant dans le ciel.</v>
      </c>
    </row>
    <row r="32891">
      <c r="A32891" s="4" t="s">
        <v>41393</v>
      </c>
      <c r="B32891" s="4" t="s">
        <v>41395</v>
      </c>
      <c r="C32891" s="5" t="str">
        <f>IFERROR(__xludf.DUMMYFUNCTION("GOOGLETRANSLATE(B32891,""en"",""fr"")"),"Après, la vidéo commence et plusieurs personnes sont montrées sur un grand bateau naviguant dans l'eau.")</f>
        <v>Après, la vidéo commence et plusieurs personnes sont montrées sur un grand bateau naviguant dans l'eau.</v>
      </c>
    </row>
    <row r="32892">
      <c r="A32892" s="4" t="s">
        <v>41393</v>
      </c>
      <c r="B32892" s="4" t="s">
        <v>41396</v>
      </c>
      <c r="C32892" s="5" t="str">
        <f>IFERROR(__xludf.DUMMYFUNCTION("GOOGLETRANSLATE(B32892,""en"",""fr"")"),"Le temps commence à devenir désagréable et les gens doivent tenir la vie, afin qu'ils ne mourrent pas.")</f>
        <v>Le temps commence à devenir désagréable et les gens doivent tenir la vie, afin qu'ils ne mourrent pas.</v>
      </c>
    </row>
    <row r="32893">
      <c r="A32893" s="4" t="s">
        <v>41393</v>
      </c>
      <c r="B32893" s="6" t="s">
        <v>41397</v>
      </c>
      <c r="C32893" s="5" t="str">
        <f>IFERROR(__xludf.DUMMYFUNCTION("GOOGLETRANSLATE(B32893,""en"",""fr"")"),"Dans un cas, le bateau commence à faire basculer sur le côté et les gens sautent de joie qu'il n'a pas fait basculer alors que le temps horrible continue.")</f>
        <v>Dans un cas, le bateau commence à faire basculer sur le côté et les gens sautent de joie qu'il n'a pas fait basculer alors que le temps horrible continue.</v>
      </c>
    </row>
    <row r="32894">
      <c r="A32894" s="4" t="s">
        <v>41398</v>
      </c>
      <c r="B32894" s="6" t="s">
        <v>41399</v>
      </c>
      <c r="C32894" s="5" t="str">
        <f>IFERROR(__xludf.DUMMYFUNCTION("GOOGLETRANSLATE(B32894,""en"",""fr"")"),"Un groupe de coureurs est dans une rue, et un marathonien de Boston qui a battu un record est montré dans une interview après la célébration.")</f>
        <v>Un groupe de coureurs est dans une rue, et un marathonien de Boston qui a battu un record est montré dans une interview après la célébration.</v>
      </c>
    </row>
    <row r="32895">
      <c r="A32895" s="4" t="s">
        <v>41398</v>
      </c>
      <c r="B32895" s="4" t="s">
        <v>41400</v>
      </c>
      <c r="C32895" s="5" t="str">
        <f>IFERROR(__xludf.DUMMYFUNCTION("GOOGLETRANSLATE(B32895,""en"",""fr"")"),"Des coulisses de nouvelles sont montrés en parlant de l'homme et des autres alors qu'ils atteignent la fin du marathon.")</f>
        <v>Des coulisses de nouvelles sont montrés en parlant de l'homme et des autres alors qu'ils atteignent la fin du marathon.</v>
      </c>
    </row>
    <row r="32896">
      <c r="A32896" s="4" t="s">
        <v>41398</v>
      </c>
      <c r="B32896" s="4" t="s">
        <v>41401</v>
      </c>
      <c r="C32896" s="5" t="str">
        <f>IFERROR(__xludf.DUMMYFUNCTION("GOOGLETRANSLATE(B32896,""en"",""fr"")"),"Les coureurs sont présentés en groupe, alors que des hommes déguisés en soldats britanniques mettent en œuvre une pièce pour la foule.")</f>
        <v>Les coureurs sont présentés en groupe, alors que des hommes déguisés en soldats britanniques mettent en œuvre une pièce pour la foule.</v>
      </c>
    </row>
    <row r="32897">
      <c r="A32897" s="4" t="s">
        <v>41402</v>
      </c>
      <c r="B32897" s="4" t="s">
        <v>41403</v>
      </c>
      <c r="C32897" s="5" t="str">
        <f>IFERROR(__xludf.DUMMYFUNCTION("GOOGLETRANSLATE(B32897,""en"",""fr"")"),"Un homme en pull de pêche est un skateboard puis est tombé sur le sol.")</f>
        <v>Un homme en pull de pêche est un skateboard puis est tombé sur le sol.</v>
      </c>
    </row>
    <row r="32898">
      <c r="A32898" s="4" t="s">
        <v>41402</v>
      </c>
      <c r="B32898" s="4" t="s">
        <v>41404</v>
      </c>
      <c r="C32898" s="5" t="str">
        <f>IFERROR(__xludf.DUMMYFUNCTION("GOOGLETRANSLATE(B32898,""en"",""fr"")"),"Un homme en orange s'arrête est du skateboard dans la rue sombre et est tombé sur le sol.")</f>
        <v>Un homme en orange s'arrête est du skateboard dans la rue sombre et est tombé sur le sol.</v>
      </c>
    </row>
    <row r="32899">
      <c r="A32899" s="4" t="s">
        <v>41402</v>
      </c>
      <c r="B32899" s="6" t="s">
        <v>41405</v>
      </c>
      <c r="C32899" s="5" t="str">
        <f>IFERROR(__xludf.DUMMYFUNCTION("GOOGLETRANSLATE(B32899,""en"",""fr"")"),"Un homme en skateboard de chemise noire sur la large route et est tombé sur le bord de la route, l'homme a montré ses coupures de saignement devant la caméra.")</f>
        <v>Un homme en skateboard de chemise noire sur la large route et est tombé sur le bord de la route, l'homme a montré ses coupures de saignement devant la caméra.</v>
      </c>
    </row>
    <row r="32900">
      <c r="A32900" s="4" t="s">
        <v>41402</v>
      </c>
      <c r="B32900" s="4" t="s">
        <v>41406</v>
      </c>
      <c r="C32900" s="5" t="str">
        <f>IFERROR(__xludf.DUMMYFUNCTION("GOOGLETRANSLATE(B32900,""en"",""fr"")"),"A Les planchistes tombent de leurs planches à roulettes.")</f>
        <v>A Les planchistes tombent de leurs planches à roulettes.</v>
      </c>
    </row>
    <row r="32901">
      <c r="A32901" s="4" t="s">
        <v>41407</v>
      </c>
      <c r="B32901" s="4" t="s">
        <v>41408</v>
      </c>
      <c r="C32901" s="5" t="str">
        <f>IFERROR(__xludf.DUMMYFUNCTION("GOOGLETRANSLATE(B32901,""en"",""fr"")"),"Un homme parle devant un filet dans une cour.")</f>
        <v>Un homme parle devant un filet dans une cour.</v>
      </c>
    </row>
    <row r="32902">
      <c r="A32902" s="4" t="s">
        <v>41407</v>
      </c>
      <c r="B32902" s="4" t="s">
        <v>41409</v>
      </c>
      <c r="C32902" s="5" t="str">
        <f>IFERROR(__xludf.DUMMYFUNCTION("GOOGLETRANSLATE(B32902,""en"",""fr"")"),"Deux garçons sont vus frapper une balle dans le filet.")</f>
        <v>Deux garçons sont vus frapper une balle dans le filet.</v>
      </c>
    </row>
    <row r="32903">
      <c r="A32903" s="4" t="s">
        <v>41407</v>
      </c>
      <c r="B32903" s="4" t="s">
        <v>41410</v>
      </c>
      <c r="C32903" s="5" t="str">
        <f>IFERROR(__xludf.DUMMYFUNCTION("GOOGLETRANSLATE(B32903,""en"",""fr"")"),"Ensuite, nous voyons un jeu sur un terrain avec des hommes frappant des balles avec des filets dans le but.")</f>
        <v>Ensuite, nous voyons un jeu sur un terrain avec des hommes frappant des balles avec des filets dans le but.</v>
      </c>
    </row>
    <row r="32904">
      <c r="A32904" s="4" t="s">
        <v>41411</v>
      </c>
      <c r="B32904" s="4" t="s">
        <v>41412</v>
      </c>
      <c r="C32904" s="5" t="str">
        <f>IFERROR(__xludf.DUMMYFUNCTION("GOOGLETRANSLATE(B32904,""en"",""fr"")"),"Un groupe de pom-pom girls est montré pratiquant leur routine dans un gymnase.")</f>
        <v>Un groupe de pom-pom girls est montré pratiquant leur routine dans un gymnase.</v>
      </c>
    </row>
    <row r="32905">
      <c r="A32905" s="4" t="s">
        <v>41411</v>
      </c>
      <c r="B32905" s="6" t="s">
        <v>41413</v>
      </c>
      <c r="C32905" s="5" t="str">
        <f>IFERROR(__xludf.DUMMYFUNCTION("GOOGLETRANSLATE(B32905,""en"",""fr"")"),"La scène passe à une pom-pom girl interviewée tandis que d'autres s'étendent en arrière-plan, avec des clips occasionnels liés aux pom-pom girls entrecoupés.")</f>
        <v>La scène passe à une pom-pom girl interviewée tandis que d'autres s'étendent en arrière-plan, avec des clips occasionnels liés aux pom-pom girls entrecoupés.</v>
      </c>
    </row>
    <row r="32906">
      <c r="A32906" s="4" t="s">
        <v>41411</v>
      </c>
      <c r="B32906" s="6" t="s">
        <v>41414</v>
      </c>
      <c r="C32906" s="5" t="str">
        <f>IFERROR(__xludf.DUMMYFUNCTION("GOOGLETRANSLATE(B32906,""en"",""fr"")"),"Un homme portant du bleu est interviewé dans le même cadre, avec des clips occasionnels liés aux pom-pom girls entrecoupés.")</f>
        <v>Un homme portant du bleu est interviewé dans le même cadre, avec des clips occasionnels liés aux pom-pom girls entrecoupés.</v>
      </c>
    </row>
    <row r="32907">
      <c r="A32907" s="4" t="s">
        <v>41411</v>
      </c>
      <c r="B32907" s="6" t="s">
        <v>41415</v>
      </c>
      <c r="C32907" s="5" t="str">
        <f>IFERROR(__xludf.DUMMYFUNCTION("GOOGLETRANSLATE(B32907,""en"",""fr"")"),"Un autre homme est interviewé dans le même cadre, avec des clips occasionnels liés à des pom-pom girls entrecoupés.")</f>
        <v>Un autre homme est interviewé dans le même cadre, avec des clips occasionnels liés à des pom-pom girls entrecoupés.</v>
      </c>
    </row>
    <row r="32908">
      <c r="A32908" s="4" t="s">
        <v>41411</v>
      </c>
      <c r="B32908" s="6" t="s">
        <v>41416</v>
      </c>
      <c r="C32908" s="5" t="str">
        <f>IFERROR(__xludf.DUMMYFUNCTION("GOOGLETRANSLATE(B32908,""en"",""fr"")"),"La caméra revient à l'homme en bleu interviewé, avec de courtes séquences d'action de pom-pom girl.")</f>
        <v>La caméra revient à l'homme en bleu interviewé, avec de courtes séquences d'action de pom-pom girl.</v>
      </c>
    </row>
    <row r="32909">
      <c r="A32909" s="4" t="s">
        <v>41411</v>
      </c>
      <c r="B32909" s="4" t="s">
        <v>41417</v>
      </c>
      <c r="C32909" s="5" t="str">
        <f>IFERROR(__xludf.DUMMYFUNCTION("GOOGLETRANSLATE(B32909,""en"",""fr"")"),"La caméra revient à la première personne interviewée, avec de courtes séquences d'action de pom-pom girl.")</f>
        <v>La caméra revient à la première personne interviewée, avec de courtes séquences d'action de pom-pom girl.</v>
      </c>
    </row>
    <row r="32910">
      <c r="A32910" s="4" t="s">
        <v>41418</v>
      </c>
      <c r="B32910" s="4" t="s">
        <v>41419</v>
      </c>
      <c r="C32910" s="5" t="str">
        <f>IFERROR(__xludf.DUMMYFUNCTION("GOOGLETRANSLATE(B32910,""en"",""fr"")"),"Plusieurs personnes se tiennent à l'extérieur dans une neige avec des tubes devant eux.")</f>
        <v>Plusieurs personnes se tiennent à l'extérieur dans une neige avec des tubes devant eux.</v>
      </c>
    </row>
    <row r="32911">
      <c r="A32911" s="4" t="s">
        <v>41418</v>
      </c>
      <c r="B32911" s="4" t="s">
        <v>41420</v>
      </c>
      <c r="C32911" s="5" t="str">
        <f>IFERROR(__xludf.DUMMYFUNCTION("GOOGLETRANSLATE(B32911,""en"",""fr"")"),"Deux personnes entrent ensuite dans les tubes et sont poussées dans les pentes.")</f>
        <v>Deux personnes entrent ensuite dans les tubes et sont poussées dans les pentes.</v>
      </c>
    </row>
    <row r="32912">
      <c r="A32912" s="4" t="s">
        <v>41418</v>
      </c>
      <c r="B32912" s="4" t="s">
        <v>41421</v>
      </c>
      <c r="C32912" s="5" t="str">
        <f>IFERROR(__xludf.DUMMYFUNCTION("GOOGLETRANSLATE(B32912,""en"",""fr"")"),"Ils descendent la glissière de neige et une fois qu'ils atteignent le fond, ils descendent.")</f>
        <v>Ils descendent la glissière de neige et une fois qu'ils atteignent le fond, ils descendent.</v>
      </c>
    </row>
    <row r="32913">
      <c r="A32913" s="4" t="s">
        <v>41422</v>
      </c>
      <c r="B32913" s="4" t="s">
        <v>41423</v>
      </c>
      <c r="C32913" s="5" t="str">
        <f>IFERROR(__xludf.DUMMYFUNCTION("GOOGLETRANSLATE(B32913,""en"",""fr"")"),"Une fille se tient dans sa salle de bain en faisant des visages gloussants tout en tenant une tasse.")</f>
        <v>Une fille se tient dans sa salle de bain en faisant des visages gloussants tout en tenant une tasse.</v>
      </c>
    </row>
    <row r="32914">
      <c r="A32914" s="4" t="s">
        <v>41422</v>
      </c>
      <c r="B32914" s="4" t="s">
        <v>41424</v>
      </c>
      <c r="C32914" s="5" t="str">
        <f>IFERROR(__xludf.DUMMYFUNCTION("GOOGLETRANSLATE(B32914,""en"",""fr"")"),"Elle prend enfin tout ce qui est dans le Cub et commence à bâillonner en le crachant dans l'évier.")</f>
        <v>Elle prend enfin tout ce qui est dans le Cub et commence à bâillonner en le crachant dans l'évier.</v>
      </c>
    </row>
    <row r="32915">
      <c r="A32915" s="4" t="s">
        <v>41422</v>
      </c>
      <c r="B32915" s="4" t="s">
        <v>41425</v>
      </c>
      <c r="C32915" s="5" t="str">
        <f>IFERROR(__xludf.DUMMYFUNCTION("GOOGLETRANSLATE(B32915,""en"",""fr"")"),"Une fois que sa bouche est vide, elle montre une bouteille de rince-bouche de crête.")</f>
        <v>Une fois que sa bouche est vide, elle montre une bouteille de rince-bouche de crête.</v>
      </c>
    </row>
    <row r="32916">
      <c r="A32916" s="4" t="s">
        <v>41426</v>
      </c>
      <c r="B32916" s="4" t="s">
        <v>41427</v>
      </c>
      <c r="C32916" s="5" t="str">
        <f>IFERROR(__xludf.DUMMYFUNCTION("GOOGLETRANSLATE(B32916,""en"",""fr"")"),"Un homme joue des captures avec un chien dans un champ de saleté tout en lançant un frisbee.")</f>
        <v>Un homme joue des captures avec un chien dans un champ de saleté tout en lançant un frisbee.</v>
      </c>
    </row>
    <row r="32917">
      <c r="A32917" s="4" t="s">
        <v>41426</v>
      </c>
      <c r="B32917" s="4" t="s">
        <v>41428</v>
      </c>
      <c r="C32917" s="5" t="str">
        <f>IFERROR(__xludf.DUMMYFUNCTION("GOOGLETRANSLATE(B32917,""en"",""fr"")"),"L'homme tend le frisbee à la main au chien.")</f>
        <v>L'homme tend le frisbee à la main au chien.</v>
      </c>
    </row>
    <row r="32918">
      <c r="A32918" s="4" t="s">
        <v>41426</v>
      </c>
      <c r="B32918" s="4" t="s">
        <v>41429</v>
      </c>
      <c r="C32918" s="5" t="str">
        <f>IFERROR(__xludf.DUMMYFUNCTION("GOOGLETRANSLATE(B32918,""en"",""fr"")"),"Une femme joue des prises avec le chien jetant un frisbee dans un parc herbeux.")</f>
        <v>Une femme joue des prises avec le chien jetant un frisbee dans un parc herbeux.</v>
      </c>
    </row>
    <row r="32919">
      <c r="A32919" s="4" t="s">
        <v>41430</v>
      </c>
      <c r="B32919" s="4" t="s">
        <v>41431</v>
      </c>
      <c r="C32919" s="5" t="str">
        <f>IFERROR(__xludf.DUMMYFUNCTION("GOOGLETRANSLATE(B32919,""en"",""fr"")"),"L'homme de la caméra ouvre une porte et regarde une femme partir en avant dans une baignoire.")</f>
        <v>L'homme de la caméra ouvre une porte et regarde une femme partir en avant dans une baignoire.</v>
      </c>
    </row>
    <row r="32920">
      <c r="A32920" s="4" t="s">
        <v>41430</v>
      </c>
      <c r="B32920" s="4" t="s">
        <v>41432</v>
      </c>
      <c r="C32920" s="5" t="str">
        <f>IFERROR(__xludf.DUMMYFUNCTION("GOOGLETRANSLATE(B32920,""en"",""fr"")"),"La femme parle à l'homme de la caméra tout en lavant plusieurs vêtements dans une baignoire remplie d'eau.")</f>
        <v>La femme parle à l'homme de la caméra tout en lavant plusieurs vêtements dans une baignoire remplie d'eau.</v>
      </c>
    </row>
    <row r="32921">
      <c r="A32921" s="4" t="s">
        <v>41430</v>
      </c>
      <c r="B32921" s="6" t="s">
        <v>41433</v>
      </c>
      <c r="C32921" s="5" t="str">
        <f>IFERROR(__xludf.DUMMYFUNCTION("GOOGLETRANSLATE(B32921,""en"",""fr"")"),"La femme apprend épuisée et se retourne rapidement vers l'homme de la caméra puis vers la baignoire.")</f>
        <v>La femme apprend épuisée et se retourne rapidement vers l'homme de la caméra puis vers la baignoire.</v>
      </c>
    </row>
    <row r="32922">
      <c r="A32922" s="4" t="s">
        <v>41434</v>
      </c>
      <c r="B32922" s="6" t="s">
        <v>41435</v>
      </c>
      <c r="C32922" s="5" t="str">
        <f>IFERROR(__xludf.DUMMYFUNCTION("GOOGLETRANSLATE(B32922,""en"",""fr"")"),"Un groupe de personnes court sur une route avec diverses personnes applaudissant et applaudissant sur les côtés.")</f>
        <v>Un groupe de personnes court sur une route avec diverses personnes applaudissant et applaudissant sur les côtés.</v>
      </c>
    </row>
    <row r="32923">
      <c r="A32923" s="4" t="s">
        <v>41434</v>
      </c>
      <c r="B32923" s="4" t="s">
        <v>41436</v>
      </c>
      <c r="C32923" s="5" t="str">
        <f>IFERROR(__xludf.DUMMYFUNCTION("GOOGLETRANSLATE(B32923,""en"",""fr"")"),"Une femme est élevée pour faire face aux gens ainsi que d'autres coureurs.")</f>
        <v>Une femme est élevée pour faire face aux gens ainsi que d'autres coureurs.</v>
      </c>
    </row>
    <row r="32924">
      <c r="A32924" s="4" t="s">
        <v>41434</v>
      </c>
      <c r="B32924" s="4" t="s">
        <v>41437</v>
      </c>
      <c r="C32924" s="5" t="str">
        <f>IFERROR(__xludf.DUMMYFUNCTION("GOOGLETRANSLATE(B32924,""en"",""fr"")"),"Plus de photos de personnes sur les côtés sont montrées pendant que les coureurs continuent de courir.")</f>
        <v>Plus de photos de personnes sur les côtés sont montrées pendant que les coureurs continuent de courir.</v>
      </c>
    </row>
    <row r="32925">
      <c r="A32925" s="4" t="s">
        <v>41438</v>
      </c>
      <c r="B32925" s="6" t="s">
        <v>41439</v>
      </c>
      <c r="C32925" s="5" t="str">
        <f>IFERROR(__xludf.DUMMYFUNCTION("GOOGLETRANSLATE(B32925,""en"",""fr"")"),"Un grand groupe de personnes est vue debout autour d'une piste de cheval et mène à plusieurs hommes assis sur des chevaux et un roulant en balançant un bâton.")</f>
        <v>Un grand groupe de personnes est vue debout autour d'une piste de cheval et mène à plusieurs hommes assis sur des chevaux et un roulant en balançant un bâton.</v>
      </c>
    </row>
    <row r="32926">
      <c r="A32926" s="4" t="s">
        <v>41438</v>
      </c>
      <c r="B32926" s="4" t="s">
        <v>41440</v>
      </c>
      <c r="C32926" s="5" t="str">
        <f>IFERROR(__xludf.DUMMYFUNCTION("GOOGLETRANSLATE(B32926,""en"",""fr"")"),"Les hommes commencent alors à jouer à un jeu sur les chevaux et à secouer les mains.")</f>
        <v>Les hommes commencent alors à jouer à un jeu sur les chevaux et à secouer les mains.</v>
      </c>
    </row>
    <row r="32927">
      <c r="A32927" s="4" t="s">
        <v>41438</v>
      </c>
      <c r="B32927" s="6" t="s">
        <v>41441</v>
      </c>
      <c r="C32927" s="5" t="str">
        <f>IFERROR(__xludf.DUMMYFUNCTION("GOOGLETRANSLATE(B32927,""en"",""fr"")"),"La princesse remet ensuite une boîte à l'un des joueurs et se tient près de plusieurs autres tenant un trophée.")</f>
        <v>La princesse remet ensuite une boîte à l'un des joueurs et se tient près de plusieurs autres tenant un trophée.</v>
      </c>
    </row>
    <row r="32928">
      <c r="A32928" s="4" t="s">
        <v>41442</v>
      </c>
      <c r="B32928" s="4" t="s">
        <v>41443</v>
      </c>
      <c r="C32928" s="5" t="str">
        <f>IFERROR(__xludf.DUMMYFUNCTION("GOOGLETRANSLATE(B32928,""en"",""fr"")"),"Une femme montre ses ongles à la caméra.")</f>
        <v>Une femme montre ses ongles à la caméra.</v>
      </c>
    </row>
    <row r="32929">
      <c r="A32929" s="4" t="s">
        <v>41442</v>
      </c>
      <c r="B32929" s="4" t="s">
        <v>41444</v>
      </c>
      <c r="C32929" s="5" t="str">
        <f>IFERROR(__xludf.DUMMYFUNCTION("GOOGLETRANSLATE(B32929,""en"",""fr"")"),"Une femme en chemise noire est assise dans une pièce en train de parler à une caméra.")</f>
        <v>Une femme en chemise noire est assise dans une pièce en train de parler à une caméra.</v>
      </c>
    </row>
    <row r="32930">
      <c r="A32930" s="4" t="s">
        <v>41442</v>
      </c>
      <c r="B32930" s="4" t="s">
        <v>41445</v>
      </c>
      <c r="C32930" s="5" t="str">
        <f>IFERROR(__xludf.DUMMYFUNCTION("GOOGLETRANSLATE(B32930,""en"",""fr"")"),"Une personne fait des ongles de quelqu'un d'autre sur une table.")</f>
        <v>Une personne fait des ongles de quelqu'un d'autre sur une table.</v>
      </c>
    </row>
    <row r="32931">
      <c r="A32931" s="4" t="s">
        <v>41442</v>
      </c>
      <c r="B32931" s="4" t="s">
        <v>41446</v>
      </c>
      <c r="C32931" s="5" t="str">
        <f>IFERROR(__xludf.DUMMYFUNCTION("GOOGLETRANSLATE(B32931,""en"",""fr"")"),"Ils leur mettent de fausses ongles.")</f>
        <v>Ils leur mettent de fausses ongles.</v>
      </c>
    </row>
    <row r="32932">
      <c r="A32932" s="4" t="s">
        <v>41442</v>
      </c>
      <c r="B32932" s="4" t="s">
        <v>41447</v>
      </c>
      <c r="C32932" s="5" t="str">
        <f>IFERROR(__xludf.DUMMYFUNCTION("GOOGLETRANSLATE(B32932,""en"",""fr"")"),"Ils coupent les ongles.")</f>
        <v>Ils coupent les ongles.</v>
      </c>
    </row>
    <row r="32933">
      <c r="A32933" s="4" t="s">
        <v>41442</v>
      </c>
      <c r="B32933" s="4" t="s">
        <v>41448</v>
      </c>
      <c r="C32933" s="5" t="str">
        <f>IFERROR(__xludf.DUMMYFUNCTION("GOOGLETRANSLATE(B32933,""en"",""fr"")"),"Ils commencent à peindre les ongles.")</f>
        <v>Ils commencent à peindre les ongles.</v>
      </c>
    </row>
    <row r="32934">
      <c r="A32934" s="4" t="s">
        <v>41449</v>
      </c>
      <c r="B32934" s="4" t="s">
        <v>41450</v>
      </c>
      <c r="C32934" s="5" t="str">
        <f>IFERROR(__xludf.DUMMYFUNCTION("GOOGLETRANSLATE(B32934,""en"",""fr"")"),"Un homme est vu assis dans une grande salle de sport tout en parlant à la caméra et en s'asseyant sur une boule de médecine.")</f>
        <v>Un homme est vu assis dans une grande salle de sport tout en parlant à la caméra et en s'asseyant sur une boule de médecine.</v>
      </c>
    </row>
    <row r="32935">
      <c r="A32935" s="4" t="s">
        <v>41449</v>
      </c>
      <c r="B32935" s="4" t="s">
        <v>41451</v>
      </c>
      <c r="C32935" s="5" t="str">
        <f>IFERROR(__xludf.DUMMYFUNCTION("GOOGLETRANSLATE(B32935,""en"",""fr"")"),"L'homme se penche ensuite vers l'avant sur le ballon tout en parlant à la caméra.")</f>
        <v>L'homme se penche ensuite vers l'avant sur le ballon tout en parlant à la caméra.</v>
      </c>
    </row>
    <row r="32936">
      <c r="A32936" s="4" t="s">
        <v>41449</v>
      </c>
      <c r="B32936" s="4" t="s">
        <v>41452</v>
      </c>
      <c r="C32936" s="5" t="str">
        <f>IFERROR(__xludf.DUMMYFUNCTION("GOOGLETRANSLATE(B32936,""en"",""fr"")"),"L'homme continue d'équilibrer sur le ballon et s'assoit et attrape une balle.")</f>
        <v>L'homme continue d'équilibrer sur le ballon et s'assoit et attrape une balle.</v>
      </c>
    </row>
    <row r="32937">
      <c r="A32937" s="4" t="s">
        <v>41453</v>
      </c>
      <c r="B32937" s="4" t="s">
        <v>41454</v>
      </c>
      <c r="C32937" s="5" t="str">
        <f>IFERROR(__xludf.DUMMYFUNCTION("GOOGLETRANSLATE(B32937,""en"",""fr"")"),"Un groupe d'hommes est à l'intérieur d'un espace de gym en marche sur des steppers aérobies à un rythme rapide.")</f>
        <v>Un groupe d'hommes est à l'intérieur d'un espace de gym en marche sur des steppers aérobies à un rythme rapide.</v>
      </c>
    </row>
    <row r="32938">
      <c r="A32938" s="4" t="s">
        <v>41453</v>
      </c>
      <c r="B32938" s="6" t="s">
        <v>41455</v>
      </c>
      <c r="C32938" s="5" t="str">
        <f>IFERROR(__xludf.DUMMYFUNCTION("GOOGLETRANSLATE(B32938,""en"",""fr"")"),"Ils semblent passer un bon moment et commencer à tendre la main avec leurs bras et à varier leur entraînement.")</f>
        <v>Ils semblent passer un bon moment et commencer à tendre la main avec leurs bras et à varier leur entraînement.</v>
      </c>
    </row>
    <row r="32939">
      <c r="A32939" s="4" t="s">
        <v>41453</v>
      </c>
      <c r="B32939" s="4" t="s">
        <v>41456</v>
      </c>
      <c r="C32939" s="5" t="str">
        <f>IFERROR(__xludf.DUMMYFUNCTION("GOOGLETRANSLATE(B32939,""en"",""fr"")"),"Ils continuent d'effectuer une autre série d'entraînement similaire avec leurs steppers.")</f>
        <v>Ils continuent d'effectuer une autre série d'entraînement similaire avec leurs steppers.</v>
      </c>
    </row>
    <row r="32940">
      <c r="A32940" s="4" t="s">
        <v>41453</v>
      </c>
      <c r="B32940" s="4" t="s">
        <v>41457</v>
      </c>
      <c r="C32940" s="5" t="str">
        <f>IFERROR(__xludf.DUMMYFUNCTION("GOOGLETRANSLATE(B32940,""en"",""fr"")"),"Ils se déplacent d'un côté à l'autre, alternant leurs mouvements à un rythme spécifique.")</f>
        <v>Ils se déplacent d'un côté à l'autre, alternant leurs mouvements à un rythme spécifique.</v>
      </c>
    </row>
    <row r="32941">
      <c r="A32941" s="4" t="s">
        <v>41453</v>
      </c>
      <c r="B32941" s="6" t="s">
        <v>41458</v>
      </c>
      <c r="C32941" s="5" t="str">
        <f>IFERROR(__xludf.DUMMYFUNCTION("GOOGLETRANSLATE(B32941,""en"",""fr"")"),"Leur dernier de leurs séances d'entraînement semble être une compilation de tout ce qu'ils ont fait jusqu'à présent et ils varient leurs mouvements en son sein.")</f>
        <v>Leur dernier de leurs séances d'entraînement semble être une compilation de tout ce qu'ils ont fait jusqu'à présent et ils varient leurs mouvements en son sein.</v>
      </c>
    </row>
    <row r="32942">
      <c r="A32942" s="4" t="s">
        <v>41459</v>
      </c>
      <c r="B32942" s="4" t="s">
        <v>41460</v>
      </c>
      <c r="C32942" s="5" t="str">
        <f>IFERROR(__xludf.DUMMYFUNCTION("GOOGLETRANSLATE(B32942,""en"",""fr"")"),"Une femme utilise une machine d'exercice Nordictrack.")</f>
        <v>Une femme utilise une machine d'exercice Nordictrack.</v>
      </c>
    </row>
    <row r="32943">
      <c r="A32943" s="4" t="s">
        <v>41459</v>
      </c>
      <c r="B32943" s="4" t="s">
        <v>41461</v>
      </c>
      <c r="C32943" s="5" t="str">
        <f>IFERROR(__xludf.DUMMYFUNCTION("GOOGLETRANSLATE(B32943,""en"",""fr"")"),"La machine d'exercice est montrée par elle-même.")</f>
        <v>La machine d'exercice est montrée par elle-même.</v>
      </c>
    </row>
    <row r="32944">
      <c r="A32944" s="4" t="s">
        <v>41459</v>
      </c>
      <c r="B32944" s="4" t="s">
        <v>41462</v>
      </c>
      <c r="C32944" s="5" t="str">
        <f>IFERROR(__xludf.DUMMYFUNCTION("GOOGLETRANSLATE(B32944,""en"",""fr"")"),"La femme utilise à nouveau la machine.")</f>
        <v>La femme utilise à nouveau la machine.</v>
      </c>
    </row>
    <row r="32945">
      <c r="A32945" s="4" t="s">
        <v>41459</v>
      </c>
      <c r="B32945" s="4" t="s">
        <v>41463</v>
      </c>
      <c r="C32945" s="5" t="str">
        <f>IFERROR(__xludf.DUMMYFUNCTION("GOOGLETRANSLATE(B32945,""en"",""fr"")"),"Les contrôles d'affichage numérique de la machine sont affichés.")</f>
        <v>Les contrôles d'affichage numérique de la machine sont affichés.</v>
      </c>
    </row>
    <row r="32946">
      <c r="A32946" s="4" t="s">
        <v>41459</v>
      </c>
      <c r="B32946" s="4" t="s">
        <v>41464</v>
      </c>
      <c r="C32946" s="5" t="str">
        <f>IFERROR(__xludf.DUMMYFUNCTION("GOOGLETRANSLATE(B32946,""en"",""fr"")"),"Un écran d'éclat d'une femme et un titre d'exposition sont affichés.")</f>
        <v>Un écran d'éclat d'une femme et un titre d'exposition sont affichés.</v>
      </c>
    </row>
    <row r="32947">
      <c r="A32947" s="4" t="s">
        <v>41459</v>
      </c>
      <c r="B32947" s="4" t="s">
        <v>41465</v>
      </c>
      <c r="C32947" s="5" t="str">
        <f>IFERROR(__xludf.DUMMYFUNCTION("GOOGLETRANSLATE(B32947,""en"",""fr"")"),"La femme exerce à nouveau sur la machine.")</f>
        <v>La femme exerce à nouveau sur la machine.</v>
      </c>
    </row>
    <row r="32948">
      <c r="A32948" s="4" t="s">
        <v>41466</v>
      </c>
      <c r="B32948" s="4" t="s">
        <v>41467</v>
      </c>
      <c r="C32948" s="5" t="str">
        <f>IFERROR(__xludf.DUMMYFUNCTION("GOOGLETRANSLATE(B32948,""en"",""fr"")"),"Quatre personnes se préparent à skateboard sur une pente.")</f>
        <v>Quatre personnes se préparent à skateboard sur une pente.</v>
      </c>
    </row>
    <row r="32949">
      <c r="A32949" s="4" t="s">
        <v>41466</v>
      </c>
      <c r="B32949" s="4" t="s">
        <v>41468</v>
      </c>
      <c r="C32949" s="5" t="str">
        <f>IFERROR(__xludf.DUMMYFUNCTION("GOOGLETRANSLATE(B32949,""en"",""fr"")"),"Les quatre individus skateboard sur la pente ensemble ou seuls comme le montrent les spectateurs.")</f>
        <v>Les quatre individus skateboard sur la pente ensemble ou seuls comme le montrent les spectateurs.</v>
      </c>
    </row>
    <row r="32950">
      <c r="A32950" s="4" t="s">
        <v>41466</v>
      </c>
      <c r="B32950" s="4" t="s">
        <v>41469</v>
      </c>
      <c r="C32950" s="5" t="str">
        <f>IFERROR(__xludf.DUMMYFUNCTION("GOOGLETRANSLATE(B32950,""en"",""fr"")"),"L'appareil photo se déroule sur des paysages de fond.")</f>
        <v>L'appareil photo se déroule sur des paysages de fond.</v>
      </c>
    </row>
    <row r="32951">
      <c r="A32951" s="4" t="s">
        <v>41466</v>
      </c>
      <c r="B32951" s="4" t="s">
        <v>41470</v>
      </c>
      <c r="C32951" s="5" t="str">
        <f>IFERROR(__xludf.DUMMYFUNCTION("GOOGLETRANSLATE(B32951,""en"",""fr"")"),"L'une des individus a tendance à se faire du skateboard.")</f>
        <v>L'une des individus a tendance à se faire du skateboard.</v>
      </c>
    </row>
    <row r="32952">
      <c r="A32952" s="4" t="s">
        <v>41466</v>
      </c>
      <c r="B32952" s="4" t="s">
        <v>41471</v>
      </c>
      <c r="C32952" s="5" t="str">
        <f>IFERROR(__xludf.DUMMYFUNCTION("GOOGLETRANSLATE(B32952,""en"",""fr"")"),"Les quatre individus s'engagent dans plus de skateboard sur la pente.")</f>
        <v>Les quatre individus s'engagent dans plus de skateboard sur la pente.</v>
      </c>
    </row>
    <row r="32953">
      <c r="A32953" s="4" t="s">
        <v>41466</v>
      </c>
      <c r="B32953" s="4" t="s">
        <v>41472</v>
      </c>
      <c r="C32953" s="5" t="str">
        <f>IFERROR(__xludf.DUMMYFUNCTION("GOOGLETRANSLATE(B32953,""en"",""fr"")"),"L'une des individus est à nouveau montrée en tendant à son skateboard.")</f>
        <v>L'une des individus est à nouveau montrée en tendant à son skateboard.</v>
      </c>
    </row>
    <row r="32954">
      <c r="A32954" s="4" t="s">
        <v>41473</v>
      </c>
      <c r="B32954" s="4" t="s">
        <v>41474</v>
      </c>
      <c r="C32954" s="5" t="str">
        <f>IFERROR(__xludf.DUMMYFUNCTION("GOOGLETRANSLATE(B32954,""en"",""fr"")"),"Deux enfants tournonnent sur un swing de pneus.")</f>
        <v>Deux enfants tournonnent sur un swing de pneus.</v>
      </c>
    </row>
    <row r="32955">
      <c r="A32955" s="4" t="s">
        <v>41473</v>
      </c>
      <c r="B32955" s="4" t="s">
        <v>41475</v>
      </c>
      <c r="C32955" s="5" t="str">
        <f>IFERROR(__xludf.DUMMYFUNCTION("GOOGLETRANSLATE(B32955,""en"",""fr"")"),"Un autre enfant se balance dans un autre swing.")</f>
        <v>Un autre enfant se balance dans un autre swing.</v>
      </c>
    </row>
    <row r="32956">
      <c r="A32956" s="4" t="s">
        <v>41473</v>
      </c>
      <c r="B32956" s="4" t="s">
        <v>41476</v>
      </c>
      <c r="C32956" s="5" t="str">
        <f>IFERROR(__xludf.DUMMYFUNCTION("GOOGLETRANSLATE(B32956,""en"",""fr"")"),"Un très petit enfant traverse l'aire de jeux.")</f>
        <v>Un très petit enfant traverse l'aire de jeux.</v>
      </c>
    </row>
    <row r="32957">
      <c r="A32957" s="4" t="s">
        <v>41477</v>
      </c>
      <c r="B32957" s="4" t="s">
        <v>41478</v>
      </c>
      <c r="C32957" s="5" t="str">
        <f>IFERROR(__xludf.DUMMYFUNCTION("GOOGLETRANSLATE(B32957,""en"",""fr"")"),"Un enfant est assis sur le lit et agite à la caméra.")</f>
        <v>Un enfant est assis sur le lit et agite à la caméra.</v>
      </c>
    </row>
    <row r="32958">
      <c r="A32958" s="4" t="s">
        <v>41477</v>
      </c>
      <c r="B32958" s="4" t="s">
        <v>41479</v>
      </c>
      <c r="C32958" s="5" t="str">
        <f>IFERROR(__xludf.DUMMYFUNCTION("GOOGLETRANSLATE(B32958,""en"",""fr"")"),"Il explique sa routine quotidienne à la caméra.")</f>
        <v>Il explique sa routine quotidienne à la caméra.</v>
      </c>
    </row>
    <row r="32959">
      <c r="A32959" s="4" t="s">
        <v>41477</v>
      </c>
      <c r="B32959" s="4" t="s">
        <v>41480</v>
      </c>
      <c r="C32959" s="5" t="str">
        <f>IFERROR(__xludf.DUMMYFUNCTION("GOOGLETRANSLATE(B32959,""en"",""fr"")"),"Il met des contacts rouges dans ses yeux.")</f>
        <v>Il met des contacts rouges dans ses yeux.</v>
      </c>
    </row>
    <row r="32960">
      <c r="A32960" s="4" t="s">
        <v>41477</v>
      </c>
      <c r="B32960" s="4" t="s">
        <v>41481</v>
      </c>
      <c r="C32960" s="5" t="str">
        <f>IFERROR(__xludf.DUMMYFUNCTION("GOOGLETRANSLATE(B32960,""en"",""fr"")"),"Le contact tombe de son œil et il le remet, mais il tombe encore et encore.")</f>
        <v>Le contact tombe de son œil et il le remet, mais il tombe encore et encore.</v>
      </c>
    </row>
    <row r="32961">
      <c r="A32961" s="4" t="s">
        <v>41477</v>
      </c>
      <c r="B32961" s="4" t="s">
        <v>41482</v>
      </c>
      <c r="C32961" s="5" t="str">
        <f>IFERROR(__xludf.DUMMYFUNCTION("GOOGLETRANSLATE(B32961,""en"",""fr"")"),"Enfin, il le fait rester et il donne à la caméra de près et quelques mouvements.")</f>
        <v>Enfin, il le fait rester et il donne à la caméra de près et quelques mouvements.</v>
      </c>
    </row>
    <row r="32962">
      <c r="A32962" s="4" t="s">
        <v>41483</v>
      </c>
      <c r="B32962" s="4" t="s">
        <v>41484</v>
      </c>
      <c r="C32962" s="5" t="str">
        <f>IFERROR(__xludf.DUMMYFUNCTION("GOOGLETRANSLATE(B32962,""en"",""fr"")"),"Plusieurs clips sont présentés sur diverses filles effectuant des astuces de gymnastique sur un grand tapis.")</f>
        <v>Plusieurs clips sont présentés sur diverses filles effectuant des astuces de gymnastique sur un grand tapis.</v>
      </c>
    </row>
    <row r="32963">
      <c r="A32963" s="4" t="s">
        <v>41483</v>
      </c>
      <c r="B32963" s="6" t="s">
        <v>41485</v>
      </c>
      <c r="C32963" s="5" t="str">
        <f>IFERROR(__xludf.DUMMYFUNCTION("GOOGLETRANSLATE(B32963,""en"",""fr"")"),"Les filles continuent de sauter et de se retourner dans la zone pendant que la caméra continue de capturer leurs mouvements.")</f>
        <v>Les filles continuent de sauter et de se retourner dans la zone pendant que la caméra continue de capturer leurs mouvements.</v>
      </c>
    </row>
    <row r="32964">
      <c r="A32964" s="4" t="s">
        <v>41486</v>
      </c>
      <c r="B32964" s="4" t="s">
        <v>41487</v>
      </c>
      <c r="C32964" s="5" t="str">
        <f>IFERROR(__xludf.DUMMYFUNCTION("GOOGLETRANSLATE(B32964,""en"",""fr"")"),"Une image en noir et blanc d'un homme est montrée, puis l'homme apparaît dans un champ jetant un disque.")</f>
        <v>Une image en noir et blanc d'un homme est montrée, puis l'homme apparaît dans un champ jetant un disque.</v>
      </c>
    </row>
    <row r="32965">
      <c r="A32965" s="4" t="s">
        <v>41486</v>
      </c>
      <c r="B32965" s="6" t="s">
        <v>41488</v>
      </c>
      <c r="C32965" s="5" t="str">
        <f>IFERROR(__xludf.DUMMYFUNCTION("GOOGLETRANSLATE(B32965,""en"",""fr"")"),"Après, il continue de lancer le disque et quand il a terminé, il est montré debout sur un ensemble de cubes en tant que vainqueur.")</f>
        <v>Après, il continue de lancer le disque et quand il a terminé, il est montré debout sur un ensemble de cubes en tant que vainqueur.</v>
      </c>
    </row>
    <row r="32966">
      <c r="A32966" s="4" t="s">
        <v>41486</v>
      </c>
      <c r="B32966" s="4" t="s">
        <v>41489</v>
      </c>
      <c r="C32966" s="5" t="str">
        <f>IFERROR(__xludf.DUMMYFUNCTION("GOOGLETRANSLATE(B32966,""en"",""fr"")"),"Les participants se serrent la main et ils finissent tous les deux par partir.")</f>
        <v>Les participants se serrent la main et ils finissent tous les deux par partir.</v>
      </c>
    </row>
    <row r="32967">
      <c r="A32967" s="4" t="s">
        <v>41490</v>
      </c>
      <c r="B32967" s="4" t="s">
        <v>41491</v>
      </c>
      <c r="C32967" s="5" t="str">
        <f>IFERROR(__xludf.DUMMYFUNCTION("GOOGLETRANSLATE(B32967,""en"",""fr"")"),"L'homme se tient dans une pièce en tenant un arc et en parle à un autre homme.")</f>
        <v>L'homme se tient dans une pièce en tenant un arc et en parle à un autre homme.</v>
      </c>
    </row>
    <row r="32968">
      <c r="A32968" s="4" t="s">
        <v>41490</v>
      </c>
      <c r="B32968" s="4" t="s">
        <v>41492</v>
      </c>
      <c r="C32968" s="5" t="str">
        <f>IFERROR(__xludf.DUMMYFUNCTION("GOOGLETRANSLATE(B32968,""en"",""fr"")"),"Manis pratiquant des photos avec un arc sur une planche dans un grand champ.")</f>
        <v>Manis pratiquant des photos avec un arc sur une planche dans un grand champ.</v>
      </c>
    </row>
    <row r="32969">
      <c r="A32969" s="4" t="s">
        <v>41493</v>
      </c>
      <c r="B32969" s="4" t="s">
        <v>41494</v>
      </c>
      <c r="C32969" s="5" t="str">
        <f>IFERROR(__xludf.DUMMYFUNCTION("GOOGLETRANSLATE(B32969,""en"",""fr"")"),"Un homme en veste noire tient un ami dans les deux bras.")</f>
        <v>Un homme en veste noire tient un ami dans les deux bras.</v>
      </c>
    </row>
    <row r="32970">
      <c r="A32970" s="4" t="s">
        <v>41493</v>
      </c>
      <c r="B32970" s="4" t="s">
        <v>41495</v>
      </c>
      <c r="C32970" s="5" t="str">
        <f>IFERROR(__xludf.DUMMYFUNCTION("GOOGLETRANSLATE(B32970,""en"",""fr"")"),"L'amie portant une corde éteint ses bras en préparation.")</f>
        <v>L'amie portant une corde éteint ses bras en préparation.</v>
      </c>
    </row>
    <row r="32971">
      <c r="A32971" s="4" t="s">
        <v>41493</v>
      </c>
      <c r="B32971" s="6" t="s">
        <v>41496</v>
      </c>
      <c r="C32971" s="5" t="str">
        <f>IFERROR(__xludf.DUMMYFUNCTION("GOOGLETRANSLATE(B32971,""en"",""fr"")"),"L'ami est jeté du bâtiment portant un cordon élastique et se balance dans un large arc sur le sol en dessous puis d'avant en arrière.")</f>
        <v>L'ami est jeté du bâtiment portant un cordon élastique et se balance dans un large arc sur le sol en dessous puis d'avant en arrière.</v>
      </c>
    </row>
    <row r="32972">
      <c r="A32972" s="4" t="s">
        <v>41493</v>
      </c>
      <c r="B32972" s="4" t="s">
        <v>41497</v>
      </c>
      <c r="C32972" s="5" t="str">
        <f>IFERROR(__xludf.DUMMYFUNCTION("GOOGLETRANSLATE(B32972,""en"",""fr"")"),"Une femme en veste noire est assise sur une rampe et est poussée par des amis.")</f>
        <v>Une femme en veste noire est assise sur une rampe et est poussée par des amis.</v>
      </c>
    </row>
    <row r="32973">
      <c r="A32973" s="4" t="s">
        <v>41493</v>
      </c>
      <c r="B32973" s="4" t="s">
        <v>41498</v>
      </c>
      <c r="C32973" s="5" t="str">
        <f>IFERROR(__xludf.DUMMYFUNCTION("GOOGLETRANSLATE(B32973,""en"",""fr"")"),"La femme tombe du bâtiment et se balance d'une corde au-dessus du sol en dessous.")</f>
        <v>La femme tombe du bâtiment et se balance d'une corde au-dessus du sol en dessous.</v>
      </c>
    </row>
    <row r="32974">
      <c r="A32974" s="4" t="s">
        <v>41499</v>
      </c>
      <c r="B32974" s="4" t="s">
        <v>41500</v>
      </c>
      <c r="C32974" s="5" t="str">
        <f>IFERROR(__xludf.DUMMYFUNCTION("GOOGLETRANSLATE(B32974,""en"",""fr"")"),"Deux hommes s'assoient derrière une table avec une citrouille dessus.")</f>
        <v>Deux hommes s'assoient derrière une table avec une citrouille dessus.</v>
      </c>
    </row>
    <row r="32975">
      <c r="A32975" s="4" t="s">
        <v>41499</v>
      </c>
      <c r="B32975" s="4" t="s">
        <v>41501</v>
      </c>
      <c r="C32975" s="5" t="str">
        <f>IFERROR(__xludf.DUMMYFUNCTION("GOOGLETRANSLATE(B32975,""en"",""fr"")"),"Un homme brise la citrouille avec un marteau.")</f>
        <v>Un homme brise la citrouille avec un marteau.</v>
      </c>
    </row>
    <row r="32976">
      <c r="A32976" s="4" t="s">
        <v>41499</v>
      </c>
      <c r="B32976" s="4" t="s">
        <v>41502</v>
      </c>
      <c r="C32976" s="5" t="str">
        <f>IFERROR(__xludf.DUMMYFUNCTION("GOOGLETRANSLATE(B32976,""en"",""fr"")"),"Il commence à arracher les graines et à les remettre à l'homme à côté de lui.")</f>
        <v>Il commence à arracher les graines et à les remettre à l'homme à côté de lui.</v>
      </c>
    </row>
    <row r="32977">
      <c r="A32977" s="4" t="s">
        <v>41503</v>
      </c>
      <c r="B32977" s="4" t="s">
        <v>41504</v>
      </c>
      <c r="C32977" s="5" t="str">
        <f>IFERROR(__xludf.DUMMYFUNCTION("GOOGLETRANSLATE(B32977,""en"",""fr"")"),"Un homme essuie le fond d'un ski.")</f>
        <v>Un homme essuie le fond d'un ski.</v>
      </c>
    </row>
    <row r="32978">
      <c r="A32978" s="4" t="s">
        <v>41503</v>
      </c>
      <c r="B32978" s="4" t="s">
        <v>41505</v>
      </c>
      <c r="C32978" s="5" t="str">
        <f>IFERROR(__xludf.DUMMYFUNCTION("GOOGLETRANSLATE(B32978,""en"",""fr"")"),"Il met le vernis sur le bas du ski et le frotte.")</f>
        <v>Il met le vernis sur le bas du ski et le frotte.</v>
      </c>
    </row>
    <row r="32979">
      <c r="A32979" s="4" t="s">
        <v>41503</v>
      </c>
      <c r="B32979" s="4" t="s">
        <v>41506</v>
      </c>
      <c r="C32979" s="5" t="str">
        <f>IFERROR(__xludf.DUMMYFUNCTION("GOOGLETRANSLATE(B32979,""en"",""fr"")"),"Il prend une serviette en papier et essuie le bas du ski.")</f>
        <v>Il prend une serviette en papier et essuie le bas du ski.</v>
      </c>
    </row>
    <row r="32980">
      <c r="A32980" s="4" t="s">
        <v>41507</v>
      </c>
      <c r="B32980" s="4" t="s">
        <v>41508</v>
      </c>
      <c r="C32980" s="5" t="str">
        <f>IFERROR(__xludf.DUMMYFUNCTION("GOOGLETRANSLATE(B32980,""en"",""fr"")"),"Un point de vue d'une personne se montre assis dans un traîneau se tenant la main de deux enfants dans des traîneaux.")</f>
        <v>Un point de vue d'une personne se montre assis dans un traîneau se tenant la main de deux enfants dans des traîneaux.</v>
      </c>
    </row>
    <row r="32981">
      <c r="A32981" s="4" t="s">
        <v>41507</v>
      </c>
      <c r="B32981" s="6" t="s">
        <v>41509</v>
      </c>
      <c r="C32981" s="5" t="str">
        <f>IFERROR(__xludf.DUMMYFUNCTION("GOOGLETRANSLATE(B32981,""en"",""fr"")"),"Une personne pousse les trois en bas d'une colline tout en se tenant la main et laisse aller en bas pour rencontrer les autres.")</f>
        <v>Une personne pousse les trois en bas d'une colline tout en se tenant la main et laisse aller en bas pour rencontrer les autres.</v>
      </c>
    </row>
    <row r="32982">
      <c r="A32982" s="4" t="s">
        <v>41510</v>
      </c>
      <c r="B32982" s="4" t="s">
        <v>41511</v>
      </c>
      <c r="C32982" s="5" t="str">
        <f>IFERROR(__xludf.DUMMYFUNCTION("GOOGLETRANSLATE(B32982,""en"",""fr"")"),"Un homme se tient dans une salle de musculation avec plusieurs écrans et des ordinateurs dessus.")</f>
        <v>Un homme se tient dans une salle de musculation avec plusieurs écrans et des ordinateurs dessus.</v>
      </c>
    </row>
    <row r="32983">
      <c r="A32983" s="4" t="s">
        <v>41510</v>
      </c>
      <c r="B32983" s="4" t="s">
        <v>41512</v>
      </c>
      <c r="C32983" s="5" t="str">
        <f>IFERROR(__xludf.DUMMYFUNCTION("GOOGLETRANSLATE(B32983,""en"",""fr"")"),"Après avoir fini de parler, il monte sur un ellipitacal et commence à ramer.")</f>
        <v>Après avoir fini de parler, il monte sur un ellipitacal et commence à ramer.</v>
      </c>
    </row>
    <row r="32984">
      <c r="A32984" s="4" t="s">
        <v>41510</v>
      </c>
      <c r="B32984" s="4" t="s">
        <v>41513</v>
      </c>
      <c r="C32984" s="5" t="str">
        <f>IFERROR(__xludf.DUMMYFUNCTION("GOOGLETRANSLATE(B32984,""en"",""fr"")"),"Ensuite, il se déplace vers une autre machine et fait également la même chose d'une manière légèrement différente.")</f>
        <v>Ensuite, il se déplace vers une autre machine et fait également la même chose d'une manière légèrement différente.</v>
      </c>
    </row>
    <row r="32985">
      <c r="A32985" s="4" t="s">
        <v>41514</v>
      </c>
      <c r="B32985" s="4" t="s">
        <v>41515</v>
      </c>
      <c r="C32985" s="5" t="str">
        <f>IFERROR(__xludf.DUMMYFUNCTION("GOOGLETRANSLATE(B32985,""en"",""fr"")"),"Un oiseau est assis sur une barre sur une baignoire.")</f>
        <v>Un oiseau est assis sur une barre sur une baignoire.</v>
      </c>
    </row>
    <row r="32986">
      <c r="A32986" s="4" t="s">
        <v>41514</v>
      </c>
      <c r="B32986" s="4" t="s">
        <v>41516</v>
      </c>
      <c r="C32986" s="5" t="str">
        <f>IFERROR(__xludf.DUMMYFUNCTION("GOOGLETRANSLATE(B32986,""en"",""fr"")"),"Un chien est dans la baignoire pour prendre une douche.")</f>
        <v>Un chien est dans la baignoire pour prendre une douche.</v>
      </c>
    </row>
    <row r="32987">
      <c r="A32987" s="4" t="s">
        <v>41514</v>
      </c>
      <c r="B32987" s="4" t="s">
        <v>41517</v>
      </c>
      <c r="C32987" s="5" t="str">
        <f>IFERROR(__xludf.DUMMYFUNCTION("GOOGLETRANSLATE(B32987,""en"",""fr"")"),"Une personne frotte du savon dans la fourrure de chiens.")</f>
        <v>Une personne frotte du savon dans la fourrure de chiens.</v>
      </c>
    </row>
    <row r="32988">
      <c r="A32988" s="4" t="s">
        <v>41514</v>
      </c>
      <c r="B32988" s="4" t="s">
        <v>41518</v>
      </c>
      <c r="C32988" s="5" t="str">
        <f>IFERROR(__xludf.DUMMYFUNCTION("GOOGLETRANSLATE(B32988,""en"",""fr"")"),"Le chien secoue.")</f>
        <v>Le chien secoue.</v>
      </c>
    </row>
    <row r="32989">
      <c r="A32989" s="4" t="s">
        <v>41519</v>
      </c>
      <c r="B32989" s="4" t="s">
        <v>41520</v>
      </c>
      <c r="C32989" s="5" t="str">
        <f>IFERROR(__xludf.DUMMYFUNCTION("GOOGLETRANSLATE(B32989,""en"",""fr"")"),"Une compétition d'athlétisme en plein air est montrée.")</f>
        <v>Une compétition d'athlétisme en plein air est montrée.</v>
      </c>
    </row>
    <row r="32990">
      <c r="A32990" s="4" t="s">
        <v>41519</v>
      </c>
      <c r="B32990" s="4" t="s">
        <v>41521</v>
      </c>
      <c r="C32990" s="5" t="str">
        <f>IFERROR(__xludf.DUMMYFUNCTION("GOOGLETRANSLATE(B32990,""en"",""fr"")"),"Les vaulters à la perche sont présentés dans une compétition.")</f>
        <v>Les vaulters à la perche sont présentés dans une compétition.</v>
      </c>
    </row>
    <row r="32991">
      <c r="A32991" s="4" t="s">
        <v>41519</v>
      </c>
      <c r="B32991" s="4" t="s">
        <v>41522</v>
      </c>
      <c r="C32991" s="5" t="str">
        <f>IFERROR(__xludf.DUMMYFUNCTION("GOOGLETRANSLATE(B32991,""en"",""fr"")"),"Certains d'entre eux font leurs sauts tandis que d'autres ne le font pas.")</f>
        <v>Certains d'entre eux font leurs sauts tandis que d'autres ne le font pas.</v>
      </c>
    </row>
    <row r="32992">
      <c r="A32992" s="4" t="s">
        <v>41523</v>
      </c>
      <c r="B32992" s="4" t="s">
        <v>41524</v>
      </c>
      <c r="C32992" s="5" t="str">
        <f>IFERROR(__xludf.DUMMYFUNCTION("GOOGLETRANSLATE(B32992,""en"",""fr"")"),"Deux hommes sont dans une ruelle.")</f>
        <v>Deux hommes sont dans une ruelle.</v>
      </c>
    </row>
    <row r="32993">
      <c r="A32993" s="4" t="s">
        <v>41523</v>
      </c>
      <c r="B32993" s="4" t="s">
        <v>41525</v>
      </c>
      <c r="C32993" s="5" t="str">
        <f>IFERROR(__xludf.DUMMYFUNCTION("GOOGLETRANSLATE(B32993,""en"",""fr"")"),"Ils rebondissent de haut en bas sur des bâtons.")</f>
        <v>Ils rebondissent de haut en bas sur des bâtons.</v>
      </c>
    </row>
    <row r="32994">
      <c r="A32994" s="4" t="s">
        <v>41523</v>
      </c>
      <c r="B32994" s="4" t="s">
        <v>41526</v>
      </c>
      <c r="C32994" s="5" t="str">
        <f>IFERROR(__xludf.DUMMYFUNCTION("GOOGLETRANSLATE(B32994,""en"",""fr"")"),"Il y a une camionnette au premier plan.")</f>
        <v>Il y a une camionnette au premier plan.</v>
      </c>
    </row>
    <row r="32995">
      <c r="A32995" s="4" t="s">
        <v>41523</v>
      </c>
      <c r="B32995" s="4" t="s">
        <v>41527</v>
      </c>
      <c r="C32995" s="5" t="str">
        <f>IFERROR(__xludf.DUMMYFUNCTION("GOOGLETRANSLATE(B32995,""en"",""fr"")"),"Il y a aussi plusieurs bâtiments.")</f>
        <v>Il y a aussi plusieurs bâtiments.</v>
      </c>
    </row>
    <row r="32996">
      <c r="A32996" s="4" t="s">
        <v>41528</v>
      </c>
      <c r="B32996" s="6" t="s">
        <v>41529</v>
      </c>
      <c r="C32996" s="5" t="str">
        <f>IFERROR(__xludf.DUMMYFUNCTION("GOOGLETRANSLATE(B32996,""en"",""fr"")"),"Un homme fait du vélo derrière trois hommes qui courent dans une course professionnelle sur une autoroute pavée bordé de spectateurs, de spectateurs et de participants.")</f>
        <v>Un homme fait du vélo derrière trois hommes qui courent dans une course professionnelle sur une autoroute pavée bordé de spectateurs, de spectateurs et de participants.</v>
      </c>
    </row>
    <row r="32997">
      <c r="A32997" s="4" t="s">
        <v>41528</v>
      </c>
      <c r="B32997" s="6" t="s">
        <v>41530</v>
      </c>
      <c r="C32997" s="5" t="str">
        <f>IFERROR(__xludf.DUMMYFUNCTION("GOOGLETRANSLATE(B32997,""en"",""fr"")"),"Un homme fait du vélo dans une autoroute portant un casque et arborant une étiquette de papier à l'avant du vélo.")</f>
        <v>Un homme fait du vélo dans une autoroute portant un casque et arborant une étiquette de papier à l'avant du vélo.</v>
      </c>
    </row>
    <row r="32998">
      <c r="A32998" s="4" t="s">
        <v>41528</v>
      </c>
      <c r="B32998" s="6" t="s">
        <v>41531</v>
      </c>
      <c r="C32998" s="5" t="str">
        <f>IFERROR(__xludf.DUMMYFUNCTION("GOOGLETRANSLATE(B32998,""en"",""fr"")"),"Trois hommes courent devant l'homme à vélo avec l'un des hommes jonglant avec trois balles pendant la course et une eau potable et renonce à la foule.")</f>
        <v>Trois hommes courent devant l'homme à vélo avec l'un des hommes jonglant avec trois balles pendant la course et une eau potable et renonce à la foule.</v>
      </c>
    </row>
    <row r="32999">
      <c r="A32999" s="4" t="s">
        <v>41528</v>
      </c>
      <c r="B32999" s="4" t="s">
        <v>41532</v>
      </c>
      <c r="C32999" s="5" t="str">
        <f>IFERROR(__xludf.DUMMYFUNCTION("GOOGLETRANSLATE(B32999,""en"",""fr"")"),"Les hommes tournent un virage en faisant du jogging et un spectateur commence à applaudir pour eux par derrière.")</f>
        <v>Les hommes tournent un virage en faisant du jogging et un spectateur commence à applaudir pour eux par derrière.</v>
      </c>
    </row>
    <row r="33000">
      <c r="A33000" s="4" t="s">
        <v>41533</v>
      </c>
      <c r="B33000" s="4" t="s">
        <v>41534</v>
      </c>
      <c r="C33000" s="5" t="str">
        <f>IFERROR(__xludf.DUMMYFUNCTION("GOOGLETRANSLATE(B33000,""en"",""fr"")"),"Des groupes de personnes bols dans une piste de bowling.")</f>
        <v>Des groupes de personnes bols dans une piste de bowling.</v>
      </c>
    </row>
    <row r="33001">
      <c r="A33001" s="4" t="s">
        <v>41533</v>
      </c>
      <c r="B33001" s="4" t="s">
        <v>41535</v>
      </c>
      <c r="C33001" s="5" t="str">
        <f>IFERROR(__xludf.DUMMYFUNCTION("GOOGLETRANSLATE(B33001,""en"",""fr"")"),"Les gens dans la vidéo enregistrée du match de bowling.")</f>
        <v>Les gens dans la vidéo enregistrée du match de bowling.</v>
      </c>
    </row>
    <row r="33002">
      <c r="A33002" s="4" t="s">
        <v>41533</v>
      </c>
      <c r="B33002" s="4" t="s">
        <v>41536</v>
      </c>
      <c r="C33002" s="5" t="str">
        <f>IFERROR(__xludf.DUMMYFUNCTION("GOOGLETRANSLATE(B33002,""en"",""fr"")"),"Les spectateurs s'assoient et se tiennent derrière la balustrade en regardant l'événement.")</f>
        <v>Les spectateurs s'assoient et se tiennent derrière la balustrade en regardant l'événement.</v>
      </c>
    </row>
    <row r="33003">
      <c r="A33003" s="4" t="s">
        <v>41533</v>
      </c>
      <c r="B33003" s="4" t="s">
        <v>41537</v>
      </c>
      <c r="C33003" s="5" t="str">
        <f>IFERROR(__xludf.DUMMYFUNCTION("GOOGLETRANSLATE(B33003,""en"",""fr"")"),"Un homme baisse ses tours en arrière.")</f>
        <v>Un homme baisse ses tours en arrière.</v>
      </c>
    </row>
    <row r="33004">
      <c r="A33004" s="4" t="s">
        <v>41533</v>
      </c>
      <c r="B33004" s="4" t="s">
        <v>41538</v>
      </c>
      <c r="C33004" s="5" t="str">
        <f>IFERROR(__xludf.DUMMYFUNCTION("GOOGLETRANSLATE(B33004,""en"",""fr"")"),"Les gens des tribunes encouragent le lanceur.")</f>
        <v>Les gens des tribunes encouragent le lanceur.</v>
      </c>
    </row>
    <row r="33005">
      <c r="A33005" s="4" t="s">
        <v>41539</v>
      </c>
      <c r="B33005" s="6" t="s">
        <v>41540</v>
      </c>
      <c r="C33005" s="5" t="str">
        <f>IFERROR(__xludf.DUMMYFUNCTION("GOOGLETRANSLATE(B33005,""en"",""fr"")"),"Trois hommes sont vus parler et agiter la caméra qui mène aux hommes jouant à des jeux avec des étrangers dans la rue.")</f>
        <v>Trois hommes sont vus parler et agiter la caméra qui mène aux hommes jouant à des jeux avec des étrangers dans la rue.</v>
      </c>
    </row>
    <row r="33006">
      <c r="A33006" s="4" t="s">
        <v>41539</v>
      </c>
      <c r="B33006" s="4" t="s">
        <v>41541</v>
      </c>
      <c r="C33006" s="5" t="str">
        <f>IFERROR(__xludf.DUMMYFUNCTION("GOOGLETRANSLATE(B33006,""en"",""fr"")"),"Le gagnant peut embrasser l'homme et le perdant peut le gifler.")</f>
        <v>Le gagnant peut embrasser l'homme et le perdant peut le gifler.</v>
      </c>
    </row>
    <row r="33007">
      <c r="A33007" s="4" t="s">
        <v>41539</v>
      </c>
      <c r="B33007" s="6" t="s">
        <v>41542</v>
      </c>
      <c r="C33007" s="5" t="str">
        <f>IFERROR(__xludf.DUMMYFUNCTION("GOOGLETRANSLATE(B33007,""en"",""fr"")"),"Plusieurs coups sont montrés de lui gifler et embrasser les filles ainsi que de courir dans la région pour trouver plus de gens.")</f>
        <v>Plusieurs coups sont montrés de lui gifler et embrasser les filles ainsi que de courir dans la région pour trouver plus de gens.</v>
      </c>
    </row>
    <row r="33008">
      <c r="A33008" s="4" t="s">
        <v>41543</v>
      </c>
      <c r="B33008" s="4" t="s">
        <v>41544</v>
      </c>
      <c r="C33008" s="5" t="str">
        <f>IFERROR(__xludf.DUMMYFUNCTION("GOOGLETRANSLATE(B33008,""en"",""fr"")"),"Quelques personnes sont vues debout autour de diverses tables de Fooseball en jouant à des jeux les uns avec les autres.")</f>
        <v>Quelques personnes sont vues debout autour de diverses tables de Fooseball en jouant à des jeux les uns avec les autres.</v>
      </c>
    </row>
    <row r="33009">
      <c r="A33009" s="4" t="s">
        <v>41543</v>
      </c>
      <c r="B33009" s="6" t="s">
        <v>41545</v>
      </c>
      <c r="C33009" s="5" t="str">
        <f>IFERROR(__xludf.DUMMYFUNCTION("GOOGLETRANSLATE(B33009,""en"",""fr"")"),"Les gens continuent de repousser le ballon en arrière et quatrième tandis que la caméra se concentre sur un jeu.")</f>
        <v>Les gens continuent de repousser le ballon en arrière et quatrième tandis que la caméra se concentre sur un jeu.</v>
      </c>
    </row>
    <row r="33010">
      <c r="A33010" s="4" t="s">
        <v>41543</v>
      </c>
      <c r="B33010" s="4" t="s">
        <v>41546</v>
      </c>
      <c r="C33010" s="5" t="str">
        <f>IFERROR(__xludf.DUMMYFUNCTION("GOOGLETRANSLATE(B33010,""en"",""fr"")"),"Les gens gardent une trace de leurs scores et d'autres les regardent au loin.")</f>
        <v>Les gens gardent une trace de leurs scores et d'autres les regardent au loin.</v>
      </c>
    </row>
    <row r="33011">
      <c r="A33011" s="4" t="s">
        <v>41547</v>
      </c>
      <c r="B33011" s="4" t="s">
        <v>41548</v>
      </c>
      <c r="C33011" s="5" t="str">
        <f>IFERROR(__xludf.DUMMYFUNCTION("GOOGLETRANSLATE(B33011,""en"",""fr"")"),"Comme une scène de coupe rouge passe un jeune homme dans une chemise bleue se concentre.")</f>
        <v>Comme une scène de coupe rouge passe un jeune homme dans une chemise bleue se concentre.</v>
      </c>
    </row>
    <row r="33012">
      <c r="A33012" s="4" t="s">
        <v>41547</v>
      </c>
      <c r="B33012" s="6" t="s">
        <v>41549</v>
      </c>
      <c r="C33012" s="5" t="str">
        <f>IFERROR(__xludf.DUMMYFUNCTION("GOOGLETRANSLATE(B33012,""en"",""fr"")"),"Ensuite, un autre homme est vu sur une patinoire de curling libérant une pierre rocheuse alors que deux autres hommes utilisent des balais pour ouvrir la voie alors que la pierre se déplace sur le chemin.")</f>
        <v>Ensuite, un autre homme est vu sur une patinoire de curling libérant une pierre rocheuse alors que deux autres hommes utilisent des balais pour ouvrir la voie alors que la pierre se déplace sur le chemin.</v>
      </c>
    </row>
    <row r="33013">
      <c r="A33013" s="4" t="s">
        <v>41547</v>
      </c>
      <c r="B33013" s="4" t="s">
        <v>41550</v>
      </c>
      <c r="C33013" s="5" t="str">
        <f>IFERROR(__xludf.DUMMYFUNCTION("GOOGLETRANSLATE(B33013,""en"",""fr"")"),"L'acte se poursuit avec les mêmes hommes qui se livrent à nouveau dans le même acte.")</f>
        <v>L'acte se poursuit avec les mêmes hommes qui se livrent à nouveau dans le même acte.</v>
      </c>
    </row>
    <row r="33014">
      <c r="A33014" s="4" t="s">
        <v>41547</v>
      </c>
      <c r="B33014" s="4" t="s">
        <v>41551</v>
      </c>
      <c r="C33014" s="5" t="str">
        <f>IFERROR(__xludf.DUMMYFUNCTION("GOOGLETRANSLATE(B33014,""en"",""fr"")"),"Ensuite, un autre jeune homme dans une chemise bleue répète le même mouvement que l'équipe blanche.")</f>
        <v>Ensuite, un autre jeune homme dans une chemise bleue répète le même mouvement que l'équipe blanche.</v>
      </c>
    </row>
    <row r="33015">
      <c r="A33015" s="4" t="s">
        <v>41547</v>
      </c>
      <c r="B33015" s="6" t="s">
        <v>41552</v>
      </c>
      <c r="C33015" s="5" t="str">
        <f>IFERROR(__xludf.DUMMYFUNCTION("GOOGLETRANSLATE(B33015,""en"",""fr"")"),"Enfin, au fur et à mesure que les spectateurs le regardent, un membre de l'équipe blanche sort une pierre rocheuse et deux hommes de l'équipe utilisent des balais pour nettoyer le chemin.")</f>
        <v>Enfin, au fur et à mesure que les spectateurs le regardent, un membre de l'équipe blanche sort une pierre rocheuse et deux hommes de l'équipe utilisent des balais pour nettoyer le chemin.</v>
      </c>
    </row>
    <row r="33016">
      <c r="A33016" s="4" t="s">
        <v>41553</v>
      </c>
      <c r="B33016" s="4" t="s">
        <v>41554</v>
      </c>
      <c r="C33016" s="5" t="str">
        <f>IFERROR(__xludf.DUMMYFUNCTION("GOOGLETRANSLATE(B33016,""en"",""fr"")"),"Un homme est vu parler à la caméra tout en tenant une guitare dans ses mains.")</f>
        <v>Un homme est vu parler à la caméra tout en tenant une guitare dans ses mains.</v>
      </c>
    </row>
    <row r="33017">
      <c r="A33017" s="4" t="s">
        <v>41553</v>
      </c>
      <c r="B33017" s="4" t="s">
        <v>41555</v>
      </c>
      <c r="C33017" s="5" t="str">
        <f>IFERROR(__xludf.DUMMYFUNCTION("GOOGLETRANSLATE(B33017,""en"",""fr"")"),"L'homme commence à jouer de la guitare et à chanter dans un microphone.")</f>
        <v>L'homme commence à jouer de la guitare et à chanter dans un microphone.</v>
      </c>
    </row>
    <row r="33018">
      <c r="A33018" s="4" t="s">
        <v>41553</v>
      </c>
      <c r="B33018" s="4" t="s">
        <v>41556</v>
      </c>
      <c r="C33018" s="5" t="str">
        <f>IFERROR(__xludf.DUMMYFUNCTION("GOOGLETRANSLATE(B33018,""en"",""fr"")"),"L'homme continue de chanter et de jouer et s'arrête à la fin.")</f>
        <v>L'homme continue de chanter et de jouer et s'arrête à la fin.</v>
      </c>
    </row>
    <row r="33019">
      <c r="A33019" s="4" t="s">
        <v>41557</v>
      </c>
      <c r="B33019" s="6" t="s">
        <v>41558</v>
      </c>
      <c r="C33019" s="5" t="str">
        <f>IFERROR(__xludf.DUMMYFUNCTION("GOOGLETRANSLATE(B33019,""en"",""fr"")"),"Un homme est vu parler à la caméra ainsi qu'à plusieurs plans d'un bowling et à lui bowling sur une balle.")</f>
        <v>Un homme est vu parler à la caméra ainsi qu'à plusieurs plans d'un bowling et à lui bowling sur une balle.</v>
      </c>
    </row>
    <row r="33020">
      <c r="A33020" s="4" t="s">
        <v>41557</v>
      </c>
      <c r="B33020" s="6" t="s">
        <v>41559</v>
      </c>
      <c r="C33020" s="5" t="str">
        <f>IFERROR(__xludf.DUMMYFUNCTION("GOOGLETRANSLATE(B33020,""en"",""fr"")"),"Il continue de parler à la caméra tout en montrant plusieurs vidéos de lui lançant la boule de bowling et frappant plusieurs épingles.")</f>
        <v>Il continue de parler à la caméra tout en montrant plusieurs vidéos de lui lançant la boule de bowling et frappant plusieurs épingles.</v>
      </c>
    </row>
    <row r="33021">
      <c r="A33021" s="4" t="s">
        <v>41560</v>
      </c>
      <c r="B33021" s="4" t="s">
        <v>41078</v>
      </c>
      <c r="C33021" s="5" t="str">
        <f>IFERROR(__xludf.DUMMYFUNCTION("GOOGLETRANSLATE(B33021,""en"",""fr"")"),"Un homme est assis sur une chaise de coiffure.")</f>
        <v>Un homme est assis sur une chaise de coiffure.</v>
      </c>
    </row>
    <row r="33022">
      <c r="A33022" s="4" t="s">
        <v>41560</v>
      </c>
      <c r="B33022" s="4" t="s">
        <v>41561</v>
      </c>
      <c r="C33022" s="5" t="str">
        <f>IFERROR(__xludf.DUMMYFUNCTION("GOOGLETRANSLATE(B33022,""en"",""fr"")"),"Un autre homme lui donne une coupe de cheveux.")</f>
        <v>Un autre homme lui donne une coupe de cheveux.</v>
      </c>
    </row>
    <row r="33023">
      <c r="A33023" s="4" t="s">
        <v>41560</v>
      </c>
      <c r="B33023" s="4" t="s">
        <v>41562</v>
      </c>
      <c r="C33023" s="5" t="str">
        <f>IFERROR(__xludf.DUMMYFUNCTION("GOOGLETRANSLATE(B33023,""en"",""fr"")"),"Il brosse ensuite le cou de Mans.")</f>
        <v>Il brosse ensuite le cou de Mans.</v>
      </c>
    </row>
    <row r="33024">
      <c r="A33024" s="4" t="s">
        <v>41563</v>
      </c>
      <c r="B33024" s="4" t="s">
        <v>41564</v>
      </c>
      <c r="C33024" s="5" t="str">
        <f>IFERROR(__xludf.DUMMYFUNCTION("GOOGLETRANSLATE(B33024,""en"",""fr"")"),"Un homme montre comment changer le pneu sur une voiture.")</f>
        <v>Un homme montre comment changer le pneu sur une voiture.</v>
      </c>
    </row>
    <row r="33025">
      <c r="A33025" s="4" t="s">
        <v>41563</v>
      </c>
      <c r="B33025" s="6" t="s">
        <v>41565</v>
      </c>
      <c r="C33025" s="5" t="str">
        <f>IFERROR(__xludf.DUMMYFUNCTION("GOOGLETRANSLATE(B33025,""en"",""fr"")"),"Une voiture roule dans une rue, puis se montre comme étant garée à laquelle un homme s'approche de la voiture tenant un outil d'élimination des noix de roue.")</f>
        <v>Une voiture roule dans une rue, puis se montre comme étant garée à laquelle un homme s'approche de la voiture tenant un outil d'élimination des noix de roue.</v>
      </c>
    </row>
    <row r="33026">
      <c r="A33026" s="4" t="s">
        <v>41563</v>
      </c>
      <c r="B33026" s="4" t="s">
        <v>41566</v>
      </c>
      <c r="C33026" s="5" t="str">
        <f>IFERROR(__xludf.DUMMYFUNCTION("GOOGLETRANSLATE(B33026,""en"",""fr"")"),"L'homme enlève les noix de roue puis remonte la voiture.")</f>
        <v>L'homme enlève les noix de roue puis remonte la voiture.</v>
      </c>
    </row>
    <row r="33027">
      <c r="A33027" s="4" t="s">
        <v>41563</v>
      </c>
      <c r="B33027" s="4" t="s">
        <v>41567</v>
      </c>
      <c r="C33027" s="5" t="str">
        <f>IFERROR(__xludf.DUMMYFUNCTION("GOOGLETRANSLATE(B33027,""en"",""fr"")"),"L'homme retire ensuite le pneu et retire un pneu de secours de l'arrière de la voiture.")</f>
        <v>L'homme retire ensuite le pneu et retire un pneu de secours de l'arrière de la voiture.</v>
      </c>
    </row>
    <row r="33028">
      <c r="A33028" s="4" t="s">
        <v>41563</v>
      </c>
      <c r="B33028" s="4" t="s">
        <v>41568</v>
      </c>
      <c r="C33028" s="5" t="str">
        <f>IFERROR(__xludf.DUMMYFUNCTION("GOOGLETRANSLATE(B33028,""en"",""fr"")"),"L'homme met ensuite le nouveau pneu sur la voiture.")</f>
        <v>L'homme met ensuite le nouveau pneu sur la voiture.</v>
      </c>
    </row>
    <row r="33029">
      <c r="A33029" s="4" t="s">
        <v>41569</v>
      </c>
      <c r="B33029" s="4" t="s">
        <v>41570</v>
      </c>
      <c r="C33029" s="5" t="str">
        <f>IFERROR(__xludf.DUMMYFUNCTION("GOOGLETRANSLATE(B33029,""en"",""fr"")"),"Un homme accroche du papier peint sur un mur vide.")</f>
        <v>Un homme accroche du papier peint sur un mur vide.</v>
      </c>
    </row>
    <row r="33030">
      <c r="A33030" s="4" t="s">
        <v>41569</v>
      </c>
      <c r="B33030" s="4" t="s">
        <v>41571</v>
      </c>
      <c r="C33030" s="5" t="str">
        <f>IFERROR(__xludf.DUMMYFUNCTION("GOOGLETRANSLATE(B33030,""en"",""fr"")"),"Chaque cadre est roulé et mis sur le mur.")</f>
        <v>Chaque cadre est roulé et mis sur le mur.</v>
      </c>
    </row>
    <row r="33031">
      <c r="A33031" s="4" t="s">
        <v>41572</v>
      </c>
      <c r="B33031" s="6" t="s">
        <v>41573</v>
      </c>
      <c r="C33031" s="5" t="str">
        <f>IFERROR(__xludf.DUMMYFUNCTION("GOOGLETRANSLATE(B33031,""en"",""fr"")"),"Un homme dans un casque de hockey rouge et avec une longue moustache de curling est vu dans un coup de tir à côté d'une femme tout en s'appuyant sur une barrière de verre devant une patinoire de hockey.")</f>
        <v>Un homme dans un casque de hockey rouge et avec une longue moustache de curling est vu dans un coup de tir à côté d'une femme tout en s'appuyant sur une barrière de verre devant une patinoire de hockey.</v>
      </c>
    </row>
    <row r="33032">
      <c r="A33032" s="4" t="s">
        <v>41572</v>
      </c>
      <c r="B33032" s="6" t="s">
        <v>41574</v>
      </c>
      <c r="C33032" s="5" t="str">
        <f>IFERROR(__xludf.DUMMYFUNCTION("GOOGLETRANSLATE(B33032,""en"",""fr"")"),"L'homme est ensuite montré entrant dans un match de hockey en direct et jouant au hockey avec un sol rempli d'autres joueurs.")</f>
        <v>L'homme est ensuite montré entrant dans un match de hockey en direct et jouant au hockey avec un sol rempli d'autres joueurs.</v>
      </c>
    </row>
    <row r="33033">
      <c r="A33033" s="4" t="s">
        <v>41572</v>
      </c>
      <c r="B33033" s="6" t="s">
        <v>41575</v>
      </c>
      <c r="C33033" s="5" t="str">
        <f>IFERROR(__xludf.DUMMYFUNCTION("GOOGLETRANSLATE(B33033,""en"",""fr"")"),"Un autre homme est montré assis à côté d'une poupée Snoopy avant que la caméra ne revienne à l'homme dans la moustache dans un autre coup.")</f>
        <v>Un autre homme est montré assis à côté d'une poupée Snoopy avant que la caméra ne revienne à l'homme dans la moustache dans un autre coup.</v>
      </c>
    </row>
    <row r="33034">
      <c r="A33034" s="4" t="s">
        <v>41576</v>
      </c>
      <c r="B33034" s="4" t="s">
        <v>41577</v>
      </c>
      <c r="C33034" s="5" t="str">
        <f>IFERROR(__xludf.DUMMYFUNCTION("GOOGLETRANSLATE(B33034,""en"",""fr"")"),"Une femme applaudit ses mains.")</f>
        <v>Une femme applaudit ses mains.</v>
      </c>
    </row>
    <row r="33035">
      <c r="A33035" s="4" t="s">
        <v>41576</v>
      </c>
      <c r="B33035" s="4" t="s">
        <v>41578</v>
      </c>
      <c r="C33035" s="5" t="str">
        <f>IFERROR(__xludf.DUMMYFUNCTION("GOOGLETRANSLATE(B33035,""en"",""fr"")"),"Elle sprinte sur une piste.")</f>
        <v>Elle sprinte sur une piste.</v>
      </c>
    </row>
    <row r="33036">
      <c r="A33036" s="4" t="s">
        <v>41576</v>
      </c>
      <c r="B33036" s="4" t="s">
        <v>7927</v>
      </c>
      <c r="C33036" s="5" t="str">
        <f>IFERROR(__xludf.DUMMYFUNCTION("GOOGLETRANSLATE(B33036,""en"",""fr"")"),"Elle saute dans un tas de sable.")</f>
        <v>Elle saute dans un tas de sable.</v>
      </c>
    </row>
    <row r="33037">
      <c r="A33037" s="4" t="s">
        <v>41576</v>
      </c>
      <c r="B33037" s="4" t="s">
        <v>41579</v>
      </c>
      <c r="C33037" s="5" t="str">
        <f>IFERROR(__xludf.DUMMYFUNCTION("GOOGLETRANSLATE(B33037,""en"",""fr"")"),"Elle saute dans les airs.")</f>
        <v>Elle saute dans les airs.</v>
      </c>
    </row>
    <row r="33038">
      <c r="A33038" s="4" t="s">
        <v>41580</v>
      </c>
      <c r="B33038" s="4" t="s">
        <v>41581</v>
      </c>
      <c r="C33038" s="5" t="str">
        <f>IFERROR(__xludf.DUMMYFUNCTION("GOOGLETRANSLATE(B33038,""en"",""fr"")"),"Un homme vêtu d'une femme noire est près d'un verre mural fluorescent et parle.")</f>
        <v>Un homme vêtu d'une femme noire est près d'un verre mural fluorescent et parle.</v>
      </c>
    </row>
    <row r="33039">
      <c r="A33039" s="4" t="s">
        <v>41580</v>
      </c>
      <c r="B33039" s="6" t="s">
        <v>41582</v>
      </c>
      <c r="C33039" s="5" t="str">
        <f>IFERROR(__xludf.DUMMYFUNCTION("GOOGLETRANSLATE(B33039,""en"",""fr"")"),"Pendant qu'il parle, plusieurs clips apparaissent entre lui où il se trouve dans une pièce avec trois murs et verre comme quatrième mur tout en jouant au ballon mural.")</f>
        <v>Pendant qu'il parle, plusieurs clips apparaissent entre lui où il se trouve dans une pièce avec trois murs et verre comme quatrième mur tout en jouant au ballon mural.</v>
      </c>
    </row>
    <row r="33040">
      <c r="A33040" s="4" t="s">
        <v>41580</v>
      </c>
      <c r="B33040" s="4" t="s">
        <v>41583</v>
      </c>
      <c r="C33040" s="5" t="str">
        <f>IFERROR(__xludf.DUMMYFUNCTION("GOOGLETRANSLATE(B33040,""en"",""fr"")"),"La scène finale est montrée, et le mâle revient à parler avant de finalement clignoter une URL à la fin.")</f>
        <v>La scène finale est montrée, et le mâle revient à parler avant de finalement clignoter une URL à la fin.</v>
      </c>
    </row>
    <row r="33041">
      <c r="A33041" s="4" t="s">
        <v>41584</v>
      </c>
      <c r="B33041" s="6" t="s">
        <v>41585</v>
      </c>
      <c r="C33041" s="5" t="str">
        <f>IFERROR(__xludf.DUMMYFUNCTION("GOOGLETRANSLATE(B33041,""en"",""fr"")"),"Un jeune homme est vu debout au milieu d'un grand champ de détention et debout devant les autres.")</f>
        <v>Un jeune homme est vu debout au milieu d'un grand champ de détention et debout devant les autres.</v>
      </c>
    </row>
    <row r="33042">
      <c r="A33042" s="4" t="s">
        <v>41584</v>
      </c>
      <c r="B33042" s="4" t="s">
        <v>41586</v>
      </c>
      <c r="C33042" s="5" t="str">
        <f>IFERROR(__xludf.DUMMYFUNCTION("GOOGLETRANSLATE(B33042,""en"",""fr"")"),"L'homme commence alors à jouer les instruments un par un.")</f>
        <v>L'homme commence alors à jouer les instruments un par un.</v>
      </c>
    </row>
    <row r="33043">
      <c r="A33043" s="4" t="s">
        <v>41584</v>
      </c>
      <c r="B33043" s="6" t="s">
        <v>41587</v>
      </c>
      <c r="C33043" s="5" t="str">
        <f>IFERROR(__xludf.DUMMYFUNCTION("GOOGLETRANSLATE(B33043,""en"",""fr"")"),"Plusieurs enfants entrent ensuite dans le cadre en utilisant des cerceaux pendant que l'homme se joint à chanter et à applaudir les mains.")</f>
        <v>Plusieurs enfants entrent ensuite dans le cadre en utilisant des cerceaux pendant que l'homme se joint à chanter et à applaudir les mains.</v>
      </c>
    </row>
    <row r="33044">
      <c r="A33044" s="4" t="s">
        <v>41588</v>
      </c>
      <c r="B33044" s="4" t="s">
        <v>41589</v>
      </c>
      <c r="C33044" s="5" t="str">
        <f>IFERROR(__xludf.DUMMYFUNCTION("GOOGLETRANSLATE(B33044,""en"",""fr"")"),"Une jeune femme dans son soutien-gorge et ses sous-vêtements se trouve sur un lit.")</f>
        <v>Une jeune femme dans son soutien-gorge et ses sous-vêtements se trouve sur un lit.</v>
      </c>
    </row>
    <row r="33045">
      <c r="A33045" s="4" t="s">
        <v>41588</v>
      </c>
      <c r="B33045" s="4" t="s">
        <v>41590</v>
      </c>
      <c r="C33045" s="5" t="str">
        <f>IFERROR(__xludf.DUMMYFUNCTION("GOOGLETRANSLATE(B33045,""en"",""fr"")"),"Elle applique ensuite la lotion aux jambes et aux mains.")</f>
        <v>Elle applique ensuite la lotion aux jambes et aux mains.</v>
      </c>
    </row>
    <row r="33046">
      <c r="A33046" s="4" t="s">
        <v>41588</v>
      </c>
      <c r="B33046" s="4" t="s">
        <v>41591</v>
      </c>
      <c r="C33046" s="5" t="str">
        <f>IFERROR(__xludf.DUMMYFUNCTION("GOOGLETRANSLATE(B33046,""en"",""fr"")"),"Elle est très minutieuse dans son travail en s'assurant de ne rien manquer.")</f>
        <v>Elle est très minutieuse dans son travail en s'assurant de ne rien manquer.</v>
      </c>
    </row>
    <row r="33047">
      <c r="A33047" s="4" t="s">
        <v>41588</v>
      </c>
      <c r="B33047" s="4" t="s">
        <v>41592</v>
      </c>
      <c r="C33047" s="5" t="str">
        <f>IFERROR(__xludf.DUMMYFUNCTION("GOOGLETRANSLATE(B33047,""en"",""fr"")"),"Elle commence ensuite le processus de rasage de ses jambes très attentivement.")</f>
        <v>Elle commence ensuite le processus de rasage de ses jambes très attentivement.</v>
      </c>
    </row>
    <row r="33048">
      <c r="A33048" s="4" t="s">
        <v>41588</v>
      </c>
      <c r="B33048" s="4" t="s">
        <v>41593</v>
      </c>
      <c r="C33048" s="5" t="str">
        <f>IFERROR(__xludf.DUMMYFUNCTION("GOOGLETRANSLATE(B33048,""en"",""fr"")"),"Elle poursuit ce processus avec son autre jambe très bonne dans l'attention aux détails.")</f>
        <v>Elle poursuit ce processus avec son autre jambe très bonne dans l'attention aux détails.</v>
      </c>
    </row>
    <row r="33049">
      <c r="A33049" s="4" t="s">
        <v>41594</v>
      </c>
      <c r="B33049" s="4" t="s">
        <v>41595</v>
      </c>
      <c r="C33049" s="5" t="str">
        <f>IFERROR(__xludf.DUMMYFUNCTION("GOOGLETRANSLATE(B33049,""en"",""fr"")"),"Une personne souffle les feuilles à l'aide d'un souffleur de feuilles.")</f>
        <v>Une personne souffle les feuilles à l'aide d'un souffleur de feuilles.</v>
      </c>
    </row>
    <row r="33050">
      <c r="A33050" s="4" t="s">
        <v>41594</v>
      </c>
      <c r="B33050" s="4" t="s">
        <v>41596</v>
      </c>
      <c r="C33050" s="5" t="str">
        <f>IFERROR(__xludf.DUMMYFUNCTION("GOOGLETRANSLATE(B33050,""en"",""fr"")"),"Ensuite, une zone sans feuilles est indiquée à côté des arbres.")</f>
        <v>Ensuite, une zone sans feuilles est indiquée à côté des arbres.</v>
      </c>
    </row>
    <row r="33051">
      <c r="A33051" s="4" t="s">
        <v>41597</v>
      </c>
      <c r="B33051" s="4" t="s">
        <v>41598</v>
      </c>
      <c r="C33051" s="5" t="str">
        <f>IFERROR(__xludf.DUMMYFUNCTION("GOOGLETRANSLATE(B33051,""en"",""fr"")"),"Une fille se tient et parle dans des toilettes publiques.")</f>
        <v>Une fille se tient et parle dans des toilettes publiques.</v>
      </c>
    </row>
    <row r="33052">
      <c r="A33052" s="4" t="s">
        <v>41597</v>
      </c>
      <c r="B33052" s="4" t="s">
        <v>41599</v>
      </c>
      <c r="C33052" s="5" t="str">
        <f>IFERROR(__xludf.DUMMYFUNCTION("GOOGLETRANSLATE(B33052,""en"",""fr"")"),"La fille entre dans un stand et ferme la porte.")</f>
        <v>La fille entre dans un stand et ferme la porte.</v>
      </c>
    </row>
    <row r="33053">
      <c r="A33053" s="4" t="s">
        <v>41597</v>
      </c>
      <c r="B33053" s="4" t="s">
        <v>41600</v>
      </c>
      <c r="C33053" s="5" t="str">
        <f>IFERROR(__xludf.DUMMYFUNCTION("GOOGLETRANSLATE(B33053,""en"",""fr"")"),"Elle émerge et se lave les mains.")</f>
        <v>Elle émerge et se lave les mains.</v>
      </c>
    </row>
    <row r="33054">
      <c r="A33054" s="4" t="s">
        <v>41597</v>
      </c>
      <c r="B33054" s="4" t="s">
        <v>41601</v>
      </c>
      <c r="C33054" s="5" t="str">
        <f>IFERROR(__xludf.DUMMYFUNCTION("GOOGLETRANSLATE(B33054,""en"",""fr"")"),"Elle prend un papier et drase ses mains.")</f>
        <v>Elle prend un papier et drase ses mains.</v>
      </c>
    </row>
    <row r="33055">
      <c r="A33055" s="4" t="s">
        <v>41597</v>
      </c>
      <c r="B33055" s="4" t="s">
        <v>41602</v>
      </c>
      <c r="C33055" s="5" t="str">
        <f>IFERROR(__xludf.DUMMYFUNCTION("GOOGLETRANSLATE(B33055,""en"",""fr"")"),"Une autre personne se lave les mains.")</f>
        <v>Une autre personne se lave les mains.</v>
      </c>
    </row>
    <row r="33056">
      <c r="A33056" s="4" t="s">
        <v>41597</v>
      </c>
      <c r="B33056" s="4" t="s">
        <v>41603</v>
      </c>
      <c r="C33056" s="5" t="str">
        <f>IFERROR(__xludf.DUMMYFUNCTION("GOOGLETRANSLATE(B33056,""en"",""fr"")"),"La fille jette le Papertowel.")</f>
        <v>La fille jette le Papertowel.</v>
      </c>
    </row>
    <row r="33057">
      <c r="A33057" s="4" t="s">
        <v>41604</v>
      </c>
      <c r="B33057" s="4" t="s">
        <v>41605</v>
      </c>
      <c r="C33057" s="5" t="str">
        <f>IFERROR(__xludf.DUMMYFUNCTION("GOOGLETRANSLATE(B33057,""en"",""fr"")"),"Un homme tape le haut d'un piano avec un bâton et parle à un grand groupe assis devant lui.")</f>
        <v>Un homme tape le haut d'un piano avec un bâton et parle à un grand groupe assis devant lui.</v>
      </c>
    </row>
    <row r="33058">
      <c r="A33058" s="4" t="s">
        <v>41604</v>
      </c>
      <c r="B33058" s="4" t="s">
        <v>41606</v>
      </c>
      <c r="C33058" s="5" t="str">
        <f>IFERROR(__xludf.DUMMYFUNCTION("GOOGLETRANSLATE(B33058,""en"",""fr"")"),"Il s'assoit au piano et lui et le groupe jouent.")</f>
        <v>Il s'assoit au piano et lui et le groupe jouent.</v>
      </c>
    </row>
    <row r="33059">
      <c r="A33059" s="4" t="s">
        <v>41604</v>
      </c>
      <c r="B33059" s="4" t="s">
        <v>41607</v>
      </c>
      <c r="C33059" s="5" t="str">
        <f>IFERROR(__xludf.DUMMYFUNCTION("GOOGLETRANSLATE(B33059,""en"",""fr"")"),"Un grand public regarde de près.")</f>
        <v>Un grand public regarde de près.</v>
      </c>
    </row>
    <row r="33060">
      <c r="A33060" s="4" t="s">
        <v>41604</v>
      </c>
      <c r="B33060" s="4" t="s">
        <v>41608</v>
      </c>
      <c r="C33060" s="5" t="str">
        <f>IFERROR(__xludf.DUMMYFUNCTION("GOOGLETRANSLATE(B33060,""en"",""fr"")"),"L'homme jette le bâton derrière le groupe.")</f>
        <v>L'homme jette le bâton derrière le groupe.</v>
      </c>
    </row>
    <row r="33061">
      <c r="A33061" s="4" t="s">
        <v>41604</v>
      </c>
      <c r="B33061" s="4" t="s">
        <v>41609</v>
      </c>
      <c r="C33061" s="5" t="str">
        <f>IFERROR(__xludf.DUMMYFUNCTION("GOOGLETRANSLATE(B33061,""en"",""fr"")"),"L'homme joue debout un instant puis s'incline.")</f>
        <v>L'homme joue debout un instant puis s'incline.</v>
      </c>
    </row>
    <row r="33062">
      <c r="A33062" s="4" t="s">
        <v>41610</v>
      </c>
      <c r="B33062" s="6" t="s">
        <v>41611</v>
      </c>
      <c r="C33062" s="5" t="str">
        <f>IFERROR(__xludf.DUMMYFUNCTION("GOOGLETRANSLATE(B33062,""en"",""fr"")"),"Une boisson est versée dans un verre suivie d'une femme saisissant un verre et y versant des mélanges.")</f>
        <v>Une boisson est versée dans un verre suivie d'une femme saisissant un verre et y versant des mélanges.</v>
      </c>
    </row>
    <row r="33063">
      <c r="A33063" s="4" t="s">
        <v>41610</v>
      </c>
      <c r="B33063" s="6" t="s">
        <v>41612</v>
      </c>
      <c r="C33063" s="5" t="str">
        <f>IFERROR(__xludf.DUMMYFUNCTION("GOOGLETRANSLATE(B33063,""en"",""fr"")"),"Elle crée une boisson alcoolisée en versant plusieurs mélanges différents et la caméra zoomant sur la boisson.")</f>
        <v>Elle crée une boisson alcoolisée en versant plusieurs mélanges différents et la caméra zoomant sur la boisson.</v>
      </c>
    </row>
    <row r="33064">
      <c r="A33064" s="4" t="s">
        <v>41613</v>
      </c>
      <c r="B33064" s="4" t="s">
        <v>41614</v>
      </c>
      <c r="C33064" s="5" t="str">
        <f>IFERROR(__xludf.DUMMYFUNCTION("GOOGLETRANSLATE(B33064,""en"",""fr"")"),"Un groupe mexicain joue et chante.")</f>
        <v>Un groupe mexicain joue et chante.</v>
      </c>
    </row>
    <row r="33065">
      <c r="A33065" s="4" t="s">
        <v>41613</v>
      </c>
      <c r="B33065" s="4" t="s">
        <v>41615</v>
      </c>
      <c r="C33065" s="5" t="str">
        <f>IFERROR(__xludf.DUMMYFUNCTION("GOOGLETRANSLATE(B33065,""en"",""fr"")"),"La caméra fait un gros plan sur chaque membre.")</f>
        <v>La caméra fait un gros plan sur chaque membre.</v>
      </c>
    </row>
    <row r="33066">
      <c r="A33066" s="4" t="s">
        <v>41613</v>
      </c>
      <c r="B33066" s="4" t="s">
        <v>41616</v>
      </c>
      <c r="C33066" s="5" t="str">
        <f>IFERROR(__xludf.DUMMYFUNCTION("GOOGLETRANSLATE(B33066,""en"",""fr"")"),"Il y a une foule qui les écoute.")</f>
        <v>Il y a une foule qui les écoute.</v>
      </c>
    </row>
    <row r="33067">
      <c r="A33067" s="4" t="s">
        <v>41613</v>
      </c>
      <c r="B33067" s="4" t="s">
        <v>41617</v>
      </c>
      <c r="C33067" s="5" t="str">
        <f>IFERROR(__xludf.DUMMYFUNCTION("GOOGLETRANSLATE(B33067,""en"",""fr"")"),"Le nom du groupe est au dos de leurs chemises.")</f>
        <v>Le nom du groupe est au dos de leurs chemises.</v>
      </c>
    </row>
    <row r="33068">
      <c r="A33068" s="4" t="s">
        <v>41618</v>
      </c>
      <c r="B33068" s="4" t="s">
        <v>41619</v>
      </c>
      <c r="C33068" s="5" t="str">
        <f>IFERROR(__xludf.DUMMYFUNCTION("GOOGLETRANSLATE(B33068,""en"",""fr"")"),"Cet homme est sur ses mains et ses genoux sur le sol.")</f>
        <v>Cet homme est sur ses mains et ses genoux sur le sol.</v>
      </c>
    </row>
    <row r="33069">
      <c r="A33069" s="4" t="s">
        <v>41618</v>
      </c>
      <c r="B33069" s="4" t="s">
        <v>41620</v>
      </c>
      <c r="C33069" s="5" t="str">
        <f>IFERROR(__xludf.DUMMYFUNCTION("GOOGLETRANSLATE(B33069,""en"",""fr"")"),"Ceci est enregistré à partir d'un écran de télévision et c'est vraiment fort.")</f>
        <v>Ceci est enregistré à partir d'un écran de télévision et c'est vraiment fort.</v>
      </c>
    </row>
    <row r="33070">
      <c r="A33070" s="4" t="s">
        <v>41618</v>
      </c>
      <c r="B33070" s="6" t="s">
        <v>41621</v>
      </c>
      <c r="C33070" s="5" t="str">
        <f>IFERROR(__xludf.DUMMYFUNCTION("GOOGLETRANSLATE(B33070,""en"",""fr"")"),"Il n'y a personne d'autre dans la pièce avec cet homme et il ressemble à une femme qui est entrée par derrière.")</f>
        <v>Il n'y a personne d'autre dans la pièce avec cet homme et il ressemble à une femme qui est entrée par derrière.</v>
      </c>
    </row>
    <row r="33071">
      <c r="A33071" s="4" t="s">
        <v>41622</v>
      </c>
      <c r="B33071" s="4" t="s">
        <v>41623</v>
      </c>
      <c r="C33071" s="5" t="str">
        <f>IFERROR(__xludf.DUMMYFUNCTION("GOOGLETRANSLATE(B33071,""en"",""fr"")"),"On voit un gros plan de canoë le long de l'eau montrant une personne pagayant à l'avant.")</f>
        <v>On voit un gros plan de canoë le long de l'eau montrant une personne pagayant à l'avant.</v>
      </c>
    </row>
    <row r="33072">
      <c r="A33072" s="4" t="s">
        <v>41622</v>
      </c>
      <c r="B33072" s="4" t="s">
        <v>41624</v>
      </c>
      <c r="C33072" s="5" t="str">
        <f>IFERROR(__xludf.DUMMYFUNCTION("GOOGLETRANSLATE(B33072,""en"",""fr"")"),"Plusieurs autres personnes sont vues rouler dans des canoës et montrant des cascades ainsi qu'un incendie.")</f>
        <v>Plusieurs autres personnes sont vues rouler dans des canoës et montrant des cascades ainsi qu'un incendie.</v>
      </c>
    </row>
    <row r="33073">
      <c r="A33073" s="4" t="s">
        <v>41625</v>
      </c>
      <c r="B33073" s="4" t="s">
        <v>41626</v>
      </c>
      <c r="C33073" s="5" t="str">
        <f>IFERROR(__xludf.DUMMYFUNCTION("GOOGLETRANSLATE(B33073,""en"",""fr"")"),"Une femme fait une routine de gymnastique sur des bars inégaux.")</f>
        <v>Une femme fait une routine de gymnastique sur des bars inégaux.</v>
      </c>
    </row>
    <row r="33074">
      <c r="A33074" s="4" t="s">
        <v>41625</v>
      </c>
      <c r="B33074" s="4" t="s">
        <v>41627</v>
      </c>
      <c r="C33074" s="5" t="str">
        <f>IFERROR(__xludf.DUMMYFUNCTION("GOOGLETRANSLATE(B33074,""en"",""fr"")"),"Une femme se retourne sur le bar.")</f>
        <v>Une femme se retourne sur le bar.</v>
      </c>
    </row>
    <row r="33075">
      <c r="A33075" s="4" t="s">
        <v>41625</v>
      </c>
      <c r="B33075" s="4" t="s">
        <v>41628</v>
      </c>
      <c r="C33075" s="5" t="str">
        <f>IFERROR(__xludf.DUMMYFUNCTION("GOOGLETRANSLATE(B33075,""en"",""fr"")"),"Elle saute et atterrit sur un tapis.")</f>
        <v>Elle saute et atterrit sur un tapis.</v>
      </c>
    </row>
    <row r="33076">
      <c r="A33076" s="4" t="s">
        <v>41629</v>
      </c>
      <c r="B33076" s="4" t="s">
        <v>9397</v>
      </c>
      <c r="C33076" s="5" t="str">
        <f>IFERROR(__xludf.DUMMYFUNCTION("GOOGLETRANSLATE(B33076,""en"",""fr"")"),"Une femme se tient dans une pièce à parler.")</f>
        <v>Une femme se tient dans une pièce à parler.</v>
      </c>
    </row>
    <row r="33077">
      <c r="A33077" s="4" t="s">
        <v>41629</v>
      </c>
      <c r="B33077" s="4" t="s">
        <v>41630</v>
      </c>
      <c r="C33077" s="5" t="str">
        <f>IFERROR(__xludf.DUMMYFUNCTION("GOOGLETRANSLATE(B33077,""en"",""fr"")"),"Elle ramasse une brosse rouge et commence à se brosser les cheveux.")</f>
        <v>Elle ramasse une brosse rouge et commence à se brosser les cheveux.</v>
      </c>
    </row>
    <row r="33078">
      <c r="A33078" s="4" t="s">
        <v>41629</v>
      </c>
      <c r="B33078" s="4" t="s">
        <v>41631</v>
      </c>
      <c r="C33078" s="5" t="str">
        <f>IFERROR(__xludf.DUMMYFUNCTION("GOOGLETRANSLATE(B33078,""en"",""fr"")"),"Une publicité Netflix est affichée à l'écran.")</f>
        <v>Une publicité Netflix est affichée à l'écran.</v>
      </c>
    </row>
    <row r="33079">
      <c r="A33079" s="4" t="s">
        <v>41632</v>
      </c>
      <c r="B33079" s="4" t="s">
        <v>41633</v>
      </c>
      <c r="C33079" s="5" t="str">
        <f>IFERROR(__xludf.DUMMYFUNCTION("GOOGLETRANSLATE(B33079,""en"",""fr"")"),"Un homme est assis sur une machine d'exercice.")</f>
        <v>Un homme est assis sur une machine d'exercice.</v>
      </c>
    </row>
    <row r="33080">
      <c r="A33080" s="4" t="s">
        <v>41632</v>
      </c>
      <c r="B33080" s="4" t="s">
        <v>41634</v>
      </c>
      <c r="C33080" s="5" t="str">
        <f>IFERROR(__xludf.DUMMYFUNCTION("GOOGLETRANSLATE(B33080,""en"",""fr"")"),"Il tire un bar devant lui et commence à s'entraîner.")</f>
        <v>Il tire un bar devant lui et commence à s'entraîner.</v>
      </c>
    </row>
    <row r="33081">
      <c r="A33081" s="4" t="s">
        <v>41632</v>
      </c>
      <c r="B33081" s="4" t="s">
        <v>41635</v>
      </c>
      <c r="C33081" s="5" t="str">
        <f>IFERROR(__xludf.DUMMYFUNCTION("GOOGLETRANSLATE(B33081,""en"",""fr"")"),"Il laisse tomber le bar et finit.")</f>
        <v>Il laisse tomber le bar et finit.</v>
      </c>
    </row>
    <row r="33082">
      <c r="A33082" s="4" t="s">
        <v>41636</v>
      </c>
      <c r="B33082" s="6" t="s">
        <v>41637</v>
      </c>
      <c r="C33082" s="5" t="str">
        <f>IFERROR(__xludf.DUMMYFUNCTION("GOOGLETRANSLATE(B33082,""en"",""fr"")"),"Une jeune fille est vue debout derrière une table en serrant des limes tandis qu'un autre lave des plats en arrière-plan.")</f>
        <v>Une jeune fille est vue debout derrière une table en serrant des limes tandis qu'un autre lave des plats en arrière-plan.</v>
      </c>
    </row>
    <row r="33083">
      <c r="A33083" s="4" t="s">
        <v>41636</v>
      </c>
      <c r="B33083" s="4" t="s">
        <v>41638</v>
      </c>
      <c r="C33083" s="5" t="str">
        <f>IFERROR(__xludf.DUMMYFUNCTION("GOOGLETRANSLATE(B33083,""en"",""fr"")"),"La fille continue de faire du fruit et se dirige vers la caméra puis de nouveau.")</f>
        <v>La fille continue de faire du fruit et se dirige vers la caméra puis de nouveau.</v>
      </c>
    </row>
    <row r="33084">
      <c r="A33084" s="4" t="s">
        <v>41639</v>
      </c>
      <c r="B33084" s="6" t="s">
        <v>41640</v>
      </c>
      <c r="C33084" s="5" t="str">
        <f>IFERROR(__xludf.DUMMYFUNCTION("GOOGLETRANSLATE(B33084,""en"",""fr"")"),"La maman Duggar et une petite fille se dirigent vers une autre femme dans un ranch de chevaux et les mots en bas à gauche disent que le nom de la femme est Morgan Brown et elle est l'instructrice équestre.")</f>
        <v>La maman Duggar et une petite fille se dirigent vers une autre femme dans un ranch de chevaux et les mots en bas à gauche disent que le nom de la femme est Morgan Brown et elle est l'instructrice équestre.</v>
      </c>
    </row>
    <row r="33085">
      <c r="A33085" s="4" t="s">
        <v>41639</v>
      </c>
      <c r="B33085" s="6" t="s">
        <v>41641</v>
      </c>
      <c r="C33085" s="5" t="str">
        <f>IFERROR(__xludf.DUMMYFUNCTION("GOOGLETRANSLATE(B33085,""en"",""fr"")"),"La femme les mène dans la grange et elle met un casque sur la tête des petites filles, ils marchent pour obtenir des chevaux et à un moment donné, la maman de Duggar a également mis un casque.")</f>
        <v>La femme les mène dans la grange et elle met un casque sur la tête des petites filles, ils marchent pour obtenir des chevaux et à un moment donné, la maman de Duggar a également mis un casque.</v>
      </c>
    </row>
    <row r="33086">
      <c r="A33086" s="4" t="s">
        <v>41639</v>
      </c>
      <c r="B33086" s="6" t="s">
        <v>41642</v>
      </c>
      <c r="C33086" s="5" t="str">
        <f>IFERROR(__xludf.DUMMYFUNCTION("GOOGLETRANSLATE(B33086,""en"",""fr"")"),"Entre les interviews, ils montrent la maman de Duggar et la petite fille recevant des instructions sur leur cheval, puis monte sur leurs chevaux et roulant dessus dans une zone clos.")</f>
        <v>Entre les interviews, ils montrent la maman de Duggar et la petite fille recevant des instructions sur leur cheval, puis monte sur leurs chevaux et roulant dessus dans une zone clos.</v>
      </c>
    </row>
    <row r="33087">
      <c r="A33087" s="4" t="s">
        <v>41639</v>
      </c>
      <c r="B33087" s="4" t="s">
        <v>41643</v>
      </c>
      <c r="C33087" s="5" t="str">
        <f>IFERROR(__xludf.DUMMYFUNCTION("GOOGLETRANSLATE(B33087,""en"",""fr"")"),"Le logo TLC rouge et blanc reste en bas à droite de l'écran tout le temps.")</f>
        <v>Le logo TLC rouge et blanc reste en bas à droite de l'écran tout le temps.</v>
      </c>
    </row>
    <row r="33088">
      <c r="A33088" s="4" t="s">
        <v>41644</v>
      </c>
      <c r="B33088" s="4" t="s">
        <v>41645</v>
      </c>
      <c r="C33088" s="5" t="str">
        <f>IFERROR(__xludf.DUMMYFUNCTION("GOOGLETRANSLATE(B33088,""en"",""fr"")"),"Un homme est vu parler à la caméra et mène à plusieurs personnes qui tiennent et tirent des arcs.")</f>
        <v>Un homme est vu parler à la caméra et mène à plusieurs personnes qui tiennent et tirent des arcs.</v>
      </c>
    </row>
    <row r="33089">
      <c r="A33089" s="4" t="s">
        <v>41644</v>
      </c>
      <c r="B33089" s="6" t="s">
        <v>41646</v>
      </c>
      <c r="C33089" s="5" t="str">
        <f>IFERROR(__xludf.DUMMYFUNCTION("GOOGLETRANSLATE(B33089,""en"",""fr"")"),"Les instructeurs assistent les élèves en parlant à la caméra et montre plusieurs plans de la personne qui tire les flèches.")</f>
        <v>Les instructeurs assistent les élèves en parlant à la caméra et montre plusieurs plans de la personne qui tire les flèches.</v>
      </c>
    </row>
    <row r="33090">
      <c r="A33090" s="4" t="s">
        <v>41647</v>
      </c>
      <c r="B33090" s="4" t="s">
        <v>41648</v>
      </c>
      <c r="C33090" s="5" t="str">
        <f>IFERROR(__xludf.DUMMYFUNCTION("GOOGLETRANSLATE(B33090,""en"",""fr"")"),"Une camionnette hors du mur est montrée.")</f>
        <v>Une camionnette hors du mur est montrée.</v>
      </c>
    </row>
    <row r="33091">
      <c r="A33091" s="4" t="s">
        <v>41647</v>
      </c>
      <c r="B33091" s="4" t="s">
        <v>41649</v>
      </c>
      <c r="C33091" s="5" t="str">
        <f>IFERROR(__xludf.DUMMYFUNCTION("GOOGLETRANSLATE(B33091,""en"",""fr"")"),"Plusieurs images clignotent sur l'écran.")</f>
        <v>Plusieurs images clignotent sur l'écran.</v>
      </c>
    </row>
    <row r="33092">
      <c r="A33092" s="4" t="s">
        <v>41647</v>
      </c>
      <c r="B33092" s="4" t="s">
        <v>41650</v>
      </c>
      <c r="C33092" s="5" t="str">
        <f>IFERROR(__xludf.DUMMYFUNCTION("GOOGLETRANSLATE(B33092,""en"",""fr"")"),"Les hommes sont montrés en train de boire du vin avant d'effectuer de nombreuses astuces sur les tableaux skiables.")</f>
        <v>Les hommes sont montrés en train de boire du vin avant d'effectuer de nombreuses astuces sur les tableaux skiables.</v>
      </c>
    </row>
    <row r="33093">
      <c r="A33093" s="4" t="s">
        <v>41647</v>
      </c>
      <c r="B33093" s="4" t="s">
        <v>41651</v>
      </c>
      <c r="C33093" s="5" t="str">
        <f>IFERROR(__xludf.DUMMYFUNCTION("GOOGLETRANSLATE(B33093,""en"",""fr"")"),"Des images d'entre elles dans l'air effectuant des astuces et des sauts sont affichées.")</f>
        <v>Des images d'entre elles dans l'air effectuant des astuces et des sauts sont affichées.</v>
      </c>
    </row>
    <row r="33094">
      <c r="A33094" s="4" t="s">
        <v>41652</v>
      </c>
      <c r="B33094" s="4" t="s">
        <v>41653</v>
      </c>
      <c r="C33094" s="5" t="str">
        <f>IFERROR(__xludf.DUMMYFUNCTION("GOOGLETRANSLATE(B33094,""en"",""fr"")"),"L'homme se tient dans un icetrack en parlant à la caméra.")</f>
        <v>L'homme se tient dans un icetrack en parlant à la caméra.</v>
      </c>
    </row>
    <row r="33095">
      <c r="A33095" s="4" t="s">
        <v>41652</v>
      </c>
      <c r="B33095" s="4" t="s">
        <v>41654</v>
      </c>
      <c r="C33095" s="5" t="str">
        <f>IFERROR(__xludf.DUMMYFUNCTION("GOOGLETRANSLATE(B33095,""en"",""fr"")"),"Les gens jouent au curling dans un terrain de glace.")</f>
        <v>Les gens jouent au curling dans un terrain de glace.</v>
      </c>
    </row>
    <row r="33096">
      <c r="A33096" s="4" t="s">
        <v>41655</v>
      </c>
      <c r="B33096" s="4" t="s">
        <v>41656</v>
      </c>
      <c r="C33096" s="5" t="str">
        <f>IFERROR(__xludf.DUMMYFUNCTION("GOOGLETRANSLATE(B33096,""en"",""fr"")"),"Plusieurs clips sont montrés de personnes jouant au football devant un grand stade.")</f>
        <v>Plusieurs clips sont montrés de personnes jouant au football devant un grand stade.</v>
      </c>
    </row>
    <row r="33097">
      <c r="A33097" s="4" t="s">
        <v>41655</v>
      </c>
      <c r="B33097" s="4" t="s">
        <v>41657</v>
      </c>
      <c r="C33097" s="5" t="str">
        <f>IFERROR(__xludf.DUMMYFUNCTION("GOOGLETRANSLATE(B33097,""en"",""fr"")"),"Les gens donnent un coup de pied à la région et lancent les mains.")</f>
        <v>Les gens donnent un coup de pied à la région et lancent les mains.</v>
      </c>
    </row>
    <row r="33098">
      <c r="A33098" s="4" t="s">
        <v>41655</v>
      </c>
      <c r="B33098" s="4" t="s">
        <v>41658</v>
      </c>
      <c r="C33098" s="5" t="str">
        <f>IFERROR(__xludf.DUMMYFUNCTION("GOOGLETRANSLATE(B33098,""en"",""fr"")"),"D'autres tirs sont montrés des gens qui jouent les uns contre les autres sur différents domaines et célébrant.")</f>
        <v>D'autres tirs sont montrés des gens qui jouent les uns contre les autres sur différents domaines et célébrant.</v>
      </c>
    </row>
    <row r="33099">
      <c r="A33099" s="4" t="s">
        <v>41659</v>
      </c>
      <c r="B33099" s="4" t="s">
        <v>41660</v>
      </c>
      <c r="C33099" s="5" t="str">
        <f>IFERROR(__xludf.DUMMYFUNCTION("GOOGLETRANSLATE(B33099,""en"",""fr"")"),"Un enfant est vu parler à la caméra et se mettre à une femme plus âgée soufflant des feuilles dans la cour.")</f>
        <v>Un enfant est vu parler à la caméra et se mettre à une femme plus âgée soufflant des feuilles dans la cour.</v>
      </c>
    </row>
    <row r="33100">
      <c r="A33100" s="4" t="s">
        <v>41659</v>
      </c>
      <c r="B33100" s="4" t="s">
        <v>41661</v>
      </c>
      <c r="C33100" s="5" t="str">
        <f>IFERROR(__xludf.DUMMYFUNCTION("GOOGLETRANSLATE(B33100,""en"",""fr"")"),"La femme parle au garçon et il se dirige vers elle pendant qu'elle souffle encore.")</f>
        <v>La femme parle au garçon et il se dirige vers elle pendant qu'elle souffle encore.</v>
      </c>
    </row>
    <row r="33101">
      <c r="A33101" s="4" t="s">
        <v>41659</v>
      </c>
      <c r="B33101" s="4" t="s">
        <v>41662</v>
      </c>
      <c r="C33101" s="5" t="str">
        <f>IFERROR(__xludf.DUMMYFUNCTION("GOOGLETRANSLATE(B33101,""en"",""fr"")"),"À la fin, elle a vu s'éloigner devant une clôture.")</f>
        <v>À la fin, elle a vu s'éloigner devant une clôture.</v>
      </c>
    </row>
    <row r="33102">
      <c r="A33102" s="4" t="s">
        <v>41663</v>
      </c>
      <c r="B33102" s="4" t="s">
        <v>41664</v>
      </c>
      <c r="C33102" s="5" t="str">
        <f>IFERROR(__xludf.DUMMYFUNCTION("GOOGLETRANSLATE(B33102,""en"",""fr"")"),"Un jeune homme est assis dans le désert au-dessus d'un chameau.")</f>
        <v>Un jeune homme est assis dans le désert au-dessus d'un chameau.</v>
      </c>
    </row>
    <row r="33103">
      <c r="A33103" s="4" t="s">
        <v>41663</v>
      </c>
      <c r="B33103" s="4" t="s">
        <v>41665</v>
      </c>
      <c r="C33103" s="5" t="str">
        <f>IFERROR(__xludf.DUMMYFUNCTION("GOOGLETRANSLATE(B33103,""en"",""fr"")"),"L'homme commence à parler à un autre homme qui a une enveloppe rouge sur sa tête.")</f>
        <v>L'homme commence à parler à un autre homme qui a une enveloppe rouge sur sa tête.</v>
      </c>
    </row>
    <row r="33104">
      <c r="A33104" s="4" t="s">
        <v>41663</v>
      </c>
      <c r="B33104" s="6" t="s">
        <v>41666</v>
      </c>
      <c r="C33104" s="5" t="str">
        <f>IFERROR(__xludf.DUMMYFUNCTION("GOOGLETRANSLATE(B33104,""en"",""fr"")"),"Le chameau se soulève alors et commence à marcher dans le désert vers un groupe d'enfants et de voitures.")</f>
        <v>Le chameau se soulève alors et commence à marcher dans le désert vers un groupe d'enfants et de voitures.</v>
      </c>
    </row>
    <row r="33105">
      <c r="A33105" s="4" t="s">
        <v>41667</v>
      </c>
      <c r="B33105" s="6" t="s">
        <v>41668</v>
      </c>
      <c r="C33105" s="5" t="str">
        <f>IFERROR(__xludf.DUMMYFUNCTION("GOOGLETRANSLATE(B33105,""en"",""fr"")"),"Un homme attache une ceinture jaune autour de la taille d'un homme plus grand qui secoue la main puis secoue tout le monde.")</f>
        <v>Un homme attache une ceinture jaune autour de la taille d'un homme plus grand qui secoue la main puis secoue tout le monde.</v>
      </c>
    </row>
    <row r="33106">
      <c r="A33106" s="4" t="s">
        <v>41667</v>
      </c>
      <c r="B33106" s="6" t="s">
        <v>41669</v>
      </c>
      <c r="C33106" s="5" t="str">
        <f>IFERROR(__xludf.DUMMYFUNCTION("GOOGLETRANSLATE(B33106,""en"",""fr"")"),"L'homme et un autre commencent à faire des mouvements de karaté les uns contre les autres, mais ils établissent rarement un contact physique.")</f>
        <v>L'homme et un autre commencent à faire des mouvements de karaté les uns contre les autres, mais ils établissent rarement un contact physique.</v>
      </c>
    </row>
    <row r="33107">
      <c r="A33107" s="4" t="s">
        <v>41667</v>
      </c>
      <c r="B33107" s="4" t="s">
        <v>41670</v>
      </c>
      <c r="C33107" s="5" t="str">
        <f>IFERROR(__xludf.DUMMYFUNCTION("GOOGLETRANSLATE(B33107,""en"",""fr"")"),"Il y a un groupe d'hommes qui se tiennent autour d'eux en les regardant.")</f>
        <v>Il y a un groupe d'hommes qui se tiennent autour d'eux en les regardant.</v>
      </c>
    </row>
    <row r="33108">
      <c r="A33108" s="4" t="s">
        <v>41667</v>
      </c>
      <c r="B33108" s="4" t="s">
        <v>41671</v>
      </c>
      <c r="C33108" s="5" t="str">
        <f>IFERROR(__xludf.DUMMYFUNCTION("GOOGLETRANSLATE(B33108,""en"",""fr"")"),"Quand ils ont terminé, ils prennent tous une photo de groupe ensemble.")</f>
        <v>Quand ils ont terminé, ils prennent tous une photo de groupe ensemble.</v>
      </c>
    </row>
    <row r="33109">
      <c r="A33109" s="4" t="s">
        <v>41672</v>
      </c>
      <c r="B33109" s="6" t="s">
        <v>41673</v>
      </c>
      <c r="C33109" s="5" t="str">
        <f>IFERROR(__xludf.DUMMYFUNCTION("GOOGLETRANSLATE(B33109,""en"",""fr"")"),"Deux grands hommes sont vus debout dans une fosse entourée par d'autres et un reflète au milieu.")</f>
        <v>Deux grands hommes sont vus debout dans une fosse entourée par d'autres et un reflète au milieu.</v>
      </c>
    </row>
    <row r="33110">
      <c r="A33110" s="4" t="s">
        <v>41672</v>
      </c>
      <c r="B33110" s="6" t="s">
        <v>41674</v>
      </c>
      <c r="C33110" s="5" t="str">
        <f>IFERROR(__xludf.DUMMYFUNCTION("GOOGLETRANSLATE(B33110,""en"",""fr"")"),"Les hommes s'inclinent ensuite les uns aux autres alors que les gens continuent de balayer l'arène et de conduire les hommes qui se battent.")</f>
        <v>Les hommes s'inclinent ensuite les uns aux autres alors que les gens continuent de balayer l'arène et de conduire les hommes qui se battent.</v>
      </c>
    </row>
    <row r="33111">
      <c r="A33111" s="4" t="s">
        <v>41672</v>
      </c>
      <c r="B33111" s="6" t="s">
        <v>41675</v>
      </c>
      <c r="C33111" s="5" t="str">
        <f>IFERROR(__xludf.DUMMYFUNCTION("GOOGLETRANSLATE(B33111,""en"",""fr"")"),"Les hommes se débattent continuellement pendant que l'arbitre se déplace autour d'eux et se termine avec eux en se promenant puis hors de la scène.")</f>
        <v>Les hommes se débattent continuellement pendant que l'arbitre se déplace autour d'eux et se termine avec eux en se promenant puis hors de la scène.</v>
      </c>
    </row>
    <row r="33112">
      <c r="A33112" s="4" t="s">
        <v>41676</v>
      </c>
      <c r="B33112" s="4" t="s">
        <v>41677</v>
      </c>
      <c r="C33112" s="5" t="str">
        <f>IFERROR(__xludf.DUMMYFUNCTION("GOOGLETRANSLATE(B33112,""en"",""fr"")"),"Une personne dans un capuchon jaune nage dans une piscine.")</f>
        <v>Une personne dans un capuchon jaune nage dans une piscine.</v>
      </c>
    </row>
    <row r="33113">
      <c r="A33113" s="4" t="s">
        <v>41676</v>
      </c>
      <c r="B33113" s="4" t="s">
        <v>41678</v>
      </c>
      <c r="C33113" s="5" t="str">
        <f>IFERROR(__xludf.DUMMYFUNCTION("GOOGLETRANSLATE(B33113,""en"",""fr"")"),"Une personne en chemise blanche parle.")</f>
        <v>Une personne en chemise blanche parle.</v>
      </c>
    </row>
    <row r="33114">
      <c r="A33114" s="4" t="s">
        <v>41676</v>
      </c>
      <c r="B33114" s="4" t="s">
        <v>41679</v>
      </c>
      <c r="C33114" s="5" t="str">
        <f>IFERROR(__xludf.DUMMYFUNCTION("GOOGLETRANSLATE(B33114,""en"",""fr"")"),"La personne est hors de l'eau en déplaçant les bras.")</f>
        <v>La personne est hors de l'eau en déplaçant les bras.</v>
      </c>
    </row>
    <row r="33115">
      <c r="A33115" s="4" t="s">
        <v>41680</v>
      </c>
      <c r="B33115" s="4" t="s">
        <v>41681</v>
      </c>
      <c r="C33115" s="5" t="str">
        <f>IFERROR(__xludf.DUMMYFUNCTION("GOOGLETRANSLATE(B33115,""en"",""fr"")"),"Une femme monte une poutre avec un public en arrière-plan.")</f>
        <v>Une femme monte une poutre avec un public en arrière-plan.</v>
      </c>
    </row>
    <row r="33116">
      <c r="A33116" s="4" t="s">
        <v>41680</v>
      </c>
      <c r="B33116" s="4" t="s">
        <v>41682</v>
      </c>
      <c r="C33116" s="5" t="str">
        <f>IFERROR(__xludf.DUMMYFUNCTION("GOOGLETRANSLATE(B33116,""en"",""fr"")"),"La femme effectue une gymnastique sur la poutre.")</f>
        <v>La femme effectue une gymnastique sur la poutre.</v>
      </c>
    </row>
    <row r="33117">
      <c r="A33117" s="4" t="s">
        <v>41680</v>
      </c>
      <c r="B33117" s="4" t="s">
        <v>41683</v>
      </c>
      <c r="C33117" s="5" t="str">
        <f>IFERROR(__xludf.DUMMYFUNCTION("GOOGLETRANSLATE(B33117,""en"",""fr"")"),"La femme démonte du faisceau.")</f>
        <v>La femme démonte du faisceau.</v>
      </c>
    </row>
    <row r="33118">
      <c r="A33118" s="4" t="s">
        <v>41684</v>
      </c>
      <c r="B33118" s="4" t="s">
        <v>41685</v>
      </c>
      <c r="C33118" s="5" t="str">
        <f>IFERROR(__xludf.DUMMYFUNCTION("GOOGLETRANSLATE(B33118,""en"",""fr"")"),"Un jeune garçon rit en tenant deux brosses à dents.")</f>
        <v>Un jeune garçon rit en tenant deux brosses à dents.</v>
      </c>
    </row>
    <row r="33119">
      <c r="A33119" s="4" t="s">
        <v>41684</v>
      </c>
      <c r="B33119" s="4" t="s">
        <v>41686</v>
      </c>
      <c r="C33119" s="5" t="str">
        <f>IFERROR(__xludf.DUMMYFUNCTION("GOOGLETRANSLATE(B33119,""en"",""fr"")"),"Il utilise une brosse électrique pour se brosser les dents.")</f>
        <v>Il utilise une brosse électrique pour se brosser les dents.</v>
      </c>
    </row>
    <row r="33120">
      <c r="A33120" s="4" t="s">
        <v>41684</v>
      </c>
      <c r="B33120" s="4" t="s">
        <v>41687</v>
      </c>
      <c r="C33120" s="5" t="str">
        <f>IFERROR(__xludf.DUMMYFUNCTION("GOOGLETRANSLATE(B33120,""en"",""fr"")"),"Il secoue la brosse, versant parfois de l'eau dessus et le remettant dans sa bouche.")</f>
        <v>Il secoue la brosse, versant parfois de l'eau dessus et le remettant dans sa bouche.</v>
      </c>
    </row>
    <row r="33121">
      <c r="A33121" s="4" t="s">
        <v>41688</v>
      </c>
      <c r="B33121" s="4" t="s">
        <v>41689</v>
      </c>
      <c r="C33121" s="5" t="str">
        <f>IFERROR(__xludf.DUMMYFUNCTION("GOOGLETRANSLATE(B33121,""en"",""fr"")"),"Nous voyons un homme se préparer à entrer dans un kayak.")</f>
        <v>Nous voyons un homme se préparer à entrer dans un kayak.</v>
      </c>
    </row>
    <row r="33122">
      <c r="A33122" s="4" t="s">
        <v>41688</v>
      </c>
      <c r="B33122" s="4" t="s">
        <v>41690</v>
      </c>
      <c r="C33122" s="5" t="str">
        <f>IFERROR(__xludf.DUMMYFUNCTION("GOOGLETRANSLATE(B33122,""en"",""fr"")"),"Nous voyons ensuite l'homme monter dans son kayak sur une rivière Rough.")</f>
        <v>Nous voyons ensuite l'homme monter dans son kayak sur une rivière Rough.</v>
      </c>
    </row>
    <row r="33123">
      <c r="A33123" s="4" t="s">
        <v>41688</v>
      </c>
      <c r="B33123" s="4" t="s">
        <v>41691</v>
      </c>
      <c r="C33123" s="5" t="str">
        <f>IFERROR(__xludf.DUMMYFUNCTION("GOOGLETRANSLATE(B33123,""en"",""fr"")"),"L'homme passe sur un rocher.")</f>
        <v>L'homme passe sur un rocher.</v>
      </c>
    </row>
    <row r="33124">
      <c r="A33124" s="4" t="s">
        <v>41688</v>
      </c>
      <c r="B33124" s="4" t="s">
        <v>41692</v>
      </c>
      <c r="C33124" s="5" t="str">
        <f>IFERROR(__xludf.DUMMYFUNCTION("GOOGLETRANSLATE(B33124,""en"",""fr"")"),"Nous voyons une montagne près de la rivière.")</f>
        <v>Nous voyons une montagne près de la rivière.</v>
      </c>
    </row>
    <row r="33125">
      <c r="A33125" s="4" t="s">
        <v>41688</v>
      </c>
      <c r="B33125" s="4" t="s">
        <v>41693</v>
      </c>
      <c r="C33125" s="5" t="str">
        <f>IFERROR(__xludf.DUMMYFUNCTION("GOOGLETRANSLATE(B33125,""en"",""fr"")"),"Le kayak est renversé dans la rivière.")</f>
        <v>Le kayak est renversé dans la rivière.</v>
      </c>
    </row>
    <row r="33126">
      <c r="A33126" s="4" t="s">
        <v>41688</v>
      </c>
      <c r="B33126" s="4" t="s">
        <v>41694</v>
      </c>
      <c r="C33126" s="5" t="str">
        <f>IFERROR(__xludf.DUMMYFUNCTION("GOOGLETRANSLATE(B33126,""en"",""fr"")"),"Nous voyons l'homme sur le rivage.")</f>
        <v>Nous voyons l'homme sur le rivage.</v>
      </c>
    </row>
    <row r="33127">
      <c r="A33127" s="4" t="s">
        <v>41688</v>
      </c>
      <c r="B33127" s="4" t="s">
        <v>41695</v>
      </c>
      <c r="C33127" s="5" t="str">
        <f>IFERROR(__xludf.DUMMYFUNCTION("GOOGLETRANSLATE(B33127,""en"",""fr"")"),"Nous voyons l'homme passer en revue une cascade.")</f>
        <v>Nous voyons l'homme passer en revue une cascade.</v>
      </c>
    </row>
    <row r="33128">
      <c r="A33128" s="4" t="s">
        <v>41688</v>
      </c>
      <c r="B33128" s="4" t="s">
        <v>41696</v>
      </c>
      <c r="C33128" s="5" t="str">
        <f>IFERROR(__xludf.DUMMYFUNCTION("GOOGLETRANSLATE(B33128,""en"",""fr"")"),"Nous voyons l'homme tirer son kayak sur le rivage.")</f>
        <v>Nous voyons l'homme tirer son kayak sur le rivage.</v>
      </c>
    </row>
    <row r="33129">
      <c r="A33129" s="4" t="s">
        <v>41688</v>
      </c>
      <c r="B33129" s="4" t="s">
        <v>41697</v>
      </c>
      <c r="C33129" s="5" t="str">
        <f>IFERROR(__xludf.DUMMYFUNCTION("GOOGLETRANSLATE(B33129,""en"",""fr"")"),"Nous voyons le kayak renversé et nous voyons ensuite la rivière courir.")</f>
        <v>Nous voyons le kayak renversé et nous voyons ensuite la rivière courir.</v>
      </c>
    </row>
    <row r="33130">
      <c r="A33130" s="4" t="s">
        <v>41688</v>
      </c>
      <c r="B33130" s="4" t="s">
        <v>41698</v>
      </c>
      <c r="C33130" s="5" t="str">
        <f>IFERROR(__xludf.DUMMYFUNCTION("GOOGLETRANSLATE(B33130,""en"",""fr"")"),"Nous voyons les écrans de fin.")</f>
        <v>Nous voyons les écrans de fin.</v>
      </c>
    </row>
    <row r="33131">
      <c r="A33131" s="4" t="s">
        <v>41699</v>
      </c>
      <c r="B33131" s="4" t="s">
        <v>41700</v>
      </c>
      <c r="C33131" s="5" t="str">
        <f>IFERROR(__xludf.DUMMYFUNCTION("GOOGLETRANSLATE(B33131,""en"",""fr"")"),"Une femme est vue rire de la caméra et commence à fumer une cigarette.")</f>
        <v>Une femme est vue rire de la caméra et commence à fumer une cigarette.</v>
      </c>
    </row>
    <row r="33132">
      <c r="A33132" s="4" t="s">
        <v>41699</v>
      </c>
      <c r="B33132" s="4" t="s">
        <v>41701</v>
      </c>
      <c r="C33132" s="5" t="str">
        <f>IFERROR(__xludf.DUMMYFUNCTION("GOOGLETRANSLATE(B33132,""en"",""fr"")"),"La femme enlève des bouffées de sa cigarette tout en regardant dans la caméra.")</f>
        <v>La femme enlève des bouffées de sa cigarette tout en regardant dans la caméra.</v>
      </c>
    </row>
    <row r="33133">
      <c r="A33133" s="4" t="s">
        <v>41699</v>
      </c>
      <c r="B33133" s="4" t="s">
        <v>41702</v>
      </c>
      <c r="C33133" s="5" t="str">
        <f>IFERROR(__xludf.DUMMYFUNCTION("GOOGLETRANSLATE(B33133,""en"",""fr"")"),"La femme continue de soulever sa cigarette et de souffler de la fumée au loin.")</f>
        <v>La femme continue de soulever sa cigarette et de souffler de la fumée au loin.</v>
      </c>
    </row>
    <row r="33134">
      <c r="A33134" s="4" t="s">
        <v>41703</v>
      </c>
      <c r="B33134" s="4" t="s">
        <v>27300</v>
      </c>
      <c r="C33134" s="5" t="str">
        <f>IFERROR(__xludf.DUMMYFUNCTION("GOOGLETRANSLATE(B33134,""en"",""fr"")"),"Nous voyons un écran d'ouverture animé.")</f>
        <v>Nous voyons un écran d'ouverture animé.</v>
      </c>
    </row>
    <row r="33135">
      <c r="A33135" s="4" t="s">
        <v>41703</v>
      </c>
      <c r="B33135" s="4" t="s">
        <v>41704</v>
      </c>
      <c r="C33135" s="5" t="str">
        <f>IFERROR(__xludf.DUMMYFUNCTION("GOOGLETRANSLATE(B33135,""en"",""fr"")"),"Nous voyons un homme marcher dans un parking.")</f>
        <v>Nous voyons un homme marcher dans un parking.</v>
      </c>
    </row>
    <row r="33136">
      <c r="A33136" s="4" t="s">
        <v>41703</v>
      </c>
      <c r="B33136" s="4" t="s">
        <v>41705</v>
      </c>
      <c r="C33136" s="5" t="str">
        <f>IFERROR(__xludf.DUMMYFUNCTION("GOOGLETRANSLATE(B33136,""en"",""fr"")"),"L'homme commence à effectuer des mouvements d'arts martiaux.")</f>
        <v>L'homme commence à effectuer des mouvements d'arts martiaux.</v>
      </c>
    </row>
    <row r="33137">
      <c r="A33137" s="4" t="s">
        <v>41703</v>
      </c>
      <c r="B33137" s="4" t="s">
        <v>41706</v>
      </c>
      <c r="C33137" s="5" t="str">
        <f>IFERROR(__xludf.DUMMYFUNCTION("GOOGLETRANSLATE(B33137,""en"",""fr"")"),"L'homme enlève sa chemise et son collier.")</f>
        <v>L'homme enlève sa chemise et son collier.</v>
      </c>
    </row>
    <row r="33138">
      <c r="A33138" s="4" t="s">
        <v>41703</v>
      </c>
      <c r="B33138" s="4" t="s">
        <v>41707</v>
      </c>
      <c r="C33138" s="5" t="str">
        <f>IFERROR(__xludf.DUMMYFUNCTION("GOOGLETRANSLATE(B33138,""en"",""fr"")"),"L'homme se retourne et fait la capoeira.")</f>
        <v>L'homme se retourne et fait la capoeira.</v>
      </c>
    </row>
    <row r="33139">
      <c r="A33139" s="4" t="s">
        <v>41703</v>
      </c>
      <c r="B33139" s="4" t="s">
        <v>41708</v>
      </c>
      <c r="C33139" s="5" t="str">
        <f>IFERROR(__xludf.DUMMYFUNCTION("GOOGLETRANSLATE(B33139,""en"",""fr"")"),"Nous voyons l'homme faire une main d'une main.")</f>
        <v>Nous voyons l'homme faire une main d'une main.</v>
      </c>
    </row>
    <row r="33140">
      <c r="A33140" s="4" t="s">
        <v>41703</v>
      </c>
      <c r="B33140" s="4" t="s">
        <v>41709</v>
      </c>
      <c r="C33140" s="5" t="str">
        <f>IFERROR(__xludf.DUMMYFUNCTION("GOOGLETRANSLATE(B33140,""en"",""fr"")"),"L'homme finit, attrape sa chemise et s'en va.")</f>
        <v>L'homme finit, attrape sa chemise et s'en va.</v>
      </c>
    </row>
    <row r="33141">
      <c r="A33141" s="4" t="s">
        <v>41703</v>
      </c>
      <c r="B33141" s="4" t="s">
        <v>41710</v>
      </c>
      <c r="C33141" s="5" t="str">
        <f>IFERROR(__xludf.DUMMYFUNCTION("GOOGLETRANSLATE(B33141,""en"",""fr"")"),"Nous voyons des clips vidéo dans l'écran de clôture.")</f>
        <v>Nous voyons des clips vidéo dans l'écran de clôture.</v>
      </c>
    </row>
    <row r="33142">
      <c r="A33142" s="4" t="s">
        <v>41711</v>
      </c>
      <c r="B33142" s="4" t="s">
        <v>41712</v>
      </c>
      <c r="C33142" s="5" t="str">
        <f>IFERROR(__xludf.DUMMYFUNCTION("GOOGLETRANSLATE(B33142,""en"",""fr"")"),"Un individu monte sur un tube intérieur sur une rivière avec des rochers.")</f>
        <v>Un individu monte sur un tube intérieur sur une rivière avec des rochers.</v>
      </c>
    </row>
    <row r="33143">
      <c r="A33143" s="4" t="s">
        <v>41711</v>
      </c>
      <c r="B33143" s="4" t="s">
        <v>41713</v>
      </c>
      <c r="C33143" s="5" t="str">
        <f>IFERROR(__xludf.DUMMYFUNCTION("GOOGLETRANSLATE(B33143,""en"",""fr"")"),"Un homme pousse l'individu en aval.")</f>
        <v>Un homme pousse l'individu en aval.</v>
      </c>
    </row>
    <row r="33144">
      <c r="A33144" s="4" t="s">
        <v>41711</v>
      </c>
      <c r="B33144" s="4" t="s">
        <v>41714</v>
      </c>
      <c r="C33144" s="5" t="str">
        <f>IFERROR(__xludf.DUMMYFUNCTION("GOOGLETRANSLATE(B33144,""en"",""fr"")"),"Un autre homme pousse l'individu en aval.")</f>
        <v>Un autre homme pousse l'individu en aval.</v>
      </c>
    </row>
    <row r="33145">
      <c r="A33145" s="4" t="s">
        <v>41715</v>
      </c>
      <c r="B33145" s="4" t="s">
        <v>41716</v>
      </c>
      <c r="C33145" s="5" t="str">
        <f>IFERROR(__xludf.DUMMYFUNCTION("GOOGLETRANSLATE(B33145,""en"",""fr"")"),"Une caméra se déroule tout autour d'une clôture pendant que le texte est affiché à travers.")</f>
        <v>Une caméra se déroule tout autour d'une clôture pendant que le texte est affiché à travers.</v>
      </c>
    </row>
    <row r="33146">
      <c r="A33146" s="4" t="s">
        <v>41715</v>
      </c>
      <c r="B33146" s="4" t="s">
        <v>41717</v>
      </c>
      <c r="C33146" s="5" t="str">
        <f>IFERROR(__xludf.DUMMYFUNCTION("GOOGLETRANSLATE(B33146,""en"",""fr"")"),"Une personne est montrée dans plusieurs coups de feu en pulvérisant la clôture avec un tuyau.")</f>
        <v>Une personne est montrée dans plusieurs coups de feu en pulvérisant la clôture avec un tuyau.</v>
      </c>
    </row>
    <row r="33147">
      <c r="A33147" s="4" t="s">
        <v>41715</v>
      </c>
      <c r="B33147" s="4" t="s">
        <v>41718</v>
      </c>
      <c r="C33147" s="5" t="str">
        <f>IFERROR(__xludf.DUMMYFUNCTION("GOOGLETRANSLATE(B33147,""en"",""fr"")"),"À la fin, d'autres clips sont illustrés à la clôture.")</f>
        <v>À la fin, d'autres clips sont illustrés à la clôture.</v>
      </c>
    </row>
    <row r="33148">
      <c r="A33148" s="4" t="s">
        <v>41719</v>
      </c>
      <c r="B33148" s="4" t="s">
        <v>41720</v>
      </c>
      <c r="C33148" s="5" t="str">
        <f>IFERROR(__xludf.DUMMYFUNCTION("GOOGLETRANSLATE(B33148,""en"",""fr"")"),"Les gens courent sur la saleté en jouant au football.")</f>
        <v>Les gens courent sur la saleté en jouant au football.</v>
      </c>
    </row>
    <row r="33149">
      <c r="A33149" s="4" t="s">
        <v>41719</v>
      </c>
      <c r="B33149" s="4" t="s">
        <v>41721</v>
      </c>
      <c r="C33149" s="5" t="str">
        <f>IFERROR(__xludf.DUMMYFUNCTION("GOOGLETRANSLATE(B33149,""en"",""fr"")"),"Les gens sont dans une arène intérieure jouant au football.")</f>
        <v>Les gens sont dans une arène intérieure jouant au football.</v>
      </c>
    </row>
    <row r="33150">
      <c r="A33150" s="4" t="s">
        <v>41719</v>
      </c>
      <c r="B33150" s="4" t="s">
        <v>41722</v>
      </c>
      <c r="C33150" s="5" t="str">
        <f>IFERROR(__xludf.DUMMYFUNCTION("GOOGLETRANSLATE(B33150,""en"",""fr"")"),"Les gens des tribunes leur applaudissent.")</f>
        <v>Les gens des tribunes leur applaudissent.</v>
      </c>
    </row>
    <row r="33151">
      <c r="A33151" s="4" t="s">
        <v>41723</v>
      </c>
      <c r="B33151" s="4" t="s">
        <v>41724</v>
      </c>
      <c r="C33151" s="5" t="str">
        <f>IFERROR(__xludf.DUMMYFUNCTION("GOOGLETRANSLATE(B33151,""en"",""fr"")"),"Nous voyons une scène de titre d'ouverture.")</f>
        <v>Nous voyons une scène de titre d'ouverture.</v>
      </c>
    </row>
    <row r="33152">
      <c r="A33152" s="4" t="s">
        <v>41723</v>
      </c>
      <c r="B33152" s="4" t="s">
        <v>41725</v>
      </c>
      <c r="C33152" s="5" t="str">
        <f>IFERROR(__xludf.DUMMYFUNCTION("GOOGLETRANSLATE(B33152,""en"",""fr"")"),"Nous voyons des gens monter à cheval à travers les montagnes.")</f>
        <v>Nous voyons des gens monter à cheval à travers les montagnes.</v>
      </c>
    </row>
    <row r="33153">
      <c r="A33153" s="4" t="s">
        <v>41723</v>
      </c>
      <c r="B33153" s="4" t="s">
        <v>41726</v>
      </c>
      <c r="C33153" s="5" t="str">
        <f>IFERROR(__xludf.DUMMYFUNCTION("GOOGLETRANSLATE(B33153,""en"",""fr"")"),"Nous tournons et voyons le canyon et la rivière.")</f>
        <v>Nous tournons et voyons le canyon et la rivière.</v>
      </c>
    </row>
    <row r="33154">
      <c r="A33154" s="4" t="s">
        <v>41723</v>
      </c>
      <c r="B33154" s="4" t="s">
        <v>41727</v>
      </c>
      <c r="C33154" s="5" t="str">
        <f>IFERROR(__xludf.DUMMYFUNCTION("GOOGLETRANSLATE(B33154,""en"",""fr"")"),"Une personne en bleu se retourne plusieurs fois.")</f>
        <v>Une personne en bleu se retourne plusieurs fois.</v>
      </c>
    </row>
    <row r="33155">
      <c r="A33155" s="4" t="s">
        <v>41723</v>
      </c>
      <c r="B33155" s="4" t="s">
        <v>41728</v>
      </c>
      <c r="C33155" s="5" t="str">
        <f>IFERROR(__xludf.DUMMYFUNCTION("GOOGLETRANSLATE(B33155,""en"",""fr"")"),"Nous voyons un grand monticule blanc de neige.")</f>
        <v>Nous voyons un grand monticule blanc de neige.</v>
      </c>
    </row>
    <row r="33156">
      <c r="A33156" s="4" t="s">
        <v>41723</v>
      </c>
      <c r="B33156" s="4" t="s">
        <v>41729</v>
      </c>
      <c r="C33156" s="5" t="str">
        <f>IFERROR(__xludf.DUMMYFUNCTION("GOOGLETRANSLATE(B33156,""en"",""fr"")"),"La personne dans la chemise bleue regarde la montagne.")</f>
        <v>La personne dans la chemise bleue regarde la montagne.</v>
      </c>
    </row>
    <row r="33157">
      <c r="A33157" s="4" t="s">
        <v>41723</v>
      </c>
      <c r="B33157" s="4" t="s">
        <v>41730</v>
      </c>
      <c r="C33157" s="5" t="str">
        <f>IFERROR(__xludf.DUMMYFUNCTION("GOOGLETRANSLATE(B33157,""en"",""fr"")"),"Nous voyons une barre bleue en bas de l'écran.")</f>
        <v>Nous voyons une barre bleue en bas de l'écran.</v>
      </c>
    </row>
    <row r="33158">
      <c r="A33158" s="4" t="s">
        <v>41723</v>
      </c>
      <c r="B33158" s="4" t="s">
        <v>777</v>
      </c>
      <c r="C33158" s="5" t="str">
        <f>IFERROR(__xludf.DUMMYFUNCTION("GOOGLETRANSLATE(B33158,""en"",""fr"")"),"Nous voyons l'écran du titre de fin.")</f>
        <v>Nous voyons l'écran du titre de fin.</v>
      </c>
    </row>
    <row r="33159">
      <c r="A33159" s="4" t="s">
        <v>41731</v>
      </c>
      <c r="B33159" s="6" t="s">
        <v>41732</v>
      </c>
      <c r="C33159" s="5" t="str">
        <f>IFERROR(__xludf.DUMMYFUNCTION("GOOGLETRANSLATE(B33159,""en"",""fr"")"),"Un homme aux cheveux longs est vu se brosser le visage avec une brosse tout en levant sa main et en parlant à la caméra.")</f>
        <v>Un homme aux cheveux longs est vu se brosser le visage avec une brosse tout en levant sa main et en parlant à la caméra.</v>
      </c>
    </row>
    <row r="33160">
      <c r="A33160" s="4" t="s">
        <v>41731</v>
      </c>
      <c r="B33160" s="4" t="s">
        <v>41733</v>
      </c>
      <c r="C33160" s="5" t="str">
        <f>IFERROR(__xludf.DUMMYFUNCTION("GOOGLETRANSLATE(B33160,""en"",""fr"")"),"Il tient ensuite la brosse et attrape son sweat à capuche tout en souriant à la caméra.")</f>
        <v>Il tient ensuite la brosse et attrape son sweat à capuche tout en souriant à la caméra.</v>
      </c>
    </row>
    <row r="33161">
      <c r="A33161" s="4" t="s">
        <v>41734</v>
      </c>
      <c r="B33161" s="4" t="s">
        <v>41735</v>
      </c>
      <c r="C33161" s="5" t="str">
        <f>IFERROR(__xludf.DUMMYFUNCTION("GOOGLETRANSLATE(B33161,""en"",""fr"")"),"L'intro mène à un homme épongeant la saleté sur un sol et montrant les outils par la suite.")</f>
        <v>L'intro mène à un homme épongeant la saleté sur un sol et montrant les outils par la suite.</v>
      </c>
    </row>
    <row r="33162">
      <c r="A33162" s="4" t="s">
        <v>41734</v>
      </c>
      <c r="B33162" s="6" t="s">
        <v>41736</v>
      </c>
      <c r="C33162" s="5" t="str">
        <f>IFERROR(__xludf.DUMMYFUNCTION("GOOGLETRANSLATE(B33162,""en"",""fr"")"),"Plusieurs plans de vadrouilles poussant autour de la saleté sont montrés suivis par la meilleure vadrouille plongeante dans l'eau et coulée sur une table.")</f>
        <v>Plusieurs plans de vadrouilles poussant autour de la saleté sont montrés suivis par la meilleure vadrouille plongeante dans l'eau et coulée sur une table.</v>
      </c>
    </row>
    <row r="33163">
      <c r="A33163" s="4" t="s">
        <v>41734</v>
      </c>
      <c r="B33163" s="4" t="s">
        <v>41737</v>
      </c>
      <c r="C33163" s="5" t="str">
        <f>IFERROR(__xludf.DUMMYFUNCTION("GOOGLETRANSLATE(B33163,""en"",""fr"")"),"Une vadrouille 3D montre comment cela fonctionne avec une femme en train de nettoyer les choses sur son étage.")</f>
        <v>Une vadrouille 3D montre comment cela fonctionne avec une femme en train de nettoyer les choses sur son étage.</v>
      </c>
    </row>
    <row r="33164">
      <c r="A33164" s="4" t="s">
        <v>41734</v>
      </c>
      <c r="B33164" s="6" t="s">
        <v>41738</v>
      </c>
      <c r="C33164" s="5" t="str">
        <f>IFERROR(__xludf.DUMMYFUNCTION("GOOGLETRANSLATE(B33164,""en"",""fr"")"),"Plusieurs autres plans de nettoyage de personnes sont montrés ainsi que des gens en haussant les épaules et où acheter les vadrouilles.")</f>
        <v>Plusieurs autres plans de nettoyage de personnes sont montrés ainsi que des gens en haussant les épaules et où acheter les vadrouilles.</v>
      </c>
    </row>
    <row r="33165">
      <c r="A33165" s="4" t="s">
        <v>41739</v>
      </c>
      <c r="B33165" s="4" t="s">
        <v>41740</v>
      </c>
      <c r="C33165" s="5" t="str">
        <f>IFERROR(__xludf.DUMMYFUNCTION("GOOGLETRANSLATE(B33165,""en"",""fr"")"),"Un homme est vu en tenant une torche et commence à l'utiliser tout en tirant son masque vers le bas.")</f>
        <v>Un homme est vu en tenant une torche et commence à l'utiliser tout en tirant son masque vers le bas.</v>
      </c>
    </row>
    <row r="33166">
      <c r="A33166" s="4" t="s">
        <v>41739</v>
      </c>
      <c r="B33166" s="4" t="s">
        <v>41741</v>
      </c>
      <c r="C33166" s="5" t="str">
        <f>IFERROR(__xludf.DUMMYFUNCTION("GOOGLETRANSLATE(B33166,""en"",""fr"")"),"L'homme s'éteint en continu avec la machine sur un morceau de métal.")</f>
        <v>L'homme s'éteint en continu avec la machine sur un morceau de métal.</v>
      </c>
    </row>
    <row r="33167">
      <c r="A33167" s="4" t="s">
        <v>41739</v>
      </c>
      <c r="B33167" s="4" t="s">
        <v>41742</v>
      </c>
      <c r="C33167" s="5" t="str">
        <f>IFERROR(__xludf.DUMMYFUNCTION("GOOGLETRANSLATE(B33167,""en"",""fr"")"),"Il s'arrête à la fin en enlevant son masque et en regardant dans la caméra.")</f>
        <v>Il s'arrête à la fin en enlevant son masque et en regardant dans la caméra.</v>
      </c>
    </row>
    <row r="33168">
      <c r="A33168" s="4" t="s">
        <v>41743</v>
      </c>
      <c r="B33168" s="4" t="s">
        <v>41744</v>
      </c>
      <c r="C33168" s="5" t="str">
        <f>IFERROR(__xludf.DUMMYFUNCTION("GOOGLETRANSLATE(B33168,""en"",""fr"")"),"Une femme et une jeune fille sont vues à la caméra tout en tenant un jouet.")</f>
        <v>Une femme et une jeune fille sont vues à la caméra tout en tenant un jouet.</v>
      </c>
    </row>
    <row r="33169">
      <c r="A33169" s="4" t="s">
        <v>41743</v>
      </c>
      <c r="B33169" s="6" t="s">
        <v>41745</v>
      </c>
      <c r="C33169" s="5" t="str">
        <f>IFERROR(__xludf.DUMMYFUNCTION("GOOGLETRANSLATE(B33169,""en"",""fr"")"),"Les deux créent un jeu Scotch avec le jouet et le posent sur le sol et montrent la mousse.")</f>
        <v>Les deux créent un jeu Scotch avec le jouet et le posent sur le sol et montrent la mousse.</v>
      </c>
    </row>
    <row r="33170">
      <c r="A33170" s="4" t="s">
        <v>41743</v>
      </c>
      <c r="B33170" s="4" t="s">
        <v>41746</v>
      </c>
      <c r="C33170" s="5" t="str">
        <f>IFERROR(__xludf.DUMMYFUNCTION("GOOGLETRANSLATE(B33170,""en"",""fr"")"),"La femme parle à la caméra pendant que la fille saute le long du jeu.")</f>
        <v>La femme parle à la caméra pendant que la fille saute le long du jeu.</v>
      </c>
    </row>
    <row r="33171">
      <c r="A33171" s="4" t="s">
        <v>41747</v>
      </c>
      <c r="B33171" s="6" t="s">
        <v>41748</v>
      </c>
      <c r="C33171" s="5" t="str">
        <f>IFERROR(__xludf.DUMMYFUNCTION("GOOGLETRANSLATE(B33171,""en"",""fr"")"),"Une femme est vue parler à la caméra tout en tenant un violon et continue avec elle jouant du violon et s'arrêtant.")</f>
        <v>Une femme est vue parler à la caméra tout en tenant un violon et continue avec elle jouant du violon et s'arrêtant.</v>
      </c>
    </row>
    <row r="33172">
      <c r="A33172" s="4" t="s">
        <v>41747</v>
      </c>
      <c r="B33172" s="6" t="s">
        <v>41749</v>
      </c>
      <c r="C33172" s="5" t="str">
        <f>IFERROR(__xludf.DUMMYFUNCTION("GOOGLETRANSLATE(B33172,""en"",""fr"")"),"La femme continue de jouer de l'instrument et de s'arrêter pour parler à la caméra et montrer comment jouer.")</f>
        <v>La femme continue de jouer de l'instrument et de s'arrêter pour parler à la caméra et montrer comment jouer.</v>
      </c>
    </row>
    <row r="33173">
      <c r="A33173" s="4" t="s">
        <v>41750</v>
      </c>
      <c r="B33173" s="6" t="s">
        <v>41751</v>
      </c>
      <c r="C33173" s="5" t="str">
        <f>IFERROR(__xludf.DUMMYFUNCTION("GOOGLETRANSLATE(B33173,""en"",""fr"")"),"Une vidéo est montrée d'une vue à la première personne de quelqu'un explorant un grand champ ouvert sur le chemin d'une piste.")</f>
        <v>Une vidéo est montrée d'une vue à la première personne de quelqu'un explorant un grand champ ouvert sur le chemin d'une piste.</v>
      </c>
    </row>
    <row r="33174">
      <c r="A33174" s="4" t="s">
        <v>41750</v>
      </c>
      <c r="B33174" s="4" t="s">
        <v>41752</v>
      </c>
      <c r="C33174" s="5" t="str">
        <f>IFERROR(__xludf.DUMMYFUNCTION("GOOGLETRANSLATE(B33174,""en"",""fr"")"),"Ensuite, la personne pose la caméra et commence à travailler sur la piste.")</f>
        <v>Ensuite, la personne pose la caméra et commence à travailler sur la piste.</v>
      </c>
    </row>
    <row r="33175">
      <c r="A33175" s="4" t="s">
        <v>41750</v>
      </c>
      <c r="B33175" s="4" t="s">
        <v>41753</v>
      </c>
      <c r="C33175" s="5" t="str">
        <f>IFERROR(__xludf.DUMMYFUNCTION("GOOGLETRANSLATE(B33175,""en"",""fr"")"),"Les gars enlèvent son costume de piste et continuent de s'entraîner.")</f>
        <v>Les gars enlèvent son costume de piste et continuent de s'entraîner.</v>
      </c>
    </row>
    <row r="33176">
      <c r="A33176" s="4" t="s">
        <v>41750</v>
      </c>
      <c r="B33176" s="4" t="s">
        <v>41754</v>
      </c>
      <c r="C33176" s="5" t="str">
        <f>IFERROR(__xludf.DUMMYFUNCTION("GOOGLETRANSLATE(B33176,""en"",""fr"")"),"Il se retourne dans l'air et atterrit sur un tas de sable.")</f>
        <v>Il se retourne dans l'air et atterrit sur un tas de sable.</v>
      </c>
    </row>
    <row r="33177">
      <c r="A33177" s="4" t="s">
        <v>41750</v>
      </c>
      <c r="B33177" s="4" t="s">
        <v>41755</v>
      </c>
      <c r="C33177" s="5" t="str">
        <f>IFERROR(__xludf.DUMMYFUNCTION("GOOGLETRANSLATE(B33177,""en"",""fr"")"),"Il procède à des mouvements de danse de pause avant la fin de la vidéo.")</f>
        <v>Il procède à des mouvements de danse de pause avant la fin de la vidéo.</v>
      </c>
    </row>
    <row r="33178">
      <c r="A33178" s="4" t="s">
        <v>41756</v>
      </c>
      <c r="B33178" s="4" t="s">
        <v>41757</v>
      </c>
      <c r="C33178" s="5" t="str">
        <f>IFERROR(__xludf.DUMMYFUNCTION("GOOGLETRANSLATE(B33178,""en"",""fr"")"),"Les équipes jouent au hockey sur glace au centre afin que tous ceux qui sont assis peuvent les regarder.")</f>
        <v>Les équipes jouent au hockey sur glace au centre afin que tous ceux qui sont assis peuvent les regarder.</v>
      </c>
    </row>
    <row r="33179">
      <c r="A33179" s="4" t="s">
        <v>41756</v>
      </c>
      <c r="B33179" s="4" t="s">
        <v>41758</v>
      </c>
      <c r="C33179" s="5" t="str">
        <f>IFERROR(__xludf.DUMMYFUNCTION("GOOGLETRANSLATE(B33179,""en"",""fr"")"),"L'équipe bleue marque un but d'abord, puis les gens commencent à applaudir et à applaudir.")</f>
        <v>L'équipe bleue marque un but d'abord, puis les gens commencent à applaudir et à applaudir.</v>
      </c>
    </row>
    <row r="33180">
      <c r="A33180" s="4" t="s">
        <v>41756</v>
      </c>
      <c r="B33180" s="4" t="s">
        <v>41759</v>
      </c>
      <c r="C33180" s="5" t="str">
        <f>IFERROR(__xludf.DUMMYFUNCTION("GOOGLETRANSLATE(B33180,""en"",""fr"")"),"Ensuite, l'équipe bleue en marque une autre et la foule se déchaîne.")</f>
        <v>Ensuite, l'équipe bleue en marque une autre et la foule se déchaîne.</v>
      </c>
    </row>
    <row r="33181">
      <c r="A33181" s="4" t="s">
        <v>41760</v>
      </c>
      <c r="B33181" s="4" t="s">
        <v>41761</v>
      </c>
      <c r="C33181" s="5" t="str">
        <f>IFERROR(__xludf.DUMMYFUNCTION("GOOGLETRANSLATE(B33181,""en"",""fr"")"),"Une femme est vue se pencher devant la caméra et allumer un robinet d'eau.")</f>
        <v>Une femme est vue se pencher devant la caméra et allumer un robinet d'eau.</v>
      </c>
    </row>
    <row r="33182">
      <c r="A33182" s="4" t="s">
        <v>41760</v>
      </c>
      <c r="B33182" s="6" t="s">
        <v>41762</v>
      </c>
      <c r="C33182" s="5" t="str">
        <f>IFERROR(__xludf.DUMMYFUNCTION("GOOGLETRANSLATE(B33182,""en"",""fr"")"),"La femme continue utilise l'eau et commence à frotter une chemise et à marcher dans les seaux.")</f>
        <v>La femme continue utilise l'eau et commence à frotter une chemise et à marcher dans les seaux.</v>
      </c>
    </row>
    <row r="33183">
      <c r="A33183" s="4" t="s">
        <v>41760</v>
      </c>
      <c r="B33183" s="4" t="s">
        <v>41763</v>
      </c>
      <c r="C33183" s="5" t="str">
        <f>IFERROR(__xludf.DUMMYFUNCTION("GOOGLETRANSLATE(B33183,""en"",""fr"")"),"Plus de coups sont montrés qu'ils nettoient les vêtements et se terminent en les raccrochant.")</f>
        <v>Plus de coups sont montrés qu'ils nettoient les vêtements et se terminent en les raccrochant.</v>
      </c>
    </row>
    <row r="33184">
      <c r="A33184" s="4" t="s">
        <v>41764</v>
      </c>
      <c r="B33184" s="4" t="s">
        <v>41765</v>
      </c>
      <c r="C33184" s="5" t="str">
        <f>IFERROR(__xludf.DUMMYFUNCTION("GOOGLETRANSLATE(B33184,""en"",""fr"")"),"Un homme conduit une voiture à travers une fenêtre.")</f>
        <v>Un homme conduit une voiture à travers une fenêtre.</v>
      </c>
    </row>
    <row r="33185">
      <c r="A33185" s="4" t="s">
        <v>41764</v>
      </c>
      <c r="B33185" s="4" t="s">
        <v>41766</v>
      </c>
      <c r="C33185" s="5" t="str">
        <f>IFERROR(__xludf.DUMMYFUNCTION("GOOGLETRANSLATE(B33185,""en"",""fr"")"),"Il obtient une passe dans un parc.")</f>
        <v>Il obtient une passe dans un parc.</v>
      </c>
    </row>
    <row r="33186">
      <c r="A33186" s="4" t="s">
        <v>41764</v>
      </c>
      <c r="B33186" s="4" t="s">
        <v>41767</v>
      </c>
      <c r="C33186" s="5" t="str">
        <f>IFERROR(__xludf.DUMMYFUNCTION("GOOGLETRANSLATE(B33186,""en"",""fr"")"),"Il est montré en conduisant, en marchant et en chevauchant des chevaux alors qu'il explore la région.")</f>
        <v>Il est montré en conduisant, en marchant et en chevauchant des chevaux alors qu'il explore la région.</v>
      </c>
    </row>
    <row r="33187">
      <c r="A33187" s="4" t="s">
        <v>41768</v>
      </c>
      <c r="B33187" s="4" t="s">
        <v>41769</v>
      </c>
      <c r="C33187" s="5" t="str">
        <f>IFERROR(__xludf.DUMMYFUNCTION("GOOGLETRANSLATE(B33187,""en"",""fr"")"),"Une fille saute et se balance sur les barres d'équilibre.")</f>
        <v>Une fille saute et se balance sur les barres d'équilibre.</v>
      </c>
    </row>
    <row r="33188">
      <c r="A33188" s="4" t="s">
        <v>41768</v>
      </c>
      <c r="B33188" s="4" t="s">
        <v>41770</v>
      </c>
      <c r="C33188" s="5" t="str">
        <f>IFERROR(__xludf.DUMMYFUNCTION("GOOGLETRANSLATE(B33188,""en"",""fr"")"),"Une femme en chemise noire se tient sous elle en regardant.")</f>
        <v>Une femme en chemise noire se tient sous elle en regardant.</v>
      </c>
    </row>
    <row r="33189">
      <c r="A33189" s="4" t="s">
        <v>41768</v>
      </c>
      <c r="B33189" s="4" t="s">
        <v>41771</v>
      </c>
      <c r="C33189" s="5" t="str">
        <f>IFERROR(__xludf.DUMMYFUNCTION("GOOGLETRANSLATE(B33189,""en"",""fr"")"),"Elle l'aide à sauter et à atterrir sur un tapis.")</f>
        <v>Elle l'aide à sauter et à atterrir sur un tapis.</v>
      </c>
    </row>
    <row r="33190">
      <c r="A33190" s="4" t="s">
        <v>41772</v>
      </c>
      <c r="B33190" s="4" t="s">
        <v>41773</v>
      </c>
      <c r="C33190" s="5" t="str">
        <f>IFERROR(__xludf.DUMMYFUNCTION("GOOGLETRANSLATE(B33190,""en"",""fr"")"),"Une gymnaste a mis du pouvoir de puissance sur ses mains et se tient près du cheval pommel.")</f>
        <v>Une gymnaste a mis du pouvoir de puissance sur ses mains et se tient près du cheval pommel.</v>
      </c>
    </row>
    <row r="33191">
      <c r="A33191" s="4" t="s">
        <v>41772</v>
      </c>
      <c r="B33191" s="4" t="s">
        <v>41774</v>
      </c>
      <c r="C33191" s="5" t="str">
        <f>IFERROR(__xludf.DUMMYFUNCTION("GOOGLETRANSLATE(B33191,""en"",""fr"")"),"Ensuite, la gymnaste s'approche du cheval Pommel pour tourner plusieurs fois.")</f>
        <v>Ensuite, la gymnaste s'approche du cheval Pommel pour tourner plusieurs fois.</v>
      </c>
    </row>
    <row r="33192">
      <c r="A33192" s="4" t="s">
        <v>41772</v>
      </c>
      <c r="B33192" s="4" t="s">
        <v>41775</v>
      </c>
      <c r="C33192" s="5" t="str">
        <f>IFERROR(__xludf.DUMMYFUNCTION("GOOGLETRANSLATE(B33192,""en"",""fr"")"),"Ensuite, la gymnaste se tient sur sa main et saute pour atterrir sur le sol, tandis que les gens applaudissent.")</f>
        <v>Ensuite, la gymnaste se tient sur sa main et saute pour atterrir sur le sol, tandis que les gens applaudissent.</v>
      </c>
    </row>
    <row r="33193">
      <c r="A33193" s="4" t="s">
        <v>41776</v>
      </c>
      <c r="B33193" s="4" t="s">
        <v>41777</v>
      </c>
      <c r="C33193" s="5" t="str">
        <f>IFERROR(__xludf.DUMMYFUNCTION("GOOGLETRANSLATE(B33193,""en"",""fr"")"),"Un homme se dirige vers le côté d'une cabine.")</f>
        <v>Un homme se dirige vers le côté d'une cabine.</v>
      </c>
    </row>
    <row r="33194">
      <c r="A33194" s="4" t="s">
        <v>41776</v>
      </c>
      <c r="B33194" s="4" t="s">
        <v>41778</v>
      </c>
      <c r="C33194" s="5" t="str">
        <f>IFERROR(__xludf.DUMMYFUNCTION("GOOGLETRANSLATE(B33194,""en"",""fr"")"),"Il utilise un grand couteau pour couper l'herbe.")</f>
        <v>Il utilise un grand couteau pour couper l'herbe.</v>
      </c>
    </row>
    <row r="33195">
      <c r="A33195" s="4" t="s">
        <v>41776</v>
      </c>
      <c r="B33195" s="4" t="s">
        <v>41779</v>
      </c>
      <c r="C33195" s="5" t="str">
        <f>IFERROR(__xludf.DUMMYFUNCTION("GOOGLETRANSLATE(B33195,""en"",""fr"")"),"Il balance le couteau d'avant en arrière, coupant l'herbe et les mauvaises herbes.")</f>
        <v>Il balance le couteau d'avant en arrière, coupant l'herbe et les mauvaises herbes.</v>
      </c>
    </row>
    <row r="33196">
      <c r="A33196" s="4" t="s">
        <v>41780</v>
      </c>
      <c r="B33196" s="4" t="s">
        <v>41781</v>
      </c>
      <c r="C33196" s="5" t="str">
        <f>IFERROR(__xludf.DUMMYFUNCTION("GOOGLETRANSLATE(B33196,""en"",""fr"")"),"Une femme se tient sur un champ pendant que les gens sont rassemblés derrière elle.")</f>
        <v>Une femme se tient sur un champ pendant que les gens sont rassemblés derrière elle.</v>
      </c>
    </row>
    <row r="33197">
      <c r="A33197" s="4" t="s">
        <v>41780</v>
      </c>
      <c r="B33197" s="4" t="s">
        <v>41782</v>
      </c>
      <c r="C33197" s="5" t="str">
        <f>IFERROR(__xludf.DUMMYFUNCTION("GOOGLETRANSLATE(B33197,""en"",""fr"")"),"Plusieurs personnes courent ensemble, se poursuivant.")</f>
        <v>Plusieurs personnes courent ensemble, se poursuivant.</v>
      </c>
    </row>
    <row r="33198">
      <c r="A33198" s="4" t="s">
        <v>41780</v>
      </c>
      <c r="B33198" s="4" t="s">
        <v>41783</v>
      </c>
      <c r="C33198" s="5" t="str">
        <f>IFERROR(__xludf.DUMMYFUNCTION("GOOGLETRANSLATE(B33198,""en"",""fr"")"),"Les enfants sont montrés de près à la fin.")</f>
        <v>Les enfants sont montrés de près à la fin.</v>
      </c>
    </row>
    <row r="33199">
      <c r="A33199" s="4" t="s">
        <v>41784</v>
      </c>
      <c r="B33199" s="4" t="s">
        <v>41785</v>
      </c>
      <c r="C33199" s="5" t="str">
        <f>IFERROR(__xludf.DUMMYFUNCTION("GOOGLETRANSLATE(B33199,""en"",""fr"")"),"Un garçon dans une chemise verte monte sur un tabouret pour atteindre l'évier.")</f>
        <v>Un garçon dans une chemise verte monte sur un tabouret pour atteindre l'évier.</v>
      </c>
    </row>
    <row r="33200">
      <c r="A33200" s="4" t="s">
        <v>41784</v>
      </c>
      <c r="B33200" s="4" t="s">
        <v>41786</v>
      </c>
      <c r="C33200" s="5" t="str">
        <f>IFERROR(__xludf.DUMMYFUNCTION("GOOGLETRANSLATE(B33200,""en"",""fr"")"),"Une femme se tient à côté de lui.")</f>
        <v>Une femme se tient à côté de lui.</v>
      </c>
    </row>
    <row r="33201">
      <c r="A33201" s="4" t="s">
        <v>41784</v>
      </c>
      <c r="B33201" s="4" t="s">
        <v>41787</v>
      </c>
      <c r="C33201" s="5" t="str">
        <f>IFERROR(__xludf.DUMMYFUNCTION("GOOGLETRANSLATE(B33201,""en"",""fr"")"),"Le petit garçon se lave les mains dans l'évier.")</f>
        <v>Le petit garçon se lave les mains dans l'évier.</v>
      </c>
    </row>
    <row r="33202">
      <c r="A33202" s="4" t="s">
        <v>41784</v>
      </c>
      <c r="B33202" s="4" t="s">
        <v>41788</v>
      </c>
      <c r="C33202" s="5" t="str">
        <f>IFERROR(__xludf.DUMMYFUNCTION("GOOGLETRANSLATE(B33202,""en"",""fr"")"),"Elle essuie l'évier avec une serviette en papier.")</f>
        <v>Elle essuie l'évier avec une serviette en papier.</v>
      </c>
    </row>
    <row r="33203">
      <c r="A33203" s="4" t="s">
        <v>41784</v>
      </c>
      <c r="B33203" s="4" t="s">
        <v>41789</v>
      </c>
      <c r="C33203" s="5" t="str">
        <f>IFERROR(__xludf.DUMMYFUNCTION("GOOGLETRANSLATE(B33203,""en"",""fr"")"),"Le garçon sèche ses mains avec une serviette.")</f>
        <v>Le garçon sèche ses mains avec une serviette.</v>
      </c>
    </row>
    <row r="33204">
      <c r="A33204" s="4" t="s">
        <v>41790</v>
      </c>
      <c r="B33204" s="4" t="s">
        <v>41791</v>
      </c>
      <c r="C33204" s="5" t="str">
        <f>IFERROR(__xludf.DUMMYFUNCTION("GOOGLETRANSLATE(B33204,""en"",""fr"")"),"Une femme est vue en parlant à la caméra chez un concessionnaire et mène à plusieurs gros plans d'une voiture.")</f>
        <v>Une femme est vue en parlant à la caméra chez un concessionnaire et mène à plusieurs gros plans d'une voiture.</v>
      </c>
    </row>
    <row r="33205">
      <c r="A33205" s="4" t="s">
        <v>41790</v>
      </c>
      <c r="B33205" s="4" t="s">
        <v>41792</v>
      </c>
      <c r="C33205" s="5" t="str">
        <f>IFERROR(__xludf.DUMMYFUNCTION("GOOGLETRANSLATE(B33205,""en"",""fr"")"),"La femme présente alors divers outils et commence à retirer le pneu de la voiture.")</f>
        <v>La femme présente alors divers outils et commence à retirer le pneu de la voiture.</v>
      </c>
    </row>
    <row r="33206">
      <c r="A33206" s="4" t="s">
        <v>41790</v>
      </c>
      <c r="B33206" s="6" t="s">
        <v>41793</v>
      </c>
      <c r="C33206" s="5" t="str">
        <f>IFERROR(__xludf.DUMMYFUNCTION("GOOGLETRANSLATE(B33206,""en"",""fr"")"),"Elle sort un nouveau pneu et le place sur la voiture, le vissant en place et montrant où le pneu se trouve dans le coffre.")</f>
        <v>Elle sort un nouveau pneu et le place sur la voiture, le vissant en place et montrant où le pneu se trouve dans le coffre.</v>
      </c>
    </row>
    <row r="33207">
      <c r="A33207" s="4" t="s">
        <v>41790</v>
      </c>
      <c r="B33207" s="4" t="s">
        <v>41794</v>
      </c>
      <c r="C33207" s="5" t="str">
        <f>IFERROR(__xludf.DUMMYFUNCTION("GOOGLETRANSLATE(B33207,""en"",""fr"")"),"Elle ferme le coffre et montre la voiture tout en parlant à la caméra.")</f>
        <v>Elle ferme le coffre et montre la voiture tout en parlant à la caméra.</v>
      </c>
    </row>
    <row r="33208">
      <c r="A33208" s="4" t="s">
        <v>41795</v>
      </c>
      <c r="B33208" s="6" t="s">
        <v>41796</v>
      </c>
      <c r="C33208" s="5" t="str">
        <f>IFERROR(__xludf.DUMMYFUNCTION("GOOGLETRANSLATE(B33208,""en"",""fr"")"),"Un grand groupe de personnes est vue assise sur une plage qui mène à plusieurs personnes assises sur des bateaux à voile et roulant.")</f>
        <v>Un grand groupe de personnes est vue assise sur une plage qui mène à plusieurs personnes assises sur des bateaux à voile et roulant.</v>
      </c>
    </row>
    <row r="33209">
      <c r="A33209" s="4" t="s">
        <v>41795</v>
      </c>
      <c r="B33209" s="6" t="s">
        <v>41797</v>
      </c>
      <c r="C33209" s="5" t="str">
        <f>IFERROR(__xludf.DUMMYFUNCTION("GOOGLETRANSLATE(B33209,""en"",""fr"")"),"Les différents bateaux continuent de rouler dans toute l'eau avec le vainqueur sautant dans l'eau et se tenant fièrement sur le podium.")</f>
        <v>Les différents bateaux continuent de rouler dans toute l'eau avec le vainqueur sautant dans l'eau et se tenant fièrement sur le podium.</v>
      </c>
    </row>
    <row r="33210">
      <c r="A33210" s="4" t="s">
        <v>41798</v>
      </c>
      <c r="B33210" s="4" t="s">
        <v>41799</v>
      </c>
      <c r="C33210" s="5" t="str">
        <f>IFERROR(__xludf.DUMMYFUNCTION("GOOGLETRANSLATE(B33210,""en"",""fr"")"),"Une femme parle dans les nouvelles parlant d'un joueur de baseball de Los Angeles.")</f>
        <v>Une femme parle dans les nouvelles parlant d'un joueur de baseball de Los Angeles.</v>
      </c>
    </row>
    <row r="33211">
      <c r="A33211" s="4" t="s">
        <v>41798</v>
      </c>
      <c r="B33211" s="6" t="s">
        <v>41800</v>
      </c>
      <c r="C33211" s="5" t="str">
        <f>IFERROR(__xludf.DUMMYFUNCTION("GOOGLETRANSLATE(B33211,""en"",""fr"")"),"Je suis dans un terrain de rue en jouant au Dodgeball portant un uniforme Dodgers, les gens regardent le match et les voitures passent dans la rue.")</f>
        <v>Je suis dans un terrain de rue en jouant au Dodgeball portant un uniforme Dodgers, les gens regardent le match et les voitures passent dans la rue.</v>
      </c>
    </row>
    <row r="33212">
      <c r="A33212" s="4" t="s">
        <v>41798</v>
      </c>
      <c r="B33212" s="6" t="s">
        <v>41801</v>
      </c>
      <c r="C33212" s="5" t="str">
        <f>IFERROR(__xludf.DUMMYFUNCTION("GOOGLETRANSLATE(B33212,""en"",""fr"")"),"Les hommes portant un uniforme Dodgers sont montrés sur des photos dans un terrain de baseball sur les terrasses et la femme aux nouvelles en parlant d'eux.")</f>
        <v>Les hommes portant un uniforme Dodgers sont montrés sur des photos dans un terrain de baseball sur les terrasses et la femme aux nouvelles en parlant d'eux.</v>
      </c>
    </row>
    <row r="33213">
      <c r="A33213" s="4" t="s">
        <v>41802</v>
      </c>
      <c r="B33213" s="4" t="s">
        <v>41803</v>
      </c>
      <c r="C33213" s="5" t="str">
        <f>IFERROR(__xludf.DUMMYFUNCTION("GOOGLETRANSLATE(B33213,""en"",""fr"")"),"Un enfant joue un violon sur scène lors d'une performance en solo.")</f>
        <v>Un enfant joue un violon sur scène lors d'une performance en solo.</v>
      </c>
    </row>
    <row r="33214">
      <c r="A33214" s="4" t="s">
        <v>41802</v>
      </c>
      <c r="B33214" s="4" t="s">
        <v>41804</v>
      </c>
      <c r="C33214" s="5" t="str">
        <f>IFERROR(__xludf.DUMMYFUNCTION("GOOGLETRANSLATE(B33214,""en"",""fr"")"),"Un homme regarde avec intérêt du côté de la scène.")</f>
        <v>Un homme regarde avec intérêt du côté de la scène.</v>
      </c>
    </row>
    <row r="33215">
      <c r="A33215" s="4" t="s">
        <v>41802</v>
      </c>
      <c r="B33215" s="4" t="s">
        <v>41805</v>
      </c>
      <c r="C33215" s="5" t="str">
        <f>IFERROR(__xludf.DUMMYFUNCTION("GOOGLETRANSLATE(B33215,""en"",""fr"")"),"La fille s'arrête brièvement puis recommence à jouer.")</f>
        <v>La fille s'arrête brièvement puis recommence à jouer.</v>
      </c>
    </row>
    <row r="33216">
      <c r="A33216" s="4" t="s">
        <v>41802</v>
      </c>
      <c r="B33216" s="4" t="s">
        <v>41806</v>
      </c>
      <c r="C33216" s="5" t="str">
        <f>IFERROR(__xludf.DUMMYFUNCTION("GOOGLETRANSLATE(B33216,""en"",""fr"")"),"La fille abaisse son violon et sa baguette à la fin de la performance.")</f>
        <v>La fille abaisse son violon et sa baguette à la fin de la performance.</v>
      </c>
    </row>
    <row r="33217">
      <c r="A33217" s="4" t="s">
        <v>41807</v>
      </c>
      <c r="B33217" s="4" t="s">
        <v>41808</v>
      </c>
      <c r="C33217" s="5" t="str">
        <f>IFERROR(__xludf.DUMMYFUNCTION("GOOGLETRANSLATE(B33217,""en"",""fr"")"),"Une caméra se déroule autour d'une clôture clôturée et mène à une femme tenant un pinceau.")</f>
        <v>Une caméra se déroule autour d'une clôture clôturée et mène à une femme tenant un pinceau.</v>
      </c>
    </row>
    <row r="33218">
      <c r="A33218" s="4" t="s">
        <v>41807</v>
      </c>
      <c r="B33218" s="6" t="s">
        <v>41809</v>
      </c>
      <c r="C33218" s="5" t="str">
        <f>IFERROR(__xludf.DUMMYFUNCTION("GOOGLETRANSLATE(B33218,""en"",""fr"")"),"Elle frôle le côté de la clôture de haut en bas pendant que la caméra continue de regarder autour du côté.")</f>
        <v>Elle frôle le côté de la clôture de haut en bas pendant que la caméra continue de regarder autour du côté.</v>
      </c>
    </row>
    <row r="33219">
      <c r="A33219" s="4" t="s">
        <v>41810</v>
      </c>
      <c r="B33219" s="6" t="s">
        <v>41811</v>
      </c>
      <c r="C33219" s="5" t="str">
        <f>IFERROR(__xludf.DUMMYFUNCTION("GOOGLETRANSLATE(B33219,""en"",""fr"")"),"Une intro mène à un homme qui parle et sourit dans une caméra et plusieurs plans de personnes préparant un bateau et roulant le long de l'eau.")</f>
        <v>Une intro mène à un homme qui parle et sourit dans une caméra et plusieurs plans de personnes préparant un bateau et roulant le long de l'eau.</v>
      </c>
    </row>
    <row r="33220">
      <c r="A33220" s="4" t="s">
        <v>41810</v>
      </c>
      <c r="B33220" s="6" t="s">
        <v>41812</v>
      </c>
      <c r="C33220" s="5" t="str">
        <f>IFERROR(__xludf.DUMMYFUNCTION("GOOGLETRANSLATE(B33220,""en"",""fr"")"),"Une autre femme est vue en parlant à la caméra suivie de plusieurs autres photos du bateau le long de l'eau et des gens qui roulent et dirigent le bateau.")</f>
        <v>Une autre femme est vue en parlant à la caméra suivie de plusieurs autres photos du bateau le long de l'eau et des gens qui roulent et dirigent le bateau.</v>
      </c>
    </row>
    <row r="33221">
      <c r="A33221" s="4" t="s">
        <v>41813</v>
      </c>
      <c r="B33221" s="6" t="s">
        <v>41814</v>
      </c>
      <c r="C33221" s="5" t="str">
        <f>IFERROR(__xludf.DUMMYFUNCTION("GOOGLETRANSLATE(B33221,""en"",""fr"")"),"Trois hommes sont vus marcher au ralenti tandis qu'une autre fille entre dans le cadre et le groupe saisit des tubes d'une pile.")</f>
        <v>Trois hommes sont vus marcher au ralenti tandis qu'une autre fille entre dans le cadre et le groupe saisit des tubes d'une pile.</v>
      </c>
    </row>
    <row r="33222">
      <c r="A33222" s="4" t="s">
        <v>41813</v>
      </c>
      <c r="B33222" s="4" t="s">
        <v>41815</v>
      </c>
      <c r="C33222" s="5" t="str">
        <f>IFERROR(__xludf.DUMMYFUNCTION("GOOGLETRANSLATE(B33222,""en"",""fr"")"),"Les gens parlent de la caméra et sont ensuite vus assis dans les tubes et flottant sur une rivière.")</f>
        <v>Les gens parlent de la caméra et sont ensuite vus assis dans les tubes et flottant sur une rivière.</v>
      </c>
    </row>
    <row r="33223">
      <c r="A33223" s="4" t="s">
        <v>41813</v>
      </c>
      <c r="B33223" s="6" t="s">
        <v>41816</v>
      </c>
      <c r="C33223" s="5" t="str">
        <f>IFERROR(__xludf.DUMMYFUNCTION("GOOGLETRANSLATE(B33223,""en"",""fr"")"),"Les gens roulent en continu en bas de la rivière en se balançant en arrière et quatrième et sont ensuite vus assis dans un bus et se parlent.")</f>
        <v>Les gens roulent en continu en bas de la rivière en se balançant en arrière et quatrième et sont ensuite vus assis dans un bus et se parlent.</v>
      </c>
    </row>
    <row r="33224">
      <c r="A33224" s="4" t="s">
        <v>41817</v>
      </c>
      <c r="B33224" s="6" t="s">
        <v>41818</v>
      </c>
      <c r="C33224" s="5" t="str">
        <f>IFERROR(__xludf.DUMMYFUNCTION("GOOGLETRANSLATE(B33224,""en"",""fr"")"),"Un grand groupe de personnes est vu habillée en équipement de vacances et voit se jeter des objets.")</f>
        <v>Un grand groupe de personnes est vu habillée en équipement de vacances et voit se jeter des objets.</v>
      </c>
    </row>
    <row r="33225">
      <c r="A33225" s="4" t="s">
        <v>41817</v>
      </c>
      <c r="B33225" s="4" t="s">
        <v>41819</v>
      </c>
      <c r="C33225" s="5" t="str">
        <f>IFERROR(__xludf.DUMMYFUNCTION("GOOGLETRANSLATE(B33225,""en"",""fr"")"),"Les gens continuent de jouer au Dodgeball les uns contre les autres et se terminent en dansant au milieu.")</f>
        <v>Les gens continuent de jouer au Dodgeball les uns contre les autres et se terminent en dansant au milieu.</v>
      </c>
    </row>
    <row r="33226">
      <c r="A33226" s="4" t="s">
        <v>41820</v>
      </c>
      <c r="B33226" s="4" t="s">
        <v>41821</v>
      </c>
      <c r="C33226" s="5" t="str">
        <f>IFERROR(__xludf.DUMMYFUNCTION("GOOGLETRANSLATE(B33226,""en"",""fr"")"),"Un homme en chemise verte tient des papiers et parle à l'extérieur.")</f>
        <v>Un homme en chemise verte tient des papiers et parle à l'extérieur.</v>
      </c>
    </row>
    <row r="33227">
      <c r="A33227" s="4" t="s">
        <v>41820</v>
      </c>
      <c r="B33227" s="4" t="s">
        <v>41822</v>
      </c>
      <c r="C33227" s="5" t="str">
        <f>IFERROR(__xludf.DUMMYFUNCTION("GOOGLETRANSLATE(B33227,""en"",""fr"")"),"Il commence à déplacer de la saleté à côté d'un arbre avec sa main.")</f>
        <v>Il commence à déplacer de la saleté à côté d'un arbre avec sa main.</v>
      </c>
    </row>
    <row r="33228">
      <c r="A33228" s="4" t="s">
        <v>41820</v>
      </c>
      <c r="B33228" s="4" t="s">
        <v>41823</v>
      </c>
      <c r="C33228" s="5" t="str">
        <f>IFERROR(__xludf.DUMMYFUNCTION("GOOGLETRANSLATE(B33228,""en"",""fr"")"),"Il s'éloigne de l'arbre et continue de parler.")</f>
        <v>Il s'éloigne de l'arbre et continue de parler.</v>
      </c>
    </row>
    <row r="33229">
      <c r="A33229" s="4" t="s">
        <v>41824</v>
      </c>
      <c r="B33229" s="4" t="s">
        <v>41825</v>
      </c>
      <c r="C33229" s="5" t="str">
        <f>IFERROR(__xludf.DUMMYFUNCTION("GOOGLETRANSLATE(B33229,""en"",""fr"")"),"Plusieurs femmes s'agenouillent sur le sol et travaillent à la préparation d'une soupe.")</f>
        <v>Plusieurs femmes s'agenouillent sur le sol et travaillent à la préparation d'une soupe.</v>
      </c>
    </row>
    <row r="33230">
      <c r="A33230" s="4" t="s">
        <v>41824</v>
      </c>
      <c r="B33230" s="4" t="s">
        <v>41826</v>
      </c>
      <c r="C33230" s="5" t="str">
        <f>IFERROR(__xludf.DUMMYFUNCTION("GOOGLETRANSLATE(B33230,""en"",""fr"")"),"L'une des femmes choisit une partie de la nourriture de la râpe.")</f>
        <v>L'une des femmes choisit une partie de la nourriture de la râpe.</v>
      </c>
    </row>
    <row r="33231">
      <c r="A33231" s="4" t="s">
        <v>41824</v>
      </c>
      <c r="B33231" s="4" t="s">
        <v>41827</v>
      </c>
      <c r="C33231" s="5" t="str">
        <f>IFERROR(__xludf.DUMMYFUNCTION("GOOGLETRANSLATE(B33231,""en"",""fr"")"),"Une femme tranche une partie du légume blanc dans un bol jaune.")</f>
        <v>Une femme tranche une partie du légume blanc dans un bol jaune.</v>
      </c>
    </row>
    <row r="33232">
      <c r="A33232" s="4" t="s">
        <v>41828</v>
      </c>
      <c r="B33232" s="4" t="s">
        <v>41829</v>
      </c>
      <c r="C33232" s="5" t="str">
        <f>IFERROR(__xludf.DUMMYFUNCTION("GOOGLETRANSLATE(B33232,""en"",""fr"")"),"Un petit garçon porte une tonnelle sur le dos et souffler des feuilles d'une arrière-cour.")</f>
        <v>Un petit garçon porte une tonnelle sur le dos et souffler des feuilles d'une arrière-cour.</v>
      </c>
    </row>
    <row r="33233">
      <c r="A33233" s="4" t="s">
        <v>41828</v>
      </c>
      <c r="B33233" s="4" t="s">
        <v>41830</v>
      </c>
      <c r="C33233" s="5" t="str">
        <f>IFERROR(__xludf.DUMMYFUNCTION("GOOGLETRANSLATE(B33233,""en"",""fr"")"),"Ensuite, le petit garçon se rend dans un autre endroit pour souffler les feuilles.")</f>
        <v>Ensuite, le petit garçon se rend dans un autre endroit pour souffler les feuilles.</v>
      </c>
    </row>
    <row r="33234">
      <c r="A33234" s="4" t="s">
        <v>41828</v>
      </c>
      <c r="B33234" s="4" t="s">
        <v>41831</v>
      </c>
      <c r="C33234" s="5" t="str">
        <f>IFERROR(__xludf.DUMMYFUNCTION("GOOGLETRANSLATE(B33234,""en"",""fr"")"),"Après, le petit garçon souffle près d'un arbre.")</f>
        <v>Après, le petit garçon souffle près d'un arbre.</v>
      </c>
    </row>
    <row r="33235">
      <c r="A33235" s="4" t="s">
        <v>41832</v>
      </c>
      <c r="B33235" s="4" t="s">
        <v>41833</v>
      </c>
      <c r="C33235" s="5" t="str">
        <f>IFERROR(__xludf.DUMMYFUNCTION("GOOGLETRANSLATE(B33235,""en"",""fr"")"),"Un équipement d'exercice est assemblé par la technologie puis illustré en temps réel.")</f>
        <v>Un équipement d'exercice est assemblé par la technologie puis illustré en temps réel.</v>
      </c>
    </row>
    <row r="33236">
      <c r="A33236" s="4" t="s">
        <v>41832</v>
      </c>
      <c r="B33236" s="4" t="s">
        <v>41834</v>
      </c>
      <c r="C33236" s="5" t="str">
        <f>IFERROR(__xludf.DUMMYFUNCTION("GOOGLETRANSLATE(B33236,""en"",""fr"")"),"La main d'une personne tourne un bouton sur la machine et commence à courir sur la machine.")</f>
        <v>La main d'une personne tourne un bouton sur la machine et commence à courir sur la machine.</v>
      </c>
    </row>
    <row r="33237">
      <c r="A33237" s="4" t="s">
        <v>41832</v>
      </c>
      <c r="B33237" s="4" t="s">
        <v>41835</v>
      </c>
      <c r="C33237" s="5" t="str">
        <f>IFERROR(__xludf.DUMMYFUNCTION("GOOGLETRANSLATE(B33237,""en"",""fr"")"),"Des gros plans de ses pieds sont montrés ainsi que plusieurs autres angles de sa course.")</f>
        <v>Des gros plans de ses pieds sont montrés ainsi que plusieurs autres angles de sa course.</v>
      </c>
    </row>
    <row r="33238">
      <c r="A33238" s="4" t="s">
        <v>41836</v>
      </c>
      <c r="B33238" s="4" t="s">
        <v>41837</v>
      </c>
      <c r="C33238" s="5" t="str">
        <f>IFERROR(__xludf.DUMMYFUNCTION("GOOGLETRANSLATE(B33238,""en"",""fr"")"),"Une femme aux cheveux très longs se tient sur un balcon montrant la longueur de ses cheveux.")</f>
        <v>Une femme aux cheveux très longs se tient sur un balcon montrant la longueur de ses cheveux.</v>
      </c>
    </row>
    <row r="33239">
      <c r="A33239" s="4" t="s">
        <v>41836</v>
      </c>
      <c r="B33239" s="4" t="s">
        <v>41838</v>
      </c>
      <c r="C33239" s="5" t="str">
        <f>IFERROR(__xludf.DUMMYFUNCTION("GOOGLETRANSLATE(B33239,""en"",""fr"")"),"Elle se retourne et fait face à la caméra en continuant à se brosser les cheveux et à afficher sa longueur.")</f>
        <v>Elle se retourne et fait face à la caméra en continuant à se brosser les cheveux et à afficher sa longueur.</v>
      </c>
    </row>
    <row r="33240">
      <c r="A33240" s="4" t="s">
        <v>41836</v>
      </c>
      <c r="B33240" s="6" t="s">
        <v>41839</v>
      </c>
      <c r="C33240" s="5" t="str">
        <f>IFERROR(__xludf.DUMMYFUNCTION("GOOGLETRANSLATE(B33240,""en"",""fr"")"),"Elle commence à tournoyer et à influencer ses cheveux avec son dos à la caméra et c'est à ce moment que la vidéo se termine.")</f>
        <v>Elle commence à tournoyer et à influencer ses cheveux avec son dos à la caméra et c'est à ce moment que la vidéo se termine.</v>
      </c>
    </row>
    <row r="33241">
      <c r="A33241" s="4" t="s">
        <v>41840</v>
      </c>
      <c r="B33241" s="4" t="s">
        <v>41841</v>
      </c>
      <c r="C33241" s="5" t="str">
        <f>IFERROR(__xludf.DUMMYFUNCTION("GOOGLETRANSLATE(B33241,""en"",""fr"")"),"On voit une personne en dévissant une bouteille de lavage de la bouche et en la versant dans une tasse.")</f>
        <v>On voit une personne en dévissant une bouteille de lavage de la bouche et en la versant dans une tasse.</v>
      </c>
    </row>
    <row r="33242">
      <c r="A33242" s="4" t="s">
        <v>41840</v>
      </c>
      <c r="B33242" s="4" t="s">
        <v>41842</v>
      </c>
      <c r="C33242" s="5" t="str">
        <f>IFERROR(__xludf.DUMMYFUNCTION("GOOGLETRANSLATE(B33242,""en"",""fr"")"),"La fille en boit ensuite et la fait passer autour de sa bouche.")</f>
        <v>La fille en boit ensuite et la fait passer autour de sa bouche.</v>
      </c>
    </row>
    <row r="33243">
      <c r="A33243" s="4" t="s">
        <v>41840</v>
      </c>
      <c r="B33243" s="4" t="s">
        <v>41843</v>
      </c>
      <c r="C33243" s="5" t="str">
        <f>IFERROR(__xludf.DUMMYFUNCTION("GOOGLETRANSLATE(B33243,""en"",""fr"")"),"Elle crache le mélange et montre les photos à la fin.")</f>
        <v>Elle crache le mélange et montre les photos à la fin.</v>
      </c>
    </row>
    <row r="33244">
      <c r="A33244" s="4" t="s">
        <v>41844</v>
      </c>
      <c r="B33244" s="4" t="s">
        <v>41845</v>
      </c>
      <c r="C33244" s="5" t="str">
        <f>IFERROR(__xludf.DUMMYFUNCTION("GOOGLETRANSLATE(B33244,""en"",""fr"")"),"Une compilation du lancer du poids est assemblée, vous voyez de nombreux hommes différents se préparer.")</f>
        <v>Une compilation du lancer du poids est assemblée, vous voyez de nombreux hommes différents se préparer.</v>
      </c>
    </row>
    <row r="33245">
      <c r="A33245" s="4" t="s">
        <v>41844</v>
      </c>
      <c r="B33245" s="6" t="s">
        <v>41846</v>
      </c>
      <c r="C33245" s="5" t="str">
        <f>IFERROR(__xludf.DUMMYFUNCTION("GOOGLETRANSLATE(B33245,""en"",""fr"")"),"Ils tournent leur corps en accumulent très rapidement la vitesse que possible avant de prendre leur tir.")</f>
        <v>Ils tournent leur corps en accumulent très rapidement la vitesse que possible avant de prendre leur tir.</v>
      </c>
    </row>
    <row r="33246">
      <c r="A33246" s="4" t="s">
        <v>41844</v>
      </c>
      <c r="B33246" s="6" t="s">
        <v>41847</v>
      </c>
      <c r="C33246" s="5" t="str">
        <f>IFERROR(__xludf.DUMMYFUNCTION("GOOGLETRANSLATE(B33246,""en"",""fr"")"),"Ils s'entraînent et le font professionnellement, c'est un sport sérieux dont les gens apprécient vraiment que vous faites partie.")</f>
        <v>Ils s'entraînent et le font professionnellement, c'est un sport sérieux dont les gens apprécient vraiment que vous faites partie.</v>
      </c>
    </row>
    <row r="33247">
      <c r="A33247" s="4" t="s">
        <v>41844</v>
      </c>
      <c r="B33247" s="4" t="s">
        <v>41848</v>
      </c>
      <c r="C33247" s="5" t="str">
        <f>IFERROR(__xludf.DUMMYFUNCTION("GOOGLETRANSLATE(B33247,""en"",""fr"")"),"Ils ont tendance à être très excités lorsqu'ils font du bien sur leurs lancers.")</f>
        <v>Ils ont tendance à être très excités lorsqu'ils font du bien sur leurs lancers.</v>
      </c>
    </row>
    <row r="33248">
      <c r="A33248" s="4" t="s">
        <v>41849</v>
      </c>
      <c r="B33248" s="4" t="s">
        <v>41850</v>
      </c>
      <c r="C33248" s="5" t="str">
        <f>IFERROR(__xludf.DUMMYFUNCTION("GOOGLETRANSLATE(B33248,""en"",""fr"")"),"Une femme en manteau violet parle.")</f>
        <v>Une femme en manteau violet parle.</v>
      </c>
    </row>
    <row r="33249">
      <c r="A33249" s="4" t="s">
        <v>41849</v>
      </c>
      <c r="B33249" s="4" t="s">
        <v>41851</v>
      </c>
      <c r="C33249" s="5" t="str">
        <f>IFERROR(__xludf.DUMMYFUNCTION("GOOGLETRANSLATE(B33249,""en"",""fr"")"),"Elle commence à brosser un cheval avec la brosse.")</f>
        <v>Elle commence à brosser un cheval avec la brosse.</v>
      </c>
    </row>
    <row r="33250">
      <c r="A33250" s="4" t="s">
        <v>41849</v>
      </c>
      <c r="B33250" s="4" t="s">
        <v>41852</v>
      </c>
      <c r="C33250" s="5" t="str">
        <f>IFERROR(__xludf.DUMMYFUNCTION("GOOGLETRANSLATE(B33250,""en"",""fr"")"),"Elle nettoie le bas du pied du cheval.")</f>
        <v>Elle nettoie le bas du pied du cheval.</v>
      </c>
    </row>
    <row r="33251">
      <c r="A33251" s="4" t="s">
        <v>41849</v>
      </c>
      <c r="B33251" s="4" t="s">
        <v>41853</v>
      </c>
      <c r="C33251" s="5" t="str">
        <f>IFERROR(__xludf.DUMMYFUNCTION("GOOGLETRANSLATE(B33251,""en"",""fr"")"),"Elle pulvérise la queue du cheval et commence à la brosser.")</f>
        <v>Elle pulvérise la queue du cheval et commence à la brosser.</v>
      </c>
    </row>
    <row r="33252">
      <c r="A33252" s="4" t="s">
        <v>41849</v>
      </c>
      <c r="B33252" s="4" t="s">
        <v>41854</v>
      </c>
      <c r="C33252" s="5" t="str">
        <f>IFERROR(__xludf.DUMMYFUNCTION("GOOGLETRANSLATE(B33252,""en"",""fr"")"),"Elle termine et continue de parler à la caméra.")</f>
        <v>Elle termine et continue de parler à la caméra.</v>
      </c>
    </row>
    <row r="33253">
      <c r="A33253" s="4" t="s">
        <v>41855</v>
      </c>
      <c r="B33253" s="4" t="s">
        <v>41856</v>
      </c>
      <c r="C33253" s="5" t="str">
        <f>IFERROR(__xludf.DUMMYFUNCTION("GOOGLETRANSLATE(B33253,""en"",""fr"")"),"Un joueur de volleyball lance le ballon en l'air.")</f>
        <v>Un joueur de volleyball lance le ballon en l'air.</v>
      </c>
    </row>
    <row r="33254">
      <c r="A33254" s="4" t="s">
        <v>41855</v>
      </c>
      <c r="B33254" s="4" t="s">
        <v>41857</v>
      </c>
      <c r="C33254" s="5" t="str">
        <f>IFERROR(__xludf.DUMMYFUNCTION("GOOGLETRANSLATE(B33254,""en"",""fr"")"),"Son coéquipier l'attrape et le jette sur le filet.")</f>
        <v>Son coéquipier l'attrape et le jette sur le filet.</v>
      </c>
    </row>
    <row r="33255">
      <c r="A33255" s="4" t="s">
        <v>41855</v>
      </c>
      <c r="B33255" s="4" t="s">
        <v>41858</v>
      </c>
      <c r="C33255" s="5" t="str">
        <f>IFERROR(__xludf.DUMMYFUNCTION("GOOGLETRANSLATE(B33255,""en"",""fr"")"),"Le joueur de volleyball sert le ballon.")</f>
        <v>Le joueur de volleyball sert le ballon.</v>
      </c>
    </row>
    <row r="33256">
      <c r="A33256" s="4" t="s">
        <v>41855</v>
      </c>
      <c r="B33256" s="4" t="s">
        <v>41859</v>
      </c>
      <c r="C33256" s="5" t="str">
        <f>IFERROR(__xludf.DUMMYFUNCTION("GOOGLETRANSLATE(B33256,""en"",""fr"")"),"Un joueur adverse plonge pour augmenter le ballon.")</f>
        <v>Un joueur adverse plonge pour augmenter le ballon.</v>
      </c>
    </row>
    <row r="33257">
      <c r="A33257" s="4" t="s">
        <v>41855</v>
      </c>
      <c r="B33257" s="4" t="s">
        <v>41860</v>
      </c>
      <c r="C33257" s="5" t="str">
        <f>IFERROR(__xludf.DUMMYFUNCTION("GOOGLETRANSLATE(B33257,""en"",""fr"")"),"Son coéquipier jette le ballon sur le filet.")</f>
        <v>Son coéquipier jette le ballon sur le filet.</v>
      </c>
    </row>
    <row r="33258">
      <c r="A33258" s="4" t="s">
        <v>41855</v>
      </c>
      <c r="B33258" s="4" t="s">
        <v>41861</v>
      </c>
      <c r="C33258" s="5" t="str">
        <f>IFERROR(__xludf.DUMMYFUNCTION("GOOGLETRANSLATE(B33258,""en"",""fr"")"),"Le joueur de volley-ball qui a plongé plus tôt augmente le ballon sur le filet.")</f>
        <v>Le joueur de volley-ball qui a plongé plus tôt augmente le ballon sur le filet.</v>
      </c>
    </row>
    <row r="33259">
      <c r="A33259" s="4" t="s">
        <v>41855</v>
      </c>
      <c r="B33259" s="4" t="s">
        <v>41862</v>
      </c>
      <c r="C33259" s="5" t="str">
        <f>IFERROR(__xludf.DUMMYFUNCTION("GOOGLETRANSLATE(B33259,""en"",""fr"")"),"Un joueur adverse frappe le ballon.")</f>
        <v>Un joueur adverse frappe le ballon.</v>
      </c>
    </row>
    <row r="33260">
      <c r="A33260" s="4" t="s">
        <v>41855</v>
      </c>
      <c r="B33260" s="4" t="s">
        <v>41863</v>
      </c>
      <c r="C33260" s="5" t="str">
        <f>IFERROR(__xludf.DUMMYFUNCTION("GOOGLETRANSLATE(B33260,""en"",""fr"")"),"Son coéquipier la frappe.")</f>
        <v>Son coéquipier la frappe.</v>
      </c>
    </row>
    <row r="33261">
      <c r="A33261" s="4" t="s">
        <v>41855</v>
      </c>
      <c r="B33261" s="4" t="s">
        <v>41864</v>
      </c>
      <c r="C33261" s="5" t="str">
        <f>IFERROR(__xludf.DUMMYFUNCTION("GOOGLETRANSLATE(B33261,""en"",""fr"")"),"Le coéquipier le pointe sur le net.")</f>
        <v>Le coéquipier le pointe sur le net.</v>
      </c>
    </row>
    <row r="33262">
      <c r="A33262" s="4" t="s">
        <v>41855</v>
      </c>
      <c r="B33262" s="4" t="s">
        <v>41865</v>
      </c>
      <c r="C33262" s="5" t="str">
        <f>IFERROR(__xludf.DUMMYFUNCTION("GOOGLETRANSLATE(B33262,""en"",""fr"")"),"Le joueur adverse frappe le ballon.")</f>
        <v>Le joueur adverse frappe le ballon.</v>
      </c>
    </row>
    <row r="33263">
      <c r="A33263" s="4" t="s">
        <v>41855</v>
      </c>
      <c r="B33263" s="4" t="s">
        <v>41866</v>
      </c>
      <c r="C33263" s="5" t="str">
        <f>IFERROR(__xludf.DUMMYFUNCTION("GOOGLETRANSLATE(B33263,""en"",""fr"")"),"Son coéquipier jette le ballon sur le filet à l'équipe adverse.")</f>
        <v>Son coéquipier jette le ballon sur le filet à l'équipe adverse.</v>
      </c>
    </row>
    <row r="33264">
      <c r="A33264" s="4" t="s">
        <v>41855</v>
      </c>
      <c r="B33264" s="4" t="s">
        <v>41867</v>
      </c>
      <c r="C33264" s="5" t="str">
        <f>IFERROR(__xludf.DUMMYFUNCTION("GOOGLETRANSLATE(B33264,""en"",""fr"")"),"Le joueur adverse frappe le ballon vers son coéquipier.")</f>
        <v>Le joueur adverse frappe le ballon vers son coéquipier.</v>
      </c>
    </row>
    <row r="33265">
      <c r="A33265" s="4" t="s">
        <v>41855</v>
      </c>
      <c r="B33265" s="4" t="s">
        <v>41868</v>
      </c>
      <c r="C33265" s="5" t="str">
        <f>IFERROR(__xludf.DUMMYFUNCTION("GOOGLETRANSLATE(B33265,""en"",""fr"")"),"Son coéquipier frappe le ballon.")</f>
        <v>Son coéquipier frappe le ballon.</v>
      </c>
    </row>
    <row r="33266">
      <c r="A33266" s="4" t="s">
        <v>41855</v>
      </c>
      <c r="B33266" s="4" t="s">
        <v>41869</v>
      </c>
      <c r="C33266" s="5" t="str">
        <f>IFERROR(__xludf.DUMMYFUNCTION("GOOGLETRANSLATE(B33266,""en"",""fr"")"),"Son coéquipier frappe le ballon sur le filet.")</f>
        <v>Son coéquipier frappe le ballon sur le filet.</v>
      </c>
    </row>
    <row r="33267">
      <c r="A33267" s="4" t="s">
        <v>41855</v>
      </c>
      <c r="B33267" s="4" t="s">
        <v>41870</v>
      </c>
      <c r="C33267" s="5" t="str">
        <f>IFERROR(__xludf.DUMMYFUNCTION("GOOGLETRANSLATE(B33267,""en"",""fr"")"),"Un joueur adverse plonge et frappe le ballon.")</f>
        <v>Un joueur adverse plonge et frappe le ballon.</v>
      </c>
    </row>
    <row r="33268">
      <c r="A33268" s="4" t="s">
        <v>41855</v>
      </c>
      <c r="B33268" s="4" t="s">
        <v>41871</v>
      </c>
      <c r="C33268" s="5" t="str">
        <f>IFERROR(__xludf.DUMMYFUNCTION("GOOGLETRANSLATE(B33268,""en"",""fr"")"),"L'un des coéquipiers de l'équipe adverse plonge pour attraper et lancer le ballon hors Bounds.")</f>
        <v>L'un des coéquipiers de l'équipe adverse plonge pour attraper et lancer le ballon hors Bounds.</v>
      </c>
    </row>
    <row r="33269">
      <c r="A33269" s="4" t="s">
        <v>41872</v>
      </c>
      <c r="B33269" s="4" t="s">
        <v>41873</v>
      </c>
      <c r="C33269" s="5" t="str">
        <f>IFERROR(__xludf.DUMMYFUNCTION("GOOGLETRANSLATE(B33269,""en"",""fr"")"),"Un burler se prépare à faire un tir de curling tout en étant Watch Be Bore People dans l'arène.")</f>
        <v>Un burler se prépare à faire un tir de curling tout en étant Watch Be Bore People dans l'arène.</v>
      </c>
    </row>
    <row r="33270">
      <c r="A33270" s="4" t="s">
        <v>41872</v>
      </c>
      <c r="B33270" s="6" t="s">
        <v>41874</v>
      </c>
      <c r="C33270" s="5" t="str">
        <f>IFERROR(__xludf.DUMMYFUNCTION("GOOGLETRANSLATE(B33270,""en"",""fr"")"),"Elle fait le coup et lâche la rondelle alors que les autres membres de l'équipe le poursuivent et balayent la glace.")</f>
        <v>Elle fait le coup et lâche la rondelle alors que les autres membres de l'équipe le poursuivent et balayent la glace.</v>
      </c>
    </row>
    <row r="33271">
      <c r="A33271" s="4" t="s">
        <v>41872</v>
      </c>
      <c r="B33271" s="4" t="s">
        <v>41875</v>
      </c>
      <c r="C33271" s="5" t="str">
        <f>IFERROR(__xludf.DUMMYFUNCTION("GOOGLETRANSLATE(B33271,""en"",""fr"")"),"Un autre coup est fait et les membres de l'équipe continuent de suivre le tir et de balayer la glace.")</f>
        <v>Un autre coup est fait et les membres de l'équipe continuent de suivre le tir et de balayer la glace.</v>
      </c>
    </row>
    <row r="33272">
      <c r="A33272" s="4" t="s">
        <v>41872</v>
      </c>
      <c r="B33272" s="4" t="s">
        <v>41876</v>
      </c>
      <c r="C33272" s="5" t="str">
        <f>IFERROR(__xludf.DUMMYFUNCTION("GOOGLETRANSLATE(B33272,""en"",""fr"")"),"Un troisième coup est ensuite fait et les bigoudis permettent au tir de frapper une autre rondelle.")</f>
        <v>Un troisième coup est ensuite fait et les bigoudis permettent au tir de frapper une autre rondelle.</v>
      </c>
    </row>
    <row r="33273">
      <c r="A33273" s="4" t="s">
        <v>41877</v>
      </c>
      <c r="B33273" s="6" t="s">
        <v>41878</v>
      </c>
      <c r="C33273" s="5" t="str">
        <f>IFERROR(__xludf.DUMMYFUNCTION("GOOGLETRANSLATE(B33273,""en"",""fr"")"),"Un petit groupe de personnes est vu en train de prendre un cours de spin qui mène à un homme en parlant à la caméra.")</f>
        <v>Un petit groupe de personnes est vu en train de prendre un cours de spin qui mène à un homme en parlant à la caméra.</v>
      </c>
    </row>
    <row r="33274">
      <c r="A33274" s="4" t="s">
        <v>41877</v>
      </c>
      <c r="B33274" s="6" t="s">
        <v>41879</v>
      </c>
      <c r="C33274" s="5" t="str">
        <f>IFERROR(__xludf.DUMMYFUNCTION("GOOGLETRANSLATE(B33274,""en"",""fr"")"),"Des photos du gymnase sont montrées qui mènent à une autre classe de vélo avec l'homme qui mène le groupe et parle toujours à la caméra.")</f>
        <v>Des photos du gymnase sont montrées qui mènent à une autre classe de vélo avec l'homme qui mène le groupe et parle toujours à la caméra.</v>
      </c>
    </row>
    <row r="33275">
      <c r="A33275" s="4" t="s">
        <v>41880</v>
      </c>
      <c r="B33275" s="4" t="s">
        <v>41881</v>
      </c>
      <c r="C33275" s="5" t="str">
        <f>IFERROR(__xludf.DUMMYFUNCTION("GOOGLETRANSLATE(B33275,""en"",""fr"")"),"Un homme et une femme sont assis à parler sur un banc devant un mur avec plusieurs jantes.")</f>
        <v>Un homme et une femme sont assis à parler sur un banc devant un mur avec plusieurs jantes.</v>
      </c>
    </row>
    <row r="33276">
      <c r="A33276" s="4" t="s">
        <v>41880</v>
      </c>
      <c r="B33276" s="4" t="s">
        <v>41882</v>
      </c>
      <c r="C33276" s="5" t="str">
        <f>IFERROR(__xludf.DUMMYFUNCTION("GOOGLETRANSLATE(B33276,""en"",""fr"")"),"Les deux se lèvent et commencent alors à parler et vous pouvez voir qu'ils sont dans une cour indésirable.")</f>
        <v>Les deux se lèvent et commencent alors à parler et vous pouvez voir qu'ils sont dans une cour indésirable.</v>
      </c>
    </row>
    <row r="33277">
      <c r="A33277" s="4" t="s">
        <v>41880</v>
      </c>
      <c r="B33277" s="6" t="s">
        <v>41883</v>
      </c>
      <c r="C33277" s="5" t="str">
        <f>IFERROR(__xludf.DUMMYFUNCTION("GOOGLETRANSLATE(B33277,""en"",""fr"")"),"Enfin, ils commencent à danser ensemble et font des mouvements de danse hip hop robustes adaptés à l'environnement.")</f>
        <v>Enfin, ils commencent à danser ensemble et font des mouvements de danse hip hop robustes adaptés à l'environnement.</v>
      </c>
    </row>
    <row r="33278">
      <c r="A33278" s="4" t="s">
        <v>41884</v>
      </c>
      <c r="B33278" s="4" t="s">
        <v>41885</v>
      </c>
      <c r="C33278" s="5" t="str">
        <f>IFERROR(__xludf.DUMMYFUNCTION("GOOGLETRANSLATE(B33278,""en"",""fr"")"),"Une fille entre du côté et commence à piétiner dans la pièce.")</f>
        <v>Une fille entre du côté et commence à piétiner dans la pièce.</v>
      </c>
    </row>
    <row r="33279">
      <c r="A33279" s="4" t="s">
        <v>41884</v>
      </c>
      <c r="B33279" s="6" t="s">
        <v>41886</v>
      </c>
      <c r="C33279" s="5" t="str">
        <f>IFERROR(__xludf.DUMMYFUNCTION("GOOGLETRANSLATE(B33279,""en"",""fr"")"),"La fille continue de faire de l'exercice et se déplace d'un côté à l'autre et commence à mettre son pied en train de se déplacer de manière hip hop.")</f>
        <v>La fille continue de faire de l'exercice et se déplace d'un côté à l'autre et commence à mettre son pied en train de se déplacer de manière hip hop.</v>
      </c>
    </row>
    <row r="33280">
      <c r="A33280" s="4" t="s">
        <v>41884</v>
      </c>
      <c r="B33280" s="6" t="s">
        <v>41887</v>
      </c>
      <c r="C33280" s="5" t="str">
        <f>IFERROR(__xludf.DUMMYFUNCTION("GOOGLETRANSLATE(B33280,""en"",""fr"")"),"Elle se déplace ensuite dans une sorte de squat d'une certaine sorte et continue de se déplacer puis glisse de gauche à droite et continue de danser et de se froisser.")</f>
        <v>Elle se déplace ensuite dans une sorte de squat d'une certaine sorte et continue de se déplacer puis glisse de gauche à droite et continue de danser et de se froisser.</v>
      </c>
    </row>
    <row r="33281">
      <c r="A33281" s="4" t="s">
        <v>41888</v>
      </c>
      <c r="B33281" s="4" t="s">
        <v>41889</v>
      </c>
      <c r="C33281" s="5" t="str">
        <f>IFERROR(__xludf.DUMMYFUNCTION("GOOGLETRANSLATE(B33281,""en"",""fr"")"),"Nous voyons des gens flotter dans un lac en radeaux violets.")</f>
        <v>Nous voyons des gens flotter dans un lac en radeaux violets.</v>
      </c>
    </row>
    <row r="33282">
      <c r="A33282" s="4" t="s">
        <v>41888</v>
      </c>
      <c r="B33282" s="4" t="s">
        <v>41890</v>
      </c>
      <c r="C33282" s="5" t="str">
        <f>IFERROR(__xludf.DUMMYFUNCTION("GOOGLETRANSLATE(B33282,""en"",""fr"")"),"Une personne met les pieds sur un rocher.")</f>
        <v>Une personne met les pieds sur un rocher.</v>
      </c>
    </row>
    <row r="33283">
      <c r="A33283" s="4" t="s">
        <v>41888</v>
      </c>
      <c r="B33283" s="4" t="s">
        <v>41891</v>
      </c>
      <c r="C33283" s="5" t="str">
        <f>IFERROR(__xludf.DUMMYFUNCTION("GOOGLETRANSLATE(B33283,""en"",""fr"")"),"Les gens ont frappé l'eau accidentée.")</f>
        <v>Les gens ont frappé l'eau accidentée.</v>
      </c>
    </row>
    <row r="33284">
      <c r="A33284" s="4" t="s">
        <v>41888</v>
      </c>
      <c r="B33284" s="4" t="s">
        <v>41892</v>
      </c>
      <c r="C33284" s="5" t="str">
        <f>IFERROR(__xludf.DUMMYFUNCTION("GOOGLETRANSLATE(B33284,""en"",""fr"")"),"Nous voyons un canoë rouge sur le rivage.")</f>
        <v>Nous voyons un canoë rouge sur le rivage.</v>
      </c>
    </row>
    <row r="33285">
      <c r="A33285" s="4" t="s">
        <v>41888</v>
      </c>
      <c r="B33285" s="4" t="s">
        <v>41893</v>
      </c>
      <c r="C33285" s="5" t="str">
        <f>IFERROR(__xludf.DUMMYFUNCTION("GOOGLETRANSLATE(B33285,""en"",""fr"")"),"Nous panoramiques sur la rivière.")</f>
        <v>Nous panoramiques sur la rivière.</v>
      </c>
    </row>
    <row r="33286">
      <c r="A33286" s="4" t="s">
        <v>41894</v>
      </c>
      <c r="B33286" s="4" t="s">
        <v>41895</v>
      </c>
      <c r="C33286" s="5" t="str">
        <f>IFERROR(__xludf.DUMMYFUNCTION("GOOGLETRANSLATE(B33286,""en"",""fr"")"),"Un homme est montré laver un chien avec un tuyau d'eau dans une cour avec plusieurs fleurs.")</f>
        <v>Un homme est montré laver un chien avec un tuyau d'eau dans une cour avec plusieurs fleurs.</v>
      </c>
    </row>
    <row r="33287">
      <c r="A33287" s="4" t="s">
        <v>41894</v>
      </c>
      <c r="B33287" s="4" t="s">
        <v>41896</v>
      </c>
      <c r="C33287" s="5" t="str">
        <f>IFERROR(__xludf.DUMMYFUNCTION("GOOGLETRANSLATE(B33287,""en"",""fr"")"),"La caméra se déroule autour du chien mouillé alors que l'homme continue de le laver et il secoue.")</f>
        <v>La caméra se déroule autour du chien mouillé alors que l'homme continue de le laver et il secoue.</v>
      </c>
    </row>
    <row r="33288">
      <c r="A33288" s="4" t="s">
        <v>41894</v>
      </c>
      <c r="B33288" s="4" t="s">
        <v>41897</v>
      </c>
      <c r="C33288" s="5" t="str">
        <f>IFERROR(__xludf.DUMMYFUNCTION("GOOGLETRANSLATE(B33288,""en"",""fr"")"),"Il verse plus de shampooing sur le chien et frotte le shampooing dans sa fourrure.")</f>
        <v>Il verse plus de shampooing sur le chien et frotte le shampooing dans sa fourrure.</v>
      </c>
    </row>
    <row r="33289">
      <c r="A33289" s="4" t="s">
        <v>41898</v>
      </c>
      <c r="B33289" s="4" t="s">
        <v>41899</v>
      </c>
      <c r="C33289" s="5" t="str">
        <f>IFERROR(__xludf.DUMMYFUNCTION("GOOGLETRANSLATE(B33289,""en"",""fr"")"),"Une zone arrière est vue qui mène à plusieurs enfants et à un homme plus âgé travaillant sur une échelle.")</f>
        <v>Une zone arrière est vue qui mène à plusieurs enfants et à un homme plus âgé travaillant sur une échelle.</v>
      </c>
    </row>
    <row r="33290">
      <c r="A33290" s="4" t="s">
        <v>41898</v>
      </c>
      <c r="B33290" s="4" t="s">
        <v>41900</v>
      </c>
      <c r="C33290" s="5" t="str">
        <f>IFERROR(__xludf.DUMMYFUNCTION("GOOGLETRANSLATE(B33290,""en"",""fr"")"),"Le groupe coupe les haies le long du côté ainsi que les jeter dans un seau et aider l'homme plus âgé.")</f>
        <v>Le groupe coupe les haies le long du côté ainsi que les jeter dans un seau et aider l'homme plus âgé.</v>
      </c>
    </row>
    <row r="33291">
      <c r="A33291" s="4" t="s">
        <v>41898</v>
      </c>
      <c r="B33291" s="6" t="s">
        <v>41901</v>
      </c>
      <c r="C33291" s="5" t="str">
        <f>IFERROR(__xludf.DUMMYFUNCTION("GOOGLETRANSLATE(B33291,""en"",""fr"")"),"Les enfants continuent d'aider l'autre homme en rassemblant des feuilles en les repoussant vers l'avant.")</f>
        <v>Les enfants continuent d'aider l'autre homme en rassemblant des feuilles en les repoussant vers l'avant.</v>
      </c>
    </row>
    <row r="33292">
      <c r="A33292" s="4" t="s">
        <v>41902</v>
      </c>
      <c r="B33292" s="4" t="s">
        <v>41903</v>
      </c>
      <c r="C33292" s="5" t="str">
        <f>IFERROR(__xludf.DUMMYFUNCTION("GOOGLETRANSLATE(B33292,""en"",""fr"")"),"Une femme est assise penchée et lave sa lessive à la main dans un bol.")</f>
        <v>Une femme est assise penchée et lave sa lessive à la main dans un bol.</v>
      </c>
    </row>
    <row r="33293">
      <c r="A33293" s="4" t="s">
        <v>41902</v>
      </c>
      <c r="B33293" s="4" t="s">
        <v>41904</v>
      </c>
      <c r="C33293" s="5" t="str">
        <f>IFERROR(__xludf.DUMMYFUNCTION("GOOGLETRANSLATE(B33293,""en"",""fr"")"),"Son amie passe et lui parle et riez avant de s'éloigner à nouveau.")</f>
        <v>Son amie passe et lui parle et riez avant de s'éloigner à nouveau.</v>
      </c>
    </row>
    <row r="33294">
      <c r="A33294" s="4" t="s">
        <v>41902</v>
      </c>
      <c r="B33294" s="6" t="s">
        <v>41905</v>
      </c>
      <c r="C33294" s="5" t="str">
        <f>IFERROR(__xludf.DUMMYFUNCTION("GOOGLETRANSLATE(B33294,""en"",""fr"")"),"Elle continue de frotter ses vêtements largement, en s'assurant que c'est agréable et propre avant de mettre un autre seau.")</f>
        <v>Elle continue de frotter ses vêtements largement, en s'assurant que c'est agréable et propre avant de mettre un autre seau.</v>
      </c>
    </row>
    <row r="33295">
      <c r="A33295" s="4" t="s">
        <v>41902</v>
      </c>
      <c r="B33295" s="4" t="s">
        <v>41906</v>
      </c>
      <c r="C33295" s="5" t="str">
        <f>IFERROR(__xludf.DUMMYFUNCTION("GOOGLETRANSLATE(B33295,""en"",""fr"")"),"Elle se lave et les lave et les jette dans le seau sec quand elle a fini.")</f>
        <v>Elle se lave et les lave et les jette dans le seau sec quand elle a fini.</v>
      </c>
    </row>
    <row r="33296">
      <c r="A33296" s="4" t="s">
        <v>41907</v>
      </c>
      <c r="B33296" s="4" t="s">
        <v>41908</v>
      </c>
      <c r="C33296" s="5" t="str">
        <f>IFERROR(__xludf.DUMMYFUNCTION("GOOGLETRANSLATE(B33296,""en"",""fr"")"),"Un homme est vu s'agenouiller sur la saleté lorsqu'un taureau arrive dans l'homme.")</f>
        <v>Un homme est vu s'agenouiller sur la saleté lorsqu'un taureau arrive dans l'homme.</v>
      </c>
    </row>
    <row r="33297">
      <c r="A33297" s="4" t="s">
        <v>41907</v>
      </c>
      <c r="B33297" s="4" t="s">
        <v>41909</v>
      </c>
      <c r="C33297" s="5" t="str">
        <f>IFERROR(__xludf.DUMMYFUNCTION("GOOGLETRANSLATE(B33297,""en"",""fr"")"),"Il renverse l'homme et est traîné, suivi par son clip.")</f>
        <v>Il renverse l'homme et est traîné, suivi par son clip.</v>
      </c>
    </row>
    <row r="33298">
      <c r="A33298" s="4" t="s">
        <v>41907</v>
      </c>
      <c r="B33298" s="4" t="s">
        <v>41910</v>
      </c>
      <c r="C33298" s="5" t="str">
        <f>IFERROR(__xludf.DUMMYFUNCTION("GOOGLETRANSLATE(B33298,""en"",""fr"")"),"Plusieurs autres clips sont montrés des personnes à la poursuite des taureaux et à s'enfuir.")</f>
        <v>Plusieurs autres clips sont montrés des personnes à la poursuite des taureaux et à s'enfuir.</v>
      </c>
    </row>
    <row r="33299">
      <c r="A33299" s="4" t="s">
        <v>41911</v>
      </c>
      <c r="B33299" s="4" t="s">
        <v>41912</v>
      </c>
      <c r="C33299" s="5" t="str">
        <f>IFERROR(__xludf.DUMMYFUNCTION("GOOGLETRANSLATE(B33299,""en"",""fr"")"),"Un nageur nage à l'intérieur d'une piscine.")</f>
        <v>Un nageur nage à l'intérieur d'une piscine.</v>
      </c>
    </row>
    <row r="33300">
      <c r="A33300" s="4" t="s">
        <v>41911</v>
      </c>
      <c r="B33300" s="4" t="s">
        <v>41913</v>
      </c>
      <c r="C33300" s="5" t="str">
        <f>IFERROR(__xludf.DUMMYFUNCTION("GOOGLETRANSLATE(B33300,""en"",""fr"")"),"Le nageur est vu portant un tuba d'entraînement.")</f>
        <v>Le nageur est vu portant un tuba d'entraînement.</v>
      </c>
    </row>
    <row r="33301">
      <c r="A33301" s="4" t="s">
        <v>41914</v>
      </c>
      <c r="B33301" s="4" t="s">
        <v>41915</v>
      </c>
      <c r="C33301" s="5" t="str">
        <f>IFERROR(__xludf.DUMMYFUNCTION("GOOGLETRANSLATE(B33301,""en"",""fr"")"),"Un écran de combattants est affiché, puis deux images aléatoires sont sélectionnées.")</f>
        <v>Un écran de combattants est affiché, puis deux images aléatoires sont sélectionnées.</v>
      </c>
    </row>
    <row r="33302">
      <c r="A33302" s="4" t="s">
        <v>41914</v>
      </c>
      <c r="B33302" s="6" t="s">
        <v>41916</v>
      </c>
      <c r="C33302" s="5" t="str">
        <f>IFERROR(__xludf.DUMMYFUNCTION("GOOGLETRANSLATE(B33302,""en"",""fr"")"),"Une fois sélectionnés, les images se déplacent dans les coins supérieurs de l'écran et deux personnes vêtues d'uniformes de sumo se tiennent au milieu d'un rond et commencent à se battre alors que les voitures voyagent autour d'eux.")</f>
        <v>Une fois sélectionnés, les images se déplacent dans les coins supérieurs de l'écran et deux personnes vêtues d'uniformes de sumo se tiennent au milieu d'un rond et commencent à se battre alors que les voitures voyagent autour d'eux.</v>
      </c>
    </row>
    <row r="33303">
      <c r="A33303" s="4" t="s">
        <v>41917</v>
      </c>
      <c r="B33303" s="4" t="s">
        <v>41918</v>
      </c>
      <c r="C33303" s="5" t="str">
        <f>IFERROR(__xludf.DUMMYFUNCTION("GOOGLETRANSLATE(B33303,""en"",""fr"")"),"Une intro commence puis montre des photos d'une fille debout dans la salle de bain avec de longs cheveux raides.")</f>
        <v>Une intro commence puis montre des photos d'une fille debout dans la salle de bain avec de longs cheveux raides.</v>
      </c>
    </row>
    <row r="33304">
      <c r="A33304" s="4" t="s">
        <v>41917</v>
      </c>
      <c r="B33304" s="6" t="s">
        <v>41919</v>
      </c>
      <c r="C33304" s="5" t="str">
        <f>IFERROR(__xludf.DUMMYFUNCTION("GOOGLETRANSLATE(B33304,""en"",""fr"")"),"Elle commence ensuite à parler à la caméra tout en caressant ses cheveux, suivi de séchage et brossant les cheveux.")</f>
        <v>Elle commence ensuite à parler à la caméra tout en caressant ses cheveux, suivi de séchage et brossant les cheveux.</v>
      </c>
    </row>
    <row r="33305">
      <c r="A33305" s="4" t="s">
        <v>41917</v>
      </c>
      <c r="B33305" s="4" t="s">
        <v>41920</v>
      </c>
      <c r="C33305" s="5" t="str">
        <f>IFERROR(__xludf.DUMMYFUNCTION("GOOGLETRANSLATE(B33305,""en"",""fr"")"),"Elle met ensuite la lotion dans ses cheveux et se brisant les cheveux en sections.")</f>
        <v>Elle met ensuite la lotion dans ses cheveux et se brisant les cheveux en sections.</v>
      </c>
    </row>
    <row r="33306">
      <c r="A33306" s="4" t="s">
        <v>41917</v>
      </c>
      <c r="B33306" s="4" t="s">
        <v>41921</v>
      </c>
      <c r="C33306" s="5" t="str">
        <f>IFERROR(__xludf.DUMMYFUNCTION("GOOGLETRANSLATE(B33306,""en"",""fr"")"),"Elle redresse chaque section de cheveux et sourit à la fin.")</f>
        <v>Elle redresse chaque section de cheveux et sourit à la fin.</v>
      </c>
    </row>
    <row r="33307">
      <c r="A33307" s="4" t="s">
        <v>41922</v>
      </c>
      <c r="B33307" s="4" t="s">
        <v>41923</v>
      </c>
      <c r="C33307" s="5" t="str">
        <f>IFERROR(__xludf.DUMMYFUNCTION("GOOGLETRANSLATE(B33307,""en"",""fr"")"),"Un groupe est rassemblé à l'extérieur d'un bâtiment.")</f>
        <v>Un groupe est rassemblé à l'extérieur d'un bâtiment.</v>
      </c>
    </row>
    <row r="33308">
      <c r="A33308" s="4" t="s">
        <v>41922</v>
      </c>
      <c r="B33308" s="4" t="s">
        <v>41924</v>
      </c>
      <c r="C33308" s="5" t="str">
        <f>IFERROR(__xludf.DUMMYFUNCTION("GOOGLETRANSLATE(B33308,""en"",""fr"")"),"Un leader utilise un bâton pour les instruire.")</f>
        <v>Un leader utilise un bâton pour les instruire.</v>
      </c>
    </row>
    <row r="33309">
      <c r="A33309" s="4" t="s">
        <v>41922</v>
      </c>
      <c r="B33309" s="4" t="s">
        <v>41925</v>
      </c>
      <c r="C33309" s="5" t="str">
        <f>IFERROR(__xludf.DUMMYFUNCTION("GOOGLETRANSLATE(B33309,""en"",""fr"")"),"Ils jouent de la batterie pour un petit public.")</f>
        <v>Ils jouent de la batterie pour un petit public.</v>
      </c>
    </row>
    <row r="33310">
      <c r="A33310" s="4" t="s">
        <v>41926</v>
      </c>
      <c r="B33310" s="6" t="s">
        <v>41927</v>
      </c>
      <c r="C33310" s="5" t="str">
        <f>IFERROR(__xludf.DUMMYFUNCTION("GOOGLETRANSLATE(B33310,""en"",""fr"")"),"Un gars dans l'arrière-cour tondait la pelouse par une journée chaude et ensoleillée pendant qu'une dame enregistre et raconte.")</f>
        <v>Un gars dans l'arrière-cour tondait la pelouse par une journée chaude et ensoleillée pendant qu'une dame enregistre et raconte.</v>
      </c>
    </row>
    <row r="33311">
      <c r="A33311" s="4" t="s">
        <v>41926</v>
      </c>
      <c r="B33311" s="4" t="s">
        <v>41928</v>
      </c>
      <c r="C33311" s="5" t="str">
        <f>IFERROR(__xludf.DUMMYFUNCTION("GOOGLETRANSLATE(B33311,""en"",""fr"")"),"Il commence à aller dans un mouvement de va-et-vient alors qu'il bouge la tondeuse.")</f>
        <v>Il commence à aller dans un mouvement de va-et-vient alors qu'il bouge la tondeuse.</v>
      </c>
    </row>
    <row r="33312">
      <c r="A33312" s="4" t="s">
        <v>41926</v>
      </c>
      <c r="B33312" s="4" t="s">
        <v>41929</v>
      </c>
      <c r="C33312" s="5" t="str">
        <f>IFERROR(__xludf.DUMMYFUNCTION("GOOGLETRANSLATE(B33312,""en"",""fr"")"),"Le gars change de direction alors qu'il continue de tondre.")</f>
        <v>Le gars change de direction alors qu'il continue de tondre.</v>
      </c>
    </row>
    <row r="33313">
      <c r="A33313" s="4" t="s">
        <v>41930</v>
      </c>
      <c r="B33313" s="4" t="s">
        <v>41931</v>
      </c>
      <c r="C33313" s="5" t="str">
        <f>IFERROR(__xludf.DUMMYFUNCTION("GOOGLETRANSLATE(B33313,""en"",""fr"")"),"Un groupe de gardes marche dans une allée alors qu'ils jouent les trompettes.")</f>
        <v>Un groupe de gardes marche dans une allée alors qu'ils jouent les trompettes.</v>
      </c>
    </row>
    <row r="33314">
      <c r="A33314" s="4" t="s">
        <v>41930</v>
      </c>
      <c r="B33314" s="4" t="s">
        <v>41932</v>
      </c>
      <c r="C33314" s="5" t="str">
        <f>IFERROR(__xludf.DUMMYFUNCTION("GOOGLETRANSLATE(B33314,""en"",""fr"")"),"Un homme chauffe une petite poêle avec une flamme.")</f>
        <v>Un homme chauffe une petite poêle avec une flamme.</v>
      </c>
    </row>
    <row r="33315">
      <c r="A33315" s="4" t="s">
        <v>41930</v>
      </c>
      <c r="B33315" s="4" t="s">
        <v>41933</v>
      </c>
      <c r="C33315" s="5" t="str">
        <f>IFERROR(__xludf.DUMMYFUNCTION("GOOGLETRANSLATE(B33315,""en"",""fr"")"),"Trois soldats debout près de le surveiller.")</f>
        <v>Trois soldats debout près de le surveiller.</v>
      </c>
    </row>
    <row r="33316">
      <c r="A33316" s="4" t="s">
        <v>41930</v>
      </c>
      <c r="B33316" s="4" t="s">
        <v>41934</v>
      </c>
      <c r="C33316" s="5" t="str">
        <f>IFERROR(__xludf.DUMMYFUNCTION("GOOGLETRANSLATE(B33316,""en"",""fr"")"),"L'homme attrape un pinceau et le déplace dans la casserole.")</f>
        <v>L'homme attrape un pinceau et le déplace dans la casserole.</v>
      </c>
    </row>
    <row r="33317">
      <c r="A33317" s="4" t="s">
        <v>41930</v>
      </c>
      <c r="B33317" s="4" t="s">
        <v>41935</v>
      </c>
      <c r="C33317" s="5" t="str">
        <f>IFERROR(__xludf.DUMMYFUNCTION("GOOGLETRANSLATE(B33317,""en"",""fr"")"),"Il prend le pinceau et brosse une chaussure.")</f>
        <v>Il prend le pinceau et brosse une chaussure.</v>
      </c>
    </row>
    <row r="33318">
      <c r="A33318" s="4" t="s">
        <v>41930</v>
      </c>
      <c r="B33318" s="4" t="s">
        <v>41936</v>
      </c>
      <c r="C33318" s="5" t="str">
        <f>IFERROR(__xludf.DUMMYFUNCTION("GOOGLETRANSLATE(B33318,""en"",""fr"")"),"Il flamme la chaussure avec la cartouche de flamme.")</f>
        <v>Il flamme la chaussure avec la cartouche de flamme.</v>
      </c>
    </row>
    <row r="33319">
      <c r="A33319" s="4" t="s">
        <v>41930</v>
      </c>
      <c r="B33319" s="4" t="s">
        <v>41937</v>
      </c>
      <c r="C33319" s="5" t="str">
        <f>IFERROR(__xludf.DUMMYFUNCTION("GOOGLETRANSLATE(B33319,""en"",""fr"")"),"Il brosse à nouveau la chaussure.")</f>
        <v>Il brosse à nouveau la chaussure.</v>
      </c>
    </row>
    <row r="33320">
      <c r="A33320" s="4" t="s">
        <v>41930</v>
      </c>
      <c r="B33320" s="4" t="s">
        <v>41938</v>
      </c>
      <c r="C33320" s="5" t="str">
        <f>IFERROR(__xludf.DUMMYFUNCTION("GOOGLETRANSLATE(B33320,""en"",""fr"")"),"Il fait ensuite flammer la chaussure un peu plus.")</f>
        <v>Il fait ensuite flammer la chaussure un peu plus.</v>
      </c>
    </row>
    <row r="33321">
      <c r="A33321" s="4" t="s">
        <v>41939</v>
      </c>
      <c r="B33321" s="6" t="s">
        <v>41940</v>
      </c>
      <c r="C33321" s="5" t="str">
        <f>IFERROR(__xludf.DUMMYFUNCTION("GOOGLETRANSLATE(B33321,""en"",""fr"")"),"Un homme tondait la pelouse dans une cour et rit et fait des blagues avec des amis qui regardent.")</f>
        <v>Un homme tondait la pelouse dans une cour et rit et fait des blagues avec des amis qui regardent.</v>
      </c>
    </row>
    <row r="33322">
      <c r="A33322" s="4" t="s">
        <v>41939</v>
      </c>
      <c r="B33322" s="6" t="s">
        <v>41941</v>
      </c>
      <c r="C33322" s="5" t="str">
        <f>IFERROR(__xludf.DUMMYFUNCTION("GOOGLETRANSLATE(B33322,""en"",""fr"")"),"Il commence à courir avec le moteur de pelouse et rencontre presque quelque chose alors que ses amis rient dans le plaisir.")</f>
        <v>Il commence à courir avec le moteur de pelouse et rencontre presque quelque chose alors que ses amis rient dans le plaisir.</v>
      </c>
    </row>
    <row r="33323">
      <c r="A33323" s="4" t="s">
        <v>41939</v>
      </c>
      <c r="B33323" s="4" t="s">
        <v>41942</v>
      </c>
      <c r="C33323" s="5" t="str">
        <f>IFERROR(__xludf.DUMMYFUNCTION("GOOGLETRANSLATE(B33323,""en"",""fr"")"),"Un de ses amis essaie de l'aider alors qu'il tondait la pelouse.")</f>
        <v>Un de ses amis essaie de l'aider alors qu'il tondait la pelouse.</v>
      </c>
    </row>
    <row r="33324">
      <c r="A33324" s="4" t="s">
        <v>41943</v>
      </c>
      <c r="B33324" s="4" t="s">
        <v>41944</v>
      </c>
      <c r="C33324" s="5" t="str">
        <f>IFERROR(__xludf.DUMMYFUNCTION("GOOGLETRANSLATE(B33324,""en"",""fr"")"),"Une fille est assise sur une chaise à parler.")</f>
        <v>Une fille est assise sur une chaise à parler.</v>
      </c>
    </row>
    <row r="33325">
      <c r="A33325" s="4" t="s">
        <v>41943</v>
      </c>
      <c r="B33325" s="4" t="s">
        <v>41945</v>
      </c>
      <c r="C33325" s="5" t="str">
        <f>IFERROR(__xludf.DUMMYFUNCTION("GOOGLETRANSLATE(B33325,""en"",""fr"")"),"Une femme s'approche de la fille et essuie ses lobes d'oreille.")</f>
        <v>Une femme s'approche de la fille et essuie ses lobes d'oreille.</v>
      </c>
    </row>
    <row r="33326">
      <c r="A33326" s="4" t="s">
        <v>41943</v>
      </c>
      <c r="B33326" s="4" t="s">
        <v>41946</v>
      </c>
      <c r="C33326" s="5" t="str">
        <f>IFERROR(__xludf.DUMMYFUNCTION("GOOGLETRANSLATE(B33326,""en"",""fr"")"),"La femme perce alors l'oreille de la fille.")</f>
        <v>La femme perce alors l'oreille de la fille.</v>
      </c>
    </row>
    <row r="33327">
      <c r="A33327" s="4" t="s">
        <v>41943</v>
      </c>
      <c r="B33327" s="4" t="s">
        <v>41947</v>
      </c>
      <c r="C33327" s="5" t="str">
        <f>IFERROR(__xludf.DUMMYFUNCTION("GOOGLETRANSLATE(B33327,""en"",""fr"")"),"La fille met ses lunettes après que ses oreilles soient recouvertes.")</f>
        <v>La fille met ses lunettes après que ses oreilles soient recouvertes.</v>
      </c>
    </row>
    <row r="33328">
      <c r="A33328" s="4" t="s">
        <v>41948</v>
      </c>
      <c r="B33328" s="4" t="s">
        <v>41949</v>
      </c>
      <c r="C33328" s="5" t="str">
        <f>IFERROR(__xludf.DUMMYFUNCTION("GOOGLETRANSLATE(B33328,""en"",""fr"")"),"Un homme est montré souriant dans une image alors que les mots passent sur son visage.")</f>
        <v>Un homme est montré souriant dans une image alors que les mots passent sur son visage.</v>
      </c>
    </row>
    <row r="33329">
      <c r="A33329" s="4" t="s">
        <v>41948</v>
      </c>
      <c r="B33329" s="6" t="s">
        <v>41950</v>
      </c>
      <c r="C33329" s="5" t="str">
        <f>IFERROR(__xludf.DUMMYFUNCTION("GOOGLETRANSLATE(B33329,""en"",""fr"")"),"Il est dans la cour intérieure, montrant à un petit garçon comment frapper une balle de tennis contre le mur avec une raquette.")</f>
        <v>Il est dans la cour intérieure, montrant à un petit garçon comment frapper une balle de tennis contre le mur avec une raquette.</v>
      </c>
    </row>
    <row r="33330">
      <c r="A33330" s="4" t="s">
        <v>41948</v>
      </c>
      <c r="B33330" s="4" t="s">
        <v>41951</v>
      </c>
      <c r="C33330" s="5" t="str">
        <f>IFERROR(__xludf.DUMMYFUNCTION("GOOGLETRANSLATE(B33330,""en"",""fr"")"),"Le garçon essaie plusieurs fois.")</f>
        <v>Le garçon essaie plusieurs fois.</v>
      </c>
    </row>
    <row r="33331">
      <c r="A33331" s="4" t="s">
        <v>41952</v>
      </c>
      <c r="B33331" s="4" t="s">
        <v>41953</v>
      </c>
      <c r="C33331" s="5" t="str">
        <f>IFERROR(__xludf.DUMMYFUNCTION("GOOGLETRANSLATE(B33331,""en"",""fr"")"),"Un homme sans mains attrape une fléchette qui est collée au tableau et qui marche en arrière.")</f>
        <v>Un homme sans mains attrape une fléchette qui est collée au tableau et qui marche en arrière.</v>
      </c>
    </row>
    <row r="33332">
      <c r="A33332" s="4" t="s">
        <v>41952</v>
      </c>
      <c r="B33332" s="4" t="s">
        <v>41954</v>
      </c>
      <c r="C33332" s="5" t="str">
        <f>IFERROR(__xludf.DUMMYFUNCTION("GOOGLETRANSLATE(B33332,""en"",""fr"")"),"Il jette ensuite l'obscurité en l'air pour montrer qu'il a atterri sur la planche.")</f>
        <v>Il jette ensuite l'obscurité en l'air pour montrer qu'il a atterri sur la planche.</v>
      </c>
    </row>
    <row r="33333">
      <c r="A33333" s="4" t="s">
        <v>41955</v>
      </c>
      <c r="B33333" s="6" t="s">
        <v>41956</v>
      </c>
      <c r="C33333" s="5" t="str">
        <f>IFERROR(__xludf.DUMMYFUNCTION("GOOGLETRANSLATE(B33333,""en"",""fr"")"),"Un soldat Storm est vu parler à la caméra et mène à une caméra qui panorfait autour d'un voisin et de l'homme qui se promène.")</f>
        <v>Un soldat Storm est vu parler à la caméra et mène à une caméra qui panorfait autour d'un voisin et de l'homme qui se promène.</v>
      </c>
    </row>
    <row r="33334">
      <c r="A33334" s="4" t="s">
        <v>41955</v>
      </c>
      <c r="B33334" s="4" t="s">
        <v>41957</v>
      </c>
      <c r="C33334" s="5" t="str">
        <f>IFERROR(__xludf.DUMMYFUNCTION("GOOGLETRANSLATE(B33334,""en"",""fr"")"),"De nombreux enfants s'arrêtent pour parler à l'homme ainsi qu'aux voitures qui s'arrêtent pour parler.")</f>
        <v>De nombreux enfants s'arrêtent pour parler à l'homme ainsi qu'aux voitures qui s'arrêtent pour parler.</v>
      </c>
    </row>
    <row r="33335">
      <c r="A33335" s="4" t="s">
        <v>41958</v>
      </c>
      <c r="B33335" s="4" t="s">
        <v>41959</v>
      </c>
      <c r="C33335" s="5" t="str">
        <f>IFERROR(__xludf.DUMMYFUNCTION("GOOGLETRANSLATE(B33335,""en"",""fr"")"),"Un grand groupe de personnes est vu jouer à un jeu de tir à la tir à la guerre avec d'autres personnes se promenant.")</f>
        <v>Un grand groupe de personnes est vu jouer à un jeu de tir à la tir à la guerre avec d'autres personnes se promenant.</v>
      </c>
    </row>
    <row r="33336">
      <c r="A33336" s="4" t="s">
        <v>41958</v>
      </c>
      <c r="B33336" s="4" t="s">
        <v>41960</v>
      </c>
      <c r="C33336" s="5" t="str">
        <f>IFERROR(__xludf.DUMMYFUNCTION("GOOGLETRANSLATE(B33336,""en"",""fr"")"),"Les gens reviennent et quatrième tandis que d'autres regardent sur le côté.")</f>
        <v>Les gens reviennent et quatrième tandis que d'autres regardent sur le côté.</v>
      </c>
    </row>
    <row r="33337">
      <c r="A33337" s="4" t="s">
        <v>41958</v>
      </c>
      <c r="B33337" s="4" t="s">
        <v>41961</v>
      </c>
      <c r="C33337" s="5" t="str">
        <f>IFERROR(__xludf.DUMMYFUNCTION("GOOGLETRANSLATE(B33337,""en"",""fr"")"),"Un groupe en tire ensuite un autre et se termine en s'éloignant.")</f>
        <v>Un groupe en tire ensuite un autre et se termine en s'éloignant.</v>
      </c>
    </row>
    <row r="33338">
      <c r="A33338" s="4" t="s">
        <v>41962</v>
      </c>
      <c r="B33338" s="4" t="s">
        <v>41963</v>
      </c>
      <c r="C33338" s="5" t="str">
        <f>IFERROR(__xludf.DUMMYFUNCTION("GOOGLETRANSLATE(B33338,""en"",""fr"")"),"Une ligne d'horizon de la ville apparaît devant une grande rivière.")</f>
        <v>Une ligne d'horizon de la ville apparaît devant une grande rivière.</v>
      </c>
    </row>
    <row r="33339">
      <c r="A33339" s="4" t="s">
        <v>41962</v>
      </c>
      <c r="B33339" s="4" t="s">
        <v>41964</v>
      </c>
      <c r="C33339" s="5" t="str">
        <f>IFERROR(__xludf.DUMMYFUNCTION("GOOGLETRANSLATE(B33339,""en"",""fr"")"),"Plusieurs entreprises sont présentées de l'extérieur.")</f>
        <v>Plusieurs entreprises sont présentées de l'extérieur.</v>
      </c>
    </row>
    <row r="33340">
      <c r="A33340" s="4" t="s">
        <v>41962</v>
      </c>
      <c r="B33340" s="4" t="s">
        <v>41965</v>
      </c>
      <c r="C33340" s="5" t="str">
        <f>IFERROR(__xludf.DUMMYFUNCTION("GOOGLETRANSLATE(B33340,""en"",""fr"")"),"Un match d'escrime commence à l'intérieur d'un bâtiment.")</f>
        <v>Un match d'escrime commence à l'intérieur d'un bâtiment.</v>
      </c>
    </row>
    <row r="33341">
      <c r="A33341" s="4" t="s">
        <v>41966</v>
      </c>
      <c r="B33341" s="4" t="s">
        <v>41967</v>
      </c>
      <c r="C33341" s="5" t="str">
        <f>IFERROR(__xludf.DUMMYFUNCTION("GOOGLETRANSLATE(B33341,""en"",""fr"")"),"Nous voyons des gens chevaucher des voitures tamponneuses.")</f>
        <v>Nous voyons des gens chevaucher des voitures tamponneuses.</v>
      </c>
    </row>
    <row r="33342">
      <c r="A33342" s="4" t="s">
        <v>41966</v>
      </c>
      <c r="B33342" s="4" t="s">
        <v>41968</v>
      </c>
      <c r="C33342" s="5" t="str">
        <f>IFERROR(__xludf.DUMMYFUNCTION("GOOGLETRANSLATE(B33342,""en"",""fr"")"),"La caméra descend la ligne vers la droite.")</f>
        <v>La caméra descend la ligne vers la droite.</v>
      </c>
    </row>
    <row r="33343">
      <c r="A33343" s="4" t="s">
        <v>41966</v>
      </c>
      <c r="B33343" s="4" t="s">
        <v>41969</v>
      </c>
      <c r="C33343" s="5" t="str">
        <f>IFERROR(__xludf.DUMMYFUNCTION("GOOGLETRANSLATE(B33343,""en"",""fr"")"),"La fille en noir est coincée.")</f>
        <v>La fille en noir est coincée.</v>
      </c>
    </row>
    <row r="33344">
      <c r="A33344" s="4" t="s">
        <v>41966</v>
      </c>
      <c r="B33344" s="4" t="s">
        <v>41970</v>
      </c>
      <c r="C33344" s="5" t="str">
        <f>IFERROR(__xludf.DUMMYFUNCTION("GOOGLETRANSLATE(B33344,""en"",""fr"")"),"Les voitures s'arrêtent alors.")</f>
        <v>Les voitures s'arrêtent alors.</v>
      </c>
    </row>
    <row r="33345">
      <c r="A33345" s="4" t="s">
        <v>41971</v>
      </c>
      <c r="B33345" s="4" t="s">
        <v>41972</v>
      </c>
      <c r="C33345" s="5" t="str">
        <f>IFERROR(__xludf.DUMMYFUNCTION("GOOGLETRANSLATE(B33345,""en"",""fr"")"),"Une femme danse tandis qu'un autre se tient en arrière-plan.")</f>
        <v>Une femme danse tandis qu'un autre se tient en arrière-plan.</v>
      </c>
    </row>
    <row r="33346">
      <c r="A33346" s="4" t="s">
        <v>41971</v>
      </c>
      <c r="B33346" s="4" t="s">
        <v>41973</v>
      </c>
      <c r="C33346" s="5" t="str">
        <f>IFERROR(__xludf.DUMMYFUNCTION("GOOGLETRANSLATE(B33346,""en"",""fr"")"),"Une troisième femme balaie le sol.")</f>
        <v>Une troisième femme balaie le sol.</v>
      </c>
    </row>
    <row r="33347">
      <c r="A33347" s="4" t="s">
        <v>41971</v>
      </c>
      <c r="B33347" s="4" t="s">
        <v>41974</v>
      </c>
      <c r="C33347" s="5" t="str">
        <f>IFERROR(__xludf.DUMMYFUNCTION("GOOGLETRANSLATE(B33347,""en"",""fr"")"),"La deuxième femme commence à se promener avec une serviette sous un pied.")</f>
        <v>La deuxième femme commence à se promener avec une serviette sous un pied.</v>
      </c>
    </row>
    <row r="33348">
      <c r="A33348" s="4" t="s">
        <v>41971</v>
      </c>
      <c r="B33348" s="4" t="s">
        <v>41975</v>
      </c>
      <c r="C33348" s="5" t="str">
        <f>IFERROR(__xludf.DUMMYFUNCTION("GOOGLETRANSLATE(B33348,""en"",""fr"")"),"La première femme arrête de danser et commence à se promener avec une serviette sous un pied.")</f>
        <v>La première femme arrête de danser et commence à se promener avec une serviette sous un pied.</v>
      </c>
    </row>
    <row r="33349">
      <c r="A33349" s="4" t="s">
        <v>41971</v>
      </c>
      <c r="B33349" s="4" t="s">
        <v>41976</v>
      </c>
      <c r="C33349" s="5" t="str">
        <f>IFERROR(__xludf.DUMMYFUNCTION("GOOGLETRANSLATE(B33349,""en"",""fr"")"),"La femme balayante s'arrête, saute et salue avant de reprendre.")</f>
        <v>La femme balayante s'arrête, saute et salue avant de reprendre.</v>
      </c>
    </row>
    <row r="33350">
      <c r="A33350" s="4" t="s">
        <v>41971</v>
      </c>
      <c r="B33350" s="4" t="s">
        <v>41977</v>
      </c>
      <c r="C33350" s="5" t="str">
        <f>IFERROR(__xludf.DUMMYFUNCTION("GOOGLETRANSLATE(B33350,""en"",""fr"")"),"La première femme sort des articles d'une armoire et les place sur le sol.")</f>
        <v>La première femme sort des articles d'une armoire et les place sur le sol.</v>
      </c>
    </row>
    <row r="33351">
      <c r="A33351" s="4" t="s">
        <v>41971</v>
      </c>
      <c r="B33351" s="4" t="s">
        <v>41978</v>
      </c>
      <c r="C33351" s="5" t="str">
        <f>IFERROR(__xludf.DUMMYFUNCTION("GOOGLETRANSLATE(B33351,""en"",""fr"")"),"Un quatrième individu est brièvement montré dans l'embrasure de la porte.")</f>
        <v>Un quatrième individu est brièvement montré dans l'embrasure de la porte.</v>
      </c>
    </row>
    <row r="33352">
      <c r="A33352" s="4" t="s">
        <v>41979</v>
      </c>
      <c r="B33352" s="4" t="s">
        <v>41980</v>
      </c>
      <c r="C33352" s="5" t="str">
        <f>IFERROR(__xludf.DUMMYFUNCTION("GOOGLETRANSLATE(B33352,""en"",""fr"")"),"Le sol a une marelle dessus.")</f>
        <v>Le sol a une marelle dessus.</v>
      </c>
    </row>
    <row r="33353">
      <c r="A33353" s="4" t="s">
        <v>41979</v>
      </c>
      <c r="B33353" s="4" t="s">
        <v>41981</v>
      </c>
      <c r="C33353" s="5" t="str">
        <f>IFERROR(__xludf.DUMMYFUNCTION("GOOGLETRANSLATE(B33353,""en"",""fr"")"),"Quelqu'un est assis avec un tour de tour.")</f>
        <v>Quelqu'un est assis avec un tour de tour.</v>
      </c>
    </row>
    <row r="33354">
      <c r="A33354" s="4" t="s">
        <v>41979</v>
      </c>
      <c r="B33354" s="4" t="s">
        <v>41982</v>
      </c>
      <c r="C33354" s="5" t="str">
        <f>IFERROR(__xludf.DUMMYFUNCTION("GOOGLETRANSLATE(B33354,""en"",""fr"")"),"Il y a une poubelle dans le coin.")</f>
        <v>Il y a une poubelle dans le coin.</v>
      </c>
    </row>
    <row r="33355">
      <c r="A33355" s="4" t="s">
        <v>41979</v>
      </c>
      <c r="B33355" s="4" t="s">
        <v>41983</v>
      </c>
      <c r="C33355" s="5" t="str">
        <f>IFERROR(__xludf.DUMMYFUNCTION("GOOGLETRANSLATE(B33355,""en"",""fr"")"),"Un garçon joue de la marelle.")</f>
        <v>Un garçon joue de la marelle.</v>
      </c>
    </row>
    <row r="33356">
      <c r="A33356" s="4" t="s">
        <v>41984</v>
      </c>
      <c r="B33356" s="4" t="s">
        <v>41985</v>
      </c>
      <c r="C33356" s="5" t="str">
        <f>IFERROR(__xludf.DUMMYFUNCTION("GOOGLETRANSLATE(B33356,""en"",""fr"")"),"Un petit groupe de personnes est vu debout autour d'un champ quand une dame frappe une balle.")</f>
        <v>Un petit groupe de personnes est vu debout autour d'un champ quand une dame frappe une balle.</v>
      </c>
    </row>
    <row r="33357">
      <c r="A33357" s="4" t="s">
        <v>41984</v>
      </c>
      <c r="B33357" s="4" t="s">
        <v>41986</v>
      </c>
      <c r="C33357" s="5" t="str">
        <f>IFERROR(__xludf.DUMMYFUNCTION("GOOGLETRANSLATE(B33357,""en"",""fr"")"),"Les gens continuent de jouer au crochet sur la pelouse en se promenant.")</f>
        <v>Les gens continuent de jouer au crochet sur la pelouse en se promenant.</v>
      </c>
    </row>
    <row r="33358">
      <c r="A33358" s="4" t="s">
        <v>41987</v>
      </c>
      <c r="B33358" s="4" t="s">
        <v>41988</v>
      </c>
      <c r="C33358" s="5" t="str">
        <f>IFERROR(__xludf.DUMMYFUNCTION("GOOGLETRANSLATE(B33358,""en"",""fr"")"),"Les gens marchent devant une clôture blanche.")</f>
        <v>Les gens marchent devant une clôture blanche.</v>
      </c>
    </row>
    <row r="33359">
      <c r="A33359" s="4" t="s">
        <v>41987</v>
      </c>
      <c r="B33359" s="4" t="s">
        <v>41989</v>
      </c>
      <c r="C33359" s="5" t="str">
        <f>IFERROR(__xludf.DUMMYFUNCTION("GOOGLETRANSLATE(B33359,""en"",""fr"")"),"Derrière la clôture, un homme monte un cheval.")</f>
        <v>Derrière la clôture, un homme monte un cheval.</v>
      </c>
    </row>
    <row r="33360">
      <c r="A33360" s="4" t="s">
        <v>41987</v>
      </c>
      <c r="B33360" s="4" t="s">
        <v>41990</v>
      </c>
      <c r="C33360" s="5" t="str">
        <f>IFERROR(__xludf.DUMMYFUNCTION("GOOGLETRANSLATE(B33360,""en"",""fr"")"),"Il corde un mollet et le jette sur le sol.")</f>
        <v>Il corde un mollet et le jette sur le sol.</v>
      </c>
    </row>
    <row r="33361">
      <c r="A33361" s="4" t="s">
        <v>41987</v>
      </c>
      <c r="B33361" s="4" t="s">
        <v>41991</v>
      </c>
      <c r="C33361" s="5" t="str">
        <f>IFERROR(__xludf.DUMMYFUNCTION("GOOGLETRANSLATE(B33361,""en"",""fr"")"),"Il attache les jambes du veau et se lève.")</f>
        <v>Il attache les jambes du veau et se lève.</v>
      </c>
    </row>
    <row r="33362">
      <c r="A33362" s="4" t="s">
        <v>41987</v>
      </c>
      <c r="B33362" s="4" t="s">
        <v>41992</v>
      </c>
      <c r="C33362" s="5" t="str">
        <f>IFERROR(__xludf.DUMMYFUNCTION("GOOGLETRANSLATE(B33362,""en"",""fr"")"),"Il revient sur son cheval.")</f>
        <v>Il revient sur son cheval.</v>
      </c>
    </row>
    <row r="33363">
      <c r="A33363" s="4" t="s">
        <v>41993</v>
      </c>
      <c r="B33363" s="4" t="s">
        <v>41994</v>
      </c>
      <c r="C33363" s="5" t="str">
        <f>IFERROR(__xludf.DUMMYFUNCTION("GOOGLETRANSLATE(B33363,""en"",""fr"")"),"Une personne joue Tam-Tam en utilisant trois instruments.")</f>
        <v>Une personne joue Tam-Tam en utilisant trois instruments.</v>
      </c>
    </row>
    <row r="33364">
      <c r="A33364" s="4" t="s">
        <v>41993</v>
      </c>
      <c r="B33364" s="4" t="s">
        <v>41995</v>
      </c>
      <c r="C33364" s="5" t="str">
        <f>IFERROR(__xludf.DUMMYFUNCTION("GOOGLETRANSLATE(B33364,""en"",""fr"")"),"Un autre homme joue la batterie en utilisant deux bâtons.")</f>
        <v>Un autre homme joue la batterie en utilisant deux bâtons.</v>
      </c>
    </row>
    <row r="33365">
      <c r="A33365" s="4" t="s">
        <v>41996</v>
      </c>
      <c r="B33365" s="4" t="s">
        <v>41997</v>
      </c>
      <c r="C33365" s="5" t="str">
        <f>IFERROR(__xludf.DUMMYFUNCTION("GOOGLETRANSLATE(B33365,""en"",""fr"")"),"Un personnage jaune de dessin animé est montré en marche avec des taureaux derrière lui.")</f>
        <v>Un personnage jaune de dessin animé est montré en marche avec des taureaux derrière lui.</v>
      </c>
    </row>
    <row r="33366">
      <c r="A33366" s="4" t="s">
        <v>41996</v>
      </c>
      <c r="B33366" s="4" t="s">
        <v>41998</v>
      </c>
      <c r="C33366" s="5" t="str">
        <f>IFERROR(__xludf.DUMMYFUNCTION("GOOGLETRANSLATE(B33366,""en"",""fr"")"),"Plusieurs lutteurs de Sumo sont ensuite montrés en cours d'exécution sur une piste.")</f>
        <v>Plusieurs lutteurs de Sumo sont ensuite montrés en cours d'exécution sur une piste.</v>
      </c>
    </row>
    <row r="33367">
      <c r="A33367" s="4" t="s">
        <v>41996</v>
      </c>
      <c r="B33367" s="4" t="s">
        <v>41999</v>
      </c>
      <c r="C33367" s="5" t="str">
        <f>IFERROR(__xludf.DUMMYFUNCTION("GOOGLETRANSLATE(B33367,""en"",""fr"")"),"Un pistolet tire et ils courent à nouveau.")</f>
        <v>Un pistolet tire et ils courent à nouveau.</v>
      </c>
    </row>
    <row r="33368">
      <c r="A33368" s="4" t="s">
        <v>42000</v>
      </c>
      <c r="B33368" s="6" t="s">
        <v>42001</v>
      </c>
      <c r="C33368" s="5" t="str">
        <f>IFERROR(__xludf.DUMMYFUNCTION("GOOGLETRANSLATE(B33368,""en"",""fr"")"),"Un homme sort et commence à pelleter la neige avec sa pelle noire et beaucoup de gens passent devant pendant qu'il le fait.")</f>
        <v>Un homme sort et commence à pelleter la neige avec sa pelle noire et beaucoup de gens passent devant pendant qu'il le fait.</v>
      </c>
    </row>
    <row r="33369">
      <c r="A33369" s="4" t="s">
        <v>42000</v>
      </c>
      <c r="B33369" s="4" t="s">
        <v>42002</v>
      </c>
      <c r="C33369" s="5" t="str">
        <f>IFERROR(__xludf.DUMMYFUNCTION("GOOGLETRANSLATE(B33369,""en"",""fr"")"),"À la fin, la caméra zoome pour montrer ce qui est écrit dans le gros tas de neige.")</f>
        <v>À la fin, la caméra zoome pour montrer ce qui est écrit dans le gros tas de neige.</v>
      </c>
    </row>
    <row r="33370">
      <c r="A33370" s="4" t="s">
        <v>42000</v>
      </c>
      <c r="B33370" s="6" t="s">
        <v>42003</v>
      </c>
      <c r="C33370" s="5" t="str">
        <f>IFERROR(__xludf.DUMMYFUNCTION("GOOGLETRANSLATE(B33370,""en"",""fr"")"),"Les lettres créent cette phrase de vacances connue du monde et c'est Joyeux Noël, y compris l'année 2013.")</f>
        <v>Les lettres créent cette phrase de vacances connue du monde et c'est Joyeux Noël, y compris l'année 2013.</v>
      </c>
    </row>
    <row r="33371">
      <c r="A33371" s="4" t="s">
        <v>42004</v>
      </c>
      <c r="B33371" s="4" t="s">
        <v>42005</v>
      </c>
      <c r="C33371" s="5" t="str">
        <f>IFERROR(__xludf.DUMMYFUNCTION("GOOGLETRANSLATE(B33371,""en"",""fr"")"),"Un homme monte sur son vélo.")</f>
        <v>Un homme monte sur son vélo.</v>
      </c>
    </row>
    <row r="33372">
      <c r="A33372" s="4" t="s">
        <v>42004</v>
      </c>
      <c r="B33372" s="4" t="s">
        <v>42006</v>
      </c>
      <c r="C33372" s="5" t="str">
        <f>IFERROR(__xludf.DUMMYFUNCTION("GOOGLETRANSLATE(B33372,""en"",""fr"")"),"Le pneu est plat et il le ressent.")</f>
        <v>Le pneu est plat et il le ressent.</v>
      </c>
    </row>
    <row r="33373">
      <c r="A33373" s="4" t="s">
        <v>42004</v>
      </c>
      <c r="B33373" s="4" t="s">
        <v>42007</v>
      </c>
      <c r="C33373" s="5" t="str">
        <f>IFERROR(__xludf.DUMMYFUNCTION("GOOGLETRANSLATE(B33373,""en"",""fr"")"),"Il accroche la pompe à air jusqu'au pneu.")</f>
        <v>Il accroche la pompe à air jusqu'au pneu.</v>
      </c>
    </row>
    <row r="33374">
      <c r="A33374" s="4" t="s">
        <v>42004</v>
      </c>
      <c r="B33374" s="4" t="s">
        <v>42008</v>
      </c>
      <c r="C33374" s="5" t="str">
        <f>IFERROR(__xludf.DUMMYFUNCTION("GOOGLETRANSLATE(B33374,""en"",""fr"")"),"Les outils sont assis sur un mur de briques.")</f>
        <v>Les outils sont assis sur un mur de briques.</v>
      </c>
    </row>
    <row r="33375">
      <c r="A33375" s="4" t="s">
        <v>42004</v>
      </c>
      <c r="B33375" s="4" t="s">
        <v>42009</v>
      </c>
      <c r="C33375" s="5" t="str">
        <f>IFERROR(__xludf.DUMMYFUNCTION("GOOGLETRANSLATE(B33375,""en"",""fr"")"),"Il retourne le vélo à l'envers pour regarder le pneu.")</f>
        <v>Il retourne le vélo à l'envers pour regarder le pneu.</v>
      </c>
    </row>
    <row r="33376">
      <c r="A33376" s="4" t="s">
        <v>42004</v>
      </c>
      <c r="B33376" s="4" t="s">
        <v>42010</v>
      </c>
      <c r="C33376" s="5" t="str">
        <f>IFERROR(__xludf.DUMMYFUNCTION("GOOGLETRANSLATE(B33376,""en"",""fr"")"),"Il enlève un écrou du roue pour enlever le pneu.")</f>
        <v>Il enlève un écrou du roue pour enlever le pneu.</v>
      </c>
    </row>
    <row r="33377">
      <c r="A33377" s="4" t="s">
        <v>42004</v>
      </c>
      <c r="B33377" s="4" t="s">
        <v>42011</v>
      </c>
      <c r="C33377" s="5" t="str">
        <f>IFERROR(__xludf.DUMMYFUNCTION("GOOGLETRANSLATE(B33377,""en"",""fr"")"),"Il utilise un outil pour retirer le pneu de la roue.")</f>
        <v>Il utilise un outil pour retirer le pneu de la roue.</v>
      </c>
    </row>
    <row r="33378">
      <c r="A33378" s="4" t="s">
        <v>42004</v>
      </c>
      <c r="B33378" s="4" t="s">
        <v>42012</v>
      </c>
      <c r="C33378" s="5" t="str">
        <f>IFERROR(__xludf.DUMMYFUNCTION("GOOGLETRANSLATE(B33378,""en"",""fr"")"),"Il pompe une pompe puis la remplit d'eau.")</f>
        <v>Il pompe une pompe puis la remplit d'eau.</v>
      </c>
    </row>
    <row r="33379">
      <c r="A33379" s="4" t="s">
        <v>42004</v>
      </c>
      <c r="B33379" s="4" t="s">
        <v>42013</v>
      </c>
      <c r="C33379" s="5" t="str">
        <f>IFERROR(__xludf.DUMMYFUNCTION("GOOGLETRANSLATE(B33379,""en"",""fr"")"),"Il frotte la craie sur le pneu et met la colle dessus.")</f>
        <v>Il frotte la craie sur le pneu et met la colle dessus.</v>
      </c>
    </row>
    <row r="33380">
      <c r="A33380" s="4" t="s">
        <v>42004</v>
      </c>
      <c r="B33380" s="4" t="s">
        <v>42014</v>
      </c>
      <c r="C33380" s="5" t="str">
        <f>IFERROR(__xludf.DUMMYFUNCTION("GOOGLETRANSLATE(B33380,""en"",""fr"")"),"Il remet le pneu sur le volant.")</f>
        <v>Il remet le pneu sur le volant.</v>
      </c>
    </row>
    <row r="33381">
      <c r="A33381" s="4" t="s">
        <v>42004</v>
      </c>
      <c r="B33381" s="4" t="s">
        <v>42015</v>
      </c>
      <c r="C33381" s="5" t="str">
        <f>IFERROR(__xludf.DUMMYFUNCTION("GOOGLETRANSLATE(B33381,""en"",""fr"")"),"Il met la pompe à air et la remplit d'air.")</f>
        <v>Il met la pompe à air et la remplit d'air.</v>
      </c>
    </row>
    <row r="33382">
      <c r="A33382" s="4" t="s">
        <v>42004</v>
      </c>
      <c r="B33382" s="4" t="s">
        <v>42016</v>
      </c>
      <c r="C33382" s="5" t="str">
        <f>IFERROR(__xludf.DUMMYFUNCTION("GOOGLETRANSLATE(B33382,""en"",""fr"")"),"Il monte sur son vélo et s'éloigne.")</f>
        <v>Il monte sur son vélo et s'éloigne.</v>
      </c>
    </row>
    <row r="33383">
      <c r="A33383" s="4" t="s">
        <v>42017</v>
      </c>
      <c r="B33383" s="6" t="s">
        <v>42018</v>
      </c>
      <c r="C33383" s="5" t="str">
        <f>IFERROR(__xludf.DUMMYFUNCTION("GOOGLETRANSLATE(B33383,""en"",""fr"")"),"Une femme est vue debout derrière un comptoir parlant à la caméra et pointant vers divers ingrédients.")</f>
        <v>Une femme est vue debout derrière un comptoir parlant à la caméra et pointant vers divers ingrédients.</v>
      </c>
    </row>
    <row r="33384">
      <c r="A33384" s="4" t="s">
        <v>42017</v>
      </c>
      <c r="B33384" s="4" t="s">
        <v>42019</v>
      </c>
      <c r="C33384" s="5" t="str">
        <f>IFERROR(__xludf.DUMMYFUNCTION("GOOGLETRANSLATE(B33384,""en"",""fr"")"),"Elle verse de l'huile dans une poêle chaude et commence à mélanger les ingrédients dans la poêle.")</f>
        <v>Elle verse de l'huile dans une poêle chaude et commence à mélanger les ingrédients dans la poêle.</v>
      </c>
    </row>
    <row r="33385">
      <c r="A33385" s="4" t="s">
        <v>42017</v>
      </c>
      <c r="B33385" s="4" t="s">
        <v>42020</v>
      </c>
      <c r="C33385" s="5" t="str">
        <f>IFERROR(__xludf.DUMMYFUNCTION("GOOGLETRANSLATE(B33385,""en"",""fr"")"),"Elle bouille des nouilles dans un pot et la mélange dans la casserole et la sert sur une assiette.")</f>
        <v>Elle bouille des nouilles dans un pot et la mélange dans la casserole et la sert sur une assiette.</v>
      </c>
    </row>
    <row r="33386">
      <c r="A33386" s="4" t="s">
        <v>42021</v>
      </c>
      <c r="B33386" s="6" t="s">
        <v>42022</v>
      </c>
      <c r="C33386" s="5" t="str">
        <f>IFERROR(__xludf.DUMMYFUNCTION("GOOGLETRANSLATE(B33386,""en"",""fr"")"),"Une fille en maillot de bain en un morceau commence à marcher sur une plongée qui est située dans une grande piscine intérieure avec beaucoup de gens dans les tribunes.")</f>
        <v>Une fille en maillot de bain en un morceau commence à marcher sur une plongée qui est située dans une grande piscine intérieure avec beaucoup de gens dans les tribunes.</v>
      </c>
    </row>
    <row r="33387">
      <c r="A33387" s="4" t="s">
        <v>42021</v>
      </c>
      <c r="B33387" s="4" t="s">
        <v>42023</v>
      </c>
      <c r="C33387" s="5" t="str">
        <f>IFERROR(__xludf.DUMMYFUNCTION("GOOGLETRANSLATE(B33387,""en"",""fr"")"),"Lorsque la fille arrive au bout du plongeon, elle saute, puis se retourne et tourne dans la piscine.")</f>
        <v>Lorsque la fille arrive au bout du plongeon, elle saute, puis se retourne et tourne dans la piscine.</v>
      </c>
    </row>
    <row r="33388">
      <c r="A33388" s="4" t="s">
        <v>42021</v>
      </c>
      <c r="B33388" s="4" t="s">
        <v>42024</v>
      </c>
      <c r="C33388" s="5" t="str">
        <f>IFERROR(__xludf.DUMMYFUNCTION("GOOGLETRANSLATE(B33388,""en"",""fr"")"),"Lorsque la fille frappe l'eau, elle fait un petit éclaboussures.")</f>
        <v>Lorsque la fille frappe l'eau, elle fait un petit éclaboussures.</v>
      </c>
    </row>
    <row r="33389">
      <c r="A33389" s="4" t="s">
        <v>42025</v>
      </c>
      <c r="B33389" s="4" t="s">
        <v>42026</v>
      </c>
      <c r="C33389" s="5" t="str">
        <f>IFERROR(__xludf.DUMMYFUNCTION("GOOGLETRANSLATE(B33389,""en"",""fr"")"),"On voit un homme nettoyer une salle de bain lorsqu'il entre dans le cadre et mène à un article de presse.")</f>
        <v>On voit un homme nettoyer une salle de bain lorsqu'il entre dans le cadre et mène à un article de presse.</v>
      </c>
    </row>
    <row r="33390">
      <c r="A33390" s="4" t="s">
        <v>42025</v>
      </c>
      <c r="B33390" s="6" t="s">
        <v>42027</v>
      </c>
      <c r="C33390" s="5" t="str">
        <f>IFERROR(__xludf.DUMMYFUNCTION("GOOGLETRANSLATE(B33390,""en"",""fr"")"),"Une photo d'un panneau est montrée suivie d'une personne qui se lave les mains ainsi que des clips des émissions de télévision.")</f>
        <v>Une photo d'un panneau est montrée suivie d'une personne qui se lave les mains ainsi que des clips des émissions de télévision.</v>
      </c>
    </row>
    <row r="33391">
      <c r="A33391" s="4" t="s">
        <v>42025</v>
      </c>
      <c r="B33391" s="4" t="s">
        <v>42028</v>
      </c>
      <c r="C33391" s="5" t="str">
        <f>IFERROR(__xludf.DUMMYFUNCTION("GOOGLETRANSLATE(B33391,""en"",""fr"")"),"Plus de coups sont des articles sont présentés et se termine par des gens qui marchent dans un métro.")</f>
        <v>Plus de coups sont des articles sont présentés et se termine par des gens qui marchent dans un métro.</v>
      </c>
    </row>
    <row r="33392">
      <c r="A33392" s="4" t="s">
        <v>42029</v>
      </c>
      <c r="B33392" s="6" t="s">
        <v>42030</v>
      </c>
      <c r="C33392" s="5" t="str">
        <f>IFERROR(__xludf.DUMMYFUNCTION("GOOGLETRANSLATE(B33392,""en"",""fr"")"),"Une vision floue montre deux personnes dans un gymnase avec un coup de poing et des coups de pied dans les autres gants de maintien.")</f>
        <v>Une vision floue montre deux personnes dans un gymnase avec un coup de poing et des coups de pied dans les autres gants de maintien.</v>
      </c>
    </row>
    <row r="33393">
      <c r="A33393" s="4" t="s">
        <v>42029</v>
      </c>
      <c r="B33393" s="4" t="s">
        <v>42031</v>
      </c>
      <c r="C33393" s="5" t="str">
        <f>IFERROR(__xludf.DUMMYFUNCTION("GOOGLETRANSLATE(B33393,""en"",""fr"")"),"Les deux continuent de se déplacer dans le gymnase en pratiquant leurs coups de pied et leurs coups de poing.")</f>
        <v>Les deux continuent de se déplacer dans le gymnase en pratiquant leurs coups de pied et leurs coups de poing.</v>
      </c>
    </row>
    <row r="33394">
      <c r="A33394" s="4" t="s">
        <v>42032</v>
      </c>
      <c r="B33394" s="4" t="s">
        <v>42033</v>
      </c>
      <c r="C33394" s="5" t="str">
        <f>IFERROR(__xludf.DUMMYFUNCTION("GOOGLETRANSLATE(B33394,""en"",""fr"")"),"Il y a une voiture de course de couleur noire et rouge dans un parking.")</f>
        <v>Il y a une voiture de course de couleur noire et rouge dans un parking.</v>
      </c>
    </row>
    <row r="33395">
      <c r="A33395" s="4" t="s">
        <v>42032</v>
      </c>
      <c r="B33395" s="4" t="s">
        <v>42034</v>
      </c>
      <c r="C33395" s="5" t="str">
        <f>IFERROR(__xludf.DUMMYFUNCTION("GOOGLETRANSLATE(B33395,""en"",""fr"")"),"Un homme portant un short beige commence à nettoyer la voiture de course noire avec un chiffon et un spray.")</f>
        <v>Un homme portant un short beige commence à nettoyer la voiture de course noire avec un chiffon et un spray.</v>
      </c>
    </row>
    <row r="33396">
      <c r="A33396" s="4" t="s">
        <v>42032</v>
      </c>
      <c r="B33396" s="4" t="s">
        <v>42035</v>
      </c>
      <c r="C33396" s="5" t="str">
        <f>IFERROR(__xludf.DUMMYFUNCTION("GOOGLETRANSLATE(B33396,""en"",""fr"")"),"Il essuie la voiture pour la rendre brillante et propre.")</f>
        <v>Il essuie la voiture pour la rendre brillante et propre.</v>
      </c>
    </row>
    <row r="33397">
      <c r="A33397" s="4" t="s">
        <v>42032</v>
      </c>
      <c r="B33397" s="4" t="s">
        <v>42036</v>
      </c>
      <c r="C33397" s="5" t="str">
        <f>IFERROR(__xludf.DUMMYFUNCTION("GOOGLETRANSLATE(B33397,""en"",""fr"")"),"Les deux voitures sont garées dans le parking, l'air propre et brillante après un lavage de voiture.")</f>
        <v>Les deux voitures sont garées dans le parking, l'air propre et brillante après un lavage de voiture.</v>
      </c>
    </row>
    <row r="33398">
      <c r="A33398" s="4" t="s">
        <v>42032</v>
      </c>
      <c r="B33398" s="4" t="s">
        <v>42037</v>
      </c>
      <c r="C33398" s="5" t="str">
        <f>IFERROR(__xludf.DUMMYFUNCTION("GOOGLETRANSLATE(B33398,""en"",""fr"")"),"Informations sur le travail à main, le lavage de voiture mobile sans eau est affiché à l'écran.")</f>
        <v>Informations sur le travail à main, le lavage de voiture mobile sans eau est affiché à l'écran.</v>
      </c>
    </row>
    <row r="33399">
      <c r="A33399" s="4" t="s">
        <v>42038</v>
      </c>
      <c r="B33399" s="4" t="s">
        <v>42039</v>
      </c>
      <c r="C33399" s="5" t="str">
        <f>IFERROR(__xludf.DUMMYFUNCTION("GOOGLETRANSLATE(B33399,""en"",""fr"")"),"Un petit groupe de personnes est vu debout autour d'un grand cheval dans une grange pleine de foin.")</f>
        <v>Un petit groupe de personnes est vu debout autour d'un grand cheval dans une grange pleine de foin.</v>
      </c>
    </row>
    <row r="33400">
      <c r="A33400" s="4" t="s">
        <v>42038</v>
      </c>
      <c r="B33400" s="4" t="s">
        <v>42040</v>
      </c>
      <c r="C33400" s="5" t="str">
        <f>IFERROR(__xludf.DUMMYFUNCTION("GOOGLETRANSLATE(B33400,""en"",""fr"")"),"Les gens brossent le cheval tout le long des côtés lorsqu'une femme sort pour leur parler.")</f>
        <v>Les gens brossent le cheval tout le long des côtés lorsqu'une femme sort pour leur parler.</v>
      </c>
    </row>
    <row r="33401">
      <c r="A33401" s="4" t="s">
        <v>42041</v>
      </c>
      <c r="B33401" s="6" t="s">
        <v>42042</v>
      </c>
      <c r="C33401" s="5" t="str">
        <f>IFERROR(__xludf.DUMMYFUNCTION("GOOGLETRANSLATE(B33401,""en"",""fr"")"),"Un homme est vu faire du vélo au ralenti avec un drapeau dans le dos et mène à plusieurs clips de personnes de tous âges à vélo.")</f>
        <v>Un homme est vu faire du vélo au ralenti avec un drapeau dans le dos et mène à plusieurs clips de personnes de tous âges à vélo.</v>
      </c>
    </row>
    <row r="33402">
      <c r="A33402" s="4" t="s">
        <v>42041</v>
      </c>
      <c r="B33402" s="6" t="s">
        <v>42043</v>
      </c>
      <c r="C33402" s="5" t="str">
        <f>IFERROR(__xludf.DUMMYFUNCTION("GOOGLETRANSLATE(B33402,""en"",""fr"")"),"Les gens continuent de rouler autour du terrain de la terre tandis que d'autres se sont prêts à se préparer sur leurs vélos et interagissent les uns avec les autres.")</f>
        <v>Les gens continuent de rouler autour du terrain de la terre tandis que d'autres se sont prêts à se préparer sur leurs vélos et interagissent les uns avec les autres.</v>
      </c>
    </row>
    <row r="33403">
      <c r="A33403" s="4" t="s">
        <v>42044</v>
      </c>
      <c r="B33403" s="4" t="s">
        <v>42045</v>
      </c>
      <c r="C33403" s="5" t="str">
        <f>IFERROR(__xludf.DUMMYFUNCTION("GOOGLETRANSLATE(B33403,""en"",""fr"")"),"Un bâton de colle est illustré sur une table.")</f>
        <v>Un bâton de colle est illustré sur une table.</v>
      </c>
    </row>
    <row r="33404">
      <c r="A33404" s="4" t="s">
        <v>42044</v>
      </c>
      <c r="B33404" s="4" t="s">
        <v>42046</v>
      </c>
      <c r="C33404" s="5" t="str">
        <f>IFERROR(__xludf.DUMMYFUNCTION("GOOGLETRANSLATE(B33404,""en"",""fr"")"),"Une paire de ciseaux est sur une table.")</f>
        <v>Une paire de ciseaux est sur une table.</v>
      </c>
    </row>
    <row r="33405">
      <c r="A33405" s="4" t="s">
        <v>42044</v>
      </c>
      <c r="B33405" s="4" t="s">
        <v>42047</v>
      </c>
      <c r="C33405" s="5" t="str">
        <f>IFERROR(__xludf.DUMMYFUNCTION("GOOGLETRANSLATE(B33405,""en"",""fr"")"),"Une personne monte sur un ordinateur et imprime quelque chose.")</f>
        <v>Une personne monte sur un ordinateur et imprime quelque chose.</v>
      </c>
    </row>
    <row r="33406">
      <c r="A33406" s="4" t="s">
        <v>42044</v>
      </c>
      <c r="B33406" s="4" t="s">
        <v>42048</v>
      </c>
      <c r="C33406" s="5" t="str">
        <f>IFERROR(__xludf.DUMMYFUNCTION("GOOGLETRANSLATE(B33406,""en"",""fr"")"),"Ils collent ça à leur porte.")</f>
        <v>Ils collent ça à leur porte.</v>
      </c>
    </row>
    <row r="33407">
      <c r="A33407" s="4" t="s">
        <v>42049</v>
      </c>
      <c r="B33407" s="4" t="s">
        <v>41967</v>
      </c>
      <c r="C33407" s="5" t="str">
        <f>IFERROR(__xludf.DUMMYFUNCTION("GOOGLETRANSLATE(B33407,""en"",""fr"")"),"Nous voyons des gens chevaucher des voitures tamponneuses.")</f>
        <v>Nous voyons des gens chevaucher des voitures tamponneuses.</v>
      </c>
    </row>
    <row r="33408">
      <c r="A33408" s="4" t="s">
        <v>42049</v>
      </c>
      <c r="B33408" s="4" t="s">
        <v>42050</v>
      </c>
      <c r="C33408" s="5" t="str">
        <f>IFERROR(__xludf.DUMMYFUNCTION("GOOGLETRANSLATE(B33408,""en"",""fr"")"),"Un homme est dans la voiture avec un petit garçon.")</f>
        <v>Un homme est dans la voiture avec un petit garçon.</v>
      </c>
    </row>
    <row r="33409">
      <c r="A33409" s="4" t="s">
        <v>42049</v>
      </c>
      <c r="B33409" s="4" t="s">
        <v>42051</v>
      </c>
      <c r="C33409" s="5" t="str">
        <f>IFERROR(__xludf.DUMMYFUNCTION("GOOGLETRANSLATE(B33409,""en"",""fr"")"),"Nous voyons une voiture orange entrer à l'écran suivie d'une voiture en or.")</f>
        <v>Nous voyons une voiture orange entrer à l'écran suivie d'une voiture en or.</v>
      </c>
    </row>
    <row r="33410">
      <c r="A33410" s="4" t="s">
        <v>42052</v>
      </c>
      <c r="B33410" s="4" t="s">
        <v>42053</v>
      </c>
      <c r="C33410" s="5" t="str">
        <f>IFERROR(__xludf.DUMMYFUNCTION("GOOGLETRANSLATE(B33410,""en"",""fr"")"),"L'homme est dans un swing, faites une sorte de sommer-corrst dans les airs.")</f>
        <v>L'homme est dans un swing, faites une sorte de sommer-corrst dans les airs.</v>
      </c>
    </row>
    <row r="33411">
      <c r="A33411" s="4" t="s">
        <v>42052</v>
      </c>
      <c r="B33411" s="4" t="s">
        <v>42054</v>
      </c>
      <c r="C33411" s="5" t="str">
        <f>IFERROR(__xludf.DUMMYFUNCTION("GOOGLETRANSLATE(B33411,""en"",""fr"")"),"L'homme fait le grand saut dans les airs et atterrit dans un vélo et des statistiques.")</f>
        <v>L'homme fait le grand saut dans les airs et atterrit dans un vélo et des statistiques.</v>
      </c>
    </row>
    <row r="33412">
      <c r="A33412" s="4" t="s">
        <v>42052</v>
      </c>
      <c r="B33412" s="4" t="s">
        <v>42055</v>
      </c>
      <c r="C33412" s="5" t="str">
        <f>IFERROR(__xludf.DUMMYFUNCTION("GOOGLETRANSLATE(B33412,""en"",""fr"")"),"Les hommes se balancent dans une cour herbeuse verte.")</f>
        <v>Les hommes se balancent dans une cour herbeuse verte.</v>
      </c>
    </row>
    <row r="33413">
      <c r="A33413" s="4" t="s">
        <v>42056</v>
      </c>
      <c r="B33413" s="6" t="s">
        <v>42057</v>
      </c>
      <c r="C33413" s="5" t="str">
        <f>IFERROR(__xludf.DUMMYFUNCTION("GOOGLETRANSLATE(B33413,""en"",""fr"")"),"Un homme avec une veste rouge et un pantalon gris se promène sur une ligne lâche au milieu des montagnes.")</f>
        <v>Un homme avec une veste rouge et un pantalon gris se promène sur une ligne lâche au milieu des montagnes.</v>
      </c>
    </row>
    <row r="33414">
      <c r="A33414" s="4" t="s">
        <v>42056</v>
      </c>
      <c r="B33414" s="4" t="s">
        <v>42058</v>
      </c>
      <c r="C33414" s="5" t="str">
        <f>IFERROR(__xludf.DUMMYFUNCTION("GOOGLETRANSLATE(B33414,""en"",""fr"")"),"Alors qu'il essaie de serrer la corde, il tombe et n'est jamais en mesure de se lever.")</f>
        <v>Alors qu'il essaie de serrer la corde, il tombe et n'est jamais en mesure de se lever.</v>
      </c>
    </row>
    <row r="33415">
      <c r="A33415" s="4" t="s">
        <v>42056</v>
      </c>
      <c r="B33415" s="4" t="s">
        <v>42059</v>
      </c>
      <c r="C33415" s="5" t="str">
        <f>IFERROR(__xludf.DUMMYFUNCTION("GOOGLETRANSLATE(B33415,""en"",""fr"")"),"Bien qu'il ne puisse pas se lever, il tient et commence à rebondir de haut en bas à l'envers.")</f>
        <v>Bien qu'il ne puisse pas se lever, il tient et commence à rebondir de haut en bas à l'envers.</v>
      </c>
    </row>
    <row r="33416">
      <c r="A33416" s="4" t="s">
        <v>42060</v>
      </c>
      <c r="B33416" s="4" t="s">
        <v>42061</v>
      </c>
      <c r="C33416" s="5" t="str">
        <f>IFERROR(__xludf.DUMMYFUNCTION("GOOGLETRANSLATE(B33416,""en"",""fr"")"),"L'homme marche dans une cour à l'arrière-cour, l'arbre tient un balai et balaie les feuilles sèches sur le sol.")</f>
        <v>L'homme marche dans une cour à l'arrière-cour, l'arbre tient un balai et balaie les feuilles sèches sur le sol.</v>
      </c>
    </row>
    <row r="33417">
      <c r="A33417" s="4" t="s">
        <v>42060</v>
      </c>
      <c r="B33417" s="4" t="s">
        <v>42062</v>
      </c>
      <c r="C33417" s="5" t="str">
        <f>IFERROR(__xludf.DUMMYFUNCTION("GOOGLETRANSLATE(B33417,""en"",""fr"")"),"L'homme va pour une pelle à poussière et un sac et ramasser les feuilles du sol.")</f>
        <v>L'homme va pour une pelle à poussière et un sac et ramasser les feuilles du sol.</v>
      </c>
    </row>
    <row r="33418">
      <c r="A33418" s="4" t="s">
        <v>42063</v>
      </c>
      <c r="B33418" s="4" t="s">
        <v>42064</v>
      </c>
      <c r="C33418" s="5" t="str">
        <f>IFERROR(__xludf.DUMMYFUNCTION("GOOGLETRANSLATE(B33418,""en"",""fr"")"),"Un homme installe des caméras et l'éclairage en arrière-plan pour une prise de vue vidéo.")</f>
        <v>Un homme installe des caméras et l'éclairage en arrière-plan pour une prise de vue vidéo.</v>
      </c>
    </row>
    <row r="33419">
      <c r="A33419" s="4" t="s">
        <v>42063</v>
      </c>
      <c r="B33419" s="4" t="s">
        <v>42065</v>
      </c>
      <c r="C33419" s="5" t="str">
        <f>IFERROR(__xludf.DUMMYFUNCTION("GOOGLETRANSLATE(B33419,""en"",""fr"")"),"Un homme est sur une machine debout et n'utilise que ses bras et ses pieds pour se déplacer dessus.")</f>
        <v>Un homme est sur une machine debout et n'utilise que ses bras et ses pieds pour se déplacer dessus.</v>
      </c>
    </row>
    <row r="33420">
      <c r="A33420" s="4" t="s">
        <v>42063</v>
      </c>
      <c r="B33420" s="4" t="s">
        <v>42066</v>
      </c>
      <c r="C33420" s="5" t="str">
        <f>IFERROR(__xludf.DUMMYFUNCTION("GOOGLETRANSLATE(B33420,""en"",""fr"")"),"Ensuite, une femme monte en prenant le lieu de l'homme et elle utilise la machine.")</f>
        <v>Ensuite, une femme monte en prenant le lieu de l'homme et elle utilise la machine.</v>
      </c>
    </row>
    <row r="33421">
      <c r="A33421" s="4" t="s">
        <v>42063</v>
      </c>
      <c r="B33421" s="4" t="s">
        <v>42067</v>
      </c>
      <c r="C33421" s="5" t="str">
        <f>IFERROR(__xludf.DUMMYFUNCTION("GOOGLETRANSLATE(B33421,""en"",""fr"")"),"Ils créent une publicité commerciale pour les téléspectateurs.")</f>
        <v>Ils créent une publicité commerciale pour les téléspectateurs.</v>
      </c>
    </row>
    <row r="33422">
      <c r="A33422" s="4" t="s">
        <v>42068</v>
      </c>
      <c r="B33422" s="4" t="s">
        <v>42069</v>
      </c>
      <c r="C33422" s="5" t="str">
        <f>IFERROR(__xludf.DUMMYFUNCTION("GOOGLETRANSLATE(B33422,""en"",""fr"")"),"L'homme parle à la caméra dans un studio de nouvelles et Sart parle avec un homme qui fait partie d'un groupe.")</f>
        <v>L'homme parle à la caméra dans un studio de nouvelles et Sart parle avec un homme qui fait partie d'un groupe.</v>
      </c>
    </row>
    <row r="33423">
      <c r="A33423" s="4" t="s">
        <v>42068</v>
      </c>
      <c r="B33423" s="4" t="s">
        <v>42070</v>
      </c>
      <c r="C33423" s="5" t="str">
        <f>IFERROR(__xludf.DUMMYFUNCTION("GOOGLETRANSLATE(B33423,""en"",""fr"")"),"Le groupe est sur une scène, les hommes jouent de la batterie.")</f>
        <v>Le groupe est sur une scène, les hommes jouent de la batterie.</v>
      </c>
    </row>
    <row r="33424">
      <c r="A33424" s="4" t="s">
        <v>42068</v>
      </c>
      <c r="B33424" s="4" t="s">
        <v>42071</v>
      </c>
      <c r="C33424" s="5" t="str">
        <f>IFERROR(__xludf.DUMMYFUNCTION("GOOGLETRANSLATE(B33424,""en"",""fr"")"),"L'homme est à nouveau dans le studio de nouvelles avec le groupe et l'homme commence à pose de batterie.")</f>
        <v>L'homme est à nouveau dans le studio de nouvelles avec le groupe et l'homme commence à pose de batterie.</v>
      </c>
    </row>
    <row r="33425">
      <c r="A33425" s="4" t="s">
        <v>42072</v>
      </c>
      <c r="B33425" s="4" t="s">
        <v>42073</v>
      </c>
      <c r="C33425" s="5" t="str">
        <f>IFERROR(__xludf.DUMMYFUNCTION("GOOGLETRANSLATE(B33425,""en"",""fr"")"),"Nous voyons des gens rouler dans des tampants.")</f>
        <v>Nous voyons des gens rouler dans des tampants.</v>
      </c>
    </row>
    <row r="33426">
      <c r="A33426" s="4" t="s">
        <v>42072</v>
      </c>
      <c r="B33426" s="4" t="s">
        <v>42074</v>
      </c>
      <c r="C33426" s="5" t="str">
        <f>IFERROR(__xludf.DUMMYFUNCTION("GOOGLETRANSLATE(B33426,""en"",""fr"")"),"Une fille agitant un jouet à froufrous.")</f>
        <v>Une fille agitant un jouet à froufrous.</v>
      </c>
    </row>
    <row r="33427">
      <c r="A33427" s="4" t="s">
        <v>42072</v>
      </c>
      <c r="B33427" s="4" t="s">
        <v>42075</v>
      </c>
      <c r="C33427" s="5" t="str">
        <f>IFERROR(__xludf.DUMMYFUNCTION("GOOGLETRANSLATE(B33427,""en"",""fr"")"),"Un petit garçon en gris sourit une caméra.")</f>
        <v>Un petit garçon en gris sourit une caméra.</v>
      </c>
    </row>
    <row r="33428">
      <c r="A33428" s="4" t="s">
        <v>42072</v>
      </c>
      <c r="B33428" s="4" t="s">
        <v>42076</v>
      </c>
      <c r="C33428" s="5" t="str">
        <f>IFERROR(__xludf.DUMMYFUNCTION("GOOGLETRANSLATE(B33428,""en"",""fr"")"),"Nous voyons un homme dans un chapeau rouge avec un garçon rire fort.")</f>
        <v>Nous voyons un homme dans un chapeau rouge avec un garçon rire fort.</v>
      </c>
    </row>
    <row r="33429">
      <c r="A33429" s="4" t="s">
        <v>42072</v>
      </c>
      <c r="B33429" s="4" t="s">
        <v>42077</v>
      </c>
      <c r="C33429" s="5" t="str">
        <f>IFERROR(__xludf.DUMMYFUNCTION("GOOGLETRANSLATE(B33429,""en"",""fr"")"),"Nous voyons un embouteillage à droite.")</f>
        <v>Nous voyons un embouteillage à droite.</v>
      </c>
    </row>
    <row r="33430">
      <c r="A33430" s="4" t="s">
        <v>42072</v>
      </c>
      <c r="B33430" s="4" t="s">
        <v>42078</v>
      </c>
      <c r="C33430" s="5" t="str">
        <f>IFERROR(__xludf.DUMMYFUNCTION("GOOGLETRANSLATE(B33430,""en"",""fr"")"),"Nous faisons un zoom sur une dame dans une chemise blanche.")</f>
        <v>Nous faisons un zoom sur une dame dans une chemise blanche.</v>
      </c>
    </row>
    <row r="33431">
      <c r="A33431" s="4" t="s">
        <v>42072</v>
      </c>
      <c r="B33431" s="4" t="s">
        <v>42079</v>
      </c>
      <c r="C33431" s="5" t="str">
        <f>IFERROR(__xludf.DUMMYFUNCTION("GOOGLETRANSLATE(B33431,""en"",""fr"")"),"La dame en blanc sourit à la caméra.")</f>
        <v>La dame en blanc sourit à la caméra.</v>
      </c>
    </row>
    <row r="33432">
      <c r="A33432" s="4" t="s">
        <v>42072</v>
      </c>
      <c r="B33432" s="4" t="s">
        <v>42080</v>
      </c>
      <c r="C33432" s="5" t="str">
        <f>IFERROR(__xludf.DUMMYFUNCTION("GOOGLETRANSLATE(B33432,""en"",""fr"")"),"Le trajet se termine et les gens se lèvent tous.")</f>
        <v>Le trajet se termine et les gens se lèvent tous.</v>
      </c>
    </row>
    <row r="33433">
      <c r="A33433" s="4" t="s">
        <v>42081</v>
      </c>
      <c r="B33433" s="4" t="s">
        <v>42082</v>
      </c>
      <c r="C33433" s="5" t="str">
        <f>IFERROR(__xludf.DUMMYFUNCTION("GOOGLETRANSLATE(B33433,""en"",""fr"")"),"Un homme en uniforme athlétique commence à balancer une balle et une ficelle.")</f>
        <v>Un homme en uniforme athlétique commence à balancer une balle et une ficelle.</v>
      </c>
    </row>
    <row r="33434">
      <c r="A33434" s="4" t="s">
        <v>42081</v>
      </c>
      <c r="B33434" s="4" t="s">
        <v>42083</v>
      </c>
      <c r="C33434" s="5" t="str">
        <f>IFERROR(__xludf.DUMMYFUNCTION("GOOGLETRANSLATE(B33434,""en"",""fr"")"),"Il laisse aller et le ballon frappe l'écran alors qu'il tombe au sol.")</f>
        <v>Il laisse aller et le ballon frappe l'écran alors qu'il tombe au sol.</v>
      </c>
    </row>
    <row r="33435">
      <c r="A33435" s="4" t="s">
        <v>42081</v>
      </c>
      <c r="B33435" s="4" t="s">
        <v>42084</v>
      </c>
      <c r="C33435" s="5" t="str">
        <f>IFERROR(__xludf.DUMMYFUNCTION("GOOGLETRANSLATE(B33435,""en"",""fr"")"),"La vidéo est rejouée à différentes vitesses.")</f>
        <v>La vidéo est rejouée à différentes vitesses.</v>
      </c>
    </row>
    <row r="33436">
      <c r="A33436" s="4" t="s">
        <v>42085</v>
      </c>
      <c r="B33436" s="4" t="s">
        <v>42086</v>
      </c>
      <c r="C33436" s="5" t="str">
        <f>IFERROR(__xludf.DUMMYFUNCTION("GOOGLETRANSLATE(B33436,""en"",""fr"")"),"Un jeune enfant est vu assis sur un swing lorsqu'un homme plus âgé sort derrière lui et pousse.")</f>
        <v>Un jeune enfant est vu assis sur un swing lorsqu'un homme plus âgé sort derrière lui et pousse.</v>
      </c>
    </row>
    <row r="33437">
      <c r="A33437" s="4" t="s">
        <v>42085</v>
      </c>
      <c r="B33437" s="6" t="s">
        <v>42087</v>
      </c>
      <c r="C33437" s="5" t="str">
        <f>IFERROR(__xludf.DUMMYFUNCTION("GOOGLETRANSLATE(B33437,""en"",""fr"")"),"Le garçon recule et quatrième sur le swing et conduit le garçon à sauter et l'homme a l'air surpris.")</f>
        <v>Le garçon recule et quatrième sur le swing et conduit le garçon à sauter et l'homme a l'air surpris.</v>
      </c>
    </row>
    <row r="33438">
      <c r="A33438" s="4" t="s">
        <v>42088</v>
      </c>
      <c r="B33438" s="4" t="s">
        <v>42089</v>
      </c>
      <c r="C33438" s="5" t="str">
        <f>IFERROR(__xludf.DUMMYFUNCTION("GOOGLETRANSLATE(B33438,""en"",""fr"")"),"Nous voyons un homme et la scène d'intro.")</f>
        <v>Nous voyons un homme et la scène d'intro.</v>
      </c>
    </row>
    <row r="33439">
      <c r="A33439" s="4" t="s">
        <v>42088</v>
      </c>
      <c r="B33439" s="4" t="s">
        <v>42090</v>
      </c>
      <c r="C33439" s="5" t="str">
        <f>IFERROR(__xludf.DUMMYFUNCTION("GOOGLETRANSLATE(B33439,""en"",""fr"")"),"Un homme dans une cuisine a des couteaux et un bloc aiguisé.")</f>
        <v>Un homme dans une cuisine a des couteaux et un bloc aiguisé.</v>
      </c>
    </row>
    <row r="33440">
      <c r="A33440" s="4" t="s">
        <v>42088</v>
      </c>
      <c r="B33440" s="4" t="s">
        <v>42091</v>
      </c>
      <c r="C33440" s="5" t="str">
        <f>IFERROR(__xludf.DUMMYFUNCTION("GOOGLETRANSLATE(B33440,""en"",""fr"")"),"L'homme assouplit le bloc et passe un couteau sur deux blocs différents.")</f>
        <v>L'homme assouplit le bloc et passe un couteau sur deux blocs différents.</v>
      </c>
    </row>
    <row r="33441">
      <c r="A33441" s="4" t="s">
        <v>42088</v>
      </c>
      <c r="B33441" s="4" t="s">
        <v>42092</v>
      </c>
      <c r="C33441" s="5" t="str">
        <f>IFERROR(__xludf.DUMMYFUNCTION("GOOGLETRANSLATE(B33441,""en"",""fr"")"),"L'homme attrape un poteau et aiguise le couteau dessus.")</f>
        <v>L'homme attrape un poteau et aiguise le couteau dessus.</v>
      </c>
    </row>
    <row r="33442">
      <c r="A33442" s="4" t="s">
        <v>42088</v>
      </c>
      <c r="B33442" s="4" t="s">
        <v>42093</v>
      </c>
      <c r="C33442" s="5" t="str">
        <f>IFERROR(__xludf.DUMMYFUNCTION("GOOGLETRANSLATE(B33442,""en"",""fr"")"),"L'homme essuie le couteau sur une serviette.")</f>
        <v>L'homme essuie le couteau sur une serviette.</v>
      </c>
    </row>
    <row r="33443">
      <c r="A33443" s="4" t="s">
        <v>42088</v>
      </c>
      <c r="B33443" s="4" t="s">
        <v>42094</v>
      </c>
      <c r="C33443" s="5" t="str">
        <f>IFERROR(__xludf.DUMMYFUNCTION("GOOGLETRANSLATE(B33443,""en"",""fr"")"),"L'homme attrape et retire un citron.")</f>
        <v>L'homme attrape et retire un citron.</v>
      </c>
    </row>
    <row r="33444">
      <c r="A33444" s="4" t="s">
        <v>42088</v>
      </c>
      <c r="B33444" s="4" t="s">
        <v>42095</v>
      </c>
      <c r="C33444" s="5" t="str">
        <f>IFERROR(__xludf.DUMMYFUNCTION("GOOGLETRANSLATE(B33444,""en"",""fr"")"),"L'homme nous montre un pot à l'envers.")</f>
        <v>L'homme nous montre un pot à l'envers.</v>
      </c>
    </row>
    <row r="33445">
      <c r="A33445" s="4" t="s">
        <v>42096</v>
      </c>
      <c r="B33445" s="4" t="s">
        <v>42097</v>
      </c>
      <c r="C33445" s="5" t="str">
        <f>IFERROR(__xludf.DUMMYFUNCTION("GOOGLETRANSLATE(B33445,""en"",""fr"")"),"L'équipe de cheerleading sort pour une performance.")</f>
        <v>L'équipe de cheerleading sort pour une performance.</v>
      </c>
    </row>
    <row r="33446">
      <c r="A33446" s="4" t="s">
        <v>42096</v>
      </c>
      <c r="B33446" s="4" t="s">
        <v>42098</v>
      </c>
      <c r="C33446" s="5" t="str">
        <f>IFERROR(__xludf.DUMMYFUNCTION("GOOGLETRANSLATE(B33446,""en"",""fr"")"),"Une fille tente de multiples flips et colle l'atterrissage.")</f>
        <v>Une fille tente de multiples flips et colle l'atterrissage.</v>
      </c>
    </row>
    <row r="33447">
      <c r="A33447" s="4" t="s">
        <v>42096</v>
      </c>
      <c r="B33447" s="4" t="s">
        <v>42099</v>
      </c>
      <c r="C33447" s="5" t="str">
        <f>IFERROR(__xludf.DUMMYFUNCTION("GOOGLETRANSLATE(B33447,""en"",""fr"")"),"Une autre fille emboîte le pas car l'équipe travaille dur en arrière-plan.")</f>
        <v>Une autre fille emboîte le pas car l'équipe travaille dur en arrière-plan.</v>
      </c>
    </row>
    <row r="33448">
      <c r="A33448" s="4" t="s">
        <v>42096</v>
      </c>
      <c r="B33448" s="4" t="s">
        <v>42100</v>
      </c>
      <c r="C33448" s="5" t="str">
        <f>IFERROR(__xludf.DUMMYFUNCTION("GOOGLETRANSLATE(B33448,""en"",""fr"")"),"L'équipe montre des mouvements de danse ensuite et la foule applaudit.")</f>
        <v>L'équipe montre des mouvements de danse ensuite et la foule applaudit.</v>
      </c>
    </row>
    <row r="33449">
      <c r="A33449" s="4" t="s">
        <v>42096</v>
      </c>
      <c r="B33449" s="4" t="s">
        <v>42101</v>
      </c>
      <c r="C33449" s="5" t="str">
        <f>IFERROR(__xludf.DUMMYFUNCTION("GOOGLETRANSLATE(B33449,""en"",""fr"")"),"Après un peu plus d'équipe, l'équipe pose et célèbre à la fin de la routine.")</f>
        <v>Après un peu plus d'équipe, l'équipe pose et célèbre à la fin de la routine.</v>
      </c>
    </row>
    <row r="33450">
      <c r="A33450" s="4" t="s">
        <v>42096</v>
      </c>
      <c r="B33450" s="4" t="s">
        <v>42102</v>
      </c>
      <c r="C33450" s="5" t="str">
        <f>IFERROR(__xludf.DUMMYFUNCTION("GOOGLETRANSLATE(B33450,""en"",""fr"")"),"Plusieurs membres s'embrassent et parlent.")</f>
        <v>Plusieurs membres s'embrassent et parlent.</v>
      </c>
    </row>
    <row r="33451">
      <c r="A33451" s="4" t="s">
        <v>42096</v>
      </c>
      <c r="B33451" s="4" t="s">
        <v>42103</v>
      </c>
      <c r="C33451" s="5" t="str">
        <f>IFERROR(__xludf.DUMMYFUNCTION("GOOGLETRANSLATE(B33451,""en"",""fr"")"),"Les juges soumettent leurs scores et l'équipe prévoit les résultats.")</f>
        <v>Les juges soumettent leurs scores et l'équipe prévoit les résultats.</v>
      </c>
    </row>
    <row r="33452">
      <c r="A33452" s="4" t="s">
        <v>42096</v>
      </c>
      <c r="B33452" s="4" t="s">
        <v>42104</v>
      </c>
      <c r="C33452" s="5" t="str">
        <f>IFERROR(__xludf.DUMMYFUNCTION("GOOGLETRANSLATE(B33452,""en"",""fr"")"),"L'équipe est couronnée les gagnants de la compétition.")</f>
        <v>L'équipe est couronnée les gagnants de la compétition.</v>
      </c>
    </row>
    <row r="33453">
      <c r="A33453" s="4" t="s">
        <v>42105</v>
      </c>
      <c r="B33453" s="4" t="s">
        <v>42106</v>
      </c>
      <c r="C33453" s="5" t="str">
        <f>IFERROR(__xludf.DUMMYFUNCTION("GOOGLETRANSLATE(B33453,""en"",""fr"")"),"Certaines femmes nagent dans une piscine.")</f>
        <v>Certaines femmes nagent dans une piscine.</v>
      </c>
    </row>
    <row r="33454">
      <c r="A33454" s="4" t="s">
        <v>42105</v>
      </c>
      <c r="B33454" s="4" t="s">
        <v>42107</v>
      </c>
      <c r="C33454" s="5" t="str">
        <f>IFERROR(__xludf.DUMMYFUNCTION("GOOGLETRANSLATE(B33454,""en"",""fr"")"),"Ils ont des bébés dans leurs bras pendant qu'ils nagent.")</f>
        <v>Ils ont des bébés dans leurs bras pendant qu'ils nagent.</v>
      </c>
    </row>
    <row r="33455">
      <c r="A33455" s="4" t="s">
        <v>42105</v>
      </c>
      <c r="B33455" s="4" t="s">
        <v>42108</v>
      </c>
      <c r="C33455" s="5" t="str">
        <f>IFERROR(__xludf.DUMMYFUNCTION("GOOGLETRANSLATE(B33455,""en"",""fr"")"),"Ils enseignent aux bébés à passer sous l'eau et à retenir leur souffle.")</f>
        <v>Ils enseignent aux bébés à passer sous l'eau et à retenir leur souffle.</v>
      </c>
    </row>
    <row r="33456">
      <c r="A33456" s="4" t="s">
        <v>42109</v>
      </c>
      <c r="B33456" s="4" t="s">
        <v>42110</v>
      </c>
      <c r="C33456" s="5" t="str">
        <f>IFERROR(__xludf.DUMMYFUNCTION("GOOGLETRANSLATE(B33456,""en"",""fr"")"),"Deux hommes très grands en smoking dansent à l'extérieur d'un magasin.")</f>
        <v>Deux hommes très grands en smoking dansent à l'extérieur d'un magasin.</v>
      </c>
    </row>
    <row r="33457">
      <c r="A33457" s="4" t="s">
        <v>42109</v>
      </c>
      <c r="B33457" s="4" t="s">
        <v>42111</v>
      </c>
      <c r="C33457" s="5" t="str">
        <f>IFERROR(__xludf.DUMMYFUNCTION("GOOGLETRANSLATE(B33457,""en"",""fr"")"),"Les gens se tiennent en arrière en les regardant faire leur danse.")</f>
        <v>Les gens se tiennent en arrière en les regardant faire leur danse.</v>
      </c>
    </row>
    <row r="33458">
      <c r="A33458" s="4" t="s">
        <v>42109</v>
      </c>
      <c r="B33458" s="4" t="s">
        <v>42112</v>
      </c>
      <c r="C33458" s="5" t="str">
        <f>IFERROR(__xludf.DUMMYFUNCTION("GOOGLETRANSLATE(B33458,""en"",""fr"")"),"L'un des hommes éteint le pied tandis que l'autre le transforme en rond.")</f>
        <v>L'un des hommes éteint le pied tandis que l'autre le transforme en rond.</v>
      </c>
    </row>
    <row r="33459">
      <c r="A33459" s="4" t="s">
        <v>42109</v>
      </c>
      <c r="B33459" s="4" t="s">
        <v>42113</v>
      </c>
      <c r="C33459" s="5" t="str">
        <f>IFERROR(__xludf.DUMMYFUNCTION("GOOGLETRANSLATE(B33459,""en"",""fr"")"),"Lorsque la danse est enfin terminée, les deux hommes se serrent la main et saluent la foule.")</f>
        <v>Lorsque la danse est enfin terminée, les deux hommes se serrent la main et saluent la foule.</v>
      </c>
    </row>
    <row r="33460">
      <c r="A33460" s="4" t="s">
        <v>42114</v>
      </c>
      <c r="B33460" s="4" t="s">
        <v>42115</v>
      </c>
      <c r="C33460" s="5" t="str">
        <f>IFERROR(__xludf.DUMMYFUNCTION("GOOGLETRANSLATE(B33460,""en"",""fr"")"),"Un homme est vu faire des flips sur un sol doux tout en se déplaçant au ralenti.")</f>
        <v>Un homme est vu faire des flips sur un sol doux tout en se déplaçant au ralenti.</v>
      </c>
    </row>
    <row r="33461">
      <c r="A33461" s="4" t="s">
        <v>42114</v>
      </c>
      <c r="B33461" s="6" t="s">
        <v>42116</v>
      </c>
      <c r="C33461" s="5" t="str">
        <f>IFERROR(__xludf.DUMMYFUNCTION("GOOGLETRANSLATE(B33461,""en"",""fr"")"),"L'homme continue d'effectuer plusieurs astuces sur le sol et se termine par une séquence de titre à travers l'écran.")</f>
        <v>L'homme continue d'effectuer plusieurs astuces sur le sol et se termine par une séquence de titre à travers l'écran.</v>
      </c>
    </row>
    <row r="33462">
      <c r="A33462" s="4" t="s">
        <v>42117</v>
      </c>
      <c r="B33462" s="6" t="s">
        <v>42118</v>
      </c>
      <c r="C33462" s="5" t="str">
        <f>IFERROR(__xludf.DUMMYFUNCTION("GOOGLETRANSLATE(B33462,""en"",""fr"")"),"Deux personnes sont vues assises derrière un comptoir quand on recule et quatrième et se prépare.")</f>
        <v>Deux personnes sont vues assises derrière un comptoir quand on recule et quatrième et se prépare.</v>
      </c>
    </row>
    <row r="33463">
      <c r="A33463" s="4" t="s">
        <v>42117</v>
      </c>
      <c r="B33463" s="6" t="s">
        <v>42119</v>
      </c>
      <c r="C33463" s="5" t="str">
        <f>IFERROR(__xludf.DUMMYFUNCTION("GOOGLETRANSLATE(B33463,""en"",""fr"")"),"L'homme résout alors un cube Rubix pendant qu'une minuterie va et il met un bandeau sur ses yeux et une personne met du papier devant.")</f>
        <v>L'homme résout alors un cube Rubix pendant qu'une minuterie va et il met un bandeau sur ses yeux et une personne met du papier devant.</v>
      </c>
    </row>
    <row r="33464">
      <c r="A33464" s="4" t="s">
        <v>42117</v>
      </c>
      <c r="B33464" s="4" t="s">
        <v>42120</v>
      </c>
      <c r="C33464" s="5" t="str">
        <f>IFERROR(__xludf.DUMMYFUNCTION("GOOGLETRANSLATE(B33464,""en"",""fr"")"),"Il résout le Sube puis claque de la main sur la table.")</f>
        <v>Il résout le Sube puis claque de la main sur la table.</v>
      </c>
    </row>
    <row r="33465">
      <c r="A33465" s="4" t="s">
        <v>42121</v>
      </c>
      <c r="B33465" s="4" t="s">
        <v>42122</v>
      </c>
      <c r="C33465" s="5" t="str">
        <f>IFERROR(__xludf.DUMMYFUNCTION("GOOGLETRANSLATE(B33465,""en"",""fr"")"),"Ceci est un tutoriel sur la façon de démarrer un feu de camp.")</f>
        <v>Ceci est un tutoriel sur la façon de démarrer un feu de camp.</v>
      </c>
    </row>
    <row r="33466">
      <c r="A33466" s="4" t="s">
        <v>42121</v>
      </c>
      <c r="B33466" s="4" t="s">
        <v>42123</v>
      </c>
      <c r="C33466" s="5" t="str">
        <f>IFERROR(__xludf.DUMMYFUNCTION("GOOGLETRANSLATE(B33466,""en"",""fr"")"),"Il montre que le feu de camp brûle sur le sol.")</f>
        <v>Il montre que le feu de camp brûle sur le sol.</v>
      </c>
    </row>
    <row r="33467">
      <c r="A33467" s="4" t="s">
        <v>42121</v>
      </c>
      <c r="B33467" s="4" t="s">
        <v>42124</v>
      </c>
      <c r="C33467" s="5" t="str">
        <f>IFERROR(__xludf.DUMMYFUNCTION("GOOGLETRANSLATE(B33467,""en"",""fr"")"),"Cela commence par les choses dont vous aurez besoin pour commencer.")</f>
        <v>Cela commence par les choses dont vous aurez besoin pour commencer.</v>
      </c>
    </row>
    <row r="33468">
      <c r="A33468" s="4" t="s">
        <v>42121</v>
      </c>
      <c r="B33468" s="4" t="s">
        <v>42125</v>
      </c>
      <c r="C33468" s="5" t="str">
        <f>IFERROR(__xludf.DUMMYFUNCTION("GOOGLETRANSLATE(B33468,""en"",""fr"")"),"Un endroit désigné et quelques rochers disposés en cercle pour créer une fosse.")</f>
        <v>Un endroit désigné et quelques rochers disposés en cercle pour créer une fosse.</v>
      </c>
    </row>
    <row r="33469">
      <c r="A33469" s="4" t="s">
        <v>42121</v>
      </c>
      <c r="B33469" s="4" t="s">
        <v>42126</v>
      </c>
      <c r="C33469" s="5" t="str">
        <f>IFERROR(__xludf.DUMMYFUNCTION("GOOGLETRANSLATE(B33469,""en"",""fr"")"),"Un journal froissé et un briquet avec un seau d'eau.")</f>
        <v>Un journal froissé et un briquet avec un seau d'eau.</v>
      </c>
    </row>
    <row r="33470">
      <c r="A33470" s="4" t="s">
        <v>42121</v>
      </c>
      <c r="B33470" s="4" t="s">
        <v>42127</v>
      </c>
      <c r="C33470" s="5" t="str">
        <f>IFERROR(__xludf.DUMMYFUNCTION("GOOGLETRANSLATE(B33470,""en"",""fr"")"),"Un homme commence à démontrer comment placer le journal et les brindilles en plus.")</f>
        <v>Un homme commence à démontrer comment placer le journal et les brindilles en plus.</v>
      </c>
    </row>
    <row r="33471">
      <c r="A33471" s="4" t="s">
        <v>42121</v>
      </c>
      <c r="B33471" s="4" t="s">
        <v>42128</v>
      </c>
      <c r="C33471" s="5" t="str">
        <f>IFERROR(__xludf.DUMMYFUNCTION("GOOGLETRANSLATE(B33471,""en"",""fr"")"),"Il crée ensuite une structure en forme de pyramide.")</f>
        <v>Il crée ensuite une structure en forme de pyramide.</v>
      </c>
    </row>
    <row r="33472">
      <c r="A33472" s="4" t="s">
        <v>42121</v>
      </c>
      <c r="B33472" s="4" t="s">
        <v>42129</v>
      </c>
      <c r="C33472" s="5" t="str">
        <f>IFERROR(__xludf.DUMMYFUNCTION("GOOGLETRANSLATE(B33472,""en"",""fr"")"),"Il prend son briquet et allume le journal à plusieurs endroits pour commencer le feu.")</f>
        <v>Il prend son briquet et allume le journal à plusieurs endroits pour commencer le feu.</v>
      </c>
    </row>
    <row r="33473">
      <c r="A33473" s="4" t="s">
        <v>42121</v>
      </c>
      <c r="B33473" s="4" t="s">
        <v>42130</v>
      </c>
      <c r="C33473" s="5" t="str">
        <f>IFERROR(__xludf.DUMMYFUNCTION("GOOGLETRANSLATE(B33473,""en"",""fr"")"),"Le feu de joie commence à brûler et continue de brûler.")</f>
        <v>Le feu de joie commence à brûler et continue de brûler.</v>
      </c>
    </row>
    <row r="33474">
      <c r="A33474" s="4" t="s">
        <v>42121</v>
      </c>
      <c r="B33474" s="4" t="s">
        <v>42131</v>
      </c>
      <c r="C33474" s="5" t="str">
        <f>IFERROR(__xludf.DUMMYFUNCTION("GOOGLETRANSLATE(B33474,""en"",""fr"")"),"Il ajoute quelques brindilles supplémentaires pour garder les flammes brûlantes.")</f>
        <v>Il ajoute quelques brindilles supplémentaires pour garder les flammes brûlantes.</v>
      </c>
    </row>
    <row r="33475">
      <c r="A33475" s="4" t="s">
        <v>42132</v>
      </c>
      <c r="B33475" s="4" t="s">
        <v>42133</v>
      </c>
      <c r="C33475" s="5" t="str">
        <f>IFERROR(__xludf.DUMMYFUNCTION("GOOGLETRANSLATE(B33475,""en"",""fr"")"),"Tout d'abord, les gens sont tous montrés assis dans leurs voitures en une seule ligne.")</f>
        <v>Tout d'abord, les gens sont tous montrés assis dans leurs voitures en une seule ligne.</v>
      </c>
    </row>
    <row r="33476">
      <c r="A33476" s="4" t="s">
        <v>42132</v>
      </c>
      <c r="B33476" s="4" t="s">
        <v>42134</v>
      </c>
      <c r="C33476" s="5" t="str">
        <f>IFERROR(__xludf.DUMMYFUNCTION("GOOGLETRANSLATE(B33476,""en"",""fr"")"),"Ensuite, les voitures sont propulsées et elles sont capables de se conduire.")</f>
        <v>Ensuite, les voitures sont propulsées et elles sont capables de se conduire.</v>
      </c>
    </row>
    <row r="33477">
      <c r="A33477" s="4" t="s">
        <v>42132</v>
      </c>
      <c r="B33477" s="4" t="s">
        <v>42135</v>
      </c>
      <c r="C33477" s="5" t="str">
        <f>IFERROR(__xludf.DUMMYFUNCTION("GOOGLETRANSLATE(B33477,""en"",""fr"")"),"Une fois que les gens ont fini de conduire, ils sortent tous des voitures.")</f>
        <v>Une fois que les gens ont fini de conduire, ils sortent tous des voitures.</v>
      </c>
    </row>
    <row r="33478">
      <c r="A33478" s="4" t="s">
        <v>42136</v>
      </c>
      <c r="B33478" s="4" t="s">
        <v>42137</v>
      </c>
      <c r="C33478" s="5" t="str">
        <f>IFERROR(__xludf.DUMMYFUNCTION("GOOGLETRANSLATE(B33478,""en"",""fr"")"),"Un homme plus âgé avec une longue queue de cheval et une paire de verres est à genoux près d'un vélo.")</f>
        <v>Un homme plus âgé avec une longue queue de cheval et une paire de verres est à genoux près d'un vélo.</v>
      </c>
    </row>
    <row r="33479">
      <c r="A33479" s="4" t="s">
        <v>42136</v>
      </c>
      <c r="B33479" s="4" t="s">
        <v>42138</v>
      </c>
      <c r="C33479" s="5" t="str">
        <f>IFERROR(__xludf.DUMMYFUNCTION("GOOGLETRANSLATE(B33479,""en"",""fr"")"),"L'homme a une paire de pinces bleues dans sa main et commence à réparer la chaîne sur le vélo.")</f>
        <v>L'homme a une paire de pinces bleues dans sa main et commence à réparer la chaîne sur le vélo.</v>
      </c>
    </row>
    <row r="33480">
      <c r="A33480" s="4" t="s">
        <v>42136</v>
      </c>
      <c r="B33480" s="4" t="s">
        <v>42139</v>
      </c>
      <c r="C33480" s="5" t="str">
        <f>IFERROR(__xludf.DUMMYFUNCTION("GOOGLETRANSLATE(B33480,""en"",""fr"")"),"Une fois la chaîne allumée, il commence à déplacer la pédale et montre comment la chaîne fonctionne.")</f>
        <v>Une fois la chaîne allumée, il commence à déplacer la pédale et montre comment la chaîne fonctionne.</v>
      </c>
    </row>
    <row r="33481">
      <c r="A33481" s="4" t="s">
        <v>42136</v>
      </c>
      <c r="B33481" s="4" t="s">
        <v>42140</v>
      </c>
      <c r="C33481" s="5" t="str">
        <f>IFERROR(__xludf.DUMMYFUNCTION("GOOGLETRANSLATE(B33481,""en"",""fr"")"),"Après un certain temps, il arrête la chaîne et commence à retirer deux liens de la chaîne sur le vélo.")</f>
        <v>Après un certain temps, il arrête la chaîne et commence à retirer deux liens de la chaîne sur le vélo.</v>
      </c>
    </row>
    <row r="33482">
      <c r="A33482" s="4" t="s">
        <v>42136</v>
      </c>
      <c r="B33482" s="6" t="s">
        <v>42141</v>
      </c>
      <c r="C33482" s="5" t="str">
        <f>IFERROR(__xludf.DUMMYFUNCTION("GOOGLETRANSLATE(B33482,""en"",""fr"")"),"Alors que la chaîne commence à pendre, l'homme le remet au bon endroit et commence à faire tourner la roue arrière et commence à parler quand il aura terminé.")</f>
        <v>Alors que la chaîne commence à pendre, l'homme le remet au bon endroit et commence à faire tourner la roue arrière et commence à parler quand il aura terminé.</v>
      </c>
    </row>
    <row r="33483">
      <c r="A33483" s="4" t="s">
        <v>42142</v>
      </c>
      <c r="B33483" s="4" t="s">
        <v>42143</v>
      </c>
      <c r="C33483" s="5" t="str">
        <f>IFERROR(__xludf.DUMMYFUNCTION("GOOGLETRANSLATE(B33483,""en"",""fr"")"),"La vidéo mène à plusieurs plans de personnes jetant des photos impressionnantes de balles atterrissant dans des tasses.")</f>
        <v>La vidéo mène à plusieurs plans de personnes jetant des photos impressionnantes de balles atterrissant dans des tasses.</v>
      </c>
    </row>
    <row r="33484">
      <c r="A33484" s="4" t="s">
        <v>42142</v>
      </c>
      <c r="B33484" s="4" t="s">
        <v>42144</v>
      </c>
      <c r="C33484" s="5" t="str">
        <f>IFERROR(__xludf.DUMMYFUNCTION("GOOGLETRANSLATE(B33484,""en"",""fr"")"),"Plusieurs personnes sont présentées à jeter des balles dans une tasse et à la caméra montrant un gros plan.")</f>
        <v>Plusieurs personnes sont présentées à jeter des balles dans une tasse et à la caméra montrant un gros plan.</v>
      </c>
    </row>
    <row r="33485">
      <c r="A33485" s="4" t="s">
        <v>42145</v>
      </c>
      <c r="B33485" s="4" t="s">
        <v>42146</v>
      </c>
      <c r="C33485" s="5" t="str">
        <f>IFERROR(__xludf.DUMMYFUNCTION("GOOGLETRANSLATE(B33485,""en"",""fr"")"),"Le jeune garçon parle à la caméra devant la batterie dans un studio.")</f>
        <v>Le jeune garçon parle à la caméra devant la batterie dans un studio.</v>
      </c>
    </row>
    <row r="33486">
      <c r="A33486" s="4" t="s">
        <v>42145</v>
      </c>
      <c r="B33486" s="4" t="s">
        <v>42147</v>
      </c>
      <c r="C33486" s="5" t="str">
        <f>IFERROR(__xludf.DUMMYFUNCTION("GOOGLETRANSLATE(B33486,""en"",""fr"")"),"Young Boy joue sur le tambour et les cymbales, tout en parlant par intermittence à la caméra.")</f>
        <v>Young Boy joue sur le tambour et les cymbales, tout en parlant par intermittence à la caméra.</v>
      </c>
    </row>
    <row r="33487">
      <c r="A33487" s="4" t="s">
        <v>42145</v>
      </c>
      <c r="B33487" s="4" t="s">
        <v>42148</v>
      </c>
      <c r="C33487" s="5" t="str">
        <f>IFERROR(__xludf.DUMMYFUNCTION("GOOGLETRANSLATE(B33487,""en"",""fr"")"),"Le garçon termine l'enregistrement de sa séance de batterie et revient à la caméra.")</f>
        <v>Le garçon termine l'enregistrement de sa séance de batterie et revient à la caméra.</v>
      </c>
    </row>
    <row r="33488">
      <c r="A33488" s="4" t="s">
        <v>42149</v>
      </c>
      <c r="B33488" s="4" t="s">
        <v>42150</v>
      </c>
      <c r="C33488" s="5" t="str">
        <f>IFERROR(__xludf.DUMMYFUNCTION("GOOGLETRANSLATE(B33488,""en"",""fr"")"),"Une femme est dans une allée, faisant des tours et des cascades alors qu'elle saute la corde.")</f>
        <v>Une femme est dans une allée, faisant des tours et des cascades alors qu'elle saute la corde.</v>
      </c>
    </row>
    <row r="33489">
      <c r="A33489" s="4" t="s">
        <v>42149</v>
      </c>
      <c r="B33489" s="4" t="s">
        <v>42151</v>
      </c>
      <c r="C33489" s="5" t="str">
        <f>IFERROR(__xludf.DUMMYFUNCTION("GOOGLETRANSLATE(B33489,""en"",""fr"")"),"Elle augmente la vitesse, puis s'arrête alors qu'un homme s'approche d'elle pour discuter de sa technique.")</f>
        <v>Elle augmente la vitesse, puis s'arrête alors qu'un homme s'approche d'elle pour discuter de sa technique.</v>
      </c>
    </row>
    <row r="33490">
      <c r="A33490" s="4" t="s">
        <v>42149</v>
      </c>
      <c r="B33490" s="4" t="s">
        <v>42152</v>
      </c>
      <c r="C33490" s="5" t="str">
        <f>IFERROR(__xludf.DUMMYFUNCTION("GOOGLETRANSLATE(B33490,""en"",""fr"")"),"Elle revient ensuite à démontrer comment sauter la corde et les différents noms des mouvements.")</f>
        <v>Elle revient ensuite à démontrer comment sauter la corde et les différents noms des mouvements.</v>
      </c>
    </row>
    <row r="33491">
      <c r="A33491" s="4" t="s">
        <v>42153</v>
      </c>
      <c r="B33491" s="6" t="s">
        <v>42154</v>
      </c>
      <c r="C33491" s="5" t="str">
        <f>IFERROR(__xludf.DUMMYFUNCTION("GOOGLETRANSLATE(B33491,""en"",""fr"")"),"Une vue depuis à l'intérieur montre une belle vue sur l'océan puis des pans vers un homme à genoux sur le sol alors qu'il couchage des carreaux et les mots blancs à l'écran disent ""installer des carreaux avec Ditra"".")</f>
        <v>Une vue depuis à l'intérieur montre une belle vue sur l'océan puis des pans vers un homme à genoux sur le sol alors qu'il couchage des carreaux et les mots blancs à l'écran disent "installer des carreaux avec Ditra".</v>
      </c>
    </row>
    <row r="33492">
      <c r="A33492" s="4" t="s">
        <v>42153</v>
      </c>
      <c r="B33492" s="4" t="s">
        <v>42155</v>
      </c>
      <c r="C33492" s="5" t="str">
        <f>IFERROR(__xludf.DUMMYFUNCTION("GOOGLETRANSLATE(B33492,""en"",""fr"")"),"L'homme est ensuite montré en mettant des espaceurs entre les carreaux et la mesure.")</f>
        <v>L'homme est ensuite montré en mettant des espaceurs entre les carreaux et la mesure.</v>
      </c>
    </row>
    <row r="33493">
      <c r="A33493" s="4" t="s">
        <v>42153</v>
      </c>
      <c r="B33493" s="6" t="s">
        <v>42156</v>
      </c>
      <c r="C33493" s="5" t="str">
        <f>IFERROR(__xludf.DUMMYFUNCTION("GOOGLETRANSLATE(B33493,""en"",""fr"")"),"L'homme se rend ensuite dans une autre partie de la pièce avec un seau blanc et un tissu orange et essaie les planchers en bois.")</f>
        <v>L'homme se rend ensuite dans une autre partie de la pièce avec un seau blanc et un tissu orange et essaie les planchers en bois.</v>
      </c>
    </row>
    <row r="33494">
      <c r="A33494" s="4" t="s">
        <v>42153</v>
      </c>
      <c r="B33494" s="6" t="s">
        <v>42157</v>
      </c>
      <c r="C33494" s="5" t="str">
        <f>IFERROR(__xludf.DUMMYFUNCTION("GOOGLETRANSLATE(B33494,""en"",""fr"")"),"L'homme est ensuite montré versant de la poudre dans un grand seau blanc, versant de l'eau dedans, puis en mélangeant le contenu avec un foret à main.")</f>
        <v>L'homme est ensuite montré versant de la poudre dans un grand seau blanc, versant de l'eau dedans, puis en mélangeant le contenu avec un foret à main.</v>
      </c>
    </row>
    <row r="33495">
      <c r="A33495" s="4" t="s">
        <v>42153</v>
      </c>
      <c r="B33495" s="6" t="s">
        <v>42158</v>
      </c>
      <c r="C33495" s="5" t="str">
        <f>IFERROR(__xludf.DUMMYFUNCTION("GOOGLETRANSLATE(B33495,""en"",""fr"")"),"L'homme est alors dans un coin de la pièce et il applique le mélange sur les planches puis pose un matériau orange.")</f>
        <v>L'homme est alors dans un coin de la pièce et il applique le mélange sur les planches puis pose un matériau orange.</v>
      </c>
    </row>
    <row r="33496">
      <c r="A33496" s="4" t="s">
        <v>42153</v>
      </c>
      <c r="B33496" s="6" t="s">
        <v>42159</v>
      </c>
      <c r="C33496" s="5" t="str">
        <f>IFERROR(__xludf.DUMMYFUNCTION("GOOGLETRANSLATE(B33496,""en"",""fr"")"),"L'homme est ensuite montré en coupant les carreaux avec un coupe-main manuel tandis qu'un autre homme l'aide en le tenant, l'homme tenant la tuile le retire et le ponce.")</f>
        <v>L'homme est ensuite montré en coupant les carreaux avec un coupe-main manuel tandis qu'un autre homme l'aide en le tenant, l'homme tenant la tuile le retire et le ponce.</v>
      </c>
    </row>
    <row r="33497">
      <c r="A33497" s="4" t="s">
        <v>42153</v>
      </c>
      <c r="B33497" s="6" t="s">
        <v>42160</v>
      </c>
      <c r="C33497" s="5" t="str">
        <f>IFERROR(__xludf.DUMMYFUNCTION("GOOGLETRANSLATE(B33497,""en"",""fr"")"),"L'homme est à nouveau illustré sur ses mains et ses genoux et applique du mastic sur le sol ou la tuile, posant les carreaux, en ajoutant des entretoises, puis en mesurant que tout est même avec un niveleur circulaire blanc.")</f>
        <v>L'homme est à nouveau illustré sur ses mains et ses genoux et applique du mastic sur le sol ou la tuile, posant les carreaux, en ajoutant des entretoises, puis en mesurant que tout est même avec un niveleur circulaire blanc.</v>
      </c>
    </row>
    <row r="33498">
      <c r="A33498" s="4" t="s">
        <v>42153</v>
      </c>
      <c r="B33498" s="6" t="s">
        <v>42161</v>
      </c>
      <c r="C33498" s="5" t="str">
        <f>IFERROR(__xludf.DUMMYFUNCTION("GOOGLETRANSLATE(B33498,""en"",""fr"")"),"Une vue basse des carreaux est montrée et un homme est le jointoiement, les carreaux essuyés et diverses vues de la pièce carrelée sont montrées.")</f>
        <v>Une vue basse des carreaux est montrée et un homme est le jointoiement, les carreaux essuyés et diverses vues de la pièce carrelée sont montrées.</v>
      </c>
    </row>
    <row r="33499">
      <c r="A33499" s="4" t="s">
        <v>42162</v>
      </c>
      <c r="B33499" s="4" t="s">
        <v>42163</v>
      </c>
      <c r="C33499" s="5" t="str">
        <f>IFERROR(__xludf.DUMMYFUNCTION("GOOGLETRANSLATE(B33499,""en"",""fr"")"),"Une femme est vue assise au bout d'un lit enlevant ses chaussures, puis les pieds de bébé marchent.")</f>
        <v>Une femme est vue assise au bout d'un lit enlevant ses chaussures, puis les pieds de bébé marchent.</v>
      </c>
    </row>
    <row r="33500">
      <c r="A33500" s="4" t="s">
        <v>42162</v>
      </c>
      <c r="B33500" s="6" t="s">
        <v>42164</v>
      </c>
      <c r="C33500" s="5" t="str">
        <f>IFERROR(__xludf.DUMMYFUNCTION("GOOGLETRANSLATE(B33500,""en"",""fr"")"),"Des photos de meubles sont montrées qui conduisent à une femme parlant, suivie de plusieurs personnes passant et entrant sur le tapis.")</f>
        <v>Des photos de meubles sont montrées qui conduisent à une femme parlant, suivie de plusieurs personnes passant et entrant sur le tapis.</v>
      </c>
    </row>
    <row r="33501">
      <c r="A33501" s="4" t="s">
        <v>42162</v>
      </c>
      <c r="B33501" s="6" t="s">
        <v>42165</v>
      </c>
      <c r="C33501" s="5" t="str">
        <f>IFERROR(__xludf.DUMMYFUNCTION("GOOGLETRANSLATE(B33501,""en"",""fr"")"),"Une personne ajuste le vide et continue de l'utiliser pendant que la femme parle, et mène à un homme jouant avec un bébé.")</f>
        <v>Une personne ajuste le vide et continue de l'utiliser pendant que la femme parle, et mène à un homme jouant avec un bébé.</v>
      </c>
    </row>
    <row r="33502">
      <c r="A33502" s="4" t="s">
        <v>42166</v>
      </c>
      <c r="B33502" s="6" t="s">
        <v>42167</v>
      </c>
      <c r="C33502" s="5" t="str">
        <f>IFERROR(__xludf.DUMMYFUNCTION("GOOGLETRANSLATE(B33502,""en"",""fr"")"),"Une caméra GoPro est vue, puis un autre écran apparaît montrant que la caméra a remporté des prix.")</f>
        <v>Une caméra GoPro est vue, puis un autre écran apparaît montrant que la caméra a remporté des prix.</v>
      </c>
    </row>
    <row r="33503">
      <c r="A33503" s="4" t="s">
        <v>42166</v>
      </c>
      <c r="B33503" s="6" t="s">
        <v>42168</v>
      </c>
      <c r="C33503" s="5" t="str">
        <f>IFERROR(__xludf.DUMMYFUNCTION("GOOGLETRANSLATE(B33503,""en"",""fr"")"),"Une caméra est montée sur le casque d'un skieur nautique et après qu'il se mette en position, un homme sur un cheval par un étang le tire pour une balade.")</f>
        <v>Une caméra est montée sur le casque d'un skieur nautique et après qu'il se mette en position, un homme sur un cheval par un étang le tire pour une balade.</v>
      </c>
    </row>
    <row r="33504">
      <c r="A33504" s="4" t="s">
        <v>42166</v>
      </c>
      <c r="B33504" s="6" t="s">
        <v>42169</v>
      </c>
      <c r="C33504" s="5" t="str">
        <f>IFERROR(__xludf.DUMMYFUNCTION("GOOGLETRANSLATE(B33504,""en"",""fr"")"),"Près de la terre, il laisse aller et tombe dans l'eau, alors qu'il célèbre et pointe l'homme sur le cheval alors qu'un chien passe.")</f>
        <v>Près de la terre, il laisse aller et tombe dans l'eau, alors qu'il célèbre et pointe l'homme sur le cheval alors qu'un chien passe.</v>
      </c>
    </row>
    <row r="33505">
      <c r="A33505" s="4" t="s">
        <v>42166</v>
      </c>
      <c r="B33505" s="4" t="s">
        <v>42170</v>
      </c>
      <c r="C33505" s="5" t="str">
        <f>IFERROR(__xludf.DUMMYFUNCTION("GOOGLETRANSLATE(B33505,""en"",""fr"")"),"Un écran semble demander de soumettre des images aux GOPRO Awards.")</f>
        <v>Un écran semble demander de soumettre des images aux GOPRO Awards.</v>
      </c>
    </row>
    <row r="33506">
      <c r="A33506" s="4" t="s">
        <v>42171</v>
      </c>
      <c r="B33506" s="4" t="s">
        <v>42172</v>
      </c>
      <c r="C33506" s="5" t="str">
        <f>IFERROR(__xludf.DUMMYFUNCTION("GOOGLETRANSLATE(B33506,""en"",""fr"")"),"Nous voyons un kite surfant.")</f>
        <v>Nous voyons un kite surfant.</v>
      </c>
    </row>
    <row r="33507">
      <c r="A33507" s="4" t="s">
        <v>42171</v>
      </c>
      <c r="B33507" s="4" t="s">
        <v>42173</v>
      </c>
      <c r="C33507" s="5" t="str">
        <f>IFERROR(__xludf.DUMMYFUNCTION("GOOGLETRANSLATE(B33507,""en"",""fr"")"),"Nous passons une personne sur la plage.")</f>
        <v>Nous passons une personne sur la plage.</v>
      </c>
    </row>
    <row r="33508">
      <c r="A33508" s="4" t="s">
        <v>42171</v>
      </c>
      <c r="B33508" s="4" t="s">
        <v>42174</v>
      </c>
      <c r="C33508" s="5" t="str">
        <f>IFERROR(__xludf.DUMMYFUNCTION("GOOGLETRANSLATE(B33508,""en"",""fr"")"),"Le cavalier tombe dans l'eau.")</f>
        <v>Le cavalier tombe dans l'eau.</v>
      </c>
    </row>
    <row r="33509">
      <c r="A33509" s="4" t="s">
        <v>42171</v>
      </c>
      <c r="B33509" s="4" t="s">
        <v>42175</v>
      </c>
      <c r="C33509" s="5" t="str">
        <f>IFERROR(__xludf.DUMMYFUNCTION("GOOGLETRANSLATE(B33509,""en"",""fr"")"),"L'eau éclabfie et couvre l'objectif de la caméra.")</f>
        <v>L'eau éclabfie et couvre l'objectif de la caméra.</v>
      </c>
    </row>
    <row r="33510">
      <c r="A33510" s="4" t="s">
        <v>42171</v>
      </c>
      <c r="B33510" s="4" t="s">
        <v>42176</v>
      </c>
      <c r="C33510" s="5" t="str">
        <f>IFERROR(__xludf.DUMMYFUNCTION("GOOGLETRANSLATE(B33510,""en"",""fr"")"),"La personne monte dans l'autre sens.")</f>
        <v>La personne monte dans l'autre sens.</v>
      </c>
    </row>
    <row r="33511">
      <c r="A33511" s="4" t="s">
        <v>42171</v>
      </c>
      <c r="B33511" s="4" t="s">
        <v>42177</v>
      </c>
      <c r="C33511" s="5" t="str">
        <f>IFERROR(__xludf.DUMMYFUNCTION("GOOGLETRANSLATE(B33511,""en"",""fr"")"),"Nous voyons le sable souffler dans le vent.")</f>
        <v>Nous voyons le sable souffler dans le vent.</v>
      </c>
    </row>
    <row r="33512">
      <c r="A33512" s="4" t="s">
        <v>42178</v>
      </c>
      <c r="B33512" s="4" t="s">
        <v>42179</v>
      </c>
      <c r="C33512" s="5" t="str">
        <f>IFERROR(__xludf.DUMMYFUNCTION("GOOGLETRANSLATE(B33512,""en"",""fr"")"),"Il y a beaucoup de gens rassemblés dans la rue pour regarder un défilé ou pour être dans le défilé.")</f>
        <v>Il y a beaucoup de gens rassemblés dans la rue pour regarder un défilé ou pour être dans le défilé.</v>
      </c>
    </row>
    <row r="33513">
      <c r="A33513" s="4" t="s">
        <v>42178</v>
      </c>
      <c r="B33513" s="4" t="s">
        <v>42180</v>
      </c>
      <c r="C33513" s="5" t="str">
        <f>IFERROR(__xludf.DUMMYFUNCTION("GOOGLETRANSLATE(B33513,""en"",""fr"")"),"Il y a 4 jeunes vêtus de tenues militaires portant une bannière rouge et blanche dans un défilé.")</f>
        <v>Il y a 4 jeunes vêtus de tenues militaires portant une bannière rouge et blanche dans un défilé.</v>
      </c>
    </row>
    <row r="33514">
      <c r="A33514" s="4" t="s">
        <v>42178</v>
      </c>
      <c r="B33514" s="6" t="s">
        <v>42181</v>
      </c>
      <c r="C33514" s="5" t="str">
        <f>IFERROR(__xludf.DUMMYFUNCTION("GOOGLETRANSLATE(B33514,""en"",""fr"")"),"Ils sont ensuite suivis par un groupe de filles dansantes qui sont toutes vêtues des mêmes tenues qui sont rouges, blanches et noires, mais certains portent des hauts blancs et les autres portent des hauts rouges.")</f>
        <v>Ils sont ensuite suivis par un groupe de filles dansantes qui sont toutes vêtues des mêmes tenues qui sont rouges, blanches et noires, mais certains portent des hauts blancs et les autres portent des hauts rouges.</v>
      </c>
    </row>
    <row r="33515">
      <c r="A33515" s="4" t="s">
        <v>42178</v>
      </c>
      <c r="B33515" s="6" t="s">
        <v>42182</v>
      </c>
      <c r="C33515" s="5" t="str">
        <f>IFERROR(__xludf.DUMMYFUNCTION("GOOGLETRANSLATE(B33515,""en"",""fr"")"),"Ils sont ensuite suivis d'un très grand groupe qui joue des instruments différents et ils sont tous synchronisés et une femme l'apprécie tellement qu'elle commence à danser pendant que le groupe joue.")</f>
        <v>Ils sont ensuite suivis d'un très grand groupe qui joue des instruments différents et ils sont tous synchronisés et une femme l'apprécie tellement qu'elle commence à danser pendant que le groupe joue.</v>
      </c>
    </row>
    <row r="33516">
      <c r="A33516" s="4" t="s">
        <v>42183</v>
      </c>
      <c r="B33516" s="6" t="s">
        <v>42184</v>
      </c>
      <c r="C33516" s="5" t="str">
        <f>IFERROR(__xludf.DUMMYFUNCTION("GOOGLETRANSLATE(B33516,""en"",""fr"")"),"Plusieurs personnes peuvent sur un lac entrecoupé de plusieurs photos encore des statistiques et des caractéristiques du lac.")</f>
        <v>Plusieurs personnes peuvent sur un lac entrecoupé de plusieurs photos encore des statistiques et des caractéristiques du lac.</v>
      </c>
    </row>
    <row r="33517">
      <c r="A33517" s="4" t="s">
        <v>42183</v>
      </c>
      <c r="B33517" s="6" t="s">
        <v>42185</v>
      </c>
      <c r="C33517" s="5" t="str">
        <f>IFERROR(__xludf.DUMMYFUNCTION("GOOGLETRANSLATE(B33517,""en"",""fr"")"),"Plusieurs photos encore du lac sont représentées qui comprennent des mauvaises herbes dorées et sèches et des marais et de l'eau bleue calme avec un plan d'eau peu profond lourd de rochers.")</f>
        <v>Plusieurs photos encore du lac sont représentées qui comprennent des mauvaises herbes dorées et sèches et des marais et de l'eau bleue calme avec un plan d'eau peu profond lourd de rochers.</v>
      </c>
    </row>
    <row r="33518">
      <c r="A33518" s="4" t="s">
        <v>42183</v>
      </c>
      <c r="B33518" s="4" t="s">
        <v>42186</v>
      </c>
      <c r="C33518" s="5" t="str">
        <f>IFERROR(__xludf.DUMMYFUNCTION("GOOGLETRANSLATE(B33518,""en"",""fr"")"),"Deux canoës avec des personnes en eux sont représentés dans le lac.")</f>
        <v>Deux canoës avec des personnes en eux sont représentés dans le lac.</v>
      </c>
    </row>
    <row r="33519">
      <c r="A33519" s="4" t="s">
        <v>42183</v>
      </c>
      <c r="B33519" s="6" t="s">
        <v>42187</v>
      </c>
      <c r="C33519" s="5" t="str">
        <f>IFERROR(__xludf.DUMMYFUNCTION("GOOGLETRANSLATE(B33519,""en"",""fr"")"),"Une murale d'art d'un poisson bleu et jaune est montrée avec plus de photos et de vidéo de personnes sur le lac.")</f>
        <v>Une murale d'art d'un poisson bleu et jaune est montrée avec plus de photos et de vidéo de personnes sur le lac.</v>
      </c>
    </row>
    <row r="33520">
      <c r="A33520" s="4" t="s">
        <v>42188</v>
      </c>
      <c r="B33520" s="4" t="s">
        <v>42189</v>
      </c>
      <c r="C33520" s="5" t="str">
        <f>IFERROR(__xludf.DUMMYFUNCTION("GOOGLETRANSLATE(B33520,""en"",""fr"")"),"Une balle est montrée se balançant, suivie de plans de paysages et que les gens se préparent.")</f>
        <v>Une balle est montrée se balançant, suivie de plans de paysages et que les gens se préparent.</v>
      </c>
    </row>
    <row r="33521">
      <c r="A33521" s="4" t="s">
        <v>42188</v>
      </c>
      <c r="B33521" s="4" t="s">
        <v>42190</v>
      </c>
      <c r="C33521" s="5" t="str">
        <f>IFERROR(__xludf.DUMMYFUNCTION("GOOGLETRANSLATE(B33521,""en"",""fr"")"),"Un homme enregistre un athlète tenant le ballon et assis sur un banc.")</f>
        <v>Un homme enregistre un athlète tenant le ballon et assis sur un banc.</v>
      </c>
    </row>
    <row r="33522">
      <c r="A33522" s="4" t="s">
        <v>42188</v>
      </c>
      <c r="B33522" s="4" t="s">
        <v>42191</v>
      </c>
      <c r="C33522" s="5" t="str">
        <f>IFERROR(__xludf.DUMMYFUNCTION("GOOGLETRANSLATE(B33522,""en"",""fr"")"),"Diverses personnes sont montrées en train de se préparer à jouer, suivis de plusieurs personnes qui balancent les balles.")</f>
        <v>Diverses personnes sont montrées en train de se préparer à jouer, suivis de plusieurs personnes qui balancent les balles.</v>
      </c>
    </row>
    <row r="33523">
      <c r="A33523" s="4" t="s">
        <v>42188</v>
      </c>
      <c r="B33523" s="6" t="s">
        <v>42192</v>
      </c>
      <c r="C33523" s="5" t="str">
        <f>IFERROR(__xludf.DUMMYFUNCTION("GOOGLETRANSLATE(B33523,""en"",""fr"")"),"Finalement, plusieurs femmes différentes sont montrées effectuant la tâche tout en réchauffant leurs lancers.")</f>
        <v>Finalement, plusieurs femmes différentes sont montrées effectuant la tâche tout en réchauffant leurs lancers.</v>
      </c>
    </row>
    <row r="33524">
      <c r="A33524" s="4" t="s">
        <v>42193</v>
      </c>
      <c r="B33524" s="4" t="s">
        <v>42194</v>
      </c>
      <c r="C33524" s="5" t="str">
        <f>IFERROR(__xludf.DUMMYFUNCTION("GOOGLETRANSLATE(B33524,""en"",""fr"")"),"Nous voyons un écran d'intro avec des flèches.")</f>
        <v>Nous voyons un écran d'intro avec des flèches.</v>
      </c>
    </row>
    <row r="33525">
      <c r="A33525" s="4" t="s">
        <v>42193</v>
      </c>
      <c r="B33525" s="4" t="s">
        <v>42195</v>
      </c>
      <c r="C33525" s="5" t="str">
        <f>IFERROR(__xludf.DUMMYFUNCTION("GOOGLETRANSLATE(B33525,""en"",""fr"")"),"Un chef parle en se tenant devant un arc alors qu'elle cuisine des spaghettis.")</f>
        <v>Un chef parle en se tenant devant un arc alors qu'elle cuisine des spaghettis.</v>
      </c>
    </row>
    <row r="33526">
      <c r="A33526" s="4" t="s">
        <v>42193</v>
      </c>
      <c r="B33526" s="4" t="s">
        <v>42196</v>
      </c>
      <c r="C33526" s="5" t="str">
        <f>IFERROR(__xludf.DUMMYFUNCTION("GOOGLETRANSLATE(B33526,""en"",""fr"")"),"La dame ajoute du sel et des spaghettis à l'eau bouillante.")</f>
        <v>La dame ajoute du sel et des spaghettis à l'eau bouillante.</v>
      </c>
    </row>
    <row r="33527">
      <c r="A33527" s="4" t="s">
        <v>42193</v>
      </c>
      <c r="B33527" s="4" t="s">
        <v>42197</v>
      </c>
      <c r="C33527" s="5" t="str">
        <f>IFERROR(__xludf.DUMMYFUNCTION("GOOGLETRANSLATE(B33527,""en"",""fr"")"),"La dame attrape une nouille pour montrer à quoi elle devrait ressembler lorsqu'elle est cuite.")</f>
        <v>La dame attrape une nouille pour montrer à quoi elle devrait ressembler lorsqu'elle est cuite.</v>
      </c>
    </row>
    <row r="33528">
      <c r="A33528" s="4" t="s">
        <v>42193</v>
      </c>
      <c r="B33528" s="4" t="s">
        <v>42198</v>
      </c>
      <c r="C33528" s="5" t="str">
        <f>IFERROR(__xludf.DUMMYFUNCTION("GOOGLETRANSLATE(B33528,""en"",""fr"")"),"La dame draine l'eau, ajoute de la sauce et ajoute une partie de l'eau de cuisson.")</f>
        <v>La dame draine l'eau, ajoute de la sauce et ajoute une partie de l'eau de cuisson.</v>
      </c>
    </row>
    <row r="33529">
      <c r="A33529" s="4" t="s">
        <v>42193</v>
      </c>
      <c r="B33529" s="4" t="s">
        <v>42199</v>
      </c>
      <c r="C33529" s="5" t="str">
        <f>IFERROR(__xludf.DUMMYFUNCTION("GOOGLETRANSLATE(B33529,""en"",""fr"")"),"Elle le met sur une assiette.")</f>
        <v>Elle le met sur une assiette.</v>
      </c>
    </row>
    <row r="33530">
      <c r="A33530" s="4" t="s">
        <v>42193</v>
      </c>
      <c r="B33530" s="4" t="s">
        <v>42200</v>
      </c>
      <c r="C33530" s="5" t="str">
        <f>IFERROR(__xludf.DUMMYFUNCTION("GOOGLETRANSLATE(B33530,""en"",""fr"")"),"Nous voyons ensuite les crédits noirs rouler.")</f>
        <v>Nous voyons ensuite les crédits noirs rouler.</v>
      </c>
    </row>
    <row r="33531">
      <c r="A33531" s="4" t="s">
        <v>42201</v>
      </c>
      <c r="B33531" s="4" t="s">
        <v>42202</v>
      </c>
      <c r="C33531" s="5" t="str">
        <f>IFERROR(__xludf.DUMMYFUNCTION("GOOGLETRANSLATE(B33531,""en"",""fr"")"),"L'homme se tient sur une piste dans un gymnase couvert et court pour faire de grands sauts devant les juges.")</f>
        <v>L'homme se tient sur une piste dans un gymnase couvert et court pour faire de grands sauts devant les juges.</v>
      </c>
    </row>
    <row r="33532">
      <c r="A33532" s="4" t="s">
        <v>42201</v>
      </c>
      <c r="B33532" s="4" t="s">
        <v>42203</v>
      </c>
      <c r="C33532" s="5" t="str">
        <f>IFERROR(__xludf.DUMMYFUNCTION("GOOGLETRANSLATE(B33532,""en"",""fr"")"),"Les gens sont en terrasses qui regardent le garçon.")</f>
        <v>Les gens sont en terrasses qui regardent le garçon.</v>
      </c>
    </row>
    <row r="33533">
      <c r="A33533" s="4" t="s">
        <v>42201</v>
      </c>
      <c r="B33533" s="4" t="s">
        <v>42204</v>
      </c>
      <c r="C33533" s="5" t="str">
        <f>IFERROR(__xludf.DUMMYFUNCTION("GOOGLETRANSLATE(B33533,""en"",""fr"")"),"L'homme applaudit après que l'homme fasse les sauts.")</f>
        <v>L'homme applaudit après que l'homme fasse les sauts.</v>
      </c>
    </row>
    <row r="33534">
      <c r="A33534" s="4" t="s">
        <v>42205</v>
      </c>
      <c r="B33534" s="4" t="s">
        <v>42206</v>
      </c>
      <c r="C33534" s="5" t="str">
        <f>IFERROR(__xludf.DUMMYFUNCTION("GOOGLETRANSLATE(B33534,""en"",""fr"")"),"Une femme est vue en regardant au-delà de la caméra et montrant l'arrière de sa tête.")</f>
        <v>Une femme est vue en regardant au-delà de la caméra et montrant l'arrière de sa tête.</v>
      </c>
    </row>
    <row r="33535">
      <c r="A33535" s="4" t="s">
        <v>42205</v>
      </c>
      <c r="B33535" s="4" t="s">
        <v>42207</v>
      </c>
      <c r="C33535" s="5" t="str">
        <f>IFERROR(__xludf.DUMMYFUNCTION("GOOGLETRANSLATE(B33535,""en"",""fr"")"),"Elle tient divers produits et les frotte dans ses cheveux.")</f>
        <v>Elle tient divers produits et les frotte dans ses cheveux.</v>
      </c>
    </row>
    <row r="33536">
      <c r="A33536" s="4" t="s">
        <v>42205</v>
      </c>
      <c r="B33536" s="4" t="s">
        <v>42208</v>
      </c>
      <c r="C33536" s="5" t="str">
        <f>IFERROR(__xludf.DUMMYFUNCTION("GOOGLETRANSLATE(B33536,""en"",""fr"")"),"Elle plonge ensuite ses cheveux tout en lesprayant et en sentant la texture par la suite.")</f>
        <v>Elle plonge ensuite ses cheveux tout en lesprayant et en sentant la texture par la suite.</v>
      </c>
    </row>
    <row r="33537">
      <c r="A33537" s="4" t="s">
        <v>42205</v>
      </c>
      <c r="B33537" s="4" t="s">
        <v>42209</v>
      </c>
      <c r="C33537" s="5" t="str">
        <f>IFERROR(__xludf.DUMMYFUNCTION("GOOGLETRANSLATE(B33537,""en"",""fr"")"),"Elle finit d'épingler ses cheveux et de regarder la caméra.")</f>
        <v>Elle finit d'épingler ses cheveux et de regarder la caméra.</v>
      </c>
    </row>
    <row r="33538">
      <c r="A33538" s="4" t="s">
        <v>42210</v>
      </c>
      <c r="B33538" s="6" t="s">
        <v>42211</v>
      </c>
      <c r="C33538" s="5" t="str">
        <f>IFERROR(__xludf.DUMMYFUNCTION("GOOGLETRANSLATE(B33538,""en"",""fr"")"),"Un homme et un chien se tiennent au milieu du terrain en jouant pendant qu'il tient un groupe de Frisbees.")</f>
        <v>Un homme et un chien se tiennent au milieu du terrain en jouant pendant qu'il tient un groupe de Frisbees.</v>
      </c>
    </row>
    <row r="33539">
      <c r="A33539" s="4" t="s">
        <v>42210</v>
      </c>
      <c r="B33539" s="6" t="s">
        <v>42212</v>
      </c>
      <c r="C33539" s="5" t="str">
        <f>IFERROR(__xludf.DUMMYFUNCTION("GOOGLETRANSLATE(B33539,""en"",""fr"")"),"L'homme jette alors tous les Frisbees et le chien les coule plusieurs fois et les attrape.")</f>
        <v>L'homme jette alors tous les Frisbees et le chien les coule plusieurs fois et les attrape.</v>
      </c>
    </row>
    <row r="33540">
      <c r="A33540" s="4" t="s">
        <v>42210</v>
      </c>
      <c r="B33540" s="6" t="s">
        <v>42213</v>
      </c>
      <c r="C33540" s="5" t="str">
        <f>IFERROR(__xludf.DUMMYFUNCTION("GOOGLETRANSLATE(B33540,""en"",""fr"")"),"Au milieu de la routine, il attrape plusieurs Frisbees et les donne au chien un par un alors qu'il s'agenouille devant lui.")</f>
        <v>Au milieu de la routine, il attrape plusieurs Frisbees et les donne au chien un par un alors qu'il s'agenouille devant lui.</v>
      </c>
    </row>
    <row r="33541">
      <c r="A33541" s="4" t="s">
        <v>42210</v>
      </c>
      <c r="B33541" s="6" t="s">
        <v>42214</v>
      </c>
      <c r="C33541" s="5" t="str">
        <f>IFERROR(__xludf.DUMMYFUNCTION("GOOGLETRANSLATE(B33541,""en"",""fr"")"),"Plusieurs astuces sont terminées, puis le chien semble sauter sur le terrain, ils remontent à leurs routines régulières et le propriétaire ramasse le chien et les vagues de la foule.")</f>
        <v>Plusieurs astuces sont terminées, puis le chien semble sauter sur le terrain, ils remontent à leurs routines régulières et le propriétaire ramasse le chien et les vagues de la foule.</v>
      </c>
    </row>
    <row r="33542">
      <c r="A33542" s="4" t="s">
        <v>42215</v>
      </c>
      <c r="B33542" s="4" t="s">
        <v>42216</v>
      </c>
      <c r="C33542" s="5" t="str">
        <f>IFERROR(__xludf.DUMMYFUNCTION("GOOGLETRANSLATE(B33542,""en"",""fr"")"),"La vidéo commence par deux lutteurs de sumo sur une scène de sumo.")</f>
        <v>La vidéo commence par deux lutteurs de sumo sur une scène de sumo.</v>
      </c>
    </row>
    <row r="33543">
      <c r="A33543" s="4" t="s">
        <v>42215</v>
      </c>
      <c r="B33543" s="4" t="s">
        <v>42217</v>
      </c>
      <c r="C33543" s="5" t="str">
        <f>IFERROR(__xludf.DUMMYFUNCTION("GOOGLETRANSLATE(B33543,""en"",""fr"")"),"Il y a une grande foule qui se specte et un homme au centre du ring agissant comme arbitre.")</f>
        <v>Il y a une grande foule qui se specte et un homme au centre du ring agissant comme arbitre.</v>
      </c>
    </row>
    <row r="33544">
      <c r="A33544" s="4" t="s">
        <v>42215</v>
      </c>
      <c r="B33544" s="4" t="s">
        <v>42218</v>
      </c>
      <c r="C33544" s="5" t="str">
        <f>IFERROR(__xludf.DUMMYFUNCTION("GOOGLETRANSLATE(B33544,""en"",""fr"")"),"Les deux lutteurs de sumo jettent une poudre blanche dans le ring.")</f>
        <v>Les deux lutteurs de sumo jettent une poudre blanche dans le ring.</v>
      </c>
    </row>
    <row r="33545">
      <c r="A33545" s="4" t="s">
        <v>42215</v>
      </c>
      <c r="B33545" s="6" t="s">
        <v>42219</v>
      </c>
      <c r="C33545" s="5" t="str">
        <f>IFERROR(__xludf.DUMMYFUNCTION("GOOGLETRANSLATE(B33545,""en"",""fr"")"),"Le squat et applaudissent les mains, tandis qu'un groupe d'hommes tient des drapeaux et se promène autour du ring.")</f>
        <v>Le squat et applaudissent les mains, tandis qu'un groupe d'hommes tient des drapeaux et se promène autour du ring.</v>
      </c>
    </row>
    <row r="33546">
      <c r="A33546" s="4" t="s">
        <v>42215</v>
      </c>
      <c r="B33546" s="4" t="s">
        <v>42220</v>
      </c>
      <c r="C33546" s="5" t="str">
        <f>IFERROR(__xludf.DUMMYFUNCTION("GOOGLETRANSLATE(B33546,""en"",""fr"")"),"Deux autres hommes tiennent des balais comme balayant une partie de la poudre.")</f>
        <v>Deux autres hommes tiennent des balais comme balayant une partie de la poudre.</v>
      </c>
    </row>
    <row r="33547">
      <c r="A33547" s="4" t="s">
        <v>42215</v>
      </c>
      <c r="B33547" s="4" t="s">
        <v>42221</v>
      </c>
      <c r="C33547" s="5" t="str">
        <f>IFERROR(__xludf.DUMMYFUNCTION("GOOGLETRANSLATE(B33547,""en"",""fr"")"),"Les deux lutteurs de Sumo sortent du ring et jette à nouveau plus de poudre.")</f>
        <v>Les deux lutteurs de Sumo sortent du ring et jette à nouveau plus de poudre.</v>
      </c>
    </row>
    <row r="33548">
      <c r="A33548" s="4" t="s">
        <v>42215</v>
      </c>
      <c r="B33548" s="4" t="s">
        <v>42222</v>
      </c>
      <c r="C33548" s="5" t="str">
        <f>IFERROR(__xludf.DUMMYFUNCTION("GOOGLETRANSLATE(B33548,""en"",""fr"")"),"Ils se heurtent les uns aux autres et s'éloignent.")</f>
        <v>Ils se heurtent les uns aux autres et s'éloignent.</v>
      </c>
    </row>
    <row r="33549">
      <c r="A33549" s="4" t="s">
        <v>42215</v>
      </c>
      <c r="B33549" s="4" t="s">
        <v>42223</v>
      </c>
      <c r="C33549" s="5" t="str">
        <f>IFERROR(__xludf.DUMMYFUNCTION("GOOGLETRANSLATE(B33549,""en"",""fr"")"),"Ils se heurtent à nouveau les uns aux autres et commencent à lutter.")</f>
        <v>Ils se heurtent à nouveau les uns aux autres et commencent à lutter.</v>
      </c>
    </row>
    <row r="33550">
      <c r="A33550" s="4" t="s">
        <v>42215</v>
      </c>
      <c r="B33550" s="4" t="s">
        <v>42224</v>
      </c>
      <c r="C33550" s="5" t="str">
        <f>IFERROR(__xludf.DUMMYFUNCTION("GOOGLETRANSLATE(B33550,""en"",""fr"")"),"L'homme en short Sumo noir jette l'autre homme hors du ring.")</f>
        <v>L'homme en short Sumo noir jette l'autre homme hors du ring.</v>
      </c>
    </row>
    <row r="33551">
      <c r="A33551" s="4" t="s">
        <v>42215</v>
      </c>
      <c r="B33551" s="4" t="s">
        <v>42225</v>
      </c>
      <c r="C33551" s="5" t="str">
        <f>IFERROR(__xludf.DUMMYFUNCTION("GOOGLETRANSLATE(B33551,""en"",""fr"")"),"Ils s'inclinent et le perdant sort de l'anneau.")</f>
        <v>Ils s'inclinent et le perdant sort de l'anneau.</v>
      </c>
    </row>
    <row r="33552">
      <c r="A33552" s="4" t="s">
        <v>42226</v>
      </c>
      <c r="B33552" s="4" t="s">
        <v>42227</v>
      </c>
      <c r="C33552" s="5" t="str">
        <f>IFERROR(__xludf.DUMMYFUNCTION("GOOGLETRANSLATE(B33552,""en"",""fr"")"),"Un homme se plie sur ramasser un poids lourd plusieurs fois de suite et le déposer.")</f>
        <v>Un homme se plie sur ramasser un poids lourd plusieurs fois de suite et le déposer.</v>
      </c>
    </row>
    <row r="33553">
      <c r="A33553" s="4" t="s">
        <v>42226</v>
      </c>
      <c r="B33553" s="4" t="s">
        <v>42228</v>
      </c>
      <c r="C33553" s="5" t="str">
        <f>IFERROR(__xludf.DUMMYFUNCTION("GOOGLETRANSLATE(B33553,""en"",""fr"")"),"Un homme mesure une autre longueur de bras.")</f>
        <v>Un homme mesure une autre longueur de bras.</v>
      </c>
    </row>
    <row r="33554">
      <c r="A33554" s="4" t="s">
        <v>42226</v>
      </c>
      <c r="B33554" s="4" t="s">
        <v>42229</v>
      </c>
      <c r="C33554" s="5" t="str">
        <f>IFERROR(__xludf.DUMMYFUNCTION("GOOGLETRANSLATE(B33554,""en"",""fr"")"),"L'homme mesure la longueur de la barre de poids.")</f>
        <v>L'homme mesure la longueur de la barre de poids.</v>
      </c>
    </row>
    <row r="33555">
      <c r="A33555" s="4" t="s">
        <v>42230</v>
      </c>
      <c r="B33555" s="4" t="s">
        <v>573</v>
      </c>
      <c r="C33555" s="5" t="str">
        <f>IFERROR(__xludf.DUMMYFUNCTION("GOOGLETRANSLATE(B33555,""en"",""fr"")"),"Les crédits de la vidéo sont affichés.")</f>
        <v>Les crédits de la vidéo sont affichés.</v>
      </c>
    </row>
    <row r="33556">
      <c r="A33556" s="4" t="s">
        <v>42230</v>
      </c>
      <c r="B33556" s="4" t="s">
        <v>42231</v>
      </c>
      <c r="C33556" s="5" t="str">
        <f>IFERROR(__xludf.DUMMYFUNCTION("GOOGLETRANSLATE(B33556,""en"",""fr"")"),"Un homme se tient avec un arc et une flèche.")</f>
        <v>Un homme se tient avec un arc et une flèche.</v>
      </c>
    </row>
    <row r="33557">
      <c r="A33557" s="4" t="s">
        <v>42230</v>
      </c>
      <c r="B33557" s="4" t="s">
        <v>42232</v>
      </c>
      <c r="C33557" s="5" t="str">
        <f>IFERROR(__xludf.DUMMYFUNCTION("GOOGLETRANSLATE(B33557,""en"",""fr"")"),"Un homme tire une flèche de l'arc.")</f>
        <v>Un homme tire une flèche de l'arc.</v>
      </c>
    </row>
    <row r="33558">
      <c r="A33558" s="4" t="s">
        <v>42230</v>
      </c>
      <c r="B33558" s="4" t="s">
        <v>42233</v>
      </c>
      <c r="C33558" s="5" t="str">
        <f>IFERROR(__xludf.DUMMYFUNCTION("GOOGLETRANSLATE(B33558,""en"",""fr"")"),"Le crédit du clip est affiché.")</f>
        <v>Le crédit du clip est affiché.</v>
      </c>
    </row>
    <row r="33559">
      <c r="A33559" s="4" t="s">
        <v>42230</v>
      </c>
      <c r="B33559" s="4" t="s">
        <v>42234</v>
      </c>
      <c r="C33559" s="5" t="str">
        <f>IFERROR(__xludf.DUMMYFUNCTION("GOOGLETRANSLATE(B33559,""en"",""fr"")"),"Un gars parle avec sa bouche et sa main.")</f>
        <v>Un gars parle avec sa bouche et sa main.</v>
      </c>
    </row>
    <row r="33560">
      <c r="A33560" s="4" t="s">
        <v>42230</v>
      </c>
      <c r="B33560" s="4" t="s">
        <v>42235</v>
      </c>
      <c r="C33560" s="5" t="str">
        <f>IFERROR(__xludf.DUMMYFUNCTION("GOOGLETRANSLATE(B33560,""en"",""fr"")"),"Une main prolongée tenant un stylo est affichée sur un écran fendu.")</f>
        <v>Une main prolongée tenant un stylo est affichée sur un écran fendu.</v>
      </c>
    </row>
    <row r="33561">
      <c r="A33561" s="4" t="s">
        <v>42230</v>
      </c>
      <c r="B33561" s="4" t="s">
        <v>42236</v>
      </c>
      <c r="C33561" s="5" t="str">
        <f>IFERROR(__xludf.DUMMYFUNCTION("GOOGLETRANSLATE(B33561,""en"",""fr"")"),"Plusieurs flèches ont frappé la cible.")</f>
        <v>Plusieurs flèches ont frappé la cible.</v>
      </c>
    </row>
    <row r="33562">
      <c r="A33562" s="4" t="s">
        <v>42230</v>
      </c>
      <c r="B33562" s="4" t="s">
        <v>42237</v>
      </c>
      <c r="C33562" s="5" t="str">
        <f>IFERROR(__xludf.DUMMYFUNCTION("GOOGLETRANSLATE(B33562,""en"",""fr"")"),"Une flèche passe par le trou d'un beignet.")</f>
        <v>Une flèche passe par le trou d'un beignet.</v>
      </c>
    </row>
    <row r="33563">
      <c r="A33563" s="4" t="s">
        <v>42230</v>
      </c>
      <c r="B33563" s="4" t="s">
        <v>42238</v>
      </c>
      <c r="C33563" s="5" t="str">
        <f>IFERROR(__xludf.DUMMYFUNCTION("GOOGLETRANSLATE(B33563,""en"",""fr"")"),"Une flèche coupe la chaîne tenant une pomme.")</f>
        <v>Une flèche coupe la chaîne tenant une pomme.</v>
      </c>
    </row>
    <row r="33564">
      <c r="A33564" s="4" t="s">
        <v>42230</v>
      </c>
      <c r="B33564" s="4" t="s">
        <v>42239</v>
      </c>
      <c r="C33564" s="5" t="str">
        <f>IFERROR(__xludf.DUMMYFUNCTION("GOOGLETRANSLATE(B33564,""en"",""fr"")"),"Une flèche passe par le trou d'un CD.")</f>
        <v>Une flèche passe par le trou d'un CD.</v>
      </c>
    </row>
    <row r="33565">
      <c r="A33565" s="4" t="s">
        <v>42230</v>
      </c>
      <c r="B33565" s="4" t="s">
        <v>42240</v>
      </c>
      <c r="C33565" s="5" t="str">
        <f>IFERROR(__xludf.DUMMYFUNCTION("GOOGLETRANSLATE(B33565,""en"",""fr"")"),"Le crédit du clip est présenté.")</f>
        <v>Le crédit du clip est présenté.</v>
      </c>
    </row>
    <row r="33566">
      <c r="A33566" s="4" t="s">
        <v>42230</v>
      </c>
      <c r="B33566" s="4" t="s">
        <v>29120</v>
      </c>
      <c r="C33566" s="5" t="str">
        <f>IFERROR(__xludf.DUMMYFUNCTION("GOOGLETRANSLATE(B33566,""en"",""fr"")"),"Un gars parle tout en faisant un geste.")</f>
        <v>Un gars parle tout en faisant un geste.</v>
      </c>
    </row>
    <row r="33567">
      <c r="A33567" s="4" t="s">
        <v>42230</v>
      </c>
      <c r="B33567" s="4" t="s">
        <v>42241</v>
      </c>
      <c r="C33567" s="5" t="str">
        <f>IFERROR(__xludf.DUMMYFUNCTION("GOOGLETRANSLATE(B33567,""en"",""fr"")"),"Les crédits de la vidéo sont affichés.")</f>
        <v>Les crédits de la vidéo sont affichés.</v>
      </c>
    </row>
    <row r="33568">
      <c r="A33568" s="4" t="s">
        <v>42242</v>
      </c>
      <c r="B33568" s="6" t="s">
        <v>42243</v>
      </c>
      <c r="C33568" s="5" t="str">
        <f>IFERROR(__xludf.DUMMYFUNCTION("GOOGLETRANSLATE(B33568,""en"",""fr"")"),"Deux hommes jouent des billards tout en frappant à tour de rôle le ballon avec un bâton, tandis qu'un homme joue seul au billard.")</f>
        <v>Deux hommes jouent des billards tout en frappant à tour de rôle le ballon avec un bâton, tandis qu'un homme joue seul au billard.</v>
      </c>
    </row>
    <row r="33569">
      <c r="A33569" s="4" t="s">
        <v>42242</v>
      </c>
      <c r="B33569" s="4" t="s">
        <v>42244</v>
      </c>
      <c r="C33569" s="5" t="str">
        <f>IFERROR(__xludf.DUMMYFUNCTION("GOOGLETRANSLATE(B33569,""en"",""fr"")"),"Un homme et un enfant marchent dans un salon à l'arrière de la piscine de table.")</f>
        <v>Un homme et un enfant marchent dans un salon à l'arrière de la piscine de table.</v>
      </c>
    </row>
    <row r="33570">
      <c r="A33570" s="4" t="s">
        <v>42242</v>
      </c>
      <c r="B33570" s="4" t="s">
        <v>42245</v>
      </c>
      <c r="C33570" s="5" t="str">
        <f>IFERROR(__xludf.DUMMYFUNCTION("GOOGLETRANSLATE(B33570,""en"",""fr"")"),"Une femme marche avec un bâton à côté des hommes.")</f>
        <v>Une femme marche avec un bâton à côté des hommes.</v>
      </c>
    </row>
    <row r="33571">
      <c r="A33571" s="4" t="s">
        <v>42246</v>
      </c>
      <c r="B33571" s="4" t="s">
        <v>42247</v>
      </c>
      <c r="C33571" s="5" t="str">
        <f>IFERROR(__xludf.DUMMYFUNCTION("GOOGLETRANSLATE(B33571,""en"",""fr"")"),"Un homme est vu parler à l'appareil photo suivi de plusieurs photos d'hommes barbus.")</f>
        <v>Un homme est vu parler à l'appareil photo suivi de plusieurs photos d'hommes barbus.</v>
      </c>
    </row>
    <row r="33572">
      <c r="A33572" s="4" t="s">
        <v>42246</v>
      </c>
      <c r="B33572" s="4" t="s">
        <v>42248</v>
      </c>
      <c r="C33572" s="5" t="str">
        <f>IFERROR(__xludf.DUMMYFUNCTION("GOOGLETRANSLATE(B33572,""en"",""fr"")"),"L'homme commence alors à utiliser des ciseaux sur son visage tout en tenant des morceaux de papier.")</f>
        <v>L'homme commence alors à utiliser des ciseaux sur son visage tout en tenant des morceaux de papier.</v>
      </c>
    </row>
    <row r="33573">
      <c r="A33573" s="4" t="s">
        <v>42246</v>
      </c>
      <c r="B33573" s="4" t="s">
        <v>42249</v>
      </c>
      <c r="C33573" s="5" t="str">
        <f>IFERROR(__xludf.DUMMYFUNCTION("GOOGLETRANSLATE(B33573,""en"",""fr"")"),"L'homme continue de se raser le visage et se termine en agitant la caméra.")</f>
        <v>L'homme continue de se raser le visage et se termine en agitant la caméra.</v>
      </c>
    </row>
    <row r="33574">
      <c r="A33574" s="4" t="s">
        <v>42250</v>
      </c>
      <c r="B33574" s="4" t="s">
        <v>42251</v>
      </c>
      <c r="C33574" s="5" t="str">
        <f>IFERROR(__xludf.DUMMYFUNCTION("GOOGLETRANSLATE(B33574,""en"",""fr"")"),"Un jeune garçon est montré à la caméra et montre finalement ses mains en mouvement.")</f>
        <v>Un jeune garçon est montré à la caméra et montre finalement ses mains en mouvement.</v>
      </c>
    </row>
    <row r="33575">
      <c r="A33575" s="4" t="s">
        <v>42250</v>
      </c>
      <c r="B33575" s="4" t="s">
        <v>42252</v>
      </c>
      <c r="C33575" s="5" t="str">
        <f>IFERROR(__xludf.DUMMYFUNCTION("GOOGLETRANSLATE(B33575,""en"",""fr"")"),"Il place les objets ensemble et commence à raser les côtés avec un couteau bien aiguisé.")</f>
        <v>Il place les objets ensemble et commence à raser les côtés avec un couteau bien aiguisé.</v>
      </c>
    </row>
    <row r="33576">
      <c r="A33576" s="4" t="s">
        <v>42250</v>
      </c>
      <c r="B33576" s="4" t="s">
        <v>42253</v>
      </c>
      <c r="C33576" s="5" t="str">
        <f>IFERROR(__xludf.DUMMYFUNCTION("GOOGLETRANSLATE(B33576,""en"",""fr"")"),"Il continue à affiner l'objet et montre le couteau qui traverse sa peau nue.")</f>
        <v>Il continue à affiner l'objet et montre le couteau qui traverse sa peau nue.</v>
      </c>
    </row>
    <row r="33577">
      <c r="A33577" s="4" t="s">
        <v>42254</v>
      </c>
      <c r="B33577" s="4" t="s">
        <v>42255</v>
      </c>
      <c r="C33577" s="5" t="str">
        <f>IFERROR(__xludf.DUMMYFUNCTION("GOOGLETRANSLATE(B33577,""en"",""fr"")"),"Deux hommes en short de basket-ball jouent au racét ballon.")</f>
        <v>Deux hommes en short de basket-ball jouent au racét ballon.</v>
      </c>
    </row>
    <row r="33578">
      <c r="A33578" s="4" t="s">
        <v>42254</v>
      </c>
      <c r="B33578" s="4" t="s">
        <v>2779</v>
      </c>
      <c r="C33578" s="5" t="str">
        <f>IFERROR(__xludf.DUMMYFUNCTION("GOOGLETRANSLATE(B33578,""en"",""fr"")"),"Ils ont frappé le ballon d'avant en arrière contre le mur.")</f>
        <v>Ils ont frappé le ballon d'avant en arrière contre le mur.</v>
      </c>
    </row>
    <row r="33579">
      <c r="A33579" s="4" t="s">
        <v>42254</v>
      </c>
      <c r="B33579" s="4" t="s">
        <v>42256</v>
      </c>
      <c r="C33579" s="5" t="str">
        <f>IFERROR(__xludf.DUMMYFUNCTION("GOOGLETRANSLATE(B33579,""en"",""fr"")"),"Les hommes continuent de servir et de se frapper et de se retourner mutuellement.")</f>
        <v>Les hommes continuent de servir et de se frapper et de se retourner mutuellement.</v>
      </c>
    </row>
    <row r="33580">
      <c r="A33580" s="4" t="s">
        <v>42254</v>
      </c>
      <c r="B33580" s="4" t="s">
        <v>42257</v>
      </c>
      <c r="C33580" s="5" t="str">
        <f>IFERROR(__xludf.DUMMYFUNCTION("GOOGLETRANSLATE(B33580,""en"",""fr"")"),"Ils prennent une courte pause après qu'un homme scolarisé.")</f>
        <v>Ils prennent une courte pause après qu'un homme scolarisé.</v>
      </c>
    </row>
    <row r="33581">
      <c r="A33581" s="4" t="s">
        <v>42254</v>
      </c>
      <c r="B33581" s="4" t="s">
        <v>42258</v>
      </c>
      <c r="C33581" s="5" t="str">
        <f>IFERROR(__xludf.DUMMYFUNCTION("GOOGLETRANSLATE(B33581,""en"",""fr"")"),"Ils continuent de jouer et de servir.")</f>
        <v>Ils continuent de jouer et de servir.</v>
      </c>
    </row>
    <row r="33582">
      <c r="A33582" s="4" t="s">
        <v>42259</v>
      </c>
      <c r="B33582" s="4" t="s">
        <v>42260</v>
      </c>
      <c r="C33582" s="5" t="str">
        <f>IFERROR(__xludf.DUMMYFUNCTION("GOOGLETRANSLATE(B33582,""en"",""fr"")"),"Un joueur de kickball lance le ballon au marbre dans une grande arène.")</f>
        <v>Un joueur de kickball lance le ballon au marbre dans une grande arène.</v>
      </c>
    </row>
    <row r="33583">
      <c r="A33583" s="4" t="s">
        <v>42259</v>
      </c>
      <c r="B33583" s="4" t="s">
        <v>42261</v>
      </c>
      <c r="C33583" s="5" t="str">
        <f>IFERROR(__xludf.DUMMYFUNCTION("GOOGLETRANSLATE(B33583,""en"",""fr"")"),"Le joueur passe devant la première base.")</f>
        <v>Le joueur passe devant la première base.</v>
      </c>
    </row>
    <row r="33584">
      <c r="A33584" s="4" t="s">
        <v>42259</v>
      </c>
      <c r="B33584" s="4" t="s">
        <v>42262</v>
      </c>
      <c r="C33584" s="5" t="str">
        <f>IFERROR(__xludf.DUMMYFUNCTION("GOOGLETRANSLATE(B33584,""en"",""fr"")"),"Le joueur revient ensuite à la première base et met son pied dessus.")</f>
        <v>Le joueur revient ensuite à la première base et met son pied dessus.</v>
      </c>
    </row>
    <row r="33585">
      <c r="A33585" s="4" t="s">
        <v>42263</v>
      </c>
      <c r="B33585" s="4" t="s">
        <v>42264</v>
      </c>
      <c r="C33585" s="5" t="str">
        <f>IFERROR(__xludf.DUMMYFUNCTION("GOOGLETRANSLATE(B33585,""en"",""fr"")"),"Il y a un guitariste dans une chemise verte démontrant comment jouer une guitare acoustique.")</f>
        <v>Il y a un guitariste dans une chemise verte démontrant comment jouer une guitare acoustique.</v>
      </c>
    </row>
    <row r="33586">
      <c r="A33586" s="4" t="s">
        <v>42263</v>
      </c>
      <c r="B33586" s="4" t="s">
        <v>42265</v>
      </c>
      <c r="C33586" s="5" t="str">
        <f>IFERROR(__xludf.DUMMYFUNCTION("GOOGLETRANSLATE(B33586,""en"",""fr"")"),"Différents types de guitares fabriqués à partir d'une variété de bois sont représentés.")</f>
        <v>Différents types de guitares fabriqués à partir d'une variété de bois sont représentés.</v>
      </c>
    </row>
    <row r="33587">
      <c r="A33587" s="4" t="s">
        <v>42263</v>
      </c>
      <c r="B33587" s="4" t="s">
        <v>42266</v>
      </c>
      <c r="C33587" s="5" t="str">
        <f>IFERROR(__xludf.DUMMYFUNCTION("GOOGLETRANSLATE(B33587,""en"",""fr"")"),"Le guitariste gratte la guitare avec son choix alors qu'il joue sa musique.")</f>
        <v>Le guitariste gratte la guitare avec son choix alors qu'il joue sa musique.</v>
      </c>
    </row>
    <row r="33588">
      <c r="A33588" s="4" t="s">
        <v>42263</v>
      </c>
      <c r="B33588" s="6" t="s">
        <v>42267</v>
      </c>
      <c r="C33588" s="5" t="str">
        <f>IFERROR(__xludf.DUMMYFUNCTION("GOOGLETRANSLATE(B33588,""en"",""fr"")"),"Il y a des images du magasin de guitare et des types de guitares vendus en faisant défiler en bas de l'écran.")</f>
        <v>Il y a des images du magasin de guitare et des types de guitares vendus en faisant défiler en bas de l'écran.</v>
      </c>
    </row>
    <row r="33589">
      <c r="A33589" s="4" t="s">
        <v>42263</v>
      </c>
      <c r="B33589" s="4" t="s">
        <v>42268</v>
      </c>
      <c r="C33589" s="5" t="str">
        <f>IFERROR(__xludf.DUMMYFUNCTION("GOOGLETRANSLATE(B33589,""en"",""fr"")"),"Le guitariste continue de jouer de sa guitare.")</f>
        <v>Le guitariste continue de jouer de sa guitare.</v>
      </c>
    </row>
    <row r="33590">
      <c r="A33590" s="4" t="s">
        <v>42269</v>
      </c>
      <c r="B33590" s="6" t="s">
        <v>42270</v>
      </c>
      <c r="C33590" s="5" t="str">
        <f>IFERROR(__xludf.DUMMYFUNCTION("GOOGLETRANSLATE(B33590,""en"",""fr"")"),"Un petit groupe de personnes est vu nager autour d'une piscine jetant une balle pendant que plusieurs personnes regardent sur les côtés.")</f>
        <v>Un petit groupe de personnes est vu nager autour d'une piscine jetant une balle pendant que plusieurs personnes regardent sur les côtés.</v>
      </c>
    </row>
    <row r="33591">
      <c r="A33591" s="4" t="s">
        <v>42269</v>
      </c>
      <c r="B33591" s="6" t="s">
        <v>42271</v>
      </c>
      <c r="C33591" s="5" t="str">
        <f>IFERROR(__xludf.DUMMYFUNCTION("GOOGLETRANSLATE(B33591,""en"",""fr"")"),"Les gens continuent de jeter le ballon les uns aux autres pendant que la caméra capture le jeu en cours.")</f>
        <v>Les gens continuent de jeter le ballon les uns aux autres pendant que la caméra capture le jeu en cours.</v>
      </c>
    </row>
    <row r="33592">
      <c r="A33592" s="4" t="s">
        <v>42272</v>
      </c>
      <c r="B33592" s="4" t="s">
        <v>42273</v>
      </c>
      <c r="C33592" s="5" t="str">
        <f>IFERROR(__xludf.DUMMYFUNCTION("GOOGLETRANSLATE(B33592,""en"",""fr"")"),"Trois artistes martiaux avec des ceintures noires font une démonstration pour les jeunes enfants.")</f>
        <v>Trois artistes martiaux avec des ceintures noires font une démonstration pour les jeunes enfants.</v>
      </c>
    </row>
    <row r="33593">
      <c r="A33593" s="4" t="s">
        <v>42272</v>
      </c>
      <c r="B33593" s="4" t="s">
        <v>42274</v>
      </c>
      <c r="C33593" s="5" t="str">
        <f>IFERROR(__xludf.DUMMYFUNCTION("GOOGLETRANSLATE(B33593,""en"",""fr"")"),"Ils sautent et se bousculent puis s'inclinent les uns contre les autres.")</f>
        <v>Ils sautent et se bousculent puis s'inclinent les uns contre les autres.</v>
      </c>
    </row>
    <row r="33594">
      <c r="A33594" s="4" t="s">
        <v>42275</v>
      </c>
      <c r="B33594" s="6" t="s">
        <v>42276</v>
      </c>
      <c r="C33594" s="5" t="str">
        <f>IFERROR(__xludf.DUMMYFUNCTION("GOOGLETRANSLATE(B33594,""en"",""fr"")"),"Un athlétique nage sur une planche à pagaie tandis qu'un autre homme prend derrière et l'assiste.")</f>
        <v>Un athlétique nage sur une planche à pagaie tandis qu'un autre homme prend derrière et l'assiste.</v>
      </c>
    </row>
    <row r="33595">
      <c r="A33595" s="4" t="s">
        <v>42275</v>
      </c>
      <c r="B33595" s="4" t="s">
        <v>42277</v>
      </c>
      <c r="C33595" s="5" t="str">
        <f>IFERROR(__xludf.DUMMYFUNCTION("GOOGLETRANSLATE(B33595,""en"",""fr"")"),"Il retourne ensuite l'homme en avant et l'homme montre comment vous retourner.")</f>
        <v>Il retourne ensuite l'homme en avant et l'homme montre comment vous retourner.</v>
      </c>
    </row>
    <row r="33596">
      <c r="A33596" s="4" t="s">
        <v>42275</v>
      </c>
      <c r="B33596" s="4" t="s">
        <v>42278</v>
      </c>
      <c r="C33596" s="5" t="str">
        <f>IFERROR(__xludf.DUMMYFUNCTION("GOOGLETRANSLATE(B33596,""en"",""fr"")"),"Ils le font plusieurs fois pour devenir plus à l'aise avec le mouvement.")</f>
        <v>Ils le font plusieurs fois pour devenir plus à l'aise avec le mouvement.</v>
      </c>
    </row>
    <row r="33597">
      <c r="A33597" s="4" t="s">
        <v>42279</v>
      </c>
      <c r="B33597" s="4" t="s">
        <v>42280</v>
      </c>
      <c r="C33597" s="5" t="str">
        <f>IFERROR(__xludf.DUMMYFUNCTION("GOOGLETRANSLATE(B33597,""en"",""fr"")"),"Il y a six à huit personnes qui naviguent dans un flux d'eau turbulent dans un radeau.")</f>
        <v>Il y a six à huit personnes qui naviguent dans un flux d'eau turbulent dans un radeau.</v>
      </c>
    </row>
    <row r="33598">
      <c r="A33598" s="4" t="s">
        <v>42279</v>
      </c>
      <c r="B33598" s="4" t="s">
        <v>42281</v>
      </c>
      <c r="C33598" s="5" t="str">
        <f>IFERROR(__xludf.DUMMYFUNCTION("GOOGLETRANSLATE(B33598,""en"",""fr"")"),"Ils sont tous vêtus de vitesses rouges et de casques jaunes.")</f>
        <v>Ils sont tous vêtus de vitesses rouges et de casques jaunes.</v>
      </c>
    </row>
    <row r="33599">
      <c r="A33599" s="4" t="s">
        <v>42279</v>
      </c>
      <c r="B33599" s="4" t="s">
        <v>42282</v>
      </c>
      <c r="C33599" s="5" t="str">
        <f>IFERROR(__xludf.DUMMYFUNCTION("GOOGLETRANSLATE(B33599,""en"",""fr"")"),"Ils utilisent les rames pour se déplacer dans les rapides.")</f>
        <v>Ils utilisent les rames pour se déplacer dans les rapides.</v>
      </c>
    </row>
    <row r="33600">
      <c r="A33600" s="4" t="s">
        <v>42279</v>
      </c>
      <c r="B33600" s="6" t="s">
        <v>42283</v>
      </c>
      <c r="C33600" s="5" t="str">
        <f>IFERROR(__xludf.DUMMYFUNCTION("GOOGLETRANSLATE(B33600,""en"",""fr"")"),"Ils s'efforcent de rester à flot dans l'eau turbulente alors que le bateau devient cahoteux naviguant dans les rapides.")</f>
        <v>Ils s'efforcent de rester à flot dans l'eau turbulente alors que le bateau devient cahoteux naviguant dans les rapides.</v>
      </c>
    </row>
    <row r="33601">
      <c r="A33601" s="4" t="s">
        <v>42279</v>
      </c>
      <c r="B33601" s="4" t="s">
        <v>42284</v>
      </c>
      <c r="C33601" s="5" t="str">
        <f>IFERROR(__xludf.DUMMYFUNCTION("GOOGLETRANSLATE(B33601,""en"",""fr"")"),"Alors qu'ils naviguent, ils rencontrent un autre groupe de chevrons dans les mêmes rapides.")</f>
        <v>Alors qu'ils naviguent, ils rencontrent un autre groupe de chevrons dans les mêmes rapides.</v>
      </c>
    </row>
    <row r="33602">
      <c r="A33602" s="4" t="s">
        <v>42279</v>
      </c>
      <c r="B33602" s="4" t="s">
        <v>42285</v>
      </c>
      <c r="C33602" s="5" t="str">
        <f>IFERROR(__xludf.DUMMYFUNCTION("GOOGLETRANSLATE(B33602,""en"",""fr"")"),"Ils continuent leur voyage à travers l'eau agitée des rapides.")</f>
        <v>Ils continuent leur voyage à travers l'eau agitée des rapides.</v>
      </c>
    </row>
    <row r="33603">
      <c r="A33603" s="4" t="s">
        <v>42286</v>
      </c>
      <c r="B33603" s="4" t="s">
        <v>42287</v>
      </c>
      <c r="C33603" s="5" t="str">
        <f>IFERROR(__xludf.DUMMYFUNCTION("GOOGLETRANSLATE(B33603,""en"",""fr"")"),"Un groupe de coureurs coure dans un marathon.")</f>
        <v>Un groupe de coureurs coure dans un marathon.</v>
      </c>
    </row>
    <row r="33604">
      <c r="A33604" s="4" t="s">
        <v>42286</v>
      </c>
      <c r="B33604" s="4" t="s">
        <v>42288</v>
      </c>
      <c r="C33604" s="5" t="str">
        <f>IFERROR(__xludf.DUMMYFUNCTION("GOOGLETRANSLATE(B33604,""en"",""fr"")"),"Un homme five une femme dans une foule.")</f>
        <v>Un homme five une femme dans une foule.</v>
      </c>
    </row>
    <row r="33605">
      <c r="A33605" s="4" t="s">
        <v>42286</v>
      </c>
      <c r="B33605" s="4" t="s">
        <v>42289</v>
      </c>
      <c r="C33605" s="5" t="str">
        <f>IFERROR(__xludf.DUMMYFUNCTION("GOOGLETRANSLATE(B33605,""en"",""fr"")"),"La foule autour d'eux applaudie.")</f>
        <v>La foule autour d'eux applaudie.</v>
      </c>
    </row>
    <row r="33606">
      <c r="A33606" s="4" t="s">
        <v>42286</v>
      </c>
      <c r="B33606" s="4" t="s">
        <v>42290</v>
      </c>
      <c r="C33606" s="5" t="str">
        <f>IFERROR(__xludf.DUMMYFUNCTION("GOOGLETRANSLATE(B33606,""en"",""fr"")"),"Une femme en chapeau blanc commence à marcher étrangement.")</f>
        <v>Une femme en chapeau blanc commence à marcher étrangement.</v>
      </c>
    </row>
    <row r="33607">
      <c r="A33607" s="4" t="s">
        <v>42286</v>
      </c>
      <c r="B33607" s="4" t="s">
        <v>42291</v>
      </c>
      <c r="C33607" s="5" t="str">
        <f>IFERROR(__xludf.DUMMYFUNCTION("GOOGLETRANSLATE(B33607,""en"",""fr"")"),"Une autre femme en chapeau blanc tombe au sol.")</f>
        <v>Une autre femme en chapeau blanc tombe au sol.</v>
      </c>
    </row>
    <row r="33608">
      <c r="A33608" s="4" t="s">
        <v>42286</v>
      </c>
      <c r="B33608" s="4" t="s">
        <v>42292</v>
      </c>
      <c r="C33608" s="5" t="str">
        <f>IFERROR(__xludf.DUMMYFUNCTION("GOOGLETRANSLATE(B33608,""en"",""fr"")"),"L'autre femme du chapeau tombe également.")</f>
        <v>L'autre femme du chapeau tombe également.</v>
      </c>
    </row>
    <row r="33609">
      <c r="A33609" s="4" t="s">
        <v>42286</v>
      </c>
      <c r="B33609" s="4" t="s">
        <v>42293</v>
      </c>
      <c r="C33609" s="5" t="str">
        <f>IFERROR(__xludf.DUMMYFUNCTION("GOOGLETRANSLATE(B33609,""en"",""fr"")"),"Ils essaient tous les deux de se lever mais ils continuent de tomber.")</f>
        <v>Ils essaient tous les deux de se lever mais ils continuent de tomber.</v>
      </c>
    </row>
    <row r="33610">
      <c r="A33610" s="4" t="s">
        <v>42286</v>
      </c>
      <c r="B33610" s="4" t="s">
        <v>42294</v>
      </c>
      <c r="C33610" s="5" t="str">
        <f>IFERROR(__xludf.DUMMYFUNCTION("GOOGLETRANSLATE(B33610,""en"",""fr"")"),"L'une des femmes commence à ramper jusqu'à la ligne d'arrivée.")</f>
        <v>L'une des femmes commence à ramper jusqu'à la ligne d'arrivée.</v>
      </c>
    </row>
    <row r="33611">
      <c r="A33611" s="4" t="s">
        <v>42286</v>
      </c>
      <c r="B33611" s="4" t="s">
        <v>42295</v>
      </c>
      <c r="C33611" s="5" t="str">
        <f>IFERROR(__xludf.DUMMYFUNCTION("GOOGLETRANSLATE(B33611,""en"",""fr"")"),"L'autre femme la suit.")</f>
        <v>L'autre femme la suit.</v>
      </c>
    </row>
    <row r="33612">
      <c r="A33612" s="4" t="s">
        <v>42286</v>
      </c>
      <c r="B33612" s="4" t="s">
        <v>42296</v>
      </c>
      <c r="C33612" s="5" t="str">
        <f>IFERROR(__xludf.DUMMYFUNCTION("GOOGLETRANSLATE(B33612,""en"",""fr"")"),"Un homme soulève l'une des femmes et la serre dans ses bras.")</f>
        <v>Un homme soulève l'une des femmes et la serre dans ses bras.</v>
      </c>
    </row>
    <row r="33613">
      <c r="A33613" s="4" t="s">
        <v>42297</v>
      </c>
      <c r="B33613" s="4" t="s">
        <v>42298</v>
      </c>
      <c r="C33613" s="5" t="str">
        <f>IFERROR(__xludf.DUMMYFUNCTION("GOOGLETRANSLATE(B33613,""en"",""fr"")"),"Une personne est vue allongée sur un bowling sur le sol.")</f>
        <v>Une personne est vue allongée sur un bowling sur le sol.</v>
      </c>
    </row>
    <row r="33614">
      <c r="A33614" s="4" t="s">
        <v>42297</v>
      </c>
      <c r="B33614" s="4" t="s">
        <v>42299</v>
      </c>
      <c r="C33614" s="5" t="str">
        <f>IFERROR(__xludf.DUMMYFUNCTION("GOOGLETRANSLATE(B33614,""en"",""fr"")"),"L'homme commence alors à danser sur le sol.")</f>
        <v>L'homme commence alors à danser sur le sol.</v>
      </c>
    </row>
    <row r="33615">
      <c r="A33615" s="4" t="s">
        <v>42297</v>
      </c>
      <c r="B33615" s="4" t="s">
        <v>42300</v>
      </c>
      <c r="C33615" s="5" t="str">
        <f>IFERROR(__xludf.DUMMYFUNCTION("GOOGLETRANSLATE(B33615,""en"",""fr"")"),"L'homme kics une balle dans une voie et les gens célèbrent.")</f>
        <v>L'homme kics une balle dans une voie et les gens célèbrent.</v>
      </c>
    </row>
    <row r="33616">
      <c r="A33616" s="4" t="s">
        <v>42301</v>
      </c>
      <c r="B33616" s="4" t="s">
        <v>42302</v>
      </c>
      <c r="C33616" s="5" t="str">
        <f>IFERROR(__xludf.DUMMYFUNCTION("GOOGLETRANSLATE(B33616,""en"",""fr"")"),"Un homme est vu debout devant une table de ping-pong et jette une balle au loin.")</f>
        <v>Un homme est vu debout devant une table de ping-pong et jette une balle au loin.</v>
      </c>
    </row>
    <row r="33617">
      <c r="A33617" s="4" t="s">
        <v>42301</v>
      </c>
      <c r="B33617" s="4" t="s">
        <v>42303</v>
      </c>
      <c r="C33617" s="5" t="str">
        <f>IFERROR(__xludf.DUMMYFUNCTION("GOOGLETRANSLATE(B33617,""en"",""fr"")"),"Un homme prend un verre et mène dans les deux jouant plus de bière.")</f>
        <v>Un homme prend un verre et mène dans les deux jouant plus de bière.</v>
      </c>
    </row>
    <row r="33618">
      <c r="A33618" s="4" t="s">
        <v>42301</v>
      </c>
      <c r="B33618" s="4" t="s">
        <v>42304</v>
      </c>
      <c r="C33618" s="5" t="str">
        <f>IFERROR(__xludf.DUMMYFUNCTION("GOOGLETRANSLATE(B33618,""en"",""fr"")"),"Les hommes jettent le ballon et quatrième les uns contre les autres tout en souriant à la caméra.")</f>
        <v>Les hommes jettent le ballon et quatrième les uns contre les autres tout en souriant à la caméra.</v>
      </c>
    </row>
    <row r="33619">
      <c r="A33619" s="4" t="s">
        <v>42305</v>
      </c>
      <c r="B33619" s="4" t="s">
        <v>42306</v>
      </c>
      <c r="C33619" s="5" t="str">
        <f>IFERROR(__xludf.DUMMYFUNCTION("GOOGLETRANSLATE(B33619,""en"",""fr"")"),"Les gens se tiennent sur un tapis coloré.")</f>
        <v>Les gens se tiennent sur un tapis coloré.</v>
      </c>
    </row>
    <row r="33620">
      <c r="A33620" s="4" t="s">
        <v>42305</v>
      </c>
      <c r="B33620" s="4" t="s">
        <v>42307</v>
      </c>
      <c r="C33620" s="5" t="str">
        <f>IFERROR(__xludf.DUMMYFUNCTION("GOOGLETRANSLATE(B33620,""en"",""fr"")"),"Une femme fait un mouvement de karaté.")</f>
        <v>Une femme fait un mouvement de karaté.</v>
      </c>
    </row>
    <row r="33621">
      <c r="A33621" s="4" t="s">
        <v>42305</v>
      </c>
      <c r="B33621" s="4" t="s">
        <v>42308</v>
      </c>
      <c r="C33621" s="5" t="str">
        <f>IFERROR(__xludf.DUMMYFUNCTION("GOOGLETRANSLATE(B33621,""en"",""fr"")"),"Un enfant debout derrière elle lève la main.")</f>
        <v>Un enfant debout derrière elle lève la main.</v>
      </c>
    </row>
    <row r="33622">
      <c r="A33622" s="4" t="s">
        <v>42309</v>
      </c>
      <c r="B33622" s="4" t="s">
        <v>42310</v>
      </c>
      <c r="C33622" s="5" t="str">
        <f>IFERROR(__xludf.DUMMYFUNCTION("GOOGLETRANSLATE(B33622,""en"",""fr"")"),"L'homme de la caméra capture une vue sur une maison de toit de chaume.")</f>
        <v>L'homme de la caméra capture une vue sur une maison de toit de chaume.</v>
      </c>
    </row>
    <row r="33623">
      <c r="A33623" s="4" t="s">
        <v>42309</v>
      </c>
      <c r="B33623" s="6" t="s">
        <v>42311</v>
      </c>
      <c r="C33623" s="5" t="str">
        <f>IFERROR(__xludf.DUMMYFUNCTION("GOOGLETRANSLATE(B33623,""en"",""fr"")"),"Une jeune fille dans un chemisier noir et une fille dans un débardeur blanc se tiennent dans une maison de toit de chaume en regardant deux femmes laver les vêtements de style philippin.")</f>
        <v>Une jeune fille dans un chemisier noir et une fille dans un débardeur blanc se tiennent dans une maison de toit de chaume en regardant deux femmes laver les vêtements de style philippin.</v>
      </c>
    </row>
    <row r="33624">
      <c r="A33624" s="4" t="s">
        <v>42309</v>
      </c>
      <c r="B33624" s="6" t="s">
        <v>42312</v>
      </c>
      <c r="C33624" s="5" t="str">
        <f>IFERROR(__xludf.DUMMYFUNCTION("GOOGLETRANSLATE(B33624,""en"",""fr"")"),"Une fille en chemisier rose et une fille dans un t-shirt blanc lavent des vêtements dans de grandes baignoires juste à l'extérieur de la maison de toit en chaume.")</f>
        <v>Une fille en chemisier rose et une fille dans un t-shirt blanc lavent des vêtements dans de grandes baignoires juste à l'extérieur de la maison de toit en chaume.</v>
      </c>
    </row>
    <row r="33625">
      <c r="A33625" s="4" t="s">
        <v>42309</v>
      </c>
      <c r="B33625" s="6" t="s">
        <v>42313</v>
      </c>
      <c r="C33625" s="5" t="str">
        <f>IFERROR(__xludf.DUMMYFUNCTION("GOOGLETRANSLATE(B33625,""en"",""fr"")"),"L'homme de la caméra pans devant la zone de lavage tandis que la fille du t-shirt blanc rince les vêtements.")</f>
        <v>L'homme de la caméra pans devant la zone de lavage tandis que la fille du t-shirt blanc rince les vêtements.</v>
      </c>
    </row>
    <row r="33626">
      <c r="A33626" s="4" t="s">
        <v>42314</v>
      </c>
      <c r="B33626" s="4" t="s">
        <v>42315</v>
      </c>
      <c r="C33626" s="5" t="str">
        <f>IFERROR(__xludf.DUMMYFUNCTION("GOOGLETRANSLATE(B33626,""en"",""fr"")"),"Une annonce pour les travaux de sol apparaît à l'écran.")</f>
        <v>Une annonce pour les travaux de sol apparaît à l'écran.</v>
      </c>
    </row>
    <row r="33627">
      <c r="A33627" s="4" t="s">
        <v>42314</v>
      </c>
      <c r="B33627" s="4" t="s">
        <v>42316</v>
      </c>
      <c r="C33627" s="5" t="str">
        <f>IFERROR(__xludf.DUMMYFUNCTION("GOOGLETRANSLATE(B33627,""en"",""fr"")"),"Une chambre d'amis est montrée, affichant les tapis sales.")</f>
        <v>Une chambre d'amis est montrée, affichant les tapis sales.</v>
      </c>
    </row>
    <row r="33628">
      <c r="A33628" s="4" t="s">
        <v>42314</v>
      </c>
      <c r="B33628" s="6" t="s">
        <v>42317</v>
      </c>
      <c r="C33628" s="5" t="str">
        <f>IFERROR(__xludf.DUMMYFUNCTION("GOOGLETRANSLATE(B33628,""en"",""fr"")"),"Les hommes sont présentés en remplacement et en réparation des planchers par des lattes en bois qui n'ont pas besoin de colle pour installer.")</f>
        <v>Les hommes sont présentés en remplacement et en réparation des planchers par des lattes en bois qui n'ont pas besoin de colle pour installer.</v>
      </c>
    </row>
    <row r="33629">
      <c r="A33629" s="4" t="s">
        <v>42314</v>
      </c>
      <c r="B33629" s="4" t="s">
        <v>42318</v>
      </c>
      <c r="C33629" s="5" t="str">
        <f>IFERROR(__xludf.DUMMYFUNCTION("GOOGLETRANSLATE(B33629,""en"",""fr"")"),"Les photos finales sont présentées sur les nouveaux planchers de bois franc dans la chambre d'amis.")</f>
        <v>Les photos finales sont présentées sur les nouveaux planchers de bois franc dans la chambre d'amis.</v>
      </c>
    </row>
    <row r="33630">
      <c r="A33630" s="4" t="s">
        <v>42319</v>
      </c>
      <c r="B33630" s="6" t="s">
        <v>42320</v>
      </c>
      <c r="C33630" s="5" t="str">
        <f>IFERROR(__xludf.DUMMYFUNCTION("GOOGLETRANSLATE(B33630,""en"",""fr"")"),"Une fille se tient dans un évier de cuisine et démontre la rinçage de sa bouche avec un rince-bouche de blanchiment de la crête.")</f>
        <v>Une fille se tient dans un évier de cuisine et démontre la rinçage de sa bouche avec un rince-bouche de blanchiment de la crête.</v>
      </c>
    </row>
    <row r="33631">
      <c r="A33631" s="4" t="s">
        <v>42319</v>
      </c>
      <c r="B33631" s="4" t="s">
        <v>42321</v>
      </c>
      <c r="C33631" s="5" t="str">
        <f>IFERROR(__xludf.DUMMYFUNCTION("GOOGLETRANSLATE(B33631,""en"",""fr"")"),"Une fille se tient près d'un évier qui parle et utilise des gestes.")</f>
        <v>Une fille se tient près d'un évier qui parle et utilise des gestes.</v>
      </c>
    </row>
    <row r="33632">
      <c r="A33632" s="4" t="s">
        <v>42319</v>
      </c>
      <c r="B33632" s="4" t="s">
        <v>42322</v>
      </c>
      <c r="C33632" s="5" t="str">
        <f>IFERROR(__xludf.DUMMYFUNCTION("GOOGLETRANSLATE(B33632,""en"",""fr"")"),"La fille ramasse ensuite une bouteille de Whiting Wash Wash et rince la bouche pendant 60 secondes.")</f>
        <v>La fille ramasse ensuite une bouteille de Whiting Wash Wash et rince la bouche pendant 60 secondes.</v>
      </c>
    </row>
    <row r="33633">
      <c r="A33633" s="4" t="s">
        <v>42319</v>
      </c>
      <c r="B33633" s="4" t="s">
        <v>42323</v>
      </c>
      <c r="C33633" s="5" t="str">
        <f>IFERROR(__xludf.DUMMYFUNCTION("GOOGLETRANSLATE(B33633,""en"",""fr"")"),"La femme crache ensuite le rinçage dans l'évier et reprend à nouveau à la caméra.")</f>
        <v>La femme crache ensuite le rinçage dans l'évier et reprend à nouveau à la caméra.</v>
      </c>
    </row>
    <row r="33634">
      <c r="A33634" s="4" t="s">
        <v>42324</v>
      </c>
      <c r="B33634" s="4" t="s">
        <v>42325</v>
      </c>
      <c r="C33634" s="5" t="str">
        <f>IFERROR(__xludf.DUMMYFUNCTION("GOOGLETRANSLATE(B33634,""en"",""fr"")"),"Une femme se tient avec un enfant assis à côté d'un comptoir.")</f>
        <v>Une femme se tient avec un enfant assis à côté d'un comptoir.</v>
      </c>
    </row>
    <row r="33635">
      <c r="A33635" s="4" t="s">
        <v>42324</v>
      </c>
      <c r="B33635" s="4" t="s">
        <v>42326</v>
      </c>
      <c r="C33635" s="5" t="str">
        <f>IFERROR(__xludf.DUMMYFUNCTION("GOOGLETRANSLATE(B33635,""en"",""fr"")"),"La femme applique une poudre sèche à l'arrière des cheveux des filles et se brosse.")</f>
        <v>La femme applique une poudre sèche à l'arrière des cheveux des filles et se brosse.</v>
      </c>
    </row>
    <row r="33636">
      <c r="A33636" s="4" t="s">
        <v>42324</v>
      </c>
      <c r="B33636" s="4" t="s">
        <v>42327</v>
      </c>
      <c r="C33636" s="5" t="str">
        <f>IFERROR(__xludf.DUMMYFUNCTION("GOOGLETRANSLATE(B33636,""en"",""fr"")"),"La femme obtient un sèche-linge et l'utilise pendant qu'elle brosse les cheveux des filles pour les redresser.")</f>
        <v>La femme obtient un sèche-linge et l'utilise pendant qu'elle brosse les cheveux des filles pour les redresser.</v>
      </c>
    </row>
    <row r="33637">
      <c r="A33637" s="4" t="s">
        <v>42328</v>
      </c>
      <c r="B33637" s="4" t="s">
        <v>42329</v>
      </c>
      <c r="C33637" s="5" t="str">
        <f>IFERROR(__xludf.DUMMYFUNCTION("GOOGLETRANSLATE(B33637,""en"",""fr"")"),"L'homme se tient devant un miroir répandant de la crème sur son visage.")</f>
        <v>L'homme se tient devant un miroir répandant de la crème sur son visage.</v>
      </c>
    </row>
    <row r="33638">
      <c r="A33638" s="4" t="s">
        <v>42328</v>
      </c>
      <c r="B33638" s="4" t="s">
        <v>42330</v>
      </c>
      <c r="C33638" s="5" t="str">
        <f>IFERROR(__xludf.DUMMYFUNCTION("GOOGLETRANSLATE(B33638,""en"",""fr"")"),"L'homme s'agenouille et se lave son visage.")</f>
        <v>L'homme s'agenouille et se lave son visage.</v>
      </c>
    </row>
    <row r="33639">
      <c r="A33639" s="4" t="s">
        <v>42328</v>
      </c>
      <c r="B33639" s="4" t="s">
        <v>42331</v>
      </c>
      <c r="C33639" s="5" t="str">
        <f>IFERROR(__xludf.DUMMYFUNCTION("GOOGLETRANSLATE(B33639,""en"",""fr"")"),"L'homme attrape une serviette verte et essuya son visage.")</f>
        <v>L'homme attrape une serviette verte et essuya son visage.</v>
      </c>
    </row>
    <row r="33640">
      <c r="A33640" s="4" t="s">
        <v>42332</v>
      </c>
      <c r="B33640" s="4" t="s">
        <v>42333</v>
      </c>
      <c r="C33640" s="5" t="str">
        <f>IFERROR(__xludf.DUMMYFUNCTION("GOOGLETRANSLATE(B33640,""en"",""fr"")"),"Une femme ajuste sa machine d'exercice.")</f>
        <v>Une femme ajuste sa machine d'exercice.</v>
      </c>
    </row>
    <row r="33641">
      <c r="A33641" s="4" t="s">
        <v>42332</v>
      </c>
      <c r="B33641" s="4" t="s">
        <v>42334</v>
      </c>
      <c r="C33641" s="5" t="str">
        <f>IFERROR(__xludf.DUMMYFUNCTION("GOOGLETRANSLATE(B33641,""en"",""fr"")"),"Elle ajuste les boutons et pousse le siège vers le haut.")</f>
        <v>Elle ajuste les boutons et pousse le siège vers le haut.</v>
      </c>
    </row>
    <row r="33642">
      <c r="A33642" s="4" t="s">
        <v>42332</v>
      </c>
      <c r="B33642" s="4" t="s">
        <v>42335</v>
      </c>
      <c r="C33642" s="5" t="str">
        <f>IFERROR(__xludf.DUMMYFUNCTION("GOOGLETRANSLATE(B33642,""en"",""fr"")"),"Elle s'assoit ensuite sur le siège et place ses pieds dans les pédales.")</f>
        <v>Elle s'assoit ensuite sur le siège et place ses pieds dans les pédales.</v>
      </c>
    </row>
    <row r="33643">
      <c r="A33643" s="4" t="s">
        <v>42332</v>
      </c>
      <c r="B33643" s="4" t="s">
        <v>42336</v>
      </c>
      <c r="C33643" s="5" t="str">
        <f>IFERROR(__xludf.DUMMYFUNCTION("GOOGLETRANSLATE(B33643,""en"",""fr"")"),"Elle commence à pédaler lentement puis rapidement.")</f>
        <v>Elle commence à pédaler lentement puis rapidement.</v>
      </c>
    </row>
    <row r="33644">
      <c r="A33644" s="4" t="s">
        <v>42337</v>
      </c>
      <c r="B33644" s="4" t="s">
        <v>1251</v>
      </c>
      <c r="C33644" s="5" t="str">
        <f>IFERROR(__xludf.DUMMYFUNCTION("GOOGLETRANSLATE(B33644,""en"",""fr"")"),"Les crédits du clip sont affichés.")</f>
        <v>Les crédits du clip sont affichés.</v>
      </c>
    </row>
    <row r="33645">
      <c r="A33645" s="4" t="s">
        <v>42337</v>
      </c>
      <c r="B33645" s="4" t="s">
        <v>42338</v>
      </c>
      <c r="C33645" s="5" t="str">
        <f>IFERROR(__xludf.DUMMYFUNCTION("GOOGLETRANSLATE(B33645,""en"",""fr"")"),"Un entraîneur instruit les joueurs sur un terrain de basket.")</f>
        <v>Un entraîneur instruit les joueurs sur un terrain de basket.</v>
      </c>
    </row>
    <row r="33646">
      <c r="A33646" s="4" t="s">
        <v>42337</v>
      </c>
      <c r="B33646" s="4" t="s">
        <v>573</v>
      </c>
      <c r="C33646" s="5" t="str">
        <f>IFERROR(__xludf.DUMMYFUNCTION("GOOGLETRANSLATE(B33646,""en"",""fr"")"),"Les crédits de la vidéo sont affichés.")</f>
        <v>Les crédits de la vidéo sont affichés.</v>
      </c>
    </row>
    <row r="33647">
      <c r="A33647" s="4" t="s">
        <v>42339</v>
      </c>
      <c r="B33647" s="4" t="s">
        <v>42340</v>
      </c>
      <c r="C33647" s="5" t="str">
        <f>IFERROR(__xludf.DUMMYFUNCTION("GOOGLETRANSLATE(B33647,""en"",""fr"")"),"Deux femmes se tiennent sur une lutte de bras de gym.")</f>
        <v>Deux femmes se tiennent sur une lutte de bras de gym.</v>
      </c>
    </row>
    <row r="33648">
      <c r="A33648" s="4" t="s">
        <v>42339</v>
      </c>
      <c r="B33648" s="4" t="s">
        <v>42341</v>
      </c>
      <c r="C33648" s="5" t="str">
        <f>IFERROR(__xludf.DUMMYFUNCTION("GOOGLETRANSLATE(B33648,""en"",""fr"")"),"Dans les antécédents, les gens se dressent le gymnase en faisant de l'exercice.")</f>
        <v>Dans les antécédents, les gens se dressent le gymnase en faisant de l'exercice.</v>
      </c>
    </row>
    <row r="33649">
      <c r="A33649" s="4" t="s">
        <v>42339</v>
      </c>
      <c r="B33649" s="4" t="s">
        <v>42342</v>
      </c>
      <c r="C33649" s="5" t="str">
        <f>IFERROR(__xludf.DUMMYFUNCTION("GOOGLETRANSLATE(B33649,""en"",""fr"")"),"Des femmes fortes sont assises dans un bras de chaise de lutte.")</f>
        <v>Des femmes fortes sont assises dans un bras de chaise de lutte.</v>
      </c>
    </row>
    <row r="33650">
      <c r="A33650" s="4" t="s">
        <v>42343</v>
      </c>
      <c r="B33650" s="6" t="s">
        <v>42344</v>
      </c>
      <c r="C33650" s="5" t="str">
        <f>IFERROR(__xludf.DUMMYFUNCTION("GOOGLETRANSLATE(B33650,""en"",""fr"")"),"Un homme se rend dans l'océan et surfait sur une planche de surf, faisant des vagues, avant de quitter la plage avec sa planche de surf.")</f>
        <v>Un homme se rend dans l'océan et surfait sur une planche de surf, faisant des vagues, avant de quitter la plage avec sa planche de surf.</v>
      </c>
    </row>
    <row r="33651">
      <c r="A33651" s="4" t="s">
        <v>42343</v>
      </c>
      <c r="B33651" s="4" t="s">
        <v>42345</v>
      </c>
      <c r="C33651" s="5" t="str">
        <f>IFERROR(__xludf.DUMMYFUNCTION("GOOGLETRANSLATE(B33651,""en"",""fr"")"),"Un homme monte dans son camion, met sa planche de surf à l'arrière de son camion et conduit.")</f>
        <v>Un homme monte dans son camion, met sa planche de surf à l'arrière de son camion et conduit.</v>
      </c>
    </row>
    <row r="33652">
      <c r="A33652" s="4" t="s">
        <v>42343</v>
      </c>
      <c r="B33652" s="6" t="s">
        <v>42346</v>
      </c>
      <c r="C33652" s="5" t="str">
        <f>IFERROR(__xludf.DUMMYFUNCTION("GOOGLETRANSLATE(B33652,""en"",""fr"")"),"L'homme arrive à la plage, se transforme en un costume WETS et commence à surfer sur une planche de surf dans l'océan, à monter des vagues.")</f>
        <v>L'homme arrive à la plage, se transforme en un costume WETS et commence à surfer sur une planche de surf dans l'océan, à monter des vagues.</v>
      </c>
    </row>
    <row r="33653">
      <c r="A33653" s="4" t="s">
        <v>42343</v>
      </c>
      <c r="B33653" s="4" t="s">
        <v>42347</v>
      </c>
      <c r="C33653" s="5" t="str">
        <f>IFERROR(__xludf.DUMMYFUNCTION("GOOGLETRANSLATE(B33653,""en"",""fr"")"),"L'homme quitte alors la plage, dans sa combinaison, avec sa planche de surf sous son bras.")</f>
        <v>L'homme quitte alors la plage, dans sa combinaison, avec sa planche de surf sous son bras.</v>
      </c>
    </row>
    <row r="33654">
      <c r="A33654" s="4" t="s">
        <v>42348</v>
      </c>
      <c r="B33654" s="4" t="s">
        <v>42349</v>
      </c>
      <c r="C33654" s="5" t="str">
        <f>IFERROR(__xludf.DUMMYFUNCTION("GOOGLETRANSLATE(B33654,""en"",""fr"")"),"Un homme est accroupi à côté d'une fille sur la plage.")</f>
        <v>Un homme est accroupi à côté d'une fille sur la plage.</v>
      </c>
    </row>
    <row r="33655">
      <c r="A33655" s="4" t="s">
        <v>42348</v>
      </c>
      <c r="B33655" s="4" t="s">
        <v>42350</v>
      </c>
      <c r="C33655" s="5" t="str">
        <f>IFERROR(__xludf.DUMMYFUNCTION("GOOGLETRANSLATE(B33655,""en"",""fr"")"),"Ils mettent du sable dans une pile.")</f>
        <v>Ils mettent du sable dans une pile.</v>
      </c>
    </row>
    <row r="33656">
      <c r="A33656" s="4" t="s">
        <v>42348</v>
      </c>
      <c r="B33656" s="4" t="s">
        <v>42351</v>
      </c>
      <c r="C33656" s="5" t="str">
        <f>IFERROR(__xludf.DUMMYFUNCTION("GOOGLETRANSLATE(B33656,""en"",""fr"")"),"Ils essaient de construire un château de sable.")</f>
        <v>Ils essaient de construire un château de sable.</v>
      </c>
    </row>
    <row r="33657">
      <c r="A33657" s="4" t="s">
        <v>42352</v>
      </c>
      <c r="B33657" s="4" t="s">
        <v>42353</v>
      </c>
      <c r="C33657" s="5" t="str">
        <f>IFERROR(__xludf.DUMMYFUNCTION("GOOGLETRANSLATE(B33657,""en"",""fr"")"),"Un public est assis dans les tribunes en regardant un match sur le terrain.")</f>
        <v>Un public est assis dans les tribunes en regardant un match sur le terrain.</v>
      </c>
    </row>
    <row r="33658">
      <c r="A33658" s="4" t="s">
        <v>42352</v>
      </c>
      <c r="B33658" s="4" t="s">
        <v>42354</v>
      </c>
      <c r="C33658" s="5" t="str">
        <f>IFERROR(__xludf.DUMMYFUNCTION("GOOGLETRANSLATE(B33658,""en"",""fr"")"),"Ces coureurs montent sur leurs chevaux et commencent à essayer de marquer pour leur équipe.")</f>
        <v>Ces coureurs montent sur leurs chevaux et commencent à essayer de marquer pour leur équipe.</v>
      </c>
    </row>
    <row r="33659">
      <c r="A33659" s="4" t="s">
        <v>42352</v>
      </c>
      <c r="B33659" s="4" t="s">
        <v>42355</v>
      </c>
      <c r="C33659" s="5" t="str">
        <f>IFERROR(__xludf.DUMMYFUNCTION("GOOGLETRANSLATE(B33659,""en"",""fr"")"),"Quelqu'un en fait et l'un des groupes du public applaudisse.")</f>
        <v>Quelqu'un en fait et l'un des groupes du public applaudisse.</v>
      </c>
    </row>
    <row r="33660">
      <c r="A33660" s="4" t="s">
        <v>42352</v>
      </c>
      <c r="B33660" s="4" t="s">
        <v>42356</v>
      </c>
      <c r="C33660" s="5" t="str">
        <f>IFERROR(__xludf.DUMMYFUNCTION("GOOGLETRANSLATE(B33660,""en"",""fr"")"),"Lorsque le jeu est au-dessus des coureurs, tous se serrent la main.")</f>
        <v>Lorsque le jeu est au-dessus des coureurs, tous se serrent la main.</v>
      </c>
    </row>
    <row r="33661">
      <c r="A33661" s="4" t="s">
        <v>42357</v>
      </c>
      <c r="B33661" s="4" t="s">
        <v>42358</v>
      </c>
      <c r="C33661" s="5" t="str">
        <f>IFERROR(__xludf.DUMMYFUNCTION("GOOGLETRANSLATE(B33661,""en"",""fr"")"),"Un homme est vu en utilisant une grande ponceuse contre un mur déplaçant la machine tout le long du mur.")</f>
        <v>Un homme est vu en utilisant une grande ponceuse contre un mur déplaçant la machine tout le long du mur.</v>
      </c>
    </row>
    <row r="33662">
      <c r="A33662" s="4" t="s">
        <v>42357</v>
      </c>
      <c r="B33662" s="4" t="s">
        <v>42359</v>
      </c>
      <c r="C33662" s="5" t="str">
        <f>IFERROR(__xludf.DUMMYFUNCTION("GOOGLETRANSLATE(B33662,""en"",""fr"")"),"L'homme continue de poncer le mur et se termine avec lui le gardant stable.")</f>
        <v>L'homme continue de poncer le mur et se termine avec lui le gardant stable.</v>
      </c>
    </row>
    <row r="33663">
      <c r="A33663" s="4" t="s">
        <v>42360</v>
      </c>
      <c r="B33663" s="4" t="s">
        <v>42361</v>
      </c>
      <c r="C33663" s="5" t="str">
        <f>IFERROR(__xludf.DUMMYFUNCTION("GOOGLETRANSLATE(B33663,""en"",""fr"")"),"Divers tirs sont montrés d'une personne de près en train de faire et de rire à la caméra.")</f>
        <v>Divers tirs sont montrés d'une personne de près en train de faire et de rire à la caméra.</v>
      </c>
    </row>
    <row r="33664">
      <c r="A33664" s="4" t="s">
        <v>42360</v>
      </c>
      <c r="B33664" s="6" t="s">
        <v>42362</v>
      </c>
      <c r="C33664" s="5" t="str">
        <f>IFERROR(__xludf.DUMMYFUNCTION("GOOGLETRANSLATE(B33664,""en"",""fr"")"),"Divers objets sont ensuite montrés étroitement à la caméra et la personne verse du liquide dans un boîtier de contact.")</f>
        <v>Divers objets sont ensuite montrés étroitement à la caméra et la personne verse du liquide dans un boîtier de contact.</v>
      </c>
    </row>
    <row r="33665">
      <c r="A33665" s="4" t="s">
        <v>42360</v>
      </c>
      <c r="B33665" s="6" t="s">
        <v>42363</v>
      </c>
      <c r="C33665" s="5" t="str">
        <f>IFERROR(__xludf.DUMMYFUNCTION("GOOGLETRANSLATE(B33665,""en"",""fr"")"),"Il mélange ensuite les liquides avec les contacts et les met lentement dans ses yeux tout en regardant la caméra.")</f>
        <v>Il mélange ensuite les liquides avec les contacts et les met lentement dans ses yeux tout en regardant la caméra.</v>
      </c>
    </row>
    <row r="33666">
      <c r="A33666" s="4" t="s">
        <v>42360</v>
      </c>
      <c r="B33666" s="4" t="s">
        <v>42364</v>
      </c>
      <c r="C33666" s="5" t="str">
        <f>IFERROR(__xludf.DUMMYFUNCTION("GOOGLETRANSLATE(B33666,""en"",""fr"")"),"Il prend ensuite ses mains et sort les contacts.")</f>
        <v>Il prend ensuite ses mains et sort les contacts.</v>
      </c>
    </row>
    <row r="33667">
      <c r="A33667" s="4" t="s">
        <v>42365</v>
      </c>
      <c r="B33667" s="4" t="s">
        <v>42366</v>
      </c>
      <c r="C33667" s="5" t="str">
        <f>IFERROR(__xludf.DUMMYFUNCTION("GOOGLETRANSLATE(B33667,""en"",""fr"")"),"On voit les mains d'une personne jouer dans la saleté tout en déplaçant ses mains tout autour du sol.")</f>
        <v>On voit les mains d'une personne jouer dans la saleté tout en déplaçant ses mains tout autour du sol.</v>
      </c>
    </row>
    <row r="33668">
      <c r="A33668" s="4" t="s">
        <v>42365</v>
      </c>
      <c r="B33668" s="4" t="s">
        <v>42367</v>
      </c>
      <c r="C33668" s="5" t="str">
        <f>IFERROR(__xludf.DUMMYFUNCTION("GOOGLETRANSLATE(B33668,""en"",""fr"")"),"La personne continue de jouer dans le sol pendant que la caméra regarde ses mouvements de main.")</f>
        <v>La personne continue de jouer dans le sol pendant que la caméra regarde ses mouvements de main.</v>
      </c>
    </row>
    <row r="33669">
      <c r="A33669" s="4" t="s">
        <v>42368</v>
      </c>
      <c r="B33669" s="4" t="s">
        <v>42369</v>
      </c>
      <c r="C33669" s="5" t="str">
        <f>IFERROR(__xludf.DUMMYFUNCTION("GOOGLETRANSLATE(B33669,""en"",""fr"")"),"Un groupe de personnes est rassemblé dans un parc en plein air.")</f>
        <v>Un groupe de personnes est rassemblé dans un parc en plein air.</v>
      </c>
    </row>
    <row r="33670">
      <c r="A33670" s="4" t="s">
        <v>42368</v>
      </c>
      <c r="B33670" s="4" t="s">
        <v>42370</v>
      </c>
      <c r="C33670" s="5" t="str">
        <f>IFERROR(__xludf.DUMMYFUNCTION("GOOGLETRANSLATE(B33670,""en"",""fr"")"),"Ils sont habillés et entrent dans un radeau.")</f>
        <v>Ils sont habillés et entrent dans un radeau.</v>
      </c>
    </row>
    <row r="33671">
      <c r="A33671" s="4" t="s">
        <v>42368</v>
      </c>
      <c r="B33671" s="4" t="s">
        <v>42371</v>
      </c>
      <c r="C33671" s="5" t="str">
        <f>IFERROR(__xludf.DUMMYFUNCTION("GOOGLETRANSLATE(B33671,""en"",""fr"")"),"Ils se radelaient ensemble sur une rivière.")</f>
        <v>Ils se radelaient ensemble sur une rivière.</v>
      </c>
    </row>
    <row r="33672">
      <c r="A33672" s="4" t="s">
        <v>42372</v>
      </c>
      <c r="B33672" s="4" t="s">
        <v>32663</v>
      </c>
      <c r="C33672" s="5" t="str">
        <f>IFERROR(__xludf.DUMMYFUNCTION("GOOGLETRANSLATE(B33672,""en"",""fr"")"),"Les gens jouent au football dans une arène intérieure.")</f>
        <v>Les gens jouent au football dans une arène intérieure.</v>
      </c>
    </row>
    <row r="33673">
      <c r="A33673" s="4" t="s">
        <v>42372</v>
      </c>
      <c r="B33673" s="4" t="s">
        <v>42373</v>
      </c>
      <c r="C33673" s="5" t="str">
        <f>IFERROR(__xludf.DUMMYFUNCTION("GOOGLETRANSLATE(B33673,""en"",""fr"")"),"Un homme est assis devant un but bloquant les balles.")</f>
        <v>Un homme est assis devant un but bloquant les balles.</v>
      </c>
    </row>
    <row r="33674">
      <c r="A33674" s="4" t="s">
        <v>42372</v>
      </c>
      <c r="B33674" s="4" t="s">
        <v>42374</v>
      </c>
      <c r="C33674" s="5" t="str">
        <f>IFERROR(__xludf.DUMMYFUNCTION("GOOGLETRANSLATE(B33674,""en"",""fr"")"),"Les gens sont dans les tribunes qui regardent le match.")</f>
        <v>Les gens sont dans les tribunes qui regardent le match.</v>
      </c>
    </row>
    <row r="33675">
      <c r="A33675" s="4" t="s">
        <v>42375</v>
      </c>
      <c r="B33675" s="4" t="s">
        <v>42376</v>
      </c>
      <c r="C33675" s="5" t="str">
        <f>IFERROR(__xludf.DUMMYFUNCTION("GOOGLETRANSLATE(B33675,""en"",""fr"")"),"Un jeune garçon et une fille s'assoient côte à côte.")</f>
        <v>Un jeune garçon et une fille s'assoient côte à côte.</v>
      </c>
    </row>
    <row r="33676">
      <c r="A33676" s="4" t="s">
        <v>42375</v>
      </c>
      <c r="B33676" s="4" t="s">
        <v>42377</v>
      </c>
      <c r="C33676" s="5" t="str">
        <f>IFERROR(__xludf.DUMMYFUNCTION("GOOGLETRANSLATE(B33676,""en"",""fr"")"),"Ils sont nourris de crème glacée.")</f>
        <v>Ils sont nourris de crème glacée.</v>
      </c>
    </row>
    <row r="33677">
      <c r="A33677" s="4" t="s">
        <v>42375</v>
      </c>
      <c r="B33677" s="4" t="s">
        <v>42378</v>
      </c>
      <c r="C33677" s="5" t="str">
        <f>IFERROR(__xludf.DUMMYFUNCTION("GOOGLETRANSLATE(B33677,""en"",""fr"")"),"La fille essaie de manger la glace des garçons.")</f>
        <v>La fille essaie de manger la glace des garçons.</v>
      </c>
    </row>
    <row r="33678">
      <c r="A33678" s="4" t="s">
        <v>42375</v>
      </c>
      <c r="B33678" s="4" t="s">
        <v>42379</v>
      </c>
      <c r="C33678" s="5" t="str">
        <f>IFERROR(__xludf.DUMMYFUNCTION("GOOGLETRANSLATE(B33678,""en"",""fr"")"),"La fille rit à la fin.")</f>
        <v>La fille rit à la fin.</v>
      </c>
    </row>
    <row r="33679">
      <c r="A33679" s="4" t="s">
        <v>42380</v>
      </c>
      <c r="B33679" s="4" t="s">
        <v>42381</v>
      </c>
      <c r="C33679" s="5" t="str">
        <f>IFERROR(__xludf.DUMMYFUNCTION("GOOGLETRANSLATE(B33679,""en"",""fr"")"),"Quelqu'un dort sur un canapé blanc.")</f>
        <v>Quelqu'un dort sur un canapé blanc.</v>
      </c>
    </row>
    <row r="33680">
      <c r="A33680" s="4" t="s">
        <v>42380</v>
      </c>
      <c r="B33680" s="4" t="s">
        <v>42382</v>
      </c>
      <c r="C33680" s="5" t="str">
        <f>IFERROR(__xludf.DUMMYFUNCTION("GOOGLETRANSLATE(B33680,""en"",""fr"")"),"Ils se lèvent et font des craquement sur le sol.")</f>
        <v>Ils se lèvent et font des craquement sur le sol.</v>
      </c>
    </row>
    <row r="33681">
      <c r="A33681" s="4" t="s">
        <v>42380</v>
      </c>
      <c r="B33681" s="4" t="s">
        <v>42383</v>
      </c>
      <c r="C33681" s="5" t="str">
        <f>IFERROR(__xludf.DUMMYFUNCTION("GOOGLETRANSLATE(B33681,""en"",""fr"")"),"Ils se lèvent et sortent par la porte.")</f>
        <v>Ils se lèvent et sortent par la porte.</v>
      </c>
    </row>
    <row r="33682">
      <c r="A33682" s="4" t="s">
        <v>42384</v>
      </c>
      <c r="B33682" s="4" t="s">
        <v>42385</v>
      </c>
      <c r="C33682" s="5" t="str">
        <f>IFERROR(__xludf.DUMMYFUNCTION("GOOGLETRANSLATE(B33682,""en"",""fr"")"),"Une femme est sur scène devant un groupe.")</f>
        <v>Une femme est sur scène devant un groupe.</v>
      </c>
    </row>
    <row r="33683">
      <c r="A33683" s="4" t="s">
        <v>42384</v>
      </c>
      <c r="B33683" s="4" t="s">
        <v>42386</v>
      </c>
      <c r="C33683" s="5" t="str">
        <f>IFERROR(__xludf.DUMMYFUNCTION("GOOGLETRANSLATE(B33683,""en"",""fr"")"),"Elle est une danseuse du ventre, et gyrates et secoue à la musique.")</f>
        <v>Elle est une danseuse du ventre, et gyrates et secoue à la musique.</v>
      </c>
    </row>
    <row r="33684">
      <c r="A33684" s="4" t="s">
        <v>42384</v>
      </c>
      <c r="B33684" s="4" t="s">
        <v>42387</v>
      </c>
      <c r="C33684" s="5" t="str">
        <f>IFERROR(__xludf.DUMMYFUNCTION("GOOGLETRANSLATE(B33684,""en"",""fr"")"),"Elle danse lentement, tombant au sol en terminant.")</f>
        <v>Elle danse lentement, tombant au sol en terminant.</v>
      </c>
    </row>
    <row r="33685">
      <c r="A33685" s="4" t="s">
        <v>42388</v>
      </c>
      <c r="B33685" s="4" t="s">
        <v>42389</v>
      </c>
      <c r="C33685" s="5" t="str">
        <f>IFERROR(__xludf.DUMMYFUNCTION("GOOGLETRANSLATE(B33685,""en"",""fr"")"),"Un homme ne portant pas de chemise joue un tambour à main.")</f>
        <v>Un homme ne portant pas de chemise joue un tambour à main.</v>
      </c>
    </row>
    <row r="33686">
      <c r="A33686" s="4" t="s">
        <v>42388</v>
      </c>
      <c r="B33686" s="4" t="s">
        <v>42390</v>
      </c>
      <c r="C33686" s="5" t="str">
        <f>IFERROR(__xludf.DUMMYFUNCTION("GOOGLETRANSLATE(B33686,""en"",""fr"")"),"Un homme solo tourne son corps autour de ses mains et fait des roues.")</f>
        <v>Un homme solo tourne son corps autour de ses mains et fait des roues.</v>
      </c>
    </row>
    <row r="33687">
      <c r="A33687" s="4" t="s">
        <v>42388</v>
      </c>
      <c r="B33687" s="4" t="s">
        <v>42391</v>
      </c>
      <c r="C33687" s="5" t="str">
        <f>IFERROR(__xludf.DUMMYFUNCTION("GOOGLETRANSLATE(B33687,""en"",""fr"")"),"Deux hommes font une routine de karaté d'entraînement et Dodge donne des coups de pied de l'autre adversaire.")</f>
        <v>Deux hommes font une routine de karaté d'entraînement et Dodge donne des coups de pied de l'autre adversaire.</v>
      </c>
    </row>
    <row r="33688">
      <c r="A33688" s="4" t="s">
        <v>42388</v>
      </c>
      <c r="B33688" s="4" t="s">
        <v>42392</v>
      </c>
      <c r="C33688" s="5" t="str">
        <f>IFERROR(__xludf.DUMMYFUNCTION("GOOGLETRANSLATE(B33688,""en"",""fr"")"),"Les hommes font tous les deux des supports de main puis se réunissent et touchent les mains.")</f>
        <v>Les hommes font tous les deux des supports de main puis se réunissent et touchent les mains.</v>
      </c>
    </row>
    <row r="33689">
      <c r="A33689" s="4" t="s">
        <v>42388</v>
      </c>
      <c r="B33689" s="4" t="s">
        <v>42393</v>
      </c>
      <c r="C33689" s="5" t="str">
        <f>IFERROR(__xludf.DUMMYFUNCTION("GOOGLETRANSLATE(B33689,""en"",""fr"")"),"L'homme fait des flips sauter seuls.")</f>
        <v>L'homme fait des flips sauter seuls.</v>
      </c>
    </row>
    <row r="33690">
      <c r="A33690" s="4" t="s">
        <v>42388</v>
      </c>
      <c r="B33690" s="4" t="s">
        <v>42394</v>
      </c>
      <c r="C33690" s="5" t="str">
        <f>IFERROR(__xludf.DUMMYFUNCTION("GOOGLETRANSLATE(B33690,""en"",""fr"")"),"Les deux hommes font des coups de pied en sautant pendant qu'ils s'efforcent dans une danse de karaté.")</f>
        <v>Les deux hommes font des coups de pied en sautant pendant qu'ils s'efforcent dans une danse de karaté.</v>
      </c>
    </row>
    <row r="33691">
      <c r="A33691" s="4" t="s">
        <v>42388</v>
      </c>
      <c r="B33691" s="4" t="s">
        <v>42395</v>
      </c>
      <c r="C33691" s="5" t="str">
        <f>IFERROR(__xludf.DUMMYFUNCTION("GOOGLETRANSLATE(B33691,""en"",""fr"")"),"L'homme se tient sur ses mains et se penche en arrière vers une position horizontale.")</f>
        <v>L'homme se tient sur ses mains et se penche en arrière vers une position horizontale.</v>
      </c>
    </row>
    <row r="33692">
      <c r="A33692" s="4" t="s">
        <v>42396</v>
      </c>
      <c r="B33692" s="6" t="s">
        <v>42397</v>
      </c>
      <c r="C33692" s="5" t="str">
        <f>IFERROR(__xludf.DUMMYFUNCTION("GOOGLETRANSLATE(B33692,""en"",""fr"")"),"Un homme affiche des arts martiaux se déplace dans un clip qui montre l'homme qui combatt différentes personnes dans plusieurs endroits différents dans une toile de fond de la ville.")</f>
        <v>Un homme affiche des arts martiaux se déplace dans un clip qui montre l'homme qui combatt différentes personnes dans plusieurs endroits différents dans une toile de fond de la ville.</v>
      </c>
    </row>
    <row r="33693">
      <c r="A33693" s="4" t="s">
        <v>42396</v>
      </c>
      <c r="B33693" s="6" t="s">
        <v>42398</v>
      </c>
      <c r="C33693" s="5" t="str">
        <f>IFERROR(__xludf.DUMMYFUNCTION("GOOGLETRANSLATE(B33693,""en"",""fr"")"),"Un homme est escorté dans une pièce et laissé seul jusqu'à ce qu'il soit attaqué, violemment, par un homme qui apparaît soudainement dans la pièce avec lui, les deux se battent.")</f>
        <v>Un homme est escorté dans une pièce et laissé seul jusqu'à ce qu'il soit attaqué, violemment, par un homme qui apparaît soudainement dans la pièce avec lui, les deux se battent.</v>
      </c>
    </row>
    <row r="33694">
      <c r="A33694" s="4" t="s">
        <v>42396</v>
      </c>
      <c r="B33694" s="6" t="s">
        <v>42399</v>
      </c>
      <c r="C33694" s="5" t="str">
        <f>IFERROR(__xludf.DUMMYFUNCTION("GOOGLETRANSLATE(B33694,""en"",""fr"")"),"L'homme est ensuite montré dans plusieurs autres endroits qui se battent avec différents hommes utilisant des compétences en arts martiaux jusqu'à ce que le clip s'estompe à une invitation marketing à s'abonner.")</f>
        <v>L'homme est ensuite montré dans plusieurs autres endroits qui se battent avec différents hommes utilisant des compétences en arts martiaux jusqu'à ce que le clip s'estompe à une invitation marketing à s'abonner.</v>
      </c>
    </row>
    <row r="33695">
      <c r="A33695" s="4" t="s">
        <v>42400</v>
      </c>
      <c r="B33695" s="6" t="s">
        <v>42401</v>
      </c>
      <c r="C33695" s="5" t="str">
        <f>IFERROR(__xludf.DUMMYFUNCTION("GOOGLETRANSLATE(B33695,""en"",""fr"")"),"Une bannière noire superposée avec le mot powerchalk écrit en blanc et vert est à travers la bannière.")</f>
        <v>Une bannière noire superposée avec le mot powerchalk écrit en blanc et vert est à travers la bannière.</v>
      </c>
    </row>
    <row r="33696">
      <c r="A33696" s="4" t="s">
        <v>42400</v>
      </c>
      <c r="B33696" s="6" t="s">
        <v>42402</v>
      </c>
      <c r="C33696" s="5" t="str">
        <f>IFERROR(__xludf.DUMMYFUNCTION("GOOGLETRANSLATE(B33696,""en"",""fr"")"),"Lorsque la superposition de la bannière disparaît, un homme saute au bout d'un plongeon et fait ensuite un retournement avant vers l'avant et se retourne 5 fois avant de plonger directement dans l'eau dans la piscine.")</f>
        <v>Lorsque la superposition de la bannière disparaît, un homme saute au bout d'un plongeon et fait ensuite un retournement avant vers l'avant et se retourne 5 fois avant de plonger directement dans l'eau dans la piscine.</v>
      </c>
    </row>
    <row r="33697">
      <c r="A33697" s="4" t="s">
        <v>42400</v>
      </c>
      <c r="B33697" s="4" t="s">
        <v>42403</v>
      </c>
      <c r="C33697" s="5" t="str">
        <f>IFERROR(__xludf.DUMMYFUNCTION("GOOGLETRANSLATE(B33697,""en"",""fr"")"),"Il y a beaucoup de spectateurs debout sur la touche.")</f>
        <v>Il y a beaucoup de spectateurs debout sur la touche.</v>
      </c>
    </row>
    <row r="33698">
      <c r="A33698" s="4" t="s">
        <v>42404</v>
      </c>
      <c r="B33698" s="4" t="s">
        <v>42405</v>
      </c>
      <c r="C33698" s="5" t="str">
        <f>IFERROR(__xludf.DUMMYFUNCTION("GOOGLETRANSLATE(B33698,""en"",""fr"")"),"Un violoniste joue le violon dans une salle de musique.")</f>
        <v>Un violoniste joue le violon dans une salle de musique.</v>
      </c>
    </row>
    <row r="33699">
      <c r="A33699" s="4" t="s">
        <v>42404</v>
      </c>
      <c r="B33699" s="4" t="s">
        <v>42406</v>
      </c>
      <c r="C33699" s="5" t="str">
        <f>IFERROR(__xludf.DUMMYFUNCTION("GOOGLETRANSLATE(B33699,""en"",""fr"")"),"Elle ajuste le violon sous son menton alors qu'elle lit la musique.")</f>
        <v>Elle ajuste le violon sous son menton alors qu'elle lit la musique.</v>
      </c>
    </row>
    <row r="33700">
      <c r="A33700" s="4" t="s">
        <v>42404</v>
      </c>
      <c r="B33700" s="4" t="s">
        <v>42407</v>
      </c>
      <c r="C33700" s="5" t="str">
        <f>IFERROR(__xludf.DUMMYFUNCTION("GOOGLETRANSLATE(B33700,""en"",""fr"")"),"À la fin de sa chanson, elle retire le violon et sourit.")</f>
        <v>À la fin de sa chanson, elle retire le violon et sourit.</v>
      </c>
    </row>
    <row r="33701">
      <c r="A33701" s="4" t="s">
        <v>42408</v>
      </c>
      <c r="B33701" s="6" t="s">
        <v>42409</v>
      </c>
      <c r="C33701" s="5" t="str">
        <f>IFERROR(__xludf.DUMMYFUNCTION("GOOGLETRANSLATE(B33701,""en"",""fr"")"),"Un petit groupe de filles est d'abord vu en sortant sur un sol de gymnase avec plusieurs personnes qui regardent sur la touche.")</f>
        <v>Un petit groupe de filles est d'abord vu en sortant sur un sol de gymnase avec plusieurs personnes qui regardent sur la touche.</v>
      </c>
    </row>
    <row r="33702">
      <c r="A33702" s="4" t="s">
        <v>42408</v>
      </c>
      <c r="B33702" s="4" t="s">
        <v>42410</v>
      </c>
      <c r="C33702" s="5" t="str">
        <f>IFERROR(__xludf.DUMMYFUNCTION("GOOGLETRANSLATE(B33702,""en"",""fr"")"),"Les filles effectuent ensuite une routine en utilisant des matraques tout en tournant et en tournoyant.")</f>
        <v>Les filles effectuent ensuite une routine en utilisant des matraques tout en tournant et en tournoyant.</v>
      </c>
    </row>
    <row r="33703">
      <c r="A33703" s="4" t="s">
        <v>42408</v>
      </c>
      <c r="B33703" s="4" t="s">
        <v>42411</v>
      </c>
      <c r="C33703" s="5" t="str">
        <f>IFERROR(__xludf.DUMMYFUNCTION("GOOGLETRANSLATE(B33703,""en"",""fr"")"),"Ils font une pose de fin tandis que le public applaudit et s'enfuie sur le côté.")</f>
        <v>Ils font une pose de fin tandis que le public applaudit et s'enfuie sur le côté.</v>
      </c>
    </row>
    <row r="33704">
      <c r="A33704" s="4" t="s">
        <v>42412</v>
      </c>
      <c r="B33704" s="6" t="s">
        <v>42413</v>
      </c>
      <c r="C33704" s="5" t="str">
        <f>IFERROR(__xludf.DUMMYFUNCTION("GOOGLETRANSLATE(B33704,""en"",""fr"")"),"Un homme effectue des cascades sur le dos d'une moto, tombe et se blesse à quel point il tombe au sol et a l'air blessé.")</f>
        <v>Un homme effectue des cascades sur le dos d'une moto, tombe et se blesse à quel point il tombe au sol et a l'air blessé.</v>
      </c>
    </row>
    <row r="33705">
      <c r="A33705" s="4" t="s">
        <v>42412</v>
      </c>
      <c r="B33705" s="4" t="s">
        <v>42414</v>
      </c>
      <c r="C33705" s="5" t="str">
        <f>IFERROR(__xludf.DUMMYFUNCTION("GOOGLETRANSLATE(B33705,""en"",""fr"")"),"Un homme est suspendu à un vélo en mouvement sur une rampe en duvet.")</f>
        <v>Un homme est suspendu à un vélo en mouvement sur une rampe en duvet.</v>
      </c>
    </row>
    <row r="33706">
      <c r="A33706" s="4" t="s">
        <v>42412</v>
      </c>
      <c r="B33706" s="4" t="s">
        <v>42415</v>
      </c>
      <c r="C33706" s="5" t="str">
        <f>IFERROR(__xludf.DUMMYFUNCTION("GOOGLETRANSLATE(B33706,""en"",""fr"")"),"L'homme tombe du vélo et sur le sol avec des vêtements déchirés.")</f>
        <v>L'homme tombe du vélo et sur le sol avec des vêtements déchirés.</v>
      </c>
    </row>
    <row r="33707">
      <c r="A33707" s="4" t="s">
        <v>42412</v>
      </c>
      <c r="B33707" s="6" t="s">
        <v>42416</v>
      </c>
      <c r="C33707" s="5" t="str">
        <f>IFERROR(__xludf.DUMMYFUNCTION("GOOGLETRANSLATE(B33707,""en"",""fr"")"),"La caméra pans les vêtements et le casque endommagés de l'homme et son visage tombé alors qu'il se trouvait sur le sol blessé.")</f>
        <v>La caméra pans les vêtements et le casque endommagés de l'homme et son visage tombé alors qu'il se trouvait sur le sol blessé.</v>
      </c>
    </row>
    <row r="33708">
      <c r="A33708" s="4" t="s">
        <v>42417</v>
      </c>
      <c r="B33708" s="6" t="s">
        <v>42418</v>
      </c>
      <c r="C33708" s="5" t="str">
        <f>IFERROR(__xludf.DUMMYFUNCTION("GOOGLETRANSLATE(B33708,""en"",""fr"")"),"Divers ingrédients sont présentés sur une table et mène à une personne qui met des articles dans un bol.")</f>
        <v>Divers ingrédients sont présentés sur une table et mène à une personne qui met des articles dans un bol.</v>
      </c>
    </row>
    <row r="33709">
      <c r="A33709" s="4" t="s">
        <v>42417</v>
      </c>
      <c r="B33709" s="4" t="s">
        <v>42419</v>
      </c>
      <c r="C33709" s="5" t="str">
        <f>IFERROR(__xludf.DUMMYFUNCTION("GOOGLETRANSLATE(B33709,""en"",""fr"")"),"La personne est ensuite vue en train de couper les fruits et de la poser dans un bol.")</f>
        <v>La personne est ensuite vue en train de couper les fruits et de la poser dans un bol.</v>
      </c>
    </row>
    <row r="33710">
      <c r="A33710" s="4" t="s">
        <v>42417</v>
      </c>
      <c r="B33710" s="4" t="s">
        <v>42420</v>
      </c>
      <c r="C33710" s="5" t="str">
        <f>IFERROR(__xludf.DUMMYFUNCTION("GOOGLETRANSLATE(B33710,""en"",""fr"")"),"Elle verse plus de liquide et la présente à la caméra.")</f>
        <v>Elle verse plus de liquide et la présente à la caméra.</v>
      </c>
    </row>
    <row r="33711">
      <c r="A33711" s="4" t="s">
        <v>42421</v>
      </c>
      <c r="B33711" s="4" t="s">
        <v>42422</v>
      </c>
      <c r="C33711" s="5" t="str">
        <f>IFERROR(__xludf.DUMMYFUNCTION("GOOGLETRANSLATE(B33711,""en"",""fr"")"),"Deux hommes jouent à Wall Ball dans une pièce.")</f>
        <v>Deux hommes jouent à Wall Ball dans une pièce.</v>
      </c>
    </row>
    <row r="33712">
      <c r="A33712" s="4" t="s">
        <v>42421</v>
      </c>
      <c r="B33712" s="4" t="s">
        <v>42423</v>
      </c>
      <c r="C33712" s="5" t="str">
        <f>IFERROR(__xludf.DUMMYFUNCTION("GOOGLETRANSLATE(B33712,""en"",""fr"")"),"Il y a un public qui les regarde jouer.")</f>
        <v>Il y a un public qui les regarde jouer.</v>
      </c>
    </row>
    <row r="33713">
      <c r="A33713" s="4" t="s">
        <v>42421</v>
      </c>
      <c r="B33713" s="4" t="s">
        <v>42424</v>
      </c>
      <c r="C33713" s="5" t="str">
        <f>IFERROR(__xludf.DUMMYFUNCTION("GOOGLETRANSLATE(B33713,""en"",""fr"")"),"L'homme prétend que sa raquette est une guitare.")</f>
        <v>L'homme prétend que sa raquette est une guitare.</v>
      </c>
    </row>
    <row r="33714">
      <c r="A33714" s="4" t="s">
        <v>42425</v>
      </c>
      <c r="B33714" s="4" t="s">
        <v>42426</v>
      </c>
      <c r="C33714" s="5" t="str">
        <f>IFERROR(__xludf.DUMMYFUNCTION("GOOGLETRANSLATE(B33714,""en"",""fr"")"),"Un homme est en pension de surf dans l'océan sur une planche de surf bleue.")</f>
        <v>Un homme est en pension de surf dans l'océan sur une planche de surf bleue.</v>
      </c>
    </row>
    <row r="33715">
      <c r="A33715" s="4" t="s">
        <v>42425</v>
      </c>
      <c r="B33715" s="4" t="s">
        <v>42427</v>
      </c>
      <c r="C33715" s="5" t="str">
        <f>IFERROR(__xludf.DUMMYFUNCTION("GOOGLETRANSLATE(B33715,""en"",""fr"")"),"L'eau a l'air bleu verdâtre alors que le surfeur surfait à travers de grandes vagues.")</f>
        <v>L'eau a l'air bleu verdâtre alors que le surfeur surfait à travers de grandes vagues.</v>
      </c>
    </row>
    <row r="33716">
      <c r="A33716" s="4" t="s">
        <v>42425</v>
      </c>
      <c r="B33716" s="4" t="s">
        <v>42428</v>
      </c>
      <c r="C33716" s="5" t="str">
        <f>IFERROR(__xludf.DUMMYFUNCTION("GOOGLETRANSLATE(B33716,""en"",""fr"")"),"L'homme surfait près d'une plage par certains hôtels.")</f>
        <v>L'homme surfait près d'une plage par certains hôtels.</v>
      </c>
    </row>
    <row r="33717">
      <c r="A33717" s="4" t="s">
        <v>42425</v>
      </c>
      <c r="B33717" s="4" t="s">
        <v>42429</v>
      </c>
      <c r="C33717" s="5" t="str">
        <f>IFERROR(__xludf.DUMMYFUNCTION("GOOGLETRANSLATE(B33717,""en"",""fr"")"),"Le surfeur continue de surfer à travers de hautes vagues sans tomber.")</f>
        <v>Le surfeur continue de surfer à travers de hautes vagues sans tomber.</v>
      </c>
    </row>
    <row r="33718">
      <c r="A33718" s="4" t="s">
        <v>42430</v>
      </c>
      <c r="B33718" s="4" t="s">
        <v>42431</v>
      </c>
      <c r="C33718" s="5" t="str">
        <f>IFERROR(__xludf.DUMMYFUNCTION("GOOGLETRANSLATE(B33718,""en"",""fr"")"),"Une gymnaste se produit sur le coffre-fort sur la foule, elle se retourne et tombe de la voûte.")</f>
        <v>Une gymnaste se produit sur le coffre-fort sur la foule, elle se retourne et tombe de la voûte.</v>
      </c>
    </row>
    <row r="33719">
      <c r="A33719" s="4" t="s">
        <v>42430</v>
      </c>
      <c r="B33719" s="4" t="s">
        <v>42432</v>
      </c>
      <c r="C33719" s="5" t="str">
        <f>IFERROR(__xludf.DUMMYFUNCTION("GOOGLETRANSLATE(B33719,""en"",""fr"")"),"Ensuite, la gymnaste saute, retourne mais titube pendant sa performance.")</f>
        <v>Ensuite, la gymnaste saute, retourne mais titube pendant sa performance.</v>
      </c>
    </row>
    <row r="33720">
      <c r="A33720" s="4" t="s">
        <v>42430</v>
      </c>
      <c r="B33720" s="4" t="s">
        <v>42433</v>
      </c>
      <c r="C33720" s="5" t="str">
        <f>IFERROR(__xludf.DUMMYFUNCTION("GOOGLETRANSLATE(B33720,""en"",""fr"")"),"La gymnaste effectue des flips en arrière, puis elle continue avec sa routine.")</f>
        <v>La gymnaste effectue des flips en arrière, puis elle continue avec sa routine.</v>
      </c>
    </row>
    <row r="33721">
      <c r="A33721" s="4" t="s">
        <v>42430</v>
      </c>
      <c r="B33721" s="4" t="s">
        <v>42434</v>
      </c>
      <c r="C33721" s="5" t="str">
        <f>IFERROR(__xludf.DUMMYFUNCTION("GOOGLETRANSLATE(B33721,""en"",""fr"")"),"Ensuite, le gymnaste saute et fait un double flip et des terres sur le tapis.")</f>
        <v>Ensuite, le gymnaste saute et fait un double flip et des terres sur le tapis.</v>
      </c>
    </row>
    <row r="33722">
      <c r="A33722" s="4" t="s">
        <v>42435</v>
      </c>
      <c r="B33722" s="4" t="s">
        <v>42436</v>
      </c>
      <c r="C33722" s="5" t="str">
        <f>IFERROR(__xludf.DUMMYFUNCTION("GOOGLETRANSLATE(B33722,""en"",""fr"")"),"Un homme court et saute dans divers endroits publics avec des ressorts sur les jambes pendant que les spectateurs regardent.")</f>
        <v>Un homme court et saute dans divers endroits publics avec des ressorts sur les jambes pendant que les spectateurs regardent.</v>
      </c>
    </row>
    <row r="33723">
      <c r="A33723" s="4" t="s">
        <v>42435</v>
      </c>
      <c r="B33723" s="4" t="s">
        <v>42437</v>
      </c>
      <c r="C33723" s="5" t="str">
        <f>IFERROR(__xludf.DUMMYFUNCTION("GOOGLETRANSLATE(B33723,""en"",""fr"")"),"Un caméraman filme l'homme en allongé sur le sol.")</f>
        <v>Un caméraman filme l'homme en allongé sur le sol.</v>
      </c>
    </row>
    <row r="33724">
      <c r="A33724" s="4" t="s">
        <v>42435</v>
      </c>
      <c r="B33724" s="4" t="s">
        <v>42438</v>
      </c>
      <c r="C33724" s="5" t="str">
        <f>IFERROR(__xludf.DUMMYFUNCTION("GOOGLETRANSLATE(B33724,""en"",""fr"")"),"L'homme à ressorts saute sur un autre homme.")</f>
        <v>L'homme à ressorts saute sur un autre homme.</v>
      </c>
    </row>
    <row r="33725">
      <c r="A33725" s="4" t="s">
        <v>42439</v>
      </c>
      <c r="B33725" s="4" t="s">
        <v>42440</v>
      </c>
      <c r="C33725" s="5" t="str">
        <f>IFERROR(__xludf.DUMMYFUNCTION("GOOGLETRANSLATE(B33725,""en"",""fr"")"),"Nous voyons une petite fille se maquiller sur son visage dans une vanité jouet.")</f>
        <v>Nous voyons une petite fille se maquiller sur son visage dans une vanité jouet.</v>
      </c>
    </row>
    <row r="33726">
      <c r="A33726" s="4" t="s">
        <v>42439</v>
      </c>
      <c r="B33726" s="4" t="s">
        <v>42441</v>
      </c>
      <c r="C33726" s="5" t="str">
        <f>IFERROR(__xludf.DUMMYFUNCTION("GOOGLETRANSLATE(B33726,""en"",""fr"")"),"Elle ferme l'affaire de maquillage et l'ouvre.")</f>
        <v>Elle ferme l'affaire de maquillage et l'ouvre.</v>
      </c>
    </row>
    <row r="33727">
      <c r="A33727" s="4" t="s">
        <v>42439</v>
      </c>
      <c r="B33727" s="4" t="s">
        <v>42442</v>
      </c>
      <c r="C33727" s="5" t="str">
        <f>IFERROR(__xludf.DUMMYFUNCTION("GOOGLETRANSLATE(B33727,""en"",""fr"")"),"Elle frotte le bout du pinceau avec son doigt.")</f>
        <v>Elle frotte le bout du pinceau avec son doigt.</v>
      </c>
    </row>
    <row r="33728">
      <c r="A33728" s="4" t="s">
        <v>42443</v>
      </c>
      <c r="B33728" s="4" t="s">
        <v>42444</v>
      </c>
      <c r="C33728" s="5" t="str">
        <f>IFERROR(__xludf.DUMMYFUNCTION("GOOGLETRANSLATE(B33728,""en"",""fr"")"),"Quatre hommes roulent dans une voiture convertible et conduisent le long d'une autoroute du désert.")</f>
        <v>Quatre hommes roulent dans une voiture convertible et conduisent le long d'une autoroute du désert.</v>
      </c>
    </row>
    <row r="33729">
      <c r="A33729" s="4" t="s">
        <v>42443</v>
      </c>
      <c r="B33729" s="4" t="s">
        <v>42445</v>
      </c>
      <c r="C33729" s="5" t="str">
        <f>IFERROR(__xludf.DUMMYFUNCTION("GOOGLETRANSLATE(B33729,""en"",""fr"")"),"Deux amis descendent un escalator.")</f>
        <v>Deux amis descendent un escalator.</v>
      </c>
    </row>
    <row r="33730">
      <c r="A33730" s="4" t="s">
        <v>42443</v>
      </c>
      <c r="B33730" s="4" t="s">
        <v>42446</v>
      </c>
      <c r="C33730" s="5" t="str">
        <f>IFERROR(__xludf.DUMMYFUNCTION("GOOGLETRANSLATE(B33730,""en"",""fr"")"),"Les amis se tiennent à une table de cartes dans un casino et jouent des mains.")</f>
        <v>Les amis se tiennent à une table de cartes dans un casino et jouent des mains.</v>
      </c>
    </row>
    <row r="33731">
      <c r="A33731" s="4" t="s">
        <v>42443</v>
      </c>
      <c r="B33731" s="4" t="s">
        <v>42447</v>
      </c>
      <c r="C33731" s="5" t="str">
        <f>IFERROR(__xludf.DUMMYFUNCTION("GOOGLETRANSLATE(B33731,""en"",""fr"")"),"L'homme fait un gros pari et s'assoit pour jouer quelques mains à la table.")</f>
        <v>L'homme fait un gros pari et s'assoit pour jouer quelques mains à la table.</v>
      </c>
    </row>
    <row r="33732">
      <c r="A33732" s="4" t="s">
        <v>42443</v>
      </c>
      <c r="B33732" s="4" t="s">
        <v>42448</v>
      </c>
      <c r="C33732" s="5" t="str">
        <f>IFERROR(__xludf.DUMMYFUNCTION("GOOGLETRANSLATE(B33732,""en"",""fr"")"),"L'homme accumule un grand nombre de puces.")</f>
        <v>L'homme accumule un grand nombre de puces.</v>
      </c>
    </row>
    <row r="33733">
      <c r="A33733" s="4" t="s">
        <v>42443</v>
      </c>
      <c r="B33733" s="4" t="s">
        <v>42449</v>
      </c>
      <c r="C33733" s="5" t="str">
        <f>IFERROR(__xludf.DUMMYFUNCTION("GOOGLETRANSLATE(B33733,""en"",""fr"")"),"Les amis de l'homme gagnent une main et le couple célèbre.")</f>
        <v>Les amis de l'homme gagnent une main et le couple célèbre.</v>
      </c>
    </row>
    <row r="33734">
      <c r="A33734" s="4" t="s">
        <v>42443</v>
      </c>
      <c r="B33734" s="4" t="s">
        <v>42450</v>
      </c>
      <c r="C33734" s="5" t="str">
        <f>IFERROR(__xludf.DUMMYFUNCTION("GOOGLETRANSLATE(B33734,""en"",""fr"")"),"L'homme est suivi par le personnel de sécurité et les caméras.")</f>
        <v>L'homme est suivi par le personnel de sécurité et les caméras.</v>
      </c>
    </row>
    <row r="33735">
      <c r="A33735" s="4" t="s">
        <v>42443</v>
      </c>
      <c r="B33735" s="4" t="s">
        <v>42451</v>
      </c>
      <c r="C33735" s="5" t="str">
        <f>IFERROR(__xludf.DUMMYFUNCTION("GOOGLETRANSLATE(B33735,""en"",""fr"")"),"La femme se retourne si sa chaise au sol et les hommes l'aident.")</f>
        <v>La femme se retourne si sa chaise au sol et les hommes l'aident.</v>
      </c>
    </row>
    <row r="33736">
      <c r="A33736" s="4" t="s">
        <v>42443</v>
      </c>
      <c r="B33736" s="4" t="s">
        <v>42452</v>
      </c>
      <c r="C33736" s="5" t="str">
        <f>IFERROR(__xludf.DUMMYFUNCTION("GOOGLETRANSLATE(B33736,""en"",""fr"")"),"L'ami jouant a disparu et la chaise est vide.")</f>
        <v>L'ami jouant a disparu et la chaise est vide.</v>
      </c>
    </row>
    <row r="33737">
      <c r="A33737" s="4" t="s">
        <v>42453</v>
      </c>
      <c r="B33737" s="4" t="s">
        <v>42454</v>
      </c>
      <c r="C33737" s="5" t="str">
        <f>IFERROR(__xludf.DUMMYFUNCTION("GOOGLETRANSLATE(B33737,""en"",""fr"")"),"Un couple est dans l'eau qui coule d'une rivière.")</f>
        <v>Un couple est dans l'eau qui coule d'une rivière.</v>
      </c>
    </row>
    <row r="33738">
      <c r="A33738" s="4" t="s">
        <v>42453</v>
      </c>
      <c r="B33738" s="4" t="s">
        <v>42455</v>
      </c>
      <c r="C33738" s="5" t="str">
        <f>IFERROR(__xludf.DUMMYFUNCTION("GOOGLETRANSLATE(B33738,""en"",""fr"")"),"Ils sont assis à côté de plusieurs seaux.")</f>
        <v>Ils sont assis à côté de plusieurs seaux.</v>
      </c>
    </row>
    <row r="33739">
      <c r="A33739" s="4" t="s">
        <v>42453</v>
      </c>
      <c r="B33739" s="4" t="s">
        <v>42456</v>
      </c>
      <c r="C33739" s="5" t="str">
        <f>IFERROR(__xludf.DUMMYFUNCTION("GOOGLETRANSLATE(B33739,""en"",""fr"")"),"Ils frottent des vêtements contre les rochers, essayant de les nettoyer.")</f>
        <v>Ils frottent des vêtements contre les rochers, essayant de les nettoyer.</v>
      </c>
    </row>
    <row r="33740">
      <c r="A33740" s="4" t="s">
        <v>42457</v>
      </c>
      <c r="B33740" s="4" t="s">
        <v>42458</v>
      </c>
      <c r="C33740" s="5" t="str">
        <f>IFERROR(__xludf.DUMMYFUNCTION("GOOGLETRANSLATE(B33740,""en"",""fr"")"),"Une personne allume le bois pour faire le feu.")</f>
        <v>Une personne allume le bois pour faire le feu.</v>
      </c>
    </row>
    <row r="33741">
      <c r="A33741" s="4" t="s">
        <v>42457</v>
      </c>
      <c r="B33741" s="4" t="s">
        <v>42459</v>
      </c>
      <c r="C33741" s="5" t="str">
        <f>IFERROR(__xludf.DUMMYFUNCTION("GOOGLETRANSLATE(B33741,""en"",""fr"")"),"Ensuite, un homme souffle le feu, tandis que la personne met des bâtons sur le feu naissant.")</f>
        <v>Ensuite, un homme souffle le feu, tandis que la personne met des bâtons sur le feu naissant.</v>
      </c>
    </row>
    <row r="33742">
      <c r="A33742" s="4" t="s">
        <v>42457</v>
      </c>
      <c r="B33742" s="4" t="s">
        <v>42460</v>
      </c>
      <c r="C33742" s="5" t="str">
        <f>IFERROR(__xludf.DUMMYFUNCTION("GOOGLETRANSLATE(B33742,""en"",""fr"")"),"Après, le feu commence à se développer de plus en plus pendant que les hommes mettent des bâtons sur le dessus.")</f>
        <v>Après, le feu commence à se développer de plus en plus pendant que les hommes mettent des bâtons sur le dessus.</v>
      </c>
    </row>
    <row r="33743">
      <c r="A33743" s="4" t="s">
        <v>42461</v>
      </c>
      <c r="B33743" s="4" t="s">
        <v>42462</v>
      </c>
      <c r="C33743" s="5" t="str">
        <f>IFERROR(__xludf.DUMMYFUNCTION("GOOGLETRANSLATE(B33743,""en"",""fr"")"),"Un groupe d'hommes tient des maracas entre leurs mains et jouent avec une musique reggae.")</f>
        <v>Un groupe d'hommes tient des maracas entre leurs mains et jouent avec une musique reggae.</v>
      </c>
    </row>
    <row r="33744">
      <c r="A33744" s="4" t="s">
        <v>42461</v>
      </c>
      <c r="B33744" s="4" t="s">
        <v>42463</v>
      </c>
      <c r="C33744" s="5" t="str">
        <f>IFERROR(__xludf.DUMMYFUNCTION("GOOGLETRANSLATE(B33744,""en"",""fr"")"),"L'un des hommes commence à chanter dans le microphone.")</f>
        <v>L'un des hommes commence à chanter dans le microphone.</v>
      </c>
    </row>
    <row r="33745">
      <c r="A33745" s="4" t="s">
        <v>42461</v>
      </c>
      <c r="B33745" s="4" t="s">
        <v>42464</v>
      </c>
      <c r="C33745" s="5" t="str">
        <f>IFERROR(__xludf.DUMMYFUNCTION("GOOGLETRANSLATE(B33745,""en"",""fr"")"),"Les autres hommes le rejoignent pour chanter le refrain.")</f>
        <v>Les autres hommes le rejoignent pour chanter le refrain.</v>
      </c>
    </row>
    <row r="33746">
      <c r="A33746" s="4" t="s">
        <v>42461</v>
      </c>
      <c r="B33746" s="4" t="s">
        <v>42465</v>
      </c>
      <c r="C33746" s="5" t="str">
        <f>IFERROR(__xludf.DUMMYFUNCTION("GOOGLETRANSLATE(B33746,""en"",""fr"")"),"Ils jouent les Maracas alors qu'ils chantent la chanson.")</f>
        <v>Ils jouent les Maracas alors qu'ils chantent la chanson.</v>
      </c>
    </row>
    <row r="33747">
      <c r="A33747" s="4" t="s">
        <v>42461</v>
      </c>
      <c r="B33747" s="6" t="s">
        <v>42466</v>
      </c>
      <c r="C33747" s="5" t="str">
        <f>IFERROR(__xludf.DUMMYFUNCTION("GOOGLETRANSLATE(B33747,""en"",""fr"")"),"Les hommes dansent également alors qu'ils chantent et jouent les Maracas, le chanteur principal chante en solo pendant un certain temps tandis que les autres jouent leur Maracas.")</f>
        <v>Les hommes dansent également alors qu'ils chantent et jouent les Maracas, le chanteur principal chante en solo pendant un certain temps tandis que les autres jouent leur Maracas.</v>
      </c>
    </row>
    <row r="33748">
      <c r="A33748" s="4" t="s">
        <v>42461</v>
      </c>
      <c r="B33748" s="4" t="s">
        <v>42467</v>
      </c>
      <c r="C33748" s="5" t="str">
        <f>IFERROR(__xludf.DUMMYFUNCTION("GOOGLETRANSLATE(B33748,""en"",""fr"")"),"Ensuite, tous les hommes le rejoignent pour chanter la chanson tout en jouant leurs Maracas.")</f>
        <v>Ensuite, tous les hommes le rejoignent pour chanter la chanson tout en jouant leurs Maracas.</v>
      </c>
    </row>
    <row r="33749">
      <c r="A33749" s="4" t="s">
        <v>42468</v>
      </c>
      <c r="B33749" s="4" t="s">
        <v>42469</v>
      </c>
      <c r="C33749" s="5" t="str">
        <f>IFERROR(__xludf.DUMMYFUNCTION("GOOGLETRANSLATE(B33749,""en"",""fr"")"),"Deux personnes dansent dans un studio de danse.")</f>
        <v>Deux personnes dansent dans un studio de danse.</v>
      </c>
    </row>
    <row r="33750">
      <c r="A33750" s="4" t="s">
        <v>42468</v>
      </c>
      <c r="B33750" s="4" t="s">
        <v>42470</v>
      </c>
      <c r="C33750" s="5" t="str">
        <f>IFERROR(__xludf.DUMMYFUNCTION("GOOGLETRANSLATE(B33750,""en"",""fr"")"),"Tout d'abord, la femme balance un peu ses hanches et se déplace un pied derrière l'autre.")</f>
        <v>Tout d'abord, la femme balance un peu ses hanches et se déplace un pied derrière l'autre.</v>
      </c>
    </row>
    <row r="33751">
      <c r="A33751" s="4" t="s">
        <v>42468</v>
      </c>
      <c r="B33751" s="6" t="s">
        <v>42471</v>
      </c>
      <c r="C33751" s="5" t="str">
        <f>IFERROR(__xludf.DUMMYFUNCTION("GOOGLETRANSLATE(B33751,""en"",""fr"")"),"Elle dit également aux téléspectateurs de établir un contact visuel avec la personne pour s'assurer qu'ils sont confortables et à un moment donné, l'homme la tourne en cercle et elle revient pour qu'ils recommencent à danser normalement.")</f>
        <v>Elle dit également aux téléspectateurs de établir un contact visuel avec la personne pour s'assurer qu'ils sont confortables et à un moment donné, l'homme la tourne en cercle et elle revient pour qu'ils recommencent à danser normalement.</v>
      </c>
    </row>
    <row r="33752">
      <c r="A33752" s="4" t="s">
        <v>42472</v>
      </c>
      <c r="B33752" s="6" t="s">
        <v>42473</v>
      </c>
      <c r="C33752" s="5" t="str">
        <f>IFERROR(__xludf.DUMMYFUNCTION("GOOGLETRANSLATE(B33752,""en"",""fr"")"),"Trois hommes sont interviewés, dont l'un joue le piano et chante pour l'intervieweur et son équipe de caméra dans un couloir étroit.")</f>
        <v>Trois hommes sont interviewés, dont l'un joue le piano et chante pour l'intervieweur et son équipe de caméra dans un couloir étroit.</v>
      </c>
    </row>
    <row r="33753">
      <c r="A33753" s="4" t="s">
        <v>42472</v>
      </c>
      <c r="B33753" s="6" t="s">
        <v>42474</v>
      </c>
      <c r="C33753" s="5" t="str">
        <f>IFERROR(__xludf.DUMMYFUNCTION("GOOGLETRANSLATE(B33753,""en"",""fr"")"),"Quatre hommes sont dans une pièce, dont trois interviewés par le quatrième homme qui a des cheveux blonds, porte des lunettes et a une équipe de caméra avec lui.")</f>
        <v>Quatre hommes sont dans une pièce, dont trois interviewés par le quatrième homme qui a des cheveux blonds, porte des lunettes et a une équipe de caméra avec lui.</v>
      </c>
    </row>
    <row r="33754">
      <c r="A33754" s="4" t="s">
        <v>42472</v>
      </c>
      <c r="B33754" s="4" t="s">
        <v>42475</v>
      </c>
      <c r="C33754" s="5" t="str">
        <f>IFERROR(__xludf.DUMMYFUNCTION("GOOGLETRANSLATE(B33754,""en"",""fr"")"),"L'intervieweur mène l'un des hommes dans le couloir d'un piano, où l'homme a un siège.")</f>
        <v>L'intervieweur mène l'un des hommes dans le couloir d'un piano, où l'homme a un siège.</v>
      </c>
    </row>
    <row r="33755">
      <c r="A33755" s="4" t="s">
        <v>42472</v>
      </c>
      <c r="B33755" s="6" t="s">
        <v>42476</v>
      </c>
      <c r="C33755" s="5" t="str">
        <f>IFERROR(__xludf.DUMMYFUNCTION("GOOGLETRANSLATE(B33755,""en"",""fr"")"),"L'homme commence à jouer et à chanter alors que l'équipe de caméra, l'intervieweur et les spectateurs regardent, avant que l'homme ne termine la chanson, se lève et s'éloigne.")</f>
        <v>L'homme commence à jouer et à chanter alors que l'équipe de caméra, l'intervieweur et les spectateurs regardent, avant que l'homme ne termine la chanson, se lève et s'éloigne.</v>
      </c>
    </row>
    <row r="33756">
      <c r="A33756" s="4" t="s">
        <v>42477</v>
      </c>
      <c r="B33756" s="4" t="s">
        <v>42478</v>
      </c>
      <c r="C33756" s="5" t="str">
        <f>IFERROR(__xludf.DUMMYFUNCTION("GOOGLETRANSLATE(B33756,""en"",""fr"")"),"Nous voyons des hommes dans une pièce jouer à la piscine dans un tournoi.")</f>
        <v>Nous voyons des hommes dans une pièce jouer à la piscine dans un tournoi.</v>
      </c>
    </row>
    <row r="33757">
      <c r="A33757" s="4" t="s">
        <v>42477</v>
      </c>
      <c r="B33757" s="4" t="s">
        <v>42479</v>
      </c>
      <c r="C33757" s="5" t="str">
        <f>IFERROR(__xludf.DUMMYFUNCTION("GOOGLETRANSLATE(B33757,""en"",""fr"")"),"L'homme dans la chemise bleue s'approche pour tirer.")</f>
        <v>L'homme dans la chemise bleue s'approche pour tirer.</v>
      </c>
    </row>
    <row r="33758">
      <c r="A33758" s="4" t="s">
        <v>42477</v>
      </c>
      <c r="B33758" s="4" t="s">
        <v>42480</v>
      </c>
      <c r="C33758" s="5" t="str">
        <f>IFERROR(__xludf.DUMMYFUNCTION("GOOGLETRANSLATE(B33758,""en"",""fr"")"),"L'homme s'éloigne pour échanger son bâton de piscine.")</f>
        <v>L'homme s'éloigne pour échanger son bâton de piscine.</v>
      </c>
    </row>
    <row r="33759">
      <c r="A33759" s="4" t="s">
        <v>42477</v>
      </c>
      <c r="B33759" s="4" t="s">
        <v>42481</v>
      </c>
      <c r="C33759" s="5" t="str">
        <f>IFERROR(__xludf.DUMMYFUNCTION("GOOGLETRANSLATE(B33759,""en"",""fr"")"),"L'homme en bleu fait son tir.")</f>
        <v>L'homme en bleu fait son tir.</v>
      </c>
    </row>
    <row r="33760">
      <c r="A33760" s="4" t="s">
        <v>42477</v>
      </c>
      <c r="B33760" s="4" t="s">
        <v>42482</v>
      </c>
      <c r="C33760" s="5" t="str">
        <f>IFERROR(__xludf.DUMMYFUNCTION("GOOGLETRANSLATE(B33760,""en"",""fr"")"),"L'homme prend alors un autre coup.")</f>
        <v>L'homme prend alors un autre coup.</v>
      </c>
    </row>
    <row r="33761">
      <c r="A33761" s="4" t="s">
        <v>42477</v>
      </c>
      <c r="B33761" s="4" t="s">
        <v>42483</v>
      </c>
      <c r="C33761" s="5" t="str">
        <f>IFERROR(__xludf.DUMMYFUNCTION("GOOGLETRANSLATE(B33761,""en"",""fr"")"),"L'homme prend son troisième coup.")</f>
        <v>L'homme prend son troisième coup.</v>
      </c>
    </row>
    <row r="33762">
      <c r="A33762" s="4" t="s">
        <v>42477</v>
      </c>
      <c r="B33762" s="4" t="s">
        <v>42484</v>
      </c>
      <c r="C33762" s="5" t="str">
        <f>IFERROR(__xludf.DUMMYFUNCTION("GOOGLETRANSLATE(B33762,""en"",""fr"")"),"L'homme fait son quatrième coup.")</f>
        <v>L'homme fait son quatrième coup.</v>
      </c>
    </row>
    <row r="33763">
      <c r="A33763" s="4" t="s">
        <v>42477</v>
      </c>
      <c r="B33763" s="4" t="s">
        <v>42485</v>
      </c>
      <c r="C33763" s="5" t="str">
        <f>IFERROR(__xludf.DUMMYFUNCTION("GOOGLETRANSLATE(B33763,""en"",""fr"")"),"L'homme fait son dernier tir.")</f>
        <v>L'homme fait son dernier tir.</v>
      </c>
    </row>
    <row r="33764">
      <c r="A33764" s="4" t="s">
        <v>42486</v>
      </c>
      <c r="B33764" s="4" t="s">
        <v>42487</v>
      </c>
      <c r="C33764" s="5" t="str">
        <f>IFERROR(__xludf.DUMMYFUNCTION("GOOGLETRANSLATE(B33764,""en"",""fr"")"),"Une intro mène à une femme parlant à la caméra tandis que plusieurs skiers roulent autour d'elle.")</f>
        <v>Une intro mène à une femme parlant à la caméra tandis que plusieurs skiers roulent autour d'elle.</v>
      </c>
    </row>
    <row r="33765">
      <c r="A33765" s="4" t="s">
        <v>42486</v>
      </c>
      <c r="B33765" s="6" t="s">
        <v>42488</v>
      </c>
      <c r="C33765" s="5" t="str">
        <f>IFERROR(__xludf.DUMMYFUNCTION("GOOGLETRANSLATE(B33765,""en"",""fr"")"),"La caméra suit la fille qui roule sur une colline enneigée ainsi que les ascenseurs de ski et parlant à nouveau à la caméra.")</f>
        <v>La caméra suit la fille qui roule sur une colline enneigée ainsi que les ascenseurs de ski et parlant à nouveau à la caméra.</v>
      </c>
    </row>
    <row r="33766">
      <c r="A33766" s="4" t="s">
        <v>42486</v>
      </c>
      <c r="B33766" s="6" t="s">
        <v>42489</v>
      </c>
      <c r="C33766" s="5" t="str">
        <f>IFERROR(__xludf.DUMMYFUNCTION("GOOGLETRANSLATE(B33766,""en"",""fr"")"),"Plusieurs autres photos de son ski sont montrées et se termine par son agitant vers la caméra et diverses photos de skieurs.")</f>
        <v>Plusieurs autres photos de son ski sont montrées et se termine par son agitant vers la caméra et diverses photos de skieurs.</v>
      </c>
    </row>
    <row r="33767">
      <c r="A33767" s="4" t="s">
        <v>42490</v>
      </c>
      <c r="B33767" s="4" t="s">
        <v>42491</v>
      </c>
      <c r="C33767" s="5" t="str">
        <f>IFERROR(__xludf.DUMMYFUNCTION("GOOGLETRANSLATE(B33767,""en"",""fr"")"),"On voit deux personnes jouer à un jeu de ping-pong.")</f>
        <v>On voit deux personnes jouer à un jeu de ping-pong.</v>
      </c>
    </row>
    <row r="33768">
      <c r="A33768" s="4" t="s">
        <v>42490</v>
      </c>
      <c r="B33768" s="4" t="s">
        <v>42492</v>
      </c>
      <c r="C33768" s="5" t="str">
        <f>IFERROR(__xludf.DUMMYFUNCTION("GOOGLETRANSLATE(B33768,""en"",""fr"")"),"Ils ont frappé le ballon en arrière et quatrième à travers la table pendant que les gens regardent sur les côtés.")</f>
        <v>Ils ont frappé le ballon en arrière et quatrième à travers la table pendant que les gens regardent sur les côtés.</v>
      </c>
    </row>
    <row r="33769">
      <c r="A33769" s="4" t="s">
        <v>42490</v>
      </c>
      <c r="B33769" s="4" t="s">
        <v>42493</v>
      </c>
      <c r="C33769" s="5" t="str">
        <f>IFERROR(__xludf.DUMMYFUNCTION("GOOGLETRANSLATE(B33769,""en"",""fr"")"),"Les garçons continuent de jouer et quatrième tout en changeant de lieux et en regardant vers la caméra.")</f>
        <v>Les garçons continuent de jouer et quatrième tout en changeant de lieux et en regardant vers la caméra.</v>
      </c>
    </row>
    <row r="33770">
      <c r="A33770" s="4" t="s">
        <v>42494</v>
      </c>
      <c r="B33770" s="6" t="s">
        <v>42495</v>
      </c>
      <c r="C33770" s="5" t="str">
        <f>IFERROR(__xludf.DUMMYFUNCTION("GOOGLETRANSLATE(B33770,""en"",""fr"")"),"Une personne est vue debout derrière un vélo parlant à la caméra et montrant des gros plans du vélo.")</f>
        <v>Une personne est vue debout derrière un vélo parlant à la caméra et montrant des gros plans du vélo.</v>
      </c>
    </row>
    <row r="33771">
      <c r="A33771" s="4" t="s">
        <v>42494</v>
      </c>
      <c r="B33771" s="6" t="s">
        <v>42496</v>
      </c>
      <c r="C33771" s="5" t="str">
        <f>IFERROR(__xludf.DUMMYFUNCTION("GOOGLETRANSLATE(B33771,""en"",""fr"")"),"La personne continue de parler tout en montrant son équipement et mène à lui en ajustant les paramètres de son vélo.")</f>
        <v>La personne continue de parler tout en montrant son équipement et mène à lui en ajustant les paramètres de son vélo.</v>
      </c>
    </row>
    <row r="33772">
      <c r="A33772" s="4" t="s">
        <v>42497</v>
      </c>
      <c r="B33772" s="4" t="s">
        <v>42498</v>
      </c>
      <c r="C33772" s="5" t="str">
        <f>IFERROR(__xludf.DUMMYFUNCTION("GOOGLETRANSLATE(B33772,""en"",""fr"")"),"Une femme vêtue d'un haut noir parle de services de toilettage américain pour animaux de compagnie.")</f>
        <v>Une femme vêtue d'un haut noir parle de services de toilettage américain pour animaux de compagnie.</v>
      </c>
    </row>
    <row r="33773">
      <c r="A33773" s="4" t="s">
        <v>42497</v>
      </c>
      <c r="B33773" s="4" t="s">
        <v>42499</v>
      </c>
      <c r="C33773" s="5" t="str">
        <f>IFERROR(__xludf.DUMMYFUNCTION("GOOGLETRANSLATE(B33773,""en"",""fr"")"),"Elle démontre tous les différents services de toilettage que son entreprise fournit pour les animaux de compagnie.")</f>
        <v>Elle démontre tous les différents services de toilettage que son entreprise fournit pour les animaux de compagnie.</v>
      </c>
    </row>
    <row r="33774">
      <c r="A33774" s="4" t="s">
        <v>42497</v>
      </c>
      <c r="B33774" s="4" t="s">
        <v>42500</v>
      </c>
      <c r="C33774" s="5" t="str">
        <f>IFERROR(__xludf.DUMMYFUNCTION("GOOGLETRANSLATE(B33774,""en"",""fr"")"),"Il y a plusieurs toiletteurs qui travaillent sur des chiens alors qu'ils coupent et cisaillent les poils pour animaux de compagnie et coupent leurs ongles.")</f>
        <v>Il y a plusieurs toiletteurs qui travaillent sur des chiens alors qu'ils coupent et cisaillent les poils pour animaux de compagnie et coupent leurs ongles.</v>
      </c>
    </row>
    <row r="33775">
      <c r="A33775" s="4" t="s">
        <v>42497</v>
      </c>
      <c r="B33775" s="4" t="s">
        <v>42501</v>
      </c>
      <c r="C33775" s="5" t="str">
        <f>IFERROR(__xludf.DUMMYFUNCTION("GOOGLETRANSLATE(B33775,""en"",""fr"")"),"Les toiletteurs parlent d'où ils ont obtenu leur diplôme et de la façon dont ils ont été embauchés pour le travail.")</f>
        <v>Les toiletteurs parlent d'où ils ont obtenu leur diplôme et de la façon dont ils ont été embauchés pour le travail.</v>
      </c>
    </row>
    <row r="33776">
      <c r="A33776" s="4" t="s">
        <v>42497</v>
      </c>
      <c r="B33776" s="6" t="s">
        <v>42502</v>
      </c>
      <c r="C33776" s="5" t="str">
        <f>IFERROR(__xludf.DUMMYFUNCTION("GOOGLETRANSLATE(B33776,""en"",""fr"")"),"La vidéo montre comment différents chiens sont soignés par des toiletteurs professionnels qui fournissent des services de qualité.")</f>
        <v>La vidéo montre comment différents chiens sont soignés par des toiletteurs professionnels qui fournissent des services de qualité.</v>
      </c>
    </row>
    <row r="33777">
      <c r="A33777" s="4" t="s">
        <v>42503</v>
      </c>
      <c r="B33777" s="6" t="s">
        <v>42504</v>
      </c>
      <c r="C33777" s="5" t="str">
        <f>IFERROR(__xludf.DUMMYFUNCTION("GOOGLETRANSLATE(B33777,""en"",""fr"")"),"Diverses plans de personnes se promenant dans une montagne enneigée sont représentés, suivis d'une personne jouant à des jeux sur des chevaux.")</f>
        <v>Diverses plans de personnes se promenant dans une montagne enneigée sont représentés, suivis d'une personne jouant à des jeux sur des chevaux.</v>
      </c>
    </row>
    <row r="33778">
      <c r="A33778" s="4" t="s">
        <v>42503</v>
      </c>
      <c r="B33778" s="6" t="s">
        <v>42505</v>
      </c>
      <c r="C33778" s="5" t="str">
        <f>IFERROR(__xludf.DUMMYFUNCTION("GOOGLETRANSLATE(B33778,""en"",""fr"")"),"De nombreuses personnes haut de gamme sont vues regarder sur la touche pendant que le match de cheval continue et un gagnant est choisi.")</f>
        <v>De nombreuses personnes haut de gamme sont vues regarder sur la touche pendant que le match de cheval continue et un gagnant est choisi.</v>
      </c>
    </row>
    <row r="33779">
      <c r="A33779" s="4" t="s">
        <v>42503</v>
      </c>
      <c r="B33779" s="4" t="s">
        <v>42506</v>
      </c>
      <c r="C33779" s="5" t="str">
        <f>IFERROR(__xludf.DUMMYFUNCTION("GOOGLETRANSLATE(B33779,""en"",""fr"")"),"Les gens arrivent ensuite tard dans la nuit déguisés et posant pour des photos.")</f>
        <v>Les gens arrivent ensuite tard dans la nuit déguisés et posant pour des photos.</v>
      </c>
    </row>
    <row r="33780">
      <c r="A33780" s="4" t="s">
        <v>42507</v>
      </c>
      <c r="B33780" s="6" t="s">
        <v>42508</v>
      </c>
      <c r="C33780" s="5" t="str">
        <f>IFERROR(__xludf.DUMMYFUNCTION("GOOGLETRANSLATE(B33780,""en"",""fr"")"),"Un petit groupe de personnes est tous vu jouer divers matchs de ping-pong les uns avec les autres dans une ligne de tables.")</f>
        <v>Un petit groupe de personnes est tous vu jouer divers matchs de ping-pong les uns avec les autres dans une ligne de tables.</v>
      </c>
    </row>
    <row r="33781">
      <c r="A33781" s="4" t="s">
        <v>42507</v>
      </c>
      <c r="B33781" s="6" t="s">
        <v>42509</v>
      </c>
      <c r="C33781" s="5" t="str">
        <f>IFERROR(__xludf.DUMMYFUNCTION("GOOGLETRANSLATE(B33781,""en"",""fr"")"),"Les gens continuent de frapper le ballon et la quatrième tandis que la caméra les capture sous différents angles et un gros plan d'un jeune garçon à la fin.")</f>
        <v>Les gens continuent de frapper le ballon et la quatrième tandis que la caméra les capture sous différents angles et un gros plan d'un jeune garçon à la fin.</v>
      </c>
    </row>
    <row r="33782">
      <c r="A33782" s="4" t="s">
        <v>42510</v>
      </c>
      <c r="B33782" s="4" t="s">
        <v>42511</v>
      </c>
      <c r="C33782" s="5" t="str">
        <f>IFERROR(__xludf.DUMMYFUNCTION("GOOGLETRANSLATE(B33782,""en"",""fr"")"),"Une femme est assise à une table dans un restaurant rapide en mangeant.")</f>
        <v>Une femme est assise à une table dans un restaurant rapide en mangeant.</v>
      </c>
    </row>
    <row r="33783">
      <c r="A33783" s="4" t="s">
        <v>42510</v>
      </c>
      <c r="B33783" s="4" t="s">
        <v>42512</v>
      </c>
      <c r="C33783" s="5" t="str">
        <f>IFERROR(__xludf.DUMMYFUNCTION("GOOGLETRANSLATE(B33783,""en"",""fr"")"),"Elle ne parle continuellement à personne comme elle mange.")</f>
        <v>Elle ne parle continuellement à personne comme elle mange.</v>
      </c>
    </row>
    <row r="33784">
      <c r="A33784" s="4" t="s">
        <v>42510</v>
      </c>
      <c r="B33784" s="4" t="s">
        <v>42513</v>
      </c>
      <c r="C33784" s="5" t="str">
        <f>IFERROR(__xludf.DUMMYFUNCTION("GOOGLETRANSLATE(B33784,""en"",""fr"")"),"Elle se lève et attrape son sac, continuant à parler et à rire en partant.")</f>
        <v>Elle se lève et attrape son sac, continuant à parler et à rire en partant.</v>
      </c>
    </row>
    <row r="33785">
      <c r="A33785" s="4" t="s">
        <v>42514</v>
      </c>
      <c r="B33785" s="4" t="s">
        <v>42515</v>
      </c>
      <c r="C33785" s="5" t="str">
        <f>IFERROR(__xludf.DUMMYFUNCTION("GOOGLETRANSLATE(B33785,""en"",""fr"")"),"Nous voyons un radeau plein de gens dans une rivière Rough et voyons beaucoup d'images fixes.")</f>
        <v>Nous voyons un radeau plein de gens dans une rivière Rough et voyons beaucoup d'images fixes.</v>
      </c>
    </row>
    <row r="33786">
      <c r="A33786" s="4" t="s">
        <v>42514</v>
      </c>
      <c r="B33786" s="4" t="s">
        <v>42516</v>
      </c>
      <c r="C33786" s="5" t="str">
        <f>IFERROR(__xludf.DUMMYFUNCTION("GOOGLETRANSLATE(B33786,""en"",""fr"")"),"Nous voyons les gens en clichés.")</f>
        <v>Nous voyons les gens en clichés.</v>
      </c>
    </row>
    <row r="33787">
      <c r="A33787" s="4" t="s">
        <v>42514</v>
      </c>
      <c r="B33787" s="4" t="s">
        <v>42517</v>
      </c>
      <c r="C33787" s="5" t="str">
        <f>IFERROR(__xludf.DUMMYFUNCTION("GOOGLETRANSLATE(B33787,""en"",""fr"")"),"Nous voyons l'écran de titre.")</f>
        <v>Nous voyons l'écran de titre.</v>
      </c>
    </row>
    <row r="33788">
      <c r="A33788" s="4" t="s">
        <v>42514</v>
      </c>
      <c r="B33788" s="4" t="s">
        <v>42518</v>
      </c>
      <c r="C33788" s="5" t="str">
        <f>IFERROR(__xludf.DUMMYFUNCTION("GOOGLETRANSLATE(B33788,""en"",""fr"")"),"Nous voyons un hélicoptère sur une rivière.")</f>
        <v>Nous voyons un hélicoptère sur une rivière.</v>
      </c>
    </row>
    <row r="33789">
      <c r="A33789" s="4" t="s">
        <v>42514</v>
      </c>
      <c r="B33789" s="4" t="s">
        <v>42519</v>
      </c>
      <c r="C33789" s="5" t="str">
        <f>IFERROR(__xludf.DUMMYFUNCTION("GOOGLETRANSLATE(B33789,""en"",""fr"")"),"Le radeau se retourne et une dame rit.")</f>
        <v>Le radeau se retourne et une dame rit.</v>
      </c>
    </row>
    <row r="33790">
      <c r="A33790" s="4" t="s">
        <v>42514</v>
      </c>
      <c r="B33790" s="4" t="s">
        <v>42520</v>
      </c>
      <c r="C33790" s="5" t="str">
        <f>IFERROR(__xludf.DUMMYFUNCTION("GOOGLETRANSLATE(B33790,""en"",""fr"")"),"Nous voyons un bus conduire dans la rue.")</f>
        <v>Nous voyons un bus conduire dans la rue.</v>
      </c>
    </row>
    <row r="33791">
      <c r="A33791" s="4" t="s">
        <v>42514</v>
      </c>
      <c r="B33791" s="4" t="s">
        <v>42521</v>
      </c>
      <c r="C33791" s="5" t="str">
        <f>IFERROR(__xludf.DUMMYFUNCTION("GOOGLETRANSLATE(B33791,""en"",""fr"")"),"Nous voyons le canyon de loin.")</f>
        <v>Nous voyons le canyon de loin.</v>
      </c>
    </row>
    <row r="33792">
      <c r="A33792" s="4" t="s">
        <v>42514</v>
      </c>
      <c r="B33792" s="4" t="s">
        <v>42522</v>
      </c>
      <c r="C33792" s="5" t="str">
        <f>IFERROR(__xludf.DUMMYFUNCTION("GOOGLETRANSLATE(B33792,""en"",""fr"")"),"Nous voyons un tunnel et un hors-bord.")</f>
        <v>Nous voyons un tunnel et un hors-bord.</v>
      </c>
    </row>
    <row r="33793">
      <c r="A33793" s="4" t="s">
        <v>42514</v>
      </c>
      <c r="B33793" s="4" t="s">
        <v>42523</v>
      </c>
      <c r="C33793" s="5" t="str">
        <f>IFERROR(__xludf.DUMMYFUNCTION("GOOGLETRANSLATE(B33793,""en"",""fr"")"),"Nous voyons encore des photos des chevrons.")</f>
        <v>Nous voyons encore des photos des chevrons.</v>
      </c>
    </row>
    <row r="33794">
      <c r="A33794" s="4" t="s">
        <v>42514</v>
      </c>
      <c r="B33794" s="4" t="s">
        <v>777</v>
      </c>
      <c r="C33794" s="5" t="str">
        <f>IFERROR(__xludf.DUMMYFUNCTION("GOOGLETRANSLATE(B33794,""en"",""fr"")"),"Nous voyons l'écran du titre de fin.")</f>
        <v>Nous voyons l'écran du titre de fin.</v>
      </c>
    </row>
    <row r="33795">
      <c r="A33795" s="4" t="s">
        <v>42524</v>
      </c>
      <c r="B33795" s="4" t="s">
        <v>42525</v>
      </c>
      <c r="C33795" s="5" t="str">
        <f>IFERROR(__xludf.DUMMYFUNCTION("GOOGLETRANSLATE(B33795,""en"",""fr"")"),"Un homme est vu pousser une planche vers le bas dans le sol pour pousser le tapis vers le bas.")</f>
        <v>Un homme est vu pousser une planche vers le bas dans le sol pour pousser le tapis vers le bas.</v>
      </c>
    </row>
    <row r="33796">
      <c r="A33796" s="4" t="s">
        <v>42524</v>
      </c>
      <c r="B33796" s="4" t="s">
        <v>42526</v>
      </c>
      <c r="C33796" s="5" t="str">
        <f>IFERROR(__xludf.DUMMYFUNCTION("GOOGLETRANSLATE(B33796,""en"",""fr"")"),"Il continue de couper autour du tapis et de le pousser avec un grand faisceau.")</f>
        <v>Il continue de couper autour du tapis et de le pousser avec un grand faisceau.</v>
      </c>
    </row>
    <row r="33797">
      <c r="A33797" s="4" t="s">
        <v>42527</v>
      </c>
      <c r="B33797" s="4" t="s">
        <v>42528</v>
      </c>
      <c r="C33797" s="5" t="str">
        <f>IFERROR(__xludf.DUMMYFUNCTION("GOOGLETRANSLATE(B33797,""en"",""fr"")"),"Un taureau dans un anneau commence à courir après deux hommes.")</f>
        <v>Un taureau dans un anneau commence à courir après deux hommes.</v>
      </c>
    </row>
    <row r="33798">
      <c r="A33798" s="4" t="s">
        <v>42527</v>
      </c>
      <c r="B33798" s="4" t="s">
        <v>42529</v>
      </c>
      <c r="C33798" s="5" t="str">
        <f>IFERROR(__xludf.DUMMYFUNCTION("GOOGLETRANSLATE(B33798,""en"",""fr"")"),"Plusieurs autres courent sur le ring et le taureau se retourne alors qu'ils saisissent ses cornes et sa queue.")</f>
        <v>Plusieurs autres courent sur le ring et le taureau se retourne alors qu'ils saisissent ses cornes et sa queue.</v>
      </c>
    </row>
    <row r="33799">
      <c r="A33799" s="4" t="s">
        <v>42527</v>
      </c>
      <c r="B33799" s="4" t="s">
        <v>42530</v>
      </c>
      <c r="C33799" s="5" t="str">
        <f>IFERROR(__xludf.DUMMYFUNCTION("GOOGLETRANSLATE(B33799,""en"",""fr"")"),"Ils ouvrent la porte, mais ne parviennent pas à récupérer le taureau à l'intérieur alors qu'il les charge.")</f>
        <v>Ils ouvrent la porte, mais ne parviennent pas à récupérer le taureau à l'intérieur alors qu'il les charge.</v>
      </c>
    </row>
    <row r="33800">
      <c r="A33800" s="4" t="s">
        <v>42531</v>
      </c>
      <c r="B33800" s="4" t="s">
        <v>42532</v>
      </c>
      <c r="C33800" s="5" t="str">
        <f>IFERROR(__xludf.DUMMYFUNCTION("GOOGLETRANSLATE(B33800,""en"",""fr"")"),"Une personne montre et explique un pressage de citron et montre que la pièce était le citron.")</f>
        <v>Une personne montre et explique un pressage de citron et montre que la pièce était le citron.</v>
      </c>
    </row>
    <row r="33801">
      <c r="A33801" s="4" t="s">
        <v>42531</v>
      </c>
      <c r="B33801" s="4" t="s">
        <v>42533</v>
      </c>
      <c r="C33801" s="5" t="str">
        <f>IFERROR(__xludf.DUMMYFUNCTION("GOOGLETRANSLATE(B33801,""en"",""fr"")"),"Ensuite, la personne pointe vers deux cruches sur une table.")</f>
        <v>Ensuite, la personne pointe vers deux cruches sur une table.</v>
      </c>
    </row>
    <row r="33802">
      <c r="A33802" s="4" t="s">
        <v>42531</v>
      </c>
      <c r="B33802" s="6" t="s">
        <v>42534</v>
      </c>
      <c r="C33802" s="5" t="str">
        <f>IFERROR(__xludf.DUMMYFUNCTION("GOOGLETRANSLATE(B33802,""en"",""fr"")"),"Ensuite, la personne met de la glace dans une tasse, puis pressez un citron à l'aide du pressage de citron, ajoutez du sirop et de l'eau des cruches.")</f>
        <v>Ensuite, la personne met de la glace dans une tasse, puis pressez un citron à l'aide du pressage de citron, ajoutez du sirop et de l'eau des cruches.</v>
      </c>
    </row>
    <row r="33803">
      <c r="A33803" s="4" t="s">
        <v>42531</v>
      </c>
      <c r="B33803" s="4" t="s">
        <v>42535</v>
      </c>
      <c r="C33803" s="5" t="str">
        <f>IFERROR(__xludf.DUMMYFUNCTION("GOOGLETRANSLATE(B33803,""en"",""fr"")"),"Ensuite, la personne a mis une couverture sur la tasse et secouer le mélange.")</f>
        <v>Ensuite, la personne a mis une couverture sur la tasse et secouer le mélange.</v>
      </c>
    </row>
    <row r="33804">
      <c r="A33804" s="4" t="s">
        <v>42536</v>
      </c>
      <c r="B33804" s="4" t="s">
        <v>42537</v>
      </c>
      <c r="C33804" s="5" t="str">
        <f>IFERROR(__xludf.DUMMYFUNCTION("GOOGLETRANSLATE(B33804,""en"",""fr"")"),"Une femme travaille sur une machine elliptique.")</f>
        <v>Une femme travaille sur une machine elliptique.</v>
      </c>
    </row>
    <row r="33805">
      <c r="A33805" s="4" t="s">
        <v>42536</v>
      </c>
      <c r="B33805" s="4" t="s">
        <v>37573</v>
      </c>
      <c r="C33805" s="5" t="str">
        <f>IFERROR(__xludf.DUMMYFUNCTION("GOOGLETRANSLATE(B33805,""en"",""fr"")"),"Un homme s'entraîne sur une machine elliptique.")</f>
        <v>Un homme s'entraîne sur une machine elliptique.</v>
      </c>
    </row>
    <row r="33806">
      <c r="A33806" s="4" t="s">
        <v>42536</v>
      </c>
      <c r="B33806" s="4" t="s">
        <v>42538</v>
      </c>
      <c r="C33806" s="5" t="str">
        <f>IFERROR(__xludf.DUMMYFUNCTION("GOOGLETRANSLATE(B33806,""en"",""fr"")"),"Une personne branche un téléphone portable dans la machine.")</f>
        <v>Une personne branche un téléphone portable dans la machine.</v>
      </c>
    </row>
    <row r="33807">
      <c r="A33807" s="4" t="s">
        <v>42539</v>
      </c>
      <c r="B33807" s="6" t="s">
        <v>42540</v>
      </c>
      <c r="C33807" s="5" t="str">
        <f>IFERROR(__xludf.DUMMYFUNCTION("GOOGLETRANSLATE(B33807,""en"",""fr"")"),"La ville avec des bâtiments et des gratte-ciel est à l'arrière et une femme qui tient un gâteau marche et est écrit comment envelopper des cadeaux.")</f>
        <v>La ville avec des bâtiments et des gratte-ciel est à l'arrière et une femme qui tient un gâteau marche et est écrit comment envelopper des cadeaux.</v>
      </c>
    </row>
    <row r="33808">
      <c r="A33808" s="4" t="s">
        <v>42539</v>
      </c>
      <c r="B33808" s="6" t="s">
        <v>42541</v>
      </c>
      <c r="C33808" s="5" t="str">
        <f>IFERROR(__xludf.DUMMYFUNCTION("GOOGLETRANSLATE(B33808,""en"",""fr"")"),"WMOAN est assis dans une table et a une boîte et une enveloppe cadeau sur le dessus et il montre comment envelopper le cadeau et en parler.")</f>
        <v>WMOAN est assis dans une table et a une boîte et une enveloppe cadeau sur le dessus et il montre comment envelopper le cadeau et en parler.</v>
      </c>
    </row>
    <row r="33809">
      <c r="A33809" s="4" t="s">
        <v>42539</v>
      </c>
      <c r="B33809" s="6" t="s">
        <v>42542</v>
      </c>
      <c r="C33809" s="5" t="str">
        <f>IFERROR(__xludf.DUMMYFUNCTION("GOOGLETRANSLATE(B33809,""en"",""fr"")"),"Les bandes décoatives sont utilisées pour faire un ruban dans le cadeau et montre comment faire des rubans avec des vêtements différents.")</f>
        <v>Les bandes décoatives sont utilisées pour faire un ruban dans le cadeau et montre comment faire des rubans avec des vêtements différents.</v>
      </c>
    </row>
    <row r="33810">
      <c r="A33810" s="4" t="s">
        <v>42543</v>
      </c>
      <c r="B33810" s="4" t="s">
        <v>42544</v>
      </c>
      <c r="C33810" s="5" t="str">
        <f>IFERROR(__xludf.DUMMYFUNCTION("GOOGLETRANSLATE(B33810,""en"",""fr"")"),"Une jeune fille joue un accordéan.")</f>
        <v>Une jeune fille joue un accordéan.</v>
      </c>
    </row>
    <row r="33811">
      <c r="A33811" s="4" t="s">
        <v>42543</v>
      </c>
      <c r="B33811" s="4" t="s">
        <v>42545</v>
      </c>
      <c r="C33811" s="5" t="str">
        <f>IFERROR(__xludf.DUMMYFUNCTION("GOOGLETRANSLATE(B33811,""en"",""fr"")"),"La fille tourne la tête vers la droite.")</f>
        <v>La fille tourne la tête vers la droite.</v>
      </c>
    </row>
    <row r="33812">
      <c r="A33812" s="4" t="s">
        <v>42543</v>
      </c>
      <c r="B33812" s="4" t="s">
        <v>42546</v>
      </c>
      <c r="C33812" s="5" t="str">
        <f>IFERROR(__xludf.DUMMYFUNCTION("GOOGLETRANSLATE(B33812,""en"",""fr"")"),"La fille joue ralentit.")</f>
        <v>La fille joue ralentit.</v>
      </c>
    </row>
    <row r="33813">
      <c r="A33813" s="4" t="s">
        <v>42547</v>
      </c>
      <c r="B33813" s="6" t="s">
        <v>42548</v>
      </c>
      <c r="C33813" s="5" t="str">
        <f>IFERROR(__xludf.DUMMYFUNCTION("GOOGLETRANSLATE(B33813,""en"",""fr"")"),"Une femme est vue en train de se couverte de ses cheveux tout en parlant à la caméra et mène à elle parler devant les juges.")</f>
        <v>Une femme est vue en train de se couverte de ses cheveux tout en parlant à la caméra et mène à elle parler devant les juges.</v>
      </c>
    </row>
    <row r="33814">
      <c r="A33814" s="4" t="s">
        <v>42547</v>
      </c>
      <c r="B33814" s="4" t="s">
        <v>42549</v>
      </c>
      <c r="C33814" s="5" t="str">
        <f>IFERROR(__xludf.DUMMYFUNCTION("GOOGLETRANSLATE(B33814,""en"",""fr"")"),"Les juges la critiquent et elle s'enfuit heureuse et sautant du bâtiment.")</f>
        <v>Les juges la critiquent et elle s'enfuit heureuse et sautant du bâtiment.</v>
      </c>
    </row>
    <row r="33815">
      <c r="A33815" s="4" t="s">
        <v>42550</v>
      </c>
      <c r="B33815" s="4" t="s">
        <v>42551</v>
      </c>
      <c r="C33815" s="5" t="str">
        <f>IFERROR(__xludf.DUMMYFUNCTION("GOOGLETRANSLATE(B33815,""en"",""fr"")"),"Deux hommes sont assis, avec leurs chaussures en vue.")</f>
        <v>Deux hommes sont assis, avec leurs chaussures en vue.</v>
      </c>
    </row>
    <row r="33816">
      <c r="A33816" s="4" t="s">
        <v>42550</v>
      </c>
      <c r="B33816" s="4" t="s">
        <v>42552</v>
      </c>
      <c r="C33816" s="5" t="str">
        <f>IFERROR(__xludf.DUMMYFUNCTION("GOOGLETRANSLATE(B33816,""en"",""fr"")"),"Un homme prend une chaussure et le met sur son pied.")</f>
        <v>Un homme prend une chaussure et le met sur son pied.</v>
      </c>
    </row>
    <row r="33817">
      <c r="A33817" s="4" t="s">
        <v>42550</v>
      </c>
      <c r="B33817" s="4" t="s">
        <v>42553</v>
      </c>
      <c r="C33817" s="5" t="str">
        <f>IFERROR(__xludf.DUMMYFUNCTION("GOOGLETRANSLATE(B33817,""en"",""fr"")"),"Il applique ensuite l'autre chaussure, puis attache les lacets.")</f>
        <v>Il applique ensuite l'autre chaussure, puis attache les lacets.</v>
      </c>
    </row>
    <row r="33818">
      <c r="A33818" s="4" t="s">
        <v>42554</v>
      </c>
      <c r="B33818" s="4" t="s">
        <v>42555</v>
      </c>
      <c r="C33818" s="5" t="str">
        <f>IFERROR(__xludf.DUMMYFUNCTION("GOOGLETRANSLATE(B33818,""en"",""fr"")"),"L'homme mâche de la gomme assis sur les notes.")</f>
        <v>L'homme mâche de la gomme assis sur les notes.</v>
      </c>
    </row>
    <row r="33819">
      <c r="A33819" s="4" t="s">
        <v>42554</v>
      </c>
      <c r="B33819" s="4" t="s">
        <v>42556</v>
      </c>
      <c r="C33819" s="5" t="str">
        <f>IFERROR(__xludf.DUMMYFUNCTION("GOOGLETRANSLATE(B33819,""en"",""fr"")"),"L'homme est debout sur Ractrack tenant un grand poteau et court pour faire un lancer de javelot.")</f>
        <v>L'homme est debout sur Ractrack tenant un grand poteau et court pour faire un lancer de javelot.</v>
      </c>
    </row>
    <row r="33820">
      <c r="A33820" s="4" t="s">
        <v>42554</v>
      </c>
      <c r="B33820" s="4" t="s">
        <v>42557</v>
      </c>
      <c r="C33820" s="5" t="str">
        <f>IFERROR(__xludf.DUMMYFUNCTION("GOOGLETRANSLATE(B33820,""en"",""fr"")"),"Les gens descendent dans les escaliers.")</f>
        <v>Les gens descendent dans les escaliers.</v>
      </c>
    </row>
    <row r="33821">
      <c r="A33821" s="4" t="s">
        <v>42558</v>
      </c>
      <c r="B33821" s="4" t="s">
        <v>42559</v>
      </c>
      <c r="C33821" s="5" t="str">
        <f>IFERROR(__xludf.DUMMYFUNCTION("GOOGLETRANSLATE(B33821,""en"",""fr"")"),"Une personne se ruse les jambes.")</f>
        <v>Une personne se ruse les jambes.</v>
      </c>
    </row>
    <row r="33822">
      <c r="A33822" s="4" t="s">
        <v>42558</v>
      </c>
      <c r="B33822" s="4" t="s">
        <v>42560</v>
      </c>
      <c r="C33822" s="5" t="str">
        <f>IFERROR(__xludf.DUMMYFUNCTION("GOOGLETRANSLATE(B33822,""en"",""fr"")"),"Une main polie fait des gestes à la personne qui se rasent.")</f>
        <v>Une main polie fait des gestes à la personne qui se rasent.</v>
      </c>
    </row>
    <row r="33823">
      <c r="A33823" s="4" t="s">
        <v>42558</v>
      </c>
      <c r="B33823" s="4" t="s">
        <v>42561</v>
      </c>
      <c r="C33823" s="5" t="str">
        <f>IFERROR(__xludf.DUMMYFUNCTION("GOOGLETRANSLATE(B33823,""en"",""fr"")"),"La personne se détache de la tête pour voir sous sa jambe.")</f>
        <v>La personne se détache de la tête pour voir sous sa jambe.</v>
      </c>
    </row>
    <row r="33824">
      <c r="A33824" s="4" t="s">
        <v>42562</v>
      </c>
      <c r="B33824" s="6" t="s">
        <v>42563</v>
      </c>
      <c r="C33824" s="5" t="str">
        <f>IFERROR(__xludf.DUMMYFUNCTION("GOOGLETRANSLATE(B33824,""en"",""fr"")"),"Une femme est vue se pencher devant un grand ensemble de poids et commence à la soulever sur ses épaules.")</f>
        <v>Une femme est vue se pencher devant un grand ensemble de poids et commence à la soulever sur ses épaules.</v>
      </c>
    </row>
    <row r="33825">
      <c r="A33825" s="4" t="s">
        <v>42562</v>
      </c>
      <c r="B33825" s="4" t="s">
        <v>42564</v>
      </c>
      <c r="C33825" s="5" t="str">
        <f>IFERROR(__xludf.DUMMYFUNCTION("GOOGLETRANSLATE(B33825,""en"",""fr"")"),"Elle se penche ensuite et remet les poids à ses pieds.")</f>
        <v>Elle se penche ensuite et remet les poids à ses pieds.</v>
      </c>
    </row>
    <row r="33826">
      <c r="A33826" s="4" t="s">
        <v>42565</v>
      </c>
      <c r="B33826" s="4" t="s">
        <v>42566</v>
      </c>
      <c r="C33826" s="5" t="str">
        <f>IFERROR(__xludf.DUMMYFUNCTION("GOOGLETRANSLATE(B33826,""en"",""fr"")"),"Plusieurs photos sont présentées sur une plage et des paysages ainsi que des gens qui marchent sur la plage.")</f>
        <v>Plusieurs photos sont présentées sur une plage et des paysages ainsi que des gens qui marchent sur la plage.</v>
      </c>
    </row>
    <row r="33827">
      <c r="A33827" s="4" t="s">
        <v>42565</v>
      </c>
      <c r="B33827" s="4" t="s">
        <v>42567</v>
      </c>
      <c r="C33827" s="5" t="str">
        <f>IFERROR(__xludf.DUMMYFUNCTION("GOOGLETRANSLATE(B33827,""en"",""fr"")"),"Plusieurs clips sont ensuite représentés de personnes roulant le long de l'eau et surfent les vagues.")</f>
        <v>Plusieurs clips sont ensuite représentés de personnes roulant le long de l'eau et surfent les vagues.</v>
      </c>
    </row>
    <row r="33828">
      <c r="A33828" s="4" t="s">
        <v>42565</v>
      </c>
      <c r="B33828" s="4" t="s">
        <v>42568</v>
      </c>
      <c r="C33828" s="5" t="str">
        <f>IFERROR(__xludf.DUMMYFUNCTION("GOOGLETRANSLATE(B33828,""en"",""fr"")"),"Plus de coups de feu sont montrés des personnes surfant dans l'eau.")</f>
        <v>Plus de coups de feu sont montrés des personnes surfant dans l'eau.</v>
      </c>
    </row>
    <row r="33829">
      <c r="A33829" s="4" t="s">
        <v>42569</v>
      </c>
      <c r="B33829" s="4" t="s">
        <v>42570</v>
      </c>
      <c r="C33829" s="5" t="str">
        <f>IFERROR(__xludf.DUMMYFUNCTION("GOOGLETRANSLATE(B33829,""en"",""fr"")"),"Un homme est vu parler à une femme à l'extérieur qui mène à un jeu de ciseaux de papier rock.")</f>
        <v>Un homme est vu parler à une femme à l'extérieur qui mène à un jeu de ciseaux de papier rock.</v>
      </c>
    </row>
    <row r="33830">
      <c r="A33830" s="4" t="s">
        <v>42569</v>
      </c>
      <c r="B33830" s="6" t="s">
        <v>42571</v>
      </c>
      <c r="C33830" s="5" t="str">
        <f>IFERROR(__xludf.DUMMYFUNCTION("GOOGLETRANSLATE(B33830,""en"",""fr"")"),"Les filles giflent l'homme et il continue de jouer au jeu avec plusieurs autres filles dans la rue à divers endroits.")</f>
        <v>Les filles giflent l'homme et il continue de jouer au jeu avec plusieurs autres filles dans la rue à divers endroits.</v>
      </c>
    </row>
    <row r="33831">
      <c r="A33831" s="4" t="s">
        <v>42569</v>
      </c>
      <c r="B33831" s="4" t="s">
        <v>42572</v>
      </c>
      <c r="C33831" s="5" t="str">
        <f>IFERROR(__xludf.DUMMYFUNCTION("GOOGLETRANSLATE(B33831,""en"",""fr"")"),"Quand l'homme gagne, les filles l'embrassent sur la joue.")</f>
        <v>Quand l'homme gagne, les filles l'embrassent sur la joue.</v>
      </c>
    </row>
    <row r="33832">
      <c r="A33832" s="4" t="s">
        <v>42573</v>
      </c>
      <c r="B33832" s="4" t="s">
        <v>42574</v>
      </c>
      <c r="C33832" s="5" t="str">
        <f>IFERROR(__xludf.DUMMYFUNCTION("GOOGLETRANSLATE(B33832,""en"",""fr"")"),"Quatre personnes sont dans une piscine qui frappe le ballon d'avant en arrière sur le filet.")</f>
        <v>Quatre personnes sont dans une piscine qui frappe le ballon d'avant en arrière sur le filet.</v>
      </c>
    </row>
    <row r="33833">
      <c r="A33833" s="4" t="s">
        <v>42573</v>
      </c>
      <c r="B33833" s="6" t="s">
        <v>42575</v>
      </c>
      <c r="C33833" s="5" t="str">
        <f>IFERROR(__xludf.DUMMYFUNCTION("GOOGLETRANSLATE(B33833,""en"",""fr"")"),"Pendant qu'ils jouent, quelqu'un traverse la caméra, puis un ensemble de garçons est zoomé pendant qu'ils servent le ballon.")</f>
        <v>Pendant qu'ils jouent, quelqu'un traverse la caméra, puis un ensemble de garçons est zoomé pendant qu'ils servent le ballon.</v>
      </c>
    </row>
    <row r="33834">
      <c r="A33834" s="4" t="s">
        <v>42573</v>
      </c>
      <c r="B33834" s="4" t="s">
        <v>42576</v>
      </c>
      <c r="C33834" s="5" t="str">
        <f>IFERROR(__xludf.DUMMYFUNCTION("GOOGLETRANSLATE(B33834,""en"",""fr"")"),"Le ballon sort des deux côtés et ils sont obligés de sortir et d'y aller et de l'obtenir.")</f>
        <v>Le ballon sort des deux côtés et ils sont obligés de sortir et d'y aller et de l'obtenir.</v>
      </c>
    </row>
    <row r="33835">
      <c r="A33835" s="4" t="s">
        <v>42573</v>
      </c>
      <c r="B33835" s="4" t="s">
        <v>42577</v>
      </c>
      <c r="C33835" s="5" t="str">
        <f>IFERROR(__xludf.DUMMYFUNCTION("GOOGLETRANSLATE(B33835,""en"",""fr"")"),"Ils récupèrent le grand ballon de plage et continuent de le frapper sur le filet les uns aux autres.")</f>
        <v>Ils récupèrent le grand ballon de plage et continuent de le frapper sur le filet les uns aux autres.</v>
      </c>
    </row>
    <row r="33836">
      <c r="A33836" s="4" t="s">
        <v>42578</v>
      </c>
      <c r="B33836" s="4" t="s">
        <v>42579</v>
      </c>
      <c r="C33836" s="5" t="str">
        <f>IFERROR(__xludf.DUMMYFUNCTION("GOOGLETRANSLATE(B33836,""en"",""fr"")"),"Nous voyons une personne kitesufing dans la mer.")</f>
        <v>Nous voyons une personne kitesufing dans la mer.</v>
      </c>
    </row>
    <row r="33837">
      <c r="A33837" s="4" t="s">
        <v>42578</v>
      </c>
      <c r="B33837" s="4" t="s">
        <v>42580</v>
      </c>
      <c r="C33837" s="5" t="str">
        <f>IFERROR(__xludf.DUMMYFUNCTION("GOOGLETRANSLATE(B33837,""en"",""fr"")"),"La personne nous dépasse et se retourne.")</f>
        <v>La personne nous dépasse et se retourne.</v>
      </c>
    </row>
    <row r="33838">
      <c r="A33838" s="4" t="s">
        <v>42578</v>
      </c>
      <c r="B33838" s="4" t="s">
        <v>42581</v>
      </c>
      <c r="C33838" s="5" t="str">
        <f>IFERROR(__xludf.DUMMYFUNCTION("GOOGLETRANSLATE(B33838,""en"",""fr"")"),"La personne s'arrête avant de décoller.")</f>
        <v>La personne s'arrête avant de décoller.</v>
      </c>
    </row>
    <row r="33839">
      <c r="A33839" s="4" t="s">
        <v>42582</v>
      </c>
      <c r="B33839" s="6" t="s">
        <v>42583</v>
      </c>
      <c r="C33839" s="5" t="str">
        <f>IFERROR(__xludf.DUMMYFUNCTION("GOOGLETRANSLATE(B33839,""en"",""fr"")"),"Cinq personnes différentes jettent un cadeau dans les airs et un chien saute et attrape le cadeau dans sa bouche, le chien passe ensuite à la personne suivante et fait la même chose que beaucoup de gens le regardent à partir d'une distance.")</f>
        <v>Cinq personnes différentes jettent un cadeau dans les airs et un chien saute et attrape le cadeau dans sa bouche, le chien passe ensuite à la personne suivante et fait la même chose que beaucoup de gens le regardent à partir d'une distance.</v>
      </c>
    </row>
    <row r="33840">
      <c r="A33840" s="4" t="s">
        <v>42582</v>
      </c>
      <c r="B33840" s="4" t="s">
        <v>42584</v>
      </c>
      <c r="C33840" s="5" t="str">
        <f>IFERROR(__xludf.DUMMYFUNCTION("GOOGLETRANSLATE(B33840,""en"",""fr"")"),"Il y a maintenant deux chiens qui sautent les cadeaux qui attrapent l'air tout en faisant des tours.")</f>
        <v>Il y a maintenant deux chiens qui sautent les cadeaux qui attrapent l'air tout en faisant des tours.</v>
      </c>
    </row>
    <row r="33841">
      <c r="A33841" s="4" t="s">
        <v>42582</v>
      </c>
      <c r="B33841" s="6" t="s">
        <v>42585</v>
      </c>
      <c r="C33841" s="5" t="str">
        <f>IFERROR(__xludf.DUMMYFUNCTION("GOOGLETRANSLATE(B33841,""en"",""fr"")"),"Maintenant, il y a une dame avec un chien faisant des tours et le chien attrape le cadeau alors que la dame le jette en l'air.")</f>
        <v>Maintenant, il y a une dame avec un chien faisant des tours et le chien attrape le cadeau alors que la dame le jette en l'air.</v>
      </c>
    </row>
    <row r="33842">
      <c r="A33842" s="4" t="s">
        <v>42586</v>
      </c>
      <c r="B33842" s="4" t="s">
        <v>42587</v>
      </c>
      <c r="C33842" s="5" t="str">
        <f>IFERROR(__xludf.DUMMYFUNCTION("GOOGLETRANSLATE(B33842,""en"",""fr"")"),"Un homme enlève l'herbe autour d'un arbre.")</f>
        <v>Un homme enlève l'herbe autour d'un arbre.</v>
      </c>
    </row>
    <row r="33843">
      <c r="A33843" s="4" t="s">
        <v>42586</v>
      </c>
      <c r="B33843" s="4" t="s">
        <v>42588</v>
      </c>
      <c r="C33843" s="5" t="str">
        <f>IFERROR(__xludf.DUMMYFUNCTION("GOOGLETRANSLATE(B33843,""en"",""fr"")"),"L'homme est coincé et la tondeuse s'éteint, et l'homme doit tirer l'allumeur.")</f>
        <v>L'homme est coincé et la tondeuse s'éteint, et l'homme doit tirer l'allumeur.</v>
      </c>
    </row>
    <row r="33844">
      <c r="A33844" s="4" t="s">
        <v>42586</v>
      </c>
      <c r="B33844" s="4" t="s">
        <v>42589</v>
      </c>
      <c r="C33844" s="5" t="str">
        <f>IFERROR(__xludf.DUMMYFUNCTION("GOOGLETRANSLATE(B33844,""en"",""fr"")"),"Ensuite, l'homme continue de couper l'herbe autour de l'arbre.")</f>
        <v>Ensuite, l'homme continue de couper l'herbe autour de l'arbre.</v>
      </c>
    </row>
    <row r="33845">
      <c r="A33845" s="4" t="s">
        <v>42590</v>
      </c>
      <c r="B33845" s="4" t="s">
        <v>42591</v>
      </c>
      <c r="C33845" s="5" t="str">
        <f>IFERROR(__xludf.DUMMYFUNCTION("GOOGLETRANSLATE(B33845,""en"",""fr"")"),"Un homme est assis sur un taureau dans une porte.")</f>
        <v>Un homme est assis sur un taureau dans une porte.</v>
      </c>
    </row>
    <row r="33846">
      <c r="A33846" s="4" t="s">
        <v>42590</v>
      </c>
      <c r="B33846" s="4" t="s">
        <v>42592</v>
      </c>
      <c r="C33846" s="5" t="str">
        <f>IFERROR(__xludf.DUMMYFUNCTION("GOOGLETRANSLATE(B33846,""en"",""fr"")"),"Le taureau est libéré et un homme sur un cheval les poursuit.")</f>
        <v>Le taureau est libéré et un homme sur un cheval les poursuit.</v>
      </c>
    </row>
    <row r="33847">
      <c r="A33847" s="4" t="s">
        <v>42590</v>
      </c>
      <c r="B33847" s="4" t="s">
        <v>42593</v>
      </c>
      <c r="C33847" s="5" t="str">
        <f>IFERROR(__xludf.DUMMYFUNCTION("GOOGLETRANSLATE(B33847,""en"",""fr"")"),"L'homme saute du cheval et attache le taureau.")</f>
        <v>L'homme saute du cheval et attache le taureau.</v>
      </c>
    </row>
    <row r="33848">
      <c r="A33848" s="4" t="s">
        <v>42590</v>
      </c>
      <c r="B33848" s="4" t="s">
        <v>42594</v>
      </c>
      <c r="C33848" s="5" t="str">
        <f>IFERROR(__xludf.DUMMYFUNCTION("GOOGLETRANSLATE(B33848,""en"",""fr"")"),"L'homme se lève et revient à son cheval.")</f>
        <v>L'homme se lève et revient à son cheval.</v>
      </c>
    </row>
    <row r="33849">
      <c r="A33849" s="4" t="s">
        <v>42595</v>
      </c>
      <c r="B33849" s="4" t="s">
        <v>42596</v>
      </c>
      <c r="C33849" s="5" t="str">
        <f>IFERROR(__xludf.DUMMYFUNCTION("GOOGLETRANSLATE(B33849,""en"",""fr"")"),"Un garçon flotte dans un radeau alors que son père tient une corde attachée.")</f>
        <v>Un garçon flotte dans un radeau alors que son père tient une corde attachée.</v>
      </c>
    </row>
    <row r="33850">
      <c r="A33850" s="4" t="s">
        <v>42595</v>
      </c>
      <c r="B33850" s="4" t="s">
        <v>42597</v>
      </c>
      <c r="C33850" s="5" t="str">
        <f>IFERROR(__xludf.DUMMYFUNCTION("GOOGLETRANSLATE(B33850,""en"",""fr"")"),"Le bateau flotte lentement, tirant l'enfant alors qu'il se tient dans son radeau.")</f>
        <v>Le bateau flotte lentement, tirant l'enfant alors qu'il se tient dans son radeau.</v>
      </c>
    </row>
    <row r="33851">
      <c r="A33851" s="4" t="s">
        <v>42595</v>
      </c>
      <c r="B33851" s="4" t="s">
        <v>42598</v>
      </c>
      <c r="C33851" s="5" t="str">
        <f>IFERROR(__xludf.DUMMYFUNCTION("GOOGLETRANSLATE(B33851,""en"",""fr"")"),"Il est ensuite tiré vers les deux hommes du bateau.")</f>
        <v>Il est ensuite tiré vers les deux hommes du bateau.</v>
      </c>
    </row>
    <row r="33852">
      <c r="A33852" s="4" t="s">
        <v>42599</v>
      </c>
      <c r="B33852" s="4" t="s">
        <v>42600</v>
      </c>
      <c r="C33852" s="5" t="str">
        <f>IFERROR(__xludf.DUMMYFUNCTION("GOOGLETRANSLATE(B33852,""en"",""fr"")"),"Un garçon se tient dans les bois avec un autre garçon.")</f>
        <v>Un garçon se tient dans les bois avec un autre garçon.</v>
      </c>
    </row>
    <row r="33853">
      <c r="A33853" s="4" t="s">
        <v>42599</v>
      </c>
      <c r="B33853" s="4" t="s">
        <v>42601</v>
      </c>
      <c r="C33853" s="5" t="str">
        <f>IFERROR(__xludf.DUMMYFUNCTION("GOOGLETRANSLATE(B33853,""en"",""fr"")"),"Il allume un feu, puis le jette sur une pile.")</f>
        <v>Il allume un feu, puis le jette sur une pile.</v>
      </c>
    </row>
    <row r="33854">
      <c r="A33854" s="4" t="s">
        <v>42599</v>
      </c>
      <c r="B33854" s="4" t="s">
        <v>42602</v>
      </c>
      <c r="C33854" s="5" t="str">
        <f>IFERROR(__xludf.DUMMYFUNCTION("GOOGLETRANSLATE(B33854,""en"",""fr"")"),"Les deux garçons regardent la pile pendant qu'il brûle.")</f>
        <v>Les deux garçons regardent la pile pendant qu'il brûle.</v>
      </c>
    </row>
    <row r="33855">
      <c r="A33855" s="4" t="s">
        <v>42603</v>
      </c>
      <c r="B33855" s="4" t="s">
        <v>42604</v>
      </c>
      <c r="C33855" s="5" t="str">
        <f>IFERROR(__xludf.DUMMYFUNCTION("GOOGLETRANSLATE(B33855,""en"",""fr"")"),"Les légumes Chiopped sont dans un bol sur la table.")</f>
        <v>Les légumes Chiopped sont dans un bol sur la table.</v>
      </c>
    </row>
    <row r="33856">
      <c r="A33856" s="4" t="s">
        <v>42603</v>
      </c>
      <c r="B33856" s="4" t="s">
        <v>42605</v>
      </c>
      <c r="C33856" s="5" t="str">
        <f>IFERROR(__xludf.DUMMYFUNCTION("GOOGLETRANSLATE(B33856,""en"",""fr"")"),"Les ingrédients sont mélangés à l'intérieur d'un bol avec de l'huile, du poivre et de la mayonnaise.")</f>
        <v>Les ingrédients sont mélangés à l'intérieur d'un bol avec de l'huile, du poivre et de la mayonnaise.</v>
      </c>
    </row>
    <row r="33857">
      <c r="A33857" s="4" t="s">
        <v>42606</v>
      </c>
      <c r="B33857" s="6" t="s">
        <v>42607</v>
      </c>
      <c r="C33857" s="5" t="str">
        <f>IFERROR(__xludf.DUMMYFUNCTION("GOOGLETRANSLATE(B33857,""en"",""fr"")"),"Un homme effectue un jet de marteau dans un espace extérieur, en cage, entouré de foules de gens qui regardent.")</f>
        <v>Un homme effectue un jet de marteau dans un espace extérieur, en cage, entouré de foules de gens qui regardent.</v>
      </c>
    </row>
    <row r="33858">
      <c r="A33858" s="4" t="s">
        <v>42606</v>
      </c>
      <c r="B33858" s="6" t="s">
        <v>42608</v>
      </c>
      <c r="C33858" s="5" t="str">
        <f>IFERROR(__xludf.DUMMYFUNCTION("GOOGLETRANSLATE(B33858,""en"",""fr"")"),"Un homme en t-shirt rouge s'approche d'un cercle de joueurs sur le sol à l'intérieur d'une zone de clôture en métal fermée.")</f>
        <v>Un homme en t-shirt rouge s'approche d'un cercle de joueurs sur le sol à l'intérieur d'une zone de clôture en métal fermée.</v>
      </c>
    </row>
    <row r="33859">
      <c r="A33859" s="4" t="s">
        <v>42606</v>
      </c>
      <c r="B33859" s="4" t="s">
        <v>42609</v>
      </c>
      <c r="C33859" s="5" t="str">
        <f>IFERROR(__xludf.DUMMYFUNCTION("GOOGLETRANSLATE(B33859,""en"",""fr"")"),"L'homme tourne une balle, attachée à une corde, autour et autour.")</f>
        <v>L'homme tourne une balle, attachée à une corde, autour et autour.</v>
      </c>
    </row>
    <row r="33860">
      <c r="A33860" s="4" t="s">
        <v>42606</v>
      </c>
      <c r="B33860" s="4" t="s">
        <v>42610</v>
      </c>
      <c r="C33860" s="5" t="str">
        <f>IFERROR(__xludf.DUMMYFUNCTION("GOOGLETRANSLATE(B33860,""en"",""fr"")"),"L'homme laisse le ballon aller et regarde alors qu'il atterrit hors écran.")</f>
        <v>L'homme laisse le ballon aller et regarde alors qu'il atterrit hors écran.</v>
      </c>
    </row>
    <row r="33861">
      <c r="A33861" s="4" t="s">
        <v>42611</v>
      </c>
      <c r="B33861" s="6" t="s">
        <v>42612</v>
      </c>
      <c r="C33861" s="5" t="str">
        <f>IFERROR(__xludf.DUMMYFUNCTION("GOOGLETRANSLATE(B33861,""en"",""fr"")"),"Une jeune femme s'entraîne sur une piste d'athlétisme, sprinting et sautant en hauteur sur une barre haute et atterrissant sur ses pieds tandis que trois hommes en arrière-plan regardent son entraînement.")</f>
        <v>Une jeune femme s'entraîne sur une piste d'athlétisme, sprinting et sautant en hauteur sur une barre haute et atterrissant sur ses pieds tandis que trois hommes en arrière-plan regardent son entraînement.</v>
      </c>
    </row>
    <row r="33862">
      <c r="A33862" s="4" t="s">
        <v>42611</v>
      </c>
      <c r="B33862" s="4" t="s">
        <v>42613</v>
      </c>
      <c r="C33862" s="5" t="str">
        <f>IFERROR(__xludf.DUMMYFUNCTION("GOOGLETRANSLATE(B33862,""en"",""fr"")"),"La femme saute à nouveau, cette fois en sprint un peu plus vite.")</f>
        <v>La femme saute à nouveau, cette fois en sprint un peu plus vite.</v>
      </c>
    </row>
    <row r="33863">
      <c r="A33863" s="4" t="s">
        <v>42611</v>
      </c>
      <c r="B33863" s="4" t="s">
        <v>42614</v>
      </c>
      <c r="C33863" s="5" t="str">
        <f>IFERROR(__xludf.DUMMYFUNCTION("GOOGLETRANSLATE(B33863,""en"",""fr"")"),"La femme saute à nouveau avec une course plus longue.")</f>
        <v>La femme saute à nouveau avec une course plus longue.</v>
      </c>
    </row>
    <row r="33864">
      <c r="A33864" s="4" t="s">
        <v>42611</v>
      </c>
      <c r="B33864" s="4" t="s">
        <v>42615</v>
      </c>
      <c r="C33864" s="5" t="str">
        <f>IFERROR(__xludf.DUMMYFUNCTION("GOOGLETRANSLATE(B33864,""en"",""fr"")"),"Une autre jeune femme en arrière-plan fait du jogging.")</f>
        <v>Une autre jeune femme en arrière-plan fait du jogging.</v>
      </c>
    </row>
    <row r="33865">
      <c r="A33865" s="4" t="s">
        <v>42611</v>
      </c>
      <c r="B33865" s="4" t="s">
        <v>42616</v>
      </c>
      <c r="C33865" s="5" t="str">
        <f>IFERROR(__xludf.DUMMYFUNCTION("GOOGLETRANSLATE(B33865,""en"",""fr"")"),"La femme saute à nouveau avec une course encore plus longue et ajoute un petit saut / sauter à sa course initiale.")</f>
        <v>La femme saute à nouveau avec une course encore plus longue et ajoute un petit saut / sauter à sa course initiale.</v>
      </c>
    </row>
    <row r="33866">
      <c r="A33866" s="4" t="s">
        <v>42611</v>
      </c>
      <c r="B33866" s="4" t="s">
        <v>42617</v>
      </c>
      <c r="C33866" s="5" t="str">
        <f>IFERROR(__xludf.DUMMYFUNCTION("GOOGLETRANSLATE(B33866,""en"",""fr"")"),"Un homme en arrière-plan fait du jogging sur le terrain tandis qu'un autre homme se tient et étire ses jambes.")</f>
        <v>Un homme en arrière-plan fait du jogging sur le terrain tandis qu'un autre homme se tient et étire ses jambes.</v>
      </c>
    </row>
    <row r="33867">
      <c r="A33867" s="4" t="s">
        <v>42611</v>
      </c>
      <c r="B33867" s="4" t="s">
        <v>42618</v>
      </c>
      <c r="C33867" s="5" t="str">
        <f>IFERROR(__xludf.DUMMYFUNCTION("GOOGLETRANSLATE(B33867,""en"",""fr"")"),"La femme ne dégage pas parfaitement la barre et elle tombe de ses poteaux.")</f>
        <v>La femme ne dégage pas parfaitement la barre et elle tombe de ses poteaux.</v>
      </c>
    </row>
    <row r="33868">
      <c r="A33868" s="4" t="s">
        <v>42611</v>
      </c>
      <c r="B33868" s="6" t="s">
        <v>42619</v>
      </c>
      <c r="C33868" s="5" t="str">
        <f>IFERROR(__xludf.DUMMYFUNCTION("GOOGLETRANSLATE(B33868,""en"",""fr"")"),"La femme saute à nouveau avec une course encore plus longue et un saut / sauter plus puissant pour commencer sa course.")</f>
        <v>La femme saute à nouveau avec une course encore plus longue et un saut / sauter plus puissant pour commencer sa course.</v>
      </c>
    </row>
    <row r="33869">
      <c r="A33869" s="4" t="s">
        <v>42611</v>
      </c>
      <c r="B33869" s="4" t="s">
        <v>42620</v>
      </c>
      <c r="C33869" s="5" t="str">
        <f>IFERROR(__xludf.DUMMYFUNCTION("GOOGLETRANSLATE(B33869,""en"",""fr"")"),"La femme saute à nouveau avec la longue randonnée et une puissante sauter au début.")</f>
        <v>La femme saute à nouveau avec la longue randonnée et une puissante sauter au début.</v>
      </c>
    </row>
    <row r="33870">
      <c r="A33870" s="4" t="s">
        <v>42621</v>
      </c>
      <c r="B33870" s="4" t="s">
        <v>42622</v>
      </c>
      <c r="C33870" s="5" t="str">
        <f>IFERROR(__xludf.DUMMYFUNCTION("GOOGLETRANSLATE(B33870,""en"",""fr"")"),"Quelques personnes sont sur un court de tennis intérieur.")</f>
        <v>Quelques personnes sont sur un court de tennis intérieur.</v>
      </c>
    </row>
    <row r="33871">
      <c r="A33871" s="4" t="s">
        <v>42621</v>
      </c>
      <c r="B33871" s="4" t="s">
        <v>42623</v>
      </c>
      <c r="C33871" s="5" t="str">
        <f>IFERROR(__xludf.DUMMYFUNCTION("GOOGLETRANSLATE(B33871,""en"",""fr"")"),"Ils lobent le ballon d'avant en arrière, jouant à un jeu de tennis.")</f>
        <v>Ils lobent le ballon d'avant en arrière, jouant à un jeu de tennis.</v>
      </c>
    </row>
    <row r="33872">
      <c r="A33872" s="4" t="s">
        <v>42621</v>
      </c>
      <c r="B33872" s="4" t="s">
        <v>42624</v>
      </c>
      <c r="C33872" s="5" t="str">
        <f>IFERROR(__xludf.DUMMYFUNCTION("GOOGLETRANSLATE(B33872,""en"",""fr"")"),"Ils continuent de jouer, essayant de gagner le match.")</f>
        <v>Ils continuent de jouer, essayant de gagner le match.</v>
      </c>
    </row>
    <row r="33873">
      <c r="A33873" s="4" t="s">
        <v>42625</v>
      </c>
      <c r="B33873" s="4" t="s">
        <v>42626</v>
      </c>
      <c r="C33873" s="5" t="str">
        <f>IFERROR(__xludf.DUMMYFUNCTION("GOOGLETRANSLATE(B33873,""en"",""fr"")"),"L'écran est plein de bulles blanches et de mots, tandis qu'une paire de mains joue du piano.")</f>
        <v>L'écran est plein de bulles blanches et de mots, tandis qu'une paire de mains joue du piano.</v>
      </c>
    </row>
    <row r="33874">
      <c r="A33874" s="4" t="s">
        <v>42625</v>
      </c>
      <c r="B33874" s="4" t="s">
        <v>42627</v>
      </c>
      <c r="C33874" s="5" t="str">
        <f>IFERROR(__xludf.DUMMYFUNCTION("GOOGLETRANSLATE(B33874,""en"",""fr"")"),"Les bulles et les mots disparaissent et ce ne sont que les mains se déplaçant sur le clavier.")</f>
        <v>Les bulles et les mots disparaissent et ce ne sont que les mains se déplaçant sur le clavier.</v>
      </c>
    </row>
    <row r="33875">
      <c r="A33875" s="4" t="s">
        <v>42625</v>
      </c>
      <c r="B33875" s="4" t="s">
        <v>42628</v>
      </c>
      <c r="C33875" s="5" t="str">
        <f>IFERROR(__xludf.DUMMYFUNCTION("GOOGLETRANSLATE(B33875,""en"",""fr"")"),"Les mains disparaissent et c'est juste le clavier.")</f>
        <v>Les mains disparaissent et c'est juste le clavier.</v>
      </c>
    </row>
    <row r="33876">
      <c r="A33876" s="4" t="s">
        <v>42625</v>
      </c>
      <c r="B33876" s="4" t="s">
        <v>34352</v>
      </c>
      <c r="C33876" s="5" t="str">
        <f>IFERROR(__xludf.DUMMYFUNCTION("GOOGLETRANSLATE(B33876,""en"",""fr"")"),"L'écran s'estompe au noir.")</f>
        <v>L'écran s'estompe au noir.</v>
      </c>
    </row>
    <row r="33877">
      <c r="A33877" s="4" t="s">
        <v>42629</v>
      </c>
      <c r="B33877" s="4" t="s">
        <v>42630</v>
      </c>
      <c r="C33877" s="5" t="str">
        <f>IFERROR(__xludf.DUMMYFUNCTION("GOOGLETRANSLATE(B33877,""en"",""fr"")"),"Un homme apparaît devant plusieurs cibles sur un mur arrière.")</f>
        <v>Un homme apparaît devant plusieurs cibles sur un mur arrière.</v>
      </c>
    </row>
    <row r="33878">
      <c r="A33878" s="4" t="s">
        <v>42629</v>
      </c>
      <c r="B33878" s="4" t="s">
        <v>42631</v>
      </c>
      <c r="C33878" s="5" t="str">
        <f>IFERROR(__xludf.DUMMYFUNCTION("GOOGLETRANSLATE(B33878,""en"",""fr"")"),"Il parle des bases du tir à l'arc.")</f>
        <v>Il parle des bases du tir à l'arc.</v>
      </c>
    </row>
    <row r="33879">
      <c r="A33879" s="4" t="s">
        <v>42629</v>
      </c>
      <c r="B33879" s="4" t="s">
        <v>42632</v>
      </c>
      <c r="C33879" s="5" t="str">
        <f>IFERROR(__xludf.DUMMYFUNCTION("GOOGLETRANSLATE(B33879,""en"",""fr"")"),"Une femme est montrée avec un ensemble de tir à l'arc.")</f>
        <v>Une femme est montrée avec un ensemble de tir à l'arc.</v>
      </c>
    </row>
    <row r="33880">
      <c r="A33880" s="4" t="s">
        <v>42629</v>
      </c>
      <c r="B33880" s="4" t="s">
        <v>42633</v>
      </c>
      <c r="C33880" s="5" t="str">
        <f>IFERROR(__xludf.DUMMYFUNCTION("GOOGLETRANSLATE(B33880,""en"",""fr"")"),"Elle recule la flèche, puis tire sur sa cible pendant qu'il parle.")</f>
        <v>Elle recule la flèche, puis tire sur sa cible pendant qu'il parle.</v>
      </c>
    </row>
    <row r="33881">
      <c r="A33881" s="4" t="s">
        <v>42634</v>
      </c>
      <c r="B33881" s="4" t="s">
        <v>42635</v>
      </c>
      <c r="C33881" s="5" t="str">
        <f>IFERROR(__xludf.DUMMYFUNCTION("GOOGLETRANSLATE(B33881,""en"",""fr"")"),"Un tas de fleurs colorées sont montrées, y compris leurs étiquettes d'identification.")</f>
        <v>Un tas de fleurs colorées sont montrées, y compris leurs étiquettes d'identification.</v>
      </c>
    </row>
    <row r="33882">
      <c r="A33882" s="4" t="s">
        <v>42634</v>
      </c>
      <c r="B33882" s="4" t="s">
        <v>42636</v>
      </c>
      <c r="C33882" s="5" t="str">
        <f>IFERROR(__xludf.DUMMYFUNCTION("GOOGLETRANSLATE(B33882,""en"",""fr"")"),"Un homme montre des abeilles et différentes races, y compris un arbre.")</f>
        <v>Un homme montre des abeilles et différentes races, y compris un arbre.</v>
      </c>
    </row>
    <row r="33883">
      <c r="A33883" s="4" t="s">
        <v>42634</v>
      </c>
      <c r="B33883" s="4" t="s">
        <v>42637</v>
      </c>
      <c r="C33883" s="5" t="str">
        <f>IFERROR(__xludf.DUMMYFUNCTION("GOOGLETRANSLATE(B33883,""en"",""fr"")"),"Il nous apprend comment piller correctement un arbre.")</f>
        <v>Il nous apprend comment piller correctement un arbre.</v>
      </c>
    </row>
    <row r="33884">
      <c r="A33884" s="4" t="s">
        <v>42638</v>
      </c>
      <c r="B33884" s="4" t="s">
        <v>42639</v>
      </c>
      <c r="C33884" s="5" t="str">
        <f>IFERROR(__xludf.DUMMYFUNCTION("GOOGLETRANSLATE(B33884,""en"",""fr"")"),"Une bouteille claire de détergent est montrée et une personne commence à nettoyer une tasse avec un chiffon.")</f>
        <v>Une bouteille claire de détergent est montrée et une personne commence à nettoyer une tasse avec un chiffon.</v>
      </c>
    </row>
    <row r="33885">
      <c r="A33885" s="4" t="s">
        <v>42638</v>
      </c>
      <c r="B33885" s="6" t="s">
        <v>42640</v>
      </c>
      <c r="C33885" s="5" t="str">
        <f>IFERROR(__xludf.DUMMYFUNCTION("GOOGLETRANSLATE(B33885,""en"",""fr"")"),"La personne se montre en mettant le gant et recommence à laver la tasse avant de montrer enfin son livre sur le produit.")</f>
        <v>La personne se montre en mettant le gant et recommence à laver la tasse avant de montrer enfin son livre sur le produit.</v>
      </c>
    </row>
    <row r="33886">
      <c r="A33886" s="4" t="s">
        <v>42641</v>
      </c>
      <c r="B33886" s="6" t="s">
        <v>42642</v>
      </c>
      <c r="C33886" s="5" t="str">
        <f>IFERROR(__xludf.DUMMYFUNCTION("GOOGLETRANSLATE(B33886,""en"",""fr"")"),"Un magazine sur les saxophones est montré juste avant qu'une paire de mains ne soit montrée en jouant un saxophone.")</f>
        <v>Un magazine sur les saxophones est montré juste avant qu'une paire de mains ne soit montrée en jouant un saxophone.</v>
      </c>
    </row>
    <row r="33887">
      <c r="A33887" s="4" t="s">
        <v>42641</v>
      </c>
      <c r="B33887" s="4" t="s">
        <v>42643</v>
      </c>
      <c r="C33887" s="5" t="str">
        <f>IFERROR(__xludf.DUMMYFUNCTION("GOOGLETRANSLATE(B33887,""en"",""fr"")"),"Plusieurs écrans commencent à apparaître, montrant les mains en jouant diverses notes à l'écran.")</f>
        <v>Plusieurs écrans commencent à apparaître, montrant les mains en jouant diverses notes à l'écran.</v>
      </c>
    </row>
    <row r="33888">
      <c r="A33888" s="4" t="s">
        <v>42641</v>
      </c>
      <c r="B33888" s="4" t="s">
        <v>42644</v>
      </c>
      <c r="C33888" s="5" t="str">
        <f>IFERROR(__xludf.DUMMYFUNCTION("GOOGLETRANSLATE(B33888,""en"",""fr"")"),"L'écran recule jusqu'à la fin de la vidéo.")</f>
        <v>L'écran recule jusqu'à la fin de la vidéo.</v>
      </c>
    </row>
    <row r="33889">
      <c r="A33889" s="4" t="s">
        <v>42645</v>
      </c>
      <c r="B33889" s="4" t="s">
        <v>42646</v>
      </c>
      <c r="C33889" s="5" t="str">
        <f>IFERROR(__xludf.DUMMYFUNCTION("GOOGLETRANSLATE(B33889,""en"",""fr"")"),"Les écrans de titre apparaissent sur la vidéo.")</f>
        <v>Les écrans de titre apparaissent sur la vidéo.</v>
      </c>
    </row>
    <row r="33890">
      <c r="A33890" s="4" t="s">
        <v>42645</v>
      </c>
      <c r="B33890" s="4" t="s">
        <v>42647</v>
      </c>
      <c r="C33890" s="5" t="str">
        <f>IFERROR(__xludf.DUMMYFUNCTION("GOOGLETRANSLATE(B33890,""en"",""fr"")"),"Une femme tient un chiffon dans une cuisine.")</f>
        <v>Une femme tient un chiffon dans une cuisine.</v>
      </c>
    </row>
    <row r="33891">
      <c r="A33891" s="4" t="s">
        <v>42645</v>
      </c>
      <c r="B33891" s="4" t="s">
        <v>42648</v>
      </c>
      <c r="C33891" s="5" t="str">
        <f>IFERROR(__xludf.DUMMYFUNCTION("GOOGLETRANSLATE(B33891,""en"",""fr"")"),"La femme commence l'eau courante dans une baignoire et un évier.")</f>
        <v>La femme commence l'eau courante dans une baignoire et un évier.</v>
      </c>
    </row>
    <row r="33892">
      <c r="A33892" s="4" t="s">
        <v>42645</v>
      </c>
      <c r="B33892" s="4" t="s">
        <v>42649</v>
      </c>
      <c r="C33892" s="5" t="str">
        <f>IFERROR(__xludf.DUMMYFUNCTION("GOOGLETRANSLATE(B33892,""en"",""fr"")"),"La femme lave un chiffon dans l'évier.")</f>
        <v>La femme lave un chiffon dans l'évier.</v>
      </c>
    </row>
    <row r="33893">
      <c r="A33893" s="4" t="s">
        <v>42645</v>
      </c>
      <c r="B33893" s="4" t="s">
        <v>42650</v>
      </c>
      <c r="C33893" s="5" t="str">
        <f>IFERROR(__xludf.DUMMYFUNCTION("GOOGLETRANSLATE(B33893,""en"",""fr"")"),"La femme pose le tissu mouillé sur un tissu sec et le sèche.")</f>
        <v>La femme pose le tissu mouillé sur un tissu sec et le sèche.</v>
      </c>
    </row>
    <row r="33894">
      <c r="A33894" s="4" t="s">
        <v>42645</v>
      </c>
      <c r="B33894" s="4" t="s">
        <v>42651</v>
      </c>
      <c r="C33894" s="5" t="str">
        <f>IFERROR(__xludf.DUMMYFUNCTION("GOOGLETRANSLATE(B33894,""en"",""fr"")"),"La femme met la paire de pantalons sur une planche à repasser.")</f>
        <v>La femme met la paire de pantalons sur une planche à repasser.</v>
      </c>
    </row>
    <row r="33895">
      <c r="A33895" s="4" t="s">
        <v>42645</v>
      </c>
      <c r="B33895" s="4" t="s">
        <v>42652</v>
      </c>
      <c r="C33895" s="5" t="str">
        <f>IFERROR(__xludf.DUMMYFUNCTION("GOOGLETRANSLATE(B33895,""en"",""fr"")"),"Les crédits de fin apparaissent.")</f>
        <v>Les crédits de fin apparaissent.</v>
      </c>
    </row>
    <row r="33896">
      <c r="A33896" s="4" t="s">
        <v>42653</v>
      </c>
      <c r="B33896" s="6" t="s">
        <v>42654</v>
      </c>
      <c r="C33896" s="5" t="str">
        <f>IFERROR(__xludf.DUMMYFUNCTION("GOOGLETRANSLATE(B33896,""en"",""fr"")"),"Une gymnaste est vue debout prête avec ses bras qui mène à sa course et à faire des bascules sur une piste dans une fosse.")</f>
        <v>Une gymnaste est vue debout prête avec ses bras qui mène à sa course et à faire des bascules sur une piste dans une fosse.</v>
      </c>
    </row>
    <row r="33897">
      <c r="A33897" s="4" t="s">
        <v>42653</v>
      </c>
      <c r="B33897" s="4" t="s">
        <v>42655</v>
      </c>
      <c r="C33897" s="5" t="str">
        <f>IFERROR(__xludf.DUMMYFUNCTION("GOOGLETRANSLATE(B33897,""en"",""fr"")"),"Elle met ses bras pour finir et ses sauts sont montrés plusieurs fois au ralenti.")</f>
        <v>Elle met ses bras pour finir et ses sauts sont montrés plusieurs fois au ralenti.</v>
      </c>
    </row>
    <row r="33898">
      <c r="A33898" s="4" t="s">
        <v>42656</v>
      </c>
      <c r="B33898" s="6" t="s">
        <v>42657</v>
      </c>
      <c r="C33898" s="5" t="str">
        <f>IFERROR(__xludf.DUMMYFUNCTION("GOOGLETRANSLATE(B33898,""en"",""fr"")"),"Plusieurs clips sont représentés de nombreuses personnes debout sur une planche de surf et se poussent le long de l'eau avec une pagaie.")</f>
        <v>Plusieurs clips sont représentés de nombreuses personnes debout sur une planche de surf et se poussent le long de l'eau avec une pagaie.</v>
      </c>
    </row>
    <row r="33899">
      <c r="A33899" s="4" t="s">
        <v>42656</v>
      </c>
      <c r="B33899" s="4" t="s">
        <v>42658</v>
      </c>
      <c r="C33899" s="5" t="str">
        <f>IFERROR(__xludf.DUMMYFUNCTION("GOOGLETRANSLATE(B33899,""en"",""fr"")"),"Les gens continuent de pagayer dans l'eau tandis que de nombreuses personnes sont vues assises.")</f>
        <v>Les gens continuent de pagayer dans l'eau tandis que de nombreuses personnes sont vues assises.</v>
      </c>
    </row>
    <row r="33900">
      <c r="A33900" s="4" t="s">
        <v>42659</v>
      </c>
      <c r="B33900" s="4" t="s">
        <v>42660</v>
      </c>
      <c r="C33900" s="5" t="str">
        <f>IFERROR(__xludf.DUMMYFUNCTION("GOOGLETRANSLATE(B33900,""en"",""fr"")"),"Nous voyons une personne monter sur un lifting de ski.")</f>
        <v>Nous voyons une personne monter sur un lifting de ski.</v>
      </c>
    </row>
    <row r="33901">
      <c r="A33901" s="4" t="s">
        <v>42659</v>
      </c>
      <c r="B33901" s="4" t="s">
        <v>42661</v>
      </c>
      <c r="C33901" s="5" t="str">
        <f>IFERROR(__xludf.DUMMYFUNCTION("GOOGLETRANSLATE(B33901,""en"",""fr"")"),"La personne soulève la barre sur la chaise.")</f>
        <v>La personne soulève la barre sur la chaise.</v>
      </c>
    </row>
    <row r="33902">
      <c r="A33902" s="4" t="s">
        <v>42659</v>
      </c>
      <c r="B33902" s="4" t="s">
        <v>42662</v>
      </c>
      <c r="C33902" s="5" t="str">
        <f>IFERROR(__xludf.DUMMYFUNCTION("GOOGLETRANSLATE(B33902,""en"",""fr"")"),"La personne saute de l'ascenseur et sur la pente.")</f>
        <v>La personne saute de l'ascenseur et sur la pente.</v>
      </c>
    </row>
    <row r="33903">
      <c r="A33903" s="4" t="s">
        <v>42659</v>
      </c>
      <c r="B33903" s="4" t="s">
        <v>42663</v>
      </c>
      <c r="C33903" s="5" t="str">
        <f>IFERROR(__xludf.DUMMYFUNCTION("GOOGLETRANSLATE(B33903,""en"",""fr"")"),"La personne met ses poteaux de ski.")</f>
        <v>La personne met ses poteaux de ski.</v>
      </c>
    </row>
    <row r="33904">
      <c r="A33904" s="4" t="s">
        <v>42659</v>
      </c>
      <c r="B33904" s="4" t="s">
        <v>42664</v>
      </c>
      <c r="C33904" s="5" t="str">
        <f>IFERROR(__xludf.DUMMYFUNCTION("GOOGLETRANSLATE(B33904,""en"",""fr"")"),"La personne skie rapidement sur la piste de ski.")</f>
        <v>La personne skie rapidement sur la piste de ski.</v>
      </c>
    </row>
    <row r="33905">
      <c r="A33905" s="4" t="s">
        <v>42659</v>
      </c>
      <c r="B33905" s="4" t="s">
        <v>42665</v>
      </c>
      <c r="C33905" s="5" t="str">
        <f>IFERROR(__xludf.DUMMYFUNCTION("GOOGLETRANSLATE(B33905,""en"",""fr"")"),"La personne atteint le bas de la pente et lève les yeux.")</f>
        <v>La personne atteint le bas de la pente et lève les yeux.</v>
      </c>
    </row>
    <row r="33906">
      <c r="A33906" s="4" t="s">
        <v>42659</v>
      </c>
      <c r="B33906" s="4" t="s">
        <v>42666</v>
      </c>
      <c r="C33906" s="5" t="str">
        <f>IFERROR(__xludf.DUMMYFUNCTION("GOOGLETRANSLATE(B33906,""en"",""fr"")"),"320 La main de la personne arrive à l'écran pour éteindre la caméra.")</f>
        <v>320 La main de la personne arrive à l'écran pour éteindre la caméra.</v>
      </c>
    </row>
    <row r="33907">
      <c r="A33907" s="4" t="s">
        <v>42667</v>
      </c>
      <c r="B33907" s="4" t="s">
        <v>42668</v>
      </c>
      <c r="C33907" s="5" t="str">
        <f>IFERROR(__xludf.DUMMYFUNCTION("GOOGLETRANSLATE(B33907,""en"",""fr"")"),"Un homme se tient sur une planche à roulettes.")</f>
        <v>Un homme se tient sur une planche à roulettes.</v>
      </c>
    </row>
    <row r="33908">
      <c r="A33908" s="4" t="s">
        <v>42667</v>
      </c>
      <c r="B33908" s="4" t="s">
        <v>42669</v>
      </c>
      <c r="C33908" s="5" t="str">
        <f>IFERROR(__xludf.DUMMYFUNCTION("GOOGLETRANSLATE(B33908,""en"",""fr"")"),"Il ramasse la planche à roulettes et la tient dans sa main.")</f>
        <v>Il ramasse la planche à roulettes et la tient dans sa main.</v>
      </c>
    </row>
    <row r="33909">
      <c r="A33909" s="4" t="s">
        <v>42667</v>
      </c>
      <c r="B33909" s="4" t="s">
        <v>42670</v>
      </c>
      <c r="C33909" s="5" t="str">
        <f>IFERROR(__xludf.DUMMYFUNCTION("GOOGLETRANSLATE(B33909,""en"",""fr"")"),"Il retire la planche à roulettes et continue le skateboard.")</f>
        <v>Il retire la planche à roulettes et continue le skateboard.</v>
      </c>
    </row>
    <row r="33910">
      <c r="A33910" s="4" t="s">
        <v>42671</v>
      </c>
      <c r="B33910" s="4" t="s">
        <v>42672</v>
      </c>
      <c r="C33910" s="5" t="str">
        <f>IFERROR(__xludf.DUMMYFUNCTION("GOOGLETRANSLATE(B33910,""en"",""fr"")"),"Les gens plongent dans l'eau portant un costume de plongée, de petits poissons et de gros poissons nagent près des plongeurs.")</f>
        <v>Les gens plongent dans l'eau portant un costume de plongée, de petits poissons et de gros poissons nagent près des plongeurs.</v>
      </c>
    </row>
    <row r="33911">
      <c r="A33911" s="4" t="s">
        <v>42671</v>
      </c>
      <c r="B33911" s="4" t="s">
        <v>42673</v>
      </c>
      <c r="C33911" s="5" t="str">
        <f>IFERROR(__xludf.DUMMYFUNCTION("GOOGLETRANSLATE(B33911,""en"",""fr"")"),"Le plongeur s'agenouille sur le fond maritime en agitant leurs mains.")</f>
        <v>Le plongeur s'agenouille sur le fond maritime en agitant leurs mains.</v>
      </c>
    </row>
    <row r="33912">
      <c r="A33912" s="4" t="s">
        <v>42671</v>
      </c>
      <c r="B33912" s="4" t="s">
        <v>42674</v>
      </c>
      <c r="C33912" s="5" t="str">
        <f>IFERROR(__xludf.DUMMYFUNCTION("GOOGLETRANSLATE(B33912,""en"",""fr"")"),"Le poisson manta et un gros poisson nagent dans l'eau.")</f>
        <v>Le poisson manta et un gros poisson nagent dans l'eau.</v>
      </c>
    </row>
    <row r="33913">
      <c r="A33913" s="4" t="s">
        <v>42671</v>
      </c>
      <c r="B33913" s="4" t="s">
        <v>42675</v>
      </c>
      <c r="C33913" s="5" t="str">
        <f>IFERROR(__xludf.DUMMYFUNCTION("GOOGLETRANSLATE(B33913,""en"",""fr"")"),"Les plongeurs se tiennent et continuent de nager dans l'eau.")</f>
        <v>Les plongeurs se tiennent et continuent de nager dans l'eau.</v>
      </c>
    </row>
    <row r="33914">
      <c r="A33914" s="4" t="s">
        <v>42676</v>
      </c>
      <c r="B33914" s="4" t="s">
        <v>42677</v>
      </c>
      <c r="C33914" s="5" t="str">
        <f>IFERROR(__xludf.DUMMYFUNCTION("GOOGLETRANSLATE(B33914,""en"",""fr"")"),"Les hommes tiennent des coulisses de neige d'un dépôt.")</f>
        <v>Les hommes tiennent des coulisses de neige d'un dépôt.</v>
      </c>
    </row>
    <row r="33915">
      <c r="A33915" s="4" t="s">
        <v>42676</v>
      </c>
      <c r="B33915" s="4" t="s">
        <v>42678</v>
      </c>
      <c r="C33915" s="5" t="str">
        <f>IFERROR(__xludf.DUMMYFUNCTION("GOOGLETRANSLATE(B33915,""en"",""fr"")"),"La vieille femme est assise à l'écoute de neige et elle descend sur une pente enneigée.")</f>
        <v>La vieille femme est assise à l'écoute de neige et elle descend sur une pente enneigée.</v>
      </c>
    </row>
    <row r="33916">
      <c r="A33916" s="4" t="s">
        <v>42676</v>
      </c>
      <c r="B33916" s="4" t="s">
        <v>42679</v>
      </c>
      <c r="C33916" s="5" t="str">
        <f>IFERROR(__xludf.DUMMYFUNCTION("GOOGLETRANSLATE(B33916,""en"",""fr"")"),"La vieille femme est à l'écoute de neige en train de descendre la piste de neige.")</f>
        <v>La vieille femme est à l'écoute de neige en train de descendre la piste de neige.</v>
      </c>
    </row>
    <row r="33917">
      <c r="A33917" s="4" t="s">
        <v>42676</v>
      </c>
      <c r="B33917" s="4" t="s">
        <v>42680</v>
      </c>
      <c r="C33917" s="5" t="str">
        <f>IFERROR(__xludf.DUMMYFUNCTION("GOOGLETRANSLATE(B33917,""en"",""fr"")"),"Un homme et une femme saisissent la vieille dame pour le dos dans une lame.")</f>
        <v>Un homme et une femme saisissent la vieille dame pour le dos dans une lame.</v>
      </c>
    </row>
    <row r="33918">
      <c r="A33918" s="4" t="s">
        <v>42676</v>
      </c>
      <c r="B33918" s="4" t="s">
        <v>42681</v>
      </c>
      <c r="C33918" s="5" t="str">
        <f>IFERROR(__xludf.DUMMYFUNCTION("GOOGLETRANSLATE(B33918,""en"",""fr"")"),"Différentes personnes descendaient la pente tenant des balles de neige avec une corde.")</f>
        <v>Différentes personnes descendaient la pente tenant des balles de neige avec une corde.</v>
      </c>
    </row>
    <row r="33919">
      <c r="A33919" s="4" t="s">
        <v>42676</v>
      </c>
      <c r="B33919" s="4" t="s">
        <v>42682</v>
      </c>
      <c r="C33919" s="5" t="str">
        <f>IFERROR(__xludf.DUMMYFUNCTION("GOOGLETRANSLATE(B33919,""en"",""fr"")"),"Les vieilles femmes sont assises sur le banc en bois en parlant à la caméra.")</f>
        <v>Les vieilles femmes sont assises sur le banc en bois en parlant à la caméra.</v>
      </c>
    </row>
    <row r="33920">
      <c r="A33920" s="4" t="s">
        <v>42676</v>
      </c>
      <c r="B33920" s="4" t="s">
        <v>42683</v>
      </c>
      <c r="C33920" s="5" t="str">
        <f>IFERROR(__xludf.DUMMYFUNCTION("GOOGLETRANSLATE(B33920,""en"",""fr"")"),"Les personnes âgées sont assises et se tiennent devant une caméra posant pour une photo.")</f>
        <v>Les personnes âgées sont assises et se tiennent devant une caméra posant pour une photo.</v>
      </c>
    </row>
    <row r="33921">
      <c r="A33921" s="4" t="s">
        <v>42684</v>
      </c>
      <c r="B33921" s="4" t="s">
        <v>42685</v>
      </c>
      <c r="C33921" s="5" t="str">
        <f>IFERROR(__xludf.DUMMYFUNCTION("GOOGLETRANSLATE(B33921,""en"",""fr"")"),"Le texte apparaît à l'écran avec un lien.")</f>
        <v>Le texte apparaît à l'écran avec un lien.</v>
      </c>
    </row>
    <row r="33922">
      <c r="A33922" s="4" t="s">
        <v>42684</v>
      </c>
      <c r="B33922" s="4" t="s">
        <v>42686</v>
      </c>
      <c r="C33922" s="5" t="str">
        <f>IFERROR(__xludf.DUMMYFUNCTION("GOOGLETRANSLATE(B33922,""en"",""fr"")"),"Les gens en uniforme marchent dans la rue.")</f>
        <v>Les gens en uniforme marchent dans la rue.</v>
      </c>
    </row>
    <row r="33923">
      <c r="A33923" s="4" t="s">
        <v>42684</v>
      </c>
      <c r="B33923" s="4" t="s">
        <v>42687</v>
      </c>
      <c r="C33923" s="5" t="str">
        <f>IFERROR(__xludf.DUMMYFUNCTION("GOOGLETRANSLATE(B33923,""en"",""fr"")"),"Il coupe la foule en regardant.")</f>
        <v>Il coupe la foule en regardant.</v>
      </c>
    </row>
    <row r="33924">
      <c r="A33924" s="4" t="s">
        <v>42684</v>
      </c>
      <c r="B33924" s="4" t="s">
        <v>42688</v>
      </c>
      <c r="C33924" s="5" t="str">
        <f>IFERROR(__xludf.DUMMYFUNCTION("GOOGLETRANSLATE(B33924,""en"",""fr"")"),"Un groupe Marchign commence à marcher dans la rue.")</f>
        <v>Un groupe Marchign commence à marcher dans la rue.</v>
      </c>
    </row>
    <row r="33925">
      <c r="A33925" s="4" t="s">
        <v>42684</v>
      </c>
      <c r="B33925" s="4" t="s">
        <v>42689</v>
      </c>
      <c r="C33925" s="5" t="str">
        <f>IFERROR(__xludf.DUMMYFUNCTION("GOOGLETRANSLATE(B33925,""en"",""fr"")"),"Un autre ensemble de personnes en uniforme marche dans la rue.")</f>
        <v>Un autre ensemble de personnes en uniforme marche dans la rue.</v>
      </c>
    </row>
    <row r="33926">
      <c r="A33926" s="4" t="s">
        <v>42684</v>
      </c>
      <c r="B33926" s="4" t="s">
        <v>42690</v>
      </c>
      <c r="C33926" s="5" t="str">
        <f>IFERROR(__xludf.DUMMYFUNCTION("GOOGLETRANSLATE(B33926,""en"",""fr"")"),"Ils s'arrêtent et saluent la foule.")</f>
        <v>Ils s'arrêtent et saluent la foule.</v>
      </c>
    </row>
    <row r="33927">
      <c r="A33927" s="4" t="s">
        <v>42684</v>
      </c>
      <c r="B33927" s="4" t="s">
        <v>42691</v>
      </c>
      <c r="C33927" s="5" t="str">
        <f>IFERROR(__xludf.DUMMYFUNCTION("GOOGLETRANSLATE(B33927,""en"",""fr"")"),"Il revient à la fanfare.")</f>
        <v>Il revient à la fanfare.</v>
      </c>
    </row>
    <row r="33928">
      <c r="A33928" s="4" t="s">
        <v>42684</v>
      </c>
      <c r="B33928" s="4" t="s">
        <v>42692</v>
      </c>
      <c r="C33928" s="5" t="str">
        <f>IFERROR(__xludf.DUMMYFUNCTION("GOOGLETRANSLATE(B33928,""en"",""fr"")"),"Un cheval et une calèche marchent dans la rue suivis des gens en uniforme.")</f>
        <v>Un cheval et une calèche marchent dans la rue suivis des gens en uniforme.</v>
      </c>
    </row>
    <row r="33929">
      <c r="A33929" s="4" t="s">
        <v>42684</v>
      </c>
      <c r="B33929" s="4" t="s">
        <v>42693</v>
      </c>
      <c r="C33929" s="5" t="str">
        <f>IFERROR(__xludf.DUMMYFUNCTION("GOOGLETRANSLATE(B33929,""en"",""fr"")"),"Deux femmes vagues se rapprochent.")</f>
        <v>Deux femmes vagues se rapprochent.</v>
      </c>
    </row>
    <row r="33930">
      <c r="A33930" s="4" t="s">
        <v>42684</v>
      </c>
      <c r="B33930" s="4" t="s">
        <v>42694</v>
      </c>
      <c r="C33930" s="5" t="str">
        <f>IFERROR(__xludf.DUMMYFUNCTION("GOOGLETRANSLATE(B33930,""en"",""fr"")"),"Le reste du peuple continue de marcher dans la rue.")</f>
        <v>Le reste du peuple continue de marcher dans la rue.</v>
      </c>
    </row>
    <row r="33931">
      <c r="A33931" s="4" t="s">
        <v>42695</v>
      </c>
      <c r="B33931" s="4" t="s">
        <v>42696</v>
      </c>
      <c r="C33931" s="5" t="str">
        <f>IFERROR(__xludf.DUMMYFUNCTION("GOOGLETRANSLATE(B33931,""en"",""fr"")"),"Une fille traverse les bars de singe sur une aire de jeux.")</f>
        <v>Une fille traverse les bars de singe sur une aire de jeux.</v>
      </c>
    </row>
    <row r="33932">
      <c r="A33932" s="4" t="s">
        <v>42695</v>
      </c>
      <c r="B33932" s="4" t="s">
        <v>42697</v>
      </c>
      <c r="C33932" s="5" t="str">
        <f>IFERROR(__xludf.DUMMYFUNCTION("GOOGLETRANSLATE(B33932,""en"",""fr"")"),"Elle arrive à la fin et saute sur le sol.")</f>
        <v>Elle arrive à la fin et saute sur le sol.</v>
      </c>
    </row>
    <row r="33933">
      <c r="A33933" s="4" t="s">
        <v>42695</v>
      </c>
      <c r="B33933" s="4" t="s">
        <v>42698</v>
      </c>
      <c r="C33933" s="5" t="str">
        <f>IFERROR(__xludf.DUMMYFUNCTION("GOOGLETRANSLATE(B33933,""en"",""fr"")"),"Elle met ses mains dans les airs.")</f>
        <v>Elle met ses mains dans les airs.</v>
      </c>
    </row>
    <row r="33934">
      <c r="A33934" s="4" t="s">
        <v>42699</v>
      </c>
      <c r="B33934" s="4" t="s">
        <v>42700</v>
      </c>
      <c r="C33934" s="5" t="str">
        <f>IFERROR(__xludf.DUMMYFUNCTION("GOOGLETRANSLATE(B33934,""en"",""fr"")"),"Certaines femmes sont sur un bateau qui tentent de comprendre comment jouer au shuffleboard.")</f>
        <v>Certaines femmes sont sur un bateau qui tentent de comprendre comment jouer au shuffleboard.</v>
      </c>
    </row>
    <row r="33935">
      <c r="A33935" s="4" t="s">
        <v>42699</v>
      </c>
      <c r="B33935" s="4" t="s">
        <v>42701</v>
      </c>
      <c r="C33935" s="5" t="str">
        <f>IFERROR(__xludf.DUMMYFUNCTION("GOOGLETRANSLATE(B33935,""en"",""fr"")"),"La fille fait un tableau de ponthot et les filles commencent toutes à célébrer.")</f>
        <v>La fille fait un tableau de ponthot et les filles commencent toutes à célébrer.</v>
      </c>
    </row>
    <row r="33936">
      <c r="A33936" s="4" t="s">
        <v>42699</v>
      </c>
      <c r="B33936" s="4" t="s">
        <v>42702</v>
      </c>
      <c r="C33936" s="5" t="str">
        <f>IFERROR(__xludf.DUMMYFUNCTION("GOOGLETRANSLATE(B33936,""en"",""fr"")"),"Elle continue de tenter de faire des coups de feu et d'agir idiot.")</f>
        <v>Elle continue de tenter de faire des coups de feu et d'agir idiot.</v>
      </c>
    </row>
    <row r="33937">
      <c r="A33937" s="4" t="s">
        <v>42699</v>
      </c>
      <c r="B33937" s="4" t="s">
        <v>42703</v>
      </c>
      <c r="C33937" s="5" t="str">
        <f>IFERROR(__xludf.DUMMYFUNCTION("GOOGLETRANSLATE(B33937,""en"",""fr"")"),"Elle pose le bâton de paletterie et la vidéo se termine.")</f>
        <v>Elle pose le bâton de paletterie et la vidéo se termine.</v>
      </c>
    </row>
    <row r="33938">
      <c r="A33938" s="4" t="s">
        <v>42704</v>
      </c>
      <c r="B33938" s="6" t="s">
        <v>42705</v>
      </c>
      <c r="C33938" s="5" t="str">
        <f>IFERROR(__xludf.DUMMYFUNCTION("GOOGLETRANSLATE(B33938,""en"",""fr"")"),"Des vidéos de plusieurs hommes lançant le disque sont affichées à leur tour, les hommes étant regardés par un public et des juges, et les lancers rejoués au ralenti après.")</f>
        <v>Des vidéos de plusieurs hommes lançant le disque sont affichées à leur tour, les hommes étant regardés par un public et des juges, et les lancers rejoués au ralenti après.</v>
      </c>
    </row>
    <row r="33939">
      <c r="A33939" s="4" t="s">
        <v>42704</v>
      </c>
      <c r="B33939" s="4" t="s">
        <v>42706</v>
      </c>
      <c r="C33939" s="5" t="str">
        <f>IFERROR(__xludf.DUMMYFUNCTION("GOOGLETRANSLATE(B33939,""en"",""fr"")"),"Les juges sont présentés évaluant la distance de l'un des lancers.")</f>
        <v>Les juges sont présentés évaluant la distance de l'un des lancers.</v>
      </c>
    </row>
    <row r="33940">
      <c r="A33940" s="4" t="s">
        <v>42704</v>
      </c>
      <c r="B33940" s="4" t="s">
        <v>42707</v>
      </c>
      <c r="C33940" s="5" t="str">
        <f>IFERROR(__xludf.DUMMYFUNCTION("GOOGLETRANSLATE(B33940,""en"",""fr"")"),"Les juges sont à nouveau montrés évaluant la distance de l'un des lancers.")</f>
        <v>Les juges sont à nouveau montrés évaluant la distance de l'un des lancers.</v>
      </c>
    </row>
    <row r="33941">
      <c r="A33941" s="4" t="s">
        <v>42708</v>
      </c>
      <c r="B33941" s="4" t="s">
        <v>42709</v>
      </c>
      <c r="C33941" s="5" t="str">
        <f>IFERROR(__xludf.DUMMYFUNCTION("GOOGLETRANSLATE(B33941,""en"",""fr"")"),"Un homme portant une chemise noire se tient dans un salon avec un accordéon rouge et noir.")</f>
        <v>Un homme portant une chemise noire se tient dans un salon avec un accordéon rouge et noir.</v>
      </c>
    </row>
    <row r="33942">
      <c r="A33942" s="4" t="s">
        <v>42708</v>
      </c>
      <c r="B33942" s="6" t="s">
        <v>42710</v>
      </c>
      <c r="C33942" s="5" t="str">
        <f>IFERROR(__xludf.DUMMYFUNCTION("GOOGLETRANSLATE(B33942,""en"",""fr"")"),"Le musicien assis sur une chaise tenant un accordéon noir et se prépare à démontrer comment jouer un accordéon.")</f>
        <v>Le musicien assis sur une chaise tenant un accordéon noir et se prépare à démontrer comment jouer un accordéon.</v>
      </c>
    </row>
    <row r="33943">
      <c r="A33943" s="4" t="s">
        <v>42708</v>
      </c>
      <c r="B33943" s="4" t="s">
        <v>42711</v>
      </c>
      <c r="C33943" s="5" t="str">
        <f>IFERROR(__xludf.DUMMYFUNCTION("GOOGLETRANSLATE(B33943,""en"",""fr"")"),"L'homme démontre alors jouer un accordéan en utilisant un accordéon brun.")</f>
        <v>L'homme démontre alors jouer un accordéan en utilisant un accordéon brun.</v>
      </c>
    </row>
    <row r="33944">
      <c r="A33944" s="4" t="s">
        <v>42712</v>
      </c>
      <c r="B33944" s="4" t="s">
        <v>42713</v>
      </c>
      <c r="C33944" s="5" t="str">
        <f>IFERROR(__xludf.DUMMYFUNCTION("GOOGLETRANSLATE(B33944,""en"",""fr"")"),"Un cerf-volant est vu volant dans les airs avec une personne roulant derrière le cerf-volant sur le sable.")</f>
        <v>Un cerf-volant est vu volant dans les airs avec une personne roulant derrière le cerf-volant sur le sable.</v>
      </c>
    </row>
    <row r="33945">
      <c r="A33945" s="4" t="s">
        <v>42712</v>
      </c>
      <c r="B33945" s="6" t="s">
        <v>42714</v>
      </c>
      <c r="C33945" s="5" t="str">
        <f>IFERROR(__xludf.DUMMYFUNCTION("GOOGLETRANSLATE(B33945,""en"",""fr"")"),"La caméra continue de se lancer autour de la plage en capturant la personne qui vole un cerf-volant et lui roulant et la tenant.")</f>
        <v>La caméra continue de se lancer autour de la plage en capturant la personne qui vole un cerf-volant et lui roulant et la tenant.</v>
      </c>
    </row>
    <row r="33946">
      <c r="A33946" s="4" t="s">
        <v>42715</v>
      </c>
      <c r="B33946" s="6" t="s">
        <v>42716</v>
      </c>
      <c r="C33946" s="5" t="str">
        <f>IFERROR(__xludf.DUMMYFUNCTION("GOOGLETRANSLATE(B33946,""en"",""fr"")"),"Une personne aux cheveux folles apparaît et la mène sur un navire spatial avec de la gravité essentiellement éteinte.")</f>
        <v>Une personne aux cheveux folles apparaît et la mène sur un navire spatial avec de la gravité essentiellement éteinte.</v>
      </c>
    </row>
    <row r="33947">
      <c r="A33947" s="4" t="s">
        <v>42715</v>
      </c>
      <c r="B33947" s="4" t="s">
        <v>42717</v>
      </c>
      <c r="C33947" s="5" t="str">
        <f>IFERROR(__xludf.DUMMYFUNCTION("GOOGLETRANSLATE(B33947,""en"",""fr"")"),"Elle montre les différents articles transportés sur un artisanat spatial et met une lotion dans ses cheveux.")</f>
        <v>Elle montre les différents articles transportés sur un artisanat spatial et met une lotion dans ses cheveux.</v>
      </c>
    </row>
    <row r="33948">
      <c r="A33948" s="4" t="s">
        <v>42715</v>
      </c>
      <c r="B33948" s="4" t="s">
        <v>42718</v>
      </c>
      <c r="C33948" s="5" t="str">
        <f>IFERROR(__xludf.DUMMYFUNCTION("GOOGLETRANSLATE(B33948,""en"",""fr"")"),"Elle peigne à fond la lotion et sèche de sa tête avec une serviette.")</f>
        <v>Elle peigne à fond la lotion et sèche de sa tête avec une serviette.</v>
      </c>
    </row>
    <row r="33949">
      <c r="A33949" s="4" t="s">
        <v>42715</v>
      </c>
      <c r="B33949" s="4" t="s">
        <v>42719</v>
      </c>
      <c r="C33949" s="5" t="str">
        <f>IFERROR(__xludf.DUMMYFUNCTION("GOOGLETRANSLATE(B33949,""en"",""fr"")"),"Elle pointe la caméra et peigne dans ses cheveux une dernière fois.")</f>
        <v>Elle pointe la caméra et peigne dans ses cheveux une dernière fois.</v>
      </c>
    </row>
    <row r="33950">
      <c r="A33950" s="4" t="s">
        <v>42720</v>
      </c>
      <c r="B33950" s="6" t="s">
        <v>42721</v>
      </c>
      <c r="C33950" s="5" t="str">
        <f>IFERROR(__xludf.DUMMYFUNCTION("GOOGLETRANSLATE(B33950,""en"",""fr"")"),"Cet homme est assis à l'extérieur pour polir les chaussures d'un autre homme et aucun de leurs visages n'est montré.")</f>
        <v>Cet homme est assis à l'extérieur pour polir les chaussures d'un autre homme et aucun de leurs visages n'est montré.</v>
      </c>
    </row>
    <row r="33951">
      <c r="A33951" s="4" t="s">
        <v>42720</v>
      </c>
      <c r="B33951" s="4" t="s">
        <v>42722</v>
      </c>
      <c r="C33951" s="5" t="str">
        <f>IFERROR(__xludf.DUMMYFUNCTION("GOOGLETRANSLATE(B33951,""en"",""fr"")"),"L'homme est assis par terre et il utilise une serviette brune pour polir les chaussures de l'homme.")</f>
        <v>L'homme est assis par terre et il utilise une serviette brune pour polir les chaussures de l'homme.</v>
      </c>
    </row>
    <row r="33952">
      <c r="A33952" s="4" t="s">
        <v>42720</v>
      </c>
      <c r="B33952" s="4" t="s">
        <v>42723</v>
      </c>
      <c r="C33952" s="5" t="str">
        <f>IFERROR(__xludf.DUMMYFUNCTION("GOOGLETRANSLATE(B33952,""en"",""fr"")"),"Il met également du liquide sur une petite brosse et il le met sur les chaussures de l'homme.")</f>
        <v>Il met également du liquide sur une petite brosse et il le met sur les chaussures de l'homme.</v>
      </c>
    </row>
    <row r="33953">
      <c r="A33953" s="4" t="s">
        <v>42724</v>
      </c>
      <c r="B33953" s="4" t="s">
        <v>42725</v>
      </c>
      <c r="C33953" s="5" t="str">
        <f>IFERROR(__xludf.DUMMYFUNCTION("GOOGLETRANSLATE(B33953,""en"",""fr"")"),"Une fille se retourne devant une pièce pleine d'enfants.")</f>
        <v>Une fille se retourne devant une pièce pleine d'enfants.</v>
      </c>
    </row>
    <row r="33954">
      <c r="A33954" s="4" t="s">
        <v>42724</v>
      </c>
      <c r="B33954" s="4" t="s">
        <v>42726</v>
      </c>
      <c r="C33954" s="5" t="str">
        <f>IFERROR(__xludf.DUMMYFUNCTION("GOOGLETRANSLATE(B33954,""en"",""fr"")"),"Elle utilise un cerceau pour aller en rond.")</f>
        <v>Elle utilise un cerceau pour aller en rond.</v>
      </c>
    </row>
    <row r="33955">
      <c r="A33955" s="4" t="s">
        <v>42724</v>
      </c>
      <c r="B33955" s="4" t="s">
        <v>42727</v>
      </c>
      <c r="C33955" s="5" t="str">
        <f>IFERROR(__xludf.DUMMYFUNCTION("GOOGLETRANSLATE(B33955,""en"",""fr"")"),"Elle agit idiote alors qu'elle montre comment elle peut utiliser le cerceau Hula.")</f>
        <v>Elle agit idiote alors qu'elle montre comment elle peut utiliser le cerceau Hula.</v>
      </c>
    </row>
    <row r="33956">
      <c r="A33956" s="4" t="s">
        <v>42728</v>
      </c>
      <c r="B33956" s="4" t="s">
        <v>42729</v>
      </c>
      <c r="C33956" s="5" t="str">
        <f>IFERROR(__xludf.DUMMYFUNCTION("GOOGLETRANSLATE(B33956,""en"",""fr"")"),"Plusieurs joueurs sont sur une patinoire.")</f>
        <v>Plusieurs joueurs sont sur une patinoire.</v>
      </c>
    </row>
    <row r="33957">
      <c r="A33957" s="4" t="s">
        <v>42728</v>
      </c>
      <c r="B33957" s="4" t="s">
        <v>42730</v>
      </c>
      <c r="C33957" s="5" t="str">
        <f>IFERROR(__xludf.DUMMYFUNCTION("GOOGLETRANSLATE(B33957,""en"",""fr"")"),"Ils jouent au hockey les uns contre les autres.")</f>
        <v>Ils jouent au hockey les uns contre les autres.</v>
      </c>
    </row>
    <row r="33958">
      <c r="A33958" s="4" t="s">
        <v>42728</v>
      </c>
      <c r="B33958" s="4" t="s">
        <v>42731</v>
      </c>
      <c r="C33958" s="5" t="str">
        <f>IFERROR(__xludf.DUMMYFUNCTION("GOOGLETRANSLATE(B33958,""en"",""fr"")"),"Une équipe marque un but.")</f>
        <v>Une équipe marque un but.</v>
      </c>
    </row>
    <row r="33959">
      <c r="A33959" s="4" t="s">
        <v>42728</v>
      </c>
      <c r="B33959" s="4" t="s">
        <v>42732</v>
      </c>
      <c r="C33959" s="5" t="str">
        <f>IFERROR(__xludf.DUMMYFUNCTION("GOOGLETRANSLATE(B33959,""en"",""fr"")"),"Tout le monde encourage l'objectif.")</f>
        <v>Tout le monde encourage l'objectif.</v>
      </c>
    </row>
    <row r="33960">
      <c r="A33960" s="4" t="s">
        <v>42733</v>
      </c>
      <c r="B33960" s="4" t="s">
        <v>42734</v>
      </c>
      <c r="C33960" s="5" t="str">
        <f>IFERROR(__xludf.DUMMYFUNCTION("GOOGLETRANSLATE(B33960,""en"",""fr"")"),"Nous voyons un homme se lancer dans un souffleur de feuilles.")</f>
        <v>Nous voyons un homme se lancer dans un souffleur de feuilles.</v>
      </c>
    </row>
    <row r="33961">
      <c r="A33961" s="4" t="s">
        <v>42733</v>
      </c>
      <c r="B33961" s="4" t="s">
        <v>42735</v>
      </c>
      <c r="C33961" s="5" t="str">
        <f>IFERROR(__xludf.DUMMYFUNCTION("GOOGLETRANSLATE(B33961,""en"",""fr"")"),"Nous voyons les feuilles souffler par terre.")</f>
        <v>Nous voyons les feuilles souffler par terre.</v>
      </c>
    </row>
    <row r="33962">
      <c r="A33962" s="4" t="s">
        <v>42733</v>
      </c>
      <c r="B33962" s="4" t="s">
        <v>42736</v>
      </c>
      <c r="C33962" s="5" t="str">
        <f>IFERROR(__xludf.DUMMYFUNCTION("GOOGLETRANSLATE(B33962,""en"",""fr"")"),"Nous voyons un tuyau sur la machine.")</f>
        <v>Nous voyons un tuyau sur la machine.</v>
      </c>
    </row>
    <row r="33963">
      <c r="A33963" s="4" t="s">
        <v>42733</v>
      </c>
      <c r="B33963" s="4" t="s">
        <v>42737</v>
      </c>
      <c r="C33963" s="5" t="str">
        <f>IFERROR(__xludf.DUMMYFUNCTION("GOOGLETRANSLATE(B33963,""en"",""fr"")"),"Nous revenons à voir les feuilles souffler.")</f>
        <v>Nous revenons à voir les feuilles souffler.</v>
      </c>
    </row>
    <row r="33964">
      <c r="A33964" s="4" t="s">
        <v>42733</v>
      </c>
      <c r="B33964" s="4" t="s">
        <v>42738</v>
      </c>
      <c r="C33964" s="5" t="str">
        <f>IFERROR(__xludf.DUMMYFUNCTION("GOOGLETRANSLATE(B33964,""en"",""fr"")"),"Nous voyons des feuilles souffler dans la rue.")</f>
        <v>Nous voyons des feuilles souffler dans la rue.</v>
      </c>
    </row>
    <row r="33965">
      <c r="A33965" s="4" t="s">
        <v>42733</v>
      </c>
      <c r="B33965" s="4" t="s">
        <v>777</v>
      </c>
      <c r="C33965" s="5" t="str">
        <f>IFERROR(__xludf.DUMMYFUNCTION("GOOGLETRANSLATE(B33965,""en"",""fr"")"),"Nous voyons l'écran du titre de fin.")</f>
        <v>Nous voyons l'écran du titre de fin.</v>
      </c>
    </row>
    <row r="33966">
      <c r="A33966" s="4" t="s">
        <v>42739</v>
      </c>
      <c r="B33966" s="6" t="s">
        <v>42740</v>
      </c>
      <c r="C33966" s="5" t="str">
        <f>IFERROR(__xludf.DUMMYFUNCTION("GOOGLETRANSLATE(B33966,""en"",""fr"")"),"Depuis le toit, nous voyons la rue où une voiture est garée et un homme debout sur la pièce, l'homme commence à attirer des bardeaux de toit.")</f>
        <v>Depuis le toit, nous voyons la rue où une voiture est garée et un homme debout sur la pièce, l'homme commence à attirer des bardeaux de toit.</v>
      </c>
    </row>
    <row r="33967">
      <c r="A33967" s="4" t="s">
        <v>42739</v>
      </c>
      <c r="B33967" s="4" t="s">
        <v>42741</v>
      </c>
      <c r="C33967" s="5" t="str">
        <f>IFERROR(__xludf.DUMMYFUNCTION("GOOGLETRANSLATE(B33967,""en"",""fr"")"),"L'homme ajoute un morceau fixe de bardeaux et de ongles ourlet.")</f>
        <v>L'homme ajoute un morceau fixe de bardeaux et de ongles ourlet.</v>
      </c>
    </row>
    <row r="33968">
      <c r="A33968" s="4" t="s">
        <v>42739</v>
      </c>
      <c r="B33968" s="4" t="s">
        <v>42742</v>
      </c>
      <c r="C33968" s="5" t="str">
        <f>IFERROR(__xludf.DUMMYFUNCTION("GOOGLETRANSLATE(B33968,""en"",""fr"")"),"L'homme se termine et s'éloigne.")</f>
        <v>L'homme se termine et s'éloigne.</v>
      </c>
    </row>
    <row r="33969">
      <c r="A33969" s="4" t="s">
        <v>42739</v>
      </c>
      <c r="B33969" s="4" t="s">
        <v>42743</v>
      </c>
      <c r="C33969" s="5" t="str">
        <f>IFERROR(__xludf.DUMMYFUNCTION("GOOGLETRANSLATE(B33969,""en"",""fr"")"),"Nous voyons le Ruck dans la rue pour la société de toiture.")</f>
        <v>Nous voyons le Ruck dans la rue pour la société de toiture.</v>
      </c>
    </row>
    <row r="33970">
      <c r="A33970" s="4" t="s">
        <v>42744</v>
      </c>
      <c r="B33970" s="6" t="s">
        <v>42745</v>
      </c>
      <c r="C33970" s="5" t="str">
        <f>IFERROR(__xludf.DUMMYFUNCTION("GOOGLETRANSLATE(B33970,""en"",""fr"")"),"Cet homme est montré debout dans l'eau portant son capuchon de piscine et ses lunettes sont sur le front.")</f>
        <v>Cet homme est montré debout dans l'eau portant son capuchon de piscine et ses lunettes sont sur le front.</v>
      </c>
    </row>
    <row r="33971">
      <c r="A33971" s="4" t="s">
        <v>42744</v>
      </c>
      <c r="B33971" s="6" t="s">
        <v>42746</v>
      </c>
      <c r="C33971" s="5" t="str">
        <f>IFERROR(__xludf.DUMMYFUNCTION("GOOGLETRANSLATE(B33971,""en"",""fr"")"),"Il met ensuite les lunettes et nous montre quelques techniques de natation dans l'eau et il recommence à parler.")</f>
        <v>Il met ensuite les lunettes et nous montre quelques techniques de natation dans l'eau et il recommence à parler.</v>
      </c>
    </row>
    <row r="33972">
      <c r="A33972" s="4" t="s">
        <v>42747</v>
      </c>
      <c r="B33972" s="4" t="s">
        <v>42748</v>
      </c>
      <c r="C33972" s="5" t="str">
        <f>IFERROR(__xludf.DUMMYFUNCTION("GOOGLETRANSLATE(B33972,""en"",""fr"")"),"Une femme parle dans une arrière-cour portant des vêtements lâches.")</f>
        <v>Une femme parle dans une arrière-cour portant des vêtements lâches.</v>
      </c>
    </row>
    <row r="33973">
      <c r="A33973" s="4" t="s">
        <v>42747</v>
      </c>
      <c r="B33973" s="4" t="s">
        <v>42749</v>
      </c>
      <c r="C33973" s="5" t="str">
        <f>IFERROR(__xludf.DUMMYFUNCTION("GOOGLETRANSLATE(B33973,""en"",""fr"")"),"La femme fait de l'exercice en marchant sur le tapis.")</f>
        <v>La femme fait de l'exercice en marchant sur le tapis.</v>
      </c>
    </row>
    <row r="33974">
      <c r="A33974" s="4" t="s">
        <v>42750</v>
      </c>
      <c r="B33974" s="4" t="s">
        <v>42751</v>
      </c>
      <c r="C33974" s="5" t="str">
        <f>IFERROR(__xludf.DUMMYFUNCTION("GOOGLETRANSLATE(B33974,""en"",""fr"")"),"Deux hommes sont assis devant un comptoir dans une cuisine.")</f>
        <v>Deux hommes sont assis devant un comptoir dans une cuisine.</v>
      </c>
    </row>
    <row r="33975">
      <c r="A33975" s="4" t="s">
        <v>42750</v>
      </c>
      <c r="B33975" s="4" t="s">
        <v>42752</v>
      </c>
      <c r="C33975" s="5" t="str">
        <f>IFERROR(__xludf.DUMMYFUNCTION("GOOGLETRANSLATE(B33975,""en"",""fr"")"),"Les hommes commencent à mélanger un gâteau.")</f>
        <v>Les hommes commencent à mélanger un gâteau.</v>
      </c>
    </row>
    <row r="33976">
      <c r="A33976" s="4" t="s">
        <v>42750</v>
      </c>
      <c r="B33976" s="6" t="s">
        <v>42753</v>
      </c>
      <c r="C33976" s="5" t="str">
        <f>IFERROR(__xludf.DUMMYFUNCTION("GOOGLETRANSLATE(B33976,""en"",""fr"")"),"L'homme est dans la cuisine et verser des ingrédients à l'intérieur d'un pot de cuisson et les mélanger pendant que c'est de l'eau bouillante et mettre le pot sur le dessus de l'eau bouillie.")</f>
        <v>L'homme est dans la cuisine et verser des ingrédients à l'intérieur d'un pot de cuisson et les mélanger pendant que c'est de l'eau bouillante et mettre le pot sur le dessus de l'eau bouillie.</v>
      </c>
    </row>
    <row r="33977">
      <c r="A33977" s="4" t="s">
        <v>42750</v>
      </c>
      <c r="B33977" s="4" t="s">
        <v>42754</v>
      </c>
      <c r="C33977" s="5" t="str">
        <f>IFERROR(__xludf.DUMMYFUNCTION("GOOGLETRANSLATE(B33977,""en"",""fr"")"),"L'homme commence à mélanger dans une aide à la cuisine et à créer une crème blanche.")</f>
        <v>L'homme commence à mélanger dans une aide à la cuisine et à créer une crème blanche.</v>
      </c>
    </row>
    <row r="33978">
      <c r="A33978" s="4" t="s">
        <v>42755</v>
      </c>
      <c r="B33978" s="6" t="s">
        <v>42756</v>
      </c>
      <c r="C33978" s="5" t="str">
        <f>IFERROR(__xludf.DUMMYFUNCTION("GOOGLETRANSLATE(B33978,""en"",""fr"")"),"Un grand groupe de personnes est vue debout autour d'une plage ainsi que plusieurs plans de voitures et de personnes qui chevauchent des taureaux.")</f>
        <v>Un grand groupe de personnes est vue debout autour d'une plage ainsi que plusieurs plans de voitures et de personnes qui chevauchent des taureaux.</v>
      </c>
    </row>
    <row r="33979">
      <c r="A33979" s="4" t="s">
        <v>42755</v>
      </c>
      <c r="B33979" s="6" t="s">
        <v>42757</v>
      </c>
      <c r="C33979" s="5" t="str">
        <f>IFERROR(__xludf.DUMMYFUNCTION("GOOGLETRANSLATE(B33979,""en"",""fr"")"),"Diverses personnes montent sur les taureaux et s'assoient dans les voitures et se terminent avec un jeu de volleyball et de célébration.")</f>
        <v>Diverses personnes montent sur les taureaux et s'assoient dans les voitures et se terminent avec un jeu de volleyball et de célébration.</v>
      </c>
    </row>
    <row r="33980">
      <c r="A33980" s="4" t="s">
        <v>42758</v>
      </c>
      <c r="B33980" s="4" t="s">
        <v>42759</v>
      </c>
      <c r="C33980" s="5" t="str">
        <f>IFERROR(__xludf.DUMMYFUNCTION("GOOGLETRANSLATE(B33980,""en"",""fr"")"),"Un vélo avec un pneu dégonflé passe par la saleté.")</f>
        <v>Un vélo avec un pneu dégonflé passe par la saleté.</v>
      </c>
    </row>
    <row r="33981">
      <c r="A33981" s="4" t="s">
        <v>42758</v>
      </c>
      <c r="B33981" s="4" t="s">
        <v>42760</v>
      </c>
      <c r="C33981" s="5" t="str">
        <f>IFERROR(__xludf.DUMMYFUNCTION("GOOGLETRANSLATE(B33981,""en"",""fr"")"),"Un homme quitte le vélo pour le regarder.")</f>
        <v>Un homme quitte le vélo pour le regarder.</v>
      </c>
    </row>
    <row r="33982">
      <c r="A33982" s="4" t="s">
        <v>42758</v>
      </c>
      <c r="B33982" s="4" t="s">
        <v>42761</v>
      </c>
      <c r="C33982" s="5" t="str">
        <f>IFERROR(__xludf.DUMMYFUNCTION("GOOGLETRANSLATE(B33982,""en"",""fr"")"),"Il retire le pneu du vélo.")</f>
        <v>Il retire le pneu du vélo.</v>
      </c>
    </row>
    <row r="33983">
      <c r="A33983" s="4" t="s">
        <v>42758</v>
      </c>
      <c r="B33983" s="4" t="s">
        <v>42762</v>
      </c>
      <c r="C33983" s="5" t="str">
        <f>IFERROR(__xludf.DUMMYFUNCTION("GOOGLETRANSLATE(B33983,""en"",""fr"")"),"Il remplace le tube du pneu et fixe le vélo.")</f>
        <v>Il remplace le tube du pneu et fixe le vélo.</v>
      </c>
    </row>
    <row r="33984">
      <c r="A33984" s="4" t="s">
        <v>42763</v>
      </c>
      <c r="B33984" s="4" t="s">
        <v>42764</v>
      </c>
      <c r="C33984" s="5" t="str">
        <f>IFERROR(__xludf.DUMMYFUNCTION("GOOGLETRANSLATE(B33984,""en"",""fr"")"),"Un homme dans un costume mouillé rouge est assis sur un flotteur qui parle avec désinvolture.")</f>
        <v>Un homme dans un costume mouillé rouge est assis sur un flotteur qui parle avec désinvolture.</v>
      </c>
    </row>
    <row r="33985">
      <c r="A33985" s="4" t="s">
        <v>42763</v>
      </c>
      <c r="B33985" s="4" t="s">
        <v>42765</v>
      </c>
      <c r="C33985" s="5" t="str">
        <f>IFERROR(__xludf.DUMMYFUNCTION("GOOGLETRANSLATE(B33985,""en"",""fr"")"),"À côté de Hime, de nombreuses autres personnes sur leurs propres chars, se détendent tout simplement.")</f>
        <v>À côté de Hime, de nombreuses autres personnes sur leurs propres chars, se détendent tout simplement.</v>
      </c>
    </row>
    <row r="33986">
      <c r="A33986" s="4" t="s">
        <v>42763</v>
      </c>
      <c r="B33986" s="4" t="s">
        <v>42766</v>
      </c>
      <c r="C33986" s="5" t="str">
        <f>IFERROR(__xludf.DUMMYFUNCTION("GOOGLETRANSLATE(B33986,""en"",""fr"")"),"Ils flottent à travers la rivière passant tous les paysages verts.")</f>
        <v>Ils flottent à travers la rivière passant tous les paysages verts.</v>
      </c>
    </row>
    <row r="33987">
      <c r="A33987" s="4" t="s">
        <v>42763</v>
      </c>
      <c r="B33987" s="4" t="s">
        <v>42767</v>
      </c>
      <c r="C33987" s="5" t="str">
        <f>IFERROR(__xludf.DUMMYFUNCTION("GOOGLETRANSLATE(B33987,""en"",""fr"")"),"L'homme dans la combinaison rouge humide ouvre la voie.")</f>
        <v>L'homme dans la combinaison rouge humide ouvre la voie.</v>
      </c>
    </row>
    <row r="33988">
      <c r="A33988" s="4" t="s">
        <v>42768</v>
      </c>
      <c r="B33988" s="4" t="s">
        <v>42769</v>
      </c>
      <c r="C33988" s="5" t="str">
        <f>IFERROR(__xludf.DUMMYFUNCTION("GOOGLETRANSLATE(B33988,""en"",""fr"")"),"Un garçon surfe dans une grande vague.")</f>
        <v>Un garçon surfe dans une grande vague.</v>
      </c>
    </row>
    <row r="33989">
      <c r="A33989" s="4" t="s">
        <v>42768</v>
      </c>
      <c r="B33989" s="4" t="s">
        <v>42770</v>
      </c>
      <c r="C33989" s="5" t="str">
        <f>IFERROR(__xludf.DUMMYFUNCTION("GOOGLETRANSLATE(B33989,""en"",""fr"")"),"Un groupe de personnes se plie sur des planches de surf dans une vague.")</f>
        <v>Un groupe de personnes se plie sur des planches de surf dans une vague.</v>
      </c>
    </row>
    <row r="33990">
      <c r="A33990" s="4" t="s">
        <v>42768</v>
      </c>
      <c r="B33990" s="4" t="s">
        <v>42771</v>
      </c>
      <c r="C33990" s="5" t="str">
        <f>IFERROR(__xludf.DUMMYFUNCTION("GOOGLETRANSLATE(B33990,""en"",""fr"")"),"Soudain, un garçon tient un surf sous la vague.")</f>
        <v>Soudain, un garçon tient un surf sous la vague.</v>
      </c>
    </row>
    <row r="33991">
      <c r="A33991" s="4" t="s">
        <v>42768</v>
      </c>
      <c r="B33991" s="4" t="s">
        <v>42772</v>
      </c>
      <c r="C33991" s="5" t="str">
        <f>IFERROR(__xludf.DUMMYFUNCTION("GOOGLETRANSLATE(B33991,""en"",""fr"")"),"Les hommes se tiennent dans la plage en tenant des planches de surf.")</f>
        <v>Les hommes se tiennent dans la plage en tenant des planches de surf.</v>
      </c>
    </row>
    <row r="33992">
      <c r="A33992" s="4" t="s">
        <v>42773</v>
      </c>
      <c r="B33992" s="4" t="s">
        <v>42774</v>
      </c>
      <c r="C33992" s="5" t="str">
        <f>IFERROR(__xludf.DUMMYFUNCTION("GOOGLETRANSLATE(B33992,""en"",""fr"")"),"Une photo du chignon d'une jeune femme est montrée puis la dame apparaît alors.")</f>
        <v>Une photo du chignon d'une jeune femme est montrée puis la dame apparaît alors.</v>
      </c>
    </row>
    <row r="33993">
      <c r="A33993" s="4" t="s">
        <v>42773</v>
      </c>
      <c r="B33993" s="6" t="s">
        <v>42775</v>
      </c>
      <c r="C33993" s="5" t="str">
        <f>IFERROR(__xludf.DUMMYFUNCTION("GOOGLETRANSLATE(B33993,""en"",""fr"")"),"Elle commence par tresser un côté de ses cheveux, puis le tord et fait la même chose de l'autre côté.")</f>
        <v>Elle commence par tresser un côté de ses cheveux, puis le tord et fait la même chose de l'autre côté.</v>
      </c>
    </row>
    <row r="33994">
      <c r="A33994" s="4" t="s">
        <v>42773</v>
      </c>
      <c r="B33994" s="4" t="s">
        <v>42776</v>
      </c>
      <c r="C33994" s="5" t="str">
        <f>IFERROR(__xludf.DUMMYFUNCTION("GOOGLETRANSLATE(B33994,""en"",""fr"")"),"Avec une torsion, elle le tire vers le haut et Bobby l'a épinglé avec l'autre côté suivant.")</f>
        <v>Avec une torsion, elle le tire vers le haut et Bobby l'a épinglé avec l'autre côté suivant.</v>
      </c>
    </row>
    <row r="33995">
      <c r="A33995" s="4" t="s">
        <v>42773</v>
      </c>
      <c r="B33995" s="4" t="s">
        <v>42777</v>
      </c>
      <c r="C33995" s="5" t="str">
        <f>IFERROR(__xludf.DUMMYFUNCTION("GOOGLETRANSLATE(B33995,""en"",""fr"")"),"Le coiffure est ensuite complet et elle est plus affichée du produit final.")</f>
        <v>Le coiffure est ensuite complet et elle est plus affichée du produit final.</v>
      </c>
    </row>
    <row r="33996">
      <c r="A33996" s="4" t="s">
        <v>42778</v>
      </c>
      <c r="B33996" s="4" t="s">
        <v>42779</v>
      </c>
      <c r="C33996" s="5" t="str">
        <f>IFERROR(__xludf.DUMMYFUNCTION("GOOGLETRANSLATE(B33996,""en"",""fr"")"),"Une jambe et un pied gauche des femmes se trouvent dans une baignoire alors que la dame se rasage la jambe.")</f>
        <v>Une jambe et un pied gauche des femmes se trouvent dans une baignoire alors que la dame se rasage la jambe.</v>
      </c>
    </row>
    <row r="33997">
      <c r="A33997" s="4" t="s">
        <v>42778</v>
      </c>
      <c r="B33997" s="6" t="s">
        <v>42780</v>
      </c>
      <c r="C33997" s="5" t="str">
        <f>IFERROR(__xludf.DUMMYFUNCTION("GOOGLETRANSLATE(B33997,""en"",""fr"")"),"Une fois qu'elle a fini avec l'avant, elle tourne ses jambes vers la gauche et à droite et rasage les côtés dans un mouvement ascendant.")</f>
        <v>Une fois qu'elle a fini avec l'avant, elle tourne ses jambes vers la gauche et à droite et rasage les côtés dans un mouvement ascendant.</v>
      </c>
    </row>
    <row r="33998">
      <c r="A33998" s="4" t="s">
        <v>42781</v>
      </c>
      <c r="B33998" s="4" t="s">
        <v>42782</v>
      </c>
      <c r="C33998" s="5" t="str">
        <f>IFERROR(__xludf.DUMMYFUNCTION("GOOGLETRANSLATE(B33998,""en"",""fr"")"),"Un grand groupe d'hommes en uniforme est rassemblé pour jouer du paintball.")</f>
        <v>Un grand groupe d'hommes en uniforme est rassemblé pour jouer du paintball.</v>
      </c>
    </row>
    <row r="33999">
      <c r="A33999" s="4" t="s">
        <v>42781</v>
      </c>
      <c r="B33999" s="6" t="s">
        <v>42783</v>
      </c>
      <c r="C33999" s="5" t="str">
        <f>IFERROR(__xludf.DUMMYFUNCTION("GOOGLETRANSLATE(B33999,""en"",""fr"")"),"Ils commencent à s'enfuir et tout le monde se faufile en essayant d'attraper et de tirer sur d'autres personnes sans se faire prendre.")</f>
        <v>Ils commencent à s'enfuir et tout le monde se faufile en essayant d'attraper et de tirer sur d'autres personnes sans se faire prendre.</v>
      </c>
    </row>
    <row r="34000">
      <c r="A34000" s="4" t="s">
        <v>42781</v>
      </c>
      <c r="B34000" s="4" t="s">
        <v>42784</v>
      </c>
      <c r="C34000" s="5" t="str">
        <f>IFERROR(__xludf.DUMMYFUNCTION("GOOGLETRANSLATE(B34000,""en"",""fr"")"),"Le champ sur lequel ils jouent est plutôt cool, il a beaucoup de cachettes différentes.")</f>
        <v>Le champ sur lequel ils jouent est plutôt cool, il a beaucoup de cachettes différentes.</v>
      </c>
    </row>
    <row r="34001">
      <c r="A34001" s="4" t="s">
        <v>42781</v>
      </c>
      <c r="B34001" s="4" t="s">
        <v>42785</v>
      </c>
      <c r="C34001" s="5" t="str">
        <f>IFERROR(__xludf.DUMMYFUNCTION("GOOGLETRANSLATE(B34001,""en"",""fr"")"),"En fin de compte, ils prennent tous la plupart de leur équipement et commencent à revenir ensemble.")</f>
        <v>En fin de compte, ils prennent tous la plupart de leur équipement et commencent à revenir ensemble.</v>
      </c>
    </row>
    <row r="34002">
      <c r="A34002" s="4" t="s">
        <v>42786</v>
      </c>
      <c r="B34002" s="4" t="s">
        <v>42787</v>
      </c>
      <c r="C34002" s="5" t="str">
        <f>IFERROR(__xludf.DUMMYFUNCTION("GOOGLETRANSLATE(B34002,""en"",""fr"")"),"Un homme peint un tuyau à l'avant une clôture dans une cour.")</f>
        <v>Un homme peint un tuyau à l'avant une clôture dans une cour.</v>
      </c>
    </row>
    <row r="34003">
      <c r="A34003" s="4" t="s">
        <v>42786</v>
      </c>
      <c r="B34003" s="4" t="s">
        <v>42788</v>
      </c>
      <c r="C34003" s="5" t="str">
        <f>IFERROR(__xludf.DUMMYFUNCTION("GOOGLETRANSLATE(B34003,""en"",""fr"")"),"L'homme peint la clôture de haut en bas.")</f>
        <v>L'homme peint la clôture de haut en bas.</v>
      </c>
    </row>
    <row r="34004">
      <c r="A34004" s="4" t="s">
        <v>42789</v>
      </c>
      <c r="B34004" s="6" t="s">
        <v>42790</v>
      </c>
      <c r="C34004" s="5" t="str">
        <f>IFERROR(__xludf.DUMMYFUNCTION("GOOGLETRANSLATE(B34004,""en"",""fr"")"),"Il y a une femme vêtue d'une robe dorée brillante qui mange une barre de crème glacée à la truffe au chocolat Magnum.")</f>
        <v>Il y a une femme vêtue d'une robe dorée brillante qui mange une barre de crème glacée à la truffe au chocolat Magnum.</v>
      </c>
    </row>
    <row r="34005">
      <c r="A34005" s="4" t="s">
        <v>42789</v>
      </c>
      <c r="B34005" s="4" t="s">
        <v>42791</v>
      </c>
      <c r="C34005" s="5" t="str">
        <f>IFERROR(__xludf.DUMMYFUNCTION("GOOGLETRANSLATE(B34005,""en"",""fr"")"),"Elle parle de sa saveur préférée étant le chocolat.")</f>
        <v>Elle parle de sa saveur préférée étant le chocolat.</v>
      </c>
    </row>
    <row r="34006">
      <c r="A34006" s="4" t="s">
        <v>42789</v>
      </c>
      <c r="B34006" s="4" t="s">
        <v>42792</v>
      </c>
      <c r="C34006" s="5" t="str">
        <f>IFERROR(__xludf.DUMMYFUNCTION("GOOGLETRANSLATE(B34006,""en"",""fr"")"),"Elle prend une bouchée de la barre de crème glacée alors qu'elle sauve la saveur riche.")</f>
        <v>Elle prend une bouchée de la barre de crème glacée alors qu'elle sauve la saveur riche.</v>
      </c>
    </row>
    <row r="34007">
      <c r="A34007" s="4" t="s">
        <v>42789</v>
      </c>
      <c r="B34007" s="6" t="s">
        <v>42793</v>
      </c>
      <c r="C34007" s="5" t="str">
        <f>IFERROR(__xludf.DUMMYFUNCTION("GOOGLETRANSLATE(B34007,""en"",""fr"")"),"Elle répond aux questions sur la nécessité d'avoir un temps d'arrêt en tant qu'acteur et de profiter de son bar à crème glacée préférée.")</f>
        <v>Elle répond aux questions sur la nécessité d'avoir un temps d'arrêt en tant qu'acteur et de profiter de son bar à crème glacée préférée.</v>
      </c>
    </row>
    <row r="34008">
      <c r="A34008" s="4" t="s">
        <v>42789</v>
      </c>
      <c r="B34008" s="4" t="s">
        <v>42794</v>
      </c>
      <c r="C34008" s="5" t="str">
        <f>IFERROR(__xludf.DUMMYFUNCTION("GOOGLETRANSLATE(B34008,""en"",""fr"")"),"La vidéo se termine par une barre de crème glacée au chocolat décadent arrosée de chocolat riche.")</f>
        <v>La vidéo se termine par une barre de crème glacée au chocolat décadent arrosée de chocolat riche.</v>
      </c>
    </row>
    <row r="34009">
      <c r="A34009" s="4" t="s">
        <v>42795</v>
      </c>
      <c r="B34009" s="4" t="s">
        <v>42796</v>
      </c>
      <c r="C34009" s="5" t="str">
        <f>IFERROR(__xludf.DUMMYFUNCTION("GOOGLETRANSLATE(B34009,""en"",""fr"")"),"Un homme plus âgé est vu rire de la caméra et jouer un grand ensemble de batterie de bongo.")</f>
        <v>Un homme plus âgé est vu rire de la caméra et jouer un grand ensemble de batterie de bongo.</v>
      </c>
    </row>
    <row r="34010">
      <c r="A34010" s="4" t="s">
        <v>42795</v>
      </c>
      <c r="B34010" s="4" t="s">
        <v>42797</v>
      </c>
      <c r="C34010" s="5" t="str">
        <f>IFERROR(__xludf.DUMMYFUNCTION("GOOGLETRANSLATE(B34010,""en"",""fr"")"),"Il continue de jouer de plus en plus vite et se termine en giflant le tambour une dernière fois.")</f>
        <v>Il continue de jouer de plus en plus vite et se termine en giflant le tambour une dernière fois.</v>
      </c>
    </row>
    <row r="34011">
      <c r="A34011" s="4" t="s">
        <v>42798</v>
      </c>
      <c r="B34011" s="4" t="s">
        <v>42799</v>
      </c>
      <c r="C34011" s="5" t="str">
        <f>IFERROR(__xludf.DUMMYFUNCTION("GOOGLETRANSLATE(B34011,""en"",""fr"")"),"Une personne est vue rapprochée à l'arrière d'un vélo tirant une balle de peinture au loin.")</f>
        <v>Une personne est vue rapprochée à l'arrière d'un vélo tirant une balle de peinture au loin.</v>
      </c>
    </row>
    <row r="34012">
      <c r="A34012" s="4" t="s">
        <v>42798</v>
      </c>
      <c r="B34012" s="4" t="s">
        <v>42800</v>
      </c>
      <c r="C34012" s="5" t="str">
        <f>IFERROR(__xludf.DUMMYFUNCTION("GOOGLETRANSLATE(B34012,""en"",""fr"")"),"Plusieurs plans sont montrés de personnes qui roulent dans des voitures qui tirent des boules de peinture les unes contre les autres.")</f>
        <v>Plusieurs plans sont montrés de personnes qui roulent dans des voitures qui tirent des boules de peinture les unes contre les autres.</v>
      </c>
    </row>
    <row r="34013">
      <c r="A34013" s="4" t="s">
        <v>42798</v>
      </c>
      <c r="B34013" s="4" t="s">
        <v>42801</v>
      </c>
      <c r="C34013" s="5" t="str">
        <f>IFERROR(__xludf.DUMMYFUNCTION("GOOGLETRANSLATE(B34013,""en"",""fr"")"),"Les gens continuent de rouler sur des machines et de sauter par-dessus les obstacles.")</f>
        <v>Les gens continuent de rouler sur des machines et de sauter par-dessus les obstacles.</v>
      </c>
    </row>
    <row r="34014">
      <c r="A34014" s="4" t="s">
        <v>42802</v>
      </c>
      <c r="B34014" s="4" t="s">
        <v>42803</v>
      </c>
      <c r="C34014" s="5" t="str">
        <f>IFERROR(__xludf.DUMMYFUNCTION("GOOGLETRANSLATE(B34014,""en"",""fr"")"),"Une caméra se déroule à l'intérieur d'une voiture en regardant les autres voitures qui roulent.")</f>
        <v>Une caméra se déroule à l'intérieur d'une voiture en regardant les autres voitures qui roulent.</v>
      </c>
    </row>
    <row r="34015">
      <c r="A34015" s="4" t="s">
        <v>42802</v>
      </c>
      <c r="B34015" s="4" t="s">
        <v>42804</v>
      </c>
      <c r="C34015" s="5" t="str">
        <f>IFERROR(__xludf.DUMMYFUNCTION("GOOGLETRANSLATE(B34015,""en"",""fr"")"),"La voiture commence à bouger tout en regardant autour de la zone de sable et en montrant aux gens à l'intérieur de la voiture.")</f>
        <v>La voiture commence à bouger tout en regardant autour de la zone de sable et en montrant aux gens à l'intérieur de la voiture.</v>
      </c>
    </row>
    <row r="34016">
      <c r="A34016" s="4" t="s">
        <v>42802</v>
      </c>
      <c r="B34016" s="6" t="s">
        <v>42805</v>
      </c>
      <c r="C34016" s="5" t="str">
        <f>IFERROR(__xludf.DUMMYFUNCTION("GOOGLETRANSLATE(B34016,""en"",""fr"")"),"La caméra mène à des plans de personnes qui roulent sur des chameaux et mènent à des photos de personnes roulant sur les chameaux.")</f>
        <v>La caméra mène à des plans de personnes qui roulent sur des chameaux et mènent à des photos de personnes roulant sur les chameaux.</v>
      </c>
    </row>
    <row r="34017">
      <c r="A34017" s="4" t="s">
        <v>42806</v>
      </c>
      <c r="B34017" s="4" t="s">
        <v>42807</v>
      </c>
      <c r="C34017" s="5" t="str">
        <f>IFERROR(__xludf.DUMMYFUNCTION("GOOGLETRANSLATE(B34017,""en"",""fr"")"),"Une personne de skateboard jusqu'à la rampe, une femme est montrée sur l'écran du téléphone, puis un homme.")</f>
        <v>Une personne de skateboard jusqu'à la rampe, une femme est montrée sur l'écran du téléphone, puis un homme.</v>
      </c>
    </row>
    <row r="34018">
      <c r="A34018" s="4" t="s">
        <v>42806</v>
      </c>
      <c r="B34018" s="6" t="s">
        <v>42808</v>
      </c>
      <c r="C34018" s="5" t="str">
        <f>IFERROR(__xludf.DUMMYFUNCTION("GOOGLETRANSLATE(B34018,""en"",""fr"")"),"Un garçon rollers en bas des balustrades blanches alors que deux autres hommes s'approchaient de lui pour lui donner un haut cinq.")</f>
        <v>Un garçon rollers en bas des balustrades blanches alors que deux autres hommes s'approchaient de lui pour lui donner un haut cinq.</v>
      </c>
    </row>
    <row r="34019">
      <c r="A34019" s="4" t="s">
        <v>42806</v>
      </c>
      <c r="B34019" s="4" t="s">
        <v>42809</v>
      </c>
      <c r="C34019" s="5" t="str">
        <f>IFERROR(__xludf.DUMMYFUNCTION("GOOGLETRANSLATE(B34019,""en"",""fr"")"),"Un jeune homme dans des lames à rouleaux de haut bleu dans la balustrade et donne des high fives à ses pairs.")</f>
        <v>Un jeune homme dans des lames à rouleaux de haut bleu dans la balustrade et donne des high fives à ses pairs.</v>
      </c>
    </row>
    <row r="34020">
      <c r="A34020" s="4" t="s">
        <v>42810</v>
      </c>
      <c r="B34020" s="4" t="s">
        <v>42811</v>
      </c>
      <c r="C34020" s="5" t="str">
        <f>IFERROR(__xludf.DUMMYFUNCTION("GOOGLETRANSLATE(B34020,""en"",""fr"")"),"Un petit groupe de personnes est vu debout autour de la table parlant et se moquant les uns des autres.")</f>
        <v>Un petit groupe de personnes est vu debout autour de la table parlant et se moquant les uns des autres.</v>
      </c>
    </row>
    <row r="34021">
      <c r="A34021" s="4" t="s">
        <v>42810</v>
      </c>
      <c r="B34021" s="6" t="s">
        <v>42812</v>
      </c>
      <c r="C34021" s="5" t="str">
        <f>IFERROR(__xludf.DUMMYFUNCTION("GOOGLETRANSLATE(B34021,""en"",""fr"")"),"Deux hommes boivent ensuite des conteneurs de glace et conduisent plus de personnes à boire dans les conteneurs.")</f>
        <v>Deux hommes boivent ensuite des conteneurs de glace et conduisent plus de personnes à boire dans les conteneurs.</v>
      </c>
    </row>
    <row r="34022">
      <c r="A34022" s="4" t="s">
        <v>42810</v>
      </c>
      <c r="B34022" s="4" t="s">
        <v>42813</v>
      </c>
      <c r="C34022" s="5" t="str">
        <f>IFERROR(__xludf.DUMMYFUNCTION("GOOGLETRANSLATE(B34022,""en"",""fr"")"),"Une équipe se termine avant l'autre et tout le monde célèbre.")</f>
        <v>Une équipe se termine avant l'autre et tout le monde célèbre.</v>
      </c>
    </row>
    <row r="34023">
      <c r="A34023" s="4" t="s">
        <v>42814</v>
      </c>
      <c r="B34023" s="6" t="s">
        <v>42815</v>
      </c>
      <c r="C34023" s="5" t="str">
        <f>IFERROR(__xludf.DUMMYFUNCTION("GOOGLETRANSLATE(B34023,""en"",""fr"")"),"Il y a beaucoup de femmes dans une salle de sport, portant des gants de boxe et des équipements athlétiques qui frappent des sacs suspendus.")</f>
        <v>Il y a beaucoup de femmes dans une salle de sport, portant des gants de boxe et des équipements athlétiques qui frappent des sacs suspendus.</v>
      </c>
    </row>
    <row r="34024">
      <c r="A34024" s="4" t="s">
        <v>42814</v>
      </c>
      <c r="B34024" s="6" t="s">
        <v>42816</v>
      </c>
      <c r="C34024" s="5" t="str">
        <f>IFERROR(__xludf.DUMMYFUNCTION("GOOGLETRANSLATE(B34024,""en"",""fr"")"),"La caméra se fait pour montrer un mur et les mots ""Ilovekickboxing dot com"" est sur le mur avec un logo qui comprend un cœur avec des ailes et des gants de boxe suspendus au bas de l'aile droite.")</f>
        <v>La caméra se fait pour montrer un mur et les mots "Ilovekickboxing dot com" est sur le mur avec un logo qui comprend un cœur avec des ailes et des gants de boxe suspendus au bas de l'aile droite.</v>
      </c>
    </row>
    <row r="34025">
      <c r="A34025" s="4" t="s">
        <v>42814</v>
      </c>
      <c r="B34025" s="6" t="s">
        <v>42817</v>
      </c>
      <c r="C34025" s="5" t="str">
        <f>IFERROR(__xludf.DUMMYFUNCTION("GOOGLETRANSLATE(B34025,""en"",""fr"")"),"La pièce revient dans le reste de la pièce et continue de montrer à de nombreuses femmes qui frappent toujours les sacs de poinçonnage suspendus.")</f>
        <v>La pièce revient dans le reste de la pièce et continue de montrer à de nombreuses femmes qui frappent toujours les sacs de poinçonnage suspendus.</v>
      </c>
    </row>
    <row r="34026">
      <c r="A34026" s="4" t="s">
        <v>42818</v>
      </c>
      <c r="B34026" s="4" t="s">
        <v>42819</v>
      </c>
      <c r="C34026" s="5" t="str">
        <f>IFERROR(__xludf.DUMMYFUNCTION("GOOGLETRANSLATE(B34026,""en"",""fr"")"),"Les enfants balancent une poignée de balai dans une pinata dans une cour.")</f>
        <v>Les enfants balancent une poignée de balai dans une pinata dans une cour.</v>
      </c>
    </row>
    <row r="34027">
      <c r="A34027" s="4" t="s">
        <v>42818</v>
      </c>
      <c r="B34027" s="4" t="s">
        <v>42820</v>
      </c>
      <c r="C34027" s="5" t="str">
        <f>IFERROR(__xludf.DUMMYFUNCTION("GOOGLETRANSLATE(B34027,""en"",""fr"")"),"Le garçon casse la pinata ouverte et des bonbons se déversent au sol.")</f>
        <v>Le garçon casse la pinata ouverte et des bonbons se déversent au sol.</v>
      </c>
    </row>
    <row r="34028">
      <c r="A34028" s="4" t="s">
        <v>42818</v>
      </c>
      <c r="B34028" s="4" t="s">
        <v>42821</v>
      </c>
      <c r="C34028" s="5" t="str">
        <f>IFERROR(__xludf.DUMMYFUNCTION("GOOGLETRANSLATE(B34028,""en"",""fr"")"),"Une femme court et ajuste la pinata.")</f>
        <v>Une femme court et ajuste la pinata.</v>
      </c>
    </row>
    <row r="34029">
      <c r="A34029" s="4" t="s">
        <v>42818</v>
      </c>
      <c r="B34029" s="4" t="s">
        <v>42822</v>
      </c>
      <c r="C34029" s="5" t="str">
        <f>IFERROR(__xludf.DUMMYFUNCTION("GOOGLETRANSLATE(B34029,""en"",""fr"")"),"Une femme court pour obtenir le bâton de balai mais esquive pour ne pas être touché par l'enfant aux yeux bandés.")</f>
        <v>Une femme court pour obtenir le bâton de balai mais esquive pour ne pas être touché par l'enfant aux yeux bandés.</v>
      </c>
    </row>
    <row r="34030">
      <c r="A34030" s="4" t="s">
        <v>42818</v>
      </c>
      <c r="B34030" s="4" t="s">
        <v>42823</v>
      </c>
      <c r="C34030" s="5" t="str">
        <f>IFERROR(__xludf.DUMMYFUNCTION("GOOGLETRANSLATE(B34030,""en"",""fr"")"),"La femme guide le garçon qui a les yeux bandés vers l'arbre.")</f>
        <v>La femme guide le garçon qui a les yeux bandés vers l'arbre.</v>
      </c>
    </row>
    <row r="34031">
      <c r="A34031" s="4" t="s">
        <v>42824</v>
      </c>
      <c r="B34031" s="4" t="s">
        <v>42825</v>
      </c>
      <c r="C34031" s="5" t="str">
        <f>IFERROR(__xludf.DUMMYFUNCTION("GOOGLETRANSLATE(B34031,""en"",""fr"")"),"Une femme est vue debout derrière une autre femme assise sur une chaise et commence à coiffer ses cheveux.")</f>
        <v>Une femme est vue debout derrière une autre femme assise sur une chaise et commence à coiffer ses cheveux.</v>
      </c>
    </row>
    <row r="34032">
      <c r="A34032" s="4" t="s">
        <v>42824</v>
      </c>
      <c r="B34032" s="6" t="s">
        <v>42826</v>
      </c>
      <c r="C34032" s="5" t="str">
        <f>IFERROR(__xludf.DUMMYFUNCTION("GOOGLETRANSLATE(B34032,""en"",""fr"")"),"La femme brosse et sépare ses cheveux et commence à tresser les cheveux et à les épingler à plusieurs endroits.")</f>
        <v>La femme brosse et sépare ses cheveux et commence à tresser les cheveux et à les épingler à plusieurs endroits.</v>
      </c>
    </row>
    <row r="34033">
      <c r="A34033" s="4" t="s">
        <v>42824</v>
      </c>
      <c r="B34033" s="4" t="s">
        <v>42827</v>
      </c>
      <c r="C34033" s="5" t="str">
        <f>IFERROR(__xludf.DUMMYFUNCTION("GOOGLETRANSLATE(B34033,""en"",""fr"")"),"La femme montre ses cheveux finis en regardant et en souriant à la caméra.")</f>
        <v>La femme montre ses cheveux finis en regardant et en souriant à la caméra.</v>
      </c>
    </row>
    <row r="34034">
      <c r="A34034" s="4" t="s">
        <v>42828</v>
      </c>
      <c r="B34034" s="6" t="s">
        <v>42829</v>
      </c>
      <c r="C34034" s="5" t="str">
        <f>IFERROR(__xludf.DUMMYFUNCTION("GOOGLETRANSLATE(B34034,""en"",""fr"")"),"Une jeune fille est dans un parc et saisit et accroche aux triangles qui se penchent et se dirigent vers l'avant et à travers 7 triangles.")</f>
        <v>Une jeune fille est dans un parc et saisit et accroche aux triangles qui se penchent et se dirigent vers l'avant et à travers 7 triangles.</v>
      </c>
    </row>
    <row r="34035">
      <c r="A34035" s="4" t="s">
        <v>42828</v>
      </c>
      <c r="B34035" s="6" t="s">
        <v>42830</v>
      </c>
      <c r="C34035" s="5" t="str">
        <f>IFERROR(__xludf.DUMMYFUNCTION("GOOGLETRANSLATE(B34035,""en"",""fr"")"),"Dès qu'elle atteint la fin, elle remonte à 3 triangles sans se retourner, puis se retourne sur le 4ème triangle et continue à l'endroit où elle a commencé.")</f>
        <v>Dès qu'elle atteint la fin, elle remonte à 3 triangles sans se retourner, puis se retourne sur le 4ème triangle et continue à l'endroit où elle a commencé.</v>
      </c>
    </row>
    <row r="34036">
      <c r="A34036" s="4" t="s">
        <v>42828</v>
      </c>
      <c r="B34036" s="4" t="s">
        <v>42831</v>
      </c>
      <c r="C34036" s="5" t="str">
        <f>IFERROR(__xludf.DUMMYFUNCTION("GOOGLETRANSLATE(B34036,""en"",""fr"")"),"La jeune fille saute sur la plate-forme, sourit et vagues.")</f>
        <v>La jeune fille saute sur la plate-forme, sourit et vagues.</v>
      </c>
    </row>
    <row r="34037">
      <c r="A34037" s="4" t="s">
        <v>42832</v>
      </c>
      <c r="B34037" s="4" t="s">
        <v>42833</v>
      </c>
      <c r="C34037" s="5" t="str">
        <f>IFERROR(__xludf.DUMMYFUNCTION("GOOGLETRANSLATE(B34037,""en"",""fr"")"),"Une fille avec deux tresses qui descends dans son dos se tient dehors.")</f>
        <v>Une fille avec deux tresses qui descends dans son dos se tient dehors.</v>
      </c>
    </row>
    <row r="34038">
      <c r="A34038" s="4" t="s">
        <v>42832</v>
      </c>
      <c r="B34038" s="4" t="s">
        <v>42834</v>
      </c>
      <c r="C34038" s="5" t="str">
        <f>IFERROR(__xludf.DUMMYFUNCTION("GOOGLETRANSLATE(B34038,""en"",""fr"")"),"Elle se tourne vers la caméra et ses cheveux sont maintenant en panne.")</f>
        <v>Elle se tourne vers la caméra et ses cheveux sont maintenant en panne.</v>
      </c>
    </row>
    <row r="34039">
      <c r="A34039" s="4" t="s">
        <v>42832</v>
      </c>
      <c r="B34039" s="4" t="s">
        <v>42835</v>
      </c>
      <c r="C34039" s="5" t="str">
        <f>IFERROR(__xludf.DUMMYFUNCTION("GOOGLETRANSLATE(B34039,""en"",""fr"")"),"Elle pose une chaise styliste, montrant comment le style était réalisé.")</f>
        <v>Elle pose une chaise styliste, montrant comment le style était réalisé.</v>
      </c>
    </row>
    <row r="34040">
      <c r="A34040" s="4" t="s">
        <v>42836</v>
      </c>
      <c r="B34040" s="4" t="s">
        <v>42837</v>
      </c>
      <c r="C34040" s="5" t="str">
        <f>IFERROR(__xludf.DUMMYFUNCTION("GOOGLETRANSLATE(B34040,""en"",""fr"")"),"Cette femme montre aux téléspectateurs comment elle fait un tir au cheesecake.")</f>
        <v>Cette femme montre aux téléspectateurs comment elle fait un tir au cheesecake.</v>
      </c>
    </row>
    <row r="34041">
      <c r="A34041" s="4" t="s">
        <v>42836</v>
      </c>
      <c r="B34041" s="4" t="s">
        <v>42838</v>
      </c>
      <c r="C34041" s="5" t="str">
        <f>IFERROR(__xludf.DUMMYFUNCTION("GOOGLETRANSLATE(B34041,""en"",""fr"")"),"Elle met d'abord 3 quarts d'une once de baileys et la même quantité de jus d'ananas.")</f>
        <v>Elle met d'abord 3 quarts d'une once de baileys et la même quantité de jus d'ananas.</v>
      </c>
    </row>
    <row r="34042">
      <c r="A34042" s="4" t="s">
        <v>42836</v>
      </c>
      <c r="B34042" s="6" t="s">
        <v>42839</v>
      </c>
      <c r="C34042" s="5" t="str">
        <f>IFERROR(__xludf.DUMMYFUNCTION("GOOGLETRANSLATE(B34042,""en"",""fr"")"),"Puis elle met une quart d'once d'un autre liquide et elle obtient un verre de 2 onces de tir et attribue la boisson de la glace dans le shaker pour le mettre dans le verre.")</f>
        <v>Puis elle met une quart d'once d'un autre liquide et elle obtient un verre de 2 onces de tir et attribue la boisson de la glace dans le shaker pour le mettre dans le verre.</v>
      </c>
    </row>
    <row r="34043">
      <c r="A34043" s="4" t="s">
        <v>42840</v>
      </c>
      <c r="B34043" s="4" t="s">
        <v>42841</v>
      </c>
      <c r="C34043" s="5" t="str">
        <f>IFERROR(__xludf.DUMMYFUNCTION("GOOGLETRANSLATE(B34043,""en"",""fr"")"),"Deux hommes sont montrés debout dans un studio d'enregistrement en jouant des instruments.")</f>
        <v>Deux hommes sont montrés debout dans un studio d'enregistrement en jouant des instruments.</v>
      </c>
    </row>
    <row r="34044">
      <c r="A34044" s="4" t="s">
        <v>42840</v>
      </c>
      <c r="B34044" s="4" t="s">
        <v>42842</v>
      </c>
      <c r="C34044" s="5" t="str">
        <f>IFERROR(__xludf.DUMMYFUNCTION("GOOGLETRANSLATE(B34044,""en"",""fr"")"),"L'un joue de la guitare tandis que l'autre joue la flûte ensemble.")</f>
        <v>L'un joue de la guitare tandis que l'autre joue la flûte ensemble.</v>
      </c>
    </row>
    <row r="34045">
      <c r="A34045" s="4" t="s">
        <v>42840</v>
      </c>
      <c r="B34045" s="4" t="s">
        <v>42843</v>
      </c>
      <c r="C34045" s="5" t="str">
        <f>IFERROR(__xludf.DUMMYFUNCTION("GOOGLETRANSLATE(B34045,""en"",""fr"")"),"Ils terminent leur chanson et un donne un geste de la main à la caméra tandis que l'autre sourit.")</f>
        <v>Ils terminent leur chanson et un donne un geste de la main à la caméra tandis que l'autre sourit.</v>
      </c>
    </row>
    <row r="34046">
      <c r="A34046" s="4" t="s">
        <v>42844</v>
      </c>
      <c r="B34046" s="4" t="s">
        <v>42845</v>
      </c>
      <c r="C34046" s="5" t="str">
        <f>IFERROR(__xludf.DUMMYFUNCTION("GOOGLETRANSLATE(B34046,""en"",""fr"")"),"Un homme tient un cube Rubiks.")</f>
        <v>Un homme tient un cube Rubiks.</v>
      </c>
    </row>
    <row r="34047">
      <c r="A34047" s="4" t="s">
        <v>42844</v>
      </c>
      <c r="B34047" s="4" t="s">
        <v>42846</v>
      </c>
      <c r="C34047" s="5" t="str">
        <f>IFERROR(__xludf.DUMMYFUNCTION("GOOGLETRANSLATE(B34047,""en"",""fr"")"),"Il commence alors à le tourner.")</f>
        <v>Il commence alors à le tourner.</v>
      </c>
    </row>
    <row r="34048">
      <c r="A34048" s="4" t="s">
        <v>42844</v>
      </c>
      <c r="B34048" s="4" t="s">
        <v>42847</v>
      </c>
      <c r="C34048" s="5" t="str">
        <f>IFERROR(__xludf.DUMMYFUNCTION("GOOGLETRANSLATE(B34048,""en"",""fr"")"),"Il s'arrête et le regarde.")</f>
        <v>Il s'arrête et le regarde.</v>
      </c>
    </row>
    <row r="34049">
      <c r="A34049" s="4" t="s">
        <v>42844</v>
      </c>
      <c r="B34049" s="4" t="s">
        <v>42848</v>
      </c>
      <c r="C34049" s="5" t="str">
        <f>IFERROR(__xludf.DUMMYFUNCTION("GOOGLETRANSLATE(B34049,""en"",""fr"")"),"Finalement, il le résout et montre son temps.")</f>
        <v>Finalement, il le résout et montre son temps.</v>
      </c>
    </row>
    <row r="34050">
      <c r="A34050" s="4" t="s">
        <v>42849</v>
      </c>
      <c r="B34050" s="4" t="s">
        <v>42850</v>
      </c>
      <c r="C34050" s="5" t="str">
        <f>IFERROR(__xludf.DUMMYFUNCTION("GOOGLETRANSLATE(B34050,""en"",""fr"")"),"Un garçon se présente à l'écran et obtient une tasse d'eau et la gargouille.")</f>
        <v>Un garçon se présente à l'écran et obtient une tasse d'eau et la gargouille.</v>
      </c>
    </row>
    <row r="34051">
      <c r="A34051" s="4" t="s">
        <v>42849</v>
      </c>
      <c r="B34051" s="4" t="s">
        <v>42851</v>
      </c>
      <c r="C34051" s="5" t="str">
        <f>IFERROR(__xludf.DUMMYFUNCTION("GOOGLETRANSLATE(B34051,""en"",""fr"")"),"Il sourit et sort de l'écran pendant un moment.")</f>
        <v>Il sourit et sort de l'écran pendant un moment.</v>
      </c>
    </row>
    <row r="34052">
      <c r="A34052" s="4" t="s">
        <v>42849</v>
      </c>
      <c r="B34052" s="4" t="s">
        <v>42852</v>
      </c>
      <c r="C34052" s="5" t="str">
        <f>IFERROR(__xludf.DUMMYFUNCTION("GOOGLETRANSLATE(B34052,""en"",""fr"")"),"Il revient et continue de grager et de rire.")</f>
        <v>Il revient et continue de grager et de rire.</v>
      </c>
    </row>
    <row r="34053">
      <c r="A34053" s="4" t="s">
        <v>42849</v>
      </c>
      <c r="B34053" s="4" t="s">
        <v>42853</v>
      </c>
      <c r="C34053" s="5" t="str">
        <f>IFERROR(__xludf.DUMMYFUNCTION("GOOGLETRANSLATE(B34053,""en"",""fr"")"),"Un homme vient à l'écran et invite les gens à s'abonner à ses vidéos.")</f>
        <v>Un homme vient à l'écran et invite les gens à s'abonner à ses vidéos.</v>
      </c>
    </row>
    <row r="34054">
      <c r="A34054" s="4" t="s">
        <v>42854</v>
      </c>
      <c r="B34054" s="4" t="s">
        <v>42855</v>
      </c>
      <c r="C34054" s="5" t="str">
        <f>IFERROR(__xludf.DUMMYFUNCTION("GOOGLETRANSLATE(B34054,""en"",""fr"")"),"La femme parle à la caméra.")</f>
        <v>La femme parle à la caméra.</v>
      </c>
    </row>
    <row r="34055">
      <c r="A34055" s="4" t="s">
        <v>42854</v>
      </c>
      <c r="B34055" s="4" t="s">
        <v>42856</v>
      </c>
      <c r="C34055" s="5" t="str">
        <f>IFERROR(__xludf.DUMMYFUNCTION("GOOGLETRANSLATE(B34055,""en"",""fr"")"),"Les enfants courent sur scène et sautent la corde.")</f>
        <v>Les enfants courent sur scène et sautent la corde.</v>
      </c>
    </row>
    <row r="34056">
      <c r="A34056" s="4" t="s">
        <v>42854</v>
      </c>
      <c r="B34056" s="4" t="s">
        <v>42857</v>
      </c>
      <c r="C34056" s="5" t="str">
        <f>IFERROR(__xludf.DUMMYFUNCTION("GOOGLETRANSLATE(B34056,""en"",""fr"")"),"Les enfants se trouvent sur le terrain en regardant le concours de corde à sauter.")</f>
        <v>Les enfants se trouvent sur le terrain en regardant le concours de corde à sauter.</v>
      </c>
    </row>
    <row r="34057">
      <c r="A34057" s="4" t="s">
        <v>42858</v>
      </c>
      <c r="B34057" s="4" t="s">
        <v>42859</v>
      </c>
      <c r="C34057" s="5" t="str">
        <f>IFERROR(__xludf.DUMMYFUNCTION("GOOGLETRANSLATE(B34057,""en"",""fr"")"),"Une femme met de la glace dans un verre.")</f>
        <v>Une femme met de la glace dans un verre.</v>
      </c>
    </row>
    <row r="34058">
      <c r="A34058" s="4" t="s">
        <v>42858</v>
      </c>
      <c r="B34058" s="4" t="s">
        <v>42860</v>
      </c>
      <c r="C34058" s="5" t="str">
        <f>IFERROR(__xludf.DUMMYFUNCTION("GOOGLETRANSLATE(B34058,""en"",""fr"")"),"Elle jette une bouteille dans le verre et ajoute du jus.")</f>
        <v>Elle jette une bouteille dans le verre et ajoute du jus.</v>
      </c>
    </row>
    <row r="34059">
      <c r="A34059" s="4" t="s">
        <v>42858</v>
      </c>
      <c r="B34059" s="4" t="s">
        <v>42861</v>
      </c>
      <c r="C34059" s="5" t="str">
        <f>IFERROR(__xludf.DUMMYFUNCTION("GOOGLETRANSLATE(B34059,""en"",""fr"")"),"Elle remue la boisson et la place sur le comptoir.")</f>
        <v>Elle remue la boisson et la place sur le comptoir.</v>
      </c>
    </row>
    <row r="34060">
      <c r="A34060" s="4" t="s">
        <v>42862</v>
      </c>
      <c r="B34060" s="4" t="s">
        <v>42863</v>
      </c>
      <c r="C34060" s="5" t="str">
        <f>IFERROR(__xludf.DUMMYFUNCTION("GOOGLETRANSLATE(B34060,""en"",""fr"")"),"Un homme portant une casquette verte est assis dans une voiture tenant une tasse de café en train de parler.")</f>
        <v>Un homme portant une casquette verte est assis dans une voiture tenant une tasse de café en train de parler.</v>
      </c>
    </row>
    <row r="34061">
      <c r="A34061" s="4" t="s">
        <v>42862</v>
      </c>
      <c r="B34061" s="4" t="s">
        <v>42864</v>
      </c>
      <c r="C34061" s="5" t="str">
        <f>IFERROR(__xludf.DUMMYFUNCTION("GOOGLETRANSLATE(B34061,""en"",""fr"")"),"Il définit la caméra sur son tableau de bord et continue de parler.")</f>
        <v>Il définit la caméra sur son tableau de bord et continue de parler.</v>
      </c>
    </row>
    <row r="34062">
      <c r="A34062" s="4" t="s">
        <v>42862</v>
      </c>
      <c r="B34062" s="4" t="s">
        <v>42865</v>
      </c>
      <c r="C34062" s="5" t="str">
        <f>IFERROR(__xludf.DUMMYFUNCTION("GOOGLETRANSLATE(B34062,""en"",""fr"")"),"Il tient le café et prend plusieurs gorgées.")</f>
        <v>Il tient le café et prend plusieurs gorgées.</v>
      </c>
    </row>
    <row r="34063">
      <c r="A34063" s="4" t="s">
        <v>42862</v>
      </c>
      <c r="B34063" s="4" t="s">
        <v>42866</v>
      </c>
      <c r="C34063" s="5" t="str">
        <f>IFERROR(__xludf.DUMMYFUNCTION("GOOGLETRANSLATE(B34063,""en"",""fr"")"),"Il continue de parler tout en tenant la tasse à la main.")</f>
        <v>Il continue de parler tout en tenant la tasse à la main.</v>
      </c>
    </row>
    <row r="34064">
      <c r="A34064" s="4" t="s">
        <v>42867</v>
      </c>
      <c r="B34064" s="6" t="s">
        <v>42868</v>
      </c>
      <c r="C34064" s="5" t="str">
        <f>IFERROR(__xludf.DUMMYFUNCTION("GOOGLETRANSLATE(B34064,""en"",""fr"")"),"Un gros plan d'un cheval est montré lié à une clôture lorsqu'un homme entre avec un souffleur de récif et le poussant vers les chevaux.")</f>
        <v>Un gros plan d'un cheval est montré lié à une clôture lorsqu'un homme entre avec un souffleur de récif et le poussant vers les chevaux.</v>
      </c>
    </row>
    <row r="34065">
      <c r="A34065" s="4" t="s">
        <v>42867</v>
      </c>
      <c r="B34065" s="4" t="s">
        <v>42869</v>
      </c>
      <c r="C34065" s="5" t="str">
        <f>IFERROR(__xludf.DUMMYFUNCTION("GOOGLETRANSLATE(B34065,""en"",""fr"")"),"Il se déplace tout autour des animaux qui coulent l'air sur leur fourrure alors que les chevaux se déplacent.")</f>
        <v>Il se déplace tout autour des animaux qui coulent l'air sur leur fourrure alors que les chevaux se déplacent.</v>
      </c>
    </row>
    <row r="34066">
      <c r="A34066" s="4" t="s">
        <v>42870</v>
      </c>
      <c r="B34066" s="6" t="s">
        <v>42871</v>
      </c>
      <c r="C34066" s="5" t="str">
        <f>IFERROR(__xludf.DUMMYFUNCTION("GOOGLETRANSLATE(B34066,""en"",""fr"")"),"Un homme, portant un t-shirt en kilt et blanc, joue les cornemusets tout en se tenant à l'extérieur d'un parking à la bande commerçante, alors que les voitures passent.")</f>
        <v>Un homme, portant un t-shirt en kilt et blanc, joue les cornemusets tout en se tenant à l'extérieur d'un parking à la bande commerçante, alors que les voitures passent.</v>
      </c>
    </row>
    <row r="34067">
      <c r="A34067" s="4" t="s">
        <v>42870</v>
      </c>
      <c r="B34067" s="4" t="s">
        <v>42872</v>
      </c>
      <c r="C34067" s="5" t="str">
        <f>IFERROR(__xludf.DUMMYFUNCTION("GOOGLETRANSLATE(B34067,""en"",""fr"")"),"Un homme se tient à l'extérieur à côté d'une bouche d'incendie jaune et joue la cornemuse alors que les voitures passent.")</f>
        <v>Un homme se tient à l'extérieur à côté d'une bouche d'incendie jaune et joue la cornemuse alors que les voitures passent.</v>
      </c>
    </row>
    <row r="34068">
      <c r="A34068" s="4" t="s">
        <v>42870</v>
      </c>
      <c r="B34068" s="4" t="s">
        <v>42873</v>
      </c>
      <c r="C34068" s="5" t="str">
        <f>IFERROR(__xludf.DUMMYFUNCTION("GOOGLETRANSLATE(B34068,""en"",""fr"")"),"L'homme se rapproche des voitures ou du bord du trottoir pendant qu'il joue.")</f>
        <v>L'homme se rapproche des voitures ou du bord du trottoir pendant qu'il joue.</v>
      </c>
    </row>
    <row r="34069">
      <c r="A34069" s="4" t="s">
        <v>42870</v>
      </c>
      <c r="B34069" s="4" t="s">
        <v>42874</v>
      </c>
      <c r="C34069" s="5" t="str">
        <f>IFERROR(__xludf.DUMMYFUNCTION("GOOGLETRANSLATE(B34069,""en"",""fr"")"),"L'homme continue de jouer aux cornemusets sur le trottoir jusqu'à ce que la scène se fonde en noir.")</f>
        <v>L'homme continue de jouer aux cornemusets sur le trottoir jusqu'à ce que la scène se fonde en noir.</v>
      </c>
    </row>
    <row r="34070">
      <c r="A34070" s="4" t="s">
        <v>42875</v>
      </c>
      <c r="B34070" s="4" t="s">
        <v>42876</v>
      </c>
      <c r="C34070" s="5" t="str">
        <f>IFERROR(__xludf.DUMMYFUNCTION("GOOGLETRANSLATE(B34070,""en"",""fr"")"),"Une femme peigne ses cheveux tout en regardant dans la caméra.")</f>
        <v>Une femme peigne ses cheveux tout en regardant dans la caméra.</v>
      </c>
    </row>
    <row r="34071">
      <c r="A34071" s="4" t="s">
        <v>42875</v>
      </c>
      <c r="B34071" s="4" t="s">
        <v>42877</v>
      </c>
      <c r="C34071" s="5" t="str">
        <f>IFERROR(__xludf.DUMMYFUNCTION("GOOGLETRANSLATE(B34071,""en"",""fr"")"),"Elle se brosse ensuite la frange droite.")</f>
        <v>Elle se brosse ensuite la frange droite.</v>
      </c>
    </row>
    <row r="34072">
      <c r="A34072" s="4" t="s">
        <v>42875</v>
      </c>
      <c r="B34072" s="4" t="s">
        <v>42878</v>
      </c>
      <c r="C34072" s="5" t="str">
        <f>IFERROR(__xludf.DUMMYFUNCTION("GOOGLETRANSLATE(B34072,""en"",""fr"")"),"Elle continue de se brosser avec le peigne et sa main.")</f>
        <v>Elle continue de se brosser avec le peigne et sa main.</v>
      </c>
    </row>
    <row r="34073">
      <c r="A34073" s="4" t="s">
        <v>42879</v>
      </c>
      <c r="B34073" s="4" t="s">
        <v>42880</v>
      </c>
      <c r="C34073" s="5" t="str">
        <f>IFERROR(__xludf.DUMMYFUNCTION("GOOGLETRANSLATE(B34073,""en"",""fr"")"),"Un homme se tient à l'extérieur d'un mur avec une sorte de machine à machine et commence à parler.")</f>
        <v>Un homme se tient à l'extérieur d'un mur avec une sorte de machine à machine et commence à parler.</v>
      </c>
    </row>
    <row r="34074">
      <c r="A34074" s="4" t="s">
        <v>42879</v>
      </c>
      <c r="B34074" s="4" t="s">
        <v>42881</v>
      </c>
      <c r="C34074" s="5" t="str">
        <f>IFERROR(__xludf.DUMMYFUNCTION("GOOGLETRANSLATE(B34074,""en"",""fr"")"),"L'homme prend le tuyau et la pression lave la clôture avant de le calfeutrer.")</f>
        <v>L'homme prend le tuyau et la pression lave la clôture avant de le calfeutrer.</v>
      </c>
    </row>
    <row r="34075">
      <c r="A34075" s="4" t="s">
        <v>42879</v>
      </c>
      <c r="B34075" s="4" t="s">
        <v>42882</v>
      </c>
      <c r="C34075" s="5" t="str">
        <f>IFERROR(__xludf.DUMMYFUNCTION("GOOGLETRANSLATE(B34075,""en"",""fr"")"),"Il se met ensuite à genoux et ajoute de la peinture en aérosol à la machine et peint le mur.")</f>
        <v>Il se met ensuite à genoux et ajoute de la peinture en aérosol à la machine et peint le mur.</v>
      </c>
    </row>
    <row r="34076">
      <c r="A34076" s="4" t="s">
        <v>42879</v>
      </c>
      <c r="B34076" s="4" t="s">
        <v>42883</v>
      </c>
      <c r="C34076" s="5" t="str">
        <f>IFERROR(__xludf.DUMMYFUNCTION("GOOGLETRANSLATE(B34076,""en"",""fr"")"),"Enfin, il retourne au mur avec son pinceau et remplit les espaces manquants.")</f>
        <v>Enfin, il retourne au mur avec son pinceau et remplit les espaces manquants.</v>
      </c>
    </row>
    <row r="34077">
      <c r="A34077" s="4" t="s">
        <v>42884</v>
      </c>
      <c r="B34077" s="4" t="s">
        <v>42885</v>
      </c>
      <c r="C34077" s="5" t="str">
        <f>IFERROR(__xludf.DUMMYFUNCTION("GOOGLETRANSLATE(B34077,""en"",""fr"")"),"Une femme est vue plonger à travers des bannières colorées.")</f>
        <v>Une femme est vue plonger à travers des bannières colorées.</v>
      </c>
    </row>
    <row r="34078">
      <c r="A34078" s="4" t="s">
        <v>42884</v>
      </c>
      <c r="B34078" s="4" t="s">
        <v>42886</v>
      </c>
      <c r="C34078" s="5" t="str">
        <f>IFERROR(__xludf.DUMMYFUNCTION("GOOGLETRANSLATE(B34078,""en"",""fr"")"),"L'extérieur d'un bâtiment est montré.")</f>
        <v>L'extérieur d'un bâtiment est montré.</v>
      </c>
    </row>
    <row r="34079">
      <c r="A34079" s="4" t="s">
        <v>42884</v>
      </c>
      <c r="B34079" s="4" t="s">
        <v>42887</v>
      </c>
      <c r="C34079" s="5" t="str">
        <f>IFERROR(__xludf.DUMMYFUNCTION("GOOGLETRANSLATE(B34079,""en"",""fr"")"),"Nous voyons un tableau de bord, puis des femmes préparées pour nager par leurs entraîneurs.")</f>
        <v>Nous voyons un tableau de bord, puis des femmes préparées pour nager par leurs entraîneurs.</v>
      </c>
    </row>
    <row r="34080">
      <c r="A34080" s="4" t="s">
        <v>42884</v>
      </c>
      <c r="B34080" s="4" t="s">
        <v>42888</v>
      </c>
      <c r="C34080" s="5" t="str">
        <f>IFERROR(__xludf.DUMMYFUNCTION("GOOGLETRANSLATE(B34080,""en"",""fr"")"),"Les femmes se relâchent à tour de rôle du haut de la planche, se retournant au fur et à mesure.")</f>
        <v>Les femmes se relâchent à tour de rôle du haut de la planche, se retournant au fur et à mesure.</v>
      </c>
    </row>
    <row r="34081">
      <c r="A34081" s="4" t="s">
        <v>42884</v>
      </c>
      <c r="B34081" s="4" t="s">
        <v>42889</v>
      </c>
      <c r="C34081" s="5" t="str">
        <f>IFERROR(__xludf.DUMMYFUNCTION("GOOGLETRANSLATE(B34081,""en"",""fr"")"),"Le gagnant pose avec une médaille alors que tout le monde applaudit.")</f>
        <v>Le gagnant pose avec une médaille alors que tout le monde applaudit.</v>
      </c>
    </row>
    <row r="34082">
      <c r="A34082" s="4" t="s">
        <v>42890</v>
      </c>
      <c r="B34082" s="4" t="s">
        <v>42891</v>
      </c>
      <c r="C34082" s="5" t="str">
        <f>IFERROR(__xludf.DUMMYFUNCTION("GOOGLETRANSLATE(B34082,""en"",""fr"")"),"Une femme obtient son nombril serré avec une pince blanche.")</f>
        <v>Une femme obtient son nombril serré avec une pince blanche.</v>
      </c>
    </row>
    <row r="34083">
      <c r="A34083" s="4" t="s">
        <v>42890</v>
      </c>
      <c r="B34083" s="4" t="s">
        <v>42892</v>
      </c>
      <c r="C34083" s="5" t="str">
        <f>IFERROR(__xludf.DUMMYFUNCTION("GOOGLETRANSLATE(B34083,""en"",""fr"")"),"Elle se fait ensuite percer son nombril.")</f>
        <v>Elle se fait ensuite percer son nombril.</v>
      </c>
    </row>
    <row r="34084">
      <c r="A34084" s="4" t="s">
        <v>42890</v>
      </c>
      <c r="B34084" s="4" t="s">
        <v>42893</v>
      </c>
      <c r="C34084" s="5" t="str">
        <f>IFERROR(__xludf.DUMMYFUNCTION("GOOGLETRANSLATE(B34084,""en"",""fr"")"),"La personne retire la pince et l'essuie avec une serviette.")</f>
        <v>La personne retire la pince et l'essuie avec une serviette.</v>
      </c>
    </row>
    <row r="34085">
      <c r="A34085" s="4" t="s">
        <v>42894</v>
      </c>
      <c r="B34085" s="4" t="s">
        <v>38202</v>
      </c>
      <c r="C34085" s="5" t="str">
        <f>IFERROR(__xludf.DUMMYFUNCTION("GOOGLETRANSLATE(B34085,""en"",""fr"")"),"Un groupe de personnes est à l'intérieur d'un gymnase.")</f>
        <v>Un groupe de personnes est à l'intérieur d'un gymnase.</v>
      </c>
    </row>
    <row r="34086">
      <c r="A34086" s="4" t="s">
        <v>42894</v>
      </c>
      <c r="B34086" s="4" t="s">
        <v>42895</v>
      </c>
      <c r="C34086" s="5" t="str">
        <f>IFERROR(__xludf.DUMMYFUNCTION("GOOGLETRANSLATE(B34086,""en"",""fr"")"),"Ils utilisent des steppers pour faire de l'exercice.")</f>
        <v>Ils utilisent des steppers pour faire de l'exercice.</v>
      </c>
    </row>
    <row r="34087">
      <c r="A34087" s="4" t="s">
        <v>42894</v>
      </c>
      <c r="B34087" s="4" t="s">
        <v>42896</v>
      </c>
      <c r="C34087" s="5" t="str">
        <f>IFERROR(__xludf.DUMMYFUNCTION("GOOGLETRANSLATE(B34087,""en"",""fr"")"),"Ils sautent et montent d'avant en arrière sur les steppers.")</f>
        <v>Ils sautent et montent d'avant en arrière sur les steppers.</v>
      </c>
    </row>
    <row r="34088">
      <c r="A34088" s="4" t="s">
        <v>42897</v>
      </c>
      <c r="B34088" s="4" t="s">
        <v>42898</v>
      </c>
      <c r="C34088" s="5" t="str">
        <f>IFERROR(__xludf.DUMMYFUNCTION("GOOGLETRANSLATE(B34088,""en"",""fr"")"),"Une femme en chemise blanche danse.")</f>
        <v>Une femme en chemise blanche danse.</v>
      </c>
    </row>
    <row r="34089">
      <c r="A34089" s="4" t="s">
        <v>42897</v>
      </c>
      <c r="B34089" s="4" t="s">
        <v>42899</v>
      </c>
      <c r="C34089" s="5" t="str">
        <f>IFERROR(__xludf.DUMMYFUNCTION("GOOGLETRANSLATE(B34089,""en"",""fr"")"),"Elle tient un fer à friser dans ses cheveux.")</f>
        <v>Elle tient un fer à friser dans ses cheveux.</v>
      </c>
    </row>
    <row r="34090">
      <c r="A34090" s="4" t="s">
        <v>42897</v>
      </c>
      <c r="B34090" s="4" t="s">
        <v>42900</v>
      </c>
      <c r="C34090" s="5" t="str">
        <f>IFERROR(__xludf.DUMMYFUNCTION("GOOGLETRANSLATE(B34090,""en"",""fr"")"),"Elle sort le fer à friser de ses cheveux.")</f>
        <v>Elle sort le fer à friser de ses cheveux.</v>
      </c>
    </row>
    <row r="34091">
      <c r="A34091" s="4" t="s">
        <v>42901</v>
      </c>
      <c r="B34091" s="4" t="s">
        <v>42902</v>
      </c>
      <c r="C34091" s="5" t="str">
        <f>IFERROR(__xludf.DUMMYFUNCTION("GOOGLETRANSLATE(B34091,""en"",""fr"")"),"La vidéo montre un tutoriel de Howcast sur la façon de créer du volume dans une coupe de cheveux.")</f>
        <v>La vidéo montre un tutoriel de Howcast sur la façon de créer du volume dans une coupe de cheveux.</v>
      </c>
    </row>
    <row r="34092">
      <c r="A34092" s="4" t="s">
        <v>42901</v>
      </c>
      <c r="B34092" s="6" t="s">
        <v>42903</v>
      </c>
      <c r="C34092" s="5" t="str">
        <f>IFERROR(__xludf.DUMMYFUNCTION("GOOGLETRANSLATE(B34092,""en"",""fr"")"),"Un coiffeur de dame portant une chemise verte et un pantalon montre une coupe de cheveux sur un modèle portant un débardeur noir.")</f>
        <v>Un coiffeur de dame portant une chemise verte et un pantalon montre une coupe de cheveux sur un modèle portant un débardeur noir.</v>
      </c>
    </row>
    <row r="34093">
      <c r="A34093" s="4" t="s">
        <v>42901</v>
      </c>
      <c r="B34093" s="4" t="s">
        <v>42904</v>
      </c>
      <c r="C34093" s="5" t="str">
        <f>IFERROR(__xludf.DUMMYFUNCTION("GOOGLETRANSLATE(B34093,""en"",""fr"")"),"Elle montre comment sectionner les cheveux de la dame et couper les cheveux d'une manière inclinée.")</f>
        <v>Elle montre comment sectionner les cheveux de la dame et couper les cheveux d'une manière inclinée.</v>
      </c>
    </row>
    <row r="34094">
      <c r="A34094" s="4" t="s">
        <v>42901</v>
      </c>
      <c r="B34094" s="4" t="s">
        <v>42905</v>
      </c>
      <c r="C34094" s="5" t="str">
        <f>IFERROR(__xludf.DUMMYFUNCTION("GOOGLETRANSLATE(B34094,""en"",""fr"")"),"Elle explique comment cette technique aide à créer un volume supplémentaire dans la couronne de la tête.")</f>
        <v>Elle explique comment cette technique aide à créer un volume supplémentaire dans la couronne de la tête.</v>
      </c>
    </row>
    <row r="34095">
      <c r="A34095" s="4" t="s">
        <v>42906</v>
      </c>
      <c r="B34095" s="6" t="s">
        <v>42907</v>
      </c>
      <c r="C34095" s="5" t="str">
        <f>IFERROR(__xludf.DUMMYFUNCTION("GOOGLETRANSLATE(B34095,""en"",""fr"")"),"Une jeune fille et une gymnaste effectue un exercice de gymnastique sur le faisceau d'équilibrage lors d'un événement sportif professionnel devant de nombreux photographes et un public dans les tribunes.")</f>
        <v>Une jeune fille et une gymnaste effectue un exercice de gymnastique sur le faisceau d'équilibrage lors d'un événement sportif professionnel devant de nombreux photographes et un public dans les tribunes.</v>
      </c>
    </row>
    <row r="34096">
      <c r="A34096" s="4" t="s">
        <v>42906</v>
      </c>
      <c r="B34096" s="6" t="s">
        <v>42908</v>
      </c>
      <c r="C34096" s="5" t="str">
        <f>IFERROR(__xludf.DUMMYFUNCTION("GOOGLETRANSLATE(B34096,""en"",""fr"")"),"Une jeune gymnaste dans une tenue bleue se tient devant une poutre d'équilibre, saute dessus et commence à effectuer une routine impliquant des flips.")</f>
        <v>Une jeune gymnaste dans une tenue bleue se tient devant une poutre d'équilibre, saute dessus et commence à effectuer une routine impliquant des flips.</v>
      </c>
    </row>
    <row r="34097">
      <c r="A34097" s="4" t="s">
        <v>42906</v>
      </c>
      <c r="B34097" s="6" t="s">
        <v>42909</v>
      </c>
      <c r="C34097" s="5" t="str">
        <f>IFERROR(__xludf.DUMMYFUNCTION("GOOGLETRANSLATE(B34097,""en"",""fr"")"),"La fille effectue plusieurs flips sur le faisceau d'équilibre et les sauts en hauteur en utilisant ses bras pour équilibrer sa position avant d'effectuer un dernier retournement du faisceau et de coller l'atterrissage après quoi elle marche dans ses câlin"&amp;"s un entraîneur avant de regarder le tableau de bord et de parler brièvement avec un homme assis sur une chaise blanche.")</f>
        <v>La fille effectue plusieurs flips sur le faisceau d'équilibre et les sauts en hauteur en utilisant ses bras pour équilibrer sa position avant d'effectuer un dernier retournement du faisceau et de coller l'atterrissage après quoi elle marche dans ses câlins un entraîneur avant de regarder le tableau de bord et de parler brièvement avec un homme assis sur une chaise blanche.</v>
      </c>
    </row>
    <row r="34098">
      <c r="A34098" s="4" t="s">
        <v>42910</v>
      </c>
      <c r="B34098" s="6" t="s">
        <v>42911</v>
      </c>
      <c r="C34098" s="5" t="str">
        <f>IFERROR(__xludf.DUMMYFUNCTION("GOOGLETRANSLATE(B34098,""en"",""fr"")"),"Plusieurs personnes radeau d'eau blanc et kayak dans de grands radeaux gonflables et kayaks sur un plan d'eau violent et étroit entouré de grosses roches.")</f>
        <v>Plusieurs personnes radeau d'eau blanc et kayak dans de grands radeaux gonflables et kayaks sur un plan d'eau violent et étroit entouré de grosses roches.</v>
      </c>
    </row>
    <row r="34099">
      <c r="A34099" s="4" t="s">
        <v>42910</v>
      </c>
      <c r="B34099" s="4" t="s">
        <v>42912</v>
      </c>
      <c r="C34099" s="5" t="str">
        <f>IFERROR(__xludf.DUMMYFUNCTION("GOOGLETRANSLATE(B34099,""en"",""fr"")"),"Un groupe de personnes sur un radeau d'eau bleu pagayez contre un flux violent / planche d'eau.")</f>
        <v>Un groupe de personnes sur un radeau d'eau bleu pagayez contre un flux violent / planche d'eau.</v>
      </c>
    </row>
    <row r="34100">
      <c r="A34100" s="4" t="s">
        <v>42910</v>
      </c>
      <c r="B34100" s="4" t="s">
        <v>42913</v>
      </c>
      <c r="C34100" s="5" t="str">
        <f>IFERROR(__xludf.DUMMYFUNCTION("GOOGLETRANSLATE(B34100,""en"",""fr"")"),"Plusieurs personnes isolées pagayent dans de petits kayaks contre la même eau violente.")</f>
        <v>Plusieurs personnes isolées pagayent dans de petits kayaks contre la même eau violente.</v>
      </c>
    </row>
    <row r="34101">
      <c r="A34101" s="4" t="s">
        <v>42910</v>
      </c>
      <c r="B34101" s="4" t="s">
        <v>42914</v>
      </c>
      <c r="C34101" s="5" t="str">
        <f>IFERROR(__xludf.DUMMYFUNCTION("GOOGLETRANSLATE(B34101,""en"",""fr"")"),"Une personne navigue dans les vagues rocheuses dans un grand radeau d'eau.")</f>
        <v>Une personne navigue dans les vagues rocheuses dans un grand radeau d'eau.</v>
      </c>
    </row>
    <row r="34102">
      <c r="A34102" s="4" t="s">
        <v>42910</v>
      </c>
      <c r="B34102" s="6" t="s">
        <v>42915</v>
      </c>
      <c r="C34102" s="5" t="str">
        <f>IFERROR(__xludf.DUMMYFUNCTION("GOOGLETRANSLATE(B34102,""en"",""fr"")"),"Les chevrons et les kayakers continuent de combattre la force de l'eau alors que la scène face à un mantra de positivité puis au noir.")</f>
        <v>Les chevrons et les kayakers continuent de combattre la force de l'eau alors que la scène face à un mantra de positivité puis au noir.</v>
      </c>
    </row>
    <row r="34103">
      <c r="A34103" s="4" t="s">
        <v>42916</v>
      </c>
      <c r="B34103" s="4" t="s">
        <v>42917</v>
      </c>
      <c r="C34103" s="5" t="str">
        <f>IFERROR(__xludf.DUMMYFUNCTION("GOOGLETRANSLATE(B34103,""en"",""fr"")"),"Un SUV plein d'amis sort d'un parking et dans une station.")</f>
        <v>Un SUV plein d'amis sort d'un parking et dans une station.</v>
      </c>
    </row>
    <row r="34104">
      <c r="A34104" s="4" t="s">
        <v>42916</v>
      </c>
      <c r="B34104" s="4" t="s">
        <v>42918</v>
      </c>
      <c r="C34104" s="5" t="str">
        <f>IFERROR(__xludf.DUMMYFUNCTION("GOOGLETRANSLATE(B34104,""en"",""fr"")"),"Une jeune fille qui était dans la voiture sort de la voiture.")</f>
        <v>Une jeune fille qui était dans la voiture sort de la voiture.</v>
      </c>
    </row>
    <row r="34105">
      <c r="A34105" s="4" t="s">
        <v>42916</v>
      </c>
      <c r="B34105" s="4" t="s">
        <v>42919</v>
      </c>
      <c r="C34105" s="5" t="str">
        <f>IFERROR(__xludf.DUMMYFUNCTION("GOOGLETRANSLATE(B34105,""en"",""fr"")"),"Le groupe d'amis plongeait parmi les poissons dans une grande piscine.")</f>
        <v>Le groupe d'amis plongeait parmi les poissons dans une grande piscine.</v>
      </c>
    </row>
    <row r="34106">
      <c r="A34106" s="4" t="s">
        <v>42916</v>
      </c>
      <c r="B34106" s="4" t="s">
        <v>42920</v>
      </c>
      <c r="C34106" s="5" t="str">
        <f>IFERROR(__xludf.DUMMYFUNCTION("GOOGLETRANSLATE(B34106,""en"",""fr"")"),"Ils laissent la piscine excitée et heureuse.")</f>
        <v>Ils laissent la piscine excitée et heureuse.</v>
      </c>
    </row>
    <row r="34107">
      <c r="A34107" s="4" t="s">
        <v>42916</v>
      </c>
      <c r="B34107" s="4" t="s">
        <v>42921</v>
      </c>
      <c r="C34107" s="5" t="str">
        <f>IFERROR(__xludf.DUMMYFUNCTION("GOOGLETRANSLATE(B34107,""en"",""fr"")"),"L'une des filles qui était en voyage donne au voyage un coup de pouce.")</f>
        <v>L'une des filles qui était en voyage donne au voyage un coup de pouce.</v>
      </c>
    </row>
    <row r="34108">
      <c r="A34108" s="4" t="s">
        <v>42922</v>
      </c>
      <c r="B34108" s="6" t="s">
        <v>42923</v>
      </c>
      <c r="C34108" s="5" t="str">
        <f>IFERROR(__xludf.DUMMYFUNCTION("GOOGLETRANSLATE(B34108,""en"",""fr"")"),"Un homme est vu hébergeant un nouveau segment qui mène à un grand groupe de personnes debout et marchant autour d'un champ.")</f>
        <v>Un homme est vu hébergeant un nouveau segment qui mène à un grand groupe de personnes debout et marchant autour d'un champ.</v>
      </c>
    </row>
    <row r="34109">
      <c r="A34109" s="4" t="s">
        <v>42922</v>
      </c>
      <c r="B34109" s="4" t="s">
        <v>42924</v>
      </c>
      <c r="C34109" s="5" t="str">
        <f>IFERROR(__xludf.DUMMYFUNCTION("GOOGLETRANSLATE(B34109,""en"",""fr"")"),"Les gens sont alors vus rouler sur des chevaux jouant un jeu les uns avec les autres.")</f>
        <v>Les gens sont alors vus rouler sur des chevaux jouant un jeu les uns avec les autres.</v>
      </c>
    </row>
    <row r="34110">
      <c r="A34110" s="4" t="s">
        <v>42922</v>
      </c>
      <c r="B34110" s="4" t="s">
        <v>42925</v>
      </c>
      <c r="C34110" s="5" t="str">
        <f>IFERROR(__xludf.DUMMYFUNCTION("GOOGLETRANSLATE(B34110,""en"",""fr"")"),"Les joueurs parlent de la caméra ainsi que du public et se termine par une équipe debout ensemble.")</f>
        <v>Les joueurs parlent de la caméra ainsi que du public et se termine par une équipe debout ensemble.</v>
      </c>
    </row>
    <row r="34111">
      <c r="A34111" s="4" t="s">
        <v>42926</v>
      </c>
      <c r="B34111" s="4" t="s">
        <v>42927</v>
      </c>
      <c r="C34111" s="5" t="str">
        <f>IFERROR(__xludf.DUMMYFUNCTION("GOOGLETRANSLATE(B34111,""en"",""fr"")"),"Un homme verse un œuf dans une petite poêle.")</f>
        <v>Un homme verse un œuf dans une petite poêle.</v>
      </c>
    </row>
    <row r="34112">
      <c r="A34112" s="4" t="s">
        <v>42926</v>
      </c>
      <c r="B34112" s="4" t="s">
        <v>42928</v>
      </c>
      <c r="C34112" s="5" t="str">
        <f>IFERROR(__xludf.DUMMYFUNCTION("GOOGLETRANSLATE(B34112,""en"",""fr"")"),"Il place la casserole sur un poêle.")</f>
        <v>Il place la casserole sur un poêle.</v>
      </c>
    </row>
    <row r="34113">
      <c r="A34113" s="4" t="s">
        <v>42926</v>
      </c>
      <c r="B34113" s="4" t="s">
        <v>42929</v>
      </c>
      <c r="C34113" s="5" t="str">
        <f>IFERROR(__xludf.DUMMYFUNCTION("GOOGLETRANSLATE(B34113,""en"",""fr"")"),"Il jette la nourriture dans une assiette.")</f>
        <v>Il jette la nourriture dans une assiette.</v>
      </c>
    </row>
    <row r="34114">
      <c r="A34114" s="4" t="s">
        <v>42930</v>
      </c>
      <c r="B34114" s="4" t="s">
        <v>42931</v>
      </c>
      <c r="C34114" s="5" t="str">
        <f>IFERROR(__xludf.DUMMYFUNCTION("GOOGLETRANSLATE(B34114,""en"",""fr"")"),"Un poteau homme saute sur une corde sur une trace d'un terrain sportif.")</f>
        <v>Un poteau homme saute sur une corde sur une trace d'un terrain sportif.</v>
      </c>
    </row>
    <row r="34115">
      <c r="A34115" s="4" t="s">
        <v>42930</v>
      </c>
      <c r="B34115" s="4" t="s">
        <v>42932</v>
      </c>
      <c r="C34115" s="5" t="str">
        <f>IFERROR(__xludf.DUMMYFUNCTION("GOOGLETRANSLATE(B34115,""en"",""fr"")"),"L'homme fait à peine son corps sur la corde.")</f>
        <v>L'homme fait à peine son corps sur la corde.</v>
      </c>
    </row>
    <row r="34116">
      <c r="A34116" s="4" t="s">
        <v>42933</v>
      </c>
      <c r="B34116" s="4" t="s">
        <v>42934</v>
      </c>
      <c r="C34116" s="5" t="str">
        <f>IFERROR(__xludf.DUMMYFUNCTION("GOOGLETRANSLATE(B34116,""en"",""fr"")"),"Un homme portant des lunettes parle dans un parking.")</f>
        <v>Un homme portant des lunettes parle dans un parking.</v>
      </c>
    </row>
    <row r="34117">
      <c r="A34117" s="4" t="s">
        <v>42933</v>
      </c>
      <c r="B34117" s="4" t="s">
        <v>42935</v>
      </c>
      <c r="C34117" s="5" t="str">
        <f>IFERROR(__xludf.DUMMYFUNCTION("GOOGLETRANSLATE(B34117,""en"",""fr"")"),"Il entre dans un lavage de voiture, où une substance verte est pulvérisée sur les voitures.")</f>
        <v>Il entre dans un lavage de voiture, où une substance verte est pulvérisée sur les voitures.</v>
      </c>
    </row>
    <row r="34118">
      <c r="A34118" s="4" t="s">
        <v>42933</v>
      </c>
      <c r="B34118" s="4" t="s">
        <v>42936</v>
      </c>
      <c r="C34118" s="5" t="str">
        <f>IFERROR(__xludf.DUMMYFUNCTION("GOOGLETRANSLATE(B34118,""en"",""fr"")"),"Le savon est ensuite rincé avec des tuyaux.")</f>
        <v>Le savon est ensuite rincé avec des tuyaux.</v>
      </c>
    </row>
    <row r="34119">
      <c r="A34119" s="4" t="s">
        <v>42937</v>
      </c>
      <c r="B34119" s="6" t="s">
        <v>42938</v>
      </c>
      <c r="C34119" s="5" t="str">
        <f>IFERROR(__xludf.DUMMYFUNCTION("GOOGLETRANSLATE(B34119,""en"",""fr"")"),"Une grande fanfare est vue en marchant dans une rue avec un grand groupe de personnes debout et en regardant.")</f>
        <v>Une grande fanfare est vue en marchant dans une rue avec un grand groupe de personnes debout et en regardant.</v>
      </c>
    </row>
    <row r="34120">
      <c r="A34120" s="4" t="s">
        <v>42937</v>
      </c>
      <c r="B34120" s="4" t="s">
        <v>42939</v>
      </c>
      <c r="C34120" s="5" t="str">
        <f>IFERROR(__xludf.DUMMYFUNCTION("GOOGLETRANSLATE(B34120,""en"",""fr"")"),"Les gens continuent de marcher et la caméra se termine par une scène de crédit.")</f>
        <v>Les gens continuent de marcher et la caméra se termine par une scène de crédit.</v>
      </c>
    </row>
    <row r="34121">
      <c r="A34121" s="4" t="s">
        <v>42940</v>
      </c>
      <c r="B34121" s="4" t="s">
        <v>42941</v>
      </c>
      <c r="C34121" s="5" t="str">
        <f>IFERROR(__xludf.DUMMYFUNCTION("GOOGLETRANSLATE(B34121,""en"",""fr"")"),"Un jeune enfant est vu portant des oreilles sur sa tête et soufflant autour de l'herbe.")</f>
        <v>Un jeune enfant est vu portant des oreilles sur sa tête et soufflant autour de l'herbe.</v>
      </c>
    </row>
    <row r="34122">
      <c r="A34122" s="4" t="s">
        <v>42940</v>
      </c>
      <c r="B34122" s="4" t="s">
        <v>42942</v>
      </c>
      <c r="C34122" s="5" t="str">
        <f>IFERROR(__xludf.DUMMYFUNCTION("GOOGLETRANSLATE(B34122,""en"",""fr"")"),"Il tient une grande machine et est vu le pousser tout autour de la cour.")</f>
        <v>Il tient une grande machine et est vu le pousser tout autour de la cour.</v>
      </c>
    </row>
    <row r="34123">
      <c r="A34123" s="4" t="s">
        <v>42940</v>
      </c>
      <c r="B34123" s="4" t="s">
        <v>42943</v>
      </c>
      <c r="C34123" s="5" t="str">
        <f>IFERROR(__xludf.DUMMYFUNCTION("GOOGLETRANSLATE(B34123,""en"",""fr"")"),"Il s'arrête un instant pour jouer avec l'herbe, suivi par lui travaillant davantage.")</f>
        <v>Il s'arrête un instant pour jouer avec l'herbe, suivi par lui travaillant davantage.</v>
      </c>
    </row>
    <row r="34124">
      <c r="A34124" s="4" t="s">
        <v>42944</v>
      </c>
      <c r="B34124" s="4" t="s">
        <v>42945</v>
      </c>
      <c r="C34124" s="5" t="str">
        <f>IFERROR(__xludf.DUMMYFUNCTION("GOOGLETRANSLATE(B34124,""en"",""fr"")"),"Un groupe de filles est rassemblé dans une pièce.")</f>
        <v>Un groupe de filles est rassemblé dans une pièce.</v>
      </c>
    </row>
    <row r="34125">
      <c r="A34125" s="4" t="s">
        <v>42944</v>
      </c>
      <c r="B34125" s="4" t="s">
        <v>42946</v>
      </c>
      <c r="C34125" s="5" t="str">
        <f>IFERROR(__xludf.DUMMYFUNCTION("GOOGLETRANSLATE(B34125,""en"",""fr"")"),"Ils sont montrés dans une série d'images posant ensemble.")</f>
        <v>Ils sont montrés dans une série d'images posant ensemble.</v>
      </c>
    </row>
    <row r="34126">
      <c r="A34126" s="4" t="s">
        <v>42944</v>
      </c>
      <c r="B34126" s="4" t="s">
        <v>42947</v>
      </c>
      <c r="C34126" s="5" t="str">
        <f>IFERROR(__xludf.DUMMYFUNCTION("GOOGLETRANSLATE(B34126,""en"",""fr"")"),"Nous avons également plusieurs garçons qui posent avant de jouer à un jeu de football.")</f>
        <v>Nous avons également plusieurs garçons qui posent avant de jouer à un jeu de football.</v>
      </c>
    </row>
    <row r="34127">
      <c r="A34127" s="4" t="s">
        <v>42948</v>
      </c>
      <c r="B34127" s="4" t="s">
        <v>42949</v>
      </c>
      <c r="C34127" s="5" t="str">
        <f>IFERROR(__xludf.DUMMYFUNCTION("GOOGLETRANSLATE(B34127,""en"",""fr"")"),"Un homme se dirige vers un microphone tout en jouant du sax.")</f>
        <v>Un homme se dirige vers un microphone tout en jouant du sax.</v>
      </c>
    </row>
    <row r="34128">
      <c r="A34128" s="4" t="s">
        <v>42948</v>
      </c>
      <c r="B34128" s="4" t="s">
        <v>42950</v>
      </c>
      <c r="C34128" s="5" t="str">
        <f>IFERROR(__xludf.DUMMYFUNCTION("GOOGLETRANSLATE(B34128,""en"",""fr"")"),"Un groupe de joueurs de baseball attend sur le terrain.")</f>
        <v>Un groupe de joueurs de baseball attend sur le terrain.</v>
      </c>
    </row>
    <row r="34129">
      <c r="A34129" s="4" t="s">
        <v>42948</v>
      </c>
      <c r="B34129" s="4" t="s">
        <v>42951</v>
      </c>
      <c r="C34129" s="5" t="str">
        <f>IFERROR(__xludf.DUMMYFUNCTION("GOOGLETRANSLATE(B34129,""en"",""fr"")"),"L'homme continue de jouer du saxophone pour la foule.")</f>
        <v>L'homme continue de jouer du saxophone pour la foule.</v>
      </c>
    </row>
    <row r="34130">
      <c r="A34130" s="4" t="s">
        <v>42952</v>
      </c>
      <c r="B34130" s="6" t="s">
        <v>42953</v>
      </c>
      <c r="C34130" s="5" t="str">
        <f>IFERROR(__xludf.DUMMYFUNCTION("GOOGLETRANSLATE(B34130,""en"",""fr"")"),"Il y a un jeune principal dans un débardeur blanc et un short beige pratique la danse avec une femme portant une chemise grise et un short bleu.")</f>
        <v>Il y a un jeune principal dans un débardeur blanc et un short beige pratique la danse avec une femme portant une chemise grise et un short bleu.</v>
      </c>
    </row>
    <row r="34131">
      <c r="A34131" s="4" t="s">
        <v>42952</v>
      </c>
      <c r="B34131" s="4" t="s">
        <v>42954</v>
      </c>
      <c r="C34131" s="5" t="str">
        <f>IFERROR(__xludf.DUMMYFUNCTION("GOOGLETRANSLATE(B34131,""en"",""fr"")"),"Ils pratiquent la danse dans leur salon avec une télévision à écran plat accroché au mur.")</f>
        <v>Ils pratiquent la danse dans leur salon avec une télévision à écran plat accroché au mur.</v>
      </c>
    </row>
    <row r="34132">
      <c r="A34132" s="4" t="s">
        <v>42952</v>
      </c>
      <c r="B34132" s="4" t="s">
        <v>42955</v>
      </c>
      <c r="C34132" s="5" t="str">
        <f>IFERROR(__xludf.DUMMYFUNCTION("GOOGLETRANSLATE(B34132,""en"",""fr"")"),"Ils se tiennent la main alors qu'ils tournonnent et dansent.")</f>
        <v>Ils se tiennent la main alors qu'ils tournonnent et dansent.</v>
      </c>
    </row>
    <row r="34133">
      <c r="A34133" s="4" t="s">
        <v>42956</v>
      </c>
      <c r="B34133" s="4" t="s">
        <v>16179</v>
      </c>
      <c r="C34133" s="5" t="str">
        <f>IFERROR(__xludf.DUMMYFUNCTION("GOOGLETRANSLATE(B34133,""en"",""fr"")"),"Les femmes dansent sur une scène.")</f>
        <v>Les femmes dansent sur une scène.</v>
      </c>
    </row>
    <row r="34134">
      <c r="A34134" s="4" t="s">
        <v>42956</v>
      </c>
      <c r="B34134" s="4" t="s">
        <v>42957</v>
      </c>
      <c r="C34134" s="5" t="str">
        <f>IFERROR(__xludf.DUMMYFUNCTION("GOOGLETRANSLATE(B34134,""en"",""fr"")"),"Ils balancent leurs hanches d'un côté à l'autre.")</f>
        <v>Ils balancent leurs hanches d'un côté à l'autre.</v>
      </c>
    </row>
    <row r="34135">
      <c r="A34135" s="4" t="s">
        <v>42956</v>
      </c>
      <c r="B34135" s="4" t="s">
        <v>42958</v>
      </c>
      <c r="C34135" s="5" t="str">
        <f>IFERROR(__xludf.DUMMYFUNCTION("GOOGLETRANSLATE(B34135,""en"",""fr"")"),"La danse est censée être sexy.")</f>
        <v>La danse est censée être sexy.</v>
      </c>
    </row>
    <row r="34136">
      <c r="A34136" s="4" t="s">
        <v>42956</v>
      </c>
      <c r="B34136" s="4" t="s">
        <v>42959</v>
      </c>
      <c r="C34136" s="5" t="str">
        <f>IFERROR(__xludf.DUMMYFUNCTION("GOOGLETRANSLATE(B34136,""en"",""fr"")"),"Ils forment une ligne pendant qu'ils dansent.")</f>
        <v>Ils forment une ligne pendant qu'ils dansent.</v>
      </c>
    </row>
    <row r="34137">
      <c r="A34137" s="4" t="s">
        <v>42956</v>
      </c>
      <c r="B34137" s="4" t="s">
        <v>42960</v>
      </c>
      <c r="C34137" s="5" t="str">
        <f>IFERROR(__xludf.DUMMYFUNCTION("GOOGLETRANSLATE(B34137,""en"",""fr"")"),"Ils tournent le dos au public et dansent.")</f>
        <v>Ils tournent le dos au public et dansent.</v>
      </c>
    </row>
    <row r="34138">
      <c r="A34138" s="4" t="s">
        <v>42956</v>
      </c>
      <c r="B34138" s="4" t="s">
        <v>42961</v>
      </c>
      <c r="C34138" s="5" t="str">
        <f>IFERROR(__xludf.DUMMYFUNCTION("GOOGLETRANSLATE(B34138,""en"",""fr"")"),"Les lumières s'écartent.")</f>
        <v>Les lumières s'écartent.</v>
      </c>
    </row>
    <row r="34139">
      <c r="A34139" s="4" t="s">
        <v>42956</v>
      </c>
      <c r="B34139" s="4" t="s">
        <v>42962</v>
      </c>
      <c r="C34139" s="5" t="str">
        <f>IFERROR(__xludf.DUMMYFUNCTION("GOOGLETRANSLATE(B34139,""en"",""fr"")"),"La danse est terminée.")</f>
        <v>La danse est terminée.</v>
      </c>
    </row>
    <row r="34140">
      <c r="A34140" s="4" t="s">
        <v>42963</v>
      </c>
      <c r="B34140" s="4" t="s">
        <v>42964</v>
      </c>
      <c r="C34140" s="5" t="str">
        <f>IFERROR(__xludf.DUMMYFUNCTION("GOOGLETRANSLATE(B34140,""en"",""fr"")"),"Les gens se tiennent et parlent à des tables.")</f>
        <v>Les gens se tiennent et parlent à des tables.</v>
      </c>
    </row>
    <row r="34141">
      <c r="A34141" s="4" t="s">
        <v>42963</v>
      </c>
      <c r="B34141" s="4" t="s">
        <v>42965</v>
      </c>
      <c r="C34141" s="5" t="str">
        <f>IFERROR(__xludf.DUMMYFUNCTION("GOOGLETRANSLATE(B34141,""en"",""fr"")"),"Des équipes de joueurs jouent au soccer Beach.")</f>
        <v>Des équipes de joueurs jouent au soccer Beach.</v>
      </c>
    </row>
    <row r="34142">
      <c r="A34142" s="4" t="s">
        <v>42963</v>
      </c>
      <c r="B34142" s="4" t="s">
        <v>42966</v>
      </c>
      <c r="C34142" s="5" t="str">
        <f>IFERROR(__xludf.DUMMYFUNCTION("GOOGLETRANSLATE(B34142,""en"",""fr"")"),"Un joueur marque un but avec le ballon de football.")</f>
        <v>Un joueur marque un but avec le ballon de football.</v>
      </c>
    </row>
    <row r="34143">
      <c r="A34143" s="4" t="s">
        <v>42967</v>
      </c>
      <c r="B34143" s="4" t="s">
        <v>42968</v>
      </c>
      <c r="C34143" s="5" t="str">
        <f>IFERROR(__xludf.DUMMYFUNCTION("GOOGLETRANSLATE(B34143,""en"",""fr"")"),"L'écran est noir et nous voyons une ballerine danser sur la scène renversant des plumes.")</f>
        <v>L'écran est noir et nous voyons une ballerine danser sur la scène renversant des plumes.</v>
      </c>
    </row>
    <row r="34144">
      <c r="A34144" s="4" t="s">
        <v>42967</v>
      </c>
      <c r="B34144" s="4" t="s">
        <v>42969</v>
      </c>
      <c r="C34144" s="5" t="str">
        <f>IFERROR(__xludf.DUMMYFUNCTION("GOOGLETRANSLATE(B34144,""en"",""fr"")"),"La personne bouge la tête comme un poulet.")</f>
        <v>La personne bouge la tête comme un poulet.</v>
      </c>
    </row>
    <row r="34145">
      <c r="A34145" s="4" t="s">
        <v>42967</v>
      </c>
      <c r="B34145" s="4" t="s">
        <v>42970</v>
      </c>
      <c r="C34145" s="5" t="str">
        <f>IFERROR(__xludf.DUMMYFUNCTION("GOOGLETRANSLATE(B34145,""en"",""fr"")"),"La personne fait un mélange et danse puis tombe au sol avant de se lever et de danser davantage.")</f>
        <v>La personne fait un mélange et danse puis tombe au sol avant de se lever et de danser davantage.</v>
      </c>
    </row>
    <row r="34146">
      <c r="A34146" s="4" t="s">
        <v>42967</v>
      </c>
      <c r="B34146" s="4" t="s">
        <v>42971</v>
      </c>
      <c r="C34146" s="5" t="str">
        <f>IFERROR(__xludf.DUMMYFUNCTION("GOOGLETRANSLATE(B34146,""en"",""fr"")"),"La personne met ses mains dans une pose de prière.")</f>
        <v>La personne met ses mains dans une pose de prière.</v>
      </c>
    </row>
    <row r="34147">
      <c r="A34147" s="4" t="s">
        <v>42967</v>
      </c>
      <c r="B34147" s="6" t="s">
        <v>42972</v>
      </c>
      <c r="C34147" s="5" t="str">
        <f>IFERROR(__xludf.DUMMYFUNCTION("GOOGLETRANSLATE(B34147,""en"",""fr"")"),"La personne prend des plumes du sol et les écartera puis danse et tombe au sol et la scène se termine.")</f>
        <v>La personne prend des plumes du sol et les écartera puis danse et tombe au sol et la scène se termine.</v>
      </c>
    </row>
    <row r="34148">
      <c r="A34148" s="4" t="s">
        <v>42973</v>
      </c>
      <c r="B34148" s="4" t="s">
        <v>42974</v>
      </c>
      <c r="C34148" s="5" t="str">
        <f>IFERROR(__xludf.DUMMYFUNCTION("GOOGLETRANSLATE(B34148,""en"",""fr"")"),"Une personne est vue assise derrière une table en résolvant un cube Rubix tandis qu'une minuterie l'enregistre.")</f>
        <v>Une personne est vue assise derrière une table en résolvant un cube Rubix tandis qu'une minuterie l'enregistre.</v>
      </c>
    </row>
    <row r="34149">
      <c r="A34149" s="4" t="s">
        <v>42973</v>
      </c>
      <c r="B34149" s="4" t="s">
        <v>42975</v>
      </c>
      <c r="C34149" s="5" t="str">
        <f>IFERROR(__xludf.DUMMYFUNCTION("GOOGLETRANSLATE(B34149,""en"",""fr"")"),"Deux hommes sont vus debout autour d'elle et notent des choses lorsque la fille finit par terminer.")</f>
        <v>Deux hommes sont vus debout autour d'elle et notent des choses lorsque la fille finit par terminer.</v>
      </c>
    </row>
    <row r="34150">
      <c r="A34150" s="4" t="s">
        <v>42976</v>
      </c>
      <c r="B34150" s="4" t="s">
        <v>42977</v>
      </c>
      <c r="C34150" s="5" t="str">
        <f>IFERROR(__xludf.DUMMYFUNCTION("GOOGLETRANSLATE(B34150,""en"",""fr"")"),"Les gens sont assis et conduisent dans un tas de cartes de pare-chocs sur une piste.")</f>
        <v>Les gens sont assis et conduisent dans un tas de cartes de pare-chocs sur une piste.</v>
      </c>
    </row>
    <row r="34151">
      <c r="A34151" s="4" t="s">
        <v>42976</v>
      </c>
      <c r="B34151" s="4" t="s">
        <v>42978</v>
      </c>
      <c r="C34151" s="5" t="str">
        <f>IFERROR(__xludf.DUMMYFUNCTION("GOOGLETRANSLATE(B34151,""en"",""fr"")"),"Ils claquent et se heurtent, s'amusant.")</f>
        <v>Ils claquent et se heurtent, s'amusant.</v>
      </c>
    </row>
    <row r="34152">
      <c r="A34152" s="4" t="s">
        <v>42979</v>
      </c>
      <c r="B34152" s="4" t="s">
        <v>42980</v>
      </c>
      <c r="C34152" s="5" t="str">
        <f>IFERROR(__xludf.DUMMYFUNCTION("GOOGLETRANSLATE(B34152,""en"",""fr"")"),"Une grande montagne recouverte de neige avec des arbres rares est visible.")</f>
        <v>Une grande montagne recouverte de neige avec des arbres rares est visible.</v>
      </c>
    </row>
    <row r="34153">
      <c r="A34153" s="4" t="s">
        <v>42979</v>
      </c>
      <c r="B34153" s="4" t="s">
        <v>42981</v>
      </c>
      <c r="C34153" s="5" t="str">
        <f>IFERROR(__xludf.DUMMYFUNCTION("GOOGLETRANSLATE(B34153,""en"",""fr"")"),"Quelqu'un commence à skier, puis un homme dans un costume de neige orange commence à parler.")</f>
        <v>Quelqu'un commence à skier, puis un homme dans un costume de neige orange commence à parler.</v>
      </c>
    </row>
    <row r="34154">
      <c r="A34154" s="4" t="s">
        <v>42979</v>
      </c>
      <c r="B34154" s="4" t="s">
        <v>42982</v>
      </c>
      <c r="C34154" s="5" t="str">
        <f>IFERROR(__xludf.DUMMYFUNCTION("GOOGLETRANSLATE(B34154,""en"",""fr"")"),"La personne continue de skier, puis deux hommes semblent se parler.")</f>
        <v>La personne continue de skier, puis deux hommes semblent se parler.</v>
      </c>
    </row>
    <row r="34155">
      <c r="A34155" s="4" t="s">
        <v>42979</v>
      </c>
      <c r="B34155" s="6" t="s">
        <v>42983</v>
      </c>
      <c r="C34155" s="5" t="str">
        <f>IFERROR(__xludf.DUMMYFUNCTION("GOOGLETRANSLATE(B34155,""en"",""fr"")"),"La personne skiant va ensuite du haut de la montagne au fond, puis se cache derrière un rocher de glace.")</f>
        <v>La personne skiant va ensuite du haut de la montagne au fond, puis se cache derrière un rocher de glace.</v>
      </c>
    </row>
    <row r="34156">
      <c r="A34156" s="4" t="s">
        <v>42984</v>
      </c>
      <c r="B34156" s="4" t="s">
        <v>42985</v>
      </c>
      <c r="C34156" s="5" t="str">
        <f>IFERROR(__xludf.DUMMYFUNCTION("GOOGLETRANSLATE(B34156,""en"",""fr"")"),"Deux journalistes rapportent une histoire sur la consommation trop de café dans une télédiffusion en direct.")</f>
        <v>Deux journalistes rapportent une histoire sur la consommation trop de café dans une télédiffusion en direct.</v>
      </c>
    </row>
    <row r="34157">
      <c r="A34157" s="4" t="s">
        <v>42984</v>
      </c>
      <c r="B34157" s="6" t="s">
        <v>42986</v>
      </c>
      <c r="C34157" s="5" t="str">
        <f>IFERROR(__xludf.DUMMYFUNCTION("GOOGLETRANSLATE(B34157,""en"",""fr"")"),"Une journaliste aux cheveux noirs parle à la caméra avant que la caméra ne coupe un journaliste aux cheveux blonds qui parle également à la caméra.")</f>
        <v>Une journaliste aux cheveux noirs parle à la caméra avant que la caméra ne coupe un journaliste aux cheveux blonds qui parle également à la caméra.</v>
      </c>
    </row>
    <row r="34158">
      <c r="A34158" s="4" t="s">
        <v>42984</v>
      </c>
      <c r="B34158" s="6" t="s">
        <v>42987</v>
      </c>
      <c r="C34158" s="5" t="str">
        <f>IFERROR(__xludf.DUMMYFUNCTION("GOOGLETRANSLATE(B34158,""en"",""fr"")"),"La caméra coupe la vidéo d'une tasse de café remplie de café tandis qu'un modèle écrit expliquant de quoi parle l'histoire apparaît sous la tasse.")</f>
        <v>La caméra coupe la vidéo d'une tasse de café remplie de café tandis qu'un modèle écrit expliquant de quoi parle l'histoire apparaît sous la tasse.</v>
      </c>
    </row>
    <row r="34159">
      <c r="A34159" s="4" t="s">
        <v>42984</v>
      </c>
      <c r="B34159" s="4" t="s">
        <v>42988</v>
      </c>
      <c r="C34159" s="5" t="str">
        <f>IFERROR(__xludf.DUMMYFUNCTION("GOOGLETRANSLATE(B34159,""en"",""fr"")"),"La caméra coupe ensuite un panneau d'information de quatre personnes parlant à la caméra.")</f>
        <v>La caméra coupe ensuite un panneau d'information de quatre personnes parlant à la caméra.</v>
      </c>
    </row>
    <row r="34160">
      <c r="A34160" s="4" t="s">
        <v>42989</v>
      </c>
      <c r="B34160" s="4" t="s">
        <v>42990</v>
      </c>
      <c r="C34160" s="5" t="str">
        <f>IFERROR(__xludf.DUMMYFUNCTION("GOOGLETRANSLATE(B34160,""en"",""fr"")"),"Le voilier est en plein air avec certaines personnes debout dessus.")</f>
        <v>Le voilier est en plein air avec certaines personnes debout dessus.</v>
      </c>
    </row>
    <row r="34161">
      <c r="A34161" s="4" t="s">
        <v>42989</v>
      </c>
      <c r="B34161" s="4" t="s">
        <v>42991</v>
      </c>
      <c r="C34161" s="5" t="str">
        <f>IFERROR(__xludf.DUMMYFUNCTION("GOOGLETRANSLATE(B34161,""en"",""fr"")"),"Les hommes s'assoient sur Te Saip et le conduisent et se parlent.")</f>
        <v>Les hommes s'assoient sur Te Saip et le conduisent et se parlent.</v>
      </c>
    </row>
    <row r="34162">
      <c r="A34162" s="4" t="s">
        <v>42992</v>
      </c>
      <c r="B34162" s="6" t="s">
        <v>42993</v>
      </c>
      <c r="C34162" s="5" t="str">
        <f>IFERROR(__xludf.DUMMYFUNCTION("GOOGLETRANSLATE(B34162,""en"",""fr"")"),"Un groupe d'enfants joue et pratiquait des lancers et des techniques de basket-ball dans un gymnase intérieur devant les entraîneurs et autres enfants.")</f>
        <v>Un groupe d'enfants joue et pratiquait des lancers et des techniques de basket-ball dans un gymnase intérieur devant les entraîneurs et autres enfants.</v>
      </c>
    </row>
    <row r="34163">
      <c r="A34163" s="4" t="s">
        <v>42992</v>
      </c>
      <c r="B34163" s="6" t="s">
        <v>42994</v>
      </c>
      <c r="C34163" s="5" t="str">
        <f>IFERROR(__xludf.DUMMYFUNCTION("GOOGLETRANSLATE(B34163,""en"",""fr"")"),"Un groupe d'enfants jette à tour de rôle des boules orange et blanches dans le filet et coulant également vers le filet.")</f>
        <v>Un groupe d'enfants jette à tour de rôle des boules orange et blanches dans le filet et coulant également vers le filet.</v>
      </c>
    </row>
    <row r="34164">
      <c r="A34164" s="4" t="s">
        <v>42992</v>
      </c>
      <c r="B34164" s="4" t="s">
        <v>42995</v>
      </c>
      <c r="C34164" s="5" t="str">
        <f>IFERROR(__xludf.DUMMYFUNCTION("GOOGLETRANSLATE(B34164,""en"",""fr"")"),"Les entraîneurs les suivent pendant qu'ils jouent, à l'heure, essayant de bloquer les lancers à l'aide des mains.")</f>
        <v>Les entraîneurs les suivent pendant qu'ils jouent, à l'heure, essayant de bloquer les lancers à l'aide des mains.</v>
      </c>
    </row>
    <row r="34165">
      <c r="A34165" s="4" t="s">
        <v>42996</v>
      </c>
      <c r="B34165" s="6" t="s">
        <v>42997</v>
      </c>
      <c r="C34165" s="5" t="str">
        <f>IFERROR(__xludf.DUMMYFUNCTION("GOOGLETRANSLATE(B34165,""en"",""fr"")"),"Un homme est vu parler à la caméra pendant qu'il se déroule dans la zone et il monte dans une machine.")</f>
        <v>Un homme est vu parler à la caméra pendant qu'il se déroule dans la zone et il monte dans une machine.</v>
      </c>
    </row>
    <row r="34166">
      <c r="A34166" s="4" t="s">
        <v>42996</v>
      </c>
      <c r="B34166" s="4" t="s">
        <v>42998</v>
      </c>
      <c r="C34166" s="5" t="str">
        <f>IFERROR(__xludf.DUMMYFUNCTION("GOOGLETRANSLATE(B34166,""en"",""fr"")"),"Il utilise la machine pour déchirer le toit et se termine par un gros plan de la machine.")</f>
        <v>Il utilise la machine pour déchirer le toit et se termine par un gros plan de la machine.</v>
      </c>
    </row>
    <row r="34167">
      <c r="A34167" s="4" t="s">
        <v>42999</v>
      </c>
      <c r="B34167" s="6" t="s">
        <v>43000</v>
      </c>
      <c r="C34167" s="5" t="str">
        <f>IFERROR(__xludf.DUMMYFUNCTION("GOOGLETRANSLATE(B34167,""en"",""fr"")"),"Plusieurs clips sont représentés de personnes nageant dans l'eau menant à une femme regardant la caméra et se déplaçant toujours sous l'eau.")</f>
        <v>Plusieurs clips sont représentés de personnes nageant dans l'eau menant à une femme regardant la caméra et se déplaçant toujours sous l'eau.</v>
      </c>
    </row>
    <row r="34168">
      <c r="A34168" s="4" t="s">
        <v>42999</v>
      </c>
      <c r="B34168" s="6" t="s">
        <v>43001</v>
      </c>
      <c r="C34168" s="5" t="str">
        <f>IFERROR(__xludf.DUMMYFUNCTION("GOOGLETRANSLATE(B34168,""en"",""fr"")"),"La femme continue de flotter dans l'eau, suivie par la saisie d'une planche de boogie et d'effectuer divers mouvements autour de l'eau.")</f>
        <v>La femme continue de flotter dans l'eau, suivie par la saisie d'une planche de boogie et d'effectuer divers mouvements autour de l'eau.</v>
      </c>
    </row>
    <row r="34169">
      <c r="A34169" s="4" t="s">
        <v>43002</v>
      </c>
      <c r="B34169" s="4" t="s">
        <v>43003</v>
      </c>
      <c r="C34169" s="5" t="str">
        <f>IFERROR(__xludf.DUMMYFUNCTION("GOOGLETRANSLATE(B34169,""en"",""fr"")"),"Plusieurs plans de paysages sont affichés que la casserole de personnes se tenant sur un pont.")</f>
        <v>Plusieurs plans de paysages sont affichés que la casserole de personnes se tenant sur un pont.</v>
      </c>
    </row>
    <row r="34170">
      <c r="A34170" s="4" t="s">
        <v>43002</v>
      </c>
      <c r="B34170" s="6" t="s">
        <v>43004</v>
      </c>
      <c r="C34170" s="5" t="str">
        <f>IFERROR(__xludf.DUMMYFUNCTION("GOOGLETRANSLATE(B34170,""en"",""fr"")"),"Des coups de feu sont montrés des personnes qui sautent du côté du pont tandis que la caméra capture plus de paysages.")</f>
        <v>Des coups de feu sont montrés des personnes qui sautent du côté du pont tandis que la caméra capture plus de paysages.</v>
      </c>
    </row>
    <row r="34171">
      <c r="A34171" s="4" t="s">
        <v>43002</v>
      </c>
      <c r="B34171" s="4" t="s">
        <v>43005</v>
      </c>
      <c r="C34171" s="5" t="str">
        <f>IFERROR(__xludf.DUMMYFUNCTION("GOOGLETRANSLATE(B34171,""en"",""fr"")"),"Plusieurs autres personnes sont vues alignées en regardant qui mènent à plus de gens qui sautent du côté.")</f>
        <v>Plusieurs autres personnes sont vues alignées en regardant qui mènent à plus de gens qui sautent du côté.</v>
      </c>
    </row>
    <row r="34172">
      <c r="A34172" s="4" t="s">
        <v>43006</v>
      </c>
      <c r="B34172" s="4" t="s">
        <v>43007</v>
      </c>
      <c r="C34172" s="5" t="str">
        <f>IFERROR(__xludf.DUMMYFUNCTION("GOOGLETRANSLATE(B34172,""en"",""fr"")"),"Une petite fille est assise sur un lit les yeux fermés.")</f>
        <v>Une petite fille est assise sur un lit les yeux fermés.</v>
      </c>
    </row>
    <row r="34173">
      <c r="A34173" s="4" t="s">
        <v>43006</v>
      </c>
      <c r="B34173" s="4" t="s">
        <v>43008</v>
      </c>
      <c r="C34173" s="5" t="str">
        <f>IFERROR(__xludf.DUMMYFUNCTION("GOOGLETRANSLATE(B34173,""en"",""fr"")"),"Une femme s'agenouille et met le revêtement des yeux sur la fille.")</f>
        <v>Une femme s'agenouille et met le revêtement des yeux sur la fille.</v>
      </c>
    </row>
    <row r="34174">
      <c r="A34174" s="4" t="s">
        <v>43006</v>
      </c>
      <c r="B34174" s="4" t="s">
        <v>43009</v>
      </c>
      <c r="C34174" s="5" t="str">
        <f>IFERROR(__xludf.DUMMYFUNCTION("GOOGLETRANSLATE(B34174,""en"",""fr"")"),"La fille ouvre l'œil et sourit.")</f>
        <v>La fille ouvre l'œil et sourit.</v>
      </c>
    </row>
    <row r="34175">
      <c r="A34175" s="4" t="s">
        <v>43010</v>
      </c>
      <c r="B34175" s="6" t="s">
        <v>43011</v>
      </c>
      <c r="C34175" s="5" t="str">
        <f>IFERROR(__xludf.DUMMYFUNCTION("GOOGLETRANSLATE(B34175,""en"",""fr"")"),"Une personne répare une chaîne de vélos et installe la chaîne sur un vélo entrecoupé une image d'une femme qui parle.")</f>
        <v>Une personne répare une chaîne de vélos et installe la chaîne sur un vélo entrecoupé une image d'une femme qui parle.</v>
      </c>
    </row>
    <row r="34176">
      <c r="A34176" s="4" t="s">
        <v>43010</v>
      </c>
      <c r="B34176" s="6" t="s">
        <v>43012</v>
      </c>
      <c r="C34176" s="5" t="str">
        <f>IFERROR(__xludf.DUMMYFUNCTION("GOOGLETRANSLATE(B34176,""en"",""fr"")"),"Une femme regarde une caméra et sourit en parlant avant que la scène ne coupe une paire de mains travaillant sur une chaîne de vélos.")</f>
        <v>Une femme regarde une caméra et sourit en parlant avant que la scène ne coupe une paire de mains travaillant sur une chaîne de vélos.</v>
      </c>
    </row>
    <row r="34177">
      <c r="A34177" s="4" t="s">
        <v>43010</v>
      </c>
      <c r="B34177" s="4" t="s">
        <v>43013</v>
      </c>
      <c r="C34177" s="5" t="str">
        <f>IFERROR(__xludf.DUMMYFUNCTION("GOOGLETRANSLATE(B34177,""en"",""fr"")"),"Une paire de mains fonctionne sur une chaîne de vélos avec des outils et des boulons.")</f>
        <v>Une paire de mains fonctionne sur une chaîne de vélos avec des outils et des boulons.</v>
      </c>
    </row>
    <row r="34178">
      <c r="A34178" s="4" t="s">
        <v>43010</v>
      </c>
      <c r="B34178" s="4" t="s">
        <v>43014</v>
      </c>
      <c r="C34178" s="5" t="str">
        <f>IFERROR(__xludf.DUMMYFUNCTION("GOOGLETRANSLATE(B34178,""en"",""fr"")"),"Les mains installent la chaîne sur un vélo bleu sur une surface du sol de saleté.")</f>
        <v>Les mains installent la chaîne sur un vélo bleu sur une surface du sol de saleté.</v>
      </c>
    </row>
    <row r="34179">
      <c r="A34179" s="4" t="s">
        <v>43015</v>
      </c>
      <c r="B34179" s="4" t="s">
        <v>43016</v>
      </c>
      <c r="C34179" s="5" t="str">
        <f>IFERROR(__xludf.DUMMYFUNCTION("GOOGLETRANSLATE(B34179,""en"",""fr"")"),"Une femme tenant des serviettes parle à la caméra.")</f>
        <v>Une femme tenant des serviettes parle à la caméra.</v>
      </c>
    </row>
    <row r="34180">
      <c r="A34180" s="4" t="s">
        <v>43015</v>
      </c>
      <c r="B34180" s="4" t="s">
        <v>43017</v>
      </c>
      <c r="C34180" s="5" t="str">
        <f>IFERROR(__xludf.DUMMYFUNCTION("GOOGLETRANSLATE(B34180,""en"",""fr"")"),"La femme essuie la fenêtre derrière elle avec une serviette.")</f>
        <v>La femme essuie la fenêtre derrière elle avec une serviette.</v>
      </c>
    </row>
    <row r="34181">
      <c r="A34181" s="4" t="s">
        <v>43015</v>
      </c>
      <c r="B34181" s="4" t="s">
        <v>43018</v>
      </c>
      <c r="C34181" s="5" t="str">
        <f>IFERROR(__xludf.DUMMYFUNCTION("GOOGLETRANSLATE(B34181,""en"",""fr"")"),"La femme pulvérise un liquide sur la fenêtre.")</f>
        <v>La femme pulvérise un liquide sur la fenêtre.</v>
      </c>
    </row>
    <row r="34182">
      <c r="A34182" s="4" t="s">
        <v>43015</v>
      </c>
      <c r="B34182" s="4" t="s">
        <v>43019</v>
      </c>
      <c r="C34182" s="5" t="str">
        <f>IFERROR(__xludf.DUMMYFUNCTION("GOOGLETRANSLATE(B34182,""en"",""fr"")"),"La femme reprend en essuyant la fenêtre.")</f>
        <v>La femme reprend en essuyant la fenêtre.</v>
      </c>
    </row>
    <row r="34183">
      <c r="A34183" s="4" t="s">
        <v>43015</v>
      </c>
      <c r="B34183" s="4" t="s">
        <v>43020</v>
      </c>
      <c r="C34183" s="5" t="str">
        <f>IFERROR(__xludf.DUMMYFUNCTION("GOOGLETRANSLATE(B34183,""en"",""fr"")"),"La femme revient à parler à la caméra.")</f>
        <v>La femme revient à parler à la caméra.</v>
      </c>
    </row>
    <row r="34184">
      <c r="A34184" s="4" t="s">
        <v>43021</v>
      </c>
      <c r="B34184" s="4" t="s">
        <v>43022</v>
      </c>
      <c r="C34184" s="5" t="str">
        <f>IFERROR(__xludf.DUMMYFUNCTION("GOOGLETRANSLATE(B34184,""en"",""fr"")"),"Deux garçons interprètent la lutte des bras pendant que les gens regardent, soudain, les garçons se libèrent les mains.")</f>
        <v>Deux garçons interprètent la lutte des bras pendant que les gens regardent, soudain, les garçons se libèrent les mains.</v>
      </c>
    </row>
    <row r="34185">
      <c r="A34185" s="4" t="s">
        <v>43021</v>
      </c>
      <c r="B34185" s="4" t="s">
        <v>43023</v>
      </c>
      <c r="C34185" s="5" t="str">
        <f>IFERROR(__xludf.DUMMYFUNCTION("GOOGLETRANSLATE(B34185,""en"",""fr"")"),"Après, ils continuent de participer, puis le garçon portant un t-shirt violet plit la main de son rival.")</f>
        <v>Après, ils continuent de participer, puis le garçon portant un t-shirt violet plit la main de son rival.</v>
      </c>
    </row>
    <row r="34186">
      <c r="A34186" s="4" t="s">
        <v>43021</v>
      </c>
      <c r="B34186" s="4" t="s">
        <v>43024</v>
      </c>
      <c r="C34186" s="5" t="str">
        <f>IFERROR(__xludf.DUMMYFUNCTION("GOOGLETRANSLATE(B34186,""en"",""fr"")"),"Après, la continuation de la lutte des bras, puis libèrez à nouveau les mains.")</f>
        <v>Après, la continuation de la lutte des bras, puis libèrez à nouveau les mains.</v>
      </c>
    </row>
    <row r="34187">
      <c r="A34187" s="4" t="s">
        <v>43025</v>
      </c>
      <c r="B34187" s="4" t="s">
        <v>43026</v>
      </c>
      <c r="C34187" s="5" t="str">
        <f>IFERROR(__xludf.DUMMYFUNCTION("GOOGLETRANSLATE(B34187,""en"",""fr"")"),"Un homme en bleu se dresse dans un auditorium.")</f>
        <v>Un homme en bleu se dresse dans un auditorium.</v>
      </c>
    </row>
    <row r="34188">
      <c r="A34188" s="4" t="s">
        <v>43025</v>
      </c>
      <c r="B34188" s="4" t="s">
        <v>43027</v>
      </c>
      <c r="C34188" s="5" t="str">
        <f>IFERROR(__xludf.DUMMYFUNCTION("GOOGLETRANSLATE(B34188,""en"",""fr"")"),"Il fait de la gymnastique sur certains équipements.")</f>
        <v>Il fait de la gymnastique sur certains équipements.</v>
      </c>
    </row>
    <row r="34189">
      <c r="A34189" s="4" t="s">
        <v>43025</v>
      </c>
      <c r="B34189" s="4" t="s">
        <v>43028</v>
      </c>
      <c r="C34189" s="5" t="str">
        <f>IFERROR(__xludf.DUMMYFUNCTION("GOOGLETRANSLATE(B34189,""en"",""fr"")"),"Les gens regardent depuis les tribunes.")</f>
        <v>Les gens regardent depuis les tribunes.</v>
      </c>
    </row>
    <row r="34190">
      <c r="A34190" s="4" t="s">
        <v>43025</v>
      </c>
      <c r="B34190" s="4" t="s">
        <v>43029</v>
      </c>
      <c r="C34190" s="5" t="str">
        <f>IFERROR(__xludf.DUMMYFUNCTION("GOOGLETRANSLATE(B34190,""en"",""fr"")"),"Il tourne son corps.")</f>
        <v>Il tourne son corps.</v>
      </c>
    </row>
    <row r="34191">
      <c r="A34191" s="4" t="s">
        <v>43030</v>
      </c>
      <c r="B34191" s="6" t="s">
        <v>43031</v>
      </c>
      <c r="C34191" s="5" t="str">
        <f>IFERROR(__xludf.DUMMYFUNCTION("GOOGLETRANSLATE(B34191,""en"",""fr"")"),"Deux personnes radeau d'eau blanche sur un plan d'eau rocheux et culminant dans des canoës étroits et avec des pagaies.")</f>
        <v>Deux personnes radeau d'eau blanche sur un plan d'eau rocheux et culminant dans des canoës étroits et avec des pagaies.</v>
      </c>
    </row>
    <row r="34192">
      <c r="A34192" s="4" t="s">
        <v>43030</v>
      </c>
      <c r="B34192" s="6" t="s">
        <v>43032</v>
      </c>
      <c r="C34192" s="5" t="str">
        <f>IFERROR(__xludf.DUMMYFUNCTION("GOOGLETRANSLATE(B34192,""en"",""fr"")"),"Une personne vêtue d'une tenue rouge et noire se tient dans un canoë rouge et commence à mettre un morceau d'équipement noir.")</f>
        <v>Une personne vêtue d'une tenue rouge et noire se tient dans un canoë rouge et commence à mettre un morceau d'équipement noir.</v>
      </c>
    </row>
    <row r="34193">
      <c r="A34193" s="4" t="s">
        <v>43030</v>
      </c>
      <c r="B34193" s="6" t="s">
        <v>43033</v>
      </c>
      <c r="C34193" s="5" t="str">
        <f>IFERROR(__xludf.DUMMYFUNCTION("GOOGLETRANSLATE(B34193,""en"",""fr"")"),"La personne en tenue rouge et noire commence à rafter dans le canoë rouge sur un plan d'eau tumultueux rempli de grosses rochers.")</f>
        <v>La personne en tenue rouge et noire commence à rafter dans le canoë rouge sur un plan d'eau tumultueux rempli de grosses rochers.</v>
      </c>
    </row>
    <row r="34194">
      <c r="A34194" s="4" t="s">
        <v>43030</v>
      </c>
      <c r="B34194" s="6" t="s">
        <v>43034</v>
      </c>
      <c r="C34194" s="5" t="str">
        <f>IFERROR(__xludf.DUMMYFUNCTION("GOOGLETRANSLATE(B34194,""en"",""fr"")"),"La personne en canoë rouge s'approche d'un autre canoë dans l'eau, celle bleue, le canoë rouge et le radeau de canoë bleu dans les eaux les uns des autres alors que la scène s'estompe en noir.")</f>
        <v>La personne en canoë rouge s'approche d'un autre canoë dans l'eau, celle bleue, le canoë rouge et le radeau de canoë bleu dans les eaux les uns des autres alors que la scène s'estompe en noir.</v>
      </c>
    </row>
    <row r="34195">
      <c r="A34195" s="4" t="s">
        <v>43035</v>
      </c>
      <c r="B34195" s="4" t="s">
        <v>43036</v>
      </c>
      <c r="C34195" s="5" t="str">
        <f>IFERROR(__xludf.DUMMYFUNCTION("GOOGLETRANSLATE(B34195,""en"",""fr"")"),"Les gens concourent des vélos sur une route cahoteuse.")</f>
        <v>Les gens concourent des vélos sur une route cahoteuse.</v>
      </c>
    </row>
    <row r="34196">
      <c r="A34196" s="4" t="s">
        <v>43035</v>
      </c>
      <c r="B34196" s="4" t="s">
        <v>43037</v>
      </c>
      <c r="C34196" s="5" t="str">
        <f>IFERROR(__xludf.DUMMYFUNCTION("GOOGLETRANSLATE(B34196,""en"",""fr"")"),"Une personne pulvérise de l'eau sur la route cahoteuse où les motards passent.")</f>
        <v>Une personne pulvérise de l'eau sur la route cahoteuse où les motards passent.</v>
      </c>
    </row>
    <row r="34197">
      <c r="A34197" s="4" t="s">
        <v>43035</v>
      </c>
      <c r="B34197" s="6" t="s">
        <v>43038</v>
      </c>
      <c r="C34197" s="5" t="str">
        <f>IFERROR(__xludf.DUMMYFUNCTION("GOOGLETRANSLATE(B34197,""en"",""fr"")"),"Un groupe de motards quitte la ligne de départ pour démarrer la compétition de motocross, tandis que d'autres groupes commencent à faire fonctionner le vélo.")</f>
        <v>Un groupe de motards quitte la ligne de départ pour démarrer la compétition de motocross, tandis que d'autres groupes commencent à faire fonctionner le vélo.</v>
      </c>
    </row>
    <row r="34198">
      <c r="A34198" s="4" t="s">
        <v>43035</v>
      </c>
      <c r="B34198" s="4" t="s">
        <v>43039</v>
      </c>
      <c r="C34198" s="5" t="str">
        <f>IFERROR(__xludf.DUMMYFUNCTION("GOOGLETRANSLATE(B34198,""en"",""fr"")"),"Une personne portant un haut blanc prend des photos aux motards.")</f>
        <v>Une personne portant un haut blanc prend des photos aux motards.</v>
      </c>
    </row>
    <row r="34199">
      <c r="A34199" s="4" t="s">
        <v>43035</v>
      </c>
      <c r="B34199" s="4" t="s">
        <v>43040</v>
      </c>
      <c r="C34199" s="5" t="str">
        <f>IFERROR(__xludf.DUMMYFUNCTION("GOOGLETRANSLATE(B34199,""en"",""fr"")"),"De nouveaux groupes de motards commencent à courir sur la route cahoteuse pour concourir les vélos.")</f>
        <v>De nouveaux groupes de motards commencent à courir sur la route cahoteuse pour concourir les vélos.</v>
      </c>
    </row>
    <row r="34200">
      <c r="A34200" s="4" t="s">
        <v>43041</v>
      </c>
      <c r="B34200" s="4" t="s">
        <v>43042</v>
      </c>
      <c r="C34200" s="5" t="str">
        <f>IFERROR(__xludf.DUMMYFUNCTION("GOOGLETRANSLATE(B34200,""en"",""fr"")"),"Un garçon porte des chaussures de saut pour rebondir devant un bâtiment et dans une aire de jeux.")</f>
        <v>Un garçon porte des chaussures de saut pour rebondir devant un bâtiment et dans une aire de jeux.</v>
      </c>
    </row>
    <row r="34201">
      <c r="A34201" s="4" t="s">
        <v>43041</v>
      </c>
      <c r="B34201" s="4" t="s">
        <v>43043</v>
      </c>
      <c r="C34201" s="5" t="str">
        <f>IFERROR(__xludf.DUMMYFUNCTION("GOOGLETRANSLATE(B34201,""en"",""fr"")"),"Ensuite, le garçon se lève les marches d'un bâtiment, puis faites de grands pas et sautez en haut.")</f>
        <v>Ensuite, le garçon se lève les marches d'un bâtiment, puis faites de grands pas et sautez en haut.</v>
      </c>
    </row>
    <row r="34202">
      <c r="A34202" s="4" t="s">
        <v>43041</v>
      </c>
      <c r="B34202" s="4" t="s">
        <v>43044</v>
      </c>
      <c r="C34202" s="5" t="str">
        <f>IFERROR(__xludf.DUMMYFUNCTION("GOOGLETRANSLATE(B34202,""en"",""fr"")"),"Une famille de quatre personnes attend le garçon pour passer la rue.")</f>
        <v>Une famille de quatre personnes attend le garçon pour passer la rue.</v>
      </c>
    </row>
    <row r="34203">
      <c r="A34203" s="4" t="s">
        <v>43041</v>
      </c>
      <c r="B34203" s="4" t="s">
        <v>43045</v>
      </c>
      <c r="C34203" s="5" t="str">
        <f>IFERROR(__xludf.DUMMYFUNCTION("GOOGLETRANSLATE(B34203,""en"",""fr"")"),"Ensuite, le garçon revient sur le terrain de jeu et saute par-dessus une pierre.")</f>
        <v>Ensuite, le garçon revient sur le terrain de jeu et saute par-dessus une pierre.</v>
      </c>
    </row>
    <row r="34204">
      <c r="A34204" s="4" t="s">
        <v>43041</v>
      </c>
      <c r="B34204" s="4" t="s">
        <v>43046</v>
      </c>
      <c r="C34204" s="5" t="str">
        <f>IFERROR(__xludf.DUMMYFUNCTION("GOOGLETRANSLATE(B34204,""en"",""fr"")"),"Après, le garçon saute haut dans la rue jusqu'à ce qu'il arrive dans un parking.")</f>
        <v>Après, le garçon saute haut dans la rue jusqu'à ce qu'il arrive dans un parking.</v>
      </c>
    </row>
    <row r="34205">
      <c r="A34205" s="4" t="s">
        <v>43047</v>
      </c>
      <c r="B34205" s="4" t="s">
        <v>20672</v>
      </c>
      <c r="C34205" s="5" t="str">
        <f>IFERROR(__xludf.DUMMYFUNCTION("GOOGLETRANSLATE(B34205,""en"",""fr"")"),"Une fille saute sur un faisceau d'équilibre.")</f>
        <v>Une fille saute sur un faisceau d'équilibre.</v>
      </c>
    </row>
    <row r="34206">
      <c r="A34206" s="4" t="s">
        <v>43047</v>
      </c>
      <c r="B34206" s="4" t="s">
        <v>32035</v>
      </c>
      <c r="C34206" s="5" t="str">
        <f>IFERROR(__xludf.DUMMYFUNCTION("GOOGLETRANSLATE(B34206,""en"",""fr"")"),"Elle fait une routine de gymnastique sur la poutre d'équilibre.")</f>
        <v>Elle fait une routine de gymnastique sur la poutre d'équilibre.</v>
      </c>
    </row>
    <row r="34207">
      <c r="A34207" s="4" t="s">
        <v>43047</v>
      </c>
      <c r="B34207" s="4" t="s">
        <v>43048</v>
      </c>
      <c r="C34207" s="5" t="str">
        <f>IFERROR(__xludf.DUMMYFUNCTION("GOOGLETRANSLATE(B34207,""en"",""fr"")"),"Elle démonte et atterrit sur le tapis avec ses bras.")</f>
        <v>Elle démonte et atterrit sur le tapis avec ses bras.</v>
      </c>
    </row>
    <row r="34208">
      <c r="A34208" s="4" t="s">
        <v>43049</v>
      </c>
      <c r="B34208" s="4" t="s">
        <v>43050</v>
      </c>
      <c r="C34208" s="5" t="str">
        <f>IFERROR(__xludf.DUMMYFUNCTION("GOOGLETRANSLATE(B34208,""en"",""fr"")"),"Nous voyons une fille donner des coups de pied et s'asseoir.")</f>
        <v>Nous voyons une fille donner des coups de pied et s'asseoir.</v>
      </c>
    </row>
    <row r="34209">
      <c r="A34209" s="4" t="s">
        <v>43049</v>
      </c>
      <c r="B34209" s="4" t="s">
        <v>43051</v>
      </c>
      <c r="C34209" s="5" t="str">
        <f>IFERROR(__xludf.DUMMYFUNCTION("GOOGLETRANSLATE(B34209,""en"",""fr"")"),"Un garçon la rejoint et ils mangent de la glace.")</f>
        <v>Un garçon la rejoint et ils mangent de la glace.</v>
      </c>
    </row>
    <row r="34210">
      <c r="A34210" s="4" t="s">
        <v>43049</v>
      </c>
      <c r="B34210" s="4" t="s">
        <v>43052</v>
      </c>
      <c r="C34210" s="5" t="str">
        <f>IFERROR(__xludf.DUMMYFUNCTION("GOOGLETRANSLATE(B34210,""en"",""fr"")"),"Le garçon met son cône devant la caméra.")</f>
        <v>Le garçon met son cône devant la caméra.</v>
      </c>
    </row>
    <row r="34211">
      <c r="A34211" s="4" t="s">
        <v>43049</v>
      </c>
      <c r="B34211" s="4" t="s">
        <v>43053</v>
      </c>
      <c r="C34211" s="5" t="str">
        <f>IFERROR(__xludf.DUMMYFUNCTION("GOOGLETRANSLATE(B34211,""en"",""fr"")"),"Le garçon lèche sauvagement sa glace.")</f>
        <v>Le garçon lèche sauvagement sa glace.</v>
      </c>
    </row>
    <row r="34212">
      <c r="A34212" s="4" t="s">
        <v>43049</v>
      </c>
      <c r="B34212" s="4" t="s">
        <v>43054</v>
      </c>
      <c r="C34212" s="5" t="str">
        <f>IFERROR(__xludf.DUMMYFUNCTION("GOOGLETRANSLATE(B34212,""en"",""fr"")"),"Un garçon jette quelque chose au garçon avec de la glace.")</f>
        <v>Un garçon jette quelque chose au garçon avec de la glace.</v>
      </c>
    </row>
    <row r="34213">
      <c r="A34213" s="4" t="s">
        <v>43055</v>
      </c>
      <c r="B34213" s="4" t="s">
        <v>43056</v>
      </c>
      <c r="C34213" s="5" t="str">
        <f>IFERROR(__xludf.DUMMYFUNCTION("GOOGLETRANSLATE(B34213,""en"",""fr"")"),"Un garçon boit quelque chose dans une petite tasse dans une salle de bain.")</f>
        <v>Un garçon boit quelque chose dans une petite tasse dans une salle de bain.</v>
      </c>
    </row>
    <row r="34214">
      <c r="A34214" s="4" t="s">
        <v>43055</v>
      </c>
      <c r="B34214" s="4" t="s">
        <v>43057</v>
      </c>
      <c r="C34214" s="5" t="str">
        <f>IFERROR(__xludf.DUMMYFUNCTION("GOOGLETRANSLATE(B34214,""en"",""fr"")"),"Le garçon court dans la pièce et saute sur le lit.")</f>
        <v>Le garçon court dans la pièce et saute sur le lit.</v>
      </c>
    </row>
    <row r="34215">
      <c r="A34215" s="4" t="s">
        <v>43055</v>
      </c>
      <c r="B34215" s="4" t="s">
        <v>43058</v>
      </c>
      <c r="C34215" s="5" t="str">
        <f>IFERROR(__xludf.DUMMYFUNCTION("GOOGLETRANSLATE(B34215,""en"",""fr"")"),"Le garçon avale l'objet dans sa bouche et couvre sa bouche avec ses mains.")</f>
        <v>Le garçon avale l'objet dans sa bouche et couvre sa bouche avec ses mains.</v>
      </c>
    </row>
    <row r="34216">
      <c r="A34216" s="4" t="s">
        <v>43059</v>
      </c>
      <c r="B34216" s="4" t="s">
        <v>43060</v>
      </c>
      <c r="C34216" s="5" t="str">
        <f>IFERROR(__xludf.DUMMYFUNCTION("GOOGLETRANSLATE(B34216,""en"",""fr"")"),"Une personne est vue assise le long de l'eau dans un kayak tenant une pagaie.")</f>
        <v>Une personne est vue assise le long de l'eau dans un kayak tenant une pagaie.</v>
      </c>
    </row>
    <row r="34217">
      <c r="A34217" s="4" t="s">
        <v>43059</v>
      </c>
      <c r="B34217" s="4" t="s">
        <v>43061</v>
      </c>
      <c r="C34217" s="5" t="str">
        <f>IFERROR(__xludf.DUMMYFUNCTION("GOOGLETRANSLATE(B34217,""en"",""fr"")"),"La personne commence alors à se déplacer le long de l'eau dans le kayak.")</f>
        <v>La personne commence alors à se déplacer le long de l'eau dans le kayak.</v>
      </c>
    </row>
    <row r="34218">
      <c r="A34218" s="4" t="s">
        <v>43059</v>
      </c>
      <c r="B34218" s="4" t="s">
        <v>43062</v>
      </c>
      <c r="C34218" s="5" t="str">
        <f>IFERROR(__xludf.DUMMYFUNCTION("GOOGLETRANSLATE(B34218,""en"",""fr"")"),"La personne continue de pagayer et est ensuite tirée par une corde et ses bras en applaudissant.")</f>
        <v>La personne continue de pagayer et est ensuite tirée par une corde et ses bras en applaudissant.</v>
      </c>
    </row>
    <row r="34219">
      <c r="A34219" s="4" t="s">
        <v>43063</v>
      </c>
      <c r="B34219" s="6" t="s">
        <v>43064</v>
      </c>
      <c r="C34219" s="5" t="str">
        <f>IFERROR(__xludf.DUMMYFUNCTION("GOOGLETRANSLATE(B34219,""en"",""fr"")"),"Un grand groupe de personnes est vue dans divers domaines d'un bâtiment tandis que certains s'inscrivent pour une course.")</f>
        <v>Un grand groupe de personnes est vue dans divers domaines d'un bâtiment tandis que certains s'inscrivent pour une course.</v>
      </c>
    </row>
    <row r="34220">
      <c r="A34220" s="4" t="s">
        <v>43063</v>
      </c>
      <c r="B34220" s="4" t="s">
        <v>43065</v>
      </c>
      <c r="C34220" s="5" t="str">
        <f>IFERROR(__xludf.DUMMYFUNCTION("GOOGLETRANSLATE(B34220,""en"",""fr"")"),"Les gens s'assoient autour d'une piste et mène à de petits enfants effectuant plusieurs sauts en longueur.")</f>
        <v>Les gens s'assoient autour d'une piste et mène à de petits enfants effectuant plusieurs sauts en longueur.</v>
      </c>
    </row>
    <row r="34221">
      <c r="A34221" s="4" t="s">
        <v>43063</v>
      </c>
      <c r="B34221" s="4" t="s">
        <v>43066</v>
      </c>
      <c r="C34221" s="5" t="str">
        <f>IFERROR(__xludf.DUMMYFUNCTION("GOOGLETRANSLATE(B34221,""en"",""fr"")"),"Un homme plus âgé annonce des prix à la fin et les gagnants se tiennent et obtiennent leurs rubans.")</f>
        <v>Un homme plus âgé annonce des prix à la fin et les gagnants se tiennent et obtiennent leurs rubans.</v>
      </c>
    </row>
    <row r="34222">
      <c r="A34222" s="4" t="s">
        <v>43067</v>
      </c>
      <c r="B34222" s="4" t="s">
        <v>43068</v>
      </c>
      <c r="C34222" s="5" t="str">
        <f>IFERROR(__xludf.DUMMYFUNCTION("GOOGLETRANSLATE(B34222,""en"",""fr"")"),"Un grille-pain Breville blanc est assis sur un comptoir en cours de bouche.")</f>
        <v>Un grille-pain Breville blanc est assis sur un comptoir en cours de bouche.</v>
      </c>
    </row>
    <row r="34223">
      <c r="A34223" s="4" t="s">
        <v>43067</v>
      </c>
      <c r="B34223" s="4" t="s">
        <v>43069</v>
      </c>
      <c r="C34223" s="5" t="str">
        <f>IFERROR(__xludf.DUMMYFUNCTION("GOOGLETRANSLATE(B34223,""en"",""fr"")"),"Devant le grille-pain, un bloc de crème blanche et une banane est assise sur une assiette blanche.")</f>
        <v>Devant le grille-pain, un bloc de crème blanche et une banane est assise sur une assiette blanche.</v>
      </c>
    </row>
    <row r="34224">
      <c r="A34224" s="4" t="s">
        <v>43067</v>
      </c>
      <c r="B34224" s="4" t="s">
        <v>43070</v>
      </c>
      <c r="C34224" s="5" t="str">
        <f>IFERROR(__xludf.DUMMYFUNCTION("GOOGLETRANSLATE(B34224,""en"",""fr"")"),"Ensuite, deux tranches de pain sont dans le grille-pain qui montent et descendent.")</f>
        <v>Ensuite, deux tranches de pain sont dans le grille-pain qui montent et descendent.</v>
      </c>
    </row>
    <row r="34225">
      <c r="A34225" s="4" t="s">
        <v>43067</v>
      </c>
      <c r="B34225" s="6" t="s">
        <v>43071</v>
      </c>
      <c r="C34225" s="5" t="str">
        <f>IFERROR(__xludf.DUMMYFUNCTION("GOOGLETRANSLATE(B34225,""en"",""fr"")"),"Une fois le pain terminé, il est mis sur l'assiette et la tartinade est mise sur les deux tranches du brad, la banane est coupée et mise sur le pain est placée sur les bananes.")</f>
        <v>Une fois le pain terminé, il est mis sur l'assiette et la tartinade est mise sur les deux tranches du brad, la banane est coupée et mise sur le pain est placée sur les bananes.</v>
      </c>
    </row>
    <row r="34226">
      <c r="A34226" s="4" t="s">
        <v>43067</v>
      </c>
      <c r="B34226" s="4" t="s">
        <v>43072</v>
      </c>
      <c r="C34226" s="5" t="str">
        <f>IFERROR(__xludf.DUMMYFUNCTION("GOOGLETRANSLATE(B34226,""en"",""fr"")"),"Maintenant, le sandwich est coupé à moitié et la personne commence à la manger.")</f>
        <v>Maintenant, le sandwich est coupé à moitié et la personne commence à la manger.</v>
      </c>
    </row>
    <row r="34227">
      <c r="A34227" s="4" t="s">
        <v>43073</v>
      </c>
      <c r="B34227" s="4" t="s">
        <v>43074</v>
      </c>
      <c r="C34227" s="5" t="str">
        <f>IFERROR(__xludf.DUMMYFUNCTION("GOOGLETRANSLATE(B34227,""en"",""fr"")"),"Un homme plus âgé est vu à genoux au milieu d'une salle de sport avec plusieurs personnes autour de lui.")</f>
        <v>Un homme plus âgé est vu à genoux au milieu d'une salle de sport avec plusieurs personnes autour de lui.</v>
      </c>
    </row>
    <row r="34228">
      <c r="A34228" s="4" t="s">
        <v>43073</v>
      </c>
      <c r="B34228" s="4" t="s">
        <v>43075</v>
      </c>
      <c r="C34228" s="5" t="str">
        <f>IFERROR(__xludf.DUMMYFUNCTION("GOOGLETRANSLATE(B34228,""en"",""fr"")"),"L'homme tire sur un équipement d'exercice travaillant ses bras en arrière et quatrième.")</f>
        <v>L'homme tire sur un équipement d'exercice travaillant ses bras en arrière et quatrième.</v>
      </c>
    </row>
    <row r="34229">
      <c r="A34229" s="4" t="s">
        <v>43076</v>
      </c>
      <c r="B34229" s="4" t="s">
        <v>43077</v>
      </c>
      <c r="C34229" s="5" t="str">
        <f>IFERROR(__xludf.DUMMYFUNCTION("GOOGLETRANSLATE(B34229,""en"",""fr"")"),"Une femme est vue assise dans un cabinet de médecin avec un médecin qui lui parle et la caméra.")</f>
        <v>Une femme est vue assise dans un cabinet de médecin avec un médecin qui lui parle et la caméra.</v>
      </c>
    </row>
    <row r="34230">
      <c r="A34230" s="4" t="s">
        <v>43076</v>
      </c>
      <c r="B34230" s="4" t="s">
        <v>43078</v>
      </c>
      <c r="C34230" s="5" t="str">
        <f>IFERROR(__xludf.DUMMYFUNCTION("GOOGLETRANSLATE(B34230,""en"",""fr"")"),"Le médecin tient ensuite un objet à la lèvre de la fille.")</f>
        <v>Le médecin tient ensuite un objet à la lèvre de la fille.</v>
      </c>
    </row>
    <row r="34231">
      <c r="A34231" s="4" t="s">
        <v>43076</v>
      </c>
      <c r="B34231" s="4" t="s">
        <v>43079</v>
      </c>
      <c r="C34231" s="5" t="str">
        <f>IFERROR(__xludf.DUMMYFUNCTION("GOOGLETRANSLATE(B34231,""en"",""fr"")"),"Enfin, l'homme perce la lèvre des filles et lui sourit.")</f>
        <v>Enfin, l'homme perce la lèvre des filles et lui sourit.</v>
      </c>
    </row>
    <row r="34232">
      <c r="A34232" s="4" t="s">
        <v>43080</v>
      </c>
      <c r="B34232" s="4" t="s">
        <v>43081</v>
      </c>
      <c r="C34232" s="5" t="str">
        <f>IFERROR(__xludf.DUMMYFUNCTION("GOOGLETRANSLATE(B34232,""en"",""fr"")"),"Un garçon se tient sur un podium, parlant dans un microphone.")</f>
        <v>Un garçon se tient sur un podium, parlant dans un microphone.</v>
      </c>
    </row>
    <row r="34233">
      <c r="A34233" s="4" t="s">
        <v>43080</v>
      </c>
      <c r="B34233" s="4" t="s">
        <v>43082</v>
      </c>
      <c r="C34233" s="5" t="str">
        <f>IFERROR(__xludf.DUMMYFUNCTION("GOOGLETRANSLATE(B34233,""en"",""fr"")"),"Un groupe de filles est sur scène ensemble.")</f>
        <v>Un groupe de filles est sur scène ensemble.</v>
      </c>
    </row>
    <row r="34234">
      <c r="A34234" s="4" t="s">
        <v>43080</v>
      </c>
      <c r="B34234" s="4" t="s">
        <v>43083</v>
      </c>
      <c r="C34234" s="5" t="str">
        <f>IFERROR(__xludf.DUMMYFUNCTION("GOOGLETRANSLATE(B34234,""en"",""fr"")"),"Ils commencent à danser tout en utilisant Hula Hoops.")</f>
        <v>Ils commencent à danser tout en utilisant Hula Hoops.</v>
      </c>
    </row>
    <row r="34235">
      <c r="A34235" s="4" t="s">
        <v>43080</v>
      </c>
      <c r="B34235" s="4" t="s">
        <v>43084</v>
      </c>
      <c r="C34235" s="5" t="str">
        <f>IFERROR(__xludf.DUMMYFUNCTION("GOOGLETRANSLATE(B34235,""en"",""fr"")"),"Quand ils terminent, une fille rassemble les cerceaux et la foule applaudit à mesure que le rideau se ferme.")</f>
        <v>Quand ils terminent, une fille rassemble les cerceaux et la foule applaudit à mesure que le rideau se ferme.</v>
      </c>
    </row>
    <row r="34236">
      <c r="A34236" s="4" t="s">
        <v>43085</v>
      </c>
      <c r="B34236" s="4" t="s">
        <v>43086</v>
      </c>
      <c r="C34236" s="5" t="str">
        <f>IFERROR(__xludf.DUMMYFUNCTION("GOOGLETRANSLATE(B34236,""en"",""fr"")"),"Une femme est vue assise par terre tout en tenant un chat et en coupant ses griffes.")</f>
        <v>Une femme est vue assise par terre tout en tenant un chat et en coupant ses griffes.</v>
      </c>
    </row>
    <row r="34237">
      <c r="A34237" s="4" t="s">
        <v>43085</v>
      </c>
      <c r="B34237" s="6" t="s">
        <v>43087</v>
      </c>
      <c r="C34237" s="5" t="str">
        <f>IFERROR(__xludf.DUMMYFUNCTION("GOOGLETRANSLATE(B34237,""en"",""fr"")"),"La femme continue de tenir le chat coupant ses griffes, puis se lève et s'enfuit à la fin.")</f>
        <v>La femme continue de tenir le chat coupant ses griffes, puis se lève et s'enfuit à la fin.</v>
      </c>
    </row>
    <row r="34238">
      <c r="A34238" s="4" t="s">
        <v>43088</v>
      </c>
      <c r="B34238" s="4" t="s">
        <v>43089</v>
      </c>
      <c r="C34238" s="5" t="str">
        <f>IFERROR(__xludf.DUMMYFUNCTION("GOOGLETRANSLATE(B34238,""en"",""fr"")"),"Les mots «gymnastique artistique pour femmes (WAG)» apparaissent sur un écran rouge.")</f>
        <v>Les mots «gymnastique artistique pour femmes (WAG)» apparaissent sur un écran rouge.</v>
      </c>
    </row>
    <row r="34239">
      <c r="A34239" s="4" t="s">
        <v>43088</v>
      </c>
      <c r="B34239" s="4" t="s">
        <v>43090</v>
      </c>
      <c r="C34239" s="5" t="str">
        <f>IFERROR(__xludf.DUMMYFUNCTION("GOOGLETRANSLATE(B34239,""en"",""fr"")"),"""Code des points 2013-2016"" apparaissent brièvement.")</f>
        <v>"Code des points 2013-2016" apparaissent brièvement.</v>
      </c>
    </row>
    <row r="34240">
      <c r="A34240" s="4" t="s">
        <v>43088</v>
      </c>
      <c r="B34240" s="4" t="s">
        <v>43091</v>
      </c>
      <c r="C34240" s="5" t="str">
        <f>IFERROR(__xludf.DUMMYFUNCTION("GOOGLETRANSLATE(B34240,""en"",""fr"")"),"Des clips de Chellsie Memmel effectuant des essais olympiques de gymnastique sont présentés.")</f>
        <v>Des clips de Chellsie Memmel effectuant des essais olympiques de gymnastique sont présentés.</v>
      </c>
    </row>
    <row r="34241">
      <c r="A34241" s="4" t="s">
        <v>43088</v>
      </c>
      <c r="B34241" s="4" t="s">
        <v>43092</v>
      </c>
      <c r="C34241" s="5" t="str">
        <f>IFERROR(__xludf.DUMMYFUNCTION("GOOGLETRANSLATE(B34241,""en"",""fr"")"),"Diverses statistiques de sa performance sont affichées à l'écran.")</f>
        <v>Diverses statistiques de sa performance sont affichées à l'écran.</v>
      </c>
    </row>
    <row r="34242">
      <c r="A34242" s="4" t="s">
        <v>43093</v>
      </c>
      <c r="B34242" s="4" t="s">
        <v>43094</v>
      </c>
      <c r="C34242" s="5" t="str">
        <f>IFERROR(__xludf.DUMMYFUNCTION("GOOGLETRANSLATE(B34242,""en"",""fr"")"),"Cette femme fait un tutoriel à ongles sur la façon de créer des ongles de chat Nyan.")</f>
        <v>Cette femme fait un tutoriel à ongles sur la façon de créer des ongles de chat Nyan.</v>
      </c>
    </row>
    <row r="34243">
      <c r="A34243" s="4" t="s">
        <v>43093</v>
      </c>
      <c r="B34243" s="4" t="s">
        <v>43095</v>
      </c>
      <c r="C34243" s="5" t="str">
        <f>IFERROR(__xludf.DUMMYFUNCTION("GOOGLETRANSLATE(B34243,""en"",""fr"")"),"Peignez d'abord tous vos ongles en bleu et faites une grosse bande blanche sur eux et parsemez de petites étoiles.")</f>
        <v>Peignez d'abord tous vos ongles en bleu et faites une grosse bande blanche sur eux et parsemez de petites étoiles.</v>
      </c>
    </row>
    <row r="34244">
      <c r="A34244" s="4" t="s">
        <v>43093</v>
      </c>
      <c r="B34244" s="6" t="s">
        <v>43096</v>
      </c>
      <c r="C34244" s="5" t="str">
        <f>IFERROR(__xludf.DUMMYFUNCTION("GOOGLETRANSLATE(B34244,""en"",""fr"")"),"Ensuite, utilisez un petit pinceau pour mettre des couleurs arc-en-ciel, puis utilisez un sac à sandwich en plastique pour faire Nyan Cat et elle le pousse sur son ongle.")</f>
        <v>Ensuite, utilisez un petit pinceau pour mettre des couleurs arc-en-ciel, puis utilisez un sac à sandwich en plastique pour faire Nyan Cat et elle le pousse sur son ongle.</v>
      </c>
    </row>
    <row r="34245">
      <c r="A34245" s="4" t="s">
        <v>43097</v>
      </c>
      <c r="B34245" s="4" t="s">
        <v>43098</v>
      </c>
      <c r="C34245" s="5" t="str">
        <f>IFERROR(__xludf.DUMMYFUNCTION("GOOGLETRANSLATE(B34245,""en"",""fr"")"),"Une dame discute et plie une serviette.")</f>
        <v>Une dame discute et plie une serviette.</v>
      </c>
    </row>
    <row r="34246">
      <c r="A34246" s="4" t="s">
        <v>43097</v>
      </c>
      <c r="B34246" s="4" t="s">
        <v>43099</v>
      </c>
      <c r="C34246" s="5" t="str">
        <f>IFERROR(__xludf.DUMMYFUNCTION("GOOGLETRANSLATE(B34246,""en"",""fr"")"),"La dame se lave le visage avec une poudre d'une boîte.")</f>
        <v>La dame se lave le visage avec une poudre d'une boîte.</v>
      </c>
    </row>
    <row r="34247">
      <c r="A34247" s="4" t="s">
        <v>43097</v>
      </c>
      <c r="B34247" s="4" t="s">
        <v>43100</v>
      </c>
      <c r="C34247" s="5" t="str">
        <f>IFERROR(__xludf.DUMMYFUNCTION("GOOGLETRANSLATE(B34247,""en"",""fr"")"),"La dame rince son visage et utilise une serviette pour sécher.")</f>
        <v>La dame rince son visage et utilise une serviette pour sécher.</v>
      </c>
    </row>
    <row r="34248">
      <c r="A34248" s="4" t="s">
        <v>43101</v>
      </c>
      <c r="B34248" s="4" t="s">
        <v>43102</v>
      </c>
      <c r="C34248" s="5" t="str">
        <f>IFERROR(__xludf.DUMMYFUNCTION("GOOGLETRANSLATE(B34248,""en"",""fr"")"),"Une femme essayant d'instruire la façon de Big Bang Theory de jouer à Rock Paper Scissors Lizard Spock.")</f>
        <v>Une femme essayant d'instruire la façon de Big Bang Theory de jouer à Rock Paper Scissors Lizard Spock.</v>
      </c>
    </row>
    <row r="34249">
      <c r="A34249" s="4" t="s">
        <v>43101</v>
      </c>
      <c r="B34249" s="4" t="s">
        <v>43103</v>
      </c>
      <c r="C34249" s="5" t="str">
        <f>IFERROR(__xludf.DUMMYFUNCTION("GOOGLETRANSLATE(B34249,""en"",""fr"")"),"Il montre un petit clip de Sheldon de Big Bang Theory en réellement.")</f>
        <v>Il montre un petit clip de Sheldon de Big Bang Theory en réellement.</v>
      </c>
    </row>
    <row r="34250">
      <c r="A34250" s="4" t="s">
        <v>43101</v>
      </c>
      <c r="B34250" s="4" t="s">
        <v>43104</v>
      </c>
      <c r="C34250" s="5" t="str">
        <f>IFERROR(__xludf.DUMMYFUNCTION("GOOGLETRANSLATE(B34250,""en"",""fr"")"),"Ensuite, elle essaie de le démontrer plusieurs fois pour les téléspectateurs.")</f>
        <v>Ensuite, elle essaie de le démontrer plusieurs fois pour les téléspectateurs.</v>
      </c>
    </row>
    <row r="34251">
      <c r="A34251" s="4" t="s">
        <v>43101</v>
      </c>
      <c r="B34251" s="4" t="s">
        <v>43105</v>
      </c>
      <c r="C34251" s="5" t="str">
        <f>IFERROR(__xludf.DUMMYFUNCTION("GOOGLETRANSLATE(B34251,""en"",""fr"")"),"À la fin, elle sourit et la termine par une autre image de la théorie du Big Bang.")</f>
        <v>À la fin, elle sourit et la termine par une autre image de la théorie du Big Bang.</v>
      </c>
    </row>
    <row r="34252">
      <c r="A34252" s="4" t="s">
        <v>43106</v>
      </c>
      <c r="B34252" s="4" t="s">
        <v>1251</v>
      </c>
      <c r="C34252" s="5" t="str">
        <f>IFERROR(__xludf.DUMMYFUNCTION("GOOGLETRANSLATE(B34252,""en"",""fr"")"),"Les crédits du clip sont affichés.")</f>
        <v>Les crédits du clip sont affichés.</v>
      </c>
    </row>
    <row r="34253">
      <c r="A34253" s="4" t="s">
        <v>43106</v>
      </c>
      <c r="B34253" s="4" t="s">
        <v>43107</v>
      </c>
      <c r="C34253" s="5" t="str">
        <f>IFERROR(__xludf.DUMMYFUNCTION("GOOGLETRANSLATE(B34253,""en"",""fr"")"),"Un homme balance un objet métallique de main en main.")</f>
        <v>Un homme balance un objet métallique de main en main.</v>
      </c>
    </row>
    <row r="34254">
      <c r="A34254" s="4" t="s">
        <v>43106</v>
      </c>
      <c r="B34254" s="4" t="s">
        <v>43108</v>
      </c>
      <c r="C34254" s="5" t="str">
        <f>IFERROR(__xludf.DUMMYFUNCTION("GOOGLETRANSLATE(B34254,""en"",""fr"")"),"L'homme tourne et libère un objet derrière lui, et les crédits de la vidéo sont affichés.")</f>
        <v>L'homme tourne et libère un objet derrière lui, et les crédits de la vidéo sont affichés.</v>
      </c>
    </row>
    <row r="34255">
      <c r="A34255" s="4" t="s">
        <v>43109</v>
      </c>
      <c r="B34255" s="4" t="s">
        <v>43110</v>
      </c>
      <c r="C34255" s="5" t="str">
        <f>IFERROR(__xludf.DUMMYFUNCTION("GOOGLETRANSLATE(B34255,""en"",""fr"")"),"Un homme et une femme se tiennent dans une cuisine derrière une île avec des fruits sur eux.")</f>
        <v>Un homme et une femme se tiennent dans une cuisine derrière une île avec des fruits sur eux.</v>
      </c>
    </row>
    <row r="34256">
      <c r="A34256" s="4" t="s">
        <v>43109</v>
      </c>
      <c r="B34256" s="6" t="s">
        <v>43111</v>
      </c>
      <c r="C34256" s="5" t="str">
        <f>IFERROR(__xludf.DUMMYFUNCTION("GOOGLETRANSLATE(B34256,""en"",""fr"")"),"Une fois que le mâle a fini de parler, la femme commence à griller un légume et à couper une orange en deux.")</f>
        <v>Une fois que le mâle a fini de parler, la femme commence à griller un légume et à couper une orange en deux.</v>
      </c>
    </row>
    <row r="34257">
      <c r="A34257" s="4" t="s">
        <v>43109</v>
      </c>
      <c r="B34257" s="6" t="s">
        <v>43112</v>
      </c>
      <c r="C34257" s="5" t="str">
        <f>IFERROR(__xludf.DUMMYFUNCTION("GOOGLETRANSLATE(B34257,""en"",""fr"")"),"Elle serre ensuite l'orange dans un bol en verre transparent et l'assaisonner et le mélanger avec les ingrédients précédemment coupés.")</f>
        <v>Elle serre ensuite l'orange dans un bol en verre transparent et l'assaisonner et le mélanger avec les ingrédients précédemment coupés.</v>
      </c>
    </row>
    <row r="34258">
      <c r="A34258" s="4" t="s">
        <v>43113</v>
      </c>
      <c r="B34258" s="4" t="s">
        <v>43114</v>
      </c>
      <c r="C34258" s="5" t="str">
        <f>IFERROR(__xludf.DUMMYFUNCTION("GOOGLETRANSLATE(B34258,""en"",""fr"")"),"Une personne est vue à la recherche de la caméra en plusieurs coups ainsi qu'à un gros plan de vélo de saleté.")</f>
        <v>Une personne est vue à la recherche de la caméra en plusieurs coups ainsi qu'à un gros plan de vélo de saleté.</v>
      </c>
    </row>
    <row r="34259">
      <c r="A34259" s="4" t="s">
        <v>43113</v>
      </c>
      <c r="B34259" s="4" t="s">
        <v>43115</v>
      </c>
      <c r="C34259" s="5" t="str">
        <f>IFERROR(__xludf.DUMMYFUNCTION("GOOGLETRANSLATE(B34259,""en"",""fr"")"),"Les gens sont ensuite montrés dans plusieurs plans roulant sur une piste et effectuant des tours.")</f>
        <v>Les gens sont ensuite montrés dans plusieurs plans roulant sur une piste et effectuant des tours.</v>
      </c>
    </row>
    <row r="34260">
      <c r="A34260" s="4" t="s">
        <v>43113</v>
      </c>
      <c r="B34260" s="4" t="s">
        <v>43116</v>
      </c>
      <c r="C34260" s="5" t="str">
        <f>IFERROR(__xludf.DUMMYFUNCTION("GOOGLETRANSLATE(B34260,""en"",""fr"")"),"Les hommes roulent autour des zones boisées ainsi que des pistes dans de nombreux tirs.")</f>
        <v>Les hommes roulent autour des zones boisées ainsi que des pistes dans de nombreux tirs.</v>
      </c>
    </row>
    <row r="34261">
      <c r="A34261" s="4" t="s">
        <v>43117</v>
      </c>
      <c r="B34261" s="6" t="s">
        <v>43118</v>
      </c>
      <c r="C34261" s="5" t="str">
        <f>IFERROR(__xludf.DUMMYFUNCTION("GOOGLETRANSLATE(B34261,""en"",""fr"")"),"Il y a beaucoup de personnes différentes dans la piscine nageant et les mots ""Speedo How to Guide Series How to 'Breather' pendant votre natation en eau libre"" apparaissent à l'écran.")</f>
        <v>Il y a beaucoup de personnes différentes dans la piscine nageant et les mots "Speedo How to Guide Series How to 'Breather' pendant votre natation en eau libre" apparaissent à l'écran.</v>
      </c>
    </row>
    <row r="34262">
      <c r="A34262" s="4" t="s">
        <v>43117</v>
      </c>
      <c r="B34262" s="6" t="s">
        <v>43119</v>
      </c>
      <c r="C34262" s="5" t="str">
        <f>IFERROR(__xludf.DUMMYFUNCTION("GOOGLETRANSLATE(B34262,""en"",""fr"")"),"Une jeune femme en maillot de bain et un bonnet de douche est assis sur le côté de la piscine à parler tandis que des clips de sa natation sont représentés, et son nom est Keri-Anne Payne et est la médaillée olympique en argent en eau libre de 10 km.")</f>
        <v>Une jeune femme en maillot de bain et un bonnet de douche est assis sur le côté de la piscine à parler tandis que des clips de sa natation sont représentés, et son nom est Keri-Anne Payne et est la médaillée olympique en argent en eau libre de 10 km.</v>
      </c>
    </row>
    <row r="34263">
      <c r="A34263" s="4" t="s">
        <v>43117</v>
      </c>
      <c r="B34263" s="4" t="s">
        <v>43120</v>
      </c>
      <c r="C34263" s="5" t="str">
        <f>IFERROR(__xludf.DUMMYFUNCTION("GOOGLETRANSLATE(B34263,""en"",""fr"")"),"L'Undro apparaît et c'est un écran noir avec un logo Speedo et le mot speedo.")</f>
        <v>L'Undro apparaît et c'est un écran noir avec un logo Speedo et le mot speedo.</v>
      </c>
    </row>
    <row r="34264">
      <c r="A34264" s="4" t="s">
        <v>43121</v>
      </c>
      <c r="B34264" s="6" t="s">
        <v>43122</v>
      </c>
      <c r="C34264" s="5" t="str">
        <f>IFERROR(__xludf.DUMMYFUNCTION("GOOGLETRANSLATE(B34264,""en"",""fr"")"),"Une intro mène à plusieurs clips de personnes qui montent sur des chevaux jetant une corde et saisissant des veaux au milieu d'une fosse.")</f>
        <v>Une intro mène à plusieurs clips de personnes qui montent sur des chevaux jetant une corde et saisissant des veaux au milieu d'une fosse.</v>
      </c>
    </row>
    <row r="34265">
      <c r="A34265" s="4" t="s">
        <v>43121</v>
      </c>
      <c r="B34265" s="6" t="s">
        <v>43123</v>
      </c>
      <c r="C34265" s="5" t="str">
        <f>IFERROR(__xludf.DUMMYFUNCTION("GOOGLETRANSLATE(B34265,""en"",""fr"")"),"Plus de clips sont illustrés par des gens qui se conduisent dans la fosse et se terminant par des photos de personnes qui se produisent.")</f>
        <v>Plus de clips sont illustrés par des gens qui se conduisent dans la fosse et se terminant par des photos de personnes qui se produisent.</v>
      </c>
    </row>
    <row r="34266">
      <c r="A34266" s="4" t="s">
        <v>43124</v>
      </c>
      <c r="B34266" s="4" t="s">
        <v>43125</v>
      </c>
      <c r="C34266" s="5" t="str">
        <f>IFERROR(__xludf.DUMMYFUNCTION("GOOGLETRANSLATE(B34266,""en"",""fr"")"),"Un groupe de femmes et un homme jouent au volleyball dans le sable sur une plage.")</f>
        <v>Un groupe de femmes et un homme jouent au volleyball dans le sable sur une plage.</v>
      </c>
    </row>
    <row r="34267">
      <c r="A34267" s="4" t="s">
        <v>43124</v>
      </c>
      <c r="B34267" s="4" t="s">
        <v>43126</v>
      </c>
      <c r="C34267" s="5" t="str">
        <f>IFERROR(__xludf.DUMMYFUNCTION("GOOGLETRANSLATE(B34267,""en"",""fr"")"),"Ils lobent la balle rose d'avant en arrière sur le filet.")</f>
        <v>Ils lobent la balle rose d'avant en arrière sur le filet.</v>
      </c>
    </row>
    <row r="34268">
      <c r="A34268" s="4" t="s">
        <v>43124</v>
      </c>
      <c r="B34268" s="4" t="s">
        <v>43127</v>
      </c>
      <c r="C34268" s="5" t="str">
        <f>IFERROR(__xludf.DUMMYFUNCTION("GOOGLETRANSLATE(B34268,""en"",""fr"")"),"Une femme va derrière un équipement pour attraper le ballon.")</f>
        <v>Une femme va derrière un équipement pour attraper le ballon.</v>
      </c>
    </row>
    <row r="34269">
      <c r="A34269" s="4" t="s">
        <v>43128</v>
      </c>
      <c r="B34269" s="6" t="s">
        <v>43129</v>
      </c>
      <c r="C34269" s="5" t="str">
        <f>IFERROR(__xludf.DUMMYFUNCTION("GOOGLETRANSLATE(B34269,""en"",""fr"")"),"On voit un grand groupe de femmes se déplacer sur une scène et commencer par deux femmes effectuant une routine de danse du ventre.")</f>
        <v>On voit un grand groupe de femmes se déplacer sur une scène et commencer par deux femmes effectuant une routine de danse du ventre.</v>
      </c>
    </row>
    <row r="34270">
      <c r="A34270" s="4" t="s">
        <v>43128</v>
      </c>
      <c r="B34270" s="6" t="s">
        <v>43130</v>
      </c>
      <c r="C34270" s="5" t="str">
        <f>IFERROR(__xludf.DUMMYFUNCTION("GOOGLETRANSLATE(B34270,""en"",""fr"")"),"Les femmes continuent de danser autour de la scène et se terminent en tenant une pose et en se heurtant.")</f>
        <v>Les femmes continuent de danser autour de la scène et se terminent en tenant une pose et en se heurtant.</v>
      </c>
    </row>
    <row r="34271">
      <c r="A34271" s="4" t="s">
        <v>43131</v>
      </c>
      <c r="B34271" s="4" t="s">
        <v>43132</v>
      </c>
      <c r="C34271" s="5" t="str">
        <f>IFERROR(__xludf.DUMMYFUNCTION("GOOGLETRANSLATE(B34271,""en"",""fr"")"),"Plusieurs bouteilles et outils à ongles sont assis sur une table.")</f>
        <v>Plusieurs bouteilles et outils à ongles sont assis sur une table.</v>
      </c>
    </row>
    <row r="34272">
      <c r="A34272" s="4" t="s">
        <v>43131</v>
      </c>
      <c r="B34272" s="4" t="s">
        <v>43133</v>
      </c>
      <c r="C34272" s="5" t="str">
        <f>IFERROR(__xludf.DUMMYFUNCTION("GOOGLETRANSLATE(B34272,""en"",""fr"")"),"Une femme dépose ses ongles sur la table avec une barre blanche.")</f>
        <v>Une femme dépose ses ongles sur la table avec une barre blanche.</v>
      </c>
    </row>
    <row r="34273">
      <c r="A34273" s="4" t="s">
        <v>43131</v>
      </c>
      <c r="B34273" s="4" t="s">
        <v>43134</v>
      </c>
      <c r="C34273" s="5" t="str">
        <f>IFERROR(__xludf.DUMMYFUNCTION("GOOGLETRANSLATE(B34273,""en"",""fr"")"),"Elle peint ensuite ses ongles clairs.")</f>
        <v>Elle peint ensuite ses ongles clairs.</v>
      </c>
    </row>
    <row r="34274">
      <c r="A34274" s="4" t="s">
        <v>43131</v>
      </c>
      <c r="B34274" s="4" t="s">
        <v>43135</v>
      </c>
      <c r="C34274" s="5" t="str">
        <f>IFERROR(__xludf.DUMMYFUNCTION("GOOGLETRANSLATE(B34274,""en"",""fr"")"),"Elle place ensuite ses ongles dans une boîte blanche qui est éclairée.")</f>
        <v>Elle place ensuite ses ongles dans une boîte blanche qui est éclairée.</v>
      </c>
    </row>
    <row r="34275">
      <c r="A34275" s="4" t="s">
        <v>43131</v>
      </c>
      <c r="B34275" s="4" t="s">
        <v>43136</v>
      </c>
      <c r="C34275" s="5" t="str">
        <f>IFERROR(__xludf.DUMMYFUNCTION("GOOGLETRANSLATE(B34275,""en"",""fr"")"),"La lumière s'éteint et elle sort sa main et la pose sur la table.")</f>
        <v>La lumière s'éteint et elle sort sa main et la pose sur la table.</v>
      </c>
    </row>
    <row r="34276">
      <c r="A34276" s="4" t="s">
        <v>43131</v>
      </c>
      <c r="B34276" s="4" t="s">
        <v>43137</v>
      </c>
      <c r="C34276" s="5" t="str">
        <f>IFERROR(__xludf.DUMMYFUNCTION("GOOGLETRANSLATE(B34276,""en"",""fr"")"),"Une bouteille de vernis à ongles est affichée à l'écran.")</f>
        <v>Une bouteille de vernis à ongles est affichée à l'écran.</v>
      </c>
    </row>
    <row r="34277">
      <c r="A34277" s="4" t="s">
        <v>43131</v>
      </c>
      <c r="B34277" s="4" t="s">
        <v>43138</v>
      </c>
      <c r="C34277" s="5" t="str">
        <f>IFERROR(__xludf.DUMMYFUNCTION("GOOGLETRANSLATE(B34277,""en"",""fr"")"),"Elle peint ses ongles avec ce vernis.")</f>
        <v>Elle peint ses ongles avec ce vernis.</v>
      </c>
    </row>
    <row r="34278">
      <c r="A34278" s="4" t="s">
        <v>43131</v>
      </c>
      <c r="B34278" s="4" t="s">
        <v>43139</v>
      </c>
      <c r="C34278" s="5" t="str">
        <f>IFERROR(__xludf.DUMMYFUNCTION("GOOGLETRANSLATE(B34278,""en"",""fr"")"),"Elle remet sa main dans la boîte allumée sur la table.")</f>
        <v>Elle remet sa main dans la boîte allumée sur la table.</v>
      </c>
    </row>
    <row r="34279">
      <c r="A34279" s="4" t="s">
        <v>43131</v>
      </c>
      <c r="B34279" s="4" t="s">
        <v>43140</v>
      </c>
      <c r="C34279" s="5" t="str">
        <f>IFERROR(__xludf.DUMMYFUNCTION("GOOGLETRANSLATE(B34279,""en"",""fr"")"),"Elle fait une autre couche de vernis à ongles.")</f>
        <v>Elle fait une autre couche de vernis à ongles.</v>
      </c>
    </row>
    <row r="34280">
      <c r="A34280" s="4" t="s">
        <v>43131</v>
      </c>
      <c r="B34280" s="4" t="s">
        <v>43141</v>
      </c>
      <c r="C34280" s="5" t="str">
        <f>IFERROR(__xludf.DUMMYFUNCTION("GOOGLETRANSLATE(B34280,""en"",""fr"")"),"Elle remet sa main dans la boîte allumée.")</f>
        <v>Elle remet sa main dans la boîte allumée.</v>
      </c>
    </row>
    <row r="34281">
      <c r="A34281" s="4" t="s">
        <v>43131</v>
      </c>
      <c r="B34281" s="4" t="s">
        <v>43142</v>
      </c>
      <c r="C34281" s="5" t="str">
        <f>IFERROR(__xludf.DUMMYFUNCTION("GOOGLETRANSLATE(B34281,""en"",""fr"")"),"Une bouteille est montrée sur la table.")</f>
        <v>Une bouteille est montrée sur la table.</v>
      </c>
    </row>
    <row r="34282">
      <c r="A34282" s="4" t="s">
        <v>43131</v>
      </c>
      <c r="B34282" s="4" t="s">
        <v>43143</v>
      </c>
      <c r="C34282" s="5" t="str">
        <f>IFERROR(__xludf.DUMMYFUNCTION("GOOGLETRANSLATE(B34282,""en"",""fr"")"),"Elle pose ses mains à plat sur la table.")</f>
        <v>Elle pose ses mains à plat sur la table.</v>
      </c>
    </row>
    <row r="34283">
      <c r="A34283" s="4" t="s">
        <v>43144</v>
      </c>
      <c r="B34283" s="6" t="s">
        <v>43145</v>
      </c>
      <c r="C34283" s="5" t="str">
        <f>IFERROR(__xludf.DUMMYFUNCTION("GOOGLETRANSLATE(B34283,""en"",""fr"")"),"Les citrons sont jetés sur un comptoir et des lunettes de citron apparaissent également avec de la glace dans des pots Mason sur le comptoir.")</f>
        <v>Les citrons sont jetés sur un comptoir et des lunettes de citron apparaissent également avec de la glace dans des pots Mason sur le comptoir.</v>
      </c>
    </row>
    <row r="34284">
      <c r="A34284" s="4" t="s">
        <v>43144</v>
      </c>
      <c r="B34284" s="6" t="s">
        <v>43146</v>
      </c>
      <c r="C34284" s="5" t="str">
        <f>IFERROR(__xludf.DUMMYFUNCTION("GOOGLETRANSLATE(B34284,""en"",""fr"")"),"Les citrons sont ensuite roulés contre le comptoir à fond uniformément avec la paume d'une main en utilisant une pression ferme.")</f>
        <v>Les citrons sont ensuite roulés contre le comptoir à fond uniformément avec la paume d'une main en utilisant une pression ferme.</v>
      </c>
    </row>
    <row r="34285">
      <c r="A34285" s="4" t="s">
        <v>43144</v>
      </c>
      <c r="B34285" s="6" t="s">
        <v>43147</v>
      </c>
      <c r="C34285" s="5" t="str">
        <f>IFERROR(__xludf.DUMMYFUNCTION("GOOGLETRANSLATE(B34285,""en"",""fr"")"),"Les citrons sont grattés d'avant en arrière contre une râpe alimentaire en métal pour en retirer le zeste quittant la peau du citron dans un bol.")</f>
        <v>Les citrons sont grattés d'avant en arrière contre une râpe alimentaire en métal pour en retirer le zeste quittant la peau du citron dans un bol.</v>
      </c>
    </row>
    <row r="34286">
      <c r="A34286" s="4" t="s">
        <v>43144</v>
      </c>
      <c r="B34286" s="6" t="s">
        <v>43148</v>
      </c>
      <c r="C34286" s="5" t="str">
        <f>IFERROR(__xludf.DUMMYFUNCTION("GOOGLETRANSLATE(B34286,""en"",""fr"")"),"L'eau est ajoutée dans une casserole avec du sucre, puis le zeste de citron qui a été extrait avec le déchiqueteur en métal est également ajouté à l'eau.")</f>
        <v>L'eau est ajoutée dans une casserole avec du sucre, puis le zeste de citron qui a été extrait avec le déchiqueteur en métal est également ajouté à l'eau.</v>
      </c>
    </row>
    <row r="34287">
      <c r="A34287" s="4" t="s">
        <v>43144</v>
      </c>
      <c r="B34287" s="6" t="s">
        <v>43149</v>
      </c>
      <c r="C34287" s="5" t="str">
        <f>IFERROR(__xludf.DUMMYFUNCTION("GOOGLETRANSLATE(B34287,""en"",""fr"")"),"Les citrons sont coupés et jus sur un bol en verre, puis le jus est versé à travers une passoire avec l'eau de sucre avec un zeste qui était auparavant mélangé dans la casserole.")</f>
        <v>Les citrons sont coupés et jus sur un bol en verre, puis le jus est versé à travers une passoire avec l'eau de sucre avec un zeste qui était auparavant mélangé dans la casserole.</v>
      </c>
    </row>
    <row r="34288">
      <c r="A34288" s="4" t="s">
        <v>43144</v>
      </c>
      <c r="B34288" s="4" t="s">
        <v>43150</v>
      </c>
      <c r="C34288" s="5" t="str">
        <f>IFERROR(__xludf.DUMMYFUNCTION("GOOGLETRANSLATE(B34288,""en"",""fr"")"),"Le mélange est agité avec de l'eau ajoutée et de la glace est ensuite ajoutée.")</f>
        <v>Le mélange est agité avec de l'eau ajoutée et de la glace est ensuite ajoutée.</v>
      </c>
    </row>
    <row r="34289">
      <c r="A34289" s="4" t="s">
        <v>43151</v>
      </c>
      <c r="B34289" s="4" t="s">
        <v>43152</v>
      </c>
      <c r="C34289" s="5" t="str">
        <f>IFERROR(__xludf.DUMMYFUNCTION("GOOGLETRANSLATE(B34289,""en"",""fr"")"),"Un homme est vu debout avec un homme dans une chambre.")</f>
        <v>Un homme est vu debout avec un homme dans une chambre.</v>
      </c>
    </row>
    <row r="34290">
      <c r="A34290" s="4" t="s">
        <v>43151</v>
      </c>
      <c r="B34290" s="4" t="s">
        <v>43153</v>
      </c>
      <c r="C34290" s="5" t="str">
        <f>IFERROR(__xludf.DUMMYFUNCTION("GOOGLETRANSLATE(B34290,""en"",""fr"")"),"Il se penche et commence à ramasser l'autre homme.")</f>
        <v>Il se penche et commence à ramasser l'autre homme.</v>
      </c>
    </row>
    <row r="34291">
      <c r="A34291" s="4" t="s">
        <v>43151</v>
      </c>
      <c r="B34291" s="4" t="s">
        <v>43154</v>
      </c>
      <c r="C34291" s="5" t="str">
        <f>IFERROR(__xludf.DUMMYFUNCTION("GOOGLETRANSLATE(B34291,""en"",""fr"")"),"Il jette enfin l'homme sur le lit.")</f>
        <v>Il jette enfin l'homme sur le lit.</v>
      </c>
    </row>
    <row r="34292">
      <c r="A34292" s="4" t="s">
        <v>43155</v>
      </c>
      <c r="B34292" s="6" t="s">
        <v>43156</v>
      </c>
      <c r="C34292" s="5" t="str">
        <f>IFERROR(__xludf.DUMMYFUNCTION("GOOGLETRANSLATE(B34292,""en"",""fr"")"),"Deux groupes de garçons rivalisent au remorqueur de corde de guerre, tandis qu'un homme supervise le jeu et d'autres personnes regardent.")</f>
        <v>Deux groupes de garçons rivalisent au remorqueur de corde de guerre, tandis qu'un homme supervise le jeu et d'autres personnes regardent.</v>
      </c>
    </row>
    <row r="34293">
      <c r="A34293" s="4" t="s">
        <v>43155</v>
      </c>
      <c r="B34293" s="4" t="s">
        <v>43157</v>
      </c>
      <c r="C34293" s="5" t="str">
        <f>IFERROR(__xludf.DUMMYFUNCTION("GOOGLETRANSLATE(B34293,""en"",""fr"")"),"Une personne prend une photo.")</f>
        <v>Une personne prend une photo.</v>
      </c>
    </row>
    <row r="34294">
      <c r="A34294" s="4" t="s">
        <v>43155</v>
      </c>
      <c r="B34294" s="4" t="s">
        <v>43158</v>
      </c>
      <c r="C34294" s="5" t="str">
        <f>IFERROR(__xludf.DUMMYFUNCTION("GOOGLETRANSLATE(B34294,""en"",""fr"")"),"L'équipe de gauche remporte la compétition.")</f>
        <v>L'équipe de gauche remporte la compétition.</v>
      </c>
    </row>
    <row r="34295">
      <c r="A34295" s="4" t="s">
        <v>43159</v>
      </c>
      <c r="B34295" s="4" t="s">
        <v>43160</v>
      </c>
      <c r="C34295" s="5" t="str">
        <f>IFERROR(__xludf.DUMMYFUNCTION("GOOGLETRANSLATE(B34295,""en"",""fr"")"),"La vidéo mène à plusieurs plans de personnes debout sur une plage et jouant dans le sable.")</f>
        <v>La vidéo mène à plusieurs plans de personnes debout sur une plage et jouant dans le sable.</v>
      </c>
    </row>
    <row r="34296">
      <c r="A34296" s="4" t="s">
        <v>43159</v>
      </c>
      <c r="B34296" s="6" t="s">
        <v>43161</v>
      </c>
      <c r="C34296" s="5" t="str">
        <f>IFERROR(__xludf.DUMMYFUNCTION("GOOGLETRANSLATE(B34296,""en"",""fr"")"),"Plusieurs autres images sont présentées par les gens qui se déplacent le long de la plage et aident les autres et les photos du paysage.")</f>
        <v>Plusieurs autres images sont présentées par les gens qui se déplacent le long de la plage et aident les autres et les photos du paysage.</v>
      </c>
    </row>
    <row r="34297">
      <c r="A34297" s="4" t="s">
        <v>43162</v>
      </c>
      <c r="B34297" s="4" t="s">
        <v>43163</v>
      </c>
      <c r="C34297" s="5" t="str">
        <f>IFERROR(__xludf.DUMMYFUNCTION("GOOGLETRANSLATE(B34297,""en"",""fr"")"),"Nous voyons des crédits roulants monter à l'écran.")</f>
        <v>Nous voyons des crédits roulants monter à l'écran.</v>
      </c>
    </row>
    <row r="34298">
      <c r="A34298" s="4" t="s">
        <v>43162</v>
      </c>
      <c r="B34298" s="4" t="s">
        <v>43164</v>
      </c>
      <c r="C34298" s="5" t="str">
        <f>IFERROR(__xludf.DUMMYFUNCTION("GOOGLETRANSLATE(B34298,""en"",""fr"")"),"Nous voyons trois personnes faire du vélo stationnaire dans une salle de sport.")</f>
        <v>Nous voyons trois personnes faire du vélo stationnaire dans une salle de sport.</v>
      </c>
    </row>
    <row r="34299">
      <c r="A34299" s="4" t="s">
        <v>43162</v>
      </c>
      <c r="B34299" s="4" t="s">
        <v>43165</v>
      </c>
      <c r="C34299" s="5" t="str">
        <f>IFERROR(__xludf.DUMMYFUNCTION("GOOGLETRANSLATE(B34299,""en"",""fr"")"),"La caméra se rapproche des motards.")</f>
        <v>La caméra se rapproche des motards.</v>
      </c>
    </row>
    <row r="34300">
      <c r="A34300" s="4" t="s">
        <v>43162</v>
      </c>
      <c r="B34300" s="4" t="s">
        <v>43166</v>
      </c>
      <c r="C34300" s="5" t="str">
        <f>IFERROR(__xludf.DUMMYFUNCTION("GOOGLETRANSLATE(B34300,""en"",""fr"")"),"La dame s'arrête et ajuste quelque chose sur son vélo.")</f>
        <v>La dame s'arrête et ajuste quelque chose sur son vélo.</v>
      </c>
    </row>
    <row r="34301">
      <c r="A34301" s="4" t="s">
        <v>43162</v>
      </c>
      <c r="B34301" s="4" t="s">
        <v>43167</v>
      </c>
      <c r="C34301" s="5" t="str">
        <f>IFERROR(__xludf.DUMMYFUNCTION("GOOGLETRANSLATE(B34301,""en"",""fr"")"),"Nous avons eu le quatrième pilote de la scène.")</f>
        <v>Nous avons eu le quatrième pilote de la scène.</v>
      </c>
    </row>
    <row r="34302">
      <c r="A34302" s="4" t="s">
        <v>43162</v>
      </c>
      <c r="B34302" s="4" t="s">
        <v>43168</v>
      </c>
      <c r="C34302" s="5" t="str">
        <f>IFERROR(__xludf.DUMMYFUNCTION("GOOGLETRANSLATE(B34302,""en"",""fr"")"),"La dame fait du vélo plus lentement.")</f>
        <v>La dame fait du vélo plus lentement.</v>
      </c>
    </row>
    <row r="34303">
      <c r="A34303" s="4" t="s">
        <v>43162</v>
      </c>
      <c r="B34303" s="4" t="s">
        <v>43169</v>
      </c>
      <c r="C34303" s="5" t="str">
        <f>IFERROR(__xludf.DUMMYFUNCTION("GOOGLETRANSLATE(B34303,""en"",""fr"")"),"La dame roule lentement son vélo.")</f>
        <v>La dame roule lentement son vélo.</v>
      </c>
    </row>
    <row r="34304">
      <c r="A34304" s="4" t="s">
        <v>43162</v>
      </c>
      <c r="B34304" s="4" t="s">
        <v>43170</v>
      </c>
      <c r="C34304" s="5" t="str">
        <f>IFERROR(__xludf.DUMMYFUNCTION("GOOGLETRANSLATE(B34304,""en"",""fr"")"),"Nous voyons l'écran de clôture sur un fond bleu.")</f>
        <v>Nous voyons l'écran de clôture sur un fond bleu.</v>
      </c>
    </row>
    <row r="34305">
      <c r="A34305" s="4" t="s">
        <v>43171</v>
      </c>
      <c r="B34305" s="4" t="s">
        <v>43172</v>
      </c>
      <c r="C34305" s="5" t="str">
        <f>IFERROR(__xludf.DUMMYFUNCTION("GOOGLETRANSLATE(B34305,""en"",""fr"")"),"Il y a un petit garçon assis sur un lit dans la chambre.")</f>
        <v>Il y a un petit garçon assis sur un lit dans la chambre.</v>
      </c>
    </row>
    <row r="34306">
      <c r="A34306" s="4" t="s">
        <v>43171</v>
      </c>
      <c r="B34306" s="4" t="s">
        <v>43173</v>
      </c>
      <c r="C34306" s="5" t="str">
        <f>IFERROR(__xludf.DUMMYFUNCTION("GOOGLETRANSLATE(B34306,""en"",""fr"")"),"Il y a un panier à linge et beaucoup de vêtements sur le lit.")</f>
        <v>Il y a un panier à linge et beaucoup de vêtements sur le lit.</v>
      </c>
    </row>
    <row r="34307">
      <c r="A34307" s="4" t="s">
        <v>43171</v>
      </c>
      <c r="B34307" s="4" t="s">
        <v>43174</v>
      </c>
      <c r="C34307" s="5" t="str">
        <f>IFERROR(__xludf.DUMMYFUNCTION("GOOGLETRANSLATE(B34307,""en"",""fr"")"),"La mère du garçon qui filme la vidéo montre un aspirateur.")</f>
        <v>La mère du garçon qui filme la vidéo montre un aspirateur.</v>
      </c>
    </row>
    <row r="34308">
      <c r="A34308" s="4" t="s">
        <v>43171</v>
      </c>
      <c r="B34308" s="4" t="s">
        <v>43175</v>
      </c>
      <c r="C34308" s="5" t="str">
        <f>IFERROR(__xludf.DUMMYFUNCTION("GOOGLETRANSLATE(B34308,""en"",""fr"")"),"Ensuite, elle allume l'aspirateur et commence à aspirer le sol de la chambre.")</f>
        <v>Ensuite, elle allume l'aspirateur et commence à aspirer le sol de la chambre.</v>
      </c>
    </row>
    <row r="34309">
      <c r="A34309" s="4" t="s">
        <v>43171</v>
      </c>
      <c r="B34309" s="4" t="s">
        <v>43176</v>
      </c>
      <c r="C34309" s="5" t="str">
        <f>IFERROR(__xludf.DUMMYFUNCTION("GOOGLETRANSLATE(B34309,""en"",""fr"")"),"Le garçon regarde son aspirateur de maman alors qu'il saute sur le lit.")</f>
        <v>Le garçon regarde son aspirateur de maman alors qu'il saute sur le lit.</v>
      </c>
    </row>
    <row r="34310">
      <c r="A34310" s="4" t="s">
        <v>43171</v>
      </c>
      <c r="B34310" s="4" t="s">
        <v>43177</v>
      </c>
      <c r="C34310" s="5" t="str">
        <f>IFERROR(__xludf.DUMMYFUNCTION("GOOGLETRANSLATE(B34310,""en"",""fr"")"),"Le garçon se couche ensuite sur le lit alors qu'il voit sa mère terminer le travail.")</f>
        <v>Le garçon se couche ensuite sur le lit alors qu'il voit sa mère terminer le travail.</v>
      </c>
    </row>
    <row r="34311">
      <c r="A34311" s="4" t="s">
        <v>43171</v>
      </c>
      <c r="B34311" s="4" t="s">
        <v>43178</v>
      </c>
      <c r="C34311" s="5" t="str">
        <f>IFERROR(__xludf.DUMMYFUNCTION("GOOGLETRANSLATE(B34311,""en"",""fr"")"),"Ensuite, le garçon quitte le lit et saute au sol pour regarder sous la table de chevet.")</f>
        <v>Ensuite, le garçon quitte le lit et saute au sol pour regarder sous la table de chevet.</v>
      </c>
    </row>
    <row r="34312">
      <c r="A34312" s="4" t="s">
        <v>43179</v>
      </c>
      <c r="B34312" s="4" t="s">
        <v>43180</v>
      </c>
      <c r="C34312" s="5" t="str">
        <f>IFERROR(__xludf.DUMMYFUNCTION("GOOGLETRANSLATE(B34312,""en"",""fr"")"),"Un homme parle à l'intérieur d'une salle de piscine.")</f>
        <v>Un homme parle à l'intérieur d'une salle de piscine.</v>
      </c>
    </row>
    <row r="34313">
      <c r="A34313" s="4" t="s">
        <v>43179</v>
      </c>
      <c r="B34313" s="4" t="s">
        <v>43181</v>
      </c>
      <c r="C34313" s="5" t="str">
        <f>IFERROR(__xludf.DUMMYFUNCTION("GOOGLETRANSLATE(B34313,""en"",""fr"")"),"Une vue est montrée sous l'eau, puis elle le réduit en parlant.")</f>
        <v>Une vue est montrée sous l'eau, puis elle le réduit en parlant.</v>
      </c>
    </row>
    <row r="34314">
      <c r="A34314" s="4" t="s">
        <v>43182</v>
      </c>
      <c r="B34314" s="4" t="s">
        <v>43183</v>
      </c>
      <c r="C34314" s="5" t="str">
        <f>IFERROR(__xludf.DUMMYFUNCTION("GOOGLETRANSLATE(B34314,""en"",""fr"")"),"Un gars s'apprête à soulever du poids.")</f>
        <v>Un gars s'apprête à soulever du poids.</v>
      </c>
    </row>
    <row r="34315">
      <c r="A34315" s="4" t="s">
        <v>43182</v>
      </c>
      <c r="B34315" s="4" t="s">
        <v>43184</v>
      </c>
      <c r="C34315" s="5" t="str">
        <f>IFERROR(__xludf.DUMMYFUNCTION("GOOGLETRANSLATE(B34315,""en"",""fr"")"),"Le gars soulève le poids.")</f>
        <v>Le gars soulève le poids.</v>
      </c>
    </row>
    <row r="34316">
      <c r="A34316" s="4" t="s">
        <v>43182</v>
      </c>
      <c r="B34316" s="4" t="s">
        <v>43185</v>
      </c>
      <c r="C34316" s="5" t="str">
        <f>IFERROR(__xludf.DUMMYFUNCTION("GOOGLETRANSLATE(B34316,""en"",""fr"")"),"Le gars danse puis quitte la scène.")</f>
        <v>Le gars danse puis quitte la scène.</v>
      </c>
    </row>
    <row r="34317">
      <c r="A34317" s="4" t="s">
        <v>43182</v>
      </c>
      <c r="B34317" s="4" t="s">
        <v>43186</v>
      </c>
      <c r="C34317" s="5" t="str">
        <f>IFERROR(__xludf.DUMMYFUNCTION("GOOGLETRANSLATE(B34317,""en"",""fr"")"),"Un homme porte une boîte dans la scène.")</f>
        <v>Un homme porte une boîte dans la scène.</v>
      </c>
    </row>
    <row r="34318">
      <c r="A34318" s="4" t="s">
        <v>43187</v>
      </c>
      <c r="B34318" s="4" t="s">
        <v>43188</v>
      </c>
      <c r="C34318" s="5" t="str">
        <f>IFERROR(__xludf.DUMMYFUNCTION("GOOGLETRANSLATE(B34318,""en"",""fr"")"),"Un garçon sourit à l'homme dont il brille la chaussure.")</f>
        <v>Un garçon sourit à l'homme dont il brille la chaussure.</v>
      </c>
    </row>
    <row r="34319">
      <c r="A34319" s="4" t="s">
        <v>43187</v>
      </c>
      <c r="B34319" s="4" t="s">
        <v>43189</v>
      </c>
      <c r="C34319" s="5" t="str">
        <f>IFERROR(__xludf.DUMMYFUNCTION("GOOGLETRANSLATE(B34319,""en"",""fr"")"),"L'homme regarde le garçon.")</f>
        <v>L'homme regarde le garçon.</v>
      </c>
    </row>
    <row r="34320">
      <c r="A34320" s="4" t="s">
        <v>43187</v>
      </c>
      <c r="B34320" s="4" t="s">
        <v>43190</v>
      </c>
      <c r="C34320" s="5" t="str">
        <f>IFERROR(__xludf.DUMMYFUNCTION("GOOGLETRANSLATE(B34320,""en"",""fr"")"),"Le garçon brille les chaussures de l'homme.")</f>
        <v>Le garçon brille les chaussures de l'homme.</v>
      </c>
    </row>
    <row r="34321">
      <c r="A34321" s="4" t="s">
        <v>43187</v>
      </c>
      <c r="B34321" s="4" t="s">
        <v>43191</v>
      </c>
      <c r="C34321" s="5" t="str">
        <f>IFERROR(__xludf.DUMMYFUNCTION("GOOGLETRANSLATE(B34321,""en"",""fr"")"),"Le garçon parle aux passants et pointe.")</f>
        <v>Le garçon parle aux passants et pointe.</v>
      </c>
    </row>
    <row r="34322">
      <c r="A34322" s="4" t="s">
        <v>43187</v>
      </c>
      <c r="B34322" s="4" t="s">
        <v>43192</v>
      </c>
      <c r="C34322" s="5" t="str">
        <f>IFERROR(__xludf.DUMMYFUNCTION("GOOGLETRANSLATE(B34322,""en"",""fr"")"),"Un petit enfant s'éloigne du mur.")</f>
        <v>Un petit enfant s'éloigne du mur.</v>
      </c>
    </row>
    <row r="34323">
      <c r="A34323" s="4" t="s">
        <v>43187</v>
      </c>
      <c r="B34323" s="4" t="s">
        <v>43193</v>
      </c>
      <c r="C34323" s="5" t="str">
        <f>IFERROR(__xludf.DUMMYFUNCTION("GOOGLETRANSLATE(B34323,""en"",""fr"")"),"Le garçon essaie les chaussures de l'homme avec une serviette.")</f>
        <v>Le garçon essaie les chaussures de l'homme avec une serviette.</v>
      </c>
    </row>
    <row r="34324">
      <c r="A34324" s="4" t="s">
        <v>43187</v>
      </c>
      <c r="B34324" s="4" t="s">
        <v>43194</v>
      </c>
      <c r="C34324" s="5" t="str">
        <f>IFERROR(__xludf.DUMMYFUNCTION("GOOGLETRANSLATE(B34324,""en"",""fr"")"),"Il a commencé à frotter avec Block.")</f>
        <v>Il a commencé à frotter avec Block.</v>
      </c>
    </row>
    <row r="34325">
      <c r="A34325" s="4" t="s">
        <v>43187</v>
      </c>
      <c r="B34325" s="4" t="s">
        <v>43195</v>
      </c>
      <c r="C34325" s="5" t="str">
        <f>IFERROR(__xludf.DUMMYFUNCTION("GOOGLETRANSLATE(B34325,""en"",""fr"")"),"Le garçon donne un panneau de paix et sourit.")</f>
        <v>Le garçon donne un panneau de paix et sourit.</v>
      </c>
    </row>
    <row r="34326">
      <c r="A34326" s="4" t="s">
        <v>43196</v>
      </c>
      <c r="B34326" s="6" t="s">
        <v>43197</v>
      </c>
      <c r="C34326" s="5" t="str">
        <f>IFERROR(__xludf.DUMMYFUNCTION("GOOGLETRANSLATE(B34326,""en"",""fr"")"),"Une dame est allongée sur un lit noir, une femme en pull noir et porte des gants noirs frotte un coton blanc sur le nombril de la dame.")</f>
        <v>Une dame est allongée sur un lit noir, une femme en pull noir et porte des gants noirs frotte un coton blanc sur le nombril de la dame.</v>
      </c>
    </row>
    <row r="34327">
      <c r="A34327" s="4" t="s">
        <v>43196</v>
      </c>
      <c r="B34327" s="6" t="s">
        <v>43198</v>
      </c>
      <c r="C34327" s="5" t="str">
        <f>IFERROR(__xludf.DUMMYFUNCTION("GOOGLETRANSLATE(B34327,""en"",""fr"")"),"Ensuite, la femme tire un point sur le nombril, perçant le nombril avec un string, puis la femme a inséré un bâton métallique, puis nettoya le Pierce, puis la femme a inséré l'accessoire du nombril et le resserrer puis nettoyer le piercing.")</f>
        <v>Ensuite, la femme tire un point sur le nombril, perçant le nombril avec un string, puis la femme a inséré un bâton métallique, puis nettoya le Pierce, puis la femme a inséré l'accessoire du nombril et le resserrer puis nettoyer le piercing.</v>
      </c>
    </row>
    <row r="34328">
      <c r="A34328" s="4" t="s">
        <v>43199</v>
      </c>
      <c r="B34328" s="4" t="s">
        <v>43200</v>
      </c>
      <c r="C34328" s="5" t="str">
        <f>IFERROR(__xludf.DUMMYFUNCTION("GOOGLETRANSLATE(B34328,""en"",""fr"")"),"Il y a plusieurs personnes qui traînent sur une pente enneigée dans des tubes de neige ronds.")</f>
        <v>Il y a plusieurs personnes qui traînent sur une pente enneigée dans des tubes de neige ronds.</v>
      </c>
    </row>
    <row r="34329">
      <c r="A34329" s="4" t="s">
        <v>43199</v>
      </c>
      <c r="B34329" s="4" t="s">
        <v>43201</v>
      </c>
      <c r="C34329" s="5" t="str">
        <f>IFERROR(__xludf.DUMMYFUNCTION("GOOGLETRANSLATE(B34329,""en"",""fr"")"),"Ils descendent la pente enneigée abrupte à grande vitesse.")</f>
        <v>Ils descendent la pente enneigée abrupte à grande vitesse.</v>
      </c>
    </row>
    <row r="34330">
      <c r="A34330" s="4" t="s">
        <v>43199</v>
      </c>
      <c r="B34330" s="4" t="s">
        <v>43202</v>
      </c>
      <c r="C34330" s="5" t="str">
        <f>IFERROR(__xludf.DUMMYFUNCTION("GOOGLETRANSLATE(B34330,""en"",""fr"")"),"L'une des personnes qui descends sur la pente lève la main à son ami alors qu'il descendait.")</f>
        <v>L'une des personnes qui descends sur la pente lève la main à son ami alors qu'il descendait.</v>
      </c>
    </row>
    <row r="34331">
      <c r="A34331" s="4" t="s">
        <v>43203</v>
      </c>
      <c r="B34331" s="4" t="s">
        <v>43204</v>
      </c>
      <c r="C34331" s="5" t="str">
        <f>IFERROR(__xludf.DUMMYFUNCTION("GOOGLETRANSLATE(B34331,""en"",""fr"")"),"Un homme nettoie une grande fenêtre à l'aide d'une raclette à longue poignée.")</f>
        <v>Un homme nettoie une grande fenêtre à l'aide d'une raclette à longue poignée.</v>
      </c>
    </row>
    <row r="34332">
      <c r="A34332" s="4" t="s">
        <v>43203</v>
      </c>
      <c r="B34332" s="4" t="s">
        <v>43205</v>
      </c>
      <c r="C34332" s="5" t="str">
        <f>IFERROR(__xludf.DUMMYFUNCTION("GOOGLETRANSLATE(B34332,""en"",""fr"")"),"Ensuite, l'homme utilise un long essuie-glace en acier pour nettoyer la fenêtre de droite à gauche.")</f>
        <v>Ensuite, l'homme utilise un long essuie-glace en acier pour nettoyer la fenêtre de droite à gauche.</v>
      </c>
    </row>
    <row r="34333">
      <c r="A34333" s="4" t="s">
        <v>43203</v>
      </c>
      <c r="B34333" s="6" t="s">
        <v>43206</v>
      </c>
      <c r="C34333" s="5" t="str">
        <f>IFERROR(__xludf.DUMMYFUNCTION("GOOGLETRANSLATE(B34333,""en"",""fr"")"),"Après, l'homme prend un tissu et nettoie la partie inférieure de la fenêtre, puis il continue de nettoyer avec une raclette et une lingette en acier.")</f>
        <v>Après, l'homme prend un tissu et nettoie la partie inférieure de la fenêtre, puis il continue de nettoyer avec une raclette et une lingette en acier.</v>
      </c>
    </row>
    <row r="34334">
      <c r="A34334" s="4" t="s">
        <v>43207</v>
      </c>
      <c r="B34334" s="4" t="s">
        <v>43208</v>
      </c>
      <c r="C34334" s="5" t="str">
        <f>IFERROR(__xludf.DUMMYFUNCTION("GOOGLETRANSLATE(B34334,""en"",""fr"")"),"Un homme chauve dirige un orchestre.")</f>
        <v>Un homme chauve dirige un orchestre.</v>
      </c>
    </row>
    <row r="34335">
      <c r="A34335" s="4" t="s">
        <v>43207</v>
      </c>
      <c r="B34335" s="4" t="s">
        <v>43209</v>
      </c>
      <c r="C34335" s="5" t="str">
        <f>IFERROR(__xludf.DUMMYFUNCTION("GOOGLETRANSLATE(B34335,""en"",""fr"")"),"Plusieurs chanteuses chantent tandis qu'une chorale de jeunes chantent une sauvegarde.")</f>
        <v>Plusieurs chanteuses chantent tandis qu'une chorale de jeunes chantent une sauvegarde.</v>
      </c>
    </row>
    <row r="34336">
      <c r="A34336" s="4" t="s">
        <v>43207</v>
      </c>
      <c r="B34336" s="6" t="s">
        <v>43210</v>
      </c>
      <c r="C34336" s="5" t="str">
        <f>IFERROR(__xludf.DUMMYFUNCTION("GOOGLETRANSLATE(B34336,""en"",""fr"")"),"Un jeune batteur et un homme jouant du piano sont près les uns des autres alors que le jeune garçon regarde autour de lui.")</f>
        <v>Un jeune batteur et un homme jouant du piano sont près les uns des autres alors que le jeune garçon regarde autour de lui.</v>
      </c>
    </row>
    <row r="34337">
      <c r="A34337" s="4" t="s">
        <v>43207</v>
      </c>
      <c r="B34337" s="4" t="s">
        <v>43211</v>
      </c>
      <c r="C34337" s="5" t="str">
        <f>IFERROR(__xludf.DUMMYFUNCTION("GOOGLETRANSLATE(B34337,""en"",""fr"")"),"Alors que les chanteurs et les musiciens terminent la chanson, le chef d'orchestre fait signe à sa baguette pour mettre fin à la musique.")</f>
        <v>Alors que les chanteurs et les musiciens terminent la chanson, le chef d'orchestre fait signe à sa baguette pour mettre fin à la musique.</v>
      </c>
    </row>
    <row r="34338">
      <c r="A34338" s="4" t="s">
        <v>43212</v>
      </c>
      <c r="B34338" s="4" t="s">
        <v>43213</v>
      </c>
      <c r="C34338" s="5" t="str">
        <f>IFERROR(__xludf.DUMMYFUNCTION("GOOGLETRANSLATE(B34338,""en"",""fr"")"),"Nous voyons des filles dans un gymnase de costume rouge effectuant une routine de bâton.")</f>
        <v>Nous voyons des filles dans un gymnase de costume rouge effectuant une routine de bâton.</v>
      </c>
    </row>
    <row r="34339">
      <c r="A34339" s="4" t="s">
        <v>43212</v>
      </c>
      <c r="B34339" s="4" t="s">
        <v>43214</v>
      </c>
      <c r="C34339" s="5" t="str">
        <f>IFERROR(__xludf.DUMMYFUNCTION("GOOGLETRANSLATE(B34339,""en"",""fr"")"),"Trois filles passent devant en arrière-plan.")</f>
        <v>Trois filles passent devant en arrière-plan.</v>
      </c>
    </row>
    <row r="34340">
      <c r="A34340" s="4" t="s">
        <v>43212</v>
      </c>
      <c r="B34340" s="4" t="s">
        <v>43215</v>
      </c>
      <c r="C34340" s="5" t="str">
        <f>IFERROR(__xludf.DUMMYFUNCTION("GOOGLETRANSLATE(B34340,""en"",""fr"")"),"Les filles à côté d'eux en rose effectuent leur routine.")</f>
        <v>Les filles à côté d'eux en rose effectuent leur routine.</v>
      </c>
    </row>
    <row r="34341">
      <c r="A34341" s="4" t="s">
        <v>43212</v>
      </c>
      <c r="B34341" s="4" t="s">
        <v>43216</v>
      </c>
      <c r="C34341" s="5" t="str">
        <f>IFERROR(__xludf.DUMMYFUNCTION("GOOGLETRANSLATE(B34341,""en"",""fr"")"),"Les filles des uniformes rouges finissent et s'éloignent.")</f>
        <v>Les filles des uniformes rouges finissent et s'éloignent.</v>
      </c>
    </row>
    <row r="34342">
      <c r="A34342" s="4" t="s">
        <v>43212</v>
      </c>
      <c r="B34342" s="4" t="s">
        <v>43217</v>
      </c>
      <c r="C34342" s="5" t="str">
        <f>IFERROR(__xludf.DUMMYFUNCTION("GOOGLETRANSLATE(B34342,""en"",""fr"")"),"Une équipe de filles en noir et néon passe derrière les filles.")</f>
        <v>Une équipe de filles en noir et néon passe derrière les filles.</v>
      </c>
    </row>
    <row r="34343">
      <c r="A34343" s="4" t="s">
        <v>43212</v>
      </c>
      <c r="B34343" s="4" t="s">
        <v>43218</v>
      </c>
      <c r="C34343" s="5" t="str">
        <f>IFERROR(__xludf.DUMMYFUNCTION("GOOGLETRANSLATE(B34343,""en"",""fr"")"),"Les filles en rose terminent leur routine.")</f>
        <v>Les filles en rose terminent leur routine.</v>
      </c>
    </row>
    <row r="34344">
      <c r="A34344" s="4" t="s">
        <v>43219</v>
      </c>
      <c r="B34344" s="4" t="s">
        <v>43220</v>
      </c>
      <c r="C34344" s="5" t="str">
        <f>IFERROR(__xludf.DUMMYFUNCTION("GOOGLETRANSLATE(B34344,""en"",""fr"")"),"Une intro mène à plusieurs clips de personnes qui tentent de combattre les taureaux de nombreuses générations.")</f>
        <v>Une intro mène à plusieurs clips de personnes qui tentent de combattre les taureaux de nombreuses générations.</v>
      </c>
    </row>
    <row r="34345">
      <c r="A34345" s="4" t="s">
        <v>43219</v>
      </c>
      <c r="B34345" s="6" t="s">
        <v>43221</v>
      </c>
      <c r="C34345" s="5" t="str">
        <f>IFERROR(__xludf.DUMMYFUNCTION("GOOGLETRANSLATE(B34345,""en"",""fr"")"),"Plusieurs clips sont représentés par des personnes interagissant avec les Bulls ainsi que les gens qui regardent les gens.")</f>
        <v>Plusieurs clips sont représentés par des personnes interagissant avec les Bulls ainsi que les gens qui regardent les gens.</v>
      </c>
    </row>
    <row r="34346">
      <c r="A34346" s="4" t="s">
        <v>43222</v>
      </c>
      <c r="B34346" s="4" t="s">
        <v>43223</v>
      </c>
      <c r="C34346" s="5" t="str">
        <f>IFERROR(__xludf.DUMMYFUNCTION("GOOGLETRANSLATE(B34346,""en"",""fr"")"),"Une femme est vue à genoux sur un seau dans une vieille émission de télévision.")</f>
        <v>Une femme est vue à genoux sur un seau dans une vieille émission de télévision.</v>
      </c>
    </row>
    <row r="34347">
      <c r="A34347" s="4" t="s">
        <v>43222</v>
      </c>
      <c r="B34347" s="4" t="s">
        <v>43224</v>
      </c>
      <c r="C34347" s="5" t="str">
        <f>IFERROR(__xludf.DUMMYFUNCTION("GOOGLETRANSLATE(B34347,""en"",""fr"")"),"On le voit laver des vêtements dans le seau tout en regardant au loin.")</f>
        <v>On le voit laver des vêtements dans le seau tout en regardant au loin.</v>
      </c>
    </row>
    <row r="34348">
      <c r="A34348" s="4" t="s">
        <v>43222</v>
      </c>
      <c r="B34348" s="6" t="s">
        <v>43225</v>
      </c>
      <c r="C34348" s="5" t="str">
        <f>IFERROR(__xludf.DUMMYFUNCTION("GOOGLETRANSLATE(B34348,""en"",""fr"")"),"Elle se soupire dans l'épuisement et continue de laver les vêtements lorsqu'un coup de lave-linge est montré.")</f>
        <v>Elle se soupire dans l'épuisement et continue de laver les vêtements lorsqu'un coup de lave-linge est montré.</v>
      </c>
    </row>
    <row r="34349">
      <c r="A34349" s="4" t="s">
        <v>43226</v>
      </c>
      <c r="B34349" s="4" t="s">
        <v>43227</v>
      </c>
      <c r="C34349" s="5" t="str">
        <f>IFERROR(__xludf.DUMMYFUNCTION("GOOGLETRANSLATE(B34349,""en"",""fr"")"),"Un homme se tient derrière un comptoir à chaussures et décrit comment les nettoyer.")</f>
        <v>Un homme se tient derrière un comptoir à chaussures et décrit comment les nettoyer.</v>
      </c>
    </row>
    <row r="34350">
      <c r="A34350" s="4" t="s">
        <v>43226</v>
      </c>
      <c r="B34350" s="4" t="s">
        <v>43228</v>
      </c>
      <c r="C34350" s="5" t="str">
        <f>IFERROR(__xludf.DUMMYFUNCTION("GOOGLETRANSLATE(B34350,""en"",""fr"")"),"L'homme parle du programme en trois étapes et des réponses fréquemment posées.")</f>
        <v>L'homme parle du programme en trois étapes et des réponses fréquemment posées.</v>
      </c>
    </row>
    <row r="34351">
      <c r="A34351" s="4" t="s">
        <v>43226</v>
      </c>
      <c r="B34351" s="4" t="s">
        <v>43229</v>
      </c>
      <c r="C34351" s="5" t="str">
        <f>IFERROR(__xludf.DUMMYFUNCTION("GOOGLETRANSLATE(B34351,""en"",""fr"")"),"L'homme frappe pour briller la chaussure et ajoute du vernis puis les pulvérise.")</f>
        <v>L'homme frappe pour briller la chaussure et ajoute du vernis puis les pulvérise.</v>
      </c>
    </row>
    <row r="34352">
      <c r="A34352" s="4" t="s">
        <v>43230</v>
      </c>
      <c r="B34352" s="4" t="s">
        <v>43231</v>
      </c>
      <c r="C34352" s="5" t="str">
        <f>IFERROR(__xludf.DUMMYFUNCTION("GOOGLETRANSLATE(B34352,""en"",""fr"")"),"Une personne est vue chevauchant un kayak le long d'une rivière rugueuse et se tournant.")</f>
        <v>Une personne est vue chevauchant un kayak le long d'une rivière rugueuse et se tournant.</v>
      </c>
    </row>
    <row r="34353">
      <c r="A34353" s="4" t="s">
        <v>43230</v>
      </c>
      <c r="B34353" s="4" t="s">
        <v>43232</v>
      </c>
      <c r="C34353" s="5" t="str">
        <f>IFERROR(__xludf.DUMMYFUNCTION("GOOGLETRANSLATE(B34353,""en"",""fr"")"),"Plus de photos de lui en montant montrées et il continue de retourner dans l'eau.")</f>
        <v>Plus de photos de lui en montant montrées et il continue de retourner dans l'eau.</v>
      </c>
    </row>
    <row r="34354">
      <c r="A34354" s="4" t="s">
        <v>43233</v>
      </c>
      <c r="B34354" s="4" t="s">
        <v>43234</v>
      </c>
      <c r="C34354" s="5" t="str">
        <f>IFERROR(__xludf.DUMMYFUNCTION("GOOGLETRANSLATE(B34354,""en"",""fr"")"),"Un groupe de personnes parle à côté d'une table avec des tasses en solo rouge et des canettes de bière.")</f>
        <v>Un groupe de personnes parle à côté d'une table avec des tasses en solo rouge et des canettes de bière.</v>
      </c>
    </row>
    <row r="34355">
      <c r="A34355" s="4" t="s">
        <v>43233</v>
      </c>
      <c r="B34355" s="4" t="s">
        <v>43235</v>
      </c>
      <c r="C34355" s="5" t="str">
        <f>IFERROR(__xludf.DUMMYFUNCTION("GOOGLETRANSLATE(B34355,""en"",""fr"")"),"Une femme met une tasse en solo rouge sous le nez d'un homme.")</f>
        <v>Une femme met une tasse en solo rouge sous le nez d'un homme.</v>
      </c>
    </row>
    <row r="34356">
      <c r="A34356" s="4" t="s">
        <v>43233</v>
      </c>
      <c r="B34356" s="4" t="s">
        <v>43236</v>
      </c>
      <c r="C34356" s="5" t="str">
        <f>IFERROR(__xludf.DUMMYFUNCTION("GOOGLETRANSLATE(B34356,""en"",""fr"")"),"Un homme jette une balle de ping-pong dans une tasse en solo rouge.")</f>
        <v>Un homme jette une balle de ping-pong dans une tasse en solo rouge.</v>
      </c>
    </row>
    <row r="34357">
      <c r="A34357" s="4" t="s">
        <v>43233</v>
      </c>
      <c r="B34357" s="4" t="s">
        <v>43237</v>
      </c>
      <c r="C34357" s="5" t="str">
        <f>IFERROR(__xludf.DUMMYFUNCTION("GOOGLETRANSLATE(B34357,""en"",""fr"")"),"Le sol est montré avec le pied d'une personne.")</f>
        <v>Le sol est montré avec le pied d'une personne.</v>
      </c>
    </row>
    <row r="34358">
      <c r="A34358" s="4" t="s">
        <v>43238</v>
      </c>
      <c r="B34358" s="6" t="s">
        <v>43239</v>
      </c>
      <c r="C34358" s="5" t="str">
        <f>IFERROR(__xludf.DUMMYFUNCTION("GOOGLETRANSLATE(B34358,""en"",""fr"")"),"Un gros plan d'un vélo est montré suivi d'une personne dévissant les poignées sur le vélo et ajustant les côtés.")</f>
        <v>Un gros plan d'un vélo est montré suivi d'une personne dévissant les poignées sur le vélo et ajustant les côtés.</v>
      </c>
    </row>
    <row r="34359">
      <c r="A34359" s="4" t="s">
        <v>43238</v>
      </c>
      <c r="B34359" s="4" t="s">
        <v>43240</v>
      </c>
      <c r="C34359" s="5" t="str">
        <f>IFERROR(__xludf.DUMMYFUNCTION("GOOGLETRANSLATE(B34359,""en"",""fr"")"),"La personne l'a ensuite vissé d'une lumière devant le guidon et la maintient en place.")</f>
        <v>La personne l'a ensuite vissé d'une lumière devant le guidon et la maintient en place.</v>
      </c>
    </row>
    <row r="34360">
      <c r="A34360" s="4" t="s">
        <v>43241</v>
      </c>
      <c r="B34360" s="4" t="s">
        <v>43242</v>
      </c>
      <c r="C34360" s="5" t="str">
        <f>IFERROR(__xludf.DUMMYFUNCTION("GOOGLETRANSLATE(B34360,""en"",""fr"")"),"Les hommes coulent sur une piste et sautent en arrière sur un bar.")</f>
        <v>Les hommes coulent sur une piste et sautent en arrière sur un bar.</v>
      </c>
    </row>
    <row r="34361">
      <c r="A34361" s="4" t="s">
        <v>43241</v>
      </c>
      <c r="B34361" s="4" t="s">
        <v>43243</v>
      </c>
      <c r="C34361" s="5" t="str">
        <f>IFERROR(__xludf.DUMMYFUNCTION("GOOGLETRANSLATE(B34361,""en"",""fr"")"),"Un homme fait signe un drapeau blanc une fois le terrain.")</f>
        <v>Un homme fait signe un drapeau blanc une fois le terrain.</v>
      </c>
    </row>
    <row r="34362">
      <c r="A34362" s="4" t="s">
        <v>43241</v>
      </c>
      <c r="B34362" s="4" t="s">
        <v>43244</v>
      </c>
      <c r="C34362" s="5" t="str">
        <f>IFERROR(__xludf.DUMMYFUNCTION("GOOGLETRANSLATE(B34362,""en"",""fr"")"),"Un public les regarde sauter.")</f>
        <v>Un public les regarde sauter.</v>
      </c>
    </row>
    <row r="34363">
      <c r="A34363" s="4" t="s">
        <v>43245</v>
      </c>
      <c r="B34363" s="4" t="s">
        <v>43246</v>
      </c>
      <c r="C34363" s="5" t="str">
        <f>IFERROR(__xludf.DUMMYFUNCTION("GOOGLETRANSLATE(B34363,""en"",""fr"")"),"Un homme a mis de la peinture sur le mur avec un tuyau, tandis qu'une personne utilise une vadrouille plate pour étaler la peinture.")</f>
        <v>Un homme a mis de la peinture sur le mur avec un tuyau, tandis qu'une personne utilise une vadrouille plate pour étaler la peinture.</v>
      </c>
    </row>
    <row r="34364">
      <c r="A34364" s="4" t="s">
        <v>43245</v>
      </c>
      <c r="B34364" s="4" t="s">
        <v>43247</v>
      </c>
      <c r="C34364" s="5" t="str">
        <f>IFERROR(__xludf.DUMMYFUNCTION("GOOGLETRANSLATE(B34364,""en"",""fr"")"),"Ensuite, l'homme met de la peinture autour de la fenêtre.")</f>
        <v>Ensuite, l'homme met de la peinture autour de la fenêtre.</v>
      </c>
    </row>
    <row r="34365">
      <c r="A34365" s="4" t="s">
        <v>43248</v>
      </c>
      <c r="B34365" s="4" t="s">
        <v>43249</v>
      </c>
      <c r="C34365" s="5" t="str">
        <f>IFERROR(__xludf.DUMMYFUNCTION("GOOGLETRANSLATE(B34365,""en"",""fr"")"),"Une femme retire un boulon d'un pneu.")</f>
        <v>Une femme retire un boulon d'un pneu.</v>
      </c>
    </row>
    <row r="34366">
      <c r="A34366" s="4" t="s">
        <v>43248</v>
      </c>
      <c r="B34366" s="4" t="s">
        <v>43250</v>
      </c>
      <c r="C34366" s="5" t="str">
        <f>IFERROR(__xludf.DUMMYFUNCTION("GOOGLETRANSLATE(B34366,""en"",""fr"")"),"La femme enlève un deuxième boulon.")</f>
        <v>La femme enlève un deuxième boulon.</v>
      </c>
    </row>
    <row r="34367">
      <c r="A34367" s="4" t="s">
        <v>43248</v>
      </c>
      <c r="B34367" s="4" t="s">
        <v>43251</v>
      </c>
      <c r="C34367" s="5" t="str">
        <f>IFERROR(__xludf.DUMMYFUNCTION("GOOGLETRANSLATE(B34367,""en"",""fr"")"),"La femme enlève un troisième boulon.")</f>
        <v>La femme enlève un troisième boulon.</v>
      </c>
    </row>
    <row r="34368">
      <c r="A34368" s="4" t="s">
        <v>43248</v>
      </c>
      <c r="B34368" s="4" t="s">
        <v>43252</v>
      </c>
      <c r="C34368" s="5" t="str">
        <f>IFERROR(__xludf.DUMMYFUNCTION("GOOGLETRANSLATE(B34368,""en"",""fr"")"),"Enfin, la femme enlève un quatrième boulon.")</f>
        <v>Enfin, la femme enlève un quatrième boulon.</v>
      </c>
    </row>
    <row r="34369">
      <c r="A34369" s="4" t="s">
        <v>43248</v>
      </c>
      <c r="B34369" s="4" t="s">
        <v>43253</v>
      </c>
      <c r="C34369" s="5" t="str">
        <f>IFERROR(__xludf.DUMMYFUNCTION("GOOGLETRANSLATE(B34369,""en"",""fr"")"),"La femme enlève le pneu de la voiture.")</f>
        <v>La femme enlève le pneu de la voiture.</v>
      </c>
    </row>
    <row r="34370">
      <c r="A34370" s="4" t="s">
        <v>43254</v>
      </c>
      <c r="B34370" s="6" t="s">
        <v>43255</v>
      </c>
      <c r="C34370" s="5" t="str">
        <f>IFERROR(__xludf.DUMMYFUNCTION("GOOGLETRANSLATE(B34370,""en"",""fr"")"),"Une fille en uniforme scolaire bleu et carré se tient dans une salle de bain scolaire en se brossant les dents et en amorçant le miroir.")</f>
        <v>Une fille en uniforme scolaire bleu et carré se tient dans une salle de bain scolaire en se brossant les dents et en amorçant le miroir.</v>
      </c>
    </row>
    <row r="34371">
      <c r="A34371" s="4" t="s">
        <v>43254</v>
      </c>
      <c r="B34371" s="6" t="s">
        <v>43256</v>
      </c>
      <c r="C34371" s="5" t="str">
        <f>IFERROR(__xludf.DUMMYFUNCTION("GOOGLETRANSLATE(B34371,""en"",""fr"")"),"La fille commence à faire face à la caméra et se brossant les dents, se penchant vers la caméra à un moment donné avant de se pencher en arrière pour continuer à brosser les dents.")</f>
        <v>La fille commence à faire face à la caméra et se brossant les dents, se penchant vers la caméra à un moment donné avant de se pencher en arrière pour continuer à brosser les dents.</v>
      </c>
    </row>
    <row r="34372">
      <c r="A34372" s="4" t="s">
        <v>43254</v>
      </c>
      <c r="B34372" s="6" t="s">
        <v>43257</v>
      </c>
      <c r="C34372" s="5" t="str">
        <f>IFERROR(__xludf.DUMMYFUNCTION("GOOGLETRANSLATE(B34372,""en"",""fr"")"),"La fille se tourne ensuite vers le miroir de la salle de bain et crache dans l'évier de la salle de bain, puis revient à la brossage des dents et faisant face à la caméra à nouveau.")</f>
        <v>La fille se tourne ensuite vers le miroir de la salle de bain et crache dans l'évier de la salle de bain, puis revient à la brossage des dents et faisant face à la caméra à nouveau.</v>
      </c>
    </row>
    <row r="34373">
      <c r="A34373" s="4" t="s">
        <v>43254</v>
      </c>
      <c r="B34373" s="6" t="s">
        <v>43258</v>
      </c>
      <c r="C34373" s="5" t="str">
        <f>IFERROR(__xludf.DUMMYFUNCTION("GOOGLETRANSLATE(B34373,""en"",""fr"")"),"La fille se déplace ensuite dans un autre lavabo qui est plus loin dans la salle de bain, joue avec ses cheveux, les primes dans le miroir, tout tandis qu'une autre fille en uniforme scolaire entre dans la salle de bain et entre dans un stand de salle de "&amp;"bain.")</f>
        <v>La fille se déplace ensuite dans un autre lavabo qui est plus loin dans la salle de bain, joue avec ses cheveux, les primes dans le miroir, tout tandis qu'une autre fille en uniforme scolaire entre dans la salle de bain et entre dans un stand de salle de bain.</v>
      </c>
    </row>
    <row r="34374">
      <c r="A34374" s="4" t="s">
        <v>43259</v>
      </c>
      <c r="B34374" s="4" t="s">
        <v>43260</v>
      </c>
      <c r="C34374" s="5" t="str">
        <f>IFERROR(__xludf.DUMMYFUNCTION("GOOGLETRANSLATE(B34374,""en"",""fr"")"),"Deux hommes parlent avec vignement jusqu'à ce qu'un homme vienne les séparer.")</f>
        <v>Deux hommes parlent avec vignement jusqu'à ce qu'un homme vienne les séparer.</v>
      </c>
    </row>
    <row r="34375">
      <c r="A34375" s="4" t="s">
        <v>43259</v>
      </c>
      <c r="B34375" s="4" t="s">
        <v>43261</v>
      </c>
      <c r="C34375" s="5" t="str">
        <f>IFERROR(__xludf.DUMMYFUNCTION("GOOGLETRANSLATE(B34375,""en"",""fr"")"),"Les feuilles du numéro 99 reviennent ensuite pour finir de parler.")</f>
        <v>Les feuilles du numéro 99 reviennent ensuite pour finir de parler.</v>
      </c>
    </row>
    <row r="34376">
      <c r="A34376" s="4" t="s">
        <v>43259</v>
      </c>
      <c r="B34376" s="4" t="s">
        <v>43262</v>
      </c>
      <c r="C34376" s="5" t="str">
        <f>IFERROR(__xludf.DUMMYFUNCTION("GOOGLETRANSLATE(B34376,""en"",""fr"")"),"Le numéro 69 traverse le terrain.")</f>
        <v>Le numéro 69 traverse le terrain.</v>
      </c>
    </row>
    <row r="34377">
      <c r="A34377" s="4" t="s">
        <v>43259</v>
      </c>
      <c r="B34377" s="4" t="s">
        <v>43263</v>
      </c>
      <c r="C34377" s="5" t="str">
        <f>IFERROR(__xludf.DUMMYFUNCTION("GOOGLETRANSLATE(B34377,""en"",""fr"")"),"Nous voyons le numéro 69 frapper le ballon.")</f>
        <v>Nous voyons le numéro 69 frapper le ballon.</v>
      </c>
    </row>
    <row r="34378">
      <c r="A34378" s="4" t="s">
        <v>43259</v>
      </c>
      <c r="B34378" s="4" t="s">
        <v>43264</v>
      </c>
      <c r="C34378" s="5" t="str">
        <f>IFERROR(__xludf.DUMMYFUNCTION("GOOGLETRANSLATE(B34378,""en"",""fr"")"),"Il se dispute ensuite avec le receveur.")</f>
        <v>Il se dispute ensuite avec le receveur.</v>
      </c>
    </row>
    <row r="34379">
      <c r="A34379" s="4" t="s">
        <v>43259</v>
      </c>
      <c r="B34379" s="4" t="s">
        <v>43265</v>
      </c>
      <c r="C34379" s="5" t="str">
        <f>IFERROR(__xludf.DUMMYFUNCTION("GOOGLETRANSLATE(B34379,""en"",""fr"")"),"Un lanceur commence à lancer.")</f>
        <v>Un lanceur commence à lancer.</v>
      </c>
    </row>
    <row r="34380">
      <c r="A34380" s="4" t="s">
        <v>43266</v>
      </c>
      <c r="B34380" s="4" t="s">
        <v>43267</v>
      </c>
      <c r="C34380" s="5" t="str">
        <f>IFERROR(__xludf.DUMMYFUNCTION("GOOGLETRANSLATE(B34380,""en"",""fr"")"),"Un petit garçon marche vers l'évier.")</f>
        <v>Un petit garçon marche vers l'évier.</v>
      </c>
    </row>
    <row r="34381">
      <c r="A34381" s="4" t="s">
        <v>43266</v>
      </c>
      <c r="B34381" s="4" t="s">
        <v>43268</v>
      </c>
      <c r="C34381" s="5" t="str">
        <f>IFERROR(__xludf.DUMMYFUNCTION("GOOGLETRANSLATE(B34381,""en"",""fr"")"),"Le garçon se tient sur le devant de l'évier et met le dentifrice sur la brosse, puis brosse les dents.")</f>
        <v>Le garçon se tient sur le devant de l'évier et met le dentifrice sur la brosse, puis brosse les dents.</v>
      </c>
    </row>
    <row r="34382">
      <c r="A34382" s="4" t="s">
        <v>43266</v>
      </c>
      <c r="B34382" s="4" t="s">
        <v>43269</v>
      </c>
      <c r="C34382" s="5" t="str">
        <f>IFERROR(__xludf.DUMMYFUNCTION("GOOGLETRANSLATE(B34382,""en"",""fr"")"),"Ensuite, le garçon se rincer la bouche puis montre les dents et la bouche sèche.")</f>
        <v>Ensuite, le garçon se rincer la bouche puis montre les dents et la bouche sèche.</v>
      </c>
    </row>
    <row r="34383">
      <c r="A34383" s="4" t="s">
        <v>43270</v>
      </c>
      <c r="B34383" s="4" t="s">
        <v>43271</v>
      </c>
      <c r="C34383" s="5" t="str">
        <f>IFERROR(__xludf.DUMMYFUNCTION("GOOGLETRANSLATE(B34383,""en"",""fr"")"),"Une personne fait des flips sur une scène devant les gens.")</f>
        <v>Une personne fait des flips sur une scène devant les gens.</v>
      </c>
    </row>
    <row r="34384">
      <c r="A34384" s="4" t="s">
        <v>43270</v>
      </c>
      <c r="B34384" s="4" t="s">
        <v>43272</v>
      </c>
      <c r="C34384" s="5" t="str">
        <f>IFERROR(__xludf.DUMMYFUNCTION("GOOGLETRANSLATE(B34384,""en"",""fr"")"),"Les gens se tiennent dans le coin en jouant à la batterie.")</f>
        <v>Les gens se tiennent dans le coin en jouant à la batterie.</v>
      </c>
    </row>
    <row r="34385">
      <c r="A34385" s="4" t="s">
        <v>43270</v>
      </c>
      <c r="B34385" s="4" t="s">
        <v>43273</v>
      </c>
      <c r="C34385" s="5" t="str">
        <f>IFERROR(__xludf.DUMMYFUNCTION("GOOGLETRANSLATE(B34385,""en"",""fr"")"),"Un homme fait une main sur scène.")</f>
        <v>Un homme fait une main sur scène.</v>
      </c>
    </row>
    <row r="34386">
      <c r="A34386" s="4" t="s">
        <v>43274</v>
      </c>
      <c r="B34386" s="6" t="s">
        <v>43275</v>
      </c>
      <c r="C34386" s="5" t="str">
        <f>IFERROR(__xludf.DUMMYFUNCTION("GOOGLETRANSLATE(B34386,""en"",""fr"")"),"Plusieurs coureurs de vélos vêtus de costumes de motocross et portant des casques sont alignés sur la ligne de départ, attendant de courir.")</f>
        <v>Plusieurs coureurs de vélos vêtus de costumes de motocross et portant des casques sont alignés sur la ligne de départ, attendant de courir.</v>
      </c>
    </row>
    <row r="34387">
      <c r="A34387" s="4" t="s">
        <v>43274</v>
      </c>
      <c r="B34387" s="4" t="s">
        <v>43276</v>
      </c>
      <c r="C34387" s="5" t="str">
        <f>IFERROR(__xludf.DUMMYFUNCTION("GOOGLETRANSLATE(B34387,""en"",""fr"")"),"La course commence, et tous les motards courent sur une colline, vers un saut.")</f>
        <v>La course commence, et tous les motards courent sur une colline, vers un saut.</v>
      </c>
    </row>
    <row r="34388">
      <c r="A34388" s="4" t="s">
        <v>43274</v>
      </c>
      <c r="B34388" s="4" t="s">
        <v>43277</v>
      </c>
      <c r="C34388" s="5" t="str">
        <f>IFERROR(__xludf.DUMMYFUNCTION("GOOGLETRANSLATE(B34388,""en"",""fr"")"),"Les motards sautent d'une colline, mais l'un des motards, vêtu de rouge et noir, tombe au sol.")</f>
        <v>Les motards sautent d'une colline, mais l'un des motards, vêtu de rouge et noir, tombe au sol.</v>
      </c>
    </row>
    <row r="34389">
      <c r="A34389" s="4" t="s">
        <v>43274</v>
      </c>
      <c r="B34389" s="6" t="s">
        <v>43278</v>
      </c>
      <c r="C34389" s="5" t="str">
        <f>IFERROR(__xludf.DUMMYFUNCTION("GOOGLETRANSLATE(B34389,""en"",""fr"")"),"Le motard immédiatement derrière lui, vêtu de rouge, blanc et bleu, essaie d'éviter le motard tombé et tombe également au sol.")</f>
        <v>Le motard immédiatement derrière lui, vêtu de rouge, blanc et bleu, essaie d'éviter le motard tombé et tombe également au sol.</v>
      </c>
    </row>
    <row r="34390">
      <c r="A34390" s="4" t="s">
        <v>43274</v>
      </c>
      <c r="B34390" s="4" t="s">
        <v>43279</v>
      </c>
      <c r="C34390" s="5" t="str">
        <f>IFERROR(__xludf.DUMMYFUNCTION("GOOGLETRANSLATE(B34390,""en"",""fr"")"),"Les autres motards courent.")</f>
        <v>Les autres motards courent.</v>
      </c>
    </row>
    <row r="34391">
      <c r="A34391" s="4" t="s">
        <v>43274</v>
      </c>
      <c r="B34391" s="6" t="s">
        <v>43280</v>
      </c>
      <c r="C34391" s="5" t="str">
        <f>IFERROR(__xludf.DUMMYFUNCTION("GOOGLETRANSLATE(B34391,""en"",""fr"")"),"Le motard en noir et rouge repousse immédiatement la piste, tandis que le motard en rouge, blanc et bleu, est clairement blessé et a du mal à se mettre à genoux.")</f>
        <v>Le motard en noir et rouge repousse immédiatement la piste, tandis que le motard en rouge, blanc et bleu, est clairement blessé et a du mal à se mettre à genoux.</v>
      </c>
    </row>
    <row r="34392">
      <c r="A34392" s="4" t="s">
        <v>43274</v>
      </c>
      <c r="B34392" s="4" t="s">
        <v>43281</v>
      </c>
      <c r="C34392" s="5" t="str">
        <f>IFERROR(__xludf.DUMMYFUNCTION("GOOGLETRANSLATE(B34392,""en"",""fr"")"),"Trois hommes vêtus de vestes noires viennent en aide au premier motard.")</f>
        <v>Trois hommes vêtus de vestes noires viennent en aide au premier motard.</v>
      </c>
    </row>
    <row r="34393">
      <c r="A34393" s="4" t="s">
        <v>43282</v>
      </c>
      <c r="B34393" s="6" t="s">
        <v>43283</v>
      </c>
      <c r="C34393" s="5" t="str">
        <f>IFERROR(__xludf.DUMMYFUNCTION("GOOGLETRANSLATE(B34393,""en"",""fr"")"),"Un bâtiment de loisirs est représenté et des enfants faisant diverses activités allant du basket-ball à la natation sont montrés.")</f>
        <v>Un bâtiment de loisirs est représenté et des enfants faisant diverses activités allant du basket-ball à la natation sont montrés.</v>
      </c>
    </row>
    <row r="34394">
      <c r="A34394" s="4" t="s">
        <v>43282</v>
      </c>
      <c r="B34394" s="6" t="s">
        <v>43284</v>
      </c>
      <c r="C34394" s="5" t="str">
        <f>IFERROR(__xludf.DUMMYFUNCTION("GOOGLETRANSLATE(B34394,""en"",""fr"")"),"Un ensemble de jeunes garçons est en train d'imaginer l'eau sur le dos en tenant une balle verte et l'une la jette dans le but.")</f>
        <v>Un ensemble de jeunes garçons est en train d'imaginer l'eau sur le dos en tenant une balle verte et l'une la jette dans le but.</v>
      </c>
    </row>
    <row r="34395">
      <c r="A34395" s="4" t="s">
        <v>43282</v>
      </c>
      <c r="B34395" s="6" t="s">
        <v>43285</v>
      </c>
      <c r="C34395" s="5" t="str">
        <f>IFERROR(__xludf.DUMMYFUNCTION("GOOGLETRANSLATE(B34395,""en"",""fr"")"),"L'extérieur du bâtiment est à nouveau illustré et un éclair d'une voiture garée à l'extérieur dans le parking apparaît.")</f>
        <v>L'extérieur du bâtiment est à nouveau illustré et un éclair d'une voiture garée à l'extérieur dans le parking apparaît.</v>
      </c>
    </row>
    <row r="34396">
      <c r="A34396" s="4" t="s">
        <v>43286</v>
      </c>
      <c r="B34396" s="4" t="s">
        <v>43287</v>
      </c>
      <c r="C34396" s="5" t="str">
        <f>IFERROR(__xludf.DUMMYFUNCTION("GOOGLETRANSLATE(B34396,""en"",""fr"")"),"Un homme en salopette se trouve devant une grande roue de métal.")</f>
        <v>Un homme en salopette se trouve devant une grande roue de métal.</v>
      </c>
    </row>
    <row r="34397">
      <c r="A34397" s="4" t="s">
        <v>43286</v>
      </c>
      <c r="B34397" s="4" t="s">
        <v>43288</v>
      </c>
      <c r="C34397" s="5" t="str">
        <f>IFERROR(__xludf.DUMMYFUNCTION("GOOGLETRANSLATE(B34397,""en"",""fr"")"),"Il prend une torche et commence le soudage.")</f>
        <v>Il prend une torche et commence le soudage.</v>
      </c>
    </row>
    <row r="34398">
      <c r="A34398" s="4" t="s">
        <v>43286</v>
      </c>
      <c r="B34398" s="4" t="s">
        <v>43289</v>
      </c>
      <c r="C34398" s="5" t="str">
        <f>IFERROR(__xludf.DUMMYFUNCTION("GOOGLETRANSLATE(B34398,""en"",""fr"")"),"Les étincelles volent alors qu'il porte son masque, soudant l'équipement.")</f>
        <v>Les étincelles volent alors qu'il porte son masque, soudant l'équipement.</v>
      </c>
    </row>
    <row r="34399">
      <c r="A34399" s="4" t="s">
        <v>43290</v>
      </c>
      <c r="B34399" s="4" t="s">
        <v>43291</v>
      </c>
      <c r="C34399" s="5" t="str">
        <f>IFERROR(__xludf.DUMMYFUNCTION("GOOGLETRANSLATE(B34399,""en"",""fr"")"),"La vidéo mène à plusieurs plans d'athlètes de javelot jetant des poteaux sur une grande piste.")</f>
        <v>La vidéo mène à plusieurs plans d'athlètes de javelot jetant des poteaux sur une grande piste.</v>
      </c>
    </row>
    <row r="34400">
      <c r="A34400" s="4" t="s">
        <v>43290</v>
      </c>
      <c r="B34400" s="6" t="s">
        <v>43292</v>
      </c>
      <c r="C34400" s="5" t="str">
        <f>IFERROR(__xludf.DUMMYFUNCTION("GOOGLETRANSLATE(B34400,""en"",""fr"")"),"Beaucoup de gens sont montrés en descendant la piste en jetant le javelot et en regardant où leur poteau atterrit.")</f>
        <v>Beaucoup de gens sont montrés en descendant la piste en jetant le javelot et en regardant où leur poteau atterrit.</v>
      </c>
    </row>
    <row r="34401">
      <c r="A34401" s="4" t="s">
        <v>43293</v>
      </c>
      <c r="B34401" s="4" t="s">
        <v>43294</v>
      </c>
      <c r="C34401" s="5" t="str">
        <f>IFERROR(__xludf.DUMMYFUNCTION("GOOGLETRANSLATE(B34401,""en"",""fr"")"),"Les hommes font des mouvements de karaté dans un gymnase.")</f>
        <v>Les hommes font des mouvements de karaté dans un gymnase.</v>
      </c>
    </row>
    <row r="34402">
      <c r="A34402" s="4" t="s">
        <v>43293</v>
      </c>
      <c r="B34402" s="4" t="s">
        <v>43295</v>
      </c>
      <c r="C34402" s="5" t="str">
        <f>IFERROR(__xludf.DUMMYFUNCTION("GOOGLETRANSLATE(B34402,""en"",""fr"")"),"Les gens jouent des instruments à côté d'eux.")</f>
        <v>Les gens jouent des instruments à côté d'eux.</v>
      </c>
    </row>
    <row r="34403">
      <c r="A34403" s="4" t="s">
        <v>43293</v>
      </c>
      <c r="B34403" s="4" t="s">
        <v>43296</v>
      </c>
      <c r="C34403" s="5" t="str">
        <f>IFERROR(__xludf.DUMMYFUNCTION("GOOGLETRANSLATE(B34403,""en"",""fr"")"),"Un homme en chemise blanche joue la batterie devant lui.")</f>
        <v>Un homme en chemise blanche joue la batterie devant lui.</v>
      </c>
    </row>
    <row r="34404">
      <c r="A34404" s="4" t="s">
        <v>43297</v>
      </c>
      <c r="B34404" s="4" t="s">
        <v>43298</v>
      </c>
      <c r="C34404" s="5" t="str">
        <f>IFERROR(__xludf.DUMMYFUNCTION("GOOGLETRANSLATE(B34404,""en"",""fr"")"),"Un écran d'introduction montrant un homme interpréter les arts martiaux brésiliens apparaît sur l'écran.")</f>
        <v>Un écran d'introduction montrant un homme interpréter les arts martiaux brésiliens apparaît sur l'écran.</v>
      </c>
    </row>
    <row r="34405">
      <c r="A34405" s="4" t="s">
        <v>43297</v>
      </c>
      <c r="B34405" s="6" t="s">
        <v>43299</v>
      </c>
      <c r="C34405" s="5" t="str">
        <f>IFERROR(__xludf.DUMMYFUNCTION("GOOGLETRANSLATE(B34405,""en"",""fr"")"),"Il montre ensuite un homme faisant les mêmes arts martiaux au ralenti sur une certaine herbe dans ce qui ressemble à un parc.")</f>
        <v>Il montre ensuite un homme faisant les mêmes arts martiaux au ralenti sur une certaine herbe dans ce qui ressemble à un parc.</v>
      </c>
    </row>
    <row r="34406">
      <c r="A34406" s="4" t="s">
        <v>43297</v>
      </c>
      <c r="B34406" s="4" t="s">
        <v>43300</v>
      </c>
      <c r="C34406" s="5" t="str">
        <f>IFERROR(__xludf.DUMMYFUNCTION("GOOGLETRANSLATE(B34406,""en"",""fr"")"),"L'homme tourne et donne un coup de pied en continu et est hautement qualifié.")</f>
        <v>L'homme tourne et donne un coup de pied en continu et est hautement qualifié.</v>
      </c>
    </row>
    <row r="34407">
      <c r="A34407" s="4" t="s">
        <v>43297</v>
      </c>
      <c r="B34407" s="6" t="s">
        <v>43301</v>
      </c>
      <c r="C34407" s="5" t="str">
        <f>IFERROR(__xludf.DUMMYFUNCTION("GOOGLETRANSLATE(B34407,""en"",""fr"")"),"La vidéo montre ensuite un autre homme à l'intérieur donnant un coup de pouce, avant de sauter sur deux autres hommes se produisant sur une scène.")</f>
        <v>La vidéo montre ensuite un autre homme à l'intérieur donnant un coup de pouce, avant de sauter sur deux autres hommes se produisant sur une scène.</v>
      </c>
    </row>
    <row r="34408">
      <c r="A34408" s="4" t="s">
        <v>43297</v>
      </c>
      <c r="B34408" s="6" t="s">
        <v>43302</v>
      </c>
      <c r="C34408" s="5" t="str">
        <f>IFERROR(__xludf.DUMMYFUNCTION("GOOGLETRANSLATE(B34408,""en"",""fr"")"),"Un tas d'autres hommes jouent des arts martiaux à l'intérieur d'un gymnase et d'une salle de classe, tandis qu'un autre homme parle de la caméra.")</f>
        <v>Un tas d'autres hommes jouent des arts martiaux à l'intérieur d'un gymnase et d'une salle de classe, tandis qu'un autre homme parle de la caméra.</v>
      </c>
    </row>
    <row r="34409">
      <c r="A34409" s="4" t="s">
        <v>43303</v>
      </c>
      <c r="B34409" s="4" t="s">
        <v>43304</v>
      </c>
      <c r="C34409" s="5" t="str">
        <f>IFERROR(__xludf.DUMMYFUNCTION("GOOGLETRANSLATE(B34409,""en"",""fr"")"),"Un homme est vu assis devant une caméra tenant une harmonique dans ses mains.")</f>
        <v>Un homme est vu assis devant une caméra tenant une harmonique dans ses mains.</v>
      </c>
    </row>
    <row r="34410">
      <c r="A34410" s="4" t="s">
        <v>43303</v>
      </c>
      <c r="B34410" s="4" t="s">
        <v>43305</v>
      </c>
      <c r="C34410" s="5" t="str">
        <f>IFERROR(__xludf.DUMMYFUNCTION("GOOGLETRANSLATE(B34410,""en"",""fr"")"),"L'homme commence alors à jouer plusieurs chansons tout en s'arrêtant entre les deux.")</f>
        <v>L'homme commence alors à jouer plusieurs chansons tout en s'arrêtant entre les deux.</v>
      </c>
    </row>
    <row r="34411">
      <c r="A34411" s="4" t="s">
        <v>43303</v>
      </c>
      <c r="B34411" s="4" t="s">
        <v>43306</v>
      </c>
      <c r="C34411" s="5" t="str">
        <f>IFERROR(__xludf.DUMMYFUNCTION("GOOGLETRANSLATE(B34411,""en"",""fr"")"),"Il continue de jouer de l'instrument tout en regardant au loin.")</f>
        <v>Il continue de jouer de l'instrument tout en regardant au loin.</v>
      </c>
    </row>
    <row r="34412">
      <c r="A34412" s="4" t="s">
        <v>43307</v>
      </c>
      <c r="B34412" s="4" t="s">
        <v>43308</v>
      </c>
      <c r="C34412" s="5" t="str">
        <f>IFERROR(__xludf.DUMMYFUNCTION("GOOGLETRANSLATE(B34412,""en"",""fr"")"),"Une photo d'une personne qui sautait d'un bateau dans l'eau.")</f>
        <v>Une photo d'une personne qui sautait d'un bateau dans l'eau.</v>
      </c>
    </row>
    <row r="34413">
      <c r="A34413" s="4" t="s">
        <v>43307</v>
      </c>
      <c r="B34413" s="4" t="s">
        <v>24164</v>
      </c>
      <c r="C34413" s="5" t="str">
        <f>IFERROR(__xludf.DUMMYFUNCTION("GOOGLETRANSLATE(B34413,""en"",""fr"")"),"Un bateau est dans l'eau.")</f>
        <v>Un bateau est dans l'eau.</v>
      </c>
    </row>
    <row r="34414">
      <c r="A34414" s="4" t="s">
        <v>43307</v>
      </c>
      <c r="B34414" s="4" t="s">
        <v>43309</v>
      </c>
      <c r="C34414" s="5" t="str">
        <f>IFERROR(__xludf.DUMMYFUNCTION("GOOGLETRANSLATE(B34414,""en"",""fr"")"),"Un voilier est dans l'eau avec des gens dessus.")</f>
        <v>Un voilier est dans l'eau avec des gens dessus.</v>
      </c>
    </row>
    <row r="34415">
      <c r="A34415" s="4" t="s">
        <v>43307</v>
      </c>
      <c r="B34415" s="4" t="s">
        <v>43310</v>
      </c>
      <c r="C34415" s="5" t="str">
        <f>IFERROR(__xludf.DUMMYFUNCTION("GOOGLETRANSLATE(B34415,""en"",""fr"")"),"Les gens sont assis sur le bateau à parler.")</f>
        <v>Les gens sont assis sur le bateau à parler.</v>
      </c>
    </row>
    <row r="34416">
      <c r="A34416" s="4" t="s">
        <v>43307</v>
      </c>
      <c r="B34416" s="4" t="s">
        <v>43311</v>
      </c>
      <c r="C34416" s="5" t="str">
        <f>IFERROR(__xludf.DUMMYFUNCTION("GOOGLETRANSLATE(B34416,""en"",""fr"")"),"Une femme en bikini blanche se tient à la proue du bateau et un homme se tient derrière elle.")</f>
        <v>Une femme en bikini blanche se tient à la proue du bateau et un homme se tient derrière elle.</v>
      </c>
    </row>
    <row r="34417">
      <c r="A34417" s="4" t="s">
        <v>43307</v>
      </c>
      <c r="B34417" s="4" t="s">
        <v>43312</v>
      </c>
      <c r="C34417" s="5" t="str">
        <f>IFERROR(__xludf.DUMMYFUNCTION("GOOGLETRANSLATE(B34417,""en"",""fr"")"),"Les gens sont assis à la proue du bateau.")</f>
        <v>Les gens sont assis à la proue du bateau.</v>
      </c>
    </row>
    <row r="34418">
      <c r="A34418" s="4" t="s">
        <v>43307</v>
      </c>
      <c r="B34418" s="4" t="s">
        <v>43313</v>
      </c>
      <c r="C34418" s="5" t="str">
        <f>IFERROR(__xludf.DUMMYFUNCTION("GOOGLETRANSLATE(B34418,""en"",""fr"")"),"Une femme est allongée sur son dos avec un bikini sur le bateau.")</f>
        <v>Une femme est allongée sur son dos avec un bikini sur le bateau.</v>
      </c>
    </row>
    <row r="34419">
      <c r="A34419" s="4" t="s">
        <v>43307</v>
      </c>
      <c r="B34419" s="4" t="s">
        <v>43314</v>
      </c>
      <c r="C34419" s="5" t="str">
        <f>IFERROR(__xludf.DUMMYFUNCTION("GOOGLETRANSLATE(B34419,""en"",""fr"")"),"Les gens marchent dans le sable devant la caméra.")</f>
        <v>Les gens marchent dans le sable devant la caméra.</v>
      </c>
    </row>
    <row r="34420">
      <c r="A34420" s="4" t="s">
        <v>43307</v>
      </c>
      <c r="B34420" s="4" t="s">
        <v>43315</v>
      </c>
      <c r="C34420" s="5" t="str">
        <f>IFERROR(__xludf.DUMMYFUNCTION("GOOGLETRANSLATE(B34420,""en"",""fr"")"),"Une vue sur l'eau et la plage est montrée.")</f>
        <v>Une vue sur l'eau et la plage est montrée.</v>
      </c>
    </row>
    <row r="34421">
      <c r="A34421" s="4" t="s">
        <v>43307</v>
      </c>
      <c r="B34421" s="4" t="s">
        <v>43316</v>
      </c>
      <c r="C34421" s="5" t="str">
        <f>IFERROR(__xludf.DUMMYFUNCTION("GOOGLETRANSLATE(B34421,""en"",""fr"")"),"Les gens marchent sur le sable de la plage.")</f>
        <v>Les gens marchent sur le sable de la plage.</v>
      </c>
    </row>
    <row r="34422">
      <c r="A34422" s="4" t="s">
        <v>43307</v>
      </c>
      <c r="B34422" s="4" t="s">
        <v>43317</v>
      </c>
      <c r="C34422" s="5" t="str">
        <f>IFERROR(__xludf.DUMMYFUNCTION("GOOGLETRANSLATE(B34422,""en"",""fr"")"),"Un groupe de personnes pose pour une image.")</f>
        <v>Un groupe de personnes pose pour une image.</v>
      </c>
    </row>
    <row r="34423">
      <c r="A34423" s="4" t="s">
        <v>43307</v>
      </c>
      <c r="B34423" s="4" t="s">
        <v>43318</v>
      </c>
      <c r="C34423" s="5" t="str">
        <f>IFERROR(__xludf.DUMMYFUNCTION("GOOGLETRANSLATE(B34423,""en"",""fr"")"),"Les gens prennent des photos sur le bateau.")</f>
        <v>Les gens prennent des photos sur le bateau.</v>
      </c>
    </row>
    <row r="34424">
      <c r="A34424" s="4" t="s">
        <v>43319</v>
      </c>
      <c r="B34424" s="4" t="s">
        <v>43320</v>
      </c>
      <c r="C34424" s="5" t="str">
        <f>IFERROR(__xludf.DUMMYFUNCTION("GOOGLETRANSLATE(B34424,""en"",""fr"")"),"Un gros plan d'une femme est montré à la caméra tenant une glace devant son visage.")</f>
        <v>Un gros plan d'une femme est montré à la caméra tenant une glace devant son visage.</v>
      </c>
    </row>
    <row r="34425">
      <c r="A34425" s="4" t="s">
        <v>43319</v>
      </c>
      <c r="B34425" s="6" t="s">
        <v>43321</v>
      </c>
      <c r="C34425" s="5" t="str">
        <f>IFERROR(__xludf.DUMMYFUNCTION("GOOGLETRANSLATE(B34425,""en"",""fr"")"),"Elle prend plusieurs bouchées de la glace pendant que la caméra se déroule autour de son corps et plusieurs autres personnes l'entourent.")</f>
        <v>Elle prend plusieurs bouchées de la glace pendant que la caméra se déroule autour de son corps et plusieurs autres personnes l'entourent.</v>
      </c>
    </row>
    <row r="34426">
      <c r="A34426" s="4" t="s">
        <v>43322</v>
      </c>
      <c r="B34426" s="4" t="s">
        <v>43323</v>
      </c>
      <c r="C34426" s="5" t="str">
        <f>IFERROR(__xludf.DUMMYFUNCTION("GOOGLETRANSLATE(B34426,""en"",""fr"")"),"Une fille passe à travers le trottoir.")</f>
        <v>Une fille passe à travers le trottoir.</v>
      </c>
    </row>
    <row r="34427">
      <c r="A34427" s="4" t="s">
        <v>43322</v>
      </c>
      <c r="B34427" s="4" t="s">
        <v>43324</v>
      </c>
      <c r="C34427" s="5" t="str">
        <f>IFERROR(__xludf.DUMMYFUNCTION("GOOGLETRANSLATE(B34427,""en"",""fr"")"),"Une jeune fille la regarde.")</f>
        <v>Une jeune fille la regarde.</v>
      </c>
    </row>
    <row r="34428">
      <c r="A34428" s="4" t="s">
        <v>43322</v>
      </c>
      <c r="B34428" s="4" t="s">
        <v>43325</v>
      </c>
      <c r="C34428" s="5" t="str">
        <f>IFERROR(__xludf.DUMMYFUNCTION("GOOGLETRANSLATE(B34428,""en"",""fr"")"),"Un bras de l'homme est au premier plan.")</f>
        <v>Un bras de l'homme est au premier plan.</v>
      </c>
    </row>
    <row r="34429">
      <c r="A34429" s="4" t="s">
        <v>43322</v>
      </c>
      <c r="B34429" s="4" t="s">
        <v>43326</v>
      </c>
      <c r="C34429" s="5" t="str">
        <f>IFERROR(__xludf.DUMMYFUNCTION("GOOGLETRANSLATE(B34429,""en"",""fr"")"),"Il y a aussi une terrasse en bois.")</f>
        <v>Il y a aussi une terrasse en bois.</v>
      </c>
    </row>
    <row r="34430">
      <c r="A34430" s="4" t="s">
        <v>43327</v>
      </c>
      <c r="B34430" s="4" t="s">
        <v>43328</v>
      </c>
      <c r="C34430" s="5" t="str">
        <f>IFERROR(__xludf.DUMMYFUNCTION("GOOGLETRANSLATE(B34430,""en"",""fr"")"),"Le texte blanc dit que la vidéo est sur la façon de faire un gâteau de ventre.")</f>
        <v>Le texte blanc dit que la vidéo est sur la façon de faire un gâteau de ventre.</v>
      </c>
    </row>
    <row r="34431">
      <c r="A34431" s="4" t="s">
        <v>43327</v>
      </c>
      <c r="B34431" s="4" t="s">
        <v>43329</v>
      </c>
      <c r="C34431" s="5" t="str">
        <f>IFERROR(__xludf.DUMMYFUNCTION("GOOGLETRANSLATE(B34431,""en"",""fr"")"),"Deux morceaux de gâteau au chocolat enveloppés sont représentés comme une main ajuste et les touche.")</f>
        <v>Deux morceaux de gâteau au chocolat enveloppés sont représentés comme une main ajuste et les touche.</v>
      </c>
    </row>
    <row r="34432">
      <c r="A34432" s="4" t="s">
        <v>43327</v>
      </c>
      <c r="B34432" s="6" t="s">
        <v>43330</v>
      </c>
      <c r="C34432" s="5" t="str">
        <f>IFERROR(__xludf.DUMMYFUNCTION("GOOGLETRANSLATE(B34432,""en"",""fr"")"),"Les instructions apparaissent au bas de l'écran avant que les pièces de bébé fondant ne soient affichées après le givrage du gâteau.")</f>
        <v>Les instructions apparaissent au bas de l'écran avant que les pièces de bébé fondant ne soient affichées après le givrage du gâteau.</v>
      </c>
    </row>
    <row r="34433">
      <c r="A34433" s="4" t="s">
        <v>43327</v>
      </c>
      <c r="B34433" s="4" t="s">
        <v>43331</v>
      </c>
      <c r="C34433" s="5" t="str">
        <f>IFERROR(__xludf.DUMMYFUNCTION("GOOGLETRANSLATE(B34433,""en"",""fr"")"),"Le gâteau est complet comme l'estomac d'une femme avec un pied de bébé qui dépasse de sa robe.")</f>
        <v>Le gâteau est complet comme l'estomac d'une femme avec un pied de bébé qui dépasse de sa robe.</v>
      </c>
    </row>
    <row r="34434">
      <c r="A34434" s="4" t="s">
        <v>43332</v>
      </c>
      <c r="B34434" s="6" t="s">
        <v>43333</v>
      </c>
      <c r="C34434" s="5" t="str">
        <f>IFERROR(__xludf.DUMMYFUNCTION("GOOGLETRANSLATE(B34434,""en"",""fr"")"),"On voit une femme hébergeant un segment d'actualités qui mène à plusieurs clips de personnes se mesurant et s'adressant à la caméra.")</f>
        <v>On voit une femme hébergeant un segment d'actualités qui mène à plusieurs clips de personnes se mesurant et s'adressant à la caméra.</v>
      </c>
    </row>
    <row r="34435">
      <c r="A34435" s="4" t="s">
        <v>43332</v>
      </c>
      <c r="B34435" s="6" t="s">
        <v>43334</v>
      </c>
      <c r="C34435" s="5" t="str">
        <f>IFERROR(__xludf.DUMMYFUNCTION("GOOGLETRANSLATE(B34435,""en"",""fr"")"),"De nombreux coups de feu sont montrés des personnes buvant du café tout en tenant un pantalon plus grand et en montrant le poids qu'ils avaient perdu.")</f>
        <v>De nombreux coups de feu sont montrés des personnes buvant du café tout en tenant un pantalon plus grand et en montrant le poids qu'ils avaient perdu.</v>
      </c>
    </row>
    <row r="34436">
      <c r="A34436" s="4" t="s">
        <v>43332</v>
      </c>
      <c r="B34436" s="6" t="s">
        <v>43335</v>
      </c>
      <c r="C34436" s="5" t="str">
        <f>IFERROR(__xludf.DUMMYFUNCTION("GOOGLETRANSLATE(B34436,""en"",""fr"")"),"Plus de gens sont vus parler à la caméra tandis que davantage de produits sont affichés ainsi que des aliments présentés et une femme montrant son placard.")</f>
        <v>Plus de gens sont vus parler à la caméra tandis que davantage de produits sont affichés ainsi que des aliments présentés et une femme montrant son placard.</v>
      </c>
    </row>
    <row r="34437">
      <c r="A34437" s="4" t="s">
        <v>43336</v>
      </c>
      <c r="B34437" s="4" t="s">
        <v>43337</v>
      </c>
      <c r="C34437" s="5" t="str">
        <f>IFERROR(__xludf.DUMMYFUNCTION("GOOGLETRANSLATE(B34437,""en"",""fr"")"),"Un garçon en tshirt blanc ramasse son frère sur la tête et le corps le claque sur le lit.")</f>
        <v>Un garçon en tshirt blanc ramasse son frère sur la tête et le corps le claque sur le lit.</v>
      </c>
    </row>
    <row r="34438">
      <c r="A34438" s="4" t="s">
        <v>43336</v>
      </c>
      <c r="B34438" s="4" t="s">
        <v>43338</v>
      </c>
      <c r="C34438" s="5" t="str">
        <f>IFERROR(__xludf.DUMMYFUNCTION("GOOGLETRANSLATE(B34438,""en"",""fr"")"),"Le frère en chemise de couleur armée se lève du lit.")</f>
        <v>Le frère en chemise de couleur armée se lève du lit.</v>
      </c>
    </row>
    <row r="34439">
      <c r="A34439" s="4" t="s">
        <v>43339</v>
      </c>
      <c r="B34439" s="4" t="s">
        <v>43340</v>
      </c>
      <c r="C34439" s="5" t="str">
        <f>IFERROR(__xludf.DUMMYFUNCTION("GOOGLETRANSLATE(B34439,""en"",""fr"")"),"Nous voyons un skateur marcher avec sa planche.")</f>
        <v>Nous voyons un skateur marcher avec sa planche.</v>
      </c>
    </row>
    <row r="34440">
      <c r="A34440" s="4" t="s">
        <v>43339</v>
      </c>
      <c r="B34440" s="4" t="s">
        <v>43341</v>
      </c>
      <c r="C34440" s="5" t="str">
        <f>IFERROR(__xludf.DUMMYFUNCTION("GOOGLETRANSLATE(B34440,""en"",""fr"")"),"L'homme skateboard dans une rue animée.")</f>
        <v>L'homme skateboard dans une rue animée.</v>
      </c>
    </row>
    <row r="34441">
      <c r="A34441" s="4" t="s">
        <v>43339</v>
      </c>
      <c r="B34441" s="4" t="s">
        <v>43342</v>
      </c>
      <c r="C34441" s="5" t="str">
        <f>IFERROR(__xludf.DUMMYFUNCTION("GOOGLETRANSLATE(B34441,""en"",""fr"")"),"Le pensionnaire a sa main sur le sol pendant qu'il patine.")</f>
        <v>Le pensionnaire a sa main sur le sol pendant qu'il patine.</v>
      </c>
    </row>
    <row r="34442">
      <c r="A34442" s="4" t="s">
        <v>43339</v>
      </c>
      <c r="B34442" s="4" t="s">
        <v>43343</v>
      </c>
      <c r="C34442" s="5" t="str">
        <f>IFERROR(__xludf.DUMMYFUNCTION("GOOGLETRANSLATE(B34442,""en"",""fr"")"),"Le pensionnaire prend un virage à droite.")</f>
        <v>Le pensionnaire prend un virage à droite.</v>
      </c>
    </row>
    <row r="34443">
      <c r="A34443" s="4" t="s">
        <v>43339</v>
      </c>
      <c r="B34443" s="4" t="s">
        <v>43344</v>
      </c>
      <c r="C34443" s="5" t="str">
        <f>IFERROR(__xludf.DUMMYFUNCTION("GOOGLETRANSLATE(B34443,""en"",""fr"")"),"Les voitures passent et la scène se termine.")</f>
        <v>Les voitures passent et la scène se termine.</v>
      </c>
    </row>
    <row r="34444">
      <c r="A34444" s="4" t="s">
        <v>43345</v>
      </c>
      <c r="B34444" s="4" t="s">
        <v>43346</v>
      </c>
      <c r="C34444" s="5" t="str">
        <f>IFERROR(__xludf.DUMMYFUNCTION("GOOGLETRANSLATE(B34444,""en"",""fr"")"),"Une course de moto est montrée sur la saleté.")</f>
        <v>Une course de moto est montrée sur la saleté.</v>
      </c>
    </row>
    <row r="34445">
      <c r="A34445" s="4" t="s">
        <v>43345</v>
      </c>
      <c r="B34445" s="4" t="s">
        <v>43347</v>
      </c>
      <c r="C34445" s="5" t="str">
        <f>IFERROR(__xludf.DUMMYFUNCTION("GOOGLETRANSLATE(B34445,""en"",""fr"")"),"Les préparatifs comprennent des femmes légèrement vêtues.")</f>
        <v>Les préparatifs comprennent des femmes légèrement vêtues.</v>
      </c>
    </row>
    <row r="34446">
      <c r="A34446" s="4" t="s">
        <v>43345</v>
      </c>
      <c r="B34446" s="4" t="s">
        <v>43348</v>
      </c>
      <c r="C34446" s="5" t="str">
        <f>IFERROR(__xludf.DUMMYFUNCTION("GOOGLETRANSLATE(B34446,""en"",""fr"")"),"Les motos sont ensuite montrées en sautant et en faisant des choses d'agilité.")</f>
        <v>Les motos sont ensuite montrées en sautant et en faisant des choses d'agilité.</v>
      </c>
    </row>
    <row r="34447">
      <c r="A34447" s="4" t="s">
        <v>43349</v>
      </c>
      <c r="B34447" s="4" t="s">
        <v>43350</v>
      </c>
      <c r="C34447" s="5" t="str">
        <f>IFERROR(__xludf.DUMMYFUNCTION("GOOGLETRANSLATE(B34447,""en"",""fr"")"),"Un homme monte sur une machine rouge.")</f>
        <v>Un homme monte sur une machine rouge.</v>
      </c>
    </row>
    <row r="34448">
      <c r="A34448" s="4" t="s">
        <v>43349</v>
      </c>
      <c r="B34448" s="4" t="s">
        <v>43351</v>
      </c>
      <c r="C34448" s="5" t="str">
        <f>IFERROR(__xludf.DUMMYFUNCTION("GOOGLETRANSLATE(B34448,""en"",""fr"")"),"Il recule ensuite et commence à souffler les feuilles avec.")</f>
        <v>Il recule ensuite et commence à souffler les feuilles avec.</v>
      </c>
    </row>
    <row r="34449">
      <c r="A34449" s="4" t="s">
        <v>43349</v>
      </c>
      <c r="B34449" s="4" t="s">
        <v>43352</v>
      </c>
      <c r="C34449" s="5" t="str">
        <f>IFERROR(__xludf.DUMMYFUNCTION("GOOGLETRANSLATE(B34449,""en"",""fr"")"),"Les feuilles soufflent sur l'allée.")</f>
        <v>Les feuilles soufflent sur l'allée.</v>
      </c>
    </row>
    <row r="34450">
      <c r="A34450" s="4" t="s">
        <v>43349</v>
      </c>
      <c r="B34450" s="4" t="s">
        <v>43353</v>
      </c>
      <c r="C34450" s="5" t="str">
        <f>IFERROR(__xludf.DUMMYFUNCTION("GOOGLETRANSLATE(B34450,""en"",""fr"")"),"Enfin, l'allée est dégagée des feuilles.")</f>
        <v>Enfin, l'allée est dégagée des feuilles.</v>
      </c>
    </row>
    <row r="34451">
      <c r="A34451" s="4" t="s">
        <v>43354</v>
      </c>
      <c r="B34451" s="4" t="s">
        <v>20672</v>
      </c>
      <c r="C34451" s="5" t="str">
        <f>IFERROR(__xludf.DUMMYFUNCTION("GOOGLETRANSLATE(B34451,""en"",""fr"")"),"Une fille saute sur un faisceau d'équilibre.")</f>
        <v>Une fille saute sur un faisceau d'équilibre.</v>
      </c>
    </row>
    <row r="34452">
      <c r="A34452" s="4" t="s">
        <v>43354</v>
      </c>
      <c r="B34452" s="4" t="s">
        <v>32035</v>
      </c>
      <c r="C34452" s="5" t="str">
        <f>IFERROR(__xludf.DUMMYFUNCTION("GOOGLETRANSLATE(B34452,""en"",""fr"")"),"Elle fait une routine de gymnastique sur la poutre d'équilibre.")</f>
        <v>Elle fait une routine de gymnastique sur la poutre d'équilibre.</v>
      </c>
    </row>
    <row r="34453">
      <c r="A34453" s="4" t="s">
        <v>43354</v>
      </c>
      <c r="B34453" s="4" t="s">
        <v>43355</v>
      </c>
      <c r="C34453" s="5" t="str">
        <f>IFERROR(__xludf.DUMMYFUNCTION("GOOGLETRANSLATE(B34453,""en"",""fr"")"),"Elle démonte et atterrit sur le tapis à côté du faisceau.")</f>
        <v>Elle démonte et atterrit sur le tapis à côté du faisceau.</v>
      </c>
    </row>
    <row r="34454">
      <c r="A34454" s="4" t="s">
        <v>43356</v>
      </c>
      <c r="B34454" s="4" t="s">
        <v>43357</v>
      </c>
      <c r="C34454" s="5" t="str">
        <f>IFERROR(__xludf.DUMMYFUNCTION("GOOGLETRANSLATE(B34454,""en"",""fr"")"),"Un homme est assis au-dessus d'un chameau.")</f>
        <v>Un homme est assis au-dessus d'un chameau.</v>
      </c>
    </row>
    <row r="34455">
      <c r="A34455" s="4" t="s">
        <v>43356</v>
      </c>
      <c r="B34455" s="4" t="s">
        <v>43358</v>
      </c>
      <c r="C34455" s="5" t="str">
        <f>IFERROR(__xludf.DUMMYFUNCTION("GOOGLETRANSLATE(B34455,""en"",""fr"")"),"Le chameau se lève et un homme à l'avant le mène.")</f>
        <v>Le chameau se lève et un homme à l'avant le mène.</v>
      </c>
    </row>
    <row r="34456">
      <c r="A34456" s="4" t="s">
        <v>43356</v>
      </c>
      <c r="B34456" s="4" t="s">
        <v>43359</v>
      </c>
      <c r="C34456" s="5" t="str">
        <f>IFERROR(__xludf.DUMMYFUNCTION("GOOGLETRANSLATE(B34456,""en"",""fr"")"),"Une grange rouge est vue derrière eux.")</f>
        <v>Une grange rouge est vue derrière eux.</v>
      </c>
    </row>
    <row r="34457">
      <c r="A34457" s="4" t="s">
        <v>43356</v>
      </c>
      <c r="B34457" s="4" t="s">
        <v>43360</v>
      </c>
      <c r="C34457" s="5" t="str">
        <f>IFERROR(__xludf.DUMMYFUNCTION("GOOGLETRANSLATE(B34457,""en"",""fr"")"),"Le chameau s'assoit et l'homme descend.")</f>
        <v>Le chameau s'assoit et l'homme descend.</v>
      </c>
    </row>
    <row r="34458">
      <c r="A34458" s="4" t="s">
        <v>43361</v>
      </c>
      <c r="B34458" s="4" t="s">
        <v>43362</v>
      </c>
      <c r="C34458" s="5" t="str">
        <f>IFERROR(__xludf.DUMMYFUNCTION("GOOGLETRANSLATE(B34458,""en"",""fr"")"),"Une femme est vue debout devant des seaux et parle à la caméra.")</f>
        <v>Une femme est vue debout devant des seaux et parle à la caméra.</v>
      </c>
    </row>
    <row r="34459">
      <c r="A34459" s="4" t="s">
        <v>43361</v>
      </c>
      <c r="B34459" s="6" t="s">
        <v>43363</v>
      </c>
      <c r="C34459" s="5" t="str">
        <f>IFERROR(__xludf.DUMMYFUNCTION("GOOGLETRANSLATE(B34459,""en"",""fr"")"),"Elle verse de l'eau dans un seau tout en le faisant glisser ainsi qu'à mélanger le nettoyage et à commencer à jeter des vêtements.")</f>
        <v>Elle verse de l'eau dans un seau tout en le faisant glisser ainsi qu'à mélanger le nettoyage et à commencer à jeter des vêtements.</v>
      </c>
    </row>
    <row r="34460">
      <c r="A34460" s="4" t="s">
        <v>43361</v>
      </c>
      <c r="B34460" s="6" t="s">
        <v>43364</v>
      </c>
      <c r="C34460" s="5" t="str">
        <f>IFERROR(__xludf.DUMMYFUNCTION("GOOGLETRANSLATE(B34460,""en"",""fr"")"),"La femme plonge les vêtements dans le seau et montre où elle les pend et agitant la caméra.")</f>
        <v>La femme plonge les vêtements dans le seau et montre où elle les pend et agitant la caméra.</v>
      </c>
    </row>
    <row r="34461">
      <c r="A34461" s="4" t="s">
        <v>43365</v>
      </c>
      <c r="B34461" s="4" t="s">
        <v>43366</v>
      </c>
      <c r="C34461" s="5" t="str">
        <f>IFERROR(__xludf.DUMMYFUNCTION("GOOGLETRANSLATE(B34461,""en"",""fr"")"),"Un homme lave soigneusement le côté d'une voiture avec une éponge.")</f>
        <v>Un homme lave soigneusement le côté d'une voiture avec une éponge.</v>
      </c>
    </row>
    <row r="34462">
      <c r="A34462" s="4" t="s">
        <v>43365</v>
      </c>
      <c r="B34462" s="4" t="s">
        <v>43367</v>
      </c>
      <c r="C34462" s="5" t="str">
        <f>IFERROR(__xludf.DUMMYFUNCTION("GOOGLETRANSLATE(B34462,""en"",""fr"")"),"L'homme se lève et lave le pare-brise.")</f>
        <v>L'homme se lève et lave le pare-brise.</v>
      </c>
    </row>
    <row r="34463">
      <c r="A34463" s="4" t="s">
        <v>43365</v>
      </c>
      <c r="B34463" s="4" t="s">
        <v>43368</v>
      </c>
      <c r="C34463" s="5" t="str">
        <f>IFERROR(__xludf.DUMMYFUNCTION("GOOGLETRANSLATE(B34463,""en"",""fr"")"),"Il se déplace ensuite le long de l'arrière de la voiture lavant le spoiler.")</f>
        <v>Il se déplace ensuite le long de l'arrière de la voiture lavant le spoiler.</v>
      </c>
    </row>
    <row r="34464">
      <c r="A34464" s="4" t="s">
        <v>43369</v>
      </c>
      <c r="B34464" s="6" t="s">
        <v>43370</v>
      </c>
      <c r="C34464" s="5" t="str">
        <f>IFERROR(__xludf.DUMMYFUNCTION("GOOGLETRANSLATE(B34464,""en"",""fr"")"),"Une femme asiatique debout porte du maquillage parle à un tas de femmes asiatiques assises qui n'ont pas de maquillage sur leurs visages.")</f>
        <v>Une femme asiatique debout porte du maquillage parle à un tas de femmes asiatiques assises qui n'ont pas de maquillage sur leurs visages.</v>
      </c>
    </row>
    <row r="34465">
      <c r="A34465" s="4" t="s">
        <v>43369</v>
      </c>
      <c r="B34465" s="4" t="s">
        <v>43371</v>
      </c>
      <c r="C34465" s="5" t="str">
        <f>IFERROR(__xludf.DUMMYFUNCTION("GOOGLETRANSLATE(B34465,""en"",""fr"")"),"La femme asiatique avec le maquillage applaudit puis frappe une horloge qui a une minuterie de 10 secondes.")</f>
        <v>La femme asiatique avec le maquillage applaudit puis frappe une horloge qui a une minuterie de 10 secondes.</v>
      </c>
    </row>
    <row r="34466">
      <c r="A34466" s="4" t="s">
        <v>43369</v>
      </c>
      <c r="B34466" s="4" t="s">
        <v>43372</v>
      </c>
      <c r="C34466" s="5" t="str">
        <f>IFERROR(__xludf.DUMMYFUNCTION("GOOGLETRANSLATE(B34466,""en"",""fr"")"),"Les femmes sans maquillage commencent rapidement à se maquiller avant que le temps ne s'épuise.")</f>
        <v>Les femmes sans maquillage commencent rapidement à se maquiller avant que le temps ne s'épuise.</v>
      </c>
    </row>
    <row r="34467">
      <c r="A34467" s="4" t="s">
        <v>43369</v>
      </c>
      <c r="B34467" s="6" t="s">
        <v>43373</v>
      </c>
      <c r="C34467" s="5" t="str">
        <f>IFERROR(__xludf.DUMMYFUNCTION("GOOGLETRANSLATE(B34467,""en"",""fr"")"),"Deux femmes appliquent rapidement le maquillage sur leurs visages, mais quand elles ont fini, elles ont des regards bouleversés sur leurs visages.")</f>
        <v>Deux femmes appliquent rapidement le maquillage sur leurs visages, mais quand elles ont fini, elles ont des regards bouleversés sur leurs visages.</v>
      </c>
    </row>
    <row r="34468">
      <c r="A34468" s="4" t="s">
        <v>43369</v>
      </c>
      <c r="B34468" s="6" t="s">
        <v>43374</v>
      </c>
      <c r="C34468" s="5" t="str">
        <f>IFERROR(__xludf.DUMMYFUNCTION("GOOGLETRANSLATE(B34468,""en"",""fr"")"),"La troisième femme met le maquillage et les faux cils sur un plateau devant elle, puis claque son visage dans le plateau et le roule d'un côté à l'autre.")</f>
        <v>La troisième femme met le maquillage et les faux cils sur un plateau devant elle, puis claque son visage dans le plateau et le roule d'un côté à l'autre.</v>
      </c>
    </row>
    <row r="34469">
      <c r="A34469" s="4" t="s">
        <v>43369</v>
      </c>
      <c r="B34469" s="6" t="s">
        <v>43375</v>
      </c>
      <c r="C34469" s="5" t="str">
        <f>IFERROR(__xludf.DUMMYFUNCTION("GOOGLETRANSLATE(B34469,""en"",""fr"")"),"Quand elle lève la tête, son maquillage est parfait et en même temps, elle tire ses cheveux d'une queue de cheval et secoue ses cheveux.")</f>
        <v>Quand elle lève la tête, son maquillage est parfait et en même temps, elle tire ses cheveux d'une queue de cheval et secoue ses cheveux.</v>
      </c>
    </row>
    <row r="34470">
      <c r="A34470" s="4" t="s">
        <v>43369</v>
      </c>
      <c r="B34470" s="6" t="s">
        <v>43376</v>
      </c>
      <c r="C34470" s="5" t="str">
        <f>IFERROR(__xludf.DUMMYFUNCTION("GOOGLETRANSLATE(B34470,""en"",""fr"")"),"La vidéo outro est un écran violet avec des mots blancs qui lisent ""beau et rapide"" et se termine par un écran blanc qui a des lectures de mots violets ""Windows 8"" et le logo Microsoft.")</f>
        <v>La vidéo outro est un écran violet avec des mots blancs qui lisent "beau et rapide" et se termine par un écran blanc qui a des lectures de mots violets "Windows 8" et le logo Microsoft.</v>
      </c>
    </row>
    <row r="34471">
      <c r="A34471" s="4" t="s">
        <v>43377</v>
      </c>
      <c r="B34471" s="4" t="s">
        <v>43378</v>
      </c>
      <c r="C34471" s="5" t="str">
        <f>IFERROR(__xludf.DUMMYFUNCTION("GOOGLETRANSLATE(B34471,""en"",""fr"")"),"Un homme parle dans un terrain de racquetball.")</f>
        <v>Un homme parle dans un terrain de racquetball.</v>
      </c>
    </row>
    <row r="34472">
      <c r="A34472" s="4" t="s">
        <v>43377</v>
      </c>
      <c r="B34472" s="4" t="s">
        <v>43379</v>
      </c>
      <c r="C34472" s="5" t="str">
        <f>IFERROR(__xludf.DUMMYFUNCTION("GOOGLETRANSLATE(B34472,""en"",""fr"")"),"Il parle de la façon de poser et de balancer la raquette.")</f>
        <v>Il parle de la façon de poser et de balancer la raquette.</v>
      </c>
    </row>
    <row r="34473">
      <c r="A34473" s="4" t="s">
        <v>43377</v>
      </c>
      <c r="B34473" s="4" t="s">
        <v>43380</v>
      </c>
      <c r="C34473" s="5" t="str">
        <f>IFERROR(__xludf.DUMMYFUNCTION("GOOGLETRANSLATE(B34473,""en"",""fr"")"),"Il démontre en frappant le ballon d'avant en arrière contre le mur.")</f>
        <v>Il démontre en frappant le ballon d'avant en arrière contre le mur.</v>
      </c>
    </row>
    <row r="34474">
      <c r="A34474" s="4" t="s">
        <v>43381</v>
      </c>
      <c r="B34474" s="4" t="s">
        <v>43382</v>
      </c>
      <c r="C34474" s="5" t="str">
        <f>IFERROR(__xludf.DUMMYFUNCTION("GOOGLETRANSLATE(B34474,""en"",""fr"")"),"Un motard d'homme et de femme se tient à l'extérieur d'un événement.")</f>
        <v>Un motard d'homme et de femme se tient à l'extérieur d'un événement.</v>
      </c>
    </row>
    <row r="34475">
      <c r="A34475" s="4" t="s">
        <v>43381</v>
      </c>
      <c r="B34475" s="4" t="s">
        <v>43383</v>
      </c>
      <c r="C34475" s="5" t="str">
        <f>IFERROR(__xludf.DUMMYFUNCTION("GOOGLETRANSLATE(B34475,""en"",""fr"")"),"Ils entrent dans un radeau et le poussent dans une rivière.")</f>
        <v>Ils entrent dans un radeau et le poussent dans une rivière.</v>
      </c>
    </row>
    <row r="34476">
      <c r="A34476" s="4" t="s">
        <v>43381</v>
      </c>
      <c r="B34476" s="4" t="s">
        <v>43384</v>
      </c>
      <c r="C34476" s="5" t="str">
        <f>IFERROR(__xludf.DUMMYFUNCTION("GOOGLETRANSLATE(B34476,""en"",""fr"")"),"Ils montent sur les rapides, passant par-dessus les chutes et pagayant au fur et à mesure.")</f>
        <v>Ils montent sur les rapides, passant par-dessus les chutes et pagayant au fur et à mesure.</v>
      </c>
    </row>
    <row r="34477">
      <c r="A34477" s="4" t="s">
        <v>43385</v>
      </c>
      <c r="B34477" s="4" t="s">
        <v>43386</v>
      </c>
      <c r="C34477" s="5" t="str">
        <f>IFERROR(__xludf.DUMMYFUNCTION("GOOGLETRANSLATE(B34477,""en"",""fr"")"),"L'homme se tient dans une pièce en jouant à la flûte.")</f>
        <v>L'homme se tient dans une pièce en jouant à la flûte.</v>
      </c>
    </row>
    <row r="34478">
      <c r="A34478" s="4" t="s">
        <v>43385</v>
      </c>
      <c r="B34478" s="4" t="s">
        <v>43387</v>
      </c>
      <c r="C34478" s="5" t="str">
        <f>IFERROR(__xludf.DUMMYFUNCTION("GOOGLETRANSLATE(B34478,""en"",""fr"")"),"L'homme se termine pour jouer et rire et grâce au public.")</f>
        <v>L'homme se termine pour jouer et rire et grâce au public.</v>
      </c>
    </row>
    <row r="34479">
      <c r="A34479" s="4" t="s">
        <v>43385</v>
      </c>
      <c r="B34479" s="4" t="s">
        <v>43388</v>
      </c>
      <c r="C34479" s="5" t="str">
        <f>IFERROR(__xludf.DUMMYFUNCTION("GOOGLETRANSLATE(B34479,""en"",""fr"")"),"L'homme porte une chemise bleue et est assis derrière l'homme jouant de la flûte.")</f>
        <v>L'homme porte une chemise bleue et est assis derrière l'homme jouant de la flûte.</v>
      </c>
    </row>
    <row r="34480">
      <c r="A34480" s="4" t="s">
        <v>43389</v>
      </c>
      <c r="B34480" s="4" t="s">
        <v>43390</v>
      </c>
      <c r="C34480" s="5" t="str">
        <f>IFERROR(__xludf.DUMMYFUNCTION("GOOGLETRANSLATE(B34480,""en"",""fr"")"),"Un homme parle à une caméra d'une scène en plein air par une pente.")</f>
        <v>Un homme parle à une caméra d'une scène en plein air par une pente.</v>
      </c>
    </row>
    <row r="34481">
      <c r="A34481" s="4" t="s">
        <v>43389</v>
      </c>
      <c r="B34481" s="4" t="s">
        <v>43391</v>
      </c>
      <c r="C34481" s="5" t="str">
        <f>IFERROR(__xludf.DUMMYFUNCTION("GOOGLETRANSLATE(B34481,""en"",""fr"")"),"Plusieurs coupes rapides sont montrées expliquant les termes derrière l'assurance dans le contexte de l'escalade.")</f>
        <v>Plusieurs coupes rapides sont montrées expliquant les termes derrière l'assurance dans le contexte de l'escalade.</v>
      </c>
    </row>
    <row r="34482">
      <c r="A34482" s="4" t="s">
        <v>43389</v>
      </c>
      <c r="B34482" s="4" t="s">
        <v>22880</v>
      </c>
      <c r="C34482" s="5" t="str">
        <f>IFERROR(__xludf.DUMMYFUNCTION("GOOGLETRANSLATE(B34482,""en"",""fr"")"),"L'homme parle à nouveau à la caméra.")</f>
        <v>L'homme parle à nouveau à la caméra.</v>
      </c>
    </row>
    <row r="34483">
      <c r="A34483" s="4" t="s">
        <v>43389</v>
      </c>
      <c r="B34483" s="4" t="s">
        <v>43392</v>
      </c>
      <c r="C34483" s="5" t="str">
        <f>IFERROR(__xludf.DUMMYFUNCTION("GOOGLETRANSLATE(B34483,""en"",""fr"")"),"Des scènes plus rapides sont montrées expliquant le processus derrière l'assurance dans le contexte de l'escalade.")</f>
        <v>Des scènes plus rapides sont montrées expliquant le processus derrière l'assurance dans le contexte de l'escalade.</v>
      </c>
    </row>
    <row r="34484">
      <c r="A34484" s="4" t="s">
        <v>43389</v>
      </c>
      <c r="B34484" s="4" t="s">
        <v>43393</v>
      </c>
      <c r="C34484" s="5" t="str">
        <f>IFERROR(__xludf.DUMMYFUNCTION("GOOGLETRANSLATE(B34484,""en"",""fr"")"),"L'homme parle à nouveau à la caméra.")</f>
        <v>L'homme parle à nouveau à la caméra.</v>
      </c>
    </row>
    <row r="34485">
      <c r="A34485" s="4" t="s">
        <v>43394</v>
      </c>
      <c r="B34485" s="4" t="s">
        <v>43395</v>
      </c>
      <c r="C34485" s="5" t="str">
        <f>IFERROR(__xludf.DUMMYFUNCTION("GOOGLETRANSLATE(B34485,""en"",""fr"")"),"La gymnaste s'approche du bar avec un saut.")</f>
        <v>La gymnaste s'approche du bar avec un saut.</v>
      </c>
    </row>
    <row r="34486">
      <c r="A34486" s="4" t="s">
        <v>43394</v>
      </c>
      <c r="B34486" s="6" t="s">
        <v>43396</v>
      </c>
      <c r="C34486" s="5" t="str">
        <f>IFERROR(__xludf.DUMMYFUNCTION("GOOGLETRANSLATE(B34486,""en"",""fr"")"),"Elle saisit la barre et commence à se retourner autour de la barre avant de sauter dans la barre suivante et de se propulser de haut en temps de haut en bas.")</f>
        <v>Elle saisit la barre et commence à se retourner autour de la barre avant de sauter dans la barre suivante et de se propulser de haut en temps de haut en bas.</v>
      </c>
    </row>
    <row r="34487">
      <c r="A34487" s="4" t="s">
        <v>43394</v>
      </c>
      <c r="B34487" s="4" t="s">
        <v>43397</v>
      </c>
      <c r="C34487" s="5" t="str">
        <f>IFERROR(__xludf.DUMMYFUNCTION("GOOGLETRANSLATE(B34487,""en"",""fr"")"),"Elle se lance dans les airs et atterrit sur le tapis.")</f>
        <v>Elle se lance dans les airs et atterrit sur le tapis.</v>
      </c>
    </row>
    <row r="34488">
      <c r="A34488" s="4" t="s">
        <v>43398</v>
      </c>
      <c r="B34488" s="4" t="s">
        <v>43399</v>
      </c>
      <c r="C34488" s="5" t="str">
        <f>IFERROR(__xludf.DUMMYFUNCTION("GOOGLETRANSLATE(B34488,""en"",""fr"")"),"Un tas de voitures conduisent tout en étant incliné d'un côté.")</f>
        <v>Un tas de voitures conduisent tout en étant incliné d'un côté.</v>
      </c>
    </row>
    <row r="34489">
      <c r="A34489" s="4" t="s">
        <v>43398</v>
      </c>
      <c r="B34489" s="4" t="s">
        <v>43400</v>
      </c>
      <c r="C34489" s="5" t="str">
        <f>IFERROR(__xludf.DUMMYFUNCTION("GOOGLETRANSLATE(B34489,""en"",""fr"")"),"Les pneus sont retirés de l'une des voitures.")</f>
        <v>Les pneus sont retirés de l'une des voitures.</v>
      </c>
    </row>
    <row r="34490">
      <c r="A34490" s="4" t="s">
        <v>43401</v>
      </c>
      <c r="B34490" s="6" t="s">
        <v>43402</v>
      </c>
      <c r="C34490" s="5" t="str">
        <f>IFERROR(__xludf.DUMMYFUNCTION("GOOGLETRANSLATE(B34490,""en"",""fr"")"),"Un homme est vu parler à sa caméra et mène à un clip de son camion conduite et de personnes qui roulent derrière.")</f>
        <v>Un homme est vu parler à sa caméra et mène à un clip de son camion conduite et de personnes qui roulent derrière.</v>
      </c>
    </row>
    <row r="34491">
      <c r="A34491" s="4" t="s">
        <v>43401</v>
      </c>
      <c r="B34491" s="6" t="s">
        <v>43403</v>
      </c>
      <c r="C34491" s="5" t="str">
        <f>IFERROR(__xludf.DUMMYFUNCTION("GOOGLETRANSLATE(B34491,""en"",""fr"")"),"Un homme parle au sol avec un bâton alors qu'il se promène dans une zone déserte et montrant diverses plantes et faune dans la région.")</f>
        <v>Un homme parle au sol avec un bâton alors qu'il se promène dans une zone déserte et montrant diverses plantes et faune dans la région.</v>
      </c>
    </row>
    <row r="34492">
      <c r="A34492" s="4" t="s">
        <v>43401</v>
      </c>
      <c r="B34492" s="6" t="s">
        <v>43404</v>
      </c>
      <c r="C34492" s="5" t="str">
        <f>IFERROR(__xludf.DUMMYFUNCTION("GOOGLETRANSLATE(B34492,""en"",""fr"")"),"Il met des vêtements blancs sur tout son corps et plusieurs autres et mène aux gens qui roulent de chameaux avec d'autres menant devant.")</f>
        <v>Il met des vêtements blancs sur tout son corps et plusieurs autres et mène aux gens qui roulent de chameaux avec d'autres menant devant.</v>
      </c>
    </row>
    <row r="34493">
      <c r="A34493" s="4" t="s">
        <v>43405</v>
      </c>
      <c r="B34493" s="4" t="s">
        <v>43406</v>
      </c>
      <c r="C34493" s="5" t="str">
        <f>IFERROR(__xludf.DUMMYFUNCTION("GOOGLETRANSLATE(B34493,""en"",""fr"")"),"Un drapeau est montré en agitant où il est coincé dans le sol.")</f>
        <v>Un drapeau est montré en agitant où il est coincé dans le sol.</v>
      </c>
    </row>
    <row r="34494">
      <c r="A34494" s="4" t="s">
        <v>43405</v>
      </c>
      <c r="B34494" s="4" t="s">
        <v>43407</v>
      </c>
      <c r="C34494" s="5" t="str">
        <f>IFERROR(__xludf.DUMMYFUNCTION("GOOGLETRANSLATE(B34494,""en"",""fr"")"),"Un groupe de personnes se tient à l'extérieur du bâtiment, certains mangent.")</f>
        <v>Un groupe de personnes se tient à l'extérieur du bâtiment, certains mangent.</v>
      </c>
    </row>
    <row r="34495">
      <c r="A34495" s="4" t="s">
        <v>43405</v>
      </c>
      <c r="B34495" s="4" t="s">
        <v>43408</v>
      </c>
      <c r="C34495" s="5" t="str">
        <f>IFERROR(__xludf.DUMMYFUNCTION("GOOGLETRANSLATE(B34495,""en"",""fr"")"),"Un homme shurgs à la caméra alors qu'un jeu commence.")</f>
        <v>Un homme shurgs à la caméra alors qu'un jeu commence.</v>
      </c>
    </row>
    <row r="34496">
      <c r="A34496" s="4" t="s">
        <v>43409</v>
      </c>
      <c r="B34496" s="4" t="s">
        <v>43410</v>
      </c>
      <c r="C34496" s="5" t="str">
        <f>IFERROR(__xludf.DUMMYFUNCTION("GOOGLETRANSLATE(B34496,""en"",""fr"")"),"Un petit garçon est immergé dans l'eau de la piscine en regardant autour de lui.")</f>
        <v>Un petit garçon est immergé dans l'eau de la piscine en regardant autour de lui.</v>
      </c>
    </row>
    <row r="34497">
      <c r="A34497" s="4" t="s">
        <v>43409</v>
      </c>
      <c r="B34497" s="4" t="s">
        <v>43411</v>
      </c>
      <c r="C34497" s="5" t="str">
        <f>IFERROR(__xludf.DUMMYFUNCTION("GOOGLETRANSLATE(B34497,""en"",""fr"")"),"Il flotte et nage avec l'aide de sa mère.")</f>
        <v>Il flotte et nage avec l'aide de sa mère.</v>
      </c>
    </row>
    <row r="34498">
      <c r="A34498" s="4" t="s">
        <v>43409</v>
      </c>
      <c r="B34498" s="4" t="s">
        <v>43412</v>
      </c>
      <c r="C34498" s="5" t="str">
        <f>IFERROR(__xludf.DUMMYFUNCTION("GOOGLETRANSLATE(B34498,""en"",""fr"")"),"Il souffle des bulles et elle le retire de l'eau.")</f>
        <v>Il souffle des bulles et elle le retire de l'eau.</v>
      </c>
    </row>
    <row r="34499">
      <c r="A34499" s="4" t="s">
        <v>43413</v>
      </c>
      <c r="B34499" s="4" t="s">
        <v>43414</v>
      </c>
      <c r="C34499" s="5" t="str">
        <f>IFERROR(__xludf.DUMMYFUNCTION("GOOGLETRANSLATE(B34499,""en"",""fr"")"),"Une femme est assise devant une caméra.")</f>
        <v>Une femme est assise devant une caméra.</v>
      </c>
    </row>
    <row r="34500">
      <c r="A34500" s="4" t="s">
        <v>43413</v>
      </c>
      <c r="B34500" s="4" t="s">
        <v>43415</v>
      </c>
      <c r="C34500" s="5" t="str">
        <f>IFERROR(__xludf.DUMMYFUNCTION("GOOGLETRANSLATE(B34500,""en"",""fr"")"),"Elle commence à se brosser ses cheveux partiellement mouillés.")</f>
        <v>Elle commence à se brosser ses cheveux partiellement mouillés.</v>
      </c>
    </row>
    <row r="34501">
      <c r="A34501" s="4" t="s">
        <v>43413</v>
      </c>
      <c r="B34501" s="4" t="s">
        <v>43416</v>
      </c>
      <c r="C34501" s="5" t="str">
        <f>IFERROR(__xludf.DUMMYFUNCTION("GOOGLETRANSLATE(B34501,""en"",""fr"")"),"Elle continue de se brosser, puis s'arrête et regarde la caméra.")</f>
        <v>Elle continue de se brosser, puis s'arrête et regarde la caméra.</v>
      </c>
    </row>
    <row r="34502">
      <c r="A34502" s="4" t="s">
        <v>43417</v>
      </c>
      <c r="B34502" s="4" t="s">
        <v>43418</v>
      </c>
      <c r="C34502" s="5" t="str">
        <f>IFERROR(__xludf.DUMMYFUNCTION("GOOGLETRANSLATE(B34502,""en"",""fr"")"),"Un homme est vu debout sur un court de tennis d'un côté de la clôture.")</f>
        <v>Un homme est vu debout sur un court de tennis d'un côté de la clôture.</v>
      </c>
    </row>
    <row r="34503">
      <c r="A34503" s="4" t="s">
        <v>43417</v>
      </c>
      <c r="B34503" s="4" t="s">
        <v>43419</v>
      </c>
      <c r="C34503" s="5" t="str">
        <f>IFERROR(__xludf.DUMMYFUNCTION("GOOGLETRANSLATE(B34503,""en"",""fr"")"),"Une autre personne est vue debout de l'autre côté, puis se heurter une balle.")</f>
        <v>Une autre personne est vue debout de l'autre côté, puis se heurter une balle.</v>
      </c>
    </row>
    <row r="34504">
      <c r="A34504" s="4" t="s">
        <v>43417</v>
      </c>
      <c r="B34504" s="4" t="s">
        <v>43420</v>
      </c>
      <c r="C34504" s="5" t="str">
        <f>IFERROR(__xludf.DUMMYFUNCTION("GOOGLETRANSLATE(B34504,""en"",""fr"")"),"La personne manque le birdie et se dirige vers lui.")</f>
        <v>La personne manque le birdie et se dirige vers lui.</v>
      </c>
    </row>
    <row r="34505">
      <c r="A34505" s="4" t="s">
        <v>43421</v>
      </c>
      <c r="B34505" s="4" t="s">
        <v>43422</v>
      </c>
      <c r="C34505" s="5" t="str">
        <f>IFERROR(__xludf.DUMMYFUNCTION("GOOGLETRANSLATE(B34505,""en"",""fr"")"),"Un homme se tient sur un quai avec une chemise verte.")</f>
        <v>Un homme se tient sur un quai avec une chemise verte.</v>
      </c>
    </row>
    <row r="34506">
      <c r="A34506" s="4" t="s">
        <v>43421</v>
      </c>
      <c r="B34506" s="4" t="s">
        <v>43423</v>
      </c>
      <c r="C34506" s="5" t="str">
        <f>IFERROR(__xludf.DUMMYFUNCTION("GOOGLETRANSLATE(B34506,""en"",""fr"")"),"Il monte ensuite un bateau avec une voile.")</f>
        <v>Il monte ensuite un bateau avec une voile.</v>
      </c>
    </row>
    <row r="34507">
      <c r="A34507" s="4" t="s">
        <v>43421</v>
      </c>
      <c r="B34507" s="4" t="s">
        <v>43424</v>
      </c>
      <c r="C34507" s="5" t="str">
        <f>IFERROR(__xludf.DUMMYFUNCTION("GOOGLETRANSLATE(B34507,""en"",""fr"")"),"Il le dirige à travers le lac.")</f>
        <v>Il le dirige à travers le lac.</v>
      </c>
    </row>
    <row r="34508">
      <c r="A34508" s="4" t="s">
        <v>43421</v>
      </c>
      <c r="B34508" s="4" t="s">
        <v>43425</v>
      </c>
      <c r="C34508" s="5" t="str">
        <f>IFERROR(__xludf.DUMMYFUNCTION("GOOGLETRANSLATE(B34508,""en"",""fr"")"),"Il se tient à nouveau sur le quai à la fin.")</f>
        <v>Il se tient à nouveau sur le quai à la fin.</v>
      </c>
    </row>
    <row r="34509">
      <c r="A34509" s="4" t="s">
        <v>43426</v>
      </c>
      <c r="B34509" s="4" t="s">
        <v>43427</v>
      </c>
      <c r="C34509" s="5" t="str">
        <f>IFERROR(__xludf.DUMMYFUNCTION("GOOGLETRANSLATE(B34509,""en"",""fr"")"),"Un couple se tient sur une colline enneigée.")</f>
        <v>Un couple se tient sur une colline enneigée.</v>
      </c>
    </row>
    <row r="34510">
      <c r="A34510" s="4" t="s">
        <v>43426</v>
      </c>
      <c r="B34510" s="4" t="s">
        <v>43428</v>
      </c>
      <c r="C34510" s="5" t="str">
        <f>IFERROR(__xludf.DUMMYFUNCTION("GOOGLETRANSLATE(B34510,""en"",""fr"")"),"Un homme se dirige vers un petit drapeau rouge.")</f>
        <v>Un homme se dirige vers un petit drapeau rouge.</v>
      </c>
    </row>
    <row r="34511">
      <c r="A34511" s="4" t="s">
        <v>43426</v>
      </c>
      <c r="B34511" s="4" t="s">
        <v>43429</v>
      </c>
      <c r="C34511" s="5" t="str">
        <f>IFERROR(__xludf.DUMMYFUNCTION("GOOGLETRANSLATE(B34511,""en"",""fr"")"),"Il retire le drapeau, puis tire une ligne hors du sol.")</f>
        <v>Il retire le drapeau, puis tire une ligne hors du sol.</v>
      </c>
    </row>
    <row r="34512">
      <c r="A34512" s="4" t="s">
        <v>43426</v>
      </c>
      <c r="B34512" s="4" t="s">
        <v>43430</v>
      </c>
      <c r="C34512" s="5" t="str">
        <f>IFERROR(__xludf.DUMMYFUNCTION("GOOGLETRANSLATE(B34512,""en"",""fr"")"),"Il tire un poisson géant qu'il a attrapé.")</f>
        <v>Il tire un poisson géant qu'il a attrapé.</v>
      </c>
    </row>
    <row r="34513">
      <c r="A34513" s="4" t="s">
        <v>43431</v>
      </c>
      <c r="B34513" s="4" t="s">
        <v>43432</v>
      </c>
      <c r="C34513" s="5" t="str">
        <f>IFERROR(__xludf.DUMMYFUNCTION("GOOGLETRANSLATE(B34513,""en"",""fr"")"),"Nous voyons des gens jouer au volleyball dans du sable avec un chien.")</f>
        <v>Nous voyons des gens jouer au volleyball dans du sable avec un chien.</v>
      </c>
    </row>
    <row r="34514">
      <c r="A34514" s="4" t="s">
        <v>43431</v>
      </c>
      <c r="B34514" s="4" t="s">
        <v>43433</v>
      </c>
      <c r="C34514" s="5" t="str">
        <f>IFERROR(__xludf.DUMMYFUNCTION("GOOGLETRANSLATE(B34514,""en"",""fr"")"),"Nous voyons un homme allongé dans le sable.")</f>
        <v>Nous voyons un homme allongé dans le sable.</v>
      </c>
    </row>
    <row r="34515">
      <c r="A34515" s="4" t="s">
        <v>43431</v>
      </c>
      <c r="B34515" s="4" t="s">
        <v>43434</v>
      </c>
      <c r="C34515" s="5" t="str">
        <f>IFERROR(__xludf.DUMMYFUNCTION("GOOGLETRANSLATE(B34515,""en"",""fr"")"),"Le chien court pour le ballon.")</f>
        <v>Le chien court pour le ballon.</v>
      </c>
    </row>
    <row r="34516">
      <c r="A34516" s="4" t="s">
        <v>43431</v>
      </c>
      <c r="B34516" s="4" t="s">
        <v>43435</v>
      </c>
      <c r="C34516" s="5" t="str">
        <f>IFERROR(__xludf.DUMMYFUNCTION("GOOGLETRANSLATE(B34516,""en"",""fr"")"),"Une personne rejette le ballon et le chien revient.")</f>
        <v>Une personne rejette le ballon et le chien revient.</v>
      </c>
    </row>
    <row r="34517">
      <c r="A34517" s="4" t="s">
        <v>43431</v>
      </c>
      <c r="B34517" s="4" t="s">
        <v>43436</v>
      </c>
      <c r="C34517" s="5" t="str">
        <f>IFERROR(__xludf.DUMMYFUNCTION("GOOGLETRANSLATE(B34517,""en"",""fr"")"),"Le chien essaie d'obtenir le ballon.")</f>
        <v>Le chien essaie d'obtenir le ballon.</v>
      </c>
    </row>
    <row r="34518">
      <c r="A34518" s="4" t="s">
        <v>43431</v>
      </c>
      <c r="B34518" s="4" t="s">
        <v>43437</v>
      </c>
      <c r="C34518" s="5" t="str">
        <f>IFERROR(__xludf.DUMMYFUNCTION("GOOGLETRANSLATE(B34518,""en"",""fr"")"),"Un homme donne un coup de pied au sable et cordait le chien.")</f>
        <v>Un homme donne un coup de pied au sable et cordait le chien.</v>
      </c>
    </row>
    <row r="34519">
      <c r="A34519" s="4" t="s">
        <v>43438</v>
      </c>
      <c r="B34519" s="4" t="s">
        <v>43439</v>
      </c>
      <c r="C34519" s="5" t="str">
        <f>IFERROR(__xludf.DUMMYFUNCTION("GOOGLETRANSLATE(B34519,""en"",""fr"")"),"Un homme éraflue une chaussure dans la rue tandis qu'une autre personne s'assoit et regarde.")</f>
        <v>Un homme éraflue une chaussure dans la rue tandis qu'une autre personne s'assoit et regarde.</v>
      </c>
    </row>
    <row r="34520">
      <c r="A34520" s="4" t="s">
        <v>43438</v>
      </c>
      <c r="B34520" s="4" t="s">
        <v>43440</v>
      </c>
      <c r="C34520" s="5" t="str">
        <f>IFERROR(__xludf.DUMMYFUNCTION("GOOGLETRANSLATE(B34520,""en"",""fr"")"),"Elle parle à l'homme et bouge ses mains pour suivre son mouvement.")</f>
        <v>Elle parle à l'homme et bouge ses mains pour suivre son mouvement.</v>
      </c>
    </row>
    <row r="34521">
      <c r="A34521" s="4" t="s">
        <v>43441</v>
      </c>
      <c r="B34521" s="4" t="s">
        <v>23870</v>
      </c>
      <c r="C34521" s="5" t="str">
        <f>IFERROR(__xludf.DUMMYFUNCTION("GOOGLETRANSLATE(B34521,""en"",""fr"")"),"Un homme se tient dans une pièce à parler.")</f>
        <v>Un homme se tient dans une pièce à parler.</v>
      </c>
    </row>
    <row r="34522">
      <c r="A34522" s="4" t="s">
        <v>43441</v>
      </c>
      <c r="B34522" s="4" t="s">
        <v>43442</v>
      </c>
      <c r="C34522" s="5" t="str">
        <f>IFERROR(__xludf.DUMMYFUNCTION("GOOGLETRANSLATE(B34522,""en"",""fr"")"),"Il montre un panneau de palets.")</f>
        <v>Il montre un panneau de palets.</v>
      </c>
    </row>
    <row r="34523">
      <c r="A34523" s="4" t="s">
        <v>43441</v>
      </c>
      <c r="B34523" s="4" t="s">
        <v>43443</v>
      </c>
      <c r="C34523" s="5" t="str">
        <f>IFERROR(__xludf.DUMMYFUNCTION("GOOGLETRANSLATE(B34523,""en"",""fr"")"),"Il se promène jusqu'au bout du swuffleboard et un autre homme est de l'autre côté.")</f>
        <v>Il se promène jusqu'au bout du swuffleboard et un autre homme est de l'autre côté.</v>
      </c>
    </row>
    <row r="34524">
      <c r="A34524" s="4" t="s">
        <v>43441</v>
      </c>
      <c r="B34524" s="4" t="s">
        <v>43444</v>
      </c>
      <c r="C34524" s="5" t="str">
        <f>IFERROR(__xludf.DUMMYFUNCTION("GOOGLETRANSLATE(B34524,""en"",""fr"")"),"Il commence à jouer en en jetant un sur le plateau.")</f>
        <v>Il commence à jouer en en jetant un sur le plateau.</v>
      </c>
    </row>
    <row r="34525">
      <c r="A34525" s="4" t="s">
        <v>43445</v>
      </c>
      <c r="B34525" s="4" t="s">
        <v>43446</v>
      </c>
      <c r="C34525" s="5" t="str">
        <f>IFERROR(__xludf.DUMMYFUNCTION("GOOGLETRANSLATE(B34525,""en"",""fr"")"),"Nous voyons quelques écrans d'ouverture.")</f>
        <v>Nous voyons quelques écrans d'ouverture.</v>
      </c>
    </row>
    <row r="34526">
      <c r="A34526" s="4" t="s">
        <v>43445</v>
      </c>
      <c r="B34526" s="4" t="s">
        <v>43447</v>
      </c>
      <c r="C34526" s="5" t="str">
        <f>IFERROR(__xludf.DUMMYFUNCTION("GOOGLETRANSLATE(B34526,""en"",""fr"")"),"Nous voyons une dame interpréter une routine de bâton dans une arène.")</f>
        <v>Nous voyons une dame interpréter une routine de bâton dans une arène.</v>
      </c>
    </row>
    <row r="34527">
      <c r="A34527" s="4" t="s">
        <v>43445</v>
      </c>
      <c r="B34527" s="4" t="s">
        <v>43448</v>
      </c>
      <c r="C34527" s="5" t="str">
        <f>IFERROR(__xludf.DUMMYFUNCTION("GOOGLETRANSLATE(B34527,""en"",""fr"")"),"La dame tourne et attrape son bâton.")</f>
        <v>La dame tourne et attrape son bâton.</v>
      </c>
    </row>
    <row r="34528">
      <c r="A34528" s="4" t="s">
        <v>43445</v>
      </c>
      <c r="B34528" s="4" t="s">
        <v>43449</v>
      </c>
      <c r="C34528" s="5" t="str">
        <f>IFERROR(__xludf.DUMMYFUNCTION("GOOGLETRANSLATE(B34528,""en"",""fr"")"),"La dame retourne en avant et en arrière et attrape son bâton.")</f>
        <v>La dame retourne en avant et en arrière et attrape son bâton.</v>
      </c>
    </row>
    <row r="34529">
      <c r="A34529" s="4" t="s">
        <v>43445</v>
      </c>
      <c r="B34529" s="4" t="s">
        <v>43450</v>
      </c>
      <c r="C34529" s="5" t="str">
        <f>IFERROR(__xludf.DUMMYFUNCTION("GOOGLETRANSLATE(B34529,""en"",""fr"")"),"La dame tourne et attrape à nouveau son bâton.")</f>
        <v>La dame tourne et attrape à nouveau son bâton.</v>
      </c>
    </row>
    <row r="34530">
      <c r="A34530" s="4" t="s">
        <v>43445</v>
      </c>
      <c r="B34530" s="4" t="s">
        <v>43451</v>
      </c>
      <c r="C34530" s="5" t="str">
        <f>IFERROR(__xludf.DUMMYFUNCTION("GOOGLETRANSLATE(B34530,""en"",""fr"")"),"La dame se retourne plusieurs fois et attrape son bâton avant de poser.")</f>
        <v>La dame se retourne plusieurs fois et attrape son bâton avant de poser.</v>
      </c>
    </row>
    <row r="34531">
      <c r="A34531" s="4" t="s">
        <v>43445</v>
      </c>
      <c r="B34531" s="4" t="s">
        <v>43452</v>
      </c>
      <c r="C34531" s="5" t="str">
        <f>IFERROR(__xludf.DUMMYFUNCTION("GOOGLETRANSLATE(B34531,""en"",""fr"")"),"La foule applaudit et la dame vagues.")</f>
        <v>La foule applaudit et la dame vagues.</v>
      </c>
    </row>
    <row r="34532">
      <c r="A34532" s="4" t="s">
        <v>43453</v>
      </c>
      <c r="B34532" s="4" t="s">
        <v>43454</v>
      </c>
      <c r="C34532" s="5" t="str">
        <f>IFERROR(__xludf.DUMMYFUNCTION("GOOGLETRANSLATE(B34532,""en"",""fr"")"),"La vidéo commence par un écran de titre et une intro qui montre diverses œuvres d'art.")</f>
        <v>La vidéo commence par un écran de titre et une intro qui montre diverses œuvres d'art.</v>
      </c>
    </row>
    <row r="34533">
      <c r="A34533" s="4" t="s">
        <v>43453</v>
      </c>
      <c r="B34533" s="4" t="s">
        <v>43455</v>
      </c>
      <c r="C34533" s="5" t="str">
        <f>IFERROR(__xludf.DUMMYFUNCTION("GOOGLETRANSLATE(B34533,""en"",""fr"")"),"Le sujet concerne les peintures chinoises des cascades et des rochers.")</f>
        <v>Le sujet concerne les peintures chinoises des cascades et des rochers.</v>
      </c>
    </row>
    <row r="34534">
      <c r="A34534" s="4" t="s">
        <v>43453</v>
      </c>
      <c r="B34534" s="4" t="s">
        <v>43456</v>
      </c>
      <c r="C34534" s="5" t="str">
        <f>IFERROR(__xludf.DUMMYFUNCTION("GOOGLETRANSLATE(B34534,""en"",""fr"")"),"Un chinois plus âgé parle de la caméra.")</f>
        <v>Un chinois plus âgé parle de la caméra.</v>
      </c>
    </row>
    <row r="34535">
      <c r="A34535" s="4" t="s">
        <v>43453</v>
      </c>
      <c r="B34535" s="4" t="s">
        <v>43457</v>
      </c>
      <c r="C34535" s="5" t="str">
        <f>IFERROR(__xludf.DUMMYFUNCTION("GOOGLETRANSLATE(B34535,""en"",""fr"")"),"Il commence ensuite à peindre alors que la caméra se déroule pour voir comment il le fait.")</f>
        <v>Il commence ensuite à peindre alors que la caméra se déroule pour voir comment il le fait.</v>
      </c>
    </row>
    <row r="34536">
      <c r="A34536" s="4" t="s">
        <v>43453</v>
      </c>
      <c r="B34536" s="4" t="s">
        <v>43458</v>
      </c>
      <c r="C34536" s="5" t="str">
        <f>IFERROR(__xludf.DUMMYFUNCTION("GOOGLETRANSLATE(B34536,""en"",""fr"")"),"À un moment donné, la caméra se concentre sur son visage pendant un moment.")</f>
        <v>À un moment donné, la caméra se concentre sur son visage pendant un moment.</v>
      </c>
    </row>
    <row r="34537">
      <c r="A34537" s="4" t="s">
        <v>43453</v>
      </c>
      <c r="B34537" s="4" t="s">
        <v>43459</v>
      </c>
      <c r="C34537" s="5" t="str">
        <f>IFERROR(__xludf.DUMMYFUNCTION("GOOGLETRANSLATE(B34537,""en"",""fr"")"),"La vidéo se termine par un autre écran de titre.")</f>
        <v>La vidéo se termine par un autre écran de titre.</v>
      </c>
    </row>
    <row r="34538">
      <c r="A34538" s="4" t="s">
        <v>43460</v>
      </c>
      <c r="B34538" s="4" t="s">
        <v>43461</v>
      </c>
      <c r="C34538" s="5" t="str">
        <f>IFERROR(__xludf.DUMMYFUNCTION("GOOGLETRANSLATE(B34538,""en"",""fr"")"),"Un cerf-volant vole au-dessus d'une plage.")</f>
        <v>Un cerf-volant vole au-dessus d'une plage.</v>
      </c>
    </row>
    <row r="34539">
      <c r="A34539" s="4" t="s">
        <v>43460</v>
      </c>
      <c r="B34539" s="4" t="s">
        <v>43462</v>
      </c>
      <c r="C34539" s="5" t="str">
        <f>IFERROR(__xludf.DUMMYFUNCTION("GOOGLETRANSLATE(B34539,""en"",""fr"")"),"Plusieurs personnes s'assoient sur la plage.")</f>
        <v>Plusieurs personnes s'assoient sur la plage.</v>
      </c>
    </row>
    <row r="34540">
      <c r="A34540" s="4" t="s">
        <v>43460</v>
      </c>
      <c r="B34540" s="4" t="s">
        <v>43463</v>
      </c>
      <c r="C34540" s="5" t="str">
        <f>IFERROR(__xludf.DUMMYFUNCTION("GOOGLETRANSLATE(B34540,""en"",""fr"")"),"Le cerf-volant monte à travers le ciel.")</f>
        <v>Le cerf-volant monte à travers le ciel.</v>
      </c>
    </row>
    <row r="34541">
      <c r="A34541" s="4" t="s">
        <v>43460</v>
      </c>
      <c r="B34541" s="4" t="s">
        <v>43464</v>
      </c>
      <c r="C34541" s="5" t="str">
        <f>IFERROR(__xludf.DUMMYFUNCTION("GOOGLETRANSLATE(B34541,""en"",""fr"")"),"Plusieurs personnes sont dans l'eau.")</f>
        <v>Plusieurs personnes sont dans l'eau.</v>
      </c>
    </row>
    <row r="34542">
      <c r="A34542" s="4" t="s">
        <v>43465</v>
      </c>
      <c r="B34542" s="4" t="s">
        <v>43466</v>
      </c>
      <c r="C34542" s="5" t="str">
        <f>IFERROR(__xludf.DUMMYFUNCTION("GOOGLETRANSLATE(B34542,""en"",""fr"")"),"Un vieil homme joue le ukulélé et un garçon joue les tam-tams dans la rue.")</f>
        <v>Un vieil homme joue le ukulélé et un garçon joue les tam-tams dans la rue.</v>
      </c>
    </row>
    <row r="34543">
      <c r="A34543" s="4" t="s">
        <v>43465</v>
      </c>
      <c r="B34543" s="4" t="s">
        <v>43467</v>
      </c>
      <c r="C34543" s="5" t="str">
        <f>IFERROR(__xludf.DUMMYFUNCTION("GOOGLETRANSLATE(B34543,""en"",""fr"")"),"Une personne passe devant les joueurs.")</f>
        <v>Une personne passe devant les joueurs.</v>
      </c>
    </row>
    <row r="34544">
      <c r="A34544" s="4" t="s">
        <v>43468</v>
      </c>
      <c r="B34544" s="6" t="s">
        <v>43469</v>
      </c>
      <c r="C34544" s="5" t="str">
        <f>IFERROR(__xludf.DUMMYFUNCTION("GOOGLETRANSLATE(B34544,""en"",""fr"")"),"Un ensemble d'instructions est représenté en transition et quatrième entre un homme posant le tapis sur un escalier.")</f>
        <v>Un ensemble d'instructions est représenté en transition et quatrième entre un homme posant le tapis sur un escalier.</v>
      </c>
    </row>
    <row r="34545">
      <c r="A34545" s="4" t="s">
        <v>43468</v>
      </c>
      <c r="B34545" s="4" t="s">
        <v>43470</v>
      </c>
      <c r="C34545" s="5" t="str">
        <f>IFERROR(__xludf.DUMMYFUNCTION("GOOGLETRANSLATE(B34545,""en"",""fr"")"),"Le texte continue de montrer pendant que l'homme présente du papier dans les escaliers.")</f>
        <v>Le texte continue de montrer pendant que l'homme présente du papier dans les escaliers.</v>
      </c>
    </row>
    <row r="34546">
      <c r="A34546" s="4" t="s">
        <v>43471</v>
      </c>
      <c r="B34546" s="4" t="s">
        <v>43472</v>
      </c>
      <c r="C34546" s="5" t="str">
        <f>IFERROR(__xludf.DUMMYFUNCTION("GOOGLETRANSLATE(B34546,""en"",""fr"")"),"Une femme est vue marcher le long d'un champ et jeter une corde de saut à une autre.")</f>
        <v>Une femme est vue marcher le long d'un champ et jeter une corde de saut à une autre.</v>
      </c>
    </row>
    <row r="34547">
      <c r="A34547" s="4" t="s">
        <v>43471</v>
      </c>
      <c r="B34547" s="4" t="s">
        <v>43473</v>
      </c>
      <c r="C34547" s="5" t="str">
        <f>IFERROR(__xludf.DUMMYFUNCTION("GOOGLETRANSLATE(B34547,""en"",""fr"")"),"Plusieurs clips sont suivis par les gens qui sautent dans divers endroits ainsi que les uns avec les autres.")</f>
        <v>Plusieurs clips sont suivis par les gens qui sautent dans divers endroits ainsi que les uns avec les autres.</v>
      </c>
    </row>
    <row r="34548">
      <c r="A34548" s="4" t="s">
        <v>43471</v>
      </c>
      <c r="B34548" s="6" t="s">
        <v>43474</v>
      </c>
      <c r="C34548" s="5" t="str">
        <f>IFERROR(__xludf.DUMMYFUNCTION("GOOGLETRANSLATE(B34548,""en"",""fr"")"),"Le groupe continue de danser et de sauter dans les lieux publics et se termine par un bébé tenant une corde.")</f>
        <v>Le groupe continue de danser et de sauter dans les lieux publics et se termine par un bébé tenant une corde.</v>
      </c>
    </row>
    <row r="34549">
      <c r="A34549" s="4" t="s">
        <v>43475</v>
      </c>
      <c r="B34549" s="4" t="s">
        <v>43476</v>
      </c>
      <c r="C34549" s="5" t="str">
        <f>IFERROR(__xludf.DUMMYFUNCTION("GOOGLETRANSLATE(B34549,""en"",""fr"")"),"Nous voyons deux hommes dans une rue de la ville et le titre se charge.")</f>
        <v>Nous voyons deux hommes dans une rue de la ville et le titre se charge.</v>
      </c>
    </row>
    <row r="34550">
      <c r="A34550" s="4" t="s">
        <v>43475</v>
      </c>
      <c r="B34550" s="4" t="s">
        <v>43477</v>
      </c>
      <c r="C34550" s="5" t="str">
        <f>IFERROR(__xludf.DUMMYFUNCTION("GOOGLETRANSLATE(B34550,""en"",""fr"")"),"Un homme enlève sa capuche et parle à la caméra.")</f>
        <v>Un homme enlève sa capuche et parle à la caméra.</v>
      </c>
    </row>
    <row r="34551">
      <c r="A34551" s="4" t="s">
        <v>43475</v>
      </c>
      <c r="B34551" s="4" t="s">
        <v>43478</v>
      </c>
      <c r="C34551" s="5" t="str">
        <f>IFERROR(__xludf.DUMMYFUNCTION("GOOGLETRANSLATE(B34551,""en"",""fr"")"),"Nous voyons des hommes dans les lames à rouleaux tomber puis patiner dans une balustrade.")</f>
        <v>Nous voyons des hommes dans les lames à rouleaux tomber puis patiner dans une balustrade.</v>
      </c>
    </row>
    <row r="34552">
      <c r="A34552" s="4" t="s">
        <v>43475</v>
      </c>
      <c r="B34552" s="4" t="s">
        <v>43479</v>
      </c>
      <c r="C34552" s="5" t="str">
        <f>IFERROR(__xludf.DUMMYFUNCTION("GOOGLETRANSLATE(B34552,""en"",""fr"")"),"Une personne clignote une lumière à l'appareil photo.")</f>
        <v>Une personne clignote une lumière à l'appareil photo.</v>
      </c>
    </row>
    <row r="34553">
      <c r="A34553" s="4" t="s">
        <v>43475</v>
      </c>
      <c r="B34553" s="4" t="s">
        <v>43480</v>
      </c>
      <c r="C34553" s="5" t="str">
        <f>IFERROR(__xludf.DUMMYFUNCTION("GOOGLETRANSLATE(B34553,""en"",""fr"")"),"Un homme tombe sur la balustrade.")</f>
        <v>Un homme tombe sur la balustrade.</v>
      </c>
    </row>
    <row r="34554">
      <c r="A34554" s="4" t="s">
        <v>43475</v>
      </c>
      <c r="B34554" s="4" t="s">
        <v>43481</v>
      </c>
      <c r="C34554" s="5" t="str">
        <f>IFERROR(__xludf.DUMMYFUNCTION("GOOGLETRANSLATE(B34554,""en"",""fr"")"),"Une personne tombe au bas des escaliers, puis la lumière clignote à nouveau.")</f>
        <v>Une personne tombe au bas des escaliers, puis la lumière clignote à nouveau.</v>
      </c>
    </row>
    <row r="34555">
      <c r="A34555" s="4" t="s">
        <v>43475</v>
      </c>
      <c r="B34555" s="4" t="s">
        <v>43482</v>
      </c>
      <c r="C34555" s="5" t="str">
        <f>IFERROR(__xludf.DUMMYFUNCTION("GOOGLETRANSLATE(B34555,""en"",""fr"")"),"Nous voyons un homme tomber dans la balustrade trois fois.")</f>
        <v>Nous voyons un homme tomber dans la balustrade trois fois.</v>
      </c>
    </row>
    <row r="34556">
      <c r="A34556" s="4" t="s">
        <v>43475</v>
      </c>
      <c r="B34556" s="4" t="s">
        <v>43483</v>
      </c>
      <c r="C34556" s="5" t="str">
        <f>IFERROR(__xludf.DUMMYFUNCTION("GOOGLETRANSLATE(B34556,""en"",""fr"")"),"Nous voyons les hommes parler et se serrer la main avant de voir l'écran de fin.")</f>
        <v>Nous voyons les hommes parler et se serrer la main avant de voir l'écran de fin.</v>
      </c>
    </row>
    <row r="34557">
      <c r="A34557" s="4" t="s">
        <v>43484</v>
      </c>
      <c r="B34557" s="4" t="s">
        <v>43485</v>
      </c>
      <c r="C34557" s="5" t="str">
        <f>IFERROR(__xludf.DUMMYFUNCTION("GOOGLETRANSLATE(B34557,""en"",""fr"")"),"Un homme frappe une balle avec une raquette de tennis.")</f>
        <v>Un homme frappe une balle avec une raquette de tennis.</v>
      </c>
    </row>
    <row r="34558">
      <c r="A34558" s="4" t="s">
        <v>43484</v>
      </c>
      <c r="B34558" s="4" t="s">
        <v>43486</v>
      </c>
      <c r="C34558" s="5" t="str">
        <f>IFERROR(__xludf.DUMMYFUNCTION("GOOGLETRANSLATE(B34558,""en"",""fr"")"),"Un autre homme le rejoint peu de temps après.")</f>
        <v>Un autre homme le rejoint peu de temps après.</v>
      </c>
    </row>
    <row r="34559">
      <c r="A34559" s="4" t="s">
        <v>43484</v>
      </c>
      <c r="B34559" s="6" t="s">
        <v>43487</v>
      </c>
      <c r="C34559" s="5" t="str">
        <f>IFERROR(__xludf.DUMMYFUNCTION("GOOGLETRANSLATE(B34559,""en"",""fr"")"),"Plusieurs angles différents sont montrés comme le groupe de quatre jouent devant un public, frappant rapidement le ballon dans les deux sens.")</f>
        <v>Plusieurs angles différents sont montrés comme le groupe de quatre jouent devant un public, frappant rapidement le ballon dans les deux sens.</v>
      </c>
    </row>
    <row r="34560">
      <c r="A34560" s="4" t="s">
        <v>43484</v>
      </c>
      <c r="B34560" s="4" t="s">
        <v>43488</v>
      </c>
      <c r="C34560" s="5" t="str">
        <f>IFERROR(__xludf.DUMMYFUNCTION("GOOGLETRANSLATE(B34560,""en"",""fr"")"),"Quand ils ont fini, les hommes s'éloignent, se tapotant les uns les autres sur le dos.")</f>
        <v>Quand ils ont fini, les hommes s'éloignent, se tapotant les uns les autres sur le dos.</v>
      </c>
    </row>
    <row r="34561">
      <c r="A34561" s="4" t="s">
        <v>43489</v>
      </c>
      <c r="B34561" s="4" t="s">
        <v>43490</v>
      </c>
      <c r="C34561" s="5" t="str">
        <f>IFERROR(__xludf.DUMMYFUNCTION("GOOGLETRANSLATE(B34561,""en"",""fr"")"),"Un groupe de femmes danse dans une classe aérobie dans un groupe à l'intérieur d'un studio de gym.")</f>
        <v>Un groupe de femmes danse dans une classe aérobie dans un groupe à l'intérieur d'un studio de gym.</v>
      </c>
    </row>
    <row r="34562">
      <c r="A34562" s="4" t="s">
        <v>43489</v>
      </c>
      <c r="B34562" s="4" t="s">
        <v>43491</v>
      </c>
      <c r="C34562" s="5" t="str">
        <f>IFERROR(__xludf.DUMMYFUNCTION("GOOGLETRANSLATE(B34562,""en"",""fr"")"),"Les femmes sautent de haut en bas sur les pieds alternés.")</f>
        <v>Les femmes sautent de haut en bas sur les pieds alternés.</v>
      </c>
    </row>
    <row r="34563">
      <c r="A34563" s="4" t="s">
        <v>43489</v>
      </c>
      <c r="B34563" s="4" t="s">
        <v>43492</v>
      </c>
      <c r="C34563" s="5" t="str">
        <f>IFERROR(__xludf.DUMMYFUNCTION("GOOGLETRANSLATE(B34563,""en"",""fr"")"),"La femme marche dans un sens en faisant quelques pas puis en arrière dans l'autre sens pendant la routine.")</f>
        <v>La femme marche dans un sens en faisant quelques pas puis en arrière dans l'autre sens pendant la routine.</v>
      </c>
    </row>
    <row r="34564">
      <c r="A34564" s="4" t="s">
        <v>43493</v>
      </c>
      <c r="B34564" s="4" t="s">
        <v>43494</v>
      </c>
      <c r="C34564" s="5" t="str">
        <f>IFERROR(__xludf.DUMMYFUNCTION("GOOGLETRANSLATE(B34564,""en"",""fr"")"),"Un homme se tient derrière un bar parlant à la caméra.")</f>
        <v>Un homme se tient derrière un bar parlant à la caméra.</v>
      </c>
    </row>
    <row r="34565">
      <c r="A34565" s="4" t="s">
        <v>43493</v>
      </c>
      <c r="B34565" s="4" t="s">
        <v>43495</v>
      </c>
      <c r="C34565" s="5" t="str">
        <f>IFERROR(__xludf.DUMMYFUNCTION("GOOGLETRANSLATE(B34565,""en"",""fr"")"),"L'homme garde un verre et le pose.")</f>
        <v>L'homme garde un verre et le pose.</v>
      </c>
    </row>
    <row r="34566">
      <c r="A34566" s="4" t="s">
        <v>43493</v>
      </c>
      <c r="B34566" s="4" t="s">
        <v>43496</v>
      </c>
      <c r="C34566" s="5" t="str">
        <f>IFERROR(__xludf.DUMMYFUNCTION("GOOGLETRANSLATE(B34566,""en"",""fr"")"),"L'homme ajoute de la glace à un verre et deux plans d'une liqueur rouge puis un autre.")</f>
        <v>L'homme ajoute de la glace à un verre et deux plans d'une liqueur rouge puis un autre.</v>
      </c>
    </row>
    <row r="34567">
      <c r="A34567" s="4" t="s">
        <v>43493</v>
      </c>
      <c r="B34567" s="4" t="s">
        <v>43497</v>
      </c>
      <c r="C34567" s="5" t="str">
        <f>IFERROR(__xludf.DUMMYFUNCTION("GOOGLETRANSLATE(B34567,""en"",""fr"")"),"L'homme met une passoire sur le verre et remue le verre avec un long bâton de métal.")</f>
        <v>L'homme met une passoire sur le verre et remue le verre avec un long bâton de métal.</v>
      </c>
    </row>
    <row r="34568">
      <c r="A34568" s="4" t="s">
        <v>43493</v>
      </c>
      <c r="B34568" s="4" t="s">
        <v>43498</v>
      </c>
      <c r="C34568" s="5" t="str">
        <f>IFERROR(__xludf.DUMMYFUNCTION("GOOGLETRANSLATE(B34568,""en"",""fr"")"),"L'homme le verse dans un verre martini.")</f>
        <v>L'homme le verse dans un verre martini.</v>
      </c>
    </row>
    <row r="34569">
      <c r="A34569" s="4" t="s">
        <v>43493</v>
      </c>
      <c r="B34569" s="4" t="s">
        <v>43499</v>
      </c>
      <c r="C34569" s="5" t="str">
        <f>IFERROR(__xludf.DUMMYFUNCTION("GOOGLETRANSLATE(B34569,""en"",""fr"")"),"L'homme sourit et tient la boisson en l'air.")</f>
        <v>L'homme sourit et tient la boisson en l'air.</v>
      </c>
    </row>
    <row r="34570">
      <c r="A34570" s="4" t="s">
        <v>43500</v>
      </c>
      <c r="B34570" s="4" t="s">
        <v>43501</v>
      </c>
      <c r="C34570" s="5" t="str">
        <f>IFERROR(__xludf.DUMMYFUNCTION("GOOGLETRANSLATE(B34570,""en"",""fr"")"),"Une fille montre une application de lentilles de contact à ses yeux dans une vidéo de gros plan extrême.")</f>
        <v>Une fille montre une application de lentilles de contact à ses yeux dans une vidéo de gros plan extrême.</v>
      </c>
    </row>
    <row r="34571">
      <c r="A34571" s="4" t="s">
        <v>43500</v>
      </c>
      <c r="B34571" s="4" t="s">
        <v>43502</v>
      </c>
      <c r="C34571" s="5" t="str">
        <f>IFERROR(__xludf.DUMMYFUNCTION("GOOGLETRANSLATE(B34571,""en"",""fr"")"),"Une diapositive rose semble conseiller que la personne n'est pas bonne pour appliquer des lentilles de contact.")</f>
        <v>Une diapositive rose semble conseiller que la personne n'est pas bonne pour appliquer des lentilles de contact.</v>
      </c>
    </row>
    <row r="34572">
      <c r="A34572" s="4" t="s">
        <v>43500</v>
      </c>
      <c r="B34572" s="6" t="s">
        <v>43503</v>
      </c>
      <c r="C34572" s="5" t="str">
        <f>IFERROR(__xludf.DUMMYFUNCTION("GOOGLETRANSLATE(B34572,""en"",""fr"")"),"Une fille aux cheveux blonds et à de longs ongles roses procède à l'application de lentilles de contact sur ses yeux dans une vidéo rapprochée qui capture l'objectif et l'œil avant et après.")</f>
        <v>Une fille aux cheveux blonds et à de longs ongles roses procède à l'application de lentilles de contact sur ses yeux dans une vidéo rapprochée qui capture l'objectif et l'œil avant et après.</v>
      </c>
    </row>
    <row r="34573">
      <c r="A34573" s="4" t="s">
        <v>43504</v>
      </c>
      <c r="B34573" s="4" t="s">
        <v>43505</v>
      </c>
      <c r="C34573" s="5" t="str">
        <f>IFERROR(__xludf.DUMMYFUNCTION("GOOGLETRANSLATE(B34573,""en"",""fr"")"),"On voit deux jeunes filles parler à la caméra et jouer les uns avec les autres.")</f>
        <v>On voit deux jeunes filles parler à la caméra et jouer les uns avec les autres.</v>
      </c>
    </row>
    <row r="34574">
      <c r="A34574" s="4" t="s">
        <v>43504</v>
      </c>
      <c r="B34574" s="4" t="s">
        <v>43506</v>
      </c>
      <c r="C34574" s="5" t="str">
        <f>IFERROR(__xludf.DUMMYFUNCTION("GOOGLETRANSLATE(B34574,""en"",""fr"")"),"Une fille retire ensuite une bouteille de vernis à ongles tandis que les autres vagues à la caméra.")</f>
        <v>Une fille retire ensuite une bouteille de vernis à ongles tandis que les autres vagues à la caméra.</v>
      </c>
    </row>
    <row r="34575">
      <c r="A34575" s="4" t="s">
        <v>43504</v>
      </c>
      <c r="B34575" s="6" t="s">
        <v>43507</v>
      </c>
      <c r="C34575" s="5" t="str">
        <f>IFERROR(__xludf.DUMMYFUNCTION("GOOGLETRANSLATE(B34575,""en"",""fr"")"),"Plus de clips sont représentés d'une fille qui tente de peindre les ongles de l'autre et se termine en agitant vers la caméra.")</f>
        <v>Plus de clips sont représentés d'une fille qui tente de peindre les ongles de l'autre et se termine en agitant vers la caméra.</v>
      </c>
    </row>
    <row r="34576">
      <c r="A34576" s="4" t="s">
        <v>43508</v>
      </c>
      <c r="B34576" s="4" t="s">
        <v>43509</v>
      </c>
      <c r="C34576" s="5" t="str">
        <f>IFERROR(__xludf.DUMMYFUNCTION("GOOGLETRANSLATE(B34576,""en"",""fr"")"),"Une vidéo de mouvement rapide est montrée de diverses personnes qui ratissent les feuilles dans une cour.")</f>
        <v>Une vidéo de mouvement rapide est montrée de diverses personnes qui ratissent les feuilles dans une cour.</v>
      </c>
    </row>
    <row r="34577">
      <c r="A34577" s="4" t="s">
        <v>43508</v>
      </c>
      <c r="B34577" s="4" t="s">
        <v>43510</v>
      </c>
      <c r="C34577" s="5" t="str">
        <f>IFERROR(__xludf.DUMMYFUNCTION("GOOGLETRANSLATE(B34577,""en"",""fr"")"),"Deux garçons se regardent et continuent de ratir les fuites jusqu'à ce que la cour soit terminée.")</f>
        <v>Deux garçons se regardent et continuent de ratir les fuites jusqu'à ce que la cour soit terminée.</v>
      </c>
    </row>
    <row r="34578">
      <c r="A34578" s="4" t="s">
        <v>43511</v>
      </c>
      <c r="B34578" s="4" t="s">
        <v>43512</v>
      </c>
      <c r="C34578" s="5" t="str">
        <f>IFERROR(__xludf.DUMMYFUNCTION("GOOGLETRANSLATE(B34578,""en"",""fr"")"),"Un homme tourne son corps, se préparant à lancer son disque.")</f>
        <v>Un homme tourne son corps, se préparant à lancer son disque.</v>
      </c>
    </row>
    <row r="34579">
      <c r="A34579" s="4" t="s">
        <v>43511</v>
      </c>
      <c r="B34579" s="4" t="s">
        <v>43513</v>
      </c>
      <c r="C34579" s="5" t="str">
        <f>IFERROR(__xludf.DUMMYFUNCTION("GOOGLETRANSLATE(B34579,""en"",""fr"")"),"L'homme jette le disque très fort.")</f>
        <v>L'homme jette le disque très fort.</v>
      </c>
    </row>
    <row r="34580">
      <c r="A34580" s="4" t="s">
        <v>43511</v>
      </c>
      <c r="B34580" s="4" t="s">
        <v>43514</v>
      </c>
      <c r="C34580" s="5" t="str">
        <f>IFERROR(__xludf.DUMMYFUNCTION("GOOGLETRANSLATE(B34580,""en"",""fr"")"),"L'homme regarde devant son disque.")</f>
        <v>L'homme regarde devant son disque.</v>
      </c>
    </row>
    <row r="34581">
      <c r="A34581" s="4" t="s">
        <v>43515</v>
      </c>
      <c r="B34581" s="6" t="s">
        <v>43516</v>
      </c>
      <c r="C34581" s="5" t="str">
        <f>IFERROR(__xludf.DUMMYFUNCTION("GOOGLETRANSLATE(B34581,""en"",""fr"")"),"Un jeune homme est vu porter des lunettes et parler à la caméra suivi par le saut en sautant dans la piscine.")</f>
        <v>Un jeune homme est vu porter des lunettes et parler à la caméra suivi par le saut en sautant dans la piscine.</v>
      </c>
    </row>
    <row r="34582">
      <c r="A34582" s="4" t="s">
        <v>43515</v>
      </c>
      <c r="B34582" s="6" t="s">
        <v>43517</v>
      </c>
      <c r="C34582" s="5" t="str">
        <f>IFERROR(__xludf.DUMMYFUNCTION("GOOGLETRANSLATE(B34582,""en"",""fr"")"),"Le garçon sort et est revu sautant à nouveau dans la piscine et nageant sur le côté pour présenter un objet.")</f>
        <v>Le garçon sort et est revu sautant à nouveau dans la piscine et nageant sur le côté pour présenter un objet.</v>
      </c>
    </row>
    <row r="34583">
      <c r="A34583" s="4" t="s">
        <v>43518</v>
      </c>
      <c r="B34583" s="4" t="s">
        <v>43519</v>
      </c>
      <c r="C34583" s="5" t="str">
        <f>IFERROR(__xludf.DUMMYFUNCTION("GOOGLETRANSLATE(B34583,""en"",""fr"")"),"Un homme présente les concepts de basket-ball de la vidéo à la caméra.")</f>
        <v>Un homme présente les concepts de basket-ball de la vidéo à la caméra.</v>
      </c>
    </row>
    <row r="34584">
      <c r="A34584" s="4" t="s">
        <v>43518</v>
      </c>
      <c r="B34584" s="4" t="s">
        <v>43520</v>
      </c>
      <c r="C34584" s="5" t="str">
        <f>IFERROR(__xludf.DUMMYFUNCTION("GOOGLETRANSLATE(B34584,""en"",""fr"")"),"Le joueur commence d'un côté du terrain et court et présente le basket-ball dans le filet.")</f>
        <v>Le joueur commence d'un côté du terrain et court et présente le basket-ball dans le filet.</v>
      </c>
    </row>
    <row r="34585">
      <c r="A34585" s="4" t="s">
        <v>43518</v>
      </c>
      <c r="B34585" s="4" t="s">
        <v>43521</v>
      </c>
      <c r="C34585" s="5" t="str">
        <f>IFERROR(__xludf.DUMMYFUNCTION("GOOGLETRANSLATE(B34585,""en"",""fr"")"),"Il répète autour de la cour sous tous les angles.")</f>
        <v>Il répète autour de la cour sous tous les angles.</v>
      </c>
    </row>
    <row r="34586">
      <c r="A34586" s="4" t="s">
        <v>43518</v>
      </c>
      <c r="B34586" s="4" t="s">
        <v>43522</v>
      </c>
      <c r="C34586" s="5" t="str">
        <f>IFERROR(__xludf.DUMMYFUNCTION("GOOGLETRANSLATE(B34586,""en"",""fr"")"),"L'homme revient pour reprendre les concepts à la fermeture de la vidéo.")</f>
        <v>L'homme revient pour reprendre les concepts à la fermeture de la vidéo.</v>
      </c>
    </row>
    <row r="34587">
      <c r="A34587" s="4" t="s">
        <v>43523</v>
      </c>
      <c r="B34587" s="4" t="s">
        <v>43524</v>
      </c>
      <c r="C34587" s="5" t="str">
        <f>IFERROR(__xludf.DUMMYFUNCTION("GOOGLETRANSLATE(B34587,""en"",""fr"")"),"L'athlète équilibre dans le haricot alors que l'homme a sorti le pull de printemps.")</f>
        <v>L'athlète équilibre dans le haricot alors que l'homme a sorti le pull de printemps.</v>
      </c>
    </row>
    <row r="34588">
      <c r="A34588" s="4" t="s">
        <v>43523</v>
      </c>
      <c r="B34588" s="4" t="s">
        <v>43525</v>
      </c>
      <c r="C34588" s="5" t="str">
        <f>IFERROR(__xludf.DUMMYFUNCTION("GOOGLETRANSLATE(B34588,""en"",""fr"")"),"L'athlète a fait rouler sur la poutre alors que la foule applaudissait.")</f>
        <v>L'athlète a fait rouler sur la poutre alors que la foule applaudissait.</v>
      </c>
    </row>
    <row r="34589">
      <c r="A34589" s="4" t="s">
        <v>43523</v>
      </c>
      <c r="B34589" s="6" t="s">
        <v>43526</v>
      </c>
      <c r="C34589" s="5" t="str">
        <f>IFERROR(__xludf.DUMMYFUNCTION("GOOGLETRANSLATE(B34589,""en"",""fr"")"),"Lorsque l'athlète féminine a terminé son numéro, elle a sauté de la roue de carton du faisceau sur le tapis bleu.")</f>
        <v>Lorsque l'athlète féminine a terminé son numéro, elle a sauté de la roue de carton du faisceau sur le tapis bleu.</v>
      </c>
    </row>
    <row r="34590">
      <c r="A34590" s="4" t="s">
        <v>43527</v>
      </c>
      <c r="B34590" s="6" t="s">
        <v>43528</v>
      </c>
      <c r="C34590" s="5" t="str">
        <f>IFERROR(__xludf.DUMMYFUNCTION("GOOGLETRANSLATE(B34590,""en"",""fr"")"),"La vidéo montre des clips de joueurs de gymnastique effectuant des tours le long d'une zone rembourrée, tandis que les juges et les spectateurs regardent et applaudissent.")</f>
        <v>La vidéo montre des clips de joueurs de gymnastique effectuant des tours le long d'une zone rembourrée, tandis que les juges et les spectateurs regardent et applaudissent.</v>
      </c>
    </row>
    <row r="34591">
      <c r="A34591" s="4" t="s">
        <v>43527</v>
      </c>
      <c r="B34591" s="4" t="s">
        <v>43529</v>
      </c>
      <c r="C34591" s="5" t="str">
        <f>IFERROR(__xludf.DUMMYFUNCTION("GOOGLETRANSLATE(B34591,""en"",""fr"")"),"Le premier joueur lui frappe la tête à la fin de sa performance.")</f>
        <v>Le premier joueur lui frappe la tête à la fin de sa performance.</v>
      </c>
    </row>
    <row r="34592">
      <c r="A34592" s="4" t="s">
        <v>43527</v>
      </c>
      <c r="B34592" s="6" t="s">
        <v>43530</v>
      </c>
      <c r="C34592" s="5" t="str">
        <f>IFERROR(__xludf.DUMMYFUNCTION("GOOGLETRANSLATE(B34592,""en"",""fr"")"),"La vidéo continue de montrer de nombreux autres gymnastes en compétition, le public applaudissant après la fin de chaque performance.")</f>
        <v>La vidéo continue de montrer de nombreux autres gymnastes en compétition, le public applaudissant après la fin de chaque performance.</v>
      </c>
    </row>
    <row r="34593">
      <c r="A34593" s="4" t="s">
        <v>43527</v>
      </c>
      <c r="B34593" s="4" t="s">
        <v>43531</v>
      </c>
      <c r="C34593" s="5" t="str">
        <f>IFERROR(__xludf.DUMMYFUNCTION("GOOGLETRANSLATE(B34593,""en"",""fr"")"),"La vidéo se termine par un artiste masculin.")</f>
        <v>La vidéo se termine par un artiste masculin.</v>
      </c>
    </row>
    <row r="34594">
      <c r="A34594" s="4" t="s">
        <v>43532</v>
      </c>
      <c r="B34594" s="4" t="s">
        <v>43533</v>
      </c>
      <c r="C34594" s="5" t="str">
        <f>IFERROR(__xludf.DUMMYFUNCTION("GOOGLETRANSLATE(B34594,""en"",""fr"")"),"Une femme apparaît et disparaît sous l'eau alors qu'elle nage dans une piscine olympique.")</f>
        <v>Une femme apparaît et disparaît sous l'eau alors qu'elle nage dans une piscine olympique.</v>
      </c>
    </row>
    <row r="34595">
      <c r="A34595" s="4" t="s">
        <v>43532</v>
      </c>
      <c r="B34595" s="4" t="s">
        <v>43534</v>
      </c>
      <c r="C34595" s="5" t="str">
        <f>IFERROR(__xludf.DUMMYFUNCTION("GOOGLETRANSLATE(B34595,""en"",""fr"")"),"Elle est vue nager d'une manière en forme de poisson sous l'eau.")</f>
        <v>Elle est vue nager d'une manière en forme de poisson sous l'eau.</v>
      </c>
    </row>
    <row r="34596">
      <c r="A34596" s="4" t="s">
        <v>43532</v>
      </c>
      <c r="B34596" s="4" t="s">
        <v>43535</v>
      </c>
      <c r="C34596" s="5" t="str">
        <f>IFERROR(__xludf.DUMMYFUNCTION("GOOGLETRANSLATE(B34596,""en"",""fr"")"),"Elle affiche plusieurs styles et mouvements de natation différents.")</f>
        <v>Elle affiche plusieurs styles et mouvements de natation différents.</v>
      </c>
    </row>
    <row r="34597">
      <c r="A34597" s="4" t="s">
        <v>43536</v>
      </c>
      <c r="B34597" s="6" t="s">
        <v>43537</v>
      </c>
      <c r="C34597" s="5" t="str">
        <f>IFERROR(__xludf.DUMMYFUNCTION("GOOGLETRANSLATE(B34597,""en"",""fr"")"),"Une intro à effet spécial qui ressemble à une planche à craie sur le bois apparaît et les mots dessus disent une école de ski en haut à gauche, et les mots du milieu disent ""Conseils de ski: rotation du pied"" avec un site Web en bas et une icône Blue Ci"&amp;"rcle en haut à droite.")</f>
        <v>Une intro à effet spécial qui ressemble à une planche à craie sur le bois apparaît et les mots dessus disent une école de ski en haut à gauche, et les mots du milieu disent "Conseils de ski: rotation du pied" avec un site Web en bas et une icône Blue Circle en haut à droite.</v>
      </c>
    </row>
    <row r="34598">
      <c r="A34598" s="4" t="s">
        <v>43536</v>
      </c>
      <c r="B34598" s="6" t="s">
        <v>43538</v>
      </c>
      <c r="C34598" s="5" t="str">
        <f>IFERROR(__xludf.DUMMYFUNCTION("GOOGLETRANSLATE(B34598,""en"",""fr"")"),"Un homme skis en vue et il se tient sur une montagne enneigée avec beaucoup d'arbres et il parle et a l'air de donner des conseils sur la façon de skier alors qu'il démontre physiquement et continue de parler tout le temps.")</f>
        <v>Un homme skis en vue et il se tient sur une montagne enneigée avec beaucoup d'arbres et il parle et a l'air de donner des conseils sur la façon de skier alors qu'il démontre physiquement et continue de parler tout le temps.</v>
      </c>
    </row>
    <row r="34599">
      <c r="A34599" s="4" t="s">
        <v>43536</v>
      </c>
      <c r="B34599" s="4" t="s">
        <v>43539</v>
      </c>
      <c r="C34599" s="5" t="str">
        <f>IFERROR(__xludf.DUMMYFUNCTION("GOOGLETRANSLATE(B34599,""en"",""fr"")"),"L'homme est maintenant de retour à son point de départ où il se tenait à l'origine et il parle à nouveau.")</f>
        <v>L'homme est maintenant de retour à son point de départ où il se tenait à l'origine et il parle à nouveau.</v>
      </c>
    </row>
    <row r="34600">
      <c r="A34600" s="4" t="s">
        <v>43536</v>
      </c>
      <c r="B34600" s="6" t="s">
        <v>43540</v>
      </c>
      <c r="C34600" s="5" t="str">
        <f>IFERROR(__xludf.DUMMYFUNCTION("GOOGLETRANSLATE(B34600,""en"",""fr"")"),"L'écran d'affect spécial apparaît avec un fond en bois et 4 images différentes sur l'écran avec des mots sous eux.")</f>
        <v>L'écran d'affect spécial apparaît avec un fond en bois et 4 images différentes sur l'écran avec des mots sous eux.</v>
      </c>
    </row>
    <row r="34601">
      <c r="A34601" s="4" t="s">
        <v>43541</v>
      </c>
      <c r="B34601" s="4" t="s">
        <v>43542</v>
      </c>
      <c r="C34601" s="5" t="str">
        <f>IFERROR(__xludf.DUMMYFUNCTION("GOOGLETRANSLATE(B34601,""en"",""fr"")"),"Deux hommes se tiennent sur un but de basket.")</f>
        <v>Deux hommes se tiennent sur un but de basket.</v>
      </c>
    </row>
    <row r="34602">
      <c r="A34602" s="4" t="s">
        <v>43541</v>
      </c>
      <c r="B34602" s="4" t="s">
        <v>43543</v>
      </c>
      <c r="C34602" s="5" t="str">
        <f>IFERROR(__xludf.DUMMYFUNCTION("GOOGLETRANSLATE(B34602,""en"",""fr"")"),"Ils commencent à faire des layups, puis se tiennent à nouveau à la caméra.")</f>
        <v>Ils commencent à faire des layups, puis se tiennent à nouveau à la caméra.</v>
      </c>
    </row>
    <row r="34603">
      <c r="A34603" s="4" t="s">
        <v>43544</v>
      </c>
      <c r="B34603" s="4" t="s">
        <v>43545</v>
      </c>
      <c r="C34603" s="5" t="str">
        <f>IFERROR(__xludf.DUMMYFUNCTION("GOOGLETRANSLATE(B34603,""en"",""fr"")"),"L'homme parle à la vidéo de prise de vue de la caméra.")</f>
        <v>L'homme parle à la vidéo de prise de vue de la caméra.</v>
      </c>
    </row>
    <row r="34604">
      <c r="A34604" s="4" t="s">
        <v>43544</v>
      </c>
      <c r="B34604" s="4" t="s">
        <v>43546</v>
      </c>
      <c r="C34604" s="5" t="str">
        <f>IFERROR(__xludf.DUMMYFUNCTION("GOOGLETRANSLATE(B34604,""en"",""fr"")"),"Les joueurs de football sont montrés pratiquant leurs mouvements.")</f>
        <v>Les joueurs de football sont montrés pratiquant leurs mouvements.</v>
      </c>
    </row>
    <row r="34605">
      <c r="A34605" s="4" t="s">
        <v>43544</v>
      </c>
      <c r="B34605" s="4" t="s">
        <v>43547</v>
      </c>
      <c r="C34605" s="5" t="str">
        <f>IFERROR(__xludf.DUMMYFUNCTION("GOOGLETRANSLATE(B34605,""en"",""fr"")"),"Les joueurs de football prennent des tirs.")</f>
        <v>Les joueurs de football prennent des tirs.</v>
      </c>
    </row>
    <row r="34606">
      <c r="A34606" s="4" t="s">
        <v>43544</v>
      </c>
      <c r="B34606" s="4" t="s">
        <v>43548</v>
      </c>
      <c r="C34606" s="5" t="str">
        <f>IFERROR(__xludf.DUMMYFUNCTION("GOOGLETRANSLATE(B34606,""en"",""fr"")"),"L'homme est repoussé du tribunal.")</f>
        <v>L'homme est repoussé du tribunal.</v>
      </c>
    </row>
    <row r="34607">
      <c r="A34607" s="4" t="s">
        <v>43544</v>
      </c>
      <c r="B34607" s="4" t="s">
        <v>43549</v>
      </c>
      <c r="C34607" s="5" t="str">
        <f>IFERROR(__xludf.DUMMYFUNCTION("GOOGLETRANSLATE(B34607,""en"",""fr"")"),"L'homme est félicité pour son objectif.")</f>
        <v>L'homme est félicité pour son objectif.</v>
      </c>
    </row>
    <row r="34608">
      <c r="A34608" s="4" t="s">
        <v>43544</v>
      </c>
      <c r="B34608" s="4" t="s">
        <v>43550</v>
      </c>
      <c r="C34608" s="5" t="str">
        <f>IFERROR(__xludf.DUMMYFUNCTION("GOOGLETRANSLATE(B34608,""en"",""fr"")"),"L'homme secoue la main à la caméra.")</f>
        <v>L'homme secoue la main à la caméra.</v>
      </c>
    </row>
    <row r="34609">
      <c r="A34609" s="4" t="s">
        <v>43551</v>
      </c>
      <c r="B34609" s="6" t="s">
        <v>43552</v>
      </c>
      <c r="C34609" s="5" t="str">
        <f>IFERROR(__xludf.DUMMYFUNCTION("GOOGLETRANSLATE(B34609,""en"",""fr"")"),"Ces gens jouent au remorqueur contre le lutteur de sumo qui sont plus de 4 fois leur taille et les petites personnes gagnent contre eux.")</f>
        <v>Ces gens jouent au remorqueur contre le lutteur de sumo qui sont plus de 4 fois leur taille et les petites personnes gagnent contre eux.</v>
      </c>
    </row>
    <row r="34610">
      <c r="A34610" s="4" t="s">
        <v>43551</v>
      </c>
      <c r="B34610" s="6" t="s">
        <v>43553</v>
      </c>
      <c r="C34610" s="5" t="str">
        <f>IFERROR(__xludf.DUMMYFUNCTION("GOOGLETRANSLATE(B34610,""en"",""fr"")"),"En fin de compte, le peuple et les lutteurs de sumo prennent des selfies et les lutteurs de sumo ouvrent le Fanta et se jettent les uns sur les autres.")</f>
        <v>En fin de compte, le peuple et les lutteurs de sumo prennent des selfies et les lutteurs de sumo ouvrent le Fanta et se jettent les uns sur les autres.</v>
      </c>
    </row>
    <row r="34611">
      <c r="A34611" s="4" t="s">
        <v>43554</v>
      </c>
      <c r="B34611" s="4" t="s">
        <v>43555</v>
      </c>
      <c r="C34611" s="5" t="str">
        <f>IFERROR(__xludf.DUMMYFUNCTION("GOOGLETRANSLATE(B34611,""en"",""fr"")"),"Un homme portant un chapeau noir parle.")</f>
        <v>Un homme portant un chapeau noir parle.</v>
      </c>
    </row>
    <row r="34612">
      <c r="A34612" s="4" t="s">
        <v>43554</v>
      </c>
      <c r="B34612" s="4" t="s">
        <v>43556</v>
      </c>
      <c r="C34612" s="5" t="str">
        <f>IFERROR(__xludf.DUMMYFUNCTION("GOOGLETRANSLATE(B34612,""en"",""fr"")"),"Un homme dribble un ballon de basket autour de quelques cônes et tire le ballon.")</f>
        <v>Un homme dribble un ballon de basket autour de quelques cônes et tire le ballon.</v>
      </c>
    </row>
    <row r="34613">
      <c r="A34613" s="4" t="s">
        <v>43554</v>
      </c>
      <c r="B34613" s="4" t="s">
        <v>43557</v>
      </c>
      <c r="C34613" s="5" t="str">
        <f>IFERROR(__xludf.DUMMYFUNCTION("GOOGLETRANSLATE(B34613,""en"",""fr"")"),"Deux personnes jouent au basket.")</f>
        <v>Deux personnes jouent au basket.</v>
      </c>
    </row>
    <row r="34614">
      <c r="A34614" s="4" t="s">
        <v>43554</v>
      </c>
      <c r="B34614" s="4" t="s">
        <v>43558</v>
      </c>
      <c r="C34614" s="5" t="str">
        <f>IFERROR(__xludf.DUMMYFUNCTION("GOOGLETRANSLATE(B34614,""en"",""fr"")"),"Un homme dribble un ballon de basket sur un terrain.")</f>
        <v>Un homme dribble un ballon de basket sur un terrain.</v>
      </c>
    </row>
    <row r="34615">
      <c r="A34615" s="4" t="s">
        <v>43559</v>
      </c>
      <c r="B34615" s="4" t="s">
        <v>43560</v>
      </c>
      <c r="C34615" s="5" t="str">
        <f>IFERROR(__xludf.DUMMYFUNCTION("GOOGLETRANSLATE(B34615,""en"",""fr"")"),"Un homme est assis sur un tabouret pendant que le chien est devant lui, le chien porte une laisse rouge.")</f>
        <v>Un homme est assis sur un tabouret pendant que le chien est devant lui, le chien porte une laisse rouge.</v>
      </c>
    </row>
    <row r="34616">
      <c r="A34616" s="4" t="s">
        <v>43559</v>
      </c>
      <c r="B34616" s="4" t="s">
        <v>43561</v>
      </c>
      <c r="C34616" s="5" t="str">
        <f>IFERROR(__xludf.DUMMYFUNCTION("GOOGLETRANSLATE(B34616,""en"",""fr"")"),"Un chien blanc se cache derrière le mur.")</f>
        <v>Un chien blanc se cache derrière le mur.</v>
      </c>
    </row>
    <row r="34617">
      <c r="A34617" s="4" t="s">
        <v>43559</v>
      </c>
      <c r="B34617" s="4" t="s">
        <v>43562</v>
      </c>
      <c r="C34617" s="5" t="str">
        <f>IFERROR(__xludf.DUMMYFUNCTION("GOOGLETRANSLATE(B34617,""en"",""fr"")"),"Un homme frôle la fourrure du chien sur le côté d'abord à l'arrière.")</f>
        <v>Un homme frôle la fourrure du chien sur le côté d'abord à l'arrière.</v>
      </c>
    </row>
    <row r="34618">
      <c r="A34618" s="4" t="s">
        <v>43559</v>
      </c>
      <c r="B34618" s="4" t="s">
        <v>43563</v>
      </c>
      <c r="C34618" s="5" t="str">
        <f>IFERROR(__xludf.DUMMYFUNCTION("GOOGLETRANSLATE(B34618,""en"",""fr"")"),"L'homme a commencé à raser la jambe avant du chien.")</f>
        <v>L'homme a commencé à raser la jambe avant du chien.</v>
      </c>
    </row>
    <row r="34619">
      <c r="A34619" s="4" t="s">
        <v>43559</v>
      </c>
      <c r="B34619" s="4" t="s">
        <v>43564</v>
      </c>
      <c r="C34619" s="5" t="str">
        <f>IFERROR(__xludf.DUMMYFUNCTION("GOOGLETRANSLATE(B34619,""en"",""fr"")"),"Un chien blanc est allongé sur le lit brun.")</f>
        <v>Un chien blanc est allongé sur le lit brun.</v>
      </c>
    </row>
    <row r="34620">
      <c r="A34620" s="4" t="s">
        <v>43559</v>
      </c>
      <c r="B34620" s="4" t="s">
        <v>43565</v>
      </c>
      <c r="C34620" s="5" t="str">
        <f>IFERROR(__xludf.DUMMYFUNCTION("GOOGLETRANSLATE(B34620,""en"",""fr"")"),"Le chien beige est allongé sur le tapis pendant que l'homme rasait le beige.")</f>
        <v>Le chien beige est allongé sur le tapis pendant que l'homme rasait le beige.</v>
      </c>
    </row>
    <row r="34621">
      <c r="A34621" s="4" t="s">
        <v>43559</v>
      </c>
      <c r="B34621" s="6" t="s">
        <v>43566</v>
      </c>
      <c r="C34621" s="5" t="str">
        <f>IFERROR(__xludf.DUMMYFUNCTION("GOOGLETRANSLATE(B34621,""en"",""fr"")"),"Le chien blanc frottant son visage sur la table en verre, puis le chien beige est debout sur le verre assis puis assis sur la table, puis le chien blanc se tient à côté du chien beige.")</f>
        <v>Le chien blanc frottant son visage sur la table en verre, puis le chien beige est debout sur le verre assis puis assis sur la table, puis le chien blanc se tient à côté du chien beige.</v>
      </c>
    </row>
    <row r="34622">
      <c r="A34622" s="4" t="s">
        <v>43567</v>
      </c>
      <c r="B34622" s="4" t="s">
        <v>43568</v>
      </c>
      <c r="C34622" s="5" t="str">
        <f>IFERROR(__xludf.DUMMYFUNCTION("GOOGLETRANSLATE(B34622,""en"",""fr"")"),"Nous voyons une personne en équipement de hockey patiner sur la glace.")</f>
        <v>Nous voyons une personne en équipement de hockey patiner sur la glace.</v>
      </c>
    </row>
    <row r="34623">
      <c r="A34623" s="4" t="s">
        <v>43567</v>
      </c>
      <c r="B34623" s="4" t="s">
        <v>43569</v>
      </c>
      <c r="C34623" s="5" t="str">
        <f>IFERROR(__xludf.DUMMYFUNCTION("GOOGLETRANSLATE(B34623,""en"",""fr"")"),"Une autre personne entre et nous regardons deux personnes jouer au hockey.")</f>
        <v>Une autre personne entre et nous regardons deux personnes jouer au hockey.</v>
      </c>
    </row>
    <row r="34624">
      <c r="A34624" s="4" t="s">
        <v>43567</v>
      </c>
      <c r="B34624" s="4" t="s">
        <v>43570</v>
      </c>
      <c r="C34624" s="5" t="str">
        <f>IFERROR(__xludf.DUMMYFUNCTION("GOOGLETRANSLATE(B34624,""en"",""fr"")"),"Nous voyons la rondelle tomber devant la caméra.")</f>
        <v>Nous voyons la rondelle tomber devant la caméra.</v>
      </c>
    </row>
    <row r="34625">
      <c r="A34625" s="4" t="s">
        <v>43567</v>
      </c>
      <c r="B34625" s="4" t="s">
        <v>43571</v>
      </c>
      <c r="C34625" s="5" t="str">
        <f>IFERROR(__xludf.DUMMYFUNCTION("GOOGLETRANSLATE(B34625,""en"",""fr"")"),"La personne fait tomber le gardien de but au sol.")</f>
        <v>La personne fait tomber le gardien de but au sol.</v>
      </c>
    </row>
    <row r="34626">
      <c r="A34626" s="4" t="s">
        <v>43567</v>
      </c>
      <c r="B34626" s="4" t="s">
        <v>43572</v>
      </c>
      <c r="C34626" s="5" t="str">
        <f>IFERROR(__xludf.DUMMYFUNCTION("GOOGLETRANSLATE(B34626,""en"",""fr"")"),"Le gardien de but patine jusqu'à la caméra.")</f>
        <v>Le gardien de but patine jusqu'à la caméra.</v>
      </c>
    </row>
    <row r="34627">
      <c r="A34627" s="4" t="s">
        <v>43573</v>
      </c>
      <c r="B34627" s="6" t="s">
        <v>43574</v>
      </c>
      <c r="C34627" s="5" t="str">
        <f>IFERROR(__xludf.DUMMYFUNCTION("GOOGLETRANSLATE(B34627,""en"",""fr"")"),"Un gars donne une leçon sur les planches de neige, il met une grosse marque de frottement sur la planche pour maintenir les placers de pied en place.")</f>
        <v>Un gars donne une leçon sur les planches de neige, il met une grosse marque de frottement sur la planche pour maintenir les placers de pied en place.</v>
      </c>
    </row>
    <row r="34628">
      <c r="A34628" s="4" t="s">
        <v>43573</v>
      </c>
      <c r="B34628" s="6" t="s">
        <v>43575</v>
      </c>
      <c r="C34628" s="5" t="str">
        <f>IFERROR(__xludf.DUMMYFUNCTION("GOOGLETRANSLATE(B34628,""en"",""fr"")"),"Le gars montre la différence entre les planches de neige et les a mis sur un objet pour lisser le bas de la planche pour un meilleur ski.")</f>
        <v>Le gars montre la différence entre les planches de neige et les a mis sur un objet pour lisser le bas de la planche pour un meilleur ski.</v>
      </c>
    </row>
    <row r="34629">
      <c r="A34629" s="4" t="s">
        <v>43576</v>
      </c>
      <c r="B34629" s="4" t="s">
        <v>43577</v>
      </c>
      <c r="C34629" s="5" t="str">
        <f>IFERROR(__xludf.DUMMYFUNCTION("GOOGLETRANSLATE(B34629,""en"",""fr"")"),"Une femme attire une planche de marelle sur le sol à la craie.")</f>
        <v>Une femme attire une planche de marelle sur le sol à la craie.</v>
      </c>
    </row>
    <row r="34630">
      <c r="A34630" s="4" t="s">
        <v>43576</v>
      </c>
      <c r="B34630" s="4" t="s">
        <v>43578</v>
      </c>
      <c r="C34630" s="5" t="str">
        <f>IFERROR(__xludf.DUMMYFUNCTION("GOOGLETRANSLATE(B34630,""en"",""fr"")"),"Elle se lève et se dirige vers l'avant du tableau de laplototch.")</f>
        <v>Elle se lève et se dirige vers l'avant du tableau de laplototch.</v>
      </c>
    </row>
    <row r="34631">
      <c r="A34631" s="4" t="s">
        <v>43576</v>
      </c>
      <c r="B34631" s="4" t="s">
        <v>43579</v>
      </c>
      <c r="C34631" s="5" t="str">
        <f>IFERROR(__xludf.DUMMYFUNCTION("GOOGLETRANSLATE(B34631,""en"",""fr"")"),"Elle commence à sauter sur la planche.")</f>
        <v>Elle commence à sauter sur la planche.</v>
      </c>
    </row>
    <row r="34632">
      <c r="A34632" s="4" t="s">
        <v>43580</v>
      </c>
      <c r="B34632" s="4" t="s">
        <v>43581</v>
      </c>
      <c r="C34632" s="5" t="str">
        <f>IFERROR(__xludf.DUMMYFUNCTION("GOOGLETRANSLATE(B34632,""en"",""fr"")"),"Les gens se promènent dans le terrain de basket.")</f>
        <v>Les gens se promènent dans le terrain de basket.</v>
      </c>
    </row>
    <row r="34633">
      <c r="A34633" s="4" t="s">
        <v>43580</v>
      </c>
      <c r="B34633" s="4" t="s">
        <v>43582</v>
      </c>
      <c r="C34633" s="5" t="str">
        <f>IFERROR(__xludf.DUMMYFUNCTION("GOOGLETRANSLATE(B34633,""en"",""fr"")"),"Une équipe de danseurs marche sur le terrain de basket et relève de l'attention.")</f>
        <v>Une équipe de danseurs marche sur le terrain de basket et relève de l'attention.</v>
      </c>
    </row>
    <row r="34634">
      <c r="A34634" s="4" t="s">
        <v>43580</v>
      </c>
      <c r="B34634" s="4" t="s">
        <v>43583</v>
      </c>
      <c r="C34634" s="5" t="str">
        <f>IFERROR(__xludf.DUMMYFUNCTION("GOOGLETRANSLATE(B34634,""en"",""fr"")"),"Alors que les spectateurs applaudissent, l'équipe se retourne à l'unisson.")</f>
        <v>Alors que les spectateurs applaudissent, l'équipe se retourne à l'unisson.</v>
      </c>
    </row>
    <row r="34635">
      <c r="A34635" s="4" t="s">
        <v>43580</v>
      </c>
      <c r="B34635" s="4" t="s">
        <v>43584</v>
      </c>
      <c r="C34635" s="5" t="str">
        <f>IFERROR(__xludf.DUMMYFUNCTION("GOOGLETRANSLATE(B34635,""en"",""fr"")"),"L'équipe fait leur routine.")</f>
        <v>L'équipe fait leur routine.</v>
      </c>
    </row>
    <row r="34636">
      <c r="A34636" s="4" t="s">
        <v>43580</v>
      </c>
      <c r="B34636" s="4" t="s">
        <v>43585</v>
      </c>
      <c r="C34636" s="5" t="str">
        <f>IFERROR(__xludf.DUMMYFUNCTION("GOOGLETRANSLATE(B34636,""en"",""fr"")"),"L'équipe termine leur routine et sort du sol.")</f>
        <v>L'équipe termine leur routine et sort du sol.</v>
      </c>
    </row>
    <row r="34637">
      <c r="A34637" s="4" t="s">
        <v>43586</v>
      </c>
      <c r="B34637" s="4" t="s">
        <v>43587</v>
      </c>
      <c r="C34637" s="5" t="str">
        <f>IFERROR(__xludf.DUMMYFUNCTION("GOOGLETRANSLATE(B34637,""en"",""fr"")"),"Un homme soutient sa jambe sur le côté d'une baignoire.")</f>
        <v>Un homme soutient sa jambe sur le côté d'une baignoire.</v>
      </c>
    </row>
    <row r="34638">
      <c r="A34638" s="4" t="s">
        <v>43586</v>
      </c>
      <c r="B34638" s="4" t="s">
        <v>43588</v>
      </c>
      <c r="C34638" s="5" t="str">
        <f>IFERROR(__xludf.DUMMYFUNCTION("GOOGLETRANSLATE(B34638,""en"",""fr"")"),"Il se rasait la jambe avec un rasoir, révélant un tatouage en dessous.")</f>
        <v>Il se rasait la jambe avec un rasoir, révélant un tatouage en dessous.</v>
      </c>
    </row>
    <row r="34639">
      <c r="A34639" s="4" t="s">
        <v>43586</v>
      </c>
      <c r="B34639" s="4" t="s">
        <v>43589</v>
      </c>
      <c r="C34639" s="5" t="str">
        <f>IFERROR(__xludf.DUMMYFUNCTION("GOOGLETRANSLATE(B34639,""en"",""fr"")"),"Quand il a fini, il essuie les cheveux et montre un tatouage de Homer Simpson comme le Grim Reaper.")</f>
        <v>Quand il a fini, il essuie les cheveux et montre un tatouage de Homer Simpson comme le Grim Reaper.</v>
      </c>
    </row>
    <row r="34640">
      <c r="A34640" s="4" t="s">
        <v>43590</v>
      </c>
      <c r="B34640" s="4" t="s">
        <v>43591</v>
      </c>
      <c r="C34640" s="5" t="str">
        <f>IFERROR(__xludf.DUMMYFUNCTION("GOOGLETRANSLATE(B34640,""en"",""fr"")"),"Une publicité de tube est à l'écran.")</f>
        <v>Une publicité de tube est à l'écran.</v>
      </c>
    </row>
    <row r="34641">
      <c r="A34641" s="4" t="s">
        <v>43590</v>
      </c>
      <c r="B34641" s="4" t="s">
        <v>43592</v>
      </c>
      <c r="C34641" s="5" t="str">
        <f>IFERROR(__xludf.DUMMYFUNCTION("GOOGLETRANSLATE(B34641,""en"",""fr"")"),"Les tubercules descendent la rivière.")</f>
        <v>Les tubercules descendent la rivière.</v>
      </c>
    </row>
    <row r="34642">
      <c r="A34642" s="4" t="s">
        <v>43590</v>
      </c>
      <c r="B34642" s="4" t="s">
        <v>43593</v>
      </c>
      <c r="C34642" s="5" t="str">
        <f>IFERROR(__xludf.DUMMYFUNCTION("GOOGLETRANSLATE(B34642,""en"",""fr"")"),"La publicité de Virginie-Occidentale est à l'écran.")</f>
        <v>La publicité de Virginie-Occidentale est à l'écran.</v>
      </c>
    </row>
    <row r="34643">
      <c r="A34643" s="4" t="s">
        <v>43590</v>
      </c>
      <c r="B34643" s="4" t="s">
        <v>43594</v>
      </c>
      <c r="C34643" s="5" t="str">
        <f>IFERROR(__xludf.DUMMYFUNCTION("GOOGLETRANSLATE(B34643,""en"",""fr"")"),"Un tubercule passe sous une planche avec un chien dessus.")</f>
        <v>Un tubercule passe sous une planche avec un chien dessus.</v>
      </c>
    </row>
    <row r="34644">
      <c r="A34644" s="4" t="s">
        <v>43590</v>
      </c>
      <c r="B34644" s="4" t="s">
        <v>43595</v>
      </c>
      <c r="C34644" s="5" t="str">
        <f>IFERROR(__xludf.DUMMYFUNCTION("GOOGLETRANSLATE(B34644,""en"",""fr"")"),"La caméra est pointée vers le ciel et les arbres.")</f>
        <v>La caméra est pointée vers le ciel et les arbres.</v>
      </c>
    </row>
    <row r="34645">
      <c r="A34645" s="4" t="s">
        <v>43590</v>
      </c>
      <c r="B34645" s="4" t="s">
        <v>43596</v>
      </c>
      <c r="C34645" s="5" t="str">
        <f>IFERROR(__xludf.DUMMYFUNCTION("GOOGLETRANSLATE(B34645,""en"",""fr"")"),"Un tubercule se heurte à des branches, on se lève et tombe.")</f>
        <v>Un tubercule se heurte à des branches, on se lève et tombe.</v>
      </c>
    </row>
    <row r="34646">
      <c r="A34646" s="4" t="s">
        <v>43590</v>
      </c>
      <c r="B34646" s="4" t="s">
        <v>43597</v>
      </c>
      <c r="C34646" s="5" t="str">
        <f>IFERROR(__xludf.DUMMYFUNCTION("GOOGLETRANSLATE(B34646,""en"",""fr"")"),"Le caméraman tourne les cercles dans son tube puis a une collation.")</f>
        <v>Le caméraman tourne les cercles dans son tube puis a une collation.</v>
      </c>
    </row>
    <row r="34647">
      <c r="A34647" s="4" t="s">
        <v>43590</v>
      </c>
      <c r="B34647" s="4" t="s">
        <v>43598</v>
      </c>
      <c r="C34647" s="5" t="str">
        <f>IFERROR(__xludf.DUMMYFUNCTION("GOOGLETRANSLATE(B34647,""en"",""fr"")"),"Un gars se fait emmêler la tête dans les branches.")</f>
        <v>Un gars se fait emmêler la tête dans les branches.</v>
      </c>
    </row>
    <row r="34648">
      <c r="A34648" s="4" t="s">
        <v>43590</v>
      </c>
      <c r="B34648" s="4" t="s">
        <v>43599</v>
      </c>
      <c r="C34648" s="5" t="str">
        <f>IFERROR(__xludf.DUMMYFUNCTION("GOOGLETRANSLATE(B34648,""en"",""fr"")"),"La vidéo se termine par des publicités.")</f>
        <v>La vidéo se termine par des publicités.</v>
      </c>
    </row>
    <row r="34649">
      <c r="A34649" s="4" t="s">
        <v>43600</v>
      </c>
      <c r="B34649" s="4" t="s">
        <v>43601</v>
      </c>
      <c r="C34649" s="5" t="str">
        <f>IFERROR(__xludf.DUMMYFUNCTION("GOOGLETRANSLATE(B34649,""en"",""fr"")"),"Un logo sportif clignote à l'écran.")</f>
        <v>Un logo sportif clignote à l'écran.</v>
      </c>
    </row>
    <row r="34650">
      <c r="A34650" s="4" t="s">
        <v>43600</v>
      </c>
      <c r="B34650" s="4" t="s">
        <v>43602</v>
      </c>
      <c r="C34650" s="5" t="str">
        <f>IFERROR(__xludf.DUMMYFUNCTION("GOOGLETRANSLATE(B34650,""en"",""fr"")"),"Une femme parlant dans un microphone portant une chemise blanche.")</f>
        <v>Une femme parlant dans un microphone portant une chemise blanche.</v>
      </c>
    </row>
    <row r="34651">
      <c r="A34651" s="4" t="s">
        <v>43600</v>
      </c>
      <c r="B34651" s="4" t="s">
        <v>43603</v>
      </c>
      <c r="C34651" s="5" t="str">
        <f>IFERROR(__xludf.DUMMYFUNCTION("GOOGLETRANSLATE(B34651,""en"",""fr"")"),"Un homme joue une piscine derrière une table de billard bleue.")</f>
        <v>Un homme joue une piscine derrière une table de billard bleue.</v>
      </c>
    </row>
    <row r="34652">
      <c r="A34652" s="4" t="s">
        <v>43600</v>
      </c>
      <c r="B34652" s="4" t="s">
        <v>43604</v>
      </c>
      <c r="C34652" s="5" t="str">
        <f>IFERROR(__xludf.DUMMYFUNCTION("GOOGLETRANSLATE(B34652,""en"",""fr"")"),"La femme continue de parler devant la table de billard.")</f>
        <v>La femme continue de parler devant la table de billard.</v>
      </c>
    </row>
    <row r="34653">
      <c r="A34653" s="4" t="s">
        <v>43600</v>
      </c>
      <c r="B34653" s="4" t="s">
        <v>43605</v>
      </c>
      <c r="C34653" s="5" t="str">
        <f>IFERROR(__xludf.DUMMYFUNCTION("GOOGLETRANSLATE(B34653,""en"",""fr"")"),"La femme et l'homme se parlent.")</f>
        <v>La femme et l'homme se parlent.</v>
      </c>
    </row>
    <row r="34654">
      <c r="A34654" s="4" t="s">
        <v>43600</v>
      </c>
      <c r="B34654" s="4" t="s">
        <v>43606</v>
      </c>
      <c r="C34654" s="5" t="str">
        <f>IFERROR(__xludf.DUMMYFUNCTION("GOOGLETRANSLATE(B34654,""en"",""fr"")"),"Un trophée clignote sur l'écran.")</f>
        <v>Un trophée clignote sur l'écran.</v>
      </c>
    </row>
    <row r="34655">
      <c r="A34655" s="4" t="s">
        <v>43600</v>
      </c>
      <c r="B34655" s="4" t="s">
        <v>43607</v>
      </c>
      <c r="C34655" s="5" t="str">
        <f>IFERROR(__xludf.DUMMYFUNCTION("GOOGLETRANSLATE(B34655,""en"",""fr"")"),"L'homme et la femme continuent de parler.")</f>
        <v>L'homme et la femme continuent de parler.</v>
      </c>
    </row>
    <row r="34656">
      <c r="A34656" s="4" t="s">
        <v>43600</v>
      </c>
      <c r="B34656" s="4" t="s">
        <v>43608</v>
      </c>
      <c r="C34656" s="5" t="str">
        <f>IFERROR(__xludf.DUMMYFUNCTION("GOOGLETRANSLATE(B34656,""en"",""fr"")"),"L'homme joue à nouveau la piscine.")</f>
        <v>L'homme joue à nouveau la piscine.</v>
      </c>
    </row>
    <row r="34657">
      <c r="A34657" s="4" t="s">
        <v>43600</v>
      </c>
      <c r="B34657" s="4" t="s">
        <v>43609</v>
      </c>
      <c r="C34657" s="5" t="str">
        <f>IFERROR(__xludf.DUMMYFUNCTION("GOOGLETRANSLATE(B34657,""en"",""fr"")"),"L'homme et la femme continuent de se parler.")</f>
        <v>L'homme et la femme continuent de se parler.</v>
      </c>
    </row>
    <row r="34658">
      <c r="A34658" s="4" t="s">
        <v>43600</v>
      </c>
      <c r="B34658" s="4" t="s">
        <v>43610</v>
      </c>
      <c r="C34658" s="5" t="str">
        <f>IFERROR(__xludf.DUMMYFUNCTION("GOOGLETRANSLATE(B34658,""en"",""fr"")"),"Il revient à la table de billard.")</f>
        <v>Il revient à la table de billard.</v>
      </c>
    </row>
    <row r="34659">
      <c r="A34659" s="4" t="s">
        <v>43600</v>
      </c>
      <c r="B34659" s="4" t="s">
        <v>43611</v>
      </c>
      <c r="C34659" s="5" t="str">
        <f>IFERROR(__xludf.DUMMYFUNCTION("GOOGLETRANSLATE(B34659,""en"",""fr"")"),"L'homme et la femme continuent de parler et la femme se moque de ce que dit l'homme.")</f>
        <v>L'homme et la femme continuent de parler et la femme se moque de ce que dit l'homme.</v>
      </c>
    </row>
    <row r="34660">
      <c r="A34660" s="4" t="s">
        <v>43600</v>
      </c>
      <c r="B34660" s="4" t="s">
        <v>43612</v>
      </c>
      <c r="C34660" s="5" t="str">
        <f>IFERROR(__xludf.DUMMYFUNCTION("GOOGLETRANSLATE(B34660,""en"",""fr"")"),"L'homme enseigne maintenant à la femme à tirer sur le ballon de piscine tout en se tenant derrière elle.")</f>
        <v>L'homme enseigne maintenant à la femme à tirer sur le ballon de piscine tout en se tenant derrière elle.</v>
      </c>
    </row>
    <row r="34661">
      <c r="A34661" s="4" t="s">
        <v>43600</v>
      </c>
      <c r="B34661" s="4" t="s">
        <v>43613</v>
      </c>
      <c r="C34661" s="5" t="str">
        <f>IFERROR(__xludf.DUMMYFUNCTION("GOOGLETRANSLATE(B34661,""en"",""fr"")"),"La femme fait le coup et ils célèbrent avec un high cinq.")</f>
        <v>La femme fait le coup et ils célèbrent avec un high cinq.</v>
      </c>
    </row>
    <row r="34662">
      <c r="A34662" s="4" t="s">
        <v>43600</v>
      </c>
      <c r="B34662" s="4" t="s">
        <v>43614</v>
      </c>
      <c r="C34662" s="5" t="str">
        <f>IFERROR(__xludf.DUMMYFUNCTION("GOOGLETRANSLATE(B34662,""en"",""fr"")"),"L'homme dit à la femme comment faire un autre coup.")</f>
        <v>L'homme dit à la femme comment faire un autre coup.</v>
      </c>
    </row>
    <row r="34663">
      <c r="A34663" s="4" t="s">
        <v>43600</v>
      </c>
      <c r="B34663" s="4" t="s">
        <v>43615</v>
      </c>
      <c r="C34663" s="5" t="str">
        <f>IFERROR(__xludf.DUMMYFUNCTION("GOOGLETRANSLATE(B34663,""en"",""fr"")"),"Elle essaie le tir et le fait et ils sont à nouveau cinq.")</f>
        <v>Elle essaie le tir et le fait et ils sont à nouveau cinq.</v>
      </c>
    </row>
    <row r="34664">
      <c r="A34664" s="4" t="s">
        <v>43600</v>
      </c>
      <c r="B34664" s="4" t="s">
        <v>43616</v>
      </c>
      <c r="C34664" s="5" t="str">
        <f>IFERROR(__xludf.DUMMYFUNCTION("GOOGLETRANSLATE(B34664,""en"",""fr"")"),"Ils continuent de parler et de rire.")</f>
        <v>Ils continuent de parler et de rire.</v>
      </c>
    </row>
    <row r="34665">
      <c r="A34665" s="4" t="s">
        <v>43600</v>
      </c>
      <c r="B34665" s="4" t="s">
        <v>43617</v>
      </c>
      <c r="C34665" s="5" t="str">
        <f>IFERROR(__xludf.DUMMYFUNCTION("GOOGLETRANSLATE(B34665,""en"",""fr"")"),"La femme se couche sur la table de billard et il tire une balle hors de sa bouche.")</f>
        <v>La femme se couche sur la table de billard et il tire une balle hors de sa bouche.</v>
      </c>
    </row>
    <row r="34666">
      <c r="A34666" s="4" t="s">
        <v>43600</v>
      </c>
      <c r="B34666" s="4" t="s">
        <v>43618</v>
      </c>
      <c r="C34666" s="5" t="str">
        <f>IFERROR(__xludf.DUMMYFUNCTION("GOOGLETRANSLATE(B34666,""en"",""fr"")"),"La femme est assise sur une chaise à côté de la table de billard pour parler dans le microphone.")</f>
        <v>La femme est assise sur une chaise à côté de la table de billard pour parler dans le microphone.</v>
      </c>
    </row>
    <row r="34667">
      <c r="A34667" s="4" t="s">
        <v>43600</v>
      </c>
      <c r="B34667" s="4" t="s">
        <v>43619</v>
      </c>
      <c r="C34667" s="5" t="str">
        <f>IFERROR(__xludf.DUMMYFUNCTION("GOOGLETRANSLATE(B34667,""en"",""fr"")"),"Un logo maximal clignote à l'écran.")</f>
        <v>Un logo maximal clignote à l'écran.</v>
      </c>
    </row>
    <row r="34668">
      <c r="A34668" s="4" t="s">
        <v>43620</v>
      </c>
      <c r="B34668" s="6" t="s">
        <v>43621</v>
      </c>
      <c r="C34668" s="5" t="str">
        <f>IFERROR(__xludf.DUMMYFUNCTION("GOOGLETRANSLATE(B34668,""en"",""fr"")"),"Un homme montre comment appliquer le maquillage sur un visage en appliquant un maquillage sur son propre visage dans la caméra.")</f>
        <v>Un homme montre comment appliquer le maquillage sur un visage en appliquant un maquillage sur son propre visage dans la caméra.</v>
      </c>
    </row>
    <row r="34669">
      <c r="A34669" s="4" t="s">
        <v>43620</v>
      </c>
      <c r="B34669" s="4" t="s">
        <v>43622</v>
      </c>
      <c r="C34669" s="5" t="str">
        <f>IFERROR(__xludf.DUMMYFUNCTION("GOOGLETRANSLATE(B34669,""en"",""fr"")"),"Un homme parle à la caméra, se fermer, tout en se tenant devant un miroir.")</f>
        <v>Un homme parle à la caméra, se fermer, tout en se tenant devant un miroir.</v>
      </c>
    </row>
    <row r="34670">
      <c r="A34670" s="4" t="s">
        <v>43620</v>
      </c>
      <c r="B34670" s="6" t="s">
        <v>43623</v>
      </c>
      <c r="C34670" s="5" t="str">
        <f>IFERROR(__xludf.DUMMYFUNCTION("GOOGLETRANSLATE(B34670,""en"",""fr"")"),"L'homme commence à mettre le rougissement du maquillage à l'aide d'un pinceau et à brosser les pommes de ses joues.")</f>
        <v>L'homme commence à mettre le rougissement du maquillage à l'aide d'un pinceau et à brosser les pommes de ses joues.</v>
      </c>
    </row>
    <row r="34671">
      <c r="A34671" s="4" t="s">
        <v>43620</v>
      </c>
      <c r="B34671" s="6" t="s">
        <v>43624</v>
      </c>
      <c r="C34671" s="5" t="str">
        <f>IFERROR(__xludf.DUMMYFUNCTION("GOOGLETRANSLATE(B34671,""en"",""fr"")"),"L'homme dirige ensuite un outil de maquillage de crayon sur ses joues avant de revenir pour appliquer une rougissement sur ses joues et son front.")</f>
        <v>L'homme dirige ensuite un outil de maquillage de crayon sur ses joues avant de revenir pour appliquer une rougissement sur ses joues et son front.</v>
      </c>
    </row>
    <row r="34672">
      <c r="A34672" s="4" t="s">
        <v>43620</v>
      </c>
      <c r="B34672" s="6" t="s">
        <v>43625</v>
      </c>
      <c r="C34672" s="5" t="str">
        <f>IFERROR(__xludf.DUMMYFUNCTION("GOOGLETRANSLATE(B34672,""en"",""fr"")"),"L'homme utilise ensuite un pinceau étroit et large sur ses joues, puis de retour à la brosse ordinaire pour les mêmes zones de son visage.")</f>
        <v>L'homme utilise ensuite un pinceau étroit et large sur ses joues, puis de retour à la brosse ordinaire pour les mêmes zones de son visage.</v>
      </c>
    </row>
    <row r="34673">
      <c r="A34673" s="4" t="s">
        <v>43626</v>
      </c>
      <c r="B34673" s="4" t="s">
        <v>43627</v>
      </c>
      <c r="C34673" s="5" t="str">
        <f>IFERROR(__xludf.DUMMYFUNCTION("GOOGLETRANSLATE(B34673,""en"",""fr"")"),"Une intro mène à un homme tenant un violon et jouant avec ses mains.")</f>
        <v>Une intro mène à un homme tenant un violon et jouant avec ses mains.</v>
      </c>
    </row>
    <row r="34674">
      <c r="A34674" s="4" t="s">
        <v>43626</v>
      </c>
      <c r="B34674" s="6" t="s">
        <v>43628</v>
      </c>
      <c r="C34674" s="5" t="str">
        <f>IFERROR(__xludf.DUMMYFUNCTION("GOOGLETRANSLATE(B34674,""en"",""fr"")"),"L'homme continue de jouer, puis fait une pause pour parler à la caméra tout en montrant comment jouer correctement.")</f>
        <v>L'homme continue de jouer, puis fait une pause pour parler à la caméra tout en montrant comment jouer correctement.</v>
      </c>
    </row>
    <row r="34675">
      <c r="A34675" s="4" t="s">
        <v>43629</v>
      </c>
      <c r="B34675" s="4" t="s">
        <v>43630</v>
      </c>
      <c r="C34675" s="5" t="str">
        <f>IFERROR(__xludf.DUMMYFUNCTION("GOOGLETRANSLATE(B34675,""en"",""fr"")"),"Un homme nettoie la plante de ses baskets avec l'extrémité métallique mince d'un tuyau.")</f>
        <v>Un homme nettoie la plante de ses baskets avec l'extrémité métallique mince d'un tuyau.</v>
      </c>
    </row>
    <row r="34676">
      <c r="A34676" s="4" t="s">
        <v>43629</v>
      </c>
      <c r="B34676" s="4" t="s">
        <v>43631</v>
      </c>
      <c r="C34676" s="5" t="str">
        <f>IFERROR(__xludf.DUMMYFUNCTION("GOOGLETRANSLATE(B34676,""en"",""fr"")"),"L'homme place le tuyau et commence à partir.")</f>
        <v>L'homme place le tuyau et commence à partir.</v>
      </c>
    </row>
    <row r="34677">
      <c r="A34677" s="4" t="s">
        <v>43632</v>
      </c>
      <c r="B34677" s="4" t="s">
        <v>43633</v>
      </c>
      <c r="C34677" s="5" t="str">
        <f>IFERROR(__xludf.DUMMYFUNCTION("GOOGLETRANSLATE(B34677,""en"",""fr"")"),"Un homme danse sur une scène en pantalon blanc.")</f>
        <v>Un homme danse sur une scène en pantalon blanc.</v>
      </c>
    </row>
    <row r="34678">
      <c r="A34678" s="4" t="s">
        <v>43632</v>
      </c>
      <c r="B34678" s="4" t="s">
        <v>43634</v>
      </c>
      <c r="C34678" s="5" t="str">
        <f>IFERROR(__xludf.DUMMYFUNCTION("GOOGLETRANSLATE(B34678,""en"",""fr"")"),"Deux personnes commencent à danser ensemble sur une scène.")</f>
        <v>Deux personnes commencent à danser ensemble sur une scène.</v>
      </c>
    </row>
    <row r="34679">
      <c r="A34679" s="4" t="s">
        <v>43632</v>
      </c>
      <c r="B34679" s="4" t="s">
        <v>43635</v>
      </c>
      <c r="C34679" s="5" t="str">
        <f>IFERROR(__xludf.DUMMYFUNCTION("GOOGLETRANSLATE(B34679,""en"",""fr"")"),"Un homme fait plusieurs flips de dos sur la scène.")</f>
        <v>Un homme fait plusieurs flips de dos sur la scène.</v>
      </c>
    </row>
    <row r="34680">
      <c r="A34680" s="4" t="s">
        <v>43632</v>
      </c>
      <c r="B34680" s="4" t="s">
        <v>43636</v>
      </c>
      <c r="C34680" s="5" t="str">
        <f>IFERROR(__xludf.DUMMYFUNCTION("GOOGLETRANSLATE(B34680,""en"",""fr"")"),"Une personne joue un tambour.")</f>
        <v>Une personne joue un tambour.</v>
      </c>
    </row>
    <row r="34681">
      <c r="A34681" s="4" t="s">
        <v>43637</v>
      </c>
      <c r="B34681" s="6" t="s">
        <v>43638</v>
      </c>
      <c r="C34681" s="5" t="str">
        <f>IFERROR(__xludf.DUMMYFUNCTION("GOOGLETRANSLATE(B34681,""en"",""fr"")"),"Plusieurs personnes sont vues monter sur une colline sur des lames à rouleaux tandis qu'une personne sur un vélo de police se rend devant.")</f>
        <v>Plusieurs personnes sont vues monter sur une colline sur des lames à rouleaux tandis qu'une personne sur un vélo de police se rend devant.</v>
      </c>
    </row>
    <row r="34682">
      <c r="A34682" s="4" t="s">
        <v>43637</v>
      </c>
      <c r="B34682" s="4" t="s">
        <v>43639</v>
      </c>
      <c r="C34682" s="5" t="str">
        <f>IFERROR(__xludf.DUMMYFUNCTION("GOOGLETRANSLATE(B34682,""en"",""fr"")"),"À un moment donné, plusieurs personnes tombent et trébuchent les unes sur les autres, mais continuez à monter leurs lames.")</f>
        <v>À un moment donné, plusieurs personnes tombent et trébuchent les unes sur les autres, mais continuez à monter leurs lames.</v>
      </c>
    </row>
    <row r="34683">
      <c r="A34683" s="4" t="s">
        <v>43640</v>
      </c>
      <c r="B34683" s="4" t="s">
        <v>43641</v>
      </c>
      <c r="C34683" s="5" t="str">
        <f>IFERROR(__xludf.DUMMYFUNCTION("GOOGLETRANSLATE(B34683,""en"",""fr"")"),"Un homme monté sur un cheval poursuit une vache.")</f>
        <v>Un homme monté sur un cheval poursuit une vache.</v>
      </c>
    </row>
    <row r="34684">
      <c r="A34684" s="4" t="s">
        <v>43640</v>
      </c>
      <c r="B34684" s="4" t="s">
        <v>43642</v>
      </c>
      <c r="C34684" s="5" t="str">
        <f>IFERROR(__xludf.DUMMYFUNCTION("GOOGLETRANSLATE(B34684,""en"",""fr"")"),"Il attrape la vache avec une corde.")</f>
        <v>Il attrape la vache avec une corde.</v>
      </c>
    </row>
    <row r="34685">
      <c r="A34685" s="4" t="s">
        <v>43640</v>
      </c>
      <c r="B34685" s="4" t="s">
        <v>43643</v>
      </c>
      <c r="C34685" s="5" t="str">
        <f>IFERROR(__xludf.DUMMYFUNCTION("GOOGLETRANSLATE(B34685,""en"",""fr"")"),"Il monte le cheval et frappe la vache plusieurs fois.")</f>
        <v>Il monte le cheval et frappe la vache plusieurs fois.</v>
      </c>
    </row>
    <row r="34686">
      <c r="A34686" s="4" t="s">
        <v>43644</v>
      </c>
      <c r="B34686" s="4" t="s">
        <v>43645</v>
      </c>
      <c r="C34686" s="5" t="str">
        <f>IFERROR(__xludf.DUMMYFUNCTION("GOOGLETRANSLATE(B34686,""en"",""fr"")"),"Un homme se tient autour d'un foyer, parlant.")</f>
        <v>Un homme se tient autour d'un foyer, parlant.</v>
      </c>
    </row>
    <row r="34687">
      <c r="A34687" s="4" t="s">
        <v>43644</v>
      </c>
      <c r="B34687" s="4" t="s">
        <v>43646</v>
      </c>
      <c r="C34687" s="5" t="str">
        <f>IFERROR(__xludf.DUMMYFUNCTION("GOOGLETRANSLATE(B34687,""en"",""fr"")"),"L'homme allume une torche.")</f>
        <v>L'homme allume une torche.</v>
      </c>
    </row>
    <row r="34688">
      <c r="A34688" s="4" t="s">
        <v>43644</v>
      </c>
      <c r="B34688" s="4" t="s">
        <v>43647</v>
      </c>
      <c r="C34688" s="5" t="str">
        <f>IFERROR(__xludf.DUMMYFUNCTION("GOOGLETRANSLATE(B34688,""en"",""fr"")"),"L'homme utilise la torche pour allumer le bois dans le foyer.")</f>
        <v>L'homme utilise la torche pour allumer le bois dans le foyer.</v>
      </c>
    </row>
    <row r="34689">
      <c r="A34689" s="4" t="s">
        <v>43644</v>
      </c>
      <c r="B34689" s="4" t="s">
        <v>43648</v>
      </c>
      <c r="C34689" s="5" t="str">
        <f>IFERROR(__xludf.DUMMYFUNCTION("GOOGLETRANSLATE(B34689,""en"",""fr"")"),"L'homme est assis près du foyer, profitant de la chaleur.")</f>
        <v>L'homme est assis près du foyer, profitant de la chaleur.</v>
      </c>
    </row>
    <row r="34690">
      <c r="A34690" s="4" t="s">
        <v>43649</v>
      </c>
      <c r="B34690" s="4" t="s">
        <v>43650</v>
      </c>
      <c r="C34690" s="5" t="str">
        <f>IFERROR(__xludf.DUMMYFUNCTION("GOOGLETRANSLATE(B34690,""en"",""fr"")"),"Un homme en chemise noire vérifie la nourriture dans un sandwicherie.")</f>
        <v>Un homme en chemise noire vérifie la nourriture dans un sandwicherie.</v>
      </c>
    </row>
    <row r="34691">
      <c r="A34691" s="4" t="s">
        <v>43649</v>
      </c>
      <c r="B34691" s="4" t="s">
        <v>43651</v>
      </c>
      <c r="C34691" s="5" t="str">
        <f>IFERROR(__xludf.DUMMYFUNCTION("GOOGLETRANSLATE(B34691,""en"",""fr"")"),"L'homme se déplace ensuite rapidement pour faire un sandwich Hoagie en ajoutant des ingrédients des bacs.")</f>
        <v>L'homme se déplace ensuite rapidement pour faire un sandwich Hoagie en ajoutant des ingrédients des bacs.</v>
      </c>
    </row>
    <row r="34692">
      <c r="A34692" s="4" t="s">
        <v>43649</v>
      </c>
      <c r="B34692" s="4" t="s">
        <v>43652</v>
      </c>
      <c r="C34692" s="5" t="str">
        <f>IFERROR(__xludf.DUMMYFUNCTION("GOOGLETRANSLATE(B34692,""en"",""fr"")"),"L'homme enroule le sandwich en papier et le met dans un sac en plastique.")</f>
        <v>L'homme enroule le sandwich en papier et le met dans un sac en plastique.</v>
      </c>
    </row>
    <row r="34693">
      <c r="A34693" s="4" t="s">
        <v>43649</v>
      </c>
      <c r="B34693" s="4" t="s">
        <v>43653</v>
      </c>
      <c r="C34693" s="5" t="str">
        <f>IFERROR(__xludf.DUMMYFUNCTION("GOOGLETRANSLATE(B34693,""en"",""fr"")"),"Nous voyons sur un téléphone que l'homme a fait le sandwich en 41 secondes.")</f>
        <v>Nous voyons sur un téléphone que l'homme a fait le sandwich en 41 secondes.</v>
      </c>
    </row>
    <row r="34694">
      <c r="A34694" s="4" t="s">
        <v>43649</v>
      </c>
      <c r="B34694" s="4" t="s">
        <v>43654</v>
      </c>
      <c r="C34694" s="5" t="str">
        <f>IFERROR(__xludf.DUMMYFUNCTION("GOOGLETRANSLATE(B34694,""en"",""fr"")"),"L'homme démonte ensuite le sandwich à l'arrière.")</f>
        <v>L'homme démonte ensuite le sandwich à l'arrière.</v>
      </c>
    </row>
    <row r="34695">
      <c r="A34695" s="4" t="s">
        <v>43655</v>
      </c>
      <c r="B34695" s="4" t="s">
        <v>6935</v>
      </c>
      <c r="C34695" s="5" t="str">
        <f>IFERROR(__xludf.DUMMYFUNCTION("GOOGLETRANSLATE(B34695,""en"",""fr"")"),"Le texte apparaît brièvement à l'écran.")</f>
        <v>Le texte apparaît brièvement à l'écran.</v>
      </c>
    </row>
    <row r="34696">
      <c r="A34696" s="4" t="s">
        <v>43655</v>
      </c>
      <c r="B34696" s="4" t="s">
        <v>43656</v>
      </c>
      <c r="C34696" s="5" t="str">
        <f>IFERROR(__xludf.DUMMYFUNCTION("GOOGLETRANSLATE(B34696,""en"",""fr"")"),"L'appareil photo se déroule sur le côté d'une clôture.")</f>
        <v>L'appareil photo se déroule sur le côté d'une clôture.</v>
      </c>
    </row>
    <row r="34697">
      <c r="A34697" s="4" t="s">
        <v>43655</v>
      </c>
      <c r="B34697" s="4" t="s">
        <v>43657</v>
      </c>
      <c r="C34697" s="5" t="str">
        <f>IFERROR(__xludf.DUMMYFUNCTION("GOOGLETRANSLATE(B34697,""en"",""fr"")"),"Il s'arrête dans une section cassée.")</f>
        <v>Il s'arrête dans une section cassée.</v>
      </c>
    </row>
    <row r="34698">
      <c r="A34698" s="4" t="s">
        <v>43655</v>
      </c>
      <c r="B34698" s="4" t="s">
        <v>43658</v>
      </c>
      <c r="C34698" s="5" t="str">
        <f>IFERROR(__xludf.DUMMYFUNCTION("GOOGLETRANSLATE(B34698,""en"",""fr"")"),"Il continue de se dérouler la clôture.")</f>
        <v>Il continue de se dérouler la clôture.</v>
      </c>
    </row>
    <row r="34699">
      <c r="A34699" s="4" t="s">
        <v>43655</v>
      </c>
      <c r="B34699" s="4" t="s">
        <v>43659</v>
      </c>
      <c r="C34699" s="5" t="str">
        <f>IFERROR(__xludf.DUMMYFUNCTION("GOOGLETRANSLATE(B34699,""en"",""fr"")"),"Les ongles sont martelés dans la clôture.")</f>
        <v>Les ongles sont martelés dans la clôture.</v>
      </c>
    </row>
    <row r="34700">
      <c r="A34700" s="4" t="s">
        <v>43655</v>
      </c>
      <c r="B34700" s="4" t="s">
        <v>43660</v>
      </c>
      <c r="C34700" s="5" t="str">
        <f>IFERROR(__xludf.DUMMYFUNCTION("GOOGLETRANSLATE(B34700,""en"",""fr"")"),"Ils continuent sur la clôture et retirent quelques plantes mortes.")</f>
        <v>Ils continuent sur la clôture et retirent quelques plantes mortes.</v>
      </c>
    </row>
    <row r="34701">
      <c r="A34701" s="4" t="s">
        <v>43655</v>
      </c>
      <c r="B34701" s="4" t="s">
        <v>43661</v>
      </c>
      <c r="C34701" s="5" t="str">
        <f>IFERROR(__xludf.DUMMYFUNCTION("GOOGLETRANSLATE(B34701,""en"",""fr"")"),"Ils montrent un produit utilisé pour nettoyer la clôture.")</f>
        <v>Ils montrent un produit utilisé pour nettoyer la clôture.</v>
      </c>
    </row>
    <row r="34702">
      <c r="A34702" s="4" t="s">
        <v>43655</v>
      </c>
      <c r="B34702" s="4" t="s">
        <v>43662</v>
      </c>
      <c r="C34702" s="5" t="str">
        <f>IFERROR(__xludf.DUMMYFUNCTION("GOOGLETRANSLATE(B34702,""en"",""fr"")"),"Un homme pulvérise la clôture avec le produit.")</f>
        <v>Un homme pulvérise la clôture avec le produit.</v>
      </c>
    </row>
    <row r="34703">
      <c r="A34703" s="4" t="s">
        <v>43655</v>
      </c>
      <c r="B34703" s="4" t="s">
        <v>43663</v>
      </c>
      <c r="C34703" s="5" t="str">
        <f>IFERROR(__xludf.DUMMYFUNCTION("GOOGLETRANSLATE(B34703,""en"",""fr"")"),"Il le laisse tomber et obtient de la peinture.")</f>
        <v>Il le laisse tomber et obtient de la peinture.</v>
      </c>
    </row>
    <row r="34704">
      <c r="A34704" s="4" t="s">
        <v>43655</v>
      </c>
      <c r="B34704" s="4" t="s">
        <v>43664</v>
      </c>
      <c r="C34704" s="5" t="str">
        <f>IFERROR(__xludf.DUMMYFUNCTION("GOOGLETRANSLATE(B34704,""en"",""fr"")"),"Une section peinte de la clôture est montrée.")</f>
        <v>Une section peinte de la clôture est montrée.</v>
      </c>
    </row>
    <row r="34705">
      <c r="A34705" s="4" t="s">
        <v>43665</v>
      </c>
      <c r="B34705" s="4" t="s">
        <v>43666</v>
      </c>
      <c r="C34705" s="5" t="str">
        <f>IFERROR(__xludf.DUMMYFUNCTION("GOOGLETRANSLATE(B34705,""en"",""fr"")"),"Un peu dans une chemise rose traverse les barres de singe.")</f>
        <v>Un peu dans une chemise rose traverse les barres de singe.</v>
      </c>
    </row>
    <row r="34706">
      <c r="A34706" s="4" t="s">
        <v>43665</v>
      </c>
      <c r="B34706" s="4" t="s">
        <v>43667</v>
      </c>
      <c r="C34706" s="5" t="str">
        <f>IFERROR(__xludf.DUMMYFUNCTION("GOOGLETRANSLATE(B34706,""en"",""fr"")"),"Elle est suspendue aux bars.")</f>
        <v>Elle est suspendue aux bars.</v>
      </c>
    </row>
    <row r="34707">
      <c r="A34707" s="4" t="s">
        <v>43665</v>
      </c>
      <c r="B34707" s="4" t="s">
        <v>43668</v>
      </c>
      <c r="C34707" s="5" t="str">
        <f>IFERROR(__xludf.DUMMYFUNCTION("GOOGLETRANSLATE(B34707,""en"",""fr"")"),"Elle sourit à la caméra.")</f>
        <v>Elle sourit à la caméra.</v>
      </c>
    </row>
    <row r="34708">
      <c r="A34708" s="4" t="s">
        <v>43669</v>
      </c>
      <c r="B34708" s="4" t="s">
        <v>43670</v>
      </c>
      <c r="C34708" s="5" t="str">
        <f>IFERROR(__xludf.DUMMYFUNCTION("GOOGLETRANSLATE(B34708,""en"",""fr"")"),"Un écran de titre apparaît pour un tutoriel pour l'agilité du hockey.")</f>
        <v>Un écran de titre apparaît pour un tutoriel pour l'agilité du hockey.</v>
      </c>
    </row>
    <row r="34709">
      <c r="A34709" s="4" t="s">
        <v>43669</v>
      </c>
      <c r="B34709" s="6" t="s">
        <v>43671</v>
      </c>
      <c r="C34709" s="5" t="str">
        <f>IFERROR(__xludf.DUMMYFUNCTION("GOOGLETRANSLATE(B34709,""en"",""fr"")"),"Un joueur de hockey passe par plusieurs routines montrant des échauffements d'agilité avec un bâton de hockey et une rondelle et des forets avec des pneus, de petits cônes.")</f>
        <v>Un joueur de hockey passe par plusieurs routines montrant des échauffements d'agilité avec un bâton de hockey et une rondelle et des forets avec des pneus, de petits cônes.</v>
      </c>
    </row>
    <row r="34710">
      <c r="A34710" s="4" t="s">
        <v>43669</v>
      </c>
      <c r="B34710" s="4" t="s">
        <v>43672</v>
      </c>
      <c r="C34710" s="5" t="str">
        <f>IFERROR(__xludf.DUMMYFUNCTION("GOOGLETRANSLATE(B34710,""en"",""fr"")"),"Un autre écran de titre apparaît avec un site Web juste en dessous.")</f>
        <v>Un autre écran de titre apparaît avec un site Web juste en dessous.</v>
      </c>
    </row>
    <row r="34711">
      <c r="A34711" s="4" t="s">
        <v>43673</v>
      </c>
      <c r="B34711" s="4" t="s">
        <v>43674</v>
      </c>
      <c r="C34711" s="5" t="str">
        <f>IFERROR(__xludf.DUMMYFUNCTION("GOOGLETRANSLATE(B34711,""en"",""fr"")"),"Une personne regarde une autre personne utilisant un souffleur de feuilles dans une cour à partir d'une fenêtre surélevée.")</f>
        <v>Une personne regarde une autre personne utilisant un souffleur de feuilles dans une cour à partir d'une fenêtre surélevée.</v>
      </c>
    </row>
    <row r="34712">
      <c r="A34712" s="4" t="s">
        <v>43673</v>
      </c>
      <c r="B34712" s="4" t="s">
        <v>43675</v>
      </c>
      <c r="C34712" s="5" t="str">
        <f>IFERROR(__xludf.DUMMYFUNCTION("GOOGLETRANSLATE(B34712,""en"",""fr"")"),"Une personne en vêtements sombres souffle les feuilles sur un morceau de propriété devant deux portes de garage ouvertes.")</f>
        <v>Une personne en vêtements sombres souffle les feuilles sur un morceau de propriété devant deux portes de garage ouvertes.</v>
      </c>
    </row>
    <row r="34713">
      <c r="A34713" s="4" t="s">
        <v>43673</v>
      </c>
      <c r="B34713" s="6" t="s">
        <v>43676</v>
      </c>
      <c r="C34713" s="5" t="str">
        <f>IFERROR(__xludf.DUMMYFUNCTION("GOOGLETRANSLATE(B34713,""en"",""fr"")"),"Une autre personne se déplace avec la caméra alors qu'elle regarde depuis une fenêtre dans une pièce surélevée contre un rebord de fenêtre blanc.")</f>
        <v>Une autre personne se déplace avec la caméra alors qu'elle regarde depuis une fenêtre dans une pièce surélevée contre un rebord de fenêtre blanc.</v>
      </c>
    </row>
    <row r="34714">
      <c r="A34714" s="4" t="s">
        <v>43673</v>
      </c>
      <c r="B34714" s="4" t="s">
        <v>43677</v>
      </c>
      <c r="C34714" s="5" t="str">
        <f>IFERROR(__xludf.DUMMYFUNCTION("GOOGLETRANSLATE(B34714,""en"",""fr"")"),"La personne qui souffle les feuilles se déplace dans la cour et continue de faire l'entretien de la pelouse.")</f>
        <v>La personne qui souffle les feuilles se déplace dans la cour et continue de faire l'entretien de la pelouse.</v>
      </c>
    </row>
    <row r="34715">
      <c r="A34715" s="4" t="s">
        <v>43678</v>
      </c>
      <c r="B34715" s="4" t="s">
        <v>43679</v>
      </c>
      <c r="C34715" s="5" t="str">
        <f>IFERROR(__xludf.DUMMYFUNCTION("GOOGLETRANSLATE(B34715,""en"",""fr"")"),"Une femme parle pendant une machine d'escalier dans un gymnase et montre une place appropriée.")</f>
        <v>Une femme parle pendant une machine d'escalier dans un gymnase et montre une place appropriée.</v>
      </c>
    </row>
    <row r="34716">
      <c r="A34716" s="4" t="s">
        <v>43678</v>
      </c>
      <c r="B34716" s="4" t="s">
        <v>43680</v>
      </c>
      <c r="C34716" s="5" t="str">
        <f>IFERROR(__xludf.DUMMYFUNCTION("GOOGLETRANSLATE(B34716,""en"",""fr"")"),"La femme marche sur une machine aérobie dans le gymnase sans poignées.")</f>
        <v>La femme marche sur une machine aérobie dans le gymnase sans poignées.</v>
      </c>
    </row>
    <row r="34717">
      <c r="A34717" s="4" t="s">
        <v>43678</v>
      </c>
      <c r="B34717" s="4" t="s">
        <v>43681</v>
      </c>
      <c r="C34717" s="5" t="str">
        <f>IFERROR(__xludf.DUMMYFUNCTION("GOOGLETRANSLATE(B34717,""en"",""fr"")"),"La femme utilise les barres de bras en marchant sur la machine aérobie.")</f>
        <v>La femme utilise les barres de bras en marchant sur la machine aérobie.</v>
      </c>
    </row>
    <row r="34718">
      <c r="A34718" s="4" t="s">
        <v>43678</v>
      </c>
      <c r="B34718" s="4" t="s">
        <v>43682</v>
      </c>
      <c r="C34718" s="5" t="str">
        <f>IFERROR(__xludf.DUMMYFUNCTION("GOOGLETRANSLATE(B34718,""en"",""fr"")"),"La femme tient les poignées du bras pour descendre de la machine.")</f>
        <v>La femme tient les poignées du bras pour descendre de la machine.</v>
      </c>
    </row>
    <row r="34719">
      <c r="A34719" s="4" t="s">
        <v>43683</v>
      </c>
      <c r="B34719" s="4" t="s">
        <v>43684</v>
      </c>
      <c r="C34719" s="5" t="str">
        <f>IFERROR(__xludf.DUMMYFUNCTION("GOOGLETRANSLATE(B34719,""en"",""fr"")"),"On voit la main d'une personne tenant un pinceau.")</f>
        <v>On voit la main d'une personne tenant un pinceau.</v>
      </c>
    </row>
    <row r="34720">
      <c r="A34720" s="4" t="s">
        <v>43683</v>
      </c>
      <c r="B34720" s="4" t="s">
        <v>43685</v>
      </c>
      <c r="C34720" s="5" t="str">
        <f>IFERROR(__xludf.DUMMYFUNCTION("GOOGLETRANSLATE(B34720,""en"",""fr"")"),"La main met ensuite des gouttes d'encre sur du papier.")</f>
        <v>La main met ensuite des gouttes d'encre sur du papier.</v>
      </c>
    </row>
    <row r="34721">
      <c r="A34721" s="4" t="s">
        <v>43683</v>
      </c>
      <c r="B34721" s="4" t="s">
        <v>43686</v>
      </c>
      <c r="C34721" s="5" t="str">
        <f>IFERROR(__xludf.DUMMYFUNCTION("GOOGLETRANSLATE(B34721,""en"",""fr"")"),"La main de la personne est revu avec le pinceau.")</f>
        <v>La main de la personne est revu avec le pinceau.</v>
      </c>
    </row>
    <row r="34722">
      <c r="A34722" s="4" t="s">
        <v>43683</v>
      </c>
      <c r="B34722" s="4" t="s">
        <v>43687</v>
      </c>
      <c r="C34722" s="5" t="str">
        <f>IFERROR(__xludf.DUMMYFUNCTION("GOOGLETRANSLATE(B34722,""en"",""fr"")"),"La main revient avec un compte-gouttes d'encre et crée des images avec de l'encre.")</f>
        <v>La main revient avec un compte-gouttes d'encre et crée des images avec de l'encre.</v>
      </c>
    </row>
    <row r="34723">
      <c r="A34723" s="4" t="s">
        <v>43683</v>
      </c>
      <c r="B34723" s="4" t="s">
        <v>43688</v>
      </c>
      <c r="C34723" s="5" t="str">
        <f>IFERROR(__xludf.DUMMYFUNCTION("GOOGLETRANSLATE(B34723,""en"",""fr"")"),"La main touche doucement l'image avec une serviette en papier.")</f>
        <v>La main touche doucement l'image avec une serviette en papier.</v>
      </c>
    </row>
    <row r="34724">
      <c r="A34724" s="4" t="s">
        <v>43689</v>
      </c>
      <c r="B34724" s="4" t="s">
        <v>43690</v>
      </c>
      <c r="C34724" s="5" t="str">
        <f>IFERROR(__xludf.DUMMYFUNCTION("GOOGLETRANSLATE(B34724,""en"",""fr"")"),"La femme en chemise noire se penche et frappe le ballon avec Mallet.")</f>
        <v>La femme en chemise noire se penche et frappe le ballon avec Mallet.</v>
      </c>
    </row>
    <row r="34725">
      <c r="A34725" s="4" t="s">
        <v>43689</v>
      </c>
      <c r="B34725" s="4" t="s">
        <v>43691</v>
      </c>
      <c r="C34725" s="5" t="str">
        <f>IFERROR(__xludf.DUMMYFUNCTION("GOOGLETRANSLATE(B34725,""en"",""fr"")"),"La femme a de nouveau frappé la boule verte, ce qui le fait frapper le petit poteau.")</f>
        <v>La femme a de nouveau frappé la boule verte, ce qui le fait frapper le petit poteau.</v>
      </c>
    </row>
    <row r="34726">
      <c r="A34726" s="4" t="s">
        <v>43689</v>
      </c>
      <c r="B34726" s="4" t="s">
        <v>43692</v>
      </c>
      <c r="C34726" s="5" t="str">
        <f>IFERROR(__xludf.DUMMYFUNCTION("GOOGLETRANSLATE(B34726,""en"",""fr"")"),"La femme en noir a applaudi et a commencé à marcher.")</f>
        <v>La femme en noir a applaudi et a commencé à marcher.</v>
      </c>
    </row>
    <row r="34727">
      <c r="A34727" s="4" t="s">
        <v>43693</v>
      </c>
      <c r="B34727" s="4" t="s">
        <v>43694</v>
      </c>
      <c r="C34727" s="5" t="str">
        <f>IFERROR(__xludf.DUMMYFUNCTION("GOOGLETRANSLATE(B34727,""en"",""fr"")"),"Un chronomètre est montré et une foule se rassemble pour un jeu de hockey sur le terrain.")</f>
        <v>Un chronomètre est montré et une foule se rassemble pour un jeu de hockey sur le terrain.</v>
      </c>
    </row>
    <row r="34728">
      <c r="A34728" s="4" t="s">
        <v>43693</v>
      </c>
      <c r="B34728" s="4" t="s">
        <v>43695</v>
      </c>
      <c r="C34728" s="5" t="str">
        <f>IFERROR(__xludf.DUMMYFUNCTION("GOOGLETRANSLATE(B34728,""en"",""fr"")"),"Le documentaire présente la voix d'un ancien joueur car les images d'archives sont montrées en couleur.")</f>
        <v>Le documentaire présente la voix d'un ancien joueur car les images d'archives sont montrées en couleur.</v>
      </c>
    </row>
    <row r="34729">
      <c r="A34729" s="4" t="s">
        <v>43693</v>
      </c>
      <c r="B34729" s="4" t="s">
        <v>43696</v>
      </c>
      <c r="C34729" s="5" t="str">
        <f>IFERROR(__xludf.DUMMYFUNCTION("GOOGLETRANSLATE(B34729,""en"",""fr"")"),"Les photos et les vidéos en noir et blanc représentent l'histoire du jeu.")</f>
        <v>Les photos et les vidéos en noir et blanc représentent l'histoire du jeu.</v>
      </c>
    </row>
    <row r="34730">
      <c r="A34730" s="4" t="s">
        <v>43693</v>
      </c>
      <c r="B34730" s="4" t="s">
        <v>43697</v>
      </c>
      <c r="C34730" s="5" t="str">
        <f>IFERROR(__xludf.DUMMYFUNCTION("GOOGLETRANSLATE(B34730,""en"",""fr"")"),"Le documentaire se concentre ensuite sur un joueur célèbre.")</f>
        <v>Le documentaire se concentre ensuite sur un joueur célèbre.</v>
      </c>
    </row>
    <row r="34731">
      <c r="A34731" s="4" t="s">
        <v>43693</v>
      </c>
      <c r="B34731" s="4" t="s">
        <v>43698</v>
      </c>
      <c r="C34731" s="5" t="str">
        <f>IFERROR(__xludf.DUMMYFUNCTION("GOOGLETRANSLATE(B34731,""en"",""fr"")"),"Après cela, un manager célèbre est mis en évidence et d'anciens joueurs parlent de lui.")</f>
        <v>Après cela, un manager célèbre est mis en évidence et d'anciens joueurs parlent de lui.</v>
      </c>
    </row>
    <row r="34732">
      <c r="A34732" s="4" t="s">
        <v>43699</v>
      </c>
      <c r="B34732" s="6" t="s">
        <v>43700</v>
      </c>
      <c r="C34732" s="5" t="str">
        <f>IFERROR(__xludf.DUMMYFUNCTION("GOOGLETRANSLATE(B34732,""en"",""fr"")"),"Une femme parle à une caméra, puis montre des exercices qui peuvent être effectués à partir de la cour de jeux en utilisant un équipement de jeux, y compris des bars de singe.")</f>
        <v>Une femme parle à une caméra, puis montre des exercices qui peuvent être effectués à partir de la cour de jeux en utilisant un équipement de jeux, y compris des bars de singe.</v>
      </c>
    </row>
    <row r="34733">
      <c r="A34733" s="4" t="s">
        <v>43699</v>
      </c>
      <c r="B34733" s="6" t="s">
        <v>43701</v>
      </c>
      <c r="C34733" s="5" t="str">
        <f>IFERROR(__xludf.DUMMYFUNCTION("GOOGLETRANSLATE(B34733,""en"",""fr"")"),"Une femme dans une chemise à manches courtes rouges se tient sur le sable d'une aire de jeux et parle face à la caméra, tout en se tenant à côté de quelques barres de singe.")</f>
        <v>Une femme dans une chemise à manches courtes rouges se tient sur le sable d'une aire de jeux et parle face à la caméra, tout en se tenant à côté de quelques barres de singe.</v>
      </c>
    </row>
    <row r="34734">
      <c r="A34734" s="4" t="s">
        <v>43699</v>
      </c>
      <c r="B34734" s="6" t="s">
        <v>43702</v>
      </c>
      <c r="C34734" s="5" t="str">
        <f>IFERROR(__xludf.DUMMYFUNCTION("GOOGLETRANSLATE(B34734,""en"",""fr"")"),"La femme commence à utiliser les barres de singe et se tire sur toute l'étendue de la barre sans utiliser les pieds pour la propulsion de bar à l'autre, en utilisant juste un bras supérieur et une force centrale pour traverser les barres.")</f>
        <v>La femme commence à utiliser les barres de singe et se tire sur toute l'étendue de la barre sans utiliser les pieds pour la propulsion de bar à l'autre, en utilisant juste un bras supérieur et une force centrale pour traverser les barres.</v>
      </c>
    </row>
    <row r="34735">
      <c r="A34735" s="4" t="s">
        <v>43699</v>
      </c>
      <c r="B34735" s="6" t="s">
        <v>43703</v>
      </c>
      <c r="C34735" s="5" t="str">
        <f>IFERROR(__xludf.DUMMYFUNCTION("GOOGLETRANSLATE(B34735,""en"",""fr"")"),"La femme grimpe alors un mur et saute dans un retournement de gymnastique dans le sable et recommence à parler à la caméra.")</f>
        <v>La femme grimpe alors un mur et saute dans un retournement de gymnastique dans le sable et recommence à parler à la caméra.</v>
      </c>
    </row>
    <row r="34736">
      <c r="A34736" s="4" t="s">
        <v>43704</v>
      </c>
      <c r="B34736" s="4" t="s">
        <v>43705</v>
      </c>
      <c r="C34736" s="5" t="str">
        <f>IFERROR(__xludf.DUMMYFUNCTION("GOOGLETRANSLATE(B34736,""en"",""fr"")"),"Un homme est vu assis sur la touche suivi d'un grand groupe de personnes jouant de la crosse.")</f>
        <v>Un homme est vu assis sur la touche suivi d'un grand groupe de personnes jouant de la crosse.</v>
      </c>
    </row>
    <row r="34737">
      <c r="A34737" s="4" t="s">
        <v>43704</v>
      </c>
      <c r="B34737" s="6" t="s">
        <v>43706</v>
      </c>
      <c r="C34737" s="5" t="str">
        <f>IFERROR(__xludf.DUMMYFUNCTION("GOOGLETRANSLATE(B34737,""en"",""fr"")"),"Les joueurs continuent de se déplacer de haut en bas sur le terrain les uns les autres et beaucoup regardent sur les côtés.")</f>
        <v>Les joueurs continuent de se déplacer de haut en bas sur le terrain les uns les autres et beaucoup regardent sur les côtés.</v>
      </c>
    </row>
    <row r="34738">
      <c r="A34738" s="4" t="s">
        <v>43704</v>
      </c>
      <c r="B34738" s="4" t="s">
        <v>43707</v>
      </c>
      <c r="C34738" s="5" t="str">
        <f>IFERROR(__xludf.DUMMYFUNCTION("GOOGLETRANSLATE(B34738,""en"",""fr"")"),"Le groupe continue de jouer et de se terminer en marquant un but et le Ref a réagi.")</f>
        <v>Le groupe continue de jouer et de se terminer en marquant un but et le Ref a réagi.</v>
      </c>
    </row>
    <row r="34739">
      <c r="A34739" s="4" t="s">
        <v>43708</v>
      </c>
      <c r="B34739" s="6" t="s">
        <v>43709</v>
      </c>
      <c r="C34739" s="5" t="str">
        <f>IFERROR(__xludf.DUMMYFUNCTION("GOOGLETRANSLATE(B34739,""en"",""fr"")"),"Un groupe de cadets de cadets dans des vêtements sombres apparaît dans ce qui semble être une place du centre-ville.")</f>
        <v>Un groupe de cadets de cadets dans des vêtements sombres apparaît dans ce qui semble être une place du centre-ville.</v>
      </c>
    </row>
    <row r="34740">
      <c r="A34740" s="4" t="s">
        <v>43708</v>
      </c>
      <c r="B34740" s="4" t="s">
        <v>43710</v>
      </c>
      <c r="C34740" s="5" t="str">
        <f>IFERROR(__xludf.DUMMYFUNCTION("GOOGLETRANSLATE(B34740,""en"",""fr"")"),"Un corp de tambour se fait entendre fièrement tambour alors que les cadets marchent dans la rue.")</f>
        <v>Un corp de tambour se fait entendre fièrement tambour alors que les cadets marchent dans la rue.</v>
      </c>
    </row>
    <row r="34741">
      <c r="A34741" s="4" t="s">
        <v>43708</v>
      </c>
      <c r="B34741" s="4" t="s">
        <v>43711</v>
      </c>
      <c r="C34741" s="5" t="str">
        <f>IFERROR(__xludf.DUMMYFUNCTION("GOOGLETRANSLATE(B34741,""en"",""fr"")"),"Les marcheurs commencent à agiter la foule et à saluer les spectateurs.")</f>
        <v>Les marcheurs commencent à agiter la foule et à saluer les spectateurs.</v>
      </c>
    </row>
    <row r="34742">
      <c r="A34742" s="4" t="s">
        <v>43708</v>
      </c>
      <c r="B34742" s="4" t="s">
        <v>43712</v>
      </c>
      <c r="C34742" s="5" t="str">
        <f>IFERROR(__xludf.DUMMYFUNCTION("GOOGLETRANSLATE(B34742,""en"",""fr"")"),"Un long coup de sifflet de train est entendu alors que les cadets continuent de faire signe à la foule.")</f>
        <v>Un long coup de sifflet de train est entendu alors que les cadets continuent de faire signe à la foule.</v>
      </c>
    </row>
    <row r="34743">
      <c r="A34743" s="4" t="s">
        <v>43708</v>
      </c>
      <c r="B34743" s="4" t="s">
        <v>43713</v>
      </c>
      <c r="C34743" s="5" t="str">
        <f>IFERROR(__xludf.DUMMYFUNCTION("GOOGLETRANSLATE(B34743,""en"",""fr"")"),"Derrière les cadets, une fanfare est vue, vêtue de blanc.")</f>
        <v>Derrière les cadets, une fanfare est vue, vêtue de blanc.</v>
      </c>
    </row>
    <row r="34744">
      <c r="A34744" s="4" t="s">
        <v>43708</v>
      </c>
      <c r="B34744" s="4" t="s">
        <v>43714</v>
      </c>
      <c r="C34744" s="5" t="str">
        <f>IFERROR(__xludf.DUMMYFUNCTION("GOOGLETRANSLATE(B34744,""en"",""fr"")"),"Le groupe passe tout en jouant des chansons des cadets.")</f>
        <v>Le groupe passe tout en jouant des chansons des cadets.</v>
      </c>
    </row>
    <row r="34745">
      <c r="A34745" s="4" t="s">
        <v>43715</v>
      </c>
      <c r="B34745" s="4" t="s">
        <v>43716</v>
      </c>
      <c r="C34745" s="5" t="str">
        <f>IFERROR(__xludf.DUMMYFUNCTION("GOOGLETRANSLATE(B34745,""en"",""fr"")"),"Les lettres espagnoles sont affichées dans la vidéo.")</f>
        <v>Les lettres espagnoles sont affichées dans la vidéo.</v>
      </c>
    </row>
    <row r="34746">
      <c r="A34746" s="4" t="s">
        <v>43715</v>
      </c>
      <c r="B34746" s="6" t="s">
        <v>43717</v>
      </c>
      <c r="C34746" s="5" t="str">
        <f>IFERROR(__xludf.DUMMYFUNCTION("GOOGLETRANSLATE(B34746,""en"",""fr"")"),"Baby Kid danse dans le haut d'une table portant une couche blanche dans la cuisine et une femme le filme.")</f>
        <v>Baby Kid danse dans le haut d'une table portant une couche blanche dans la cuisine et une femme le filme.</v>
      </c>
    </row>
    <row r="34747">
      <c r="A34747" s="4" t="s">
        <v>43718</v>
      </c>
      <c r="B34747" s="4" t="s">
        <v>43719</v>
      </c>
      <c r="C34747" s="5" t="str">
        <f>IFERROR(__xludf.DUMMYFUNCTION("GOOGLETRANSLATE(B34747,""en"",""fr"")"),"Un gymnaste se plit pour augmenter le poids au-dessus de sa tête, tandis que d'autres hommes s'assoient dans le gymnase le regardent.")</f>
        <v>Un gymnaste se plit pour augmenter le poids au-dessus de sa tête, tandis que d'autres hommes s'assoient dans le gymnase le regardent.</v>
      </c>
    </row>
    <row r="34748">
      <c r="A34748" s="4" t="s">
        <v>43718</v>
      </c>
      <c r="B34748" s="4" t="s">
        <v>43720</v>
      </c>
      <c r="C34748" s="5" t="str">
        <f>IFERROR(__xludf.DUMMYFUNCTION("GOOGLETRANSLATE(B34748,""en"",""fr"")"),"La gymnaste laisse tomber le poids sur le sol.")</f>
        <v>La gymnaste laisse tomber le poids sur le sol.</v>
      </c>
    </row>
    <row r="34749">
      <c r="A34749" s="4" t="s">
        <v>43721</v>
      </c>
      <c r="B34749" s="4" t="s">
        <v>43722</v>
      </c>
      <c r="C34749" s="5" t="str">
        <f>IFERROR(__xludf.DUMMYFUNCTION("GOOGLETRANSLATE(B34749,""en"",""fr"")"),"Un homme est montré assis sur une clôture et parle à la caméra tout en pointant des chevaux.")</f>
        <v>Un homme est montré assis sur une clôture et parle à la caméra tout en pointant des chevaux.</v>
      </c>
    </row>
    <row r="34750">
      <c r="A34750" s="4" t="s">
        <v>43721</v>
      </c>
      <c r="B34750" s="4" t="s">
        <v>43723</v>
      </c>
      <c r="C34750" s="5" t="str">
        <f>IFERROR(__xludf.DUMMYFUNCTION("GOOGLETRANSLATE(B34750,""en"",""fr"")"),"Une fille est montrée en montant un cheval tandis que trois autres tiennent le cheval et aident.")</f>
        <v>Une fille est montrée en montant un cheval tandis que trois autres tiennent le cheval et aident.</v>
      </c>
    </row>
    <row r="34751">
      <c r="A34751" s="4" t="s">
        <v>43721</v>
      </c>
      <c r="B34751" s="4" t="s">
        <v>43724</v>
      </c>
      <c r="C34751" s="5" t="str">
        <f>IFERROR(__xludf.DUMMYFUNCTION("GOOGLETRANSLATE(B34751,""en"",""fr"")"),"Ces gens aident diverses personnes sur et hors des chevaux.")</f>
        <v>Ces gens aident diverses personnes sur et hors des chevaux.</v>
      </c>
    </row>
    <row r="34752">
      <c r="A34752" s="4" t="s">
        <v>43721</v>
      </c>
      <c r="B34752" s="4" t="s">
        <v>43725</v>
      </c>
      <c r="C34752" s="5" t="str">
        <f>IFERROR(__xludf.DUMMYFUNCTION("GOOGLETRANSLATE(B34752,""en"",""fr"")"),"Les gens traversent également des parcours d'obstacles avec les chevaux et gardent une main en tout temps.")</f>
        <v>Les gens traversent également des parcours d'obstacles avec les chevaux et gardent une main en tout temps.</v>
      </c>
    </row>
    <row r="34753">
      <c r="A34753" s="4" t="s">
        <v>43721</v>
      </c>
      <c r="B34753" s="4" t="s">
        <v>43726</v>
      </c>
      <c r="C34753" s="5" t="str">
        <f>IFERROR(__xludf.DUMMYFUNCTION("GOOGLETRANSLATE(B34753,""en"",""fr"")"),"L'homme se tient au milieu applaudissant les coureurs et donnant la direction des chevaux.")</f>
        <v>L'homme se tient au milieu applaudissant les coureurs et donnant la direction des chevaux.</v>
      </c>
    </row>
    <row r="34754">
      <c r="A34754" s="4" t="s">
        <v>43721</v>
      </c>
      <c r="B34754" s="4" t="s">
        <v>43727</v>
      </c>
      <c r="C34754" s="5" t="str">
        <f>IFERROR(__xludf.DUMMYFUNCTION("GOOGLETRANSLATE(B34754,""en"",""fr"")"),"Un garçon sourit quand il sort du cheval et que plusieurs personnes le félicitent.")</f>
        <v>Un garçon sourit quand il sort du cheval et que plusieurs personnes le félicitent.</v>
      </c>
    </row>
    <row r="34755">
      <c r="A34755" s="4" t="s">
        <v>43721</v>
      </c>
      <c r="B34755" s="4" t="s">
        <v>43728</v>
      </c>
      <c r="C34755" s="5" t="str">
        <f>IFERROR(__xludf.DUMMYFUNCTION("GOOGLETRANSLATE(B34755,""en"",""fr"")"),"L'homme finit en parlant de son camp et pourquoi vous devriez vous joindre.")</f>
        <v>L'homme finit en parlant de son camp et pourquoi vous devriez vous joindre.</v>
      </c>
    </row>
    <row r="34756">
      <c r="A34756" s="4" t="s">
        <v>43729</v>
      </c>
      <c r="B34756" s="6" t="s">
        <v>43730</v>
      </c>
      <c r="C34756" s="5" t="str">
        <f>IFERROR(__xludf.DUMMYFUNCTION("GOOGLETRANSLATE(B34756,""en"",""fr"")"),"On voit deux enfants se promener dans une cour en jouant au crochet les uns avec les autres et rire sur le côté.")</f>
        <v>On voit deux enfants se promener dans une cour en jouant au crochet les uns avec les autres et rire sur le côté.</v>
      </c>
    </row>
    <row r="34757">
      <c r="A34757" s="4" t="s">
        <v>43729</v>
      </c>
      <c r="B34757" s="4" t="s">
        <v>43731</v>
      </c>
      <c r="C34757" s="5" t="str">
        <f>IFERROR(__xludf.DUMMYFUNCTION("GOOGLETRANSLATE(B34757,""en"",""fr"")"),"Les enfants continuent de jouer les uns avec les autres pendant que la caméra se déroule tout autour de leurs mouvements.")</f>
        <v>Les enfants continuent de jouer les uns avec les autres pendant que la caméra se déroule tout autour de leurs mouvements.</v>
      </c>
    </row>
    <row r="34758">
      <c r="A34758" s="4" t="s">
        <v>43732</v>
      </c>
      <c r="B34758" s="4" t="s">
        <v>43733</v>
      </c>
      <c r="C34758" s="5" t="str">
        <f>IFERROR(__xludf.DUMMYFUNCTION("GOOGLETRANSLATE(B34758,""en"",""fr"")"),"Une grande cour est montrée suivie d'un jeune enfant poussant une tondeuse à gazon.")</f>
        <v>Une grande cour est montrée suivie d'un jeune enfant poussant une tondeuse à gazon.</v>
      </c>
    </row>
    <row r="34759">
      <c r="A34759" s="4" t="s">
        <v>43732</v>
      </c>
      <c r="B34759" s="4" t="s">
        <v>43734</v>
      </c>
      <c r="C34759" s="5" t="str">
        <f>IFERROR(__xludf.DUMMYFUNCTION("GOOGLETRANSLATE(B34759,""en"",""fr"")"),"Le garçon continue de pousser la tondeuse à gazon pendant que la caméra regarde de côté.")</f>
        <v>Le garçon continue de pousser la tondeuse à gazon pendant que la caméra regarde de côté.</v>
      </c>
    </row>
    <row r="34760">
      <c r="A34760" s="4" t="s">
        <v>43732</v>
      </c>
      <c r="B34760" s="4" t="s">
        <v>43735</v>
      </c>
      <c r="C34760" s="5" t="str">
        <f>IFERROR(__xludf.DUMMYFUNCTION("GOOGLETRANSLATE(B34760,""en"",""fr"")"),"Le garçon déplace la tondeuse tout au long de la cour.")</f>
        <v>Le garçon déplace la tondeuse tout au long de la cour.</v>
      </c>
    </row>
    <row r="34761">
      <c r="A34761" s="4" t="s">
        <v>43736</v>
      </c>
      <c r="B34761" s="6" t="s">
        <v>43737</v>
      </c>
      <c r="C34761" s="5" t="str">
        <f>IFERROR(__xludf.DUMMYFUNCTION("GOOGLETRANSLATE(B34761,""en"",""fr"")"),"Une femme est vue en parlant à la caméra et l'emmente en levant divers vernis à ongles et en commençant à un ensemble de faux ongles.")</f>
        <v>Une femme est vue en parlant à la caméra et l'emmente en levant divers vernis à ongles et en commençant à un ensemble de faux ongles.</v>
      </c>
    </row>
    <row r="34762">
      <c r="A34762" s="4" t="s">
        <v>43736</v>
      </c>
      <c r="B34762" s="6" t="s">
        <v>43738</v>
      </c>
      <c r="C34762" s="5" t="str">
        <f>IFERROR(__xludf.DUMMYFUNCTION("GOOGLETRANSLATE(B34762,""en"",""fr"")"),"Elle continue de peindre sur les ongles utilise plusieurs couleurs différentes et présente le clou à la caméra à la fin.")</f>
        <v>Elle continue de peindre sur les ongles utilise plusieurs couleurs différentes et présente le clou à la caméra à la fin.</v>
      </c>
    </row>
    <row r="34763">
      <c r="A34763" s="4" t="s">
        <v>43739</v>
      </c>
      <c r="B34763" s="4" t="s">
        <v>43740</v>
      </c>
      <c r="C34763" s="5" t="str">
        <f>IFERROR(__xludf.DUMMYFUNCTION("GOOGLETRANSLATE(B34763,""en"",""fr"")"),"Un groupe de filles regarde un parc d'attractions et salue les mains de peur et d'anticipation.")</f>
        <v>Un groupe de filles regarde un parc d'attractions et salue les mains de peur et d'anticipation.</v>
      </c>
    </row>
    <row r="34764">
      <c r="A34764" s="4" t="s">
        <v>43739</v>
      </c>
      <c r="B34764" s="4" t="s">
        <v>43741</v>
      </c>
      <c r="C34764" s="5" t="str">
        <f>IFERROR(__xludf.DUMMYFUNCTION("GOOGLETRANSLATE(B34764,""en"",""fr"")"),"Les filles ont mis des harnais de sécurité.")</f>
        <v>Les filles ont mis des harnais de sécurité.</v>
      </c>
    </row>
    <row r="34765">
      <c r="A34765" s="4" t="s">
        <v>43739</v>
      </c>
      <c r="B34765" s="4" t="s">
        <v>43742</v>
      </c>
      <c r="C34765" s="5" t="str">
        <f>IFERROR(__xludf.DUMMYFUNCTION("GOOGLETRANSLATE(B34765,""en"",""fr"")"),"Le groupe monte les escaliers jusqu'au sommet de la plate-forme.")</f>
        <v>Le groupe monte les escaliers jusqu'au sommet de la plate-forme.</v>
      </c>
    </row>
    <row r="34766">
      <c r="A34766" s="4" t="s">
        <v>43739</v>
      </c>
      <c r="B34766" s="4" t="s">
        <v>43743</v>
      </c>
      <c r="C34766" s="5" t="str">
        <f>IFERROR(__xludf.DUMMYFUNCTION("GOOGLETRANSLATE(B34766,""en"",""fr"")"),"Une fille se tient au-dessus de la plate-forme avec une corde et un harnais et se prépare à sauter.")</f>
        <v>Une fille se tient au-dessus de la plate-forme avec une corde et un harnais et se prépare à sauter.</v>
      </c>
    </row>
    <row r="34767">
      <c r="A34767" s="4" t="s">
        <v>43739</v>
      </c>
      <c r="B34767" s="4" t="s">
        <v>43744</v>
      </c>
      <c r="C34767" s="5" t="str">
        <f>IFERROR(__xludf.DUMMYFUNCTION("GOOGLETRANSLATE(B34767,""en"",""fr"")"),"Un groupe pop est vu chanter une chanson et danser.")</f>
        <v>Un groupe pop est vu chanter une chanson et danser.</v>
      </c>
    </row>
    <row r="34768">
      <c r="A34768" s="4" t="s">
        <v>43739</v>
      </c>
      <c r="B34768" s="4" t="s">
        <v>43745</v>
      </c>
      <c r="C34768" s="5" t="str">
        <f>IFERROR(__xludf.DUMMYFUNCTION("GOOGLETRANSLATE(B34768,""en"",""fr"")"),"La fille saute de la plate-forme et rebondit sur le cordon élastique en l'air.")</f>
        <v>La fille saute de la plate-forme et rebondit sur le cordon élastique en l'air.</v>
      </c>
    </row>
    <row r="34769">
      <c r="A34769" s="4" t="s">
        <v>43739</v>
      </c>
      <c r="B34769" s="4" t="s">
        <v>43746</v>
      </c>
      <c r="C34769" s="5" t="str">
        <f>IFERROR(__xludf.DUMMYFUNCTION("GOOGLETRANSLATE(B34769,""en"",""fr"")"),"La fille est rencontrée par les membres du groupe qui la félicitent pour le saut.")</f>
        <v>La fille est rencontrée par les membres du groupe qui la félicitent pour le saut.</v>
      </c>
    </row>
    <row r="34770">
      <c r="A34770" s="4" t="s">
        <v>43747</v>
      </c>
      <c r="B34770" s="4" t="s">
        <v>43748</v>
      </c>
      <c r="C34770" s="5" t="str">
        <f>IFERROR(__xludf.DUMMYFUNCTION("GOOGLETRANSLATE(B34770,""en"",""fr"")"),"Un homme en chemise bleue balaie le sol dans une salle de sport.")</f>
        <v>Un homme en chemise bleue balaie le sol dans une salle de sport.</v>
      </c>
    </row>
    <row r="34771">
      <c r="A34771" s="4" t="s">
        <v>43747</v>
      </c>
      <c r="B34771" s="4" t="s">
        <v>43749</v>
      </c>
      <c r="C34771" s="5" t="str">
        <f>IFERROR(__xludf.DUMMYFUNCTION("GOOGLETRANSLATE(B34771,""en"",""fr"")"),"Il retourne le balai et le pose à plat sur le sol.")</f>
        <v>Il retourne le balai et le pose à plat sur le sol.</v>
      </c>
    </row>
    <row r="34772">
      <c r="A34772" s="4" t="s">
        <v>43747</v>
      </c>
      <c r="B34772" s="4" t="s">
        <v>43750</v>
      </c>
      <c r="C34772" s="5" t="str">
        <f>IFERROR(__xludf.DUMMYFUNCTION("GOOGLETRANSLATE(B34772,""en"",""fr"")"),"Il commence à passer l'aspirateur sur le sol.")</f>
        <v>Il commence à passer l'aspirateur sur le sol.</v>
      </c>
    </row>
    <row r="34773">
      <c r="A34773" s="4" t="s">
        <v>43747</v>
      </c>
      <c r="B34773" s="4" t="s">
        <v>43751</v>
      </c>
      <c r="C34773" s="5" t="str">
        <f>IFERROR(__xludf.DUMMYFUNCTION("GOOGLETRANSLATE(B34773,""en"",""fr"")"),"Il aspire le bas du balai.")</f>
        <v>Il aspire le bas du balai.</v>
      </c>
    </row>
    <row r="34774">
      <c r="A34774" s="4" t="s">
        <v>43752</v>
      </c>
      <c r="B34774" s="4" t="s">
        <v>43753</v>
      </c>
      <c r="C34774" s="5" t="str">
        <f>IFERROR(__xludf.DUMMYFUNCTION("GOOGLETRANSLATE(B34774,""en"",""fr"")"),"Deux hommes jouent au ping-pong sur le devant une foule.")</f>
        <v>Deux hommes jouent au ping-pong sur le devant une foule.</v>
      </c>
    </row>
    <row r="34775">
      <c r="A34775" s="4" t="s">
        <v>43752</v>
      </c>
      <c r="B34775" s="6" t="s">
        <v>43754</v>
      </c>
      <c r="C34775" s="5" t="str">
        <f>IFERROR(__xludf.DUMMYFUNCTION("GOOGLETRANSLATE(B34775,""en"",""fr"")"),"Lorsque la personne avec une veste noire sert, le ballon atterrit sur le filet, le jeune homme ne sert pas bien et le ballon atterrit à l'extérieur de la table.")</f>
        <v>Lorsque la personne avec une veste noire sert, le ballon atterrit sur le filet, le jeune homme ne sert pas bien et le ballon atterrit à l'extérieur de la table.</v>
      </c>
    </row>
    <row r="34776">
      <c r="A34776" s="4" t="s">
        <v>43752</v>
      </c>
      <c r="B34776" s="4" t="s">
        <v>43755</v>
      </c>
      <c r="C34776" s="5" t="str">
        <f>IFERROR(__xludf.DUMMYFUNCTION("GOOGLETRANSLATE(B34776,""en"",""fr"")"),"Le jeune homme gagne et leva les mains, tandis que son adversaire le serre dans ses bras.")</f>
        <v>Le jeune homme gagne et leva les mains, tandis que son adversaire le serre dans ses bras.</v>
      </c>
    </row>
    <row r="34777">
      <c r="A34777" s="4" t="s">
        <v>43752</v>
      </c>
      <c r="B34777" s="4" t="s">
        <v>43756</v>
      </c>
      <c r="C34777" s="5" t="str">
        <f>IFERROR(__xludf.DUMMYFUNCTION("GOOGLETRANSLATE(B34777,""en"",""fr"")"),"Les gens prennent une photo aux hommes.")</f>
        <v>Les gens prennent une photo aux hommes.</v>
      </c>
    </row>
    <row r="34778">
      <c r="A34778" s="4" t="s">
        <v>43757</v>
      </c>
      <c r="B34778" s="6" t="s">
        <v>43758</v>
      </c>
      <c r="C34778" s="5" t="str">
        <f>IFERROR(__xludf.DUMMYFUNCTION("GOOGLETRANSLATE(B34778,""en"",""fr"")"),"Une caméra montre plusieurs ingrédients différents disposés sur une table suivi d'une personne mélangeant les ingrédients.")</f>
        <v>Une caméra montre plusieurs ingrédients différents disposés sur une table suivi d'une personne mélangeant les ingrédients.</v>
      </c>
    </row>
    <row r="34779">
      <c r="A34779" s="4" t="s">
        <v>43757</v>
      </c>
      <c r="B34779" s="4" t="s">
        <v>43759</v>
      </c>
      <c r="C34779" s="5" t="str">
        <f>IFERROR(__xludf.DUMMYFUNCTION("GOOGLETRANSLATE(B34779,""en"",""fr"")"),"Ils ont mis le mélange sur une casserole pour créer des cookies dans le four et montrer les résultats finaux.")</f>
        <v>Ils ont mis le mélange sur une casserole pour créer des cookies dans le four et montrer les résultats finaux.</v>
      </c>
    </row>
    <row r="34780">
      <c r="A34780" s="4" t="s">
        <v>43760</v>
      </c>
      <c r="B34780" s="6" t="s">
        <v>43761</v>
      </c>
      <c r="C34780" s="5" t="str">
        <f>IFERROR(__xludf.DUMMYFUNCTION("GOOGLETRANSLATE(B34780,""en"",""fr"")"),"On voit deux hommes courir autour d'un cercle entouré de gens et effectuer des mouvements d'arts martiaux.")</f>
        <v>On voit deux hommes courir autour d'un cercle entouré de gens et effectuer des mouvements d'arts martiaux.</v>
      </c>
    </row>
    <row r="34781">
      <c r="A34781" s="4" t="s">
        <v>43760</v>
      </c>
      <c r="B34781" s="6" t="s">
        <v>43762</v>
      </c>
      <c r="C34781" s="5" t="str">
        <f>IFERROR(__xludf.DUMMYFUNCTION("GOOGLETRANSLATE(B34781,""en"",""fr"")"),"Plus de gens viennent dans le cercle et les gens continuent de tourner les uns avec les autres et se battent les uns avec les autres.")</f>
        <v>Plus de gens viennent dans le cercle et les gens continuent de tourner les uns avec les autres et se battent les uns avec les autres.</v>
      </c>
    </row>
    <row r="34782">
      <c r="A34782" s="4" t="s">
        <v>43763</v>
      </c>
      <c r="B34782" s="4" t="s">
        <v>43764</v>
      </c>
      <c r="C34782" s="5" t="str">
        <f>IFERROR(__xludf.DUMMYFUNCTION("GOOGLETRANSLATE(B34782,""en"",""fr"")"),"Quatre gars lancent des balles de golf sur une table pour frapper des tasses en plastique.")</f>
        <v>Quatre gars lancent des balles de golf sur une table pour frapper des tasses en plastique.</v>
      </c>
    </row>
    <row r="34783">
      <c r="A34783" s="4" t="s">
        <v>43763</v>
      </c>
      <c r="B34783" s="4" t="s">
        <v>43765</v>
      </c>
      <c r="C34783" s="5" t="str">
        <f>IFERROR(__xludf.DUMMYFUNCTION("GOOGLETRANSLATE(B34783,""en"",""fr"")"),"Deux gars High Five après qu'un gars ait mis la balle de golf dans la tasse en plastique.")</f>
        <v>Deux gars High Five après qu'un gars ait mis la balle de golf dans la tasse en plastique.</v>
      </c>
    </row>
    <row r="34784">
      <c r="A34784" s="4" t="s">
        <v>43763</v>
      </c>
      <c r="B34784" s="4" t="s">
        <v>43766</v>
      </c>
      <c r="C34784" s="5" t="str">
        <f>IFERROR(__xludf.DUMMYFUNCTION("GOOGLETRANSLATE(B34784,""en"",""fr"")"),"Les gars pointent la caméra et rient.")</f>
        <v>Les gars pointent la caméra et rient.</v>
      </c>
    </row>
    <row r="34785">
      <c r="A34785" s="4" t="s">
        <v>43763</v>
      </c>
      <c r="B34785" s="4" t="s">
        <v>43767</v>
      </c>
      <c r="C34785" s="5" t="str">
        <f>IFERROR(__xludf.DUMMYFUNCTION("GOOGLETRANSLATE(B34785,""en"",""fr"")"),"Un gars sort la balle de golf de la tasse et tente de boire le liquide.")</f>
        <v>Un gars sort la balle de golf de la tasse et tente de boire le liquide.</v>
      </c>
    </row>
    <row r="34786">
      <c r="A34786" s="4" t="s">
        <v>43763</v>
      </c>
      <c r="B34786" s="6" t="s">
        <v>43768</v>
      </c>
      <c r="C34786" s="5" t="str">
        <f>IFERROR(__xludf.DUMMYFUNCTION("GOOGLETRANSLATE(B34786,""en"",""fr"")"),"Un gars lance une balle de golf avec le dos vers la table, l'atterris dans la tasse et quitte la pièce.")</f>
        <v>Un gars lance une balle de golf avec le dos vers la table, l'atterris dans la tasse et quitte la pièce.</v>
      </c>
    </row>
    <row r="34787">
      <c r="A34787" s="4" t="s">
        <v>43763</v>
      </c>
      <c r="B34787" s="4" t="s">
        <v>43769</v>
      </c>
      <c r="C34787" s="5" t="str">
        <f>IFERROR(__xludf.DUMMYFUNCTION("GOOGLETRANSLATE(B34787,""en"",""fr"")"),"Les gars célèbrent et donnent des hautes fives.")</f>
        <v>Les gars célèbrent et donnent des hautes fives.</v>
      </c>
    </row>
    <row r="34788">
      <c r="A34788" s="4" t="s">
        <v>43770</v>
      </c>
      <c r="B34788" s="4" t="s">
        <v>43771</v>
      </c>
      <c r="C34788" s="5" t="str">
        <f>IFERROR(__xludf.DUMMYFUNCTION("GOOGLETRANSLATE(B34788,""en"",""fr"")"),"Une personne est vue en train de tirer sur le côté d'une citrouille, puis conduit à couper les contours.")</f>
        <v>Une personne est vue en train de tirer sur le côté d'une citrouille, puis conduit à couper les contours.</v>
      </c>
    </row>
    <row r="34789">
      <c r="A34789" s="4" t="s">
        <v>43770</v>
      </c>
      <c r="B34789" s="4" t="s">
        <v>43772</v>
      </c>
      <c r="C34789" s="5" t="str">
        <f>IFERROR(__xludf.DUMMYFUNCTION("GOOGLETRANSLATE(B34789,""en"",""fr"")"),"La personne essuie ensuite un chiffon partout sur la citrouille pour nettoyer ses côtés.")</f>
        <v>La personne essuie ensuite un chiffon partout sur la citrouille pour nettoyer ses côtés.</v>
      </c>
    </row>
    <row r="34790">
      <c r="A34790" s="4" t="s">
        <v>43773</v>
      </c>
      <c r="B34790" s="4" t="s">
        <v>43774</v>
      </c>
      <c r="C34790" s="5" t="str">
        <f>IFERROR(__xludf.DUMMYFUNCTION("GOOGLETRANSLATE(B34790,""en"",""fr"")"),"Un homme marche lentement et retire du matériel du mur pendant que des joueurs de musique dramatique.")</f>
        <v>Un homme marche lentement et retire du matériel du mur pendant que des joueurs de musique dramatique.</v>
      </c>
    </row>
    <row r="34791">
      <c r="A34791" s="4" t="s">
        <v>43773</v>
      </c>
      <c r="B34791" s="4" t="s">
        <v>43775</v>
      </c>
      <c r="C34791" s="5" t="str">
        <f>IFERROR(__xludf.DUMMYFUNCTION("GOOGLETRANSLATE(B34791,""en"",""fr"")"),"Il installe l'arc et obtient ses flèches.")</f>
        <v>Il installe l'arc et obtient ses flèches.</v>
      </c>
    </row>
    <row r="34792">
      <c r="A34792" s="4" t="s">
        <v>43773</v>
      </c>
      <c r="B34792" s="4" t="s">
        <v>43776</v>
      </c>
      <c r="C34792" s="5" t="str">
        <f>IFERROR(__xludf.DUMMYFUNCTION("GOOGLETRANSLATE(B34792,""en"",""fr"")"),"Ensuite, nous le voyons à l'extérieur alors qu'il traverse de l'herbe vers une cible.")</f>
        <v>Ensuite, nous le voyons à l'extérieur alors qu'il traverse de l'herbe vers une cible.</v>
      </c>
    </row>
    <row r="34793">
      <c r="A34793" s="4" t="s">
        <v>43773</v>
      </c>
      <c r="B34793" s="4" t="s">
        <v>43777</v>
      </c>
      <c r="C34793" s="5" t="str">
        <f>IFERROR(__xludf.DUMMYFUNCTION("GOOGLETRANSLATE(B34793,""en"",""fr"")"),"Il sort une flèche et le place dans son arc.")</f>
        <v>Il sort une flèche et le place dans son arc.</v>
      </c>
    </row>
    <row r="34794">
      <c r="A34794" s="4" t="s">
        <v>43773</v>
      </c>
      <c r="B34794" s="4" t="s">
        <v>43778</v>
      </c>
      <c r="C34794" s="5" t="str">
        <f>IFERROR(__xludf.DUMMYFUNCTION("GOOGLETRANSLATE(B34794,""en"",""fr"")"),"Après quelques essais, il obtient un œil de Bulls.")</f>
        <v>Après quelques essais, il obtient un œil de Bulls.</v>
      </c>
    </row>
    <row r="34795">
      <c r="A34795" s="4" t="s">
        <v>43773</v>
      </c>
      <c r="B34795" s="4" t="s">
        <v>43779</v>
      </c>
      <c r="C34795" s="5" t="str">
        <f>IFERROR(__xludf.DUMMYFUNCTION("GOOGLETRANSLATE(B34795,""en"",""fr"")"),"Il pose son arc et ses flèches sur une plate-forme en bois.")</f>
        <v>Il pose son arc et ses flèches sur une plate-forme en bois.</v>
      </c>
    </row>
    <row r="34796">
      <c r="A34796" s="4" t="s">
        <v>43780</v>
      </c>
      <c r="B34796" s="4" t="s">
        <v>43781</v>
      </c>
      <c r="C34796" s="5" t="str">
        <f>IFERROR(__xludf.DUMMYFUNCTION("GOOGLETRANSLATE(B34796,""en"",""fr"")"),"Quatre personnes jouent à la table de football à l'intérieur.")</f>
        <v>Quatre personnes jouent à la table de football à l'intérieur.</v>
      </c>
    </row>
    <row r="34797">
      <c r="A34797" s="4" t="s">
        <v>43780</v>
      </c>
      <c r="B34797" s="4" t="s">
        <v>43782</v>
      </c>
      <c r="C34797" s="5" t="str">
        <f>IFERROR(__xludf.DUMMYFUNCTION("GOOGLETRANSLATE(B34797,""en"",""fr"")"),"Un homme montre une balle sur un bâton et démontre le mouvement du ballon sur la table de football.")</f>
        <v>Un homme montre une balle sur un bâton et démontre le mouvement du ballon sur la table de football.</v>
      </c>
    </row>
    <row r="34798">
      <c r="A34798" s="4" t="s">
        <v>43780</v>
      </c>
      <c r="B34798" s="4" t="s">
        <v>43783</v>
      </c>
      <c r="C34798" s="5" t="str">
        <f>IFERROR(__xludf.DUMMYFUNCTION("GOOGLETRANSLATE(B34798,""en"",""fr"")"),"Ensuite, l'homme montre le ballon aux joueurs, et l'un d'eux attrape le ballon et d'autres jouent.")</f>
        <v>Ensuite, l'homme montre le ballon aux joueurs, et l'un d'eux attrape le ballon et d'autres jouent.</v>
      </c>
    </row>
    <row r="34799">
      <c r="A34799" s="4" t="s">
        <v>43784</v>
      </c>
      <c r="B34799" s="4" t="s">
        <v>43785</v>
      </c>
      <c r="C34799" s="5" t="str">
        <f>IFERROR(__xludf.DUMMYFUNCTION("GOOGLETRANSLATE(B34799,""en"",""fr"")"),"Un homme est vu assis sur un banc avec d'autres essuyer son oreille avec un nettoyage.")</f>
        <v>Un homme est vu assis sur un banc avec d'autres essuyer son oreille avec un nettoyage.</v>
      </c>
    </row>
    <row r="34800">
      <c r="A34800" s="4" t="s">
        <v>43784</v>
      </c>
      <c r="B34800" s="4" t="s">
        <v>43786</v>
      </c>
      <c r="C34800" s="5" t="str">
        <f>IFERROR(__xludf.DUMMYFUNCTION("GOOGLETRANSLATE(B34800,""en"",""fr"")"),"L'homme regarde son téléphone tandis que l'autre commence alors à percer ses oreilles.")</f>
        <v>L'homme regarde son téléphone tandis que l'autre commence alors à percer ses oreilles.</v>
      </c>
    </row>
    <row r="34801">
      <c r="A34801" s="4" t="s">
        <v>43784</v>
      </c>
      <c r="B34801" s="4" t="s">
        <v>43787</v>
      </c>
      <c r="C34801" s="5" t="str">
        <f>IFERROR(__xludf.DUMMYFUNCTION("GOOGLETRANSLATE(B34801,""en"",""fr"")"),"L'homme met une boucle d'oreille dans chaque trou tout en parlant à l'homme et en poussant sa boucle d'oreille.")</f>
        <v>L'homme met une boucle d'oreille dans chaque trou tout en parlant à l'homme et en poussant sa boucle d'oreille.</v>
      </c>
    </row>
    <row r="34802">
      <c r="A34802" s="4" t="s">
        <v>43788</v>
      </c>
      <c r="B34802" s="4" t="s">
        <v>43789</v>
      </c>
      <c r="C34802" s="5" t="str">
        <f>IFERROR(__xludf.DUMMYFUNCTION("GOOGLETRANSLATE(B34802,""en"",""fr"")"),"Un homme célèbre les bras en l'air.")</f>
        <v>Un homme célèbre les bras en l'air.</v>
      </c>
    </row>
    <row r="34803">
      <c r="A34803" s="4" t="s">
        <v>43788</v>
      </c>
      <c r="B34803" s="4" t="s">
        <v>43790</v>
      </c>
      <c r="C34803" s="5" t="str">
        <f>IFERROR(__xludf.DUMMYFUNCTION("GOOGLETRANSLATE(B34803,""en"",""fr"")"),"Il est montré en train de tourner sur un champ.")</f>
        <v>Il est montré en train de tourner sur un champ.</v>
      </c>
    </row>
    <row r="34804">
      <c r="A34804" s="4" t="s">
        <v>43788</v>
      </c>
      <c r="B34804" s="4" t="s">
        <v>43791</v>
      </c>
      <c r="C34804" s="5" t="str">
        <f>IFERROR(__xludf.DUMMYFUNCTION("GOOGLETRANSLATE(B34804,""en"",""fr"")"),"Il lance ensuite le ballon loin et il est mesuré.")</f>
        <v>Il lance ensuite le ballon loin et il est mesuré.</v>
      </c>
    </row>
    <row r="34805">
      <c r="A34805" s="4" t="s">
        <v>43792</v>
      </c>
      <c r="B34805" s="4" t="s">
        <v>43793</v>
      </c>
      <c r="C34805" s="5" t="str">
        <f>IFERROR(__xludf.DUMMYFUNCTION("GOOGLETRANSLATE(B34805,""en"",""fr"")"),"Une femme d'âge moyen parle d'un produit de nettoyage.")</f>
        <v>Une femme d'âge moyen parle d'un produit de nettoyage.</v>
      </c>
    </row>
    <row r="34806">
      <c r="A34806" s="4" t="s">
        <v>43792</v>
      </c>
      <c r="B34806" s="4" t="s">
        <v>43794</v>
      </c>
      <c r="C34806" s="5" t="str">
        <f>IFERROR(__xludf.DUMMYFUNCTION("GOOGLETRANSLATE(B34806,""en"",""fr"")"),"La femelle ouvre un conteneur de nettoyant et le met sur un chiffon.")</f>
        <v>La femelle ouvre un conteneur de nettoyant et le met sur un chiffon.</v>
      </c>
    </row>
    <row r="34807">
      <c r="A34807" s="4" t="s">
        <v>43792</v>
      </c>
      <c r="B34807" s="4" t="s">
        <v>43795</v>
      </c>
      <c r="C34807" s="5" t="str">
        <f>IFERROR(__xludf.DUMMYFUNCTION("GOOGLETRANSLATE(B34807,""en"",""fr"")"),"La femelle utilise ensuite le chiffon pour frotter l'intérieur de l'évier.")</f>
        <v>La femelle utilise ensuite le chiffon pour frotter l'intérieur de l'évier.</v>
      </c>
    </row>
    <row r="34808">
      <c r="A34808" s="4" t="s">
        <v>43792</v>
      </c>
      <c r="B34808" s="4" t="s">
        <v>43796</v>
      </c>
      <c r="C34808" s="5" t="str">
        <f>IFERROR(__xludf.DUMMYFUNCTION("GOOGLETRANSLATE(B34808,""en"",""fr"")"),"La même femme utilise ensuite un chiffon différent pour frotter la surface de l'évier.")</f>
        <v>La même femme utilise ensuite un chiffon différent pour frotter la surface de l'évier.</v>
      </c>
    </row>
    <row r="34809">
      <c r="A34809" s="4" t="s">
        <v>43792</v>
      </c>
      <c r="B34809" s="4" t="s">
        <v>43797</v>
      </c>
      <c r="C34809" s="5" t="str">
        <f>IFERROR(__xludf.DUMMYFUNCTION("GOOGLETRANSLATE(B34809,""en"",""fr"")"),"La femelle met plus de plus propre sur le chiffon et nettoie le comptoir.")</f>
        <v>La femelle met plus de plus propre sur le chiffon et nettoie le comptoir.</v>
      </c>
    </row>
    <row r="34810">
      <c r="A34810" s="4" t="s">
        <v>43798</v>
      </c>
      <c r="B34810" s="6" t="s">
        <v>43799</v>
      </c>
      <c r="C34810" s="5" t="str">
        <f>IFERROR(__xludf.DUMMYFUNCTION("GOOGLETRANSLATE(B34810,""en"",""fr"")"),"Un homme est vu parler à la caméra et l'amène en présentant divers objets et aiguisant un couteau sur une planche.")</f>
        <v>Un homme est vu parler à la caméra et l'amène en présentant divers objets et aiguisant un couteau sur une planche.</v>
      </c>
    </row>
    <row r="34811">
      <c r="A34811" s="4" t="s">
        <v>43798</v>
      </c>
      <c r="B34811" s="6" t="s">
        <v>43800</v>
      </c>
      <c r="C34811" s="5" t="str">
        <f>IFERROR(__xludf.DUMMYFUNCTION("GOOGLETRANSLATE(B34811,""en"",""fr"")"),"L'homme montre comment affiner correctement le couteau à l'aide des outils et de ses mains tout en continuant à affiner le couteau sur la planche.")</f>
        <v>L'homme montre comment affiner correctement le couteau à l'aide des outils et de ses mains tout en continuant à affiner le couteau sur la planche.</v>
      </c>
    </row>
    <row r="34812">
      <c r="A34812" s="4" t="s">
        <v>43801</v>
      </c>
      <c r="B34812" s="4" t="s">
        <v>43802</v>
      </c>
      <c r="C34812" s="5" t="str">
        <f>IFERROR(__xludf.DUMMYFUNCTION("GOOGLETRANSLATE(B34812,""en"",""fr"")"),"Une femme parle et montre une petite bouteille.")</f>
        <v>Une femme parle et montre une petite bouteille.</v>
      </c>
    </row>
    <row r="34813">
      <c r="A34813" s="4" t="s">
        <v>43801</v>
      </c>
      <c r="B34813" s="4" t="s">
        <v>43803</v>
      </c>
      <c r="C34813" s="5" t="str">
        <f>IFERROR(__xludf.DUMMYFUNCTION("GOOGLETRANSLATE(B34813,""en"",""fr"")"),"Ensuite, la femme lui a mis les yeux de contact blanc et continue d'expliquer.")</f>
        <v>Ensuite, la femme lui a mis les yeux de contact blanc et continue d'expliquer.</v>
      </c>
    </row>
    <row r="34814">
      <c r="A34814" s="4" t="s">
        <v>43804</v>
      </c>
      <c r="B34814" s="4" t="s">
        <v>43805</v>
      </c>
      <c r="C34814" s="5" t="str">
        <f>IFERROR(__xludf.DUMMYFUNCTION("GOOGLETRANSLATE(B34814,""en"",""fr"")"),"Quelques jouets se débattent sur une table à côté d'une pile de DVD.")</f>
        <v>Quelques jouets se débattent sur une table à côté d'une pile de DVD.</v>
      </c>
    </row>
    <row r="34815">
      <c r="A34815" s="4" t="s">
        <v>43804</v>
      </c>
      <c r="B34815" s="4" t="s">
        <v>43806</v>
      </c>
      <c r="C34815" s="5" t="str">
        <f>IFERROR(__xludf.DUMMYFUNCTION("GOOGLETRANSLATE(B34815,""en"",""fr"")"),"Ils se frappent et se poussent les uns les autres.")</f>
        <v>Ils se frappent et se poussent les uns les autres.</v>
      </c>
    </row>
    <row r="34816">
      <c r="A34816" s="4" t="s">
        <v>43804</v>
      </c>
      <c r="B34816" s="4" t="s">
        <v>43807</v>
      </c>
      <c r="C34816" s="5" t="str">
        <f>IFERROR(__xludf.DUMMYFUNCTION("GOOGLETRANSLATE(B34816,""en"",""fr"")"),"Un écran d'étoiles dans un ciel noir est montré.")</f>
        <v>Un écran d'étoiles dans un ciel noir est montré.</v>
      </c>
    </row>
    <row r="34817">
      <c r="A34817" s="4" t="s">
        <v>43808</v>
      </c>
      <c r="B34817" s="4" t="s">
        <v>43809</v>
      </c>
      <c r="C34817" s="5" t="str">
        <f>IFERROR(__xludf.DUMMYFUNCTION("GOOGLETRANSLATE(B34817,""en"",""fr"")"),"Un mollet et un cheval sont à court d'une porte.")</f>
        <v>Un mollet et un cheval sont à court d'une porte.</v>
      </c>
    </row>
    <row r="34818">
      <c r="A34818" s="4" t="s">
        <v>43808</v>
      </c>
      <c r="B34818" s="4" t="s">
        <v>43810</v>
      </c>
      <c r="C34818" s="5" t="str">
        <f>IFERROR(__xludf.DUMMYFUNCTION("GOOGLETRANSLATE(B34818,""en"",""fr"")"),"L'homme attrape le veau et le relie.")</f>
        <v>L'homme attrape le veau et le relie.</v>
      </c>
    </row>
    <row r="34819">
      <c r="A34819" s="4" t="s">
        <v>43811</v>
      </c>
      <c r="B34819" s="6" t="s">
        <v>43812</v>
      </c>
      <c r="C34819" s="5" t="str">
        <f>IFERROR(__xludf.DUMMYFUNCTION("GOOGLETRANSLATE(B34819,""en"",""fr"")"),"Un homme portant une chemise noire montre comment polir le bois et d'autres surfaces à l'aide de vernis liquide et d'un chiffon doux blanc.")</f>
        <v>Un homme portant une chemise noire montre comment polir le bois et d'autres surfaces à l'aide de vernis liquide et d'un chiffon doux blanc.</v>
      </c>
    </row>
    <row r="34820">
      <c r="A34820" s="4" t="s">
        <v>43811</v>
      </c>
      <c r="B34820" s="6" t="s">
        <v>43813</v>
      </c>
      <c r="C34820" s="5" t="str">
        <f>IFERROR(__xludf.DUMMYFUNCTION("GOOGLETRANSLATE(B34820,""en"",""fr"")"),"Il verse une partie du vernis de la bouteille sur le tissu et l'utilise pour frotter doucement la publicité sur les meubles et le dessus de table.")</f>
        <v>Il verse une partie du vernis de la bouteille sur le tissu et l'utilise pour frotter doucement la publicité sur les meubles et le dessus de table.</v>
      </c>
    </row>
    <row r="34821">
      <c r="A34821" s="4" t="s">
        <v>43811</v>
      </c>
      <c r="B34821" s="4" t="s">
        <v>43814</v>
      </c>
      <c r="C34821" s="5" t="str">
        <f>IFERROR(__xludf.DUMMYFUNCTION("GOOGLETRANSLATE(B34821,""en"",""fr"")"),"Il l'utilise sur diverses surfaces pour nettoyer et polir les surfaces du bois, du vinyle et du cuir.")</f>
        <v>Il l'utilise sur diverses surfaces pour nettoyer et polir les surfaces du bois, du vinyle et du cuir.</v>
      </c>
    </row>
    <row r="34822">
      <c r="A34822" s="4" t="s">
        <v>43815</v>
      </c>
      <c r="B34822" s="4" t="s">
        <v>43816</v>
      </c>
      <c r="C34822" s="5" t="str">
        <f>IFERROR(__xludf.DUMMYFUNCTION("GOOGLETRANSLATE(B34822,""en"",""fr"")"),"Les enfants sont rassemblés autour d'une table en bois dans une cuisine.")</f>
        <v>Les enfants sont rassemblés autour d'une table en bois dans une cuisine.</v>
      </c>
    </row>
    <row r="34823">
      <c r="A34823" s="4" t="s">
        <v>43815</v>
      </c>
      <c r="B34823" s="4" t="s">
        <v>43817</v>
      </c>
      <c r="C34823" s="5" t="str">
        <f>IFERROR(__xludf.DUMMYFUNCTION("GOOGLETRANSLATE(B34823,""en"",""fr"")"),"La femme coupe les oranges et la montre aux enfants et la serre dans un verre dans la table.")</f>
        <v>La femme coupe les oranges et la montre aux enfants et la serre dans un verre dans la table.</v>
      </c>
    </row>
    <row r="34824">
      <c r="A34824" s="4" t="s">
        <v>43818</v>
      </c>
      <c r="B34824" s="4" t="s">
        <v>43819</v>
      </c>
      <c r="C34824" s="5" t="str">
        <f>IFERROR(__xludf.DUMMYFUNCTION("GOOGLETRANSLATE(B34824,""en"",""fr"")"),"Un homme fait plusieurs flips de dos sur un tapis rouge.")</f>
        <v>Un homme fait plusieurs flips de dos sur un tapis rouge.</v>
      </c>
    </row>
    <row r="34825">
      <c r="A34825" s="4" t="s">
        <v>43818</v>
      </c>
      <c r="B34825" s="4" t="s">
        <v>43820</v>
      </c>
      <c r="C34825" s="5" t="str">
        <f>IFERROR(__xludf.DUMMYFUNCTION("GOOGLETRANSLATE(B34825,""en"",""fr"")"),"Une femme dans une chemise noire le regarde passer et applaudir.")</f>
        <v>Une femme dans une chemise noire le regarde passer et applaudir.</v>
      </c>
    </row>
    <row r="34826">
      <c r="A34826" s="4" t="s">
        <v>43818</v>
      </c>
      <c r="B34826" s="4" t="s">
        <v>43821</v>
      </c>
      <c r="C34826" s="5" t="str">
        <f>IFERROR(__xludf.DUMMYFUNCTION("GOOGLETRANSLATE(B34826,""en"",""fr"")"),"Il se lève et s'éloigne.")</f>
        <v>Il se lève et s'éloigne.</v>
      </c>
    </row>
    <row r="34827">
      <c r="A34827" s="4" t="s">
        <v>43822</v>
      </c>
      <c r="B34827" s="4" t="s">
        <v>43823</v>
      </c>
      <c r="C34827" s="5" t="str">
        <f>IFERROR(__xludf.DUMMYFUNCTION("GOOGLETRANSLATE(B34827,""en"",""fr"")"),"Divers texte sont affichés sur l'écran qui mène à un homme hébergeant un segment d'actualités.")</f>
        <v>Divers texte sont affichés sur l'écran qui mène à un homme hébergeant un segment d'actualités.</v>
      </c>
    </row>
    <row r="34828">
      <c r="A34828" s="4" t="s">
        <v>43822</v>
      </c>
      <c r="B34828" s="4" t="s">
        <v>43824</v>
      </c>
      <c r="C34828" s="5" t="str">
        <f>IFERROR(__xludf.DUMMYFUNCTION("GOOGLETRANSLATE(B34828,""en"",""fr"")"),"Un athlète est ensuite vu tourner en rond et jeter un objet au loin.")</f>
        <v>Un athlète est ensuite vu tourner en rond et jeter un objet au loin.</v>
      </c>
    </row>
    <row r="34829">
      <c r="A34829" s="4" t="s">
        <v>43822</v>
      </c>
      <c r="B34829" s="4" t="s">
        <v>43825</v>
      </c>
      <c r="C34829" s="5" t="str">
        <f>IFERROR(__xludf.DUMMYFUNCTION("GOOGLETRANSLATE(B34829,""en"",""fr"")"),"Plus de texte est affiché sur l'écran.")</f>
        <v>Plus de texte est affiché sur l'écran.</v>
      </c>
    </row>
    <row r="34830">
      <c r="A34830" s="4" t="s">
        <v>43826</v>
      </c>
      <c r="B34830" s="4" t="s">
        <v>43827</v>
      </c>
      <c r="C34830" s="5" t="str">
        <f>IFERROR(__xludf.DUMMYFUNCTION("GOOGLETRANSLATE(B34830,""en"",""fr"")"),"Un canal affiche des vidéos cool et incroyables.")</f>
        <v>Un canal affiche des vidéos cool et incroyables.</v>
      </c>
    </row>
    <row r="34831">
      <c r="A34831" s="4" t="s">
        <v>43826</v>
      </c>
      <c r="B34831" s="6" t="s">
        <v>43828</v>
      </c>
      <c r="C34831" s="5" t="str">
        <f>IFERROR(__xludf.DUMMYFUNCTION("GOOGLETRANSLATE(B34831,""en"",""fr"")"),"Un jeune garçon est assis à l'extérieur sur un banc en bois et tambour sur un ensemble de tambour qui est fabriqué à partir d'assiettes en acier, de canettes et de pots.")</f>
        <v>Un jeune garçon est assis à l'extérieur sur un banc en bois et tambour sur un ensemble de tambour qui est fabriqué à partir d'assiettes en acier, de canettes et de pots.</v>
      </c>
    </row>
    <row r="34832">
      <c r="A34832" s="4" t="s">
        <v>43826</v>
      </c>
      <c r="B34832" s="4" t="s">
        <v>43829</v>
      </c>
      <c r="C34832" s="5" t="str">
        <f>IFERROR(__xludf.DUMMYFUNCTION("GOOGLETRANSLATE(B34832,""en"",""fr"")"),"Un homme vient de passer devant lui pendant que le garçon tambouriait fort.")</f>
        <v>Un homme vient de passer devant lui pendant que le garçon tambouriait fort.</v>
      </c>
    </row>
    <row r="34833">
      <c r="A34833" s="4" t="s">
        <v>43826</v>
      </c>
      <c r="B34833" s="4" t="s">
        <v>43830</v>
      </c>
      <c r="C34833" s="5" t="str">
        <f>IFERROR(__xludf.DUMMYFUNCTION("GOOGLETRANSLATE(B34833,""en"",""fr"")"),"Il continue de tambour sur le jeu de tambour fait à la main rythmiquement.")</f>
        <v>Il continue de tambour sur le jeu de tambour fait à la main rythmiquement.</v>
      </c>
    </row>
    <row r="34834">
      <c r="A34834" s="4" t="s">
        <v>43826</v>
      </c>
      <c r="B34834" s="4" t="s">
        <v>43831</v>
      </c>
      <c r="C34834" s="5" t="str">
        <f>IFERROR(__xludf.DUMMYFUNCTION("GOOGLETRANSLATE(B34834,""en"",""fr"")"),"Il joue rapidement sans s'arrêter.")</f>
        <v>Il joue rapidement sans s'arrêter.</v>
      </c>
    </row>
    <row r="34835">
      <c r="A34835" s="4" t="s">
        <v>43826</v>
      </c>
      <c r="B34835" s="4" t="s">
        <v>43832</v>
      </c>
      <c r="C34835" s="5" t="str">
        <f>IFERROR(__xludf.DUMMYFUNCTION("GOOGLETRANSLATE(B34835,""en"",""fr"")"),"L'écran montre des détails sur la façon de s'abonner à la chaîne.")</f>
        <v>L'écran montre des détails sur la façon de s'abonner à la chaîne.</v>
      </c>
    </row>
    <row r="34836">
      <c r="A34836" s="4" t="s">
        <v>43833</v>
      </c>
      <c r="B34836" s="6" t="s">
        <v>43834</v>
      </c>
      <c r="C34836" s="5" t="str">
        <f>IFERROR(__xludf.DUMMYFUNCTION("GOOGLETRANSLATE(B34836,""en"",""fr"")"),"Une vidéo de compilation / hommage pour un disque hongrois jetant olympien commence par quelques photos de lui en action.")</f>
        <v>Une vidéo de compilation / hommage pour un disque hongrois jetant olympien commence par quelques photos de lui en action.</v>
      </c>
    </row>
    <row r="34837">
      <c r="A34837" s="4" t="s">
        <v>43833</v>
      </c>
      <c r="B34837" s="4" t="s">
        <v>43835</v>
      </c>
      <c r="C34837" s="5" t="str">
        <f>IFERROR(__xludf.DUMMYFUNCTION("GOOGLETRANSLATE(B34837,""en"",""fr"")"),"Une tentative avec lui tournoie rapidement et le disque se lance.")</f>
        <v>Une tentative avec lui tournoie rapidement et le disque se lance.</v>
      </c>
    </row>
    <row r="34838">
      <c r="A34838" s="4" t="s">
        <v>43833</v>
      </c>
      <c r="B34838" s="4" t="s">
        <v>43836</v>
      </c>
      <c r="C34838" s="5" t="str">
        <f>IFERROR(__xludf.DUMMYFUNCTION("GOOGLETRANSLATE(B34838,""en"",""fr"")"),"Plus de photos jouent, montrant le concurrent dans différentes positions.")</f>
        <v>Plus de photos jouent, montrant le concurrent dans différentes positions.</v>
      </c>
    </row>
    <row r="34839">
      <c r="A34839" s="4" t="s">
        <v>43833</v>
      </c>
      <c r="B34839" s="4" t="s">
        <v>43837</v>
      </c>
      <c r="C34839" s="5" t="str">
        <f>IFERROR(__xludf.DUMMYFUNCTION("GOOGLETRANSLATE(B34839,""en"",""fr"")"),"Deux tentatives consécutives avec un spin puissant entraînent le disque volant à la fois.")</f>
        <v>Deux tentatives consécutives avec un spin puissant entraînent le disque volant à la fois.</v>
      </c>
    </row>
    <row r="34840">
      <c r="A34840" s="4" t="s">
        <v>43833</v>
      </c>
      <c r="B34840" s="4" t="s">
        <v>43838</v>
      </c>
      <c r="C34840" s="5" t="str">
        <f>IFERROR(__xludf.DUMMYFUNCTION("GOOGLETRANSLATE(B34840,""en"",""fr"")"),"Ceci est suivi de plus de photos.")</f>
        <v>Ceci est suivi de plus de photos.</v>
      </c>
    </row>
    <row r="34841">
      <c r="A34841" s="4" t="s">
        <v>43833</v>
      </c>
      <c r="B34841" s="4" t="s">
        <v>43839</v>
      </c>
      <c r="C34841" s="5" t="str">
        <f>IFERROR(__xludf.DUMMYFUNCTION("GOOGLETRANSLATE(B34841,""en"",""fr"")"),"Une autre tentative joue, suivie d'une autre liste de photos.")</f>
        <v>Une autre tentative joue, suivie d'une autre liste de photos.</v>
      </c>
    </row>
    <row r="34842">
      <c r="A34842" s="4" t="s">
        <v>43833</v>
      </c>
      <c r="B34842" s="6" t="s">
        <v>43840</v>
      </c>
      <c r="C34842" s="5" t="str">
        <f>IFERROR(__xludf.DUMMYFUNCTION("GOOGLETRANSLATE(B34842,""en"",""fr"")"),"La prochaine tentative se produit devant un grand filet vert, le disque est lancé comme une fusée et le lanceur célèbre.")</f>
        <v>La prochaine tentative se produit devant un grand filet vert, le disque est lancé comme une fusée et le lanceur célèbre.</v>
      </c>
    </row>
    <row r="34843">
      <c r="A34843" s="4" t="s">
        <v>43833</v>
      </c>
      <c r="B34843" s="4" t="s">
        <v>43841</v>
      </c>
      <c r="C34843" s="5" t="str">
        <f>IFERROR(__xludf.DUMMYFUNCTION("GOOGLETRANSLATE(B34843,""en"",""fr"")"),"Un autre ensemble de photos ferme le montage.")</f>
        <v>Un autre ensemble de photos ferme le montage.</v>
      </c>
    </row>
    <row r="34844">
      <c r="A34844" s="4" t="s">
        <v>43842</v>
      </c>
      <c r="B34844" s="6" t="s">
        <v>43843</v>
      </c>
      <c r="C34844" s="5" t="str">
        <f>IFERROR(__xludf.DUMMYFUNCTION("GOOGLETRANSLATE(B34844,""en"",""fr"")"),"Un homme est debout dans une cour d'herbe verte et est montré en tondant la pelouse et quand il a terminé, il y a un court échange d'une main qui remet à sa main un billet d'un dollar.")</f>
        <v>Un homme est debout dans une cour d'herbe verte et est montré en tondant la pelouse et quand il a terminé, il y a un court échange d'une main qui remet à sa main un billet d'un dollar.</v>
      </c>
    </row>
    <row r="34845">
      <c r="A34845" s="4" t="s">
        <v>43842</v>
      </c>
      <c r="B34845" s="6" t="s">
        <v>43844</v>
      </c>
      <c r="C34845" s="5" t="str">
        <f>IFERROR(__xludf.DUMMYFUNCTION("GOOGLETRANSLATE(B34845,""en"",""fr"")"),"L'homme est ensuite montré en déplaçant à nouveau l'herbe et quand il a fini, il est à nouveau à l'intérieur et cette fois, obtenant trois billets d'un dollar lui remis.")</f>
        <v>L'homme est ensuite montré en déplaçant à nouveau l'herbe et quand il a fini, il est à nouveau à l'intérieur et cette fois, obtenant trois billets d'un dollar lui remis.</v>
      </c>
    </row>
    <row r="34846">
      <c r="A34846" s="4" t="s">
        <v>43842</v>
      </c>
      <c r="B34846" s="6" t="s">
        <v>43845</v>
      </c>
      <c r="C34846" s="5" t="str">
        <f>IFERROR(__xludf.DUMMYFUNCTION("GOOGLETRANSLATE(B34846,""en"",""fr"")"),"Il est de nouveau de retour dans la cour, mais cette fois, il a le récipient rempli d'herbe coupée et un effet spécial donne l'impression que l'herbe coupée saute dans son récipient.")</f>
        <v>Il est de nouveau de retour dans la cour, mais cette fois, il a le récipient rempli d'herbe coupée et un effet spécial donne l'impression que l'herbe coupée saute dans son récipient.</v>
      </c>
    </row>
    <row r="34847">
      <c r="A34847" s="4" t="s">
        <v>43842</v>
      </c>
      <c r="B34847" s="6" t="s">
        <v>43846</v>
      </c>
      <c r="C34847" s="5" t="str">
        <f>IFERROR(__xludf.DUMMYFUNCTION("GOOGLETRANSLATE(B34847,""en"",""fr"")"),"Un effet spécial montre l'homme rapidement en un endroit, puis dans un autre endroit qui varie beaucoup dans toute la cour.")</f>
        <v>Un effet spécial montre l'homme rapidement en un endroit, puis dans un autre endroit qui varie beaucoup dans toute la cour.</v>
      </c>
    </row>
    <row r="34848">
      <c r="A34848" s="4" t="s">
        <v>43842</v>
      </c>
      <c r="B34848" s="6" t="s">
        <v>43847</v>
      </c>
      <c r="C34848" s="5" t="str">
        <f>IFERROR(__xludf.DUMMYFUNCTION("GOOGLETRANSLATE(B34848,""en"",""fr"")"),"L'homme recommence à tondre la cour, puis à revenir à l'intérieur pour lui remettre un dollar de plus.")</f>
        <v>L'homme recommence à tondre la cour, puis à revenir à l'intérieur pour lui remettre un dollar de plus.</v>
      </c>
    </row>
    <row r="34849">
      <c r="A34849" s="4" t="s">
        <v>43842</v>
      </c>
      <c r="B34849" s="6" t="s">
        <v>43848</v>
      </c>
      <c r="C34849" s="5" t="str">
        <f>IFERROR(__xludf.DUMMYFUNCTION("GOOGLETRANSLATE(B34849,""en"",""fr"")"),"L'homme en est très heureux et il est de retour dans la cour en célébrant en sautant et en tondant un peu plus la cour.")</f>
        <v>L'homme en est très heureux et il est de retour dans la cour en célébrant en sautant et en tondant un peu plus la cour.</v>
      </c>
    </row>
    <row r="34850">
      <c r="A34850" s="4" t="s">
        <v>43842</v>
      </c>
      <c r="B34850" s="6" t="s">
        <v>43849</v>
      </c>
      <c r="C34850" s="5" t="str">
        <f>IFERROR(__xludf.DUMMYFUNCTION("GOOGLETRANSLATE(B34850,""en"",""fr"")"),"L'homme est ensuite de retour à l'intérieur et un effet spécial montre un tas d'argent volant dans les airs et directement dans ses mains et se termine par un homme tenant un tas d'argent dans ses mains alors qu'ils bougent.")</f>
        <v>L'homme est ensuite de retour à l'intérieur et un effet spécial montre un tas d'argent volant dans les airs et directement dans ses mains et se termine par un homme tenant un tas d'argent dans ses mains alors qu'ils bougent.</v>
      </c>
    </row>
    <row r="34851">
      <c r="A34851" s="4" t="s">
        <v>43850</v>
      </c>
      <c r="B34851" s="4" t="s">
        <v>43851</v>
      </c>
      <c r="C34851" s="5" t="str">
        <f>IFERROR(__xludf.DUMMYFUNCTION("GOOGLETRANSLATE(B34851,""en"",""fr"")"),"Nous voyons un homme parler dans un navire à vélo.")</f>
        <v>Nous voyons un homme parler dans un navire à vélo.</v>
      </c>
    </row>
    <row r="34852">
      <c r="A34852" s="4" t="s">
        <v>43850</v>
      </c>
      <c r="B34852" s="4" t="s">
        <v>43852</v>
      </c>
      <c r="C34852" s="5" t="str">
        <f>IFERROR(__xludf.DUMMYFUNCTION("GOOGLETRANSLATE(B34852,""en"",""fr"")"),"L'homme pointe sur un vélo.")</f>
        <v>L'homme pointe sur un vélo.</v>
      </c>
    </row>
    <row r="34853">
      <c r="A34853" s="4" t="s">
        <v>43850</v>
      </c>
      <c r="B34853" s="4" t="s">
        <v>43853</v>
      </c>
      <c r="C34853" s="5" t="str">
        <f>IFERROR(__xludf.DUMMYFUNCTION("GOOGLETRANSLATE(B34853,""en"",""fr"")"),"L'homme enlève le guidon sur un vélo et les ajuste.")</f>
        <v>L'homme enlève le guidon sur un vélo et les ajuste.</v>
      </c>
    </row>
    <row r="34854">
      <c r="A34854" s="4" t="s">
        <v>43850</v>
      </c>
      <c r="B34854" s="4" t="s">
        <v>43854</v>
      </c>
      <c r="C34854" s="5" t="str">
        <f>IFERROR(__xludf.DUMMYFUNCTION("GOOGLETRANSLATE(B34854,""en"",""fr"")"),"L'homme remet le guidon.")</f>
        <v>L'homme remet le guidon.</v>
      </c>
    </row>
    <row r="34855">
      <c r="A34855" s="4" t="s">
        <v>43850</v>
      </c>
      <c r="B34855" s="4" t="s">
        <v>43855</v>
      </c>
      <c r="C34855" s="5" t="str">
        <f>IFERROR(__xludf.DUMMYFUNCTION("GOOGLETRANSLATE(B34855,""en"",""fr"")"),"L'homme se déplace vers l'avant du vélo pour ajuster le guidon.")</f>
        <v>L'homme se déplace vers l'avant du vélo pour ajuster le guidon.</v>
      </c>
    </row>
    <row r="34856">
      <c r="A34856" s="4" t="s">
        <v>43850</v>
      </c>
      <c r="B34856" s="4" t="s">
        <v>43856</v>
      </c>
      <c r="C34856" s="5" t="str">
        <f>IFERROR(__xludf.DUMMYFUNCTION("GOOGLETRANSLATE(B34856,""en"",""fr"")"),"L'homme termine ensuite le resserrement du boulon sur le guidon.")</f>
        <v>L'homme termine ensuite le resserrement du boulon sur le guidon.</v>
      </c>
    </row>
    <row r="34857">
      <c r="A34857" s="4" t="s">
        <v>43850</v>
      </c>
      <c r="B34857" s="4" t="s">
        <v>43857</v>
      </c>
      <c r="C34857" s="5" t="str">
        <f>IFERROR(__xludf.DUMMYFUNCTION("GOOGLETRANSLATE(B34857,""en"",""fr"")"),"L'homme recule la fin.")</f>
        <v>L'homme recule la fin.</v>
      </c>
    </row>
    <row r="34858">
      <c r="A34858" s="4" t="s">
        <v>43858</v>
      </c>
      <c r="B34858" s="4" t="s">
        <v>43859</v>
      </c>
      <c r="C34858" s="5" t="str">
        <f>IFERROR(__xludf.DUMMYFUNCTION("GOOGLETRANSLATE(B34858,""en"",""fr"")"),"Deux hommes parlent à la caméra, entrecoupés de séquences d'action qui jouent à la crosse.")</f>
        <v>Deux hommes parlent à la caméra, entrecoupés de séquences d'action qui jouent à la crosse.</v>
      </c>
    </row>
    <row r="34859">
      <c r="A34859" s="4" t="s">
        <v>43858</v>
      </c>
      <c r="B34859" s="4" t="s">
        <v>43860</v>
      </c>
      <c r="C34859" s="5" t="str">
        <f>IFERROR(__xludf.DUMMYFUNCTION("GOOGLETRANSLATE(B34859,""en"",""fr"")"),"L'homme vêtu d'orange parle à la caméra.")</f>
        <v>L'homme vêtu d'orange parle à la caméra.</v>
      </c>
    </row>
    <row r="34860">
      <c r="A34860" s="4" t="s">
        <v>43858</v>
      </c>
      <c r="B34860" s="4" t="s">
        <v>43861</v>
      </c>
      <c r="C34860" s="5" t="str">
        <f>IFERROR(__xludf.DUMMYFUNCTION("GOOGLETRANSLATE(B34860,""en"",""fr"")"),"L'homme d'Orange démontre le passage de la balle de crosse contre le mur.")</f>
        <v>L'homme d'Orange démontre le passage de la balle de crosse contre le mur.</v>
      </c>
    </row>
    <row r="34861">
      <c r="A34861" s="4" t="s">
        <v>43858</v>
      </c>
      <c r="B34861" s="4" t="s">
        <v>43862</v>
      </c>
      <c r="C34861" s="5" t="str">
        <f>IFERROR(__xludf.DUMMYFUNCTION("GOOGLETRANSLATE(B34861,""en"",""fr"")"),"L'homme en orange parle à nouveau à la caméra.")</f>
        <v>L'homme en orange parle à nouveau à la caméra.</v>
      </c>
    </row>
    <row r="34862">
      <c r="A34862" s="4" t="s">
        <v>43858</v>
      </c>
      <c r="B34862" s="4" t="s">
        <v>43863</v>
      </c>
      <c r="C34862" s="5" t="str">
        <f>IFERROR(__xludf.DUMMYFUNCTION("GOOGLETRANSLATE(B34862,""en"",""fr"")"),"Les deux hommes démontrent le passage de la balle de crosse contre le mur.")</f>
        <v>Les deux hommes démontrent le passage de la balle de crosse contre le mur.</v>
      </c>
    </row>
    <row r="34863">
      <c r="A34863" s="4" t="s">
        <v>43858</v>
      </c>
      <c r="B34863" s="4" t="s">
        <v>43864</v>
      </c>
      <c r="C34863" s="5" t="str">
        <f>IFERROR(__xludf.DUMMYFUNCTION("GOOGLETRANSLATE(B34863,""en"",""fr"")"),"L'homme en orange parle à la caméra une troisième fois tout en démontrant avec son bâton de crosse.")</f>
        <v>L'homme en orange parle à la caméra une troisième fois tout en démontrant avec son bâton de crosse.</v>
      </c>
    </row>
    <row r="34864">
      <c r="A34864" s="4" t="s">
        <v>43858</v>
      </c>
      <c r="B34864" s="4" t="s">
        <v>43865</v>
      </c>
      <c r="C34864" s="5" t="str">
        <f>IFERROR(__xludf.DUMMYFUNCTION("GOOGLETRANSLATE(B34864,""en"",""fr"")"),"L'homme est brièvement interrompu par une scène de lui passant le ballon contre le mur.")</f>
        <v>L'homme est brièvement interrompu par une scène de lui passant le ballon contre le mur.</v>
      </c>
    </row>
    <row r="34865">
      <c r="A34865" s="4" t="s">
        <v>43858</v>
      </c>
      <c r="B34865" s="4" t="s">
        <v>43866</v>
      </c>
      <c r="C34865" s="5" t="str">
        <f>IFERROR(__xludf.DUMMYFUNCTION("GOOGLETRANSLATE(B34865,""en"",""fr"")"),"Les deux hommes s'entraînent en se déplaçant le ballon avec le mur.")</f>
        <v>Les deux hommes s'entraînent en se déplaçant le ballon avec le mur.</v>
      </c>
    </row>
    <row r="34866">
      <c r="A34866" s="4" t="s">
        <v>43858</v>
      </c>
      <c r="B34866" s="4" t="s">
        <v>43867</v>
      </c>
      <c r="C34866" s="5" t="str">
        <f>IFERROR(__xludf.DUMMYFUNCTION("GOOGLETRANSLATE(B34866,""en"",""fr"")"),"L'homme en orange parle à la caméra une dernière fois.")</f>
        <v>L'homme en orange parle à la caméra une dernière fois.</v>
      </c>
    </row>
    <row r="34867">
      <c r="A34867" s="4" t="s">
        <v>43868</v>
      </c>
      <c r="B34867" s="4" t="s">
        <v>43869</v>
      </c>
      <c r="C34867" s="5" t="str">
        <f>IFERROR(__xludf.DUMMYFUNCTION("GOOGLETRANSLATE(B34867,""en"",""fr"")"),"Une femme est vue assise sur une ficelle tandis que d'autres veillent autour d'elle.")</f>
        <v>Une femme est vue assise sur une ficelle tandis que d'autres veillent autour d'elle.</v>
      </c>
    </row>
    <row r="34868">
      <c r="A34868" s="4" t="s">
        <v>43868</v>
      </c>
      <c r="B34868" s="4" t="s">
        <v>43870</v>
      </c>
      <c r="C34868" s="5" t="str">
        <f>IFERROR(__xludf.DUMMYFUNCTION("GOOGLETRANSLATE(B34868,""en"",""fr"")"),"Un homme est montré à la caméra tandis que d'autres prennent l'équilibre de leur tour sur la corde.")</f>
        <v>Un homme est montré à la caméra tandis que d'autres prennent l'équilibre de leur tour sur la corde.</v>
      </c>
    </row>
    <row r="34869">
      <c r="A34869" s="4" t="s">
        <v>43868</v>
      </c>
      <c r="B34869" s="4" t="s">
        <v>43871</v>
      </c>
      <c r="C34869" s="5" t="str">
        <f>IFERROR(__xludf.DUMMYFUNCTION("GOOGLETRANSLATE(B34869,""en"",""fr"")"),"Plus de coups sont montrés des gens qui se promènent les uns les autres.")</f>
        <v>Plus de coups sont montrés des gens qui se promènent les uns les autres.</v>
      </c>
    </row>
    <row r="34870">
      <c r="A34870" s="4" t="s">
        <v>43872</v>
      </c>
      <c r="B34870" s="4" t="s">
        <v>43873</v>
      </c>
      <c r="C34870" s="5" t="str">
        <f>IFERROR(__xludf.DUMMYFUNCTION("GOOGLETRANSLATE(B34870,""en"",""fr"")"),"Une femme est vue se diriger vers une porte et souriant à la caméra tout en raccrochant son manteau.")</f>
        <v>Une femme est vue se diriger vers une porte et souriant à la caméra tout en raccrochant son manteau.</v>
      </c>
    </row>
    <row r="34871">
      <c r="A34871" s="4" t="s">
        <v>43872</v>
      </c>
      <c r="B34871" s="4" t="s">
        <v>43874</v>
      </c>
      <c r="C34871" s="5" t="str">
        <f>IFERROR(__xludf.DUMMYFUNCTION("GOOGLETRANSLATE(B34871,""en"",""fr"")"),"Elle met un tablier et verse de la peinture dans un seau tout en parlant à la caméra.")</f>
        <v>Elle met un tablier et verse de la peinture dans un seau tout en parlant à la caméra.</v>
      </c>
    </row>
    <row r="34872">
      <c r="A34872" s="4" t="s">
        <v>43872</v>
      </c>
      <c r="B34872" s="4" t="s">
        <v>43875</v>
      </c>
      <c r="C34872" s="5" t="str">
        <f>IFERROR(__xludf.DUMMYFUNCTION("GOOGLETRANSLATE(B34872,""en"",""fr"")"),"Elle est montrée en peignant divers meubles et en le montrant finalement.")</f>
        <v>Elle est montrée en peignant divers meubles et en le montrant finalement.</v>
      </c>
    </row>
    <row r="34873">
      <c r="A34873" s="4" t="s">
        <v>43876</v>
      </c>
      <c r="B34873" s="6" t="s">
        <v>43877</v>
      </c>
      <c r="C34873" s="5" t="str">
        <f>IFERROR(__xludf.DUMMYFUNCTION("GOOGLETRANSLATE(B34873,""en"",""fr"")"),"Une femme est vue assise sur une chaise tout en parlant à la caméra et mène à un gros plan d'un arbre et à la femme qui met des ornements.")</f>
        <v>Une femme est vue assise sur une chaise tout en parlant à la caméra et mène à un gros plan d'un arbre et à la femme qui met des ornements.</v>
      </c>
    </row>
    <row r="34874">
      <c r="A34874" s="4" t="s">
        <v>43876</v>
      </c>
      <c r="B34874" s="6" t="s">
        <v>43878</v>
      </c>
      <c r="C34874" s="5" t="str">
        <f>IFERROR(__xludf.DUMMYFUNCTION("GOOGLETRANSLATE(B34874,""en"",""fr"")"),"La femme attache de la ficelle tout le long de l'arbre pendant que la caméra se déroule et se termine avec elle montrant le résultat final et parlant à la caméra.")</f>
        <v>La femme attache de la ficelle tout le long de l'arbre pendant que la caméra se déroule et se termine avec elle montrant le résultat final et parlant à la caméra.</v>
      </c>
    </row>
    <row r="34875">
      <c r="A34875" s="4" t="s">
        <v>43879</v>
      </c>
      <c r="B34875" s="4" t="s">
        <v>43880</v>
      </c>
      <c r="C34875" s="5" t="str">
        <f>IFERROR(__xludf.DUMMYFUNCTION("GOOGLETRANSLATE(B34875,""en"",""fr"")"),"Un garçon est assis sur une rampe avec les volets sur son vélo de terre en attendant de suivre le parcours.")</f>
        <v>Un garçon est assis sur une rampe avec les volets sur son vélo de terre en attendant de suivre le parcours.</v>
      </c>
    </row>
    <row r="34876">
      <c r="A34876" s="4" t="s">
        <v>43879</v>
      </c>
      <c r="B34876" s="6" t="s">
        <v>43881</v>
      </c>
      <c r="C34876" s="5" t="str">
        <f>IFERROR(__xludf.DUMMYFUNCTION("GOOGLETRANSLATE(B34876,""en"",""fr"")"),"Le garçon revient alors et commence à déplacer les pédales sur le vélo, puis se lève sur le vélo.")</f>
        <v>Le garçon revient alors et commence à déplacer les pédales sur le vélo, puis se lève sur le vélo.</v>
      </c>
    </row>
    <row r="34877">
      <c r="A34877" s="4" t="s">
        <v>43879</v>
      </c>
      <c r="B34877" s="6" t="s">
        <v>43882</v>
      </c>
      <c r="C34877" s="5" t="str">
        <f>IFERROR(__xludf.DUMMYFUNCTION("GOOGLETRANSLATE(B34877,""en"",""fr"")"),"Un autre angle est montré et les rampes sont déçues et le garçon commence à rouler sur le trottoir.")</f>
        <v>Un autre angle est montré et les rampes sont déçues et le garçon commence à rouler sur le trottoir.</v>
      </c>
    </row>
    <row r="34878">
      <c r="A34878" s="4" t="s">
        <v>43883</v>
      </c>
      <c r="B34878" s="4" t="s">
        <v>43884</v>
      </c>
      <c r="C34878" s="5" t="str">
        <f>IFERROR(__xludf.DUMMYFUNCTION("GOOGLETRANSLATE(B34878,""en"",""fr"")"),"Un adolescent est assis sur une chaise en train de parler.")</f>
        <v>Un adolescent est assis sur une chaise en train de parler.</v>
      </c>
    </row>
    <row r="34879">
      <c r="A34879" s="4" t="s">
        <v>43883</v>
      </c>
      <c r="B34879" s="4" t="s">
        <v>43885</v>
      </c>
      <c r="C34879" s="5" t="str">
        <f>IFERROR(__xludf.DUMMYFUNCTION("GOOGLETRANSLATE(B34879,""en"",""fr"")"),"Le garçon se tient et nous le voyons rebondir sur une slackline à divers endroits.")</f>
        <v>Le garçon se tient et nous le voyons rebondir sur une slackline à divers endroits.</v>
      </c>
    </row>
    <row r="34880">
      <c r="A34880" s="4" t="s">
        <v>43883</v>
      </c>
      <c r="B34880" s="4" t="s">
        <v>43886</v>
      </c>
      <c r="C34880" s="5" t="str">
        <f>IFERROR(__xludf.DUMMYFUNCTION("GOOGLETRANSLATE(B34880,""en"",""fr"")"),"Il y a un deuxième garçon sur une autre ligne qui s'éloigne.")</f>
        <v>Il y a un deuxième garçon sur une autre ligne qui s'éloigne.</v>
      </c>
    </row>
    <row r="34881">
      <c r="A34881" s="4" t="s">
        <v>43883</v>
      </c>
      <c r="B34881" s="4" t="s">
        <v>43887</v>
      </c>
      <c r="C34881" s="5" t="str">
        <f>IFERROR(__xludf.DUMMYFUNCTION("GOOGLETRANSLATE(B34881,""en"",""fr"")"),"Le garçon tombe presque et se stabilise lui-même.")</f>
        <v>Le garçon tombe presque et se stabilise lui-même.</v>
      </c>
    </row>
    <row r="34882">
      <c r="A34882" s="4" t="s">
        <v>43883</v>
      </c>
      <c r="B34882" s="4" t="s">
        <v>43888</v>
      </c>
      <c r="C34882" s="5" t="str">
        <f>IFERROR(__xludf.DUMMYFUNCTION("GOOGLETRANSLATE(B34882,""en"",""fr"")"),"Le garçon descend et s'éloigne.")</f>
        <v>Le garçon descend et s'éloigne.</v>
      </c>
    </row>
    <row r="34883">
      <c r="A34883" s="4" t="s">
        <v>43883</v>
      </c>
      <c r="B34883" s="4" t="s">
        <v>43889</v>
      </c>
      <c r="C34883" s="5" t="str">
        <f>IFERROR(__xludf.DUMMYFUNCTION("GOOGLETRANSLATE(B34883,""en"",""fr"")"),"Le garçon se dirige vers la caméra et fait signe de ses mains.")</f>
        <v>Le garçon se dirige vers la caméra et fait signe de ses mains.</v>
      </c>
    </row>
    <row r="34884">
      <c r="A34884" s="4" t="s">
        <v>43890</v>
      </c>
      <c r="B34884" s="6" t="s">
        <v>43891</v>
      </c>
      <c r="C34884" s="5" t="str">
        <f>IFERROR(__xludf.DUMMYFUNCTION("GOOGLETRANSLATE(B34884,""en"",""fr"")"),"Un écran d'intro noire apparaît avec des mots et des lettres blancs disant ""Darts Unique TV 'Robin Hood' d'Eric Bristow, 1983 contre J Wilson"".")</f>
        <v>Un écran d'intro noire apparaît avec des mots et des lettres blancs disant "Darts Unique TV 'Robin Hood' d'Eric Bristow, 1983 contre J Wilson".</v>
      </c>
    </row>
    <row r="34885">
      <c r="A34885" s="4" t="s">
        <v>43890</v>
      </c>
      <c r="B34885" s="4" t="s">
        <v>43892</v>
      </c>
      <c r="C34885" s="5" t="str">
        <f>IFERROR(__xludf.DUMMYFUNCTION("GOOGLETRANSLATE(B34885,""en"",""fr"")"),"Une vidéo plus ancienne commence et deux hommes différents lancent des fléchettes sur un plancher.")</f>
        <v>Une vidéo plus ancienne commence et deux hommes différents lancent des fléchettes sur un plancher.</v>
      </c>
    </row>
    <row r="34886">
      <c r="A34886" s="4" t="s">
        <v>43890</v>
      </c>
      <c r="B34886" s="6" t="s">
        <v>43893</v>
      </c>
      <c r="C34886" s="5" t="str">
        <f>IFERROR(__xludf.DUMMYFUNCTION("GOOGLETRANSLATE(B34886,""en"",""fr"")"),"Lorsque les hommes ont fini de lancer des fléchettes, un plancher est un spectacle et des lettres bleues font défiler du bas vers le haut.")</f>
        <v>Lorsque les hommes ont fini de lancer des fléchettes, un plancher est un spectacle et des lettres bleues font défiler du bas vers le haut.</v>
      </c>
    </row>
    <row r="34887">
      <c r="A34887" s="4" t="s">
        <v>43894</v>
      </c>
      <c r="B34887" s="4" t="s">
        <v>43895</v>
      </c>
      <c r="C34887" s="5" t="str">
        <f>IFERROR(__xludf.DUMMYFUNCTION("GOOGLETRANSLATE(B34887,""en"",""fr"")"),"Une introduction arrive sur l'écran pour une vidéo sur la façon de faire de la linguine avec une sauce à la palourde.")</f>
        <v>Une introduction arrive sur l'écran pour une vidéo sur la façon de faire de la linguine avec une sauce à la palourde.</v>
      </c>
    </row>
    <row r="34888">
      <c r="A34888" s="4" t="s">
        <v>43894</v>
      </c>
      <c r="B34888" s="4" t="s">
        <v>43896</v>
      </c>
      <c r="C34888" s="5" t="str">
        <f>IFERROR(__xludf.DUMMYFUNCTION("GOOGLETRANSLATE(B34888,""en"",""fr"")"),"L'eau est amenée à ébullition dans un pot et les pâtes sont ajoutées au pot.")</f>
        <v>L'eau est amenée à ébullition dans un pot et les pâtes sont ajoutées au pot.</v>
      </c>
    </row>
    <row r="34889">
      <c r="A34889" s="4" t="s">
        <v>43894</v>
      </c>
      <c r="B34889" s="6" t="s">
        <v>43897</v>
      </c>
      <c r="C34889" s="5" t="str">
        <f>IFERROR(__xludf.DUMMYFUNCTION("GOOGLETRANSLATE(B34889,""en"",""fr"")"),"Le persil est finement haché avec de l'ail, et les palourdes sont drainées dans un bol pour les séparer du jus.")</f>
        <v>Le persil est finement haché avec de l'ail, et les palourdes sont drainées dans un bol pour les séparer du jus.</v>
      </c>
    </row>
    <row r="34890">
      <c r="A34890" s="4" t="s">
        <v>43894</v>
      </c>
      <c r="B34890" s="6" t="s">
        <v>43898</v>
      </c>
      <c r="C34890" s="5" t="str">
        <f>IFERROR(__xludf.DUMMYFUNCTION("GOOGLETRANSLATE(B34890,""en"",""fr"")"),"L'huile d'olive entre dans la poêle avec l'ail, le poivron rouge, le persil, le vin blanc, le basilic, le sel et le jus de palourde à mijoter, et les palourdes sont ajoutées au mélange à la fin.")</f>
        <v>L'huile d'olive entre dans la poêle avec l'ail, le poivron rouge, le persil, le vin blanc, le basilic, le sel et le jus de palourde à mijoter, et les palourdes sont ajoutées au mélange à la fin.</v>
      </c>
    </row>
    <row r="34891">
      <c r="A34891" s="4" t="s">
        <v>43894</v>
      </c>
      <c r="B34891" s="4" t="s">
        <v>43899</v>
      </c>
      <c r="C34891" s="5" t="str">
        <f>IFERROR(__xludf.DUMMYFUNCTION("GOOGLETRANSLATE(B34891,""en"",""fr"")"),"Les pâtes sont drainées et ajoutées dans la poêle avec la sauce.")</f>
        <v>Les pâtes sont drainées et ajoutées dans la poêle avec la sauce.</v>
      </c>
    </row>
    <row r="34892">
      <c r="A34892" s="4" t="s">
        <v>43894</v>
      </c>
      <c r="B34892" s="4" t="s">
        <v>43900</v>
      </c>
      <c r="C34892" s="5" t="str">
        <f>IFERROR(__xludf.DUMMYFUNCTION("GOOGLETRANSLATE(B34892,""en"",""fr"")"),"Les pâtes sont ensuite servi avec du fromage râpé sur le dessus.")</f>
        <v>Les pâtes sont ensuite servi avec du fromage râpé sur le dessus.</v>
      </c>
    </row>
    <row r="34893">
      <c r="A34893" s="4" t="s">
        <v>43901</v>
      </c>
      <c r="B34893" s="6" t="s">
        <v>43902</v>
      </c>
      <c r="C34893" s="5" t="str">
        <f>IFERROR(__xludf.DUMMYFUNCTION("GOOGLETRANSLATE(B34893,""en"",""fr"")"),"Une femme aux cheveux longs est vue en parlant à la caméra tout en déplaçant ses bras et en souriant pendant qu'elle parle.")</f>
        <v>Une femme aux cheveux longs est vue en parlant à la caméra tout en déplaçant ses bras et en souriant pendant qu'elle parle.</v>
      </c>
    </row>
    <row r="34894">
      <c r="A34894" s="4" t="s">
        <v>43901</v>
      </c>
      <c r="B34894" s="4" t="s">
        <v>43903</v>
      </c>
      <c r="C34894" s="5" t="str">
        <f>IFERROR(__xludf.DUMMYFUNCTION("GOOGLETRANSLATE(B34894,""en"",""fr"")"),"Elle commence ensuite à se brosser ses cheveux longs et à souriant la caméra et en agitant.")</f>
        <v>Elle commence ensuite à se brosser ses cheveux longs et à souriant la caméra et en agitant.</v>
      </c>
    </row>
    <row r="34895">
      <c r="A34895" s="4" t="s">
        <v>43904</v>
      </c>
      <c r="B34895" s="4" t="s">
        <v>43905</v>
      </c>
      <c r="C34895" s="5" t="str">
        <f>IFERROR(__xludf.DUMMYFUNCTION("GOOGLETRANSLATE(B34895,""en"",""fr"")"),"Une fille monte le centre de la scène et se dérange avec ses pieds et se met en position.")</f>
        <v>Une fille monte le centre de la scène et se dérange avec ses pieds et se met en position.</v>
      </c>
    </row>
    <row r="34896">
      <c r="A34896" s="4" t="s">
        <v>43904</v>
      </c>
      <c r="B34896" s="4" t="s">
        <v>43906</v>
      </c>
      <c r="C34896" s="5" t="str">
        <f>IFERROR(__xludf.DUMMYFUNCTION("GOOGLETRANSLATE(B34896,""en"",""fr"")"),"Elle s'arrête dans cette position avant qu'elle ne commence à danser.")</f>
        <v>Elle s'arrête dans cette position avant qu'elle ne commence à danser.</v>
      </c>
    </row>
    <row r="34897">
      <c r="A34897" s="4" t="s">
        <v>43904</v>
      </c>
      <c r="B34897" s="4" t="s">
        <v>43907</v>
      </c>
      <c r="C34897" s="5" t="str">
        <f>IFERROR(__xludf.DUMMYFUNCTION("GOOGLETRANSLATE(B34897,""en"",""fr"")"),"Elle fait une scission et quelques poses tout autour.")</f>
        <v>Elle fait une scission et quelques poses tout autour.</v>
      </c>
    </row>
    <row r="34898">
      <c r="A34898" s="4" t="s">
        <v>43904</v>
      </c>
      <c r="B34898" s="4" t="s">
        <v>43908</v>
      </c>
      <c r="C34898" s="5" t="str">
        <f>IFERROR(__xludf.DUMMYFUNCTION("GOOGLETRANSLATE(B34898,""en"",""fr"")"),"Elle fait des roues de charrette et plus de danse tout autour du terrain et finalement elle termine.")</f>
        <v>Elle fait des roues de charrette et plus de danse tout autour du terrain et finalement elle termine.</v>
      </c>
    </row>
    <row r="34899">
      <c r="A34899" s="4" t="s">
        <v>43909</v>
      </c>
      <c r="B34899" s="4" t="s">
        <v>43910</v>
      </c>
      <c r="C34899" s="5" t="str">
        <f>IFERROR(__xludf.DUMMYFUNCTION("GOOGLETRANSLATE(B34899,""en"",""fr"")"),"Un grand groupe de personnes est montré en marchant en tenant des arcs et des flèches et un qui fait un coup de feu.")</f>
        <v>Un grand groupe de personnes est montré en marchant en tenant des arcs et des flèches et un qui fait un coup de feu.</v>
      </c>
    </row>
    <row r="34900">
      <c r="A34900" s="4" t="s">
        <v>43909</v>
      </c>
      <c r="B34900" s="6" t="s">
        <v>43911</v>
      </c>
      <c r="C34900" s="5" t="str">
        <f>IFERROR(__xludf.DUMMYFUNCTION("GOOGLETRANSLATE(B34900,""en"",""fr"")"),"Plusieurs autres personnes sont montrées en faisant des coups avec leurs arcs et leurs flèches et célébrant à la fin et se tenant sur un podium agitant.")</f>
        <v>Plusieurs autres personnes sont montrées en faisant des coups avec leurs arcs et leurs flèches et célébrant à la fin et se tenant sur un podium agitant.</v>
      </c>
    </row>
    <row r="34901">
      <c r="A34901" s="4" t="s">
        <v>43912</v>
      </c>
      <c r="B34901" s="4" t="s">
        <v>43913</v>
      </c>
      <c r="C34901" s="5" t="str">
        <f>IFERROR(__xludf.DUMMYFUNCTION("GOOGLETRANSLATE(B34901,""en"",""fr"")"),"Nous voyons un homme skiable.")</f>
        <v>Nous voyons un homme skiable.</v>
      </c>
    </row>
    <row r="34902">
      <c r="A34902" s="4" t="s">
        <v>43912</v>
      </c>
      <c r="B34902" s="4" t="s">
        <v>43914</v>
      </c>
      <c r="C34902" s="5" t="str">
        <f>IFERROR(__xludf.DUMMYFUNCTION("GOOGLETRANSLATE(B34902,""en"",""fr"")"),"Nous voyons l'eau pulvériser sur la gauche.")</f>
        <v>Nous voyons l'eau pulvériser sur la gauche.</v>
      </c>
    </row>
    <row r="34903">
      <c r="A34903" s="4" t="s">
        <v>43912</v>
      </c>
      <c r="B34903" s="4" t="s">
        <v>43915</v>
      </c>
      <c r="C34903" s="5" t="str">
        <f>IFERROR(__xludf.DUMMYFUNCTION("GOOGLETRANSLATE(B34903,""en"",""fr"")"),"L'homme saute vers la droite.")</f>
        <v>L'homme saute vers la droite.</v>
      </c>
    </row>
    <row r="34904">
      <c r="A34904" s="4" t="s">
        <v>43912</v>
      </c>
      <c r="B34904" s="4" t="s">
        <v>43916</v>
      </c>
      <c r="C34904" s="5" t="str">
        <f>IFERROR(__xludf.DUMMYFUNCTION("GOOGLETRANSLATE(B34904,""en"",""fr"")"),"L'homme se penche sur la planche de surf.")</f>
        <v>L'homme se penche sur la planche de surf.</v>
      </c>
    </row>
    <row r="34905">
      <c r="A34905" s="4" t="s">
        <v>43912</v>
      </c>
      <c r="B34905" s="4" t="s">
        <v>43917</v>
      </c>
      <c r="C34905" s="5" t="str">
        <f>IFERROR(__xludf.DUMMYFUNCTION("GOOGLETRANSLATE(B34905,""en"",""fr"")"),"L'homme effectue un flip.")</f>
        <v>L'homme effectue un flip.</v>
      </c>
    </row>
    <row r="34906">
      <c r="A34906" s="4" t="s">
        <v>43918</v>
      </c>
      <c r="B34906" s="4" t="s">
        <v>43919</v>
      </c>
      <c r="C34906" s="5" t="str">
        <f>IFERROR(__xludf.DUMMYFUNCTION("GOOGLETRANSLATE(B34906,""en"",""fr"")"),"Une paire de mains féminines utilise un fer sur un morceau de vêtements pour bébé.")</f>
        <v>Une paire de mains féminines utilise un fer sur un morceau de vêtements pour bébé.</v>
      </c>
    </row>
    <row r="34907">
      <c r="A34907" s="4" t="s">
        <v>43918</v>
      </c>
      <c r="B34907" s="4" t="s">
        <v>43920</v>
      </c>
      <c r="C34907" s="5" t="str">
        <f>IFERROR(__xludf.DUMMYFUNCTION("GOOGLETRANSLATE(B34907,""en"",""fr"")"),"La femme met le fer de côté et retourne les vêtements.")</f>
        <v>La femme met le fer de côté et retourne les vêtements.</v>
      </c>
    </row>
    <row r="34908">
      <c r="A34908" s="4" t="s">
        <v>43918</v>
      </c>
      <c r="B34908" s="4" t="s">
        <v>43921</v>
      </c>
      <c r="C34908" s="5" t="str">
        <f>IFERROR(__xludf.DUMMYFUNCTION("GOOGLETRANSLATE(B34908,""en"",""fr"")"),"La femme utilise le fer de l'autre côté des vêtements.")</f>
        <v>La femme utilise le fer de l'autre côté des vêtements.</v>
      </c>
    </row>
    <row r="34909">
      <c r="A34909" s="4" t="s">
        <v>43918</v>
      </c>
      <c r="B34909" s="4" t="s">
        <v>43922</v>
      </c>
      <c r="C34909" s="5" t="str">
        <f>IFERROR(__xludf.DUMMYFUNCTION("GOOGLETRANSLATE(B34909,""en"",""fr"")"),"La femme met le fer de côté.")</f>
        <v>La femme met le fer de côté.</v>
      </c>
    </row>
    <row r="34910">
      <c r="A34910" s="4" t="s">
        <v>43923</v>
      </c>
      <c r="B34910" s="4" t="s">
        <v>43924</v>
      </c>
      <c r="C34910" s="5" t="str">
        <f>IFERROR(__xludf.DUMMYFUNCTION("GOOGLETRANSLATE(B34910,""en"",""fr"")"),"Un homme sirote un verre sur la plage.")</f>
        <v>Un homme sirote un verre sur la plage.</v>
      </c>
    </row>
    <row r="34911">
      <c r="A34911" s="4" t="s">
        <v>43923</v>
      </c>
      <c r="B34911" s="4" t="s">
        <v>43925</v>
      </c>
      <c r="C34911" s="5" t="str">
        <f>IFERROR(__xludf.DUMMYFUNCTION("GOOGLETRANSLATE(B34911,""en"",""fr"")"),"Une fille applique des giclées de lotion bronzante sur leur corps.")</f>
        <v>Une fille applique des giclées de lotion bronzante sur leur corps.</v>
      </c>
    </row>
    <row r="34912">
      <c r="A34912" s="4" t="s">
        <v>43923</v>
      </c>
      <c r="B34912" s="4" t="s">
        <v>43926</v>
      </c>
      <c r="C34912" s="5" t="str">
        <f>IFERROR(__xludf.DUMMYFUNCTION("GOOGLETRANSLATE(B34912,""en"",""fr"")"),"Ensuite, allez ensuite dans l'eau, nageant et marchez dans les surf.")</f>
        <v>Ensuite, allez ensuite dans l'eau, nageant et marchez dans les surf.</v>
      </c>
    </row>
    <row r="34913">
      <c r="A34913" s="4" t="s">
        <v>43927</v>
      </c>
      <c r="B34913" s="4" t="s">
        <v>43928</v>
      </c>
      <c r="C34913" s="5" t="str">
        <f>IFERROR(__xludf.DUMMYFUNCTION("GOOGLETRANSLATE(B34913,""en"",""fr"")"),"Un homme est vu parler à la caméra tout en tenant un tapis en caoutchouc en mousse.")</f>
        <v>Un homme est vu parler à la caméra tout en tenant un tapis en caoutchouc en mousse.</v>
      </c>
    </row>
    <row r="34914">
      <c r="A34914" s="4" t="s">
        <v>43927</v>
      </c>
      <c r="B34914" s="4" t="s">
        <v>43929</v>
      </c>
      <c r="C34914" s="5" t="str">
        <f>IFERROR(__xludf.DUMMYFUNCTION("GOOGLETRANSLATE(B34914,""en"",""fr"")"),"La caméra se déroule autour de plus de tapis qui s'allongent pendant que l'homme parle toujours à la caméra.")</f>
        <v>La caméra se déroule autour de plus de tapis qui s'allongent pendant que l'homme parle toujours à la caméra.</v>
      </c>
    </row>
    <row r="34915">
      <c r="A34915" s="4" t="s">
        <v>43930</v>
      </c>
      <c r="B34915" s="4" t="s">
        <v>43931</v>
      </c>
      <c r="C34915" s="5" t="str">
        <f>IFERROR(__xludf.DUMMYFUNCTION("GOOGLETRANSLATE(B34915,""en"",""fr"")"),"Une femme commence à parler à la caméra en souriant et mène à ses cheveux d'une autre femme.")</f>
        <v>Une femme commence à parler à la caméra en souriant et mène à ses cheveux d'une autre femme.</v>
      </c>
    </row>
    <row r="34916">
      <c r="A34916" s="4" t="s">
        <v>43930</v>
      </c>
      <c r="B34916" s="6" t="s">
        <v>43932</v>
      </c>
      <c r="C34916" s="5" t="str">
        <f>IFERROR(__xludf.DUMMYFUNCTION("GOOGLETRANSLATE(B34916,""en"",""fr"")"),"Elle sépare les cheveux en sections et place les rouleaux dans les cheveux de la femme et parle à la caméra.")</f>
        <v>Elle sépare les cheveux en sections et place les rouleaux dans les cheveux de la femme et parle à la caméra.</v>
      </c>
    </row>
    <row r="34917">
      <c r="A34917" s="4" t="s">
        <v>43933</v>
      </c>
      <c r="B34917" s="4" t="s">
        <v>43934</v>
      </c>
      <c r="C34917" s="5" t="str">
        <f>IFERROR(__xludf.DUMMYFUNCTION("GOOGLETRANSLATE(B34917,""en"",""fr"")"),"Deux personnes soulèvent un gros poids sur la tête.")</f>
        <v>Deux personnes soulèvent un gros poids sur la tête.</v>
      </c>
    </row>
    <row r="34918">
      <c r="A34918" s="4" t="s">
        <v>43933</v>
      </c>
      <c r="B34918" s="4" t="s">
        <v>43935</v>
      </c>
      <c r="C34918" s="5" t="str">
        <f>IFERROR(__xludf.DUMMYFUNCTION("GOOGLETRANSLATE(B34918,""en"",""fr"")"),"Ils laissent tomber le poids au sol.")</f>
        <v>Ils laissent tomber le poids au sol.</v>
      </c>
    </row>
    <row r="34919">
      <c r="A34919" s="4" t="s">
        <v>43933</v>
      </c>
      <c r="B34919" s="4" t="s">
        <v>43936</v>
      </c>
      <c r="C34919" s="5" t="str">
        <f>IFERROR(__xludf.DUMMYFUNCTION("GOOGLETRANSLATE(B34919,""en"",""fr"")"),"Les poids sont indiqués de chaque côté.")</f>
        <v>Les poids sont indiqués de chaque côté.</v>
      </c>
    </row>
    <row r="34920">
      <c r="A34920" s="4" t="s">
        <v>43937</v>
      </c>
      <c r="B34920" s="4" t="s">
        <v>43938</v>
      </c>
      <c r="C34920" s="5" t="str">
        <f>IFERROR(__xludf.DUMMYFUNCTION("GOOGLETRANSLATE(B34920,""en"",""fr"")"),"Deux voitures sont vues garées à l'extérieur d'un garage alors qu'un homme concentre son appareil photo.")</f>
        <v>Deux voitures sont vues garées à l'extérieur d'un garage alors qu'un homme concentre son appareil photo.</v>
      </c>
    </row>
    <row r="34921">
      <c r="A34921" s="4" t="s">
        <v>43937</v>
      </c>
      <c r="B34921" s="6" t="s">
        <v>43939</v>
      </c>
      <c r="C34921" s="5" t="str">
        <f>IFERROR(__xludf.DUMMYFUNCTION("GOOGLETRANSLATE(B34921,""en"",""fr"")"),"Une fois que la caméra est en position de péché, un homme est montré avec un masque en acier alors qu'il bat un morceau sur un béton.")</f>
        <v>Une fois que la caméra est en position de péché, un homme est montré avec un masque en acier alors qu'il bat un morceau sur un béton.</v>
      </c>
    </row>
    <row r="34922">
      <c r="A34922" s="4" t="s">
        <v>43937</v>
      </c>
      <c r="B34922" s="6" t="s">
        <v>43940</v>
      </c>
      <c r="C34922" s="5" t="str">
        <f>IFERROR(__xludf.DUMMYFUNCTION("GOOGLETRANSLATE(B34922,""en"",""fr"")"),"La pièce est sur le béton et il met le fond du masque et commence à brûler le métal.")</f>
        <v>La pièce est sur le béton et il met le fond du masque et commence à brûler le métal.</v>
      </c>
    </row>
    <row r="34923">
      <c r="A34923" s="4" t="s">
        <v>43941</v>
      </c>
      <c r="B34923" s="4" t="s">
        <v>43942</v>
      </c>
      <c r="C34923" s="5" t="str">
        <f>IFERROR(__xludf.DUMMYFUNCTION("GOOGLETRANSLATE(B34923,""en"",""fr"")"),"Une femme dans une tenue de danseuse du ventre est sur scène.")</f>
        <v>Une femme dans une tenue de danseuse du ventre est sur scène.</v>
      </c>
    </row>
    <row r="34924">
      <c r="A34924" s="4" t="s">
        <v>43941</v>
      </c>
      <c r="B34924" s="4" t="s">
        <v>43943</v>
      </c>
      <c r="C34924" s="5" t="str">
        <f>IFERROR(__xludf.DUMMYFUNCTION("GOOGLETRANSLATE(B34924,""en"",""fr"")"),"Elle marche dans la voie en dansant et en chantant.")</f>
        <v>Elle marche dans la voie en dansant et en chantant.</v>
      </c>
    </row>
    <row r="34925">
      <c r="A34925" s="4" t="s">
        <v>43941</v>
      </c>
      <c r="B34925" s="4" t="s">
        <v>43944</v>
      </c>
      <c r="C34925" s="5" t="str">
        <f>IFERROR(__xludf.DUMMYFUNCTION("GOOGLETRANSLATE(B34925,""en"",""fr"")"),"Elle gyrate ses hanches et ses bras pendant qu'elle se produit.")</f>
        <v>Elle gyrate ses hanches et ses bras pendant qu'elle se produit.</v>
      </c>
    </row>
    <row r="34926">
      <c r="A34926" s="4" t="s">
        <v>43945</v>
      </c>
      <c r="B34926" s="4" t="s">
        <v>43946</v>
      </c>
      <c r="C34926" s="5" t="str">
        <f>IFERROR(__xludf.DUMMYFUNCTION("GOOGLETRANSLATE(B34926,""en"",""fr"")"),"Une vidéo est affichée pour faire une éruption sans frisottis.")</f>
        <v>Une vidéo est affichée pour faire une éruption sans frisottis.</v>
      </c>
    </row>
    <row r="34927">
      <c r="A34927" s="4" t="s">
        <v>43945</v>
      </c>
      <c r="B34927" s="4" t="s">
        <v>43947</v>
      </c>
      <c r="C34927" s="5" t="str">
        <f>IFERROR(__xludf.DUMMYFUNCTION("GOOGLETRANSLATE(B34927,""en"",""fr"")"),"Après le lavage et le conditionnement, le produit est appliqué et séché.")</f>
        <v>Après le lavage et le conditionnement, le produit est appliqué et séché.</v>
      </c>
    </row>
    <row r="34928">
      <c r="A34928" s="4" t="s">
        <v>43945</v>
      </c>
      <c r="B34928" s="4" t="s">
        <v>43948</v>
      </c>
      <c r="C34928" s="5" t="str">
        <f>IFERROR(__xludf.DUMMYFUNCTION("GOOGLETRANSLATE(B34928,""en"",""fr"")"),"Ensuite, le reste de la procédure est terminé.")</f>
        <v>Ensuite, le reste de la procédure est terminé.</v>
      </c>
    </row>
    <row r="34929">
      <c r="A34929" s="4" t="s">
        <v>43949</v>
      </c>
      <c r="B34929" s="4" t="s">
        <v>43950</v>
      </c>
      <c r="C34929" s="5" t="str">
        <f>IFERROR(__xludf.DUMMYFUNCTION("GOOGLETRANSLATE(B34929,""en"",""fr"")"),"Un homme aide une petite fille à descendre une diapositive.")</f>
        <v>Un homme aide une petite fille à descendre une diapositive.</v>
      </c>
    </row>
    <row r="34930">
      <c r="A34930" s="4" t="s">
        <v>43949</v>
      </c>
      <c r="B34930" s="4" t="s">
        <v>43951</v>
      </c>
      <c r="C34930" s="5" t="str">
        <f>IFERROR(__xludf.DUMMYFUNCTION("GOOGLETRANSLATE(B34930,""en"",""fr"")"),"Elle descend le glissement sur son ventre.")</f>
        <v>Elle descend le glissement sur son ventre.</v>
      </c>
    </row>
    <row r="34931">
      <c r="A34931" s="4" t="s">
        <v>43949</v>
      </c>
      <c r="B34931" s="4" t="s">
        <v>43952</v>
      </c>
      <c r="C34931" s="5" t="str">
        <f>IFERROR(__xludf.DUMMYFUNCTION("GOOGLETRANSLATE(B34931,""en"",""fr"")"),"Elle monte sur le côté du terrain de jeu et descend à nouveau le toboggan.")</f>
        <v>Elle monte sur le côté du terrain de jeu et descend à nouveau le toboggan.</v>
      </c>
    </row>
    <row r="34932">
      <c r="A34932" s="4" t="s">
        <v>43953</v>
      </c>
      <c r="B34932" s="6" t="s">
        <v>43954</v>
      </c>
      <c r="C34932" s="5" t="str">
        <f>IFERROR(__xludf.DUMMYFUNCTION("GOOGLETRANSLATE(B34932,""en"",""fr"")"),"Un grand groupe d'athlètes est vu debout autour d'une piste tandis que certains tiennent les bras pour applaudir.")</f>
        <v>Un grand groupe d'athlètes est vu debout autour d'une piste tandis que certains tiennent les bras pour applaudir.</v>
      </c>
    </row>
    <row r="34933">
      <c r="A34933" s="4" t="s">
        <v>43953</v>
      </c>
      <c r="B34933" s="4" t="s">
        <v>43955</v>
      </c>
      <c r="C34933" s="5" t="str">
        <f>IFERROR(__xludf.DUMMYFUNCTION("GOOGLETRANSLATE(B34933,""en"",""fr"")"),"Un coureur fait le long de la piste et saute dans un grand fosse de sable et s'éloigne.")</f>
        <v>Un coureur fait le long de la piste et saute dans un grand fosse de sable et s'éloigne.</v>
      </c>
    </row>
    <row r="34934">
      <c r="A34934" s="4" t="s">
        <v>43956</v>
      </c>
      <c r="B34934" s="4" t="s">
        <v>43957</v>
      </c>
      <c r="C34934" s="5" t="str">
        <f>IFERROR(__xludf.DUMMYFUNCTION("GOOGLETRANSLATE(B34934,""en"",""fr"")"),"Un homme en rouge passe et retourne un obstacle.")</f>
        <v>Un homme en rouge passe et retourne un obstacle.</v>
      </c>
    </row>
    <row r="34935">
      <c r="A34935" s="4" t="s">
        <v>43956</v>
      </c>
      <c r="B34935" s="4" t="s">
        <v>43958</v>
      </c>
      <c r="C34935" s="5" t="str">
        <f>IFERROR(__xludf.DUMMYFUNCTION("GOOGLETRANSLATE(B34935,""en"",""fr"")"),"Cela se fait encore et encore au ralenti.")</f>
        <v>Cela se fait encore et encore au ralenti.</v>
      </c>
    </row>
    <row r="34936">
      <c r="A34936" s="4" t="s">
        <v>43956</v>
      </c>
      <c r="B34936" s="4" t="s">
        <v>43959</v>
      </c>
      <c r="C34936" s="5" t="str">
        <f>IFERROR(__xludf.DUMMYFUNCTION("GOOGLETRANSLATE(B34936,""en"",""fr"")"),"Il recommence ensuite pour une dernière fois.")</f>
        <v>Il recommence ensuite pour une dernière fois.</v>
      </c>
    </row>
    <row r="34937">
      <c r="A34937" s="4" t="s">
        <v>43956</v>
      </c>
      <c r="B34937" s="4" t="s">
        <v>43960</v>
      </c>
      <c r="C34937" s="5" t="str">
        <f>IFERROR(__xludf.DUMMYFUNCTION("GOOGLETRANSLATE(B34937,""en"",""fr"")"),"Puis finalement, ils commencent une course sur un champ, un homme portant le noir traverse d'abord la ligne d'arrivée.")</f>
        <v>Puis finalement, ils commencent une course sur un champ, un homme portant le noir traverse d'abord la ligne d'arrivée.</v>
      </c>
    </row>
    <row r="34938">
      <c r="A34938" s="4" t="s">
        <v>43961</v>
      </c>
      <c r="B34938" s="4" t="s">
        <v>43962</v>
      </c>
      <c r="C34938" s="5" t="str">
        <f>IFERROR(__xludf.DUMMYFUNCTION("GOOGLETRANSLATE(B34938,""en"",""fr"")"),"Une femme portant le numéro 177 est en place, elle traverse son cœur et se prépare à courir.")</f>
        <v>Une femme portant le numéro 177 est en place, elle traverse son cœur et se prépare à courir.</v>
      </c>
    </row>
    <row r="34939">
      <c r="A34939" s="4" t="s">
        <v>43961</v>
      </c>
      <c r="B34939" s="4" t="s">
        <v>43963</v>
      </c>
      <c r="C34939" s="5" t="str">
        <f>IFERROR(__xludf.DUMMYFUNCTION("GOOGLETRANSLATE(B34939,""en"",""fr"")"),"Elle respire profondément et commence à courir très vite sur le terrain.")</f>
        <v>Elle respire profondément et commence à courir très vite sur le terrain.</v>
      </c>
    </row>
    <row r="34940">
      <c r="A34940" s="4" t="s">
        <v>43961</v>
      </c>
      <c r="B34940" s="6" t="s">
        <v>43964</v>
      </c>
      <c r="C34940" s="5" t="str">
        <f>IFERROR(__xludf.DUMMYFUNCTION("GOOGLETRANSLATE(B34940,""en"",""fr"")"),"Elle saute en haut et atterrit dans le sable sur ses fesses, ils montrent des rediffusions Mulitple de sa performance.")</f>
        <v>Elle saute en haut et atterrit dans le sable sur ses fesses, ils montrent des rediffusions Mulitple de sa performance.</v>
      </c>
    </row>
    <row r="34941">
      <c r="A34941" s="4" t="s">
        <v>43961</v>
      </c>
      <c r="B34941" s="4" t="s">
        <v>43965</v>
      </c>
      <c r="C34941" s="5" t="str">
        <f>IFERROR(__xludf.DUMMYFUNCTION("GOOGLETRANSLATE(B34941,""en"",""fr"")"),"Elle se penche et répare son uniforme, époussetant ses fesses alors qu'elle s'éloigne.")</f>
        <v>Elle se penche et répare son uniforme, époussetant ses fesses alors qu'elle s'éloigne.</v>
      </c>
    </row>
    <row r="34942">
      <c r="A34942" s="4" t="s">
        <v>43966</v>
      </c>
      <c r="B34942" s="4" t="s">
        <v>43967</v>
      </c>
      <c r="C34942" s="5" t="str">
        <f>IFERROR(__xludf.DUMMYFUNCTION("GOOGLETRANSLATE(B34942,""en"",""fr"")"),"Les gens sont à roues à roulettes devant un bâtiment.")</f>
        <v>Les gens sont à roues à roulettes devant un bâtiment.</v>
      </c>
    </row>
    <row r="34943">
      <c r="A34943" s="4" t="s">
        <v>43966</v>
      </c>
      <c r="B34943" s="4" t="s">
        <v>43968</v>
      </c>
      <c r="C34943" s="5" t="str">
        <f>IFERROR(__xludf.DUMMYFUNCTION("GOOGLETRANSLATE(B34943,""en"",""fr"")"),"Un homme à roues à roulettes rapidement.")</f>
        <v>Un homme à roues à roulettes rapidement.</v>
      </c>
    </row>
    <row r="34944">
      <c r="A34944" s="4" t="s">
        <v>43966</v>
      </c>
      <c r="B34944" s="4" t="s">
        <v>43969</v>
      </c>
      <c r="C34944" s="5" t="str">
        <f>IFERROR(__xludf.DUMMYFUNCTION("GOOGLETRANSLATE(B34944,""en"",""fr"")"),"L'homme lève les mains en l'air et commence à arrêter ses lames à rouleaux.")</f>
        <v>L'homme lève les mains en l'air et commence à arrêter ses lames à rouleaux.</v>
      </c>
    </row>
    <row r="34945">
      <c r="A34945" s="4" t="s">
        <v>43970</v>
      </c>
      <c r="B34945" s="4" t="s">
        <v>43971</v>
      </c>
      <c r="C34945" s="5" t="str">
        <f>IFERROR(__xludf.DUMMYFUNCTION("GOOGLETRANSLATE(B34945,""en"",""fr"")"),"Les gens vont en voler sur un grand plan d'eau.")</f>
        <v>Les gens vont en voler sur un grand plan d'eau.</v>
      </c>
    </row>
    <row r="34946">
      <c r="A34946" s="4" t="s">
        <v>43970</v>
      </c>
      <c r="B34946" s="4" t="s">
        <v>43972</v>
      </c>
      <c r="C34946" s="5" t="str">
        <f>IFERROR(__xludf.DUMMYFUNCTION("GOOGLETRANSLATE(B34946,""en"",""fr"")"),"Un panneau de parc qui lit ""Bienvenue au Kanaha Beach Park"" est montré.")</f>
        <v>Un panneau de parc qui lit "Bienvenue au Kanaha Beach Park" est montré.</v>
      </c>
    </row>
    <row r="34947">
      <c r="A34947" s="4" t="s">
        <v>43970</v>
      </c>
      <c r="B34947" s="4" t="s">
        <v>43973</v>
      </c>
      <c r="C34947" s="5" t="str">
        <f>IFERROR(__xludf.DUMMYFUNCTION("GOOGLETRANSLATE(B34947,""en"",""fr"")"),"Plus de planches à voile sont montrées dans la course à travers l'eau.")</f>
        <v>Plus de planches à voile sont montrées dans la course à travers l'eau.</v>
      </c>
    </row>
    <row r="34948">
      <c r="A34948" s="4" t="s">
        <v>43974</v>
      </c>
      <c r="B34948" s="4" t="s">
        <v>43975</v>
      </c>
      <c r="C34948" s="5" t="str">
        <f>IFERROR(__xludf.DUMMYFUNCTION("GOOGLETRANSLATE(B34948,""en"",""fr"")"),"L'homme dans le coin donne le ballon directement dans le filet.")</f>
        <v>L'homme dans le coin donne le ballon directement dans le filet.</v>
      </c>
    </row>
    <row r="34949">
      <c r="A34949" s="4" t="s">
        <v>43974</v>
      </c>
      <c r="B34949" s="4" t="s">
        <v>43976</v>
      </c>
      <c r="C34949" s="5" t="str">
        <f>IFERROR(__xludf.DUMMYFUNCTION("GOOGLETRANSLATE(B34949,""en"",""fr"")"),"L'équipe court autour du tribunal pour célébrer.")</f>
        <v>L'équipe court autour du tribunal pour célébrer.</v>
      </c>
    </row>
    <row r="34950">
      <c r="A34950" s="4" t="s">
        <v>43974</v>
      </c>
      <c r="B34950" s="4" t="s">
        <v>43977</v>
      </c>
      <c r="C34950" s="5" t="str">
        <f>IFERROR(__xludf.DUMMYFUNCTION("GOOGLETRANSLATE(B34950,""en"",""fr"")"),"Un homme dans les tribunes grimpe sur la balustrade et court sur le tribunal pour célébrer.")</f>
        <v>Un homme dans les tribunes grimpe sur la balustrade et court sur le tribunal pour célébrer.</v>
      </c>
    </row>
    <row r="34951">
      <c r="A34951" s="4" t="s">
        <v>43974</v>
      </c>
      <c r="B34951" s="4" t="s">
        <v>43978</v>
      </c>
      <c r="C34951" s="5" t="str">
        <f>IFERROR(__xludf.DUMMYFUNCTION("GOOGLETRANSLATE(B34951,""en"",""fr"")"),"Le groupe est dans un groupe de célébrations sur le terrain.")</f>
        <v>Le groupe est dans un groupe de célébrations sur le terrain.</v>
      </c>
    </row>
    <row r="34952">
      <c r="A34952" s="4" t="s">
        <v>43974</v>
      </c>
      <c r="B34952" s="4" t="s">
        <v>43979</v>
      </c>
      <c r="C34952" s="5" t="str">
        <f>IFERROR(__xludf.DUMMYFUNCTION("GOOGLETRANSLATE(B34952,""en"",""fr"")"),"L'un des joueurs lance le ballon dans les tribunes et s'éloigne la tête baissée.")</f>
        <v>L'un des joueurs lance le ballon dans les tribunes et s'éloigne la tête baissée.</v>
      </c>
    </row>
    <row r="34953">
      <c r="A34953" s="4" t="s">
        <v>43974</v>
      </c>
      <c r="B34953" s="4" t="s">
        <v>43980</v>
      </c>
      <c r="C34953" s="5" t="str">
        <f>IFERROR(__xludf.DUMMYFUNCTION("GOOGLETRANSLATE(B34953,""en"",""fr"")"),"Quelques joueurs se tiennent dans le coin comme ils se disputent.")</f>
        <v>Quelques joueurs se tiennent dans le coin comme ils se disputent.</v>
      </c>
    </row>
    <row r="34954">
      <c r="A34954" s="4" t="s">
        <v>43974</v>
      </c>
      <c r="B34954" s="4" t="s">
        <v>43981</v>
      </c>
      <c r="C34954" s="5" t="str">
        <f>IFERROR(__xludf.DUMMYFUNCTION("GOOGLETRANSLATE(B34954,""en"",""fr"")"),"Un tas de joueurs et de spectateurs dirigent le terrain vers la mêlée.")</f>
        <v>Un tas de joueurs et de spectateurs dirigent le terrain vers la mêlée.</v>
      </c>
    </row>
    <row r="34955">
      <c r="A34955" s="4" t="s">
        <v>43974</v>
      </c>
      <c r="B34955" s="4" t="s">
        <v>43982</v>
      </c>
      <c r="C34955" s="5" t="str">
        <f>IFERROR(__xludf.DUMMYFUNCTION("GOOGLETRANSLATE(B34955,""en"",""fr"")"),"Les hommes courent le long du bord de la cour.")</f>
        <v>Les hommes courent le long du bord de la cour.</v>
      </c>
    </row>
    <row r="34956">
      <c r="A34956" s="4" t="s">
        <v>43974</v>
      </c>
      <c r="B34956" s="4" t="s">
        <v>43983</v>
      </c>
      <c r="C34956" s="5" t="str">
        <f>IFERROR(__xludf.DUMMYFUNCTION("GOOGLETRANSLATE(B34956,""en"",""fr"")"),"Le petit groupe se dispute toujours et retient les combats.")</f>
        <v>Le petit groupe se dispute toujours et retient les combats.</v>
      </c>
    </row>
    <row r="34957">
      <c r="A34957" s="4" t="s">
        <v>43974</v>
      </c>
      <c r="B34957" s="4" t="s">
        <v>43984</v>
      </c>
      <c r="C34957" s="5" t="str">
        <f>IFERROR(__xludf.DUMMYFUNCTION("GOOGLETRANSLATE(B34957,""en"",""fr"")"),"Un petit groupe a une discussion animée.")</f>
        <v>Un petit groupe a une discussion animée.</v>
      </c>
    </row>
    <row r="34958">
      <c r="A34958" s="4" t="s">
        <v>43974</v>
      </c>
      <c r="B34958" s="6" t="s">
        <v>43985</v>
      </c>
      <c r="C34958" s="5" t="str">
        <f>IFERROR(__xludf.DUMMYFUNCTION("GOOGLETRANSLATE(B34958,""en"",""fr"")"),"Les deux hommes retournent sur le terrain alors que le groupe recommence à parler à nouveau autour du sol de la cour et du bord.")</f>
        <v>Les deux hommes retournent sur le terrain alors que le groupe recommence à parler à nouveau autour du sol de la cour et du bord.</v>
      </c>
    </row>
    <row r="34959">
      <c r="A34959" s="4" t="s">
        <v>43986</v>
      </c>
      <c r="B34959" s="4" t="s">
        <v>43987</v>
      </c>
      <c r="C34959" s="5" t="str">
        <f>IFERROR(__xludf.DUMMYFUNCTION("GOOGLETRANSLATE(B34959,""en"",""fr"")"),"Une femme parle alors qu'elle est assise sur le sol.")</f>
        <v>Une femme parle alors qu'elle est assise sur le sol.</v>
      </c>
    </row>
    <row r="34960">
      <c r="A34960" s="4" t="s">
        <v>43986</v>
      </c>
      <c r="B34960" s="4" t="s">
        <v>43988</v>
      </c>
      <c r="C34960" s="5" t="str">
        <f>IFERROR(__xludf.DUMMYFUNCTION("GOOGLETRANSLATE(B34960,""en"",""fr"")"),"Elle montre une paire de ciseaux de coupure.")</f>
        <v>Elle montre une paire de ciseaux de coupure.</v>
      </c>
    </row>
    <row r="34961">
      <c r="A34961" s="4" t="s">
        <v>43986</v>
      </c>
      <c r="B34961" s="4" t="s">
        <v>43989</v>
      </c>
      <c r="C34961" s="5" t="str">
        <f>IFERROR(__xludf.DUMMYFUNCTION("GOOGLETRANSLATE(B34961,""en"",""fr"")"),"Elle les utilise ensuite pour couper doucement mais rapidement les ongles d'un chat tandis qu'une autre femme la facilite.")</f>
        <v>Elle les utilise ensuite pour couper doucement mais rapidement les ongles d'un chat tandis qu'une autre femme la facilite.</v>
      </c>
    </row>
    <row r="34962">
      <c r="A34962" s="4" t="s">
        <v>43990</v>
      </c>
      <c r="B34962" s="4" t="s">
        <v>43991</v>
      </c>
      <c r="C34962" s="5" t="str">
        <f>IFERROR(__xludf.DUMMYFUNCTION("GOOGLETRANSLATE(B34962,""en"",""fr"")"),"Les gens sont en train de descendre une rivière étroite entre deux montagnes.")</f>
        <v>Les gens sont en train de descendre une rivière étroite entre deux montagnes.</v>
      </c>
    </row>
    <row r="34963">
      <c r="A34963" s="4" t="s">
        <v>43990</v>
      </c>
      <c r="B34963" s="4" t="s">
        <v>43992</v>
      </c>
      <c r="C34963" s="5" t="str">
        <f>IFERROR(__xludf.DUMMYFUNCTION("GOOGLETRANSLATE(B34963,""en"",""fr"")"),"Les gens rafting passant les eaux troublées dans la rivière étroite.")</f>
        <v>Les gens rafting passant les eaux troublées dans la rivière étroite.</v>
      </c>
    </row>
    <row r="34964">
      <c r="A34964" s="4" t="s">
        <v>43990</v>
      </c>
      <c r="B34964" s="4" t="s">
        <v>43993</v>
      </c>
      <c r="C34964" s="5" t="str">
        <f>IFERROR(__xludf.DUMMYFUNCTION("GOOGLETRANSLATE(B34964,""en"",""fr"")"),"Les gens naviguent sur la rivière Rocky dans un espace ouvert.")</f>
        <v>Les gens naviguent sur la rivière Rocky dans un espace ouvert.</v>
      </c>
    </row>
    <row r="34965">
      <c r="A34965" s="4" t="s">
        <v>43994</v>
      </c>
      <c r="B34965" s="4" t="s">
        <v>43995</v>
      </c>
      <c r="C34965" s="5" t="str">
        <f>IFERROR(__xludf.DUMMYFUNCTION("GOOGLETRANSLATE(B34965,""en"",""fr"")"),"Un homme est assis à l'avant d'une église et joue une chanson sur un accordéon.")</f>
        <v>Un homme est assis à l'avant d'une église et joue une chanson sur un accordéon.</v>
      </c>
    </row>
    <row r="34966">
      <c r="A34966" s="4" t="s">
        <v>43994</v>
      </c>
      <c r="B34966" s="4" t="s">
        <v>43996</v>
      </c>
      <c r="C34966" s="5" t="str">
        <f>IFERROR(__xludf.DUMMYFUNCTION("GOOGLETRANSLATE(B34966,""en"",""fr"")"),"L'homme descend tout le long de l'échelle que de sauvegarder à la fin de la chanson.")</f>
        <v>L'homme descend tout le long de l'échelle que de sauvegarder à la fin de la chanson.</v>
      </c>
    </row>
    <row r="34967">
      <c r="A34967" s="4" t="s">
        <v>43994</v>
      </c>
      <c r="B34967" s="4" t="s">
        <v>43997</v>
      </c>
      <c r="C34967" s="5" t="str">
        <f>IFERROR(__xludf.DUMMYFUNCTION("GOOGLETRANSLATE(B34967,""en"",""fr"")"),"L'homme termine la chanson et sourit.")</f>
        <v>L'homme termine la chanson et sourit.</v>
      </c>
    </row>
    <row r="34968">
      <c r="A34968" s="4" t="s">
        <v>43998</v>
      </c>
      <c r="B34968" s="4" t="s">
        <v>43999</v>
      </c>
      <c r="C34968" s="5" t="str">
        <f>IFERROR(__xludf.DUMMYFUNCTION("GOOGLETRANSLATE(B34968,""en"",""fr"")"),"Un homme est vu rouler sur une planche à roulettes sur une colline sur sa tête.")</f>
        <v>Un homme est vu rouler sur une planche à roulettes sur une colline sur sa tête.</v>
      </c>
    </row>
    <row r="34969">
      <c r="A34969" s="4" t="s">
        <v>43998</v>
      </c>
      <c r="B34969" s="4" t="s">
        <v>44000</v>
      </c>
      <c r="C34969" s="5" t="str">
        <f>IFERROR(__xludf.DUMMYFUNCTION("GOOGLETRANSLATE(B34969,""en"",""fr"")"),"Plus de coups sont montrés des personnes effectuant des astuces sur les planches à roulettes dans une zone.")</f>
        <v>Plus de coups sont montrés des personnes effectuant des astuces sur les planches à roulettes dans une zone.</v>
      </c>
    </row>
    <row r="34970">
      <c r="A34970" s="4" t="s">
        <v>43998</v>
      </c>
      <c r="B34970" s="4" t="s">
        <v>44001</v>
      </c>
      <c r="C34970" s="5" t="str">
        <f>IFERROR(__xludf.DUMMYFUNCTION("GOOGLETRANSLATE(B34970,""en"",""fr"")"),"Les gens continuent d'effectuer des tours et de rouler pendant que d'autres personnes regardent sur le côté.")</f>
        <v>Les gens continuent d'effectuer des tours et de rouler pendant que d'autres personnes regardent sur le côté.</v>
      </c>
    </row>
    <row r="34971">
      <c r="A34971" s="4" t="s">
        <v>44002</v>
      </c>
      <c r="B34971" s="4" t="s">
        <v>44003</v>
      </c>
      <c r="C34971" s="5" t="str">
        <f>IFERROR(__xludf.DUMMYFUNCTION("GOOGLETRANSLATE(B34971,""en"",""fr"")"),"Un groupe de camarades de groupe est à l'extérieur dans un parc.")</f>
        <v>Un groupe de camarades de groupe est à l'extérieur dans un parc.</v>
      </c>
    </row>
    <row r="34972">
      <c r="A34972" s="4" t="s">
        <v>44002</v>
      </c>
      <c r="B34972" s="4" t="s">
        <v>44004</v>
      </c>
      <c r="C34972" s="5" t="str">
        <f>IFERROR(__xludf.DUMMYFUNCTION("GOOGLETRANSLATE(B34972,""en"",""fr"")"),"Ils portent des tenues de l'ère de la guerre révolutionnaire.")</f>
        <v>Ils portent des tenues de l'ère de la guerre révolutionnaire.</v>
      </c>
    </row>
    <row r="34973">
      <c r="A34973" s="4" t="s">
        <v>44002</v>
      </c>
      <c r="B34973" s="4" t="s">
        <v>44005</v>
      </c>
      <c r="C34973" s="5" t="str">
        <f>IFERROR(__xludf.DUMMYFUNCTION("GOOGLETRANSLATE(B34973,""en"",""fr"")"),"Ils jouent la batterie à l'unisson avec un battement.")</f>
        <v>Ils jouent la batterie à l'unisson avec un battement.</v>
      </c>
    </row>
    <row r="34974">
      <c r="A34974" s="4" t="s">
        <v>44006</v>
      </c>
      <c r="B34974" s="4" t="s">
        <v>44007</v>
      </c>
      <c r="C34974" s="5" t="str">
        <f>IFERROR(__xludf.DUMMYFUNCTION("GOOGLETRANSLATE(B34974,""en"",""fr"")"),"Un homme est vu à genoux sur un sol tenant un peu de tapis et parlant à la caméra.")</f>
        <v>Un homme est vu à genoux sur un sol tenant un peu de tapis et parlant à la caméra.</v>
      </c>
    </row>
    <row r="34975">
      <c r="A34975" s="4" t="s">
        <v>44006</v>
      </c>
      <c r="B34975" s="4" t="s">
        <v>44008</v>
      </c>
      <c r="C34975" s="5" t="str">
        <f>IFERROR(__xludf.DUMMYFUNCTION("GOOGLETRANSLATE(B34975,""en"",""fr"")"),"Il décolle les couches et commence à frotter le tapis.")</f>
        <v>Il décolle les couches et commence à frotter le tapis.</v>
      </c>
    </row>
    <row r="34976">
      <c r="A34976" s="4" t="s">
        <v>44006</v>
      </c>
      <c r="B34976" s="4" t="s">
        <v>44009</v>
      </c>
      <c r="C34976" s="5" t="str">
        <f>IFERROR(__xludf.DUMMYFUNCTION("GOOGLETRANSLATE(B34976,""en"",""fr"")"),"Il verse du liquide sur le tapis et le tape avec une serviette en papier.")</f>
        <v>Il verse du liquide sur le tapis et le tape avec une serviette en papier.</v>
      </c>
    </row>
    <row r="34977">
      <c r="A34977" s="4" t="s">
        <v>44006</v>
      </c>
      <c r="B34977" s="4" t="s">
        <v>44010</v>
      </c>
      <c r="C34977" s="5" t="str">
        <f>IFERROR(__xludf.DUMMYFUNCTION("GOOGLETRANSLATE(B34977,""en"",""fr"")"),"Enfin, la personne aspire le tapis et est vue debout à côté du vide.")</f>
        <v>Enfin, la personne aspire le tapis et est vue debout à côté du vide.</v>
      </c>
    </row>
    <row r="34978">
      <c r="A34978" s="4" t="s">
        <v>44011</v>
      </c>
      <c r="B34978" s="6" t="s">
        <v>44012</v>
      </c>
      <c r="C34978" s="5" t="str">
        <f>IFERROR(__xludf.DUMMYFUNCTION("GOOGLETRANSLATE(B34978,""en"",""fr"")"),"Trois personnes sont dans le gymnase, l'un des hommes s'agenouille et se branle dans un bar tandis que l'autre fait un massage à une femme.")</f>
        <v>Trois personnes sont dans le gymnase, l'un des hommes s'agenouille et se branle dans un bar tandis que l'autre fait un massage à une femme.</v>
      </c>
    </row>
    <row r="34979">
      <c r="A34979" s="4" t="s">
        <v>44011</v>
      </c>
      <c r="B34979" s="6" t="s">
        <v>44013</v>
      </c>
      <c r="C34979" s="5" t="str">
        <f>IFERROR(__xludf.DUMMYFUNCTION("GOOGLETRANSLATE(B34979,""en"",""fr"")"),"Le mâle avec la barre soulève les poids, le laisse tomber, puis saute de joie qu'il a soulevé le poids, laisse tomber sa ceinture et s'éloigne.")</f>
        <v>Le mâle avec la barre soulève les poids, le laisse tomber, puis saute de joie qu'il a soulevé le poids, laisse tomber sa ceinture et s'éloigne.</v>
      </c>
    </row>
    <row r="34980">
      <c r="A34980" s="4" t="s">
        <v>44014</v>
      </c>
      <c r="B34980" s="4" t="s">
        <v>44015</v>
      </c>
      <c r="C34980" s="5" t="str">
        <f>IFERROR(__xludf.DUMMYFUNCTION("GOOGLETRANSLATE(B34980,""en"",""fr"")"),"Un jeune enfant est vu ajuster la caméra et montrer son visage.")</f>
        <v>Un jeune enfant est vu ajuster la caméra et montrer son visage.</v>
      </c>
    </row>
    <row r="34981">
      <c r="A34981" s="4" t="s">
        <v>44014</v>
      </c>
      <c r="B34981" s="4" t="s">
        <v>44016</v>
      </c>
      <c r="C34981" s="5" t="str">
        <f>IFERROR(__xludf.DUMMYFUNCTION("GOOGLETRANSLATE(B34981,""en"",""fr"")"),"Elle attrape du maquillage et commence à le mettre sur son visage.")</f>
        <v>Elle attrape du maquillage et commence à le mettre sur son visage.</v>
      </c>
    </row>
    <row r="34982">
      <c r="A34982" s="4" t="s">
        <v>44014</v>
      </c>
      <c r="B34982" s="4" t="s">
        <v>44017</v>
      </c>
      <c r="C34982" s="5" t="str">
        <f>IFERROR(__xludf.DUMMYFUNCTION("GOOGLETRANSLATE(B34982,""en"",""fr"")"),"Elle continue de se maquiller et de le montrer à la caméra.")</f>
        <v>Elle continue de se maquiller et de le montrer à la caméra.</v>
      </c>
    </row>
    <row r="34983">
      <c r="A34983" s="4" t="s">
        <v>44018</v>
      </c>
      <c r="B34983" s="4" t="s">
        <v>44019</v>
      </c>
      <c r="C34983" s="5" t="str">
        <f>IFERROR(__xludf.DUMMYFUNCTION("GOOGLETRANSLATE(B34983,""en"",""fr"")"),"Un homme sprinte sur une piste.")</f>
        <v>Un homme sprinte sur une piste.</v>
      </c>
    </row>
    <row r="34984">
      <c r="A34984" s="4" t="s">
        <v>44018</v>
      </c>
      <c r="B34984" s="4" t="s">
        <v>44020</v>
      </c>
      <c r="C34984" s="5" t="str">
        <f>IFERROR(__xludf.DUMMYFUNCTION("GOOGLETRANSLATE(B34984,""en"",""fr"")"),"L'homme saute à la fin de la piste.")</f>
        <v>L'homme saute à la fin de la piste.</v>
      </c>
    </row>
    <row r="34985">
      <c r="A34985" s="4" t="s">
        <v>44018</v>
      </c>
      <c r="B34985" s="4" t="s">
        <v>44021</v>
      </c>
      <c r="C34985" s="5" t="str">
        <f>IFERROR(__xludf.DUMMYFUNCTION("GOOGLETRANSLATE(B34985,""en"",""fr"")"),"Le saut de l'homme est montré sous différents angles et au ralenti.")</f>
        <v>Le saut de l'homme est montré sous différents angles et au ralenti.</v>
      </c>
    </row>
    <row r="34986">
      <c r="A34986" s="4" t="s">
        <v>44022</v>
      </c>
      <c r="B34986" s="4" t="s">
        <v>44023</v>
      </c>
      <c r="C34986" s="5" t="str">
        <f>IFERROR(__xludf.DUMMYFUNCTION("GOOGLETRANSLATE(B34986,""en"",""fr"")"),"Une caméra se déroule dans les grandes bâtiments de la ville et mène à des gens qui roulent sur des vélos de motocross.")</f>
        <v>Une caméra se déroule dans les grandes bâtiments de la ville et mène à des gens qui roulent sur des vélos de motocross.</v>
      </c>
    </row>
    <row r="34987">
      <c r="A34987" s="4" t="s">
        <v>44022</v>
      </c>
      <c r="B34987" s="6" t="s">
        <v>44024</v>
      </c>
      <c r="C34987" s="5" t="str">
        <f>IFERROR(__xludf.DUMMYFUNCTION("GOOGLETRANSLATE(B34987,""en"",""fr"")"),"Plus de clips sont vus de personnes effectuant des astuces sur le vélo tandis que des centaines de regards sur la touche.")</f>
        <v>Plus de clips sont vus de personnes effectuant des astuces sur le vélo tandis que des centaines de regards sur la touche.</v>
      </c>
    </row>
    <row r="34988">
      <c r="A34988" s="4" t="s">
        <v>44022</v>
      </c>
      <c r="B34988" s="4" t="s">
        <v>44025</v>
      </c>
      <c r="C34988" s="5" t="str">
        <f>IFERROR(__xludf.DUMMYFUNCTION("GOOGLETRANSLATE(B34988,""en"",""fr"")"),"Plus de gens sont vus rouler et agiter les mains à la fin.")</f>
        <v>Plus de gens sont vus rouler et agiter les mains à la fin.</v>
      </c>
    </row>
    <row r="34989">
      <c r="A34989" s="4" t="s">
        <v>44026</v>
      </c>
      <c r="B34989" s="4" t="s">
        <v>44027</v>
      </c>
      <c r="C34989" s="5" t="str">
        <f>IFERROR(__xludf.DUMMYFUNCTION("GOOGLETRANSLATE(B34989,""en"",""fr"")"),"Les gens commencent à jouer à un jeu de piscine.")</f>
        <v>Les gens commencent à jouer à un jeu de piscine.</v>
      </c>
    </row>
    <row r="34990">
      <c r="A34990" s="4" t="s">
        <v>44026</v>
      </c>
      <c r="B34990" s="4" t="s">
        <v>44028</v>
      </c>
      <c r="C34990" s="5" t="str">
        <f>IFERROR(__xludf.DUMMYFUNCTION("GOOGLETRANSLATE(B34990,""en"",""fr"")"),"Un homme parle à la caméra et rit.")</f>
        <v>Un homme parle à la caméra et rit.</v>
      </c>
    </row>
    <row r="34991">
      <c r="A34991" s="4" t="s">
        <v>44026</v>
      </c>
      <c r="B34991" s="4" t="s">
        <v>1599</v>
      </c>
      <c r="C34991" s="5" t="str">
        <f>IFERROR(__xludf.DUMMYFUNCTION("GOOGLETRANSLATE(B34991,""en"",""fr"")"),"Les mots sont affichés à l'écran.")</f>
        <v>Les mots sont affichés à l'écran.</v>
      </c>
    </row>
    <row r="34992">
      <c r="A34992" s="4" t="s">
        <v>44029</v>
      </c>
      <c r="B34992" s="4" t="s">
        <v>44030</v>
      </c>
      <c r="C34992" s="5" t="str">
        <f>IFERROR(__xludf.DUMMYFUNCTION("GOOGLETRANSLATE(B34992,""en"",""fr"")"),"Quatre personnes font des situations sur le terrain.")</f>
        <v>Quatre personnes font des situations sur le terrain.</v>
      </c>
    </row>
    <row r="34993">
      <c r="A34993" s="4" t="s">
        <v>44029</v>
      </c>
      <c r="B34993" s="4" t="s">
        <v>44031</v>
      </c>
      <c r="C34993" s="5" t="str">
        <f>IFERROR(__xludf.DUMMYFUNCTION("GOOGLETRANSLATE(B34993,""en"",""fr"")"),"La troisième personne est interrompue.")</f>
        <v>La troisième personne est interrompue.</v>
      </c>
    </row>
    <row r="34994">
      <c r="A34994" s="4" t="s">
        <v>44029</v>
      </c>
      <c r="B34994" s="4" t="s">
        <v>44032</v>
      </c>
      <c r="C34994" s="5" t="str">
        <f>IFERROR(__xludf.DUMMYFUNCTION("GOOGLETRANSLATE(B34994,""en"",""fr"")"),"La personne la plus éloignée est à peine visible.")</f>
        <v>La personne la plus éloignée est à peine visible.</v>
      </c>
    </row>
    <row r="34995">
      <c r="A34995" s="4" t="s">
        <v>44033</v>
      </c>
      <c r="B34995" s="4" t="s">
        <v>44034</v>
      </c>
      <c r="C34995" s="5" t="str">
        <f>IFERROR(__xludf.DUMMYFUNCTION("GOOGLETRANSLATE(B34995,""en"",""fr"")"),"Les gens se tiennent autour d'une arène portant des chapeaux de cowboy.")</f>
        <v>Les gens se tiennent autour d'une arène portant des chapeaux de cowboy.</v>
      </c>
    </row>
    <row r="34996">
      <c r="A34996" s="4" t="s">
        <v>44033</v>
      </c>
      <c r="B34996" s="4" t="s">
        <v>44035</v>
      </c>
      <c r="C34996" s="5" t="str">
        <f>IFERROR(__xludf.DUMMYFUNCTION("GOOGLETRANSLATE(B34996,""en"",""fr"")"),"Ils libèrent un mollet d'une boîte.")</f>
        <v>Ils libèrent un mollet d'une boîte.</v>
      </c>
    </row>
    <row r="34997">
      <c r="A34997" s="4" t="s">
        <v>44033</v>
      </c>
      <c r="B34997" s="4" t="s">
        <v>44036</v>
      </c>
      <c r="C34997" s="5" t="str">
        <f>IFERROR(__xludf.DUMMYFUNCTION("GOOGLETRANSLATE(B34997,""en"",""fr"")"),"Un homme sur un cheval court après le veau.")</f>
        <v>Un homme sur un cheval court après le veau.</v>
      </c>
    </row>
    <row r="34998">
      <c r="A34998" s="4" t="s">
        <v>44033</v>
      </c>
      <c r="B34998" s="4" t="s">
        <v>44037</v>
      </c>
      <c r="C34998" s="5" t="str">
        <f>IFERROR(__xludf.DUMMYFUNCTION("GOOGLETRANSLATE(B34998,""en"",""fr"")"),"Il attache les jambes du veau et se lève et s'éloigne.")</f>
        <v>Il attache les jambes du veau et se lève et s'éloigne.</v>
      </c>
    </row>
    <row r="34999">
      <c r="A34999" s="4" t="s">
        <v>44038</v>
      </c>
      <c r="B34999" s="6" t="s">
        <v>44039</v>
      </c>
      <c r="C34999" s="5" t="str">
        <f>IFERROR(__xludf.DUMMYFUNCTION("GOOGLETRANSLATE(B34999,""en"",""fr"")"),"Un homme se tient au-dessus d'un évier et avec sa main droite, il tient une perceuse qui a une pomme de terre attachée à l'extrémité, et la main droite tient l'épeler à la main alors que l'exercice déplace la pomme de terre et l'éparseur le décolle.")</f>
        <v>Un homme se tient au-dessus d'un évier et avec sa main droite, il tient une perceuse qui a une pomme de terre attachée à l'extrémité, et la main droite tient l'épeler à la main alors que l'exercice déplace la pomme de terre et l'éparseur le décolle.</v>
      </c>
    </row>
    <row r="35000">
      <c r="A35000" s="4" t="s">
        <v>44038</v>
      </c>
      <c r="B35000" s="6" t="s">
        <v>44040</v>
      </c>
      <c r="C35000" s="5" t="str">
        <f>IFERROR(__xludf.DUMMYFUNCTION("GOOGLETRANSLATE(B35000,""en"",""fr"")"),"L'homme arrête temporairement le foret pour retirer un petit morceau de pomme de terre et un long morceau de métal est montré qui sort de la perceuse.")</f>
        <v>L'homme arrête temporairement le foret pour retirer un petit morceau de pomme de terre et un long morceau de métal est montré qui sort de la perceuse.</v>
      </c>
    </row>
    <row r="35001">
      <c r="A35001" s="4" t="s">
        <v>44038</v>
      </c>
      <c r="B35001" s="4" t="s">
        <v>44041</v>
      </c>
      <c r="C35001" s="5" t="str">
        <f>IFERROR(__xludf.DUMMYFUNCTION("GOOGLETRANSLATE(B35001,""en"",""fr"")"),"L'homme met ensuite une autre pomme de terre sur la pièce en métal pointu et continue de peler la pomme de terre.")</f>
        <v>L'homme met ensuite une autre pomme de terre sur la pièce en métal pointu et continue de peler la pomme de terre.</v>
      </c>
    </row>
    <row r="35002">
      <c r="A35002" s="4" t="s">
        <v>44038</v>
      </c>
      <c r="B35002" s="6" t="s">
        <v>44042</v>
      </c>
      <c r="C35002" s="5" t="str">
        <f>IFERROR(__xludf.DUMMYFUNCTION("GOOGLETRANSLATE(B35002,""en"",""fr"")"),"Une fois de plus, il s'arrête puis nettoie son éplucheur, puis revient pour peler le reste de la pomme de terre.")</f>
        <v>Une fois de plus, il s'arrête puis nettoie son éplucheur, puis revient pour peler le reste de la pomme de terre.</v>
      </c>
    </row>
    <row r="35003">
      <c r="A35003" s="4" t="s">
        <v>44038</v>
      </c>
      <c r="B35003" s="6" t="s">
        <v>44043</v>
      </c>
      <c r="C35003" s="5" t="str">
        <f>IFERROR(__xludf.DUMMYFUNCTION("GOOGLETRANSLATE(B35003,""en"",""fr"")"),"L'homme arrête l'exercice pour la dernière fois, le laisse aller et nettoie à nouveau l'éplueur avec les deux mains alors qu'il jette le contenu dans l'évier et.")</f>
        <v>L'homme arrête l'exercice pour la dernière fois, le laisse aller et nettoie à nouveau l'éplueur avec les deux mains alors qu'il jette le contenu dans l'évier et.</v>
      </c>
    </row>
    <row r="35004">
      <c r="A35004" s="4" t="s">
        <v>44044</v>
      </c>
      <c r="B35004" s="4" t="s">
        <v>44045</v>
      </c>
      <c r="C35004" s="5" t="str">
        <f>IFERROR(__xludf.DUMMYFUNCTION("GOOGLETRANSLATE(B35004,""en"",""fr"")"),"Une dame se lève de son siège et nous voyons l'orchestre jouer de la musique.")</f>
        <v>Une dame se lève de son siège et nous voyons l'orchestre jouer de la musique.</v>
      </c>
    </row>
    <row r="35005">
      <c r="A35005" s="4" t="s">
        <v>44044</v>
      </c>
      <c r="B35005" s="4" t="s">
        <v>44046</v>
      </c>
      <c r="C35005" s="5" t="str">
        <f>IFERROR(__xludf.DUMMYFUNCTION("GOOGLETRANSLATE(B35005,""en"",""fr"")"),"La femme fait une routine de danse du ventre sur scène.")</f>
        <v>La femme fait une routine de danse du ventre sur scène.</v>
      </c>
    </row>
    <row r="35006">
      <c r="A35006" s="4" t="s">
        <v>44044</v>
      </c>
      <c r="B35006" s="4" t="s">
        <v>44047</v>
      </c>
      <c r="C35006" s="5" t="str">
        <f>IFERROR(__xludf.DUMMYFUNCTION("GOOGLETRANSLATE(B35006,""en"",""fr"")"),"Nous voyons une caméra entrer dans la scène à droite.")</f>
        <v>Nous voyons une caméra entrer dans la scène à droite.</v>
      </c>
    </row>
    <row r="35007">
      <c r="A35007" s="4" t="s">
        <v>44044</v>
      </c>
      <c r="B35007" s="4" t="s">
        <v>44048</v>
      </c>
      <c r="C35007" s="5" t="str">
        <f>IFERROR(__xludf.DUMMYFUNCTION("GOOGLETRANSLATE(B35007,""en"",""fr"")"),"Nous voyons l'arrière de la tête d'un homme.")</f>
        <v>Nous voyons l'arrière de la tête d'un homme.</v>
      </c>
    </row>
    <row r="35008">
      <c r="A35008" s="4" t="s">
        <v>44044</v>
      </c>
      <c r="B35008" s="4" t="s">
        <v>44049</v>
      </c>
      <c r="C35008" s="5" t="str">
        <f>IFERROR(__xludf.DUMMYFUNCTION("GOOGLETRANSLATE(B35008,""en"",""fr"")"),"Nous voyons ensuite la femme à côté de l'homme.")</f>
        <v>Nous voyons ensuite la femme à côté de l'homme.</v>
      </c>
    </row>
    <row r="35009">
      <c r="A35009" s="4" t="s">
        <v>44044</v>
      </c>
      <c r="B35009" s="4" t="s">
        <v>44050</v>
      </c>
      <c r="C35009" s="5" t="str">
        <f>IFERROR(__xludf.DUMMYFUNCTION("GOOGLETRANSLATE(B35009,""en"",""fr"")"),"La femme finit sa danse et ramasse son enveloppe.")</f>
        <v>La femme finit sa danse et ramasse son enveloppe.</v>
      </c>
    </row>
    <row r="35010">
      <c r="A35010" s="4" t="s">
        <v>44044</v>
      </c>
      <c r="B35010" s="4" t="s">
        <v>44051</v>
      </c>
      <c r="C35010" s="5" t="str">
        <f>IFERROR(__xludf.DUMMYFUNCTION("GOOGLETRANSLATE(B35010,""en"",""fr"")"),"Nous voyons une sombre dame tenant un microphone.")</f>
        <v>Nous voyons une sombre dame tenant un microphone.</v>
      </c>
    </row>
    <row r="35011">
      <c r="A35011" s="4" t="s">
        <v>44052</v>
      </c>
      <c r="B35011" s="4" t="s">
        <v>44053</v>
      </c>
      <c r="C35011" s="5" t="str">
        <f>IFERROR(__xludf.DUMMYFUNCTION("GOOGLETRANSLATE(B35011,""en"",""fr"")"),"Un homme éponge un sol de salle de bain public sale.")</f>
        <v>Un homme éponge un sol de salle de bain public sale.</v>
      </c>
    </row>
    <row r="35012">
      <c r="A35012" s="4" t="s">
        <v>44052</v>
      </c>
      <c r="B35012" s="4" t="s">
        <v>44054</v>
      </c>
      <c r="C35012" s="5" t="str">
        <f>IFERROR(__xludf.DUMMYFUNCTION("GOOGLETRANSLATE(B35012,""en"",""fr"")"),"Il pousse la vadrouille d'avant en arrière, rendant le sol propre et brillant.")</f>
        <v>Il pousse la vadrouille d'avant en arrière, rendant le sol propre et brillant.</v>
      </c>
    </row>
    <row r="35013">
      <c r="A35013" s="4" t="s">
        <v>44055</v>
      </c>
      <c r="B35013" s="4" t="s">
        <v>44056</v>
      </c>
      <c r="C35013" s="5" t="str">
        <f>IFERROR(__xludf.DUMMYFUNCTION("GOOGLETRANSLATE(B35013,""en"",""fr"")"),"Un grand homme déguisé en Batman court en faisant des trucs absurdes étranges.")</f>
        <v>Un grand homme déguisé en Batman court en faisant des trucs absurdes étranges.</v>
      </c>
    </row>
    <row r="35014">
      <c r="A35014" s="4" t="s">
        <v>44055</v>
      </c>
      <c r="B35014" s="6" t="s">
        <v>44057</v>
      </c>
      <c r="C35014" s="5" t="str">
        <f>IFERROR(__xludf.DUMMYFUNCTION("GOOGLETRANSLATE(B35014,""en"",""fr"")"),"Il court à l'intérieur de la maison et commence à commencer à donner des instructions sur la façon de faire le sandwich Batman parfait.")</f>
        <v>Il court à l'intérieur de la maison et commence à commencer à donner des instructions sur la façon de faire le sandwich Batman parfait.</v>
      </c>
    </row>
    <row r="35015">
      <c r="A35015" s="4" t="s">
        <v>44055</v>
      </c>
      <c r="B35015" s="4" t="s">
        <v>44058</v>
      </c>
      <c r="C35015" s="5" t="str">
        <f>IFERROR(__xludf.DUMMYFUNCTION("GOOGLETRANSLATE(B35015,""en"",""fr"")"),"Il coupe du fromage et ajoute du jambon au sandwich.")</f>
        <v>Il coupe du fromage et ajoute du jambon au sandwich.</v>
      </c>
    </row>
    <row r="35016">
      <c r="A35016" s="4" t="s">
        <v>44055</v>
      </c>
      <c r="B35016" s="4" t="s">
        <v>44059</v>
      </c>
      <c r="C35016" s="5" t="str">
        <f>IFERROR(__xludf.DUMMYFUNCTION("GOOGLETRANSLATE(B35016,""en"",""fr"")"),"Il coupe même le pain en forme de Batman avant de finalement faire.")</f>
        <v>Il coupe même le pain en forme de Batman avant de finalement faire.</v>
      </c>
    </row>
    <row r="35017">
      <c r="A35017" s="4" t="s">
        <v>44060</v>
      </c>
      <c r="B35017" s="4" t="s">
        <v>44061</v>
      </c>
      <c r="C35017" s="5" t="str">
        <f>IFERROR(__xludf.DUMMYFUNCTION("GOOGLETRANSLATE(B35017,""en"",""fr"")"),"Deux hommes sont dans une petite boxe de gym et se bat.")</f>
        <v>Deux hommes sont dans une petite boxe de gym et se bat.</v>
      </c>
    </row>
    <row r="35018">
      <c r="A35018" s="4" t="s">
        <v>44060</v>
      </c>
      <c r="B35018" s="4" t="s">
        <v>44062</v>
      </c>
      <c r="C35018" s="5" t="str">
        <f>IFERROR(__xludf.DUMMYFUNCTION("GOOGLETRANSLATE(B35018,""en"",""fr"")"),"Ils continuent de se battre et de se frapper alors qu'une personne se tient dans le coin les montrant.")</f>
        <v>Ils continuent de se battre et de se frapper alors qu'une personne se tient dans le coin les montrant.</v>
      </c>
    </row>
    <row r="35019">
      <c r="A35019" s="4" t="s">
        <v>44060</v>
      </c>
      <c r="B35019" s="4" t="s">
        <v>44063</v>
      </c>
      <c r="C35019" s="5" t="str">
        <f>IFERROR(__xludf.DUMMYFUNCTION("GOOGLETRANSLATE(B35019,""en"",""fr"")"),"Après un certain temps, ils finissent de se battre et se tiennent toujours en face les uns des autres dans le gymnase.")</f>
        <v>Après un certain temps, ils finissent de se battre et se tiennent toujours en face les uns des autres dans le gymnase.</v>
      </c>
    </row>
    <row r="35020">
      <c r="A35020" s="4" t="s">
        <v>44064</v>
      </c>
      <c r="B35020" s="4" t="s">
        <v>44065</v>
      </c>
      <c r="C35020" s="5" t="str">
        <f>IFERROR(__xludf.DUMMYFUNCTION("GOOGLETRANSLATE(B35020,""en"",""fr"")"),"Un homme en costume lit un papier.")</f>
        <v>Un homme en costume lit un papier.</v>
      </c>
    </row>
    <row r="35021">
      <c r="A35021" s="4" t="s">
        <v>44064</v>
      </c>
      <c r="B35021" s="4" t="s">
        <v>44066</v>
      </c>
      <c r="C35021" s="5" t="str">
        <f>IFERROR(__xludf.DUMMYFUNCTION("GOOGLETRANSLATE(B35021,""en"",""fr"")"),"Une femme commence alors à signaler une nouvelle.")</f>
        <v>Une femme commence alors à signaler une nouvelle.</v>
      </c>
    </row>
    <row r="35022">
      <c r="A35022" s="4" t="s">
        <v>44064</v>
      </c>
      <c r="B35022" s="4" t="s">
        <v>44067</v>
      </c>
      <c r="C35022" s="5" t="str">
        <f>IFERROR(__xludf.DUMMYFUNCTION("GOOGLETRANSLATE(B35022,""en"",""fr"")"),"Un jeune garçon joue l'harmonica dans la rue.")</f>
        <v>Un jeune garçon joue l'harmonica dans la rue.</v>
      </c>
    </row>
    <row r="35023">
      <c r="A35023" s="4" t="s">
        <v>44064</v>
      </c>
      <c r="B35023" s="4" t="s">
        <v>44068</v>
      </c>
      <c r="C35023" s="5" t="str">
        <f>IFERROR(__xludf.DUMMYFUNCTION("GOOGLETRANSLATE(B35023,""en"",""fr"")"),"Il se tient sur un quai racontant son histoire.")</f>
        <v>Il se tient sur un quai racontant son histoire.</v>
      </c>
    </row>
    <row r="35024">
      <c r="A35024" s="4" t="s">
        <v>44069</v>
      </c>
      <c r="B35024" s="6" t="s">
        <v>44070</v>
      </c>
      <c r="C35024" s="5" t="str">
        <f>IFERROR(__xludf.DUMMYFUNCTION("GOOGLETRANSLATE(B35024,""en"",""fr"")"),"Un homme est montré sur la caméra faisant plusieurs mouvements avec ses bras et ses jambes tout en souriant dans la caméra.")</f>
        <v>Un homme est montré sur la caméra faisant plusieurs mouvements avec ses bras et ses jambes tout en souriant dans la caméra.</v>
      </c>
    </row>
    <row r="35025">
      <c r="A35025" s="4" t="s">
        <v>44069</v>
      </c>
      <c r="B35025" s="4" t="s">
        <v>44071</v>
      </c>
      <c r="C35025" s="5" t="str">
        <f>IFERROR(__xludf.DUMMYFUNCTION("GOOGLETRANSLATE(B35025,""en"",""fr"")"),"Il effectue plusieurs autres mouvements lentement et continue de parler et de sourire à la caméra.")</f>
        <v>Il effectue plusieurs autres mouvements lentement et continue de parler et de sourire à la caméra.</v>
      </c>
    </row>
    <row r="35026">
      <c r="A35026" s="4" t="s">
        <v>44072</v>
      </c>
      <c r="B35026" s="4" t="s">
        <v>44073</v>
      </c>
      <c r="C35026" s="5" t="str">
        <f>IFERROR(__xludf.DUMMYFUNCTION("GOOGLETRANSLATE(B35026,""en"",""fr"")"),"Une femme baigne un chiot blanc et brun dans une baignoire.")</f>
        <v>Une femme baigne un chiot blanc et brun dans une baignoire.</v>
      </c>
    </row>
    <row r="35027">
      <c r="A35027" s="4" t="s">
        <v>44072</v>
      </c>
      <c r="B35027" s="4" t="s">
        <v>44074</v>
      </c>
      <c r="C35027" s="5" t="str">
        <f>IFERROR(__xludf.DUMMYFUNCTION("GOOGLETRANSLATE(B35027,""en"",""fr"")"),"La femme utilise une douche à main pour laver le chien.")</f>
        <v>La femme utilise une douche à main pour laver le chien.</v>
      </c>
    </row>
    <row r="35028">
      <c r="A35028" s="4" t="s">
        <v>44072</v>
      </c>
      <c r="B35028" s="4" t="s">
        <v>44075</v>
      </c>
      <c r="C35028" s="5" t="str">
        <f>IFERROR(__xludf.DUMMYFUNCTION("GOOGLETRANSLATE(B35028,""en"",""fr"")"),"La femme tient le chien avec ses deux pattes avant.")</f>
        <v>La femme tient le chien avec ses deux pattes avant.</v>
      </c>
    </row>
    <row r="35029">
      <c r="A35029" s="4" t="s">
        <v>44072</v>
      </c>
      <c r="B35029" s="4" t="s">
        <v>44076</v>
      </c>
      <c r="C35029" s="5" t="str">
        <f>IFERROR(__xludf.DUMMYFUNCTION("GOOGLETRANSLATE(B35029,""en"",""fr"")"),"Elle continue de laver le chien avec la douche.")</f>
        <v>Elle continue de laver le chien avec la douche.</v>
      </c>
    </row>
    <row r="35030">
      <c r="A35030" s="4" t="s">
        <v>44077</v>
      </c>
      <c r="B35030" s="4" t="s">
        <v>44078</v>
      </c>
      <c r="C35030" s="5" t="str">
        <f>IFERROR(__xludf.DUMMYFUNCTION("GOOGLETRANSLATE(B35030,""en"",""fr"")"),"Plusieurs personnes sont à une fête.")</f>
        <v>Plusieurs personnes sont à une fête.</v>
      </c>
    </row>
    <row r="35031">
      <c r="A35031" s="4" t="s">
        <v>44077</v>
      </c>
      <c r="B35031" s="4" t="s">
        <v>44079</v>
      </c>
      <c r="C35031" s="5" t="str">
        <f>IFERROR(__xludf.DUMMYFUNCTION("GOOGLETRANSLATE(B35031,""en"",""fr"")"),"Ils boivent et jouent à la bière.")</f>
        <v>Ils boivent et jouent à la bière.</v>
      </c>
    </row>
    <row r="35032">
      <c r="A35032" s="4" t="s">
        <v>44077</v>
      </c>
      <c r="B35032" s="4" t="s">
        <v>44080</v>
      </c>
      <c r="C35032" s="5" t="str">
        <f>IFERROR(__xludf.DUMMYFUNCTION("GOOGLETRANSLATE(B35032,""en"",""fr"")"),"Il y a des gens qui dansent et regardent leurs téléphones.")</f>
        <v>Il y a des gens qui dansent et regardent leurs téléphones.</v>
      </c>
    </row>
    <row r="35033">
      <c r="A35033" s="4" t="s">
        <v>44081</v>
      </c>
      <c r="B35033" s="4" t="s">
        <v>44082</v>
      </c>
      <c r="C35033" s="5" t="str">
        <f>IFERROR(__xludf.DUMMYFUNCTION("GOOGLETRANSLATE(B35033,""en"",""fr"")"),"Le nom Seppe Smits apparaît à l'écran suivi de ""Snow Board 2400 heures par jour"".")</f>
        <v>Le nom Seppe Smits apparaît à l'écran suivi de "Snow Board 2400 heures par jour".</v>
      </c>
    </row>
    <row r="35034">
      <c r="A35034" s="4" t="s">
        <v>44081</v>
      </c>
      <c r="B35034" s="4" t="s">
        <v>44083</v>
      </c>
      <c r="C35034" s="5" t="str">
        <f>IFERROR(__xludf.DUMMYFUNCTION("GOOGLETRANSLATE(B35034,""en"",""fr"")"),"Une vidéo de Smits commençant sa journée est mélangée avec des coups de snowboard.")</f>
        <v>Une vidéo de Smits commençant sa journée est mélangée avec des coups de snowboard.</v>
      </c>
    </row>
    <row r="35035">
      <c r="A35035" s="4" t="s">
        <v>44081</v>
      </c>
      <c r="B35035" s="4" t="s">
        <v>44084</v>
      </c>
      <c r="C35035" s="5" t="str">
        <f>IFERROR(__xludf.DUMMYFUNCTION("GOOGLETRANSLATE(B35035,""en"",""fr"")"),"Les hashtags sur les réseaux sociaux sont affichés à l'écran.")</f>
        <v>Les hashtags sur les réseaux sociaux sont affichés à l'écran.</v>
      </c>
    </row>
    <row r="35036">
      <c r="A35036" s="4" t="s">
        <v>44085</v>
      </c>
      <c r="B35036" s="4" t="s">
        <v>44086</v>
      </c>
      <c r="C35036" s="5" t="str">
        <f>IFERROR(__xludf.DUMMYFUNCTION("GOOGLETRANSLATE(B35036,""en"",""fr"")"),"Une femme se tient dans une cuisine en parlant à la caméra tenant un sac de pâtes.")</f>
        <v>Une femme se tient dans une cuisine en parlant à la caméra tenant un sac de pâtes.</v>
      </c>
    </row>
    <row r="35037">
      <c r="A35037" s="4" t="s">
        <v>44085</v>
      </c>
      <c r="B35037" s="4" t="s">
        <v>44087</v>
      </c>
      <c r="C35037" s="5" t="str">
        <f>IFERROR(__xludf.DUMMYFUNCTION("GOOGLETRANSLATE(B35037,""en"",""fr"")"),"La femme attrape des pâtes et les met dans de l'eau bouillie.")</f>
        <v>La femme attrape des pâtes et les met dans de l'eau bouillie.</v>
      </c>
    </row>
    <row r="35038">
      <c r="A35038" s="4" t="s">
        <v>44085</v>
      </c>
      <c r="B35038" s="4" t="s">
        <v>44088</v>
      </c>
      <c r="C35038" s="5" t="str">
        <f>IFERROR(__xludf.DUMMYFUNCTION("GOOGLETRANSLATE(B35038,""en"",""fr"")"),"La femme saisit un spaghetti et la mange pour voir si elle est cuite et expliquez comment la savoir.")</f>
        <v>La femme saisit un spaghetti et la mange pour voir si elle est cuite et expliquez comment la savoir.</v>
      </c>
    </row>
    <row r="35039">
      <c r="A35039" s="4" t="s">
        <v>44085</v>
      </c>
      <c r="B35039" s="6" t="s">
        <v>44089</v>
      </c>
      <c r="C35039" s="5" t="str">
        <f>IFERROR(__xludf.DUMMYFUNCTION("GOOGLETRANSLATE(B35039,""en"",""fr"")"),"Jetez l'eau dans l'évier et râpez le fromage dans les pâtes et un peu d'Oegano et servez-le dans une assiette blanche.")</f>
        <v>Jetez l'eau dans l'évier et râpez le fromage dans les pâtes et un peu d'Oegano et servez-le dans une assiette blanche.</v>
      </c>
    </row>
    <row r="35040">
      <c r="A35040" s="4" t="s">
        <v>44090</v>
      </c>
      <c r="B35040" s="4" t="s">
        <v>44091</v>
      </c>
      <c r="C35040" s="5" t="str">
        <f>IFERROR(__xludf.DUMMYFUNCTION("GOOGLETRANSLATE(B35040,""en"",""fr"")"),"Un groupe d'hommes est sur une plage de sable qui joue au football pendant que beaucoup de gens regardent.")</f>
        <v>Un groupe d'hommes est sur une plage de sable qui joue au football pendant que beaucoup de gens regardent.</v>
      </c>
    </row>
    <row r="35041">
      <c r="A35041" s="4" t="s">
        <v>44090</v>
      </c>
      <c r="B35041" s="6" t="s">
        <v>44092</v>
      </c>
      <c r="C35041" s="5" t="str">
        <f>IFERROR(__xludf.DUMMYFUNCTION("GOOGLETRANSLATE(B35041,""en"",""fr"")"),"Un homme frappe le ballon très fort, le fait dans le but et il jette ses deux bras en l'air et donne à un coéquipier un high cinq et ils reviennent tous pour se mettre en place pour le prochain jeu.")</f>
        <v>Un homme frappe le ballon très fort, le fait dans le but et il jette ses deux bras en l'air et donne à un coéquipier un high cinq et ils reviennent tous pour se mettre en place pour le prochain jeu.</v>
      </c>
    </row>
    <row r="35042">
      <c r="A35042" s="4" t="s">
        <v>44090</v>
      </c>
      <c r="B35042" s="4" t="s">
        <v>44093</v>
      </c>
      <c r="C35042" s="5" t="str">
        <f>IFERROR(__xludf.DUMMYFUNCTION("GOOGLETRANSLATE(B35042,""en"",""fr"")"),"La rediffusion du but qui a été botté est rejouée mais au ralenti.")</f>
        <v>La rediffusion du but qui a été botté est rejouée mais au ralenti.</v>
      </c>
    </row>
    <row r="35043">
      <c r="A35043" s="4" t="s">
        <v>44094</v>
      </c>
      <c r="B35043" s="4" t="s">
        <v>44095</v>
      </c>
      <c r="C35043" s="5" t="str">
        <f>IFERROR(__xludf.DUMMYFUNCTION("GOOGLETRANSLATE(B35043,""en"",""fr"")"),"Un homme tient une caméra alors qu'il se tient à côté d'un lac.")</f>
        <v>Un homme tient une caméra alors qu'il se tient à côté d'un lac.</v>
      </c>
    </row>
    <row r="35044">
      <c r="A35044" s="4" t="s">
        <v>44094</v>
      </c>
      <c r="B35044" s="4" t="s">
        <v>44096</v>
      </c>
      <c r="C35044" s="5" t="str">
        <f>IFERROR(__xludf.DUMMYFUNCTION("GOOGLETRANSLATE(B35044,""en"",""fr"")"),"Il passe par des tunnels, marche le long des ponts et se dresse sur des falaises.")</f>
        <v>Il passe par des tunnels, marche le long des ponts et se dresse sur des falaises.</v>
      </c>
    </row>
    <row r="35045">
      <c r="A35045" s="4" t="s">
        <v>44094</v>
      </c>
      <c r="B35045" s="4" t="s">
        <v>44097</v>
      </c>
      <c r="C35045" s="5" t="str">
        <f>IFERROR(__xludf.DUMMYFUNCTION("GOOGLETRANSLATE(B35045,""en"",""fr"")"),"Il conduit sur une route et enregistre le rafting sur une rivière en eau vive.")</f>
        <v>Il conduit sur une route et enregistre le rafting sur une rivière en eau vive.</v>
      </c>
    </row>
    <row r="35046">
      <c r="A35046" s="4" t="s">
        <v>44094</v>
      </c>
      <c r="B35046" s="4" t="s">
        <v>44098</v>
      </c>
      <c r="C35046" s="5" t="str">
        <f>IFERROR(__xludf.DUMMYFUNCTION("GOOGLETRANSLATE(B35046,""en"",""fr"")"),"Les gens sont montrés en plongeant dans des eaux profondes des falaises avant de rafraîchir à nouveau.")</f>
        <v>Les gens sont montrés en plongeant dans des eaux profondes des falaises avant de rafraîchir à nouveau.</v>
      </c>
    </row>
    <row r="35047">
      <c r="A35047" s="4" t="s">
        <v>44099</v>
      </c>
      <c r="B35047" s="4" t="s">
        <v>44100</v>
      </c>
      <c r="C35047" s="5" t="str">
        <f>IFERROR(__xludf.DUMMYFUNCTION("GOOGLETRANSLATE(B35047,""en"",""fr"")"),"Une caméra se déroule sur le dos d'un homme suivie d'un homme effectuant une plongée inversée dans une piscine.")</f>
        <v>Une caméra se déroule sur le dos d'un homme suivie d'un homme effectuant une plongée inversée dans une piscine.</v>
      </c>
    </row>
    <row r="35048">
      <c r="A35048" s="4" t="s">
        <v>44099</v>
      </c>
      <c r="B35048" s="4" t="s">
        <v>44101</v>
      </c>
      <c r="C35048" s="5" t="str">
        <f>IFERROR(__xludf.DUMMYFUNCTION("GOOGLETRANSLATE(B35048,""en"",""fr"")"),"Il est montré deux fois plus en exécutant des plongées impressives de la plongée et dans la piscine.")</f>
        <v>Il est montré deux fois plus en exécutant des plongées impressives de la plongée et dans la piscine.</v>
      </c>
    </row>
    <row r="35049">
      <c r="A35049" s="4" t="s">
        <v>44102</v>
      </c>
      <c r="B35049" s="4" t="s">
        <v>44103</v>
      </c>
      <c r="C35049" s="5" t="str">
        <f>IFERROR(__xludf.DUMMYFUNCTION("GOOGLETRANSLATE(B35049,""en"",""fr"")"),"Une personne est vue sortir d'une voiture et se diriger vers le coffre pour prendre une planche de surf.")</f>
        <v>Une personne est vue sortir d'une voiture et se diriger vers le coffre pour prendre une planche de surf.</v>
      </c>
    </row>
    <row r="35050">
      <c r="A35050" s="4" t="s">
        <v>44102</v>
      </c>
      <c r="B35050" s="4" t="s">
        <v>44104</v>
      </c>
      <c r="C35050" s="5" t="str">
        <f>IFERROR(__xludf.DUMMYFUNCTION("GOOGLETRANSLATE(B35050,""en"",""fr"")"),"La personne est ensuite vue portant un costume et coulant sur une promenade suivie par lui surfant.")</f>
        <v>La personne est ensuite vue portant un costume et coulant sur une promenade suivie par lui surfant.</v>
      </c>
    </row>
    <row r="35051">
      <c r="A35051" s="4" t="s">
        <v>44102</v>
      </c>
      <c r="B35051" s="4" t="s">
        <v>44105</v>
      </c>
      <c r="C35051" s="5" t="str">
        <f>IFERROR(__xludf.DUMMYFUNCTION("GOOGLETRANSLATE(B35051,""en"",""fr"")"),"L'homme glisse le long de l'eau au ralenti et est ensuite vu parler à la caméra.")</f>
        <v>L'homme glisse le long de l'eau au ralenti et est ensuite vu parler à la caméra.</v>
      </c>
    </row>
    <row r="35052">
      <c r="A35052" s="4" t="s">
        <v>44106</v>
      </c>
      <c r="B35052" s="6" t="s">
        <v>44107</v>
      </c>
      <c r="C35052" s="5" t="str">
        <f>IFERROR(__xludf.DUMMYFUNCTION("GOOGLETRANSLATE(B35052,""en"",""fr"")"),"Une femme blonde est assise sur un lit dans une chambre d'hôtel qui se cache dans un miroir avec un téléphone blanc et parle à la caméra.")</f>
        <v>Une femme blonde est assise sur un lit dans une chambre d'hôtel qui se cache dans un miroir avec un téléphone blanc et parle à la caméra.</v>
      </c>
    </row>
    <row r="35053">
      <c r="A35053" s="4" t="s">
        <v>44106</v>
      </c>
      <c r="B35053" s="6" t="s">
        <v>44108</v>
      </c>
      <c r="C35053" s="5" t="str">
        <f>IFERROR(__xludf.DUMMYFUNCTION("GOOGLETRANSLATE(B35053,""en"",""fr"")"),"La femme se lève et pointe la caméra vers la porte de la salle de bain où un homme lave ses baskets dans l'évier avec une brosse.")</f>
        <v>La femme se lève et pointe la caméra vers la porte de la salle de bain où un homme lave ses baskets dans l'évier avec une brosse.</v>
      </c>
    </row>
    <row r="35054">
      <c r="A35054" s="4" t="s">
        <v>44106</v>
      </c>
      <c r="B35054" s="6" t="s">
        <v>44109</v>
      </c>
      <c r="C35054" s="5" t="str">
        <f>IFERROR(__xludf.DUMMYFUNCTION("GOOGLETRANSLATE(B35054,""en"",""fr"")"),"La femme blonde revient dans la chambre et montre toutes les différentes paires de baskets que l'homme a allongés dans toute la chambre d'hôtel.")</f>
        <v>La femme blonde revient dans la chambre et montre toutes les différentes paires de baskets que l'homme a allongés dans toute la chambre d'hôtel.</v>
      </c>
    </row>
    <row r="35055">
      <c r="A35055" s="4" t="s">
        <v>44106</v>
      </c>
      <c r="B35055" s="6" t="s">
        <v>44110</v>
      </c>
      <c r="C35055" s="5" t="str">
        <f>IFERROR(__xludf.DUMMYFUNCTION("GOOGLETRANSLATE(B35055,""en"",""fr"")"),"La femme blonde revient dans la salle de bain et vidéo enregistre l'homme tenant les baskets blanches.")</f>
        <v>La femme blonde revient dans la salle de bain et vidéo enregistre l'homme tenant les baskets blanches.</v>
      </c>
    </row>
    <row r="35056">
      <c r="A35056" s="4" t="s">
        <v>44106</v>
      </c>
      <c r="B35056" s="6" t="s">
        <v>44111</v>
      </c>
      <c r="C35056" s="5" t="str">
        <f>IFERROR(__xludf.DUMMYFUNCTION("GOOGLETRANSLATE(B35056,""en"",""fr"")"),"L'homme est maintenant à l'extérieur en mettant du ruban adhésif et en plastique sur les baskets et il les détaille avec une brosse à dents.")</f>
        <v>L'homme est maintenant à l'extérieur en mettant du ruban adhésif et en plastique sur les baskets et il les détaille avec une brosse à dents.</v>
      </c>
    </row>
    <row r="35057">
      <c r="A35057" s="4" t="s">
        <v>44106</v>
      </c>
      <c r="B35057" s="4" t="s">
        <v>44112</v>
      </c>
      <c r="C35057" s="5" t="str">
        <f>IFERROR(__xludf.DUMMYFUNCTION("GOOGLETRANSLATE(B35057,""en"",""fr"")"),"Il existe différentes photos du produit final de baskets propres.")</f>
        <v>Il existe différentes photos du produit final de baskets propres.</v>
      </c>
    </row>
    <row r="35058">
      <c r="A35058" s="4" t="s">
        <v>44113</v>
      </c>
      <c r="B35058" s="6" t="s">
        <v>44114</v>
      </c>
      <c r="C35058" s="5" t="str">
        <f>IFERROR(__xludf.DUMMYFUNCTION("GOOGLETRANSLATE(B35058,""en"",""fr"")"),"Un grand groupe de personnes est vue debout en cercle jouant de la batterie avec une personne au milieu les instruisant.")</f>
        <v>Un grand groupe de personnes est vue debout en cercle jouant de la batterie avec une personne au milieu les instruisant.</v>
      </c>
    </row>
    <row r="35059">
      <c r="A35059" s="4" t="s">
        <v>44113</v>
      </c>
      <c r="B35059" s="4" t="s">
        <v>44115</v>
      </c>
      <c r="C35059" s="5" t="str">
        <f>IFERROR(__xludf.DUMMYFUNCTION("GOOGLETRANSLATE(B35059,""en"",""fr"")"),"La caméra se déroule dans le groupe jouant de la batterie pendant que les gens les sur le côté.")</f>
        <v>La caméra se déroule dans le groupe jouant de la batterie pendant que les gens les sur le côté.</v>
      </c>
    </row>
    <row r="35060">
      <c r="A35060" s="4" t="s">
        <v>44116</v>
      </c>
      <c r="B35060" s="4" t="s">
        <v>44117</v>
      </c>
      <c r="C35060" s="5" t="str">
        <f>IFERROR(__xludf.DUMMYFUNCTION("GOOGLETRANSLATE(B35060,""en"",""fr"")"),"Une femme coupe du bois sur un bloc avec une hache.")</f>
        <v>Une femme coupe du bois sur un bloc avec une hache.</v>
      </c>
    </row>
    <row r="35061">
      <c r="A35061" s="4" t="s">
        <v>44116</v>
      </c>
      <c r="B35061" s="4" t="s">
        <v>44118</v>
      </c>
      <c r="C35061" s="5" t="str">
        <f>IFERROR(__xludf.DUMMYFUNCTION("GOOGLETRANSLATE(B35061,""en"",""fr"")"),"Elle a du mal à sortir la hache du bois.")</f>
        <v>Elle a du mal à sortir la hache du bois.</v>
      </c>
    </row>
    <row r="35062">
      <c r="A35062" s="4" t="s">
        <v>44116</v>
      </c>
      <c r="B35062" s="4" t="s">
        <v>44119</v>
      </c>
      <c r="C35062" s="5" t="str">
        <f>IFERROR(__xludf.DUMMYFUNCTION("GOOGLETRANSLATE(B35062,""en"",""fr"")"),"Quelqu'un d'autre vient et essaie de le sortir mais il ne peut pas.")</f>
        <v>Quelqu'un d'autre vient et essaie de le sortir mais il ne peut pas.</v>
      </c>
    </row>
    <row r="35063">
      <c r="A35063" s="4" t="s">
        <v>44116</v>
      </c>
      <c r="B35063" s="4" t="s">
        <v>44120</v>
      </c>
      <c r="C35063" s="5" t="str">
        <f>IFERROR(__xludf.DUMMYFUNCTION("GOOGLETRANSLATE(B35063,""en"",""fr"")"),"La première fille revient et continue d'essayer de retirer la hache du bois.")</f>
        <v>La première fille revient et continue d'essayer de retirer la hache du bois.</v>
      </c>
    </row>
    <row r="35064">
      <c r="A35064" s="4" t="s">
        <v>44121</v>
      </c>
      <c r="B35064" s="4" t="s">
        <v>44122</v>
      </c>
      <c r="C35064" s="5" t="str">
        <f>IFERROR(__xludf.DUMMYFUNCTION("GOOGLETRANSLATE(B35064,""en"",""fr"")"),"Un jeune homme grimpe les cheveux de plusieurs hommes plus âgés dans une chaise de coiffure extérieure.")</f>
        <v>Un jeune homme grimpe les cheveux de plusieurs hommes plus âgés dans une chaise de coiffure extérieure.</v>
      </c>
    </row>
    <row r="35065">
      <c r="A35065" s="4" t="s">
        <v>44121</v>
      </c>
      <c r="B35065" s="4" t="s">
        <v>44123</v>
      </c>
      <c r="C35065" s="5" t="str">
        <f>IFERROR(__xludf.DUMMYFUNCTION("GOOGLETRANSLATE(B35065,""en"",""fr"")"),"L'homme qui coupe les cheveux est à l'intérieur d'un salon de coiffure qui parle.")</f>
        <v>L'homme qui coupe les cheveux est à l'intérieur d'un salon de coiffure qui parle.</v>
      </c>
    </row>
    <row r="35066">
      <c r="A35066" s="4" t="s">
        <v>44121</v>
      </c>
      <c r="B35066" s="4" t="s">
        <v>44124</v>
      </c>
      <c r="C35066" s="5" t="str">
        <f>IFERROR(__xludf.DUMMYFUNCTION("GOOGLETRANSLATE(B35066,""en"",""fr"")"),"Certains plans de l'homme qui coupent les cheveux sont montrés.")</f>
        <v>Certains plans de l'homme qui coupent les cheveux sont montrés.</v>
      </c>
    </row>
    <row r="35067">
      <c r="A35067" s="4" t="s">
        <v>44121</v>
      </c>
      <c r="B35067" s="4" t="s">
        <v>44125</v>
      </c>
      <c r="C35067" s="5" t="str">
        <f>IFERROR(__xludf.DUMMYFUNCTION("GOOGLETRANSLATE(B35067,""en"",""fr"")"),"L'homme est vu à nouveau couper les cheveux d'un homme dans la chaise de coiffure extérieure.")</f>
        <v>L'homme est vu à nouveau couper les cheveux d'un homme dans la chaise de coiffure extérieure.</v>
      </c>
    </row>
    <row r="35068">
      <c r="A35068" s="4" t="s">
        <v>44126</v>
      </c>
      <c r="B35068" s="4" t="s">
        <v>44127</v>
      </c>
      <c r="C35068" s="5" t="str">
        <f>IFERROR(__xludf.DUMMYFUNCTION("GOOGLETRANSLATE(B35068,""en"",""fr"")"),"Un homme verse des coups d'alcool dans un mélangeur.")</f>
        <v>Un homme verse des coups d'alcool dans un mélangeur.</v>
      </c>
    </row>
    <row r="35069">
      <c r="A35069" s="4" t="s">
        <v>44126</v>
      </c>
      <c r="B35069" s="4" t="s">
        <v>44128</v>
      </c>
      <c r="C35069" s="5" t="str">
        <f>IFERROR(__xludf.DUMMYFUNCTION("GOOGLETRANSLATE(B35069,""en"",""fr"")"),"Il mélange la boisson ensemble.")</f>
        <v>Il mélange la boisson ensemble.</v>
      </c>
    </row>
    <row r="35070">
      <c r="A35070" s="4" t="s">
        <v>44126</v>
      </c>
      <c r="B35070" s="4" t="s">
        <v>44129</v>
      </c>
      <c r="C35070" s="5" t="str">
        <f>IFERROR(__xludf.DUMMYFUNCTION("GOOGLETRANSLATE(B35070,""en"",""fr"")"),"Il met des tranches d'orange sur deux verres.")</f>
        <v>Il met des tranches d'orange sur deux verres.</v>
      </c>
    </row>
    <row r="35071">
      <c r="A35071" s="4" t="s">
        <v>44126</v>
      </c>
      <c r="B35071" s="4" t="s">
        <v>44130</v>
      </c>
      <c r="C35071" s="5" t="str">
        <f>IFERROR(__xludf.DUMMYFUNCTION("GOOGLETRANSLATE(B35071,""en"",""fr"")"),"Il verse la boisson du mélangeur dans les verres et ajoute des pailles.")</f>
        <v>Il verse la boisson du mélangeur dans les verres et ajoute des pailles.</v>
      </c>
    </row>
    <row r="35072">
      <c r="A35072" s="4" t="s">
        <v>44131</v>
      </c>
      <c r="B35072" s="4" t="s">
        <v>44132</v>
      </c>
      <c r="C35072" s="5" t="str">
        <f>IFERROR(__xludf.DUMMYFUNCTION("GOOGLETRANSLATE(B35072,""en"",""fr"")"),"Un homme sculpte une citrouille.")</f>
        <v>Un homme sculpte une citrouille.</v>
      </c>
    </row>
    <row r="35073">
      <c r="A35073" s="4" t="s">
        <v>44131</v>
      </c>
      <c r="B35073" s="4" t="s">
        <v>44133</v>
      </c>
      <c r="C35073" s="5" t="str">
        <f>IFERROR(__xludf.DUMMYFUNCTION("GOOGLETRANSLATE(B35073,""en"",""fr"")"),"Un homme dans un costume de Batman est montré.")</f>
        <v>Un homme dans un costume de Batman est montré.</v>
      </c>
    </row>
    <row r="35074">
      <c r="A35074" s="4" t="s">
        <v>44131</v>
      </c>
      <c r="B35074" s="4" t="s">
        <v>44134</v>
      </c>
      <c r="C35074" s="5" t="str">
        <f>IFERROR(__xludf.DUMMYFUNCTION("GOOGLETRANSLATE(B35074,""en"",""fr"")"),"L'homme continue de sculpter la citrouille.")</f>
        <v>L'homme continue de sculpter la citrouille.</v>
      </c>
    </row>
    <row r="35075">
      <c r="A35075" s="4" t="s">
        <v>44131</v>
      </c>
      <c r="B35075" s="4" t="s">
        <v>44135</v>
      </c>
      <c r="C35075" s="5" t="str">
        <f>IFERROR(__xludf.DUMMYFUNCTION("GOOGLETRANSLATE(B35075,""en"",""fr"")"),"Un chien mâche sur une boule bleue.")</f>
        <v>Un chien mâche sur une boule bleue.</v>
      </c>
    </row>
    <row r="35076">
      <c r="A35076" s="4" t="s">
        <v>44136</v>
      </c>
      <c r="B35076" s="4" t="s">
        <v>44137</v>
      </c>
      <c r="C35076" s="5" t="str">
        <f>IFERROR(__xludf.DUMMYFUNCTION("GOOGLETRANSLATE(B35076,""en"",""fr"")"),"On voit un groupe de jeunes garçons qui passent en passant par les balles de football à chacun le long d'une grande plage de sable.")</f>
        <v>On voit un groupe de jeunes garçons qui passent en passant par les balles de football à chacun le long d'une grande plage de sable.</v>
      </c>
    </row>
    <row r="35077">
      <c r="A35077" s="4" t="s">
        <v>44136</v>
      </c>
      <c r="B35077" s="4" t="s">
        <v>44138</v>
      </c>
      <c r="C35077" s="5" t="str">
        <f>IFERROR(__xludf.DUMMYFUNCTION("GOOGLETRANSLATE(B35077,""en"",""fr"")"),"Ils continuent de courir en arrière et quatrième sur le sable et se transmettant le ballon les uns aux autres.")</f>
        <v>Ils continuent de courir en arrière et quatrième sur le sable et se transmettant le ballon les uns aux autres.</v>
      </c>
    </row>
    <row r="35078">
      <c r="A35078" s="4" t="s">
        <v>44139</v>
      </c>
      <c r="B35078" s="4" t="s">
        <v>44140</v>
      </c>
      <c r="C35078" s="5" t="str">
        <f>IFERROR(__xludf.DUMMYFUNCTION("GOOGLETRANSLATE(B35078,""en"",""fr"")"),"Un homme est assis le long d'une route polissant une chaussure.")</f>
        <v>Un homme est assis le long d'une route polissant une chaussure.</v>
      </c>
    </row>
    <row r="35079">
      <c r="A35079" s="4" t="s">
        <v>44139</v>
      </c>
      <c r="B35079" s="4" t="s">
        <v>44141</v>
      </c>
      <c r="C35079" s="5" t="str">
        <f>IFERROR(__xludf.DUMMYFUNCTION("GOOGLETRANSLATE(B35079,""en"",""fr"")"),"Certaines autres personnes sont assises à proximité et de nombreuses personnes passent devant lui.")</f>
        <v>Certaines autres personnes sont assises à proximité et de nombreuses personnes passent devant lui.</v>
      </c>
    </row>
    <row r="35080">
      <c r="A35080" s="4" t="s">
        <v>44139</v>
      </c>
      <c r="B35080" s="4" t="s">
        <v>44142</v>
      </c>
      <c r="C35080" s="5" t="str">
        <f>IFERROR(__xludf.DUMMYFUNCTION("GOOGLETRANSLATE(B35080,""en"",""fr"")"),"Une moto passe sur la route.")</f>
        <v>Une moto passe sur la route.</v>
      </c>
    </row>
    <row r="35081">
      <c r="A35081" s="4" t="s">
        <v>44139</v>
      </c>
      <c r="B35081" s="4" t="s">
        <v>44143</v>
      </c>
      <c r="C35081" s="5" t="str">
        <f>IFERROR(__xludf.DUMMYFUNCTION("GOOGLETRANSLATE(B35081,""en"",""fr"")"),"L'homme pose la chaussure et en ramasse un autre pour peaufiner.")</f>
        <v>L'homme pose la chaussure et en ramasse un autre pour peaufiner.</v>
      </c>
    </row>
    <row r="35082">
      <c r="A35082" s="4" t="s">
        <v>44144</v>
      </c>
      <c r="B35082" s="4" t="s">
        <v>44145</v>
      </c>
      <c r="C35082" s="5" t="str">
        <f>IFERROR(__xludf.DUMMYFUNCTION("GOOGLETRANSLATE(B35082,""en"",""fr"")"),"Un homme en polo rouge démontre le pointeur de Kleva.")</f>
        <v>Un homme en polo rouge démontre le pointeur de Kleva.</v>
      </c>
    </row>
    <row r="35083">
      <c r="A35083" s="4" t="s">
        <v>44144</v>
      </c>
      <c r="B35083" s="4" t="s">
        <v>44146</v>
      </c>
      <c r="C35083" s="5" t="str">
        <f>IFERROR(__xludf.DUMMYFUNCTION("GOOGLETRANSLATE(B35083,""en"",""fr"")"),"Il aiguise un couteau de boucher terne et coupe une tomate.")</f>
        <v>Il aiguise un couteau de boucher terne et coupe une tomate.</v>
      </c>
    </row>
    <row r="35084">
      <c r="A35084" s="4" t="s">
        <v>44144</v>
      </c>
      <c r="B35084" s="6" t="s">
        <v>44147</v>
      </c>
      <c r="C35084" s="5" t="str">
        <f>IFERROR(__xludf.DUMMYFUNCTION("GOOGLETRANSLATE(B35084,""en"",""fr"")"),"L'homme dans le polo rouge aiguise ensuite un couteau steak terne et coupe une tomate en tranches, puis il coupe un concombre en tranches.")</f>
        <v>L'homme dans le polo rouge aiguise ensuite un couteau steak terne et coupe une tomate en tranches, puis il coupe un concombre en tranches.</v>
      </c>
    </row>
    <row r="35085">
      <c r="A35085" s="4" t="s">
        <v>44144</v>
      </c>
      <c r="B35085" s="4" t="s">
        <v>44148</v>
      </c>
      <c r="C35085" s="5" t="str">
        <f>IFERROR(__xludf.DUMMYFUNCTION("GOOGLETRANSLATE(B35085,""en"",""fr"")"),"L'homme démontrant l'acaideur de Kleva, il aiguise une tondeuse de jardin et tranche une carotte.")</f>
        <v>L'homme démontrant l'acaideur de Kleva, il aiguise une tondeuse de jardin et tranche une carotte.</v>
      </c>
    </row>
    <row r="35086">
      <c r="A35086" s="4" t="s">
        <v>44144</v>
      </c>
      <c r="B35086" s="4" t="s">
        <v>44149</v>
      </c>
      <c r="C35086" s="5" t="str">
        <f>IFERROR(__xludf.DUMMYFUNCTION("GOOGLETRANSLATE(B35086,""en"",""fr"")"),"Le démonstrateur aiguise ensuite un couteau à pain en sérozé et tranche une miche de pain.")</f>
        <v>Le démonstrateur aiguise ensuite un couteau à pain en sérozé et tranche une miche de pain.</v>
      </c>
    </row>
    <row r="35087">
      <c r="A35087" s="4" t="s">
        <v>44144</v>
      </c>
      <c r="B35087" s="4" t="s">
        <v>44150</v>
      </c>
      <c r="C35087" s="5" t="str">
        <f>IFERROR(__xludf.DUMMYFUNCTION("GOOGLETRANSLATE(B35087,""en"",""fr"")"),"Une série de démonstrations de différents couteaux coupant différents aliments.")</f>
        <v>Une série de démonstrations de différents couteaux coupant différents aliments.</v>
      </c>
    </row>
    <row r="35088">
      <c r="A35088" s="4" t="s">
        <v>44144</v>
      </c>
      <c r="B35088" s="4" t="s">
        <v>44151</v>
      </c>
      <c r="C35088" s="5" t="str">
        <f>IFERROR(__xludf.DUMMYFUNCTION("GOOGLETRANSLATE(B35088,""en"",""fr"")"),"L'affûteur de Kleva est débarqué de la table et stocké dans un tiroir d'armoire.")</f>
        <v>L'affûteur de Kleva est débarqué de la table et stocké dans un tiroir d'armoire.</v>
      </c>
    </row>
    <row r="35089">
      <c r="A35089" s="4" t="s">
        <v>44144</v>
      </c>
      <c r="B35089" s="4" t="s">
        <v>44152</v>
      </c>
      <c r="C35089" s="5" t="str">
        <f>IFERROR(__xludf.DUMMYFUNCTION("GOOGLETRANSLATE(B35089,""en"",""fr"")"),"L'adapteur de Kleva est monté sur le réfrigérateur sur un mur et sur la table.")</f>
        <v>L'adapteur de Kleva est monté sur le réfrigérateur sur un mur et sur la table.</v>
      </c>
    </row>
    <row r="35090">
      <c r="A35090" s="4" t="s">
        <v>44144</v>
      </c>
      <c r="B35090" s="4" t="s">
        <v>44153</v>
      </c>
      <c r="C35090" s="5" t="str">
        <f>IFERROR(__xludf.DUMMYFUNCTION("GOOGLETRANSLATE(B35090,""en"",""fr"")"),"Il démontre le mécanisme de verrouillage.")</f>
        <v>Il démontre le mécanisme de verrouillage.</v>
      </c>
    </row>
    <row r="35091">
      <c r="A35091" s="4" t="s">
        <v>44154</v>
      </c>
      <c r="B35091" s="4" t="s">
        <v>44155</v>
      </c>
      <c r="C35091" s="5" t="str">
        <f>IFERROR(__xludf.DUMMYFUNCTION("GOOGLETRANSLATE(B35091,""en"",""fr"")"),"Une femme parle en se tenant à côté d'un entraîneur elliptique.")</f>
        <v>Une femme parle en se tenant à côté d'un entraîneur elliptique.</v>
      </c>
    </row>
    <row r="35092">
      <c r="A35092" s="4" t="s">
        <v>44154</v>
      </c>
      <c r="B35092" s="4" t="s">
        <v>44156</v>
      </c>
      <c r="C35092" s="5" t="str">
        <f>IFERROR(__xludf.DUMMYFUNCTION("GOOGLETRANSLATE(B35092,""en"",""fr"")"),"Les mécanismes de la machine elliptique sont présentés.")</f>
        <v>Les mécanismes de la machine elliptique sont présentés.</v>
      </c>
    </row>
    <row r="35093">
      <c r="A35093" s="4" t="s">
        <v>44154</v>
      </c>
      <c r="B35093" s="4" t="s">
        <v>44157</v>
      </c>
      <c r="C35093" s="5" t="str">
        <f>IFERROR(__xludf.DUMMYFUNCTION("GOOGLETRANSLATE(B35093,""en"",""fr"")"),"Nous voyons ensuite la femme sur la machine, démontrant comment cela fonctionne.")</f>
        <v>Nous voyons ensuite la femme sur la machine, démontrant comment cela fonctionne.</v>
      </c>
    </row>
    <row r="35094">
      <c r="A35094" s="4" t="s">
        <v>44158</v>
      </c>
      <c r="B35094" s="4" t="s">
        <v>44159</v>
      </c>
      <c r="C35094" s="5" t="str">
        <f>IFERROR(__xludf.DUMMYFUNCTION("GOOGLETRANSLATE(B35094,""en"",""fr"")"),"Un homme est montré sur un vélo roulant sur la neige.")</f>
        <v>Un homme est montré sur un vélo roulant sur la neige.</v>
      </c>
    </row>
    <row r="35095">
      <c r="A35095" s="4" t="s">
        <v>44158</v>
      </c>
      <c r="B35095" s="4" t="s">
        <v>44160</v>
      </c>
      <c r="C35095" s="5" t="str">
        <f>IFERROR(__xludf.DUMMYFUNCTION("GOOGLETRANSLATE(B35095,""en"",""fr"")"),"Ensuite, un autre groupe de personnes roule dans un chariot à travers la neige.")</f>
        <v>Ensuite, un autre groupe de personnes roule dans un chariot à travers la neige.</v>
      </c>
    </row>
    <row r="35096">
      <c r="A35096" s="4" t="s">
        <v>44158</v>
      </c>
      <c r="B35096" s="4" t="s">
        <v>44161</v>
      </c>
      <c r="C35096" s="5" t="str">
        <f>IFERROR(__xludf.DUMMYFUNCTION("GOOGLETRANSLATE(B35096,""en"",""fr"")"),"Trois skieurs sont représentés au sommet d'une montagne de neige et ils commencent à skier.")</f>
        <v>Trois skieurs sont représentés au sommet d'une montagne de neige et ils commencent à skier.</v>
      </c>
    </row>
    <row r="35097">
      <c r="A35097" s="4" t="s">
        <v>44158</v>
      </c>
      <c r="B35097" s="6" t="s">
        <v>44162</v>
      </c>
      <c r="C35097" s="5" t="str">
        <f>IFERROR(__xludf.DUMMYFUNCTION("GOOGLETRANSLATE(B35097,""en"",""fr"")"),"Un skieur est ensuite tourné de haut en bas en tenant un ensemble de skiis ainsi que des gens sur les vélos de montagne et ils commencent à courir.")</f>
        <v>Un skieur est ensuite tourné de haut en bas en tenant un ensemble de skiis ainsi que des gens sur les vélos de montagne et ils commencent à courir.</v>
      </c>
    </row>
    <row r="35098">
      <c r="A35098" s="4" t="s">
        <v>44163</v>
      </c>
      <c r="B35098" s="4" t="s">
        <v>44164</v>
      </c>
      <c r="C35098" s="5" t="str">
        <f>IFERROR(__xludf.DUMMYFUNCTION("GOOGLETRANSLATE(B35098,""en"",""fr"")"),"Une femme met des rouleaux sur une jeune femme, peignant une partie des cheveux puis enrouler sur un rouleau.")</f>
        <v>Une femme met des rouleaux sur une jeune femme, peignant une partie des cheveux puis enrouler sur un rouleau.</v>
      </c>
    </row>
    <row r="35099">
      <c r="A35099" s="4" t="s">
        <v>44163</v>
      </c>
      <c r="B35099" s="4" t="s">
        <v>44165</v>
      </c>
      <c r="C35099" s="5" t="str">
        <f>IFERROR(__xludf.DUMMYFUNCTION("GOOGLETRANSLATE(B35099,""en"",""fr"")"),"La jeune femme leva la main gauche pour passer un rouleau à la femme en prenant.")</f>
        <v>La jeune femme leva la main gauche pour passer un rouleau à la femme en prenant.</v>
      </c>
    </row>
    <row r="35100">
      <c r="A35100" s="4" t="s">
        <v>44163</v>
      </c>
      <c r="B35100" s="4" t="s">
        <v>44166</v>
      </c>
      <c r="C35100" s="5" t="str">
        <f>IFERROR(__xludf.DUMMYFUNCTION("GOOGLETRANSLATE(B35100,""en"",""fr"")"),"La jeune femme a mis une serviette sur son visage.")</f>
        <v>La jeune femme a mis une serviette sur son visage.</v>
      </c>
    </row>
    <row r="35101">
      <c r="A35101" s="4" t="s">
        <v>44167</v>
      </c>
      <c r="B35101" s="4" t="s">
        <v>44168</v>
      </c>
      <c r="C35101" s="5" t="str">
        <f>IFERROR(__xludf.DUMMYFUNCTION("GOOGLETRANSLATE(B35101,""en"",""fr"")"),"Plusieurs vues sont montrées d'une machine sous différents angles.")</f>
        <v>Plusieurs vues sont montrées d'une machine sous différents angles.</v>
      </c>
    </row>
    <row r="35102">
      <c r="A35102" s="4" t="s">
        <v>44167</v>
      </c>
      <c r="B35102" s="4" t="s">
        <v>44169</v>
      </c>
      <c r="C35102" s="5" t="str">
        <f>IFERROR(__xludf.DUMMYFUNCTION("GOOGLETRANSLATE(B35102,""en"",""fr"")"),"Une femme utilise un attachement pour sucer les rides d'une chemise.")</f>
        <v>Une femme utilise un attachement pour sucer les rides d'une chemise.</v>
      </c>
    </row>
    <row r="35103">
      <c r="A35103" s="4" t="s">
        <v>44167</v>
      </c>
      <c r="B35103" s="4" t="s">
        <v>44170</v>
      </c>
      <c r="C35103" s="5" t="str">
        <f>IFERROR(__xludf.DUMMYFUNCTION("GOOGLETRANSLATE(B35103,""en"",""fr"")"),"Elle accroche ensuite une paire de pantalons et les fers en douceur, créant un pli.")</f>
        <v>Elle accroche ensuite une paire de pantalons et les fers en douceur, créant un pli.</v>
      </c>
    </row>
    <row r="35104">
      <c r="A35104" s="4" t="s">
        <v>44171</v>
      </c>
      <c r="B35104" s="4" t="s">
        <v>44172</v>
      </c>
      <c r="C35104" s="5" t="str">
        <f>IFERROR(__xludf.DUMMYFUNCTION("GOOGLETRANSLATE(B35104,""en"",""fr"")"),"Nous voyons un homme dans le coin supérieur et au-dessus du capot d'une voiture en conduisant.")</f>
        <v>Nous voyons un homme dans le coin supérieur et au-dessus du capot d'une voiture en conduisant.</v>
      </c>
    </row>
    <row r="35105">
      <c r="A35105" s="4" t="s">
        <v>44171</v>
      </c>
      <c r="B35105" s="4" t="s">
        <v>44173</v>
      </c>
      <c r="C35105" s="5" t="str">
        <f>IFERROR(__xludf.DUMMYFUNCTION("GOOGLETRANSLATE(B35105,""en"",""fr"")"),"La voiture s'arrête à une intersection.")</f>
        <v>La voiture s'arrête à une intersection.</v>
      </c>
    </row>
    <row r="35106">
      <c r="A35106" s="4" t="s">
        <v>44171</v>
      </c>
      <c r="B35106" s="4" t="s">
        <v>44174</v>
      </c>
      <c r="C35106" s="5" t="str">
        <f>IFERROR(__xludf.DUMMYFUNCTION("GOOGLETRANSLATE(B35106,""en"",""fr"")"),"La voiture fait un demi-tour.")</f>
        <v>La voiture fait un demi-tour.</v>
      </c>
    </row>
    <row r="35107">
      <c r="A35107" s="4" t="s">
        <v>44171</v>
      </c>
      <c r="B35107" s="4" t="s">
        <v>44175</v>
      </c>
      <c r="C35107" s="5" t="str">
        <f>IFERROR(__xludf.DUMMYFUNCTION("GOOGLETRANSLATE(B35107,""en"",""fr"")"),"L'homme passe dans un lavage de voiture et sort.")</f>
        <v>L'homme passe dans un lavage de voiture et sort.</v>
      </c>
    </row>
    <row r="35108">
      <c r="A35108" s="4" t="s">
        <v>44171</v>
      </c>
      <c r="B35108" s="4" t="s">
        <v>44176</v>
      </c>
      <c r="C35108" s="5" t="str">
        <f>IFERROR(__xludf.DUMMYFUNCTION("GOOGLETRANSLATE(B35108,""en"",""fr"")"),"L'homme lave la glace de sa voiture et continue de rincer sa voiture.")</f>
        <v>L'homme lave la glace de sa voiture et continue de rincer sa voiture.</v>
      </c>
    </row>
    <row r="35109">
      <c r="A35109" s="4" t="s">
        <v>44171</v>
      </c>
      <c r="B35109" s="4" t="s">
        <v>44177</v>
      </c>
      <c r="C35109" s="5" t="str">
        <f>IFERROR(__xludf.DUMMYFUNCTION("GOOGLETRANSLATE(B35109,""en"",""fr"")"),"L'homme montre sa voiture mouillée.")</f>
        <v>L'homme montre sa voiture mouillée.</v>
      </c>
    </row>
    <row r="35110">
      <c r="A35110" s="4" t="s">
        <v>44178</v>
      </c>
      <c r="B35110" s="4" t="s">
        <v>44179</v>
      </c>
      <c r="C35110" s="5" t="str">
        <f>IFERROR(__xludf.DUMMYFUNCTION("GOOGLETRANSLATE(B35110,""en"",""fr"")"),"L'homme parle à la caméra est une journée enneigée à l'extérieur d'une maison.")</f>
        <v>L'homme parle à la caméra est une journée enneigée à l'extérieur d'une maison.</v>
      </c>
    </row>
    <row r="35111">
      <c r="A35111" s="4" t="s">
        <v>44178</v>
      </c>
      <c r="B35111" s="4" t="s">
        <v>44180</v>
      </c>
      <c r="C35111" s="5" t="str">
        <f>IFERROR(__xludf.DUMMYFUNCTION("GOOGLETRANSLATE(B35111,""en"",""fr"")"),"L'homme tient une pelle et nettoie le chemin de la neige.")</f>
        <v>L'homme tient une pelle et nettoie le chemin de la neige.</v>
      </c>
    </row>
    <row r="35112">
      <c r="A35112" s="4" t="s">
        <v>44178</v>
      </c>
      <c r="B35112" s="4" t="s">
        <v>44181</v>
      </c>
      <c r="C35112" s="5" t="str">
        <f>IFERROR(__xludf.DUMMYFUNCTION("GOOGLETRANSLATE(B35112,""en"",""fr"")"),"Little Kid porte des vêtements de neige rouge et se tient debout dans une voiture.")</f>
        <v>Little Kid porte des vêtements de neige rouge et se tient debout dans une voiture.</v>
      </c>
    </row>
    <row r="35113">
      <c r="A35113" s="4" t="s">
        <v>44178</v>
      </c>
      <c r="B35113" s="4" t="s">
        <v>44182</v>
      </c>
      <c r="C35113" s="5" t="str">
        <f>IFERROR(__xludf.DUMMYFUNCTION("GOOGLETRANSLATE(B35113,""en"",""fr"")"),"L'homme s'arrête et parle à nouveau à la caméra avec la pelle sur ses mains.")</f>
        <v>L'homme s'arrête et parle à nouveau à la caméra avec la pelle sur ses mains.</v>
      </c>
    </row>
    <row r="35114">
      <c r="A35114" s="4" t="s">
        <v>44183</v>
      </c>
      <c r="B35114" s="4" t="s">
        <v>44184</v>
      </c>
      <c r="C35114" s="5" t="str">
        <f>IFERROR(__xludf.DUMMYFUNCTION("GOOGLETRANSLATE(B35114,""en"",""fr"")"),"Une dame dans un débardeur noir donne des instructions sur la façon de sécher les cheveux d'une fille portant un t-shirt bleu.")</f>
        <v>Une dame dans un débardeur noir donne des instructions sur la façon de sécher les cheveux d'une fille portant un t-shirt bleu.</v>
      </c>
    </row>
    <row r="35115">
      <c r="A35115" s="4" t="s">
        <v>44183</v>
      </c>
      <c r="B35115" s="6" t="s">
        <v>44185</v>
      </c>
      <c r="C35115" s="5" t="str">
        <f>IFERROR(__xludf.DUMMYFUNCTION("GOOGLETRANSLATE(B35115,""en"",""fr"")"),"La coiffeuse place d'abord un liquide dans sa main et la frotte dans les modèles Hair, puis brosse les cheveux des clients.")</f>
        <v>La coiffeuse place d'abord un liquide dans sa main et la frotte dans les modèles Hair, puis brosse les cheveux des clients.</v>
      </c>
    </row>
    <row r="35116">
      <c r="A35116" s="4" t="s">
        <v>44183</v>
      </c>
      <c r="B35116" s="4" t="s">
        <v>44186</v>
      </c>
      <c r="C35116" s="5" t="str">
        <f>IFERROR(__xludf.DUMMYFUNCTION("GOOGLETRANSLATE(B35116,""en"",""fr"")"),"La dame du débardeur noir utilise le sèche-linge tout en peignant les cheveux avec une brosse.")</f>
        <v>La dame du débardeur noir utilise le sèche-linge tout en peignant les cheveux avec une brosse.</v>
      </c>
    </row>
    <row r="35117">
      <c r="A35117" s="4" t="s">
        <v>44183</v>
      </c>
      <c r="B35117" s="4" t="s">
        <v>44187</v>
      </c>
      <c r="C35117" s="5" t="str">
        <f>IFERROR(__xludf.DUMMYFUNCTION("GOOGLETRANSLATE(B35117,""en"",""fr"")"),"Scènes du produit fini montrant des vues latérales et des véracies arrière des cheveux des modèles.")</f>
        <v>Scènes du produit fini montrant des vues latérales et des véracies arrière des cheveux des modèles.</v>
      </c>
    </row>
    <row r="35118">
      <c r="A35118" s="4" t="s">
        <v>44188</v>
      </c>
      <c r="B35118" s="6" t="s">
        <v>44189</v>
      </c>
      <c r="C35118" s="5" t="str">
        <f>IFERROR(__xludf.DUMMYFUNCTION("GOOGLETRANSLATE(B35118,""en"",""fr"")"),"Une femme est vue se déplacer de haut en bas sur une barre d'exercice tandis que plusieurs coups sont montrés de son exercice.")</f>
        <v>Une femme est vue se déplacer de haut en bas sur une barre d'exercice tandis que plusieurs coups sont montrés de son exercice.</v>
      </c>
    </row>
    <row r="35119">
      <c r="A35119" s="4" t="s">
        <v>44188</v>
      </c>
      <c r="B35119" s="6" t="s">
        <v>44190</v>
      </c>
      <c r="C35119" s="5" t="str">
        <f>IFERROR(__xludf.DUMMYFUNCTION("GOOGLETRANSLATE(B35119,""en"",""fr"")"),"Elle a montré à nouveau des poids et fait des exercices tout en se tenant sur le faisceau ainsi que la pose.")</f>
        <v>Elle a montré à nouveau des poids et fait des exercices tout en se tenant sur le faisceau ainsi que la pose.</v>
      </c>
    </row>
    <row r="35120">
      <c r="A35120" s="4" t="s">
        <v>44191</v>
      </c>
      <c r="B35120" s="4" t="s">
        <v>44192</v>
      </c>
      <c r="C35120" s="5" t="str">
        <f>IFERROR(__xludf.DUMMYFUNCTION("GOOGLETRANSLATE(B35120,""en"",""fr"")"),"L'homme est assis sur un siège de la voiture en regardant près de la fenêtre.")</f>
        <v>L'homme est assis sur un siège de la voiture en regardant près de la fenêtre.</v>
      </c>
    </row>
    <row r="35121">
      <c r="A35121" s="4" t="s">
        <v>44191</v>
      </c>
      <c r="B35121" s="4" t="s">
        <v>44193</v>
      </c>
      <c r="C35121" s="5" t="str">
        <f>IFERROR(__xludf.DUMMYFUNCTION("GOOGLETRANSLATE(B35121,""en"",""fr"")"),"L'homme est du snowboard sur une pente enneigée qui fait des sauts en hauteur.")</f>
        <v>L'homme est du snowboard sur une pente enneigée qui fait des sauts en hauteur.</v>
      </c>
    </row>
    <row r="35122">
      <c r="A35122" s="4" t="s">
        <v>44191</v>
      </c>
      <c r="B35122" s="4" t="s">
        <v>44194</v>
      </c>
      <c r="C35122" s="5" t="str">
        <f>IFERROR(__xludf.DUMMYFUNCTION("GOOGLETRANSLATE(B35122,""en"",""fr"")"),"Les hommes sont dans une pièce sombre avec des pots.")</f>
        <v>Les hommes sont dans une pièce sombre avec des pots.</v>
      </c>
    </row>
    <row r="35123">
      <c r="A35123" s="4" t="s">
        <v>44195</v>
      </c>
      <c r="B35123" s="4" t="s">
        <v>25249</v>
      </c>
      <c r="C35123" s="5" t="str">
        <f>IFERROR(__xludf.DUMMYFUNCTION("GOOGLETRANSLATE(B35123,""en"",""fr"")"),"Les crédits des clips sont affichés.")</f>
        <v>Les crédits des clips sont affichés.</v>
      </c>
    </row>
    <row r="35124">
      <c r="A35124" s="4" t="s">
        <v>44195</v>
      </c>
      <c r="B35124" s="4" t="s">
        <v>44196</v>
      </c>
      <c r="C35124" s="5" t="str">
        <f>IFERROR(__xludf.DUMMYFUNCTION("GOOGLETRANSLATE(B35124,""en"",""fr"")"),"Les gars jouent au polo sport sur une arène de terre.")</f>
        <v>Les gars jouent au polo sport sur une arène de terre.</v>
      </c>
    </row>
    <row r="35125">
      <c r="A35125" s="4" t="s">
        <v>44195</v>
      </c>
      <c r="B35125" s="4" t="s">
        <v>573</v>
      </c>
      <c r="C35125" s="5" t="str">
        <f>IFERROR(__xludf.DUMMYFUNCTION("GOOGLETRANSLATE(B35125,""en"",""fr"")"),"Les crédits de la vidéo sont affichés.")</f>
        <v>Les crédits de la vidéo sont affichés.</v>
      </c>
    </row>
    <row r="35126">
      <c r="A35126" s="4" t="s">
        <v>44197</v>
      </c>
      <c r="B35126" s="4" t="s">
        <v>44198</v>
      </c>
      <c r="C35126" s="5" t="str">
        <f>IFERROR(__xludf.DUMMYFUNCTION("GOOGLETRANSLATE(B35126,""en"",""fr"")"),"Une introduction mène à un segment de Fox News avec deux ancres parlant.")</f>
        <v>Une introduction mène à un segment de Fox News avec deux ancres parlant.</v>
      </c>
    </row>
    <row r="35127">
      <c r="A35127" s="4" t="s">
        <v>44197</v>
      </c>
      <c r="B35127" s="6" t="s">
        <v>44199</v>
      </c>
      <c r="C35127" s="5" t="str">
        <f>IFERROR(__xludf.DUMMYFUNCTION("GOOGLETRANSLATE(B35127,""en"",""fr"")"),"Une femme est ensuite interviewée, suivie de plusieurs photos de champignons et de personnes qui se parlent.")</f>
        <v>Une femme est ensuite interviewée, suivie de plusieurs photos de champignons et de personnes qui se parlent.</v>
      </c>
    </row>
    <row r="35128">
      <c r="A35128" s="4" t="s">
        <v>44197</v>
      </c>
      <c r="B35128" s="6" t="s">
        <v>44200</v>
      </c>
      <c r="C35128" s="5" t="str">
        <f>IFERROR(__xludf.DUMMYFUNCTION("GOOGLETRANSLATE(B35128,""en"",""fr"")"),"Un médecin examine un homme et interviewe la caméra suivie par des personnes utilisant des produits ménagers et interviewant le journaliste.")</f>
        <v>Un médecin examine un homme et interviewe la caméra suivie par des personnes utilisant des produits ménagers et interviewant le journaliste.</v>
      </c>
    </row>
    <row r="35129">
      <c r="A35129" s="4" t="s">
        <v>44201</v>
      </c>
      <c r="B35129" s="4" t="s">
        <v>1828</v>
      </c>
      <c r="C35129" s="5" t="str">
        <f>IFERROR(__xludf.DUMMYFUNCTION("GOOGLETRANSLATE(B35129,""en"",""fr"")"),"Nous voyons un écran d'ouverture sur blanc.")</f>
        <v>Nous voyons un écran d'ouverture sur blanc.</v>
      </c>
    </row>
    <row r="35130">
      <c r="A35130" s="4" t="s">
        <v>44201</v>
      </c>
      <c r="B35130" s="4" t="s">
        <v>44202</v>
      </c>
      <c r="C35130" s="5" t="str">
        <f>IFERROR(__xludf.DUMMYFUNCTION("GOOGLETRANSLATE(B35130,""en"",""fr"")"),"Nous voyons une dame assise sur le sol avec une chaussure, un seau d'eau, des broussailles et du savon.")</f>
        <v>Nous voyons une dame assise sur le sol avec une chaussure, un seau d'eau, des broussailles et du savon.</v>
      </c>
    </row>
    <row r="35131">
      <c r="A35131" s="4" t="s">
        <v>44201</v>
      </c>
      <c r="B35131" s="4" t="s">
        <v>44203</v>
      </c>
      <c r="C35131" s="5" t="str">
        <f>IFERROR(__xludf.DUMMYFUNCTION("GOOGLETRANSLATE(B35131,""en"",""fr"")"),"La dame nous montre les articles un à la fois.")</f>
        <v>La dame nous montre les articles un à la fois.</v>
      </c>
    </row>
    <row r="35132">
      <c r="A35132" s="4" t="s">
        <v>44201</v>
      </c>
      <c r="B35132" s="4" t="s">
        <v>44204</v>
      </c>
      <c r="C35132" s="5" t="str">
        <f>IFERROR(__xludf.DUMMYFUNCTION("GOOGLETRANSLATE(B35132,""en"",""fr"")"),"Nous voyons une illustration d'un thermomètre.")</f>
        <v>Nous voyons une illustration d'un thermomètre.</v>
      </c>
    </row>
    <row r="35133">
      <c r="A35133" s="4" t="s">
        <v>44201</v>
      </c>
      <c r="B35133" s="4" t="s">
        <v>44205</v>
      </c>
      <c r="C35133" s="5" t="str">
        <f>IFERROR(__xludf.DUMMYFUNCTION("GOOGLETRANSLATE(B35133,""en"",""fr"")"),"Nous voyons une illustration d'une laveuse.")</f>
        <v>Nous voyons une illustration d'une laveuse.</v>
      </c>
    </row>
    <row r="35134">
      <c r="A35134" s="4" t="s">
        <v>44201</v>
      </c>
      <c r="B35134" s="4" t="s">
        <v>44206</v>
      </c>
      <c r="C35134" s="5" t="str">
        <f>IFERROR(__xludf.DUMMYFUNCTION("GOOGLETRANSLATE(B35134,""en"",""fr"")"),"La dame met sa chaussure dans le seau et la frotte avec une brosse.")</f>
        <v>La dame met sa chaussure dans le seau et la frotte avec une brosse.</v>
      </c>
    </row>
    <row r="35135">
      <c r="A35135" s="4" t="s">
        <v>44201</v>
      </c>
      <c r="B35135" s="4" t="s">
        <v>44207</v>
      </c>
      <c r="C35135" s="5" t="str">
        <f>IFERROR(__xludf.DUMMYFUNCTION("GOOGLETRANSLATE(B35135,""en"",""fr"")"),"Elle nous montre la chaussure déjà nettoyée.")</f>
        <v>Elle nous montre la chaussure déjà nettoyée.</v>
      </c>
    </row>
    <row r="35136">
      <c r="A35136" s="4" t="s">
        <v>44201</v>
      </c>
      <c r="B35136" s="4" t="s">
        <v>44208</v>
      </c>
      <c r="C35136" s="5" t="str">
        <f>IFERROR(__xludf.DUMMYFUNCTION("GOOGLETRANSLATE(B35136,""en"",""fr"")"),"Nous voyons une illustration de radiateur.")</f>
        <v>Nous voyons une illustration de radiateur.</v>
      </c>
    </row>
    <row r="35137">
      <c r="A35137" s="4" t="s">
        <v>44201</v>
      </c>
      <c r="B35137" s="4" t="s">
        <v>44209</v>
      </c>
      <c r="C35137" s="5" t="str">
        <f>IFERROR(__xludf.DUMMYFUNCTION("GOOGLETRANSLATE(B35137,""en"",""fr"")"),"La dame prend le savon et nous voyons une illustration d'une étagère.")</f>
        <v>La dame prend le savon et nous voyons une illustration d'une étagère.</v>
      </c>
    </row>
    <row r="35138">
      <c r="A35138" s="4" t="s">
        <v>44201</v>
      </c>
      <c r="B35138" s="4" t="s">
        <v>44210</v>
      </c>
      <c r="C35138" s="5" t="str">
        <f>IFERROR(__xludf.DUMMYFUNCTION("GOOGLETRANSLATE(B35138,""en"",""fr"")"),"L'écran de titre de fin joue.")</f>
        <v>L'écran de titre de fin joue.</v>
      </c>
    </row>
    <row r="35139">
      <c r="A35139" s="4" t="s">
        <v>44211</v>
      </c>
      <c r="B35139" s="4" t="s">
        <v>44212</v>
      </c>
      <c r="C35139" s="5" t="str">
        <f>IFERROR(__xludf.DUMMYFUNCTION("GOOGLETRANSLATE(B35139,""en"",""fr"")"),"Une femme et son enfant sont à l'extérieur d'une cabine assise sur une table en bois se parle.")</f>
        <v>Une femme et son enfant sont à l'extérieur d'une cabine assise sur une table en bois se parle.</v>
      </c>
    </row>
    <row r="35140">
      <c r="A35140" s="4" t="s">
        <v>44211</v>
      </c>
      <c r="B35140" s="4" t="s">
        <v>44213</v>
      </c>
      <c r="C35140" s="5" t="str">
        <f>IFERROR(__xludf.DUMMYFUNCTION("GOOGLETRANSLATE(B35140,""en"",""fr"")"),"La caméra pans ensuite la cabine et une grande montagne de neige est montrée.")</f>
        <v>La caméra pans ensuite la cabine et une grande montagne de neige est montrée.</v>
      </c>
    </row>
    <row r="35141">
      <c r="A35141" s="4" t="s">
        <v>44211</v>
      </c>
      <c r="B35141" s="6" t="s">
        <v>44214</v>
      </c>
      <c r="C35141" s="5" t="str">
        <f>IFERROR(__xludf.DUMMYFUNCTION("GOOGLETRANSLATE(B35141,""en"",""fr"")"),"Après, la femme et sa fille sont vues sur un lifting de ski debout plat avec de grands tubes de beignets qui les suivent.")</f>
        <v>Après, la femme et sa fille sont vues sur un lifting de ski debout plat avec de grands tubes de beignets qui les suivent.</v>
      </c>
    </row>
    <row r="35142">
      <c r="A35142" s="4" t="s">
        <v>44211</v>
      </c>
      <c r="B35142" s="6" t="s">
        <v>44215</v>
      </c>
      <c r="C35142" s="5" t="str">
        <f>IFERROR(__xludf.DUMMYFUNCTION("GOOGLETRANSLATE(B35142,""en"",""fr"")"),"Une fois en haut, ils pénètrent dans les tubes et courent vers le bas avec plusieurs autres personnes qui sont également à l'endroit.")</f>
        <v>Une fois en haut, ils pénètrent dans les tubes et courent vers le bas avec plusieurs autres personnes qui sont également à l'endroit.</v>
      </c>
    </row>
    <row r="35143">
      <c r="A35143" s="4" t="s">
        <v>44216</v>
      </c>
      <c r="B35143" s="6" t="s">
        <v>44217</v>
      </c>
      <c r="C35143" s="5" t="str">
        <f>IFERROR(__xludf.DUMMYFUNCTION("GOOGLETRANSLATE(B35143,""en"",""fr"")"),"Un homme est vu debout devant une planche à craie tenant un instrument de musique et passant de temps en temps à la planche à craie.")</f>
        <v>Un homme est vu debout devant une planche à craie tenant un instrument de musique et passant de temps en temps à la planche à craie.</v>
      </c>
    </row>
    <row r="35144">
      <c r="A35144" s="4" t="s">
        <v>44216</v>
      </c>
      <c r="B35144" s="6" t="s">
        <v>44218</v>
      </c>
      <c r="C35144" s="5" t="str">
        <f>IFERROR(__xludf.DUMMYFUNCTION("GOOGLETRANSLATE(B35144,""en"",""fr"")"),"La main d'une personne est vue en utilisant un iPod suivi de plus de photos de la personne qui parle et écrivant sur un article.")</f>
        <v>La main d'une personne est vue en utilisant un iPod suivi de plus de photos de la personne qui parle et écrivant sur un article.</v>
      </c>
    </row>
    <row r="35145">
      <c r="A35145" s="4" t="s">
        <v>44216</v>
      </c>
      <c r="B35145" s="6" t="s">
        <v>44219</v>
      </c>
      <c r="C35145" s="5" t="str">
        <f>IFERROR(__xludf.DUMMYFUNCTION("GOOGLETRANSLATE(B35145,""en"",""fr"")"),"L'homme joue ensuite l'instrument alors que la caméra le capture sous plusieurs angles tout en s'arrêtant pour parler.")</f>
        <v>L'homme joue ensuite l'instrument alors que la caméra le capture sous plusieurs angles tout en s'arrêtant pour parler.</v>
      </c>
    </row>
    <row r="35146">
      <c r="A35146" s="4" t="s">
        <v>44220</v>
      </c>
      <c r="B35146" s="6" t="s">
        <v>44221</v>
      </c>
      <c r="C35146" s="5" t="str">
        <f>IFERROR(__xludf.DUMMYFUNCTION("GOOGLETRANSLATE(B35146,""en"",""fr"")"),"Un homme en chemise blanche et shorts gris se tient au centre du terrain, tandis que les jeunes en hauts noirs et en short noir se tiennent derrière lui.")</f>
        <v>Un homme en chemise blanche et shorts gris se tient au centre du terrain, tandis que les jeunes en hauts noirs et en short noir se tiennent derrière lui.</v>
      </c>
    </row>
    <row r="35147">
      <c r="A35147" s="4" t="s">
        <v>44220</v>
      </c>
      <c r="B35147" s="6" t="s">
        <v>44222</v>
      </c>
      <c r="C35147" s="5" t="str">
        <f>IFERROR(__xludf.DUMMYFUNCTION("GOOGLETRANSLATE(B35147,""en"",""fr"")"),"Les jeunes où se tenaient sous forme de triangle, le jeune homme du centre commence à se produire en faisant sauter les bras puis sautez et recommencez et certaines des filles ont suivi ce qu'il fait.")</f>
        <v>Les jeunes où se tenaient sous forme de triangle, le jeune homme du centre commence à se produire en faisant sauter les bras puis sautez et recommencez et certaines des filles ont suivi ce qu'il fait.</v>
      </c>
    </row>
    <row r="35148">
      <c r="A35148" s="4" t="s">
        <v>44223</v>
      </c>
      <c r="B35148" s="4" t="s">
        <v>44224</v>
      </c>
      <c r="C35148" s="5" t="str">
        <f>IFERROR(__xludf.DUMMYFUNCTION("GOOGLETRANSLATE(B35148,""en"",""fr"")"),"Une femme est assise en tenant un violon.")</f>
        <v>Une femme est assise en tenant un violon.</v>
      </c>
    </row>
    <row r="35149">
      <c r="A35149" s="4" t="s">
        <v>44223</v>
      </c>
      <c r="B35149" s="4" t="s">
        <v>44225</v>
      </c>
      <c r="C35149" s="5" t="str">
        <f>IFERROR(__xludf.DUMMYFUNCTION("GOOGLETRANSLATE(B35149,""en"",""fr"")"),"Elle soulève le violon et commence à le jouer.")</f>
        <v>Elle soulève le violon et commence à le jouer.</v>
      </c>
    </row>
    <row r="35150">
      <c r="A35150" s="4" t="s">
        <v>44223</v>
      </c>
      <c r="B35150" s="4" t="s">
        <v>44226</v>
      </c>
      <c r="C35150" s="5" t="str">
        <f>IFERROR(__xludf.DUMMYFUNCTION("GOOGLETRANSLATE(B35150,""en"",""fr"")"),"Elle termine et abaisse le violon.")</f>
        <v>Elle termine et abaisse le violon.</v>
      </c>
    </row>
    <row r="35151">
      <c r="A35151" s="4" t="s">
        <v>44227</v>
      </c>
      <c r="B35151" s="4" t="s">
        <v>44228</v>
      </c>
      <c r="C35151" s="5" t="str">
        <f>IFERROR(__xludf.DUMMYFUNCTION("GOOGLETRANSLATE(B35151,""en"",""fr"")"),"Un grand groupe de personnes est vu entrer dans un bureau et interviewer un homme à la télévision.")</f>
        <v>Un grand groupe de personnes est vu entrer dans un bureau et interviewer un homme à la télévision.</v>
      </c>
    </row>
    <row r="35152">
      <c r="A35152" s="4" t="s">
        <v>44227</v>
      </c>
      <c r="B35152" s="4" t="s">
        <v>44229</v>
      </c>
      <c r="C35152" s="5" t="str">
        <f>IFERROR(__xludf.DUMMYFUNCTION("GOOGLETRANSLATE(B35152,""en"",""fr"")"),"Beaucoup de gens regardent l'interview et un homme parle à une femme avec colère.")</f>
        <v>Beaucoup de gens regardent l'interview et un homme parle à une femme avec colère.</v>
      </c>
    </row>
    <row r="35153">
      <c r="A35153" s="4" t="s">
        <v>44227</v>
      </c>
      <c r="B35153" s="4" t="s">
        <v>44230</v>
      </c>
      <c r="C35153" s="5" t="str">
        <f>IFERROR(__xludf.DUMMYFUNCTION("GOOGLETRANSLATE(B35153,""en"",""fr"")"),"La femme frappe l'homme et plus de gens sont vus se promener et parler.")</f>
        <v>La femme frappe l'homme et plus de gens sont vus se promener et parler.</v>
      </c>
    </row>
    <row r="35154">
      <c r="A35154" s="4" t="s">
        <v>44227</v>
      </c>
      <c r="B35154" s="4" t="s">
        <v>44231</v>
      </c>
      <c r="C35154" s="5" t="str">
        <f>IFERROR(__xludf.DUMMYFUNCTION("GOOGLETRANSLATE(B35154,""en"",""fr"")"),"Les gens entrent dans un bar et commencent à jouer au billard et à parler.")</f>
        <v>Les gens entrent dans un bar et commencent à jouer au billard et à parler.</v>
      </c>
    </row>
    <row r="35155">
      <c r="A35155" s="4" t="s">
        <v>44232</v>
      </c>
      <c r="B35155" s="6" t="s">
        <v>44233</v>
      </c>
      <c r="C35155" s="5" t="str">
        <f>IFERROR(__xludf.DUMMYFUNCTION("GOOGLETRANSLATE(B35155,""en"",""fr"")"),"Un petit groupe de femmes est vu debout autour d'une cuisine avec un ingrédient remuant dans un grand pot.")</f>
        <v>Un petit groupe de femmes est vu debout autour d'une cuisine avec un ingrédient remuant dans un grand pot.</v>
      </c>
    </row>
    <row r="35156">
      <c r="A35156" s="4" t="s">
        <v>44232</v>
      </c>
      <c r="B35156" s="6" t="s">
        <v>44234</v>
      </c>
      <c r="C35156" s="5" t="str">
        <f>IFERROR(__xludf.DUMMYFUNCTION("GOOGLETRANSLATE(B35156,""en"",""fr"")"),"Une autre femme entre dans le cadre lorsqu'une femme verse plus dans le bol et la mélange.")</f>
        <v>Une autre femme entre dans le cadre lorsqu'une femme verse plus dans le bol et la mélange.</v>
      </c>
    </row>
    <row r="35157">
      <c r="A35157" s="4" t="s">
        <v>44232</v>
      </c>
      <c r="B35157" s="4" t="s">
        <v>44235</v>
      </c>
      <c r="C35157" s="5" t="str">
        <f>IFERROR(__xludf.DUMMYFUNCTION("GOOGLETRANSLATE(B35157,""en"",""fr"")"),"Elle tend une cuillerée pour qu'une fille puisse essayer et un autre éloigne le bol de la table.")</f>
        <v>Elle tend une cuillerée pour qu'une fille puisse essayer et un autre éloigne le bol de la table.</v>
      </c>
    </row>
    <row r="35158">
      <c r="A35158" s="4" t="s">
        <v>44236</v>
      </c>
      <c r="B35158" s="4" t="s">
        <v>44237</v>
      </c>
      <c r="C35158" s="5" t="str">
        <f>IFERROR(__xludf.DUMMYFUNCTION("GOOGLETRANSLATE(B35158,""en"",""fr"")"),"Un homme est vu les yeux bandés tout en tenant un bâton et deux autres autour de lui.")</f>
        <v>Un homme est vu les yeux bandés tout en tenant un bâton et deux autres autour de lui.</v>
      </c>
    </row>
    <row r="35159">
      <c r="A35159" s="4" t="s">
        <v>44236</v>
      </c>
      <c r="B35159" s="6" t="s">
        <v>44238</v>
      </c>
      <c r="C35159" s="5" t="str">
        <f>IFERROR(__xludf.DUMMYFUNCTION("GOOGLETRANSLATE(B35159,""en"",""fr"")"),"L'homme balance ensuite violemment à la pinata alors que quelqu'un le monte plus haut puis laisse tomber la pinata juste au-dessus de sa tête.")</f>
        <v>L'homme balance ensuite violemment à la pinata alors que quelqu'un le monte plus haut puis laisse tomber la pinata juste au-dessus de sa tête.</v>
      </c>
    </row>
    <row r="35160">
      <c r="A35160" s="4" t="s">
        <v>44239</v>
      </c>
      <c r="B35160" s="4" t="s">
        <v>44240</v>
      </c>
      <c r="C35160" s="5" t="str">
        <f>IFERROR(__xludf.DUMMYFUNCTION("GOOGLETRANSLATE(B35160,""en"",""fr"")"),"La vidéo parle d'un didacticiel de tennis et d'une exercice d'Edgar Giffenig.")</f>
        <v>La vidéo parle d'un didacticiel de tennis et d'une exercice d'Edgar Giffenig.</v>
      </c>
    </row>
    <row r="35161">
      <c r="A35161" s="4" t="s">
        <v>44239</v>
      </c>
      <c r="B35161" s="6" t="s">
        <v>44241</v>
      </c>
      <c r="C35161" s="5" t="str">
        <f>IFERROR(__xludf.DUMMYFUNCTION("GOOGLETRANSLATE(B35161,""en"",""fr"")"),"Il y a deux joueurs de tennis sur un terrain d'argile qui montrent comment lancer le ballon haut au partenaire.")</f>
        <v>Il y a deux joueurs de tennis sur un terrain d'argile qui montrent comment lancer le ballon haut au partenaire.</v>
      </c>
    </row>
    <row r="35162">
      <c r="A35162" s="4" t="s">
        <v>44239</v>
      </c>
      <c r="B35162" s="4" t="s">
        <v>44242</v>
      </c>
      <c r="C35162" s="5" t="str">
        <f>IFERROR(__xludf.DUMMYFUNCTION("GOOGLETRANSLATE(B35162,""en"",""fr"")"),"Le joueur mélange derrière le filet et retourne la raquette à l'envers entre les coups.")</f>
        <v>Le joueur mélange derrière le filet et retourne la raquette à l'envers entre les coups.</v>
      </c>
    </row>
    <row r="35163">
      <c r="A35163" s="4" t="s">
        <v>44239</v>
      </c>
      <c r="B35163" s="6" t="s">
        <v>44243</v>
      </c>
      <c r="C35163" s="5" t="str">
        <f>IFERROR(__xludf.DUMMYFUNCTION("GOOGLETRANSLATE(B35163,""en"",""fr"")"),"Ensuite, les joueurs démontrent un autre exercice alors qu'ils se mélangent sur le court de tennis entre les tirs et le retour des balles.")</f>
        <v>Ensuite, les joueurs démontrent un autre exercice alors qu'ils se mélangent sur le court de tennis entre les tirs et le retour des balles.</v>
      </c>
    </row>
    <row r="35164">
      <c r="A35164" s="4" t="s">
        <v>44239</v>
      </c>
      <c r="B35164" s="4" t="s">
        <v>44244</v>
      </c>
      <c r="C35164" s="5" t="str">
        <f>IFERROR(__xludf.DUMMYFUNCTION("GOOGLETRANSLATE(B35164,""en"",""fr"")"),"Le joueur rebondit le ballon avec la pointe de la poignée de la raquette.")</f>
        <v>Le joueur rebondit le ballon avec la pointe de la poignée de la raquette.</v>
      </c>
    </row>
    <row r="35165">
      <c r="A35165" s="4" t="s">
        <v>44239</v>
      </c>
      <c r="B35165" s="4" t="s">
        <v>44245</v>
      </c>
      <c r="C35165" s="5" t="str">
        <f>IFERROR(__xludf.DUMMYFUNCTION("GOOGLETRANSLATE(B35165,""en"",""fr"")"),"Ils continuent de jouer tout en démontrant l'exercice de tennis.")</f>
        <v>Ils continuent de jouer tout en démontrant l'exercice de tennis.</v>
      </c>
    </row>
    <row r="35166">
      <c r="A35166" s="4" t="s">
        <v>44246</v>
      </c>
      <c r="B35166" s="4" t="s">
        <v>44247</v>
      </c>
      <c r="C35166" s="5" t="str">
        <f>IFERROR(__xludf.DUMMYFUNCTION("GOOGLETRANSLATE(B35166,""en"",""fr"")"),"Une personne est vue en train de peler des pommes de terre dans une boîte avec une pause un peu pour parler à la caméra.")</f>
        <v>Une personne est vue en train de peler des pommes de terre dans une boîte avec une pause un peu pour parler à la caméra.</v>
      </c>
    </row>
    <row r="35167">
      <c r="A35167" s="4" t="s">
        <v>44246</v>
      </c>
      <c r="B35167" s="4" t="s">
        <v>44248</v>
      </c>
      <c r="C35167" s="5" t="str">
        <f>IFERROR(__xludf.DUMMYFUNCTION("GOOGLETRANSLATE(B35167,""en"",""fr"")"),"La personne décolle plusieurs pommes de terre et montre un bol plein de pommes de terre tout en pelage encore plus.")</f>
        <v>La personne décolle plusieurs pommes de terre et montre un bol plein de pommes de terre tout en pelage encore plus.</v>
      </c>
    </row>
    <row r="35168">
      <c r="A35168" s="4" t="s">
        <v>44249</v>
      </c>
      <c r="B35168" s="4" t="s">
        <v>44250</v>
      </c>
      <c r="C35168" s="5" t="str">
        <f>IFERROR(__xludf.DUMMYFUNCTION("GOOGLETRANSLATE(B35168,""en"",""fr"")"),"Un homme est accroupi sur le sol, nettoyant quelque chose.")</f>
        <v>Un homme est accroupi sur le sol, nettoyant quelque chose.</v>
      </c>
    </row>
    <row r="35169">
      <c r="A35169" s="4" t="s">
        <v>44249</v>
      </c>
      <c r="B35169" s="4" t="s">
        <v>44251</v>
      </c>
      <c r="C35169" s="5" t="str">
        <f>IFERROR(__xludf.DUMMYFUNCTION("GOOGLETRANSLATE(B35169,""en"",""fr"")"),"Plusieurs voitures sont garées dans un parking.")</f>
        <v>Plusieurs voitures sont garées dans un parking.</v>
      </c>
    </row>
    <row r="35170">
      <c r="A35170" s="4" t="s">
        <v>44249</v>
      </c>
      <c r="B35170" s="4" t="s">
        <v>44252</v>
      </c>
      <c r="C35170" s="5" t="str">
        <f>IFERROR(__xludf.DUMMYFUNCTION("GOOGLETRANSLATE(B35170,""en"",""fr"")"),"Les gens voient laver les voitures avec du savon et de l'eau.")</f>
        <v>Les gens voient laver les voitures avec du savon et de l'eau.</v>
      </c>
    </row>
    <row r="35171">
      <c r="A35171" s="4" t="s">
        <v>44253</v>
      </c>
      <c r="B35171" s="4" t="s">
        <v>44254</v>
      </c>
      <c r="C35171" s="5" t="str">
        <f>IFERROR(__xludf.DUMMYFUNCTION("GOOGLETRANSLATE(B35171,""en"",""fr"")"),"Trois personnes sont vues voler un cerf-volant dans un champ et le texte apparaît à l'écran.")</f>
        <v>Trois personnes sont vues voler un cerf-volant dans un champ et le texte apparaît à l'écran.</v>
      </c>
    </row>
    <row r="35172">
      <c r="A35172" s="4" t="s">
        <v>44253</v>
      </c>
      <c r="B35172" s="4" t="s">
        <v>44255</v>
      </c>
      <c r="C35172" s="5" t="str">
        <f>IFERROR(__xludf.DUMMYFUNCTION("GOOGLETRANSLATE(B35172,""en"",""fr"")"),"Une fille effrayante apparaît puis mène à des photos d'enfants volants volants.")</f>
        <v>Une fille effrayante apparaît puis mène à des photos d'enfants volants volants.</v>
      </c>
    </row>
    <row r="35173">
      <c r="A35173" s="4" t="s">
        <v>44256</v>
      </c>
      <c r="B35173" s="4" t="s">
        <v>44257</v>
      </c>
      <c r="C35173" s="5" t="str">
        <f>IFERROR(__xludf.DUMMYFUNCTION("GOOGLETRANSLATE(B35173,""en"",""fr"")"),"Un homme chamois entre en cercle et met le tir sur cette épaule.")</f>
        <v>Un homme chamois entre en cercle et met le tir sur cette épaule.</v>
      </c>
    </row>
    <row r="35174">
      <c r="A35174" s="4" t="s">
        <v>44256</v>
      </c>
      <c r="B35174" s="4" t="s">
        <v>44258</v>
      </c>
      <c r="C35174" s="5" t="str">
        <f>IFERROR(__xludf.DUMMYFUNCTION("GOOGLETRANSLATE(B35174,""en"",""fr"")"),"L'homme tourne ensuite et jette le ballon dans le champ.")</f>
        <v>L'homme tourne ensuite et jette le ballon dans le champ.</v>
      </c>
    </row>
    <row r="35175">
      <c r="A35175" s="4" t="s">
        <v>44256</v>
      </c>
      <c r="B35175" s="4" t="s">
        <v>44259</v>
      </c>
      <c r="C35175" s="5" t="str">
        <f>IFERROR(__xludf.DUMMYFUNCTION("GOOGLETRANSLATE(B35175,""en"",""fr"")"),"Une fois terminé, il met une grande chemise néon.")</f>
        <v>Une fois terminé, il met une grande chemise néon.</v>
      </c>
    </row>
    <row r="35176">
      <c r="A35176" s="4" t="s">
        <v>44256</v>
      </c>
      <c r="B35176" s="6" t="s">
        <v>44260</v>
      </c>
      <c r="C35176" s="5" t="str">
        <f>IFERROR(__xludf.DUMMYFUNCTION("GOOGLETRANSLATE(B35176,""en"",""fr"")"),"Un autre homme s'approche du Cirle et fait le samething alors que quelqu'un arrive sur le terrain et mesure jusqu'où le ballon est allé.")</f>
        <v>Un autre homme s'approche du Cirle et fait le samething alors que quelqu'un arrive sur le terrain et mesure jusqu'où le ballon est allé.</v>
      </c>
    </row>
    <row r="35177">
      <c r="A35177" s="4" t="s">
        <v>44256</v>
      </c>
      <c r="B35177" s="4" t="s">
        <v>44261</v>
      </c>
      <c r="C35177" s="5" t="str">
        <f>IFERROR(__xludf.DUMMYFUNCTION("GOOGLETRANSLATE(B35177,""en"",""fr"")"),"Les concurrents reviennent alors et commencent à se parler avant que leurs scores ne soient affichés.")</f>
        <v>Les concurrents reviennent alors et commencent à se parler avant que leurs scores ne soient affichés.</v>
      </c>
    </row>
    <row r="35178">
      <c r="A35178" s="4" t="s">
        <v>44256</v>
      </c>
      <c r="B35178" s="4" t="s">
        <v>44262</v>
      </c>
      <c r="C35178" s="5" t="str">
        <f>IFERROR(__xludf.DUMMYFUNCTION("GOOGLETRANSLATE(B35178,""en"",""fr"")"),"Une vue aérienne est ensuite fournie, puis la caméra met la foule.")</f>
        <v>Une vue aérienne est ensuite fournie, puis la caméra met la foule.</v>
      </c>
    </row>
    <row r="35179">
      <c r="A35179" s="4" t="s">
        <v>44263</v>
      </c>
      <c r="B35179" s="6" t="s">
        <v>44264</v>
      </c>
      <c r="C35179" s="5" t="str">
        <f>IFERROR(__xludf.DUMMYFUNCTION("GOOGLETRANSLATE(B35179,""en"",""fr"")"),"Un gros plan d'une table de poker est montré suivi par la caméra qui se dirige vers d'autres tables de la région ainsi que les gens qui jouent.")</f>
        <v>Un gros plan d'une table de poker est montré suivi par la caméra qui se dirige vers d'autres tables de la région ainsi que les gens qui jouent.</v>
      </c>
    </row>
    <row r="35180">
      <c r="A35180" s="4" t="s">
        <v>44263</v>
      </c>
      <c r="B35180" s="4" t="s">
        <v>44265</v>
      </c>
      <c r="C35180" s="5" t="str">
        <f>IFERROR(__xludf.DUMMYFUNCTION("GOOGLETRANSLATE(B35180,""en"",""fr"")"),"Plusieurs clips sont représentés de personnes assises aux tables qui jouent ainsi que de rire de la caméra.")</f>
        <v>Plusieurs clips sont représentés de personnes assises aux tables qui jouent ainsi que de rire de la caméra.</v>
      </c>
    </row>
    <row r="35181">
      <c r="A35181" s="4" t="s">
        <v>44263</v>
      </c>
      <c r="B35181" s="6" t="s">
        <v>44266</v>
      </c>
      <c r="C35181" s="5" t="str">
        <f>IFERROR(__xludf.DUMMYFUNCTION("GOOGLETRANSLATE(B35181,""en"",""fr"")"),"D'autres images sont présentées sur les personnes du casino ainsi que sur la vidéo qui se promène dans la région.")</f>
        <v>D'autres images sont présentées sur les personnes du casino ainsi que sur la vidéo qui se promène dans la région.</v>
      </c>
    </row>
    <row r="35182">
      <c r="A35182" s="4" t="s">
        <v>44267</v>
      </c>
      <c r="B35182" s="4" t="s">
        <v>44268</v>
      </c>
      <c r="C35182" s="5" t="str">
        <f>IFERROR(__xludf.DUMMYFUNCTION("GOOGLETRANSLATE(B35182,""en"",""fr"")"),"Cette fille est montrée en zoomant sur les dents des gens, les yeux et d'autres choses sur leur visage.")</f>
        <v>Cette fille est montrée en zoomant sur les dents des gens, les yeux et d'autres choses sur leur visage.</v>
      </c>
    </row>
    <row r="35183">
      <c r="A35183" s="4" t="s">
        <v>44267</v>
      </c>
      <c r="B35183" s="4" t="s">
        <v>44269</v>
      </c>
      <c r="C35183" s="5" t="str">
        <f>IFERROR(__xludf.DUMMYFUNCTION("GOOGLETRANSLATE(B35183,""en"",""fr"")"),"Ensuite, elle nous montre que le jeu de Dodge Ball va.")</f>
        <v>Ensuite, elle nous montre que le jeu de Dodge Ball va.</v>
      </c>
    </row>
    <row r="35184">
      <c r="A35184" s="4" t="s">
        <v>44270</v>
      </c>
      <c r="B35184" s="4" t="s">
        <v>44271</v>
      </c>
      <c r="C35184" s="5" t="str">
        <f>IFERROR(__xludf.DUMMYFUNCTION("GOOGLETRANSLATE(B35184,""en"",""fr"")"),"Un homme marche sur un champ devant une foule, tenant une lourde balle en l'air.")</f>
        <v>Un homme marche sur un champ devant une foule, tenant une lourde balle en l'air.</v>
      </c>
    </row>
    <row r="35185">
      <c r="A35185" s="4" t="s">
        <v>44270</v>
      </c>
      <c r="B35185" s="4" t="s">
        <v>44272</v>
      </c>
      <c r="C35185" s="5" t="str">
        <f>IFERROR(__xludf.DUMMYFUNCTION("GOOGLETRANSLATE(B35185,""en"",""fr"")"),"Il tourne, puis lance le ballon aussi loin que possible.")</f>
        <v>Il tourne, puis lance le ballon aussi loin que possible.</v>
      </c>
    </row>
    <row r="35186">
      <c r="A35186" s="4" t="s">
        <v>44270</v>
      </c>
      <c r="B35186" s="4" t="s">
        <v>44273</v>
      </c>
      <c r="C35186" s="5" t="str">
        <f>IFERROR(__xludf.DUMMYFUNCTION("GOOGLETRANSLATE(B35186,""en"",""fr"")"),"Une femme et plusieurs autres suivent, faisant de même.")</f>
        <v>Une femme et plusieurs autres suivent, faisant de même.</v>
      </c>
    </row>
    <row r="35187">
      <c r="A35187" s="4" t="s">
        <v>44270</v>
      </c>
      <c r="B35187" s="4" t="s">
        <v>44274</v>
      </c>
      <c r="C35187" s="5" t="str">
        <f>IFERROR(__xludf.DUMMYFUNCTION("GOOGLETRANSLATE(B35187,""en"",""fr"")"),"Les gagnants célèbrent, brandissant des drapeaux et serrant avec joie.")</f>
        <v>Les gagnants célèbrent, brandissant des drapeaux et serrant avec joie.</v>
      </c>
    </row>
    <row r="35188">
      <c r="A35188" s="4" t="s">
        <v>44275</v>
      </c>
      <c r="B35188" s="6" t="s">
        <v>44276</v>
      </c>
      <c r="C35188" s="5" t="str">
        <f>IFERROR(__xludf.DUMMYFUNCTION("GOOGLETRANSLATE(B35188,""en"",""fr"")"),"Un homme est vu nager dans une piscine tenant divers objets dans ses mains et montrant comment les mettre.")</f>
        <v>Un homme est vu nager dans une piscine tenant divers objets dans ses mains et montrant comment les mettre.</v>
      </c>
    </row>
    <row r="35189">
      <c r="A35189" s="4" t="s">
        <v>44275</v>
      </c>
      <c r="B35189" s="4" t="s">
        <v>44277</v>
      </c>
      <c r="C35189" s="5" t="str">
        <f>IFERROR(__xludf.DUMMYFUNCTION("GOOGLETRANSLATE(B35189,""en"",""fr"")"),"Il nage ensuite la piscine avec un coup de poitrine jusqu'au bout et remonte.")</f>
        <v>Il nage ensuite la piscine avec un coup de poitrine jusqu'au bout et remonte.</v>
      </c>
    </row>
    <row r="35190">
      <c r="A35190" s="4" t="s">
        <v>44278</v>
      </c>
      <c r="B35190" s="4" t="s">
        <v>44279</v>
      </c>
      <c r="C35190" s="5" t="str">
        <f>IFERROR(__xludf.DUMMYFUNCTION("GOOGLETRANSLATE(B35190,""en"",""fr"")"),"Une fille tenant une guitare parle à la caméra.")</f>
        <v>Une fille tenant une guitare parle à la caméra.</v>
      </c>
    </row>
    <row r="35191">
      <c r="A35191" s="4" t="s">
        <v>44278</v>
      </c>
      <c r="B35191" s="4" t="s">
        <v>44280</v>
      </c>
      <c r="C35191" s="5" t="str">
        <f>IFERROR(__xludf.DUMMYFUNCTION("GOOGLETRANSLATE(B35191,""en"",""fr"")"),"La fille joue de la guitare alors qu'elle s'assoit sur le canapé.")</f>
        <v>La fille joue de la guitare alors qu'elle s'assoit sur le canapé.</v>
      </c>
    </row>
    <row r="35192">
      <c r="A35192" s="4" t="s">
        <v>44278</v>
      </c>
      <c r="B35192" s="4" t="s">
        <v>44281</v>
      </c>
      <c r="C35192" s="5" t="str">
        <f>IFERROR(__xludf.DUMMYFUNCTION("GOOGLETRANSLATE(B35192,""en"",""fr"")"),"La fille cesse de jouer et parle à nouveau à la caméra tout en démontrant.")</f>
        <v>La fille cesse de jouer et parle à nouveau à la caméra tout en démontrant.</v>
      </c>
    </row>
    <row r="35193">
      <c r="A35193" s="4" t="s">
        <v>44282</v>
      </c>
      <c r="B35193" s="4" t="s">
        <v>44283</v>
      </c>
      <c r="C35193" s="5" t="str">
        <f>IFERROR(__xludf.DUMMYFUNCTION("GOOGLETRANSLATE(B35193,""en"",""fr"")"),"La vidéo se déroule dans une arène de gymnastique.")</f>
        <v>La vidéo se déroule dans une arène de gymnastique.</v>
      </c>
    </row>
    <row r="35194">
      <c r="A35194" s="4" t="s">
        <v>44282</v>
      </c>
      <c r="B35194" s="4" t="s">
        <v>44284</v>
      </c>
      <c r="C35194" s="5" t="str">
        <f>IFERROR(__xludf.DUMMYFUNCTION("GOOGLETRANSLATE(B35194,""en"",""fr"")"),"Un homme effectue une gymnastique sur une poutre tandis que plusieurs autres regardent.")</f>
        <v>Un homme effectue une gymnastique sur une poutre tandis que plusieurs autres regardent.</v>
      </c>
    </row>
    <row r="35195">
      <c r="A35195" s="4" t="s">
        <v>44282</v>
      </c>
      <c r="B35195" s="4" t="s">
        <v>44285</v>
      </c>
      <c r="C35195" s="5" t="str">
        <f>IFERROR(__xludf.DUMMYFUNCTION("GOOGLETRANSLATE(B35195,""en"",""fr"")"),"L'homme commence sur le faisceau à l'envers.")</f>
        <v>L'homme commence sur le faisceau à l'envers.</v>
      </c>
    </row>
    <row r="35196">
      <c r="A35196" s="4" t="s">
        <v>44282</v>
      </c>
      <c r="B35196" s="4" t="s">
        <v>44286</v>
      </c>
      <c r="C35196" s="5" t="str">
        <f>IFERROR(__xludf.DUMMYFUNCTION("GOOGLETRANSLATE(B35196,""en"",""fr"")"),"Il fait ensuite plusieurs flips.")</f>
        <v>Il fait ensuite plusieurs flips.</v>
      </c>
    </row>
    <row r="35197">
      <c r="A35197" s="4" t="s">
        <v>44282</v>
      </c>
      <c r="B35197" s="4" t="s">
        <v>44287</v>
      </c>
      <c r="C35197" s="5" t="str">
        <f>IFERROR(__xludf.DUMMYFUNCTION("GOOGLETRANSLATE(B35197,""en"",""fr"")"),"La vidéo se termine alors qu'il effectue un retournement final et saute du faisceau.")</f>
        <v>La vidéo se termine alors qu'il effectue un retournement final et saute du faisceau.</v>
      </c>
    </row>
    <row r="35198">
      <c r="A35198" s="4" t="s">
        <v>44288</v>
      </c>
      <c r="B35198" s="4" t="s">
        <v>44289</v>
      </c>
      <c r="C35198" s="5" t="str">
        <f>IFERROR(__xludf.DUMMYFUNCTION("GOOGLETRANSLATE(B35198,""en"",""fr"")"),"Plusieurs clips de joueurs de cricket sont affichés.")</f>
        <v>Plusieurs clips de joueurs de cricket sont affichés.</v>
      </c>
    </row>
    <row r="35199">
      <c r="A35199" s="4" t="s">
        <v>44288</v>
      </c>
      <c r="B35199" s="4" t="s">
        <v>44290</v>
      </c>
      <c r="C35199" s="5" t="str">
        <f>IFERROR(__xludf.DUMMYFUNCTION("GOOGLETRANSLATE(B35199,""en"",""fr"")"),"En eux, quelqu'un lance une balle sur un joueur.")</f>
        <v>En eux, quelqu'un lance une balle sur un joueur.</v>
      </c>
    </row>
    <row r="35200">
      <c r="A35200" s="4" t="s">
        <v>44288</v>
      </c>
      <c r="B35200" s="4" t="s">
        <v>44291</v>
      </c>
      <c r="C35200" s="5" t="str">
        <f>IFERROR(__xludf.DUMMYFUNCTION("GOOGLETRANSLATE(B35200,""en"",""fr"")"),"Un autre joueur frappe le ballon avec sa batte.")</f>
        <v>Un autre joueur frappe le ballon avec sa batte.</v>
      </c>
    </row>
    <row r="35201">
      <c r="A35201" s="4" t="s">
        <v>44288</v>
      </c>
      <c r="B35201" s="4" t="s">
        <v>44292</v>
      </c>
      <c r="C35201" s="5" t="str">
        <f>IFERROR(__xludf.DUMMYFUNCTION("GOOGLETRANSLATE(B35201,""en"",""fr"")"),"Un autre joueur attrape ensuite le ballon.")</f>
        <v>Un autre joueur attrape ensuite le ballon.</v>
      </c>
    </row>
    <row r="35202">
      <c r="A35202" s="4" t="s">
        <v>44293</v>
      </c>
      <c r="B35202" s="6" t="s">
        <v>44294</v>
      </c>
      <c r="C35202" s="5" t="str">
        <f>IFERROR(__xludf.DUMMYFUNCTION("GOOGLETRANSLATE(B35202,""en"",""fr"")"),"Une femme est vue en parlant à la caméra et mène à son ponçage sur une planche à plusieurs endroits.")</f>
        <v>Une femme est vue en parlant à la caméra et mène à son ponçage sur une planche à plusieurs endroits.</v>
      </c>
    </row>
    <row r="35203">
      <c r="A35203" s="4" t="s">
        <v>44293</v>
      </c>
      <c r="B35203" s="4" t="s">
        <v>44295</v>
      </c>
      <c r="C35203" s="5" t="str">
        <f>IFERROR(__xludf.DUMMYFUNCTION("GOOGLETRANSLATE(B35203,""en"",""fr"")"),"Elle ponce ensuite plus d'objets et montre une grande sélection d'outils qu'elle a.")</f>
        <v>Elle ponce ensuite plus d'objets et montre une grande sélection d'outils qu'elle a.</v>
      </c>
    </row>
    <row r="35204">
      <c r="A35204" s="4" t="s">
        <v>44293</v>
      </c>
      <c r="B35204" s="4" t="s">
        <v>44296</v>
      </c>
      <c r="C35204" s="5" t="str">
        <f>IFERROR(__xludf.DUMMYFUNCTION("GOOGLETRANSLATE(B35204,""en"",""fr"")"),"Elle martèle sur les côtés de la planche et se termine par sa peinture de la planche.")</f>
        <v>Elle martèle sur les côtés de la planche et se termine par sa peinture de la planche.</v>
      </c>
    </row>
    <row r="35205">
      <c r="A35205" s="4" t="s">
        <v>44297</v>
      </c>
      <c r="B35205" s="6" t="s">
        <v>44298</v>
      </c>
      <c r="C35205" s="5" t="str">
        <f>IFERROR(__xludf.DUMMYFUNCTION("GOOGLETRANSLATE(B35205,""en"",""fr"")"),"L'équipe de tête de la joie s'est précipitée vers la scène, tandis que dans le public, leurs coéquipiers, qui portent des uniformes rouges et blancs, applaudissent.")</f>
        <v>L'équipe de tête de la joie s'est précipitée vers la scène, tandis que dans le public, leurs coéquipiers, qui portent des uniformes rouges et blancs, applaudissent.</v>
      </c>
    </row>
    <row r="35206">
      <c r="A35206" s="4" t="s">
        <v>44297</v>
      </c>
      <c r="B35206" s="6" t="s">
        <v>44299</v>
      </c>
      <c r="C35206" s="5" t="str">
        <f>IFERROR(__xludf.DUMMYFUNCTION("GOOGLETRANSLATE(B35206,""en"",""fr"")"),"L'équipe a commencé sa danse de la joie, où les femmes se levèrent sur les mains des hommes, ils ont fait des roues, sautés en l'air, maintenu des bannières dans les airs, sauté haut dans les airs et sont tombés sur les bras de leur coéquipier.")</f>
        <v>L'équipe a commencé sa danse de la joie, où les femmes se levèrent sur les mains des hommes, ils ont fait des roues, sautés en l'air, maintenu des bannières dans les airs, sauté haut dans les airs et sont tombés sur les bras de leur coéquipier.</v>
      </c>
    </row>
    <row r="35207">
      <c r="A35207" s="4" t="s">
        <v>44300</v>
      </c>
      <c r="B35207" s="4" t="s">
        <v>44301</v>
      </c>
      <c r="C35207" s="5" t="str">
        <f>IFERROR(__xludf.DUMMYFUNCTION("GOOGLETRANSLATE(B35207,""en"",""fr"")"),"La vidéo des années 1980 est montrée.")</f>
        <v>La vidéo des années 1980 est montrée.</v>
      </c>
    </row>
    <row r="35208">
      <c r="A35208" s="4" t="s">
        <v>44300</v>
      </c>
      <c r="B35208" s="4" t="s">
        <v>44302</v>
      </c>
      <c r="C35208" s="5" t="str">
        <f>IFERROR(__xludf.DUMMYFUNCTION("GOOGLETRANSLATE(B35208,""en"",""fr"")"),"Les célébrités jouent à un jeu de tir à la tir à l'extérieur.")</f>
        <v>Les célébrités jouent à un jeu de tir à la tir à l'extérieur.</v>
      </c>
    </row>
    <row r="35209">
      <c r="A35209" s="4" t="s">
        <v>44300</v>
      </c>
      <c r="B35209" s="4" t="s">
        <v>44303</v>
      </c>
      <c r="C35209" s="5" t="str">
        <f>IFERROR(__xludf.DUMMYFUNCTION("GOOGLETRANSLATE(B35209,""en"",""fr"")"),"L'équipe avec Lou Ferrigno qui joue dessus remporte le concours.")</f>
        <v>L'équipe avec Lou Ferrigno qui joue dessus remporte le concours.</v>
      </c>
    </row>
    <row r="35210">
      <c r="A35210" s="4" t="s">
        <v>44300</v>
      </c>
      <c r="B35210" s="4" t="s">
        <v>44304</v>
      </c>
      <c r="C35210" s="5" t="str">
        <f>IFERROR(__xludf.DUMMYFUNCTION("GOOGLETRANSLATE(B35210,""en"",""fr"")"),"Ferrigno et d'autres célébrités sont interviewés.")</f>
        <v>Ferrigno et d'autres célébrités sont interviewés.</v>
      </c>
    </row>
    <row r="35211">
      <c r="A35211" s="4" t="s">
        <v>44305</v>
      </c>
      <c r="B35211" s="4" t="s">
        <v>44306</v>
      </c>
      <c r="C35211" s="5" t="str">
        <f>IFERROR(__xludf.DUMMYFUNCTION("GOOGLETRANSLATE(B35211,""en"",""fr"")"),"Un groupe de filles est à l'extérieur sous une tente.")</f>
        <v>Un groupe de filles est à l'extérieur sous une tente.</v>
      </c>
    </row>
    <row r="35212">
      <c r="A35212" s="4" t="s">
        <v>44305</v>
      </c>
      <c r="B35212" s="4" t="s">
        <v>44307</v>
      </c>
      <c r="C35212" s="5" t="str">
        <f>IFERROR(__xludf.DUMMYFUNCTION("GOOGLETRANSLATE(B35212,""en"",""fr"")"),"Une fille essuie une assiette jaune avec une serviette.")</f>
        <v>Une fille essuie une assiette jaune avec une serviette.</v>
      </c>
    </row>
    <row r="35213">
      <c r="A35213" s="4" t="s">
        <v>44305</v>
      </c>
      <c r="B35213" s="4" t="s">
        <v>44308</v>
      </c>
      <c r="C35213" s="5" t="str">
        <f>IFERROR(__xludf.DUMMYFUNCTION("GOOGLETRANSLATE(B35213,""en"",""fr"")"),"Trois filles lavent la vaisselle dans de grandes baignoires.")</f>
        <v>Trois filles lavent la vaisselle dans de grandes baignoires.</v>
      </c>
    </row>
    <row r="35214">
      <c r="A35214" s="4" t="s">
        <v>44309</v>
      </c>
      <c r="B35214" s="6" t="s">
        <v>44310</v>
      </c>
      <c r="C35214" s="5" t="str">
        <f>IFERROR(__xludf.DUMMYFUNCTION("GOOGLETRANSLATE(B35214,""en"",""fr"")"),"Une femme est vue en parlant à la caméra et mène à elle en mettant plusieurs ingrédients dans un pot Mason.")</f>
        <v>Une femme est vue en parlant à la caméra et mène à elle en mettant plusieurs ingrédients dans un pot Mason.</v>
      </c>
    </row>
    <row r="35215">
      <c r="A35215" s="4" t="s">
        <v>44309</v>
      </c>
      <c r="B35215" s="4" t="s">
        <v>44311</v>
      </c>
      <c r="C35215" s="5" t="str">
        <f>IFERROR(__xludf.DUMMYFUNCTION("GOOGLETRANSLATE(B35215,""en"",""fr"")"),"La femme utilise des pinces pour superposer des objets dans le pot, puis met un couvercle sur le dessus.")</f>
        <v>La femme utilise des pinces pour superposer des objets dans le pot, puis met un couvercle sur le dessus.</v>
      </c>
    </row>
    <row r="35216">
      <c r="A35216" s="4" t="s">
        <v>44309</v>
      </c>
      <c r="B35216" s="4" t="s">
        <v>44312</v>
      </c>
      <c r="C35216" s="5" t="str">
        <f>IFERROR(__xludf.DUMMYFUNCTION("GOOGLETRANSLATE(B35216,""en"",""fr"")"),"La femme met un ruban sur le côté ainsi qu'une étiquette et sourit à la caméra.")</f>
        <v>La femme met un ruban sur le côté ainsi qu'une étiquette et sourit à la caméra.</v>
      </c>
    </row>
    <row r="35217">
      <c r="A35217" s="4" t="s">
        <v>44313</v>
      </c>
      <c r="B35217" s="4" t="s">
        <v>44314</v>
      </c>
      <c r="C35217" s="5" t="str">
        <f>IFERROR(__xludf.DUMMYFUNCTION("GOOGLETRANSLATE(B35217,""en"",""fr"")"),"Les individus font de l'exercice sur divers équipements.")</f>
        <v>Les individus font de l'exercice sur divers équipements.</v>
      </c>
    </row>
    <row r="35218">
      <c r="A35218" s="4" t="s">
        <v>44313</v>
      </c>
      <c r="B35218" s="4" t="s">
        <v>44315</v>
      </c>
      <c r="C35218" s="5" t="str">
        <f>IFERROR(__xludf.DUMMYFUNCTION("GOOGLETRANSLATE(B35218,""en"",""fr"")"),"Un mâle et une femme se déplacent d'avant en arrière.")</f>
        <v>Un mâle et une femme se déplacent d'avant en arrière.</v>
      </c>
    </row>
    <row r="35219">
      <c r="A35219" s="4" t="s">
        <v>44316</v>
      </c>
      <c r="B35219" s="4" t="s">
        <v>44317</v>
      </c>
      <c r="C35219" s="5" t="str">
        <f>IFERROR(__xludf.DUMMYFUNCTION("GOOGLETRANSLATE(B35219,""en"",""fr"")"),"Il y a un couple d'âge moyen démontrant comment faire la danse de la salle de bal.")</f>
        <v>Il y a un couple d'âge moyen démontrant comment faire la danse de la salle de bal.</v>
      </c>
    </row>
    <row r="35220">
      <c r="A35220" s="4" t="s">
        <v>44316</v>
      </c>
      <c r="B35220" s="4" t="s">
        <v>44318</v>
      </c>
      <c r="C35220" s="5" t="str">
        <f>IFERROR(__xludf.DUMMYFUNCTION("GOOGLETRANSLATE(B35220,""en"",""fr"")"),"Ils sont dans une pièce avec de grands miroirs sur un mur et des planchers de bois franc.")</f>
        <v>Ils sont dans une pièce avec de grands miroirs sur un mur et des planchers de bois franc.</v>
      </c>
    </row>
    <row r="35221">
      <c r="A35221" s="4" t="s">
        <v>44316</v>
      </c>
      <c r="B35221" s="4" t="s">
        <v>44319</v>
      </c>
      <c r="C35221" s="5" t="str">
        <f>IFERROR(__xludf.DUMMYFUNCTION("GOOGLETRANSLATE(B35221,""en"",""fr"")"),"Ils montrent comment déplacer le pied d'avant en arrière en rythme tout en faisant tournoyer leurs hanches.")</f>
        <v>Ils montrent comment déplacer le pied d'avant en arrière en rythme tout en faisant tournoyer leurs hanches.</v>
      </c>
    </row>
    <row r="35222">
      <c r="A35222" s="4" t="s">
        <v>44320</v>
      </c>
      <c r="B35222" s="4" t="s">
        <v>44321</v>
      </c>
      <c r="C35222" s="5" t="str">
        <f>IFERROR(__xludf.DUMMYFUNCTION("GOOGLETRANSLATE(B35222,""en"",""fr"")"),"Un cow-boy sort d'une porte sur un cheval.")</f>
        <v>Un cow-boy sort d'une porte sur un cheval.</v>
      </c>
    </row>
    <row r="35223">
      <c r="A35223" s="4" t="s">
        <v>44320</v>
      </c>
      <c r="B35223" s="4" t="s">
        <v>44322</v>
      </c>
      <c r="C35223" s="5" t="str">
        <f>IFERROR(__xludf.DUMMYFUNCTION("GOOGLETRANSLATE(B35223,""en"",""fr"")"),"Il utilise un lasso pour serrer un mollet.")</f>
        <v>Il utilise un lasso pour serrer un mollet.</v>
      </c>
    </row>
    <row r="35224">
      <c r="A35224" s="4" t="s">
        <v>44320</v>
      </c>
      <c r="B35224" s="4" t="s">
        <v>44323</v>
      </c>
      <c r="C35224" s="5" t="str">
        <f>IFERROR(__xludf.DUMMYFUNCTION("GOOGLETRANSLATE(B35224,""en"",""fr"")"),"Il essaie d'attacher le veau, perdant sa corde.")</f>
        <v>Il essaie d'attacher le veau, perdant sa corde.</v>
      </c>
    </row>
    <row r="35225">
      <c r="A35225" s="4" t="s">
        <v>44324</v>
      </c>
      <c r="B35225" s="4" t="s">
        <v>44325</v>
      </c>
      <c r="C35225" s="5" t="str">
        <f>IFERROR(__xludf.DUMMYFUNCTION("GOOGLETRANSLATE(B35225,""en"",""fr"")"),"Une fille portant un chemisier noir décrit comment cuire dans une cuisine.")</f>
        <v>Une fille portant un chemisier noir décrit comment cuire dans une cuisine.</v>
      </c>
    </row>
    <row r="35226">
      <c r="A35226" s="4" t="s">
        <v>44324</v>
      </c>
      <c r="B35226" s="4" t="s">
        <v>44326</v>
      </c>
      <c r="C35226" s="5" t="str">
        <f>IFERROR(__xludf.DUMMYFUNCTION("GOOGLETRANSLATE(B35226,""en"",""fr"")"),"Le boulanger verse de la farine dans un bol clair à l'aide d'une tasse de mesure.")</f>
        <v>Le boulanger verse de la farine dans un bol clair à l'aide d'une tasse de mesure.</v>
      </c>
    </row>
    <row r="35227">
      <c r="A35227" s="4" t="s">
        <v>44324</v>
      </c>
      <c r="B35227" s="6" t="s">
        <v>44327</v>
      </c>
      <c r="C35227" s="5" t="str">
        <f>IFERROR(__xludf.DUMMYFUNCTION("GOOGLETRANSLATE(B35227,""en"",""fr"")"),"Le boulanger sort ensuite quatre cuillères à soupe de niveau d'un récipient jaune de fécule de maïs et le publie au bol de farine.")</f>
        <v>Le boulanger sort ensuite quatre cuillères à soupe de niveau d'un récipient jaune de fécule de maïs et le publie au bol de farine.</v>
      </c>
    </row>
    <row r="35228">
      <c r="A35228" s="4" t="s">
        <v>44324</v>
      </c>
      <c r="B35228" s="6" t="s">
        <v>44328</v>
      </c>
      <c r="C35228" s="5" t="str">
        <f>IFERROR(__xludf.DUMMYFUNCTION("GOOGLETRANSLATE(B35228,""en"",""fr"")"),"Le boulanger verse la farine et le mélange de fécule de maïs dans un tamis et commence à tamiser les ingrédients trois fois.")</f>
        <v>Le boulanger verse la farine et le mélange de fécule de maïs dans un tamis et commence à tamiser les ingrédients trois fois.</v>
      </c>
    </row>
    <row r="35229">
      <c r="A35229" s="4" t="s">
        <v>44329</v>
      </c>
      <c r="B35229" s="4" t="s">
        <v>44330</v>
      </c>
      <c r="C35229" s="5" t="str">
        <f>IFERROR(__xludf.DUMMYFUNCTION("GOOGLETRANSLATE(B35229,""en"",""fr"")"),"Une personne est vue couler sur une longue piste tout en tenant un poteau.")</f>
        <v>Une personne est vue couler sur une longue piste tout en tenant un poteau.</v>
      </c>
    </row>
    <row r="35230">
      <c r="A35230" s="4" t="s">
        <v>44329</v>
      </c>
      <c r="B35230" s="4" t="s">
        <v>44331</v>
      </c>
      <c r="C35230" s="5" t="str">
        <f>IFERROR(__xludf.DUMMYFUNCTION("GOOGLETRANSLATE(B35230,""en"",""fr"")"),"La personne pole volts sur le faisceau sur un tapis et est à nouveau représentée au ralenti.")</f>
        <v>La personne pole volts sur le faisceau sur un tapis et est à nouveau représentée au ralenti.</v>
      </c>
    </row>
    <row r="35231">
      <c r="A35231" s="4" t="s">
        <v>44332</v>
      </c>
      <c r="B35231" s="4" t="s">
        <v>44333</v>
      </c>
      <c r="C35231" s="5" t="str">
        <f>IFERROR(__xludf.DUMMYFUNCTION("GOOGLETRANSLATE(B35231,""en"",""fr"")"),"Un jeune homme met le rouge à lèvres sur ses lèvres.")</f>
        <v>Un jeune homme met le rouge à lèvres sur ses lèvres.</v>
      </c>
    </row>
    <row r="35232">
      <c r="A35232" s="4" t="s">
        <v>44332</v>
      </c>
      <c r="B35232" s="4" t="s">
        <v>44334</v>
      </c>
      <c r="C35232" s="5" t="str">
        <f>IFERROR(__xludf.DUMMYFUNCTION("GOOGLETRANSLATE(B35232,""en"",""fr"")"),"Deux journalistes parlent dans un téléviseur avec le public.")</f>
        <v>Deux journalistes parlent dans un téléviseur avec le public.</v>
      </c>
    </row>
    <row r="35233">
      <c r="A35233" s="4" t="s">
        <v>44332</v>
      </c>
      <c r="B35233" s="4" t="s">
        <v>44335</v>
      </c>
      <c r="C35233" s="5" t="str">
        <f>IFERROR(__xludf.DUMMYFUNCTION("GOOGLETRANSLATE(B35233,""en"",""fr"")"),"Ensuite, le jeune homme se brosse le visage, puis les gens du public parlent.")</f>
        <v>Ensuite, le jeune homme se brosse le visage, puis les gens du public parlent.</v>
      </c>
    </row>
    <row r="35234">
      <c r="A35234" s="4" t="s">
        <v>44332</v>
      </c>
      <c r="B35234" s="4" t="s">
        <v>44336</v>
      </c>
      <c r="C35234" s="5" t="str">
        <f>IFERROR(__xludf.DUMMYFUNCTION("GOOGLETRANSLATE(B35234,""en"",""fr"")"),"Après, les jeunes hommes montrent son visage avec un maquillage.")</f>
        <v>Après, les jeunes hommes montrent son visage avec un maquillage.</v>
      </c>
    </row>
    <row r="35235">
      <c r="A35235" s="4" t="s">
        <v>44337</v>
      </c>
      <c r="B35235" s="4" t="s">
        <v>44338</v>
      </c>
      <c r="C35235" s="5" t="str">
        <f>IFERROR(__xludf.DUMMYFUNCTION("GOOGLETRANSLATE(B35235,""en"",""fr"")"),"Un homme vêtu de fatigues de l'armée joue à la cornemuse tandis que d'autres personnes regardent.")</f>
        <v>Un homme vêtu de fatigues de l'armée joue à la cornemuse tandis que d'autres personnes regardent.</v>
      </c>
    </row>
    <row r="35236">
      <c r="A35236" s="4" t="s">
        <v>44337</v>
      </c>
      <c r="B35236" s="4" t="s">
        <v>44339</v>
      </c>
      <c r="C35236" s="5" t="str">
        <f>IFERROR(__xludf.DUMMYFUNCTION("GOOGLETRANSLATE(B35236,""en"",""fr"")"),"Une femme est montrée en arrière-plan dansant pendant qu'il joue.")</f>
        <v>Une femme est montrée en arrière-plan dansant pendant qu'il joue.</v>
      </c>
    </row>
    <row r="35237">
      <c r="A35237" s="4" t="s">
        <v>44337</v>
      </c>
      <c r="B35237" s="4" t="s">
        <v>44340</v>
      </c>
      <c r="C35237" s="5" t="str">
        <f>IFERROR(__xludf.DUMMYFUNCTION("GOOGLETRANSLATE(B35237,""en"",""fr"")"),"Quand il a fini de prétendre, il rit et plaisante avec les autres personnes.")</f>
        <v>Quand il a fini de prétendre, il rit et plaisante avec les autres personnes.</v>
      </c>
    </row>
    <row r="35238">
      <c r="A35238" s="4" t="s">
        <v>44341</v>
      </c>
      <c r="B35238" s="4" t="s">
        <v>44342</v>
      </c>
      <c r="C35238" s="5" t="str">
        <f>IFERROR(__xludf.DUMMYFUNCTION("GOOGLETRANSLATE(B35238,""en"",""fr"")"),"Un homme fait un tatouage sur la taille d'une femme utilisant une aiguille.")</f>
        <v>Un homme fait un tatouage sur la taille d'une femme utilisant une aiguille.</v>
      </c>
    </row>
    <row r="35239">
      <c r="A35239" s="4" t="s">
        <v>44341</v>
      </c>
      <c r="B35239" s="4" t="s">
        <v>44343</v>
      </c>
      <c r="C35239" s="5" t="str">
        <f>IFERROR(__xludf.DUMMYFUNCTION("GOOGLETRANSLATE(B35239,""en"",""fr"")"),"L'homme nettoie la zone du tatouage avec un tissu.")</f>
        <v>L'homme nettoie la zone du tatouage avec un tissu.</v>
      </c>
    </row>
    <row r="35240">
      <c r="A35240" s="4" t="s">
        <v>44341</v>
      </c>
      <c r="B35240" s="4" t="s">
        <v>44344</v>
      </c>
      <c r="C35240" s="5" t="str">
        <f>IFERROR(__xludf.DUMMYFUNCTION("GOOGLETRANSLATE(B35240,""en"",""fr"")"),"L'homme continue de faire le tatouage et le nettoyage.")</f>
        <v>L'homme continue de faire le tatouage et le nettoyage.</v>
      </c>
    </row>
    <row r="35241">
      <c r="A35241" s="4" t="s">
        <v>44345</v>
      </c>
      <c r="B35241" s="4" t="s">
        <v>44346</v>
      </c>
      <c r="C35241" s="5" t="str">
        <f>IFERROR(__xludf.DUMMYFUNCTION("GOOGLETRANSLATE(B35241,""en"",""fr"")"),"L'image et l'étiquette du présentateur ou du styliste sont affichées.")</f>
        <v>L'image et l'étiquette du présentateur ou du styliste sont affichées.</v>
      </c>
    </row>
    <row r="35242">
      <c r="A35242" s="4" t="s">
        <v>44345</v>
      </c>
      <c r="B35242" s="4" t="s">
        <v>44347</v>
      </c>
      <c r="C35242" s="5" t="str">
        <f>IFERROR(__xludf.DUMMYFUNCTION("GOOGLETRANSLATE(B35242,""en"",""fr"")"),"Le présentateur stylise les cheveux d'une clientèle.")</f>
        <v>Le présentateur stylise les cheveux d'une clientèle.</v>
      </c>
    </row>
    <row r="35243">
      <c r="A35243" s="4" t="s">
        <v>44345</v>
      </c>
      <c r="B35243" s="4" t="s">
        <v>44348</v>
      </c>
      <c r="C35243" s="5" t="str">
        <f>IFERROR(__xludf.DUMMYFUNCTION("GOOGLETRANSLATE(B35243,""en"",""fr"")"),"Le présentateur parle directement dans la caméra.")</f>
        <v>Le présentateur parle directement dans la caméra.</v>
      </c>
    </row>
    <row r="35244">
      <c r="A35244" s="4" t="s">
        <v>44345</v>
      </c>
      <c r="B35244" s="4" t="s">
        <v>44349</v>
      </c>
      <c r="C35244" s="5" t="str">
        <f>IFERROR(__xludf.DUMMYFUNCTION("GOOGLETRANSLATE(B35244,""en"",""fr"")"),"Le client tourne lentement sur une chaise pour présenter ses cheveux.")</f>
        <v>Le client tourne lentement sur une chaise pour présenter ses cheveux.</v>
      </c>
    </row>
    <row r="35245">
      <c r="A35245" s="4" t="s">
        <v>44345</v>
      </c>
      <c r="B35245" s="4" t="s">
        <v>44350</v>
      </c>
      <c r="C35245" s="5" t="str">
        <f>IFERROR(__xludf.DUMMYFUNCTION("GOOGLETRANSLATE(B35245,""en"",""fr"")"),"Le styliste assouplit les cheveux du client.")</f>
        <v>Le styliste assouplit les cheveux du client.</v>
      </c>
    </row>
    <row r="35246">
      <c r="A35246" s="4" t="s">
        <v>44345</v>
      </c>
      <c r="B35246" s="4" t="s">
        <v>44351</v>
      </c>
      <c r="C35246" s="5" t="str">
        <f>IFERROR(__xludf.DUMMYFUNCTION("GOOGLETRANSLATE(B35246,""en"",""fr"")"),"Le styliste part les cheveux des clients.")</f>
        <v>Le styliste part les cheveux des clients.</v>
      </c>
    </row>
    <row r="35247">
      <c r="A35247" s="4" t="s">
        <v>44345</v>
      </c>
      <c r="B35247" s="4" t="s">
        <v>44352</v>
      </c>
      <c r="C35247" s="5" t="str">
        <f>IFERROR(__xludf.DUMMYFUNCTION("GOOGLETRANSLATE(B35247,""en"",""fr"")"),"Le styliste utilise un pinceau et un sèche-linge pour ajouter du volume, de la texture et de la boucle aux cheveux du client.")</f>
        <v>Le styliste utilise un pinceau et un sèche-linge pour ajouter du volume, de la texture et de la boucle aux cheveux du client.</v>
      </c>
    </row>
    <row r="35248">
      <c r="A35248" s="4" t="s">
        <v>44345</v>
      </c>
      <c r="B35248" s="4" t="s">
        <v>44353</v>
      </c>
      <c r="C35248" s="5" t="str">
        <f>IFERROR(__xludf.DUMMYFUNCTION("GOOGLETRANSLATE(B35248,""en"",""fr"")"),"Le styliste pulvérise les cheveux des clients.")</f>
        <v>Le styliste pulvérise les cheveux des clients.</v>
      </c>
    </row>
    <row r="35249">
      <c r="A35249" s="4" t="s">
        <v>44345</v>
      </c>
      <c r="B35249" s="4" t="s">
        <v>44354</v>
      </c>
      <c r="C35249" s="5" t="str">
        <f>IFERROR(__xludf.DUMMYFUNCTION("GOOGLETRANSLATE(B35249,""en"",""fr"")"),"Le styliste utilise sa main pour positionner la frange.")</f>
        <v>Le styliste utilise sa main pour positionner la frange.</v>
      </c>
    </row>
    <row r="35250">
      <c r="A35250" s="4" t="s">
        <v>44345</v>
      </c>
      <c r="B35250" s="4" t="s">
        <v>44355</v>
      </c>
      <c r="C35250" s="5" t="str">
        <f>IFERROR(__xludf.DUMMYFUNCTION("GOOGLETRANSLATE(B35250,""en"",""fr"")"),"Le styliste utilise sa main pour ajouter un produit en gel aux cheveux du client.")</f>
        <v>Le styliste utilise sa main pour ajouter un produit en gel aux cheveux du client.</v>
      </c>
    </row>
    <row r="35251">
      <c r="A35251" s="4" t="s">
        <v>44345</v>
      </c>
      <c r="B35251" s="4" t="s">
        <v>44356</v>
      </c>
      <c r="C35251" s="5" t="str">
        <f>IFERROR(__xludf.DUMMYFUNCTION("GOOGLETRANSLATE(B35251,""en"",""fr"")"),"Le client tourne lentement sur la chaise pour montrer sa coiffure.")</f>
        <v>Le client tourne lentement sur la chaise pour montrer sa coiffure.</v>
      </c>
    </row>
    <row r="35252">
      <c r="A35252" s="4" t="s">
        <v>44345</v>
      </c>
      <c r="B35252" s="4" t="s">
        <v>44357</v>
      </c>
      <c r="C35252" s="5" t="str">
        <f>IFERROR(__xludf.DUMMYFUNCTION("GOOGLETRANSLATE(B35252,""en"",""fr"")"),"Le nom et les crédits du styliste sont affichés.")</f>
        <v>Le nom et les crédits du styliste sont affichés.</v>
      </c>
    </row>
    <row r="35253">
      <c r="A35253" s="4" t="s">
        <v>44358</v>
      </c>
      <c r="B35253" s="4" t="s">
        <v>44359</v>
      </c>
      <c r="C35253" s="5" t="str">
        <f>IFERROR(__xludf.DUMMYFUNCTION("GOOGLETRANSLATE(B35253,""en"",""fr"")"),"Un homme dans un gilet noir se tient dans une pièce.")</f>
        <v>Un homme dans un gilet noir se tient dans une pièce.</v>
      </c>
    </row>
    <row r="35254">
      <c r="A35254" s="4" t="s">
        <v>44358</v>
      </c>
      <c r="B35254" s="4" t="s">
        <v>44360</v>
      </c>
      <c r="C35254" s="5" t="str">
        <f>IFERROR(__xludf.DUMMYFUNCTION("GOOGLETRANSLATE(B35254,""en"",""fr"")"),"Il lance des fléchettes sur une planche de fléchettes sur le mur.")</f>
        <v>Il lance des fléchettes sur une planche de fléchettes sur le mur.</v>
      </c>
    </row>
    <row r="35255">
      <c r="A35255" s="4" t="s">
        <v>44358</v>
      </c>
      <c r="B35255" s="4" t="s">
        <v>44361</v>
      </c>
      <c r="C35255" s="5" t="str">
        <f>IFERROR(__xludf.DUMMYFUNCTION("GOOGLETRANSLATE(B35255,""en"",""fr"")"),"Une femme se tient à côté de lui en regardant.")</f>
        <v>Une femme se tient à côté de lui en regardant.</v>
      </c>
    </row>
    <row r="35256">
      <c r="A35256" s="4" t="s">
        <v>44358</v>
      </c>
      <c r="B35256" s="4" t="s">
        <v>44362</v>
      </c>
      <c r="C35256" s="5" t="str">
        <f>IFERROR(__xludf.DUMMYFUNCTION("GOOGLETRANSLATE(B35256,""en"",""fr"")"),"Un homme s'approche et retire la fléchette de la planche.")</f>
        <v>Un homme s'approche et retire la fléchette de la planche.</v>
      </c>
    </row>
    <row r="35257">
      <c r="A35257" s="4" t="s">
        <v>44363</v>
      </c>
      <c r="B35257" s="4" t="s">
        <v>44364</v>
      </c>
      <c r="C35257" s="5" t="str">
        <f>IFERROR(__xludf.DUMMYFUNCTION("GOOGLETRANSLATE(B35257,""en"",""fr"")"),"Un écran de titre de soccer de Beach ""Finale Coppa Italia"" apparaît avec Sambenedettse et Catania.")</f>
        <v>Un écran de titre de soccer de Beach "Finale Coppa Italia" apparaît avec Sambenedettse et Catania.</v>
      </c>
    </row>
    <row r="35258">
      <c r="A35258" s="4" t="s">
        <v>44363</v>
      </c>
      <c r="B35258" s="4" t="s">
        <v>44365</v>
      </c>
      <c r="C35258" s="5" t="str">
        <f>IFERROR(__xludf.DUMMYFUNCTION("GOOGLETRANSLATE(B35258,""en"",""fr"")"),"Les hommes jouent au football professionnel sur une plage près de l'eau.")</f>
        <v>Les hommes jouent au football professionnel sur une plage près de l'eau.</v>
      </c>
    </row>
    <row r="35259">
      <c r="A35259" s="4" t="s">
        <v>44363</v>
      </c>
      <c r="B35259" s="4" t="s">
        <v>44366</v>
      </c>
      <c r="C35259" s="5" t="str">
        <f>IFERROR(__xludf.DUMMYFUNCTION("GOOGLETRANSLATE(B35259,""en"",""fr"")"),"Les joueurs sur le terrain célèbrent une victoire et posent pour une photo.")</f>
        <v>Les joueurs sur le terrain célèbrent une victoire et posent pour une photo.</v>
      </c>
    </row>
    <row r="35260">
      <c r="A35260" s="4" t="s">
        <v>44367</v>
      </c>
      <c r="B35260" s="4" t="s">
        <v>44368</v>
      </c>
      <c r="C35260" s="5" t="str">
        <f>IFERROR(__xludf.DUMMYFUNCTION("GOOGLETRANSLATE(B35260,""en"",""fr"")"),"Une tondeuse à gazon est indiquée sur le terrain.")</f>
        <v>Une tondeuse à gazon est indiquée sur le terrain.</v>
      </c>
    </row>
    <row r="35261">
      <c r="A35261" s="4" t="s">
        <v>44367</v>
      </c>
      <c r="B35261" s="4" t="s">
        <v>44369</v>
      </c>
      <c r="C35261" s="5" t="str">
        <f>IFERROR(__xludf.DUMMYFUNCTION("GOOGLETRANSLATE(B35261,""en"",""fr"")"),"Un homme commence la tondeuse à la pelouse et commence à tondre la pelouse.")</f>
        <v>Un homme commence la tondeuse à la pelouse et commence à tondre la pelouse.</v>
      </c>
    </row>
    <row r="35262">
      <c r="A35262" s="4" t="s">
        <v>44367</v>
      </c>
      <c r="B35262" s="4" t="s">
        <v>44370</v>
      </c>
      <c r="C35262" s="5" t="str">
        <f>IFERROR(__xludf.DUMMYFUNCTION("GOOGLETRANSLATE(B35262,""en"",""fr"")"),"Ils finissent de tondre la pelouse et la pelouse est montrée.")</f>
        <v>Ils finissent de tondre la pelouse et la pelouse est montrée.</v>
      </c>
    </row>
    <row r="35263">
      <c r="A35263" s="4" t="s">
        <v>44371</v>
      </c>
      <c r="B35263" s="4" t="s">
        <v>44372</v>
      </c>
      <c r="C35263" s="5" t="str">
        <f>IFERROR(__xludf.DUMMYFUNCTION("GOOGLETRANSLATE(B35263,""en"",""fr"")"),"Un homme est vu tenir un bâton dans ses mains et parler à la caméra.")</f>
        <v>Un homme est vu tenir un bâton dans ses mains et parler à la caméra.</v>
      </c>
    </row>
    <row r="35264">
      <c r="A35264" s="4" t="s">
        <v>44371</v>
      </c>
      <c r="B35264" s="6" t="s">
        <v>44373</v>
      </c>
      <c r="C35264" s="5" t="str">
        <f>IFERROR(__xludf.DUMMYFUNCTION("GOOGLETRANSLATE(B35264,""en"",""fr"")"),"L'homme tente plusieurs fois pour frapper le ballon suivi par lui en le ramassant et en le frappant au loin.")</f>
        <v>L'homme tente plusieurs fois pour frapper le ballon suivi par lui en le ramassant et en le frappant au loin.</v>
      </c>
    </row>
    <row r="35265">
      <c r="A35265" s="4" t="s">
        <v>44374</v>
      </c>
      <c r="B35265" s="4" t="s">
        <v>44375</v>
      </c>
      <c r="C35265" s="5" t="str">
        <f>IFERROR(__xludf.DUMMYFUNCTION("GOOGLETRANSLATE(B35265,""en"",""fr"")"),"Un groupe d'hommes se tient dans une pièce s'habillant.")</f>
        <v>Un groupe d'hommes se tient dans une pièce s'habillant.</v>
      </c>
    </row>
    <row r="35266">
      <c r="A35266" s="4" t="s">
        <v>44374</v>
      </c>
      <c r="B35266" s="6" t="s">
        <v>44376</v>
      </c>
      <c r="C35266" s="5" t="str">
        <f>IFERROR(__xludf.DUMMYFUNCTION("GOOGLETRANSLATE(B35266,""en"",""fr"")"),"Tout d'un coup, de nombreuses femmes et des activités de plage, notamment la natation, le volleyball et la consommation d'alcool sont présentées.")</f>
        <v>Tout d'un coup, de nombreuses femmes et des activités de plage, notamment la natation, le volleyball et la consommation d'alcool sont présentées.</v>
      </c>
    </row>
    <row r="35267">
      <c r="A35267" s="4" t="s">
        <v>44374</v>
      </c>
      <c r="B35267" s="6" t="s">
        <v>44377</v>
      </c>
      <c r="C35267" s="5" t="str">
        <f>IFERROR(__xludf.DUMMYFUNCTION("GOOGLETRANSLATE(B35267,""en"",""fr"")"),"Ensuite, l'homme réapparaît mais il est rejoint par des coéquipiers jouant à une partie de Soccer Beach dans un stade entouré de gens.")</f>
        <v>Ensuite, l'homme réapparaît mais il est rejoint par des coéquipiers jouant à une partie de Soccer Beach dans un stade entouré de gens.</v>
      </c>
    </row>
    <row r="35268">
      <c r="A35268" s="4" t="s">
        <v>44374</v>
      </c>
      <c r="B35268" s="6" t="s">
        <v>44378</v>
      </c>
      <c r="C35268" s="5" t="str">
        <f>IFERROR(__xludf.DUMMYFUNCTION("GOOGLETRANSLATE(B35268,""en"",""fr"")"),"Une équipe gagne et on leur montre à ramener son trophée et son applaudissement, puis il revient à montrer le reste de l'équipe en compétition.")</f>
        <v>Une équipe gagne et on leur montre à ramener son trophée et son applaudissement, puis il revient à montrer le reste de l'équipe en compétition.</v>
      </c>
    </row>
    <row r="35269">
      <c r="A35269" s="4" t="s">
        <v>44379</v>
      </c>
      <c r="B35269" s="4" t="s">
        <v>44380</v>
      </c>
      <c r="C35269" s="5" t="str">
        <f>IFERROR(__xludf.DUMMYFUNCTION("GOOGLETRANSLATE(B35269,""en"",""fr"")"),"Une femme est vue portant une souffleuse de neige et la poussant le long d'un chemin.")</f>
        <v>Une femme est vue portant une souffleuse de neige et la poussant le long d'un chemin.</v>
      </c>
    </row>
    <row r="35270">
      <c r="A35270" s="4" t="s">
        <v>44379</v>
      </c>
      <c r="B35270" s="6" t="s">
        <v>44381</v>
      </c>
      <c r="C35270" s="5" t="str">
        <f>IFERROR(__xludf.DUMMYFUNCTION("GOOGLETRANSLATE(B35270,""en"",""fr"")"),"La femme continue de pousser la neige soufflant le long de la neige avec la caméra après ses mouvements.")</f>
        <v>La femme continue de pousser la neige soufflant le long de la neige avec la caméra après ses mouvements.</v>
      </c>
    </row>
    <row r="35271">
      <c r="A35271" s="4" t="s">
        <v>44379</v>
      </c>
      <c r="B35271" s="4" t="s">
        <v>44382</v>
      </c>
      <c r="C35271" s="5" t="str">
        <f>IFERROR(__xludf.DUMMYFUNCTION("GOOGLETRANSLATE(B35271,""en"",""fr"")"),"Elle recule et quatrième tout en s'arrêtant pour parler à la caméra et continuer à bouger.")</f>
        <v>Elle recule et quatrième tout en s'arrêtant pour parler à la caméra et continuer à bouger.</v>
      </c>
    </row>
    <row r="35272">
      <c r="A35272" s="4" t="s">
        <v>44383</v>
      </c>
      <c r="B35272" s="4" t="s">
        <v>44384</v>
      </c>
      <c r="C35272" s="5" t="str">
        <f>IFERROR(__xludf.DUMMYFUNCTION("GOOGLETRANSLATE(B35272,""en"",""fr"")"),"Un groupe de skieurs roule sur une colline.")</f>
        <v>Un groupe de skieurs roule sur une colline.</v>
      </c>
    </row>
    <row r="35273">
      <c r="A35273" s="4" t="s">
        <v>44383</v>
      </c>
      <c r="B35273" s="4" t="s">
        <v>44385</v>
      </c>
      <c r="C35273" s="5" t="str">
        <f>IFERROR(__xludf.DUMMYFUNCTION("GOOGLETRANSLATE(B35273,""en"",""fr"")"),"Ils divisent leur ligne et créent plusieurs lignes.")</f>
        <v>Ils divisent leur ligne et créent plusieurs lignes.</v>
      </c>
    </row>
    <row r="35274">
      <c r="A35274" s="4" t="s">
        <v>44383</v>
      </c>
      <c r="B35274" s="4" t="s">
        <v>44386</v>
      </c>
      <c r="C35274" s="5" t="str">
        <f>IFERROR(__xludf.DUMMYFUNCTION("GOOGLETRANSLATE(B35274,""en"",""fr"")"),"Ils se séparent à nouveau pour faire 4 lignes différentes.")</f>
        <v>Ils se séparent à nouveau pour faire 4 lignes différentes.</v>
      </c>
    </row>
    <row r="35275">
      <c r="A35275" s="4" t="s">
        <v>44383</v>
      </c>
      <c r="B35275" s="4" t="s">
        <v>44387</v>
      </c>
      <c r="C35275" s="5" t="str">
        <f>IFERROR(__xludf.DUMMYFUNCTION("GOOGLETRANSLATE(B35275,""en"",""fr"")"),"L'être et finir en même temps.")</f>
        <v>L'être et finir en même temps.</v>
      </c>
    </row>
    <row r="35276">
      <c r="A35276" s="4" t="s">
        <v>44388</v>
      </c>
      <c r="B35276" s="4" t="s">
        <v>44389</v>
      </c>
      <c r="C35276" s="5" t="str">
        <f>IFERROR(__xludf.DUMMYFUNCTION("GOOGLETRANSLATE(B35276,""en"",""fr"")"),"Une personne jette un lourd dans un stade plein de gens, puis les gens mesurent où le ballon a atterri.")</f>
        <v>Une personne jette un lourd dans un stade plein de gens, puis les gens mesurent où le ballon a atterri.</v>
      </c>
    </row>
    <row r="35277">
      <c r="A35277" s="4" t="s">
        <v>44388</v>
      </c>
      <c r="B35277" s="4" t="s">
        <v>44390</v>
      </c>
      <c r="C35277" s="5" t="str">
        <f>IFERROR(__xludf.DUMMYFUNCTION("GOOGLETRANSLATE(B35277,""en"",""fr"")"),"Ensuite, l'homme marche tandis que les journalistes et les caméramans le suivent sur le terrain.")</f>
        <v>Ensuite, l'homme marche tandis que les journalistes et les caméramans le suivent sur le terrain.</v>
      </c>
    </row>
    <row r="35278">
      <c r="A35278" s="4" t="s">
        <v>44388</v>
      </c>
      <c r="B35278" s="4" t="s">
        <v>44391</v>
      </c>
      <c r="C35278" s="5" t="str">
        <f>IFERROR(__xludf.DUMMYFUNCTION("GOOGLETRANSLATE(B35278,""en"",""fr"")"),"Après, l'homme met une chemise à manches longues tandis qu'un caméraman le filme.")</f>
        <v>Après, l'homme met une chemise à manches longues tandis qu'un caméraman le filme.</v>
      </c>
    </row>
    <row r="35279">
      <c r="A35279" s="4" t="s">
        <v>44392</v>
      </c>
      <c r="B35279" s="4" t="s">
        <v>44393</v>
      </c>
      <c r="C35279" s="5" t="str">
        <f>IFERROR(__xludf.DUMMYFUNCTION("GOOGLETRANSLATE(B35279,""en"",""fr"")"),"Une femme se tient à une table avec un tas de ciseaux et de fournitures.")</f>
        <v>Une femme se tient à une table avec un tas de ciseaux et de fournitures.</v>
      </c>
    </row>
    <row r="35280">
      <c r="A35280" s="4" t="s">
        <v>44392</v>
      </c>
      <c r="B35280" s="4" t="s">
        <v>44394</v>
      </c>
      <c r="C35280" s="5" t="str">
        <f>IFERROR(__xludf.DUMMYFUNCTION("GOOGLETRANSLATE(B35280,""en"",""fr"")"),"Elle montre comment couper le cellophane et l'enrouler autour d'un cadeau.")</f>
        <v>Elle montre comment couper le cellophane et l'enrouler autour d'un cadeau.</v>
      </c>
    </row>
    <row r="35281">
      <c r="A35281" s="4" t="s">
        <v>44392</v>
      </c>
      <c r="B35281" s="4" t="s">
        <v>44395</v>
      </c>
      <c r="C35281" s="5" t="str">
        <f>IFERROR(__xludf.DUMMYFUNCTION("GOOGLETRANSLATE(B35281,""en"",""fr"")"),"Elle lie une ficelle autour du cadeau, montrant le produit final.")</f>
        <v>Elle lie une ficelle autour du cadeau, montrant le produit final.</v>
      </c>
    </row>
    <row r="35282">
      <c r="A35282" s="4" t="s">
        <v>44396</v>
      </c>
      <c r="B35282" s="4" t="s">
        <v>1251</v>
      </c>
      <c r="C35282" s="5" t="str">
        <f>IFERROR(__xludf.DUMMYFUNCTION("GOOGLETRANSLATE(B35282,""en"",""fr"")"),"Les crédits du clip sont affichés.")</f>
        <v>Les crédits du clip sont affichés.</v>
      </c>
    </row>
    <row r="35283">
      <c r="A35283" s="4" t="s">
        <v>44396</v>
      </c>
      <c r="B35283" s="4" t="s">
        <v>44397</v>
      </c>
      <c r="C35283" s="5" t="str">
        <f>IFERROR(__xludf.DUMMYFUNCTION("GOOGLETRANSLATE(B35283,""en"",""fr"")"),"Une fille en queue de cheval parle.")</f>
        <v>Une fille en queue de cheval parle.</v>
      </c>
    </row>
    <row r="35284">
      <c r="A35284" s="4" t="s">
        <v>44396</v>
      </c>
      <c r="B35284" s="4" t="s">
        <v>44398</v>
      </c>
      <c r="C35284" s="5" t="str">
        <f>IFERROR(__xludf.DUMMYFUNCTION("GOOGLETRANSLATE(B35284,""en"",""fr"")"),"La fille avec ses cheveux parle dans une salle de bain et place sa main sur l'évier.")</f>
        <v>La fille avec ses cheveux parle dans une salle de bain et place sa main sur l'évier.</v>
      </c>
    </row>
    <row r="35285">
      <c r="A35285" s="4" t="s">
        <v>44396</v>
      </c>
      <c r="B35285" s="4" t="s">
        <v>44399</v>
      </c>
      <c r="C35285" s="5" t="str">
        <f>IFERROR(__xludf.DUMMYFUNCTION("GOOGLETRANSLATE(B35285,""en"",""fr"")"),"La fille allume le robinet pour mouiller sa brosse à dents.")</f>
        <v>La fille allume le robinet pour mouiller sa brosse à dents.</v>
      </c>
    </row>
    <row r="35286">
      <c r="A35286" s="4" t="s">
        <v>44396</v>
      </c>
      <c r="B35286" s="6" t="s">
        <v>44400</v>
      </c>
      <c r="C35286" s="5" t="str">
        <f>IFERROR(__xludf.DUMMYFUNCTION("GOOGLETRANSLATE(B35286,""en"",""fr"")"),"La fille éteint le robinet, dévisse le dentifrice et met du dentifrice sur sa brosse à dents.")</f>
        <v>La fille éteint le robinet, dévisse le dentifrice et met du dentifrice sur sa brosse à dents.</v>
      </c>
    </row>
    <row r="35287">
      <c r="A35287" s="4" t="s">
        <v>44396</v>
      </c>
      <c r="B35287" s="4" t="s">
        <v>44401</v>
      </c>
      <c r="C35287" s="5" t="str">
        <f>IFERROR(__xludf.DUMMYFUNCTION("GOOGLETRANSLATE(B35287,""en"",""fr"")"),"La fille se brosse les dents et crache dans l'évier.")</f>
        <v>La fille se brosse les dents et crache dans l'évier.</v>
      </c>
    </row>
    <row r="35288">
      <c r="A35288" s="4" t="s">
        <v>44396</v>
      </c>
      <c r="B35288" s="4" t="s">
        <v>44402</v>
      </c>
      <c r="C35288" s="5" t="str">
        <f>IFERROR(__xludf.DUMMYFUNCTION("GOOGLETRANSLATE(B35288,""en"",""fr"")"),"La fille rincer la brosse à dents et place sur le côté de l'évier.")</f>
        <v>La fille rincer la brosse à dents et place sur le côté de l'évier.</v>
      </c>
    </row>
    <row r="35289">
      <c r="A35289" s="4" t="s">
        <v>44396</v>
      </c>
      <c r="B35289" s="4" t="s">
        <v>44403</v>
      </c>
      <c r="C35289" s="5" t="str">
        <f>IFERROR(__xludf.DUMMYFUNCTION("GOOGLETRANSLATE(B35289,""en"",""fr"")"),"Les crédits de la vidéo sont affichés sur les images de la vidéo.")</f>
        <v>Les crédits de la vidéo sont affichés sur les images de la vidéo.</v>
      </c>
    </row>
    <row r="35290">
      <c r="A35290" s="4" t="s">
        <v>44404</v>
      </c>
      <c r="B35290" s="4" t="s">
        <v>33402</v>
      </c>
      <c r="C35290" s="5" t="str">
        <f>IFERROR(__xludf.DUMMYFUNCTION("GOOGLETRANSLATE(B35290,""en"",""fr"")"),"Une grande vague s'écrase vers le rivage.")</f>
        <v>Une grande vague s'écrase vers le rivage.</v>
      </c>
    </row>
    <row r="35291">
      <c r="A35291" s="4" t="s">
        <v>44404</v>
      </c>
      <c r="B35291" s="4" t="s">
        <v>44405</v>
      </c>
      <c r="C35291" s="5" t="str">
        <f>IFERROR(__xludf.DUMMYFUNCTION("GOOGLETRANSLATE(B35291,""en"",""fr"")"),"Les gens surfent derrière la vague géante.")</f>
        <v>Les gens surfent derrière la vague géante.</v>
      </c>
    </row>
    <row r="35292">
      <c r="A35292" s="4" t="s">
        <v>44404</v>
      </c>
      <c r="B35292" s="4" t="s">
        <v>44406</v>
      </c>
      <c r="C35292" s="5" t="str">
        <f>IFERROR(__xludf.DUMMYFUNCTION("GOOGLETRANSLATE(B35292,""en"",""fr"")"),"Le surfeur maintient son équilibre alors qu'il surfait et passe sous une seconde vague.")</f>
        <v>Le surfeur maintient son équilibre alors qu'il surfait et passe sous une seconde vague.</v>
      </c>
    </row>
    <row r="35293">
      <c r="A35293" s="4" t="s">
        <v>44407</v>
      </c>
      <c r="B35293" s="4" t="s">
        <v>44408</v>
      </c>
      <c r="C35293" s="5" t="str">
        <f>IFERROR(__xludf.DUMMYFUNCTION("GOOGLETRANSLATE(B35293,""en"",""fr"")"),"Nous voyons l'écran d'ouverture et nous voyons des paysages et une épée.")</f>
        <v>Nous voyons l'écran d'ouverture et nous voyons des paysages et une épée.</v>
      </c>
    </row>
    <row r="35294">
      <c r="A35294" s="4" t="s">
        <v>44407</v>
      </c>
      <c r="B35294" s="4" t="s">
        <v>44409</v>
      </c>
      <c r="C35294" s="5" t="str">
        <f>IFERROR(__xludf.DUMMYFUNCTION("GOOGLETRANSLATE(B35294,""en"",""fr"")"),"Nous voyons une dame parler, puis un homme.")</f>
        <v>Nous voyons une dame parler, puis un homme.</v>
      </c>
    </row>
    <row r="35295">
      <c r="A35295" s="4" t="s">
        <v>44407</v>
      </c>
      <c r="B35295" s="4" t="s">
        <v>44410</v>
      </c>
      <c r="C35295" s="5" t="str">
        <f>IFERROR(__xludf.DUMMYFUNCTION("GOOGLETRANSLATE(B35295,""en"",""fr"")"),"Nous voyons beaucoup de gens du snowboard.")</f>
        <v>Nous voyons beaucoup de gens du snowboard.</v>
      </c>
    </row>
    <row r="35296">
      <c r="A35296" s="4" t="s">
        <v>44407</v>
      </c>
      <c r="B35296" s="4" t="s">
        <v>44411</v>
      </c>
      <c r="C35296" s="5" t="str">
        <f>IFERROR(__xludf.DUMMYFUNCTION("GOOGLETRANSLATE(B35296,""en"",""fr"")"),"Deux personnes serrent la main sur l'atterrissage.")</f>
        <v>Deux personnes serrent la main sur l'atterrissage.</v>
      </c>
    </row>
    <row r="35297">
      <c r="A35297" s="4" t="s">
        <v>44407</v>
      </c>
      <c r="B35297" s="4" t="s">
        <v>44412</v>
      </c>
      <c r="C35297" s="5" t="str">
        <f>IFERROR(__xludf.DUMMYFUNCTION("GOOGLETRANSLATE(B35297,""en"",""fr"")"),"Un homme dans une salle noire est interviewé puis nous voyons un homme à l'extérieur parler.")</f>
        <v>Un homme dans une salle noire est interviewé puis nous voyons un homme à l'extérieur parler.</v>
      </c>
    </row>
    <row r="35298">
      <c r="A35298" s="4" t="s">
        <v>44407</v>
      </c>
      <c r="B35298" s="4" t="s">
        <v>44413</v>
      </c>
      <c r="C35298" s="5" t="str">
        <f>IFERROR(__xludf.DUMMYFUNCTION("GOOGLETRANSLATE(B35298,""en"",""fr"")"),"Les gens ont cinq ans et nous voyons une dame parler.")</f>
        <v>Les gens ont cinq ans et nous voyons une dame parler.</v>
      </c>
    </row>
    <row r="35299">
      <c r="A35299" s="4" t="s">
        <v>44407</v>
      </c>
      <c r="B35299" s="4" t="s">
        <v>44414</v>
      </c>
      <c r="C35299" s="5" t="str">
        <f>IFERROR(__xludf.DUMMYFUNCTION("GOOGLETRANSLATE(B35299,""en"",""fr"")"),"Une dame jette ses bras dans les airs, les gens vaporisés et un homme avec une épée.")</f>
        <v>Une dame jette ses bras dans les airs, les gens vaporisés et un homme avec une épée.</v>
      </c>
    </row>
    <row r="35300">
      <c r="A35300" s="4" t="s">
        <v>44415</v>
      </c>
      <c r="B35300" s="4" t="s">
        <v>44416</v>
      </c>
      <c r="C35300" s="5" t="str">
        <f>IFERROR(__xludf.DUMMYFUNCTION("GOOGLETRANSLATE(B35300,""en"",""fr"")"),"Une femme parle à une caméra à l'intérieur d'une cuisine.")</f>
        <v>Une femme parle à une caméra à l'intérieur d'une cuisine.</v>
      </c>
    </row>
    <row r="35301">
      <c r="A35301" s="4" t="s">
        <v>44415</v>
      </c>
      <c r="B35301" s="4" t="s">
        <v>44417</v>
      </c>
      <c r="C35301" s="5" t="str">
        <f>IFERROR(__xludf.DUMMYFUNCTION("GOOGLETRANSLATE(B35301,""en"",""fr"")"),"Elle allume de l'eau, montrant comment savourer correctement ses mains.")</f>
        <v>Elle allume de l'eau, montrant comment savourer correctement ses mains.</v>
      </c>
    </row>
    <row r="35302">
      <c r="A35302" s="4" t="s">
        <v>44415</v>
      </c>
      <c r="B35302" s="4" t="s">
        <v>44418</v>
      </c>
      <c r="C35302" s="5" t="str">
        <f>IFERROR(__xludf.DUMMYFUNCTION("GOOGLETRANSLATE(B35302,""en"",""fr"")"),"Elle les rince et les sèche ensuite.")</f>
        <v>Elle les rince et les sèche ensuite.</v>
      </c>
    </row>
    <row r="35303">
      <c r="A35303" s="4" t="s">
        <v>44419</v>
      </c>
      <c r="B35303" s="4" t="s">
        <v>44420</v>
      </c>
      <c r="C35303" s="5" t="str">
        <f>IFERROR(__xludf.DUMMYFUNCTION("GOOGLETRANSLATE(B35303,""en"",""fr"")"),"Le motard fait du vélo et saute par-dessus les grandes rampes.")</f>
        <v>Le motard fait du vélo et saute par-dessus les grandes rampes.</v>
      </c>
    </row>
    <row r="35304">
      <c r="A35304" s="4" t="s">
        <v>44419</v>
      </c>
      <c r="B35304" s="4" t="s">
        <v>44421</v>
      </c>
      <c r="C35304" s="5" t="str">
        <f>IFERROR(__xludf.DUMMYFUNCTION("GOOGLETRANSLATE(B35304,""en"",""fr"")"),"Le motard saute dans la rampe avec son vélo à l'avant.")</f>
        <v>Le motard saute dans la rampe avec son vélo à l'avant.</v>
      </c>
    </row>
    <row r="35305">
      <c r="A35305" s="4" t="s">
        <v>44419</v>
      </c>
      <c r="B35305" s="4" t="s">
        <v>44422</v>
      </c>
      <c r="C35305" s="5" t="str">
        <f>IFERROR(__xludf.DUMMYFUNCTION("GOOGLETRANSLATE(B35305,""en"",""fr"")"),"Quatre motards ont couru et ont sauté par-dessus les rampes, le motard en blanc mène dans la course.")</f>
        <v>Quatre motards ont couru et ont sauté par-dessus les rampes, le motard en blanc mène dans la course.</v>
      </c>
    </row>
    <row r="35306">
      <c r="A35306" s="4" t="s">
        <v>44423</v>
      </c>
      <c r="B35306" s="6" t="s">
        <v>44424</v>
      </c>
      <c r="C35306" s="5" t="str">
        <f>IFERROR(__xludf.DUMMYFUNCTION("GOOGLETRANSLATE(B35306,""en"",""fr"")"),"Un homme et une femme se tiennent devant la caméra et une femme montre comment effectuer correctement le tango.")</f>
        <v>Un homme et une femme se tiennent devant la caméra et une femme montre comment effectuer correctement le tango.</v>
      </c>
    </row>
    <row r="35307">
      <c r="A35307" s="4" t="s">
        <v>44423</v>
      </c>
      <c r="B35307" s="6" t="s">
        <v>44425</v>
      </c>
      <c r="C35307" s="5" t="str">
        <f>IFERROR(__xludf.DUMMYFUNCTION("GOOGLETRANSLATE(B35307,""en"",""fr"")"),"Elle bouge ses pieds dans les bras dans un mouvement particulier tandis que l'homme fait de même sous un angle différent.")</f>
        <v>Elle bouge ses pieds dans les bras dans un mouvement particulier tandis que l'homme fait de même sous un angle différent.</v>
      </c>
    </row>
    <row r="35308">
      <c r="A35308" s="4" t="s">
        <v>44423</v>
      </c>
      <c r="B35308" s="6" t="s">
        <v>44426</v>
      </c>
      <c r="C35308" s="5" t="str">
        <f>IFERROR(__xludf.DUMMYFUNCTION("GOOGLETRANSLATE(B35308,""en"",""fr"")"),"L'homme et la femme reconstituent enfin leurs instructions et effectuent le tango se déplace ensemble.")</f>
        <v>L'homme et la femme reconstituent enfin leurs instructions et effectuent le tango se déplace ensemble.</v>
      </c>
    </row>
    <row r="35309">
      <c r="A35309" s="4" t="s">
        <v>44427</v>
      </c>
      <c r="B35309" s="4" t="s">
        <v>44428</v>
      </c>
      <c r="C35309" s="5" t="str">
        <f>IFERROR(__xludf.DUMMYFUNCTION("GOOGLETRANSLATE(B35309,""en"",""fr"")"),"Les joueurs tiennent une batte plate et courent vers les balles.")</f>
        <v>Les joueurs tiennent une batte plate et courent vers les balles.</v>
      </c>
    </row>
    <row r="35310">
      <c r="A35310" s="4" t="s">
        <v>44427</v>
      </c>
      <c r="B35310" s="6" t="s">
        <v>44429</v>
      </c>
      <c r="C35310" s="5" t="str">
        <f>IFERROR(__xludf.DUMMYFUNCTION("GOOGLETRANSLATE(B35310,""en"",""fr"")"),"Les joueurs ont rebondi les balles sur la batte, certains d'entre eux ont ramassé les balles du sol en utilisant la batte.")</f>
        <v>Les joueurs ont rebondi les balles sur la batte, certains d'entre eux ont ramassé les balles du sol en utilisant la batte.</v>
      </c>
    </row>
    <row r="35311">
      <c r="A35311" s="4" t="s">
        <v>44427</v>
      </c>
      <c r="B35311" s="6" t="s">
        <v>44430</v>
      </c>
      <c r="C35311" s="5" t="str">
        <f>IFERROR(__xludf.DUMMYFUNCTION("GOOGLETRANSLATE(B35311,""en"",""fr"")"),"La fille en veste bleue a rebondi le ballon sur sa batte et elle s'est avancée, mais le ballon tombe sur le sol.")</f>
        <v>La fille en veste bleue a rebondi le ballon sur sa batte et elle s'est avancée, mais le ballon tombe sur le sol.</v>
      </c>
    </row>
    <row r="35312">
      <c r="A35312" s="4" t="s">
        <v>44427</v>
      </c>
      <c r="B35312" s="4" t="s">
        <v>44431</v>
      </c>
      <c r="C35312" s="5" t="str">
        <f>IFERROR(__xludf.DUMMYFUNCTION("GOOGLETRANSLATE(B35312,""en"",""fr"")"),"Une fille dans le gilet noir prend le ballon du sol en utilisant sa batte.")</f>
        <v>Une fille dans le gilet noir prend le ballon du sol en utilisant sa batte.</v>
      </c>
    </row>
    <row r="35313">
      <c r="A35313" s="4" t="s">
        <v>44427</v>
      </c>
      <c r="B35313" s="4" t="s">
        <v>44432</v>
      </c>
      <c r="C35313" s="5" t="str">
        <f>IFERROR(__xludf.DUMMYFUNCTION("GOOGLETRANSLATE(B35313,""en"",""fr"")"),"Deux filles marchaient normalement sans chasser les balles.")</f>
        <v>Deux filles marchaient normalement sans chasser les balles.</v>
      </c>
    </row>
    <row r="35314">
      <c r="A35314" s="4" t="s">
        <v>44427</v>
      </c>
      <c r="B35314" s="4" t="s">
        <v>44433</v>
      </c>
      <c r="C35314" s="5" t="str">
        <f>IFERROR(__xludf.DUMMYFUNCTION("GOOGLETRANSLATE(B35314,""en"",""fr"")"),"Une fille sur le terrain essaie de ramasser le ballon.")</f>
        <v>Une fille sur le terrain essaie de ramasser le ballon.</v>
      </c>
    </row>
    <row r="35315">
      <c r="A35315" s="4" t="s">
        <v>44427</v>
      </c>
      <c r="B35315" s="4" t="s">
        <v>44434</v>
      </c>
      <c r="C35315" s="5" t="str">
        <f>IFERROR(__xludf.DUMMYFUNCTION("GOOGLETRANSLATE(B35315,""en"",""fr"")"),"Les joueurs sont alignés et prêts à ramasser les balles du sol en utilisant leurs chauves-souris.")</f>
        <v>Les joueurs sont alignés et prêts à ramasser les balles du sol en utilisant leurs chauves-souris.</v>
      </c>
    </row>
    <row r="35316">
      <c r="A35316" s="4" t="s">
        <v>44427</v>
      </c>
      <c r="B35316" s="6" t="s">
        <v>44435</v>
      </c>
      <c r="C35316" s="5" t="str">
        <f>IFERROR(__xludf.DUMMYFUNCTION("GOOGLETRANSLATE(B35316,""en"",""fr"")"),"Les joueurs ont commencé à rebondir leurs couilles sur leur batte tout en courant en avant, certaines balles sont tombées sur le sol et les joueurs doivent les ramasser en utilisant la batte.")</f>
        <v>Les joueurs ont commencé à rebondir leurs couilles sur leur batte tout en courant en avant, certaines balles sont tombées sur le sol et les joueurs doivent les ramasser en utilisant la batte.</v>
      </c>
    </row>
    <row r="35317">
      <c r="A35317" s="4" t="s">
        <v>44436</v>
      </c>
      <c r="B35317" s="4" t="s">
        <v>44437</v>
      </c>
      <c r="C35317" s="5" t="str">
        <f>IFERROR(__xludf.DUMMYFUNCTION("GOOGLETRANSLATE(B35317,""en"",""fr"")"),"Un homme est sur un cheval au galop en arrière pour le sport.")</f>
        <v>Un homme est sur un cheval au galop en arrière pour le sport.</v>
      </c>
    </row>
    <row r="35318">
      <c r="A35318" s="4" t="s">
        <v>44436</v>
      </c>
      <c r="B35318" s="4" t="s">
        <v>44438</v>
      </c>
      <c r="C35318" s="5" t="str">
        <f>IFERROR(__xludf.DUMMYFUNCTION("GOOGLETRANSLATE(B35318,""en"",""fr"")"),"L'équitation de cheval est considéré comme un sport, amusant mais fonctionne toujours.")</f>
        <v>L'équitation de cheval est considéré comme un sport, amusant mais fonctionne toujours.</v>
      </c>
    </row>
    <row r="35319">
      <c r="A35319" s="4" t="s">
        <v>44436</v>
      </c>
      <c r="B35319" s="6" t="s">
        <v>44439</v>
      </c>
      <c r="C35319" s="5" t="str">
        <f>IFERROR(__xludf.DUMMYFUNCTION("GOOGLETRANSLATE(B35319,""en"",""fr"")"),"Comme travailler avec une équipe, vous devez également travailler avec un cheval, vous devez communiquer avec un cheval qui ne parle pas.")</f>
        <v>Comme travailler avec une équipe, vous devez également travailler avec un cheval, vous devez communiquer avec un cheval qui ne parle pas.</v>
      </c>
    </row>
    <row r="35320">
      <c r="A35320" s="4" t="s">
        <v>44436</v>
      </c>
      <c r="B35320" s="4" t="s">
        <v>44440</v>
      </c>
      <c r="C35320" s="5" t="str">
        <f>IFERROR(__xludf.DUMMYFUNCTION("GOOGLETRANSLATE(B35320,""en"",""fr"")"),"Faites-le savoir quand vous devez aller plus vite, quand il doit sauter et autres.")</f>
        <v>Faites-le savoir quand vous devez aller plus vite, quand il doit sauter et autres.</v>
      </c>
    </row>
    <row r="35321">
      <c r="A35321" s="4" t="s">
        <v>44441</v>
      </c>
      <c r="B35321" s="4" t="s">
        <v>44442</v>
      </c>
      <c r="C35321" s="5" t="str">
        <f>IFERROR(__xludf.DUMMYFUNCTION("GOOGLETRANSLATE(B35321,""en"",""fr"")"),"Un petit groupe de personnes est vu pousser une balle le long de l'eau et marquer dans le but.")</f>
        <v>Un petit groupe de personnes est vu pousser une balle le long de l'eau et marquer dans le but.</v>
      </c>
    </row>
    <row r="35322">
      <c r="A35322" s="4" t="s">
        <v>44441</v>
      </c>
      <c r="B35322" s="4" t="s">
        <v>44443</v>
      </c>
      <c r="C35322" s="5" t="str">
        <f>IFERROR(__xludf.DUMMYFUNCTION("GOOGLETRANSLATE(B35322,""en"",""fr"")"),"Les gens continuent de jouer avec le ballon et de nager le long de l'eau.")</f>
        <v>Les gens continuent de jouer avec le ballon et de nager le long de l'eau.</v>
      </c>
    </row>
    <row r="35323">
      <c r="A35323" s="4" t="s">
        <v>44441</v>
      </c>
      <c r="B35323" s="4" t="s">
        <v>44444</v>
      </c>
      <c r="C35323" s="5" t="str">
        <f>IFERROR(__xludf.DUMMYFUNCTION("GOOGLETRANSLATE(B35323,""en"",""fr"")"),"Le ballon en a dépassé un autre pour marquer un but, puis le match continue.")</f>
        <v>Le ballon en a dépassé un autre pour marquer un but, puis le match continue.</v>
      </c>
    </row>
    <row r="35324">
      <c r="A35324" s="4" t="s">
        <v>44445</v>
      </c>
      <c r="B35324" s="4" t="s">
        <v>44446</v>
      </c>
      <c r="C35324" s="5" t="str">
        <f>IFERROR(__xludf.DUMMYFUNCTION("GOOGLETRANSLATE(B35324,""en"",""fr"")"),"Une femme est vue à genoux sur un tapis de yoga tout en se penchant en avant.")</f>
        <v>Une femme est vue à genoux sur un tapis de yoga tout en se penchant en avant.</v>
      </c>
    </row>
    <row r="35325">
      <c r="A35325" s="4" t="s">
        <v>44445</v>
      </c>
      <c r="B35325" s="4" t="s">
        <v>44447</v>
      </c>
      <c r="C35325" s="5" t="str">
        <f>IFERROR(__xludf.DUMMYFUNCTION("GOOGLETRANSLATE(B35325,""en"",""fr"")"),"La femme déplace ensuite sa jambe devant elle et se penche plus en créant un étirement.")</f>
        <v>La femme déplace ensuite sa jambe devant elle et se penche plus en créant un étirement.</v>
      </c>
    </row>
    <row r="35326">
      <c r="A35326" s="4" t="s">
        <v>44448</v>
      </c>
      <c r="B35326" s="6" t="s">
        <v>44449</v>
      </c>
      <c r="C35326" s="5" t="str">
        <f>IFERROR(__xludf.DUMMYFUNCTION("GOOGLETRANSLATE(B35326,""en"",""fr"")"),"Un athlète est vu tourner autour et lancer une discussion pendant que les hommes sur le terrain courent pour suivre son score.")</f>
        <v>Un athlète est vu tourner autour et lancer une discussion pendant que les hommes sur le terrain courent pour suivre son score.</v>
      </c>
    </row>
    <row r="35327">
      <c r="A35327" s="4" t="s">
        <v>44448</v>
      </c>
      <c r="B35327" s="4" t="s">
        <v>44450</v>
      </c>
      <c r="C35327" s="5" t="str">
        <f>IFERROR(__xludf.DUMMYFUNCTION("GOOGLETRANSLATE(B35327,""en"",""fr"")"),"L'athlète s'éloigne et un autre monte et lance la discussion.")</f>
        <v>L'athlète s'éloigne et un autre monte et lance la discussion.</v>
      </c>
    </row>
    <row r="35328">
      <c r="A35328" s="4" t="s">
        <v>44448</v>
      </c>
      <c r="B35328" s="6" t="s">
        <v>44451</v>
      </c>
      <c r="C35328" s="5" t="str">
        <f>IFERROR(__xludf.DUMMYFUNCTION("GOOGLETRANSLATE(B35328,""en"",""fr"")"),"Plusieurs autres personnes interviennent pour lancer l'objet et se termine avec un athlète qui gagne et s'éloignait.")</f>
        <v>Plusieurs autres personnes interviennent pour lancer l'objet et se termine avec un athlète qui gagne et s'éloignait.</v>
      </c>
    </row>
    <row r="35329">
      <c r="A35329" s="4" t="s">
        <v>44452</v>
      </c>
      <c r="B35329" s="4" t="s">
        <v>44453</v>
      </c>
      <c r="C35329" s="5" t="str">
        <f>IFERROR(__xludf.DUMMYFUNCTION("GOOGLETRANSLATE(B35329,""en"",""fr"")"),"Il y a deux enfants sur le swing tandis que deux vieilles dames debout à côté d'eux les balançant.")</f>
        <v>Il y a deux enfants sur le swing tandis que deux vieilles dames debout à côté d'eux les balançant.</v>
      </c>
    </row>
    <row r="35330">
      <c r="A35330" s="4" t="s">
        <v>44452</v>
      </c>
      <c r="B35330" s="6" t="s">
        <v>44454</v>
      </c>
      <c r="C35330" s="5" t="str">
        <f>IFERROR(__xludf.DUMMYFUNCTION("GOOGLETRANSLATE(B35330,""en"",""fr"")"),"La vieille dame en haut rose est parti, tandis que l'autre vieille femme en violet continue de balancer le garçon.")</f>
        <v>La vieille dame en haut rose est parti, tandis que l'autre vieille femme en violet continue de balancer le garçon.</v>
      </c>
    </row>
    <row r="35331">
      <c r="A35331" s="4" t="s">
        <v>44452</v>
      </c>
      <c r="B35331" s="6" t="s">
        <v>44455</v>
      </c>
      <c r="C35331" s="5" t="str">
        <f>IFERROR(__xludf.DUMMYFUNCTION("GOOGLETRANSLATE(B35331,""en"",""fr"")"),"La vieille chemise rose est revenue avec un morceau de papier pour attiser de l'air sur elle, tandis qu'un petit enfant se dirige vers l'avant du banc.")</f>
        <v>La vieille chemise rose est revenue avec un morceau de papier pour attiser de l'air sur elle, tandis qu'un petit enfant se dirige vers l'avant du banc.</v>
      </c>
    </row>
    <row r="35332">
      <c r="A35332" s="4" t="s">
        <v>44452</v>
      </c>
      <c r="B35332" s="6" t="s">
        <v>44456</v>
      </c>
      <c r="C35332" s="5" t="str">
        <f>IFERROR(__xludf.DUMMYFUNCTION("GOOGLETRANSLATE(B35332,""en"",""fr"")"),"La vieille dame en violet continue de balancer le garçon, tandis que la vieille dame en haut rose se leva et la repose sur la barre rouge du swing.")</f>
        <v>La vieille dame en violet continue de balancer le garçon, tandis que la vieille dame en haut rose se leva et la repose sur la barre rouge du swing.</v>
      </c>
    </row>
    <row r="35333">
      <c r="A35333" s="4" t="s">
        <v>44452</v>
      </c>
      <c r="B35333" s="6" t="s">
        <v>44457</v>
      </c>
      <c r="C35333" s="5" t="str">
        <f>IFERROR(__xludf.DUMMYFUNCTION("GOOGLETRANSLATE(B35333,""en"",""fr"")"),"La dame en haut rose est venue devant l'autre garçon avec une chemise blanche, et lui a parlé, a commencé à le pousser sur le swing, à lui donner un baiser et à continuer à le balancer du côté du swing.")</f>
        <v>La dame en haut rose est venue devant l'autre garçon avec une chemise blanche, et lui a parlé, a commencé à le pousser sur le swing, à lui donner un baiser et à continuer à le balancer du côté du swing.</v>
      </c>
    </row>
    <row r="35334">
      <c r="A35334" s="4" t="s">
        <v>44452</v>
      </c>
      <c r="B35334" s="4" t="s">
        <v>44458</v>
      </c>
      <c r="C35334" s="5" t="str">
        <f>IFERROR(__xludf.DUMMYFUNCTION("GOOGLETRANSLATE(B35334,""en"",""fr"")"),"La petite fille près du banc s'est assise pour ramasser quelque chose sur le sol bleu.")</f>
        <v>La petite fille près du banc s'est assise pour ramasser quelque chose sur le sol bleu.</v>
      </c>
    </row>
    <row r="35335">
      <c r="A35335" s="4" t="s">
        <v>44459</v>
      </c>
      <c r="B35335" s="4" t="s">
        <v>44460</v>
      </c>
      <c r="C35335" s="5" t="str">
        <f>IFERROR(__xludf.DUMMYFUNCTION("GOOGLETRANSLATE(B35335,""en"",""fr"")"),"Un homme portant des lunettes est sur une scène.")</f>
        <v>Un homme portant des lunettes est sur une scène.</v>
      </c>
    </row>
    <row r="35336">
      <c r="A35336" s="4" t="s">
        <v>44459</v>
      </c>
      <c r="B35336" s="4" t="s">
        <v>44461</v>
      </c>
      <c r="C35336" s="5" t="str">
        <f>IFERROR(__xludf.DUMMYFUNCTION("GOOGLETRANSLATE(B35336,""en"",""fr"")"),"Il lance des fléchettes sur une planche, essayant de frapper la cible pendant que la foule applaudit.")</f>
        <v>Il lance des fléchettes sur une planche, essayant de frapper la cible pendant que la foule applaudit.</v>
      </c>
    </row>
    <row r="35337">
      <c r="A35337" s="4" t="s">
        <v>44459</v>
      </c>
      <c r="B35337" s="4" t="s">
        <v>44462</v>
      </c>
      <c r="C35337" s="5" t="str">
        <f>IFERROR(__xludf.DUMMYFUNCTION("GOOGLETRANSLATE(B35337,""en"",""fr"")"),"Un autre concurrent apparaît, faisant de même.")</f>
        <v>Un autre concurrent apparaît, faisant de même.</v>
      </c>
    </row>
    <row r="35338">
      <c r="A35338" s="4" t="s">
        <v>44459</v>
      </c>
      <c r="B35338" s="4" t="s">
        <v>44463</v>
      </c>
      <c r="C35338" s="5" t="str">
        <f>IFERROR(__xludf.DUMMYFUNCTION("GOOGLETRANSLATE(B35338,""en"",""fr"")"),"Le gagnant monte sur la scène alors que l'appareil photo flash, célébrant.")</f>
        <v>Le gagnant monte sur la scène alors que l'appareil photo flash, célébrant.</v>
      </c>
    </row>
    <row r="35339">
      <c r="A35339" s="4" t="s">
        <v>44464</v>
      </c>
      <c r="B35339" s="4" t="s">
        <v>44465</v>
      </c>
      <c r="C35339" s="5" t="str">
        <f>IFERROR(__xludf.DUMMYFUNCTION("GOOGLETRANSLATE(B35339,""en"",""fr"")"),"On voit deux enfants jouer à un jeu de shuffleboard sur le côté d'un bateau pendant que la caméra regarde.")</f>
        <v>On voit deux enfants jouer à un jeu de shuffleboard sur le côté d'un bateau pendant que la caméra regarde.</v>
      </c>
    </row>
    <row r="35340">
      <c r="A35340" s="4" t="s">
        <v>44464</v>
      </c>
      <c r="B35340" s="4" t="s">
        <v>44466</v>
      </c>
      <c r="C35340" s="5" t="str">
        <f>IFERROR(__xludf.DUMMYFUNCTION("GOOGLETRANSLATE(B35340,""en"",""fr"")"),"Les enfants continuent à se relever tout en montant et en descendant le chemin sur le bateau.")</f>
        <v>Les enfants continuent à se relever tout en montant et en descendant le chemin sur le bateau.</v>
      </c>
    </row>
    <row r="35341">
      <c r="A35341" s="4" t="s">
        <v>44467</v>
      </c>
      <c r="B35341" s="4" t="s">
        <v>44468</v>
      </c>
      <c r="C35341" s="5" t="str">
        <f>IFERROR(__xludf.DUMMYFUNCTION("GOOGLETRANSLATE(B35341,""en"",""fr"")"),"Un médecin parle pendant qu'une infirmière s'assoit à côté de lui dans un cabinet médical.")</f>
        <v>Un médecin parle pendant qu'une infirmière s'assoit à côté de lui dans un cabinet médical.</v>
      </c>
    </row>
    <row r="35342">
      <c r="A35342" s="4" t="s">
        <v>44467</v>
      </c>
      <c r="B35342" s="6" t="s">
        <v>44469</v>
      </c>
      <c r="C35342" s="5" t="str">
        <f>IFERROR(__xludf.DUMMYFUNCTION("GOOGLETRANSLATE(B35342,""en"",""fr"")"),"Il tient une bouteille de nettoyant et utilise un chiffon pour l'essuyer sur le visage de la femme, avant de l'essuyer à nouveau.")</f>
        <v>Il tient une bouteille de nettoyant et utilise un chiffon pour l'essuyer sur le visage de la femme, avant de l'essuyer à nouveau.</v>
      </c>
    </row>
    <row r="35343">
      <c r="A35343" s="4" t="s">
        <v>44467</v>
      </c>
      <c r="B35343" s="4" t="s">
        <v>44470</v>
      </c>
      <c r="C35343" s="5" t="str">
        <f>IFERROR(__xludf.DUMMYFUNCTION("GOOGLETRANSLATE(B35343,""en"",""fr"")"),"Il est également frotté dans ses mains.")</f>
        <v>Il est également frotté dans ses mains.</v>
      </c>
    </row>
    <row r="35344">
      <c r="A35344" s="4" t="s">
        <v>44471</v>
      </c>
      <c r="B35344" s="4" t="s">
        <v>44472</v>
      </c>
      <c r="C35344" s="5" t="str">
        <f>IFERROR(__xludf.DUMMYFUNCTION("GOOGLETRANSLATE(B35344,""en"",""fr"")"),"Un chef se tient devant une table et commence à tourner un poêle avec une casserole dessus.")</f>
        <v>Un chef se tient devant une table et commence à tourner un poêle avec une casserole dessus.</v>
      </c>
    </row>
    <row r="35345">
      <c r="A35345" s="4" t="s">
        <v>44471</v>
      </c>
      <c r="B35345" s="6" t="s">
        <v>44473</v>
      </c>
      <c r="C35345" s="5" t="str">
        <f>IFERROR(__xludf.DUMMYFUNCTION("GOOGLETRANSLATE(B35345,""en"",""fr"")"),"L'homme mélange ensuite divers ingrédients ensemble et mettant enfin les ingrédients sur le creux.")</f>
        <v>L'homme mélange ensuite divers ingrédients ensemble et mettant enfin les ingrédients sur le creux.</v>
      </c>
    </row>
    <row r="35346">
      <c r="A35346" s="4" t="s">
        <v>44471</v>
      </c>
      <c r="B35346" s="4" t="s">
        <v>44474</v>
      </c>
      <c r="C35346" s="5" t="str">
        <f>IFERROR(__xludf.DUMMYFUNCTION("GOOGLETRANSLATE(B35346,""en"",""fr"")"),"Il termine l'assiette en faisant une omelette et le sert dans une assiette et le coupe.")</f>
        <v>Il termine l'assiette en faisant une omelette et le sert dans une assiette et le coupe.</v>
      </c>
    </row>
    <row r="35347">
      <c r="A35347" s="4" t="s">
        <v>44475</v>
      </c>
      <c r="B35347" s="4" t="s">
        <v>44476</v>
      </c>
      <c r="C35347" s="5" t="str">
        <f>IFERROR(__xludf.DUMMYFUNCTION("GOOGLETRANSLATE(B35347,""en"",""fr"")"),"Les gens sont dans un camp avec beaucoup de chameaux assis sur le sol.")</f>
        <v>Les gens sont dans un camp avec beaucoup de chameaux assis sur le sol.</v>
      </c>
    </row>
    <row r="35348">
      <c r="A35348" s="4" t="s">
        <v>44475</v>
      </c>
      <c r="B35348" s="6" t="s">
        <v>44477</v>
      </c>
      <c r="C35348" s="5" t="str">
        <f>IFERROR(__xludf.DUMMYFUNCTION("GOOGLETRANSLATE(B35348,""en"",""fr"")"),"Un homme monte sur un chameau et commence à marcher dans le dessert passant par les piramids pendant qu'un homme les mène avec une corde.")</f>
        <v>Un homme monte sur un chameau et commence à marcher dans le dessert passant par les piramids pendant qu'un homme les mène avec une corde.</v>
      </c>
    </row>
    <row r="35349">
      <c r="A35349" s="4" t="s">
        <v>44475</v>
      </c>
      <c r="B35349" s="4" t="s">
        <v>44478</v>
      </c>
      <c r="C35349" s="5" t="str">
        <f>IFERROR(__xludf.DUMMYFUNCTION("GOOGLETRANSLATE(B35349,""en"",""fr"")"),"Les chameaux s'arrêtent et un homme prend une photo.")</f>
        <v>Les chameaux s'arrêtent et un homme prend une photo.</v>
      </c>
    </row>
    <row r="35350">
      <c r="A35350" s="4" t="s">
        <v>44475</v>
      </c>
      <c r="B35350" s="4" t="s">
        <v>44479</v>
      </c>
      <c r="C35350" s="5" t="str">
        <f>IFERROR(__xludf.DUMMYFUNCTION("GOOGLETRANSLATE(B35350,""en"",""fr"")"),"Les hommes chevauchent des chameaux dans le dessert.")</f>
        <v>Les hommes chevauchent des chameaux dans le dessert.</v>
      </c>
    </row>
    <row r="35351">
      <c r="A35351" s="4" t="s">
        <v>44480</v>
      </c>
      <c r="B35351" s="4" t="s">
        <v>44481</v>
      </c>
      <c r="C35351" s="5" t="str">
        <f>IFERROR(__xludf.DUMMYFUNCTION("GOOGLETRANSLATE(B35351,""en"",""fr"")"),"Nous voyons un petit chien dans une baignoire avec le titre par-dessus.")</f>
        <v>Nous voyons un petit chien dans une baignoire avec le titre par-dessus.</v>
      </c>
    </row>
    <row r="35352">
      <c r="A35352" s="4" t="s">
        <v>44480</v>
      </c>
      <c r="B35352" s="4" t="s">
        <v>44482</v>
      </c>
      <c r="C35352" s="5" t="str">
        <f>IFERROR(__xludf.DUMMYFUNCTION("GOOGLETRANSLATE(B35352,""en"",""fr"")"),"Une personne assouplit le chien et met le shampooing dessus.")</f>
        <v>Une personne assouplit le chien et met le shampooing dessus.</v>
      </c>
    </row>
    <row r="35353">
      <c r="A35353" s="4" t="s">
        <v>44480</v>
      </c>
      <c r="B35353" s="4" t="s">
        <v>44483</v>
      </c>
      <c r="C35353" s="5" t="str">
        <f>IFERROR(__xludf.DUMMYFUNCTION("GOOGLETRANSLATE(B35353,""en"",""fr"")"),"La personne lave le chien avec les mains.")</f>
        <v>La personne lave le chien avec les mains.</v>
      </c>
    </row>
    <row r="35354">
      <c r="A35354" s="4" t="s">
        <v>44480</v>
      </c>
      <c r="B35354" s="4" t="s">
        <v>44484</v>
      </c>
      <c r="C35354" s="5" t="str">
        <f>IFERROR(__xludf.DUMMYFUNCTION("GOOGLETRANSLATE(B35354,""en"",""fr"")"),"Ils se lèvent le chien et le lavent.")</f>
        <v>Ils se lèvent le chien et le lavent.</v>
      </c>
    </row>
    <row r="35355">
      <c r="A35355" s="4" t="s">
        <v>44480</v>
      </c>
      <c r="B35355" s="4" t="s">
        <v>44485</v>
      </c>
      <c r="C35355" s="5" t="str">
        <f>IFERROR(__xludf.DUMMYFUNCTION("GOOGLETRANSLATE(B35355,""en"",""fr"")"),"Ils rincent le savon du chien.")</f>
        <v>Ils rincent le savon du chien.</v>
      </c>
    </row>
    <row r="35356">
      <c r="A35356" s="4" t="s">
        <v>44480</v>
      </c>
      <c r="B35356" s="4" t="s">
        <v>44486</v>
      </c>
      <c r="C35356" s="5" t="str">
        <f>IFERROR(__xludf.DUMMYFUNCTION("GOOGLETRANSLATE(B35356,""en"",""fr"")"),"Nous voyons le petit chien mouillé d'en haut.")</f>
        <v>Nous voyons le petit chien mouillé d'en haut.</v>
      </c>
    </row>
    <row r="35357">
      <c r="A35357" s="4" t="s">
        <v>44487</v>
      </c>
      <c r="B35357" s="4" t="s">
        <v>44488</v>
      </c>
      <c r="C35357" s="5" t="str">
        <f>IFERROR(__xludf.DUMMYFUNCTION("GOOGLETRANSLATE(B35357,""en"",""fr"")"),"Une femme nettoie des vêtements sur une table.")</f>
        <v>Une femme nettoie des vêtements sur une table.</v>
      </c>
    </row>
    <row r="35358">
      <c r="A35358" s="4" t="s">
        <v>44487</v>
      </c>
      <c r="B35358" s="4" t="s">
        <v>44489</v>
      </c>
      <c r="C35358" s="5" t="str">
        <f>IFERROR(__xludf.DUMMYFUNCTION("GOOGLETRANSLATE(B35358,""en"",""fr"")"),"Elle verse un seau d'eau sur les vêtements.")</f>
        <v>Elle verse un seau d'eau sur les vêtements.</v>
      </c>
    </row>
    <row r="35359">
      <c r="A35359" s="4" t="s">
        <v>44487</v>
      </c>
      <c r="B35359" s="4" t="s">
        <v>44490</v>
      </c>
      <c r="C35359" s="5" t="str">
        <f>IFERROR(__xludf.DUMMYFUNCTION("GOOGLETRANSLATE(B35359,""en"",""fr"")"),"Elle prend une brosse et frotte les vêtements.")</f>
        <v>Elle prend une brosse et frotte les vêtements.</v>
      </c>
    </row>
    <row r="35360">
      <c r="A35360" s="4" t="s">
        <v>44487</v>
      </c>
      <c r="B35360" s="4" t="s">
        <v>44491</v>
      </c>
      <c r="C35360" s="5" t="str">
        <f>IFERROR(__xludf.DUMMYFUNCTION("GOOGLETRANSLATE(B35360,""en"",""fr"")"),"Elle verse plus d'eau sur les vêtements.")</f>
        <v>Elle verse plus d'eau sur les vêtements.</v>
      </c>
    </row>
    <row r="35361">
      <c r="A35361" s="4" t="s">
        <v>44487</v>
      </c>
      <c r="B35361" s="4" t="s">
        <v>44492</v>
      </c>
      <c r="C35361" s="5" t="str">
        <f>IFERROR(__xludf.DUMMYFUNCTION("GOOGLETRANSLATE(B35361,""en"",""fr"")"),"Elle ramasse les vêtements et le place à côté d'elle.")</f>
        <v>Elle ramasse les vêtements et le place à côté d'elle.</v>
      </c>
    </row>
    <row r="35362">
      <c r="A35362" s="4" t="s">
        <v>44493</v>
      </c>
      <c r="B35362" s="4" t="s">
        <v>44494</v>
      </c>
      <c r="C35362" s="5" t="str">
        <f>IFERROR(__xludf.DUMMYFUNCTION("GOOGLETRANSLATE(B35362,""en"",""fr"")"),"Nous voyons une gymnaste masculine se préparer à utiliser le cheval pommel.")</f>
        <v>Nous voyons une gymnaste masculine se préparer à utiliser le cheval pommel.</v>
      </c>
    </row>
    <row r="35363">
      <c r="A35363" s="4" t="s">
        <v>44493</v>
      </c>
      <c r="B35363" s="4" t="s">
        <v>44495</v>
      </c>
      <c r="C35363" s="5" t="str">
        <f>IFERROR(__xludf.DUMMYFUNCTION("GOOGLETRANSLATE(B35363,""en"",""fr"")"),"L'homme monte le cheval pommel et fait tourner ses jambes autour.")</f>
        <v>L'homme monte le cheval pommel et fait tourner ses jambes autour.</v>
      </c>
    </row>
    <row r="35364">
      <c r="A35364" s="4" t="s">
        <v>44493</v>
      </c>
      <c r="B35364" s="4" t="s">
        <v>859</v>
      </c>
      <c r="C35364" s="5" t="str">
        <f>IFERROR(__xludf.DUMMYFUNCTION("GOOGLETRANSLATE(B35364,""en"",""fr"")"),"L'homme fait une main et démteille.")</f>
        <v>L'homme fait une main et démteille.</v>
      </c>
    </row>
    <row r="35365">
      <c r="A35365" s="4" t="s">
        <v>44493</v>
      </c>
      <c r="B35365" s="4" t="s">
        <v>44496</v>
      </c>
      <c r="C35365" s="5" t="str">
        <f>IFERROR(__xludf.DUMMYFUNCTION("GOOGLETRANSLATE(B35365,""en"",""fr"")"),"L'homme prend un arc et commence à s'éloigner.")</f>
        <v>L'homme prend un arc et commence à s'éloigner.</v>
      </c>
    </row>
    <row r="35366">
      <c r="A35366" s="4" t="s">
        <v>44497</v>
      </c>
      <c r="B35366" s="4" t="s">
        <v>44498</v>
      </c>
      <c r="C35366" s="5" t="str">
        <f>IFERROR(__xludf.DUMMYFUNCTION("GOOGLETRANSLATE(B35366,""en"",""fr"")"),"Une fille se tient dans une cour en tenant un râteau.")</f>
        <v>Une fille se tient dans une cour en tenant un râteau.</v>
      </c>
    </row>
    <row r="35367">
      <c r="A35367" s="4" t="s">
        <v>44497</v>
      </c>
      <c r="B35367" s="4" t="s">
        <v>44499</v>
      </c>
      <c r="C35367" s="5" t="str">
        <f>IFERROR(__xludf.DUMMYFUNCTION("GOOGLETRANSLATE(B35367,""en"",""fr"")"),"La fille ratisse les feuilles en tas.")</f>
        <v>La fille ratisse les feuilles en tas.</v>
      </c>
    </row>
    <row r="35368">
      <c r="A35368" s="4" t="s">
        <v>44497</v>
      </c>
      <c r="B35368" s="4" t="s">
        <v>44500</v>
      </c>
      <c r="C35368" s="5" t="str">
        <f>IFERROR(__xludf.DUMMYFUNCTION("GOOGLETRANSLATE(B35368,""en"",""fr"")"),"La fille se dirige vers un trampoline et obtient un râteau différent et râte les feuilles en cercle.")</f>
        <v>La fille se dirige vers un trampoline et obtient un râteau différent et râte les feuilles en cercle.</v>
      </c>
    </row>
    <row r="35369">
      <c r="A35369" s="4" t="s">
        <v>44497</v>
      </c>
      <c r="B35369" s="4" t="s">
        <v>44501</v>
      </c>
      <c r="C35369" s="5" t="str">
        <f>IFERROR(__xludf.DUMMYFUNCTION("GOOGLETRANSLATE(B35369,""en"",""fr"")"),"La fille a remis le râteau sur le trampoline et parle à la caméra.")</f>
        <v>La fille a remis le râteau sur le trampoline et parle à la caméra.</v>
      </c>
    </row>
    <row r="35370">
      <c r="A35370" s="4" t="s">
        <v>44497</v>
      </c>
      <c r="B35370" s="6" t="s">
        <v>44502</v>
      </c>
      <c r="C35370" s="5" t="str">
        <f>IFERROR(__xludf.DUMMYFUNCTION("GOOGLETRANSLATE(B35370,""en"",""fr"")"),"La fille saute, se roule et jette les feuilles avant de se tenir debout et de parler à la caméra.")</f>
        <v>La fille saute, se roule et jette les feuilles avant de se tenir debout et de parler à la caméra.</v>
      </c>
    </row>
    <row r="35371">
      <c r="A35371" s="4" t="s">
        <v>44503</v>
      </c>
      <c r="B35371" s="4" t="s">
        <v>44504</v>
      </c>
      <c r="C35371" s="5" t="str">
        <f>IFERROR(__xludf.DUMMYFUNCTION("GOOGLETRANSLATE(B35371,""en"",""fr"")"),"Un homme en costume parle dans un microphone.")</f>
        <v>Un homme en costume parle dans un microphone.</v>
      </c>
    </row>
    <row r="35372">
      <c r="A35372" s="4" t="s">
        <v>44503</v>
      </c>
      <c r="B35372" s="4" t="s">
        <v>44505</v>
      </c>
      <c r="C35372" s="5" t="str">
        <f>IFERROR(__xludf.DUMMYFUNCTION("GOOGLETRANSLATE(B35372,""en"",""fr"")"),"Les gens skient dans l'eau dans l'eau.")</f>
        <v>Les gens skient dans l'eau dans l'eau.</v>
      </c>
    </row>
    <row r="35373">
      <c r="A35373" s="4" t="s">
        <v>44503</v>
      </c>
      <c r="B35373" s="4" t="s">
        <v>44506</v>
      </c>
      <c r="C35373" s="5" t="str">
        <f>IFERROR(__xludf.DUMMYFUNCTION("GOOGLETRANSLATE(B35373,""en"",""fr"")"),"Un homme tombe et est traîné par le bateau dans l'eau.")</f>
        <v>Un homme tombe et est traîné par le bateau dans l'eau.</v>
      </c>
    </row>
    <row r="35374">
      <c r="A35374" s="4" t="s">
        <v>44503</v>
      </c>
      <c r="B35374" s="4" t="s">
        <v>44507</v>
      </c>
      <c r="C35374" s="5" t="str">
        <f>IFERROR(__xludf.DUMMYFUNCTION("GOOGLETRANSLATE(B35374,""en"",""fr"")"),"Un homme se retourne pendant le ski nautique et tient la corde avec son pied.")</f>
        <v>Un homme se retourne pendant le ski nautique et tient la corde avec son pied.</v>
      </c>
    </row>
    <row r="35375">
      <c r="A35375" s="4" t="s">
        <v>44503</v>
      </c>
      <c r="B35375" s="4" t="s">
        <v>44508</v>
      </c>
      <c r="C35375" s="5" t="str">
        <f>IFERROR(__xludf.DUMMYFUNCTION("GOOGLETRANSLATE(B35375,""en"",""fr"")"),"Il s'écrase et tombe dans l'eau.")</f>
        <v>Il s'écrase et tombe dans l'eau.</v>
      </c>
    </row>
    <row r="35376">
      <c r="A35376" s="4" t="s">
        <v>44509</v>
      </c>
      <c r="B35376" s="4" t="s">
        <v>44510</v>
      </c>
      <c r="C35376" s="5" t="str">
        <f>IFERROR(__xludf.DUMMYFUNCTION("GOOGLETRANSLATE(B35376,""en"",""fr"")"),"Deux hommes font une capoeira entourée d'un cercle de personnes.")</f>
        <v>Deux hommes font une capoeira entourée d'un cercle de personnes.</v>
      </c>
    </row>
    <row r="35377">
      <c r="A35377" s="4" t="s">
        <v>44509</v>
      </c>
      <c r="B35377" s="4" t="s">
        <v>44511</v>
      </c>
      <c r="C35377" s="5" t="str">
        <f>IFERROR(__xludf.DUMMYFUNCTION("GOOGLETRANSLATE(B35377,""en"",""fr"")"),"Les hommes prennent une pause et se permettent de jouer pour les gens.")</f>
        <v>Les hommes prennent une pause et se permettent de jouer pour les gens.</v>
      </c>
    </row>
    <row r="35378">
      <c r="A35378" s="4" t="s">
        <v>44509</v>
      </c>
      <c r="B35378" s="4" t="s">
        <v>44512</v>
      </c>
      <c r="C35378" s="5" t="str">
        <f>IFERROR(__xludf.DUMMYFUNCTION("GOOGLETRANSLATE(B35378,""en"",""fr"")"),"Ils se serrent la main et quittent le cercle permettant à deux autres hommes d'entrer dans le cercle.")</f>
        <v>Ils se serrent la main et quittent le cercle permettant à deux autres hommes d'entrer dans le cercle.</v>
      </c>
    </row>
    <row r="35379">
      <c r="A35379" s="4" t="s">
        <v>44509</v>
      </c>
      <c r="B35379" s="4" t="s">
        <v>44513</v>
      </c>
      <c r="C35379" s="5" t="str">
        <f>IFERROR(__xludf.DUMMYFUNCTION("GOOGLETRANSLATE(B35379,""en"",""fr"")"),"Un homme en bleu et un homme en gris se saluent au milieu du cercle.")</f>
        <v>Un homme en bleu et un homme en gris se saluent au milieu du cercle.</v>
      </c>
    </row>
    <row r="35380">
      <c r="A35380" s="4" t="s">
        <v>44509</v>
      </c>
      <c r="B35380" s="4" t="s">
        <v>44514</v>
      </c>
      <c r="C35380" s="5" t="str">
        <f>IFERROR(__xludf.DUMMYFUNCTION("GOOGLETRANSLATE(B35380,""en"",""fr"")"),"Les deux autres hommes commencent à effectuer une capoeira pour la foule.")</f>
        <v>Les deux autres hommes commencent à effectuer une capoeira pour la foule.</v>
      </c>
    </row>
    <row r="35381">
      <c r="A35381" s="4" t="s">
        <v>44515</v>
      </c>
      <c r="B35381" s="4" t="s">
        <v>3714</v>
      </c>
      <c r="C35381" s="5" t="str">
        <f>IFERROR(__xludf.DUMMYFUNCTION("GOOGLETRANSLATE(B35381,""en"",""fr"")"),"Nous voyons un écran d'ouverture sombre.")</f>
        <v>Nous voyons un écran d'ouverture sombre.</v>
      </c>
    </row>
    <row r="35382">
      <c r="A35382" s="4" t="s">
        <v>44515</v>
      </c>
      <c r="B35382" s="4" t="s">
        <v>44516</v>
      </c>
      <c r="C35382" s="5" t="str">
        <f>IFERROR(__xludf.DUMMYFUNCTION("GOOGLETRANSLATE(B35382,""en"",""fr"")"),"Nous voyons des gens préparer divers chiens.")</f>
        <v>Nous voyons des gens préparer divers chiens.</v>
      </c>
    </row>
    <row r="35383">
      <c r="A35383" s="4" t="s">
        <v>44515</v>
      </c>
      <c r="B35383" s="4" t="s">
        <v>44517</v>
      </c>
      <c r="C35383" s="5" t="str">
        <f>IFERROR(__xludf.DUMMYFUNCTION("GOOGLETRANSLATE(B35383,""en"",""fr"")"),"Nous voyons un homme rafraîchir la fourrure sur un grand chien.")</f>
        <v>Nous voyons un homme rafraîchir la fourrure sur un grand chien.</v>
      </c>
    </row>
    <row r="35384">
      <c r="A35384" s="4" t="s">
        <v>44515</v>
      </c>
      <c r="B35384" s="4" t="s">
        <v>44518</v>
      </c>
      <c r="C35384" s="5" t="str">
        <f>IFERROR(__xludf.DUMMYFUNCTION("GOOGLETRANSLATE(B35384,""en"",""fr"")"),"Nous voyons un homme sécher un chien.")</f>
        <v>Nous voyons un homme sécher un chien.</v>
      </c>
    </row>
    <row r="35385">
      <c r="A35385" s="4" t="s">
        <v>44515</v>
      </c>
      <c r="B35385" s="4" t="s">
        <v>44519</v>
      </c>
      <c r="C35385" s="5" t="str">
        <f>IFERROR(__xludf.DUMMYFUNCTION("GOOGLETRANSLATE(B35385,""en"",""fr"")"),"Nous voyons un grand chien noir se sécher.")</f>
        <v>Nous voyons un grand chien noir se sécher.</v>
      </c>
    </row>
    <row r="35386">
      <c r="A35386" s="4" t="s">
        <v>44515</v>
      </c>
      <c r="B35386" s="4" t="s">
        <v>44520</v>
      </c>
      <c r="C35386" s="5" t="str">
        <f>IFERROR(__xludf.DUMMYFUNCTION("GOOGLETRANSLATE(B35386,""en"",""fr"")"),"Un homme se cache les cheveux de chiens.")</f>
        <v>Un homme se cache les cheveux de chiens.</v>
      </c>
    </row>
    <row r="35387">
      <c r="A35387" s="4" t="s">
        <v>44515</v>
      </c>
      <c r="B35387" s="4" t="s">
        <v>44521</v>
      </c>
      <c r="C35387" s="5" t="str">
        <f>IFERROR(__xludf.DUMMYFUNCTION("GOOGLETRANSLATE(B35387,""en"",""fr"")"),"Nous voyons deux écrans de fin sombre.")</f>
        <v>Nous voyons deux écrans de fin sombre.</v>
      </c>
    </row>
    <row r="35388">
      <c r="A35388" s="4" t="s">
        <v>44522</v>
      </c>
      <c r="B35388" s="4" t="s">
        <v>44523</v>
      </c>
      <c r="C35388" s="5" t="str">
        <f>IFERROR(__xludf.DUMMYFUNCTION("GOOGLETRANSLATE(B35388,""en"",""fr"")"),"«Un cookie est illustré sur une assiette.")</f>
        <v>«Un cookie est illustré sur une assiette.</v>
      </c>
    </row>
    <row r="35389">
      <c r="A35389" s="4" t="s">
        <v>44522</v>
      </c>
      <c r="B35389" s="4" t="s">
        <v>44524</v>
      </c>
      <c r="C35389" s="5" t="str">
        <f>IFERROR(__xludf.DUMMYFUNCTION("GOOGLETRANSLATE(B35389,""en"",""fr"")"),"Les ingrédients sont ajoutés à un bol en verre et sont mélangés.")</f>
        <v>Les ingrédients sont ajoutés à un bol en verre et sont mélangés.</v>
      </c>
    </row>
    <row r="35390">
      <c r="A35390" s="4" t="s">
        <v>44522</v>
      </c>
      <c r="B35390" s="4" t="s">
        <v>44525</v>
      </c>
      <c r="C35390" s="5" t="str">
        <f>IFERROR(__xludf.DUMMYFUNCTION("GOOGLETRANSLATE(B35390,""en"",""fr"")"),"Des pépites de chocolat sont ajoutées à la pâte.")</f>
        <v>Des pépites de chocolat sont ajoutées à la pâte.</v>
      </c>
    </row>
    <row r="35391">
      <c r="A35391" s="4" t="s">
        <v>44522</v>
      </c>
      <c r="B35391" s="4" t="s">
        <v>44526</v>
      </c>
      <c r="C35391" s="5" t="str">
        <f>IFERROR(__xludf.DUMMYFUNCTION("GOOGLETRANSLATE(B35391,""en"",""fr"")"),"La pâte est aplatie sur une plaque à biscuits.")</f>
        <v>La pâte est aplatie sur une plaque à biscuits.</v>
      </c>
    </row>
    <row r="35392">
      <c r="A35392" s="4" t="s">
        <v>44522</v>
      </c>
      <c r="B35392" s="4" t="s">
        <v>44527</v>
      </c>
      <c r="C35392" s="5" t="str">
        <f>IFERROR(__xludf.DUMMYFUNCTION("GOOGLETRANSLATE(B35392,""en"",""fr"")"),"Le chocolat est arrosé sur le dessus.")</f>
        <v>Le chocolat est arrosé sur le dessus.</v>
      </c>
    </row>
    <row r="35393">
      <c r="A35393" s="4" t="s">
        <v>44522</v>
      </c>
      <c r="B35393" s="4" t="s">
        <v>44528</v>
      </c>
      <c r="C35393" s="5" t="str">
        <f>IFERROR(__xludf.DUMMYFUNCTION("GOOGLETRANSLATE(B35393,""en"",""fr"")"),"Les bonbons sont placés sur le biscuit.")</f>
        <v>Les bonbons sont placés sur le biscuit.</v>
      </c>
    </row>
    <row r="35394">
      <c r="A35394" s="4" t="s">
        <v>44522</v>
      </c>
      <c r="B35394" s="4" t="s">
        <v>44529</v>
      </c>
      <c r="C35394" s="5" t="str">
        <f>IFERROR(__xludf.DUMMYFUNCTION("GOOGLETRANSLATE(B35394,""en"",""fr"")"),"Le cookie est coupé et placé sur une assiette.")</f>
        <v>Le cookie est coupé et placé sur une assiette.</v>
      </c>
    </row>
    <row r="35395">
      <c r="A35395" s="4" t="s">
        <v>44522</v>
      </c>
      <c r="B35395" s="4" t="s">
        <v>44530</v>
      </c>
      <c r="C35395" s="5" t="str">
        <f>IFERROR(__xludf.DUMMYFUNCTION("GOOGLETRANSLATE(B35395,""en"",""fr"")"),"Une fourche est montrée en mangeant le biscuit.")</f>
        <v>Une fourche est montrée en mangeant le biscuit.</v>
      </c>
    </row>
    <row r="35396">
      <c r="A35396" s="4" t="s">
        <v>44531</v>
      </c>
      <c r="B35396" s="4" t="s">
        <v>44532</v>
      </c>
      <c r="C35396" s="5" t="str">
        <f>IFERROR(__xludf.DUMMYFUNCTION("GOOGLETRANSLATE(B35396,""en"",""fr"")"),"Une femme est assise dans un stand.")</f>
        <v>Une femme est assise dans un stand.</v>
      </c>
    </row>
    <row r="35397">
      <c r="A35397" s="4" t="s">
        <v>44531</v>
      </c>
      <c r="B35397" s="4" t="s">
        <v>44533</v>
      </c>
      <c r="C35397" s="5" t="str">
        <f>IFERROR(__xludf.DUMMYFUNCTION("GOOGLETRANSLATE(B35397,""en"",""fr"")"),"Sa petite fille bouscule un cornet de crème glacée à la vanille sur son visage et rit.")</f>
        <v>Sa petite fille bouscule un cornet de crème glacée à la vanille sur son visage et rit.</v>
      </c>
    </row>
    <row r="35398">
      <c r="A35398" s="4" t="s">
        <v>44531</v>
      </c>
      <c r="B35398" s="4" t="s">
        <v>44534</v>
      </c>
      <c r="C35398" s="5" t="str">
        <f>IFERROR(__xludf.DUMMYFUNCTION("GOOGLETRANSLATE(B35398,""en"",""fr"")"),"La fille continue de le faire, et la femme doit s'essuyer plusieurs fois la bouche et le nez.")</f>
        <v>La fille continue de le faire, et la femme doit s'essuyer plusieurs fois la bouche et le nez.</v>
      </c>
    </row>
    <row r="35399">
      <c r="A35399" s="4" t="s">
        <v>44535</v>
      </c>
      <c r="B35399" s="4" t="s">
        <v>44536</v>
      </c>
      <c r="C35399" s="5" t="str">
        <f>IFERROR(__xludf.DUMMYFUNCTION("GOOGLETRANSLATE(B35399,""en"",""fr"")"),"Le joueur sert le birdie pour commencer le match.")</f>
        <v>Le joueur sert le birdie pour commencer le match.</v>
      </c>
    </row>
    <row r="35400">
      <c r="A35400" s="4" t="s">
        <v>44535</v>
      </c>
      <c r="B35400" s="4" t="s">
        <v>44537</v>
      </c>
      <c r="C35400" s="5" t="str">
        <f>IFERROR(__xludf.DUMMYFUNCTION("GOOGLETRANSLATE(B35400,""en"",""fr"")"),"Deux équipes participent à un match de badminton en gymnase.")</f>
        <v>Deux équipes participent à un match de badminton en gymnase.</v>
      </c>
    </row>
    <row r="35401">
      <c r="A35401" s="4" t="s">
        <v>44535</v>
      </c>
      <c r="B35401" s="4" t="s">
        <v>44538</v>
      </c>
      <c r="C35401" s="5" t="str">
        <f>IFERROR(__xludf.DUMMYFUNCTION("GOOGLETRANSLATE(B35401,""en"",""fr"")"),"Les équipes ont une longue volée pendant le match.")</f>
        <v>Les équipes ont une longue volée pendant le match.</v>
      </c>
    </row>
    <row r="35402">
      <c r="A35402" s="4" t="s">
        <v>44535</v>
      </c>
      <c r="B35402" s="4" t="s">
        <v>44539</v>
      </c>
      <c r="C35402" s="5" t="str">
        <f>IFERROR(__xludf.DUMMYFUNCTION("GOOGLETRANSLATE(B35402,""en"",""fr"")"),"Le joueur augmente le birdie dur et marque un point.")</f>
        <v>Le joueur augmente le birdie dur et marque un point.</v>
      </c>
    </row>
    <row r="35403">
      <c r="A35403" s="4" t="s">
        <v>44540</v>
      </c>
      <c r="B35403" s="4" t="s">
        <v>44541</v>
      </c>
      <c r="C35403" s="5" t="str">
        <f>IFERROR(__xludf.DUMMYFUNCTION("GOOGLETRANSLATE(B35403,""en"",""fr"")"),"Un guerrier sumo est montré tenant un téléavertisseur.")</f>
        <v>Un guerrier sumo est montré tenant un téléavertisseur.</v>
      </c>
    </row>
    <row r="35404">
      <c r="A35404" s="4" t="s">
        <v>44540</v>
      </c>
      <c r="B35404" s="4" t="s">
        <v>44542</v>
      </c>
      <c r="C35404" s="5" t="str">
        <f>IFERROR(__xludf.DUMMYFUNCTION("GOOGLETRANSLATE(B35404,""en"",""fr"")"),"Un plus grand guerrier sumo est montré tenant un autre téléavertisseur.")</f>
        <v>Un plus grand guerrier sumo est montré tenant un autre téléavertisseur.</v>
      </c>
    </row>
    <row r="35405">
      <c r="A35405" s="4" t="s">
        <v>44540</v>
      </c>
      <c r="B35405" s="4" t="s">
        <v>44543</v>
      </c>
      <c r="C35405" s="5" t="str">
        <f>IFERROR(__xludf.DUMMYFUNCTION("GOOGLETRANSLATE(B35405,""en"",""fr"")"),"Les guerriers de Sumo s'affrontent et le plus grand se trouve et fait disparaître le plus petit.")</f>
        <v>Les guerriers de Sumo s'affrontent et le plus grand se trouve et fait disparaître le plus petit.</v>
      </c>
    </row>
    <row r="35406">
      <c r="A35406" s="4" t="s">
        <v>44544</v>
      </c>
      <c r="B35406" s="6" t="s">
        <v>44545</v>
      </c>
      <c r="C35406" s="5" t="str">
        <f>IFERROR(__xludf.DUMMYFUNCTION("GOOGLETRANSLATE(B35406,""en"",""fr"")"),"Une caméra se déroule autour d'une photo d'un cheval suivi d'une personne brossant et aspirant les cheveux d'un cheval.")</f>
        <v>Une caméra se déroule autour d'une photo d'un cheval suivi d'une personne brossant et aspirant les cheveux d'un cheval.</v>
      </c>
    </row>
    <row r="35407">
      <c r="A35407" s="4" t="s">
        <v>44544</v>
      </c>
      <c r="B35407" s="6" t="s">
        <v>44546</v>
      </c>
      <c r="C35407" s="5" t="str">
        <f>IFERROR(__xludf.DUMMYFUNCTION("GOOGLETRANSLATE(B35407,""en"",""fr"")"),"La personne continue de se brosser et d'aspirer les cheveux et de se terminer par l'image des deux ensemble.")</f>
        <v>La personne continue de se brosser et d'aspirer les cheveux et de se terminer par l'image des deux ensemble.</v>
      </c>
    </row>
    <row r="35408">
      <c r="A35408" s="4" t="s">
        <v>44547</v>
      </c>
      <c r="B35408" s="4" t="s">
        <v>44548</v>
      </c>
      <c r="C35408" s="5" t="str">
        <f>IFERROR(__xludf.DUMMYFUNCTION("GOOGLETRANSLATE(B35408,""en"",""fr"")"),"Un homme et une femme sont assis devant un piano qui le jouent ensemble.")</f>
        <v>Un homme et une femme sont assis devant un piano qui le jouent ensemble.</v>
      </c>
    </row>
    <row r="35409">
      <c r="A35409" s="4" t="s">
        <v>44547</v>
      </c>
      <c r="B35409" s="4" t="s">
        <v>44549</v>
      </c>
      <c r="C35409" s="5" t="str">
        <f>IFERROR(__xludf.DUMMYFUNCTION("GOOGLETRANSLATE(B35409,""en"",""fr"")"),"Les gens sont rassemblés autour du piano en regardant les gens assis sur le piano.")</f>
        <v>Les gens sont rassemblés autour du piano en regardant les gens assis sur le piano.</v>
      </c>
    </row>
    <row r="35410">
      <c r="A35410" s="4" t="s">
        <v>44547</v>
      </c>
      <c r="B35410" s="4" t="s">
        <v>44550</v>
      </c>
      <c r="C35410" s="5" t="str">
        <f>IFERROR(__xludf.DUMMYFUNCTION("GOOGLETRANSLATE(B35410,""en"",""fr"")"),"Les gens sur le piano se dresse et changent la position dans Fornt du piano.")</f>
        <v>Les gens sur le piano se dresse et changent la position dans Fornt du piano.</v>
      </c>
    </row>
    <row r="35411">
      <c r="A35411" s="4" t="s">
        <v>44551</v>
      </c>
      <c r="B35411" s="4" t="s">
        <v>44552</v>
      </c>
      <c r="C35411" s="5" t="str">
        <f>IFERROR(__xludf.DUMMYFUNCTION("GOOGLETRANSLATE(B35411,""en"",""fr"")"),"Un homme vêtu d'un équipement d'hiver est assis en hiver sur un lac gelé.")</f>
        <v>Un homme vêtu d'un équipement d'hiver est assis en hiver sur un lac gelé.</v>
      </c>
    </row>
    <row r="35412">
      <c r="A35412" s="4" t="s">
        <v>44551</v>
      </c>
      <c r="B35412" s="4" t="s">
        <v>44553</v>
      </c>
      <c r="C35412" s="5" t="str">
        <f>IFERROR(__xludf.DUMMYFUNCTION("GOOGLETRANSLATE(B35412,""en"",""fr"")"),"Il est assis là avec des équipements de pêche à la pêche sur le lac gelé.")</f>
        <v>Il est assis là avec des équipements de pêche à la pêche sur le lac gelé.</v>
      </c>
    </row>
    <row r="35413">
      <c r="A35413" s="4" t="s">
        <v>44551</v>
      </c>
      <c r="B35413" s="4" t="s">
        <v>44554</v>
      </c>
      <c r="C35413" s="5" t="str">
        <f>IFERROR(__xludf.DUMMYFUNCTION("GOOGLETRANSLATE(B35413,""en"",""fr"")"),"Il utilise un appât pour pêcher et attrape un poisson gris de taille moyenne.")</f>
        <v>Il utilise un appât pour pêcher et attrape un poisson gris de taille moyenne.</v>
      </c>
    </row>
    <row r="35414">
      <c r="A35414" s="4" t="s">
        <v>44551</v>
      </c>
      <c r="B35414" s="4" t="s">
        <v>44555</v>
      </c>
      <c r="C35414" s="5" t="str">
        <f>IFERROR(__xludf.DUMMYFUNCTION("GOOGLETRANSLATE(B35414,""en"",""fr"")"),"Il montre les deux poissons qu'il a capturés.")</f>
        <v>Il montre les deux poissons qu'il a capturés.</v>
      </c>
    </row>
    <row r="35415">
      <c r="A35415" s="4" t="s">
        <v>44551</v>
      </c>
      <c r="B35415" s="4" t="s">
        <v>44556</v>
      </c>
      <c r="C35415" s="5" t="str">
        <f>IFERROR(__xludf.DUMMYFUNCTION("GOOGLETRANSLATE(B35415,""en"",""fr"")"),"Puis il met son filet de pêche dans un trou dans le lac et continue de pêcher.")</f>
        <v>Puis il met son filet de pêche dans un trou dans le lac et continue de pêcher.</v>
      </c>
    </row>
    <row r="35416">
      <c r="A35416" s="4" t="s">
        <v>44551</v>
      </c>
      <c r="B35416" s="4" t="s">
        <v>44557</v>
      </c>
      <c r="C35416" s="5" t="str">
        <f>IFERROR(__xludf.DUMMYFUNCTION("GOOGLETRANSLATE(B35416,""en"",""fr"")"),"Il attrape un autre poisson gris foncé et le jette dans sa boîte.")</f>
        <v>Il attrape un autre poisson gris foncé et le jette dans sa boîte.</v>
      </c>
    </row>
    <row r="35417">
      <c r="A35417" s="4" t="s">
        <v>44551</v>
      </c>
      <c r="B35417" s="4" t="s">
        <v>44558</v>
      </c>
      <c r="C35417" s="5" t="str">
        <f>IFERROR(__xludf.DUMMYFUNCTION("GOOGLETRANSLATE(B35417,""en"",""fr"")"),"Il continue de pêcher et attrape plus de poissons dans ce même trou.")</f>
        <v>Il continue de pêcher et attrape plus de poissons dans ce même trou.</v>
      </c>
    </row>
    <row r="35418">
      <c r="A35418" s="4" t="s">
        <v>44551</v>
      </c>
      <c r="B35418" s="4" t="s">
        <v>44559</v>
      </c>
      <c r="C35418" s="5" t="str">
        <f>IFERROR(__xludf.DUMMYFUNCTION("GOOGLETRANSLATE(B35418,""en"",""fr"")"),"Il recueille le poisson dans un seau blanc.")</f>
        <v>Il recueille le poisson dans un seau blanc.</v>
      </c>
    </row>
    <row r="35419">
      <c r="A35419" s="4" t="s">
        <v>44560</v>
      </c>
      <c r="B35419" s="4" t="s">
        <v>44561</v>
      </c>
      <c r="C35419" s="5" t="str">
        <f>IFERROR(__xludf.DUMMYFUNCTION("GOOGLETRANSLATE(B35419,""en"",""fr"")"),"Une femme se tient sur une piste.")</f>
        <v>Une femme se tient sur une piste.</v>
      </c>
    </row>
    <row r="35420">
      <c r="A35420" s="4" t="s">
        <v>44560</v>
      </c>
      <c r="B35420" s="4" t="s">
        <v>44562</v>
      </c>
      <c r="C35420" s="5" t="str">
        <f>IFERROR(__xludf.DUMMYFUNCTION("GOOGLETRANSLATE(B35420,""en"",""fr"")"),"Elle se penche sur la piste.")</f>
        <v>Elle se penche sur la piste.</v>
      </c>
    </row>
    <row r="35421">
      <c r="A35421" s="4" t="s">
        <v>44560</v>
      </c>
      <c r="B35421" s="4" t="s">
        <v>44563</v>
      </c>
      <c r="C35421" s="5" t="str">
        <f>IFERROR(__xludf.DUMMYFUNCTION("GOOGLETRANSLATE(B35421,""en"",""fr"")"),"Elle court ensuite sur la piste.")</f>
        <v>Elle court ensuite sur la piste.</v>
      </c>
    </row>
    <row r="35422">
      <c r="A35422" s="4" t="s">
        <v>44560</v>
      </c>
      <c r="B35422" s="4" t="s">
        <v>44564</v>
      </c>
      <c r="C35422" s="5" t="str">
        <f>IFERROR(__xludf.DUMMYFUNCTION("GOOGLETRANSLATE(B35422,""en"",""fr"")"),"Elle saute et atterrit dans le sable.")</f>
        <v>Elle saute et atterrit dans le sable.</v>
      </c>
    </row>
    <row r="35423">
      <c r="A35423" s="4" t="s">
        <v>44565</v>
      </c>
      <c r="B35423" s="4" t="s">
        <v>44566</v>
      </c>
      <c r="C35423" s="5" t="str">
        <f>IFERROR(__xludf.DUMMYFUNCTION("GOOGLETRANSLATE(B35423,""en"",""fr"")"),"Un homme est assis sur un coureur de vague dans l'eau.")</f>
        <v>Un homme est assis sur un coureur de vague dans l'eau.</v>
      </c>
    </row>
    <row r="35424">
      <c r="A35424" s="4" t="s">
        <v>44565</v>
      </c>
      <c r="B35424" s="4" t="s">
        <v>44567</v>
      </c>
      <c r="C35424" s="5" t="str">
        <f>IFERROR(__xludf.DUMMYFUNCTION("GOOGLETRANSLATE(B35424,""en"",""fr"")"),"Une personne surfer sur une grande vague dans l'eau.")</f>
        <v>Une personne surfer sur une grande vague dans l'eau.</v>
      </c>
    </row>
    <row r="35425">
      <c r="A35425" s="4" t="s">
        <v>44565</v>
      </c>
      <c r="B35425" s="4" t="s">
        <v>44568</v>
      </c>
      <c r="C35425" s="5" t="str">
        <f>IFERROR(__xludf.DUMMYFUNCTION("GOOGLETRANSLATE(B35425,""en"",""fr"")"),"La vague s'écrase sur le surfeur.")</f>
        <v>La vague s'écrase sur le surfeur.</v>
      </c>
    </row>
    <row r="35426">
      <c r="A35426" s="4" t="s">
        <v>44569</v>
      </c>
      <c r="B35426" s="4" t="s">
        <v>44570</v>
      </c>
      <c r="C35426" s="5" t="str">
        <f>IFERROR(__xludf.DUMMYFUNCTION("GOOGLETRANSLATE(B35426,""en"",""fr"")"),"Une femme et un homme dansant de manière provocante en dehors d'un restaurant.")</f>
        <v>Une femme et un homme dansant de manière provocante en dehors d'un restaurant.</v>
      </c>
    </row>
    <row r="35427">
      <c r="A35427" s="4" t="s">
        <v>44569</v>
      </c>
      <c r="B35427" s="4" t="s">
        <v>44571</v>
      </c>
      <c r="C35427" s="5" t="str">
        <f>IFERROR(__xludf.DUMMYFUNCTION("GOOGLETRANSLATE(B35427,""en"",""fr"")"),"Elle porte une robe courte très sexy et donne un coup de pied dans les jambes de haut en bas en talons.")</f>
        <v>Elle porte une robe courte très sexy et donne un coup de pied dans les jambes de haut en bas en talons.</v>
      </c>
    </row>
    <row r="35428">
      <c r="A35428" s="4" t="s">
        <v>44569</v>
      </c>
      <c r="B35428" s="4" t="s">
        <v>44572</v>
      </c>
      <c r="C35428" s="5" t="str">
        <f>IFERROR(__xludf.DUMMYFUNCTION("GOOGLETRANSLATE(B35428,""en"",""fr"")"),"Les gens sortent du restaurant.")</f>
        <v>Les gens sortent du restaurant.</v>
      </c>
    </row>
    <row r="35429">
      <c r="A35429" s="4" t="s">
        <v>44569</v>
      </c>
      <c r="B35429" s="4" t="s">
        <v>44573</v>
      </c>
      <c r="C35429" s="5" t="str">
        <f>IFERROR(__xludf.DUMMYFUNCTION("GOOGLETRANSLATE(B35429,""en"",""fr"")"),"L'un des travailleurs est assis sur un tabouret pour fumer jusqu'à ce qu'ils mettent fin à leur danse sur le terrain.")</f>
        <v>L'un des travailleurs est assis sur un tabouret pour fumer jusqu'à ce qu'ils mettent fin à leur danse sur le terrain.</v>
      </c>
    </row>
    <row r="35430">
      <c r="A35430" s="4" t="s">
        <v>44574</v>
      </c>
      <c r="B35430" s="4" t="s">
        <v>44575</v>
      </c>
      <c r="C35430" s="5" t="str">
        <f>IFERROR(__xludf.DUMMYFUNCTION("GOOGLETRANSLATE(B35430,""en"",""fr"")"),"Plusieurs personnes frappent un instrument avec des bâtons.")</f>
        <v>Plusieurs personnes frappent un instrument avec des bâtons.</v>
      </c>
    </row>
    <row r="35431">
      <c r="A35431" s="4" t="s">
        <v>44574</v>
      </c>
      <c r="B35431" s="4" t="s">
        <v>44576</v>
      </c>
      <c r="C35431" s="5" t="str">
        <f>IFERROR(__xludf.DUMMYFUNCTION("GOOGLETRANSLATE(B35431,""en"",""fr"")"),"Deux hommes se retournent l'un devant l'autre.")</f>
        <v>Deux hommes se retournent l'un devant l'autre.</v>
      </c>
    </row>
    <row r="35432">
      <c r="A35432" s="4" t="s">
        <v>44574</v>
      </c>
      <c r="B35432" s="4" t="s">
        <v>44577</v>
      </c>
      <c r="C35432" s="5" t="str">
        <f>IFERROR(__xludf.DUMMYFUNCTION("GOOGLETRANSLATE(B35432,""en"",""fr"")"),"Plusieurs autres groupes de personnes semblent faire une sorte de danse d'arts martiaux.")</f>
        <v>Plusieurs autres groupes de personnes semblent faire une sorte de danse d'arts martiaux.</v>
      </c>
    </row>
    <row r="35433">
      <c r="A35433" s="4" t="s">
        <v>44574</v>
      </c>
      <c r="B35433" s="4" t="s">
        <v>44578</v>
      </c>
      <c r="C35433" s="5" t="str">
        <f>IFERROR(__xludf.DUMMYFUNCTION("GOOGLETRANSLATE(B35433,""en"",""fr"")"),"Ils sont déclenchés en applaudissant les spectateurs.")</f>
        <v>Ils sont déclenchés en applaudissant les spectateurs.</v>
      </c>
    </row>
    <row r="35434">
      <c r="A35434" s="4" t="s">
        <v>44579</v>
      </c>
      <c r="B35434" s="4" t="s">
        <v>44580</v>
      </c>
      <c r="C35434" s="5" t="str">
        <f>IFERROR(__xludf.DUMMYFUNCTION("GOOGLETRANSLATE(B35434,""en"",""fr"")"),"Un homme est vu debout devant un but tenant un bâton et parlant à la caméra.")</f>
        <v>Un homme est vu debout devant un but tenant un bâton et parlant à la caméra.</v>
      </c>
    </row>
    <row r="35435">
      <c r="A35435" s="4" t="s">
        <v>44579</v>
      </c>
      <c r="B35435" s="4" t="s">
        <v>44581</v>
      </c>
      <c r="C35435" s="5" t="str">
        <f>IFERROR(__xludf.DUMMYFUNCTION("GOOGLETRANSLATE(B35435,""en"",""fr"")"),"Plusieurs plans de lui parlant sont montrés et il montre comment être correctement un gardien de but.")</f>
        <v>Plusieurs plans de lui parlant sont montrés et il montre comment être correctement un gardien de but.</v>
      </c>
    </row>
    <row r="35436">
      <c r="A35436" s="4" t="s">
        <v>44579</v>
      </c>
      <c r="B35436" s="6" t="s">
        <v>44582</v>
      </c>
      <c r="C35436" s="5" t="str">
        <f>IFERROR(__xludf.DUMMYFUNCTION("GOOGLETRANSLATE(B35436,""en"",""fr"")"),"Il recule et quatrième un peu tout en déplaçant le bâton tout en tenant ses bras et en parlant à la caméra.")</f>
        <v>Il recule et quatrième un peu tout en déplaçant le bâton tout en tenant ses bras et en parlant à la caméra.</v>
      </c>
    </row>
    <row r="35437">
      <c r="A35437" s="4" t="s">
        <v>44583</v>
      </c>
      <c r="B35437" s="4" t="s">
        <v>44584</v>
      </c>
      <c r="C35437" s="5" t="str">
        <f>IFERROR(__xludf.DUMMYFUNCTION("GOOGLETRANSLATE(B35437,""en"",""fr"")"),"Un petit garçon joue du scotch Hop sur le trottoir.")</f>
        <v>Un petit garçon joue du scotch Hop sur le trottoir.</v>
      </c>
    </row>
    <row r="35438">
      <c r="A35438" s="4" t="s">
        <v>44583</v>
      </c>
      <c r="B35438" s="4" t="s">
        <v>44585</v>
      </c>
      <c r="C35438" s="5" t="str">
        <f>IFERROR(__xludf.DUMMYFUNCTION("GOOGLETRANSLATE(B35438,""en"",""fr"")"),"Il y a un camion derrière lui.")</f>
        <v>Il y a un camion derrière lui.</v>
      </c>
    </row>
    <row r="35439">
      <c r="A35439" s="4" t="s">
        <v>44583</v>
      </c>
      <c r="B35439" s="4" t="s">
        <v>44586</v>
      </c>
      <c r="C35439" s="5" t="str">
        <f>IFERROR(__xludf.DUMMYFUNCTION("GOOGLETRANSLATE(B35439,""en"",""fr"")"),"Il ne joue pas vraiment bien.")</f>
        <v>Il ne joue pas vraiment bien.</v>
      </c>
    </row>
    <row r="35440">
      <c r="A35440" s="4" t="s">
        <v>44583</v>
      </c>
      <c r="B35440" s="4" t="s">
        <v>44587</v>
      </c>
      <c r="C35440" s="5" t="str">
        <f>IFERROR(__xludf.DUMMYFUNCTION("GOOGLETRANSLATE(B35440,""en"",""fr"")"),"Il saute sur tous les chiffres.")</f>
        <v>Il saute sur tous les chiffres.</v>
      </c>
    </row>
    <row r="35441">
      <c r="A35441" s="4" t="s">
        <v>44583</v>
      </c>
      <c r="B35441" s="4" t="s">
        <v>44588</v>
      </c>
      <c r="C35441" s="5" t="str">
        <f>IFERROR(__xludf.DUMMYFUNCTION("GOOGLETRANSLATE(B35441,""en"",""fr"")"),"Il traverse en quelque sorte le jeu.")</f>
        <v>Il traverse en quelque sorte le jeu.</v>
      </c>
    </row>
    <row r="35442">
      <c r="A35442" s="4" t="s">
        <v>44589</v>
      </c>
      <c r="B35442" s="4" t="s">
        <v>44590</v>
      </c>
      <c r="C35442" s="5" t="str">
        <f>IFERROR(__xludf.DUMMYFUNCTION("GOOGLETRANSLATE(B35442,""en"",""fr"")"),"Un athlète est vu debout prêt à tenir un javelot et à le jeter au loin.")</f>
        <v>Un athlète est vu debout prêt à tenir un javelot et à le jeter au loin.</v>
      </c>
    </row>
    <row r="35443">
      <c r="A35443" s="4" t="s">
        <v>44589</v>
      </c>
      <c r="B35443" s="4" t="s">
        <v>44591</v>
      </c>
      <c r="C35443" s="5" t="str">
        <f>IFERROR(__xludf.DUMMYFUNCTION("GOOGLETRANSLATE(B35443,""en"",""fr"")"),"Plusieurs autres personnes sont vues lancer un javelot avec leur lancer à nouveau après.")</f>
        <v>Plusieurs autres personnes sont vues lancer un javelot avec leur lancer à nouveau après.</v>
      </c>
    </row>
    <row r="35444">
      <c r="A35444" s="4" t="s">
        <v>44589</v>
      </c>
      <c r="B35444" s="4" t="s">
        <v>44592</v>
      </c>
      <c r="C35444" s="5" t="str">
        <f>IFERROR(__xludf.DUMMYFUNCTION("GOOGLETRANSLATE(B35444,""en"",""fr"")"),"La caméra se déroule autour de la femme à la fin et montre leur score.")</f>
        <v>La caméra se déroule autour de la femme à la fin et montre leur score.</v>
      </c>
    </row>
    <row r="35445">
      <c r="A35445" s="4" t="s">
        <v>44593</v>
      </c>
      <c r="B35445" s="4" t="s">
        <v>44594</v>
      </c>
      <c r="C35445" s="5" t="str">
        <f>IFERROR(__xludf.DUMMYFUNCTION("GOOGLETRANSLATE(B35445,""en"",""fr"")"),"Un homme parle d'entraîneur de gymnastique.")</f>
        <v>Un homme parle d'entraîneur de gymnastique.</v>
      </c>
    </row>
    <row r="35446">
      <c r="A35446" s="4" t="s">
        <v>44593</v>
      </c>
      <c r="B35446" s="4" t="s">
        <v>44595</v>
      </c>
      <c r="C35446" s="5" t="str">
        <f>IFERROR(__xludf.DUMMYFUNCTION("GOOGLETRANSLATE(B35446,""en"",""fr"")"),"Une fille commence à faire une routine sur les barres inégales.")</f>
        <v>Une fille commence à faire une routine sur les barres inégales.</v>
      </c>
    </row>
    <row r="35447">
      <c r="A35447" s="4" t="s">
        <v>44596</v>
      </c>
      <c r="B35447" s="4" t="s">
        <v>44597</v>
      </c>
      <c r="C35447" s="5" t="str">
        <f>IFERROR(__xludf.DUMMYFUNCTION("GOOGLETRANSLATE(B35447,""en"",""fr"")"),"Un homme est vu s'agenouiller sur le sol et parler à la caméra.")</f>
        <v>Un homme est vu s'agenouiller sur le sol et parler à la caméra.</v>
      </c>
    </row>
    <row r="35448">
      <c r="A35448" s="4" t="s">
        <v>44596</v>
      </c>
      <c r="B35448" s="4" t="s">
        <v>44598</v>
      </c>
      <c r="C35448" s="5" t="str">
        <f>IFERROR(__xludf.DUMMYFUNCTION("GOOGLETRANSLATE(B35448,""en"",""fr"")"),"L'homme se retourne alors et commence à faire des exercices de jambe.")</f>
        <v>L'homme se retourne alors et commence à faire des exercices de jambe.</v>
      </c>
    </row>
    <row r="35449">
      <c r="A35449" s="4" t="s">
        <v>44596</v>
      </c>
      <c r="B35449" s="6" t="s">
        <v>44599</v>
      </c>
      <c r="C35449" s="5" t="str">
        <f>IFERROR(__xludf.DUMMYFUNCTION("GOOGLETRANSLATE(B35449,""en"",""fr"")"),"Il bouge son corps tout autour en démonstrant des exercices appropriés tout en regardant et en parlant à la caméra.")</f>
        <v>Il bouge son corps tout autour en démonstrant des exercices appropriés tout en regardant et en parlant à la caméra.</v>
      </c>
    </row>
    <row r="35450">
      <c r="A35450" s="4" t="s">
        <v>44600</v>
      </c>
      <c r="B35450" s="4" t="s">
        <v>44601</v>
      </c>
      <c r="C35450" s="5" t="str">
        <f>IFERROR(__xludf.DUMMYFUNCTION("GOOGLETRANSLATE(B35450,""en"",""fr"")"),"Un homme installe une caméra dans une barre.")</f>
        <v>Un homme installe une caméra dans une barre.</v>
      </c>
    </row>
    <row r="35451">
      <c r="A35451" s="4" t="s">
        <v>44600</v>
      </c>
      <c r="B35451" s="4" t="s">
        <v>44602</v>
      </c>
      <c r="C35451" s="5" t="str">
        <f>IFERROR(__xludf.DUMMYFUNCTION("GOOGLETRANSLATE(B35451,""en"",""fr"")"),"L'homme parle ensuite à la caméra.")</f>
        <v>L'homme parle ensuite à la caméra.</v>
      </c>
    </row>
    <row r="35452">
      <c r="A35452" s="4" t="s">
        <v>44600</v>
      </c>
      <c r="B35452" s="4" t="s">
        <v>44603</v>
      </c>
      <c r="C35452" s="5" t="str">
        <f>IFERROR(__xludf.DUMMYFUNCTION("GOOGLETRANSLATE(B35452,""en"",""fr"")"),"L'homme tire seul la piscine.")</f>
        <v>L'homme tire seul la piscine.</v>
      </c>
    </row>
    <row r="35453">
      <c r="A35453" s="4" t="s">
        <v>44600</v>
      </c>
      <c r="B35453" s="4" t="s">
        <v>44604</v>
      </c>
      <c r="C35453" s="5" t="str">
        <f>IFERROR(__xludf.DUMMYFUNCTION("GOOGLETRANSLATE(B35453,""en"",""fr"")"),"L'homme barbu passe devant la table.")</f>
        <v>L'homme barbu passe devant la table.</v>
      </c>
    </row>
    <row r="35454">
      <c r="A35454" s="4" t="s">
        <v>44600</v>
      </c>
      <c r="B35454" s="4" t="s">
        <v>44605</v>
      </c>
      <c r="C35454" s="5" t="str">
        <f>IFERROR(__xludf.DUMMYFUNCTION("GOOGLETRANSLATE(B35454,""en"",""fr"")"),"L'homme termine et parle à la caméra avant de l'éteindre.")</f>
        <v>L'homme termine et parle à la caméra avant de l'éteindre.</v>
      </c>
    </row>
    <row r="35455">
      <c r="A35455" s="4" t="s">
        <v>44606</v>
      </c>
      <c r="B35455" s="4" t="s">
        <v>44607</v>
      </c>
      <c r="C35455" s="5" t="str">
        <f>IFERROR(__xludf.DUMMYFUNCTION("GOOGLETRANSLATE(B35455,""en"",""fr"")"),"Une personne verse de l'eau sur une tasse.")</f>
        <v>Une personne verse de l'eau sur une tasse.</v>
      </c>
    </row>
    <row r="35456">
      <c r="A35456" s="4" t="s">
        <v>44606</v>
      </c>
      <c r="B35456" s="4" t="s">
        <v>44608</v>
      </c>
      <c r="C35456" s="5" t="str">
        <f>IFERROR(__xludf.DUMMYFUNCTION("GOOGLETRANSLATE(B35456,""en"",""fr"")"),"Une femme parle dans un bar montrant des bouteilles d'alcool.")</f>
        <v>Une femme parle dans un bar montrant des bouteilles d'alcool.</v>
      </c>
    </row>
    <row r="35457">
      <c r="A35457" s="4" t="s">
        <v>44606</v>
      </c>
      <c r="B35457" s="4" t="s">
        <v>44609</v>
      </c>
      <c r="C35457" s="5" t="str">
        <f>IFERROR(__xludf.DUMMYFUNCTION("GOOGLETRANSLATE(B35457,""en"",""fr"")"),"Ensuite, la femme a mis de la glace dans un verre, puis elle ajoute des liqueurs de trois bouteilles.")</f>
        <v>Ensuite, la femme a mis de la glace dans un verre, puis elle ajoute des liqueurs de trois bouteilles.</v>
      </c>
    </row>
    <row r="35458">
      <c r="A35458" s="4" t="s">
        <v>44606</v>
      </c>
      <c r="B35458" s="4" t="s">
        <v>44610</v>
      </c>
      <c r="C35458" s="5" t="str">
        <f>IFERROR(__xludf.DUMMYFUNCTION("GOOGLETRANSLATE(B35458,""en"",""fr"")"),"Après, la femme ajoute du soda et mettait une paille.")</f>
        <v>Après, la femme ajoute du soda et mettait une paille.</v>
      </c>
    </row>
    <row r="35459">
      <c r="A35459" s="4" t="s">
        <v>44611</v>
      </c>
      <c r="B35459" s="4" t="s">
        <v>44612</v>
      </c>
      <c r="C35459" s="5" t="str">
        <f>IFERROR(__xludf.DUMMYFUNCTION("GOOGLETRANSLATE(B35459,""en"",""fr"")"),"Un plongeur est dans l'océan dans les clés de la Floride, il a une citrouille à la main.")</f>
        <v>Un plongeur est dans l'océan dans les clés de la Floride, il a une citrouille à la main.</v>
      </c>
    </row>
    <row r="35460">
      <c r="A35460" s="4" t="s">
        <v>44611</v>
      </c>
      <c r="B35460" s="4" t="s">
        <v>44613</v>
      </c>
      <c r="C35460" s="5" t="str">
        <f>IFERROR(__xludf.DUMMYFUNCTION("GOOGLETRANSLATE(B35460,""en"",""fr"")"),"Il descend avec un autre plongeur et ils commencent à sculpter les citrouilles sous l'eau.")</f>
        <v>Il descend avec un autre plongeur et ils commencent à sculpter les citrouilles sous l'eau.</v>
      </c>
    </row>
    <row r="35461">
      <c r="A35461" s="4" t="s">
        <v>44611</v>
      </c>
      <c r="B35461" s="4" t="s">
        <v>44614</v>
      </c>
      <c r="C35461" s="5" t="str">
        <f>IFERROR(__xludf.DUMMYFUNCTION("GOOGLETRANSLATE(B35461,""en"",""fr"")"),"Ils ont envie d'environ cinq ou six d'entre eux qui font des visages différents.")</f>
        <v>Ils ont envie d'environ cinq ou six d'entre eux qui font des visages différents.</v>
      </c>
    </row>
    <row r="35462">
      <c r="A35462" s="4" t="s">
        <v>44611</v>
      </c>
      <c r="B35462" s="6" t="s">
        <v>44615</v>
      </c>
      <c r="C35462" s="5" t="str">
        <f>IFERROR(__xludf.DUMMYFUNCTION("GOOGLETRANSLATE(B35462,""en"",""fr"")"),"Ensuite, ils les alignent et mettent de la lumière à l'intérieur ou quelque chose que le poisson nage autour d'eux.")</f>
        <v>Ensuite, ils les alignent et mettent de la lumière à l'intérieur ou quelque chose que le poisson nage autour d'eux.</v>
      </c>
    </row>
    <row r="35463">
      <c r="A35463" s="4" t="s">
        <v>44616</v>
      </c>
      <c r="B35463" s="4" t="s">
        <v>44617</v>
      </c>
      <c r="C35463" s="5" t="str">
        <f>IFERROR(__xludf.DUMMYFUNCTION("GOOGLETRANSLATE(B35463,""en"",""fr"")"),"On voit les mains d'une personne tenant un rube et la tournant.")</f>
        <v>On voit les mains d'une personne tenant un rube et la tournant.</v>
      </c>
    </row>
    <row r="35464">
      <c r="A35464" s="4" t="s">
        <v>44616</v>
      </c>
      <c r="B35464" s="4" t="s">
        <v>44618</v>
      </c>
      <c r="C35464" s="5" t="str">
        <f>IFERROR(__xludf.DUMMYFUNCTION("GOOGLETRANSLATE(B35464,""en"",""fr"")"),"La personne tourne le cube partout sur ses côtés tout en essayant de résoudre le puzzle.")</f>
        <v>La personne tourne le cube partout sur ses côtés tout en essayant de résoudre le puzzle.</v>
      </c>
    </row>
    <row r="35465">
      <c r="A35465" s="4" t="s">
        <v>44616</v>
      </c>
      <c r="B35465" s="4" t="s">
        <v>44619</v>
      </c>
      <c r="C35465" s="5" t="str">
        <f>IFERROR(__xludf.DUMMYFUNCTION("GOOGLETRANSLATE(B35465,""en"",""fr"")"),"L'homme relie tous les côtés et le montre à la caméra.")</f>
        <v>L'homme relie tous les côtés et le montre à la caméra.</v>
      </c>
    </row>
    <row r="35466">
      <c r="A35466" s="4" t="s">
        <v>44620</v>
      </c>
      <c r="B35466" s="4" t="s">
        <v>44621</v>
      </c>
      <c r="C35466" s="5" t="str">
        <f>IFERROR(__xludf.DUMMYFUNCTION("GOOGLETRANSLATE(B35466,""en"",""fr"")"),"Un gros plan d'une table de Fooseball est vu suivi par des gens qui se tiennent sur les côtés.")</f>
        <v>Un gros plan d'une table de Fooseball est vu suivi par des gens qui se tiennent sur les côtés.</v>
      </c>
    </row>
    <row r="35467">
      <c r="A35467" s="4" t="s">
        <v>44620</v>
      </c>
      <c r="B35467" s="4" t="s">
        <v>44622</v>
      </c>
      <c r="C35467" s="5" t="str">
        <f>IFERROR(__xludf.DUMMYFUNCTION("GOOGLETRANSLATE(B35467,""en"",""fr"")"),"Les gens reviennent au jeu et quatrième tandis que la caméra capture leurs mouvements.")</f>
        <v>Les gens reviennent au jeu et quatrième tandis que la caméra capture leurs mouvements.</v>
      </c>
    </row>
    <row r="35468">
      <c r="A35468" s="4" t="s">
        <v>44620</v>
      </c>
      <c r="B35468" s="4" t="s">
        <v>44623</v>
      </c>
      <c r="C35468" s="5" t="str">
        <f>IFERROR(__xludf.DUMMYFUNCTION("GOOGLETRANSLATE(B35468,""en"",""fr"")"),"Les hommes continuent de jouer sur la table et la vidéo s'estompe en blanc.")</f>
        <v>Les hommes continuent de jouer sur la table et la vidéo s'estompe en blanc.</v>
      </c>
    </row>
    <row r="35469">
      <c r="A35469" s="4" t="s">
        <v>44624</v>
      </c>
      <c r="B35469" s="4" t="s">
        <v>44625</v>
      </c>
      <c r="C35469" s="5" t="str">
        <f>IFERROR(__xludf.DUMMYFUNCTION("GOOGLETRANSLATE(B35469,""en"",""fr"")"),"Un homme et une femme se tiennent au comptoir d'une cuisine.")</f>
        <v>Un homme et une femme se tiennent au comptoir d'une cuisine.</v>
      </c>
    </row>
    <row r="35470">
      <c r="A35470" s="4" t="s">
        <v>44624</v>
      </c>
      <c r="B35470" s="4" t="s">
        <v>44626</v>
      </c>
      <c r="C35470" s="5" t="str">
        <f>IFERROR(__xludf.DUMMYFUNCTION("GOOGLETRANSLATE(B35470,""en"",""fr"")"),"Ils versent des ingrédients dans un grand bol et le mélangent.")</f>
        <v>Ils versent des ingrédients dans un grand bol et le mélangent.</v>
      </c>
    </row>
    <row r="35471">
      <c r="A35471" s="4" t="s">
        <v>44624</v>
      </c>
      <c r="B35471" s="4" t="s">
        <v>44627</v>
      </c>
      <c r="C35471" s="5" t="str">
        <f>IFERROR(__xludf.DUMMYFUNCTION("GOOGLETRANSLATE(B35471,""en"",""fr"")"),"Ils versent le mélange dans deux casseroles rondes.")</f>
        <v>Ils versent le mélange dans deux casseroles rondes.</v>
      </c>
    </row>
    <row r="35472">
      <c r="A35472" s="4" t="s">
        <v>44624</v>
      </c>
      <c r="B35472" s="4" t="s">
        <v>44628</v>
      </c>
      <c r="C35472" s="5" t="str">
        <f>IFERROR(__xludf.DUMMYFUNCTION("GOOGLETRANSLATE(B35472,""en"",""fr"")"),"Ils prennent ensuite les gâteaux et les empilent avec le glaçage entre les deux.")</f>
        <v>Ils prennent ensuite les gâteaux et les empilent avec le glaçage entre les deux.</v>
      </c>
    </row>
    <row r="35473">
      <c r="A35473" s="4" t="s">
        <v>44624</v>
      </c>
      <c r="B35473" s="4" t="s">
        <v>44629</v>
      </c>
      <c r="C35473" s="5" t="str">
        <f>IFERROR(__xludf.DUMMYFUNCTION("GOOGLETRANSLATE(B35473,""en"",""fr"")"),"Ils mangent le gâteau à la fin.")</f>
        <v>Ils mangent le gâteau à la fin.</v>
      </c>
    </row>
    <row r="35474">
      <c r="A35474" s="4" t="s">
        <v>44630</v>
      </c>
      <c r="B35474" s="4" t="s">
        <v>44631</v>
      </c>
      <c r="C35474" s="5" t="str">
        <f>IFERROR(__xludf.DUMMYFUNCTION("GOOGLETRANSLATE(B35474,""en"",""fr"")"),"Un jeune homme joue de la batterie sur une scène avec des lumières dansant en arrière-plan.")</f>
        <v>Un jeune homme joue de la batterie sur une scène avec des lumières dansant en arrière-plan.</v>
      </c>
    </row>
    <row r="35475">
      <c r="A35475" s="4" t="s">
        <v>44630</v>
      </c>
      <c r="B35475" s="4" t="s">
        <v>44632</v>
      </c>
      <c r="C35475" s="5" t="str">
        <f>IFERROR(__xludf.DUMMYFUNCTION("GOOGLETRANSLATE(B35475,""en"",""fr"")"),"Il finit et se lève en jouant à des tambours d'air.")</f>
        <v>Il finit et se lève en jouant à des tambours d'air.</v>
      </c>
    </row>
    <row r="35476">
      <c r="A35476" s="4" t="s">
        <v>44633</v>
      </c>
      <c r="B35476" s="4" t="s">
        <v>44634</v>
      </c>
      <c r="C35476" s="5" t="str">
        <f>IFERROR(__xludf.DUMMYFUNCTION("GOOGLETRANSLATE(B35476,""en"",""fr"")"),"Une jeune fille est vue en train de frotter un petit chien avec du savon à côté d'une baignoire pleine d'eau.")</f>
        <v>Une jeune fille est vue en train de frotter un petit chien avec du savon à côté d'une baignoire pleine d'eau.</v>
      </c>
    </row>
    <row r="35477">
      <c r="A35477" s="4" t="s">
        <v>44633</v>
      </c>
      <c r="B35477" s="6" t="s">
        <v>44635</v>
      </c>
      <c r="C35477" s="5" t="str">
        <f>IFERROR(__xludf.DUMMYFUNCTION("GOOGLETRANSLATE(B35477,""en"",""fr"")"),"Elle verse plus de savon sur le chien et le traîne et mène dans des photos du chien tout nettoyé.")</f>
        <v>Elle verse plus de savon sur le chien et le traîne et mène dans des photos du chien tout nettoyé.</v>
      </c>
    </row>
    <row r="35478">
      <c r="A35478" s="4" t="s">
        <v>44636</v>
      </c>
      <c r="B35478" s="6" t="s">
        <v>44637</v>
      </c>
      <c r="C35478" s="5" t="str">
        <f>IFERROR(__xludf.DUMMYFUNCTION("GOOGLETRANSLATE(B35478,""en"",""fr"")"),"Une personne applique des conceptions de peinture à un ongle rouge sur une main en plastique avec un membre noir flexible étiqueté ""Nail Trainer"".")</f>
        <v>Une personne applique des conceptions de peinture à un ongle rouge sur une main en plastique avec un membre noir flexible étiqueté "Nail Trainer".</v>
      </c>
    </row>
    <row r="35479">
      <c r="A35479" s="4" t="s">
        <v>44636</v>
      </c>
      <c r="B35479" s="6" t="s">
        <v>44638</v>
      </c>
      <c r="C35479" s="5" t="str">
        <f>IFERROR(__xludf.DUMMYFUNCTION("GOOGLETRANSLATE(B35479,""en"",""fr"")"),"Une main en plastique brune avec un bras en plastique noir apparaît avec des pointes de ongles blancs et des ongles rouges.")</f>
        <v>Une main en plastique brune avec un bras en plastique noir apparaît avec des pointes de ongles blancs et des ongles rouges.</v>
      </c>
    </row>
    <row r="35480">
      <c r="A35480" s="4" t="s">
        <v>44636</v>
      </c>
      <c r="B35480" s="6" t="s">
        <v>44639</v>
      </c>
      <c r="C35480" s="5" t="str">
        <f>IFERROR(__xludf.DUMMYFUNCTION("GOOGLETRANSLATE(B35480,""en"",""fr"")"),"La main réelle d'une personne apparaît et commence à appliquer des dessins blancs sur l'une des ongles rouges sur la main en plastique.")</f>
        <v>La main réelle d'une personne apparaît et commence à appliquer des dessins blancs sur l'une des ongles rouges sur la main en plastique.</v>
      </c>
    </row>
    <row r="35481">
      <c r="A35481" s="4" t="s">
        <v>44636</v>
      </c>
      <c r="B35481" s="6" t="s">
        <v>44640</v>
      </c>
      <c r="C35481" s="5" t="str">
        <f>IFERROR(__xludf.DUMMYFUNCTION("GOOGLETRANSLATE(B35481,""en"",""fr"")"),"La scène s'estompe ensuite à un gros plan d'un ongle rouge fini avec un design blanc complet de la main en plastique.")</f>
        <v>La scène s'estompe ensuite à un gros plan d'un ongle rouge fini avec un design blanc complet de la main en plastique.</v>
      </c>
    </row>
    <row r="35482">
      <c r="A35482" s="4" t="s">
        <v>44641</v>
      </c>
      <c r="B35482" s="4" t="s">
        <v>44642</v>
      </c>
      <c r="C35482" s="5" t="str">
        <f>IFERROR(__xludf.DUMMYFUNCTION("GOOGLETRANSLATE(B35482,""en"",""fr"")"),"Les voitures conduisent sur une route.")</f>
        <v>Les voitures conduisent sur une route.</v>
      </c>
    </row>
    <row r="35483">
      <c r="A35483" s="4" t="s">
        <v>44641</v>
      </c>
      <c r="B35483" s="4" t="s">
        <v>4423</v>
      </c>
      <c r="C35483" s="5" t="str">
        <f>IFERROR(__xludf.DUMMYFUNCTION("GOOGLETRANSLATE(B35483,""en"",""fr"")"),"Les gens sont du snowboard sur une colline de neige.")</f>
        <v>Les gens sont du snowboard sur une colline de neige.</v>
      </c>
    </row>
    <row r="35484">
      <c r="A35484" s="4" t="s">
        <v>44641</v>
      </c>
      <c r="B35484" s="4" t="s">
        <v>44643</v>
      </c>
      <c r="C35484" s="5" t="str">
        <f>IFERROR(__xludf.DUMMYFUNCTION("GOOGLETRANSLATE(B35484,""en"",""fr"")"),"Les gens reviennent dans leur voiture et ont mis le snowboard sur le dessus de la voiture.")</f>
        <v>Les gens reviennent dans leur voiture et ont mis le snowboard sur le dessus de la voiture.</v>
      </c>
    </row>
    <row r="35485">
      <c r="A35485" s="4" t="s">
        <v>44644</v>
      </c>
      <c r="B35485" s="4" t="s">
        <v>44645</v>
      </c>
      <c r="C35485" s="5" t="str">
        <f>IFERROR(__xludf.DUMMYFUNCTION("GOOGLETRANSLATE(B35485,""en"",""fr"")"),"Un homme est vu debout devant un ensemble de barres inégales avec ses bras vers le haut.")</f>
        <v>Un homme est vu debout devant un ensemble de barres inégales avec ses bras vers le haut.</v>
      </c>
    </row>
    <row r="35486">
      <c r="A35486" s="4" t="s">
        <v>44644</v>
      </c>
      <c r="B35486" s="4" t="s">
        <v>44646</v>
      </c>
      <c r="C35486" s="5" t="str">
        <f>IFERROR(__xludf.DUMMYFUNCTION("GOOGLETRANSLATE(B35486,""en"",""fr"")"),"Il saute ensuite sur la poutre et se balance.")</f>
        <v>Il saute ensuite sur la poutre et se balance.</v>
      </c>
    </row>
    <row r="35487">
      <c r="A35487" s="4" t="s">
        <v>44644</v>
      </c>
      <c r="B35487" s="6" t="s">
        <v>44647</v>
      </c>
      <c r="C35487" s="5" t="str">
        <f>IFERROR(__xludf.DUMMYFUNCTION("GOOGLETRANSLATE(B35487,""en"",""fr"")"),"L'homme continue de se balancer sur les barres et se termine en sautant du côté et en s'éloignant.")</f>
        <v>L'homme continue de se balancer sur les barres et se termine en sautant du côté et en s'éloignant.</v>
      </c>
    </row>
    <row r="35488">
      <c r="A35488" s="4" t="s">
        <v>44648</v>
      </c>
      <c r="B35488" s="6" t="s">
        <v>44649</v>
      </c>
      <c r="C35488" s="5" t="str">
        <f>IFERROR(__xludf.DUMMYFUNCTION("GOOGLETRANSLATE(B35488,""en"",""fr"")"),"Elle est ensuite montrée en effectuant plusieurs exercices différents ainsi qu'à la conduite sur un vélo et en menant une classe.")</f>
        <v>Elle est ensuite montrée en effectuant plusieurs exercices différents ainsi qu'à la conduite sur un vélo et en menant une classe.</v>
      </c>
    </row>
    <row r="35489">
      <c r="A35489" s="4" t="s">
        <v>44648</v>
      </c>
      <c r="B35489" s="4" t="s">
        <v>44650</v>
      </c>
      <c r="C35489" s="5" t="str">
        <f>IFERROR(__xludf.DUMMYFUNCTION("GOOGLETRANSLATE(B35489,""en"",""fr"")"),"Plus de photos d'elle sont présentées à faire du vélo et portant un casque pour parler aux autres.")</f>
        <v>Plus de photos d'elle sont présentées à faire du vélo et portant un casque pour parler aux autres.</v>
      </c>
    </row>
    <row r="35490">
      <c r="A35490" s="4" t="s">
        <v>44651</v>
      </c>
      <c r="B35490" s="4" t="s">
        <v>44652</v>
      </c>
      <c r="C35490" s="5" t="str">
        <f>IFERROR(__xludf.DUMMYFUNCTION("GOOGLETRANSLATE(B35490,""en"",""fr"")"),"Un homme en chemise rose tient un cordon dans sa main.")</f>
        <v>Un homme en chemise rose tient un cordon dans sa main.</v>
      </c>
    </row>
    <row r="35491">
      <c r="A35491" s="4" t="s">
        <v>44651</v>
      </c>
      <c r="B35491" s="4" t="s">
        <v>44653</v>
      </c>
      <c r="C35491" s="5" t="str">
        <f>IFERROR(__xludf.DUMMYFUNCTION("GOOGLETRANSLATE(B35491,""en"",""fr"")"),"Il commence à passer l'aspirateur sur le tapis devant lui.")</f>
        <v>Il commence à passer l'aspirateur sur le tapis devant lui.</v>
      </c>
    </row>
    <row r="35492">
      <c r="A35492" s="4" t="s">
        <v>44654</v>
      </c>
      <c r="B35492" s="4" t="s">
        <v>44655</v>
      </c>
      <c r="C35492" s="5" t="str">
        <f>IFERROR(__xludf.DUMMYFUNCTION("GOOGLETRANSLATE(B35492,""en"",""fr"")"),"Une femme fait un tutoriel sur la façon de faire des ongles en marbre d'eau en utilisant de l'eau.")</f>
        <v>Une femme fait un tutoriel sur la façon de faire des ongles en marbre d'eau en utilisant de l'eau.</v>
      </c>
    </row>
    <row r="35493">
      <c r="A35493" s="4" t="s">
        <v>44654</v>
      </c>
      <c r="B35493" s="4" t="s">
        <v>44656</v>
      </c>
      <c r="C35493" s="5" t="str">
        <f>IFERROR(__xludf.DUMMYFUNCTION("GOOGLETRANSLATE(B35493,""en"",""fr"")"),"Elle utilise une brosse à vernis à ongles et la trempe dans l'eau.")</f>
        <v>Elle utilise une brosse à vernis à ongles et la trempe dans l'eau.</v>
      </c>
    </row>
    <row r="35494">
      <c r="A35494" s="4" t="s">
        <v>44654</v>
      </c>
      <c r="B35494" s="4" t="s">
        <v>44657</v>
      </c>
      <c r="C35494" s="5" t="str">
        <f>IFERROR(__xludf.DUMMYFUNCTION("GOOGLETRANSLATE(B35494,""en"",""fr"")"),"Elle donne les instructions sur la façon de commencer avec une couche de vernis à ongles de base.")</f>
        <v>Elle donne les instructions sur la façon de commencer avec une couche de vernis à ongles de base.</v>
      </c>
    </row>
    <row r="35495">
      <c r="A35495" s="4" t="s">
        <v>44654</v>
      </c>
      <c r="B35495" s="4" t="s">
        <v>44658</v>
      </c>
      <c r="C35495" s="5" t="str">
        <f>IFERROR(__xludf.DUMMYFUNCTION("GOOGLETRANSLATE(B35495,""en"",""fr"")"),"Elle met ensuite des gouttes de vernis à ongles de différentes couleurs à la surface de l'eau.")</f>
        <v>Elle met ensuite des gouttes de vernis à ongles de différentes couleurs à la surface de l'eau.</v>
      </c>
    </row>
    <row r="35496">
      <c r="A35496" s="4" t="s">
        <v>44654</v>
      </c>
      <c r="B35496" s="4" t="s">
        <v>44659</v>
      </c>
      <c r="C35496" s="5" t="str">
        <f>IFERROR(__xludf.DUMMYFUNCTION("GOOGLETRANSLATE(B35496,""en"",""fr"")"),"Puis elle plonge son clou dans cette peinture.")</f>
        <v>Puis elle plonge son clou dans cette peinture.</v>
      </c>
    </row>
    <row r="35497">
      <c r="A35497" s="4" t="s">
        <v>44654</v>
      </c>
      <c r="B35497" s="6" t="s">
        <v>44660</v>
      </c>
      <c r="C35497" s="5" t="str">
        <f>IFERROR(__xludf.DUMMYFUNCTION("GOOGLETRANSLATE(B35497,""en"",""fr"")"),"Elle nettoie tout vernis à ongles en excès qui a étalé sur le côté des ongles avec un pinceau et un Q-tip.")</f>
        <v>Elle nettoie tout vernis à ongles en excès qui a étalé sur le côté des ongles avec un pinceau et un Q-tip.</v>
      </c>
    </row>
    <row r="35498">
      <c r="A35498" s="4" t="s">
        <v>44654</v>
      </c>
      <c r="B35498" s="4" t="s">
        <v>44661</v>
      </c>
      <c r="C35498" s="5" t="str">
        <f>IFERROR(__xludf.DUMMYFUNCTION("GOOGLETRANSLATE(B35498,""en"",""fr"")"),"Elle partage finalement des informations sur elle-même et ses comptes de médias sociaux.")</f>
        <v>Elle partage finalement des informations sur elle-même et ses comptes de médias sociaux.</v>
      </c>
    </row>
    <row r="35499">
      <c r="A35499" s="4" t="s">
        <v>44662</v>
      </c>
      <c r="B35499" s="4" t="s">
        <v>44663</v>
      </c>
      <c r="C35499" s="5" t="str">
        <f>IFERROR(__xludf.DUMMYFUNCTION("GOOGLETRANSLATE(B35499,""en"",""fr"")"),"Une femme est dans une cuisine, portant une robe et enceinte.")</f>
        <v>Une femme est dans une cuisine, portant une robe et enceinte.</v>
      </c>
    </row>
    <row r="35500">
      <c r="A35500" s="4" t="s">
        <v>44662</v>
      </c>
      <c r="B35500" s="4" t="s">
        <v>44664</v>
      </c>
      <c r="C35500" s="5" t="str">
        <f>IFERROR(__xludf.DUMMYFUNCTION("GOOGLETRANSLATE(B35500,""en"",""fr"")"),"Elle lave la vaisselle dans l'évier et parle à la personne avec la caméra.")</f>
        <v>Elle lave la vaisselle dans l'évier et parle à la personne avec la caméra.</v>
      </c>
    </row>
    <row r="35501">
      <c r="A35501" s="4" t="s">
        <v>44662</v>
      </c>
      <c r="B35501" s="4" t="s">
        <v>44665</v>
      </c>
      <c r="C35501" s="5" t="str">
        <f>IFERROR(__xludf.DUMMYFUNCTION("GOOGLETRANSLATE(B35501,""en"",""fr"")"),"Elle sourit alors que la caméra zoome sur son œil droit.")</f>
        <v>Elle sourit alors que la caméra zoome sur son œil droit.</v>
      </c>
    </row>
    <row r="35502">
      <c r="A35502" s="4" t="s">
        <v>44666</v>
      </c>
      <c r="B35502" s="4" t="s">
        <v>44667</v>
      </c>
      <c r="C35502" s="5" t="str">
        <f>IFERROR(__xludf.DUMMYFUNCTION("GOOGLETRANSLATE(B35502,""en"",""fr"")"),"Une femme balance sur un swing.")</f>
        <v>Une femme balance sur un swing.</v>
      </c>
    </row>
    <row r="35503">
      <c r="A35503" s="4" t="s">
        <v>44666</v>
      </c>
      <c r="B35503" s="4" t="s">
        <v>44668</v>
      </c>
      <c r="C35503" s="5" t="str">
        <f>IFERROR(__xludf.DUMMYFUNCTION("GOOGLETRANSLATE(B35503,""en"",""fr"")"),"Un bébé balance à côté d'elle.")</f>
        <v>Un bébé balance à côté d'elle.</v>
      </c>
    </row>
    <row r="35504">
      <c r="A35504" s="4" t="s">
        <v>44666</v>
      </c>
      <c r="B35504" s="4" t="s">
        <v>44669</v>
      </c>
      <c r="C35504" s="5" t="str">
        <f>IFERROR(__xludf.DUMMYFUNCTION("GOOGLETRANSLATE(B35504,""en"",""fr"")"),"Ils portent tous les deux du rouge.")</f>
        <v>Ils portent tous les deux du rouge.</v>
      </c>
    </row>
    <row r="35505">
      <c r="A35505" s="4" t="s">
        <v>44666</v>
      </c>
      <c r="B35505" s="4" t="s">
        <v>44670</v>
      </c>
      <c r="C35505" s="5" t="str">
        <f>IFERROR(__xludf.DUMMYFUNCTION("GOOGLETRANSLATE(B35505,""en"",""fr"")"),"La femme a l'air heureuse de se balancer.")</f>
        <v>La femme a l'air heureuse de se balancer.</v>
      </c>
    </row>
    <row r="35506">
      <c r="A35506" s="4" t="s">
        <v>44671</v>
      </c>
      <c r="B35506" s="6" t="s">
        <v>44672</v>
      </c>
      <c r="C35506" s="5" t="str">
        <f>IFERROR(__xludf.DUMMYFUNCTION("GOOGLETRANSLATE(B35506,""en"",""fr"")"),"Deux garçons se tiennent dans un salon à côté d'un arbre et commencent à retirer des ornements de deux bacs en plastique et à décorer l'arbre.")</f>
        <v>Deux garçons se tiennent dans un salon à côté d'un arbre et commencent à retirer des ornements de deux bacs en plastique et à décorer l'arbre.</v>
      </c>
    </row>
    <row r="35507">
      <c r="A35507" s="4" t="s">
        <v>44671</v>
      </c>
      <c r="B35507" s="4" t="s">
        <v>44673</v>
      </c>
      <c r="C35507" s="5" t="str">
        <f>IFERROR(__xludf.DUMMYFUNCTION("GOOGLETRANSLATE(B35507,""en"",""fr"")"),"Au fur et à mesure que les garçons continuent, l'extérieur de la maison est montré alors que la pluie s'arrête.")</f>
        <v>Au fur et à mesure que les garçons continuent, l'extérieur de la maison est montré alors que la pluie s'arrête.</v>
      </c>
    </row>
    <row r="35508">
      <c r="A35508" s="4" t="s">
        <v>44671</v>
      </c>
      <c r="B35508" s="4" t="s">
        <v>44674</v>
      </c>
      <c r="C35508" s="5" t="str">
        <f>IFERROR(__xludf.DUMMYFUNCTION("GOOGLETRANSLATE(B35508,""en"",""fr"")"),"Après, les garçons reçoivent l'aide d'un homme et mettent le topper d'arbre.")</f>
        <v>Après, les garçons reçoivent l'aide d'un homme et mettent le topper d'arbre.</v>
      </c>
    </row>
    <row r="35509">
      <c r="A35509" s="4" t="s">
        <v>44671</v>
      </c>
      <c r="B35509" s="6" t="s">
        <v>44675</v>
      </c>
      <c r="C35509" s="5" t="str">
        <f>IFERROR(__xludf.DUMMYFUNCTION("GOOGLETRANSLATE(B35509,""en"",""fr"")"),"Une fois cela terminé, les jeunes garçons s'embrassent et s'embrassent et le produit final de l'arbre est montré.")</f>
        <v>Une fois cela terminé, les jeunes garçons s'embrassent et s'embrassent et le produit final de l'arbre est montré.</v>
      </c>
    </row>
    <row r="35510">
      <c r="A35510" s="4" t="s">
        <v>44676</v>
      </c>
      <c r="B35510" s="4" t="s">
        <v>44677</v>
      </c>
      <c r="C35510" s="5" t="str">
        <f>IFERROR(__xludf.DUMMYFUNCTION("GOOGLETRANSLATE(B35510,""en"",""fr"")"),"Plusieurs personnes animées sont dans l'eau.")</f>
        <v>Plusieurs personnes animées sont dans l'eau.</v>
      </c>
    </row>
    <row r="35511">
      <c r="A35511" s="4" t="s">
        <v>44676</v>
      </c>
      <c r="B35511" s="6" t="s">
        <v>44678</v>
      </c>
      <c r="C35511" s="5" t="str">
        <f>IFERROR(__xludf.DUMMYFUNCTION("GOOGLETRANSLATE(B35511,""en"",""fr"")"),"Deux personnes en équipement de plongée se tiennent sur le rebord d'une plate-forme tandis que deux autres personnes regardent à partir d'une plate-forme ci-dessus.")</f>
        <v>Deux personnes en équipement de plongée se tiennent sur le rebord d'une plate-forme tandis que deux autres personnes regardent à partir d'une plate-forme ci-dessus.</v>
      </c>
    </row>
    <row r="35512">
      <c r="A35512" s="4" t="s">
        <v>44676</v>
      </c>
      <c r="B35512" s="4" t="s">
        <v>44679</v>
      </c>
      <c r="C35512" s="5" t="str">
        <f>IFERROR(__xludf.DUMMYFUNCTION("GOOGLETRANSLATE(B35512,""en"",""fr"")"),"Les deux personnes en équipement de plongée sautent dans l'eau.")</f>
        <v>Les deux personnes en équipement de plongée sautent dans l'eau.</v>
      </c>
    </row>
    <row r="35513">
      <c r="A35513" s="4" t="s">
        <v>44676</v>
      </c>
      <c r="B35513" s="6" t="s">
        <v>44680</v>
      </c>
      <c r="C35513" s="5" t="str">
        <f>IFERROR(__xludf.DUMMYFUNCTION("GOOGLETRANSLATE(B35513,""en"",""fr"")"),"Une personne en équipement de plongée s'accroche à l'autre personne en équipement de plongée et fait quelque chose à son réservoir.")</f>
        <v>Une personne en équipement de plongée s'accroche à l'autre personne en équipement de plongée et fait quelque chose à son réservoir.</v>
      </c>
    </row>
    <row r="35514">
      <c r="A35514" s="4" t="s">
        <v>44676</v>
      </c>
      <c r="B35514" s="4" t="s">
        <v>44681</v>
      </c>
      <c r="C35514" s="5" t="str">
        <f>IFERROR(__xludf.DUMMYFUNCTION("GOOGLETRANSLATE(B35514,""en"",""fr"")"),"Une personne repousse l'autre.")</f>
        <v>Une personne repousse l'autre.</v>
      </c>
    </row>
    <row r="35515">
      <c r="A35515" s="4" t="s">
        <v>44676</v>
      </c>
      <c r="B35515" s="4" t="s">
        <v>44682</v>
      </c>
      <c r="C35515" s="5" t="str">
        <f>IFERROR(__xludf.DUMMYFUNCTION("GOOGLETRANSLATE(B35515,""en"",""fr"")"),"Plusieurs personnes en équipement de plongée se réunissent avec une personne encore en arrière-plan.")</f>
        <v>Plusieurs personnes en équipement de plongée se réunissent avec une personne encore en arrière-plan.</v>
      </c>
    </row>
    <row r="35516">
      <c r="A35516" s="4" t="s">
        <v>44676</v>
      </c>
      <c r="B35516" s="4" t="s">
        <v>44683</v>
      </c>
      <c r="C35516" s="5" t="str">
        <f>IFERROR(__xludf.DUMMYFUNCTION("GOOGLETRANSLATE(B35516,""en"",""fr"")"),"Les habitants de l'équipement de plongée luttent et se masquent une personne qui s'éloigne.")</f>
        <v>Les habitants de l'équipement de plongée luttent et se masquent une personne qui s'éloigne.</v>
      </c>
    </row>
    <row r="35517">
      <c r="A35517" s="4" t="s">
        <v>44684</v>
      </c>
      <c r="B35517" s="4" t="s">
        <v>44685</v>
      </c>
      <c r="C35517" s="5" t="str">
        <f>IFERROR(__xludf.DUMMYFUNCTION("GOOGLETRANSLATE(B35517,""en"",""fr"")"),"Un grand chien noir et une petite fille en chemisier blanc porte deux hoolahoops dans le salon.")</f>
        <v>Un grand chien noir et une petite fille en chemisier blanc porte deux hoolahoops dans le salon.</v>
      </c>
    </row>
    <row r="35518">
      <c r="A35518" s="4" t="s">
        <v>44684</v>
      </c>
      <c r="B35518" s="4" t="s">
        <v>44686</v>
      </c>
      <c r="C35518" s="5" t="str">
        <f>IFERROR(__xludf.DUMMYFUNCTION("GOOGLETRANSLATE(B35518,""en"",""fr"")"),"La petite fille tient un cerceau de hoola devant le chien et le chien marche à travers le hoolahoop.")</f>
        <v>La petite fille tient un cerceau de hoola devant le chien et le chien marche à travers le hoolahoop.</v>
      </c>
    </row>
    <row r="35519">
      <c r="A35519" s="4" t="s">
        <v>44684</v>
      </c>
      <c r="B35519" s="4" t="s">
        <v>44687</v>
      </c>
      <c r="C35519" s="5" t="str">
        <f>IFERROR(__xludf.DUMMYFUNCTION("GOOGLETRANSLATE(B35519,""en"",""fr"")"),"La petite fille tourne l'autre cerceau de hoola autour de ses déchets et le tourne 10 ou 12 fois.")</f>
        <v>La petite fille tourne l'autre cerceau de hoola autour de ses déchets et le tourne 10 ou 12 fois.</v>
      </c>
    </row>
    <row r="35520">
      <c r="A35520" s="4" t="s">
        <v>44684</v>
      </c>
      <c r="B35520" s="4" t="s">
        <v>44688</v>
      </c>
      <c r="C35520" s="5" t="str">
        <f>IFERROR(__xludf.DUMMYFUNCTION("GOOGLETRANSLATE(B35520,""en"",""fr"")"),"La petite fille s'approche du chien noir et laisse le chien lui lécher la main.")</f>
        <v>La petite fille s'approche du chien noir et laisse le chien lui lécher la main.</v>
      </c>
    </row>
    <row r="35521">
      <c r="A35521" s="4" t="s">
        <v>44689</v>
      </c>
      <c r="B35521" s="4" t="s">
        <v>44690</v>
      </c>
      <c r="C35521" s="5" t="str">
        <f>IFERROR(__xludf.DUMMYFUNCTION("GOOGLETRANSLATE(B35521,""en"",""fr"")"),"Cinq garçons sont montrés en marchant dans une aire de jeux.")</f>
        <v>Cinq garçons sont montrés en marchant dans une aire de jeux.</v>
      </c>
    </row>
    <row r="35522">
      <c r="A35522" s="4" t="s">
        <v>44689</v>
      </c>
      <c r="B35522" s="4" t="s">
        <v>44691</v>
      </c>
      <c r="C35522" s="5" t="str">
        <f>IFERROR(__xludf.DUMMYFUNCTION("GOOGLETRANSLATE(B35522,""en"",""fr"")"),"Les garçons montent sur les balançoires et commencent à montrer comment faire des astuces.")</f>
        <v>Les garçons montent sur les balançoires et commencent à montrer comment faire des astuces.</v>
      </c>
    </row>
    <row r="35523">
      <c r="A35523" s="4" t="s">
        <v>44689</v>
      </c>
      <c r="B35523" s="4" t="s">
        <v>44692</v>
      </c>
      <c r="C35523" s="5" t="str">
        <f>IFERROR(__xludf.DUMMYFUNCTION("GOOGLETRANSLATE(B35523,""en"",""fr"")"),"Pour la finale, les cinq gars entrent sur les balançoires et effectuent un retournement du dos.")</f>
        <v>Pour la finale, les cinq gars entrent sur les balançoires et effectuent un retournement du dos.</v>
      </c>
    </row>
    <row r="35524">
      <c r="A35524" s="4" t="s">
        <v>44693</v>
      </c>
      <c r="B35524" s="4" t="s">
        <v>44694</v>
      </c>
      <c r="C35524" s="5" t="str">
        <f>IFERROR(__xludf.DUMMYFUNCTION("GOOGLETRANSLATE(B35524,""en"",""fr"")"),"Une jeune femme est en position de se produire avec un bâton.")</f>
        <v>Une jeune femme est en position de se produire avec un bâton.</v>
      </c>
    </row>
    <row r="35525">
      <c r="A35525" s="4" t="s">
        <v>44693</v>
      </c>
      <c r="B35525" s="4" t="s">
        <v>44695</v>
      </c>
      <c r="C35525" s="5" t="str">
        <f>IFERROR(__xludf.DUMMYFUNCTION("GOOGLETRANSLATE(B35525,""en"",""fr"")"),"Elle effectue une routine de gymnastique et de tourbillon.")</f>
        <v>Elle effectue une routine de gymnastique et de tourbillon.</v>
      </c>
    </row>
    <row r="35526">
      <c r="A35526" s="4" t="s">
        <v>44693</v>
      </c>
      <c r="B35526" s="4" t="s">
        <v>44696</v>
      </c>
      <c r="C35526" s="5" t="str">
        <f>IFERROR(__xludf.DUMMYFUNCTION("GOOGLETRANSLATE(B35526,""en"",""fr"")"),"Elle fait des roues de charrette dans le cadre de sa routine.")</f>
        <v>Elle fait des roues de charrette dans le cadre de sa routine.</v>
      </c>
    </row>
    <row r="35527">
      <c r="A35527" s="4" t="s">
        <v>44693</v>
      </c>
      <c r="B35527" s="4" t="s">
        <v>44697</v>
      </c>
      <c r="C35527" s="5" t="str">
        <f>IFERROR(__xludf.DUMMYFUNCTION("GOOGLETRANSLATE(B35527,""en"",""fr"")"),"Elle laisse tomber le bâton, mais le ramène et continue avec la routine.")</f>
        <v>Elle laisse tomber le bâton, mais le ramène et continue avec la routine.</v>
      </c>
    </row>
    <row r="35528">
      <c r="A35528" s="4" t="s">
        <v>44693</v>
      </c>
      <c r="B35528" s="4" t="s">
        <v>44698</v>
      </c>
      <c r="C35528" s="5" t="str">
        <f>IFERROR(__xludf.DUMMYFUNCTION("GOOGLETRANSLATE(B35528,""en"",""fr"")"),"Elle perd son équilibre mais est capable de récupérer.")</f>
        <v>Elle perd son équilibre mais est capable de récupérer.</v>
      </c>
    </row>
    <row r="35529">
      <c r="A35529" s="4" t="s">
        <v>44699</v>
      </c>
      <c r="B35529" s="4" t="s">
        <v>44700</v>
      </c>
      <c r="C35529" s="5" t="str">
        <f>IFERROR(__xludf.DUMMYFUNCTION("GOOGLETRANSLATE(B35529,""en"",""fr"")"),"Une femme est vue en poussant une tondeuse à gazon sur de l'herbe tout en parlant à la caméra.")</f>
        <v>Une femme est vue en poussant une tondeuse à gazon sur de l'herbe tout en parlant à la caméra.</v>
      </c>
    </row>
    <row r="35530">
      <c r="A35530" s="4" t="s">
        <v>44699</v>
      </c>
      <c r="B35530" s="6" t="s">
        <v>44701</v>
      </c>
      <c r="C35530" s="5" t="str">
        <f>IFERROR(__xludf.DUMMYFUNCTION("GOOGLETRANSLATE(B35530,""en"",""fr"")"),"La caméra zoome sur les plantes dans la cour et continue de suivre la femme en coupant l'herbe.")</f>
        <v>La caméra zoome sur les plantes dans la cour et continue de suivre la femme en coupant l'herbe.</v>
      </c>
    </row>
    <row r="35531">
      <c r="A35531" s="4" t="s">
        <v>44699</v>
      </c>
      <c r="B35531" s="4" t="s">
        <v>44702</v>
      </c>
      <c r="C35531" s="5" t="str">
        <f>IFERROR(__xludf.DUMMYFUNCTION("GOOGLETRANSLATE(B35531,""en"",""fr"")"),"La caméra erre à travers un tas de plantes et d'arbres à la fin.")</f>
        <v>La caméra erre à travers un tas de plantes et d'arbres à la fin.</v>
      </c>
    </row>
    <row r="35532">
      <c r="A35532" s="4" t="s">
        <v>44703</v>
      </c>
      <c r="B35532" s="4" t="s">
        <v>44704</v>
      </c>
      <c r="C35532" s="5" t="str">
        <f>IFERROR(__xludf.DUMMYFUNCTION("GOOGLETRANSLATE(B35532,""en"",""fr"")"),"Un homme en équipement de ski se tient sur une colline enneigée.")</f>
        <v>Un homme en équipement de ski se tient sur une colline enneigée.</v>
      </c>
    </row>
    <row r="35533">
      <c r="A35533" s="4" t="s">
        <v>44703</v>
      </c>
      <c r="B35533" s="4" t="s">
        <v>44705</v>
      </c>
      <c r="C35533" s="5" t="str">
        <f>IFERROR(__xludf.DUMMYFUNCTION("GOOGLETRANSLATE(B35533,""en"",""fr"")"),"Lui et d'autres commencent à skier sur les pistes, en donnant des coups de neige et en voyageant à travers des tunnels.")</f>
        <v>Lui et d'autres commencent à skier sur les pistes, en donnant des coups de neige et en voyageant à travers des tunnels.</v>
      </c>
    </row>
    <row r="35534">
      <c r="A35534" s="4" t="s">
        <v>44706</v>
      </c>
      <c r="B35534" s="6" t="s">
        <v>44707</v>
      </c>
      <c r="C35534" s="5" t="str">
        <f>IFERROR(__xludf.DUMMYFUNCTION("GOOGLETRANSLATE(B35534,""en"",""fr"")"),"Les hommes travaillent dans une table dans l'arrière-plan, un homme au centre de la pièce commence à marcher en rond et à faire une pause danse, une suspension d'écran joue une vidéo de rap.")</f>
        <v>Les hommes travaillent dans une table dans l'arrière-plan, un homme au centre de la pièce commence à marcher en rond et à faire une pause danse, une suspension d'écran joue une vidéo de rap.</v>
      </c>
    </row>
    <row r="35535">
      <c r="A35535" s="4" t="s">
        <v>44706</v>
      </c>
      <c r="B35535" s="4" t="s">
        <v>44708</v>
      </c>
      <c r="C35535" s="5" t="str">
        <f>IFERROR(__xludf.DUMMYFUNCTION("GOOGLETRANSLATE(B35535,""en"",""fr"")"),"L'écran joue une vidéo et les crédits sont du côté droit.")</f>
        <v>L'écran joue une vidéo et les crédits sont du côté droit.</v>
      </c>
    </row>
    <row r="35536">
      <c r="A35536" s="4" t="s">
        <v>44709</v>
      </c>
      <c r="B35536" s="4" t="s">
        <v>44710</v>
      </c>
      <c r="C35536" s="5" t="str">
        <f>IFERROR(__xludf.DUMMYFUNCTION("GOOGLETRANSLATE(B35536,""en"",""fr"")"),"Un joueur de hockey est blessé et est aidé à la glace par l'entraîneur.")</f>
        <v>Un joueur de hockey est blessé et est aidé à la glace par l'entraîneur.</v>
      </c>
    </row>
    <row r="35537">
      <c r="A35537" s="4" t="s">
        <v>44709</v>
      </c>
      <c r="B35537" s="4" t="s">
        <v>44711</v>
      </c>
      <c r="C35537" s="5" t="str">
        <f>IFERROR(__xludf.DUMMYFUNCTION("GOOGLETRANSLATE(B35537,""en"",""fr"")"),"Le joueur de hockey est escorté de la glace par l'entraîneur.")</f>
        <v>Le joueur de hockey est escorté de la glace par l'entraîneur.</v>
      </c>
    </row>
    <row r="35538">
      <c r="A35538" s="4" t="s">
        <v>44709</v>
      </c>
      <c r="B35538" s="4" t="s">
        <v>44712</v>
      </c>
      <c r="C35538" s="5" t="str">
        <f>IFERROR(__xludf.DUMMYFUNCTION("GOOGLETRANSLATE(B35538,""en"",""fr"")"),"Une rediffusion montre le joueur de hockey frappé au visage par la rondelle et il tombe sur la glace.")</f>
        <v>Une rediffusion montre le joueur de hockey frappé au visage par la rondelle et il tombe sur la glace.</v>
      </c>
    </row>
    <row r="35539">
      <c r="A35539" s="4" t="s">
        <v>44709</v>
      </c>
      <c r="B35539" s="4" t="s">
        <v>44713</v>
      </c>
      <c r="C35539" s="5" t="str">
        <f>IFERROR(__xludf.DUMMYFUNCTION("GOOGLETRANSLATE(B35539,""en"",""fr"")"),"Les équipes se tiennent ensemble autour d'un cercle et s'affrontent pour commencer le match.")</f>
        <v>Les équipes se tiennent ensemble autour d'un cercle et s'affrontent pour commencer le match.</v>
      </c>
    </row>
    <row r="35540">
      <c r="A35540" s="4" t="s">
        <v>44709</v>
      </c>
      <c r="B35540" s="4" t="s">
        <v>44714</v>
      </c>
      <c r="C35540" s="5" t="str">
        <f>IFERROR(__xludf.DUMMYFUNCTION("GOOGLETRANSLATE(B35540,""en"",""fr"")"),"Le joueur de hockey joue un jeu et patine autour de la glace en passant d'avant en arrière.")</f>
        <v>Le joueur de hockey joue un jeu et patine autour de la glace en passant d'avant en arrière.</v>
      </c>
    </row>
    <row r="35541">
      <c r="A35541" s="4" t="s">
        <v>44715</v>
      </c>
      <c r="B35541" s="4" t="s">
        <v>44716</v>
      </c>
      <c r="C35541" s="5" t="str">
        <f>IFERROR(__xludf.DUMMYFUNCTION("GOOGLETRANSLATE(B35541,""en"",""fr"")"),"Nous voyons de l'eau sur un écran d'ouverture.")</f>
        <v>Nous voyons de l'eau sur un écran d'ouverture.</v>
      </c>
    </row>
    <row r="35542">
      <c r="A35542" s="4" t="s">
        <v>44715</v>
      </c>
      <c r="B35542" s="4" t="s">
        <v>44717</v>
      </c>
      <c r="C35542" s="5" t="str">
        <f>IFERROR(__xludf.DUMMYFUNCTION("GOOGLETRANSLATE(B35542,""en"",""fr"")"),"Un homme mesure et coupe le tapis tout en s'agenouillant.")</f>
        <v>Un homme mesure et coupe le tapis tout en s'agenouillant.</v>
      </c>
    </row>
    <row r="35543">
      <c r="A35543" s="4" t="s">
        <v>44715</v>
      </c>
      <c r="B35543" s="4" t="s">
        <v>44718</v>
      </c>
      <c r="C35543" s="5" t="str">
        <f>IFERROR(__xludf.DUMMYFUNCTION("GOOGLETRANSLATE(B35543,""en"",""fr"")"),"L'homme ajoute une bande et met un outil dans la couture.")</f>
        <v>L'homme ajoute une bande et met un outil dans la couture.</v>
      </c>
    </row>
    <row r="35544">
      <c r="A35544" s="4" t="s">
        <v>44715</v>
      </c>
      <c r="B35544" s="4" t="s">
        <v>44719</v>
      </c>
      <c r="C35544" s="5" t="str">
        <f>IFERROR(__xludf.DUMMYFUNCTION("GOOGLETRANSLATE(B35544,""en"",""fr"")"),"L'homme passe un objet noir sur la couture à plusieurs reprises puis se tient à plusieurs reprises.")</f>
        <v>L'homme passe un objet noir sur la couture à plusieurs reprises puis se tient à plusieurs reprises.</v>
      </c>
    </row>
    <row r="35545">
      <c r="A35545" s="4" t="s">
        <v>44715</v>
      </c>
      <c r="B35545" s="4" t="s">
        <v>2892</v>
      </c>
      <c r="C35545" s="5" t="str">
        <f>IFERROR(__xludf.DUMMYFUNCTION("GOOGLETRANSLATE(B35545,""en"",""fr"")"),"Nous voyons l'écran de titre de clôture.")</f>
        <v>Nous voyons l'écran de titre de clôture.</v>
      </c>
    </row>
    <row r="35546">
      <c r="A35546" s="4" t="s">
        <v>44720</v>
      </c>
      <c r="B35546" s="6" t="s">
        <v>44721</v>
      </c>
      <c r="C35546" s="5" t="str">
        <f>IFERROR(__xludf.DUMMYFUNCTION("GOOGLETRANSLATE(B35546,""en"",""fr"")"),"Deux hommes sont vus courir dans une pièce clos tenant des raquettes de tennis et frappant une balle dans la pièce.")</f>
        <v>Deux hommes sont vus courir dans une pièce clos tenant des raquettes de tennis et frappant une balle dans la pièce.</v>
      </c>
    </row>
    <row r="35547">
      <c r="A35547" s="4" t="s">
        <v>44720</v>
      </c>
      <c r="B35547" s="6" t="s">
        <v>44722</v>
      </c>
      <c r="C35547" s="5" t="str">
        <f>IFERROR(__xludf.DUMMYFUNCTION("GOOGLETRANSLATE(B35547,""en"",""fr"")"),"Les hommes continuent de frapper le ballon dans la pièce pendant que la caméra continue de suivre leurs mouvements.")</f>
        <v>Les hommes continuent de frapper le ballon dans la pièce pendant que la caméra continue de suivre leurs mouvements.</v>
      </c>
    </row>
    <row r="35548">
      <c r="A35548" s="4" t="s">
        <v>44723</v>
      </c>
      <c r="B35548" s="4" t="s">
        <v>44724</v>
      </c>
      <c r="C35548" s="5" t="str">
        <f>IFERROR(__xludf.DUMMYFUNCTION("GOOGLETRANSLATE(B35548,""en"",""fr"")"),"Les hommes nagent plus ou moins en synchronisation avec les volleyball.")</f>
        <v>Les hommes nagent plus ou moins en synchronisation avec les volleyball.</v>
      </c>
    </row>
    <row r="35549">
      <c r="A35549" s="4" t="s">
        <v>44723</v>
      </c>
      <c r="B35549" s="4" t="s">
        <v>44725</v>
      </c>
      <c r="C35549" s="5" t="str">
        <f>IFERROR(__xludf.DUMMYFUNCTION("GOOGLETRANSLATE(B35549,""en"",""fr"")"),"Ils s'arrêtent et se mettent en cercle dans la piscine et commencent à lancer le ballon entre eux.")</f>
        <v>Ils s'arrêtent et se mettent en cercle dans la piscine et commencent à lancer le ballon entre eux.</v>
      </c>
    </row>
    <row r="35550">
      <c r="A35550" s="4" t="s">
        <v>44723</v>
      </c>
      <c r="B35550" s="4" t="s">
        <v>44726</v>
      </c>
      <c r="C35550" s="5" t="str">
        <f>IFERROR(__xludf.DUMMYFUNCTION("GOOGLETRANSLATE(B35550,""en"",""fr"")"),"Après cela, ils commencent à nager et à lancer un peu.")</f>
        <v>Après cela, ils commencent à nager et à lancer un peu.</v>
      </c>
    </row>
    <row r="35551">
      <c r="A35551" s="4" t="s">
        <v>44723</v>
      </c>
      <c r="B35551" s="4" t="s">
        <v>44727</v>
      </c>
      <c r="C35551" s="5" t="str">
        <f>IFERROR(__xludf.DUMMYFUNCTION("GOOGLETRANSLATE(B35551,""en"",""fr"")"),"Après, ils ont tout mis ensemble et chacun se joint à jouer.")</f>
        <v>Après, ils ont tout mis ensemble et chacun se joint à jouer.</v>
      </c>
    </row>
    <row r="35552">
      <c r="A35552" s="4" t="s">
        <v>44728</v>
      </c>
      <c r="B35552" s="4" t="s">
        <v>44729</v>
      </c>
      <c r="C35552" s="5" t="str">
        <f>IFERROR(__xludf.DUMMYFUNCTION("GOOGLETRANSLATE(B35552,""en"",""fr"")"),"Un enfant assis à la table de restaurant place ses mains dans un dessert.")</f>
        <v>Un enfant assis à la table de restaurant place ses mains dans un dessert.</v>
      </c>
    </row>
    <row r="35553">
      <c r="A35553" s="4" t="s">
        <v>44728</v>
      </c>
      <c r="B35553" s="4" t="s">
        <v>44730</v>
      </c>
      <c r="C35553" s="5" t="str">
        <f>IFERROR(__xludf.DUMMYFUNCTION("GOOGLETRANSLATE(B35553,""en"",""fr"")"),"L'enfant utilise ses mains pour manger la nourriture.")</f>
        <v>L'enfant utilise ses mains pour manger la nourriture.</v>
      </c>
    </row>
    <row r="35554">
      <c r="A35554" s="4" t="s">
        <v>44728</v>
      </c>
      <c r="B35554" s="4" t="s">
        <v>44731</v>
      </c>
      <c r="C35554" s="5" t="str">
        <f>IFERROR(__xludf.DUMMYFUNCTION("GOOGLETRANSLATE(B35554,""en"",""fr"")"),"L'adulte empêche l'enfant de renverser la nourriture sur le sol et aide à le nourrir.")</f>
        <v>L'adulte empêche l'enfant de renverser la nourriture sur le sol et aide à le nourrir.</v>
      </c>
    </row>
    <row r="35555">
      <c r="A35555" s="4" t="s">
        <v>44732</v>
      </c>
      <c r="B35555" s="4" t="s">
        <v>44733</v>
      </c>
      <c r="C35555" s="5" t="str">
        <f>IFERROR(__xludf.DUMMYFUNCTION("GOOGLETRANSLATE(B35555,""en"",""fr"")"),"La vidéo commence à afficher le logo de l'entreprise pour une entreprise de toiture.")</f>
        <v>La vidéo commence à afficher le logo de l'entreprise pour une entreprise de toiture.</v>
      </c>
    </row>
    <row r="35556">
      <c r="A35556" s="4" t="s">
        <v>44732</v>
      </c>
      <c r="B35556" s="4" t="s">
        <v>44734</v>
      </c>
      <c r="C35556" s="5" t="str">
        <f>IFERROR(__xludf.DUMMYFUNCTION("GOOGLETRANSLATE(B35556,""en"",""fr"")"),"Une voix est entendue réciter les étapes pour appliquer des crêtes sur un toit.")</f>
        <v>Une voix est entendue réciter les étapes pour appliquer des crêtes sur un toit.</v>
      </c>
    </row>
    <row r="35557">
      <c r="A35557" s="4" t="s">
        <v>44732</v>
      </c>
      <c r="B35557" s="4" t="s">
        <v>44735</v>
      </c>
      <c r="C35557" s="5" t="str">
        <f>IFERROR(__xludf.DUMMYFUNCTION("GOOGLETRANSLATE(B35557,""en"",""fr"")"),"Alors que la voix récite les étapes, un homme plus âgé est montré sur la vidéo effectuant ces étapes vers un toit.")</f>
        <v>Alors que la voix récite les étapes, un homme plus âgé est montré sur la vidéo effectuant ces étapes vers un toit.</v>
      </c>
    </row>
    <row r="35558">
      <c r="A35558" s="4" t="s">
        <v>44732</v>
      </c>
      <c r="B35558" s="4" t="s">
        <v>44736</v>
      </c>
      <c r="C35558" s="5" t="str">
        <f>IFERROR(__xludf.DUMMYFUNCTION("GOOGLETRANSLATE(B35558,""en"",""fr"")"),"Comme la voix dit que les étapes sont terminées, le coup final montre un gros plan des crêtes terminées.")</f>
        <v>Comme la voix dit que les étapes sont terminées, le coup final montre un gros plan des crêtes terminées.</v>
      </c>
    </row>
    <row r="35559">
      <c r="A35559" s="4" t="s">
        <v>44732</v>
      </c>
      <c r="B35559" s="4" t="s">
        <v>44737</v>
      </c>
      <c r="C35559" s="5" t="str">
        <f>IFERROR(__xludf.DUMMYFUNCTION("GOOGLETRANSLATE(B35559,""en"",""fr"")"),"La vidéo se termine avec le logo de l'entreprise.")</f>
        <v>La vidéo se termine avec le logo de l'entreprise.</v>
      </c>
    </row>
    <row r="35560">
      <c r="A35560" s="4" t="s">
        <v>44738</v>
      </c>
      <c r="B35560" s="4" t="s">
        <v>44739</v>
      </c>
      <c r="C35560" s="5" t="str">
        <f>IFERROR(__xludf.DUMMYFUNCTION("GOOGLETRANSLATE(B35560,""en"",""fr"")"),"Un jeune homme lave des vêtements dans un lavabo de salle de bain alors qu'il parle à la caméra.")</f>
        <v>Un jeune homme lave des vêtements dans un lavabo de salle de bain alors qu'il parle à la caméra.</v>
      </c>
    </row>
    <row r="35561">
      <c r="A35561" s="4" t="s">
        <v>44738</v>
      </c>
      <c r="B35561" s="4" t="s">
        <v>44740</v>
      </c>
      <c r="C35561" s="5" t="str">
        <f>IFERROR(__xludf.DUMMYFUNCTION("GOOGLETRANSLATE(B35561,""en"",""fr"")"),"Au départ, il commence à laver les vêtements avec les deux mains.")</f>
        <v>Au départ, il commence à laver les vêtements avec les deux mains.</v>
      </c>
    </row>
    <row r="35562">
      <c r="A35562" s="4" t="s">
        <v>44738</v>
      </c>
      <c r="B35562" s="4" t="s">
        <v>44741</v>
      </c>
      <c r="C35562" s="5" t="str">
        <f>IFERROR(__xludf.DUMMYFUNCTION("GOOGLETRANSLATE(B35562,""en"",""fr"")"),"Ensuite, il ajoute plus de savon en utilisant deux bouteilles différentes dans l'évier.")</f>
        <v>Ensuite, il ajoute plus de savon en utilisant deux bouteilles différentes dans l'évier.</v>
      </c>
    </row>
    <row r="35563">
      <c r="A35563" s="4" t="s">
        <v>44738</v>
      </c>
      <c r="B35563" s="4" t="s">
        <v>44742</v>
      </c>
      <c r="C35563" s="5" t="str">
        <f>IFERROR(__xludf.DUMMYFUNCTION("GOOGLETRANSLATE(B35563,""en"",""fr"")"),"Par la suite, il continue de laver les vêtements alors qu'il parle de la caméra.")</f>
        <v>Par la suite, il continue de laver les vêtements alors qu'il parle de la caméra.</v>
      </c>
    </row>
    <row r="35564">
      <c r="A35564" s="4" t="s">
        <v>44743</v>
      </c>
      <c r="B35564" s="6" t="s">
        <v>44744</v>
      </c>
      <c r="C35564" s="5" t="str">
        <f>IFERROR(__xludf.DUMMYFUNCTION("GOOGLETRANSLATE(B35564,""en"",""fr"")"),"Un homme portant des chemises noires avec une conception graphique est assise près d'une table avec des bouteilles d'alcool et un shaker.")</f>
        <v>Un homme portant des chemises noires avec une conception graphique est assise près d'une table avec des bouteilles d'alcool et un shaker.</v>
      </c>
    </row>
    <row r="35565">
      <c r="A35565" s="4" t="s">
        <v>44743</v>
      </c>
      <c r="B35565" s="4" t="s">
        <v>44745</v>
      </c>
      <c r="C35565" s="5" t="str">
        <f>IFERROR(__xludf.DUMMYFUNCTION("GOOGLETRANSLATE(B35565,""en"",""fr"")"),"Il est un montant de comment faire une boisson alcoolisée saisonnière.")</f>
        <v>Il est un montant de comment faire une boisson alcoolisée saisonnière.</v>
      </c>
    </row>
    <row r="35566">
      <c r="A35566" s="4" t="s">
        <v>44743</v>
      </c>
      <c r="B35566" s="4" t="s">
        <v>44746</v>
      </c>
      <c r="C35566" s="5" t="str">
        <f>IFERROR(__xludf.DUMMYFUNCTION("GOOGLETRANSLATE(B35566,""en"",""fr"")"),"Il ramasse les bouteilles d'alcool qu'il utilisera pour les boissons.")</f>
        <v>Il ramasse les bouteilles d'alcool qu'il utilisera pour les boissons.</v>
      </c>
    </row>
    <row r="35567">
      <c r="A35567" s="4" t="s">
        <v>44743</v>
      </c>
      <c r="B35567" s="4" t="s">
        <v>44747</v>
      </c>
      <c r="C35567" s="5" t="str">
        <f>IFERROR(__xludf.DUMMYFUNCTION("GOOGLETRANSLATE(B35567,""en"",""fr"")"),"Il utilise le Jigger pour mesurer puis verser les ingrédients nécessaires dans le shaker.")</f>
        <v>Il utilise le Jigger pour mesurer puis verser les ingrédients nécessaires dans le shaker.</v>
      </c>
    </row>
    <row r="35568">
      <c r="A35568" s="4" t="s">
        <v>44743</v>
      </c>
      <c r="B35568" s="4" t="s">
        <v>44748</v>
      </c>
      <c r="C35568" s="5" t="str">
        <f>IFERROR(__xludf.DUMMYFUNCTION("GOOGLETRANSLATE(B35568,""en"",""fr"")"),"Il ajoute ensuite de la crème au mélange.")</f>
        <v>Il ajoute ensuite de la crème au mélange.</v>
      </c>
    </row>
    <row r="35569">
      <c r="A35569" s="4" t="s">
        <v>44743</v>
      </c>
      <c r="B35569" s="4" t="s">
        <v>44749</v>
      </c>
      <c r="C35569" s="5" t="str">
        <f>IFERROR(__xludf.DUMMYFUNCTION("GOOGLETRANSLATE(B35569,""en"",""fr"")"),"Il ajoute quelques cubes de glace dans le shaker.")</f>
        <v>Il ajoute quelques cubes de glace dans le shaker.</v>
      </c>
    </row>
    <row r="35570">
      <c r="A35570" s="4" t="s">
        <v>44743</v>
      </c>
      <c r="B35570" s="4" t="s">
        <v>44750</v>
      </c>
      <c r="C35570" s="5" t="str">
        <f>IFERROR(__xludf.DUMMYFUNCTION("GOOGLETRANSLATE(B35570,""en"",""fr"")"),"Puis il secoue vigoureusement la boisson et se déverse dans un verre conique.")</f>
        <v>Puis il secoue vigoureusement la boisson et se déverse dans un verre conique.</v>
      </c>
    </row>
    <row r="35571">
      <c r="A35571" s="4" t="s">
        <v>44743</v>
      </c>
      <c r="B35571" s="4" t="s">
        <v>44751</v>
      </c>
      <c r="C35571" s="5" t="str">
        <f>IFERROR(__xludf.DUMMYFUNCTION("GOOGLETRANSLATE(B35571,""en"",""fr"")"),"Il est ensuite à la tête de la boisson avec de la crème fouettée d'une boîte et met une cerise sur le dessus.")</f>
        <v>Il est ensuite à la tête de la boisson avec de la crème fouettée d'une boîte et met une cerise sur le dessus.</v>
      </c>
    </row>
    <row r="35572">
      <c r="A35572" s="4" t="s">
        <v>44743</v>
      </c>
      <c r="B35572" s="4" t="s">
        <v>44752</v>
      </c>
      <c r="C35572" s="5" t="str">
        <f>IFERROR(__xludf.DUMMYFUNCTION("GOOGLETRANSLATE(B35572,""en"",""fr"")"),"Il donne des informations sur sa page Facebook et d'autres détails.")</f>
        <v>Il donne des informations sur sa page Facebook et d'autres détails.</v>
      </c>
    </row>
    <row r="35573">
      <c r="A35573" s="4" t="s">
        <v>44753</v>
      </c>
      <c r="B35573" s="4" t="s">
        <v>44754</v>
      </c>
      <c r="C35573" s="5" t="str">
        <f>IFERROR(__xludf.DUMMYFUNCTION("GOOGLETRANSLATE(B35573,""en"",""fr"")"),"Une femme utilise un fer sur une planche.")</f>
        <v>Une femme utilise un fer sur une planche.</v>
      </c>
    </row>
    <row r="35574">
      <c r="A35574" s="4" t="s">
        <v>44753</v>
      </c>
      <c r="B35574" s="4" t="s">
        <v>44755</v>
      </c>
      <c r="C35574" s="5" t="str">
        <f>IFERROR(__xludf.DUMMYFUNCTION("GOOGLETRANSLATE(B35574,""en"",""fr"")"),"Elle montre comment repasser les vêtements de bébé.")</f>
        <v>Elle montre comment repasser les vêtements de bébé.</v>
      </c>
    </row>
    <row r="35575">
      <c r="A35575" s="4" t="s">
        <v>44753</v>
      </c>
      <c r="B35575" s="4" t="s">
        <v>44756</v>
      </c>
      <c r="C35575" s="5" t="str">
        <f>IFERROR(__xludf.DUMMYFUNCTION("GOOGLETRANSLATE(B35575,""en"",""fr"")"),"Elle retourne les vêtements, le bougnant au fur et à mesure.")</f>
        <v>Elle retourne les vêtements, le bougnant au fur et à mesure.</v>
      </c>
    </row>
    <row r="35576">
      <c r="A35576" s="4" t="s">
        <v>44757</v>
      </c>
      <c r="B35576" s="4" t="s">
        <v>44758</v>
      </c>
      <c r="C35576" s="5" t="str">
        <f>IFERROR(__xludf.DUMMYFUNCTION("GOOGLETRANSLATE(B35576,""en"",""fr"")"),"Un homme branche une machine à tonte, puis il pousse la tondeuse pour couper l'herbe dans une cour.")</f>
        <v>Un homme branche une machine à tonte, puis il pousse la tondeuse pour couper l'herbe dans une cour.</v>
      </c>
    </row>
    <row r="35577">
      <c r="A35577" s="4" t="s">
        <v>44757</v>
      </c>
      <c r="B35577" s="4" t="s">
        <v>44759</v>
      </c>
      <c r="C35577" s="5" t="str">
        <f>IFERROR(__xludf.DUMMYFUNCTION("GOOGLETRANSLATE(B35577,""en"",""fr"")"),"Après, l'homme coupe l'herbe aux bordures avec des ciseaux de jardin.")</f>
        <v>Après, l'homme coupe l'herbe aux bordures avec des ciseaux de jardin.</v>
      </c>
    </row>
    <row r="35578">
      <c r="A35578" s="4" t="s">
        <v>44760</v>
      </c>
      <c r="B35578" s="4" t="s">
        <v>44761</v>
      </c>
      <c r="C35578" s="5" t="str">
        <f>IFERROR(__xludf.DUMMYFUNCTION("GOOGLETRANSLATE(B35578,""en"",""fr"")"),"Deux lutteurs sont sur un anneau se disputant.")</f>
        <v>Deux lutteurs sont sur un anneau se disputant.</v>
      </c>
    </row>
    <row r="35579">
      <c r="A35579" s="4" t="s">
        <v>44760</v>
      </c>
      <c r="B35579" s="4" t="s">
        <v>44762</v>
      </c>
      <c r="C35579" s="5" t="str">
        <f>IFERROR(__xludf.DUMMYFUNCTION("GOOGLETRANSLATE(B35579,""en"",""fr"")"),"L'arbitre se tient à part, leur instruisant quoi faire.")</f>
        <v>L'arbitre se tient à part, leur instruisant quoi faire.</v>
      </c>
    </row>
    <row r="35580">
      <c r="A35580" s="4" t="s">
        <v>44760</v>
      </c>
      <c r="B35580" s="4" t="s">
        <v>44763</v>
      </c>
      <c r="C35580" s="5" t="str">
        <f>IFERROR(__xludf.DUMMYFUNCTION("GOOGLETRANSLATE(B35580,""en"",""fr"")"),"Ils arrivent enfin à la lutte du bras.")</f>
        <v>Ils arrivent enfin à la lutte du bras.</v>
      </c>
    </row>
    <row r="35581">
      <c r="A35581" s="4" t="s">
        <v>44760</v>
      </c>
      <c r="B35581" s="4" t="s">
        <v>44764</v>
      </c>
      <c r="C35581" s="5" t="str">
        <f>IFERROR(__xludf.DUMMYFUNCTION("GOOGLETRANSLATE(B35581,""en"",""fr"")"),"La foule autour d'eux encourage.")</f>
        <v>La foule autour d'eux encourage.</v>
      </c>
    </row>
    <row r="35582">
      <c r="A35582" s="4" t="s">
        <v>44760</v>
      </c>
      <c r="B35582" s="4" t="s">
        <v>44765</v>
      </c>
      <c r="C35582" s="5" t="str">
        <f>IFERROR(__xludf.DUMMYFUNCTION("GOOGLETRANSLATE(B35582,""en"",""fr"")"),"Un gars saute sur le ring et commence à se battre avec l'un des lutteurs.")</f>
        <v>Un gars saute sur le ring et commence à se battre avec l'un des lutteurs.</v>
      </c>
    </row>
    <row r="35583">
      <c r="A35583" s="4" t="s">
        <v>44760</v>
      </c>
      <c r="B35583" s="6" t="s">
        <v>44766</v>
      </c>
      <c r="C35583" s="5" t="str">
        <f>IFERROR(__xludf.DUMMYFUNCTION("GOOGLETRANSLATE(B35583,""en"",""fr"")"),"L'homme quitte le ring et le lutteur s'approche de l'autre lutteur et le bat au sol.")</f>
        <v>L'homme quitte le ring et le lutteur s'approche de l'autre lutteur et le bat au sol.</v>
      </c>
    </row>
    <row r="35584">
      <c r="A35584" s="4" t="s">
        <v>44760</v>
      </c>
      <c r="B35584" s="4" t="s">
        <v>44767</v>
      </c>
      <c r="C35584" s="5" t="str">
        <f>IFERROR(__xludf.DUMMYFUNCTION("GOOGLETRANSLATE(B35584,""en"",""fr"")"),"Le lutteur célèbre sa victoire.")</f>
        <v>Le lutteur célèbre sa victoire.</v>
      </c>
    </row>
    <row r="35585">
      <c r="A35585" s="4" t="s">
        <v>44768</v>
      </c>
      <c r="B35585" s="6" t="s">
        <v>44769</v>
      </c>
      <c r="C35585" s="5" t="str">
        <f>IFERROR(__xludf.DUMMYFUNCTION("GOOGLETRANSLATE(B35585,""en"",""fr"")"),"Deux petits garçons Râteau part dans une cour tandis qu'une petite fille regarde et marche avec eux pendant qu'ils ratissent.")</f>
        <v>Deux petits garçons Râteau part dans une cour tandis qu'une petite fille regarde et marche avec eux pendant qu'ils ratissent.</v>
      </c>
    </row>
    <row r="35586">
      <c r="A35586" s="4" t="s">
        <v>44768</v>
      </c>
      <c r="B35586" s="6" t="s">
        <v>44770</v>
      </c>
      <c r="C35586" s="5" t="str">
        <f>IFERROR(__xludf.DUMMYFUNCTION("GOOGLETRANSLATE(B35586,""en"",""fr"")"),"Les deux petits garçons ratissent les feuilles avec des râteaux rouges et une petite fille les regarde et traîne pendant qu'ils se ratissent.")</f>
        <v>Les deux petits garçons ratissent les feuilles avec des râteaux rouges et une petite fille les regarde et traîne pendant qu'ils se ratissent.</v>
      </c>
    </row>
    <row r="35587">
      <c r="A35587" s="4" t="s">
        <v>44768</v>
      </c>
      <c r="B35587" s="4" t="s">
        <v>44771</v>
      </c>
      <c r="C35587" s="5" t="str">
        <f>IFERROR(__xludf.DUMMYFUNCTION("GOOGLETRANSLATE(B35587,""en"",""fr"")"),"Les deux garçons commencent à ratir à droite de la pelouse et la petite fille court derrière eux.")</f>
        <v>Les deux garçons commencent à ratir à droite de la pelouse et la petite fille court derrière eux.</v>
      </c>
    </row>
    <row r="35588">
      <c r="A35588" s="4" t="s">
        <v>44768</v>
      </c>
      <c r="B35588" s="4" t="s">
        <v>44772</v>
      </c>
      <c r="C35588" s="5" t="str">
        <f>IFERROR(__xludf.DUMMYFUNCTION("GOOGLETRANSLATE(B35588,""en"",""fr"")"),"Les garçons se retournent alors et commencent à ratir le côté droit de la pelouse.")</f>
        <v>Les garçons se retournent alors et commencent à ratir le côté droit de la pelouse.</v>
      </c>
    </row>
    <row r="35589">
      <c r="A35589" s="4" t="s">
        <v>44773</v>
      </c>
      <c r="B35589" s="6" t="s">
        <v>44774</v>
      </c>
      <c r="C35589" s="5" t="str">
        <f>IFERROR(__xludf.DUMMYFUNCTION("GOOGLETRANSLATE(B35589,""en"",""fr"")"),"Little Kid est debout dans une piscine en train de pointer un seau jaune dans l'eau et d'autres peolpe sont assis dans des bancs autour de la piscine.")</f>
        <v>Little Kid est debout dans une piscine en train de pointer un seau jaune dans l'eau et d'autres peolpe sont assis dans des bancs autour de la piscine.</v>
      </c>
    </row>
    <row r="35590">
      <c r="A35590" s="4" t="s">
        <v>44773</v>
      </c>
      <c r="B35590" s="6" t="s">
        <v>44775</v>
      </c>
      <c r="C35590" s="5" t="str">
        <f>IFERROR(__xludf.DUMMYFUNCTION("GOOGLETRANSLATE(B35590,""en"",""fr"")"),"La femme porte l'enfant sur le dos, puis elle est avec un homme et l'enfant faisant des vélos dans le parc.")</f>
        <v>La femme porte l'enfant sur le dos, puis elle est avec un homme et l'enfant faisant des vélos dans le parc.</v>
      </c>
    </row>
    <row r="35591">
      <c r="A35591" s="4" t="s">
        <v>44773</v>
      </c>
      <c r="B35591" s="4" t="s">
        <v>44776</v>
      </c>
      <c r="C35591" s="5" t="str">
        <f>IFERROR(__xludf.DUMMYFUNCTION("GOOGLETRANSLATE(B35591,""en"",""fr"")"),"Kid court à l'intérieur d'un terrain de panier couvert.")</f>
        <v>Kid court à l'intérieur d'un terrain de panier couvert.</v>
      </c>
    </row>
    <row r="35592">
      <c r="A35592" s="4" t="s">
        <v>44773</v>
      </c>
      <c r="B35592" s="4" t="s">
        <v>44777</v>
      </c>
      <c r="C35592" s="5" t="str">
        <f>IFERROR(__xludf.DUMMYFUNCTION("GOOGLETRANSLATE(B35592,""en"",""fr"")"),"Kid est allongé avec une raquette de tennis.")</f>
        <v>Kid est allongé avec une raquette de tennis.</v>
      </c>
    </row>
    <row r="35593">
      <c r="A35593" s="4" t="s">
        <v>44778</v>
      </c>
      <c r="B35593" s="4" t="s">
        <v>44779</v>
      </c>
      <c r="C35593" s="5" t="str">
        <f>IFERROR(__xludf.DUMMYFUNCTION("GOOGLETRANSLATE(B35593,""en"",""fr"")"),"Un garçon se tient à côté d'une corde de saut de terrain de jeu.")</f>
        <v>Un garçon se tient à côté d'une corde de saut de terrain de jeu.</v>
      </c>
    </row>
    <row r="35594">
      <c r="A35594" s="4" t="s">
        <v>44778</v>
      </c>
      <c r="B35594" s="4" t="s">
        <v>44780</v>
      </c>
      <c r="C35594" s="5" t="str">
        <f>IFERROR(__xludf.DUMMYFUNCTION("GOOGLETRANSLATE(B35594,""en"",""fr"")"),"Une personne saute une corde sur un tapis blanc.")</f>
        <v>Une personne saute une corde sur un tapis blanc.</v>
      </c>
    </row>
    <row r="35595">
      <c r="A35595" s="4" t="s">
        <v>44778</v>
      </c>
      <c r="B35595" s="4" t="s">
        <v>44781</v>
      </c>
      <c r="C35595" s="5" t="str">
        <f>IFERROR(__xludf.DUMMYFUNCTION("GOOGLETRANSLATE(B35595,""en"",""fr"")"),"Un homme s'agenouille sur le sol devant une table rouge.")</f>
        <v>Un homme s'agenouille sur le sol devant une table rouge.</v>
      </c>
    </row>
    <row r="35596">
      <c r="A35596" s="4" t="s">
        <v>44778</v>
      </c>
      <c r="B35596" s="4" t="s">
        <v>44782</v>
      </c>
      <c r="C35596" s="5" t="str">
        <f>IFERROR(__xludf.DUMMYFUNCTION("GOOGLETRANSLATE(B35596,""en"",""fr"")"),"Il se lève et commence à sauter la corde.")</f>
        <v>Il se lève et commence à sauter la corde.</v>
      </c>
    </row>
    <row r="35597">
      <c r="A35597" s="4" t="s">
        <v>44783</v>
      </c>
      <c r="B35597" s="4" t="s">
        <v>44784</v>
      </c>
      <c r="C35597" s="5" t="str">
        <f>IFERROR(__xludf.DUMMYFUNCTION("GOOGLETRANSLATE(B35597,""en"",""fr"")"),"Un enfant se produit sur les doubles barres inégales, tout en retournant autour des barres.")</f>
        <v>Un enfant se produit sur les doubles barres inégales, tout en retournant autour des barres.</v>
      </c>
    </row>
    <row r="35598">
      <c r="A35598" s="4" t="s">
        <v>44783</v>
      </c>
      <c r="B35598" s="4" t="s">
        <v>44785</v>
      </c>
      <c r="C35598" s="5" t="str">
        <f>IFERROR(__xludf.DUMMYFUNCTION("GOOGLETRANSLATE(B35598,""en"",""fr"")"),"Ensuite, l'enfant se retourne et le terrain se tient sur le sol, puis marche.")</f>
        <v>Ensuite, l'enfant se retourne et le terrain se tient sur le sol, puis marche.</v>
      </c>
    </row>
    <row r="35599">
      <c r="A35599" s="4" t="s">
        <v>44786</v>
      </c>
      <c r="B35599" s="6" t="s">
        <v>44787</v>
      </c>
      <c r="C35599" s="5" t="str">
        <f>IFERROR(__xludf.DUMMYFUNCTION("GOOGLETRANSLATE(B35599,""en"",""fr"")"),"La vidéo mène à plusieurs clips de coureurs de piste sautant par-dessus une barre avec leur saut diffusé à nouveau au ralenti.")</f>
        <v>La vidéo mène à plusieurs clips de coureurs de piste sautant par-dessus une barre avec leur saut diffusé à nouveau au ralenti.</v>
      </c>
    </row>
    <row r="35600">
      <c r="A35600" s="4" t="s">
        <v>44786</v>
      </c>
      <c r="B35600" s="6" t="s">
        <v>44788</v>
      </c>
      <c r="C35600" s="5" t="str">
        <f>IFERROR(__xludf.DUMMYFUNCTION("GOOGLETRANSLATE(B35600,""en"",""fr"")"),"Plusieurs autres personnes sont montrées en sautant par-dessus la barre avec une frappant la barre et ne sautant pas.")</f>
        <v>Plusieurs autres personnes sont montrées en sautant par-dessus la barre avec une frappant la barre et ne sautant pas.</v>
      </c>
    </row>
    <row r="35601">
      <c r="A35601" s="4" t="s">
        <v>44789</v>
      </c>
      <c r="B35601" s="4" t="s">
        <v>44790</v>
      </c>
      <c r="C35601" s="5" t="str">
        <f>IFERROR(__xludf.DUMMYFUNCTION("GOOGLETRANSLATE(B35601,""en"",""fr"")"),"Un garçon est assis au volant de la voiture, conduisant et parlant aux autres passagers de la voiture.")</f>
        <v>Un garçon est assis au volant de la voiture, conduisant et parlant aux autres passagers de la voiture.</v>
      </c>
    </row>
    <row r="35602">
      <c r="A35602" s="4" t="s">
        <v>44789</v>
      </c>
      <c r="B35602" s="6" t="s">
        <v>44791</v>
      </c>
      <c r="C35602" s="5" t="str">
        <f>IFERROR(__xludf.DUMMYFUNCTION("GOOGLETRANSLATE(B35602,""en"",""fr"")"),"La voiture parcourt une autoroute sinueuse alors que la caméra se mette entre les gens qui parlent à l'époque.")</f>
        <v>La voiture parcourt une autoroute sinueuse alors que la caméra se mette entre les gens qui parlent à l'époque.</v>
      </c>
    </row>
    <row r="35603">
      <c r="A35603" s="4" t="s">
        <v>44789</v>
      </c>
      <c r="B35603" s="6" t="s">
        <v>44792</v>
      </c>
      <c r="C35603" s="5" t="str">
        <f>IFERROR(__xludf.DUMMYFUNCTION("GOOGLETRANSLATE(B35603,""en"",""fr"")"),"Les habitants de la voiture finissent par arriver à une pente couverte de neige où ils ne font pas de vêtements de ski et commencent à skier sur les flips de douane, à descendre des collines et à sauter des plates-formes surélevées.")</f>
        <v>Les habitants de la voiture finissent par arriver à une pente couverte de neige où ils ne font pas de vêtements de ski et commencent à skier sur les flips de douane, à descendre des collines et à sauter des plates-formes surélevées.</v>
      </c>
    </row>
    <row r="35604">
      <c r="A35604" s="4" t="s">
        <v>44789</v>
      </c>
      <c r="B35604" s="4" t="s">
        <v>44793</v>
      </c>
      <c r="C35604" s="5" t="str">
        <f>IFERROR(__xludf.DUMMYFUNCTION("GOOGLETRANSLATE(B35604,""en"",""fr"")"),"À un moment donné, les garçons tombent sur le sol et se blottissent en position fœtale sur la neige.")</f>
        <v>À un moment donné, les garçons tombent sur le sol et se blottissent en position fœtale sur la neige.</v>
      </c>
    </row>
    <row r="35605">
      <c r="A35605" s="4" t="s">
        <v>44789</v>
      </c>
      <c r="B35605" s="6" t="s">
        <v>44794</v>
      </c>
      <c r="C35605" s="5" t="str">
        <f>IFERROR(__xludf.DUMMYFUNCTION("GOOGLETRANSLATE(B35605,""en"",""fr"")"),"La scène coupe ensuite les garçons à la maison dans la cuisine qui pesait des choses avec une image finale d'un garçon debout dans les bois couverts de neige en parlant à la caméra.")</f>
        <v>La scène coupe ensuite les garçons à la maison dans la cuisine qui pesait des choses avec une image finale d'un garçon debout dans les bois couverts de neige en parlant à la caméra.</v>
      </c>
    </row>
    <row r="35606">
      <c r="A35606" s="4" t="s">
        <v>44795</v>
      </c>
      <c r="B35606" s="4" t="s">
        <v>44796</v>
      </c>
      <c r="C35606" s="5" t="str">
        <f>IFERROR(__xludf.DUMMYFUNCTION("GOOGLETRANSLATE(B35606,""en"",""fr"")"),"Un petit groupe de personnes est vu debout dans un gymnase avec un homme menant devant.")</f>
        <v>Un petit groupe de personnes est vu debout dans un gymnase avec un homme menant devant.</v>
      </c>
    </row>
    <row r="35607">
      <c r="A35607" s="4" t="s">
        <v>44795</v>
      </c>
      <c r="B35607" s="4" t="s">
        <v>44797</v>
      </c>
      <c r="C35607" s="5" t="str">
        <f>IFERROR(__xludf.DUMMYFUNCTION("GOOGLETRANSLATE(B35607,""en"",""fr"")"),"L'homme mène le groupe dans une classe d'exercice qui implique une poutre sur le sol.")</f>
        <v>L'homme mène le groupe dans une classe d'exercice qui implique une poutre sur le sol.</v>
      </c>
    </row>
    <row r="35608">
      <c r="A35608" s="4" t="s">
        <v>44795</v>
      </c>
      <c r="B35608" s="4" t="s">
        <v>44798</v>
      </c>
      <c r="C35608" s="5" t="str">
        <f>IFERROR(__xludf.DUMMYFUNCTION("GOOGLETRANSLATE(B35608,""en"",""fr"")"),"Les gens se déplacent de haut en bas du faisceau pendant que l'homme applaudit et sourit au groupe.")</f>
        <v>Les gens se déplacent de haut en bas du faisceau pendant que l'homme applaudit et sourit au groupe.</v>
      </c>
    </row>
    <row r="35609">
      <c r="A35609" s="4" t="s">
        <v>44799</v>
      </c>
      <c r="B35609" s="4" t="s">
        <v>44800</v>
      </c>
      <c r="C35609" s="5" t="str">
        <f>IFERROR(__xludf.DUMMYFUNCTION("GOOGLETRANSLATE(B35609,""en"",""fr"")"),"Un gymnaste court, puis se retourne plusieurs fois sur une piste intérieure.")</f>
        <v>Un gymnaste court, puis se retourne plusieurs fois sur une piste intérieure.</v>
      </c>
    </row>
    <row r="35610">
      <c r="A35610" s="4" t="s">
        <v>44799</v>
      </c>
      <c r="B35610" s="4" t="s">
        <v>44801</v>
      </c>
      <c r="C35610" s="5" t="str">
        <f>IFERROR(__xludf.DUMMYFUNCTION("GOOGLETRANSLATE(B35610,""en"",""fr"")"),"D'autres filles emboîtent le pas, se retournant rapidement au fur et à mesure.")</f>
        <v>D'autres filles emboîtent le pas, se retournant rapidement au fur et à mesure.</v>
      </c>
    </row>
    <row r="35611">
      <c r="A35611" s="4" t="s">
        <v>44799</v>
      </c>
      <c r="B35611" s="4" t="s">
        <v>44802</v>
      </c>
      <c r="C35611" s="5" t="str">
        <f>IFERROR(__xludf.DUMMYFUNCTION("GOOGLETRANSLATE(B35611,""en"",""fr"")"),"Ils démontent à la fin, les bras en l'air.")</f>
        <v>Ils démontent à la fin, les bras en l'air.</v>
      </c>
    </row>
    <row r="35612">
      <c r="A35612" s="4" t="s">
        <v>44803</v>
      </c>
      <c r="B35612" s="6" t="s">
        <v>44804</v>
      </c>
      <c r="C35612" s="5" t="str">
        <f>IFERROR(__xludf.DUMMYFUNCTION("GOOGLETRANSLATE(B35612,""en"",""fr"")"),"Un petit enfant blond aux gros cheveux se trouve dans une table et tient un œil de contact et met les contacts sur ses yeux.")</f>
        <v>Un petit enfant blond aux gros cheveux se trouve dans une table et tient un œil de contact et met les contacts sur ses yeux.</v>
      </c>
    </row>
    <row r="35613">
      <c r="A35613" s="4" t="s">
        <v>44803</v>
      </c>
      <c r="B35613" s="6" t="s">
        <v>44805</v>
      </c>
      <c r="C35613" s="5" t="str">
        <f>IFERROR(__xludf.DUMMYFUNCTION("GOOGLETRANSLATE(B35613,""en"",""fr"")"),"Little Kid parle à la caméra et est dans une table Wearnig un uniforme rouge mettant des lentilles de contact sur ses yeux.")</f>
        <v>Little Kid parle à la caméra et est dans une table Wearnig un uniforme rouge mettant des lentilles de contact sur ses yeux.</v>
      </c>
    </row>
    <row r="35614">
      <c r="A35614" s="4" t="s">
        <v>44806</v>
      </c>
      <c r="B35614" s="4" t="s">
        <v>44807</v>
      </c>
      <c r="C35614" s="5" t="str">
        <f>IFERROR(__xludf.DUMMYFUNCTION("GOOGLETRANSLATE(B35614,""en"",""fr"")"),"L'homme court dans un gymnase couvert et fait un saut en hauteur.")</f>
        <v>L'homme court dans un gymnase couvert et fait un saut en hauteur.</v>
      </c>
    </row>
    <row r="35615">
      <c r="A35615" s="4" t="s">
        <v>44806</v>
      </c>
      <c r="B35615" s="4" t="s">
        <v>44808</v>
      </c>
      <c r="C35615" s="5" t="str">
        <f>IFERROR(__xludf.DUMMYFUNCTION("GOOGLETRANSLATE(B35615,""en"",""fr"")"),"L'homme fait un saut périlleux dans un gymnase couvert.")</f>
        <v>L'homme fait un saut périlleux dans un gymnase couvert.</v>
      </c>
    </row>
    <row r="35616">
      <c r="A35616" s="4" t="s">
        <v>44806</v>
      </c>
      <c r="B35616" s="4" t="s">
        <v>44809</v>
      </c>
      <c r="C35616" s="5" t="str">
        <f>IFERROR(__xludf.DUMMYFUNCTION("GOOGLETRANSLATE(B35616,""en"",""fr"")"),"Deux femmes se tiennent dans le gymnase par le saut.")</f>
        <v>Deux femmes se tiennent dans le gymnase par le saut.</v>
      </c>
    </row>
    <row r="35617">
      <c r="A35617" s="4" t="s">
        <v>44806</v>
      </c>
      <c r="B35617" s="4" t="s">
        <v>44810</v>
      </c>
      <c r="C35617" s="5" t="str">
        <f>IFERROR(__xludf.DUMMYFUNCTION("GOOGLETRANSLATE(B35617,""en"",""fr"")"),"L'homme fait un saut périlleux dans un gymnase couvert dans une piste de course.")</f>
        <v>L'homme fait un saut périlleux dans un gymnase couvert dans une piste de course.</v>
      </c>
    </row>
    <row r="35618">
      <c r="A35618" s="4" t="s">
        <v>44811</v>
      </c>
      <c r="B35618" s="6" t="s">
        <v>44812</v>
      </c>
      <c r="C35618" s="5" t="str">
        <f>IFERROR(__xludf.DUMMYFUNCTION("GOOGLETRANSLATE(B35618,""en"",""fr"")"),"Il y a une gymnaste fille vêtue de justaucorps violets faisant des flips sur un bar à cheval dans un grand stade intérieur rempli de spectateurs.")</f>
        <v>Il y a une gymnaste fille vêtue de justaucorps violets faisant des flips sur un bar à cheval dans un grand stade intérieur rempli de spectateurs.</v>
      </c>
    </row>
    <row r="35619">
      <c r="A35619" s="4" t="s">
        <v>44811</v>
      </c>
      <c r="B35619" s="4" t="s">
        <v>44813</v>
      </c>
      <c r="C35619" s="5" t="str">
        <f>IFERROR(__xludf.DUMMYFUNCTION("GOOGLETRANSLATE(B35619,""en"",""fr"")"),"Elle continue de faire des flips avant et de tordre son corps sur la barre de cheval.")</f>
        <v>Elle continue de faire des flips avant et de tordre son corps sur la barre de cheval.</v>
      </c>
    </row>
    <row r="35620">
      <c r="A35620" s="4" t="s">
        <v>44811</v>
      </c>
      <c r="B35620" s="6" t="s">
        <v>44814</v>
      </c>
      <c r="C35620" s="5" t="str">
        <f>IFERROR(__xludf.DUMMYFUNCTION("GOOGLETRANSLATE(B35620,""en"",""fr"")"),"Elle marche toute la barre de cheval et saute enfin du bar à cheval pour mettre fin à sa tournée avec succès.")</f>
        <v>Elle marche toute la barre de cheval et saute enfin du bar à cheval pour mettre fin à sa tournée avec succès.</v>
      </c>
    </row>
    <row r="35621">
      <c r="A35621" s="4" t="s">
        <v>44811</v>
      </c>
      <c r="B35621" s="4" t="s">
        <v>44815</v>
      </c>
      <c r="C35621" s="5" t="str">
        <f>IFERROR(__xludf.DUMMYFUNCTION("GOOGLETRANSLATE(B35621,""en"",""fr"")"),"Alors qu'elle saute et s'éloigne, la foule applaudie et applaudie bruyamment.")</f>
        <v>Alors qu'elle saute et s'éloigne, la foule applaudie et applaudie bruyamment.</v>
      </c>
    </row>
    <row r="35622">
      <c r="A35622" s="4" t="s">
        <v>44816</v>
      </c>
      <c r="B35622" s="4" t="s">
        <v>44817</v>
      </c>
      <c r="C35622" s="5" t="str">
        <f>IFERROR(__xludf.DUMMYFUNCTION("GOOGLETRANSLATE(B35622,""en"",""fr"")"),"Un radeau bleu est montré et un groupe de personnes est montré les jetant en pile.")</f>
        <v>Un radeau bleu est montré et un groupe de personnes est montré les jetant en pile.</v>
      </c>
    </row>
    <row r="35623">
      <c r="A35623" s="4" t="s">
        <v>44816</v>
      </c>
      <c r="B35623" s="6" t="s">
        <v>44818</v>
      </c>
      <c r="C35623" s="5" t="str">
        <f>IFERROR(__xludf.DUMMYFUNCTION("GOOGLETRANSLATE(B35623,""en"",""fr"")"),"Enfin, ils sont au bord de l'eau et environ huit d'entre eux sont assis sur le radeau en descendant dans l'eau.")</f>
        <v>Enfin, ils sont au bord de l'eau et environ huit d'entre eux sont assis sur le radeau en descendant dans l'eau.</v>
      </c>
    </row>
    <row r="35624">
      <c r="A35624" s="4" t="s">
        <v>44816</v>
      </c>
      <c r="B35624" s="4" t="s">
        <v>44819</v>
      </c>
      <c r="C35624" s="5" t="str">
        <f>IFERROR(__xludf.DUMMYFUNCTION("GOOGLETRANSLATE(B35624,""en"",""fr"")"),"Après une certaine distance, ils rencontrent une roche et une grande vague et ils se détournent tous du radeau.")</f>
        <v>Après une certaine distance, ils rencontrent une roche et une grande vague et ils se détournent tous du radeau.</v>
      </c>
    </row>
    <row r="35625">
      <c r="A35625" s="4" t="s">
        <v>44816</v>
      </c>
      <c r="B35625" s="6" t="s">
        <v>44820</v>
      </c>
      <c r="C35625" s="5" t="str">
        <f>IFERROR(__xludf.DUMMYFUNCTION("GOOGLETRANSLATE(B35625,""en"",""fr"")"),"Le rafting continue et finalement ils sont tous montrés debout à l'extérieur dans un champ dans un grand cercle pour parler et boire d'un travail bien fait.")</f>
        <v>Le rafting continue et finalement ils sont tous montrés debout à l'extérieur dans un champ dans un grand cercle pour parler et boire d'un travail bien fait.</v>
      </c>
    </row>
    <row r="35626">
      <c r="A35626" s="4" t="s">
        <v>44821</v>
      </c>
      <c r="B35626" s="4" t="s">
        <v>44822</v>
      </c>
      <c r="C35626" s="5" t="str">
        <f>IFERROR(__xludf.DUMMYFUNCTION("GOOGLETRANSLATE(B35626,""en"",""fr"")"),"Les dames jouent au volley ball à l'extérieur.")</f>
        <v>Les dames jouent au volley ball à l'extérieur.</v>
      </c>
    </row>
    <row r="35627">
      <c r="A35627" s="4" t="s">
        <v>44821</v>
      </c>
      <c r="B35627" s="4" t="s">
        <v>44823</v>
      </c>
      <c r="C35627" s="5" t="str">
        <f>IFERROR(__xludf.DUMMYFUNCTION("GOOGLETRANSLATE(B35627,""en"",""fr"")"),"Une femelle frappe le ballon deux fois.")</f>
        <v>Une femelle frappe le ballon deux fois.</v>
      </c>
    </row>
    <row r="35628">
      <c r="A35628" s="4" t="s">
        <v>44821</v>
      </c>
      <c r="B35628" s="4" t="s">
        <v>44824</v>
      </c>
      <c r="C35628" s="5" t="str">
        <f>IFERROR(__xludf.DUMMYFUNCTION("GOOGLETRANSLATE(B35628,""en"",""fr"")"),"Une dame touche le bras d'un coéquipier.")</f>
        <v>Une dame touche le bras d'un coéquipier.</v>
      </c>
    </row>
    <row r="35629">
      <c r="A35629" s="4" t="s">
        <v>44825</v>
      </c>
      <c r="B35629" s="4" t="s">
        <v>44826</v>
      </c>
      <c r="C35629" s="5" t="str">
        <f>IFERROR(__xludf.DUMMYFUNCTION("GOOGLETRANSLATE(B35629,""en"",""fr"")"),"Un entraîneur aligne un groupe d'adolescents dans un terrain de basket, l'adolescent en front tient un ballon de basket.")</f>
        <v>Un entraîneur aligne un groupe d'adolescents dans un terrain de basket, l'adolescent en front tient un ballon de basket.</v>
      </c>
    </row>
    <row r="35630">
      <c r="A35630" s="4" t="s">
        <v>44825</v>
      </c>
      <c r="B35630" s="6" t="s">
        <v>44827</v>
      </c>
      <c r="C35630" s="5" t="str">
        <f>IFERROR(__xludf.DUMMYFUNCTION("GOOGLETRANSLATE(B35630,""en"",""fr"")"),"Trois adolescents courent et un garçon jette le basket-ball au panier, puis le deuxième adolescent attrape le ballon et passe le ballon à deux adolescents contestant d'avoir le ballon.")</f>
        <v>Trois adolescents courent et un garçon jette le basket-ball au panier, puis le deuxième adolescent attrape le ballon et passe le ballon à deux adolescents contestant d'avoir le ballon.</v>
      </c>
    </row>
    <row r="35631">
      <c r="A35631" s="4" t="s">
        <v>44825</v>
      </c>
      <c r="B35631" s="4" t="s">
        <v>44828</v>
      </c>
      <c r="C35631" s="5" t="str">
        <f>IFERROR(__xludf.DUMMYFUNCTION("GOOGLETRANSLATE(B35631,""en"",""fr"")"),"Ensuite, trois autres garçons courent pour pratiquer les mêmes étapes.")</f>
        <v>Ensuite, trois autres garçons courent pour pratiquer les mêmes étapes.</v>
      </c>
    </row>
    <row r="35632">
      <c r="A35632" s="4" t="s">
        <v>44825</v>
      </c>
      <c r="B35632" s="4" t="s">
        <v>44829</v>
      </c>
      <c r="C35632" s="5" t="str">
        <f>IFERROR(__xludf.DUMMYFUNCTION("GOOGLETRANSLATE(B35632,""en"",""fr"")"),"Un jeune homme portant un t-shirt jaune pratique le basket-ball sur l'autre but de basket.")</f>
        <v>Un jeune homme portant un t-shirt jaune pratique le basket-ball sur l'autre but de basket.</v>
      </c>
    </row>
    <row r="35633">
      <c r="A35633" s="4" t="s">
        <v>44825</v>
      </c>
      <c r="B35633" s="4" t="s">
        <v>44830</v>
      </c>
      <c r="C35633" s="5" t="str">
        <f>IFERROR(__xludf.DUMMYFUNCTION("GOOGLETRANSLATE(B35633,""en"",""fr"")"),"Après, un groupe de trois garçons court pour pratiquer le tir et le blocage de basket-ball.")</f>
        <v>Après, un groupe de trois garçons court pour pratiquer le tir et le blocage de basket-ball.</v>
      </c>
    </row>
    <row r="35634">
      <c r="A35634" s="4" t="s">
        <v>44831</v>
      </c>
      <c r="B35634" s="4" t="s">
        <v>44832</v>
      </c>
      <c r="C35634" s="5" t="str">
        <f>IFERROR(__xludf.DUMMYFUNCTION("GOOGLETRANSLATE(B35634,""en"",""fr"")"),"Un athlète se tient sur un terrain.")</f>
        <v>Un athlète se tient sur un terrain.</v>
      </c>
    </row>
    <row r="35635">
      <c r="A35635" s="4" t="s">
        <v>44831</v>
      </c>
      <c r="B35635" s="4" t="s">
        <v>44833</v>
      </c>
      <c r="C35635" s="5" t="str">
        <f>IFERROR(__xludf.DUMMYFUNCTION("GOOGLETRANSLATE(B35635,""en"",""fr"")"),"Il tient une grande balle en acier.")</f>
        <v>Il tient une grande balle en acier.</v>
      </c>
    </row>
    <row r="35636">
      <c r="A35636" s="4" t="s">
        <v>44831</v>
      </c>
      <c r="B35636" s="4" t="s">
        <v>44834</v>
      </c>
      <c r="C35636" s="5" t="str">
        <f>IFERROR(__xludf.DUMMYFUNCTION("GOOGLETRANSLATE(B35636,""en"",""fr"")"),"Il tourne et lance le ballon, puis se promène sur la piste en attendant son prochain tour.")</f>
        <v>Il tourne et lance le ballon, puis se promène sur la piste en attendant son prochain tour.</v>
      </c>
    </row>
    <row r="35637">
      <c r="A35637" s="4" t="s">
        <v>44835</v>
      </c>
      <c r="B35637" s="4" t="s">
        <v>44836</v>
      </c>
      <c r="C35637" s="5" t="str">
        <f>IFERROR(__xludf.DUMMYFUNCTION("GOOGLETRANSLATE(B35637,""en"",""fr"")"),"Il y a des gens qui jouent au croquet dans leur arrière-cour qui est couvert de feuilles d'automne.")</f>
        <v>Il y a des gens qui jouent au croquet dans leur arrière-cour qui est couvert de feuilles d'automne.</v>
      </c>
    </row>
    <row r="35638">
      <c r="A35638" s="4" t="s">
        <v>44835</v>
      </c>
      <c r="B35638" s="4" t="s">
        <v>44837</v>
      </c>
      <c r="C35638" s="5" t="str">
        <f>IFERROR(__xludf.DUMMYFUNCTION("GOOGLETRANSLATE(B35638,""en"",""fr"")"),"Il y a un adolescent et une adolescente qui joue au croquet sur des planches en bois.")</f>
        <v>Il y a un adolescent et une adolescente qui joue au croquet sur des planches en bois.</v>
      </c>
    </row>
    <row r="35639">
      <c r="A35639" s="4" t="s">
        <v>44835</v>
      </c>
      <c r="B35639" s="4" t="s">
        <v>44838</v>
      </c>
      <c r="C35639" s="5" t="str">
        <f>IFERROR(__xludf.DUMMYFUNCTION("GOOGLETRANSLATE(B35639,""en"",""fr"")"),"Ils utilisent leur maillet en bois pour frapper le ballon dans les planches en bois.")</f>
        <v>Ils utilisent leur maillet en bois pour frapper le ballon dans les planches en bois.</v>
      </c>
    </row>
    <row r="35640">
      <c r="A35640" s="4" t="s">
        <v>44835</v>
      </c>
      <c r="B35640" s="4" t="s">
        <v>44839</v>
      </c>
      <c r="C35640" s="5" t="str">
        <f>IFERROR(__xludf.DUMMYFUNCTION("GOOGLETRANSLATE(B35640,""en"",""fr"")"),"Un autre groupe de jeunes adolescents joue également au croquet dans la cour.")</f>
        <v>Un autre groupe de jeunes adolescents joue également au croquet dans la cour.</v>
      </c>
    </row>
    <row r="35641">
      <c r="A35641" s="4" t="s">
        <v>44835</v>
      </c>
      <c r="B35641" s="4" t="s">
        <v>44840</v>
      </c>
      <c r="C35641" s="5" t="str">
        <f>IFERROR(__xludf.DUMMYFUNCTION("GOOGLETRANSLATE(B35641,""en"",""fr"")"),"L'un des adolescents portant une chemise jaune prétend que son maillet est une guitare et la joue.")</f>
        <v>L'un des adolescents portant une chemise jaune prétend que son maillet est une guitare et la joue.</v>
      </c>
    </row>
    <row r="35642">
      <c r="A35642" s="4" t="s">
        <v>44835</v>
      </c>
      <c r="B35642" s="6" t="s">
        <v>44841</v>
      </c>
      <c r="C35642" s="5" t="str">
        <f>IFERROR(__xludf.DUMMYFUNCTION("GOOGLETRANSLATE(B35642,""en"",""fr"")"),"Les adolescents continuent de jouer au croquet alors qu'ils tournent à tour de rôle pour frapper le ballon avec le maillet tandis qu'un autre garçon joue avec un chat noir et blanc.")</f>
        <v>Les adolescents continuent de jouer au croquet alors qu'ils tournent à tour de rôle pour frapper le ballon avec le maillet tandis qu'un autre garçon joue avec un chat noir et blanc.</v>
      </c>
    </row>
    <row r="35643">
      <c r="A35643" s="4" t="s">
        <v>44835</v>
      </c>
      <c r="B35643" s="4" t="s">
        <v>44842</v>
      </c>
      <c r="C35643" s="5" t="str">
        <f>IFERROR(__xludf.DUMMYFUNCTION("GOOGLETRANSLATE(B35643,""en"",""fr"")"),"Les adolescents continuent de jouer pendant que le chat les regarde.")</f>
        <v>Les adolescents continuent de jouer pendant que le chat les regarde.</v>
      </c>
    </row>
    <row r="35644">
      <c r="A35644" s="4" t="s">
        <v>44835</v>
      </c>
      <c r="B35644" s="4" t="s">
        <v>44843</v>
      </c>
      <c r="C35644" s="5" t="str">
        <f>IFERROR(__xludf.DUMMYFUNCTION("GOOGLETRANSLATE(B35644,""en"",""fr"")"),"L'adolescent dans la chemise jaune joue avec le chat noir et blanc.")</f>
        <v>L'adolescent dans la chemise jaune joue avec le chat noir et blanc.</v>
      </c>
    </row>
    <row r="35645">
      <c r="A35645" s="4" t="s">
        <v>44835</v>
      </c>
      <c r="B35645" s="6" t="s">
        <v>44844</v>
      </c>
      <c r="C35645" s="5" t="str">
        <f>IFERROR(__xludf.DUMMYFUNCTION("GOOGLETRANSLATE(B35645,""en"",""fr"")"),"L'un des adolescents pose et vise à frapper le ballon avec son maillet tandis que les deux autres adolescents le regardent.")</f>
        <v>L'un des adolescents pose et vise à frapper le ballon avec son maillet tandis que les deux autres adolescents le regardent.</v>
      </c>
    </row>
    <row r="35646">
      <c r="A35646" s="4" t="s">
        <v>44835</v>
      </c>
      <c r="B35646" s="4" t="s">
        <v>44845</v>
      </c>
      <c r="C35646" s="5" t="str">
        <f>IFERROR(__xludf.DUMMYFUNCTION("GOOGLETRANSLATE(B35646,""en"",""fr"")"),"Ils continuent de jouer au croquet alors qu'ils tournent à tour de rôle pour frapper les balles un par un avec les maillets.")</f>
        <v>Ils continuent de jouer au croquet alors qu'ils tournent à tour de rôle pour frapper les balles un par un avec les maillets.</v>
      </c>
    </row>
    <row r="35647">
      <c r="A35647" s="4" t="s">
        <v>44835</v>
      </c>
      <c r="B35647" s="6" t="s">
        <v>44846</v>
      </c>
      <c r="C35647" s="5" t="str">
        <f>IFERROR(__xludf.DUMMYFUNCTION("GOOGLETRANSLATE(B35647,""en"",""fr"")"),"L'un des adolescents dépose alors son maillet tandis que les deux autres adolescents se donnent high fives.")</f>
        <v>L'un des adolescents dépose alors son maillet tandis que les deux autres adolescents se donnent high fives.</v>
      </c>
    </row>
    <row r="35648">
      <c r="A35648" s="4" t="s">
        <v>44847</v>
      </c>
      <c r="B35648" s="4" t="s">
        <v>44848</v>
      </c>
      <c r="C35648" s="5" t="str">
        <f>IFERROR(__xludf.DUMMYFUNCTION("GOOGLETRANSLATE(B35648,""en"",""fr"")"),"Une femme met du papier peint sur un mur.")</f>
        <v>Une femme met du papier peint sur un mur.</v>
      </c>
    </row>
    <row r="35649">
      <c r="A35649" s="4" t="s">
        <v>44847</v>
      </c>
      <c r="B35649" s="4" t="s">
        <v>44849</v>
      </c>
      <c r="C35649" s="5" t="str">
        <f>IFERROR(__xludf.DUMMYFUNCTION("GOOGLETRANSLATE(B35649,""en"",""fr"")"),"Elle lisse le papier peint avec ses mains.")</f>
        <v>Elle lisse le papier peint avec ses mains.</v>
      </c>
    </row>
    <row r="35650">
      <c r="A35650" s="4" t="s">
        <v>44847</v>
      </c>
      <c r="B35650" s="4" t="s">
        <v>44850</v>
      </c>
      <c r="C35650" s="5" t="str">
        <f>IFERROR(__xludf.DUMMYFUNCTION("GOOGLETRANSLATE(B35650,""en"",""fr"")"),"Elle roule le papier peint sur le mur.")</f>
        <v>Elle roule le papier peint sur le mur.</v>
      </c>
    </row>
    <row r="35651">
      <c r="A35651" s="4" t="s">
        <v>44851</v>
      </c>
      <c r="B35651" s="4" t="s">
        <v>44852</v>
      </c>
      <c r="C35651" s="5" t="str">
        <f>IFERROR(__xludf.DUMMYFUNCTION("GOOGLETRANSLATE(B35651,""en"",""fr"")"),"Un homme est assis à une table et tient un tournevis qu'il le presse contre la table.")</f>
        <v>Un homme est assis à une table et tient un tournevis qu'il le presse contre la table.</v>
      </c>
    </row>
    <row r="35652">
      <c r="A35652" s="4" t="s">
        <v>44851</v>
      </c>
      <c r="B35652" s="6" t="s">
        <v>44853</v>
      </c>
      <c r="C35652" s="5" t="str">
        <f>IFERROR(__xludf.DUMMYFUNCTION("GOOGLETRANSLATE(B35652,""en"",""fr"")"),"L'homme fait semblant de se chronométrer et utilise l'outil de tournevis pour percer un trou dans une bière complète qui pulvérise une partie de son contenu.")</f>
        <v>L'homme fait semblant de se chronométrer et utilise l'outil de tournevis pour percer un trou dans une bière complète qui pulvérise une partie de son contenu.</v>
      </c>
    </row>
    <row r="35653">
      <c r="A35653" s="4" t="s">
        <v>44851</v>
      </c>
      <c r="B35653" s="4" t="s">
        <v>44854</v>
      </c>
      <c r="C35653" s="5" t="str">
        <f>IFERROR(__xludf.DUMMYFUNCTION("GOOGLETRANSLATE(B35653,""en"",""fr"")"),"L'homme tient la boîte avec le trou face vers le haut.")</f>
        <v>L'homme tient la boîte avec le trou face vers le haut.</v>
      </c>
    </row>
    <row r="35654">
      <c r="A35654" s="4" t="s">
        <v>44851</v>
      </c>
      <c r="B35654" s="4" t="s">
        <v>44855</v>
      </c>
      <c r="C35654" s="5" t="str">
        <f>IFERROR(__xludf.DUMMYFUNCTION("GOOGLETRANSLATE(B35654,""en"",""fr"")"),"L'homme boit le contenu de la boîte de bière du trou après avoir ouvert le haut.")</f>
        <v>L'homme boit le contenu de la boîte de bière du trou après avoir ouvert le haut.</v>
      </c>
    </row>
    <row r="35655">
      <c r="A35655" s="4" t="s">
        <v>44856</v>
      </c>
      <c r="B35655" s="4" t="s">
        <v>44857</v>
      </c>
      <c r="C35655" s="5" t="str">
        <f>IFERROR(__xludf.DUMMYFUNCTION("GOOGLETRANSLATE(B35655,""en"",""fr"")"),"Un groupe de personnes est sur un champ bien tâché.")</f>
        <v>Un groupe de personnes est sur un champ bien tâché.</v>
      </c>
    </row>
    <row r="35656">
      <c r="A35656" s="4" t="s">
        <v>44856</v>
      </c>
      <c r="B35656" s="4" t="s">
        <v>44858</v>
      </c>
      <c r="C35656" s="5" t="str">
        <f>IFERROR(__xludf.DUMMYFUNCTION("GOOGLETRANSLATE(B35656,""en"",""fr"")"),"Ils jouent à un jeu de Croquette.")</f>
        <v>Ils jouent à un jeu de Croquette.</v>
      </c>
    </row>
    <row r="35657">
      <c r="A35657" s="4" t="s">
        <v>44856</v>
      </c>
      <c r="B35657" s="4" t="s">
        <v>44859</v>
      </c>
      <c r="C35657" s="5" t="str">
        <f>IFERROR(__xludf.DUMMYFUNCTION("GOOGLETRANSLATE(B35657,""en"",""fr"")"),"Ils ont frappé les balles à travers les cerceaux avec des maillets.")</f>
        <v>Ils ont frappé les balles à travers les cerceaux avec des maillets.</v>
      </c>
    </row>
    <row r="35658">
      <c r="A35658" s="4" t="s">
        <v>44860</v>
      </c>
      <c r="B35658" s="4" t="s">
        <v>44861</v>
      </c>
      <c r="C35658" s="5" t="str">
        <f>IFERROR(__xludf.DUMMYFUNCTION("GOOGLETRANSLATE(B35658,""en"",""fr"")"),"Un jeune garçon porte un bandana et tondre une grande cour.")</f>
        <v>Un jeune garçon porte un bandana et tondre une grande cour.</v>
      </c>
    </row>
    <row r="35659">
      <c r="A35659" s="4" t="s">
        <v>44860</v>
      </c>
      <c r="B35659" s="4" t="s">
        <v>44862</v>
      </c>
      <c r="C35659" s="5" t="str">
        <f>IFERROR(__xludf.DUMMYFUNCTION("GOOGLETRANSLATE(B35659,""en"",""fr"")"),"Il s'éloigne de la caméra alors qu'il pousse la tondeuse.")</f>
        <v>Il s'éloigne de la caméra alors qu'il pousse la tondeuse.</v>
      </c>
    </row>
    <row r="35660">
      <c r="A35660" s="4" t="s">
        <v>44860</v>
      </c>
      <c r="B35660" s="4" t="s">
        <v>44863</v>
      </c>
      <c r="C35660" s="5" t="str">
        <f>IFERROR(__xludf.DUMMYFUNCTION("GOOGLETRANSLATE(B35660,""en"",""fr"")"),"Il s'arrête alors soudainement, chassant la personne avec la caméra et les renversant.")</f>
        <v>Il s'arrête alors soudainement, chassant la personne avec la caméra et les renversant.</v>
      </c>
    </row>
    <row r="35661">
      <c r="A35661" s="4" t="s">
        <v>44864</v>
      </c>
      <c r="B35661" s="4" t="s">
        <v>44865</v>
      </c>
      <c r="C35661" s="5" t="str">
        <f>IFERROR(__xludf.DUMMYFUNCTION("GOOGLETRANSLATE(B35661,""en"",""fr"")"),"Nous voyons une animation sur l'écran du titre d'ouverture.")</f>
        <v>Nous voyons une animation sur l'écran du titre d'ouverture.</v>
      </c>
    </row>
    <row r="35662">
      <c r="A35662" s="4" t="s">
        <v>44864</v>
      </c>
      <c r="B35662" s="4" t="s">
        <v>44866</v>
      </c>
      <c r="C35662" s="5" t="str">
        <f>IFERROR(__xludf.DUMMYFUNCTION("GOOGLETRANSLATE(B35662,""en"",""fr"")"),"Une personne lave et décolle une pomme de terre.")</f>
        <v>Une personne lave et décolle une pomme de terre.</v>
      </c>
    </row>
    <row r="35663">
      <c r="A35663" s="4" t="s">
        <v>44864</v>
      </c>
      <c r="B35663" s="4" t="s">
        <v>44867</v>
      </c>
      <c r="C35663" s="5" t="str">
        <f>IFERROR(__xludf.DUMMYFUNCTION("GOOGLETRANSLATE(B35663,""en"",""fr"")"),"La personne rince la personne rince la pomme de terre pelée dans un bol.")</f>
        <v>La personne rince la personne rince la pomme de terre pelée dans un bol.</v>
      </c>
    </row>
    <row r="35664">
      <c r="A35664" s="4" t="s">
        <v>44864</v>
      </c>
      <c r="B35664" s="4" t="s">
        <v>44868</v>
      </c>
      <c r="C35664" s="5" t="str">
        <f>IFERROR(__xludf.DUMMYFUNCTION("GOOGLETRANSLATE(B35664,""en"",""fr"")"),"La personne en désira alors la pomme de terre.")</f>
        <v>La personne en désira alors la pomme de terre.</v>
      </c>
    </row>
    <row r="35665">
      <c r="A35665" s="4" t="s">
        <v>44864</v>
      </c>
      <c r="B35665" s="4" t="s">
        <v>5107</v>
      </c>
      <c r="C35665" s="5" t="str">
        <f>IFERROR(__xludf.DUMMYFUNCTION("GOOGLETRANSLATE(B35665,""en"",""fr"")"),"Nous voyons ensuite l'écran du titre de fin.")</f>
        <v>Nous voyons ensuite l'écran du titre de fin.</v>
      </c>
    </row>
    <row r="35666">
      <c r="A35666" s="4" t="s">
        <v>44869</v>
      </c>
      <c r="B35666" s="4" t="s">
        <v>44870</v>
      </c>
      <c r="C35666" s="5" t="str">
        <f>IFERROR(__xludf.DUMMYFUNCTION("GOOGLETRANSLATE(B35666,""en"",""fr"")"),"Un jeune enfant est vu assis un sommet d'une toboggan avec sa langue qui sortait.")</f>
        <v>Un jeune enfant est vu assis un sommet d'une toboggan avec sa langue qui sortait.</v>
      </c>
    </row>
    <row r="35667">
      <c r="A35667" s="4" t="s">
        <v>44869</v>
      </c>
      <c r="B35667" s="4" t="s">
        <v>44871</v>
      </c>
      <c r="C35667" s="5" t="str">
        <f>IFERROR(__xludf.DUMMYFUNCTION("GOOGLETRANSLATE(B35667,""en"",""fr"")"),"Il commence à descendre la diapositive mais tombe du côté et est vu allongé sur le sol.")</f>
        <v>Il commence à descendre la diapositive mais tombe du côté et est vu allongé sur le sol.</v>
      </c>
    </row>
    <row r="35668">
      <c r="A35668" s="4" t="s">
        <v>44872</v>
      </c>
      <c r="B35668" s="4" t="s">
        <v>44873</v>
      </c>
      <c r="C35668" s="5" t="str">
        <f>IFERROR(__xludf.DUMMYFUNCTION("GOOGLETRANSLATE(B35668,""en"",""fr"")"),"La technique générale est montrée pour lancer des javelots.")</f>
        <v>La technique générale est montrée pour lancer des javelots.</v>
      </c>
    </row>
    <row r="35669">
      <c r="A35669" s="4" t="s">
        <v>44872</v>
      </c>
      <c r="B35669" s="4" t="s">
        <v>44874</v>
      </c>
      <c r="C35669" s="5" t="str">
        <f>IFERROR(__xludf.DUMMYFUNCTION("GOOGLETRANSLATE(B35669,""en"",""fr"")"),"Il montre ensuite comment le faire avec les multisegments.")</f>
        <v>Il montre ensuite comment le faire avec les multisegments.</v>
      </c>
    </row>
    <row r="35670">
      <c r="A35670" s="4" t="s">
        <v>44875</v>
      </c>
      <c r="B35670" s="4" t="s">
        <v>44876</v>
      </c>
      <c r="C35670" s="5" t="str">
        <f>IFERROR(__xludf.DUMMYFUNCTION("GOOGLETRANSLATE(B35670,""en"",""fr"")"),"Un gros plan d'une table de billard est vu suivi par un homme frappant une balle.")</f>
        <v>Un gros plan d'une table de billard est vu suivi par un homme frappant une balle.</v>
      </c>
    </row>
    <row r="35671">
      <c r="A35671" s="4" t="s">
        <v>44875</v>
      </c>
      <c r="B35671" s="4" t="s">
        <v>44877</v>
      </c>
      <c r="C35671" s="5" t="str">
        <f>IFERROR(__xludf.DUMMYFUNCTION("GOOGLETRANSLATE(B35671,""en"",""fr"")"),"Un autre homme s'intensifie avec le bâton de piscine pour viser son tir et frappe les balles.")</f>
        <v>Un autre homme s'intensifie avec le bâton de piscine pour viser son tir et frappe les balles.</v>
      </c>
    </row>
    <row r="35672">
      <c r="A35672" s="4" t="s">
        <v>44875</v>
      </c>
      <c r="B35672" s="6" t="s">
        <v>44878</v>
      </c>
      <c r="C35672" s="5" t="str">
        <f>IFERROR(__xludf.DUMMYFUNCTION("GOOGLETRANSLATE(B35672,""en"",""fr"")"),"Les hommes se remettent à tour de rôle et quatrième jouant à la piscine jusqu'à ce que l'on gagne et que la caméra passe à un homme qui regarde.")</f>
        <v>Les hommes se remettent à tour de rôle et quatrième jouant à la piscine jusqu'à ce que l'on gagne et que la caméra passe à un homme qui regarde.</v>
      </c>
    </row>
    <row r="35673">
      <c r="A35673" s="4" t="s">
        <v>44879</v>
      </c>
      <c r="B35673" s="4" t="s">
        <v>44880</v>
      </c>
      <c r="C35673" s="5" t="str">
        <f>IFERROR(__xludf.DUMMYFUNCTION("GOOGLETRANSLATE(B35673,""en"",""fr"")"),"Un jeune homme est vu assis devant un instrument avec un autre assis sur une batterie.")</f>
        <v>Un jeune homme est vu assis devant un instrument avec un autre assis sur une batterie.</v>
      </c>
    </row>
    <row r="35674">
      <c r="A35674" s="4" t="s">
        <v>44879</v>
      </c>
      <c r="B35674" s="4" t="s">
        <v>44881</v>
      </c>
      <c r="C35674" s="5" t="str">
        <f>IFERROR(__xludf.DUMMYFUNCTION("GOOGLETRANSLATE(B35674,""en"",""fr"")"),"L'homme se déplace des bâtons tout en regardant au loin et commence à jouer.")</f>
        <v>L'homme se déplace des bâtons tout en regardant au loin et commence à jouer.</v>
      </c>
    </row>
    <row r="35675">
      <c r="A35675" s="4" t="s">
        <v>44879</v>
      </c>
      <c r="B35675" s="4" t="s">
        <v>44882</v>
      </c>
      <c r="C35675" s="5" t="str">
        <f>IFERROR(__xludf.DUMMYFUNCTION("GOOGLETRANSLATE(B35675,""en"",""fr"")"),"Un autre garçon entre dans et hors du cadre et commence à chanter dans un microphone.")</f>
        <v>Un autre garçon entre dans et hors du cadre et commence à chanter dans un microphone.</v>
      </c>
    </row>
    <row r="35676">
      <c r="A35676" s="4" t="s">
        <v>44883</v>
      </c>
      <c r="B35676" s="4" t="s">
        <v>44884</v>
      </c>
      <c r="C35676" s="5" t="str">
        <f>IFERROR(__xludf.DUMMYFUNCTION("GOOGLETRANSLATE(B35676,""en"",""fr"")"),"Un skieur tient un bâton de ski dans sa main gauche et un poteau dans sa main droite.")</f>
        <v>Un skieur tient un bâton de ski dans sa main gauche et un poteau dans sa main droite.</v>
      </c>
    </row>
    <row r="35677">
      <c r="A35677" s="4" t="s">
        <v>44883</v>
      </c>
      <c r="B35677" s="4" t="s">
        <v>44885</v>
      </c>
      <c r="C35677" s="5" t="str">
        <f>IFERROR(__xludf.DUMMYFUNCTION("GOOGLETRANSLATE(B35677,""en"",""fr"")"),"Ensuite, l'homme skie sur la colline couverte de neige.")</f>
        <v>Ensuite, l'homme skie sur la colline couverte de neige.</v>
      </c>
    </row>
    <row r="35678">
      <c r="A35678" s="4" t="s">
        <v>44883</v>
      </c>
      <c r="B35678" s="4" t="s">
        <v>44886</v>
      </c>
      <c r="C35678" s="5" t="str">
        <f>IFERROR(__xludf.DUMMYFUNCTION("GOOGLETRANSLATE(B35678,""en"",""fr"")"),"L'homme s'arrête au milieu de la colline.")</f>
        <v>L'homme s'arrête au milieu de la colline.</v>
      </c>
    </row>
    <row r="35679">
      <c r="A35679" s="4" t="s">
        <v>44883</v>
      </c>
      <c r="B35679" s="4" t="s">
        <v>44887</v>
      </c>
      <c r="C35679" s="5" t="str">
        <f>IFERROR(__xludf.DUMMYFUNCTION("GOOGLETRANSLATE(B35679,""en"",""fr"")"),"Ensuite, l'homme continue de skier jusqu'à l'arrivée dans une ville.")</f>
        <v>Ensuite, l'homme continue de skier jusqu'à l'arrivée dans une ville.</v>
      </c>
    </row>
    <row r="35680">
      <c r="A35680" s="4" t="s">
        <v>44888</v>
      </c>
      <c r="B35680" s="4" t="s">
        <v>44889</v>
      </c>
      <c r="C35680" s="5" t="str">
        <f>IFERROR(__xludf.DUMMYFUNCTION("GOOGLETRANSLATE(B35680,""en"",""fr"")"),"Un homme est sur un champ en cercle.")</f>
        <v>Un homme est sur un champ en cercle.</v>
      </c>
    </row>
    <row r="35681">
      <c r="A35681" s="4" t="s">
        <v>44888</v>
      </c>
      <c r="B35681" s="4" t="s">
        <v>44890</v>
      </c>
      <c r="C35681" s="5" t="str">
        <f>IFERROR(__xludf.DUMMYFUNCTION("GOOGLETRANSLATE(B35681,""en"",""fr"")"),"Il commence à faire tourner une balle en rond.")</f>
        <v>Il commence à faire tourner une balle en rond.</v>
      </c>
    </row>
    <row r="35682">
      <c r="A35682" s="4" t="s">
        <v>44888</v>
      </c>
      <c r="B35682" s="4" t="s">
        <v>44891</v>
      </c>
      <c r="C35682" s="5" t="str">
        <f>IFERROR(__xludf.DUMMYFUNCTION("GOOGLETRANSLATE(B35682,""en"",""fr"")"),"Il lance ensuite le ballon aussi loin que possible, mais tombe.")</f>
        <v>Il lance ensuite le ballon aussi loin que possible, mais tombe.</v>
      </c>
    </row>
    <row r="35683">
      <c r="A35683" s="4" t="s">
        <v>44892</v>
      </c>
      <c r="B35683" s="6" t="s">
        <v>44893</v>
      </c>
      <c r="C35683" s="5" t="str">
        <f>IFERROR(__xludf.DUMMYFUNCTION("GOOGLETRANSLATE(B35683,""en"",""fr"")"),"Un jeune homme allongé sur un sol carrelé avec ces mains derrière sa tête et ses genoux se penchaient pour effectuer un s'asseoir devant quelques amis.")</f>
        <v>Un jeune homme allongé sur un sol carrelé avec ces mains derrière sa tête et ses genoux se penchaient pour effectuer un s'asseoir devant quelques amis.</v>
      </c>
    </row>
    <row r="35684">
      <c r="A35684" s="4" t="s">
        <v>44892</v>
      </c>
      <c r="B35684" s="6" t="s">
        <v>44894</v>
      </c>
      <c r="C35684" s="5" t="str">
        <f>IFERROR(__xludf.DUMMYFUNCTION("GOOGLETRANSLATE(B35684,""en"",""fr"")"),"Alors qu'il amène ses coudes vers ses genoux, une fissure forte peut être entendue alors que l'homme rit, ""qui me faisait mal au cul.")</f>
        <v>Alors qu'il amène ses coudes vers ses genoux, une fissure forte peut être entendue alors que l'homme rit, "qui me faisait mal au cul.</v>
      </c>
    </row>
    <row r="35685">
      <c r="A35685" s="4" t="s">
        <v>44892</v>
      </c>
      <c r="B35685" s="4" t="s">
        <v>44895</v>
      </c>
      <c r="C35685" s="5" t="str">
        <f>IFERROR(__xludf.DUMMYFUNCTION("GOOGLETRANSLATE(B35685,""en"",""fr"")"),"«Il essaie un deuxième repos et avec un autre son de craquement, s'exclame et attrape ses fesses.")</f>
        <v>«Il essaie un deuxième repos et avec un autre son de craquement, s'exclame et attrape ses fesses.</v>
      </c>
    </row>
    <row r="35686">
      <c r="A35686" s="4" t="s">
        <v>44892</v>
      </c>
      <c r="B35686" s="4" t="s">
        <v>44896</v>
      </c>
      <c r="C35686" s="5" t="str">
        <f>IFERROR(__xludf.DUMMYFUNCTION("GOOGLETRANSLATE(B35686,""en"",""fr"")"),"L'homme dit «un de plus» et tente une autre fois, après quoi il dit: «Cela semblait horrible.")</f>
        <v>L'homme dit «un de plus» et tente une autre fois, après quoi il dit: «Cela semblait horrible.</v>
      </c>
    </row>
    <row r="35687">
      <c r="A35687" s="4" t="s">
        <v>44892</v>
      </c>
      <c r="B35687" s="6" t="s">
        <v>44897</v>
      </c>
      <c r="C35687" s="5" t="str">
        <f>IFERROR(__xludf.DUMMYFUNCTION("GOOGLETRANSLATE(B35687,""en"",""fr"")"),"«L'homme lutte sur neuf tentatives supplémentaires avant de renoncer à l'amusement de ses amis.")</f>
        <v>«L'homme lutte sur neuf tentatives supplémentaires avant de renoncer à l'amusement de ses amis.</v>
      </c>
    </row>
    <row r="35688">
      <c r="A35688" s="4" t="s">
        <v>44898</v>
      </c>
      <c r="B35688" s="4" t="s">
        <v>44899</v>
      </c>
      <c r="C35688" s="5" t="str">
        <f>IFERROR(__xludf.DUMMYFUNCTION("GOOGLETRANSLATE(B35688,""en"",""fr"")"),"Un gros plan d'une haie est montré ainsi qu'un homme utilisant un outil pour couper la haie.")</f>
        <v>Un gros plan d'une haie est montré ainsi qu'un homme utilisant un outil pour couper la haie.</v>
      </c>
    </row>
    <row r="35689">
      <c r="A35689" s="4" t="s">
        <v>44898</v>
      </c>
      <c r="B35689" s="4" t="s">
        <v>44900</v>
      </c>
      <c r="C35689" s="5" t="str">
        <f>IFERROR(__xludf.DUMMYFUNCTION("GOOGLETRANSLATE(B35689,""en"",""fr"")"),"L'homme parle de la caméra et continue en utilisant l'outil sur la haie.")</f>
        <v>L'homme parle de la caméra et continue en utilisant l'outil sur la haie.</v>
      </c>
    </row>
    <row r="35690">
      <c r="A35690" s="4" t="s">
        <v>44898</v>
      </c>
      <c r="B35690" s="6" t="s">
        <v>44901</v>
      </c>
      <c r="C35690" s="5" t="str">
        <f>IFERROR(__xludf.DUMMYFUNCTION("GOOGLETRANSLATE(B35690,""en"",""fr"")"),"Plusieurs plans sont montrés de son environnement ainsi que d'autres outils que vous pouvez utiliser et plus d'herbe en cours de coupe.")</f>
        <v>Plusieurs plans sont montrés de son environnement ainsi que d'autres outils que vous pouvez utiliser et plus d'herbe en cours de coupe.</v>
      </c>
    </row>
    <row r="35691">
      <c r="A35691" s="4" t="s">
        <v>44902</v>
      </c>
      <c r="B35691" s="4" t="s">
        <v>44903</v>
      </c>
      <c r="C35691" s="5" t="str">
        <f>IFERROR(__xludf.DUMMYFUNCTION("GOOGLETRANSLATE(B35691,""en"",""fr"")"),"Une intro conduit à un jeune homme portant une casquette de baseball en arrière jouant de la guitare sur un lit.")</f>
        <v>Une intro conduit à un jeune homme portant une casquette de baseball en arrière jouant de la guitare sur un lit.</v>
      </c>
    </row>
    <row r="35692">
      <c r="A35692" s="4" t="s">
        <v>44902</v>
      </c>
      <c r="B35692" s="6" t="s">
        <v>44904</v>
      </c>
      <c r="C35692" s="5" t="str">
        <f>IFERROR(__xludf.DUMMYFUNCTION("GOOGLETRANSLATE(B35692,""en"",""fr"")"),"L'homme caresse ses doigts de haut en bas du cou de la guitare tout en grattant la corde et en regardant le cou.")</f>
        <v>L'homme caresse ses doigts de haut en bas du cou de la guitare tout en grattant la corde et en regardant le cou.</v>
      </c>
    </row>
    <row r="35693">
      <c r="A35693" s="4" t="s">
        <v>44905</v>
      </c>
      <c r="B35693" s="4" t="s">
        <v>44906</v>
      </c>
      <c r="C35693" s="5" t="str">
        <f>IFERROR(__xludf.DUMMYFUNCTION("GOOGLETRANSLATE(B35693,""en"",""fr"")"),"Un homme se tient sur un comptoir.")</f>
        <v>Un homme se tient sur un comptoir.</v>
      </c>
    </row>
    <row r="35694">
      <c r="A35694" s="4" t="s">
        <v>44905</v>
      </c>
      <c r="B35694" s="4" t="s">
        <v>44907</v>
      </c>
      <c r="C35694" s="5" t="str">
        <f>IFERROR(__xludf.DUMMYFUNCTION("GOOGLETRANSLATE(B35694,""en"",""fr"")"),"Le devant du magasin est montré à la porte.")</f>
        <v>Le devant du magasin est montré à la porte.</v>
      </c>
    </row>
    <row r="35695">
      <c r="A35695" s="4" t="s">
        <v>44905</v>
      </c>
      <c r="B35695" s="4" t="s">
        <v>44908</v>
      </c>
      <c r="C35695" s="5" t="str">
        <f>IFERROR(__xludf.DUMMYFUNCTION("GOOGLETRANSLATE(B35695,""en"",""fr"")"),"L'homme est toujours au comptoir à parler.")</f>
        <v>L'homme est toujours au comptoir à parler.</v>
      </c>
    </row>
    <row r="35696">
      <c r="A35696" s="4" t="s">
        <v>44905</v>
      </c>
      <c r="B35696" s="4" t="s">
        <v>44909</v>
      </c>
      <c r="C35696" s="5" t="str">
        <f>IFERROR(__xludf.DUMMYFUNCTION("GOOGLETRANSLATE(B35696,""en"",""fr"")"),"Un homme est en train de courir autour d'un cours avec une arme à feu.")</f>
        <v>Un homme est en train de courir autour d'un cours avec une arme à feu.</v>
      </c>
    </row>
    <row r="35697">
      <c r="A35697" s="4" t="s">
        <v>44905</v>
      </c>
      <c r="B35697" s="4" t="s">
        <v>44910</v>
      </c>
      <c r="C35697" s="5" t="str">
        <f>IFERROR(__xludf.DUMMYFUNCTION("GOOGLETRANSLATE(B35697,""en"",""fr"")"),"L'homme parle toujours au comptoir.")</f>
        <v>L'homme parle toujours au comptoir.</v>
      </c>
    </row>
    <row r="35698">
      <c r="A35698" s="4" t="s">
        <v>44905</v>
      </c>
      <c r="B35698" s="4" t="s">
        <v>44911</v>
      </c>
      <c r="C35698" s="5" t="str">
        <f>IFERROR(__xludf.DUMMYFUNCTION("GOOGLETRANSLATE(B35698,""en"",""fr"")"),"Un homme dans le cours vise son arme.")</f>
        <v>Un homme dans le cours vise son arme.</v>
      </c>
    </row>
    <row r="35699">
      <c r="A35699" s="4" t="s">
        <v>44905</v>
      </c>
      <c r="B35699" s="4" t="s">
        <v>44912</v>
      </c>
      <c r="C35699" s="5" t="str">
        <f>IFERROR(__xludf.DUMMYFUNCTION("GOOGLETRANSLATE(B35699,""en"",""fr"")"),"L'homme au comptoir montre un pistolet particulier.")</f>
        <v>L'homme au comptoir montre un pistolet particulier.</v>
      </c>
    </row>
    <row r="35700">
      <c r="A35700" s="4" t="s">
        <v>44905</v>
      </c>
      <c r="B35700" s="4" t="s">
        <v>44913</v>
      </c>
      <c r="C35700" s="5" t="str">
        <f>IFERROR(__xludf.DUMMYFUNCTION("GOOGLETRANSLATE(B35700,""en"",""fr"")"),"Un homme du parcours coule en visant et en tirant sur son arme.")</f>
        <v>Un homme du parcours coule en visant et en tirant sur son arme.</v>
      </c>
    </row>
    <row r="35701">
      <c r="A35701" s="4" t="s">
        <v>44905</v>
      </c>
      <c r="B35701" s="4" t="s">
        <v>44914</v>
      </c>
      <c r="C35701" s="5" t="str">
        <f>IFERROR(__xludf.DUMMYFUNCTION("GOOGLETRANSLATE(B35701,""en"",""fr"")"),"L'homme au comptoir tient toujours l'arme à feu.")</f>
        <v>L'homme au comptoir tient toujours l'arme à feu.</v>
      </c>
    </row>
    <row r="35702">
      <c r="A35702" s="4" t="s">
        <v>44905</v>
      </c>
      <c r="B35702" s="4" t="s">
        <v>44915</v>
      </c>
      <c r="C35702" s="5" t="str">
        <f>IFERROR(__xludf.DUMMYFUNCTION("GOOGLETRANSLATE(B35702,""en"",""fr"")"),"L'homme sur le parcours court et tire.")</f>
        <v>L'homme sur le parcours court et tire.</v>
      </c>
    </row>
    <row r="35703">
      <c r="A35703" s="4" t="s">
        <v>44905</v>
      </c>
      <c r="B35703" s="4" t="s">
        <v>44916</v>
      </c>
      <c r="C35703" s="5" t="str">
        <f>IFERROR(__xludf.DUMMYFUNCTION("GOOGLETRANSLATE(B35703,""en"",""fr"")"),"L'homme au comptoir continue de parler avec l'arme à la main.")</f>
        <v>L'homme au comptoir continue de parler avec l'arme à la main.</v>
      </c>
    </row>
    <row r="35704">
      <c r="A35704" s="4" t="s">
        <v>44905</v>
      </c>
      <c r="B35704" s="4" t="s">
        <v>44917</v>
      </c>
      <c r="C35704" s="5" t="str">
        <f>IFERROR(__xludf.DUMMYFUNCTION("GOOGLETRANSLATE(B35704,""en"",""fr"")"),"L'homme au cours regarde dans un coin visant son arme.")</f>
        <v>L'homme au cours regarde dans un coin visant son arme.</v>
      </c>
    </row>
    <row r="35705">
      <c r="A35705" s="4" t="s">
        <v>44905</v>
      </c>
      <c r="B35705" s="4" t="s">
        <v>44918</v>
      </c>
      <c r="C35705" s="5" t="str">
        <f>IFERROR(__xludf.DUMMYFUNCTION("GOOGLETRANSLATE(B35705,""en"",""fr"")"),"L'homme au comptoir parle et fait signe avec le pistolet à la main.")</f>
        <v>L'homme au comptoir parle et fait signe avec le pistolet à la main.</v>
      </c>
    </row>
    <row r="35706">
      <c r="A35706" s="4" t="s">
        <v>44919</v>
      </c>
      <c r="B35706" s="4" t="s">
        <v>44920</v>
      </c>
      <c r="C35706" s="5" t="str">
        <f>IFERROR(__xludf.DUMMYFUNCTION("GOOGLETRANSLATE(B35706,""en"",""fr"")"),"Les hommes se tiennent contre la clôture, les portes sont en place et un cavalier attend de commencer.")</f>
        <v>Les hommes se tiennent contre la clôture, les portes sont en place et un cavalier attend de commencer.</v>
      </c>
    </row>
    <row r="35707">
      <c r="A35707" s="4" t="s">
        <v>44919</v>
      </c>
      <c r="B35707" s="4" t="s">
        <v>44921</v>
      </c>
      <c r="C35707" s="5" t="str">
        <f>IFERROR(__xludf.DUMMYFUNCTION("GOOGLETRANSLATE(B35707,""en"",""fr"")"),"Une fois que la porte s'ouvre, une petite vache sort et que le cheval poursuit.")</f>
        <v>Une fois que la porte s'ouvre, une petite vache sort et que le cheval poursuit.</v>
      </c>
    </row>
    <row r="35708">
      <c r="A35708" s="4" t="s">
        <v>44919</v>
      </c>
      <c r="B35708" s="4" t="s">
        <v>44922</v>
      </c>
      <c r="C35708" s="5" t="str">
        <f>IFERROR(__xludf.DUMMYFUNCTION("GOOGLETRANSLATE(B35708,""en"",""fr"")"),"Le cavalier jette une corde sur la vache en essayant de l'attraper puis saute du cheval.")</f>
        <v>Le cavalier jette une corde sur la vache en essayant de l'attraper puis saute du cheval.</v>
      </c>
    </row>
    <row r="35709">
      <c r="A35709" s="4" t="s">
        <v>44919</v>
      </c>
      <c r="B35709" s="6" t="s">
        <v>44923</v>
      </c>
      <c r="C35709" s="5" t="str">
        <f>IFERROR(__xludf.DUMMYFUNCTION("GOOGLETRANSLATE(B35709,""en"",""fr"")"),"Après avoir sauté du cheval, il commence à épingler la vache et à attacher la corde autour de ses jambes très grossièrement.")</f>
        <v>Après avoir sauté du cheval, il commence à épingler la vache et à attacher la corde autour de ses jambes très grossièrement.</v>
      </c>
    </row>
    <row r="35710">
      <c r="A35710" s="4" t="s">
        <v>44924</v>
      </c>
      <c r="B35710" s="4" t="s">
        <v>44925</v>
      </c>
      <c r="C35710" s="5" t="str">
        <f>IFERROR(__xludf.DUMMYFUNCTION("GOOGLETRANSLATE(B35710,""en"",""fr"")"),"Un jeune garçon est vu tenir une tondeuse à gazon et la pousser le long de la cour.")</f>
        <v>Un jeune garçon est vu tenir une tondeuse à gazon et la pousser le long de la cour.</v>
      </c>
    </row>
    <row r="35711">
      <c r="A35711" s="4" t="s">
        <v>44924</v>
      </c>
      <c r="B35711" s="4" t="s">
        <v>44926</v>
      </c>
      <c r="C35711" s="5" t="str">
        <f>IFERROR(__xludf.DUMMYFUNCTION("GOOGLETRANSLATE(B35711,""en"",""fr"")"),"Le garçon continue de pousser la tondeuse pendant que la caméra capture ses mouvements.")</f>
        <v>Le garçon continue de pousser la tondeuse pendant que la caméra capture ses mouvements.</v>
      </c>
    </row>
    <row r="35712">
      <c r="A35712" s="4" t="s">
        <v>44924</v>
      </c>
      <c r="B35712" s="4" t="s">
        <v>44927</v>
      </c>
      <c r="C35712" s="5" t="str">
        <f>IFERROR(__xludf.DUMMYFUNCTION("GOOGLETRANSLATE(B35712,""en"",""fr"")"),"Il repousse la tondeuse où il a commencé et regarde la caméra.")</f>
        <v>Il repousse la tondeuse où il a commencé et regarde la caméra.</v>
      </c>
    </row>
    <row r="35713">
      <c r="A35713" s="4" t="s">
        <v>44928</v>
      </c>
      <c r="B35713" s="4" t="s">
        <v>1251</v>
      </c>
      <c r="C35713" s="5" t="str">
        <f>IFERROR(__xludf.DUMMYFUNCTION("GOOGLETRANSLATE(B35713,""en"",""fr"")"),"Les crédits du clip sont affichés.")</f>
        <v>Les crédits du clip sont affichés.</v>
      </c>
    </row>
    <row r="35714">
      <c r="A35714" s="4" t="s">
        <v>44928</v>
      </c>
      <c r="B35714" s="4" t="s">
        <v>44929</v>
      </c>
      <c r="C35714" s="5" t="str">
        <f>IFERROR(__xludf.DUMMYFUNCTION("GOOGLETRANSLATE(B35714,""en"",""fr"")"),"Les véhicules se déplacent sur une route.")</f>
        <v>Les véhicules se déplacent sur une route.</v>
      </c>
    </row>
    <row r="35715">
      <c r="A35715" s="4" t="s">
        <v>44928</v>
      </c>
      <c r="B35715" s="4" t="s">
        <v>44930</v>
      </c>
      <c r="C35715" s="5" t="str">
        <f>IFERROR(__xludf.DUMMYFUNCTION("GOOGLETRANSLATE(B35715,""en"",""fr"")"),"Une dame se lève et discute.")</f>
        <v>Une dame se lève et discute.</v>
      </c>
    </row>
    <row r="35716">
      <c r="A35716" s="4" t="s">
        <v>44928</v>
      </c>
      <c r="B35716" s="4" t="s">
        <v>44931</v>
      </c>
      <c r="C35716" s="5" t="str">
        <f>IFERROR(__xludf.DUMMYFUNCTION("GOOGLETRANSLATE(B35716,""en"",""fr"")"),"Les gens pagayent dans un plan d'eau rocheux.")</f>
        <v>Les gens pagayent dans un plan d'eau rocheux.</v>
      </c>
    </row>
    <row r="35717">
      <c r="A35717" s="4" t="s">
        <v>44928</v>
      </c>
      <c r="B35717" s="4" t="s">
        <v>44932</v>
      </c>
      <c r="C35717" s="5" t="str">
        <f>IFERROR(__xludf.DUMMYFUNCTION("GOOGLETRANSLATE(B35717,""en"",""fr"")"),"Une personne essaie de relever un individu dans le bateau gonflé.")</f>
        <v>Une personne essaie de relever un individu dans le bateau gonflé.</v>
      </c>
    </row>
    <row r="35718">
      <c r="A35718" s="4" t="s">
        <v>44928</v>
      </c>
      <c r="B35718" s="4" t="s">
        <v>44933</v>
      </c>
      <c r="C35718" s="5" t="str">
        <f>IFERROR(__xludf.DUMMYFUNCTION("GOOGLETRANSLATE(B35718,""en"",""fr"")"),"Une dame s'éloigne du bateau gonflé.")</f>
        <v>Une dame s'éloigne du bateau gonflé.</v>
      </c>
    </row>
    <row r="35719">
      <c r="A35719" s="4" t="s">
        <v>44928</v>
      </c>
      <c r="B35719" s="4" t="s">
        <v>44934</v>
      </c>
      <c r="C35719" s="5" t="str">
        <f>IFERROR(__xludf.DUMMYFUNCTION("GOOGLETRANSLATE(B35719,""en"",""fr"")"),"La dame a utilisé ses mains pour sur son visage.")</f>
        <v>La dame a utilisé ses mains pour sur son visage.</v>
      </c>
    </row>
    <row r="35720">
      <c r="A35720" s="4" t="s">
        <v>44928</v>
      </c>
      <c r="B35720" s="4" t="s">
        <v>44935</v>
      </c>
      <c r="C35720" s="5" t="str">
        <f>IFERROR(__xludf.DUMMYFUNCTION("GOOGLETRANSLATE(B35720,""en"",""fr"")"),"Les gens assis sur un bateau gonflé élèvent leurs pagaies.")</f>
        <v>Les gens assis sur un bateau gonflé élèvent leurs pagaies.</v>
      </c>
    </row>
    <row r="35721">
      <c r="A35721" s="4" t="s">
        <v>44928</v>
      </c>
      <c r="B35721" s="4" t="s">
        <v>44936</v>
      </c>
      <c r="C35721" s="5" t="str">
        <f>IFERROR(__xludf.DUMMYFUNCTION("GOOGLETRANSLATE(B35721,""en"",""fr"")"),"Un bateau gonflé se retourne et les occupants tombent par-dessus bord.")</f>
        <v>Un bateau gonflé se retourne et les occupants tombent par-dessus bord.</v>
      </c>
    </row>
    <row r="35722">
      <c r="A35722" s="4" t="s">
        <v>44928</v>
      </c>
      <c r="B35722" s="4" t="s">
        <v>44937</v>
      </c>
      <c r="C35722" s="5" t="str">
        <f>IFERROR(__xludf.DUMMYFUNCTION("GOOGLETRANSLATE(B35722,""en"",""fr"")"),"La dame enlève son casque.")</f>
        <v>La dame enlève son casque.</v>
      </c>
    </row>
    <row r="35723">
      <c r="A35723" s="4" t="s">
        <v>44928</v>
      </c>
      <c r="B35723" s="4" t="s">
        <v>44938</v>
      </c>
      <c r="C35723" s="5" t="str">
        <f>IFERROR(__xludf.DUMMYFUNCTION("GOOGLETRANSLATE(B35723,""en"",""fr"")"),"Un gars donne à la dame ses sandales blanches.")</f>
        <v>Un gars donne à la dame ses sandales blanches.</v>
      </c>
    </row>
    <row r="35724">
      <c r="A35724" s="4" t="s">
        <v>44928</v>
      </c>
      <c r="B35724" s="4" t="s">
        <v>44939</v>
      </c>
      <c r="C35724" s="5" t="str">
        <f>IFERROR(__xludf.DUMMYFUNCTION("GOOGLETRANSLATE(B35724,""en"",""fr"")"),"La dame souffle un baiser.")</f>
        <v>La dame souffle un baiser.</v>
      </c>
    </row>
    <row r="35725">
      <c r="A35725" s="4" t="s">
        <v>44928</v>
      </c>
      <c r="B35725" s="4" t="s">
        <v>44940</v>
      </c>
      <c r="C35725" s="5" t="str">
        <f>IFERROR(__xludf.DUMMYFUNCTION("GOOGLETRANSLATE(B35725,""en"",""fr"")"),"Les gars jouent au football à l'extérieur.")</f>
        <v>Les gars jouent au football à l'extérieur.</v>
      </c>
    </row>
    <row r="35726">
      <c r="A35726" s="4" t="s">
        <v>44928</v>
      </c>
      <c r="B35726" s="4" t="s">
        <v>44941</v>
      </c>
      <c r="C35726" s="5" t="str">
        <f>IFERROR(__xludf.DUMMYFUNCTION("GOOGLETRANSLATE(B35726,""en"",""fr"")"),"Deux joueurs de la poitrine des joueurs de l'équipe rouge.")</f>
        <v>Deux joueurs de la poitrine des joueurs de l'équipe rouge.</v>
      </c>
    </row>
    <row r="35727">
      <c r="A35727" s="4" t="s">
        <v>44928</v>
      </c>
      <c r="B35727" s="4" t="s">
        <v>1251</v>
      </c>
      <c r="C35727" s="5" t="str">
        <f>IFERROR(__xludf.DUMMYFUNCTION("GOOGLETRANSLATE(B35727,""en"",""fr"")"),"Les crédits du clip sont affichés.")</f>
        <v>Les crédits du clip sont affichés.</v>
      </c>
    </row>
    <row r="35728">
      <c r="A35728" s="4" t="s">
        <v>44942</v>
      </c>
      <c r="B35728" s="4" t="s">
        <v>44943</v>
      </c>
      <c r="C35728" s="5" t="str">
        <f>IFERROR(__xludf.DUMMYFUNCTION("GOOGLETRANSLATE(B35728,""en"",""fr"")"),"Une introduction mène à des coups de feu à l'extérieur d'un chien de toiletteur et à l'intérieur où plusieurs chiens l'ont attaché.")</f>
        <v>Une introduction mène à des coups de feu à l'extérieur d'un chien de toiletteur et à l'intérieur où plusieurs chiens l'ont attaché.</v>
      </c>
    </row>
    <row r="35729">
      <c r="A35729" s="4" t="s">
        <v>44942</v>
      </c>
      <c r="B35729" s="6" t="s">
        <v>44944</v>
      </c>
      <c r="C35729" s="5" t="str">
        <f>IFERROR(__xludf.DUMMYFUNCTION("GOOGLETRANSLATE(B35729,""en"",""fr"")"),"Beaucoup de femmes sont montrées en brossant les chiens et en tailleant leur fourrure tout en leur donnant des rayures de tête entre les deux.")</f>
        <v>Beaucoup de femmes sont montrées en brossant les chiens et en tailleant leur fourrure tout en leur donnant des rayures de tête entre les deux.</v>
      </c>
    </row>
    <row r="35730">
      <c r="A35730" s="4" t="s">
        <v>44942</v>
      </c>
      <c r="B35730" s="4" t="s">
        <v>44945</v>
      </c>
      <c r="C35730" s="5" t="str">
        <f>IFERROR(__xludf.DUMMYFUNCTION("GOOGLETRANSLATE(B35730,""en"",""fr"")"),"Plus de chiens sont vus assis dans des caisses et aboyant à la caméra pendant que le vent souffle dessus.")</f>
        <v>Plus de chiens sont vus assis dans des caisses et aboyant à la caméra pendant que le vent souffle dessus.</v>
      </c>
    </row>
    <row r="35731">
      <c r="A35731" s="4" t="s">
        <v>44946</v>
      </c>
      <c r="B35731" s="6" t="s">
        <v>44947</v>
      </c>
      <c r="C35731" s="5" t="str">
        <f>IFERROR(__xludf.DUMMYFUNCTION("GOOGLETRANSLATE(B35731,""en"",""fr"")"),"On voit des coéquipiers se diriger vers un champ entouré de dizaines de personnes et se tiennent prêts sur une corde en tenant les bras.")</f>
        <v>On voit des coéquipiers se diriger vers un champ entouré de dizaines de personnes et se tiennent prêts sur une corde en tenant les bras.</v>
      </c>
    </row>
    <row r="35732">
      <c r="A35732" s="4" t="s">
        <v>44946</v>
      </c>
      <c r="B35732" s="4" t="s">
        <v>44948</v>
      </c>
      <c r="C35732" s="5" t="str">
        <f>IFERROR(__xludf.DUMMYFUNCTION("GOOGLETRANSLATE(B35732,""en"",""fr"")"),"Les hommes tirent ensuite la corde contre une autre équipe et se terminent en tombant.")</f>
        <v>Les hommes tirent ensuite la corde contre une autre équipe et se terminent en tombant.</v>
      </c>
    </row>
    <row r="35733">
      <c r="A35733" s="4" t="s">
        <v>44949</v>
      </c>
      <c r="B35733" s="4" t="s">
        <v>44950</v>
      </c>
      <c r="C35733" s="5" t="str">
        <f>IFERROR(__xludf.DUMMYFUNCTION("GOOGLETRANSLATE(B35733,""en"",""fr"")"),"Un homme est vu tenir une hache et regarder en arrière pour sourire à la caméra.")</f>
        <v>Un homme est vu tenir une hache et regarder en arrière pour sourire à la caméra.</v>
      </c>
    </row>
    <row r="35734">
      <c r="A35734" s="4" t="s">
        <v>44949</v>
      </c>
      <c r="B35734" s="4" t="s">
        <v>44951</v>
      </c>
      <c r="C35734" s="5" t="str">
        <f>IFERROR(__xludf.DUMMYFUNCTION("GOOGLETRANSLATE(B35734,""en"",""fr"")"),"L'homme balance ensuite la hache et frappe une bûche de bois souriant toujours à la caméra.")</f>
        <v>L'homme balance ensuite la hache et frappe une bûche de bois souriant toujours à la caméra.</v>
      </c>
    </row>
    <row r="35735">
      <c r="A35735" s="4" t="s">
        <v>44952</v>
      </c>
      <c r="B35735" s="4" t="s">
        <v>44953</v>
      </c>
      <c r="C35735" s="5" t="str">
        <f>IFERROR(__xludf.DUMMYFUNCTION("GOOGLETRANSLATE(B35735,""en"",""fr"")"),"La peinture est montrée mélangée sur une plaque en polystyrène.")</f>
        <v>La peinture est montrée mélangée sur une plaque en polystyrène.</v>
      </c>
    </row>
    <row r="35736">
      <c r="A35736" s="4" t="s">
        <v>44952</v>
      </c>
      <c r="B35736" s="4" t="s">
        <v>44954</v>
      </c>
      <c r="C35736" s="5" t="str">
        <f>IFERROR(__xludf.DUMMYFUNCTION("GOOGLETRANSLATE(B35736,""en"",""fr"")"),"Une main s'appuie sur un morceau de papier à l'aide d'un pinceau et de la peinture mélangée.")</f>
        <v>Une main s'appuie sur un morceau de papier à l'aide d'un pinceau et de la peinture mélangée.</v>
      </c>
    </row>
    <row r="35737">
      <c r="A35737" s="4" t="s">
        <v>44955</v>
      </c>
      <c r="B35737" s="4" t="s">
        <v>44956</v>
      </c>
      <c r="C35737" s="5" t="str">
        <f>IFERROR(__xludf.DUMMYFUNCTION("GOOGLETRANSLATE(B35737,""en"",""fr"")"),"Un chef est vu parler à une femme et mène à lui en tenant des couteaux et en aiguisant les côtés.")</f>
        <v>Un chef est vu parler à une femme et mène à lui en tenant des couteaux et en aiguisant les côtés.</v>
      </c>
    </row>
    <row r="35738">
      <c r="A35738" s="4" t="s">
        <v>44955</v>
      </c>
      <c r="B35738" s="4" t="s">
        <v>44957</v>
      </c>
      <c r="C35738" s="5" t="str">
        <f>IFERROR(__xludf.DUMMYFUNCTION("GOOGLETRANSLATE(B35738,""en"",""fr"")"),"Il essuie ensuite le couteau avec un chiffon et continue à affiner les couteaux.")</f>
        <v>Il essuie ensuite le couteau avec un chiffon et continue à affiner les couteaux.</v>
      </c>
    </row>
    <row r="35739">
      <c r="A35739" s="4" t="s">
        <v>44958</v>
      </c>
      <c r="B35739" s="4" t="s">
        <v>7239</v>
      </c>
      <c r="C35739" s="5" t="str">
        <f>IFERROR(__xludf.DUMMYFUNCTION("GOOGLETRANSLATE(B35739,""en"",""fr"")"),"Nous voyons un écran de titre noir.")</f>
        <v>Nous voyons un écran de titre noir.</v>
      </c>
    </row>
    <row r="35740">
      <c r="A35740" s="4" t="s">
        <v>44958</v>
      </c>
      <c r="B35740" s="4" t="s">
        <v>44959</v>
      </c>
      <c r="C35740" s="5" t="str">
        <f>IFERROR(__xludf.DUMMYFUNCTION("GOOGLETRANSLATE(B35740,""en"",""fr"")"),"Nous voyons conduire dans la rue, puis nous voyons l'homme dans la voiture.")</f>
        <v>Nous voyons conduire dans la rue, puis nous voyons l'homme dans la voiture.</v>
      </c>
    </row>
    <row r="35741">
      <c r="A35741" s="4" t="s">
        <v>44958</v>
      </c>
      <c r="B35741" s="4" t="s">
        <v>44960</v>
      </c>
      <c r="C35741" s="5" t="str">
        <f>IFERROR(__xludf.DUMMYFUNCTION("GOOGLETRANSLATE(B35741,""en"",""fr"")"),"L'homme sort et attrape des fournitures de pneus plates.")</f>
        <v>L'homme sort et attrape des fournitures de pneus plates.</v>
      </c>
    </row>
    <row r="35742">
      <c r="A35742" s="4" t="s">
        <v>44958</v>
      </c>
      <c r="B35742" s="4" t="s">
        <v>44961</v>
      </c>
      <c r="C35742" s="5" t="str">
        <f>IFERROR(__xludf.DUMMYFUNCTION("GOOGLETRANSLATE(B35742,""en"",""fr"")"),"L'homme est assis dans la voiture et réfléchit à la façon de changer un pneu.")</f>
        <v>L'homme est assis dans la voiture et réfléchit à la façon de changer un pneu.</v>
      </c>
    </row>
    <row r="35743">
      <c r="A35743" s="4" t="s">
        <v>44958</v>
      </c>
      <c r="B35743" s="4" t="s">
        <v>44962</v>
      </c>
      <c r="C35743" s="5" t="str">
        <f>IFERROR(__xludf.DUMMYFUNCTION("GOOGLETRANSLATE(B35743,""en"",""fr"")"),"Le gars desserre les boucle, remonte la voiture et enlève l'appartement.")</f>
        <v>Le gars desserre les boucle, remonte la voiture et enlève l'appartement.</v>
      </c>
    </row>
    <row r="35744">
      <c r="A35744" s="4" t="s">
        <v>44958</v>
      </c>
      <c r="B35744" s="4" t="s">
        <v>44963</v>
      </c>
      <c r="C35744" s="5" t="str">
        <f>IFERROR(__xludf.DUMMYFUNCTION("GOOGLETRANSLATE(B35744,""en"",""fr"")"),"Le gars met ensuite le pneu de secours sur la voiture.")</f>
        <v>Le gars met ensuite le pneu de secours sur la voiture.</v>
      </c>
    </row>
    <row r="35745">
      <c r="A35745" s="4" t="s">
        <v>44958</v>
      </c>
      <c r="B35745" s="4" t="s">
        <v>44964</v>
      </c>
      <c r="C35745" s="5" t="str">
        <f>IFERROR(__xludf.DUMMYFUNCTION("GOOGLETRANSLATE(B35745,""en"",""fr"")"),"Nous voyons les boulons de près en ligne.")</f>
        <v>Nous voyons les boulons de près en ligne.</v>
      </c>
    </row>
    <row r="35746">
      <c r="A35746" s="4" t="s">
        <v>44958</v>
      </c>
      <c r="B35746" s="4" t="s">
        <v>44965</v>
      </c>
      <c r="C35746" s="5" t="str">
        <f>IFERROR(__xludf.DUMMYFUNCTION("GOOGLETRANSLATE(B35746,""en"",""fr"")"),"L'homme met le pneu de secours dans la voiture et monte dans la voiture.")</f>
        <v>L'homme met le pneu de secours dans la voiture et monte dans la voiture.</v>
      </c>
    </row>
    <row r="35747">
      <c r="A35747" s="4" t="s">
        <v>44958</v>
      </c>
      <c r="B35747" s="4" t="s">
        <v>44966</v>
      </c>
      <c r="C35747" s="5" t="str">
        <f>IFERROR(__xludf.DUMMYFUNCTION("GOOGLETRANSLATE(B35747,""en"",""fr"")"),"Il passe un appel et allume la radio.")</f>
        <v>Il passe un appel et allume la radio.</v>
      </c>
    </row>
    <row r="35748">
      <c r="A35748" s="4" t="s">
        <v>44958</v>
      </c>
      <c r="B35748" s="4" t="s">
        <v>44967</v>
      </c>
      <c r="C35748" s="5" t="str">
        <f>IFERROR(__xludf.DUMMYFUNCTION("GOOGLETRANSLATE(B35748,""en"",""fr"")"),"L'homme fait demi-tour et part.")</f>
        <v>L'homme fait demi-tour et part.</v>
      </c>
    </row>
    <row r="35749">
      <c r="A35749" s="4" t="s">
        <v>44958</v>
      </c>
      <c r="B35749" s="4" t="s">
        <v>44968</v>
      </c>
      <c r="C35749" s="5" t="str">
        <f>IFERROR(__xludf.DUMMYFUNCTION("GOOGLETRANSLATE(B35749,""en"",""fr"")"),"Nous voyons le titre de fin.")</f>
        <v>Nous voyons le titre de fin.</v>
      </c>
    </row>
    <row r="35750">
      <c r="A35750" s="4" t="s">
        <v>44969</v>
      </c>
      <c r="B35750" s="4" t="s">
        <v>44970</v>
      </c>
      <c r="C35750" s="5" t="str">
        <f>IFERROR(__xludf.DUMMYFUNCTION("GOOGLETRANSLATE(B35750,""en"",""fr"")"),"Un récipient de crème coiffure est montré par un styliste.")</f>
        <v>Un récipient de crème coiffure est montré par un styliste.</v>
      </c>
    </row>
    <row r="35751">
      <c r="A35751" s="4" t="s">
        <v>44969</v>
      </c>
      <c r="B35751" s="4" t="s">
        <v>44971</v>
      </c>
      <c r="C35751" s="5" t="str">
        <f>IFERROR(__xludf.DUMMYFUNCTION("GOOGLETRANSLATE(B35751,""en"",""fr"")"),"Elle l'applique à la peau d'une brune assise.")</f>
        <v>Elle l'applique à la peau d'une brune assise.</v>
      </c>
    </row>
    <row r="35752">
      <c r="A35752" s="4" t="s">
        <v>44969</v>
      </c>
      <c r="B35752" s="4" t="s">
        <v>44972</v>
      </c>
      <c r="C35752" s="5" t="str">
        <f>IFERROR(__xludf.DUMMYFUNCTION("GOOGLETRANSLATE(B35752,""en"",""fr"")"),"Elle montre ensuite comment cela fonctionne.")</f>
        <v>Elle montre ensuite comment cela fonctionne.</v>
      </c>
    </row>
    <row r="35753">
      <c r="A35753" s="4" t="s">
        <v>44973</v>
      </c>
      <c r="B35753" s="4" t="s">
        <v>44974</v>
      </c>
      <c r="C35753" s="5" t="str">
        <f>IFERROR(__xludf.DUMMYFUNCTION("GOOGLETRANSLATE(B35753,""en"",""fr"")"),"Un homme est vu parler à la caméra et se mettre sur un toit qui se sépare.")</f>
        <v>Un homme est vu parler à la caméra et se mettre sur un toit qui se sépare.</v>
      </c>
    </row>
    <row r="35754">
      <c r="A35754" s="4" t="s">
        <v>44973</v>
      </c>
      <c r="B35754" s="4" t="s">
        <v>44975</v>
      </c>
      <c r="C35754" s="5" t="str">
        <f>IFERROR(__xludf.DUMMYFUNCTION("GOOGLETRANSLATE(B35754,""en"",""fr"")"),"Il pointe partout sur le toit et montre un homme travaillant sur le toit tout en se précipitant à nouveau.")</f>
        <v>Il pointe partout sur le toit et montre un homme travaillant sur le toit tout en se précipitant à nouveau.</v>
      </c>
    </row>
    <row r="35755">
      <c r="A35755" s="4" t="s">
        <v>44976</v>
      </c>
      <c r="B35755" s="4" t="s">
        <v>44977</v>
      </c>
      <c r="C35755" s="5" t="str">
        <f>IFERROR(__xludf.DUMMYFUNCTION("GOOGLETRANSLATE(B35755,""en"",""fr"")"),"Une femme est vue en mettant les cheveux dans une queue de poney avec un homme la regardant sur le côté.")</f>
        <v>Une femme est vue en mettant les cheveux dans une queue de poney avec un homme la regardant sur le côté.</v>
      </c>
    </row>
    <row r="35756">
      <c r="A35756" s="4" t="s">
        <v>44976</v>
      </c>
      <c r="B35756" s="4" t="s">
        <v>44978</v>
      </c>
      <c r="C35756" s="5" t="str">
        <f>IFERROR(__xludf.DUMMYFUNCTION("GOOGLETRANSLATE(B35756,""en"",""fr"")"),"Elle joue ensuite le piano en souriant et l'homme continuant à la regarder.")</f>
        <v>Elle joue ensuite le piano en souriant et l'homme continuant à la regarder.</v>
      </c>
    </row>
    <row r="35757">
      <c r="A35757" s="4" t="s">
        <v>44979</v>
      </c>
      <c r="B35757" s="4" t="s">
        <v>44980</v>
      </c>
      <c r="C35757" s="5" t="str">
        <f>IFERROR(__xludf.DUMMYFUNCTION("GOOGLETRANSLATE(B35757,""en"",""fr"")"),"Les gens pagayent dans des kayaks dans un plan d'eau.")</f>
        <v>Les gens pagayent dans des kayaks dans un plan d'eau.</v>
      </c>
    </row>
    <row r="35758">
      <c r="A35758" s="4" t="s">
        <v>44979</v>
      </c>
      <c r="B35758" s="4" t="s">
        <v>44981</v>
      </c>
      <c r="C35758" s="5" t="str">
        <f>IFERROR(__xludf.DUMMYFUNCTION("GOOGLETRANSLATE(B35758,""en"",""fr"")"),"Un homme décolle dans un kayak vert.")</f>
        <v>Un homme décolle dans un kayak vert.</v>
      </c>
    </row>
    <row r="35759">
      <c r="A35759" s="4" t="s">
        <v>44979</v>
      </c>
      <c r="B35759" s="4" t="s">
        <v>44982</v>
      </c>
      <c r="C35759" s="5" t="str">
        <f>IFERROR(__xludf.DUMMYFUNCTION("GOOGLETRANSLATE(B35759,""en"",""fr"")"),"Un homme en veste rouge parle à la caméra.")</f>
        <v>Un homme en veste rouge parle à la caméra.</v>
      </c>
    </row>
    <row r="35760">
      <c r="A35760" s="4" t="s">
        <v>44983</v>
      </c>
      <c r="B35760" s="4" t="s">
        <v>44984</v>
      </c>
      <c r="C35760" s="5" t="str">
        <f>IFERROR(__xludf.DUMMYFUNCTION("GOOGLETRANSLATE(B35760,""en"",""fr"")"),"Une femme et un chien jouent sur l'herbe avec un frisbee.")</f>
        <v>Une femme et un chien jouent sur l'herbe avec un frisbee.</v>
      </c>
    </row>
    <row r="35761">
      <c r="A35761" s="4" t="s">
        <v>44983</v>
      </c>
      <c r="B35761" s="4" t="s">
        <v>44985</v>
      </c>
      <c r="C35761" s="5" t="str">
        <f>IFERROR(__xludf.DUMMYFUNCTION("GOOGLETRANSLATE(B35761,""en"",""fr"")"),"Le chien a le frisbee dans sa bouche.")</f>
        <v>Le chien a le frisbee dans sa bouche.</v>
      </c>
    </row>
    <row r="35762">
      <c r="A35762" s="4" t="s">
        <v>44983</v>
      </c>
      <c r="B35762" s="4" t="s">
        <v>44986</v>
      </c>
      <c r="C35762" s="5" t="str">
        <f>IFERROR(__xludf.DUMMYFUNCTION("GOOGLETRANSLATE(B35762,""en"",""fr"")"),"La femme et le chien jouent avec une corde.")</f>
        <v>La femme et le chien jouent avec une corde.</v>
      </c>
    </row>
    <row r="35763">
      <c r="A35763" s="4" t="s">
        <v>44987</v>
      </c>
      <c r="B35763" s="6" t="s">
        <v>44988</v>
      </c>
      <c r="C35763" s="5" t="str">
        <f>IFERROR(__xludf.DUMMYFUNCTION("GOOGLETRANSLATE(B35763,""en"",""fr"")"),"À la plage, un groupe de balles de football se trouve à côté d'un homme qui les donne des coups de pied au but, protégés par un gardien.")</f>
        <v>À la plage, un groupe de balles de football se trouve à côté d'un homme qui les donne des coups de pied au but, protégés par un gardien.</v>
      </c>
    </row>
    <row r="35764">
      <c r="A35764" s="4" t="s">
        <v>44987</v>
      </c>
      <c r="B35764" s="4" t="s">
        <v>44989</v>
      </c>
      <c r="C35764" s="5" t="str">
        <f>IFERROR(__xludf.DUMMYFUNCTION("GOOGLETRANSLATE(B35764,""en"",""fr"")"),"Il les fait en sorte que le genou avant de tirer largement.")</f>
        <v>Il les fait en sorte que le genou avant de tirer largement.</v>
      </c>
    </row>
    <row r="35765">
      <c r="A35765" s="4" t="s">
        <v>44987</v>
      </c>
      <c r="B35765" s="4" t="s">
        <v>44990</v>
      </c>
      <c r="C35765" s="5" t="str">
        <f>IFERROR(__xludf.DUMMYFUNCTION("GOOGLETRANSLATE(B35765,""en"",""fr"")"),"Il marque enfin le gardien.")</f>
        <v>Il marque enfin le gardien.</v>
      </c>
    </row>
    <row r="35766">
      <c r="A35766" s="4" t="s">
        <v>44987</v>
      </c>
      <c r="B35766" s="4" t="s">
        <v>44991</v>
      </c>
      <c r="C35766" s="5" t="str">
        <f>IFERROR(__xludf.DUMMYFUNCTION("GOOGLETRANSLATE(B35766,""en"",""fr"")"),"Son dernier ballon est à nouveau sauvé par le gardien.")</f>
        <v>Son dernier ballon est à nouveau sauvé par le gardien.</v>
      </c>
    </row>
    <row r="35767">
      <c r="A35767" s="4" t="s">
        <v>44992</v>
      </c>
      <c r="B35767" s="6" t="s">
        <v>44993</v>
      </c>
      <c r="C35767" s="5" t="str">
        <f>IFERROR(__xludf.DUMMYFUNCTION("GOOGLETRANSLATE(B35767,""en"",""fr"")"),"Une femme portant du matériel d'exercice est montrée en train de parler à la caméra et de pointer vers plusieurs zones de son corps.")</f>
        <v>Une femme portant du matériel d'exercice est montrée en train de parler à la caméra et de pointer vers plusieurs zones de son corps.</v>
      </c>
    </row>
    <row r="35768">
      <c r="A35768" s="4" t="s">
        <v>44992</v>
      </c>
      <c r="B35768" s="4" t="s">
        <v>44994</v>
      </c>
      <c r="C35768" s="5" t="str">
        <f>IFERROR(__xludf.DUMMYFUNCTION("GOOGLETRANSLATE(B35768,""en"",""fr"")"),"Elle continue de parler à la caméra tout en effectuant plusieurs craquements AB pour travailler votre cœur.")</f>
        <v>Elle continue de parler à la caméra tout en effectuant plusieurs craquements AB pour travailler votre cœur.</v>
      </c>
    </row>
    <row r="35769">
      <c r="A35769" s="4" t="s">
        <v>44992</v>
      </c>
      <c r="B35769" s="4" t="s">
        <v>44995</v>
      </c>
      <c r="C35769" s="5" t="str">
        <f>IFERROR(__xludf.DUMMYFUNCTION("GOOGLETRANSLATE(B35769,""en"",""fr"")"),"Elle prend ensuite un poids entre les deux mains ainsi que comme un chat pour utiliser comme poids pour l'exercice.")</f>
        <v>Elle prend ensuite un poids entre les deux mains ainsi que comme un chat pour utiliser comme poids pour l'exercice.</v>
      </c>
    </row>
    <row r="35770">
      <c r="A35770" s="4" t="s">
        <v>44992</v>
      </c>
      <c r="B35770" s="4" t="s">
        <v>44996</v>
      </c>
      <c r="C35770" s="5" t="str">
        <f>IFERROR(__xludf.DUMMYFUNCTION("GOOGLETRANSLATE(B35770,""en"",""fr"")"),"Elle se penche en avant et continue de parler à la caméra.")</f>
        <v>Elle se penche en avant et continue de parler à la caméra.</v>
      </c>
    </row>
    <row r="35771">
      <c r="A35771" s="4" t="s">
        <v>44997</v>
      </c>
      <c r="B35771" s="4" t="s">
        <v>44998</v>
      </c>
      <c r="C35771" s="5" t="str">
        <f>IFERROR(__xludf.DUMMYFUNCTION("GOOGLETRANSLATE(B35771,""en"",""fr"")"),"Un homme est assis dans un jeu de tambour.")</f>
        <v>Un homme est assis dans un jeu de tambour.</v>
      </c>
    </row>
    <row r="35772">
      <c r="A35772" s="4" t="s">
        <v>44997</v>
      </c>
      <c r="B35772" s="4" t="s">
        <v>44999</v>
      </c>
      <c r="C35772" s="5" t="str">
        <f>IFERROR(__xludf.DUMMYFUNCTION("GOOGLETRANSLATE(B35772,""en"",""fr"")"),"Il joue la batterie et les cymbales et parle à la caméra.")</f>
        <v>Il joue la batterie et les cymbales et parle à la caméra.</v>
      </c>
    </row>
    <row r="35773">
      <c r="A35773" s="4" t="s">
        <v>44997</v>
      </c>
      <c r="B35773" s="4" t="s">
        <v>45000</v>
      </c>
      <c r="C35773" s="5" t="str">
        <f>IFERROR(__xludf.DUMMYFUNCTION("GOOGLETRANSLATE(B35773,""en"",""fr"")"),"Il montre la mécanique des pédales et les effets sur la batterie comme il les utilise.")</f>
        <v>Il montre la mécanique des pédales et les effets sur la batterie comme il les utilise.</v>
      </c>
    </row>
    <row r="35774">
      <c r="A35774" s="4" t="s">
        <v>45001</v>
      </c>
      <c r="B35774" s="4" t="s">
        <v>45002</v>
      </c>
      <c r="C35774" s="5" t="str">
        <f>IFERROR(__xludf.DUMMYFUNCTION("GOOGLETRANSLATE(B35774,""en"",""fr"")"),"Un groupe de personnes conduisant des vélos de saleté BMX traverse un chemin ensemble.")</f>
        <v>Un groupe de personnes conduisant des vélos de saleté BMX traverse un chemin ensemble.</v>
      </c>
    </row>
    <row r="35775">
      <c r="A35775" s="4" t="s">
        <v>45001</v>
      </c>
      <c r="B35775" s="4" t="s">
        <v>45003</v>
      </c>
      <c r="C35775" s="5" t="str">
        <f>IFERROR(__xludf.DUMMYFUNCTION("GOOGLETRANSLATE(B35775,""en"",""fr"")"),"Ensuite, tournez, prenant des virages et courbes aigus sur la piste.")</f>
        <v>Ensuite, tournez, prenant des virages et courbes aigus sur la piste.</v>
      </c>
    </row>
    <row r="35776">
      <c r="A35776" s="4" t="s">
        <v>45001</v>
      </c>
      <c r="B35776" s="4" t="s">
        <v>45004</v>
      </c>
      <c r="C35776" s="5" t="str">
        <f>IFERROR(__xludf.DUMMYFUNCTION("GOOGLETRANSLATE(B35776,""en"",""fr"")"),"Lorsque la course est terminée, ils se promènent en distribuant des médailles et posant pour des photos.")</f>
        <v>Lorsque la course est terminée, ils se promènent en distribuant des médailles et posant pour des photos.</v>
      </c>
    </row>
    <row r="35777">
      <c r="A35777" s="4" t="s">
        <v>45005</v>
      </c>
      <c r="B35777" s="4" t="s">
        <v>45006</v>
      </c>
      <c r="C35777" s="5" t="str">
        <f>IFERROR(__xludf.DUMMYFUNCTION("GOOGLETRANSLATE(B35777,""en"",""fr"")"),"Une dame se tient à la fin d'un tribunal de la marelle.")</f>
        <v>Une dame se tient à la fin d'un tribunal de la marelle.</v>
      </c>
    </row>
    <row r="35778">
      <c r="A35778" s="4" t="s">
        <v>45005</v>
      </c>
      <c r="B35778" s="4" t="s">
        <v>45007</v>
      </c>
      <c r="C35778" s="5" t="str">
        <f>IFERROR(__xludf.DUMMYFUNCTION("GOOGLETRANSLATE(B35778,""en"",""fr"")"),"La dame saute ensuite sur le terrain de la marelle vers la droite.")</f>
        <v>La dame saute ensuite sur le terrain de la marelle vers la droite.</v>
      </c>
    </row>
    <row r="35779">
      <c r="A35779" s="4" t="s">
        <v>45005</v>
      </c>
      <c r="B35779" s="4" t="s">
        <v>45008</v>
      </c>
      <c r="C35779" s="5" t="str">
        <f>IFERROR(__xludf.DUMMYFUNCTION("GOOGLETRANSLATE(B35779,""en"",""fr"")"),"La dame saute ensuite où elle a commencé.")</f>
        <v>La dame saute ensuite où elle a commencé.</v>
      </c>
    </row>
    <row r="35780">
      <c r="A35780" s="4" t="s">
        <v>45009</v>
      </c>
      <c r="B35780" s="6" t="s">
        <v>45010</v>
      </c>
      <c r="C35780" s="5" t="str">
        <f>IFERROR(__xludf.DUMMYFUNCTION("GOOGLETRANSLATE(B35780,""en"",""fr"")"),"Woman parle à la caméra devant une grande salle de sport avec beaucoup de vélos estsités en arrière-plan et des gens qui font de l'exercice.")</f>
        <v>Woman parle à la caméra devant une grande salle de sport avec beaucoup de vélos estsités en arrière-plan et des gens qui font de l'exercice.</v>
      </c>
    </row>
    <row r="35781">
      <c r="A35781" s="4" t="s">
        <v>45009</v>
      </c>
      <c r="B35781" s="4" t="s">
        <v>45011</v>
      </c>
      <c r="C35781" s="5" t="str">
        <f>IFERROR(__xludf.DUMMYFUNCTION("GOOGLETRANSLATE(B35781,""en"",""fr"")"),"Girl commence à faire de l'exercice dans le vélo elliptique.")</f>
        <v>Girl commence à faire de l'exercice dans le vélo elliptique.</v>
      </c>
    </row>
    <row r="35782">
      <c r="A35782" s="4" t="s">
        <v>45012</v>
      </c>
      <c r="B35782" s="4" t="s">
        <v>45013</v>
      </c>
      <c r="C35782" s="5" t="str">
        <f>IFERROR(__xludf.DUMMYFUNCTION("GOOGLETRANSLATE(B35782,""en"",""fr"")"),"Plusieurs bijoux sur les boutones du nombril sont affichés.")</f>
        <v>Plusieurs bijoux sur les boutones du nombril sont affichés.</v>
      </c>
    </row>
    <row r="35783">
      <c r="A35783" s="4" t="s">
        <v>45012</v>
      </c>
      <c r="B35783" s="4" t="s">
        <v>45014</v>
      </c>
      <c r="C35783" s="5" t="str">
        <f>IFERROR(__xludf.DUMMYFUNCTION("GOOGLETRANSLATE(B35783,""en"",""fr"")"),"Ceci est suivi par un homme désinfectant le nombril d'une femme.")</f>
        <v>Ceci est suivi par un homme désinfectant le nombril d'une femme.</v>
      </c>
    </row>
    <row r="35784">
      <c r="A35784" s="4" t="s">
        <v>45012</v>
      </c>
      <c r="B35784" s="4" t="s">
        <v>45015</v>
      </c>
      <c r="C35784" s="5" t="str">
        <f>IFERROR(__xludf.DUMMYFUNCTION("GOOGLETRANSLATE(B35784,""en"",""fr"")"),"Il insère ensuite un piercing à l'aide d'une pince et d'une tige.")</f>
        <v>Il insère ensuite un piercing à l'aide d'une pince et d'une tige.</v>
      </c>
    </row>
    <row r="35785">
      <c r="A35785" s="4" t="s">
        <v>45012</v>
      </c>
      <c r="B35785" s="4" t="s">
        <v>45016</v>
      </c>
      <c r="C35785" s="5" t="str">
        <f>IFERROR(__xludf.DUMMYFUNCTION("GOOGLETRANSLATE(B35785,""en"",""fr"")"),"La femme regarde les étalons finaux en place.")</f>
        <v>La femme regarde les étalons finaux en place.</v>
      </c>
    </row>
    <row r="35786">
      <c r="A35786" s="4" t="s">
        <v>45017</v>
      </c>
      <c r="B35786" s="4" t="s">
        <v>45018</v>
      </c>
      <c r="C35786" s="5" t="str">
        <f>IFERROR(__xludf.DUMMYFUNCTION("GOOGLETRANSLATE(B35786,""en"",""fr"")"),"Un grand groupe de personnes coule autour d'un terrain de football en jouant à un jeu de football.")</f>
        <v>Un grand groupe de personnes coule autour d'un terrain de football en jouant à un jeu de football.</v>
      </c>
    </row>
    <row r="35787">
      <c r="A35787" s="4" t="s">
        <v>45017</v>
      </c>
      <c r="B35787" s="4" t="s">
        <v>45019</v>
      </c>
      <c r="C35787" s="5" t="str">
        <f>IFERROR(__xludf.DUMMYFUNCTION("GOOGLETRANSLATE(B35787,""en"",""fr"")"),"Les enfants continuent de donner des coups de pied les uns aux autres pendant que d'autres regardent sur le côté.")</f>
        <v>Les enfants continuent de donner des coups de pied les uns aux autres pendant que d'autres regardent sur le côté.</v>
      </c>
    </row>
    <row r="35788">
      <c r="A35788" s="4" t="s">
        <v>45017</v>
      </c>
      <c r="B35788" s="4" t="s">
        <v>45020</v>
      </c>
      <c r="C35788" s="5" t="str">
        <f>IFERROR(__xludf.DUMMYFUNCTION("GOOGLETRANSLATE(B35788,""en"",""fr"")"),"Plus de coups sont montrés du jeu ainsi que des gens qui jouent les uns avec les autres.")</f>
        <v>Plus de coups sont montrés du jeu ainsi que des gens qui jouent les uns avec les autres.</v>
      </c>
    </row>
    <row r="35789">
      <c r="A35789" s="4" t="s">
        <v>45021</v>
      </c>
      <c r="B35789" s="4" t="s">
        <v>45022</v>
      </c>
      <c r="C35789" s="5" t="str">
        <f>IFERROR(__xludf.DUMMYFUNCTION("GOOGLETRANSLATE(B35789,""en"",""fr"")"),"Un homme en chemise blanche est assis à jouer d'une guitare.")</f>
        <v>Un homme en chemise blanche est assis à jouer d'une guitare.</v>
      </c>
    </row>
    <row r="35790">
      <c r="A35790" s="4" t="s">
        <v>45021</v>
      </c>
      <c r="B35790" s="4" t="s">
        <v>45023</v>
      </c>
      <c r="C35790" s="5" t="str">
        <f>IFERROR(__xludf.DUMMYFUNCTION("GOOGLETRANSLATE(B35790,""en"",""fr"")"),"À côté de l'homme se trouve un petit écran d'une vidéo en noir et blanc d'un homme chantant et d'une femme.")</f>
        <v>À côté de l'homme se trouve un petit écran d'une vidéo en noir et blanc d'un homme chantant et d'une femme.</v>
      </c>
    </row>
    <row r="35791">
      <c r="A35791" s="4" t="s">
        <v>45024</v>
      </c>
      <c r="B35791" s="6" t="s">
        <v>45025</v>
      </c>
      <c r="C35791" s="5" t="str">
        <f>IFERROR(__xludf.DUMMYFUNCTION("GOOGLETRANSLATE(B35791,""en"",""fr"")"),"Un gros plan d'une fille souriant et pointant vers son visage est montré suivi d'une paire de pinces perçant sa lèvre intérieure.")</f>
        <v>Un gros plan d'une fille souriant et pointant vers son visage est montré suivi d'une paire de pinces perçant sa lèvre intérieure.</v>
      </c>
    </row>
    <row r="35792">
      <c r="A35792" s="4" t="s">
        <v>45024</v>
      </c>
      <c r="B35792" s="6" t="s">
        <v>45026</v>
      </c>
      <c r="C35792" s="5" t="str">
        <f>IFERROR(__xludf.DUMMYFUNCTION("GOOGLETRANSLATE(B35792,""en"",""fr"")"),"Le perceur pousse les ciseaux à travers sa lèvre pendant qu'elle le tient et présente le piercing à la fin.")</f>
        <v>Le perceur pousse les ciseaux à travers sa lèvre pendant qu'elle le tient et présente le piercing à la fin.</v>
      </c>
    </row>
    <row r="35793">
      <c r="A35793" s="4" t="s">
        <v>45027</v>
      </c>
      <c r="B35793" s="4" t="s">
        <v>45028</v>
      </c>
      <c r="C35793" s="5" t="str">
        <f>IFERROR(__xludf.DUMMYFUNCTION("GOOGLETRANSLATE(B35793,""en"",""fr"")"),"Une femme donne des instructions sur la façon d'installer et d'ajuster une selle sur un vélo.")</f>
        <v>Une femme donne des instructions sur la façon d'installer et d'ajuster une selle sur un vélo.</v>
      </c>
    </row>
    <row r="35794">
      <c r="A35794" s="4" t="s">
        <v>45027</v>
      </c>
      <c r="B35794" s="4" t="s">
        <v>45029</v>
      </c>
      <c r="C35794" s="5" t="str">
        <f>IFERROR(__xludf.DUMMYFUNCTION("GOOGLETRANSLATE(B35794,""en"",""fr"")"),"Elle utilise une clé à clé Allen pour desserrer le boulon.")</f>
        <v>Elle utilise une clé à clé Allen pour desserrer le boulon.</v>
      </c>
    </row>
    <row r="35795">
      <c r="A35795" s="4" t="s">
        <v>45027</v>
      </c>
      <c r="B35795" s="4" t="s">
        <v>45030</v>
      </c>
      <c r="C35795" s="5" t="str">
        <f>IFERROR(__xludf.DUMMYFUNCTION("GOOGLETRANSLATE(B35795,""en"",""fr"")"),"Puis elle montre comment elle peut déplacer la selle après qu'elle le déménage.")</f>
        <v>Puis elle montre comment elle peut déplacer la selle après qu'elle le déménage.</v>
      </c>
    </row>
    <row r="35796">
      <c r="A35796" s="4" t="s">
        <v>45027</v>
      </c>
      <c r="B35796" s="4" t="s">
        <v>45031</v>
      </c>
      <c r="C35796" s="5" t="str">
        <f>IFERROR(__xludf.DUMMYFUNCTION("GOOGLETRANSLATE(B35796,""en"",""fr"")"),"Elle le frappe avec sa main pour pousser la selle coincée.")</f>
        <v>Elle le frappe avec sa main pour pousser la selle coincée.</v>
      </c>
    </row>
    <row r="35797">
      <c r="A35797" s="4" t="s">
        <v>45027</v>
      </c>
      <c r="B35797" s="4" t="s">
        <v>45032</v>
      </c>
      <c r="C35797" s="5" t="str">
        <f>IFERROR(__xludf.DUMMYFUNCTION("GOOGLETRANSLATE(B35797,""en"",""fr"")"),"Puis elle montre comment ajuster la selle en le déplaçant d'avant en arrière.")</f>
        <v>Puis elle montre comment ajuster la selle en le déplaçant d'avant en arrière.</v>
      </c>
    </row>
    <row r="35798">
      <c r="A35798" s="4" t="s">
        <v>45027</v>
      </c>
      <c r="B35798" s="4" t="s">
        <v>45033</v>
      </c>
      <c r="C35798" s="5" t="str">
        <f>IFERROR(__xludf.DUMMYFUNCTION("GOOGLETRANSLATE(B35798,""en"",""fr"")"),"Elle montre plus tard comment retirer la selle.")</f>
        <v>Elle montre plus tard comment retirer la selle.</v>
      </c>
    </row>
    <row r="35799">
      <c r="A35799" s="4" t="s">
        <v>45027</v>
      </c>
      <c r="B35799" s="4" t="s">
        <v>45034</v>
      </c>
      <c r="C35799" s="5" t="str">
        <f>IFERROR(__xludf.DUMMYFUNCTION("GOOGLETRANSLATE(B35799,""en"",""fr"")"),"Elle met la nouvelle puis utilise des outils pour le resserrer.")</f>
        <v>Elle met la nouvelle puis utilise des outils pour le resserrer.</v>
      </c>
    </row>
    <row r="35800">
      <c r="A35800" s="4" t="s">
        <v>45027</v>
      </c>
      <c r="B35800" s="4" t="s">
        <v>45035</v>
      </c>
      <c r="C35800" s="5" t="str">
        <f>IFERROR(__xludf.DUMMYFUNCTION("GOOGLETRANSLATE(B35800,""en"",""fr"")"),"Elle utilise un tournevis pour serrer les vis et ajuster le niveau.")</f>
        <v>Elle utilise un tournevis pour serrer les vis et ajuster le niveau.</v>
      </c>
    </row>
    <row r="35801">
      <c r="A35801" s="4" t="s">
        <v>45027</v>
      </c>
      <c r="B35801" s="6" t="s">
        <v>45036</v>
      </c>
      <c r="C35801" s="5" t="str">
        <f>IFERROR(__xludf.DUMMYFUNCTION("GOOGLETRANSLATE(B35801,""en"",""fr"")"),"Elle montre ensuite une autre selle et montre comment resserrer les boulons pour ajuster le niveau de la selle.")</f>
        <v>Elle montre ensuite une autre selle et montre comment resserrer les boulons pour ajuster le niveau de la selle.</v>
      </c>
    </row>
    <row r="35802">
      <c r="A35802" s="4" t="s">
        <v>45027</v>
      </c>
      <c r="B35802" s="4" t="s">
        <v>45037</v>
      </c>
      <c r="C35802" s="5" t="str">
        <f>IFERROR(__xludf.DUMMYFUNCTION("GOOGLETRANSLATE(B35802,""en"",""fr"")"),"Elle montre comment resserrer le boulon pour s'assurer que la selle s'adapte parfaitement.")</f>
        <v>Elle montre comment resserrer le boulon pour s'assurer que la selle s'adapte parfaitement.</v>
      </c>
    </row>
    <row r="35803">
      <c r="A35803" s="4" t="s">
        <v>45038</v>
      </c>
      <c r="B35803" s="4" t="s">
        <v>45039</v>
      </c>
      <c r="C35803" s="5" t="str">
        <f>IFERROR(__xludf.DUMMYFUNCTION("GOOGLETRANSLATE(B35803,""en"",""fr"")"),"Un garçon en gris lance une balle sur un enfant de l'autre côté du terrain.")</f>
        <v>Un garçon en gris lance une balle sur un enfant de l'autre côté du terrain.</v>
      </c>
    </row>
    <row r="35804">
      <c r="A35804" s="4" t="s">
        <v>45038</v>
      </c>
      <c r="B35804" s="4" t="s">
        <v>45040</v>
      </c>
      <c r="C35804" s="5" t="str">
        <f>IFERROR(__xludf.DUMMYFUNCTION("GOOGLETRANSLATE(B35804,""en"",""fr"")"),"Un garçon en bleu fait un flip extraordinaire dans les airs après avoir attrapé le ballon et atterrit.")</f>
        <v>Un garçon en bleu fait un flip extraordinaire dans les airs après avoir attrapé le ballon et atterrit.</v>
      </c>
    </row>
    <row r="35805">
      <c r="A35805" s="4" t="s">
        <v>45038</v>
      </c>
      <c r="B35805" s="4" t="s">
        <v>45041</v>
      </c>
      <c r="C35805" s="5" t="str">
        <f>IFERROR(__xludf.DUMMYFUNCTION("GOOGLETRANSLATE(B35805,""en"",""fr"")"),"Il rejette le ballon à l'autre enfant après l'atterrissage.")</f>
        <v>Il rejette le ballon à l'autre enfant après l'atterrissage.</v>
      </c>
    </row>
    <row r="35806">
      <c r="A35806" s="4" t="s">
        <v>45038</v>
      </c>
      <c r="B35806" s="4" t="s">
        <v>45042</v>
      </c>
      <c r="C35806" s="5" t="str">
        <f>IFERROR(__xludf.DUMMYFUNCTION("GOOGLETRANSLATE(B35806,""en"",""fr"")"),"Ils sont surveillés par un groupe d'enfants debout derrière eux.")</f>
        <v>Ils sont surveillés par un groupe d'enfants debout derrière eux.</v>
      </c>
    </row>
    <row r="35807">
      <c r="A35807" s="4" t="s">
        <v>45043</v>
      </c>
      <c r="B35807" s="4" t="s">
        <v>45044</v>
      </c>
      <c r="C35807" s="5" t="str">
        <f>IFERROR(__xludf.DUMMYFUNCTION("GOOGLETRANSLATE(B35807,""en"",""fr"")"),"Quatre hommes travaillent sur le toit d'une maison.")</f>
        <v>Quatre hommes travaillent sur le toit d'une maison.</v>
      </c>
    </row>
    <row r="35808">
      <c r="A35808" s="4" t="s">
        <v>45043</v>
      </c>
      <c r="B35808" s="4" t="s">
        <v>45045</v>
      </c>
      <c r="C35808" s="5" t="str">
        <f>IFERROR(__xludf.DUMMYFUNCTION("GOOGLETRANSLATE(B35808,""en"",""fr"")"),"Ils grattent les bardeaux avec des pelles, frappant les débris au sol pendant qu'ils fonctionnent.")</f>
        <v>Ils grattent les bardeaux avec des pelles, frappant les débris au sol pendant qu'ils fonctionnent.</v>
      </c>
    </row>
    <row r="35809">
      <c r="A35809" s="4" t="s">
        <v>45046</v>
      </c>
      <c r="B35809" s="4" t="s">
        <v>15882</v>
      </c>
      <c r="C35809" s="5" t="str">
        <f>IFERROR(__xludf.DUMMYFUNCTION("GOOGLETRANSLATE(B35809,""en"",""fr"")"),"Nous voyons les écrans du titre d'ouverture.")</f>
        <v>Nous voyons les écrans du titre d'ouverture.</v>
      </c>
    </row>
    <row r="35810">
      <c r="A35810" s="4" t="s">
        <v>45046</v>
      </c>
      <c r="B35810" s="4" t="s">
        <v>45047</v>
      </c>
      <c r="C35810" s="5" t="str">
        <f>IFERROR(__xludf.DUMMYFUNCTION("GOOGLETRANSLATE(B35810,""en"",""fr"")"),"Nous voyons ensuite des hommes tourner sur le cheval Pommel avec des écrans de titre coupés entre les deux.")</f>
        <v>Nous voyons ensuite des hommes tourner sur le cheval Pommel avec des écrans de titre coupés entre les deux.</v>
      </c>
    </row>
    <row r="35811">
      <c r="A35811" s="4" t="s">
        <v>45046</v>
      </c>
      <c r="B35811" s="4" t="s">
        <v>45048</v>
      </c>
      <c r="C35811" s="5" t="str">
        <f>IFERROR(__xludf.DUMMYFUNCTION("GOOGLETRANSLATE(B35811,""en"",""fr"")"),"Nous voyons un homme jeter ses jambes sur le cheval pommel.")</f>
        <v>Nous voyons un homme jeter ses jambes sur le cheval pommel.</v>
      </c>
    </row>
    <row r="35812">
      <c r="A35812" s="4" t="s">
        <v>45046</v>
      </c>
      <c r="B35812" s="4" t="s">
        <v>45049</v>
      </c>
      <c r="C35812" s="5" t="str">
        <f>IFERROR(__xludf.DUMMYFUNCTION("GOOGLETRANSLATE(B35812,""en"",""fr"")"),"Nous voyons un homme en rouge se tourner autour du cheval de pommeau rapidement.")</f>
        <v>Nous voyons un homme en rouge se tourner autour du cheval de pommeau rapidement.</v>
      </c>
    </row>
    <row r="35813">
      <c r="A35813" s="4" t="s">
        <v>45046</v>
      </c>
      <c r="B35813" s="4" t="s">
        <v>45050</v>
      </c>
      <c r="C35813" s="5" t="str">
        <f>IFERROR(__xludf.DUMMYFUNCTION("GOOGLETRANSLATE(B35813,""en"",""fr"")"),"Un homme en rouge et jaune tourne rapidement sur le pommeau.")</f>
        <v>Un homme en rouge et jaune tourne rapidement sur le pommeau.</v>
      </c>
    </row>
    <row r="35814">
      <c r="A35814" s="4" t="s">
        <v>45046</v>
      </c>
      <c r="B35814" s="4" t="s">
        <v>45051</v>
      </c>
      <c r="C35814" s="5" t="str">
        <f>IFERROR(__xludf.DUMMYFUNCTION("GOOGLETRANSLATE(B35814,""en"",""fr"")"),"Nous voyons un homme démonter le pommeau et jeter ses bras en l'air.")</f>
        <v>Nous voyons un homme démonter le pommeau et jeter ses bras en l'air.</v>
      </c>
    </row>
    <row r="35815">
      <c r="A35815" s="4" t="s">
        <v>45046</v>
      </c>
      <c r="B35815" s="4" t="s">
        <v>45052</v>
      </c>
      <c r="C35815" s="5" t="str">
        <f>IFERROR(__xludf.DUMMYFUNCTION("GOOGLETRANSLATE(B35815,""en"",""fr"")"),"Nous voyons ensuite les scènes de clôture.")</f>
        <v>Nous voyons ensuite les scènes de clôture.</v>
      </c>
    </row>
    <row r="35816">
      <c r="A35816" s="4" t="s">
        <v>45053</v>
      </c>
      <c r="B35816" s="6" t="s">
        <v>45054</v>
      </c>
      <c r="C35816" s="5" t="str">
        <f>IFERROR(__xludf.DUMMYFUNCTION("GOOGLETRANSLATE(B35816,""en"",""fr"")"),"Une femme tient une boîte avec une lumière UV pour éclairer la poignée du réfrigérateur, sa main, le four à micro-ondes et les ustensiles.")</f>
        <v>Une femme tient une boîte avec une lumière UV pour éclairer la poignée du réfrigérateur, sa main, le four à micro-ondes et les ustensiles.</v>
      </c>
    </row>
    <row r="35817">
      <c r="A35817" s="4" t="s">
        <v>45053</v>
      </c>
      <c r="B35817" s="4" t="s">
        <v>45055</v>
      </c>
      <c r="C35817" s="5" t="str">
        <f>IFERROR(__xludf.DUMMYFUNCTION("GOOGLETRANSLATE(B35817,""en"",""fr"")"),"Ensuite, la femme se lave et séchez ses mains et allume une main avec la lumière UV.")</f>
        <v>Ensuite, la femme se lave et séchez ses mains et allume une main avec la lumière UV.</v>
      </c>
    </row>
    <row r="35818">
      <c r="A35818" s="4" t="s">
        <v>45053</v>
      </c>
      <c r="B35818" s="4" t="s">
        <v>45056</v>
      </c>
      <c r="C35818" s="5" t="str">
        <f>IFERROR(__xludf.DUMMYFUNCTION("GOOGLETRANSLATE(B35818,""en"",""fr"")"),"Après, la femme enlève sa bague et se lave et se lave les mains avec du savon et rince avec de l'eau.")</f>
        <v>Après, la femme enlève sa bague et se lave et se lave les mains avec du savon et rince avec de l'eau.</v>
      </c>
    </row>
    <row r="35819">
      <c r="A35819" s="4" t="s">
        <v>45057</v>
      </c>
      <c r="B35819" s="4" t="s">
        <v>45058</v>
      </c>
      <c r="C35819" s="5" t="str">
        <f>IFERROR(__xludf.DUMMYFUNCTION("GOOGLETRANSLATE(B35819,""en"",""fr"")"),"Un homme tient des clips sur un support placé sur un bureau en bois.")</f>
        <v>Un homme tient des clips sur un support placé sur un bureau en bois.</v>
      </c>
    </row>
    <row r="35820">
      <c r="A35820" s="4" t="s">
        <v>45057</v>
      </c>
      <c r="B35820" s="4" t="s">
        <v>45059</v>
      </c>
      <c r="C35820" s="5" t="str">
        <f>IFERROR(__xludf.DUMMYFUNCTION("GOOGLETRANSLATE(B35820,""en"",""fr"")"),"Il soulève le support métallique.")</f>
        <v>Il soulève le support métallique.</v>
      </c>
    </row>
    <row r="35821">
      <c r="A35821" s="4" t="s">
        <v>45057</v>
      </c>
      <c r="B35821" s="4" t="s">
        <v>45060</v>
      </c>
      <c r="C35821" s="5" t="str">
        <f>IFERROR(__xludf.DUMMYFUNCTION("GOOGLETRANSLATE(B35821,""en"",""fr"")"),"L'homme termine le soudage et ramasse un bâton dans le bureau en bois.")</f>
        <v>L'homme termine le soudage et ramasse un bâton dans le bureau en bois.</v>
      </c>
    </row>
    <row r="35822">
      <c r="A35822" s="4" t="s">
        <v>45061</v>
      </c>
      <c r="B35822" s="6" t="s">
        <v>45062</v>
      </c>
      <c r="C35822" s="5" t="str">
        <f>IFERROR(__xludf.DUMMYFUNCTION("GOOGLETRANSLATE(B35822,""en"",""fr"")"),"Un homme potelé se tient à l'extérieur dans un champ et lance une boule de médecine jaune démontrant de l'exercice pour renforcer les athlètes pour le lancer du poids.")</f>
        <v>Un homme potelé se tient à l'extérieur dans un champ et lance une boule de médecine jaune démontrant de l'exercice pour renforcer les athlètes pour le lancer du poids.</v>
      </c>
    </row>
    <row r="35823">
      <c r="A35823" s="4" t="s">
        <v>45061</v>
      </c>
      <c r="B35823" s="6" t="s">
        <v>45063</v>
      </c>
      <c r="C35823" s="5" t="str">
        <f>IFERROR(__xludf.DUMMYFUNCTION("GOOGLETRANSLATE(B35823,""en"",""fr"")"),"L'homme est ensuite représenté dans un gymnase faisant des représentants avec le bar, puis commence à jeter un ballon contre l'arbre.")</f>
        <v>L'homme est ensuite représenté dans un gymnase faisant des représentants avec le bar, puis commence à jeter un ballon contre l'arbre.</v>
      </c>
    </row>
    <row r="35824">
      <c r="A35824" s="4" t="s">
        <v>45061</v>
      </c>
      <c r="B35824" s="6" t="s">
        <v>45064</v>
      </c>
      <c r="C35824" s="5" t="str">
        <f>IFERROR(__xludf.DUMMYFUNCTION("GOOGLETRANSLATE(B35824,""en"",""fr"")"),"Un autre garçon commence alors à lancer un sac de sable avant que l'homme précédent ne revienne et commence à utiliser des machines elliptiques.")</f>
        <v>Un autre garçon commence alors à lancer un sac de sable avant que l'homme précédent ne revienne et commence à utiliser des machines elliptiques.</v>
      </c>
    </row>
    <row r="35825">
      <c r="A35825" s="4" t="s">
        <v>45061</v>
      </c>
      <c r="B35825" s="6" t="s">
        <v>45065</v>
      </c>
      <c r="C35825" s="5" t="str">
        <f>IFERROR(__xludf.DUMMYFUNCTION("GOOGLETRANSLATE(B35825,""en"",""fr"")"),"Une fois terminé, il revient sur un champ et commence à tirer la chaîne à travers le champ et à lancer des boules de bouilloire.")</f>
        <v>Une fois terminé, il revient sur un champ et commence à tirer la chaîne à travers le champ et à lancer des boules de bouilloire.</v>
      </c>
    </row>
    <row r="35826">
      <c r="A35826" s="4" t="s">
        <v>45066</v>
      </c>
      <c r="B35826" s="4" t="s">
        <v>45067</v>
      </c>
      <c r="C35826" s="5" t="str">
        <f>IFERROR(__xludf.DUMMYFUNCTION("GOOGLETRANSLATE(B35826,""en"",""fr"")"),"Un homme en chapeau se tient à l'extérieur pour parler.")</f>
        <v>Un homme en chapeau se tient à l'extérieur pour parler.</v>
      </c>
    </row>
    <row r="35827">
      <c r="A35827" s="4" t="s">
        <v>45066</v>
      </c>
      <c r="B35827" s="4" t="s">
        <v>45068</v>
      </c>
      <c r="C35827" s="5" t="str">
        <f>IFERROR(__xludf.DUMMYFUNCTION("GOOGLETRANSLATE(B35827,""en"",""fr"")"),"Les gens pratiquent le voûte à la perche sur un tapis bleu.")</f>
        <v>Les gens pratiquent le voûte à la perche sur un tapis bleu.</v>
      </c>
    </row>
    <row r="35828">
      <c r="A35828" s="4" t="s">
        <v>45066</v>
      </c>
      <c r="B35828" s="4" t="s">
        <v>45069</v>
      </c>
      <c r="C35828" s="5" t="str">
        <f>IFERROR(__xludf.DUMMYFUNCTION("GOOGLETRANSLATE(B35828,""en"",""fr"")"),"Une personne saute par-dessus les obstacles sur une piste.")</f>
        <v>Une personne saute par-dessus les obstacles sur une piste.</v>
      </c>
    </row>
    <row r="35829">
      <c r="A35829" s="4" t="s">
        <v>45066</v>
      </c>
      <c r="B35829" s="4" t="s">
        <v>45070</v>
      </c>
      <c r="C35829" s="5" t="str">
        <f>IFERROR(__xludf.DUMMYFUNCTION("GOOGLETRANSLATE(B35829,""en"",""fr"")"),"Les gens sont allongés sur un tapis bleu qui s'étire.")</f>
        <v>Les gens sont allongés sur un tapis bleu qui s'étire.</v>
      </c>
    </row>
    <row r="35830">
      <c r="A35830" s="4" t="s">
        <v>45071</v>
      </c>
      <c r="B35830" s="4" t="s">
        <v>45072</v>
      </c>
      <c r="C35830" s="5" t="str">
        <f>IFERROR(__xludf.DUMMYFUNCTION("GOOGLETRANSLATE(B35830,""en"",""fr"")"),"Un groupe est sur la plage, jouant au volleyball.")</f>
        <v>Un groupe est sur la plage, jouant au volleyball.</v>
      </c>
    </row>
    <row r="35831">
      <c r="A35831" s="4" t="s">
        <v>45071</v>
      </c>
      <c r="B35831" s="4" t="s">
        <v>37395</v>
      </c>
      <c r="C35831" s="5" t="str">
        <f>IFERROR(__xludf.DUMMYFUNCTION("GOOGLETRANSLATE(B35831,""en"",""fr"")"),"Ils lobent le ballon d'avant en arrière sur le filet.")</f>
        <v>Ils lobent le ballon d'avant en arrière sur le filet.</v>
      </c>
    </row>
    <row r="35832">
      <c r="A35832" s="4" t="s">
        <v>45071</v>
      </c>
      <c r="B35832" s="4" t="s">
        <v>45073</v>
      </c>
      <c r="C35832" s="5" t="str">
        <f>IFERROR(__xludf.DUMMYFUNCTION("GOOGLETRANSLATE(B35832,""en"",""fr"")"),"La foule les encourage alors qu'ils poursuivent la compétition.")</f>
        <v>La foule les encourage alors qu'ils poursuivent la compétition.</v>
      </c>
    </row>
    <row r="35833">
      <c r="A35833" s="4" t="s">
        <v>45074</v>
      </c>
      <c r="B35833" s="4" t="s">
        <v>45075</v>
      </c>
      <c r="C35833" s="5" t="str">
        <f>IFERROR(__xludf.DUMMYFUNCTION("GOOGLETRANSLATE(B35833,""en"",""fr"")"),"Nous voyons des hommes jouer au hockey dans une patinoire.")</f>
        <v>Nous voyons des hommes jouer au hockey dans une patinoire.</v>
      </c>
    </row>
    <row r="35834">
      <c r="A35834" s="4" t="s">
        <v>45074</v>
      </c>
      <c r="B35834" s="4" t="s">
        <v>45076</v>
      </c>
      <c r="C35834" s="5" t="str">
        <f>IFERROR(__xludf.DUMMYFUNCTION("GOOGLETRANSLATE(B35834,""en"",""fr"")"),"Un joueur en bleu va derrière le but près de la caméra.")</f>
        <v>Un joueur en bleu va derrière le but près de la caméra.</v>
      </c>
    </row>
    <row r="35835">
      <c r="A35835" s="4" t="s">
        <v>45074</v>
      </c>
      <c r="B35835" s="4" t="s">
        <v>45077</v>
      </c>
      <c r="C35835" s="5" t="str">
        <f>IFERROR(__xludf.DUMMYFUNCTION("GOOGLETRANSLATE(B35835,""en"",""fr"")"),"La rondelle de hockey passe devant le gardien de but et dans le filet de but.")</f>
        <v>La rondelle de hockey passe devant le gardien de but et dans le filet de but.</v>
      </c>
    </row>
    <row r="35836">
      <c r="A35836" s="4" t="s">
        <v>45074</v>
      </c>
      <c r="B35836" s="4" t="s">
        <v>45078</v>
      </c>
      <c r="C35836" s="5" t="str">
        <f>IFERROR(__xludf.DUMMYFUNCTION("GOOGLETRANSLATE(B35836,""en"",""fr"")"),"Le gardien de but se lève.")</f>
        <v>Le gardien de but se lève.</v>
      </c>
    </row>
    <row r="35837">
      <c r="A35837" s="4" t="s">
        <v>45079</v>
      </c>
      <c r="B35837" s="4" t="s">
        <v>45080</v>
      </c>
      <c r="C35837" s="5" t="str">
        <f>IFERROR(__xludf.DUMMYFUNCTION("GOOGLETRANSLATE(B35837,""en"",""fr"")"),"Une dame se dirige vers une haltère.")</f>
        <v>Une dame se dirige vers une haltère.</v>
      </c>
    </row>
    <row r="35838">
      <c r="A35838" s="4" t="s">
        <v>45079</v>
      </c>
      <c r="B35838" s="4" t="s">
        <v>45081</v>
      </c>
      <c r="C35838" s="5" t="str">
        <f>IFERROR(__xludf.DUMMYFUNCTION("GOOGLETRANSLATE(B35838,""en"",""fr"")"),"Elle se penche et attrape le poteau.")</f>
        <v>Elle se penche et attrape le poteau.</v>
      </c>
    </row>
    <row r="35839">
      <c r="A35839" s="4" t="s">
        <v>45079</v>
      </c>
      <c r="B35839" s="4" t="s">
        <v>45082</v>
      </c>
      <c r="C35839" s="5" t="str">
        <f>IFERROR(__xludf.DUMMYFUNCTION("GOOGLETRANSLATE(B35839,""en"",""fr"")"),"La dame se tient et soulève le poids sur sa tête.")</f>
        <v>La dame se tient et soulève le poids sur sa tête.</v>
      </c>
    </row>
    <row r="35840">
      <c r="A35840" s="4" t="s">
        <v>45079</v>
      </c>
      <c r="B35840" s="4" t="s">
        <v>45083</v>
      </c>
      <c r="C35840" s="5" t="str">
        <f>IFERROR(__xludf.DUMMYFUNCTION("GOOGLETRANSLATE(B35840,""en"",""fr"")"),"La dame laisse tomber l'haltère et sourit.")</f>
        <v>La dame laisse tomber l'haltère et sourit.</v>
      </c>
    </row>
    <row r="35841">
      <c r="A35841" s="4" t="s">
        <v>45084</v>
      </c>
      <c r="B35841" s="4" t="s">
        <v>45085</v>
      </c>
      <c r="C35841" s="5" t="str">
        <f>IFERROR(__xludf.DUMMYFUNCTION("GOOGLETRANSLATE(B35841,""en"",""fr"")"),"Une femme se tient à l'intérieur d'une cuisine sombre, parle.")</f>
        <v>Une femme se tient à l'intérieur d'une cuisine sombre, parle.</v>
      </c>
    </row>
    <row r="35842">
      <c r="A35842" s="4" t="s">
        <v>45084</v>
      </c>
      <c r="B35842" s="4" t="s">
        <v>45086</v>
      </c>
      <c r="C35842" s="5" t="str">
        <f>IFERROR(__xludf.DUMMYFUNCTION("GOOGLETRANSLATE(B35842,""en"",""fr"")"),"Elle montre un gâteau refroidissant sur une grille en métal.")</f>
        <v>Elle montre un gâteau refroidissant sur une grille en métal.</v>
      </c>
    </row>
    <row r="35843">
      <c r="A35843" s="4" t="s">
        <v>45084</v>
      </c>
      <c r="B35843" s="4" t="s">
        <v>45087</v>
      </c>
      <c r="C35843" s="5" t="str">
        <f>IFERROR(__xludf.DUMMYFUNCTION("GOOGLETRANSLATE(B35843,""en"",""fr"")"),"Elle montre comment mélanger les ingrédients dans un mélangeur, puis cuire le gâteau.")</f>
        <v>Elle montre comment mélanger les ingrédients dans un mélangeur, puis cuire le gâteau.</v>
      </c>
    </row>
    <row r="35844">
      <c r="A35844" s="4" t="s">
        <v>45084</v>
      </c>
      <c r="B35844" s="4" t="s">
        <v>45088</v>
      </c>
      <c r="C35844" s="5" t="str">
        <f>IFERROR(__xludf.DUMMYFUNCTION("GOOGLETRANSLATE(B35844,""en"",""fr"")"),"Lorsque cela est fait, elle le tourne sur le rack pour refroidir.")</f>
        <v>Lorsque cela est fait, elle le tourne sur le rack pour refroidir.</v>
      </c>
    </row>
    <row r="35845">
      <c r="A35845" s="4" t="s">
        <v>45089</v>
      </c>
      <c r="B35845" s="6" t="s">
        <v>45090</v>
      </c>
      <c r="C35845" s="5" t="str">
        <f>IFERROR(__xludf.DUMMYFUNCTION("GOOGLETRANSLATE(B35845,""en"",""fr"")"),"La femme est avec deux enfants dans la neige dans un pays ouvert et ils sont sur un glissement gonflable sur une montagne.")</f>
        <v>La femme est avec deux enfants dans la neige dans un pays ouvert et ils sont sur un glissement gonflable sur une montagne.</v>
      </c>
    </row>
    <row r="35846">
      <c r="A35846" s="4" t="s">
        <v>45089</v>
      </c>
      <c r="B35846" s="4" t="s">
        <v>45091</v>
      </c>
      <c r="C35846" s="5" t="str">
        <f>IFERROR(__xludf.DUMMYFUNCTION("GOOGLETRANSLATE(B35846,""en"",""fr"")"),"Les enfants marchent avec le gonflable sur leurs mains à travers le champ et courent à nouveau vers la montagne.")</f>
        <v>Les enfants marchent avec le gonflable sur leurs mains à travers le champ et courent à nouveau vers la montagne.</v>
      </c>
    </row>
    <row r="35847">
      <c r="A35847" s="4" t="s">
        <v>45092</v>
      </c>
      <c r="B35847" s="6" t="s">
        <v>45093</v>
      </c>
      <c r="C35847" s="5" t="str">
        <f>IFERROR(__xludf.DUMMYFUNCTION("GOOGLETRANSLATE(B35847,""en"",""fr"")"),"Un jeune garçon a un maillot de football noir et blanc et est assis par terre à côté d'un lit et commence à mettre une longue chaussette de football noir.")</f>
        <v>Un jeune garçon a un maillot de football noir et blanc et est assis par terre à côté d'un lit et commence à mettre une longue chaussette de football noir.</v>
      </c>
    </row>
    <row r="35848">
      <c r="A35848" s="4" t="s">
        <v>45092</v>
      </c>
      <c r="B35848" s="6" t="s">
        <v>45094</v>
      </c>
      <c r="C35848" s="5" t="str">
        <f>IFERROR(__xludf.DUMMYFUNCTION("GOOGLETRANSLATE(B35848,""en"",""fr"")"),"Le jeune garçon atteint alors son tibia et le met sur sa jambe droite, puis replie sa chaussette dessus.")</f>
        <v>Le jeune garçon atteint alors son tibia et le met sur sa jambe droite, puis replie sa chaussette dessus.</v>
      </c>
    </row>
    <row r="35849">
      <c r="A35849" s="4" t="s">
        <v>45092</v>
      </c>
      <c r="B35849" s="6" t="s">
        <v>45095</v>
      </c>
      <c r="C35849" s="5" t="str">
        <f>IFERROR(__xludf.DUMMYFUNCTION("GOOGLETRANSLATE(B35849,""en"",""fr"")"),"Une fois cela terminé, il tend la main vers son autre chaussette et commence à faire la même chose sur la jambe gauche.")</f>
        <v>Une fois cela terminé, il tend la main vers son autre chaussette et commence à faire la même chose sur la jambe gauche.</v>
      </c>
    </row>
    <row r="35850">
      <c r="A35850" s="4" t="s">
        <v>45092</v>
      </c>
      <c r="B35850" s="4" t="s">
        <v>45096</v>
      </c>
      <c r="C35850" s="5" t="str">
        <f>IFERROR(__xludf.DUMMYFUNCTION("GOOGLETRANSLATE(B35850,""en"",""fr"")"),"Enfin, il se déplace vers ses crampons et attrape une paire de crampons de football adidas orange et les attache.")</f>
        <v>Enfin, il se déplace vers ses crampons et attrape une paire de crampons de football adidas orange et les attache.</v>
      </c>
    </row>
    <row r="35851">
      <c r="A35851" s="4" t="s">
        <v>45092</v>
      </c>
      <c r="B35851" s="4" t="s">
        <v>45097</v>
      </c>
      <c r="C35851" s="5" t="str">
        <f>IFERROR(__xludf.DUMMYFUNCTION("GOOGLETRANSLATE(B35851,""en"",""fr"")"),"Tout est terminé et l'enfant est assis à Criss-Cross et commence à parler à la caméra.")</f>
        <v>Tout est terminé et l'enfant est assis à Criss-Cross et commence à parler à la caméra.</v>
      </c>
    </row>
    <row r="35852">
      <c r="A35852" s="4" t="s">
        <v>45098</v>
      </c>
      <c r="B35852" s="4" t="s">
        <v>45099</v>
      </c>
      <c r="C35852" s="5" t="str">
        <f>IFERROR(__xludf.DUMMYFUNCTION("GOOGLETRANSLATE(B35852,""en"",""fr"")"),"Un gros plan zoome sur un écran.")</f>
        <v>Un gros plan zoome sur un écran.</v>
      </c>
    </row>
    <row r="35853">
      <c r="A35853" s="4" t="s">
        <v>45098</v>
      </c>
      <c r="B35853" s="4" t="s">
        <v>45100</v>
      </c>
      <c r="C35853" s="5" t="str">
        <f>IFERROR(__xludf.DUMMYFUNCTION("GOOGLETRANSLATE(B35853,""en"",""fr"")"),"Plusieurs adultes et enfants sont à l'extérieur.")</f>
        <v>Plusieurs adultes et enfants sont à l'extérieur.</v>
      </c>
    </row>
    <row r="35854">
      <c r="A35854" s="4" t="s">
        <v>45098</v>
      </c>
      <c r="B35854" s="4" t="s">
        <v>45101</v>
      </c>
      <c r="C35854" s="5" t="str">
        <f>IFERROR(__xludf.DUMMYFUNCTION("GOOGLETRANSLATE(B35854,""en"",""fr"")"),"Les enfants font du vélo de terre dans une compétition.")</f>
        <v>Les enfants font du vélo de terre dans une compétition.</v>
      </c>
    </row>
    <row r="35855">
      <c r="A35855" s="4" t="s">
        <v>45098</v>
      </c>
      <c r="B35855" s="4" t="s">
        <v>45102</v>
      </c>
      <c r="C35855" s="5" t="str">
        <f>IFERROR(__xludf.DUMMYFUNCTION("GOOGLETRANSLATE(B35855,""en"",""fr"")"),"On leur montre une course autour d'un parcours et sur des collines et des virages aigus.")</f>
        <v>On leur montre une course autour d'un parcours et sur des collines et des virages aigus.</v>
      </c>
    </row>
    <row r="35856">
      <c r="A35856" s="4" t="s">
        <v>45098</v>
      </c>
      <c r="B35856" s="4" t="s">
        <v>45103</v>
      </c>
      <c r="C35856" s="5" t="str">
        <f>IFERROR(__xludf.DUMMYFUNCTION("GOOGLETRANSLATE(B35856,""en"",""fr"")"),"Un garçon sur un vélo s'arrête à la caméra, à la recherche attentive.")</f>
        <v>Un garçon sur un vélo s'arrête à la caméra, à la recherche attentive.</v>
      </c>
    </row>
    <row r="35857">
      <c r="A35857" s="4" t="s">
        <v>45104</v>
      </c>
      <c r="B35857" s="4" t="s">
        <v>45105</v>
      </c>
      <c r="C35857" s="5" t="str">
        <f>IFERROR(__xludf.DUMMYFUNCTION("GOOGLETRANSLATE(B35857,""en"",""fr"")"),"Un homme se penche sur la caméra qu'il a placée sur un chien.")</f>
        <v>Un homme se penche sur la caméra qu'il a placée sur un chien.</v>
      </c>
    </row>
    <row r="35858">
      <c r="A35858" s="4" t="s">
        <v>45104</v>
      </c>
      <c r="B35858" s="4" t="s">
        <v>45106</v>
      </c>
      <c r="C35858" s="5" t="str">
        <f>IFERROR(__xludf.DUMMYFUNCTION("GOOGLETRANSLATE(B35858,""en"",""fr"")"),"Le chien traverse différentes pièces de la maison, puis à la porte et à l'extérieur.")</f>
        <v>Le chien traverse différentes pièces de la maison, puis à la porte et à l'extérieur.</v>
      </c>
    </row>
    <row r="35859">
      <c r="A35859" s="4" t="s">
        <v>45104</v>
      </c>
      <c r="B35859" s="4" t="s">
        <v>45107</v>
      </c>
      <c r="C35859" s="5" t="str">
        <f>IFERROR(__xludf.DUMMYFUNCTION("GOOGLETRANSLATE(B35859,""en"",""fr"")"),"Ils vont se promener dehors avec les gens et les autres chiens.")</f>
        <v>Ils vont se promener dehors avec les gens et les autres chiens.</v>
      </c>
    </row>
    <row r="35860">
      <c r="A35860" s="4" t="s">
        <v>45104</v>
      </c>
      <c r="B35860" s="4" t="s">
        <v>45108</v>
      </c>
      <c r="C35860" s="5" t="str">
        <f>IFERROR(__xludf.DUMMYFUNCTION("GOOGLETRANSLATE(B35860,""en"",""fr"")"),"Il rentre chez lui et regarde dans son bol d'eau.")</f>
        <v>Il rentre chez lui et regarde dans son bol d'eau.</v>
      </c>
    </row>
    <row r="35861">
      <c r="A35861" s="4" t="s">
        <v>45109</v>
      </c>
      <c r="B35861" s="4" t="s">
        <v>45110</v>
      </c>
      <c r="C35861" s="5" t="str">
        <f>IFERROR(__xludf.DUMMYFUNCTION("GOOGLETRANSLATE(B35861,""en"",""fr"")"),"Une femme assise sur le sol parle à la caméra en caressant un chien.")</f>
        <v>Une femme assise sur le sol parle à la caméra en caressant un chien.</v>
      </c>
    </row>
    <row r="35862">
      <c r="A35862" s="4" t="s">
        <v>45109</v>
      </c>
      <c r="B35862" s="4" t="s">
        <v>45111</v>
      </c>
      <c r="C35862" s="5" t="str">
        <f>IFERROR(__xludf.DUMMYFUNCTION("GOOGLETRANSLATE(B35862,""en"",""fr"")"),"La femme tient une sorte d'outil en parlant à la caméra.")</f>
        <v>La femme tient une sorte d'outil en parlant à la caméra.</v>
      </c>
    </row>
    <row r="35863">
      <c r="A35863" s="4" t="s">
        <v>45109</v>
      </c>
      <c r="B35863" s="4" t="s">
        <v>45112</v>
      </c>
      <c r="C35863" s="5" t="str">
        <f>IFERROR(__xludf.DUMMYFUNCTION("GOOGLETRANSLATE(B35863,""en"",""fr"")"),"La femme utilise l'outil pour brosser le chien en parlant.")</f>
        <v>La femme utilise l'outil pour brosser le chien en parlant.</v>
      </c>
    </row>
    <row r="35864">
      <c r="A35864" s="4" t="s">
        <v>45109</v>
      </c>
      <c r="B35864" s="4" t="s">
        <v>45113</v>
      </c>
      <c r="C35864" s="5" t="str">
        <f>IFERROR(__xludf.DUMMYFUNCTION("GOOGLETRANSLATE(B35864,""en"",""fr"")"),"La femme posent l'outil et animait le chien en parlant à la caméra.")</f>
        <v>La femme posent l'outil et animait le chien en parlant à la caméra.</v>
      </c>
    </row>
    <row r="35865">
      <c r="A35865" s="4" t="s">
        <v>45109</v>
      </c>
      <c r="B35865" s="4" t="s">
        <v>45114</v>
      </c>
      <c r="C35865" s="5" t="str">
        <f>IFERROR(__xludf.DUMMYFUNCTION("GOOGLETRANSLATE(B35865,""en"",""fr"")"),"La femme parle à la caméra de l'outil.")</f>
        <v>La femme parle à la caméra de l'outil.</v>
      </c>
    </row>
    <row r="35866">
      <c r="A35866" s="4" t="s">
        <v>45109</v>
      </c>
      <c r="B35866" s="4" t="s">
        <v>45115</v>
      </c>
      <c r="C35866" s="5" t="str">
        <f>IFERROR(__xludf.DUMMYFUNCTION("GOOGLETRANSLATE(B35866,""en"",""fr"")"),"Le chien et les femmes se lèvent du sol.")</f>
        <v>Le chien et les femmes se lèvent du sol.</v>
      </c>
    </row>
    <row r="35867">
      <c r="A35867" s="4" t="s">
        <v>45109</v>
      </c>
      <c r="B35867" s="4" t="s">
        <v>45116</v>
      </c>
      <c r="C35867" s="5" t="str">
        <f>IFERROR(__xludf.DUMMYFUNCTION("GOOGLETRANSLATE(B35867,""en"",""fr"")"),"Un processus accéléré de dessiner un emblème de hibou est montré.")</f>
        <v>Un processus accéléré de dessiner un emblème de hibou est montré.</v>
      </c>
    </row>
    <row r="35868">
      <c r="A35868" s="4" t="s">
        <v>45117</v>
      </c>
      <c r="B35868" s="4" t="s">
        <v>45118</v>
      </c>
      <c r="C35868" s="5" t="str">
        <f>IFERROR(__xludf.DUMMYFUNCTION("GOOGLETRANSLATE(B35868,""en"",""fr"")"),"Un skieur utilise un drone à vent pour le propulser sur une pente plate.")</f>
        <v>Un skieur utilise un drone à vent pour le propulser sur une pente plate.</v>
      </c>
    </row>
    <row r="35869">
      <c r="A35869" s="4" t="s">
        <v>45117</v>
      </c>
      <c r="B35869" s="4" t="s">
        <v>45119</v>
      </c>
      <c r="C35869" s="5" t="str">
        <f>IFERROR(__xludf.DUMMYFUNCTION("GOOGLETRANSLATE(B35869,""en"",""fr"")"),"Le skieur utilise le drone à vent pour faire quelques passes sur une zone plate d'une station de ski.")</f>
        <v>Le skieur utilise le drone à vent pour faire quelques passes sur une zone plate d'une station de ski.</v>
      </c>
    </row>
    <row r="35870">
      <c r="A35870" s="4" t="s">
        <v>45117</v>
      </c>
      <c r="B35870" s="4" t="s">
        <v>45120</v>
      </c>
      <c r="C35870" s="5" t="str">
        <f>IFERROR(__xludf.DUMMYFUNCTION("GOOGLETRANSLATE(B35870,""en"",""fr"")"),"L'appareil photo se déroule sur le domaine skiable et la vue sur les montagnes environnantes.")</f>
        <v>L'appareil photo se déroule sur le domaine skiable et la vue sur les montagnes environnantes.</v>
      </c>
    </row>
    <row r="35871">
      <c r="A35871" s="4" t="s">
        <v>45117</v>
      </c>
      <c r="B35871" s="4" t="s">
        <v>45121</v>
      </c>
      <c r="C35871" s="5" t="str">
        <f>IFERROR(__xludf.DUMMYFUNCTION("GOOGLETRANSLATE(B35871,""en"",""fr"")"),"Le skieur fait un passage sur une grande zone plate qui va très vite.")</f>
        <v>Le skieur fait un passage sur une grande zone plate qui va très vite.</v>
      </c>
    </row>
    <row r="35872">
      <c r="A35872" s="4" t="s">
        <v>45122</v>
      </c>
      <c r="B35872" s="4" t="s">
        <v>45123</v>
      </c>
      <c r="C35872" s="5" t="str">
        <f>IFERROR(__xludf.DUMMYFUNCTION("GOOGLETRANSLATE(B35872,""en"",""fr"")"),"Un homme s'accroupi et soulève une barre de poids dans une salle de sport.")</f>
        <v>Un homme s'accroupi et soulève une barre de poids dans une salle de sport.</v>
      </c>
    </row>
    <row r="35873">
      <c r="A35873" s="4" t="s">
        <v>45122</v>
      </c>
      <c r="B35873" s="4" t="s">
        <v>45124</v>
      </c>
      <c r="C35873" s="5" t="str">
        <f>IFERROR(__xludf.DUMMYFUNCTION("GOOGLETRANSLATE(B35873,""en"",""fr"")"),"Il jette la barre vers le bas et il s'écrase dans le sol et prend une profonde inspiration.")</f>
        <v>Il jette la barre vers le bas et il s'écrase dans le sol et prend une profonde inspiration.</v>
      </c>
    </row>
    <row r="35874">
      <c r="A35874" s="4" t="s">
        <v>45125</v>
      </c>
      <c r="B35874" s="4" t="s">
        <v>45126</v>
      </c>
      <c r="C35874" s="5" t="str">
        <f>IFERROR(__xludf.DUMMYFUNCTION("GOOGLETRANSLATE(B35874,""en"",""fr"")"),"Un enfant balance sur les barres de singe.")</f>
        <v>Un enfant balance sur les barres de singe.</v>
      </c>
    </row>
    <row r="35875">
      <c r="A35875" s="4" t="s">
        <v>45125</v>
      </c>
      <c r="B35875" s="4" t="s">
        <v>45127</v>
      </c>
      <c r="C35875" s="5" t="str">
        <f>IFERROR(__xludf.DUMMYFUNCTION("GOOGLETRANSLATE(B35875,""en"",""fr"")"),"L'enfant démonte des bars de singe.")</f>
        <v>L'enfant démonte des bars de singe.</v>
      </c>
    </row>
    <row r="35876">
      <c r="A35876" s="4" t="s">
        <v>45125</v>
      </c>
      <c r="B35876" s="4" t="s">
        <v>45128</v>
      </c>
      <c r="C35876" s="5" t="str">
        <f>IFERROR(__xludf.DUMMYFUNCTION("GOOGLETRANSLATE(B35876,""en"",""fr"")"),"L'enfant se dirige vers la caméra.")</f>
        <v>L'enfant se dirige vers la caméra.</v>
      </c>
    </row>
    <row r="35877">
      <c r="A35877" s="4" t="s">
        <v>45129</v>
      </c>
      <c r="B35877" s="6" t="s">
        <v>45130</v>
      </c>
      <c r="C35877" s="5" t="str">
        <f>IFERROR(__xludf.DUMMYFUNCTION("GOOGLETRANSLATE(B35877,""en"",""fr"")"),"La vidéo montre divers clips de lutteurs de sumo se battant dans un ring tandis qu'un arbitre et un public regardent.")</f>
        <v>La vidéo montre divers clips de lutteurs de sumo se battant dans un ring tandis qu'un arbitre et un public regardent.</v>
      </c>
    </row>
    <row r="35878">
      <c r="A35878" s="4" t="s">
        <v>45129</v>
      </c>
      <c r="B35878" s="4" t="s">
        <v>45131</v>
      </c>
      <c r="C35878" s="5" t="str">
        <f>IFERROR(__xludf.DUMMYFUNCTION("GOOGLETRANSLATE(B35878,""en"",""fr"")"),"Dans le premier clip, un lutteur beaucoup plus grand lutte contre un homme plus petit qui finit par gagner.")</f>
        <v>Dans le premier clip, un lutteur beaucoup plus grand lutte contre un homme plus petit qui finit par gagner.</v>
      </c>
    </row>
    <row r="35879">
      <c r="A35879" s="4" t="s">
        <v>45129</v>
      </c>
      <c r="B35879" s="4" t="s">
        <v>45132</v>
      </c>
      <c r="C35879" s="5" t="str">
        <f>IFERROR(__xludf.DUMMYFUNCTION("GOOGLETRANSLATE(B35879,""en"",""fr"")"),"La vidéo continue avec plusieurs autres clips de lutteurs et comment chaque lutteur gagne le tour.")</f>
        <v>La vidéo continue avec plusieurs autres clips de lutteurs et comment chaque lutteur gagne le tour.</v>
      </c>
    </row>
    <row r="35880">
      <c r="A35880" s="4" t="s">
        <v>45129</v>
      </c>
      <c r="B35880" s="6" t="s">
        <v>45133</v>
      </c>
      <c r="C35880" s="5" t="str">
        <f>IFERROR(__xludf.DUMMYFUNCTION("GOOGLETRANSLATE(B35880,""en"",""fr"")"),"La vidéo se termine par une publicité de comédie où un lutteur de sumo plus petit rampe sous un autre très grand, et se retrouve coincé dans sa tenue de sumo.")</f>
        <v>La vidéo se termine par une publicité de comédie où un lutteur de sumo plus petit rampe sous un autre très grand, et se retrouve coincé dans sa tenue de sumo.</v>
      </c>
    </row>
    <row r="35881">
      <c r="A35881" s="4" t="s">
        <v>45134</v>
      </c>
      <c r="B35881" s="4" t="s">
        <v>45135</v>
      </c>
      <c r="C35881" s="5" t="str">
        <f>IFERROR(__xludf.DUMMYFUNCTION("GOOGLETRANSLATE(B35881,""en"",""fr"")"),"Une mascotte est vue courir autour d'un champ alors que la caméra se déroule autour d'un large public.")</f>
        <v>Une mascotte est vue courir autour d'un champ alors que la caméra se déroule autour d'un large public.</v>
      </c>
    </row>
    <row r="35882">
      <c r="A35882" s="4" t="s">
        <v>45134</v>
      </c>
      <c r="B35882" s="6" t="s">
        <v>45136</v>
      </c>
      <c r="C35882" s="5" t="str">
        <f>IFERROR(__xludf.DUMMYFUNCTION("GOOGLETRANSLATE(B35882,""en"",""fr"")"),"Plusieurs mascottes sont vues des bâtons de holage sur un champ se promenant les uns aux autres et les mènent en chassant une balle.")</f>
        <v>Plusieurs mascottes sont vues des bâtons de holage sur un champ se promenant les uns aux autres et les mènent en chassant une balle.</v>
      </c>
    </row>
    <row r="35883">
      <c r="A35883" s="4" t="s">
        <v>45134</v>
      </c>
      <c r="B35883" s="6" t="s">
        <v>45137</v>
      </c>
      <c r="C35883" s="5" t="str">
        <f>IFERROR(__xludf.DUMMYFUNCTION("GOOGLETRANSLATE(B35883,""en"",""fr"")"),"Le groupe continue de courir sur le terrain alors que les mascottes continuent de poursuivre le ballon les unes après les autres.")</f>
        <v>Le groupe continue de courir sur le terrain alors que les mascottes continuent de poursuivre le ballon les unes après les autres.</v>
      </c>
    </row>
    <row r="35884">
      <c r="A35884" s="4" t="s">
        <v>45138</v>
      </c>
      <c r="B35884" s="6" t="s">
        <v>45139</v>
      </c>
      <c r="C35884" s="5" t="str">
        <f>IFERROR(__xludf.DUMMYFUNCTION("GOOGLETRANSLATE(B35884,""en"",""fr"")"),"Il y a 3 personnes dans un magasin dans une section de chaussures et il y a deux personnes sur le terrain en essayant des bottes.")</f>
        <v>Il y a 3 personnes dans un magasin dans une section de chaussures et il y a deux personnes sur le terrain en essayant des bottes.</v>
      </c>
    </row>
    <row r="35885">
      <c r="A35885" s="4" t="s">
        <v>45138</v>
      </c>
      <c r="B35885" s="4" t="s">
        <v>45140</v>
      </c>
      <c r="C35885" s="5" t="str">
        <f>IFERROR(__xludf.DUMMYFUNCTION("GOOGLETRANSLATE(B35885,""en"",""fr"")"),"L'homme sur le sol retire sa botte rose, le jette sur le côté et se lève en souriant.")</f>
        <v>L'homme sur le sol retire sa botte rose, le jette sur le côté et se lève en souriant.</v>
      </c>
    </row>
    <row r="35886">
      <c r="A35886" s="4" t="s">
        <v>45138</v>
      </c>
      <c r="B35886" s="6" t="s">
        <v>45141</v>
      </c>
      <c r="C35886" s="5" t="str">
        <f>IFERROR(__xludf.DUMMYFUNCTION("GOOGLETRANSLATE(B35886,""en"",""fr"")"),"La fille attrape sa botte rose, l'essaie sur son pied droit et s'assoit là-bas tout en parlant aux gens autour d'elle.")</f>
        <v>La fille attrape sa botte rose, l'essaie sur son pied droit et s'assoit là-bas tout en parlant aux gens autour d'elle.</v>
      </c>
    </row>
    <row r="35887">
      <c r="A35887" s="4" t="s">
        <v>45138</v>
      </c>
      <c r="B35887" s="4" t="s">
        <v>45142</v>
      </c>
      <c r="C35887" s="5" t="str">
        <f>IFERROR(__xludf.DUMMYFUNCTION("GOOGLETRANSLATE(B35887,""en"",""fr"")"),"La fille attrape ensuite la botte de gauche, enlève les trucs dedans, l'essaie et les résiste pour les modéliser.")</f>
        <v>La fille attrape ensuite la botte de gauche, enlève les trucs dedans, l'essaie et les résiste pour les modéliser.</v>
      </c>
    </row>
    <row r="35888">
      <c r="A35888" s="4" t="s">
        <v>45138</v>
      </c>
      <c r="B35888" s="6" t="s">
        <v>45143</v>
      </c>
      <c r="C35888" s="5" t="str">
        <f>IFERROR(__xludf.DUMMYFUNCTION("GOOGLETRANSLATE(B35888,""en"",""fr"")"),"La fille se tient à côté du gars et ils sourient, elle donne un coup de pouce et il la serre par derrière.")</f>
        <v>La fille se tient à côté du gars et ils sourient, elle donne un coup de pouce et il la serre par derrière.</v>
      </c>
    </row>
    <row r="35889">
      <c r="A35889" s="4" t="s">
        <v>45144</v>
      </c>
      <c r="B35889" s="6" t="s">
        <v>45145</v>
      </c>
      <c r="C35889" s="5" t="str">
        <f>IFERROR(__xludf.DUMMYFUNCTION("GOOGLETRANSLATE(B35889,""en"",""fr"")"),"Une image immobile d'un homme vêtu d'une chemise sous l'armure et d'une paire de pantalons se tient à un endroit dans un bowling.")</f>
        <v>Une image immobile d'un homme vêtu d'une chemise sous l'armure et d'une paire de pantalons se tient à un endroit dans un bowling.</v>
      </c>
    </row>
    <row r="35890">
      <c r="A35890" s="4" t="s">
        <v>45144</v>
      </c>
      <c r="B35890" s="4" t="s">
        <v>45146</v>
      </c>
      <c r="C35890" s="5" t="str">
        <f>IFERROR(__xludf.DUMMYFUNCTION("GOOGLETRANSLATE(B35890,""en"",""fr"")"),"L'homme bouge enfin et jette le ballon dans la ruelle.")</f>
        <v>L'homme bouge enfin et jette le ballon dans la ruelle.</v>
      </c>
    </row>
    <row r="35891">
      <c r="A35891" s="4" t="s">
        <v>45144</v>
      </c>
      <c r="B35891" s="6" t="s">
        <v>45147</v>
      </c>
      <c r="C35891" s="5" t="str">
        <f>IFERROR(__xludf.DUMMYFUNCTION("GOOGLETRANSLATE(B35891,""en"",""fr"")"),"Après, une rediffusion instantanée est montrée de la vidéo hachée et vissée avec un cercle mettant en évidence la balle avant qu'elle ne soit jetée dans la voie.")</f>
        <v>Après, une rediffusion instantanée est montrée de la vidéo hachée et vissée avec un cercle mettant en évidence la balle avant qu'elle ne soit jetée dans la voie.</v>
      </c>
    </row>
    <row r="35892">
      <c r="A35892" s="4" t="s">
        <v>45148</v>
      </c>
      <c r="B35892" s="6" t="s">
        <v>45149</v>
      </c>
      <c r="C35892" s="5" t="str">
        <f>IFERROR(__xludf.DUMMYFUNCTION("GOOGLETRANSLATE(B35892,""en"",""fr"")"),"Une femme montre comment faire des sites, dans une salle de gym, en utilisant une femme qui simule l'exercice à titre d'exemple.")</f>
        <v>Une femme montre comment faire des sites, dans une salle de gym, en utilisant une femme qui simule l'exercice à titre d'exemple.</v>
      </c>
    </row>
    <row r="35893">
      <c r="A35893" s="4" t="s">
        <v>45148</v>
      </c>
      <c r="B35893" s="4" t="s">
        <v>45150</v>
      </c>
      <c r="C35893" s="5" t="str">
        <f>IFERROR(__xludf.DUMMYFUNCTION("GOOGLETRANSLATE(B35893,""en"",""fr"")"),"Une femme s'agenouille sur les planchers de bois franc d'une salle de gym et parle à la caméra.")</f>
        <v>Une femme s'agenouille sur les planchers de bois franc d'une salle de gym et parle à la caméra.</v>
      </c>
    </row>
    <row r="35894">
      <c r="A35894" s="4" t="s">
        <v>45148</v>
      </c>
      <c r="B35894" s="6" t="s">
        <v>45151</v>
      </c>
      <c r="C35894" s="5" t="str">
        <f>IFERROR(__xludf.DUMMYFUNCTION("GOOGLETRANSLATE(B35894,""en"",""fr"")"),"La caméra se déroule et une autre femme est révélée allongée sur son dos sur un tapis de gym alors que la femme à genoux au-dessus d'elle continue de parler.")</f>
        <v>La caméra se déroule et une autre femme est révélée allongée sur son dos sur un tapis de gym alors que la femme à genoux au-dessus d'elle continue de parler.</v>
      </c>
    </row>
    <row r="35895">
      <c r="A35895" s="4" t="s">
        <v>45148</v>
      </c>
      <c r="B35895" s="6" t="s">
        <v>45152</v>
      </c>
      <c r="C35895" s="5" t="str">
        <f>IFERROR(__xludf.DUMMYFUNCTION("GOOGLETRANSLATE(B35895,""en"",""fr"")"),"La femme allongée montre comment s'asseoir et l'autre femme continue de parler parfois en touchant l'estomac de l'autre femme.")</f>
        <v>La femme allongée montre comment s'asseoir et l'autre femme continue de parler parfois en touchant l'estomac de l'autre femme.</v>
      </c>
    </row>
    <row r="35896">
      <c r="A35896" s="4" t="s">
        <v>45153</v>
      </c>
      <c r="B35896" s="4" t="s">
        <v>45154</v>
      </c>
      <c r="C35896" s="5" t="str">
        <f>IFERROR(__xludf.DUMMYFUNCTION("GOOGLETRANSLATE(B35896,""en"",""fr"")"),"Une personne est vue debout au milieu d'un cercle jetant une discussion au loin.")</f>
        <v>Une personne est vue debout au milieu d'un cercle jetant une discussion au loin.</v>
      </c>
    </row>
    <row r="35897">
      <c r="A35897" s="4" t="s">
        <v>45153</v>
      </c>
      <c r="B35897" s="4" t="s">
        <v>45155</v>
      </c>
      <c r="C35897" s="5" t="str">
        <f>IFERROR(__xludf.DUMMYFUNCTION("GOOGLETRANSLATE(B35897,""en"",""fr"")"),"L'homme revient plusieurs fois et est montré en continuant à lancer l'objet.")</f>
        <v>L'homme revient plusieurs fois et est montré en continuant à lancer l'objet.</v>
      </c>
    </row>
    <row r="35898">
      <c r="A35898" s="4" t="s">
        <v>45153</v>
      </c>
      <c r="B35898" s="4" t="s">
        <v>45156</v>
      </c>
      <c r="C35898" s="5" t="str">
        <f>IFERROR(__xludf.DUMMYFUNCTION("GOOGLETRANSLATE(B35898,""en"",""fr"")"),"L'homme continue de tourner tout en jetant l'objet au loin.")</f>
        <v>L'homme continue de tourner tout en jetant l'objet au loin.</v>
      </c>
    </row>
    <row r="35899">
      <c r="A35899" s="4" t="s">
        <v>45157</v>
      </c>
      <c r="B35899" s="4" t="s">
        <v>45158</v>
      </c>
      <c r="C35899" s="5" t="str">
        <f>IFERROR(__xludf.DUMMYFUNCTION("GOOGLETRANSLATE(B35899,""en"",""fr"")"),"Deux hommes se tiennent dans une salle d'audience en jouant à la courge.")</f>
        <v>Deux hommes se tiennent dans une salle d'audience en jouant à la courge.</v>
      </c>
    </row>
    <row r="35900">
      <c r="A35900" s="4" t="s">
        <v>45157</v>
      </c>
      <c r="B35900" s="4" t="s">
        <v>45159</v>
      </c>
      <c r="C35900" s="5" t="str">
        <f>IFERROR(__xludf.DUMMYFUNCTION("GOOGLETRANSLATE(B35900,""en"",""fr"")"),"L'homme porte une chemise blanche debout dans une salle d'audience.")</f>
        <v>L'homme porte une chemise blanche debout dans une salle d'audience.</v>
      </c>
    </row>
    <row r="35901">
      <c r="A35901" s="4" t="s">
        <v>45157</v>
      </c>
      <c r="B35901" s="4" t="s">
        <v>45160</v>
      </c>
      <c r="C35901" s="5" t="str">
        <f>IFERROR(__xludf.DUMMYFUNCTION("GOOGLETRANSLATE(B35901,""en"",""fr"")"),"Les hommes se tiennent dans une salle d'audience derrière des portes transparentes.")</f>
        <v>Les hommes se tiennent dans une salle d'audience derrière des portes transparentes.</v>
      </c>
    </row>
    <row r="35902">
      <c r="A35902" s="4" t="s">
        <v>45161</v>
      </c>
      <c r="B35902" s="6" t="s">
        <v>45162</v>
      </c>
      <c r="C35902" s="5" t="str">
        <f>IFERROR(__xludf.DUMMYFUNCTION("GOOGLETRANSLATE(B35902,""en"",""fr"")"),"Un petit garçon se tient à l'extérieur sur le trottoir, il a les bras derrière son dos en tenant quelque chose.")</f>
        <v>Un petit garçon se tient à l'extérieur sur le trottoir, il a les bras derrière son dos en tenant quelque chose.</v>
      </c>
    </row>
    <row r="35903">
      <c r="A35903" s="4" t="s">
        <v>45161</v>
      </c>
      <c r="B35903" s="4" t="s">
        <v>45163</v>
      </c>
      <c r="C35903" s="5" t="str">
        <f>IFERROR(__xludf.DUMMYFUNCTION("GOOGLETRANSLATE(B35903,""en"",""fr"")"),"Ensuite, de nulle part commence à tourner la chose dans sa main, ça a l'air vraiment dangereux.")</f>
        <v>Ensuite, de nulle part commence à tourner la chose dans sa main, ça a l'air vraiment dangereux.</v>
      </c>
    </row>
    <row r="35904">
      <c r="A35904" s="4" t="s">
        <v>45161</v>
      </c>
      <c r="B35904" s="4" t="s">
        <v>45164</v>
      </c>
      <c r="C35904" s="5" t="str">
        <f>IFERROR(__xludf.DUMMYFUNCTION("GOOGLETRANSLATE(B35904,""en"",""fr"")"),"Il commence à le tourner quand il attrape beaucoup de vitesse.")</f>
        <v>Il commence à le tourner quand il attrape beaucoup de vitesse.</v>
      </c>
    </row>
    <row r="35905">
      <c r="A35905" s="4" t="s">
        <v>45161</v>
      </c>
      <c r="B35905" s="4" t="s">
        <v>45165</v>
      </c>
      <c r="C35905" s="5" t="str">
        <f>IFERROR(__xludf.DUMMYFUNCTION("GOOGLETRANSLATE(B35905,""en"",""fr"")"),"Puis il perd soudain le contrôle de cela et il finit par tomber au sol.")</f>
        <v>Puis il perd soudain le contrôle de cela et il finit par tomber au sol.</v>
      </c>
    </row>
    <row r="35906">
      <c r="A35906" s="4" t="s">
        <v>45166</v>
      </c>
      <c r="B35906" s="4" t="s">
        <v>45167</v>
      </c>
      <c r="C35906" s="5" t="str">
        <f>IFERROR(__xludf.DUMMYFUNCTION("GOOGLETRANSLATE(B35906,""en"",""fr"")"),"Un homme portant une chemise rouge décore un arbre de Noël.")</f>
        <v>Un homme portant une chemise rouge décore un arbre de Noël.</v>
      </c>
    </row>
    <row r="35907">
      <c r="A35907" s="4" t="s">
        <v>45166</v>
      </c>
      <c r="B35907" s="4" t="s">
        <v>45168</v>
      </c>
      <c r="C35907" s="5" t="str">
        <f>IFERROR(__xludf.DUMMYFUNCTION("GOOGLETRANSLATE(B35907,""en"",""fr"")"),"Il utilise des lumières blanches pour enrouler l'arbre pour le décorer.")</f>
        <v>Il utilise des lumières blanches pour enrouler l'arbre pour le décorer.</v>
      </c>
    </row>
    <row r="35908">
      <c r="A35908" s="4" t="s">
        <v>45166</v>
      </c>
      <c r="B35908" s="4" t="s">
        <v>45169</v>
      </c>
      <c r="C35908" s="5" t="str">
        <f>IFERROR(__xludf.DUMMYFUNCTION("GOOGLETRANSLATE(B35908,""en"",""fr"")"),"Il fait le tour de l'arbre plusieurs fois.")</f>
        <v>Il fait le tour de l'arbre plusieurs fois.</v>
      </c>
    </row>
    <row r="35909">
      <c r="A35909" s="4" t="s">
        <v>45166</v>
      </c>
      <c r="B35909" s="4" t="s">
        <v>45170</v>
      </c>
      <c r="C35909" s="5" t="str">
        <f>IFERROR(__xludf.DUMMYFUNCTION("GOOGLETRANSLATE(B35909,""en"",""fr"")"),"Puis il prend une guirlande de couleur dorée et enveloppe l'arbre.")</f>
        <v>Puis il prend une guirlande de couleur dorée et enveloppe l'arbre.</v>
      </c>
    </row>
    <row r="35910">
      <c r="A35910" s="4" t="s">
        <v>45166</v>
      </c>
      <c r="B35910" s="4" t="s">
        <v>45171</v>
      </c>
      <c r="C35910" s="5" t="str">
        <f>IFERROR(__xludf.DUMMYFUNCTION("GOOGLETRANSLATE(B35910,""en"",""fr"")"),"Puis il allume les lumières pour éclairer l'arbre.")</f>
        <v>Puis il allume les lumières pour éclairer l'arbre.</v>
      </c>
    </row>
    <row r="35911">
      <c r="A35911" s="4" t="s">
        <v>45166</v>
      </c>
      <c r="B35911" s="4" t="s">
        <v>45172</v>
      </c>
      <c r="C35911" s="5" t="str">
        <f>IFERROR(__xludf.DUMMYFUNCTION("GOOGLETRANSLATE(B35911,""en"",""fr"")"),"Il se tient ensuite à part l'arbre, pointant vers lui après que les lumières s'allument.")</f>
        <v>Il se tient ensuite à part l'arbre, pointant vers lui après que les lumières s'allument.</v>
      </c>
    </row>
    <row r="35912">
      <c r="A35912" s="4" t="s">
        <v>45173</v>
      </c>
      <c r="B35912" s="4" t="s">
        <v>45174</v>
      </c>
      <c r="C35912" s="5" t="str">
        <f>IFERROR(__xludf.DUMMYFUNCTION("GOOGLETRANSLATE(B35912,""en"",""fr"")"),"Un homme utilise un tuyau pour vaporiser quelque chose verticalement sur un mur en bois.")</f>
        <v>Un homme utilise un tuyau pour vaporiser quelque chose verticalement sur un mur en bois.</v>
      </c>
    </row>
    <row r="35913">
      <c r="A35913" s="4" t="s">
        <v>45173</v>
      </c>
      <c r="B35913" s="4" t="s">
        <v>45175</v>
      </c>
      <c r="C35913" s="5" t="str">
        <f>IFERROR(__xludf.DUMMYFUNCTION("GOOGLETRANSLATE(B35913,""en"",""fr"")"),"L'homme change pour pulvériser horizontalement sur le mur.")</f>
        <v>L'homme change pour pulvériser horizontalement sur le mur.</v>
      </c>
    </row>
    <row r="35914">
      <c r="A35914" s="4" t="s">
        <v>45173</v>
      </c>
      <c r="B35914" s="4" t="s">
        <v>45176</v>
      </c>
      <c r="C35914" s="5" t="str">
        <f>IFERROR(__xludf.DUMMYFUNCTION("GOOGLETRANSLATE(B35914,""en"",""fr"")"),"L'homme manipule la pointe de la buse de pulvérisation.")</f>
        <v>L'homme manipule la pointe de la buse de pulvérisation.</v>
      </c>
    </row>
    <row r="35915">
      <c r="A35915" s="4" t="s">
        <v>45177</v>
      </c>
      <c r="B35915" s="6" t="s">
        <v>45178</v>
      </c>
      <c r="C35915" s="5" t="str">
        <f>IFERROR(__xludf.DUMMYFUNCTION("GOOGLETRANSLATE(B35915,""en"",""fr"")"),"Il y a une gymnaste fille vêtue de justaucorps bleus brillants en gymnastique sur un bar à chevaux devant de nombreux spectateurs dans un grand gymnase.")</f>
        <v>Il y a une gymnaste fille vêtue de justaucorps bleus brillants en gymnastique sur un bar à chevaux devant de nombreux spectateurs dans un grand gymnase.</v>
      </c>
    </row>
    <row r="35916">
      <c r="A35916" s="4" t="s">
        <v>45177</v>
      </c>
      <c r="B35916" s="4" t="s">
        <v>45179</v>
      </c>
      <c r="C35916" s="5" t="str">
        <f>IFERROR(__xludf.DUMMYFUNCTION("GOOGLETRANSLATE(B35916,""en"",""fr"")"),"Elle monte sur la barre de cheval et commence à faire des retournements avant et des flips arrière.")</f>
        <v>Elle monte sur la barre de cheval et commence à faire des retournements avant et des flips arrière.</v>
      </c>
    </row>
    <row r="35917">
      <c r="A35917" s="4" t="s">
        <v>45177</v>
      </c>
      <c r="B35917" s="4" t="s">
        <v>45180</v>
      </c>
      <c r="C35917" s="5" t="str">
        <f>IFERROR(__xludf.DUMMYFUNCTION("GOOGLETRANSLATE(B35917,""en"",""fr"")"),"Ensuite, elle tourne les dos tordus tout en atterrissant en toute sécurité sur la barre de cheval.")</f>
        <v>Ensuite, elle tourne les dos tordus tout en atterrissant en toute sécurité sur la barre de cheval.</v>
      </c>
    </row>
    <row r="35918">
      <c r="A35918" s="4" t="s">
        <v>45177</v>
      </c>
      <c r="B35918" s="6" t="s">
        <v>45181</v>
      </c>
      <c r="C35918" s="5" t="str">
        <f>IFERROR(__xludf.DUMMYFUNCTION("GOOGLETRANSLATE(B35918,""en"",""fr"")"),"Elle continue ses mouvements de gymnastique, puis saute en toute sécurité de la barre de cheval et atterrit sur le sol.")</f>
        <v>Elle continue ses mouvements de gymnastique, puis saute en toute sécurité de la barre de cheval et atterrit sur le sol.</v>
      </c>
    </row>
    <row r="35919">
      <c r="A35919" s="4" t="s">
        <v>45177</v>
      </c>
      <c r="B35919" s="4" t="s">
        <v>45182</v>
      </c>
      <c r="C35919" s="5" t="str">
        <f>IFERROR(__xludf.DUMMYFUNCTION("GOOGLETRANSLATE(B35919,""en"",""fr"")"),"Après avoir quitté le bar, elle part et embrasse son entraîneur.")</f>
        <v>Après avoir quitté le bar, elle part et embrasse son entraîneur.</v>
      </c>
    </row>
    <row r="35920">
      <c r="A35920" s="4" t="s">
        <v>45177</v>
      </c>
      <c r="B35920" s="6" t="s">
        <v>45183</v>
      </c>
      <c r="C35920" s="5" t="str">
        <f>IFERROR(__xludf.DUMMYFUNCTION("GOOGLETRANSLATE(B35920,""en"",""fr"")"),"Les actions au ralenti de ses mouvements de gymnastique sont rejouées pour montrer comment elle a atterri sur le sol depuis le bar à cheval.")</f>
        <v>Les actions au ralenti de ses mouvements de gymnastique sont rejouées pour montrer comment elle a atterri sur le sol depuis le bar à cheval.</v>
      </c>
    </row>
    <row r="35921">
      <c r="A35921" s="4" t="s">
        <v>45177</v>
      </c>
      <c r="B35921" s="4" t="s">
        <v>45184</v>
      </c>
      <c r="C35921" s="5" t="str">
        <f>IFERROR(__xludf.DUMMYFUNCTION("GOOGLETRANSLATE(B35921,""en"",""fr"")"),"Ensuite, le gymnaste passe devant le lieu où le panel de juges est assis.")</f>
        <v>Ensuite, le gymnaste passe devant le lieu où le panel de juges est assis.</v>
      </c>
    </row>
    <row r="35922">
      <c r="A35922" s="4" t="s">
        <v>45185</v>
      </c>
      <c r="B35922" s="4" t="s">
        <v>45186</v>
      </c>
      <c r="C35922" s="5" t="str">
        <f>IFERROR(__xludf.DUMMYFUNCTION("GOOGLETRANSLATE(B35922,""en"",""fr"")"),"Une femme est vue assise sur un rocher et saisissant la lessive d'un seau.")</f>
        <v>Une femme est vue assise sur un rocher et saisissant la lessive d'un seau.</v>
      </c>
    </row>
    <row r="35923">
      <c r="A35923" s="4" t="s">
        <v>45185</v>
      </c>
      <c r="B35923" s="4" t="s">
        <v>45187</v>
      </c>
      <c r="C35923" s="5" t="str">
        <f>IFERROR(__xludf.DUMMYFUNCTION("GOOGLETRANSLATE(B35923,""en"",""fr"")"),"Elle frotte ensuite les vêtements avec un chiffon tout en souriant à la caméra.")</f>
        <v>Elle frotte ensuite les vêtements avec un chiffon tout en souriant à la caméra.</v>
      </c>
    </row>
    <row r="35924">
      <c r="A35924" s="4" t="s">
        <v>45185</v>
      </c>
      <c r="B35924" s="4" t="s">
        <v>45188</v>
      </c>
      <c r="C35924" s="5" t="str">
        <f>IFERROR(__xludf.DUMMYFUNCTION("GOOGLETRANSLATE(B35924,""en"",""fr"")"),"Elle continue de nettoyer le tissu en le frappant au ciment et en le lavant avec de l'eau.")</f>
        <v>Elle continue de nettoyer le tissu en le frappant au ciment et en le lavant avec de l'eau.</v>
      </c>
    </row>
    <row r="35925">
      <c r="A35925" s="4" t="s">
        <v>45189</v>
      </c>
      <c r="B35925" s="4" t="s">
        <v>45190</v>
      </c>
      <c r="C35925" s="5" t="str">
        <f>IFERROR(__xludf.DUMMYFUNCTION("GOOGLETRANSLATE(B35925,""en"",""fr"")"),"Un hélicoptère est vu conduire au-dessus d'un océan où les gens surfent.")</f>
        <v>Un hélicoptère est vu conduire au-dessus d'un océan où les gens surfent.</v>
      </c>
    </row>
    <row r="35926">
      <c r="A35926" s="4" t="s">
        <v>45189</v>
      </c>
      <c r="B35926" s="4" t="s">
        <v>45191</v>
      </c>
      <c r="C35926" s="5" t="str">
        <f>IFERROR(__xludf.DUMMYFUNCTION("GOOGLETRANSLATE(B35926,""en"",""fr"")"),"Plusieurs plans sont montrés de personnes qui roulent le long de l'eau et d'autres personnes assises.")</f>
        <v>Plusieurs plans sont montrés de personnes qui roulent le long de l'eau et d'autres personnes assises.</v>
      </c>
    </row>
    <row r="35927">
      <c r="A35927" s="4" t="s">
        <v>45189</v>
      </c>
      <c r="B35927" s="4" t="s">
        <v>45192</v>
      </c>
      <c r="C35927" s="5" t="str">
        <f>IFERROR(__xludf.DUMMYFUNCTION("GOOGLETRANSLATE(B35927,""en"",""fr"")"),"Les gens continuent de rouler le long de l'eau pendant que l'hélicoptère monte.")</f>
        <v>Les gens continuent de rouler le long de l'eau pendant que l'hélicoptère monte.</v>
      </c>
    </row>
    <row r="35928">
      <c r="A35928" s="4" t="s">
        <v>45193</v>
      </c>
      <c r="B35928" s="6" t="s">
        <v>45194</v>
      </c>
      <c r="C35928" s="5" t="str">
        <f>IFERROR(__xludf.DUMMYFUNCTION("GOOGLETRANSLATE(B35928,""en"",""fr"")"),"Les jeunes garçons sont montrés en jouant au ping-pong les uns avec les autres dans un grand gymnase en servant l'un après l'autre.")</f>
        <v>Les jeunes garçons sont montrés en jouant au ping-pong les uns avec les autres dans un grand gymnase en servant l'un après l'autre.</v>
      </c>
    </row>
    <row r="35929">
      <c r="A35929" s="4" t="s">
        <v>45193</v>
      </c>
      <c r="B35929" s="6" t="s">
        <v>45195</v>
      </c>
      <c r="C35929" s="5" t="str">
        <f>IFERROR(__xludf.DUMMYFUNCTION("GOOGLETRANSLATE(B35929,""en"",""fr"")"),"Un autre garçon s'approche de la table et commence à jouer avec les autres garçons, qui se transforme ensuite en deux contre deux jeux de ping-pong.")</f>
        <v>Un autre garçon s'approche de la table et commence à jouer avec les autres garçons, qui se transforme ensuite en deux contre deux jeux de ping-pong.</v>
      </c>
    </row>
    <row r="35930">
      <c r="A35930" s="4" t="s">
        <v>45193</v>
      </c>
      <c r="B35930" s="4" t="s">
        <v>45196</v>
      </c>
      <c r="C35930" s="5" t="str">
        <f>IFERROR(__xludf.DUMMYFUNCTION("GOOGLETRANSLATE(B35930,""en"",""fr"")"),"Les garçons servent à tour de rôle des points de marque au hasard.")</f>
        <v>Les garçons servent à tour de rôle des points de marque au hasard.</v>
      </c>
    </row>
    <row r="35931">
      <c r="A35931" s="4" t="s">
        <v>45193</v>
      </c>
      <c r="B35931" s="6" t="s">
        <v>45197</v>
      </c>
      <c r="C35931" s="5" t="str">
        <f>IFERROR(__xludf.DUMMYFUNCTION("GOOGLETRANSLATE(B35931,""en"",""fr"")"),"Le garçon qui a été montré pour la première fois joue maintenant un troisième match qui est maintenu par un officiel et marque les 4 premiers points.")</f>
        <v>Le garçon qui a été montré pour la première fois joue maintenant un troisième match qui est maintenu par un officiel et marque les 4 premiers points.</v>
      </c>
    </row>
    <row r="35932">
      <c r="A35932" s="4" t="s">
        <v>45193</v>
      </c>
      <c r="B35932" s="6" t="s">
        <v>45198</v>
      </c>
      <c r="C35932" s="5" t="str">
        <f>IFERROR(__xludf.DUMMYFUNCTION("GOOGLETRANSLATE(B35932,""en"",""fr"")"),"Le garçon joue encore un autre tournoi avec un enfant différent à Ping Pong et semble éventuellement prendre un peu de retard.")</f>
        <v>Le garçon joue encore un autre tournoi avec un enfant différent à Ping Pong et semble éventuellement prendre un peu de retard.</v>
      </c>
    </row>
    <row r="35933">
      <c r="A35933" s="4" t="s">
        <v>45199</v>
      </c>
      <c r="B35933" s="4" t="s">
        <v>45200</v>
      </c>
      <c r="C35933" s="5" t="str">
        <f>IFERROR(__xludf.DUMMYFUNCTION("GOOGLETRANSLATE(B35933,""en"",""fr"")"),"Un homme montre sa moto.")</f>
        <v>Un homme montre sa moto.</v>
      </c>
    </row>
    <row r="35934">
      <c r="A35934" s="4" t="s">
        <v>45199</v>
      </c>
      <c r="B35934" s="4" t="s">
        <v>45201</v>
      </c>
      <c r="C35934" s="5" t="str">
        <f>IFERROR(__xludf.DUMMYFUNCTION("GOOGLETRANSLATE(B35934,""en"",""fr"")"),"Il donne d'abord une petite conversation sur son vélo.")</f>
        <v>Il donne d'abord une petite conversation sur son vélo.</v>
      </c>
    </row>
    <row r="35935">
      <c r="A35935" s="4" t="s">
        <v>45199</v>
      </c>
      <c r="B35935" s="4" t="s">
        <v>45202</v>
      </c>
      <c r="C35935" s="5" t="str">
        <f>IFERROR(__xludf.DUMMYFUNCTION("GOOGLETRANSLATE(B35935,""en"",""fr"")"),"Puis il conduit son vélo sur la piste.")</f>
        <v>Puis il conduit son vélo sur la piste.</v>
      </c>
    </row>
    <row r="35936">
      <c r="A35936" s="4" t="s">
        <v>45199</v>
      </c>
      <c r="B35936" s="4" t="s">
        <v>45203</v>
      </c>
      <c r="C35936" s="5" t="str">
        <f>IFERROR(__xludf.DUMMYFUNCTION("GOOGLETRANSLATE(B35936,""en"",""fr"")"),"Il fait ensuite des démonstrations rapides sur la façon dont son vélo se déplace et comment il se trouve.")</f>
        <v>Il fait ensuite des démonstrations rapides sur la façon dont son vélo se déplace et comment il se trouve.</v>
      </c>
    </row>
    <row r="35937">
      <c r="A35937" s="4" t="s">
        <v>45199</v>
      </c>
      <c r="B35937" s="4" t="s">
        <v>45204</v>
      </c>
      <c r="C35937" s="5" t="str">
        <f>IFERROR(__xludf.DUMMYFUNCTION("GOOGLETRANSLATE(B35937,""en"",""fr"")"),"Il parle ensuite davantage de son vélo alors qu'il était assis sur son vélo.")</f>
        <v>Il parle ensuite davantage de son vélo alors qu'il était assis sur son vélo.</v>
      </c>
    </row>
    <row r="35938">
      <c r="A35938" s="4" t="s">
        <v>45199</v>
      </c>
      <c r="B35938" s="6" t="s">
        <v>45205</v>
      </c>
      <c r="C35938" s="5" t="str">
        <f>IFERROR(__xludf.DUMMYFUNCTION("GOOGLETRANSLATE(B35938,""en"",""fr"")"),"Il roule ensuite autour d'un piste de terre plate tout en coupant plusieurs fois à ses discussions décrivant ses techniques.")</f>
        <v>Il roule ensuite autour d'un piste de terre plate tout en coupant plusieurs fois à ses discussions décrivant ses techniques.</v>
      </c>
    </row>
    <row r="35939">
      <c r="A35939" s="4" t="s">
        <v>45199</v>
      </c>
      <c r="B35939" s="4" t="s">
        <v>45206</v>
      </c>
      <c r="C35939" s="5" t="str">
        <f>IFERROR(__xludf.DUMMYFUNCTION("GOOGLETRANSLATE(B35939,""en"",""fr"")"),"Il finit par parler de son vélo encore plus.")</f>
        <v>Il finit par parler de son vélo encore plus.</v>
      </c>
    </row>
    <row r="35940">
      <c r="A35940" s="4" t="s">
        <v>45207</v>
      </c>
      <c r="B35940" s="4" t="s">
        <v>45208</v>
      </c>
      <c r="C35940" s="5" t="str">
        <f>IFERROR(__xludf.DUMMYFUNCTION("GOOGLETRANSLATE(B35940,""en"",""fr"")"),"Un nageur prépare une paire de lunettes à se préparer.")</f>
        <v>Un nageur prépare une paire de lunettes à se préparer.</v>
      </c>
    </row>
    <row r="35941">
      <c r="A35941" s="4" t="s">
        <v>45207</v>
      </c>
      <c r="B35941" s="6" t="s">
        <v>45209</v>
      </c>
      <c r="C35941" s="5" t="str">
        <f>IFERROR(__xludf.DUMMYFUNCTION("GOOGLETRANSLATE(B35941,""en"",""fr"")"),"Le nageur tire un muscle dans la piscine et saute sur le pont de la piscine et étire sa jambe.")</f>
        <v>Le nageur tire un muscle dans la piscine et saute sur le pont de la piscine et étire sa jambe.</v>
      </c>
    </row>
    <row r="35942">
      <c r="A35942" s="4" t="s">
        <v>45207</v>
      </c>
      <c r="B35942" s="4" t="s">
        <v>45210</v>
      </c>
      <c r="C35942" s="5" t="str">
        <f>IFERROR(__xludf.DUMMYFUNCTION("GOOGLETRANSLATE(B35942,""en"",""fr"")"),"Un nageur plonge d'une planche dans l'eau avec une éclaboussure.")</f>
        <v>Un nageur plonge d'une planche dans l'eau avec une éclaboussure.</v>
      </c>
    </row>
    <row r="35943">
      <c r="A35943" s="4" t="s">
        <v>45207</v>
      </c>
      <c r="B35943" s="4" t="s">
        <v>45211</v>
      </c>
      <c r="C35943" s="5" t="str">
        <f>IFERROR(__xludf.DUMMYFUNCTION("GOOGLETRANSLATE(B35943,""en"",""fr"")"),"L'athlète nage dans une voie et se tire avec la ligne flottante.")</f>
        <v>L'athlète nage dans une voie et se tire avec la ligne flottante.</v>
      </c>
    </row>
    <row r="35944">
      <c r="A35944" s="4" t="s">
        <v>45207</v>
      </c>
      <c r="B35944" s="4" t="s">
        <v>45212</v>
      </c>
      <c r="C35944" s="5" t="str">
        <f>IFERROR(__xludf.DUMMYFUNCTION("GOOGLETRANSLATE(B35944,""en"",""fr"")"),"Le nageur nage sous l'eau et repousse le plancher de la piscine.")</f>
        <v>Le nageur nage sous l'eau et repousse le plancher de la piscine.</v>
      </c>
    </row>
    <row r="35945">
      <c r="A35945" s="4" t="s">
        <v>45207</v>
      </c>
      <c r="B35945" s="4" t="s">
        <v>45213</v>
      </c>
      <c r="C35945" s="5" t="str">
        <f>IFERROR(__xludf.DUMMYFUNCTION("GOOGLETRANSLATE(B35945,""en"",""fr"")"),"Le nageur fait un coup de papillon dans la voie de la piscine.")</f>
        <v>Le nageur fait un coup de papillon dans la voie de la piscine.</v>
      </c>
    </row>
    <row r="35946">
      <c r="A35946" s="4" t="s">
        <v>45214</v>
      </c>
      <c r="B35946" s="4" t="s">
        <v>45215</v>
      </c>
      <c r="C35946" s="5" t="str">
        <f>IFERROR(__xludf.DUMMYFUNCTION("GOOGLETRANSLATE(B35946,""en"",""fr"")"),"Un gymnaste saute sur un cheval de couple.")</f>
        <v>Un gymnaste saute sur un cheval de couple.</v>
      </c>
    </row>
    <row r="35947">
      <c r="A35947" s="4" t="s">
        <v>45214</v>
      </c>
      <c r="B35947" s="6" t="s">
        <v>45216</v>
      </c>
      <c r="C35947" s="5" t="str">
        <f>IFERROR(__xludf.DUMMYFUNCTION("GOOGLETRANSLATE(B35947,""en"",""fr"")"),"La gymnaste effectue de nombreuses tours autour du cheval alors qu'il tient les deux barres sur le cheval Pummel.")</f>
        <v>La gymnaste effectue de nombreuses tours autour du cheval alors qu'il tient les deux barres sur le cheval Pummel.</v>
      </c>
    </row>
    <row r="35948">
      <c r="A35948" s="4" t="s">
        <v>45214</v>
      </c>
      <c r="B35948" s="4" t="s">
        <v>45217</v>
      </c>
      <c r="C35948" s="5" t="str">
        <f>IFERROR(__xludf.DUMMYFUNCTION("GOOGLETRANSLATE(B35948,""en"",""fr"")"),"Quelques juges regardent.")</f>
        <v>Quelques juges regardent.</v>
      </c>
    </row>
    <row r="35949">
      <c r="A35949" s="4" t="s">
        <v>45214</v>
      </c>
      <c r="B35949" s="4" t="s">
        <v>45218</v>
      </c>
      <c r="C35949" s="5" t="str">
        <f>IFERROR(__xludf.DUMMYFUNCTION("GOOGLETRANSLATE(B35949,""en"",""fr"")"),"Le gymnaste saute du cheval Pummel.")</f>
        <v>Le gymnaste saute du cheval Pummel.</v>
      </c>
    </row>
    <row r="35950">
      <c r="A35950" s="4" t="s">
        <v>45219</v>
      </c>
      <c r="B35950" s="6" t="s">
        <v>45220</v>
      </c>
      <c r="C35950" s="5" t="str">
        <f>IFERROR(__xludf.DUMMYFUNCTION("GOOGLETRANSLATE(B35950,""en"",""fr"")"),"Une gymnaste est vue sauter sur un ensemble de barres inégales et effectue une routine de gymnastique devant une grande foule.")</f>
        <v>Une gymnaste est vue sauter sur un ensemble de barres inégales et effectue une routine de gymnastique devant une grande foule.</v>
      </c>
    </row>
    <row r="35951">
      <c r="A35951" s="4" t="s">
        <v>45219</v>
      </c>
      <c r="B35951" s="6" t="s">
        <v>45221</v>
      </c>
      <c r="C35951" s="5" t="str">
        <f>IFERROR(__xludf.DUMMYFUNCTION("GOOGLETRANSLATE(B35951,""en"",""fr"")"),"L'homme se retourne autour des poutres et se termine avec lui sautant avec les bras vers le haut et agitant la foule.")</f>
        <v>L'homme se retourne autour des poutres et se termine avec lui sautant avec les bras vers le haut et agitant la foule.</v>
      </c>
    </row>
    <row r="35952">
      <c r="A35952" s="4" t="s">
        <v>45222</v>
      </c>
      <c r="B35952" s="4" t="s">
        <v>45223</v>
      </c>
      <c r="C35952" s="5" t="str">
        <f>IFERROR(__xludf.DUMMYFUNCTION("GOOGLETRANSLATE(B35952,""en"",""fr"")"),"Une femme portant un chapeau est vue assise derrière un grand ensemble de tambours de bongo.")</f>
        <v>Une femme portant un chapeau est vue assise derrière un grand ensemble de tambours de bongo.</v>
      </c>
    </row>
    <row r="35953">
      <c r="A35953" s="4" t="s">
        <v>45222</v>
      </c>
      <c r="B35953" s="4" t="s">
        <v>45224</v>
      </c>
      <c r="C35953" s="5" t="str">
        <f>IFERROR(__xludf.DUMMYFUNCTION("GOOGLETRANSLATE(B35953,""en"",""fr"")"),"La femme joue continuellement à la batterie.")</f>
        <v>La femme joue continuellement à la batterie.</v>
      </c>
    </row>
    <row r="35954">
      <c r="A35954" s="4" t="s">
        <v>45222</v>
      </c>
      <c r="B35954" s="4" t="s">
        <v>45225</v>
      </c>
      <c r="C35954" s="5" t="str">
        <f>IFERROR(__xludf.DUMMYFUNCTION("GOOGLETRANSLATE(B35954,""en"",""fr"")"),"La femme continue de frapper la batterie et se termine en pointant la caméra et en se levant.")</f>
        <v>La femme continue de frapper la batterie et se termine en pointant la caméra et en se levant.</v>
      </c>
    </row>
    <row r="35955">
      <c r="A35955" s="4" t="s">
        <v>45226</v>
      </c>
      <c r="B35955" s="4" t="s">
        <v>45227</v>
      </c>
      <c r="C35955" s="5" t="str">
        <f>IFERROR(__xludf.DUMMYFUNCTION("GOOGLETRANSLATE(B35955,""en"",""fr"")"),"Une fille traverse un ensemble de bars de singe.")</f>
        <v>Une fille traverse un ensemble de bars de singe.</v>
      </c>
    </row>
    <row r="35956">
      <c r="A35956" s="4" t="s">
        <v>45226</v>
      </c>
      <c r="B35956" s="4" t="s">
        <v>45228</v>
      </c>
      <c r="C35956" s="5" t="str">
        <f>IFERROR(__xludf.DUMMYFUNCTION("GOOGLETRANSLATE(B35956,""en"",""fr"")"),"Elle arrive à la fin et se dresse sur une planche en bois.")</f>
        <v>Elle arrive à la fin et se dresse sur une planche en bois.</v>
      </c>
    </row>
    <row r="35957">
      <c r="A35957" s="4" t="s">
        <v>45226</v>
      </c>
      <c r="B35957" s="4" t="s">
        <v>45229</v>
      </c>
      <c r="C35957" s="5" t="str">
        <f>IFERROR(__xludf.DUMMYFUNCTION("GOOGLETRANSLATE(B35957,""en"",""fr"")"),"Elle remonte ensuite les barres de singe dans l'autre sens.")</f>
        <v>Elle remonte ensuite les barres de singe dans l'autre sens.</v>
      </c>
    </row>
    <row r="35958">
      <c r="A35958" s="4" t="s">
        <v>45226</v>
      </c>
      <c r="B35958" s="4" t="s">
        <v>45230</v>
      </c>
      <c r="C35958" s="5" t="str">
        <f>IFERROR(__xludf.DUMMYFUNCTION("GOOGLETRANSLATE(B35958,""en"",""fr"")"),"Elle va dans une autre partie du terrain de jeu et saute de haut en bas.")</f>
        <v>Elle va dans une autre partie du terrain de jeu et saute de haut en bas.</v>
      </c>
    </row>
    <row r="35959">
      <c r="A35959" s="4" t="s">
        <v>45231</v>
      </c>
      <c r="B35959" s="6" t="s">
        <v>45232</v>
      </c>
      <c r="C35959" s="5" t="str">
        <f>IFERROR(__xludf.DUMMYFUNCTION("GOOGLETRANSLATE(B35959,""en"",""fr"")"),"L'homme est devant un caissier automaïque et en prend de l'argent, et allez parler avec des hommes dans une pièce pleine de gens.")</f>
        <v>L'homme est devant un caissier automaïque et en prend de l'argent, et allez parler avec des hommes dans une pièce pleine de gens.</v>
      </c>
    </row>
    <row r="35960">
      <c r="A35960" s="4" t="s">
        <v>45231</v>
      </c>
      <c r="B35960" s="6" t="s">
        <v>45233</v>
      </c>
      <c r="C35960" s="5" t="str">
        <f>IFERROR(__xludf.DUMMYFUNCTION("GOOGLETRANSLATE(B35960,""en"",""fr"")"),"Les hommes sont assis dans une table de blackjack et jouent dans un casino et se parlent pendant que les gens regardent le jeu et se promènent autour de la table.")</f>
        <v>Les hommes sont assis dans une table de blackjack et jouent dans un casino et se parlent pendant que les gens regardent le jeu et se promènent autour de la table.</v>
      </c>
    </row>
    <row r="35961">
      <c r="A35961" s="4" t="s">
        <v>45231</v>
      </c>
      <c r="B35961" s="4" t="s">
        <v>45234</v>
      </c>
      <c r="C35961" s="5" t="str">
        <f>IFERROR(__xludf.DUMMYFUNCTION("GOOGLETRANSLATE(B35961,""en"",""fr"")"),"Les transactions diffusent les cartes et les hommes tirent un tabac.")</f>
        <v>Les transactions diffusent les cartes et les hommes tirent un tabac.</v>
      </c>
    </row>
    <row r="35962">
      <c r="A35962" s="4" t="s">
        <v>45235</v>
      </c>
      <c r="B35962" s="6" t="s">
        <v>45236</v>
      </c>
      <c r="C35962" s="5" t="str">
        <f>IFERROR(__xludf.DUMMYFUNCTION("GOOGLETRANSLATE(B35962,""en"",""fr"")"),"Une femme lave un pot avec de l'eau savonneuse tout en se tenant avec le dos à la caméra à l'évier de la cuisine.")</f>
        <v>Une femme lave un pot avec de l'eau savonneuse tout en se tenant avec le dos à la caméra à l'évier de la cuisine.</v>
      </c>
    </row>
    <row r="35963">
      <c r="A35963" s="4" t="s">
        <v>45235</v>
      </c>
      <c r="B35963" s="6" t="s">
        <v>45237</v>
      </c>
      <c r="C35963" s="5" t="str">
        <f>IFERROR(__xludf.DUMMYFUNCTION("GOOGLETRANSLATE(B35963,""en"",""fr"")"),"La femme se retourne et parle de la caméra tout en lavant le pot et sourit un peu alors que la caméra attrape l'activité.")</f>
        <v>La femme se retourne et parle de la caméra tout en lavant le pot et sourit un peu alors que la caméra attrape l'activité.</v>
      </c>
    </row>
    <row r="35964">
      <c r="A35964" s="4" t="s">
        <v>45235</v>
      </c>
      <c r="B35964" s="6" t="s">
        <v>45238</v>
      </c>
      <c r="C35964" s="5" t="str">
        <f>IFERROR(__xludf.DUMMYFUNCTION("GOOGLETRANSLATE(B35964,""en"",""fr"")"),"La femme rince le pot, puis se retourne et la tient dans l'air, dégoulinant de l'eau, faisant un visage effrayant, comme si elle allait attaquer l'homme de la caméra avec, mais se détourne de l'homme de la caméra et vers l'évier compteur.")</f>
        <v>La femme rince le pot, puis se retourne et la tient dans l'air, dégoulinant de l'eau, faisant un visage effrayant, comme si elle allait attaquer l'homme de la caméra avec, mais se détourne de l'homme de la caméra et vers l'évier compteur.</v>
      </c>
    </row>
    <row r="35965">
      <c r="A35965" s="4" t="s">
        <v>45239</v>
      </c>
      <c r="B35965" s="4" t="s">
        <v>45240</v>
      </c>
      <c r="C35965" s="5" t="str">
        <f>IFERROR(__xludf.DUMMYFUNCTION("GOOGLETRANSLATE(B35965,""en"",""fr"")"),"Deux individus sont dans la peinture de la pièce et font la redécoration.")</f>
        <v>Deux individus sont dans la peinture de la pièce et font la redécoration.</v>
      </c>
    </row>
    <row r="35966">
      <c r="A35966" s="4" t="s">
        <v>45239</v>
      </c>
      <c r="B35966" s="4" t="s">
        <v>45241</v>
      </c>
      <c r="C35966" s="5" t="str">
        <f>IFERROR(__xludf.DUMMYFUNCTION("GOOGLETRANSLATE(B35966,""en"",""fr"")"),"Deux hommes alternent en montant de haut en bas sur une échelle mettant de la pâte sur le mur pour le papier peint.")</f>
        <v>Deux hommes alternent en montant de haut en bas sur une échelle mettant de la pâte sur le mur pour le papier peint.</v>
      </c>
    </row>
    <row r="35967">
      <c r="A35967" s="4" t="s">
        <v>45239</v>
      </c>
      <c r="B35967" s="6" t="s">
        <v>45242</v>
      </c>
      <c r="C35967" s="5" t="str">
        <f>IFERROR(__xludf.DUMMYFUNCTION("GOOGLETRANSLATE(B35967,""en"",""fr"")"),"Ces actions continuent de se dérouler jusqu'à ce que tout le mur soit recouvert de papier mural blanc avec de grandes fleurs bleues sur eux alors qu'une fille s'assoit derrière une rangée de livres.")</f>
        <v>Ces actions continuent de se dérouler jusqu'à ce que tout le mur soit recouvert de papier mural blanc avec de grandes fleurs bleues sur eux alors qu'une fille s'assoit derrière une rangée de livres.</v>
      </c>
    </row>
    <row r="35968">
      <c r="A35968" s="4" t="s">
        <v>45243</v>
      </c>
      <c r="B35968" s="4" t="s">
        <v>45244</v>
      </c>
      <c r="C35968" s="5" t="str">
        <f>IFERROR(__xludf.DUMMYFUNCTION("GOOGLETRANSLATE(B35968,""en"",""fr"")"),"Une femme en chemise rouge se tient dans une pièce.")</f>
        <v>Une femme en chemise rouge se tient dans une pièce.</v>
      </c>
    </row>
    <row r="35969">
      <c r="A35969" s="4" t="s">
        <v>45243</v>
      </c>
      <c r="B35969" s="4" t="s">
        <v>45245</v>
      </c>
      <c r="C35969" s="5" t="str">
        <f>IFERROR(__xludf.DUMMYFUNCTION("GOOGLETRANSLATE(B35969,""en"",""fr"")"),"Elle commence à travailler sur un tapis bleu.")</f>
        <v>Elle commence à travailler sur un tapis bleu.</v>
      </c>
    </row>
    <row r="35970">
      <c r="A35970" s="4" t="s">
        <v>45243</v>
      </c>
      <c r="B35970" s="4" t="s">
        <v>45246</v>
      </c>
      <c r="C35970" s="5" t="str">
        <f>IFERROR(__xludf.DUMMYFUNCTION("GOOGLETRANSLATE(B35970,""en"",""fr"")"),"Elle s'arrête et parle à la caméra.")</f>
        <v>Elle s'arrête et parle à la caméra.</v>
      </c>
    </row>
    <row r="35971">
      <c r="A35971" s="4" t="s">
        <v>45247</v>
      </c>
      <c r="B35971" s="4" t="s">
        <v>45248</v>
      </c>
      <c r="C35971" s="5" t="str">
        <f>IFERROR(__xludf.DUMMYFUNCTION("GOOGLETRANSLATE(B35971,""en"",""fr"")"),"Une gymnaste s'étend et grimpe sur un ensemble de doubles bars parallèles.")</f>
        <v>Une gymnaste s'étend et grimpe sur un ensemble de doubles bars parallèles.</v>
      </c>
    </row>
    <row r="35972">
      <c r="A35972" s="4" t="s">
        <v>45247</v>
      </c>
      <c r="B35972" s="4" t="s">
        <v>45249</v>
      </c>
      <c r="C35972" s="5" t="str">
        <f>IFERROR(__xludf.DUMMYFUNCTION("GOOGLETRANSLATE(B35972,""en"",""fr"")"),"La gymnaste fait une routine dans une compétition sur les doubles bars avec des flips et des virages.")</f>
        <v>La gymnaste fait une routine dans une compétition sur les doubles bars avec des flips et des virages.</v>
      </c>
    </row>
    <row r="35973">
      <c r="A35973" s="4" t="s">
        <v>45247</v>
      </c>
      <c r="B35973" s="4" t="s">
        <v>45250</v>
      </c>
      <c r="C35973" s="5" t="str">
        <f>IFERROR(__xludf.DUMMYFUNCTION("GOOGLETRANSLATE(B35973,""en"",""fr"")"),"La gymnaste démarre de l'équipement et atterrit sur le tapis.")</f>
        <v>La gymnaste démarre de l'équipement et atterrit sur le tapis.</v>
      </c>
    </row>
    <row r="35974">
      <c r="A35974" s="4" t="s">
        <v>45251</v>
      </c>
      <c r="B35974" s="4" t="s">
        <v>1251</v>
      </c>
      <c r="C35974" s="5" t="str">
        <f>IFERROR(__xludf.DUMMYFUNCTION("GOOGLETRANSLATE(B35974,""en"",""fr"")"),"Les crédits du clip sont affichés.")</f>
        <v>Les crédits du clip sont affichés.</v>
      </c>
    </row>
    <row r="35975">
      <c r="A35975" s="4" t="s">
        <v>45251</v>
      </c>
      <c r="B35975" s="4" t="s">
        <v>45252</v>
      </c>
      <c r="C35975" s="5" t="str">
        <f>IFERROR(__xludf.DUMMYFUNCTION("GOOGLETRANSLATE(B35975,""en"",""fr"")"),"Un gars se genoue à moitié sur un sol de gym.")</f>
        <v>Un gars se genoue à moitié sur un sol de gym.</v>
      </c>
    </row>
    <row r="35976">
      <c r="A35976" s="4" t="s">
        <v>45251</v>
      </c>
      <c r="B35976" s="4" t="s">
        <v>45253</v>
      </c>
      <c r="C35976" s="5" t="str">
        <f>IFERROR(__xludf.DUMMYFUNCTION("GOOGLETRANSLATE(B35976,""en"",""fr"")"),"Le gars commence à appuyer sur un poids dans une main.")</f>
        <v>Le gars commence à appuyer sur un poids dans une main.</v>
      </c>
    </row>
    <row r="35977">
      <c r="A35977" s="4" t="s">
        <v>45254</v>
      </c>
      <c r="B35977" s="4" t="s">
        <v>45255</v>
      </c>
      <c r="C35977" s="5" t="str">
        <f>IFERROR(__xludf.DUMMYFUNCTION("GOOGLETRANSLATE(B35977,""en"",""fr"")"),"Il y a plusieurs hommes jouant du remorqueur de guerre sur un sol sablonneux qui est entouré de montagnes.")</f>
        <v>Il y a plusieurs hommes jouant du remorqueur de guerre sur un sol sablonneux qui est entouré de montagnes.</v>
      </c>
    </row>
    <row r="35978">
      <c r="A35978" s="4" t="s">
        <v>45254</v>
      </c>
      <c r="B35978" s="4" t="s">
        <v>45256</v>
      </c>
      <c r="C35978" s="5" t="str">
        <f>IFERROR(__xludf.DUMMYFUNCTION("GOOGLETRANSLATE(B35978,""en"",""fr"")"),"Ils continuent de tirer la corde avec force.")</f>
        <v>Ils continuent de tirer la corde avec force.</v>
      </c>
    </row>
    <row r="35979">
      <c r="A35979" s="4" t="s">
        <v>45254</v>
      </c>
      <c r="B35979" s="4" t="s">
        <v>45257</v>
      </c>
      <c r="C35979" s="5" t="str">
        <f>IFERROR(__xludf.DUMMYFUNCTION("GOOGLETRANSLATE(B35979,""en"",""fr"")"),"Plusieurs spectateurs les regardent et les encouragent alors qu'ils continuent de jouer.")</f>
        <v>Plusieurs spectateurs les regardent et les encouragent alors qu'ils continuent de jouer.</v>
      </c>
    </row>
    <row r="35980">
      <c r="A35980" s="4" t="s">
        <v>45254</v>
      </c>
      <c r="B35980" s="4" t="s">
        <v>45258</v>
      </c>
      <c r="C35980" s="5" t="str">
        <f>IFERROR(__xludf.DUMMYFUNCTION("GOOGLETRANSLATE(B35980,""en"",""fr"")"),"Les joueurs continuent de tirer la corde avec une concentration.")</f>
        <v>Les joueurs continuent de tirer la corde avec une concentration.</v>
      </c>
    </row>
    <row r="35981">
      <c r="A35981" s="4" t="s">
        <v>45254</v>
      </c>
      <c r="B35981" s="4" t="s">
        <v>45259</v>
      </c>
      <c r="C35981" s="5" t="str">
        <f>IFERROR(__xludf.DUMMYFUNCTION("GOOGLETRANSLATE(B35981,""en"",""fr"")"),"Enfin, l'équipe victorieuse lève les mains et encourage et danse en cercle.")</f>
        <v>Enfin, l'équipe victorieuse lève les mains et encourage et danse en cercle.</v>
      </c>
    </row>
    <row r="35982">
      <c r="A35982" s="4" t="s">
        <v>45260</v>
      </c>
      <c r="B35982" s="4" t="s">
        <v>45261</v>
      </c>
      <c r="C35982" s="5" t="str">
        <f>IFERROR(__xludf.DUMMYFUNCTION("GOOGLETRANSLATE(B35982,""en"",""fr"")"),"Une jeune femme préadolescente se tient dans le coin d'une pièce qui parle.")</f>
        <v>Une jeune femme préadolescente se tient dans le coin d'une pièce qui parle.</v>
      </c>
    </row>
    <row r="35983">
      <c r="A35983" s="4" t="s">
        <v>45260</v>
      </c>
      <c r="B35983" s="4" t="s">
        <v>45262</v>
      </c>
      <c r="C35983" s="5" t="str">
        <f>IFERROR(__xludf.DUMMYFUNCTION("GOOGLETRANSLATE(B35983,""en"",""fr"")"),"La fille est ensuite représentée dans un justaucorps brillant à l'intérieur d'un gymnase.")</f>
        <v>La fille est ensuite représentée dans un justaucorps brillant à l'intérieur d'un gymnase.</v>
      </c>
    </row>
    <row r="35984">
      <c r="A35984" s="4" t="s">
        <v>45260</v>
      </c>
      <c r="B35984" s="6" t="s">
        <v>45263</v>
      </c>
      <c r="C35984" s="5" t="str">
        <f>IFERROR(__xludf.DUMMYFUNCTION("GOOGLETRANSLATE(B35984,""en"",""fr"")"),"Après, elle saute sur le faisceau d'équilibre et commence à faire des astuces avant qu'elle ne se retourne du faisceau d'équilibre.")</f>
        <v>Après, elle saute sur le faisceau d'équilibre et commence à faire des astuces avant qu'elle ne se retourne du faisceau d'équilibre.</v>
      </c>
    </row>
    <row r="35985">
      <c r="A35985" s="4" t="s">
        <v>45260</v>
      </c>
      <c r="B35985" s="4" t="s">
        <v>45264</v>
      </c>
      <c r="C35985" s="5" t="str">
        <f>IFERROR(__xludf.DUMMYFUNCTION("GOOGLETRANSLATE(B35985,""en"",""fr"")"),"Elle se retire ensuite à la caméra, dit quelques mots brèves et vagues au revoir.")</f>
        <v>Elle se retire ensuite à la caméra, dit quelques mots brèves et vagues au revoir.</v>
      </c>
    </row>
    <row r="35986">
      <c r="A35986" s="4" t="s">
        <v>45265</v>
      </c>
      <c r="B35986" s="4" t="s">
        <v>45266</v>
      </c>
      <c r="C35986" s="5" t="str">
        <f>IFERROR(__xludf.DUMMYFUNCTION("GOOGLETRANSLATE(B35986,""en"",""fr"")"),"Les gens jouent à des panneaux de palets à l'intérieur et à l'extérieur.")</f>
        <v>Les gens jouent à des panneaux de palets à l'intérieur et à l'extérieur.</v>
      </c>
    </row>
    <row r="35987">
      <c r="A35987" s="4" t="s">
        <v>45265</v>
      </c>
      <c r="B35987" s="4" t="s">
        <v>45267</v>
      </c>
      <c r="C35987" s="5" t="str">
        <f>IFERROR(__xludf.DUMMYFUNCTION("GOOGLETRANSLATE(B35987,""en"",""fr"")"),"Une personne observe quand les gens jouent au shuffleboard dans la rue.")</f>
        <v>Une personne observe quand les gens jouent au shuffleboard dans la rue.</v>
      </c>
    </row>
    <row r="35988">
      <c r="A35988" s="4" t="s">
        <v>45265</v>
      </c>
      <c r="B35988" s="4" t="s">
        <v>45268</v>
      </c>
      <c r="C35988" s="5" t="str">
        <f>IFERROR(__xludf.DUMMYFUNCTION("GOOGLETRANSLATE(B35988,""en"",""fr"")"),"Quelques personnes âgées jouent en plein air.")</f>
        <v>Quelques personnes âgées jouent en plein air.</v>
      </c>
    </row>
    <row r="35989">
      <c r="A35989" s="4" t="s">
        <v>45265</v>
      </c>
      <c r="B35989" s="4" t="s">
        <v>45269</v>
      </c>
      <c r="C35989" s="5" t="str">
        <f>IFERROR(__xludf.DUMMYFUNCTION("GOOGLETRANSLATE(B35989,""en"",""fr"")"),"D'autres personnes jouent au tableau de ponts en poussant les balles dans le triangle.")</f>
        <v>D'autres personnes jouent au tableau de ponts en poussant les balles dans le triangle.</v>
      </c>
    </row>
    <row r="35990">
      <c r="A35990" s="4" t="s">
        <v>45270</v>
      </c>
      <c r="B35990" s="4" t="s">
        <v>45271</v>
      </c>
      <c r="C35990" s="5" t="str">
        <f>IFERROR(__xludf.DUMMYFUNCTION("GOOGLETRANSLATE(B35990,""en"",""fr"")"),"Un homme montre comment laver le sous-corps d'une voiture.")</f>
        <v>Un homme montre comment laver le sous-corps d'une voiture.</v>
      </c>
    </row>
    <row r="35991">
      <c r="A35991" s="4" t="s">
        <v>45270</v>
      </c>
      <c r="B35991" s="4" t="s">
        <v>45272</v>
      </c>
      <c r="C35991" s="5" t="str">
        <f>IFERROR(__xludf.DUMMYFUNCTION("GOOGLETRANSLATE(B35991,""en"",""fr"")"),"Une voiture est représentée par un lavage commercial.")</f>
        <v>Une voiture est représentée par un lavage commercial.</v>
      </c>
    </row>
    <row r="35992">
      <c r="A35992" s="4" t="s">
        <v>45270</v>
      </c>
      <c r="B35992" s="4" t="s">
        <v>45273</v>
      </c>
      <c r="C35992" s="5" t="str">
        <f>IFERROR(__xludf.DUMMYFUNCTION("GOOGLETRANSLATE(B35992,""en"",""fr"")"),"Ils annoncent leur expertise dans le lavage des voitures.")</f>
        <v>Ils annoncent leur expertise dans le lavage des voitures.</v>
      </c>
    </row>
    <row r="35993">
      <c r="A35993" s="4" t="s">
        <v>45274</v>
      </c>
      <c r="B35993" s="4" t="s">
        <v>45275</v>
      </c>
      <c r="C35993" s="5" t="str">
        <f>IFERROR(__xludf.DUMMYFUNCTION("GOOGLETRANSLATE(B35993,""en"",""fr"")"),"Une vieille femme parle dans un magasin de costumes.")</f>
        <v>Une vieille femme parle dans un magasin de costumes.</v>
      </c>
    </row>
    <row r="35994">
      <c r="A35994" s="4" t="s">
        <v>45274</v>
      </c>
      <c r="B35994" s="4" t="s">
        <v>45276</v>
      </c>
      <c r="C35994" s="5" t="str">
        <f>IFERROR(__xludf.DUMMYFUNCTION("GOOGLETRANSLATE(B35994,""en"",""fr"")"),"Puis elle met un vêtement sur la planche de fer, pulvérise de l'eau et repasser le col.")</f>
        <v>Puis elle met un vêtement sur la planche de fer, pulvérise de l'eau et repasser le col.</v>
      </c>
    </row>
    <row r="35995">
      <c r="A35995" s="4" t="s">
        <v>45274</v>
      </c>
      <c r="B35995" s="4" t="s">
        <v>45277</v>
      </c>
      <c r="C35995" s="5" t="str">
        <f>IFERROR(__xludf.DUMMYFUNCTION("GOOGLETRANSLATE(B35995,""en"",""fr"")"),"Après, la femme reflète les manches du vêtement et la partie du corps.")</f>
        <v>Après, la femme reflète les manches du vêtement et la partie du corps.</v>
      </c>
    </row>
    <row r="35996">
      <c r="A35996" s="4" t="s">
        <v>45274</v>
      </c>
      <c r="B35996" s="4" t="s">
        <v>45278</v>
      </c>
      <c r="C35996" s="5" t="str">
        <f>IFERROR(__xludf.DUMMYFUNCTION("GOOGLETRANSLATE(B35996,""en"",""fr"")"),"Ensuite, la femme montre le vêtement fermé.")</f>
        <v>Ensuite, la femme montre le vêtement fermé.</v>
      </c>
    </row>
    <row r="35997">
      <c r="A35997" s="4" t="s">
        <v>45279</v>
      </c>
      <c r="B35997" s="4" t="s">
        <v>45280</v>
      </c>
      <c r="C35997" s="5" t="str">
        <f>IFERROR(__xludf.DUMMYFUNCTION("GOOGLETRANSLATE(B35997,""en"",""fr"")"),"Un homme suspend le papier peint sur un mur.")</f>
        <v>Un homme suspend le papier peint sur un mur.</v>
      </c>
    </row>
    <row r="35998">
      <c r="A35998" s="4" t="s">
        <v>45279</v>
      </c>
      <c r="B35998" s="4" t="s">
        <v>45281</v>
      </c>
      <c r="C35998" s="5" t="str">
        <f>IFERROR(__xludf.DUMMYFUNCTION("GOOGLETRANSLATE(B35998,""en"",""fr"")"),"Il décolle le côté collant du papier de soutien.")</f>
        <v>Il décolle le côté collant du papier de soutien.</v>
      </c>
    </row>
    <row r="35999">
      <c r="A35999" s="4" t="s">
        <v>45279</v>
      </c>
      <c r="B35999" s="4" t="s">
        <v>45282</v>
      </c>
      <c r="C35999" s="5" t="str">
        <f>IFERROR(__xludf.DUMMYFUNCTION("GOOGLETRANSLATE(B35999,""en"",""fr"")"),"Il applique maintenant le côté collant du papier sur le mur.")</f>
        <v>Il applique maintenant le côté collant du papier sur le mur.</v>
      </c>
    </row>
    <row r="36000">
      <c r="A36000" s="4" t="s">
        <v>45279</v>
      </c>
      <c r="B36000" s="4" t="s">
        <v>45283</v>
      </c>
      <c r="C36000" s="5" t="str">
        <f>IFERROR(__xludf.DUMMYFUNCTION("GOOGLETRANSLATE(B36000,""en"",""fr"")"),"Il le répète plusieurs fois sur différentes parties du mur.")</f>
        <v>Il le répète plusieurs fois sur différentes parties du mur.</v>
      </c>
    </row>
    <row r="36001">
      <c r="A36001" s="4" t="s">
        <v>45284</v>
      </c>
      <c r="B36001" s="4" t="s">
        <v>45285</v>
      </c>
      <c r="C36001" s="5" t="str">
        <f>IFERROR(__xludf.DUMMYFUNCTION("GOOGLETRANSLATE(B36001,""en"",""fr"")"),"Une femme de presse parle dans une salle de nouvelles.")</f>
        <v>Une femme de presse parle dans une salle de nouvelles.</v>
      </c>
    </row>
    <row r="36002">
      <c r="A36002" s="4" t="s">
        <v>45284</v>
      </c>
      <c r="B36002" s="4" t="s">
        <v>45286</v>
      </c>
      <c r="C36002" s="5" t="str">
        <f>IFERROR(__xludf.DUMMYFUNCTION("GOOGLETRANSLATE(B36002,""en"",""fr"")"),"Ensuite, nous voyons des vidéos de nouvelles à l'écran.")</f>
        <v>Ensuite, nous voyons des vidéos de nouvelles à l'écran.</v>
      </c>
    </row>
    <row r="36003">
      <c r="A36003" s="4" t="s">
        <v>45284</v>
      </c>
      <c r="B36003" s="6" t="s">
        <v>45287</v>
      </c>
      <c r="C36003" s="5" t="str">
        <f>IFERROR(__xludf.DUMMYFUNCTION("GOOGLETRANSLATE(B36003,""en"",""fr"")"),"Une femme est montrée en buvant une sorte de liquide sur un défi, et les femmes buvant à tour de rôle le liquide.")</f>
        <v>Une femme est montrée en buvant une sorte de liquide sur un défi, et les femmes buvant à tour de rôle le liquide.</v>
      </c>
    </row>
    <row r="36004">
      <c r="A36004" s="4" t="s">
        <v>45288</v>
      </c>
      <c r="B36004" s="6" t="s">
        <v>45289</v>
      </c>
      <c r="C36004" s="5" t="str">
        <f>IFERROR(__xludf.DUMMYFUNCTION("GOOGLETRANSLATE(B36004,""en"",""fr"")"),"Un homme et une femme vêtus de noir et rouge se tiennent au milieu d'une pièce entourée d'une très grande quantité de personnes assises et les regardant.")</f>
        <v>Un homme et une femme vêtus de noir et rouge se tiennent au milieu d'une pièce entourée d'une très grande quantité de personnes assises et les regardant.</v>
      </c>
    </row>
    <row r="36005">
      <c r="A36005" s="4" t="s">
        <v>45288</v>
      </c>
      <c r="B36005" s="4" t="s">
        <v>45290</v>
      </c>
      <c r="C36005" s="5" t="str">
        <f>IFERROR(__xludf.DUMMYFUNCTION("GOOGLETRANSLATE(B36005,""en"",""fr"")"),"Ils dansent et dansent très bien ensemble.")</f>
        <v>Ils dansent et dansent très bien ensemble.</v>
      </c>
    </row>
    <row r="36006">
      <c r="A36006" s="4" t="s">
        <v>45288</v>
      </c>
      <c r="B36006" s="4" t="s">
        <v>45291</v>
      </c>
      <c r="C36006" s="5" t="str">
        <f>IFERROR(__xludf.DUMMYFUNCTION("GOOGLETRANSLATE(B36006,""en"",""fr"")"),"Ils se tournent et se tournent et font même toutes sortes de bons mouvements ensemble.")</f>
        <v>Ils se tournent et se tournent et font même toutes sortes de bons mouvements ensemble.</v>
      </c>
    </row>
    <row r="36007">
      <c r="A36007" s="4" t="s">
        <v>45288</v>
      </c>
      <c r="B36007" s="6" t="s">
        <v>45292</v>
      </c>
      <c r="C36007" s="5" t="str">
        <f>IFERROR(__xludf.DUMMYFUNCTION("GOOGLETRANSLATE(B36007,""en"",""fr"")"),"L'homme se penche et balance la femme sur le dos où elle se retourne et met fin à la danse.")</f>
        <v>L'homme se penche et balance la femme sur le dos où elle se retourne et met fin à la danse.</v>
      </c>
    </row>
    <row r="36008">
      <c r="A36008" s="4" t="s">
        <v>45293</v>
      </c>
      <c r="B36008" s="4" t="s">
        <v>45294</v>
      </c>
      <c r="C36008" s="5" t="str">
        <f>IFERROR(__xludf.DUMMYFUNCTION("GOOGLETRANSLATE(B36008,""en"",""fr"")"),"Une fille est assise à parler de la caméra.")</f>
        <v>Une fille est assise à parler de la caméra.</v>
      </c>
    </row>
    <row r="36009">
      <c r="A36009" s="4" t="s">
        <v>45293</v>
      </c>
      <c r="B36009" s="4" t="s">
        <v>45295</v>
      </c>
      <c r="C36009" s="5" t="str">
        <f>IFERROR(__xludf.DUMMYFUNCTION("GOOGLETRANSLATE(B36009,""en"",""fr"")"),"La fille pointe la caméra au sol.")</f>
        <v>La fille pointe la caméra au sol.</v>
      </c>
    </row>
    <row r="36010">
      <c r="A36010" s="4" t="s">
        <v>45293</v>
      </c>
      <c r="B36010" s="4" t="s">
        <v>45296</v>
      </c>
      <c r="C36010" s="5" t="str">
        <f>IFERROR(__xludf.DUMMYFUNCTION("GOOGLETRANSLATE(B36010,""en"",""fr"")"),"Une main à moitié manucure d'une autre fille est vue sur le sol.")</f>
        <v>Une main à moitié manucure d'une autre fille est vue sur le sol.</v>
      </c>
    </row>
    <row r="36011">
      <c r="A36011" s="4" t="s">
        <v>45293</v>
      </c>
      <c r="B36011" s="4" t="s">
        <v>45297</v>
      </c>
      <c r="C36011" s="5" t="str">
        <f>IFERROR(__xludf.DUMMYFUNCTION("GOOGLETRANSLATE(B36011,""en"",""fr"")"),"La première fille procède à polir les ongles de la deuxième fille.")</f>
        <v>La première fille procède à polir les ongles de la deuxième fille.</v>
      </c>
    </row>
    <row r="36012">
      <c r="A36012" s="4" t="s">
        <v>45298</v>
      </c>
      <c r="B36012" s="4" t="s">
        <v>45299</v>
      </c>
      <c r="C36012" s="5" t="str">
        <f>IFERROR(__xludf.DUMMYFUNCTION("GOOGLETRANSLATE(B36012,""en"",""fr"")"),"Une pom-pom girl exécute gracieusement une tige qui tourne dans sa main droite.")</f>
        <v>Une pom-pom girl exécute gracieusement une tige qui tourne dans sa main droite.</v>
      </c>
    </row>
    <row r="36013">
      <c r="A36013" s="4" t="s">
        <v>45298</v>
      </c>
      <c r="B36013" s="4" t="s">
        <v>45300</v>
      </c>
      <c r="C36013" s="5" t="str">
        <f>IFERROR(__xludf.DUMMYFUNCTION("GOOGLETRANSLATE(B36013,""en"",""fr"")"),"Ensuite, elle prend une autre tige pour jouer et tourne en même temps les tiges.")</f>
        <v>Ensuite, elle prend une autre tige pour jouer et tourne en même temps les tiges.</v>
      </c>
    </row>
    <row r="36014">
      <c r="A36014" s="4" t="s">
        <v>45298</v>
      </c>
      <c r="B36014" s="4" t="s">
        <v>45301</v>
      </c>
      <c r="C36014" s="5" t="str">
        <f>IFERROR(__xludf.DUMMYFUNCTION("GOOGLETRANSLATE(B36014,""en"",""fr"")"),"Après, la pom-pom girl a mis une tige sur le sol et continue de ne jouer qu'avec une tige.")</f>
        <v>Après, la pom-pom girl a mis une tige sur le sol et continue de ne jouer qu'avec une tige.</v>
      </c>
    </row>
    <row r="36015">
      <c r="A36015" s="4" t="s">
        <v>45302</v>
      </c>
      <c r="B36015" s="6" t="s">
        <v>45303</v>
      </c>
      <c r="C36015" s="5" t="str">
        <f>IFERROR(__xludf.DUMMYFUNCTION("GOOGLETRANSLATE(B36015,""en"",""fr"")"),"Une classe d'enfants est à l'extérieur à l'école vêtue d'uniformes avec leur professeur debout à côté d'eux.")</f>
        <v>Une classe d'enfants est à l'extérieur à l'école vêtue d'uniformes avec leur professeur debout à côté d'eux.</v>
      </c>
    </row>
    <row r="36016">
      <c r="A36016" s="4" t="s">
        <v>45302</v>
      </c>
      <c r="B36016" s="6" t="s">
        <v>45304</v>
      </c>
      <c r="C36016" s="5" t="str">
        <f>IFERROR(__xludf.DUMMYFUNCTION("GOOGLETRANSLATE(B36016,""en"",""fr"")"),"Comme ils sont en ligne, une fille est au milieu d'un jeu de Scotch Hop, se retourne, se termine et revient en ligne.")</f>
        <v>Comme ils sont en ligne, une fille est au milieu d'un jeu de Scotch Hop, se retourne, se termine et revient en ligne.</v>
      </c>
    </row>
    <row r="36017">
      <c r="A36017" s="4" t="s">
        <v>45302</v>
      </c>
      <c r="B36017" s="4" t="s">
        <v>45305</v>
      </c>
      <c r="C36017" s="5" t="str">
        <f>IFERROR(__xludf.DUMMYFUNCTION("GOOGLETRANSLATE(B36017,""en"",""fr"")"),"Une fois qu'elle a terminé, tous les autres enfants prennent leur tour un par un.")</f>
        <v>Une fois qu'elle a terminé, tous les autres enfants prennent leur tour un par un.</v>
      </c>
    </row>
    <row r="36018">
      <c r="A36018" s="4" t="s">
        <v>45306</v>
      </c>
      <c r="B36018" s="4" t="s">
        <v>45307</v>
      </c>
      <c r="C36018" s="5" t="str">
        <f>IFERROR(__xludf.DUMMYFUNCTION("GOOGLETRANSLATE(B36018,""en"",""fr"")"),"Un homme asiatique portant des lunettes, une chemise verte avec des rayures jaunes est assise à parler dans une pièce.")</f>
        <v>Un homme asiatique portant des lunettes, une chemise verte avec des rayures jaunes est assise à parler dans une pièce.</v>
      </c>
    </row>
    <row r="36019">
      <c r="A36019" s="4" t="s">
        <v>45306</v>
      </c>
      <c r="B36019" s="6" t="s">
        <v>45308</v>
      </c>
      <c r="C36019" s="5" t="str">
        <f>IFERROR(__xludf.DUMMYFUNCTION("GOOGLETRANSLATE(B36019,""en"",""fr"")"),"Des photos d'un livre ont encore tourné, et l'homme apparaît à nouveau, puis plus de texte noir sur un écran blanc apparaît.")</f>
        <v>Des photos d'un livre ont encore tourné, et l'homme apparaît à nouveau, puis plus de texte noir sur un écran blanc apparaît.</v>
      </c>
    </row>
    <row r="36020">
      <c r="A36020" s="4" t="s">
        <v>45306</v>
      </c>
      <c r="B36020" s="6" t="s">
        <v>45309</v>
      </c>
      <c r="C36020" s="5" t="str">
        <f>IFERROR(__xludf.DUMMYFUNCTION("GOOGLETRANSLATE(B36020,""en"",""fr"")"),"L'homme apparaît à nouveau, mais cette fois, il est à l'extérieur et il tient un très grand tir à l'arc et montre le bon et le mauvais moyen de retirer sa chaîne.")</f>
        <v>L'homme apparaît à nouveau, mais cette fois, il est à l'extérieur et il tient un très grand tir à l'arc et montre le bon et le mauvais moyen de retirer sa chaîne.</v>
      </c>
    </row>
    <row r="36021">
      <c r="A36021" s="4" t="s">
        <v>45306</v>
      </c>
      <c r="B36021" s="6" t="s">
        <v>45310</v>
      </c>
      <c r="C36021" s="5" t="str">
        <f>IFERROR(__xludf.DUMMYFUNCTION("GOOGLETRANSLATE(B36021,""en"",""fr"")"),"L'homme déplace ensuite une plante et se tient de se tenir debout pour qu'il se tient entre deux d'entre eux sur le sol et qu'il commence à tenir son archer, et montrant différentes façons de la tenir.")</f>
        <v>L'homme déplace ensuite une plante et se tient de se tenir debout pour qu'il se tient entre deux d'entre eux sur le sol et qu'il commence à tenir son archer, et montrant différentes façons de la tenir.</v>
      </c>
    </row>
    <row r="36022">
      <c r="A36022" s="4" t="s">
        <v>45306</v>
      </c>
      <c r="B36022" s="4" t="s">
        <v>45311</v>
      </c>
      <c r="C36022" s="5" t="str">
        <f>IFERROR(__xludf.DUMMYFUNCTION("GOOGLETRANSLATE(B36022,""en"",""fr"")"),"L'homme apparaît à nouveau à l'intérieur et s'asseyant à parler.")</f>
        <v>L'homme apparaît à nouveau à l'intérieur et s'asseyant à parler.</v>
      </c>
    </row>
    <row r="36023">
      <c r="A36023" s="4" t="s">
        <v>45312</v>
      </c>
      <c r="B36023" s="4" t="s">
        <v>45313</v>
      </c>
      <c r="C36023" s="5" t="str">
        <f>IFERROR(__xludf.DUMMYFUNCTION("GOOGLETRANSLATE(B36023,""en"",""fr"")"),"Un jeune homme est vu en train de regarder dans la caméra tenant une brosse à dents.")</f>
        <v>Un jeune homme est vu en train de regarder dans la caméra tenant une brosse à dents.</v>
      </c>
    </row>
    <row r="36024">
      <c r="A36024" s="4" t="s">
        <v>45312</v>
      </c>
      <c r="B36024" s="4" t="s">
        <v>45314</v>
      </c>
      <c r="C36024" s="5" t="str">
        <f>IFERROR(__xludf.DUMMYFUNCTION("GOOGLETRANSLATE(B36024,""en"",""fr"")"),"L'homme commence alors à se brosser les dents en plusieurs coups.")</f>
        <v>L'homme commence alors à se brosser les dents en plusieurs coups.</v>
      </c>
    </row>
    <row r="36025">
      <c r="A36025" s="4" t="s">
        <v>45312</v>
      </c>
      <c r="B36025" s="4" t="s">
        <v>45315</v>
      </c>
      <c r="C36025" s="5" t="str">
        <f>IFERROR(__xludf.DUMMYFUNCTION("GOOGLETRANSLATE(B36025,""en"",""fr"")"),"Il continue de se brosser les dents et de montrer sa bouche à la fin.")</f>
        <v>Il continue de se brosser les dents et de montrer sa bouche à la fin.</v>
      </c>
    </row>
    <row r="36026">
      <c r="A36026" s="4" t="s">
        <v>45316</v>
      </c>
      <c r="B36026" s="4" t="s">
        <v>45317</v>
      </c>
      <c r="C36026" s="5" t="str">
        <f>IFERROR(__xludf.DUMMYFUNCTION("GOOGLETRANSLATE(B36026,""en"",""fr"")"),"Un athlète attend avec impatience son tour pendant que les juges se préparent pour sa routine.")</f>
        <v>Un athlète attend avec impatience son tour pendant que les juges se préparent pour sa routine.</v>
      </c>
    </row>
    <row r="36027">
      <c r="A36027" s="4" t="s">
        <v>45316</v>
      </c>
      <c r="B36027" s="4" t="s">
        <v>45318</v>
      </c>
      <c r="C36027" s="5" t="str">
        <f>IFERROR(__xludf.DUMMYFUNCTION("GOOGLETRANSLATE(B36027,""en"",""fr"")"),"Un commentateur étranger commente sa routine pendant qu'il se retourne dans les airs.")</f>
        <v>Un commentateur étranger commente sa routine pendant qu'il se retourne dans les airs.</v>
      </c>
    </row>
    <row r="36028">
      <c r="A36028" s="4" t="s">
        <v>45316</v>
      </c>
      <c r="B36028" s="6" t="s">
        <v>45319</v>
      </c>
      <c r="C36028" s="5" t="str">
        <f>IFERROR(__xludf.DUMMYFUNCTION("GOOGLETRANSLATE(B36028,""en"",""fr"")"),"L'homme continue de faire tournoyer et se retourner sur les barreaux pour sa routine de gymnastique tandis que les membres du public applaudissent bruyamment.")</f>
        <v>L'homme continue de faire tournoyer et se retourner sur les barreaux pour sa routine de gymnastique tandis que les membres du public applaudissent bruyamment.</v>
      </c>
    </row>
    <row r="36029">
      <c r="A36029" s="4" t="s">
        <v>45316</v>
      </c>
      <c r="B36029" s="4" t="s">
        <v>45320</v>
      </c>
      <c r="C36029" s="5" t="str">
        <f>IFERROR(__xludf.DUMMYFUNCTION("GOOGLETRANSLATE(B36029,""en"",""fr"")"),"La vidéo ralentit et montre les points forts de la routine au ralenti.")</f>
        <v>La vidéo ralentit et montre les points forts de la routine au ralenti.</v>
      </c>
    </row>
    <row r="36030">
      <c r="A36030" s="4" t="s">
        <v>45316</v>
      </c>
      <c r="B36030" s="4" t="s">
        <v>45321</v>
      </c>
      <c r="C36030" s="5" t="str">
        <f>IFERROR(__xludf.DUMMYFUNCTION("GOOGLETRANSLATE(B36030,""en"",""fr"")"),"L'athlète repose sur le canapé pendant que les juges terminent leurs critiques.")</f>
        <v>L'athlète repose sur le canapé pendant que les juges terminent leurs critiques.</v>
      </c>
    </row>
    <row r="36031">
      <c r="A36031" s="4" t="s">
        <v>45316</v>
      </c>
      <c r="B36031" s="4" t="s">
        <v>45322</v>
      </c>
      <c r="C36031" s="5" t="str">
        <f>IFERROR(__xludf.DUMMYFUNCTION("GOOGLETRANSLATE(B36031,""en"",""fr"")"),"Finalement, l'homme entend son score et sourit agréablement.")</f>
        <v>Finalement, l'homme entend son score et sourit agréablement.</v>
      </c>
    </row>
    <row r="36032">
      <c r="A36032" s="4" t="s">
        <v>45323</v>
      </c>
      <c r="B36032" s="6" t="s">
        <v>45324</v>
      </c>
      <c r="C36032" s="5" t="str">
        <f>IFERROR(__xludf.DUMMYFUNCTION("GOOGLETRANSLATE(B36032,""en"",""fr"")"),"Une jeune fille est vue assise devant la caméra avec plusieurs objets tenus devant son visage.")</f>
        <v>Une jeune fille est vue assise devant la caméra avec plusieurs objets tenus devant son visage.</v>
      </c>
    </row>
    <row r="36033">
      <c r="A36033" s="4" t="s">
        <v>45323</v>
      </c>
      <c r="B36033" s="4" t="s">
        <v>45325</v>
      </c>
      <c r="C36033" s="5" t="str">
        <f>IFERROR(__xludf.DUMMYFUNCTION("GOOGLETRANSLATE(B36033,""en"",""fr"")"),"Deux mains tirent un tube à côté d'elle et la femme met ensuite les tubes dans les cheveux de la fille.")</f>
        <v>Deux mains tirent un tube à côté d'elle et la femme met ensuite les tubes dans les cheveux de la fille.</v>
      </c>
    </row>
    <row r="36034">
      <c r="A36034" s="4" t="s">
        <v>45323</v>
      </c>
      <c r="B36034" s="4" t="s">
        <v>45326</v>
      </c>
      <c r="C36034" s="5" t="str">
        <f>IFERROR(__xludf.DUMMYFUNCTION("GOOGLETRANSLATE(B36034,""en"",""fr"")"),"À la fin, la femme sort les tubes et la fille continue de regarder la caméra.")</f>
        <v>À la fin, la femme sort les tubes et la fille continue de regarder la caméra.</v>
      </c>
    </row>
    <row r="36035">
      <c r="A36035" s="4" t="s">
        <v>45327</v>
      </c>
      <c r="B36035" s="4" t="s">
        <v>45328</v>
      </c>
      <c r="C36035" s="5" t="str">
        <f>IFERROR(__xludf.DUMMYFUNCTION("GOOGLETRANSLATE(B36035,""en"",""fr"")"),"Une fille commence à gravir les barres de singe.")</f>
        <v>Une fille commence à gravir les barres de singe.</v>
      </c>
    </row>
    <row r="36036">
      <c r="A36036" s="4" t="s">
        <v>45327</v>
      </c>
      <c r="B36036" s="4" t="s">
        <v>45329</v>
      </c>
      <c r="C36036" s="5" t="str">
        <f>IFERROR(__xludf.DUMMYFUNCTION("GOOGLETRANSLATE(B36036,""en"",""fr"")"),"Elle commence à grimper vers la fin.")</f>
        <v>Elle commence à grimper vers la fin.</v>
      </c>
    </row>
    <row r="36037">
      <c r="A36037" s="4" t="s">
        <v>45327</v>
      </c>
      <c r="B36037" s="4" t="s">
        <v>45330</v>
      </c>
      <c r="C36037" s="5" t="str">
        <f>IFERROR(__xludf.DUMMYFUNCTION("GOOGLETRANSLATE(B36037,""en"",""fr"")"),"Elle a des difficultés au milieu des barreaux.")</f>
        <v>Elle a des difficultés au milieu des barreaux.</v>
      </c>
    </row>
    <row r="36038">
      <c r="A36038" s="4" t="s">
        <v>45327</v>
      </c>
      <c r="B36038" s="4" t="s">
        <v>45331</v>
      </c>
      <c r="C36038" s="5" t="str">
        <f>IFERROR(__xludf.DUMMYFUNCTION("GOOGLETRANSLATE(B36038,""en"",""fr"")"),"Une femme semble chercher à aider.")</f>
        <v>Une femme semble chercher à aider.</v>
      </c>
    </row>
    <row r="36039">
      <c r="A36039" s="4" t="s">
        <v>45327</v>
      </c>
      <c r="B36039" s="4" t="s">
        <v>45332</v>
      </c>
      <c r="C36039" s="5" t="str">
        <f>IFERROR(__xludf.DUMMYFUNCTION("GOOGLETRANSLATE(B36039,""en"",""fr"")"),"Elle termine la montée très heureuse.")</f>
        <v>Elle termine la montée très heureuse.</v>
      </c>
    </row>
    <row r="36040">
      <c r="A36040" s="4" t="s">
        <v>45333</v>
      </c>
      <c r="B36040" s="4" t="s">
        <v>45334</v>
      </c>
      <c r="C36040" s="5" t="str">
        <f>IFERROR(__xludf.DUMMYFUNCTION("GOOGLETRANSLATE(B36040,""en"",""fr"")"),"Une personne filme une maison et un chien entrant dans le cadre.")</f>
        <v>Une personne filme une maison et un chien entrant dans le cadre.</v>
      </c>
    </row>
    <row r="36041">
      <c r="A36041" s="4" t="s">
        <v>45333</v>
      </c>
      <c r="B36041" s="4" t="s">
        <v>45335</v>
      </c>
      <c r="C36041" s="5" t="str">
        <f>IFERROR(__xludf.DUMMYFUNCTION("GOOGLETRANSLATE(B36041,""en"",""fr"")"),"Une petite fille lave le sol avec une vadrouille et parle à l'homme de la caméra.")</f>
        <v>Une petite fille lave le sol avec une vadrouille et parle à l'homme de la caméra.</v>
      </c>
    </row>
    <row r="36042">
      <c r="A36042" s="4" t="s">
        <v>45333</v>
      </c>
      <c r="B36042" s="4" t="s">
        <v>45336</v>
      </c>
      <c r="C36042" s="5" t="str">
        <f>IFERROR(__xludf.DUMMYFUNCTION("GOOGLETRANSLATE(B36042,""en"",""fr"")"),"L'homme de la caméra parle à la fille du nettoyage et pourquoi elle l'aime.")</f>
        <v>L'homme de la caméra parle à la fille du nettoyage et pourquoi elle l'aime.</v>
      </c>
    </row>
    <row r="36043">
      <c r="A36043" s="4" t="s">
        <v>45333</v>
      </c>
      <c r="B36043" s="4" t="s">
        <v>45337</v>
      </c>
      <c r="C36043" s="5" t="str">
        <f>IFERROR(__xludf.DUMMYFUNCTION("GOOGLETRANSLATE(B36043,""en"",""fr"")"),"La fille finit de laver le sol.")</f>
        <v>La fille finit de laver le sol.</v>
      </c>
    </row>
    <row r="36044">
      <c r="A36044" s="4" t="s">
        <v>45338</v>
      </c>
      <c r="B36044" s="4" t="s">
        <v>45339</v>
      </c>
      <c r="C36044" s="5" t="str">
        <f>IFERROR(__xludf.DUMMYFUNCTION("GOOGLETRANSLATE(B36044,""en"",""fr"")"),"Une introduction arrive sur l'écran pour une vidéo sur un concours de corde à sauter.")</f>
        <v>Une introduction arrive sur l'écran pour une vidéo sur un concours de corde à sauter.</v>
      </c>
    </row>
    <row r="36045">
      <c r="A36045" s="4" t="s">
        <v>45338</v>
      </c>
      <c r="B36045" s="4" t="s">
        <v>45340</v>
      </c>
      <c r="C36045" s="5" t="str">
        <f>IFERROR(__xludf.DUMMYFUNCTION("GOOGLETRANSLATE(B36045,""en"",""fr"")"),"Une personne est montrée en faisant un ensemble de tours de corde à sauter.")</f>
        <v>Une personne est montrée en faisant un ensemble de tours de corde à sauter.</v>
      </c>
    </row>
    <row r="36046">
      <c r="A36046" s="4" t="s">
        <v>45338</v>
      </c>
      <c r="B36046" s="4" t="s">
        <v>45341</v>
      </c>
      <c r="C36046" s="5" t="str">
        <f>IFERROR(__xludf.DUMMYFUNCTION("GOOGLETRANSLATE(B36046,""en"",""fr"")"),"Deux personnes sont ensuite montrées en faisant plus de tours de corde à sauter.")</f>
        <v>Deux personnes sont ensuite montrées en faisant plus de tours de corde à sauter.</v>
      </c>
    </row>
    <row r="36047">
      <c r="A36047" s="4" t="s">
        <v>45338</v>
      </c>
      <c r="B36047" s="4" t="s">
        <v>45342</v>
      </c>
      <c r="C36047" s="5" t="str">
        <f>IFERROR(__xludf.DUMMYFUNCTION("GOOGLETRANSLATE(B36047,""en"",""fr"")"),"Ensuite, quatre personnes sont montrées en faisant des tours de corde à sauter dans le gymnase.")</f>
        <v>Ensuite, quatre personnes sont montrées en faisant des tours de corde à sauter dans le gymnase.</v>
      </c>
    </row>
    <row r="36048">
      <c r="A36048" s="4" t="s">
        <v>45338</v>
      </c>
      <c r="B36048" s="6" t="s">
        <v>45343</v>
      </c>
      <c r="C36048" s="5" t="str">
        <f>IFERROR(__xludf.DUMMYFUNCTION("GOOGLETRANSLATE(B36048,""en"",""fr"")"),"Ensuite, une variété de trucs sont présentés par plusieurs personnes différentes sur le sol dans le gymnase.")</f>
        <v>Ensuite, une variété de trucs sont présentés par plusieurs personnes différentes sur le sol dans le gymnase.</v>
      </c>
    </row>
    <row r="36049">
      <c r="A36049" s="4" t="s">
        <v>45338</v>
      </c>
      <c r="B36049" s="4" t="s">
        <v>45344</v>
      </c>
      <c r="C36049" s="5" t="str">
        <f>IFERROR(__xludf.DUMMYFUNCTION("GOOGLETRANSLATE(B36049,""en"",""fr"")"),"La vidéo se termine ensuite par les crédits de clôture.")</f>
        <v>La vidéo se termine ensuite par les crédits de clôture.</v>
      </c>
    </row>
    <row r="36050">
      <c r="A36050" s="4" t="s">
        <v>45345</v>
      </c>
      <c r="B36050" s="4" t="s">
        <v>45346</v>
      </c>
      <c r="C36050" s="5" t="str">
        <f>IFERROR(__xludf.DUMMYFUNCTION("GOOGLETRANSLATE(B36050,""en"",""fr"")"),"Nous voyons un écran d'ouverture rouge.")</f>
        <v>Nous voyons un écran d'ouverture rouge.</v>
      </c>
    </row>
    <row r="36051">
      <c r="A36051" s="4" t="s">
        <v>45345</v>
      </c>
      <c r="B36051" s="4" t="s">
        <v>45347</v>
      </c>
      <c r="C36051" s="5" t="str">
        <f>IFERROR(__xludf.DUMMYFUNCTION("GOOGLETRANSLATE(B36051,""en"",""fr"")"),"Vault à poteau d'hommes dans un champ extérieur.")</f>
        <v>Vault à poteau d'hommes dans un champ extérieur.</v>
      </c>
    </row>
    <row r="36052">
      <c r="A36052" s="4" t="s">
        <v>45345</v>
      </c>
      <c r="B36052" s="4" t="s">
        <v>45348</v>
      </c>
      <c r="C36052" s="5" t="str">
        <f>IFERROR(__xludf.DUMMYFUNCTION("GOOGLETRANSLATE(B36052,""en"",""fr"")"),"Le visage d'un homme à gauche de l'écran recule et sort du tir.")</f>
        <v>Le visage d'un homme à gauche de l'écran recule et sort du tir.</v>
      </c>
    </row>
    <row r="36053">
      <c r="A36053" s="4" t="s">
        <v>45345</v>
      </c>
      <c r="B36053" s="4" t="s">
        <v>45349</v>
      </c>
      <c r="C36053" s="5" t="str">
        <f>IFERROR(__xludf.DUMMYFUNCTION("GOOGLETRANSLATE(B36053,""en"",""fr"")"),"L'angle de la caméra change et nous continuons à regarder le saut à la perche des hommes.")</f>
        <v>L'angle de la caméra change et nous continuons à regarder le saut à la perche des hommes.</v>
      </c>
    </row>
    <row r="36054">
      <c r="A36054" s="4" t="s">
        <v>45350</v>
      </c>
      <c r="B36054" s="4" t="s">
        <v>45351</v>
      </c>
      <c r="C36054" s="5" t="str">
        <f>IFERROR(__xludf.DUMMYFUNCTION("GOOGLETRANSLATE(B36054,""en"",""fr"")"),"Un homme est vu en train de donner une foule en tenant plusieurs frisbees verts dans sa main.")</f>
        <v>Un homme est vu en train de donner une foule en tenant plusieurs frisbees verts dans sa main.</v>
      </c>
    </row>
    <row r="36055">
      <c r="A36055" s="4" t="s">
        <v>45350</v>
      </c>
      <c r="B36055" s="4" t="s">
        <v>45352</v>
      </c>
      <c r="C36055" s="5" t="str">
        <f>IFERROR(__xludf.DUMMYFUNCTION("GOOGLETRANSLATE(B36055,""en"",""fr"")"),"Après avoir parlé à la foule, il appelle et un chien s'enfuit sur scène vers lui.")</f>
        <v>Après avoir parlé à la foule, il appelle et un chien s'enfuit sur scène vers lui.</v>
      </c>
    </row>
    <row r="36056">
      <c r="A36056" s="4" t="s">
        <v>45350</v>
      </c>
      <c r="B36056" s="6" t="s">
        <v>45353</v>
      </c>
      <c r="C36056" s="5" t="str">
        <f>IFERROR(__xludf.DUMMYFUNCTION("GOOGLETRANSLATE(B36056,""en"",""fr"")"),"Au départ, il commence à jouer avec le chien et le chien a continué à essayer de saisir les frisbees de l'homme, que l'homme lance les Frisbees au sol et commence à jouer avec le chien.")</f>
        <v>Au départ, il commence à jouer avec le chien et le chien a continué à essayer de saisir les frisbees de l'homme, que l'homme lance les Frisbees au sol et commence à jouer avec le chien.</v>
      </c>
    </row>
    <row r="36057">
      <c r="A36057" s="4" t="s">
        <v>45350</v>
      </c>
      <c r="B36057" s="4" t="s">
        <v>45354</v>
      </c>
      <c r="C36057" s="5" t="str">
        <f>IFERROR(__xludf.DUMMYFUNCTION("GOOGLETRANSLATE(B36057,""en"",""fr"")"),"À un moment donné, le chien commence à sauter de l'homme en arrière alors qu'il poursuit après Frisbees.")</f>
        <v>À un moment donné, le chien commence à sauter de l'homme en arrière alors qu'il poursuit après Frisbees.</v>
      </c>
    </row>
    <row r="36058">
      <c r="A36058" s="4" t="s">
        <v>45350</v>
      </c>
      <c r="B36058" s="6" t="s">
        <v>45355</v>
      </c>
      <c r="C36058" s="5" t="str">
        <f>IFERROR(__xludf.DUMMYFUNCTION("GOOGLETRANSLATE(B36058,""en"",""fr"")"),"Aussi à un autre moment, l'homme saisit un frisbee à une extrémité et un chien à l'autre bout et il commence à faire tourner le chien.")</f>
        <v>Aussi à un autre moment, l'homme saisit un frisbee à une extrémité et un chien à l'autre bout et il commence à faire tourner le chien.</v>
      </c>
    </row>
    <row r="36059">
      <c r="A36059" s="4" t="s">
        <v>45350</v>
      </c>
      <c r="B36059" s="6" t="s">
        <v>45356</v>
      </c>
      <c r="C36059" s="5" t="str">
        <f>IFERROR(__xludf.DUMMYFUNCTION("GOOGLETRANSLATE(B36059,""en"",""fr"")"),"À la fin, l'homme effectue un tour avec le chien et lui fait faire un retournement du dos et l'attrape et le retire de la scène.")</f>
        <v>À la fin, l'homme effectue un tour avec le chien et lui fait faire un retournement du dos et l'attrape et le retire de la scène.</v>
      </c>
    </row>
    <row r="36060">
      <c r="A36060" s="4" t="s">
        <v>45357</v>
      </c>
      <c r="B36060" s="4" t="s">
        <v>45358</v>
      </c>
      <c r="C36060" s="5" t="str">
        <f>IFERROR(__xludf.DUMMYFUNCTION("GOOGLETRANSLATE(B36060,""en"",""fr"")"),"Un bébé est assis sur une chaise haute.")</f>
        <v>Un bébé est assis sur une chaise haute.</v>
      </c>
    </row>
    <row r="36061">
      <c r="A36061" s="4" t="s">
        <v>45357</v>
      </c>
      <c r="B36061" s="4" t="s">
        <v>45359</v>
      </c>
      <c r="C36061" s="5" t="str">
        <f>IFERROR(__xludf.DUMMYFUNCTION("GOOGLETRANSLATE(B36061,""en"",""fr"")"),"Une pop glacée entre dans sa bouche, et elle en mâche une bouchée.")</f>
        <v>Une pop glacée entre dans sa bouche, et elle en mâche une bouchée.</v>
      </c>
    </row>
    <row r="36062">
      <c r="A36062" s="4" t="s">
        <v>45357</v>
      </c>
      <c r="B36062" s="4" t="s">
        <v>45360</v>
      </c>
      <c r="C36062" s="5" t="str">
        <f>IFERROR(__xludf.DUMMYFUNCTION("GOOGLETRANSLATE(B36062,""en"",""fr"")"),"Elle sort sa langue après chaque bouchée, léchant les airs.")</f>
        <v>Elle sort sa langue après chaque bouchée, léchant les airs.</v>
      </c>
    </row>
    <row r="36063">
      <c r="A36063" s="4" t="s">
        <v>45361</v>
      </c>
      <c r="B36063" s="4" t="s">
        <v>45362</v>
      </c>
      <c r="C36063" s="5" t="str">
        <f>IFERROR(__xludf.DUMMYFUNCTION("GOOGLETRANSLATE(B36063,""en"",""fr"")"),"Un homme tient une boîte jaune alors qu'il efface une planche de bois.")</f>
        <v>Un homme tient une boîte jaune alors qu'il efface une planche de bois.</v>
      </c>
    </row>
    <row r="36064">
      <c r="A36064" s="4" t="s">
        <v>45361</v>
      </c>
      <c r="B36064" s="4" t="s">
        <v>45363</v>
      </c>
      <c r="C36064" s="5" t="str">
        <f>IFERROR(__xludf.DUMMYFUNCTION("GOOGLETRANSLATE(B36064,""en"",""fr"")"),"Il pulvérise le bois avec la cartouche jaune.")</f>
        <v>Il pulvérise le bois avec la cartouche jaune.</v>
      </c>
    </row>
    <row r="36065">
      <c r="A36065" s="4" t="s">
        <v>45361</v>
      </c>
      <c r="B36065" s="4" t="s">
        <v>45364</v>
      </c>
      <c r="C36065" s="5" t="str">
        <f>IFERROR(__xludf.DUMMYFUNCTION("GOOGLETRANSLATE(B36065,""en"",""fr"")"),"Il prend un chiffon et nettoie le bois.")</f>
        <v>Il prend un chiffon et nettoie le bois.</v>
      </c>
    </row>
    <row r="36066">
      <c r="A36066" s="4" t="s">
        <v>45361</v>
      </c>
      <c r="B36066" s="4" t="s">
        <v>45365</v>
      </c>
      <c r="C36066" s="5" t="str">
        <f>IFERROR(__xludf.DUMMYFUNCTION("GOOGLETRANSLATE(B36066,""en"",""fr"")"),"Il parle alors qu'il présente le bois et presse ses doigts sur la planche.")</f>
        <v>Il parle alors qu'il présente le bois et presse ses doigts sur la planche.</v>
      </c>
    </row>
    <row r="36067">
      <c r="A36067" s="4" t="s">
        <v>45366</v>
      </c>
      <c r="B36067" s="4" t="s">
        <v>45367</v>
      </c>
      <c r="C36067" s="5" t="str">
        <f>IFERROR(__xludf.DUMMYFUNCTION("GOOGLETRANSLATE(B36067,""en"",""fr"")"),"L'extérieur d'un bâtiment est représenté, y compris un drapeau américain agitée près de la porte d'entrée.")</f>
        <v>L'extérieur d'un bâtiment est représenté, y compris un drapeau américain agitée près de la porte d'entrée.</v>
      </c>
    </row>
    <row r="36068">
      <c r="A36068" s="4" t="s">
        <v>45366</v>
      </c>
      <c r="B36068" s="4" t="s">
        <v>45368</v>
      </c>
      <c r="C36068" s="5" t="str">
        <f>IFERROR(__xludf.DUMMYFUNCTION("GOOGLETRANSLATE(B36068,""en"",""fr"")"),"Un homme apparaît et parle d'un arbre près de l'avant du bâtiment.")</f>
        <v>Un homme apparaît et parle d'un arbre près de l'avant du bâtiment.</v>
      </c>
    </row>
    <row r="36069">
      <c r="A36069" s="4" t="s">
        <v>45366</v>
      </c>
      <c r="B36069" s="6" t="s">
        <v>45369</v>
      </c>
      <c r="C36069" s="5" t="str">
        <f>IFERROR(__xludf.DUMMYFUNCTION("GOOGLETRANSLATE(B36069,""en"",""fr"")"),"Il montre ensuite comment couper l'arbre, enlevant les branches au niveau des yeux et en utilisant un outil pour les branches plus grandes.")</f>
        <v>Il montre ensuite comment couper l'arbre, enlevant les branches au niveau des yeux et en utilisant un outil pour les branches plus grandes.</v>
      </c>
    </row>
    <row r="36070">
      <c r="A36070" s="4" t="s">
        <v>45366</v>
      </c>
      <c r="B36070" s="4" t="s">
        <v>45370</v>
      </c>
      <c r="C36070" s="5" t="str">
        <f>IFERROR(__xludf.DUMMYFUNCTION("GOOGLETRANSLATE(B36070,""en"",""fr"")"),"Le chapeau de l'entreprise est ensuite montré sur le pas, entouré de feuilles.")</f>
        <v>Le chapeau de l'entreprise est ensuite montré sur le pas, entouré de feuilles.</v>
      </c>
    </row>
    <row r="36071">
      <c r="A36071" s="4" t="s">
        <v>45371</v>
      </c>
      <c r="B36071" s="6" t="s">
        <v>45372</v>
      </c>
      <c r="C36071" s="5" t="str">
        <f>IFERROR(__xludf.DUMMYFUNCTION("GOOGLETRANSLATE(B36071,""en"",""fr"")"),"Au centre de Sandy Field, a les vaches qui se battent au centre, tandis que le public regarde sur les côtés, assis par terre.")</f>
        <v>Au centre de Sandy Field, a les vaches qui se battent au centre, tandis que le public regarde sur les côtés, assis par terre.</v>
      </c>
    </row>
    <row r="36072">
      <c r="A36072" s="4" t="s">
        <v>45371</v>
      </c>
      <c r="B36072" s="4" t="s">
        <v>45373</v>
      </c>
      <c r="C36072" s="5" t="str">
        <f>IFERROR(__xludf.DUMMYFUNCTION("GOOGLETRANSLATE(B36072,""en"",""fr"")"),"Trois hommes supervisent la corrida, le taureau se pousse les uns les autres avec leurs cornes.")</f>
        <v>Trois hommes supervisent la corrida, le taureau se pousse les uns les autres avec leurs cornes.</v>
      </c>
    </row>
    <row r="36073">
      <c r="A36073" s="4" t="s">
        <v>45371</v>
      </c>
      <c r="B36073" s="6" t="s">
        <v>45374</v>
      </c>
      <c r="C36073" s="5" t="str">
        <f>IFERROR(__xludf.DUMMYFUNCTION("GOOGLETRANSLATE(B36073,""en"",""fr"")"),"Un homme quitte son camion, l'autre homme a retiré le taureau de son camion, le taureau est attaché à des poteaux.")</f>
        <v>Un homme quitte son camion, l'autre homme a retiré le taureau de son camion, le taureau est attaché à des poteaux.</v>
      </c>
    </row>
    <row r="36074">
      <c r="A36074" s="4" t="s">
        <v>45371</v>
      </c>
      <c r="B36074" s="4" t="s">
        <v>45375</v>
      </c>
      <c r="C36074" s="5" t="str">
        <f>IFERROR(__xludf.DUMMYFUNCTION("GOOGLETRANSLATE(B36074,""en"",""fr"")"),"Deux hommes tiennent chaque extrémité de la corde tandis que le taureau noir perplexe sur le sol.")</f>
        <v>Deux hommes tiennent chaque extrémité de la corde tandis que le taureau noir perplexe sur le sol.</v>
      </c>
    </row>
    <row r="36075">
      <c r="A36075" s="4" t="s">
        <v>45371</v>
      </c>
      <c r="B36075" s="6" t="s">
        <v>45376</v>
      </c>
      <c r="C36075" s="5" t="str">
        <f>IFERROR(__xludf.DUMMYFUNCTION("GOOGLETRANSLATE(B36075,""en"",""fr"")"),"Les Bulls se battent au centre du terrain, et les gens regardent, un taureau a couru vers le public.")</f>
        <v>Les Bulls se battent au centre du terrain, et les gens regardent, un taureau a couru vers le public.</v>
      </c>
    </row>
    <row r="36076">
      <c r="A36076" s="4" t="s">
        <v>45377</v>
      </c>
      <c r="B36076" s="6" t="s">
        <v>45378</v>
      </c>
      <c r="C36076" s="5" t="str">
        <f>IFERROR(__xludf.DUMMYFUNCTION("GOOGLETRANSLATE(B36076,""en"",""fr"")"),"Une vue sur un large océan tiré d'un bateau apparaît et divers hommes sont montrés en faisant des choses différentes sur le bateau à l'intérieur et à l'extérieur et incluent la direction du pont du volant, ou s'asseoir sur des ordinateurs qui surveillaien"&amp;"t les choses.")</f>
        <v>Une vue sur un large océan tiré d'un bateau apparaît et divers hommes sont montrés en faisant des choses différentes sur le bateau à l'intérieur et à l'extérieur et incluent la direction du pont du volant, ou s'asseoir sur des ordinateurs qui surveillaient les choses.</v>
      </c>
    </row>
    <row r="36077">
      <c r="A36077" s="4" t="s">
        <v>45377</v>
      </c>
      <c r="B36077" s="6" t="s">
        <v>45379</v>
      </c>
      <c r="C36077" s="5" t="str">
        <f>IFERROR(__xludf.DUMMYFUNCTION("GOOGLETRANSLATE(B36077,""en"",""fr"")"),"Un homme assis sur le pont du bateau parle à la caméra tandis qu'un homme derrière lui est debout et l'homme à côté de cet homme debout contrôle le volant du bateau.")</f>
        <v>Un homme assis sur le pont du bateau parle à la caméra tandis qu'un homme derrière lui est debout et l'homme à côté de cet homme debout contrôle le volant du bateau.</v>
      </c>
    </row>
    <row r="36078">
      <c r="A36078" s="4" t="s">
        <v>45377</v>
      </c>
      <c r="B36078" s="4" t="s">
        <v>45380</v>
      </c>
      <c r="C36078" s="5" t="str">
        <f>IFERROR(__xludf.DUMMYFUNCTION("GOOGLETRANSLATE(B36078,""en"",""fr"")"),"L'objectif passe à un autre homme sur le bateau et il parle également à la caméra.")</f>
        <v>L'objectif passe à un autre homme sur le bateau et il parle également à la caméra.</v>
      </c>
    </row>
    <row r="36079">
      <c r="A36079" s="4" t="s">
        <v>45381</v>
      </c>
      <c r="B36079" s="4" t="s">
        <v>45382</v>
      </c>
      <c r="C36079" s="5" t="str">
        <f>IFERROR(__xludf.DUMMYFUNCTION("GOOGLETRANSLATE(B36079,""en"",""fr"")"),"Une femme asiatique se tient à l'extérieur dans un grand champ portant un linge rose comme une tenue.")</f>
        <v>Une femme asiatique se tient à l'extérieur dans un grand champ portant un linge rose comme une tenue.</v>
      </c>
    </row>
    <row r="36080">
      <c r="A36080" s="4" t="s">
        <v>45381</v>
      </c>
      <c r="B36080" s="4" t="s">
        <v>45383</v>
      </c>
      <c r="C36080" s="5" t="str">
        <f>IFERROR(__xludf.DUMMYFUNCTION("GOOGLETRANSLATE(B36080,""en"",""fr"")"),"Elle éteint ensuite ses jambes et ses mains et commence à bouger comme un ninja sur tout le terrain.")</f>
        <v>Elle éteint ensuite ses jambes et ses mains et commence à bouger comme un ninja sur tout le terrain.</v>
      </c>
    </row>
    <row r="36081">
      <c r="A36081" s="4" t="s">
        <v>45381</v>
      </c>
      <c r="B36081" s="6" t="s">
        <v>45384</v>
      </c>
      <c r="C36081" s="5" t="str">
        <f>IFERROR(__xludf.DUMMYFUNCTION("GOOGLETRANSLATE(B36081,""en"",""fr"")"),"Après avoir déménagé à gauche et à droite à travers le champ, elle revient ensuite au milieu du terrain et se tient immobile pour terminer sa routine.")</f>
        <v>Après avoir déménagé à gauche et à droite à travers le champ, elle revient ensuite au milieu du terrain et se tient immobile pour terminer sa routine.</v>
      </c>
    </row>
    <row r="36082">
      <c r="A36082" s="4" t="s">
        <v>45385</v>
      </c>
      <c r="B36082" s="4" t="s">
        <v>45386</v>
      </c>
      <c r="C36082" s="5" t="str">
        <f>IFERROR(__xludf.DUMMYFUNCTION("GOOGLETRANSLATE(B36082,""en"",""fr"")"),"Une femme en chemise orange boit un verre de bière.")</f>
        <v>Une femme en chemise orange boit un verre de bière.</v>
      </c>
    </row>
    <row r="36083">
      <c r="A36083" s="4" t="s">
        <v>45385</v>
      </c>
      <c r="B36083" s="4" t="s">
        <v>45387</v>
      </c>
      <c r="C36083" s="5" t="str">
        <f>IFERROR(__xludf.DUMMYFUNCTION("GOOGLETRANSLATE(B36083,""en"",""fr"")"),"La bière se déverse sur le devant de sa chemise.")</f>
        <v>La bière se déverse sur le devant de sa chemise.</v>
      </c>
    </row>
    <row r="36084">
      <c r="A36084" s="4" t="s">
        <v>45385</v>
      </c>
      <c r="B36084" s="4" t="s">
        <v>45388</v>
      </c>
      <c r="C36084" s="5" t="str">
        <f>IFERROR(__xludf.DUMMYFUNCTION("GOOGLETRANSLATE(B36084,""en"",""fr"")"),"Les gens derrière elle dansent.")</f>
        <v>Les gens derrière elle dansent.</v>
      </c>
    </row>
    <row r="36085">
      <c r="A36085" s="4" t="s">
        <v>45385</v>
      </c>
      <c r="B36085" s="4" t="s">
        <v>45389</v>
      </c>
      <c r="C36085" s="5" t="str">
        <f>IFERROR(__xludf.DUMMYFUNCTION("GOOGLETRANSLATE(B36085,""en"",""fr"")"),"Elle termine la boisson et la retire.")</f>
        <v>Elle termine la boisson et la retire.</v>
      </c>
    </row>
    <row r="36086">
      <c r="A36086" s="4" t="s">
        <v>45390</v>
      </c>
      <c r="B36086" s="4" t="s">
        <v>45391</v>
      </c>
      <c r="C36086" s="5" t="str">
        <f>IFERROR(__xludf.DUMMYFUNCTION("GOOGLETRANSLATE(B36086,""en"",""fr"")"),"Un homme dans une chemise bronzée parle.")</f>
        <v>Un homme dans une chemise bronzée parle.</v>
      </c>
    </row>
    <row r="36087">
      <c r="A36087" s="4" t="s">
        <v>45390</v>
      </c>
      <c r="B36087" s="4" t="s">
        <v>45392</v>
      </c>
      <c r="C36087" s="5" t="str">
        <f>IFERROR(__xludf.DUMMYFUNCTION("GOOGLETRANSLATE(B36087,""en"",""fr"")"),"Il pose sa raquette de tennis sur le sol.")</f>
        <v>Il pose sa raquette de tennis sur le sol.</v>
      </c>
    </row>
    <row r="36088">
      <c r="A36088" s="4" t="s">
        <v>45390</v>
      </c>
      <c r="B36088" s="4" t="s">
        <v>45393</v>
      </c>
      <c r="C36088" s="5" t="str">
        <f>IFERROR(__xludf.DUMMYFUNCTION("GOOGLETRANSLATE(B36088,""en"",""fr"")"),"Un autre homme court sur un court de tennis.")</f>
        <v>Un autre homme court sur un court de tennis.</v>
      </c>
    </row>
    <row r="36089">
      <c r="A36089" s="4" t="s">
        <v>45394</v>
      </c>
      <c r="B36089" s="6" t="s">
        <v>45395</v>
      </c>
      <c r="C36089" s="5" t="str">
        <f>IFERROR(__xludf.DUMMYFUNCTION("GOOGLETRANSLATE(B36089,""en"",""fr"")"),"Un chien noir et blanc se tient près de la porte principale d'une maison alors qu'il écoute le son de l'hélicoptère.")</f>
        <v>Un chien noir et blanc se tient près de la porte principale d'une maison alors qu'il écoute le son de l'hélicoptère.</v>
      </c>
    </row>
    <row r="36090">
      <c r="A36090" s="4" t="s">
        <v>45394</v>
      </c>
      <c r="B36090" s="4" t="s">
        <v>45396</v>
      </c>
      <c r="C36090" s="5" t="str">
        <f>IFERROR(__xludf.DUMMYFUNCTION("GOOGLETRANSLATE(B36090,""en"",""fr"")"),"Ensuite, la porte principale s'ouvre puis s'ouvre et le chien recule.")</f>
        <v>Ensuite, la porte principale s'ouvre puis s'ouvre et le chien recule.</v>
      </c>
    </row>
    <row r="36091">
      <c r="A36091" s="4" t="s">
        <v>45394</v>
      </c>
      <c r="B36091" s="4" t="s">
        <v>45397</v>
      </c>
      <c r="C36091" s="5" t="str">
        <f>IFERROR(__xludf.DUMMYFUNCTION("GOOGLETRANSLATE(B36091,""en"",""fr"")"),"Il y a deux entraîneurs de chiens dans une salle fermée qui entraîne un chien pour sauter et attraper plusieurs frisbee.")</f>
        <v>Il y a deux entraîneurs de chiens dans une salle fermée qui entraîne un chien pour sauter et attraper plusieurs frisbee.</v>
      </c>
    </row>
    <row r="36092">
      <c r="A36092" s="4" t="s">
        <v>45394</v>
      </c>
      <c r="B36092" s="4" t="s">
        <v>45398</v>
      </c>
      <c r="C36092" s="5" t="str">
        <f>IFERROR(__xludf.DUMMYFUNCTION("GOOGLETRANSLATE(B36092,""en"",""fr"")"),"L'entraîneur masculin lance le frisbee sur le chien et le chien saute et le récupére pour lui.")</f>
        <v>L'entraîneur masculin lance le frisbee sur le chien et le chien saute et le récupére pour lui.</v>
      </c>
    </row>
    <row r="36093">
      <c r="A36093" s="4" t="s">
        <v>45394</v>
      </c>
      <c r="B36093" s="6" t="s">
        <v>45399</v>
      </c>
      <c r="C36093" s="5" t="str">
        <f>IFERROR(__xludf.DUMMYFUNCTION("GOOGLETRANSLATE(B36093,""en"",""fr"")"),"L'entraîneur jette en permanence le frisbee et le chien saute haut et attrape le frisbee à chaque fois.")</f>
        <v>L'entraîneur jette en permanence le frisbee et le chien saute haut et attrape le frisbee à chaque fois.</v>
      </c>
    </row>
    <row r="36094">
      <c r="A36094" s="4" t="s">
        <v>45394</v>
      </c>
      <c r="B36094" s="4" t="s">
        <v>45400</v>
      </c>
      <c r="C36094" s="5" t="str">
        <f>IFERROR(__xludf.DUMMYFUNCTION("GOOGLETRANSLATE(B36094,""en"",""fr"")"),"Il existe plusieurs entraîneurs différents qui ont fait la formation et l'enseignement des astuces de leurs chiens.")</f>
        <v>Il existe plusieurs entraîneurs différents qui ont fait la formation et l'enseignement des astuces de leurs chiens.</v>
      </c>
    </row>
    <row r="36095">
      <c r="A36095" s="4" t="s">
        <v>45401</v>
      </c>
      <c r="B36095" s="4" t="s">
        <v>45402</v>
      </c>
      <c r="C36095" s="5" t="str">
        <f>IFERROR(__xludf.DUMMYFUNCTION("GOOGLETRANSLATE(B36095,""en"",""fr"")"),"Une introduction pour une démo à vide est affichée à l'écran.")</f>
        <v>Une introduction pour une démo à vide est affichée à l'écran.</v>
      </c>
    </row>
    <row r="36096">
      <c r="A36096" s="4" t="s">
        <v>45401</v>
      </c>
      <c r="B36096" s="6" t="s">
        <v>45403</v>
      </c>
      <c r="C36096" s="5" t="str">
        <f>IFERROR(__xludf.DUMMYFUNCTION("GOOGLETRANSLATE(B36096,""en"",""fr"")"),"La vidéo montre le vide testé contre plusieurs défis différents d'un garçon et de son père.")</f>
        <v>La vidéo montre le vide testé contre plusieurs défis différents d'un garçon et de son père.</v>
      </c>
    </row>
    <row r="36097">
      <c r="A36097" s="4" t="s">
        <v>45401</v>
      </c>
      <c r="B36097" s="4" t="s">
        <v>45404</v>
      </c>
      <c r="C36097" s="5" t="str">
        <f>IFERROR(__xludf.DUMMYFUNCTION("GOOGLETRANSLATE(B36097,""en"",""fr"")"),"La vidéo se termine par un écran montrant le logo de la société sous vide.")</f>
        <v>La vidéo se termine par un écran montrant le logo de la société sous vide.</v>
      </c>
    </row>
    <row r="36098">
      <c r="A36098" s="4" t="s">
        <v>45405</v>
      </c>
      <c r="B36098" s="6" t="s">
        <v>45406</v>
      </c>
      <c r="C36098" s="5" t="str">
        <f>IFERROR(__xludf.DUMMYFUNCTION("GOOGLETRANSLATE(B36098,""en"",""fr"")"),"Deux femmes portant des tenues assorties sont sur leurs microphones et en quelque sorte à moitié regarder un garçon jouer avec un cube Rubix.")</f>
        <v>Deux femmes portant des tenues assorties sont sur leurs microphones et en quelque sorte à moitié regarder un garçon jouer avec un cube Rubix.</v>
      </c>
    </row>
    <row r="36099">
      <c r="A36099" s="4" t="s">
        <v>45405</v>
      </c>
      <c r="B36099" s="4" t="s">
        <v>45407</v>
      </c>
      <c r="C36099" s="5" t="str">
        <f>IFERROR(__xludf.DUMMYFUNCTION("GOOGLETRANSLATE(B36099,""en"",""fr"")"),"Le garçon résout le cube assez rapidement, la fille semble assez choquée.")</f>
        <v>Le garçon résout le cube assez rapidement, la fille semble assez choquée.</v>
      </c>
    </row>
    <row r="36100">
      <c r="A36100" s="4" t="s">
        <v>45405</v>
      </c>
      <c r="B36100" s="4" t="s">
        <v>45408</v>
      </c>
      <c r="C36100" s="5" t="str">
        <f>IFERROR(__xludf.DUMMYFUNCTION("GOOGLETRANSLATE(B36100,""en"",""fr"")"),"Ensuite, un groupe de personnes commence à essayer un puzzle pour voir qui est le plus rapide.")</f>
        <v>Ensuite, un groupe de personnes commence à essayer un puzzle pour voir qui est le plus rapide.</v>
      </c>
    </row>
    <row r="36101">
      <c r="A36101" s="4" t="s">
        <v>45405</v>
      </c>
      <c r="B36101" s="6" t="s">
        <v>45409</v>
      </c>
      <c r="C36101" s="5" t="str">
        <f>IFERROR(__xludf.DUMMYFUNCTION("GOOGLETRANSLATE(B36101,""en"",""fr"")"),"Un autre garçon dans une chemise bleue arrive et commence à le résoudre et quand il fait, les filles donnent un prix à HimE.")</f>
        <v>Un autre garçon dans une chemise bleue arrive et commence à le résoudre et quand il fait, les filles donnent un prix à HimE.</v>
      </c>
    </row>
    <row r="36102">
      <c r="A36102" s="4" t="s">
        <v>45410</v>
      </c>
      <c r="B36102" s="4" t="s">
        <v>45411</v>
      </c>
      <c r="C36102" s="5" t="str">
        <f>IFERROR(__xludf.DUMMYFUNCTION("GOOGLETRANSLATE(B36102,""en"",""fr"")"),"Une personne observe un vieux temple de samouraï.")</f>
        <v>Une personne observe un vieux temple de samouraï.</v>
      </c>
    </row>
    <row r="36103">
      <c r="A36103" s="4" t="s">
        <v>45410</v>
      </c>
      <c r="B36103" s="4" t="s">
        <v>45412</v>
      </c>
      <c r="C36103" s="5" t="str">
        <f>IFERROR(__xludf.DUMMYFUNCTION("GOOGLETRANSLATE(B36103,""en"",""fr"")"),"Un homme tient une arche et tire des flèches, tandis que les hommes sont assis sur la route des flèches.")</f>
        <v>Un homme tient une arche et tire des flèches, tandis que les hommes sont assis sur la route des flèches.</v>
      </c>
    </row>
    <row r="36104">
      <c r="A36104" s="4" t="s">
        <v>45410</v>
      </c>
      <c r="B36104" s="4" t="s">
        <v>45413</v>
      </c>
      <c r="C36104" s="5" t="str">
        <f>IFERROR(__xludf.DUMMYFUNCTION("GOOGLETRANSLATE(B36104,""en"",""fr"")"),"Trois petites planches sont correctes sur le sol, soudainement et Arrow frappe une planche.")</f>
        <v>Trois petites planches sont correctes sur le sol, soudainement et Arrow frappe une planche.</v>
      </c>
    </row>
    <row r="36105">
      <c r="A36105" s="4" t="s">
        <v>45410</v>
      </c>
      <c r="B36105" s="4" t="s">
        <v>45414</v>
      </c>
      <c r="C36105" s="5" t="str">
        <f>IFERROR(__xludf.DUMMYFUNCTION("GOOGLETRANSLATE(B36105,""en"",""fr"")"),"Les gens se rassemblent sur une route, puis un vieil homme donne une boîte blanche à un homme vêtu de vêtements blancs.")</f>
        <v>Les gens se rassemblent sur une route, puis un vieil homme donne une boîte blanche à un homme vêtu de vêtements blancs.</v>
      </c>
    </row>
    <row r="36106">
      <c r="A36106" s="4" t="s">
        <v>45415</v>
      </c>
      <c r="B36106" s="4" t="s">
        <v>45416</v>
      </c>
      <c r="C36106" s="5" t="str">
        <f>IFERROR(__xludf.DUMMYFUNCTION("GOOGLETRANSLATE(B36106,""en"",""fr"")"),"Un garçon fait des roues de charrette et des ressorts à la main sur l'herbe alors qu'un ami regarde et registre.")</f>
        <v>Un garçon fait des roues de charrette et des ressorts à la main sur l'herbe alors qu'un ami regarde et registre.</v>
      </c>
    </row>
    <row r="36107">
      <c r="A36107" s="4" t="s">
        <v>45415</v>
      </c>
      <c r="B36107" s="4" t="s">
        <v>45417</v>
      </c>
      <c r="C36107" s="5" t="str">
        <f>IFERROR(__xludf.DUMMYFUNCTION("GOOGLETRANSLATE(B36107,""en"",""fr"")"),"Il s'arrête un instant et fait une pause puis continue de faire plus de flips.")</f>
        <v>Il s'arrête un instant et fait une pause puis continue de faire plus de flips.</v>
      </c>
    </row>
    <row r="36108">
      <c r="A36108" s="4" t="s">
        <v>45415</v>
      </c>
      <c r="B36108" s="4" t="s">
        <v>45418</v>
      </c>
      <c r="C36108" s="5" t="str">
        <f>IFERROR(__xludf.DUMMYFUNCTION("GOOGLETRANSLATE(B36108,""en"",""fr"")"),"Un autre gars vient sur l'écran et tente de faire quelques flips sur l'herbe.")</f>
        <v>Un autre gars vient sur l'écran et tente de faire quelques flips sur l'herbe.</v>
      </c>
    </row>
    <row r="36109">
      <c r="A36109" s="4" t="s">
        <v>45419</v>
      </c>
      <c r="B36109" s="4" t="s">
        <v>45420</v>
      </c>
      <c r="C36109" s="5" t="str">
        <f>IFERROR(__xludf.DUMMYFUNCTION("GOOGLETRANSLATE(B36109,""en"",""fr"")"),"Une fille sort d'une pièce et dans une salle.")</f>
        <v>Une fille sort d'une pièce et dans une salle.</v>
      </c>
    </row>
    <row r="36110">
      <c r="A36110" s="4" t="s">
        <v>45419</v>
      </c>
      <c r="B36110" s="4" t="s">
        <v>45421</v>
      </c>
      <c r="C36110" s="5" t="str">
        <f>IFERROR(__xludf.DUMMYFUNCTION("GOOGLETRANSLATE(B36110,""en"",""fr"")"),"Elle pose son sac Duffel avant de s'allonger sur une table.")</f>
        <v>Elle pose son sac Duffel avant de s'allonger sur une table.</v>
      </c>
    </row>
    <row r="36111">
      <c r="A36111" s="4" t="s">
        <v>45419</v>
      </c>
      <c r="B36111" s="4" t="s">
        <v>45422</v>
      </c>
      <c r="C36111" s="5" t="str">
        <f>IFERROR(__xludf.DUMMYFUNCTION("GOOGLETRANSLATE(B36111,""en"",""fr"")"),"Quelqu'un lui tend une tasse et elle le boit, puis il travaille sur la tatouage de sa langue.")</f>
        <v>Quelqu'un lui tend une tasse et elle le boit, puis il travaille sur la tatouage de sa langue.</v>
      </c>
    </row>
    <row r="36112">
      <c r="A36112" s="4" t="s">
        <v>45419</v>
      </c>
      <c r="B36112" s="4" t="s">
        <v>45423</v>
      </c>
      <c r="C36112" s="5" t="str">
        <f>IFERROR(__xludf.DUMMYFUNCTION("GOOGLETRANSLATE(B36112,""en"",""fr"")"),"Une tige est insérée dans sa tonue et coupée, créant un piercing.")</f>
        <v>Une tige est insérée dans sa tonue et coupée, créant un piercing.</v>
      </c>
    </row>
    <row r="36113">
      <c r="A36113" s="4" t="s">
        <v>45419</v>
      </c>
      <c r="B36113" s="4" t="s">
        <v>45424</v>
      </c>
      <c r="C36113" s="5" t="str">
        <f>IFERROR(__xludf.DUMMYFUNCTION("GOOGLETRANSLATE(B36113,""en"",""fr"")"),"Elle sort sa langue à la caméra, montrant son piercing.")</f>
        <v>Elle sort sa langue à la caméra, montrant son piercing.</v>
      </c>
    </row>
    <row r="36114">
      <c r="A36114" s="4" t="s">
        <v>45425</v>
      </c>
      <c r="B36114" s="4" t="s">
        <v>45426</v>
      </c>
      <c r="C36114" s="5" t="str">
        <f>IFERROR(__xludf.DUMMYFUNCTION("GOOGLETRANSLATE(B36114,""en"",""fr"")"),"Un gardien pulvérise le comptoir d'un évier avec un flacon pulvérisateur.")</f>
        <v>Un gardien pulvérise le comptoir d'un évier avec un flacon pulvérisateur.</v>
      </c>
    </row>
    <row r="36115">
      <c r="A36115" s="4" t="s">
        <v>45425</v>
      </c>
      <c r="B36115" s="4" t="s">
        <v>45427</v>
      </c>
      <c r="C36115" s="5" t="str">
        <f>IFERROR(__xludf.DUMMYFUNCTION("GOOGLETRANSLATE(B36115,""en"",""fr"")"),"Le travailleur utilise une brosse pour nettoyer l'évier.")</f>
        <v>Le travailleur utilise une brosse pour nettoyer l'évier.</v>
      </c>
    </row>
    <row r="36116">
      <c r="A36116" s="4" t="s">
        <v>45425</v>
      </c>
      <c r="B36116" s="4" t="s">
        <v>45428</v>
      </c>
      <c r="C36116" s="5" t="str">
        <f>IFERROR(__xludf.DUMMYFUNCTION("GOOGLETRANSLATE(B36116,""en"",""fr"")"),"Le travailleur utilise une serviette à main pour nettoyer le liquide dans l'évier.")</f>
        <v>Le travailleur utilise une serviette à main pour nettoyer le liquide dans l'évier.</v>
      </c>
    </row>
    <row r="36117">
      <c r="A36117" s="4" t="s">
        <v>45429</v>
      </c>
      <c r="B36117" s="4" t="s">
        <v>45430</v>
      </c>
      <c r="C36117" s="5" t="str">
        <f>IFERROR(__xludf.DUMMYFUNCTION("GOOGLETRANSLATE(B36117,""en"",""fr"")"),"Un homme parle de ce qui se passe dans la télévision derrière lui comme un reportage.")</f>
        <v>Un homme parle de ce qui se passe dans la télévision derrière lui comme un reportage.</v>
      </c>
    </row>
    <row r="36118">
      <c r="A36118" s="4" t="s">
        <v>45429</v>
      </c>
      <c r="B36118" s="4" t="s">
        <v>45431</v>
      </c>
      <c r="C36118" s="5" t="str">
        <f>IFERROR(__xludf.DUMMYFUNCTION("GOOGLETRANSLATE(B36118,""en"",""fr"")"),"Un groupe de personnes est sur le terrain en jouant à un jeu qui fonctionne tout autour.")</f>
        <v>Un groupe de personnes est sur le terrain en jouant à un jeu qui fonctionne tout autour.</v>
      </c>
    </row>
    <row r="36119">
      <c r="A36119" s="4" t="s">
        <v>45429</v>
      </c>
      <c r="B36119" s="4" t="s">
        <v>45432</v>
      </c>
      <c r="C36119" s="5" t="str">
        <f>IFERROR(__xludf.DUMMYFUNCTION("GOOGLETRANSLATE(B36119,""en"",""fr"")"),"Beaucoup de joueurs peuvent avoir une chance de parler de l'équipe et de tout ça.")</f>
        <v>Beaucoup de joueurs peuvent avoir une chance de parler de l'équipe et de tout ça.</v>
      </c>
    </row>
    <row r="36120">
      <c r="A36120" s="4" t="s">
        <v>45429</v>
      </c>
      <c r="B36120" s="6" t="s">
        <v>45433</v>
      </c>
      <c r="C36120" s="5" t="str">
        <f>IFERROR(__xludf.DUMMYFUNCTION("GOOGLETRANSLATE(B36120,""en"",""fr"")"),"Ils montrent la pratique et les joueurs, puis ils retournent aux ancres de nouvelles qui continuent d'en parler un peu plus.")</f>
        <v>Ils montrent la pratique et les joueurs, puis ils retournent aux ancres de nouvelles qui continuent d'en parler un peu plus.</v>
      </c>
    </row>
    <row r="36121">
      <c r="A36121" s="4" t="s">
        <v>45434</v>
      </c>
      <c r="B36121" s="4" t="s">
        <v>45435</v>
      </c>
      <c r="C36121" s="5" t="str">
        <f>IFERROR(__xludf.DUMMYFUNCTION("GOOGLETRANSLATE(B36121,""en"",""fr"")"),"Une femme se tient dans une cuisine en parlant.")</f>
        <v>Une femme se tient dans une cuisine en parlant.</v>
      </c>
    </row>
    <row r="36122">
      <c r="A36122" s="4" t="s">
        <v>45434</v>
      </c>
      <c r="B36122" s="4" t="s">
        <v>45436</v>
      </c>
      <c r="C36122" s="5" t="str">
        <f>IFERROR(__xludf.DUMMYFUNCTION("GOOGLETRANSLATE(B36122,""en"",""fr"")"),"Elle montre un sac, poussant dessus avec son poing.")</f>
        <v>Elle montre un sac, poussant dessus avec son poing.</v>
      </c>
    </row>
    <row r="36123">
      <c r="A36123" s="4" t="s">
        <v>45434</v>
      </c>
      <c r="B36123" s="4" t="s">
        <v>45437</v>
      </c>
      <c r="C36123" s="5" t="str">
        <f>IFERROR(__xludf.DUMMYFUNCTION("GOOGLETRANSLATE(B36123,""en"",""fr"")"),"Elle le ferme et montre comment il reste en forme.")</f>
        <v>Elle le ferme et montre comment il reste en forme.</v>
      </c>
    </row>
    <row r="36124">
      <c r="A36124" s="4" t="s">
        <v>45438</v>
      </c>
      <c r="B36124" s="4" t="s">
        <v>6759</v>
      </c>
      <c r="C36124" s="5" t="str">
        <f>IFERROR(__xludf.DUMMYFUNCTION("GOOGLETRANSLATE(B36124,""en"",""fr"")"),"Les gens se tiennent sur un champ d'herbe.")</f>
        <v>Les gens se tiennent sur un champ d'herbe.</v>
      </c>
    </row>
    <row r="36125">
      <c r="A36125" s="4" t="s">
        <v>45438</v>
      </c>
      <c r="B36125" s="4" t="s">
        <v>45439</v>
      </c>
      <c r="C36125" s="5" t="str">
        <f>IFERROR(__xludf.DUMMYFUNCTION("GOOGLETRANSLATE(B36125,""en"",""fr"")"),"Un homme ramasse un long poteau et commence à courir sur une piste.")</f>
        <v>Un homme ramasse un long poteau et commence à courir sur une piste.</v>
      </c>
    </row>
    <row r="36126">
      <c r="A36126" s="4" t="s">
        <v>45438</v>
      </c>
      <c r="B36126" s="4" t="s">
        <v>45440</v>
      </c>
      <c r="C36126" s="5" t="str">
        <f>IFERROR(__xludf.DUMMYFUNCTION("GOOGLETRANSLATE(B36126,""en"",""fr"")"),"Il saute par-dessus une barre haute et atterrit sur un tapis.")</f>
        <v>Il saute par-dessus une barre haute et atterrit sur un tapis.</v>
      </c>
    </row>
    <row r="36127">
      <c r="A36127" s="4" t="s">
        <v>45441</v>
      </c>
      <c r="B36127" s="4" t="s">
        <v>45442</v>
      </c>
      <c r="C36127" s="5" t="str">
        <f>IFERROR(__xludf.DUMMYFUNCTION("GOOGLETRANSLATE(B36127,""en"",""fr"")"),"Plusieurs personnes sont vues monter sur du matériel d'exercice tout en parlant à la caméra.")</f>
        <v>Plusieurs personnes sont vues monter sur du matériel d'exercice tout en parlant à la caméra.</v>
      </c>
    </row>
    <row r="36128">
      <c r="A36128" s="4" t="s">
        <v>45441</v>
      </c>
      <c r="B36128" s="4" t="s">
        <v>45443</v>
      </c>
      <c r="C36128" s="5" t="str">
        <f>IFERROR(__xludf.DUMMYFUNCTION("GOOGLETRANSLATE(B36128,""en"",""fr"")"),"Un homme est vu parler à la caméra tandis que davantage de photos de l'équipement sont affichées.")</f>
        <v>Un homme est vu parler à la caméra tandis que davantage de photos de l'équipement sont affichées.</v>
      </c>
    </row>
    <row r="36129">
      <c r="A36129" s="4" t="s">
        <v>45441</v>
      </c>
      <c r="B36129" s="6" t="s">
        <v>45444</v>
      </c>
      <c r="C36129" s="5" t="str">
        <f>IFERROR(__xludf.DUMMYFUNCTION("GOOGLETRANSLATE(B36129,""en"",""fr"")"),"Les gens se déplacent tout autour de la machine et mènent avec l'homme parlant davantage et montrant comment ajuster la machine.")</f>
        <v>Les gens se déplacent tout autour de la machine et mènent avec l'homme parlant davantage et montrant comment ajuster la machine.</v>
      </c>
    </row>
    <row r="36130">
      <c r="A36130" s="4" t="s">
        <v>45445</v>
      </c>
      <c r="B36130" s="6" t="s">
        <v>45446</v>
      </c>
      <c r="C36130" s="5" t="str">
        <f>IFERROR(__xludf.DUMMYFUNCTION("GOOGLETRANSLATE(B36130,""en"",""fr"")"),"Certaines personnes jouent à la bière Bong s'amusant, l'homme lance le poing et il en fait la coupe des filles.")</f>
        <v>Certaines personnes jouent à la bière Bong s'amusant, l'homme lance le poing et il en fait la coupe des filles.</v>
      </c>
    </row>
    <row r="36131">
      <c r="A36131" s="4" t="s">
        <v>45445</v>
      </c>
      <c r="B36131" s="4" t="s">
        <v>45447</v>
      </c>
      <c r="C36131" s="5" t="str">
        <f>IFERROR(__xludf.DUMMYFUNCTION("GOOGLETRANSLATE(B36131,""en"",""fr"")"),"Elle boit son boisson puis assouplit sa balle dans l'eau avant de lancer sa balle.")</f>
        <v>Elle boit son boisson puis assouplit sa balle dans l'eau avant de lancer sa balle.</v>
      </c>
    </row>
    <row r="36132">
      <c r="A36132" s="4" t="s">
        <v>45445</v>
      </c>
      <c r="B36132" s="4" t="s">
        <v>45448</v>
      </c>
      <c r="C36132" s="5" t="str">
        <f>IFERROR(__xludf.DUMMYFUNCTION("GOOGLETRANSLATE(B36132,""en"",""fr"")"),"Ensuite, elle prend place et l'autre gars prend son tour.")</f>
        <v>Ensuite, elle prend place et l'autre gars prend son tour.</v>
      </c>
    </row>
    <row r="36133">
      <c r="A36133" s="4" t="s">
        <v>45445</v>
      </c>
      <c r="B36133" s="6" t="s">
        <v>45449</v>
      </c>
      <c r="C36133" s="5" t="str">
        <f>IFERROR(__xludf.DUMMYFUNCTION("GOOGLETRANSLATE(B36133,""en"",""fr"")"),"Ensuite, c'est la fille des autres équipes tourne, ils continuent de prendre leur tour et de boire, passer un bon moment.")</f>
        <v>Ensuite, c'est la fille des autres équipes tourne, ils continuent de prendre leur tour et de boire, passer un bon moment.</v>
      </c>
    </row>
    <row r="36134">
      <c r="A36134" s="4" t="s">
        <v>45450</v>
      </c>
      <c r="B36134" s="4" t="s">
        <v>45451</v>
      </c>
      <c r="C36134" s="5" t="str">
        <f>IFERROR(__xludf.DUMMYFUNCTION("GOOGLETRANSLATE(B36134,""en"",""fr"")"),"Nous voyons une dame derrière un bar parler.")</f>
        <v>Nous voyons une dame derrière un bar parler.</v>
      </c>
    </row>
    <row r="36135">
      <c r="A36135" s="4" t="s">
        <v>45450</v>
      </c>
      <c r="B36135" s="4" t="s">
        <v>45452</v>
      </c>
      <c r="C36135" s="5" t="str">
        <f>IFERROR(__xludf.DUMMYFUNCTION("GOOGLETRANSLATE(B36135,""en"",""fr"")"),"La dame verse de la glace dans du verre.")</f>
        <v>La dame verse de la glace dans du verre.</v>
      </c>
    </row>
    <row r="36136">
      <c r="A36136" s="4" t="s">
        <v>45450</v>
      </c>
      <c r="B36136" s="4" t="s">
        <v>45453</v>
      </c>
      <c r="C36136" s="5" t="str">
        <f>IFERROR(__xludf.DUMMYFUNCTION("GOOGLETRANSLATE(B36136,""en"",""fr"")"),"La dame verse trois coups d'alcool dans une tasse.")</f>
        <v>La dame verse trois coups d'alcool dans une tasse.</v>
      </c>
    </row>
    <row r="36137">
      <c r="A36137" s="4" t="s">
        <v>45450</v>
      </c>
      <c r="B36137" s="4" t="s">
        <v>45454</v>
      </c>
      <c r="C36137" s="5" t="str">
        <f>IFERROR(__xludf.DUMMYFUNCTION("GOOGLETRANSLATE(B36137,""en"",""fr"")"),"La dame verse d'autres trucs et le secoue.")</f>
        <v>La dame verse d'autres trucs et le secoue.</v>
      </c>
    </row>
    <row r="36138">
      <c r="A36138" s="4" t="s">
        <v>45450</v>
      </c>
      <c r="B36138" s="4" t="s">
        <v>45455</v>
      </c>
      <c r="C36138" s="5" t="str">
        <f>IFERROR(__xludf.DUMMYFUNCTION("GOOGLETRANSLATE(B36138,""en"",""fr"")"),"La dame verse la boisson dans un verre.")</f>
        <v>La dame verse la boisson dans un verre.</v>
      </c>
    </row>
    <row r="36139">
      <c r="A36139" s="4" t="s">
        <v>45450</v>
      </c>
      <c r="B36139" s="4" t="s">
        <v>45456</v>
      </c>
      <c r="C36139" s="5" t="str">
        <f>IFERROR(__xludf.DUMMYFUNCTION("GOOGLETRANSLATE(B36139,""en"",""fr"")"),"La dame ajoute des trucs rouges.")</f>
        <v>La dame ajoute des trucs rouges.</v>
      </c>
    </row>
    <row r="36140">
      <c r="A36140" s="4" t="s">
        <v>45450</v>
      </c>
      <c r="B36140" s="4" t="s">
        <v>45457</v>
      </c>
      <c r="C36140" s="5" t="str">
        <f>IFERROR(__xludf.DUMMYFUNCTION("GOOGLETRANSLATE(B36140,""en"",""fr"")"),"La dame tient le verre et sourit.")</f>
        <v>La dame tient le verre et sourit.</v>
      </c>
    </row>
    <row r="36141">
      <c r="A36141" s="4" t="s">
        <v>45458</v>
      </c>
      <c r="B36141" s="4" t="s">
        <v>45459</v>
      </c>
      <c r="C36141" s="5" t="str">
        <f>IFERROR(__xludf.DUMMYFUNCTION("GOOGLETRANSLATE(B36141,""en"",""fr"")"),"Les enfants jouent à un grand champ vert.")</f>
        <v>Les enfants jouent à un grand champ vert.</v>
      </c>
    </row>
    <row r="36142">
      <c r="A36142" s="4" t="s">
        <v>45458</v>
      </c>
      <c r="B36142" s="4" t="s">
        <v>45460</v>
      </c>
      <c r="C36142" s="5" t="str">
        <f>IFERROR(__xludf.DUMMYFUNCTION("GOOGLETRANSLATE(B36142,""en"",""fr"")"),"Les enfants ponçonnent Al devant l'objectif de faire un tir gratuit.")</f>
        <v>Les enfants ponçonnent Al devant l'objectif de faire un tir gratuit.</v>
      </c>
    </row>
    <row r="36143">
      <c r="A36143" s="4" t="s">
        <v>45458</v>
      </c>
      <c r="B36143" s="4" t="s">
        <v>45461</v>
      </c>
      <c r="C36143" s="5" t="str">
        <f>IFERROR(__xludf.DUMMYFUNCTION("GOOGLETRANSLATE(B36143,""en"",""fr"")"),"Les enfants posent pour une photo dans le champ vert.")</f>
        <v>Les enfants posent pour une photo dans le champ vert.</v>
      </c>
    </row>
    <row r="36144">
      <c r="A36144" s="4" t="s">
        <v>45462</v>
      </c>
      <c r="B36144" s="4" t="s">
        <v>45463</v>
      </c>
      <c r="C36144" s="5" t="str">
        <f>IFERROR(__xludf.DUMMYFUNCTION("GOOGLETRANSLATE(B36144,""en"",""fr"")"),"Un grand chien se tient dans une baignoire.")</f>
        <v>Un grand chien se tient dans une baignoire.</v>
      </c>
    </row>
    <row r="36145">
      <c r="A36145" s="4" t="s">
        <v>45462</v>
      </c>
      <c r="B36145" s="4" t="s">
        <v>45464</v>
      </c>
      <c r="C36145" s="5" t="str">
        <f>IFERROR(__xludf.DUMMYFUNCTION("GOOGLETRANSLATE(B36145,""en"",""fr"")"),"Une femme en chemise rose frotte le chien avec du savon.")</f>
        <v>Une femme en chemise rose frotte le chien avec du savon.</v>
      </c>
    </row>
    <row r="36146">
      <c r="A36146" s="4" t="s">
        <v>45462</v>
      </c>
      <c r="B36146" s="4" t="s">
        <v>45465</v>
      </c>
      <c r="C36146" s="5" t="str">
        <f>IFERROR(__xludf.DUMMYFUNCTION("GOOGLETRANSLATE(B36146,""en"",""fr"")"),"Elle commence alors à laver le chien avec un tuyau.")</f>
        <v>Elle commence alors à laver le chien avec un tuyau.</v>
      </c>
    </row>
    <row r="36147">
      <c r="A36147" s="4" t="s">
        <v>45466</v>
      </c>
      <c r="B36147" s="4" t="s">
        <v>45467</v>
      </c>
      <c r="C36147" s="5" t="str">
        <f>IFERROR(__xludf.DUMMYFUNCTION("GOOGLETRANSLATE(B36147,""en"",""fr"")"),"Une femme est assise par terre avec ses chaussures.")</f>
        <v>Une femme est assise par terre avec ses chaussures.</v>
      </c>
    </row>
    <row r="36148">
      <c r="A36148" s="4" t="s">
        <v>45466</v>
      </c>
      <c r="B36148" s="4" t="s">
        <v>45468</v>
      </c>
      <c r="C36148" s="5" t="str">
        <f>IFERROR(__xludf.DUMMYFUNCTION("GOOGLETRANSLATE(B36148,""en"",""fr"")"),"La femme met une chaussure.")</f>
        <v>La femme met une chaussure.</v>
      </c>
    </row>
    <row r="36149">
      <c r="A36149" s="4" t="s">
        <v>45466</v>
      </c>
      <c r="B36149" s="4" t="s">
        <v>45469</v>
      </c>
      <c r="C36149" s="5" t="str">
        <f>IFERROR(__xludf.DUMMYFUNCTION("GOOGLETRANSLATE(B36149,""en"",""fr"")"),"Quelque chose est jeté sur la femme et elle tente de l'attraper.")</f>
        <v>Quelque chose est jeté sur la femme et elle tente de l'attraper.</v>
      </c>
    </row>
    <row r="36150">
      <c r="A36150" s="4" t="s">
        <v>45466</v>
      </c>
      <c r="B36150" s="4" t="s">
        <v>45470</v>
      </c>
      <c r="C36150" s="5" t="str">
        <f>IFERROR(__xludf.DUMMYFUNCTION("GOOGLETRANSLATE(B36150,""en"",""fr"")"),"La caméra se déplace brièvement à droite pour montrer une autre personne.")</f>
        <v>La caméra se déplace brièvement à droite pour montrer une autre personne.</v>
      </c>
    </row>
    <row r="36151">
      <c r="A36151" s="4" t="s">
        <v>45466</v>
      </c>
      <c r="B36151" s="4" t="s">
        <v>45471</v>
      </c>
      <c r="C36151" s="5" t="str">
        <f>IFERROR(__xludf.DUMMYFUNCTION("GOOGLETRANSLATE(B36151,""en"",""fr"")"),"La caméra revient à la femme qui met toujours la chaussure.")</f>
        <v>La caméra revient à la femme qui met toujours la chaussure.</v>
      </c>
    </row>
    <row r="36152">
      <c r="A36152" s="4" t="s">
        <v>45466</v>
      </c>
      <c r="B36152" s="6" t="s">
        <v>45472</v>
      </c>
      <c r="C36152" s="5" t="str">
        <f>IFERROR(__xludf.DUMMYFUNCTION("GOOGLETRANSLATE(B36152,""en"",""fr"")"),"La caméra passe à plusieurs personnes dans la pièce, attendant que la femme mette ses chaussures.")</f>
        <v>La caméra passe à plusieurs personnes dans la pièce, attendant que la femme mette ses chaussures.</v>
      </c>
    </row>
    <row r="36153">
      <c r="A36153" s="4" t="s">
        <v>45466</v>
      </c>
      <c r="B36153" s="4" t="s">
        <v>45473</v>
      </c>
      <c r="C36153" s="5" t="str">
        <f>IFERROR(__xludf.DUMMYFUNCTION("GOOGLETRANSLATE(B36153,""en"",""fr"")"),"La caméra se retourne vers la femme, mettant toujours sa chaussure.")</f>
        <v>La caméra se retourne vers la femme, mettant toujours sa chaussure.</v>
      </c>
    </row>
    <row r="36154">
      <c r="A36154" s="4" t="s">
        <v>45466</v>
      </c>
      <c r="B36154" s="4" t="s">
        <v>45474</v>
      </c>
      <c r="C36154" s="5" t="str">
        <f>IFERROR(__xludf.DUMMYFUNCTION("GOOGLETRANSLATE(B36154,""en"",""fr"")"),"La femme commence à mettre l'autre chaussure.")</f>
        <v>La femme commence à mettre l'autre chaussure.</v>
      </c>
    </row>
    <row r="36155">
      <c r="A36155" s="4" t="s">
        <v>45475</v>
      </c>
      <c r="B36155" s="4" t="s">
        <v>45476</v>
      </c>
      <c r="C36155" s="5" t="str">
        <f>IFERROR(__xludf.DUMMYFUNCTION("GOOGLETRANSLATE(B36155,""en"",""fr"")"),"Une diapositive d'images montre une fanfare et des filles se déplaçant.")</f>
        <v>Une diapositive d'images montre une fanfare et des filles se déplaçant.</v>
      </c>
    </row>
    <row r="36156">
      <c r="A36156" s="4" t="s">
        <v>45475</v>
      </c>
      <c r="B36156" s="4" t="s">
        <v>45477</v>
      </c>
      <c r="C36156" s="5" t="str">
        <f>IFERROR(__xludf.DUMMYFUNCTION("GOOGLETRANSLATE(B36156,""en"",""fr"")"),"Ensuite, les fanfares jouent et les filles interprètent des drapeaux.")</f>
        <v>Ensuite, les fanfares jouent et les filles interprètent des drapeaux.</v>
      </c>
    </row>
    <row r="36157">
      <c r="A36157" s="4" t="s">
        <v>45478</v>
      </c>
      <c r="B36157" s="4" t="s">
        <v>45479</v>
      </c>
      <c r="C36157" s="5" t="str">
        <f>IFERROR(__xludf.DUMMYFUNCTION("GOOGLETRANSLATE(B36157,""en"",""fr"")"),"Une jeune femme se tient dans un champ de saleté avec une hache dans sa main essayant de couper une bûche.")</f>
        <v>Une jeune femme se tient dans un champ de saleté avec une hache dans sa main essayant de couper une bûche.</v>
      </c>
    </row>
    <row r="36158">
      <c r="A36158" s="4" t="s">
        <v>45478</v>
      </c>
      <c r="B36158" s="4" t="s">
        <v>45480</v>
      </c>
      <c r="C36158" s="5" t="str">
        <f>IFERROR(__xludf.DUMMYFUNCTION("GOOGLETRANSLATE(B36158,""en"",""fr"")"),"La fille ne réussit pas dans sa première tentative, alors elle ramène la bûche et essaie à nouveau.")</f>
        <v>La fille ne réussit pas dans sa première tentative, alors elle ramène la bûche et essaie à nouveau.</v>
      </c>
    </row>
    <row r="36159">
      <c r="A36159" s="4" t="s">
        <v>45481</v>
      </c>
      <c r="B36159" s="4" t="s">
        <v>45482</v>
      </c>
      <c r="C36159" s="5" t="str">
        <f>IFERROR(__xludf.DUMMYFUNCTION("GOOGLETRANSLATE(B36159,""en"",""fr"")"),"Un groupe de personnes est vu rouler dans des tubes tout en se poussant dans un plongeur.")</f>
        <v>Un groupe de personnes est vu rouler dans des tubes tout en se poussant dans un plongeur.</v>
      </c>
    </row>
    <row r="36160">
      <c r="A36160" s="4" t="s">
        <v>45481</v>
      </c>
      <c r="B36160" s="6" t="s">
        <v>45483</v>
      </c>
      <c r="C36160" s="5" t="str">
        <f>IFERROR(__xludf.DUMMYFUNCTION("GOOGLETRANSLATE(B36160,""en"",""fr"")"),"Les gens continuent de rouler dans les tubes en bas de la rivière tout en regardant vers la caméra ainsi qu'à rire et à sourire.")</f>
        <v>Les gens continuent de rouler dans les tubes en bas de la rivière tout en regardant vers la caméra ainsi qu'à rire et à sourire.</v>
      </c>
    </row>
    <row r="36161">
      <c r="A36161" s="4" t="s">
        <v>45484</v>
      </c>
      <c r="B36161" s="4" t="s">
        <v>45485</v>
      </c>
      <c r="C36161" s="5" t="str">
        <f>IFERROR(__xludf.DUMMYFUNCTION("GOOGLETRANSLATE(B36161,""en"",""fr"")"),"Un homme portant du noir est dans une salle de sport.")</f>
        <v>Un homme portant du noir est dans une salle de sport.</v>
      </c>
    </row>
    <row r="36162">
      <c r="A36162" s="4" t="s">
        <v>45484</v>
      </c>
      <c r="B36162" s="4" t="s">
        <v>45486</v>
      </c>
      <c r="C36162" s="5" t="str">
        <f>IFERROR(__xludf.DUMMYFUNCTION("GOOGLETRANSLATE(B36162,""en"",""fr"")"),"Il ramasse de lourdes haltères.")</f>
        <v>Il ramasse de lourdes haltères.</v>
      </c>
    </row>
    <row r="36163">
      <c r="A36163" s="4" t="s">
        <v>45484</v>
      </c>
      <c r="B36163" s="4" t="s">
        <v>45487</v>
      </c>
      <c r="C36163" s="5" t="str">
        <f>IFERROR(__xludf.DUMMYFUNCTION("GOOGLETRANSLATE(B36163,""en"",""fr"")"),"Il soulève les haltères au-dessus de sa tête.")</f>
        <v>Il soulève les haltères au-dessus de sa tête.</v>
      </c>
    </row>
    <row r="36164">
      <c r="A36164" s="4" t="s">
        <v>45484</v>
      </c>
      <c r="B36164" s="4" t="s">
        <v>45488</v>
      </c>
      <c r="C36164" s="5" t="str">
        <f>IFERROR(__xludf.DUMMYFUNCTION("GOOGLETRANSLATE(B36164,""en"",""fr"")"),"Il laisse ensuite tomber les haltères sur le sol.")</f>
        <v>Il laisse ensuite tomber les haltères sur le sol.</v>
      </c>
    </row>
    <row r="36165">
      <c r="A36165" s="4" t="s">
        <v>45489</v>
      </c>
      <c r="B36165" s="4" t="s">
        <v>45490</v>
      </c>
      <c r="C36165" s="5" t="str">
        <f>IFERROR(__xludf.DUMMYFUNCTION("GOOGLETRANSLATE(B36165,""en"",""fr"")"),"Un homme sort d'un immeuble et commence le skateboard.")</f>
        <v>Un homme sort d'un immeuble et commence le skateboard.</v>
      </c>
    </row>
    <row r="36166">
      <c r="A36166" s="4" t="s">
        <v>45489</v>
      </c>
      <c r="B36166" s="4" t="s">
        <v>45491</v>
      </c>
      <c r="C36166" s="5" t="str">
        <f>IFERROR(__xludf.DUMMYFUNCTION("GOOGLETRANSLATE(B36166,""en"",""fr"")"),"Il fait du skateboard entre les voitures.")</f>
        <v>Il fait du skateboard entre les voitures.</v>
      </c>
    </row>
    <row r="36167">
      <c r="A36167" s="4" t="s">
        <v>45489</v>
      </c>
      <c r="B36167" s="4" t="s">
        <v>45492</v>
      </c>
      <c r="C36167" s="5" t="str">
        <f>IFERROR(__xludf.DUMMYFUNCTION("GOOGLETRANSLATE(B36167,""en"",""fr"")"),"Il entre dans un bâtiment et s'assoit sur un ordinateur.")</f>
        <v>Il entre dans un bâtiment et s'assoit sur un ordinateur.</v>
      </c>
    </row>
    <row r="36168">
      <c r="A36168" s="4" t="s">
        <v>45493</v>
      </c>
      <c r="B36168" s="4" t="s">
        <v>45494</v>
      </c>
      <c r="C36168" s="5" t="str">
        <f>IFERROR(__xludf.DUMMYFUNCTION("GOOGLETRANSLATE(B36168,""en"",""fr"")"),"Nous voyons une dame tricoter et chanter.")</f>
        <v>Nous voyons une dame tricoter et chanter.</v>
      </c>
    </row>
    <row r="36169">
      <c r="A36169" s="4" t="s">
        <v>45493</v>
      </c>
      <c r="B36169" s="4" t="s">
        <v>45495</v>
      </c>
      <c r="C36169" s="5" t="str">
        <f>IFERROR(__xludf.DUMMYFUNCTION("GOOGLETRANSLATE(B36169,""en"",""fr"")"),"Nous voyons ensuite une annonce pour une bière.")</f>
        <v>Nous voyons ensuite une annonce pour une bière.</v>
      </c>
    </row>
    <row r="36170">
      <c r="A36170" s="4" t="s">
        <v>45496</v>
      </c>
      <c r="B36170" s="4" t="s">
        <v>45497</v>
      </c>
      <c r="C36170" s="5" t="str">
        <f>IFERROR(__xludf.DUMMYFUNCTION("GOOGLETRANSLATE(B36170,""en"",""fr"")"),"Deux personnes sont dans une pièce, portant du matériel d'escrime.")</f>
        <v>Deux personnes sont dans une pièce, portant du matériel d'escrime.</v>
      </c>
    </row>
    <row r="36171">
      <c r="A36171" s="4" t="s">
        <v>45496</v>
      </c>
      <c r="B36171" s="4" t="s">
        <v>45498</v>
      </c>
      <c r="C36171" s="5" t="str">
        <f>IFERROR(__xludf.DUMMYFUNCTION("GOOGLETRANSLATE(B36171,""en"",""fr"")"),"Ils se battent avec des épées, passant d'avant en arrière alors qu'ils se détachent les uns des autres.")</f>
        <v>Ils se battent avec des épées, passant d'avant en arrière alors qu'ils se détachent les uns des autres.</v>
      </c>
    </row>
    <row r="36172">
      <c r="A36172" s="4" t="s">
        <v>45499</v>
      </c>
      <c r="B36172" s="6" t="s">
        <v>45500</v>
      </c>
      <c r="C36172" s="5" t="str">
        <f>IFERROR(__xludf.DUMMYFUNCTION("GOOGLETRANSLATE(B36172,""en"",""fr"")"),"Une caméra montre un groupe de personnes assises autour d'un plancher de gymnase avec quelques-uns et un traversant les bras.")</f>
        <v>Une caméra montre un groupe de personnes assises autour d'un plancher de gymnase avec quelques-uns et un traversant les bras.</v>
      </c>
    </row>
    <row r="36173">
      <c r="A36173" s="4" t="s">
        <v>45499</v>
      </c>
      <c r="B36173" s="4" t="s">
        <v>45501</v>
      </c>
      <c r="C36173" s="5" t="str">
        <f>IFERROR(__xludf.DUMMYFUNCTION("GOOGLETRANSLATE(B36173,""en"",""fr"")"),"Soudain, un élève entre dans le cadre et saute par-dessus un poteau dans un tapis.")</f>
        <v>Soudain, un élève entre dans le cadre et saute par-dessus un poteau dans un tapis.</v>
      </c>
    </row>
    <row r="36174">
      <c r="A36174" s="4" t="s">
        <v>45502</v>
      </c>
      <c r="B36174" s="6" t="s">
        <v>45503</v>
      </c>
      <c r="C36174" s="5" t="str">
        <f>IFERROR(__xludf.DUMMYFUNCTION("GOOGLETRANSLATE(B36174,""en"",""fr"")"),"Un homme commence à faire des choses différentes telles que les éternuements, la cuisson, l'utilisation des toilettes et le lavage du visage indiquant quand se laver les mains.")</f>
        <v>Un homme commence à faire des choses différentes telles que les éternuements, la cuisson, l'utilisation des toilettes et le lavage du visage indiquant quand se laver les mains.</v>
      </c>
    </row>
    <row r="36175">
      <c r="A36175" s="4" t="s">
        <v>45502</v>
      </c>
      <c r="B36175" s="4" t="s">
        <v>45504</v>
      </c>
      <c r="C36175" s="5" t="str">
        <f>IFERROR(__xludf.DUMMYFUNCTION("GOOGLETRANSLATE(B36175,""en"",""fr"")"),"Une femelle arrive alors et marche dans un évier dans la cuisine et commence à faire mousser ses mains.")</f>
        <v>Une femelle arrive alors et marche dans un évier dans la cuisine et commence à faire mousser ses mains.</v>
      </c>
    </row>
    <row r="36176">
      <c r="A36176" s="4" t="s">
        <v>45502</v>
      </c>
      <c r="B36176" s="6" t="s">
        <v>45505</v>
      </c>
      <c r="C36176" s="5" t="str">
        <f>IFERROR(__xludf.DUMMYFUNCTION("GOOGLETRANSLATE(B36176,""en"",""fr"")"),"Elle allume ensuite le robinet et rince ses mains, les sèche et met la serviette dans la poubelle.")</f>
        <v>Elle allume ensuite le robinet et rince ses mains, les sèche et met la serviette dans la poubelle.</v>
      </c>
    </row>
    <row r="36177">
      <c r="A36177" s="4" t="s">
        <v>45506</v>
      </c>
      <c r="B36177" s="4" t="s">
        <v>45507</v>
      </c>
      <c r="C36177" s="5" t="str">
        <f>IFERROR(__xludf.DUMMYFUNCTION("GOOGLETRANSLATE(B36177,""en"",""fr"")"),"Une personne est vue portant un pack de dos et s'éloignant de la caméra sur des lames à rouleaux.")</f>
        <v>Une personne est vue portant un pack de dos et s'éloignant de la caméra sur des lames à rouleaux.</v>
      </c>
    </row>
    <row r="36178">
      <c r="A36178" s="4" t="s">
        <v>45506</v>
      </c>
      <c r="B36178" s="6" t="s">
        <v>45508</v>
      </c>
      <c r="C36178" s="5" t="str">
        <f>IFERROR(__xludf.DUMMYFUNCTION("GOOGLETRANSLATE(B36178,""en"",""fr"")"),"La personne monte ensuite en arrière et accroche un panneau se balançant, puis souriant à la caméra.")</f>
        <v>La personne monte ensuite en arrière et accroche un panneau se balançant, puis souriant à la caméra.</v>
      </c>
    </row>
    <row r="36179">
      <c r="A36179" s="4" t="s">
        <v>45509</v>
      </c>
      <c r="B36179" s="4" t="s">
        <v>45510</v>
      </c>
      <c r="C36179" s="5" t="str">
        <f>IFERROR(__xludf.DUMMYFUNCTION("GOOGLETRANSLATE(B36179,""en"",""fr"")"),"Un homme porte un gilet de sécurité.")</f>
        <v>Un homme porte un gilet de sécurité.</v>
      </c>
    </row>
    <row r="36180">
      <c r="A36180" s="4" t="s">
        <v>45509</v>
      </c>
      <c r="B36180" s="4" t="s">
        <v>45511</v>
      </c>
      <c r="C36180" s="5" t="str">
        <f>IFERROR(__xludf.DUMMYFUNCTION("GOOGLETRANSLATE(B36180,""en"",""fr"")"),"Il travaille avec des outils et du sable.")</f>
        <v>Il travaille avec des outils et du sable.</v>
      </c>
    </row>
    <row r="36181">
      <c r="A36181" s="4" t="s">
        <v>45509</v>
      </c>
      <c r="B36181" s="4" t="s">
        <v>45512</v>
      </c>
      <c r="C36181" s="5" t="str">
        <f>IFERROR(__xludf.DUMMYFUNCTION("GOOGLETRANSLATE(B36181,""en"",""fr"")"),"Il utilise le sable pour se propager uniformément contre les murs.")</f>
        <v>Il utilise le sable pour se propager uniformément contre les murs.</v>
      </c>
    </row>
    <row r="36182">
      <c r="A36182" s="4" t="s">
        <v>45513</v>
      </c>
      <c r="B36182" s="4" t="s">
        <v>45514</v>
      </c>
      <c r="C36182" s="5" t="str">
        <f>IFERROR(__xludf.DUMMYFUNCTION("GOOGLETRANSLATE(B36182,""en"",""fr"")"),"Nous voyons une personne souder dans l'obscurité.")</f>
        <v>Nous voyons une personne souder dans l'obscurité.</v>
      </c>
    </row>
    <row r="36183">
      <c r="A36183" s="4" t="s">
        <v>45513</v>
      </c>
      <c r="B36183" s="4" t="s">
        <v>45515</v>
      </c>
      <c r="C36183" s="5" t="str">
        <f>IFERROR(__xludf.DUMMYFUNCTION("GOOGLETRANSLATE(B36183,""en"",""fr"")"),"La personne s'arrête et ajuste son casque.")</f>
        <v>La personne s'arrête et ajuste son casque.</v>
      </c>
    </row>
    <row r="36184">
      <c r="A36184" s="4" t="s">
        <v>45513</v>
      </c>
      <c r="B36184" s="4" t="s">
        <v>45516</v>
      </c>
      <c r="C36184" s="5" t="str">
        <f>IFERROR(__xludf.DUMMYFUNCTION("GOOGLETRANSLATE(B36184,""en"",""fr"")"),"L'homme soulève brièvement son casque.")</f>
        <v>L'homme soulève brièvement son casque.</v>
      </c>
    </row>
    <row r="36185">
      <c r="A36185" s="4" t="s">
        <v>45513</v>
      </c>
      <c r="B36185" s="4" t="s">
        <v>45517</v>
      </c>
      <c r="C36185" s="5" t="str">
        <f>IFERROR(__xludf.DUMMYFUNCTION("GOOGLETRANSLATE(B36185,""en"",""fr"")"),"L'homme soulève et abaisse son casque.")</f>
        <v>L'homme soulève et abaisse son casque.</v>
      </c>
    </row>
    <row r="36186">
      <c r="A36186" s="4" t="s">
        <v>45513</v>
      </c>
      <c r="B36186" s="4" t="s">
        <v>45518</v>
      </c>
      <c r="C36186" s="5" t="str">
        <f>IFERROR(__xludf.DUMMYFUNCTION("GOOGLETRANSLATE(B36186,""en"",""fr"")"),"L'homme regarde sous son casque.")</f>
        <v>L'homme regarde sous son casque.</v>
      </c>
    </row>
    <row r="36187">
      <c r="A36187" s="4" t="s">
        <v>45513</v>
      </c>
      <c r="B36187" s="4" t="s">
        <v>45519</v>
      </c>
      <c r="C36187" s="5" t="str">
        <f>IFERROR(__xludf.DUMMYFUNCTION("GOOGLETRANSLATE(B36187,""en"",""fr"")"),"L'homme termine et soulève son casque.")</f>
        <v>L'homme termine et soulève son casque.</v>
      </c>
    </row>
    <row r="36188">
      <c r="A36188" s="4" t="s">
        <v>45520</v>
      </c>
      <c r="B36188" s="4" t="s">
        <v>45521</v>
      </c>
      <c r="C36188" s="5" t="str">
        <f>IFERROR(__xludf.DUMMYFUNCTION("GOOGLETRANSLATE(B36188,""en"",""fr"")"),"Un mâle attache un bâton creux sur un taureau qui le poursuit.")</f>
        <v>Un mâle attache un bâton creux sur un taureau qui le poursuit.</v>
      </c>
    </row>
    <row r="36189">
      <c r="A36189" s="4" t="s">
        <v>45520</v>
      </c>
      <c r="B36189" s="4" t="s">
        <v>45522</v>
      </c>
      <c r="C36189" s="5" t="str">
        <f>IFERROR(__xludf.DUMMYFUNCTION("GOOGLETRANSLATE(B36189,""en"",""fr"")"),"Un mec dérange avec un taureau.")</f>
        <v>Un mec dérange avec un taureau.</v>
      </c>
    </row>
    <row r="36190">
      <c r="A36190" s="4" t="s">
        <v>45520</v>
      </c>
      <c r="B36190" s="4" t="s">
        <v>45523</v>
      </c>
      <c r="C36190" s="5" t="str">
        <f>IFERROR(__xludf.DUMMYFUNCTION("GOOGLETRANSLATE(B36190,""en"",""fr"")"),"Un taureau pousse un homme vers le bas.")</f>
        <v>Un taureau pousse un homme vers le bas.</v>
      </c>
    </row>
    <row r="36191">
      <c r="A36191" s="4" t="s">
        <v>45520</v>
      </c>
      <c r="B36191" s="4" t="s">
        <v>45524</v>
      </c>
      <c r="C36191" s="5" t="str">
        <f>IFERROR(__xludf.DUMMYFUNCTION("GOOGLETRANSLATE(B36191,""en"",""fr"")"),"Le public applaudit tout en se tenant.")</f>
        <v>Le public applaudit tout en se tenant.</v>
      </c>
    </row>
    <row r="36192">
      <c r="A36192" s="4" t="s">
        <v>45520</v>
      </c>
      <c r="B36192" s="4" t="s">
        <v>45525</v>
      </c>
      <c r="C36192" s="5" t="str">
        <f>IFERROR(__xludf.DUMMYFUNCTION("GOOGLETRANSLATE(B36192,""en"",""fr"")"),"Le taureau est attiré dans un stylo et les portes sont proches.")</f>
        <v>Le taureau est attiré dans un stylo et les portes sont proches.</v>
      </c>
    </row>
    <row r="36193">
      <c r="A36193" s="4" t="s">
        <v>45520</v>
      </c>
      <c r="B36193" s="4" t="s">
        <v>45526</v>
      </c>
      <c r="C36193" s="5" t="str">
        <f>IFERROR(__xludf.DUMMYFUNCTION("GOOGLETRANSLATE(B36193,""en"",""fr"")"),"Le mâle donne un coup de pouce et sourit.")</f>
        <v>Le mâle donne un coup de pouce et sourit.</v>
      </c>
    </row>
    <row r="36194">
      <c r="A36194" s="4" t="s">
        <v>45520</v>
      </c>
      <c r="B36194" s="4" t="s">
        <v>45527</v>
      </c>
      <c r="C36194" s="5" t="str">
        <f>IFERROR(__xludf.DUMMYFUNCTION("GOOGLETRANSLATE(B36194,""en"",""fr"")"),"Un mâle attache deux bâtons creux sur un taureau et s'enfuit.")</f>
        <v>Un mâle attache deux bâtons creux sur un taureau et s'enfuit.</v>
      </c>
    </row>
    <row r="36195">
      <c r="A36195" s="4" t="s">
        <v>45520</v>
      </c>
      <c r="B36195" s="4" t="s">
        <v>45528</v>
      </c>
      <c r="C36195" s="5" t="str">
        <f>IFERROR(__xludf.DUMMYFUNCTION("GOOGLETRANSLATE(B36195,""en"",""fr"")"),"Le taureau s'attaque au mâle.")</f>
        <v>Le taureau s'attaque au mâle.</v>
      </c>
    </row>
    <row r="36196">
      <c r="A36196" s="4" t="s">
        <v>45520</v>
      </c>
      <c r="B36196" s="4" t="s">
        <v>45529</v>
      </c>
      <c r="C36196" s="5" t="str">
        <f>IFERROR(__xludf.DUMMYFUNCTION("GOOGLETRANSLATE(B36196,""en"",""fr"")"),"Le mâle se lève et son visage est sanglant.")</f>
        <v>Le mâle se lève et son visage est sanglant.</v>
      </c>
    </row>
    <row r="36197">
      <c r="A36197" s="4" t="s">
        <v>45520</v>
      </c>
      <c r="B36197" s="4" t="s">
        <v>45530</v>
      </c>
      <c r="C36197" s="5" t="str">
        <f>IFERROR(__xludf.DUMMYFUNCTION("GOOGLETRANSLATE(B36197,""en"",""fr"")"),"Les gens aident le mâle et le transportent.")</f>
        <v>Les gens aident le mâle et le transportent.</v>
      </c>
    </row>
    <row r="36198">
      <c r="A36198" s="4" t="s">
        <v>45520</v>
      </c>
      <c r="B36198" s="4" t="s">
        <v>45531</v>
      </c>
      <c r="C36198" s="5" t="str">
        <f>IFERROR(__xludf.DUMMYFUNCTION("GOOGLETRANSLATE(B36198,""en"",""fr"")"),"Le mâle laisse une chaussure noire derrière.")</f>
        <v>Le mâle laisse une chaussure noire derrière.</v>
      </c>
    </row>
    <row r="36199">
      <c r="A36199" s="4" t="s">
        <v>45520</v>
      </c>
      <c r="B36199" s="4" t="s">
        <v>45532</v>
      </c>
      <c r="C36199" s="5" t="str">
        <f>IFERROR(__xludf.DUMMYFUNCTION("GOOGLETRANSLATE(B36199,""en"",""fr"")"),"Les gens discutent en cercle.")</f>
        <v>Les gens discutent en cercle.</v>
      </c>
    </row>
    <row r="36200">
      <c r="A36200" s="4" t="s">
        <v>45520</v>
      </c>
      <c r="B36200" s="4" t="s">
        <v>45533</v>
      </c>
      <c r="C36200" s="5" t="str">
        <f>IFERROR(__xludf.DUMMYFUNCTION("GOOGLETRANSLATE(B36200,""en"",""fr"")"),"L'homme hoche la tête.")</f>
        <v>L'homme hoche la tête.</v>
      </c>
    </row>
    <row r="36201">
      <c r="A36201" s="4" t="s">
        <v>45520</v>
      </c>
      <c r="B36201" s="4" t="s">
        <v>45534</v>
      </c>
      <c r="C36201" s="5" t="str">
        <f>IFERROR(__xludf.DUMMYFUNCTION("GOOGLETRANSLATE(B36201,""en"",""fr"")"),"Les gens quittent la saleté du rodéo et l'homme couvre son nez.")</f>
        <v>Les gens quittent la saleté du rodéo et l'homme couvre son nez.</v>
      </c>
    </row>
    <row r="36202">
      <c r="A36202" s="4" t="s">
        <v>45535</v>
      </c>
      <c r="B36202" s="4" t="s">
        <v>45536</v>
      </c>
      <c r="C36202" s="5" t="str">
        <f>IFERROR(__xludf.DUMMYFUNCTION("GOOGLETRANSLATE(B36202,""en"",""fr"")"),"Une équipe de pom-pom girls de la compétition arrive sur le terrain et entre en formation.")</f>
        <v>Une équipe de pom-pom girls de la compétition arrive sur le terrain et entre en formation.</v>
      </c>
    </row>
    <row r="36203">
      <c r="A36203" s="4" t="s">
        <v>45535</v>
      </c>
      <c r="B36203" s="6" t="s">
        <v>45537</v>
      </c>
      <c r="C36203" s="5" t="str">
        <f>IFERROR(__xludf.DUMMYFUNCTION("GOOGLETRANSLATE(B36203,""en"",""fr"")"),"Les filles s'accroupissent et commencent à faire leur joie qui se compose de plusieurs cascades, astuces et sautent sur le tapis.")</f>
        <v>Les filles s'accroupissent et commencent à faire leur joie qui se compose de plusieurs cascades, astuces et sautent sur le tapis.</v>
      </c>
    </row>
    <row r="36204">
      <c r="A36204" s="4" t="s">
        <v>45535</v>
      </c>
      <c r="B36204" s="4" t="s">
        <v>45538</v>
      </c>
      <c r="C36204" s="5" t="str">
        <f>IFERROR(__xludf.DUMMYFUNCTION("GOOGLETRANSLATE(B36204,""en"",""fr"")"),"Une fois terminées, les filles se terminent par un coup et le cascadeur court au groupe.")</f>
        <v>Une fois terminées, les filles se terminent par un coup et le cascadeur court au groupe.</v>
      </c>
    </row>
    <row r="36205">
      <c r="A36205" s="4" t="s">
        <v>45539</v>
      </c>
      <c r="B36205" s="4" t="s">
        <v>45540</v>
      </c>
      <c r="C36205" s="5" t="str">
        <f>IFERROR(__xludf.DUMMYFUNCTION("GOOGLETRANSLATE(B36205,""en"",""fr"")"),"Little Kid est suspendu à un poteau dans une aire de jeux.")</f>
        <v>Little Kid est suspendu à un poteau dans une aire de jeux.</v>
      </c>
    </row>
    <row r="36206">
      <c r="A36206" s="4" t="s">
        <v>45539</v>
      </c>
      <c r="B36206" s="4" t="s">
        <v>45541</v>
      </c>
      <c r="C36206" s="5" t="str">
        <f>IFERROR(__xludf.DUMMYFUNCTION("GOOGLETRANSLATE(B36206,""en"",""fr"")"),"L'aire de jeux est présentée dans un champ poussiéreux dans un grand parc.")</f>
        <v>L'aire de jeux est présentée dans un champ poussiéreux dans un grand parc.</v>
      </c>
    </row>
    <row r="36207">
      <c r="A36207" s="4" t="s">
        <v>45539</v>
      </c>
      <c r="B36207" s="4" t="s">
        <v>45542</v>
      </c>
      <c r="C36207" s="5" t="str">
        <f>IFERROR(__xludf.DUMMYFUNCTION("GOOGLETRANSLATE(B36207,""en"",""fr"")"),"Le petit enfant porte une chemise rose et est suspendue d'un côté à l'autre.")</f>
        <v>Le petit enfant porte une chemise rose et est suspendue d'un côté à l'autre.</v>
      </c>
    </row>
    <row r="36208">
      <c r="A36208" s="4" t="s">
        <v>45543</v>
      </c>
      <c r="B36208" s="4" t="s">
        <v>45544</v>
      </c>
      <c r="C36208" s="5" t="str">
        <f>IFERROR(__xludf.DUMMYFUNCTION("GOOGLETRANSLATE(B36208,""en"",""fr"")"),"Joe Morin de Titan Alloy parle de soudage en aluminium.")</f>
        <v>Joe Morin de Titan Alloy parle de soudage en aluminium.</v>
      </c>
    </row>
    <row r="36209">
      <c r="A36209" s="4" t="s">
        <v>45543</v>
      </c>
      <c r="B36209" s="4" t="s">
        <v>45545</v>
      </c>
      <c r="C36209" s="5" t="str">
        <f>IFERROR(__xludf.DUMMYFUNCTION("GOOGLETRANSLATE(B36209,""en"",""fr"")"),"Il fait un tutoriel sur la façon de réparer l'aluminium.")</f>
        <v>Il fait un tutoriel sur la façon de réparer l'aluminium.</v>
      </c>
    </row>
    <row r="36210">
      <c r="A36210" s="4" t="s">
        <v>45543</v>
      </c>
      <c r="B36210" s="4" t="s">
        <v>45546</v>
      </c>
      <c r="C36210" s="5" t="str">
        <f>IFERROR(__xludf.DUMMYFUNCTION("GOOGLETRANSLATE(B36210,""en"",""fr"")"),"Il montre un nouveau produit appelé Nova, qui est une électrode pour nettoyer l'aluminium sale.")</f>
        <v>Il montre un nouveau produit appelé Nova, qui est une électrode pour nettoyer l'aluminium sale.</v>
      </c>
    </row>
    <row r="36211">
      <c r="A36211" s="4" t="s">
        <v>45543</v>
      </c>
      <c r="B36211" s="4" t="s">
        <v>45547</v>
      </c>
      <c r="C36211" s="5" t="str">
        <f>IFERROR(__xludf.DUMMYFUNCTION("GOOGLETRANSLATE(B36211,""en"",""fr"")"),"Il montre deux plaques en aluminium réunies à des fins de démonstration.")</f>
        <v>Il montre deux plaques en aluminium réunies à des fins de démonstration.</v>
      </c>
    </row>
    <row r="36212">
      <c r="A36212" s="4" t="s">
        <v>45543</v>
      </c>
      <c r="B36212" s="4" t="s">
        <v>45548</v>
      </c>
      <c r="C36212" s="5" t="str">
        <f>IFERROR(__xludf.DUMMYFUNCTION("GOOGLETRANSLATE(B36212,""en"",""fr"")"),"Il prend la tige Nova et montre comment il peut souder les deux pièces ensemble.")</f>
        <v>Il prend la tige Nova et montre comment il peut souder les deux pièces ensemble.</v>
      </c>
    </row>
    <row r="36213">
      <c r="A36213" s="4" t="s">
        <v>45543</v>
      </c>
      <c r="B36213" s="4" t="s">
        <v>45549</v>
      </c>
      <c r="C36213" s="5" t="str">
        <f>IFERROR(__xludf.DUMMYFUNCTION("GOOGLETRANSLATE(B36213,""en"",""fr"")"),"Il commence à souder les deux plaques de l'aluminium.")</f>
        <v>Il commence à souder les deux plaques de l'aluminium.</v>
      </c>
    </row>
    <row r="36214">
      <c r="A36214" s="4" t="s">
        <v>45543</v>
      </c>
      <c r="B36214" s="4" t="s">
        <v>45550</v>
      </c>
      <c r="C36214" s="5" t="str">
        <f>IFERROR(__xludf.DUMMYFUNCTION("GOOGLETRANSLATE(B36214,""en"",""fr"")"),"Puis il frappe les assiettes avec un marteau et frotte la poussière.")</f>
        <v>Puis il frappe les assiettes avec un marteau et frotte la poussière.</v>
      </c>
    </row>
    <row r="36215">
      <c r="A36215" s="4" t="s">
        <v>45543</v>
      </c>
      <c r="B36215" s="4" t="s">
        <v>45551</v>
      </c>
      <c r="C36215" s="5" t="str">
        <f>IFERROR(__xludf.DUMMYFUNCTION("GOOGLETRANSLATE(B36215,""en"",""fr"")"),"Il montre l'arrière des assiettes et comment il est soudé ensemble.")</f>
        <v>Il montre l'arrière des assiettes et comment il est soudé ensemble.</v>
      </c>
    </row>
    <row r="36216">
      <c r="A36216" s="4" t="s">
        <v>45552</v>
      </c>
      <c r="B36216" s="6" t="s">
        <v>45553</v>
      </c>
      <c r="C36216" s="5" t="str">
        <f>IFERROR(__xludf.DUMMYFUNCTION("GOOGLETRANSLATE(B36216,""en"",""fr"")"),"Un homme lors d'un événement sportif professionnel soulève un poids important et lourd en utilisant les genoux, le dos et la force du bras tandis qu'une femme en costume regarde de la ligne de touche.")</f>
        <v>Un homme lors d'un événement sportif professionnel soulève un poids important et lourd en utilisant les genoux, le dos et la force du bras tandis qu'une femme en costume regarde de la ligne de touche.</v>
      </c>
    </row>
    <row r="36217">
      <c r="A36217" s="4" t="s">
        <v>45552</v>
      </c>
      <c r="B36217" s="6" t="s">
        <v>45554</v>
      </c>
      <c r="C36217" s="5" t="str">
        <f>IFERROR(__xludf.DUMMYFUNCTION("GOOGLETRANSLATE(B36217,""en"",""fr"")"),"Un homme portant une chemise ""USA"" ou un uniforme d'équipe s'approche d'un poids à deux côtés alors qu'une femme regarde du côté près d'une porte.")</f>
        <v>Un homme portant une chemise "USA" ou un uniforme d'équipe s'approche d'un poids à deux côtés alors qu'une femme regarde du côté près d'une porte.</v>
      </c>
    </row>
    <row r="36218">
      <c r="A36218" s="4" t="s">
        <v>45552</v>
      </c>
      <c r="B36218" s="4" t="s">
        <v>45555</v>
      </c>
      <c r="C36218" s="5" t="str">
        <f>IFERROR(__xludf.DUMMYFUNCTION("GOOGLETRANSLATE(B36218,""en"",""fr"")"),"L'homme soulève le poids et la caméra montre le processus au ralenti.")</f>
        <v>L'homme soulève le poids et la caméra montre le processus au ralenti.</v>
      </c>
    </row>
    <row r="36219">
      <c r="A36219" s="4" t="s">
        <v>45552</v>
      </c>
      <c r="B36219" s="6" t="s">
        <v>45556</v>
      </c>
      <c r="C36219" s="5" t="str">
        <f>IFERROR(__xludf.DUMMYFUNCTION("GOOGLETRANSLATE(B36219,""en"",""fr"")"),"L'homme soulève le poids sur sa tête, puis le laisse tomber au milieu du corps avant de le laisser tomber au sol, à laquelle il renonce à un public invisible, tout en étant sur la touche.")</f>
        <v>L'homme soulève le poids sur sa tête, puis le laisse tomber au milieu du corps avant de le laisser tomber au sol, à laquelle il renonce à un public invisible, tout en étant sur la touche.</v>
      </c>
    </row>
    <row r="36220">
      <c r="A36220" s="4" t="s">
        <v>45557</v>
      </c>
      <c r="B36220" s="6" t="s">
        <v>45558</v>
      </c>
      <c r="C36220" s="5" t="str">
        <f>IFERROR(__xludf.DUMMYFUNCTION("GOOGLETRANSLATE(B36220,""en"",""fr"")"),"Un garçon dans un t-shirt bleu rebondit deux balles de basket dans une salle de sport tout en bloquant un autre basketteur et en faisant un but avec le ballon.")</f>
        <v>Un garçon dans un t-shirt bleu rebondit deux balles de basket dans une salle de sport tout en bloquant un autre basketteur et en faisant un but avec le ballon.</v>
      </c>
    </row>
    <row r="36221">
      <c r="A36221" s="4" t="s">
        <v>45557</v>
      </c>
      <c r="B36221" s="4" t="s">
        <v>45559</v>
      </c>
      <c r="C36221" s="5" t="str">
        <f>IFERROR(__xludf.DUMMYFUNCTION("GOOGLETRANSLATE(B36221,""en"",""fr"")"),"Un garçon rebondit deux ballons de basket entre ses jambes.")</f>
        <v>Un garçon rebondit deux ballons de basket entre ses jambes.</v>
      </c>
    </row>
    <row r="36222">
      <c r="A36222" s="4" t="s">
        <v>45557</v>
      </c>
      <c r="B36222" s="4" t="s">
        <v>45560</v>
      </c>
      <c r="C36222" s="5" t="str">
        <f>IFERROR(__xludf.DUMMYFUNCTION("GOOGLETRANSLATE(B36222,""en"",""fr"")"),"Un autre basketteur s'approche de lui et essaie de lui prendre le ballon.")</f>
        <v>Un autre basketteur s'approche de lui et essaie de lui prendre le ballon.</v>
      </c>
    </row>
    <row r="36223">
      <c r="A36223" s="4" t="s">
        <v>45557</v>
      </c>
      <c r="B36223" s="6" t="s">
        <v>45561</v>
      </c>
      <c r="C36223" s="5" t="str">
        <f>IFERROR(__xludf.DUMMYFUNCTION("GOOGLETRANSLATE(B36223,""en"",""fr"")"),"Le joueur de la chemise bleue le bloque et fait l'objectif, puis recommence, deux fois.")</f>
        <v>Le joueur de la chemise bleue le bloque et fait l'objectif, puis recommence, deux fois.</v>
      </c>
    </row>
    <row r="36224">
      <c r="A36224" s="4" t="s">
        <v>45562</v>
      </c>
      <c r="B36224" s="4" t="s">
        <v>45563</v>
      </c>
      <c r="C36224" s="5" t="str">
        <f>IFERROR(__xludf.DUMMYFUNCTION("GOOGLETRANSLATE(B36224,""en"",""fr"")"),"L'homme joue du piano avec beaucoup de gens rassemblés autour de lui.")</f>
        <v>L'homme joue du piano avec beaucoup de gens rassemblés autour de lui.</v>
      </c>
    </row>
    <row r="36225">
      <c r="A36225" s="4" t="s">
        <v>45562</v>
      </c>
      <c r="B36225" s="4" t="s">
        <v>45564</v>
      </c>
      <c r="C36225" s="5" t="str">
        <f>IFERROR(__xludf.DUMMYFUNCTION("GOOGLETRANSLATE(B36225,""en"",""fr"")"),"L'homme tient un téléphone portable et enregistre l'homme au piano.")</f>
        <v>L'homme tient un téléphone portable et enregistre l'homme au piano.</v>
      </c>
    </row>
    <row r="36226">
      <c r="A36226" s="4" t="s">
        <v>45565</v>
      </c>
      <c r="B36226" s="4" t="s">
        <v>45566</v>
      </c>
      <c r="C36226" s="5" t="str">
        <f>IFERROR(__xludf.DUMMYFUNCTION("GOOGLETRANSLATE(B36226,""en"",""fr"")"),"Un homme se tient devant la caméra parlant et divers voyages de personnes et de sites sont montrés.")</f>
        <v>Un homme se tient devant la caméra parlant et divers voyages de personnes et de sites sont montrés.</v>
      </c>
    </row>
    <row r="36227">
      <c r="A36227" s="4" t="s">
        <v>45565</v>
      </c>
      <c r="B36227" s="4" t="s">
        <v>45567</v>
      </c>
      <c r="C36227" s="5" t="str">
        <f>IFERROR(__xludf.DUMMYFUNCTION("GOOGLETRANSLATE(B36227,""en"",""fr"")"),"Un autre homme est interviewé, suivi de plusieurs autres photos de la région.")</f>
        <v>Un autre homme est interviewé, suivi de plusieurs autres photos de la région.</v>
      </c>
    </row>
    <row r="36228">
      <c r="A36228" s="4" t="s">
        <v>45565</v>
      </c>
      <c r="B36228" s="4" t="s">
        <v>45568</v>
      </c>
      <c r="C36228" s="5" t="str">
        <f>IFERROR(__xludf.DUMMYFUNCTION("GOOGLETRANSLATE(B36228,""en"",""fr"")"),"Un panel de personnes se parle et les gens se préparent pour une course.")</f>
        <v>Un panel de personnes se parle et les gens se préparent pour une course.</v>
      </c>
    </row>
    <row r="36229">
      <c r="A36229" s="4" t="s">
        <v>45565</v>
      </c>
      <c r="B36229" s="4" t="s">
        <v>45569</v>
      </c>
      <c r="C36229" s="5" t="str">
        <f>IFERROR(__xludf.DUMMYFUNCTION("GOOGLETRANSLATE(B36229,""en"",""fr"")"),"Des dizaines de personnes s'alignent et commencent à nager dans l'océan pour courir.")</f>
        <v>Des dizaines de personnes s'alignent et commencent à nager dans l'océan pour courir.</v>
      </c>
    </row>
    <row r="36230">
      <c r="A36230" s="4" t="s">
        <v>45565</v>
      </c>
      <c r="B36230" s="6" t="s">
        <v>45570</v>
      </c>
      <c r="C36230" s="5" t="str">
        <f>IFERROR(__xludf.DUMMYFUNCTION("GOOGLETRANSLATE(B36230,""en"",""fr"")"),"Beaucoup plus de gens sont interviewés pendant que la course se poursuit et que de nombreuses personnes regardent et discutent des événements.")</f>
        <v>Beaucoup plus de gens sont interviewés pendant que la course se poursuit et que de nombreuses personnes regardent et discutent des événements.</v>
      </c>
    </row>
    <row r="36231">
      <c r="A36231" s="4" t="s">
        <v>45571</v>
      </c>
      <c r="B36231" s="4" t="s">
        <v>45572</v>
      </c>
      <c r="C36231" s="5" t="str">
        <f>IFERROR(__xludf.DUMMYFUNCTION("GOOGLETRANSLATE(B36231,""en"",""fr"")"),"Une jeune fille est vue assise sur un lit avec deux aiguilles à tricot et fil dans ses mains.")</f>
        <v>Une jeune fille est vue assise sur un lit avec deux aiguilles à tricot et fil dans ses mains.</v>
      </c>
    </row>
    <row r="36232">
      <c r="A36232" s="4" t="s">
        <v>45571</v>
      </c>
      <c r="B36232" s="6" t="s">
        <v>45573</v>
      </c>
      <c r="C36232" s="5" t="str">
        <f>IFERROR(__xludf.DUMMYFUNCTION("GOOGLETRANSLATE(B36232,""en"",""fr"")"),"La caméra se déroule autour d'elle et la regarde tricoter pendant qu'elle parle et regarde au loin.")</f>
        <v>La caméra se déroule autour d'elle et la regarde tricoter pendant qu'elle parle et regarde au loin.</v>
      </c>
    </row>
    <row r="36233">
      <c r="A36233" s="4" t="s">
        <v>45574</v>
      </c>
      <c r="B36233" s="4" t="s">
        <v>45575</v>
      </c>
      <c r="C36233" s="5" t="str">
        <f>IFERROR(__xludf.DUMMYFUNCTION("GOOGLETRANSLATE(B36233,""en"",""fr"")"),"Un garçon en veste rouge détient un outil de grattoir de fenêtre et retire la neige d'un pare-brise de voiture.")</f>
        <v>Un garçon en veste rouge détient un outil de grattoir de fenêtre et retire la neige d'un pare-brise de voiture.</v>
      </c>
    </row>
    <row r="36234">
      <c r="A36234" s="4" t="s">
        <v>45574</v>
      </c>
      <c r="B36234" s="4" t="s">
        <v>45576</v>
      </c>
      <c r="C36234" s="5" t="str">
        <f>IFERROR(__xludf.DUMMYFUNCTION("GOOGLETRANSLATE(B36234,""en"",""fr"")"),"Le garçon tourne l'outil et utilise brièvement le bord du bord du bord.")</f>
        <v>Le garçon tourne l'outil et utilise brièvement le bord du bord du bord.</v>
      </c>
    </row>
    <row r="36235">
      <c r="A36235" s="4" t="s">
        <v>45574</v>
      </c>
      <c r="B36235" s="4" t="s">
        <v>45577</v>
      </c>
      <c r="C36235" s="5" t="str">
        <f>IFERROR(__xludf.DUMMYFUNCTION("GOOGLETRANSLATE(B36235,""en"",""fr"")"),"Le garçon continue de gratter le pare-brise comme auparavant avec le côté large de l'outil.")</f>
        <v>Le garçon continue de gratter le pare-brise comme auparavant avec le côté large de l'outil.</v>
      </c>
    </row>
    <row r="36236">
      <c r="A36236" s="4" t="s">
        <v>45578</v>
      </c>
      <c r="B36236" s="4" t="s">
        <v>45579</v>
      </c>
      <c r="C36236" s="5" t="str">
        <f>IFERROR(__xludf.DUMMYFUNCTION("GOOGLETRANSLATE(B36236,""en"",""fr"")"),"Nous voyons la carte de titre colorée.")</f>
        <v>Nous voyons la carte de titre colorée.</v>
      </c>
    </row>
    <row r="36237">
      <c r="A36237" s="4" t="s">
        <v>45578</v>
      </c>
      <c r="B36237" s="4" t="s">
        <v>45580</v>
      </c>
      <c r="C36237" s="5" t="str">
        <f>IFERROR(__xludf.DUMMYFUNCTION("GOOGLETRANSLATE(B36237,""en"",""fr"")"),"Nous voyons des enfants jouer sur le terrain de jeu.")</f>
        <v>Nous voyons des enfants jouer sur le terrain de jeu.</v>
      </c>
    </row>
    <row r="36238">
      <c r="A36238" s="4" t="s">
        <v>45578</v>
      </c>
      <c r="B36238" s="4" t="s">
        <v>45581</v>
      </c>
      <c r="C36238" s="5" t="str">
        <f>IFERROR(__xludf.DUMMYFUNCTION("GOOGLETRANSLATE(B36238,""en"",""fr"")"),"Le garçon quitte le swing et nous le suivons jusqu'à la diapositive.")</f>
        <v>Le garçon quitte le swing et nous le suivons jusqu'à la diapositive.</v>
      </c>
    </row>
    <row r="36239">
      <c r="A36239" s="4" t="s">
        <v>45578</v>
      </c>
      <c r="B36239" s="4" t="s">
        <v>45582</v>
      </c>
      <c r="C36239" s="5" t="str">
        <f>IFERROR(__xludf.DUMMYFUNCTION("GOOGLETRANSLATE(B36239,""en"",""fr"")"),"Le garçon finit de glisser et va dans une autre partie du parc et joue.")</f>
        <v>Le garçon finit de glisser et va dans une autre partie du parc et joue.</v>
      </c>
    </row>
    <row r="36240">
      <c r="A36240" s="4" t="s">
        <v>45578</v>
      </c>
      <c r="B36240" s="4" t="s">
        <v>45583</v>
      </c>
      <c r="C36240" s="5" t="str">
        <f>IFERROR(__xludf.DUMMYFUNCTION("GOOGLETRANSLATE(B36240,""en"",""fr"")"),"Le garçon glisse et tombe sur le pont avant de glisser vers le bas.")</f>
        <v>Le garçon glisse et tombe sur le pont avant de glisser vers le bas.</v>
      </c>
    </row>
    <row r="36241">
      <c r="A36241" s="4" t="s">
        <v>45578</v>
      </c>
      <c r="B36241" s="4" t="s">
        <v>45584</v>
      </c>
      <c r="C36241" s="5" t="str">
        <f>IFERROR(__xludf.DUMMYFUNCTION("GOOGLETRANSLATE(B36241,""en"",""fr"")"),"Il joue avec le grand swing avec un autre enfant.")</f>
        <v>Il joue avec le grand swing avec un autre enfant.</v>
      </c>
    </row>
    <row r="36242">
      <c r="A36242" s="4" t="s">
        <v>45578</v>
      </c>
      <c r="B36242" s="4" t="s">
        <v>45585</v>
      </c>
      <c r="C36242" s="5" t="str">
        <f>IFERROR(__xludf.DUMMYFUNCTION("GOOGLETRANSLATE(B36242,""en"",""fr"")"),"Nous voyons l'écran de fin.")</f>
        <v>Nous voyons l'écran de fin.</v>
      </c>
    </row>
    <row r="36243">
      <c r="A36243" s="4" t="s">
        <v>45586</v>
      </c>
      <c r="B36243" s="4" t="s">
        <v>45587</v>
      </c>
      <c r="C36243" s="5" t="str">
        <f>IFERROR(__xludf.DUMMYFUNCTION("GOOGLETRANSLATE(B36243,""en"",""fr"")"),"Une personne tient quelqu'un sur ses épaules.")</f>
        <v>Une personne tient quelqu'un sur ses épaules.</v>
      </c>
    </row>
    <row r="36244">
      <c r="A36244" s="4" t="s">
        <v>45586</v>
      </c>
      <c r="B36244" s="4" t="s">
        <v>45588</v>
      </c>
      <c r="C36244" s="5" t="str">
        <f>IFERROR(__xludf.DUMMYFUNCTION("GOOGLETRANSLATE(B36244,""en"",""fr"")"),"Ils tournent plusieurs fois et tombent sur le sol.")</f>
        <v>Ils tournent plusieurs fois et tombent sur le sol.</v>
      </c>
    </row>
    <row r="36245">
      <c r="A36245" s="4" t="s">
        <v>45586</v>
      </c>
      <c r="B36245" s="4" t="s">
        <v>45589</v>
      </c>
      <c r="C36245" s="5" t="str">
        <f>IFERROR(__xludf.DUMMYFUNCTION("GOOGLETRANSLATE(B36245,""en"",""fr"")"),"L'homme se lève et s'assoit sur le lit.")</f>
        <v>L'homme se lève et s'assoit sur le lit.</v>
      </c>
    </row>
    <row r="36246">
      <c r="A36246" s="4" t="s">
        <v>45590</v>
      </c>
      <c r="B36246" s="6" t="s">
        <v>45591</v>
      </c>
      <c r="C36246" s="5" t="str">
        <f>IFERROR(__xludf.DUMMYFUNCTION("GOOGLETRANSLATE(B36246,""en"",""fr"")"),"Ces filles sont à genoux à genoux sur le sol et à jouer une robe sur une fille de put de met de put sur ses lèvres, ses joues, son front et sous ses yeux.")</f>
        <v>Ces filles sont à genoux à genoux sur le sol et à jouer une robe sur une fille de put de met de put sur ses lèvres, ses joues, son front et sous ses yeux.</v>
      </c>
    </row>
    <row r="36247">
      <c r="A36247" s="4" t="s">
        <v>45590</v>
      </c>
      <c r="B36247" s="4" t="s">
        <v>45592</v>
      </c>
      <c r="C36247" s="5" t="str">
        <f>IFERROR(__xludf.DUMMYFUNCTION("GOOGLETRANSLATE(B36247,""en"",""fr"")"),"Puis un autre met un peu de maquillage sur le dessus de ses yeux.")</f>
        <v>Puis un autre met un peu de maquillage sur le dessus de ses yeux.</v>
      </c>
    </row>
    <row r="36248">
      <c r="A36248" s="4" t="s">
        <v>45593</v>
      </c>
      <c r="B36248" s="4" t="s">
        <v>45594</v>
      </c>
      <c r="C36248" s="5" t="str">
        <f>IFERROR(__xludf.DUMMYFUNCTION("GOOGLETRANSLATE(B36248,""en"",""fr"")"),"Un jeune enfant est vu debout devant une voiture tenant un chiffon et regardant la caméra.")</f>
        <v>Un jeune enfant est vu debout devant une voiture tenant un chiffon et regardant la caméra.</v>
      </c>
    </row>
    <row r="36249">
      <c r="A36249" s="4" t="s">
        <v>45593</v>
      </c>
      <c r="B36249" s="4" t="s">
        <v>45595</v>
      </c>
      <c r="C36249" s="5" t="str">
        <f>IFERROR(__xludf.DUMMYFUNCTION("GOOGLETRANSLATE(B36249,""en"",""fr"")"),"Le garçon utilise le chiffon partout dans la voiture pendant que la caméra suit ses mouvements.")</f>
        <v>Le garçon utilise le chiffon partout dans la voiture pendant que la caméra suit ses mouvements.</v>
      </c>
    </row>
    <row r="36250">
      <c r="A36250" s="4" t="s">
        <v>45593</v>
      </c>
      <c r="B36250" s="4" t="s">
        <v>45596</v>
      </c>
      <c r="C36250" s="5" t="str">
        <f>IFERROR(__xludf.DUMMYFUNCTION("GOOGLETRANSLATE(B36250,""en"",""fr"")"),"Il continue de se déplacer dans la voiture tandis qu'un autre homme pulvérise un tuyau et le garçon l'essuyait.")</f>
        <v>Il continue de se déplacer dans la voiture tandis qu'un autre homme pulvérise un tuyau et le garçon l'essuyait.</v>
      </c>
    </row>
    <row r="36251">
      <c r="A36251" s="4" t="s">
        <v>45597</v>
      </c>
      <c r="B36251" s="4" t="s">
        <v>45598</v>
      </c>
      <c r="C36251" s="5" t="str">
        <f>IFERROR(__xludf.DUMMYFUNCTION("GOOGLETRANSLATE(B36251,""en"",""fr"")"),"Plusieurs personnes sont vues de forage de trous dans la glace tout en regardant vers le bas et en parlant à la caméra.")</f>
        <v>Plusieurs personnes sont vues de forage de trous dans la glace tout en regardant vers le bas et en parlant à la caméra.</v>
      </c>
    </row>
    <row r="36252">
      <c r="A36252" s="4" t="s">
        <v>45597</v>
      </c>
      <c r="B36252" s="4" t="s">
        <v>45599</v>
      </c>
      <c r="C36252" s="5" t="str">
        <f>IFERROR(__xludf.DUMMYFUNCTION("GOOGLETRANSLATE(B36252,""en"",""fr"")"),"De nombreuses images sont présentées sur les gens qui pêchent ainsi que le tirage du poisson d'un trou.")</f>
        <v>De nombreuses images sont présentées sur les gens qui pêchent ainsi que le tirage du poisson d'un trou.</v>
      </c>
    </row>
    <row r="36253">
      <c r="A36253" s="4" t="s">
        <v>45597</v>
      </c>
      <c r="B36253" s="4" t="s">
        <v>45600</v>
      </c>
      <c r="C36253" s="5" t="str">
        <f>IFERROR(__xludf.DUMMYFUNCTION("GOOGLETRANSLATE(B36253,""en"",""fr"")"),"Plus de gens sont assis près des trous et continuent de retirer du poisson.")</f>
        <v>Plus de gens sont assis près des trous et continuent de retirer du poisson.</v>
      </c>
    </row>
    <row r="36254">
      <c r="A36254" s="4" t="s">
        <v>45601</v>
      </c>
      <c r="B36254" s="4" t="s">
        <v>45602</v>
      </c>
      <c r="C36254" s="5" t="str">
        <f>IFERROR(__xludf.DUMMYFUNCTION("GOOGLETRANSLATE(B36254,""en"",""fr"")"),"Un groupe de personnes est ensemble sur un parcours d'obstacles.")</f>
        <v>Un groupe de personnes est ensemble sur un parcours d'obstacles.</v>
      </c>
    </row>
    <row r="36255">
      <c r="A36255" s="4" t="s">
        <v>45601</v>
      </c>
      <c r="B36255" s="4" t="s">
        <v>45603</v>
      </c>
      <c r="C36255" s="5" t="str">
        <f>IFERROR(__xludf.DUMMYFUNCTION("GOOGLETRANSLATE(B36255,""en"",""fr"")"),"Ils se cachent derrière les obstacles et se tirent dessus avec des pistolets de peinture.")</f>
        <v>Ils se cachent derrière les obstacles et se tirent dessus avec des pistolets de peinture.</v>
      </c>
    </row>
    <row r="36256">
      <c r="A36256" s="4" t="s">
        <v>45601</v>
      </c>
      <c r="B36256" s="4" t="s">
        <v>45604</v>
      </c>
      <c r="C36256" s="5" t="str">
        <f>IFERROR(__xludf.DUMMYFUNCTION("GOOGLETRANSLATE(B36256,""en"",""fr"")"),"Ils courent, puis se rassemblent et s'embrassent quand ils ont fini.")</f>
        <v>Ils courent, puis se rassemblent et s'embrassent quand ils ont fini.</v>
      </c>
    </row>
    <row r="36257">
      <c r="A36257" s="4" t="s">
        <v>45605</v>
      </c>
      <c r="B36257" s="4" t="s">
        <v>45606</v>
      </c>
      <c r="C36257" s="5" t="str">
        <f>IFERROR(__xludf.DUMMYFUNCTION("GOOGLETRANSLATE(B36257,""en"",""fr"")"),"Les ingrédients sont mélangés dans un bol en argent.")</f>
        <v>Les ingrédients sont mélangés dans un bol en argent.</v>
      </c>
    </row>
    <row r="36258">
      <c r="A36258" s="4" t="s">
        <v>45605</v>
      </c>
      <c r="B36258" s="4" t="s">
        <v>45607</v>
      </c>
      <c r="C36258" s="5" t="str">
        <f>IFERROR(__xludf.DUMMYFUNCTION("GOOGLETRANSLATE(B36258,""en"",""fr"")"),"Il est ensuite placé sur une plaque à biscuits.")</f>
        <v>Il est ensuite placé sur une plaque à biscuits.</v>
      </c>
    </row>
    <row r="36259">
      <c r="A36259" s="4" t="s">
        <v>45605</v>
      </c>
      <c r="B36259" s="4" t="s">
        <v>45608</v>
      </c>
      <c r="C36259" s="5" t="str">
        <f>IFERROR(__xludf.DUMMYFUNCTION("GOOGLETRANSLATE(B36259,""en"",""fr"")"),"Les aliments cuits sont ensuite représentés et cassés en deux.")</f>
        <v>Les aliments cuits sont ensuite représentés et cassés en deux.</v>
      </c>
    </row>
    <row r="36260">
      <c r="A36260" s="4" t="s">
        <v>45609</v>
      </c>
      <c r="B36260" s="4" t="s">
        <v>45610</v>
      </c>
      <c r="C36260" s="5" t="str">
        <f>IFERROR(__xludf.DUMMYFUNCTION("GOOGLETRANSLATE(B36260,""en"",""fr"")"),"Un champ est montré avec certaines montagnes alors qu'une personne commence à conduire sur une route.")</f>
        <v>Un champ est montré avec certaines montagnes alors qu'une personne commence à conduire sur une route.</v>
      </c>
    </row>
    <row r="36261">
      <c r="A36261" s="4" t="s">
        <v>45609</v>
      </c>
      <c r="B36261" s="4" t="s">
        <v>45611</v>
      </c>
      <c r="C36261" s="5" t="str">
        <f>IFERROR(__xludf.DUMMYFUNCTION("GOOGLETRANSLATE(B36261,""en"",""fr"")"),"Après, les hommes sont montrés et ils sortent et commencent à faire du skate sur une route dans le pays.")</f>
        <v>Après, les hommes sont montrés et ils sortent et commencent à faire du skate sur une route dans le pays.</v>
      </c>
    </row>
    <row r="36262">
      <c r="A36262" s="4" t="s">
        <v>45609</v>
      </c>
      <c r="B36262" s="6" t="s">
        <v>45612</v>
      </c>
      <c r="C36262" s="5" t="str">
        <f>IFERROR(__xludf.DUMMYFUNCTION("GOOGLETRANSLATE(B36262,""en"",""fr"")"),"En continuant, un grand stand de foin est au milieu de la route et ils le traversent tous et ils finissent de patiner sur la route.")</f>
        <v>En continuant, un grand stand de foin est au milieu de la route et ils le traversent tous et ils finissent de patiner sur la route.</v>
      </c>
    </row>
    <row r="36263">
      <c r="A36263" s="4" t="s">
        <v>45613</v>
      </c>
      <c r="B36263" s="4" t="s">
        <v>45614</v>
      </c>
      <c r="C36263" s="5" t="str">
        <f>IFERROR(__xludf.DUMMYFUNCTION("GOOGLETRANSLATE(B36263,""en"",""fr"")"),"Un tas d'arbres est montré qui souffle à l'extérieur sur un chemin pavé à l'extérieur d'un bâtiment.")</f>
        <v>Un tas d'arbres est montré qui souffle à l'extérieur sur un chemin pavé à l'extérieur d'un bâtiment.</v>
      </c>
    </row>
    <row r="36264">
      <c r="A36264" s="4" t="s">
        <v>45613</v>
      </c>
      <c r="B36264" s="6" t="s">
        <v>45615</v>
      </c>
      <c r="C36264" s="5" t="str">
        <f>IFERROR(__xludf.DUMMYFUNCTION("GOOGLETRANSLATE(B36264,""en"",""fr"")"),"Alors que les feuilles continuent de faire sauter un jeune garçon entre dans la scène en nettoyant le chemin avec son souffleur de feuilles.")</f>
        <v>Alors que les feuilles continuent de faire sauter un jeune garçon entre dans la scène en nettoyant le chemin avec son souffleur de feuilles.</v>
      </c>
    </row>
    <row r="36265">
      <c r="A36265" s="4" t="s">
        <v>45616</v>
      </c>
      <c r="B36265" s="4" t="s">
        <v>45617</v>
      </c>
      <c r="C36265" s="5" t="str">
        <f>IFERROR(__xludf.DUMMYFUNCTION("GOOGLETRANSLATE(B36265,""en"",""fr"")"),"Un homme en costume joue une flûte sur scène devant un homme jouant un piano.")</f>
        <v>Un homme en costume joue une flûte sur scène devant un homme jouant un piano.</v>
      </c>
    </row>
    <row r="36266">
      <c r="A36266" s="4" t="s">
        <v>45616</v>
      </c>
      <c r="B36266" s="4" t="s">
        <v>45618</v>
      </c>
      <c r="C36266" s="5" t="str">
        <f>IFERROR(__xludf.DUMMYFUNCTION("GOOGLETRANSLATE(B36266,""en"",""fr"")"),"Ils finissent de jouer et l'homme jouant du piano se lève.")</f>
        <v>Ils finissent de jouer et l'homme jouant du piano se lève.</v>
      </c>
    </row>
    <row r="36267">
      <c r="A36267" s="4" t="s">
        <v>45619</v>
      </c>
      <c r="B36267" s="4" t="s">
        <v>45620</v>
      </c>
      <c r="C36267" s="5" t="str">
        <f>IFERROR(__xludf.DUMMYFUNCTION("GOOGLETRANSLATE(B36267,""en"",""fr"")"),"Un plongeur de plongée est sous l'eau portant de l'oxygène dans la bouche.")</f>
        <v>Un plongeur de plongée est sous l'eau portant de l'oxygène dans la bouche.</v>
      </c>
    </row>
    <row r="36268">
      <c r="A36268" s="4" t="s">
        <v>45619</v>
      </c>
      <c r="B36268" s="4" t="s">
        <v>45621</v>
      </c>
      <c r="C36268" s="5" t="str">
        <f>IFERROR(__xludf.DUMMYFUNCTION("GOOGLETRANSLATE(B36268,""en"",""fr"")"),"Le plongeur tient son masque pour les yeux et le met.")</f>
        <v>Le plongeur tient son masque pour les yeux et le met.</v>
      </c>
    </row>
    <row r="36269">
      <c r="A36269" s="4" t="s">
        <v>45619</v>
      </c>
      <c r="B36269" s="6" t="s">
        <v>45622</v>
      </c>
      <c r="C36269" s="5" t="str">
        <f>IFERROR(__xludf.DUMMYFUNCTION("GOOGLETRANSLATE(B36269,""en"",""fr"")"),"Un autre plongeur de plongée a enlevé ses masques pour les yeux, tandis que derrière lui, d'autres plongeurs de plongée nageaient, puis il remis est masqué et donne un signe correct avec ses doigts.")</f>
        <v>Un autre plongeur de plongée a enlevé ses masques pour les yeux, tandis que derrière lui, d'autres plongeurs de plongée nageaient, puis il remis est masqué et donne un signe correct avec ses doigts.</v>
      </c>
    </row>
    <row r="36270">
      <c r="A36270" s="4" t="s">
        <v>45623</v>
      </c>
      <c r="B36270" s="4" t="s">
        <v>45624</v>
      </c>
      <c r="C36270" s="5" t="str">
        <f>IFERROR(__xludf.DUMMYFUNCTION("GOOGLETRANSLATE(B36270,""en"",""fr"")"),"Un homme cache un buisson dans une cour.")</f>
        <v>Un homme cache un buisson dans une cour.</v>
      </c>
    </row>
    <row r="36271">
      <c r="A36271" s="4" t="s">
        <v>45623</v>
      </c>
      <c r="B36271" s="4" t="s">
        <v>45625</v>
      </c>
      <c r="C36271" s="5" t="str">
        <f>IFERROR(__xludf.DUMMYFUNCTION("GOOGLETRANSLATE(B36271,""en"",""fr"")"),"Il coupe le pinceau épais de haut en bas.")</f>
        <v>Il coupe le pinceau épais de haut en bas.</v>
      </c>
    </row>
    <row r="36272">
      <c r="A36272" s="4" t="s">
        <v>45623</v>
      </c>
      <c r="B36272" s="4" t="s">
        <v>45626</v>
      </c>
      <c r="C36272" s="5" t="str">
        <f>IFERROR(__xludf.DUMMYFUNCTION("GOOGLETRANSLATE(B36272,""en"",""fr"")"),"Il termine la haie, montrant ses compétences.")</f>
        <v>Il termine la haie, montrant ses compétences.</v>
      </c>
    </row>
    <row r="36273">
      <c r="A36273" s="4" t="s">
        <v>45627</v>
      </c>
      <c r="B36273" s="6" t="s">
        <v>45628</v>
      </c>
      <c r="C36273" s="5" t="str">
        <f>IFERROR(__xludf.DUMMYFUNCTION("GOOGLETRANSLATE(B36273,""en"",""fr"")"),"Un taureau court dans la rue en train de gorer les gens et de les jeter au sol, tandis que les Bulls sont attachés à une corde.")</f>
        <v>Un taureau court dans la rue en train de gorer les gens et de les jeter au sol, tandis que les Bulls sont attachés à une corde.</v>
      </c>
    </row>
    <row r="36274">
      <c r="A36274" s="4" t="s">
        <v>45627</v>
      </c>
      <c r="B36274" s="4" t="s">
        <v>45629</v>
      </c>
      <c r="C36274" s="5" t="str">
        <f>IFERROR(__xludf.DUMMYFUNCTION("GOOGLETRANSLATE(B36274,""en"",""fr"")"),"Le taureau entre dans une maison, puis le taureau continue de gurer les gens dans la rue.")</f>
        <v>Le taureau entre dans une maison, puis le taureau continue de gurer les gens dans la rue.</v>
      </c>
    </row>
    <row r="36275">
      <c r="A36275" s="4" t="s">
        <v>45627</v>
      </c>
      <c r="B36275" s="6" t="s">
        <v>45630</v>
      </c>
      <c r="C36275" s="5" t="str">
        <f>IFERROR(__xludf.DUMMYFUNCTION("GOOGLETRANSLATE(B36275,""en"",""fr"")"),"Le taureau entre dans un corral et attaque une personne derrière la clôture, puis le taureau continue de goriner des gens dans la rue.")</f>
        <v>Le taureau entre dans un corral et attaque une personne derrière la clôture, puis le taureau continue de goriner des gens dans la rue.</v>
      </c>
    </row>
    <row r="36276">
      <c r="A36276" s="4" t="s">
        <v>45627</v>
      </c>
      <c r="B36276" s="6" t="s">
        <v>45631</v>
      </c>
      <c r="C36276" s="5" t="str">
        <f>IFERROR(__xludf.DUMMYFUNCTION("GOOGLETRANSLATE(B36276,""en"",""fr"")"),"Une personne caresse le taureau à travers une fenêtre, après le taureau, un autre taureau qui tombe par terre.")</f>
        <v>Une personne caresse le taureau à travers une fenêtre, après le taureau, un autre taureau qui tombe par terre.</v>
      </c>
    </row>
    <row r="36277">
      <c r="A36277" s="4" t="s">
        <v>45627</v>
      </c>
      <c r="B36277" s="4" t="s">
        <v>45632</v>
      </c>
      <c r="C36277" s="5" t="str">
        <f>IFERROR(__xludf.DUMMYFUNCTION("GOOGLETRANSLATE(B36277,""en"",""fr"")"),"Le taureau attaque un chien assis devant une porte.")</f>
        <v>Le taureau attaque un chien assis devant une porte.</v>
      </c>
    </row>
    <row r="36278">
      <c r="A36278" s="4" t="s">
        <v>45627</v>
      </c>
      <c r="B36278" s="4" t="s">
        <v>45633</v>
      </c>
      <c r="C36278" s="5" t="str">
        <f>IFERROR(__xludf.DUMMYFUNCTION("GOOGLETRANSLATE(B36278,""en"",""fr"")"),"Le taureau accorde des gens et attaque également les gens sur le trottoir.")</f>
        <v>Le taureau accorde des gens et attaque également les gens sur le trottoir.</v>
      </c>
    </row>
    <row r="36279">
      <c r="A36279" s="4" t="s">
        <v>45627</v>
      </c>
      <c r="B36279" s="4" t="s">
        <v>45634</v>
      </c>
      <c r="C36279" s="5" t="str">
        <f>IFERROR(__xludf.DUMMYFUNCTION("GOOGLETRANSLATE(B36279,""en"",""fr"")"),"Le taureau continue de gurer les gens derrière.")</f>
        <v>Le taureau continue de gurer les gens derrière.</v>
      </c>
    </row>
    <row r="36280">
      <c r="A36280" s="4" t="s">
        <v>45635</v>
      </c>
      <c r="B36280" s="6" t="s">
        <v>45636</v>
      </c>
      <c r="C36280" s="5" t="str">
        <f>IFERROR(__xludf.DUMMYFUNCTION("GOOGLETRANSLATE(B36280,""en"",""fr"")"),"Tout d'abord, l'homme marche sur la femme aux yeux bandés près de la Pinata et elle commence à balancer le balai pour le frapper.")</f>
        <v>Tout d'abord, l'homme marche sur la femme aux yeux bandés près de la Pinata et elle commence à balancer le balai pour le frapper.</v>
      </c>
    </row>
    <row r="36281">
      <c r="A36281" s="4" t="s">
        <v>45635</v>
      </c>
      <c r="B36281" s="4" t="s">
        <v>45637</v>
      </c>
      <c r="C36281" s="5" t="str">
        <f>IFERROR(__xludf.DUMMYFUNCTION("GOOGLETRANSLATE(B36281,""en"",""fr"")"),"Mais elle manque plusieurs fois parce que la pinata se déplace de haut en bas dans les airs.")</f>
        <v>Mais elle manque plusieurs fois parce que la pinata se déplace de haut en bas dans les airs.</v>
      </c>
    </row>
    <row r="36282">
      <c r="A36282" s="4" t="s">
        <v>45635</v>
      </c>
      <c r="B36282" s="6" t="s">
        <v>45638</v>
      </c>
      <c r="C36282" s="5" t="str">
        <f>IFERROR(__xludf.DUMMYFUNCTION("GOOGLETRANSLATE(B36282,""en"",""fr"")"),"Après un certain temps à essayer, elle frappe la corde à laquelle la pinata est suspendue et fait tomber la pinata, mais a à peine sorti des bonbons.")</f>
        <v>Après un certain temps à essayer, elle frappe la corde à laquelle la pinata est suspendue et fait tomber la pinata, mais a à peine sorti des bonbons.</v>
      </c>
    </row>
    <row r="36283">
      <c r="A36283" s="4" t="s">
        <v>45639</v>
      </c>
      <c r="B36283" s="6" t="s">
        <v>45640</v>
      </c>
      <c r="C36283" s="5" t="str">
        <f>IFERROR(__xludf.DUMMYFUNCTION("GOOGLETRANSLATE(B36283,""en"",""fr"")"),"Un petit groupe de personnes vues assises dans l'eau suivie d'une conduite derrière un hélicoptère sur une planche et d'une femme parlant à la caméra.")</f>
        <v>Un petit groupe de personnes vues assises dans l'eau suivie d'une conduite derrière un hélicoptère sur une planche et d'une femme parlant à la caméra.</v>
      </c>
    </row>
    <row r="36284">
      <c r="A36284" s="4" t="s">
        <v>45639</v>
      </c>
      <c r="B36284" s="6" t="s">
        <v>45641</v>
      </c>
      <c r="C36284" s="5" t="str">
        <f>IFERROR(__xludf.DUMMYFUNCTION("GOOGLETRANSLATE(B36284,""en"",""fr"")"),"L'homme continue de rouler et est ensuite vu dans les airs avec l'hélicoptère et les pilotes agitant.")</f>
        <v>L'homme continue de rouler et est ensuite vu dans les airs avec l'hélicoptère et les pilotes agitant.</v>
      </c>
    </row>
    <row r="36285">
      <c r="A36285" s="4" t="s">
        <v>45639</v>
      </c>
      <c r="B36285" s="6" t="s">
        <v>45642</v>
      </c>
      <c r="C36285" s="5" t="str">
        <f>IFERROR(__xludf.DUMMYFUNCTION("GOOGLETRANSLATE(B36285,""en"",""fr"")"),"L'homme laisse ensuite l'hélicoptère, descendant sur un parachute et atterrissant en toute sécurité dans l'eau.")</f>
        <v>L'homme laisse ensuite l'hélicoptère, descendant sur un parachute et atterrissant en toute sécurité dans l'eau.</v>
      </c>
    </row>
    <row r="36286">
      <c r="A36286" s="4" t="s">
        <v>45639</v>
      </c>
      <c r="B36286" s="4" t="s">
        <v>45643</v>
      </c>
      <c r="C36286" s="5" t="str">
        <f>IFERROR(__xludf.DUMMYFUNCTION("GOOGLETRANSLATE(B36286,""en"",""fr"")"),"L'homme se couche ensuite pendant que son tir est à nouveau montré et que la femme lui parle.")</f>
        <v>L'homme se couche ensuite pendant que son tir est à nouveau montré et que la femme lui parle.</v>
      </c>
    </row>
    <row r="36287">
      <c r="A36287" s="4" t="s">
        <v>45644</v>
      </c>
      <c r="B36287" s="4" t="s">
        <v>45645</v>
      </c>
      <c r="C36287" s="5" t="str">
        <f>IFERROR(__xludf.DUMMYFUNCTION("GOOGLETRANSLATE(B36287,""en"",""fr"")"),"Deux femmes se tiennent sur une plage, portant des bikinis et tiennent une planche de surf.")</f>
        <v>Deux femmes se tiennent sur une plage, portant des bikinis et tiennent une planche de surf.</v>
      </c>
    </row>
    <row r="36288">
      <c r="A36288" s="4" t="s">
        <v>45644</v>
      </c>
      <c r="B36288" s="6" t="s">
        <v>45646</v>
      </c>
      <c r="C36288" s="5" t="str">
        <f>IFERROR(__xludf.DUMMYFUNCTION("GOOGLETRANSLATE(B36288,""en"",""fr"")"),"On leur montre ensuite marcher sur la plage et poser pour des photos entre le surf sur les vagues.")</f>
        <v>On leur montre ensuite marcher sur la plage et poser pour des photos entre le surf sur les vagues.</v>
      </c>
    </row>
    <row r="36289">
      <c r="A36289" s="4" t="s">
        <v>45644</v>
      </c>
      <c r="B36289" s="4" t="s">
        <v>45647</v>
      </c>
      <c r="C36289" s="5" t="str">
        <f>IFERROR(__xludf.DUMMYFUNCTION("GOOGLETRANSLATE(B36289,""en"",""fr"")"),"Ils montrent comment faire divers mouvements de surf.")</f>
        <v>Ils montrent comment faire divers mouvements de surf.</v>
      </c>
    </row>
    <row r="36290">
      <c r="A36290" s="4" t="s">
        <v>45644</v>
      </c>
      <c r="B36290" s="4" t="s">
        <v>45648</v>
      </c>
      <c r="C36290" s="5" t="str">
        <f>IFERROR(__xludf.DUMMYFUNCTION("GOOGLETRANSLATE(B36290,""en"",""fr"")"),"Ils sont ensuite montrés sur la plage, assis pendant qu'ils parlent.")</f>
        <v>Ils sont ensuite montrés sur la plage, assis pendant qu'ils parlent.</v>
      </c>
    </row>
    <row r="36291">
      <c r="A36291" s="4" t="s">
        <v>45649</v>
      </c>
      <c r="B36291" s="6" t="s">
        <v>45650</v>
      </c>
      <c r="C36291" s="5" t="str">
        <f>IFERROR(__xludf.DUMMYFUNCTION("GOOGLETRANSLATE(B36291,""en"",""fr"")"),"Plusieurs hommes sont vus héberger un segment d'actualités qui mène à des clips de personnes jouant un jeu ensemble et se disputant les uns avec les autres.")</f>
        <v>Plusieurs hommes sont vus héberger un segment d'actualités qui mène à des clips de personnes jouant un jeu ensemble et se disputant les uns avec les autres.</v>
      </c>
    </row>
    <row r="36292">
      <c r="A36292" s="4" t="s">
        <v>45649</v>
      </c>
      <c r="B36292" s="4" t="s">
        <v>45651</v>
      </c>
      <c r="C36292" s="5" t="str">
        <f>IFERROR(__xludf.DUMMYFUNCTION("GOOGLETRANSLATE(B36292,""en"",""fr"")"),"Plus de photos de personnes qui jouent sont montrées ainsi que des personnes célébrant et s'éloignent.")</f>
        <v>Plus de photos de personnes qui jouent sont montrées ainsi que des personnes célébrant et s'éloignent.</v>
      </c>
    </row>
    <row r="36293">
      <c r="A36293" s="4" t="s">
        <v>45649</v>
      </c>
      <c r="B36293" s="6" t="s">
        <v>45652</v>
      </c>
      <c r="C36293" s="5" t="str">
        <f>IFERROR(__xludf.DUMMYFUNCTION("GOOGLETRANSLATE(B36293,""en"",""fr"")"),"Plus de coups sont montrés des hôtes qui se parlent et des gens qui frappent le ballon et s'éloignaient.")</f>
        <v>Plus de coups sont montrés des hôtes qui se parlent et des gens qui frappent le ballon et s'éloignaient.</v>
      </c>
    </row>
    <row r="36294">
      <c r="A36294" s="4" t="s">
        <v>45653</v>
      </c>
      <c r="B36294" s="6" t="s">
        <v>45654</v>
      </c>
      <c r="C36294" s="5" t="str">
        <f>IFERROR(__xludf.DUMMYFUNCTION("GOOGLETRANSLATE(B36294,""en"",""fr"")"),"Une femme et une autre personne pagayent dans un canoë orange dans un plan d'eau calme entouré de montagnes, d'arbres et de buissons.")</f>
        <v>Une femme et une autre personne pagayent dans un canoë orange dans un plan d'eau calme entouré de montagnes, d'arbres et de buissons.</v>
      </c>
    </row>
    <row r="36295">
      <c r="A36295" s="4" t="s">
        <v>45653</v>
      </c>
      <c r="B36295" s="6" t="s">
        <v>45655</v>
      </c>
      <c r="C36295" s="5" t="str">
        <f>IFERROR(__xludf.DUMMYFUNCTION("GOOGLETRANSLATE(B36295,""en"",""fr"")"),"La femme est à l'avant du canoë pagayant et l'autre personne, qui porte un chapeau couvrant le visage, s'assoit derrière la femme.")</f>
        <v>La femme est à l'avant du canoë pagayant et l'autre personne, qui porte un chapeau couvrant le visage, s'assoit derrière la femme.</v>
      </c>
    </row>
    <row r="36296">
      <c r="A36296" s="4" t="s">
        <v>45653</v>
      </c>
      <c r="B36296" s="4" t="s">
        <v>45656</v>
      </c>
      <c r="C36296" s="5" t="str">
        <f>IFERROR(__xludf.DUMMYFUNCTION("GOOGLETRANSLATE(B36296,""en"",""fr"")"),"Les deux personnes pagayent de la gauche et passent une ligne de buissons devant une montagne.")</f>
        <v>Les deux personnes pagayent de la gauche et passent une ligne de buissons devant une montagne.</v>
      </c>
    </row>
    <row r="36297">
      <c r="A36297" s="4" t="s">
        <v>45653</v>
      </c>
      <c r="B36297" s="6" t="s">
        <v>45657</v>
      </c>
      <c r="C36297" s="5" t="str">
        <f>IFERROR(__xludf.DUMMYFUNCTION("GOOGLETRANSLATE(B36297,""en"",""fr"")"),"Les deux personnes pagayent ensuite plus loin de la montagne et plus près du milieu du corps d'eau.")</f>
        <v>Les deux personnes pagayent ensuite plus loin de la montagne et plus près du milieu du corps d'eau.</v>
      </c>
    </row>
    <row r="36298">
      <c r="A36298" s="4" t="s">
        <v>45658</v>
      </c>
      <c r="B36298" s="6" t="s">
        <v>45659</v>
      </c>
      <c r="C36298" s="5" t="str">
        <f>IFERROR(__xludf.DUMMYFUNCTION("GOOGLETRANSLATE(B36298,""en"",""fr"")"),"La vidéo mène à plusieurs plans de personnes effectuant des sauts impressionnants et se détachent d'une plongée élevée.")</f>
        <v>La vidéo mène à plusieurs plans de personnes effectuant des sauts impressionnants et se détachent d'une plongée élevée.</v>
      </c>
    </row>
    <row r="36299">
      <c r="A36299" s="4" t="s">
        <v>45658</v>
      </c>
      <c r="B36299" s="6" t="s">
        <v>45660</v>
      </c>
      <c r="C36299" s="5" t="str">
        <f>IFERROR(__xludf.DUMMYFUNCTION("GOOGLETRANSLATE(B36299,""en"",""fr"")"),"De plus en plus de personnes sautent des différentes hauteurs des plongées et deux sont représentées en même temps à la fin.")</f>
        <v>De plus en plus de personnes sautent des différentes hauteurs des plongées et deux sont représentées en même temps à la fin.</v>
      </c>
    </row>
    <row r="36300">
      <c r="A36300" s="4" t="s">
        <v>45661</v>
      </c>
      <c r="B36300" s="4" t="s">
        <v>45662</v>
      </c>
      <c r="C36300" s="5" t="str">
        <f>IFERROR(__xludf.DUMMYFUNCTION("GOOGLETRANSLATE(B36300,""en"",""fr"")"),"Un homme est vu parler à la caméra tandis que les gens se tenaient derrière lui et s'entraînent.")</f>
        <v>Un homme est vu parler à la caméra tandis que les gens se tenaient derrière lui et s'entraînent.</v>
      </c>
    </row>
    <row r="36301">
      <c r="A36301" s="4" t="s">
        <v>45661</v>
      </c>
      <c r="B36301" s="6" t="s">
        <v>45663</v>
      </c>
      <c r="C36301" s="5" t="str">
        <f>IFERROR(__xludf.DUMMYFUNCTION("GOOGLETRANSLATE(B36301,""en"",""fr"")"),"Les hommes ont frappé le badminton en arrière et quatrième tandis que les messieurs plus âgés continuent de parler et de pointer autour de la cour.")</f>
        <v>Les hommes ont frappé le badminton en arrière et quatrième tandis que les messieurs plus âgés continuent de parler et de pointer autour de la cour.</v>
      </c>
    </row>
    <row r="36302">
      <c r="A36302" s="4" t="s">
        <v>45664</v>
      </c>
      <c r="B36302" s="6" t="s">
        <v>45665</v>
      </c>
      <c r="C36302" s="5" t="str">
        <f>IFERROR(__xludf.DUMMYFUNCTION("GOOGLETRANSLATE(B36302,""en"",""fr"")"),"Un gros plan d'outils et d'objets est montré disposé conduisant à plusieurs clips d'une moyenne mesurant un mur et posez le plâtre dessus.")</f>
        <v>Un gros plan d'outils et d'objets est montré disposé conduisant à plusieurs clips d'une moyenne mesurant un mur et posez le plâtre dessus.</v>
      </c>
    </row>
    <row r="36303">
      <c r="A36303" s="4" t="s">
        <v>45664</v>
      </c>
      <c r="B36303" s="6" t="s">
        <v>45666</v>
      </c>
      <c r="C36303" s="5" t="str">
        <f>IFERROR(__xludf.DUMMYFUNCTION("GOOGLETRANSLATE(B36303,""en"",""fr"")"),"L'homme montre comment faire du plâtre tout en faisant la transition avec lui en faisant du plâtre et continue de montrer plus de clips de lui le fixant.")</f>
        <v>L'homme montre comment faire du plâtre tout en faisant la transition avec lui en faisant du plâtre et continue de montrer plus de clips de lui le fixant.</v>
      </c>
    </row>
    <row r="36304">
      <c r="A36304" s="4" t="s">
        <v>45667</v>
      </c>
      <c r="B36304" s="4" t="s">
        <v>45668</v>
      </c>
      <c r="C36304" s="5" t="str">
        <f>IFERROR(__xludf.DUMMYFUNCTION("GOOGLETRANSLATE(B36304,""en"",""fr"")"),"Un vélo est montré dans une pièce appuyée contre une table brune.")</f>
        <v>Un vélo est montré dans une pièce appuyée contre une table brune.</v>
      </c>
    </row>
    <row r="36305">
      <c r="A36305" s="4" t="s">
        <v>45667</v>
      </c>
      <c r="B36305" s="4" t="s">
        <v>45669</v>
      </c>
      <c r="C36305" s="5" t="str">
        <f>IFERROR(__xludf.DUMMYFUNCTION("GOOGLETRANSLATE(B36305,""en"",""fr"")"),"Une personne entre ensuite dans la pièce et commence à retirer des morceaux du vélo.")</f>
        <v>Une personne entre ensuite dans la pièce et commence à retirer des morceaux du vélo.</v>
      </c>
    </row>
    <row r="36306">
      <c r="A36306" s="4" t="s">
        <v>45667</v>
      </c>
      <c r="B36306" s="4" t="s">
        <v>45670</v>
      </c>
      <c r="C36306" s="5" t="str">
        <f>IFERROR(__xludf.DUMMYFUNCTION("GOOGLETRANSLATE(B36306,""en"",""fr"")"),"Les pièces sont ensuite ajoutées sur le vélo et serrées autour du volant.")</f>
        <v>Les pièces sont ensuite ajoutées sur le vélo et serrées autour du volant.</v>
      </c>
    </row>
    <row r="36307">
      <c r="A36307" s="4" t="s">
        <v>45671</v>
      </c>
      <c r="B36307" s="4" t="s">
        <v>45672</v>
      </c>
      <c r="C36307" s="5" t="str">
        <f>IFERROR(__xludf.DUMMYFUNCTION("GOOGLETRANSLATE(B36307,""en"",""fr"")"),"Un homme se tient dans le porche d'une maison regarde autour de lui et sourit.")</f>
        <v>Un homme se tient dans le porche d'une maison regarde autour de lui et sourit.</v>
      </c>
    </row>
    <row r="36308">
      <c r="A36308" s="4" t="s">
        <v>45671</v>
      </c>
      <c r="B36308" s="4" t="s">
        <v>45673</v>
      </c>
      <c r="C36308" s="5" t="str">
        <f>IFERROR(__xludf.DUMMYFUNCTION("GOOGLETRANSLATE(B36308,""en"",""fr"")"),"Ensuite, l'homme attrape une tasse et boit, après son départ.")</f>
        <v>Ensuite, l'homme attrape une tasse et boit, après son départ.</v>
      </c>
    </row>
    <row r="36309">
      <c r="A36309" s="4" t="s">
        <v>45674</v>
      </c>
      <c r="B36309" s="4" t="s">
        <v>45675</v>
      </c>
      <c r="C36309" s="5" t="str">
        <f>IFERROR(__xludf.DUMMYFUNCTION("GOOGLETRANSLATE(B36309,""en"",""fr"")"),"Une femme a touché un téléphone noir et un écran de capsule violette comme des bactéries est apparu.")</f>
        <v>Une femme a touché un téléphone noir et un écran de capsule violette comme des bactéries est apparu.</v>
      </c>
    </row>
    <row r="36310">
      <c r="A36310" s="4" t="s">
        <v>45674</v>
      </c>
      <c r="B36310" s="4" t="s">
        <v>45676</v>
      </c>
      <c r="C36310" s="5" t="str">
        <f>IFERROR(__xludf.DUMMYFUNCTION("GOOGLETRANSLATE(B36310,""en"",""fr"")"),"La personne a remis le téléphone et a commencé à taper sur le clavier noir.")</f>
        <v>La personne a remis le téléphone et a commencé à taper sur le clavier noir.</v>
      </c>
    </row>
    <row r="36311">
      <c r="A36311" s="4" t="s">
        <v>45674</v>
      </c>
      <c r="B36311" s="4" t="s">
        <v>45677</v>
      </c>
      <c r="C36311" s="5" t="str">
        <f>IFERROR(__xludf.DUMMYFUNCTION("GOOGLETRANSLATE(B36311,""en"",""fr"")"),"Le coup de bactérie est mis dans la scène.")</f>
        <v>Le coup de bactérie est mis dans la scène.</v>
      </c>
    </row>
    <row r="36312">
      <c r="A36312" s="4" t="s">
        <v>45674</v>
      </c>
      <c r="B36312" s="4" t="s">
        <v>45678</v>
      </c>
      <c r="C36312" s="5" t="str">
        <f>IFERROR(__xludf.DUMMYFUNCTION("GOOGLETRANSLATE(B36312,""en"",""fr"")"),"La femme a mis sa main sur la souris.")</f>
        <v>La femme a mis sa main sur la souris.</v>
      </c>
    </row>
    <row r="36313">
      <c r="A36313" s="4" t="s">
        <v>45674</v>
      </c>
      <c r="B36313" s="4" t="s">
        <v>45679</v>
      </c>
      <c r="C36313" s="5" t="str">
        <f>IFERROR(__xludf.DUMMYFUNCTION("GOOGLETRANSLATE(B36313,""en"",""fr"")"),"Elle a mis sa main sur le bureau en bois.")</f>
        <v>Elle a mis sa main sur le bureau en bois.</v>
      </c>
    </row>
    <row r="36314">
      <c r="A36314" s="4" t="s">
        <v>45674</v>
      </c>
      <c r="B36314" s="4" t="s">
        <v>45680</v>
      </c>
      <c r="C36314" s="5" t="str">
        <f>IFERROR(__xludf.DUMMYFUNCTION("GOOGLETRANSLATE(B36314,""en"",""fr"")"),"La femme se leva et se dirigea vers le couloir.")</f>
        <v>La femme se leva et se dirigea vers le couloir.</v>
      </c>
    </row>
    <row r="36315">
      <c r="A36315" s="4" t="s">
        <v>45674</v>
      </c>
      <c r="B36315" s="4" t="s">
        <v>45681</v>
      </c>
      <c r="C36315" s="5" t="str">
        <f>IFERROR(__xludf.DUMMYFUNCTION("GOOGLETRANSLATE(B36315,""en"",""fr"")"),"La femme a vu un homme et lui serrer la main.")</f>
        <v>La femme a vu un homme et lui serrer la main.</v>
      </c>
    </row>
    <row r="36316">
      <c r="A36316" s="4" t="s">
        <v>45674</v>
      </c>
      <c r="B36316" s="4" t="s">
        <v>45682</v>
      </c>
      <c r="C36316" s="5" t="str">
        <f>IFERROR(__xludf.DUMMYFUNCTION("GOOGLETRANSLATE(B36316,""en"",""fr"")"),"La femme est allée aux toilettes.")</f>
        <v>La femme est allée aux toilettes.</v>
      </c>
    </row>
    <row r="36317">
      <c r="A36317" s="4" t="s">
        <v>45674</v>
      </c>
      <c r="B36317" s="6" t="s">
        <v>45683</v>
      </c>
      <c r="C36317" s="5" t="str">
        <f>IFERROR(__xludf.DUMMYFUNCTION("GOOGLETRANSLATE(B36317,""en"",""fr"")"),"La femme a enlevé sa bague, lavait-elle la main, est rentrée à la maison et la frottait soigneusement sur sa main et la rince.")</f>
        <v>La femme a enlevé sa bague, lavait-elle la main, est rentrée à la maison et la frottait soigneusement sur sa main et la rince.</v>
      </c>
    </row>
    <row r="36318">
      <c r="A36318" s="4" t="s">
        <v>45674</v>
      </c>
      <c r="B36318" s="4" t="s">
        <v>45684</v>
      </c>
      <c r="C36318" s="5" t="str">
        <f>IFERROR(__xludf.DUMMYFUNCTION("GOOGLETRANSLATE(B36318,""en"",""fr"")"),"La femme éternue sur sa main.")</f>
        <v>La femme éternue sur sa main.</v>
      </c>
    </row>
    <row r="36319">
      <c r="A36319" s="4" t="s">
        <v>45674</v>
      </c>
      <c r="B36319" s="4" t="s">
        <v>45685</v>
      </c>
      <c r="C36319" s="5" t="str">
        <f>IFERROR(__xludf.DUMMYFUNCTION("GOOGLETRANSLATE(B36319,""en"",""fr"")"),"Elle se dirige vers son bureau, posa sa main sur le bureau et le téléphone.")</f>
        <v>Elle se dirige vers son bureau, posa sa main sur le bureau et le téléphone.</v>
      </c>
    </row>
    <row r="36320">
      <c r="A36320" s="4" t="s">
        <v>45686</v>
      </c>
      <c r="B36320" s="4" t="s">
        <v>45687</v>
      </c>
      <c r="C36320" s="5" t="str">
        <f>IFERROR(__xludf.DUMMYFUNCTION("GOOGLETRANSLATE(B36320,""en"",""fr"")"),"Ces deux personnes montrées ici roulent sur leurs vélos sur des bosses enneigées à l'extérieur.")</f>
        <v>Ces deux personnes montrées ici roulent sur leurs vélos sur des bosses enneigées à l'extérieur.</v>
      </c>
    </row>
    <row r="36321">
      <c r="A36321" s="4" t="s">
        <v>45686</v>
      </c>
      <c r="B36321" s="4" t="s">
        <v>45688</v>
      </c>
      <c r="C36321" s="5" t="str">
        <f>IFERROR(__xludf.DUMMYFUNCTION("GOOGLETRANSLATE(B36321,""en"",""fr"")"),"Ils ont roulé sur des bosses de terre.")</f>
        <v>Ils ont roulé sur des bosses de terre.</v>
      </c>
    </row>
    <row r="36322">
      <c r="A36322" s="4" t="s">
        <v>45686</v>
      </c>
      <c r="B36322" s="4" t="s">
        <v>45689</v>
      </c>
      <c r="C36322" s="5" t="str">
        <f>IFERROR(__xludf.DUMMYFUNCTION("GOOGLETRANSLATE(B36322,""en"",""fr"")"),"Ils ont également roulé sur des bosses de sable dans le bâtiment et d'autres bosses dans une course.")</f>
        <v>Ils ont également roulé sur des bosses de sable dans le bâtiment et d'autres bosses dans une course.</v>
      </c>
    </row>
    <row r="36323">
      <c r="A36323" s="4" t="s">
        <v>45690</v>
      </c>
      <c r="B36323" s="6" t="s">
        <v>45691</v>
      </c>
      <c r="C36323" s="5" t="str">
        <f>IFERROR(__xludf.DUMMYFUNCTION("GOOGLETRANSLATE(B36323,""en"",""fr"")"),"Un homme est vu en tenant des objets tout en parlant à une femme et en frottant l'objet le long du mur.")</f>
        <v>Un homme est vu en tenant des objets tout en parlant à une femme et en frottant l'objet le long du mur.</v>
      </c>
    </row>
    <row r="36324">
      <c r="A36324" s="4" t="s">
        <v>45690</v>
      </c>
      <c r="B36324" s="4" t="s">
        <v>45692</v>
      </c>
      <c r="C36324" s="5" t="str">
        <f>IFERROR(__xludf.DUMMYFUNCTION("GOOGLETRANSLATE(B36324,""en"",""fr"")"),"Il trempe ensuite du papier dans l'eau et commence à le suspendre sur les murs.")</f>
        <v>Il trempe ensuite du papier dans l'eau et commence à le suspendre sur les murs.</v>
      </c>
    </row>
    <row r="36325">
      <c r="A36325" s="4" t="s">
        <v>45690</v>
      </c>
      <c r="B36325" s="4" t="s">
        <v>45693</v>
      </c>
      <c r="C36325" s="5" t="str">
        <f>IFERROR(__xludf.DUMMYFUNCTION("GOOGLETRANSLATE(B36325,""en"",""fr"")"),"Il tient un flacon pulvérisateur pour vaporiser les murs pendant que les autres aident.")</f>
        <v>Il tient un flacon pulvérisateur pour vaporiser les murs pendant que les autres aident.</v>
      </c>
    </row>
    <row r="36326">
      <c r="A36326" s="4" t="s">
        <v>45690</v>
      </c>
      <c r="B36326" s="6" t="s">
        <v>45694</v>
      </c>
      <c r="C36326" s="5" t="str">
        <f>IFERROR(__xludf.DUMMYFUNCTION("GOOGLETRANSLATE(B36326,""en"",""fr"")"),"Les gens vérifient le mur et enlèvent le papier suivi en enlevant le papier peint réel et en frottant le mur.")</f>
        <v>Les gens vérifient le mur et enlèvent le papier suivi en enlevant le papier peint réel et en frottant le mur.</v>
      </c>
    </row>
    <row r="36327">
      <c r="A36327" s="4" t="s">
        <v>45695</v>
      </c>
      <c r="B36327" s="4" t="s">
        <v>45696</v>
      </c>
      <c r="C36327" s="5" t="str">
        <f>IFERROR(__xludf.DUMMYFUNCTION("GOOGLETRANSLATE(B36327,""en"",""fr"")"),"Un bébé est montré allongé dans son lit tandis qu'un peigne brosse doucement ses cheveux.")</f>
        <v>Un bébé est montré allongé dans son lit tandis qu'un peigne brosse doucement ses cheveux.</v>
      </c>
    </row>
    <row r="36328">
      <c r="A36328" s="4" t="s">
        <v>45695</v>
      </c>
      <c r="B36328" s="4" t="s">
        <v>45697</v>
      </c>
      <c r="C36328" s="5" t="str">
        <f>IFERROR(__xludf.DUMMYFUNCTION("GOOGLETRANSLATE(B36328,""en"",""fr"")"),"Le bébé souriant finalement tandis que la main continue de brosser la tête du bébé.")</f>
        <v>Le bébé souriant finalement tandis que la main continue de brosser la tête du bébé.</v>
      </c>
    </row>
    <row r="36329">
      <c r="A36329" s="4" t="s">
        <v>45695</v>
      </c>
      <c r="B36329" s="4" t="s">
        <v>45698</v>
      </c>
      <c r="C36329" s="5" t="str">
        <f>IFERROR(__xludf.DUMMYFUNCTION("GOOGLETRANSLATE(B36329,""en"",""fr"")"),"Le bébé ferme doucement ses yeux et bâille pendant que le pinceau continue de peigner.")</f>
        <v>Le bébé ferme doucement ses yeux et bâille pendant que le pinceau continue de peigner.</v>
      </c>
    </row>
    <row r="36330">
      <c r="A36330" s="4" t="s">
        <v>45699</v>
      </c>
      <c r="B36330" s="4" t="s">
        <v>45700</v>
      </c>
      <c r="C36330" s="5" t="str">
        <f>IFERROR(__xludf.DUMMYFUNCTION("GOOGLETRANSLATE(B36330,""en"",""fr"")"),"Une femme montre comment laver le visage en se lavant le visage dans l'évier.")</f>
        <v>Une femme montre comment laver le visage en se lavant le visage dans l'évier.</v>
      </c>
    </row>
    <row r="36331">
      <c r="A36331" s="4" t="s">
        <v>45699</v>
      </c>
      <c r="B36331" s="4" t="s">
        <v>45701</v>
      </c>
      <c r="C36331" s="5" t="str">
        <f>IFERROR(__xludf.DUMMYFUNCTION("GOOGLETRANSLATE(B36331,""en"",""fr"")"),"Une femme se tient sur un évier et éclabousse l'eau sur son visage.")</f>
        <v>Une femme se tient sur un évier et éclabousse l'eau sur son visage.</v>
      </c>
    </row>
    <row r="36332">
      <c r="A36332" s="4" t="s">
        <v>45699</v>
      </c>
      <c r="B36332" s="4" t="s">
        <v>45702</v>
      </c>
      <c r="C36332" s="5" t="str">
        <f>IFERROR(__xludf.DUMMYFUNCTION("GOOGLETRANSLATE(B36332,""en"",""fr"")"),"La femme travaille ensuite à une mousse de savon liquide qu'elle a versé sur ses mains.")</f>
        <v>La femme travaille ensuite à une mousse de savon liquide qu'elle a versé sur ses mains.</v>
      </c>
    </row>
    <row r="36333">
      <c r="A36333" s="4" t="s">
        <v>45699</v>
      </c>
      <c r="B36333" s="6" t="s">
        <v>45703</v>
      </c>
      <c r="C36333" s="5" t="str">
        <f>IFERROR(__xludf.DUMMYFUNCTION("GOOGLETRANSLATE(B36333,""en"",""fr"")"),"La femme se lave ensuite le visage en mouvements circulaires, la femme a ensuite utilisé une serviette pour sécher son visage.")</f>
        <v>La femme se lave ensuite le visage en mouvements circulaires, la femme a ensuite utilisé une serviette pour sécher son visage.</v>
      </c>
    </row>
    <row r="36334">
      <c r="A36334" s="4" t="s">
        <v>45704</v>
      </c>
      <c r="B36334" s="4" t="s">
        <v>45705</v>
      </c>
      <c r="C36334" s="5" t="str">
        <f>IFERROR(__xludf.DUMMYFUNCTION("GOOGLETRANSLATE(B36334,""en"",""fr"")"),"Une publicité en toiture montre comment réparer un toit en ardoise sur une maison.")</f>
        <v>Une publicité en toiture montre comment réparer un toit en ardoise sur une maison.</v>
      </c>
    </row>
    <row r="36335">
      <c r="A36335" s="4" t="s">
        <v>45704</v>
      </c>
      <c r="B36335" s="6" t="s">
        <v>45706</v>
      </c>
      <c r="C36335" s="5" t="str">
        <f>IFERROR(__xludf.DUMMYFUNCTION("GOOGLETRANSLATE(B36335,""en"",""fr"")"),"Un homme coupe des pièces sur une table pliante à l'extérieur, puis installe une ardoise sur un toit à l'aide d'outils électriques et d'outils de sa ceinture d'outils.")</f>
        <v>Un homme coupe des pièces sur une table pliante à l'extérieur, puis installe une ardoise sur un toit à l'aide d'outils électriques et d'outils de sa ceinture d'outils.</v>
      </c>
    </row>
    <row r="36336">
      <c r="A36336" s="4" t="s">
        <v>45704</v>
      </c>
      <c r="B36336" s="4" t="s">
        <v>45707</v>
      </c>
      <c r="C36336" s="5" t="str">
        <f>IFERROR(__xludf.DUMMYFUNCTION("GOOGLETRANSLATE(B36336,""en"",""fr"")"),"L'homme installe des pièces de cuivre sur le toit en ardoise qui dépasse du toit.")</f>
        <v>L'homme installe des pièces de cuivre sur le toit en ardoise qui dépasse du toit.</v>
      </c>
    </row>
    <row r="36337">
      <c r="A36337" s="4" t="s">
        <v>45704</v>
      </c>
      <c r="B36337" s="6" t="s">
        <v>45708</v>
      </c>
      <c r="C36337" s="5" t="str">
        <f>IFERROR(__xludf.DUMMYFUNCTION("GOOGLETRANSLATE(B36337,""en"",""fr"")"),"L'homme coupe ensuite un tuyau en cuivre et fait un peu de soudure sur les bords d'un trou dans le tuyau en cuivre avant que la caméra ne coupe à nouveau sur le toit, puis un graphique de commercialisation.")</f>
        <v>L'homme coupe ensuite un tuyau en cuivre et fait un peu de soudure sur les bords d'un trou dans le tuyau en cuivre avant que la caméra ne coupe à nouveau sur le toit, puis un graphique de commercialisation.</v>
      </c>
    </row>
    <row r="36338">
      <c r="A36338" s="4" t="s">
        <v>45709</v>
      </c>
      <c r="B36338" s="6" t="s">
        <v>45710</v>
      </c>
      <c r="C36338" s="5" t="str">
        <f>IFERROR(__xludf.DUMMYFUNCTION("GOOGLETRANSLATE(B36338,""en"",""fr"")"),"Un homme atteint de saxophone joue au centre du parc tandis qu'une femme est assise près de la fontaine.")</f>
        <v>Un homme atteint de saxophone joue au centre du parc tandis qu'une femme est assise près de la fontaine.</v>
      </c>
    </row>
    <row r="36339">
      <c r="A36339" s="4" t="s">
        <v>45709</v>
      </c>
      <c r="B36339" s="4" t="s">
        <v>45711</v>
      </c>
      <c r="C36339" s="5" t="str">
        <f>IFERROR(__xludf.DUMMYFUNCTION("GOOGLETRANSLATE(B36339,""en"",""fr"")"),"L'homme joue du saxophone.")</f>
        <v>L'homme joue du saxophone.</v>
      </c>
    </row>
    <row r="36340">
      <c r="A36340" s="4" t="s">
        <v>45709</v>
      </c>
      <c r="B36340" s="4" t="s">
        <v>45712</v>
      </c>
      <c r="C36340" s="5" t="str">
        <f>IFERROR(__xludf.DUMMYFUNCTION("GOOGLETRANSLATE(B36340,""en"",""fr"")"),"Derrière lui se trouvent des gens qui font la queue au guichet automatique.")</f>
        <v>Derrière lui se trouvent des gens qui font la queue au guichet automatique.</v>
      </c>
    </row>
    <row r="36341">
      <c r="A36341" s="4" t="s">
        <v>45709</v>
      </c>
      <c r="B36341" s="4" t="s">
        <v>45713</v>
      </c>
      <c r="C36341" s="5" t="str">
        <f>IFERROR(__xludf.DUMMYFUNCTION("GOOGLETRANSLATE(B36341,""en"",""fr"")"),"La caméra se rapprochait du saxophone d'or.")</f>
        <v>La caméra se rapprochait du saxophone d'or.</v>
      </c>
    </row>
    <row r="36342">
      <c r="A36342" s="4" t="s">
        <v>45709</v>
      </c>
      <c r="B36342" s="4" t="s">
        <v>45714</v>
      </c>
      <c r="C36342" s="5" t="str">
        <f>IFERROR(__xludf.DUMMYFUNCTION("GOOGLETRANSLATE(B36342,""en"",""fr"")"),"L'homme continue de jouer pendant que les gens passent devant lui.")</f>
        <v>L'homme continue de jouer pendant que les gens passent devant lui.</v>
      </c>
    </row>
    <row r="36343">
      <c r="A36343" s="4" t="s">
        <v>45709</v>
      </c>
      <c r="B36343" s="4" t="s">
        <v>45715</v>
      </c>
      <c r="C36343" s="5" t="str">
        <f>IFERROR(__xludf.DUMMYFUNCTION("GOOGLETRANSLATE(B36343,""en"",""fr"")"),"L'homme souffle si fort sur son saxophone.")</f>
        <v>L'homme souffle si fort sur son saxophone.</v>
      </c>
    </row>
    <row r="36344">
      <c r="A36344" s="4" t="s">
        <v>45709</v>
      </c>
      <c r="B36344" s="4" t="s">
        <v>45716</v>
      </c>
      <c r="C36344" s="5" t="str">
        <f>IFERROR(__xludf.DUMMYFUNCTION("GOOGLETRANSLATE(B36344,""en"",""fr"")"),"Un oiseau blanc debout derrière l'homme.")</f>
        <v>Un oiseau blanc debout derrière l'homme.</v>
      </c>
    </row>
    <row r="36345">
      <c r="A36345" s="4" t="s">
        <v>45717</v>
      </c>
      <c r="B36345" s="4" t="s">
        <v>45718</v>
      </c>
      <c r="C36345" s="5" t="str">
        <f>IFERROR(__xludf.DUMMYFUNCTION("GOOGLETRANSLATE(B36345,""en"",""fr"")"),"Un homme se tient à côté d'un vélo.")</f>
        <v>Un homme se tient à côté d'un vélo.</v>
      </c>
    </row>
    <row r="36346">
      <c r="A36346" s="4" t="s">
        <v>45717</v>
      </c>
      <c r="B36346" s="4" t="s">
        <v>45719</v>
      </c>
      <c r="C36346" s="5" t="str">
        <f>IFERROR(__xludf.DUMMYFUNCTION("GOOGLETRANSLATE(B36346,""en"",""fr"")"),"Il tient un nouveau tube pour un pneu.")</f>
        <v>Il tient un nouveau tube pour un pneu.</v>
      </c>
    </row>
    <row r="36347">
      <c r="A36347" s="4" t="s">
        <v>45717</v>
      </c>
      <c r="B36347" s="4" t="s">
        <v>45720</v>
      </c>
      <c r="C36347" s="5" t="str">
        <f>IFERROR(__xludf.DUMMYFUNCTION("GOOGLETRANSLATE(B36347,""en"",""fr"")"),"Il attrape une pompe à air et l'attache au pneu.")</f>
        <v>Il attrape une pompe à air et l'attache au pneu.</v>
      </c>
    </row>
    <row r="36348">
      <c r="A36348" s="4" t="s">
        <v>45717</v>
      </c>
      <c r="B36348" s="4" t="s">
        <v>45721</v>
      </c>
      <c r="C36348" s="5" t="str">
        <f>IFERROR(__xludf.DUMMYFUNCTION("GOOGLETRANSLATE(B36348,""en"",""fr"")"),"Il pompe le pneu d'air.")</f>
        <v>Il pompe le pneu d'air.</v>
      </c>
    </row>
    <row r="36349">
      <c r="A36349" s="4" t="s">
        <v>45717</v>
      </c>
      <c r="B36349" s="4" t="s">
        <v>45722</v>
      </c>
      <c r="C36349" s="5" t="str">
        <f>IFERROR(__xludf.DUMMYFUNCTION("GOOGLETRANSLATE(B36349,""en"",""fr"")"),"Il attache la pompe au pneu plat et le pompe.")</f>
        <v>Il attache la pompe au pneu plat et le pompe.</v>
      </c>
    </row>
    <row r="36350">
      <c r="A36350" s="4" t="s">
        <v>45723</v>
      </c>
      <c r="B36350" s="4" t="s">
        <v>45724</v>
      </c>
      <c r="C36350" s="5" t="str">
        <f>IFERROR(__xludf.DUMMYFUNCTION("GOOGLETRANSLATE(B36350,""en"",""fr"")"),"La main d'une personne est montrée en collant un stylo dans une certaine eau suivie d'un peu de vernis à ongles.")</f>
        <v>La main d'une personne est montrée en collant un stylo dans une certaine eau suivie d'un peu de vernis à ongles.</v>
      </c>
    </row>
    <row r="36351">
      <c r="A36351" s="4" t="s">
        <v>45723</v>
      </c>
      <c r="B36351" s="6" t="s">
        <v>45725</v>
      </c>
      <c r="C36351" s="5" t="str">
        <f>IFERROR(__xludf.DUMMYFUNCTION("GOOGLETRANSLATE(B36351,""en"",""fr"")"),"L'eau change de couleurs lorsque les différentes peintures sont présentées et que la personne crée un motif tourbillonnant dans l'eau.")</f>
        <v>L'eau change de couleurs lorsque les différentes peintures sont présentées et que la personne crée un motif tourbillonnant dans l'eau.</v>
      </c>
    </row>
    <row r="36352">
      <c r="A36352" s="4" t="s">
        <v>45726</v>
      </c>
      <c r="B36352" s="4" t="s">
        <v>45727</v>
      </c>
      <c r="C36352" s="5" t="str">
        <f>IFERROR(__xludf.DUMMYFUNCTION("GOOGLETRANSLATE(B36352,""en"",""fr"")"),"Nous voyons trois hommes dans un champ coupant de hautes herbes avec une faux.")</f>
        <v>Nous voyons trois hommes dans un champ coupant de hautes herbes avec une faux.</v>
      </c>
    </row>
    <row r="36353">
      <c r="A36353" s="4" t="s">
        <v>45726</v>
      </c>
      <c r="B36353" s="4" t="s">
        <v>45728</v>
      </c>
      <c r="C36353" s="5" t="str">
        <f>IFERROR(__xludf.DUMMYFUNCTION("GOOGLETRANSLATE(B36353,""en"",""fr"")"),"Nous voyons l'homme prendre une poignée d'herbe et essuyer la tête de faux avec.")</f>
        <v>Nous voyons l'homme prendre une poignée d'herbe et essuyer la tête de faux avec.</v>
      </c>
    </row>
    <row r="36354">
      <c r="A36354" s="4" t="s">
        <v>45726</v>
      </c>
      <c r="B36354" s="4" t="s">
        <v>45729</v>
      </c>
      <c r="C36354" s="5" t="str">
        <f>IFERROR(__xludf.DUMMYFUNCTION("GOOGLETRANSLATE(B36354,""en"",""fr"")"),"L'homme tire quelque chose de sa poche et le frotte sur la faux.")</f>
        <v>L'homme tire quelque chose de sa poche et le frotte sur la faux.</v>
      </c>
    </row>
    <row r="36355">
      <c r="A36355" s="4" t="s">
        <v>45726</v>
      </c>
      <c r="B36355" s="4" t="s">
        <v>45730</v>
      </c>
      <c r="C36355" s="5" t="str">
        <f>IFERROR(__xludf.DUMMYFUNCTION("GOOGLETRANSLATE(B36355,""en"",""fr"")"),"Les hommes reviennent alors à couper l'herbe.")</f>
        <v>Les hommes reviennent alors à couper l'herbe.</v>
      </c>
    </row>
    <row r="36356">
      <c r="A36356" s="4" t="s">
        <v>45731</v>
      </c>
      <c r="B36356" s="4" t="s">
        <v>45732</v>
      </c>
      <c r="C36356" s="5" t="str">
        <f>IFERROR(__xludf.DUMMYFUNCTION("GOOGLETRANSLATE(B36356,""en"",""fr"")"),"Les gens se tiennent sur un terrain de volley-ball.")</f>
        <v>Les gens se tiennent sur un terrain de volley-ball.</v>
      </c>
    </row>
    <row r="36357">
      <c r="A36357" s="4" t="s">
        <v>45731</v>
      </c>
      <c r="B36357" s="4" t="s">
        <v>45733</v>
      </c>
      <c r="C36357" s="5" t="str">
        <f>IFERROR(__xludf.DUMMYFUNCTION("GOOGLETRANSLATE(B36357,""en"",""fr"")"),"Un homme en chapeau blanc se tient dans le sable.")</f>
        <v>Un homme en chapeau blanc se tient dans le sable.</v>
      </c>
    </row>
    <row r="36358">
      <c r="A36358" s="4" t="s">
        <v>45731</v>
      </c>
      <c r="B36358" s="4" t="s">
        <v>45734</v>
      </c>
      <c r="C36358" s="5" t="str">
        <f>IFERROR(__xludf.DUMMYFUNCTION("GOOGLETRANSLATE(B36358,""en"",""fr"")"),"Une personne en chemise noire sert le volleyball mais elle ne le fait pas sur le net.")</f>
        <v>Une personne en chemise noire sert le volleyball mais elle ne le fait pas sur le net.</v>
      </c>
    </row>
    <row r="36359">
      <c r="A36359" s="4" t="s">
        <v>45735</v>
      </c>
      <c r="B36359" s="4" t="s">
        <v>45736</v>
      </c>
      <c r="C36359" s="5" t="str">
        <f>IFERROR(__xludf.DUMMYFUNCTION("GOOGLETRANSLATE(B36359,""en"",""fr"")"),"Une femme est assise dans un piano et joue devant un petit public.")</f>
        <v>Une femme est assise dans un piano et joue devant un petit public.</v>
      </c>
    </row>
    <row r="36360">
      <c r="A36360" s="4" t="s">
        <v>45735</v>
      </c>
      <c r="B36360" s="4" t="s">
        <v>45737</v>
      </c>
      <c r="C36360" s="5" t="str">
        <f>IFERROR(__xludf.DUMMYFUNCTION("GOOGLETRANSLATE(B36360,""en"",""fr"")"),"La caméra se concentre sur plusieurs hommes qui la regardent.")</f>
        <v>La caméra se concentre sur plusieurs hommes qui la regardent.</v>
      </c>
    </row>
    <row r="36361">
      <c r="A36361" s="4" t="s">
        <v>45735</v>
      </c>
      <c r="B36361" s="4" t="s">
        <v>45738</v>
      </c>
      <c r="C36361" s="5" t="str">
        <f>IFERROR(__xludf.DUMMYFUNCTION("GOOGLETRANSLATE(B36361,""en"",""fr"")"),"La femme chante avec le piano.")</f>
        <v>La femme chante avec le piano.</v>
      </c>
    </row>
    <row r="36362">
      <c r="A36362" s="4" t="s">
        <v>45735</v>
      </c>
      <c r="B36362" s="4" t="s">
        <v>45739</v>
      </c>
      <c r="C36362" s="5" t="str">
        <f>IFERROR(__xludf.DUMMYFUNCTION("GOOGLETRANSLATE(B36362,""en"",""fr"")"),"La caméra capture la réaction des membres du public.")</f>
        <v>La caméra capture la réaction des membres du public.</v>
      </c>
    </row>
    <row r="36363">
      <c r="A36363" s="4" t="s">
        <v>45735</v>
      </c>
      <c r="B36363" s="4" t="s">
        <v>45740</v>
      </c>
      <c r="C36363" s="5" t="str">
        <f>IFERROR(__xludf.DUMMYFUNCTION("GOOGLETRANSLATE(B36363,""en"",""fr"")"),"La caméra capture plus de photos de réaction du public.")</f>
        <v>La caméra capture plus de photos de réaction du public.</v>
      </c>
    </row>
    <row r="36364">
      <c r="A36364" s="4" t="s">
        <v>45741</v>
      </c>
      <c r="B36364" s="4" t="s">
        <v>45742</v>
      </c>
      <c r="C36364" s="5" t="str">
        <f>IFERROR(__xludf.DUMMYFUNCTION("GOOGLETRANSLATE(B36364,""en"",""fr"")"),"Une paire de cisaillements de jardin est montrée.")</f>
        <v>Une paire de cisaillements de jardin est montrée.</v>
      </c>
    </row>
    <row r="36365">
      <c r="A36365" s="4" t="s">
        <v>45741</v>
      </c>
      <c r="B36365" s="4" t="s">
        <v>45743</v>
      </c>
      <c r="C36365" s="5" t="str">
        <f>IFERROR(__xludf.DUMMYFUNCTION("GOOGLETRANSLATE(B36365,""en"",""fr"")"),"Une femme montre comment utiliser les cisaillements du jardin dans différentes situations.")</f>
        <v>Une femme montre comment utiliser les cisaillements du jardin dans différentes situations.</v>
      </c>
    </row>
    <row r="36366">
      <c r="A36366" s="4" t="s">
        <v>45741</v>
      </c>
      <c r="B36366" s="4" t="s">
        <v>45744</v>
      </c>
      <c r="C36366" s="5" t="str">
        <f>IFERROR(__xludf.DUMMYFUNCTION("GOOGLETRANSLATE(B36366,""en"",""fr"")"),"Une jeune fille montre comment utiliser les cisaillements.")</f>
        <v>Une jeune fille montre comment utiliser les cisaillements.</v>
      </c>
    </row>
    <row r="36367">
      <c r="A36367" s="4" t="s">
        <v>45741</v>
      </c>
      <c r="B36367" s="4" t="s">
        <v>45745</v>
      </c>
      <c r="C36367" s="5" t="str">
        <f>IFERROR(__xludf.DUMMYFUNCTION("GOOGLETRANSLATE(B36367,""en"",""fr"")"),"Un homme plus âgé montre comment il utilise les cisaillements.")</f>
        <v>Un homme plus âgé montre comment il utilise les cisaillements.</v>
      </c>
    </row>
    <row r="36368">
      <c r="A36368" s="4" t="s">
        <v>45741</v>
      </c>
      <c r="B36368" s="4" t="s">
        <v>45746</v>
      </c>
      <c r="C36368" s="5" t="str">
        <f>IFERROR(__xludf.DUMMYFUNCTION("GOOGLETRANSLATE(B36368,""en"",""fr"")"),"Un jeune homme est montré en utilisant les cisaillements pour atteindre quelque chose au-dessus de sa tête.")</f>
        <v>Un jeune homme est montré en utilisant les cisaillements pour atteindre quelque chose au-dessus de sa tête.</v>
      </c>
    </row>
    <row r="36369">
      <c r="A36369" s="4" t="s">
        <v>45741</v>
      </c>
      <c r="B36369" s="4" t="s">
        <v>45747</v>
      </c>
      <c r="C36369" s="5" t="str">
        <f>IFERROR(__xludf.DUMMYFUNCTION("GOOGLETRANSLATE(B36369,""en"",""fr"")"),"La femme d'origine montrée montre l'utilisation des cisaillements sur différents types de plantes.")</f>
        <v>La femme d'origine montrée montre l'utilisation des cisaillements sur différents types de plantes.</v>
      </c>
    </row>
    <row r="36370">
      <c r="A36370" s="4" t="s">
        <v>45741</v>
      </c>
      <c r="B36370" s="6" t="s">
        <v>45748</v>
      </c>
      <c r="C36370" s="5" t="str">
        <f>IFERROR(__xludf.DUMMYFUNCTION("GOOGLETRANSLATE(B36370,""en"",""fr"")"),"La même femme montre comment utiliser la poignée télescopique des cisaillements et des plantes de coupe qui seraient hors de portée.")</f>
        <v>La même femme montre comment utiliser la poignée télescopique des cisaillements et des plantes de coupe qui seraient hors de portée.</v>
      </c>
    </row>
    <row r="36371">
      <c r="A36371" s="4" t="s">
        <v>45741</v>
      </c>
      <c r="B36371" s="4" t="s">
        <v>45749</v>
      </c>
      <c r="C36371" s="5" t="str">
        <f>IFERROR(__xludf.DUMMYFUNCTION("GOOGLETRANSLATE(B36371,""en"",""fr"")"),"La même femme emprunte un chemin avec les cisaillements.")</f>
        <v>La même femme emprunte un chemin avec les cisaillements.</v>
      </c>
    </row>
    <row r="36372">
      <c r="A36372" s="4" t="s">
        <v>45741</v>
      </c>
      <c r="B36372" s="4" t="s">
        <v>45750</v>
      </c>
      <c r="C36372" s="5" t="str">
        <f>IFERROR(__xludf.DUMMYFUNCTION("GOOGLETRANSLATE(B36372,""en"",""fr"")"),"La femme montre ensuite comment les cisaillements fonctionnent sur plusieurs autres plantes.")</f>
        <v>La femme montre ensuite comment les cisaillements fonctionnent sur plusieurs autres plantes.</v>
      </c>
    </row>
    <row r="36373">
      <c r="A36373" s="4" t="s">
        <v>45741</v>
      </c>
      <c r="B36373" s="4" t="s">
        <v>45751</v>
      </c>
      <c r="C36373" s="5" t="str">
        <f>IFERROR(__xludf.DUMMYFUNCTION("GOOGLETRANSLATE(B36373,""en"",""fr"")"),"Une jeune femme est montrée en utilisant les cisaillements.")</f>
        <v>Une jeune femme est montrée en utilisant les cisaillements.</v>
      </c>
    </row>
    <row r="36374">
      <c r="A36374" s="4" t="s">
        <v>45741</v>
      </c>
      <c r="B36374" s="4" t="s">
        <v>45752</v>
      </c>
      <c r="C36374" s="5" t="str">
        <f>IFERROR(__xludf.DUMMYFUNCTION("GOOGLETRANSLATE(B36374,""en"",""fr"")"),"Un homme plus âgé utilise les cisaillements.")</f>
        <v>Un homme plus âgé utilise les cisaillements.</v>
      </c>
    </row>
    <row r="36375">
      <c r="A36375" s="4" t="s">
        <v>45741</v>
      </c>
      <c r="B36375" s="4" t="s">
        <v>45753</v>
      </c>
      <c r="C36375" s="5" t="str">
        <f>IFERROR(__xludf.DUMMYFUNCTION("GOOGLETRANSLATE(B36375,""en"",""fr"")"),"Un autre homme est montré en utilisant les cisaillements pour atteindre les membres des arbres.")</f>
        <v>Un autre homme est montré en utilisant les cisaillements pour atteindre les membres des arbres.</v>
      </c>
    </row>
    <row r="36376">
      <c r="A36376" s="4" t="s">
        <v>45741</v>
      </c>
      <c r="B36376" s="6" t="s">
        <v>45754</v>
      </c>
      <c r="C36376" s="5" t="str">
        <f>IFERROR(__xludf.DUMMYFUNCTION("GOOGLETRANSLATE(B36376,""en"",""fr"")"),"La première femme montre des caractéristiques supplémentaires des cisaillements et les mêmes exemples d'autres personnes utilisant les cisaillements sont à nouveau illustrés.")</f>
        <v>La première femme montre des caractéristiques supplémentaires des cisaillements et les mêmes exemples d'autres personnes utilisant les cisaillements sont à nouveau illustrés.</v>
      </c>
    </row>
    <row r="36377">
      <c r="A36377" s="4" t="s">
        <v>45741</v>
      </c>
      <c r="B36377" s="4" t="s">
        <v>45755</v>
      </c>
      <c r="C36377" s="5" t="str">
        <f>IFERROR(__xludf.DUMMYFUNCTION("GOOGLETRANSLATE(B36377,""en"",""fr"")"),"La femme monte un escalier avec les cisaillements.")</f>
        <v>La femme monte un escalier avec les cisaillements.</v>
      </c>
    </row>
    <row r="36378">
      <c r="A36378" s="4" t="s">
        <v>45741</v>
      </c>
      <c r="B36378" s="4" t="s">
        <v>45756</v>
      </c>
      <c r="C36378" s="5" t="str">
        <f>IFERROR(__xludf.DUMMYFUNCTION("GOOGLETRANSLATE(B36378,""en"",""fr"")"),"La même femme est montrée dans le magasin achetant les cisaillements.")</f>
        <v>La même femme est montrée dans le magasin achetant les cisaillements.</v>
      </c>
    </row>
    <row r="36379">
      <c r="A36379" s="4" t="s">
        <v>45757</v>
      </c>
      <c r="B36379" s="4" t="s">
        <v>45758</v>
      </c>
      <c r="C36379" s="5" t="str">
        <f>IFERROR(__xludf.DUMMYFUNCTION("GOOGLETRANSLATE(B36379,""en"",""fr"")"),"Deux hommes sont à l'intérieur d'une salle de sport.")</f>
        <v>Deux hommes sont à l'intérieur d'une salle de sport.</v>
      </c>
    </row>
    <row r="36380">
      <c r="A36380" s="4" t="s">
        <v>45757</v>
      </c>
      <c r="B36380" s="4" t="s">
        <v>45759</v>
      </c>
      <c r="C36380" s="5" t="str">
        <f>IFERROR(__xludf.DUMMYFUNCTION("GOOGLETRANSLATE(B36380,""en"",""fr"")"),"L'un est dans des gants de boxe et l'autre porte des gardes de bras.")</f>
        <v>L'un est dans des gants de boxe et l'autre porte des gardes de bras.</v>
      </c>
    </row>
    <row r="36381">
      <c r="A36381" s="4" t="s">
        <v>45757</v>
      </c>
      <c r="B36381" s="4" t="s">
        <v>45760</v>
      </c>
      <c r="C36381" s="5" t="str">
        <f>IFERROR(__xludf.DUMMYFUNCTION("GOOGLETRANSLATE(B36381,""en"",""fr"")"),"Ils montrent les différents mouvements de coup de poing et de coups de pied.")</f>
        <v>Ils montrent les différents mouvements de coup de poing et de coups de pied.</v>
      </c>
    </row>
    <row r="36382">
      <c r="A36382" s="4" t="s">
        <v>45761</v>
      </c>
      <c r="B36382" s="4" t="s">
        <v>45762</v>
      </c>
      <c r="C36382" s="5" t="str">
        <f>IFERROR(__xludf.DUMMYFUNCTION("GOOGLETRANSLATE(B36382,""en"",""fr"")"),"Une caméra se déroule autour d'un champ athlétique avec diverses personnes se réchauffant et tenant des bâtons.")</f>
        <v>Une caméra se déroule autour d'un champ athlétique avec diverses personnes se réchauffant et tenant des bâtons.</v>
      </c>
    </row>
    <row r="36383">
      <c r="A36383" s="4" t="s">
        <v>45761</v>
      </c>
      <c r="B36383" s="4" t="s">
        <v>45763</v>
      </c>
      <c r="C36383" s="5" t="str">
        <f>IFERROR(__xludf.DUMMYFUNCTION("GOOGLETRANSLATE(B36383,""en"",""fr"")"),"Une fille tenant un bâton est prononcée par un instructeur et elle traverse et jette le poteau.")</f>
        <v>Une fille tenant un bâton est prononcée par un instructeur et elle traverse et jette le poteau.</v>
      </c>
    </row>
    <row r="36384">
      <c r="A36384" s="4" t="s">
        <v>45761</v>
      </c>
      <c r="B36384" s="4" t="s">
        <v>45764</v>
      </c>
      <c r="C36384" s="5" t="str">
        <f>IFERROR(__xludf.DUMMYFUNCTION("GOOGLETRANSLATE(B36384,""en"",""fr"")"),"Elle revient tandis qu'une autre attrape une corde pour estimer sa distance.")</f>
        <v>Elle revient tandis qu'une autre attrape une corde pour estimer sa distance.</v>
      </c>
    </row>
    <row r="36385">
      <c r="A36385" s="4" t="s">
        <v>45765</v>
      </c>
      <c r="B36385" s="4" t="s">
        <v>45766</v>
      </c>
      <c r="C36385" s="5" t="str">
        <f>IFERROR(__xludf.DUMMYFUNCTION("GOOGLETRANSLATE(B36385,""en"",""fr"")"),"Un jeune homme en uniforme de karaté blanc pratique certains mouvements.")</f>
        <v>Un jeune homme en uniforme de karaté blanc pratique certains mouvements.</v>
      </c>
    </row>
    <row r="36386">
      <c r="A36386" s="4" t="s">
        <v>45765</v>
      </c>
      <c r="B36386" s="4" t="s">
        <v>45767</v>
      </c>
      <c r="C36386" s="5" t="str">
        <f>IFERROR(__xludf.DUMMYFUNCTION("GOOGLETRANSLATE(B36386,""en"",""fr"")"),"Il s'incline à la fin et court vers la caméra.")</f>
        <v>Il s'incline à la fin et court vers la caméra.</v>
      </c>
    </row>
    <row r="36387">
      <c r="A36387" s="4" t="s">
        <v>45768</v>
      </c>
      <c r="B36387" s="4" t="s">
        <v>45769</v>
      </c>
      <c r="C36387" s="5" t="str">
        <f>IFERROR(__xludf.DUMMYFUNCTION("GOOGLETRANSLATE(B36387,""en"",""fr"")"),"Les hommes se tiennent dans un champ en jouant un petit morceau de nourriture dans la bouche d'un autre homme.")</f>
        <v>Les hommes se tiennent dans un champ en jouant un petit morceau de nourriture dans la bouche d'un autre homme.</v>
      </c>
    </row>
    <row r="36388">
      <c r="A36388" s="4" t="s">
        <v>45768</v>
      </c>
      <c r="B36388" s="4" t="s">
        <v>45770</v>
      </c>
      <c r="C36388" s="5" t="str">
        <f>IFERROR(__xludf.DUMMYFUNCTION("GOOGLETRANSLATE(B36388,""en"",""fr"")"),"L'homme parle devant la caméra et l'équipe se tient dans un grand champ herbeux vert.")</f>
        <v>L'homme parle devant la caméra et l'équipe se tient dans un grand champ herbeux vert.</v>
      </c>
    </row>
    <row r="36389">
      <c r="A36389" s="4" t="s">
        <v>45768</v>
      </c>
      <c r="B36389" s="4" t="s">
        <v>45771</v>
      </c>
      <c r="C36389" s="5" t="str">
        <f>IFERROR(__xludf.DUMMYFUNCTION("GOOGLETRANSLATE(B36389,""en"",""fr"")"),"L'homme commence à jouer au cricket sur le terrain.")</f>
        <v>L'homme commence à jouer au cricket sur le terrain.</v>
      </c>
    </row>
    <row r="36390">
      <c r="A36390" s="4" t="s">
        <v>45768</v>
      </c>
      <c r="B36390" s="4" t="s">
        <v>45772</v>
      </c>
      <c r="C36390" s="5" t="str">
        <f>IFERROR(__xludf.DUMMYFUNCTION("GOOGLETRANSLATE(B36390,""en"",""fr"")"),"La femme parle à la caméra dans les nouvelles.")</f>
        <v>La femme parle à la caméra dans les nouvelles.</v>
      </c>
    </row>
    <row r="36391">
      <c r="A36391" s="4" t="s">
        <v>45773</v>
      </c>
      <c r="B36391" s="4" t="s">
        <v>45774</v>
      </c>
      <c r="C36391" s="5" t="str">
        <f>IFERROR(__xludf.DUMMYFUNCTION("GOOGLETRANSLATE(B36391,""en"",""fr"")"),"Une fille roule sur le siège arrière d'une voiture, jouant du rouge à lèvres à une petite fille sur un siège d'auto.")</f>
        <v>Une fille roule sur le siège arrière d'une voiture, jouant du rouge à lèvres à une petite fille sur un siège d'auto.</v>
      </c>
    </row>
    <row r="36392">
      <c r="A36392" s="4" t="s">
        <v>45773</v>
      </c>
      <c r="B36392" s="4" t="s">
        <v>45775</v>
      </c>
      <c r="C36392" s="5" t="str">
        <f>IFERROR(__xludf.DUMMYFUNCTION("GOOGLETRANSLATE(B36392,""en"",""fr"")"),"La fille prend la baguette, essayant de la mettre sur ses propres lèvres.")</f>
        <v>La fille prend la baguette, essayant de la mettre sur ses propres lèvres.</v>
      </c>
    </row>
    <row r="36393">
      <c r="A36393" s="4" t="s">
        <v>45773</v>
      </c>
      <c r="B36393" s="4" t="s">
        <v>45776</v>
      </c>
      <c r="C36393" s="5" t="str">
        <f>IFERROR(__xludf.DUMMYFUNCTION("GOOGLETRANSLATE(B36393,""en"",""fr"")"),"Elle sourit largement pour la caméra.")</f>
        <v>Elle sourit largement pour la caméra.</v>
      </c>
    </row>
    <row r="36394">
      <c r="A36394" s="4" t="s">
        <v>45777</v>
      </c>
      <c r="B36394" s="4" t="s">
        <v>45778</v>
      </c>
      <c r="C36394" s="5" t="str">
        <f>IFERROR(__xludf.DUMMYFUNCTION("GOOGLETRANSLATE(B36394,""en"",""fr"")"),"Un homme parle dans un magasin.")</f>
        <v>Un homme parle dans un magasin.</v>
      </c>
    </row>
    <row r="36395">
      <c r="A36395" s="4" t="s">
        <v>45777</v>
      </c>
      <c r="B36395" s="4" t="s">
        <v>45779</v>
      </c>
      <c r="C36395" s="5" t="str">
        <f>IFERROR(__xludf.DUMMYFUNCTION("GOOGLETRANSLATE(B36395,""en"",""fr"")"),"Il montre un fer, puis l'utilise pour faire fondre un morceau de plastique.")</f>
        <v>Il montre un fer, puis l'utilise pour faire fondre un morceau de plastique.</v>
      </c>
    </row>
    <row r="36396">
      <c r="A36396" s="4" t="s">
        <v>45777</v>
      </c>
      <c r="B36396" s="4" t="s">
        <v>45780</v>
      </c>
      <c r="C36396" s="5" t="str">
        <f>IFERROR(__xludf.DUMMYFUNCTION("GOOGLETRANSLATE(B36396,""en"",""fr"")"),"L'homme fers à brosser alors un long morceau de métal.")</f>
        <v>L'homme fers à brosser alors un long morceau de métal.</v>
      </c>
    </row>
    <row r="36397">
      <c r="A36397" s="4" t="s">
        <v>45781</v>
      </c>
      <c r="B36397" s="4" t="s">
        <v>45782</v>
      </c>
      <c r="C36397" s="5" t="str">
        <f>IFERROR(__xludf.DUMMYFUNCTION("GOOGLETRANSLATE(B36397,""en"",""fr"")"),"Une personne dégage de la neige avec une charrue de neige rouge.")</f>
        <v>Une personne dégage de la neige avec une charrue de neige rouge.</v>
      </c>
    </row>
    <row r="36398">
      <c r="A36398" s="4" t="s">
        <v>45781</v>
      </c>
      <c r="B36398" s="4" t="s">
        <v>45783</v>
      </c>
      <c r="C36398" s="5" t="str">
        <f>IFERROR(__xludf.DUMMYFUNCTION("GOOGLETRANSLATE(B36398,""en"",""fr"")"),"Ils poussent la neige sur le côté en une pile.")</f>
        <v>Ils poussent la neige sur le côté en une pile.</v>
      </c>
    </row>
    <row r="36399">
      <c r="A36399" s="4" t="s">
        <v>45781</v>
      </c>
      <c r="B36399" s="4" t="s">
        <v>45784</v>
      </c>
      <c r="C36399" s="5" t="str">
        <f>IFERROR(__xludf.DUMMYFUNCTION("GOOGLETRANSLATE(B36399,""en"",""fr"")"),"Ils finissent de labourer l'allée.")</f>
        <v>Ils finissent de labourer l'allée.</v>
      </c>
    </row>
    <row r="36400">
      <c r="A36400" s="4" t="s">
        <v>45785</v>
      </c>
      <c r="B36400" s="4" t="s">
        <v>45786</v>
      </c>
      <c r="C36400" s="5" t="str">
        <f>IFERROR(__xludf.DUMMYFUNCTION("GOOGLETRANSLATE(B36400,""en"",""fr"")"),"Un homme en pull noir réalise rapidement un défi Rubik Cube pendant que la minuterie coche.")</f>
        <v>Un homme en pull noir réalise rapidement un défi Rubik Cube pendant que la minuterie coche.</v>
      </c>
    </row>
    <row r="36401">
      <c r="A36401" s="4" t="s">
        <v>45785</v>
      </c>
      <c r="B36401" s="4" t="s">
        <v>45787</v>
      </c>
      <c r="C36401" s="5" t="str">
        <f>IFERROR(__xludf.DUMMYFUNCTION("GOOGLETRANSLATE(B36401,""en"",""fr"")"),"Un homme s'assoit à côté de lui en regardant.")</f>
        <v>Un homme s'assoit à côté de lui en regardant.</v>
      </c>
    </row>
    <row r="36402">
      <c r="A36402" s="4" t="s">
        <v>45785</v>
      </c>
      <c r="B36402" s="4" t="s">
        <v>45788</v>
      </c>
      <c r="C36402" s="5" t="str">
        <f>IFERROR(__xludf.DUMMYFUNCTION("GOOGLETRANSLATE(B36402,""en"",""fr"")"),"L'homme dans le pull noir se termine et saute dans l'excitation.")</f>
        <v>L'homme dans le pull noir se termine et saute dans l'excitation.</v>
      </c>
    </row>
    <row r="36403">
      <c r="A36403" s="4" t="s">
        <v>45785</v>
      </c>
      <c r="B36403" s="4" t="s">
        <v>45789</v>
      </c>
      <c r="C36403" s="5" t="str">
        <f>IFERROR(__xludf.DUMMYFUNCTION("GOOGLETRANSLATE(B36403,""en"",""fr"")"),"L'homme qui était assis à côté de lui se lève et est rejoint par d'autres jeunes hommes.")</f>
        <v>L'homme qui était assis à côté de lui se lève et est rejoint par d'autres jeunes hommes.</v>
      </c>
    </row>
    <row r="36404">
      <c r="A36404" s="4" t="s">
        <v>45790</v>
      </c>
      <c r="B36404" s="4" t="s">
        <v>45791</v>
      </c>
      <c r="C36404" s="5" t="str">
        <f>IFERROR(__xludf.DUMMYFUNCTION("GOOGLETRANSLATE(B36404,""en"",""fr"")"),"Un groupe de pom-pom girls pose sur une scène.")</f>
        <v>Un groupe de pom-pom girls pose sur une scène.</v>
      </c>
    </row>
    <row r="36405">
      <c r="A36405" s="4" t="s">
        <v>45790</v>
      </c>
      <c r="B36405" s="4" t="s">
        <v>45792</v>
      </c>
      <c r="C36405" s="5" t="str">
        <f>IFERROR(__xludf.DUMMYFUNCTION("GOOGLETRANSLATE(B36405,""en"",""fr"")"),"Ils se séparent, entrant dans une routine de danse élaborée.")</f>
        <v>Ils se séparent, entrant dans une routine de danse élaborée.</v>
      </c>
    </row>
    <row r="36406">
      <c r="A36406" s="4" t="s">
        <v>45790</v>
      </c>
      <c r="B36406" s="4" t="s">
        <v>45793</v>
      </c>
      <c r="C36406" s="5" t="str">
        <f>IFERROR(__xludf.DUMMYFUNCTION("GOOGLETRANSLATE(B36406,""en"",""fr"")"),"Ils se retournent, se jettent et se jettent, puis sautent de haut en bas avec excitation.")</f>
        <v>Ils se retournent, se jettent et se jettent, puis sautent de haut en bas avec excitation.</v>
      </c>
    </row>
    <row r="36407">
      <c r="A36407" s="4" t="s">
        <v>45794</v>
      </c>
      <c r="B36407" s="4" t="s">
        <v>45795</v>
      </c>
      <c r="C36407" s="5" t="str">
        <f>IFERROR(__xludf.DUMMYFUNCTION("GOOGLETRANSLATE(B36407,""en"",""fr"")"),"Deux hommes cuisinent des omelettes sur de longues casseroles dans la rue.")</f>
        <v>Deux hommes cuisinent des omelettes sur de longues casseroles dans la rue.</v>
      </c>
    </row>
    <row r="36408">
      <c r="A36408" s="4" t="s">
        <v>45794</v>
      </c>
      <c r="B36408" s="4" t="s">
        <v>45796</v>
      </c>
      <c r="C36408" s="5" t="str">
        <f>IFERROR(__xludf.DUMMYFUNCTION("GOOGLETRANSLATE(B36408,""en"",""fr"")"),"Les gens passent devant les hommes.")</f>
        <v>Les gens passent devant les hommes.</v>
      </c>
    </row>
    <row r="36409">
      <c r="A36409" s="4" t="s">
        <v>45794</v>
      </c>
      <c r="B36409" s="4" t="s">
        <v>45797</v>
      </c>
      <c r="C36409" s="5" t="str">
        <f>IFERROR(__xludf.DUMMYFUNCTION("GOOGLETRANSLATE(B36409,""en"",""fr"")"),"Un homme met des œufs brouillés dans la casserole chaude en utilisant deux bâtons pour retourner les œufs.")</f>
        <v>Un homme met des œufs brouillés dans la casserole chaude en utilisant deux bâtons pour retourner les œufs.</v>
      </c>
    </row>
    <row r="36410">
      <c r="A36410" s="4" t="s">
        <v>45794</v>
      </c>
      <c r="B36410" s="4" t="s">
        <v>45798</v>
      </c>
      <c r="C36410" s="5" t="str">
        <f>IFERROR(__xludf.DUMMYFUNCTION("GOOGLETRANSLATE(B36410,""en"",""fr"")"),"Ensuite, l'homme ajoute plus d'œufs brouillés tout en tournant l'omelette pour l'agrandir.")</f>
        <v>Ensuite, l'homme ajoute plus d'œufs brouillés tout en tournant l'omelette pour l'agrandir.</v>
      </c>
    </row>
    <row r="36411">
      <c r="A36411" s="4" t="s">
        <v>45794</v>
      </c>
      <c r="B36411" s="4" t="s">
        <v>45799</v>
      </c>
      <c r="C36411" s="5" t="str">
        <f>IFERROR(__xludf.DUMMYFUNCTION("GOOGLETRANSLATE(B36411,""en"",""fr"")"),"Après, l'homme enveloppe l'omelette.")</f>
        <v>Après, l'homme enveloppe l'omelette.</v>
      </c>
    </row>
    <row r="36412">
      <c r="A36412" s="4" t="s">
        <v>45800</v>
      </c>
      <c r="B36412" s="4" t="s">
        <v>45801</v>
      </c>
      <c r="C36412" s="5" t="str">
        <f>IFERROR(__xludf.DUMMYFUNCTION("GOOGLETRANSLATE(B36412,""en"",""fr"")"),"Un homme saute sur des barres parallèles.")</f>
        <v>Un homme saute sur des barres parallèles.</v>
      </c>
    </row>
    <row r="36413">
      <c r="A36413" s="4" t="s">
        <v>45800</v>
      </c>
      <c r="B36413" s="4" t="s">
        <v>45802</v>
      </c>
      <c r="C36413" s="5" t="str">
        <f>IFERROR(__xludf.DUMMYFUNCTION("GOOGLETRANSLATE(B36413,""en"",""fr"")"),"Il commence à faire une routine de gymnastique sur les barres parallèles.")</f>
        <v>Il commence à faire une routine de gymnastique sur les barres parallèles.</v>
      </c>
    </row>
    <row r="36414">
      <c r="A36414" s="4" t="s">
        <v>45800</v>
      </c>
      <c r="B36414" s="4" t="s">
        <v>45803</v>
      </c>
      <c r="C36414" s="5" t="str">
        <f>IFERROR(__xludf.DUMMYFUNCTION("GOOGLETRANSLATE(B36414,""en"",""fr"")"),"Il fait un saut et atterrit sur le tapis.")</f>
        <v>Il fait un saut et atterrit sur le tapis.</v>
      </c>
    </row>
    <row r="36415">
      <c r="A36415" s="4" t="s">
        <v>45804</v>
      </c>
      <c r="B36415" s="4" t="s">
        <v>45805</v>
      </c>
      <c r="C36415" s="5" t="str">
        <f>IFERROR(__xludf.DUMMYFUNCTION("GOOGLETRANSLATE(B36415,""en"",""fr"")"),"Une fille fait du cerceau faisant tourner une bague de hula autour de son cou, de son corps et de ses mains.")</f>
        <v>Une fille fait du cerceau faisant tourner une bague de hula autour de son cou, de son corps et de ses mains.</v>
      </c>
    </row>
    <row r="36416">
      <c r="A36416" s="4" t="s">
        <v>45804</v>
      </c>
      <c r="B36416" s="4" t="s">
        <v>45806</v>
      </c>
      <c r="C36416" s="5" t="str">
        <f>IFERROR(__xludf.DUMMYFUNCTION("GOOGLETRANSLATE(B36416,""en"",""fr"")"),"Ensuite, une personne donne un hula à la fille qui tourne simultanément les deux anneaux de hula.")</f>
        <v>Ensuite, une personne donne un hula à la fille qui tourne simultanément les deux anneaux de hula.</v>
      </c>
    </row>
    <row r="36417">
      <c r="A36417" s="4" t="s">
        <v>45804</v>
      </c>
      <c r="B36417" s="4" t="s">
        <v>45807</v>
      </c>
      <c r="C36417" s="5" t="str">
        <f>IFERROR(__xludf.DUMMYFUNCTION("GOOGLETRANSLATE(B36417,""en"",""fr"")"),"Après, une personne donne une autre bague de hula à la fille pour faire du hula hoop avec trois anneaux.")</f>
        <v>Après, une personne donne une autre bague de hula à la fille pour faire du hula hoop avec trois anneaux.</v>
      </c>
    </row>
    <row r="36418">
      <c r="A36418" s="4" t="s">
        <v>45804</v>
      </c>
      <c r="B36418" s="4" t="s">
        <v>45808</v>
      </c>
      <c r="C36418" s="5" t="str">
        <f>IFERROR(__xludf.DUMMYFUNCTION("GOOGLETRANSLATE(B36418,""en"",""fr"")"),"À la fin, la fille fait un câlin à la personne et un présentateur parle.")</f>
        <v>À la fin, la fille fait un câlin à la personne et un présentateur parle.</v>
      </c>
    </row>
    <row r="36419">
      <c r="A36419" s="4" t="s">
        <v>45809</v>
      </c>
      <c r="B36419" s="6" t="s">
        <v>45810</v>
      </c>
      <c r="C36419" s="5" t="str">
        <f>IFERROR(__xludf.DUMMYFUNCTION("GOOGLETRANSLATE(B36419,""en"",""fr"")"),"Une grande foule de personnes est vue debout au milieu de la rue et mène à une performance de danse ainsi qu'une performance musicale.")</f>
        <v>Une grande foule de personnes est vue debout au milieu de la rue et mène à une performance de danse ainsi qu'une performance musicale.</v>
      </c>
    </row>
    <row r="36420">
      <c r="A36420" s="4" t="s">
        <v>45809</v>
      </c>
      <c r="B36420" s="4" t="s">
        <v>45811</v>
      </c>
      <c r="C36420" s="5" t="str">
        <f>IFERROR(__xludf.DUMMYFUNCTION("GOOGLETRANSLATE(B36420,""en"",""fr"")"),"Les gens continuent de se déplacer dans la rue et se terminent par une pose de finition.")</f>
        <v>Les gens continuent de se déplacer dans la rue et se terminent par une pose de finition.</v>
      </c>
    </row>
    <row r="36421">
      <c r="A36421" s="4" t="s">
        <v>45812</v>
      </c>
      <c r="B36421" s="6" t="s">
        <v>45813</v>
      </c>
      <c r="C36421" s="5" t="str">
        <f>IFERROR(__xludf.DUMMYFUNCTION("GOOGLETRANSLATE(B36421,""en"",""fr"")"),"Une caméra se déroule à l'extérieur d'un bâtiment et regarde dans une pièce sombre où un homme fait de l'exercice et parle à la caméra.")</f>
        <v>Une caméra se déroule à l'extérieur d'un bâtiment et regarde dans une pièce sombre où un homme fait de l'exercice et parle à la caméra.</v>
      </c>
    </row>
    <row r="36422">
      <c r="A36422" s="4" t="s">
        <v>45812</v>
      </c>
      <c r="B36422" s="6" t="s">
        <v>45814</v>
      </c>
      <c r="C36422" s="5" t="str">
        <f>IFERROR(__xludf.DUMMYFUNCTION("GOOGLETRANSLATE(B36422,""en"",""fr"")"),"L'homme continue de rouler sur l'équipement tout en se déplaçant plus vite et de plus en plus lentement et la caméra se déroule autour de ses mouvements.")</f>
        <v>L'homme continue de rouler sur l'équipement tout en se déplaçant plus vite et de plus en plus lentement et la caméra se déroule autour de ses mouvements.</v>
      </c>
    </row>
    <row r="36423">
      <c r="A36423" s="4" t="s">
        <v>45815</v>
      </c>
      <c r="B36423" s="4" t="s">
        <v>45816</v>
      </c>
      <c r="C36423" s="5" t="str">
        <f>IFERROR(__xludf.DUMMYFUNCTION("GOOGLETRANSLATE(B36423,""en"",""fr"")"),"Nous voyons une chaise avec un oreiller dessus.")</f>
        <v>Nous voyons une chaise avec un oreiller dessus.</v>
      </c>
    </row>
    <row r="36424">
      <c r="A36424" s="4" t="s">
        <v>45815</v>
      </c>
      <c r="B36424" s="4" t="s">
        <v>45817</v>
      </c>
      <c r="C36424" s="5" t="str">
        <f>IFERROR(__xludf.DUMMYFUNCTION("GOOGLETRANSLATE(B36424,""en"",""fr"")"),"Un homme tenant un chat s'assoit sur la chaise.")</f>
        <v>Un homme tenant un chat s'assoit sur la chaise.</v>
      </c>
    </row>
    <row r="36425">
      <c r="A36425" s="4" t="s">
        <v>45815</v>
      </c>
      <c r="B36425" s="4" t="s">
        <v>45818</v>
      </c>
      <c r="C36425" s="5" t="str">
        <f>IFERROR(__xludf.DUMMYFUNCTION("GOOGLETRANSLATE(B36425,""en"",""fr"")"),"L'homme coupe les ongles des chats.")</f>
        <v>L'homme coupe les ongles des chats.</v>
      </c>
    </row>
    <row r="36426">
      <c r="A36426" s="4" t="s">
        <v>45815</v>
      </c>
      <c r="B36426" s="4" t="s">
        <v>45819</v>
      </c>
      <c r="C36426" s="5" t="str">
        <f>IFERROR(__xludf.DUMMYFUNCTION("GOOGLETRANSLATE(B36426,""en"",""fr"")"),"L'homme caresse la tête du chat.")</f>
        <v>L'homme caresse la tête du chat.</v>
      </c>
    </row>
    <row r="36427">
      <c r="A36427" s="4" t="s">
        <v>45815</v>
      </c>
      <c r="B36427" s="4" t="s">
        <v>45820</v>
      </c>
      <c r="C36427" s="5" t="str">
        <f>IFERROR(__xludf.DUMMYFUNCTION("GOOGLETRANSLATE(B36427,""en"",""fr"")"),"L'homme joue avec le chat qui lui fait des allers-retours.")</f>
        <v>L'homme joue avec le chat qui lui fait des allers-retours.</v>
      </c>
    </row>
    <row r="36428">
      <c r="A36428" s="4" t="s">
        <v>45815</v>
      </c>
      <c r="B36428" s="4" t="s">
        <v>45821</v>
      </c>
      <c r="C36428" s="5" t="str">
        <f>IFERROR(__xludf.DUMMYFUNCTION("GOOGLETRANSLATE(B36428,""en"",""fr"")"),"L'homme arrête la caméra.")</f>
        <v>L'homme arrête la caméra.</v>
      </c>
    </row>
    <row r="36429">
      <c r="A36429" s="4" t="s">
        <v>45822</v>
      </c>
      <c r="B36429" s="6" t="s">
        <v>45823</v>
      </c>
      <c r="C36429" s="5" t="str">
        <f>IFERROR(__xludf.DUMMYFUNCTION("GOOGLETRANSLATE(B36429,""en"",""fr"")"),"Une femme aux cheveux longs blonds transporte des cerceaux blancs, les cerceaux Hula ont du ruban de couleur arc-en-ciel sur des parties de celles-ci.")</f>
        <v>Une femme aux cheveux longs blonds transporte des cerceaux blancs, les cerceaux Hula ont du ruban de couleur arc-en-ciel sur des parties de celles-ci.</v>
      </c>
    </row>
    <row r="36430">
      <c r="A36430" s="4" t="s">
        <v>45822</v>
      </c>
      <c r="B36430" s="4" t="s">
        <v>45824</v>
      </c>
      <c r="C36430" s="5" t="str">
        <f>IFERROR(__xludf.DUMMYFUNCTION("GOOGLETRANSLATE(B36430,""en"",""fr"")"),"La fille se dirigea vers le lac, elle marche pieds nus sur l'herbe.")</f>
        <v>La fille se dirigea vers le lac, elle marche pieds nus sur l'herbe.</v>
      </c>
    </row>
    <row r="36431">
      <c r="A36431" s="4" t="s">
        <v>45822</v>
      </c>
      <c r="B36431" s="4" t="s">
        <v>45825</v>
      </c>
      <c r="C36431" s="5" t="str">
        <f>IFERROR(__xludf.DUMMYFUNCTION("GOOGLETRANSLATE(B36431,""en"",""fr"")"),"La caméra se tourne vers son visage, puis elle a commencé à tourbillonner les cerceaux et à la mettre sur elle.")</f>
        <v>La caméra se tourne vers son visage, puis elle a commencé à tourbillonner les cerceaux et à la mettre sur elle.</v>
      </c>
    </row>
    <row r="36432">
      <c r="A36432" s="4" t="s">
        <v>45822</v>
      </c>
      <c r="B36432" s="4" t="s">
        <v>45826</v>
      </c>
      <c r="C36432" s="5" t="str">
        <f>IFERROR(__xludf.DUMMYFUNCTION("GOOGLETRANSLATE(B36432,""en"",""fr"")"),"La fille a commencé à faire des tours de cerceaux, d'abord sur sa taille puis de le haut, puis sur ses jambes et ses bras.")</f>
        <v>La fille a commencé à faire des tours de cerceaux, d'abord sur sa taille puis de le haut, puis sur ses jambes et ses bras.</v>
      </c>
    </row>
    <row r="36433">
      <c r="A36433" s="4" t="s">
        <v>45827</v>
      </c>
      <c r="B36433" s="6" t="s">
        <v>45828</v>
      </c>
      <c r="C36433" s="5" t="str">
        <f>IFERROR(__xludf.DUMMYFUNCTION("GOOGLETRANSLATE(B36433,""en"",""fr"")"),"Un grand groupe de personnes est vue debout autour d'une table de balle à poose se parlant et les mène en jouant au jeu.")</f>
        <v>Un grand groupe de personnes est vue debout autour d'une table de balle à poose se parlant et les mène en jouant au jeu.</v>
      </c>
    </row>
    <row r="36434">
      <c r="A36434" s="4" t="s">
        <v>45827</v>
      </c>
      <c r="B36434" s="6" t="s">
        <v>45829</v>
      </c>
      <c r="C36434" s="5" t="str">
        <f>IFERROR(__xludf.DUMMYFUNCTION("GOOGLETRANSLATE(B36434,""en"",""fr"")"),"Beaucoup de gens continuent de regarder le match sur la touche et de regarder le match se dérouler.")</f>
        <v>Beaucoup de gens continuent de regarder le match sur la touche et de regarder le match se dérouler.</v>
      </c>
    </row>
    <row r="36435">
      <c r="A36435" s="4" t="s">
        <v>45830</v>
      </c>
      <c r="B36435" s="4" t="s">
        <v>45831</v>
      </c>
      <c r="C36435" s="5" t="str">
        <f>IFERROR(__xludf.DUMMYFUNCTION("GOOGLETRANSLATE(B36435,""en"",""fr"")"),"Une personne est vue debout devant un évier qui tournait le robinet et mouillait les mains.")</f>
        <v>Une personne est vue debout devant un évier qui tournait le robinet et mouillait les mains.</v>
      </c>
    </row>
    <row r="36436">
      <c r="A36436" s="4" t="s">
        <v>45830</v>
      </c>
      <c r="B36436" s="4" t="s">
        <v>45832</v>
      </c>
      <c r="C36436" s="5" t="str">
        <f>IFERROR(__xludf.DUMMYFUNCTION("GOOGLETRANSLATE(B36436,""en"",""fr"")"),"Ils mettent ensuite du savon sur leurs mains, se frottent le savon et se rincent les mains dans l'eau.")</f>
        <v>Ils mettent ensuite du savon sur leurs mains, se frottent le savon et se rincent les mains dans l'eau.</v>
      </c>
    </row>
    <row r="36437">
      <c r="A36437" s="4" t="s">
        <v>45830</v>
      </c>
      <c r="B36437" s="4" t="s">
        <v>45833</v>
      </c>
      <c r="C36437" s="5" t="str">
        <f>IFERROR(__xludf.DUMMYFUNCTION("GOOGLETRANSLATE(B36437,""en"",""fr"")"),"Enfin, ils utilisent des serviettes en papier pour sécher leurs mains et la jeter dans la poubelle.")</f>
        <v>Enfin, ils utilisent des serviettes en papier pour sécher leurs mains et la jeter dans la poubelle.</v>
      </c>
    </row>
    <row r="36438">
      <c r="A36438" s="4" t="s">
        <v>45834</v>
      </c>
      <c r="B36438" s="4" t="s">
        <v>45835</v>
      </c>
      <c r="C36438" s="5" t="str">
        <f>IFERROR(__xludf.DUMMYFUNCTION("GOOGLETRANSLATE(B36438,""en"",""fr"")"),"Une femme fume une cigarette.")</f>
        <v>Une femme fume une cigarette.</v>
      </c>
    </row>
    <row r="36439">
      <c r="A36439" s="4" t="s">
        <v>45834</v>
      </c>
      <c r="B36439" s="4" t="s">
        <v>45836</v>
      </c>
      <c r="C36439" s="5" t="str">
        <f>IFERROR(__xludf.DUMMYFUNCTION("GOOGLETRANSLATE(B36439,""en"",""fr"")"),"Elle est assise et les gens marchent derrière elle.")</f>
        <v>Elle est assise et les gens marchent derrière elle.</v>
      </c>
    </row>
    <row r="36440">
      <c r="A36440" s="4" t="s">
        <v>45834</v>
      </c>
      <c r="B36440" s="4" t="s">
        <v>45837</v>
      </c>
      <c r="C36440" s="5" t="str">
        <f>IFERROR(__xludf.DUMMYFUNCTION("GOOGLETRANSLATE(B36440,""en"",""fr"")"),"Elle continue de tenir la cigarette dans un bras.")</f>
        <v>Elle continue de tenir la cigarette dans un bras.</v>
      </c>
    </row>
    <row r="36441">
      <c r="A36441" s="4" t="s">
        <v>45834</v>
      </c>
      <c r="B36441" s="4" t="s">
        <v>45838</v>
      </c>
      <c r="C36441" s="5" t="str">
        <f>IFERROR(__xludf.DUMMYFUNCTION("GOOGLETRANSLATE(B36441,""en"",""fr"")"),"Les gens continuent de marcher derrière elle et devant.")</f>
        <v>Les gens continuent de marcher derrière elle et devant.</v>
      </c>
    </row>
    <row r="36442">
      <c r="A36442" s="4" t="s">
        <v>45834</v>
      </c>
      <c r="B36442" s="4" t="s">
        <v>45839</v>
      </c>
      <c r="C36442" s="5" t="str">
        <f>IFERROR(__xludf.DUMMYFUNCTION("GOOGLETRANSLATE(B36442,""en"",""fr"")"),"Elle continue de fumer et de regarder tout droit.")</f>
        <v>Elle continue de fumer et de regarder tout droit.</v>
      </c>
    </row>
    <row r="36443">
      <c r="A36443" s="4" t="s">
        <v>45840</v>
      </c>
      <c r="B36443" s="6" t="s">
        <v>45841</v>
      </c>
      <c r="C36443" s="5" t="str">
        <f>IFERROR(__xludf.DUMMYFUNCTION("GOOGLETRANSLATE(B36443,""en"",""fr"")"),"Deux garçons jouent au ping-pong sur une grande table de ping-pong à l'extérieur tandis qu'un troisième garçon regarde de la ligne de touche.")</f>
        <v>Deux garçons jouent au ping-pong sur une grande table de ping-pong à l'extérieur tandis qu'un troisième garçon regarde de la ligne de touche.</v>
      </c>
    </row>
    <row r="36444">
      <c r="A36444" s="4" t="s">
        <v>45840</v>
      </c>
      <c r="B36444" s="4" t="s">
        <v>45842</v>
      </c>
      <c r="C36444" s="5" t="str">
        <f>IFERROR(__xludf.DUMMYFUNCTION("GOOGLETRANSLATE(B36444,""en"",""fr"")"),"Un garçon en T-shirt avec un graphique d'aile frappe le ballon vers l'autre joueur torse nu.")</f>
        <v>Un garçon en T-shirt avec un graphique d'aile frappe le ballon vers l'autre joueur torse nu.</v>
      </c>
    </row>
    <row r="36445">
      <c r="A36445" s="4" t="s">
        <v>45840</v>
      </c>
      <c r="B36445" s="6" t="s">
        <v>45843</v>
      </c>
      <c r="C36445" s="5" t="str">
        <f>IFERROR(__xludf.DUMMYFUNCTION("GOOGLETRANSLATE(B36445,""en"",""fr"")"),"Le joueur torse nu renvoie le service et le garçon avec le t-shirt manque le ballon et doit le ramasser et le jeter à l'autre joueur pour une reserve.")</f>
        <v>Le joueur torse nu renvoie le service et le garçon avec le t-shirt manque le ballon et doit le ramasser et le jeter à l'autre joueur pour une reserve.</v>
      </c>
    </row>
    <row r="36446">
      <c r="A36446" s="4" t="s">
        <v>45840</v>
      </c>
      <c r="B36446" s="4" t="s">
        <v>45844</v>
      </c>
      <c r="C36446" s="5" t="str">
        <f>IFERROR(__xludf.DUMMYFUNCTION("GOOGLETRANSLATE(B36446,""en"",""fr"")"),"Les deux recommencent à jouer tandis que le garçon au milieu sur la touche observe le jeu.")</f>
        <v>Les deux recommencent à jouer tandis que le garçon au milieu sur la touche observe le jeu.</v>
      </c>
    </row>
    <row r="36447">
      <c r="A36447" s="4" t="s">
        <v>45845</v>
      </c>
      <c r="B36447" s="6" t="s">
        <v>45846</v>
      </c>
      <c r="C36447" s="5" t="str">
        <f>IFERROR(__xludf.DUMMYFUNCTION("GOOGLETRANSLATE(B36447,""en"",""fr"")"),"Un jeune homme dans une veste verte se tient devant un monticule de saleté et parle de ses tâches d'entretien.")</f>
        <v>Un jeune homme dans une veste verte se tient devant un monticule de saleté et parle de ses tâches d'entretien.</v>
      </c>
    </row>
    <row r="36448">
      <c r="A36448" s="4" t="s">
        <v>45845</v>
      </c>
      <c r="B36448" s="6" t="s">
        <v>45847</v>
      </c>
      <c r="C36448" s="5" t="str">
        <f>IFERROR(__xludf.DUMMYFUNCTION("GOOGLETRANSLATE(B36448,""en"",""fr"")"),"L'homme vient ensuite dans la cour arrière avec une brouette verte et jette la saleté dans la cour arrière.")</f>
        <v>L'homme vient ensuite dans la cour arrière avec une brouette verte et jette la saleté dans la cour arrière.</v>
      </c>
    </row>
    <row r="36449">
      <c r="A36449" s="4" t="s">
        <v>45845</v>
      </c>
      <c r="B36449" s="4" t="s">
        <v>45848</v>
      </c>
      <c r="C36449" s="5" t="str">
        <f>IFERROR(__xludf.DUMMYFUNCTION("GOOGLETRANSLATE(B36449,""en"",""fr"")"),"Il prend ensuite son râteau et déplace la saleté d'avant en arrière autour de la maison le soir.")</f>
        <v>Il prend ensuite son râteau et déplace la saleté d'avant en arrière autour de la maison le soir.</v>
      </c>
    </row>
    <row r="36450">
      <c r="A36450" s="4" t="s">
        <v>45845</v>
      </c>
      <c r="B36450" s="4" t="s">
        <v>45849</v>
      </c>
      <c r="C36450" s="5" t="str">
        <f>IFERROR(__xludf.DUMMYFUNCTION("GOOGLETRANSLATE(B36450,""en"",""fr"")"),"Une fois terminé, il disparaît et un chemin de paillis est vu le long du garage.")</f>
        <v>Une fois terminé, il disparaît et un chemin de paillis est vu le long du garage.</v>
      </c>
    </row>
    <row r="36451">
      <c r="A36451" s="4" t="s">
        <v>45850</v>
      </c>
      <c r="B36451" s="6" t="s">
        <v>45851</v>
      </c>
      <c r="C36451" s="5" t="str">
        <f>IFERROR(__xludf.DUMMYFUNCTION("GOOGLETRANSLATE(B36451,""en"",""fr"")"),"Deux équipes de Dodgeball jouent l'une contre l'autre dans un gymnase intérieur entouré de spectateurs dans les gradins.")</f>
        <v>Deux équipes de Dodgeball jouent l'une contre l'autre dans un gymnase intérieur entouré de spectateurs dans les gradins.</v>
      </c>
    </row>
    <row r="36452">
      <c r="A36452" s="4" t="s">
        <v>45850</v>
      </c>
      <c r="B36452" s="6" t="s">
        <v>45852</v>
      </c>
      <c r="C36452" s="5" t="str">
        <f>IFERROR(__xludf.DUMMYFUNCTION("GOOGLETRANSLATE(B36452,""en"",""fr"")"),"Le jeu commence par une équipe d'hommes contre une équipe de femmes à tour de rôle se lançant violemment les balles d'esquive.")</f>
        <v>Le jeu commence par une équipe d'hommes contre une équipe de femmes à tour de rôle se lançant violemment les balles d'esquive.</v>
      </c>
    </row>
    <row r="36453">
      <c r="A36453" s="4" t="s">
        <v>45850</v>
      </c>
      <c r="B36453" s="6" t="s">
        <v>45853</v>
      </c>
      <c r="C36453" s="5" t="str">
        <f>IFERROR(__xludf.DUMMYFUNCTION("GOOGLETRANSLATE(B36453,""en"",""fr"")"),"Les équipes changent ensuite de côtés sur le sol du gymnase avec les femmes à gauche et les hommes à droite.")</f>
        <v>Les équipes changent ensuite de côtés sur le sol du gymnase avec les femmes à gauche et les hommes à droite.</v>
      </c>
    </row>
    <row r="36454">
      <c r="A36454" s="4" t="s">
        <v>45850</v>
      </c>
      <c r="B36454" s="4" t="s">
        <v>45854</v>
      </c>
      <c r="C36454" s="5" t="str">
        <f>IFERROR(__xludf.DUMMYFUNCTION("GOOGLETRANSLATE(B36454,""en"",""fr"")"),"Le jeu se termine et les deux équipes se réunissent au milieu du sol et se donnent mutuellement high fives.")</f>
        <v>Le jeu se termine et les deux équipes se réunissent au milieu du sol et se donnent mutuellement high fives.</v>
      </c>
    </row>
    <row r="36455">
      <c r="A36455" s="4" t="s">
        <v>45855</v>
      </c>
      <c r="B36455" s="4" t="s">
        <v>45856</v>
      </c>
      <c r="C36455" s="5" t="str">
        <f>IFERROR(__xludf.DUMMYFUNCTION("GOOGLETRANSLATE(B36455,""en"",""fr"")"),"Il y a une femme qui skurfing où la femme est remorquée sur une planche de surf derrière un voilier.")</f>
        <v>Il y a une femme qui skurfing où la femme est remorquée sur une planche de surf derrière un voilier.</v>
      </c>
    </row>
    <row r="36456">
      <c r="A36456" s="4" t="s">
        <v>45855</v>
      </c>
      <c r="B36456" s="4" t="s">
        <v>45857</v>
      </c>
      <c r="C36456" s="5" t="str">
        <f>IFERROR(__xludf.DUMMYFUNCTION("GOOGLETRANSLATE(B36456,""en"",""fr"")"),"La surfeur de femme saute haut alors que le voilier navigue dans l'eau.")</f>
        <v>La surfeur de femme saute haut alors que le voilier navigue dans l'eau.</v>
      </c>
    </row>
    <row r="36457">
      <c r="A36457" s="4" t="s">
        <v>45855</v>
      </c>
      <c r="B36457" s="4" t="s">
        <v>45858</v>
      </c>
      <c r="C36457" s="5" t="str">
        <f>IFERROR(__xludf.DUMMYFUNCTION("GOOGLETRANSLATE(B36457,""en"",""fr"")"),"La femme se tord et se retourne sur la planche de surf.")</f>
        <v>La femme se tord et se retourne sur la planche de surf.</v>
      </c>
    </row>
    <row r="36458">
      <c r="A36458" s="4" t="s">
        <v>45855</v>
      </c>
      <c r="B36458" s="6" t="s">
        <v>45859</v>
      </c>
      <c r="C36458" s="5" t="str">
        <f>IFERROR(__xludf.DUMMYFUNCTION("GOOGLETRANSLATE(B36458,""en"",""fr"")"),"Le voilier continue de tirer la femme et elle équilibre parfaitement sur les surf alors qu'elle se tord et tourne et tourne sur les surf.")</f>
        <v>Le voilier continue de tirer la femme et elle équilibre parfaitement sur les surf alors qu'elle se tord et tourne et tourne sur les surf.</v>
      </c>
    </row>
    <row r="36459">
      <c r="A36459" s="4" t="s">
        <v>45855</v>
      </c>
      <c r="B36459" s="4" t="s">
        <v>45860</v>
      </c>
      <c r="C36459" s="5" t="str">
        <f>IFERROR(__xludf.DUMMYFUNCTION("GOOGLETRANSLATE(B36459,""en"",""fr"")"),"Elle va dans un motif en zig zag qui fait des ondes mousseuses dans l'eau à mesure que les bateaux accélèrent.")</f>
        <v>Elle va dans un motif en zig zag qui fait des ondes mousseuses dans l'eau à mesure que les bateaux accélèrent.</v>
      </c>
    </row>
    <row r="36460">
      <c r="A36460" s="4" t="s">
        <v>45855</v>
      </c>
      <c r="B36460" s="6" t="s">
        <v>45861</v>
      </c>
      <c r="C36460" s="5" t="str">
        <f>IFERROR(__xludf.DUMMYFUNCTION("GOOGLETRANSLATE(B36460,""en"",""fr"")"),"Le même surf est regardé à la télévision comme un gars et une autre femme a mis plusieurs médailles autour du cou du surfeur.")</f>
        <v>Le même surf est regardé à la télévision comme un gars et une autre femme a mis plusieurs médailles autour du cou du surfeur.</v>
      </c>
    </row>
    <row r="36461">
      <c r="A36461" s="4" t="s">
        <v>45855</v>
      </c>
      <c r="B36461" s="4" t="s">
        <v>45862</v>
      </c>
      <c r="C36461" s="5" t="str">
        <f>IFERROR(__xludf.DUMMYFUNCTION("GOOGLETRANSLATE(B36461,""en"",""fr"")"),"Le surfeur fait semblant de tomber avec le poids des médailles.")</f>
        <v>Le surfeur fait semblant de tomber avec le poids des médailles.</v>
      </c>
    </row>
    <row r="36462">
      <c r="A36462" s="4" t="s">
        <v>45863</v>
      </c>
      <c r="B36462" s="4" t="s">
        <v>45864</v>
      </c>
      <c r="C36462" s="5" t="str">
        <f>IFERROR(__xludf.DUMMYFUNCTION("GOOGLETRANSLATE(B36462,""en"",""fr"")"),"Deux petits enfants jouent sur un swingset sur une cour enneigée.")</f>
        <v>Deux petits enfants jouent sur un swingset sur une cour enneigée.</v>
      </c>
    </row>
    <row r="36463">
      <c r="A36463" s="4" t="s">
        <v>45863</v>
      </c>
      <c r="B36463" s="4" t="s">
        <v>45865</v>
      </c>
      <c r="C36463" s="5" t="str">
        <f>IFERROR(__xludf.DUMMYFUNCTION("GOOGLETRANSLATE(B36463,""en"",""fr"")"),"Un enfant court vers un swingset, mais décide de passer à une balançoire verte.")</f>
        <v>Un enfant court vers un swingset, mais décide de passer à une balançoire verte.</v>
      </c>
    </row>
    <row r="36464">
      <c r="A36464" s="4" t="s">
        <v>45863</v>
      </c>
      <c r="B36464" s="4" t="s">
        <v>45866</v>
      </c>
      <c r="C36464" s="5" t="str">
        <f>IFERROR(__xludf.DUMMYFUNCTION("GOOGLETRANSLATE(B36464,""en"",""fr"")"),"Un adulte aide l'enfant sur le swing.")</f>
        <v>Un adulte aide l'enfant sur le swing.</v>
      </c>
    </row>
    <row r="36465">
      <c r="A36465" s="4" t="s">
        <v>45863</v>
      </c>
      <c r="B36465" s="6" t="s">
        <v>45867</v>
      </c>
      <c r="C36465" s="5" t="str">
        <f>IFERROR(__xludf.DUMMYFUNCTION("GOOGLETRANSLATE(B36465,""en"",""fr"")"),"L'autre enfant veut également rejoindre le premier enfant sur le même swing et maintient le swing stable pendant que l'enfant grimpe.")</f>
        <v>L'autre enfant veut également rejoindre le premier enfant sur le même swing et maintient le swing stable pendant que l'enfant grimpe.</v>
      </c>
    </row>
    <row r="36466">
      <c r="A36466" s="4" t="s">
        <v>45863</v>
      </c>
      <c r="B36466" s="6" t="s">
        <v>45868</v>
      </c>
      <c r="C36466" s="5" t="str">
        <f>IFERROR(__xludf.DUMMYFUNCTION("GOOGLETRANSLATE(B36466,""en"",""fr"")"),"L'enfant est capable de grimper et les deux enfants aiment se balancer ensemble alors que l'adulte pousse le swing vers l'avant.")</f>
        <v>L'enfant est capable de grimper et les deux enfants aiment se balancer ensemble alors que l'adulte pousse le swing vers l'avant.</v>
      </c>
    </row>
    <row r="36467">
      <c r="A36467" s="4" t="s">
        <v>45869</v>
      </c>
      <c r="B36467" s="6" t="s">
        <v>45870</v>
      </c>
      <c r="C36467" s="5" t="str">
        <f>IFERROR(__xludf.DUMMYFUNCTION("GOOGLETRANSLATE(B36467,""en"",""fr"")"),"Une personne aspire l'intérieur d'une voiture, tandis que d'autres hommes nettoient à la main la voiture avec un détergent et de l'eau.")</f>
        <v>Une personne aspire l'intérieur d'une voiture, tandis que d'autres hommes nettoient à la main la voiture avec un détergent et de l'eau.</v>
      </c>
    </row>
    <row r="36468">
      <c r="A36468" s="4" t="s">
        <v>45869</v>
      </c>
      <c r="B36468" s="4" t="s">
        <v>45871</v>
      </c>
      <c r="C36468" s="5" t="str">
        <f>IFERROR(__xludf.DUMMYFUNCTION("GOOGLETRANSLATE(B36468,""en"",""fr"")"),"Ensuite, un homme sèche la voiture avec des vêtements.")</f>
        <v>Ensuite, un homme sèche la voiture avec des vêtements.</v>
      </c>
    </row>
    <row r="36469">
      <c r="A36469" s="4" t="s">
        <v>45869</v>
      </c>
      <c r="B36469" s="4" t="s">
        <v>45872</v>
      </c>
      <c r="C36469" s="5" t="str">
        <f>IFERROR(__xludf.DUMMYFUNCTION("GOOGLETRANSLATE(B36469,""en"",""fr"")"),"D'autres voitures sont lavées dans une machine de voiture automatique.")</f>
        <v>D'autres voitures sont lavées dans une machine de voiture automatique.</v>
      </c>
    </row>
    <row r="36470">
      <c r="A36470" s="4" t="s">
        <v>45869</v>
      </c>
      <c r="B36470" s="4" t="s">
        <v>45873</v>
      </c>
      <c r="C36470" s="5" t="str">
        <f>IFERROR(__xludf.DUMMYFUNCTION("GOOGLETRANSLATE(B36470,""en"",""fr"")"),"Après, les gens nettoient la voiture avec des tissus à l'intérieur et à l'extérieur à la main.")</f>
        <v>Après, les gens nettoient la voiture avec des tissus à l'intérieur et à l'extérieur à la main.</v>
      </c>
    </row>
    <row r="36471">
      <c r="A36471" s="4" t="s">
        <v>45874</v>
      </c>
      <c r="B36471" s="4" t="s">
        <v>45875</v>
      </c>
      <c r="C36471" s="5" t="str">
        <f>IFERROR(__xludf.DUMMYFUNCTION("GOOGLETRANSLATE(B36471,""en"",""fr"")"),"L'extérieur des maisons est montré par une femme dans une chemise rose.")</f>
        <v>L'extérieur des maisons est montré par une femme dans une chemise rose.</v>
      </c>
    </row>
    <row r="36472">
      <c r="A36472" s="4" t="s">
        <v>45874</v>
      </c>
      <c r="B36472" s="4" t="s">
        <v>45876</v>
      </c>
      <c r="C36472" s="5" t="str">
        <f>IFERROR(__xludf.DUMMYFUNCTION("GOOGLETRANSLATE(B36472,""en"",""fr"")"),"Elle peint l'une des maisons avec de la peinture bleue.")</f>
        <v>Elle peint l'une des maisons avec de la peinture bleue.</v>
      </c>
    </row>
    <row r="36473">
      <c r="A36473" s="4" t="s">
        <v>45874</v>
      </c>
      <c r="B36473" s="4" t="s">
        <v>45877</v>
      </c>
      <c r="C36473" s="5" t="str">
        <f>IFERROR(__xludf.DUMMYFUNCTION("GOOGLETRANSLATE(B36473,""en"",""fr"")"),"Elle tient un seau de peinture.")</f>
        <v>Elle tient un seau de peinture.</v>
      </c>
    </row>
    <row r="36474">
      <c r="A36474" s="4" t="s">
        <v>45878</v>
      </c>
      <c r="B36474" s="4" t="s">
        <v>45879</v>
      </c>
      <c r="C36474" s="5" t="str">
        <f>IFERROR(__xludf.DUMMYFUNCTION("GOOGLETRANSLATE(B36474,""en"",""fr"")"),"Peolpe coule avec des échasses dans une avenue.")</f>
        <v>Peolpe coule avec des échasses dans une avenue.</v>
      </c>
    </row>
    <row r="36475">
      <c r="A36475" s="4" t="s">
        <v>45878</v>
      </c>
      <c r="B36475" s="4" t="s">
        <v>45880</v>
      </c>
      <c r="C36475" s="5" t="str">
        <f>IFERROR(__xludf.DUMMYFUNCTION("GOOGLETRANSLATE(B36475,""en"",""fr"")"),"L'homme interviewe une vieille femme dans le Sreet.")</f>
        <v>L'homme interviewe une vieille femme dans le Sreet.</v>
      </c>
    </row>
    <row r="36476">
      <c r="A36476" s="4" t="s">
        <v>45878</v>
      </c>
      <c r="B36476" s="4" t="s">
        <v>45881</v>
      </c>
      <c r="C36476" s="5" t="str">
        <f>IFERROR(__xludf.DUMMYFUNCTION("GOOGLETRANSLATE(B36476,""en"",""fr"")"),"L'homme fait un saut en hauteur au-dessus d'une voiture dans la rue.")</f>
        <v>L'homme fait un saut en hauteur au-dessus d'une voiture dans la rue.</v>
      </c>
    </row>
    <row r="36477">
      <c r="A36477" s="4" t="s">
        <v>45878</v>
      </c>
      <c r="B36477" s="4" t="s">
        <v>45882</v>
      </c>
      <c r="C36477" s="5" t="str">
        <f>IFERROR(__xludf.DUMMYFUNCTION("GOOGLETRANSLATE(B36477,""en"",""fr"")"),"L'homme est allongé dans une table en bois et un autre homme saute au-dessus de la table.")</f>
        <v>L'homme est allongé dans une table en bois et un autre homme saute au-dessus de la table.</v>
      </c>
    </row>
    <row r="36478">
      <c r="A36478" s="4" t="s">
        <v>45878</v>
      </c>
      <c r="B36478" s="4" t="s">
        <v>45883</v>
      </c>
      <c r="C36478" s="5" t="str">
        <f>IFERROR(__xludf.DUMMYFUNCTION("GOOGLETRANSLATE(B36478,""en"",""fr"")"),"Les hommes sautent d'un côté à l'autre portant des échasses.")</f>
        <v>Les hommes sautent d'un côté à l'autre portant des échasses.</v>
      </c>
    </row>
    <row r="36479">
      <c r="A36479" s="4" t="s">
        <v>45878</v>
      </c>
      <c r="B36479" s="6" t="s">
        <v>45884</v>
      </c>
      <c r="C36479" s="5" t="str">
        <f>IFERROR(__xludf.DUMMYFUNCTION("GOOGLETRANSLATE(B36479,""en"",""fr"")"),"L'homme aide une femme à porter les échasses et à promener dans une salle de gym en jouant au basket avec des joueurs.")</f>
        <v>L'homme aide une femme à porter les échasses et à promener dans une salle de gym en jouant au basket avec des joueurs.</v>
      </c>
    </row>
    <row r="36480">
      <c r="A36480" s="4" t="s">
        <v>45878</v>
      </c>
      <c r="B36480" s="4" t="s">
        <v>45885</v>
      </c>
      <c r="C36480" s="5" t="str">
        <f>IFERROR(__xludf.DUMMYFUNCTION("GOOGLETRANSLATE(B36480,""en"",""fr"")"),"Les gens sont dans Sreet portant des échasses et courent et sautent.")</f>
        <v>Les gens sont dans Sreet portant des échasses et courent et sautent.</v>
      </c>
    </row>
    <row r="36481">
      <c r="A36481" s="4" t="s">
        <v>45878</v>
      </c>
      <c r="B36481" s="4" t="s">
        <v>45886</v>
      </c>
      <c r="C36481" s="5" t="str">
        <f>IFERROR(__xludf.DUMMYFUNCTION("GOOGLETRANSLATE(B36481,""en"",""fr"")"),"L'homme est assis autour d'un banc dans la rue à l'extérieur d'un restaurant.")</f>
        <v>L'homme est assis autour d'un banc dans la rue à l'extérieur d'un restaurant.</v>
      </c>
    </row>
    <row r="36482">
      <c r="A36482" s="4" t="s">
        <v>45878</v>
      </c>
      <c r="B36482" s="4" t="s">
        <v>45887</v>
      </c>
      <c r="C36482" s="5" t="str">
        <f>IFERROR(__xludf.DUMMYFUNCTION("GOOGLETRANSLATE(B36482,""en"",""fr"")"),"L'équipe saute dans des échasses dans le gymnase couvert.")</f>
        <v>L'équipe saute dans des échasses dans le gymnase couvert.</v>
      </c>
    </row>
    <row r="36483">
      <c r="A36483" s="4" t="s">
        <v>45888</v>
      </c>
      <c r="B36483" s="4" t="s">
        <v>45889</v>
      </c>
      <c r="C36483" s="5" t="str">
        <f>IFERROR(__xludf.DUMMYFUNCTION("GOOGLETRANSLATE(B36483,""en"",""fr"")"),"Un vieil homme en chemise blanche brosse le corps du cheval brun.")</f>
        <v>Un vieil homme en chemise blanche brosse le corps du cheval brun.</v>
      </c>
    </row>
    <row r="36484">
      <c r="A36484" s="4" t="s">
        <v>45888</v>
      </c>
      <c r="B36484" s="6" t="s">
        <v>45890</v>
      </c>
      <c r="C36484" s="5" t="str">
        <f>IFERROR(__xludf.DUMMYFUNCTION("GOOGLETRANSLATE(B36484,""en"",""fr"")"),"La fille en chemise bleue debout à côté du vieil homme a brossé la fourrure du cheval, puis le vieil homme a pris le relais, brosse le cheval et la fille frott la fourrure du cheval avec ses mains.")</f>
        <v>La fille en chemise bleue debout à côté du vieil homme a brossé la fourrure du cheval, puis le vieil homme a pris le relais, brosse le cheval et la fille frott la fourrure du cheval avec ses mains.</v>
      </c>
    </row>
    <row r="36485">
      <c r="A36485" s="4" t="s">
        <v>45891</v>
      </c>
      <c r="B36485" s="4" t="s">
        <v>45892</v>
      </c>
      <c r="C36485" s="5" t="str">
        <f>IFERROR(__xludf.DUMMYFUNCTION("GOOGLETRANSLATE(B36485,""en"",""fr"")"),"Une fanfare marche sur un morceau.")</f>
        <v>Une fanfare marche sur un morceau.</v>
      </c>
    </row>
    <row r="36486">
      <c r="A36486" s="4" t="s">
        <v>45891</v>
      </c>
      <c r="B36486" s="4" t="s">
        <v>45893</v>
      </c>
      <c r="C36486" s="5" t="str">
        <f>IFERROR(__xludf.DUMMYFUNCTION("GOOGLETRANSLATE(B36486,""en"",""fr"")"),"Les gens portant des drapeaux suit derrière eux.")</f>
        <v>Les gens portant des drapeaux suit derrière eux.</v>
      </c>
    </row>
    <row r="36487">
      <c r="A36487" s="4" t="s">
        <v>45891</v>
      </c>
      <c r="B36487" s="4" t="s">
        <v>45894</v>
      </c>
      <c r="C36487" s="5" t="str">
        <f>IFERROR(__xludf.DUMMYFUNCTION("GOOGLETRANSLATE(B36487,""en"",""fr"")"),"Les batteurs à l'arrière jouant leur batterie.")</f>
        <v>Les batteurs à l'arrière jouant leur batterie.</v>
      </c>
    </row>
    <row r="36488">
      <c r="A36488" s="4" t="s">
        <v>45895</v>
      </c>
      <c r="B36488" s="6" t="s">
        <v>45896</v>
      </c>
      <c r="C36488" s="5" t="str">
        <f>IFERROR(__xludf.DUMMYFUNCTION("GOOGLETRANSLATE(B36488,""en"",""fr"")"),"Une intro colorée comprend les mots blancs qui disent ""les événements sportifs les plus dangereux du monde"" et les lettres vertes séparément ""SRP"".")</f>
        <v>Une intro colorée comprend les mots blancs qui disent "les événements sportifs les plus dangereux du monde" et les lettres vertes séparément "SRP".</v>
      </c>
    </row>
    <row r="36489">
      <c r="A36489" s="4" t="s">
        <v>45895</v>
      </c>
      <c r="B36489" s="6" t="s">
        <v>45897</v>
      </c>
      <c r="C36489" s="5" t="str">
        <f>IFERROR(__xludf.DUMMYFUNCTION("GOOGLETRANSLATE(B36489,""en"",""fr"")"),"Madrid Espagne sur une carte apparaît et il va rapidement dans différents clips d'hommes dans des arènes tenant des capes rouges alors qu'ils narguent des taureaux en colère.")</f>
        <v>Madrid Espagne sur une carte apparaît et il va rapidement dans différents clips d'hommes dans des arènes tenant des capes rouges alors qu'ils narguent des taureaux en colère.</v>
      </c>
    </row>
    <row r="36490">
      <c r="A36490" s="4" t="s">
        <v>45895</v>
      </c>
      <c r="B36490" s="6" t="s">
        <v>45898</v>
      </c>
      <c r="C36490" s="5" t="str">
        <f>IFERROR(__xludf.DUMMYFUNCTION("GOOGLETRANSLATE(B36490,""en"",""fr"")"),"Soudain, un taureau ne va pas après la cape, et à la place, il s'en prend à l'homme où le taureau continue de l'attaquer avec ses cornes et de le jeter sur la saleté.")</f>
        <v>Soudain, un taureau ne va pas après la cape, et à la place, il s'en prend à l'homme où le taureau continue de l'attaquer avec ses cornes et de le jeter sur la saleté.</v>
      </c>
    </row>
    <row r="36491">
      <c r="A36491" s="4" t="s">
        <v>45895</v>
      </c>
      <c r="B36491" s="6" t="s">
        <v>45899</v>
      </c>
      <c r="C36491" s="5" t="str">
        <f>IFERROR(__xludf.DUMMYFUNCTION("GOOGLETRANSLATE(B36491,""en"",""fr"")"),"Les gens commencent à courir vers le taureau et l'homme pour l'aider, lui et l'homme blessé, se transporte rapidement et s'éloigne de la zone de danger.")</f>
        <v>Les gens commencent à courir vers le taureau et l'homme pour l'aider, lui et l'homme blessé, se transporte rapidement et s'éloigne de la zone de danger.</v>
      </c>
    </row>
    <row r="36492">
      <c r="A36492" s="4" t="s">
        <v>45895</v>
      </c>
      <c r="B36492" s="6" t="s">
        <v>45900</v>
      </c>
      <c r="C36492" s="5" t="str">
        <f>IFERROR(__xludf.DUMMYFUNCTION("GOOGLETRANSLATE(B36492,""en"",""fr"")"),"L'intro apparaît et c'est un écran noir avec les crédits de production Green Letters, avec les droits.")</f>
        <v>L'intro apparaît et c'est un écran noir avec les crédits de production Green Letters, avec les droits.</v>
      </c>
    </row>
    <row r="36493">
      <c r="A36493" s="4" t="s">
        <v>45901</v>
      </c>
      <c r="B36493" s="6" t="s">
        <v>45902</v>
      </c>
      <c r="C36493" s="5" t="str">
        <f>IFERROR(__xludf.DUMMYFUNCTION("GOOGLETRANSLATE(B36493,""en"",""fr"")"),"Un jeune homme est vu assis devant un kit de batterie et commence à jouer de l'ensemble des tambours pour la caméra.")</f>
        <v>Un jeune homme est vu assis devant un kit de batterie et commence à jouer de l'ensemble des tambours pour la caméra.</v>
      </c>
    </row>
    <row r="36494">
      <c r="A36494" s="4" t="s">
        <v>45901</v>
      </c>
      <c r="B36494" s="4" t="s">
        <v>45903</v>
      </c>
      <c r="C36494" s="5" t="str">
        <f>IFERROR(__xludf.DUMMYFUNCTION("GOOGLETRANSLATE(B36494,""en"",""fr"")"),"Il continue de jouer de la batterie et se termine en frappant la cymbale une dernière fois.")</f>
        <v>Il continue de jouer de la batterie et se termine en frappant la cymbale une dernière fois.</v>
      </c>
    </row>
    <row r="36495">
      <c r="A36495" s="4" t="s">
        <v>45904</v>
      </c>
      <c r="B36495" s="4" t="s">
        <v>45905</v>
      </c>
      <c r="C36495" s="5" t="str">
        <f>IFERROR(__xludf.DUMMYFUNCTION("GOOGLETRANSLATE(B36495,""en"",""fr"")"),"Une femme est dans une cuisine qui parle.")</f>
        <v>Une femme est dans une cuisine qui parle.</v>
      </c>
    </row>
    <row r="36496">
      <c r="A36496" s="4" t="s">
        <v>45904</v>
      </c>
      <c r="B36496" s="4" t="s">
        <v>45906</v>
      </c>
      <c r="C36496" s="5" t="str">
        <f>IFERROR(__xludf.DUMMYFUNCTION("GOOGLETRANSLATE(B36496,""en"",""fr"")"),"Elle verse un nettoyant dans un évier et décrit certains outils de nettoyage.")</f>
        <v>Elle verse un nettoyant dans un évier et décrit certains outils de nettoyage.</v>
      </c>
    </row>
    <row r="36497">
      <c r="A36497" s="4" t="s">
        <v>45904</v>
      </c>
      <c r="B36497" s="4" t="s">
        <v>45907</v>
      </c>
      <c r="C36497" s="5" t="str">
        <f>IFERROR(__xludf.DUMMYFUNCTION("GOOGLETRANSLATE(B36497,""en"",""fr"")"),"Elle met une poudre dans l'évier et serre un citron sur la poudre.")</f>
        <v>Elle met une poudre dans l'évier et serre un citron sur la poudre.</v>
      </c>
    </row>
    <row r="36498">
      <c r="A36498" s="4" t="s">
        <v>45904</v>
      </c>
      <c r="B36498" s="4" t="s">
        <v>45908</v>
      </c>
      <c r="C36498" s="5" t="str">
        <f>IFERROR(__xludf.DUMMYFUNCTION("GOOGLETRANSLATE(B36498,""en"",""fr"")"),"Elle verse un liquide sur cela et frotte avec une brosse.")</f>
        <v>Elle verse un liquide sur cela et frotte avec une brosse.</v>
      </c>
    </row>
    <row r="36499">
      <c r="A36499" s="4" t="s">
        <v>45904</v>
      </c>
      <c r="B36499" s="6" t="s">
        <v>45909</v>
      </c>
      <c r="C36499" s="5" t="str">
        <f>IFERROR(__xludf.DUMMYFUNCTION("GOOGLETRANSLATE(B36499,""en"",""fr"")"),"Elle allume l'eau pendant une seconde, puis utilise une pierre sur l'évier avant d'utiliser le pulvérisateur pour tout rincer.")</f>
        <v>Elle allume l'eau pendant une seconde, puis utilise une pierre sur l'évier avant d'utiliser le pulvérisateur pour tout rincer.</v>
      </c>
    </row>
    <row r="36500">
      <c r="A36500" s="4" t="s">
        <v>45910</v>
      </c>
      <c r="B36500" s="4" t="s">
        <v>45911</v>
      </c>
      <c r="C36500" s="5" t="str">
        <f>IFERROR(__xludf.DUMMYFUNCTION("GOOGLETRANSLATE(B36500,""en"",""fr"")"),"Il y a un très grand groupe de personnes à l'extérieur sur un terrain de basket après le coucher du soleil.")</f>
        <v>Il y a un très grand groupe de personnes à l'extérieur sur un terrain de basket après le coucher du soleil.</v>
      </c>
    </row>
    <row r="36501">
      <c r="A36501" s="4" t="s">
        <v>45910</v>
      </c>
      <c r="B36501" s="4" t="s">
        <v>45912</v>
      </c>
      <c r="C36501" s="5" t="str">
        <f>IFERROR(__xludf.DUMMYFUNCTION("GOOGLETRANSLATE(B36501,""en"",""fr"")"),"Ils sautent tous de haut en bas sur ces nouvelles choses Pogo Stick que vous portez comme des chaussures.")</f>
        <v>Ils sautent tous de haut en bas sur ces nouvelles choses Pogo Stick que vous portez comme des chaussures.</v>
      </c>
    </row>
    <row r="36502">
      <c r="A36502" s="4" t="s">
        <v>45910</v>
      </c>
      <c r="B36502" s="4" t="s">
        <v>45913</v>
      </c>
      <c r="C36502" s="5" t="str">
        <f>IFERROR(__xludf.DUMMYFUNCTION("GOOGLETRANSLATE(B36502,""en"",""fr"")"),"Il y a beaucoup de jeunes enfants qui rebondissent de haut en bas sur eux en profitant de la soirée.")</f>
        <v>Il y a beaucoup de jeunes enfants qui rebondissent de haut en bas sur eux en profitant de la soirée.</v>
      </c>
    </row>
    <row r="36503">
      <c r="A36503" s="4" t="s">
        <v>45910</v>
      </c>
      <c r="B36503" s="4" t="s">
        <v>45914</v>
      </c>
      <c r="C36503" s="5" t="str">
        <f>IFERROR(__xludf.DUMMYFUNCTION("GOOGLETRANSLATE(B36503,""en"",""fr"")"),"Il y a même quelques personnes debout et regardent.")</f>
        <v>Il y a même quelques personnes debout et regardent.</v>
      </c>
    </row>
    <row r="36504">
      <c r="A36504" s="4" t="s">
        <v>45915</v>
      </c>
      <c r="B36504" s="6" t="s">
        <v>45916</v>
      </c>
      <c r="C36504" s="5" t="str">
        <f>IFERROR(__xludf.DUMMYFUNCTION("GOOGLETRANSLATE(B36504,""en"",""fr"")"),"L'œil d'une personne est vu rapprocher la caméra pour soulager une lentille de contact dans leurs mains et garder l'œil ouvert.")</f>
        <v>L'œil d'une personne est vu rapprocher la caméra pour soulager une lentille de contact dans leurs mains et garder l'œil ouvert.</v>
      </c>
    </row>
    <row r="36505">
      <c r="A36505" s="4" t="s">
        <v>45915</v>
      </c>
      <c r="B36505" s="6" t="s">
        <v>45917</v>
      </c>
      <c r="C36505" s="5" t="str">
        <f>IFERROR(__xludf.DUMMYFUNCTION("GOOGLETRANSLATE(B36505,""en"",""fr"")"),"La personne met ensuite l'objectif de contact dans leur œil et se frotte les yeux tout en clignant des yeux plusieurs fois.")</f>
        <v>La personne met ensuite l'objectif de contact dans leur œil et se frotte les yeux tout en clignant des yeux plusieurs fois.</v>
      </c>
    </row>
    <row r="36506">
      <c r="A36506" s="4" t="s">
        <v>45918</v>
      </c>
      <c r="B36506" s="4" t="s">
        <v>45919</v>
      </c>
      <c r="C36506" s="5" t="str">
        <f>IFERROR(__xludf.DUMMYFUNCTION("GOOGLETRANSLATE(B36506,""en"",""fr"")"),"Nous voyons la carte de titre sur l'écran.")</f>
        <v>Nous voyons la carte de titre sur l'écran.</v>
      </c>
    </row>
    <row r="36507">
      <c r="A36507" s="4" t="s">
        <v>45918</v>
      </c>
      <c r="B36507" s="4" t="s">
        <v>45920</v>
      </c>
      <c r="C36507" s="5" t="str">
        <f>IFERROR(__xludf.DUMMYFUNCTION("GOOGLETRANSLATE(B36507,""en"",""fr"")"),"Nous voyons des gens debout sur une scène bleue.")</f>
        <v>Nous voyons des gens debout sur une scène bleue.</v>
      </c>
    </row>
    <row r="36508">
      <c r="A36508" s="4" t="s">
        <v>45918</v>
      </c>
      <c r="B36508" s="4" t="s">
        <v>45921</v>
      </c>
      <c r="C36508" s="5" t="str">
        <f>IFERROR(__xludf.DUMMYFUNCTION("GOOGLETRANSLATE(B36508,""en"",""fr"")"),"Ils effectuent ensuite une routine de pointe.")</f>
        <v>Ils effectuent ensuite une routine de pointe.</v>
      </c>
    </row>
    <row r="36509">
      <c r="A36509" s="4" t="s">
        <v>45918</v>
      </c>
      <c r="B36509" s="4" t="s">
        <v>45922</v>
      </c>
      <c r="C36509" s="5" t="str">
        <f>IFERROR(__xludf.DUMMYFUNCTION("GOOGLETRANSLATE(B36509,""en"",""fr"")"),"Les hommes soulèvent les femmes qui tournent dans leurs bras.")</f>
        <v>Les hommes soulèvent les femmes qui tournent dans leurs bras.</v>
      </c>
    </row>
    <row r="36510">
      <c r="A36510" s="4" t="s">
        <v>45918</v>
      </c>
      <c r="B36510" s="4" t="s">
        <v>45923</v>
      </c>
      <c r="C36510" s="5" t="str">
        <f>IFERROR(__xludf.DUMMYFUNCTION("GOOGLETRANSLATE(B36510,""en"",""fr"")"),"Ils se retournent tous ensemble.")</f>
        <v>Ils se retournent tous ensemble.</v>
      </c>
    </row>
    <row r="36511">
      <c r="A36511" s="4" t="s">
        <v>45918</v>
      </c>
      <c r="B36511" s="4" t="s">
        <v>45924</v>
      </c>
      <c r="C36511" s="5" t="str">
        <f>IFERROR(__xludf.DUMMYFUNCTION("GOOGLETRANSLATE(B36511,""en"",""fr"")"),"Les hommes tiennent les femmes par une jambe et laissent presque tomber une dame.")</f>
        <v>Les hommes tiennent les femmes par une jambe et laissent presque tomber une dame.</v>
      </c>
    </row>
    <row r="36512">
      <c r="A36512" s="4" t="s">
        <v>45918</v>
      </c>
      <c r="B36512" s="4" t="s">
        <v>45925</v>
      </c>
      <c r="C36512" s="5" t="str">
        <f>IFERROR(__xludf.DUMMYFUNCTION("GOOGLETRANSLATE(B36512,""en"",""fr"")"),"Une fille apporte des lettres sur le terrain.")</f>
        <v>Une fille apporte des lettres sur le terrain.</v>
      </c>
    </row>
    <row r="36513">
      <c r="A36513" s="4" t="s">
        <v>45918</v>
      </c>
      <c r="B36513" s="4" t="s">
        <v>45926</v>
      </c>
      <c r="C36513" s="5" t="str">
        <f>IFERROR(__xludf.DUMMYFUNCTION("GOOGLETRANSLATE(B36513,""en"",""fr"")"),"Ils utilisent la lettre pour épeler un mot tout en se tenant dans les airs.")</f>
        <v>Ils utilisent la lettre pour épeler un mot tout en se tenant dans les airs.</v>
      </c>
    </row>
    <row r="36514">
      <c r="A36514" s="4" t="s">
        <v>45918</v>
      </c>
      <c r="B36514" s="4" t="s">
        <v>45927</v>
      </c>
      <c r="C36514" s="5" t="str">
        <f>IFERROR(__xludf.DUMMYFUNCTION("GOOGLETRANSLATE(B36514,""en"",""fr"")"),"Ils ont des cartes différentes avec des noms de couleurs sur eux.")</f>
        <v>Ils ont des cartes différentes avec des noms de couleurs sur eux.</v>
      </c>
    </row>
    <row r="36515">
      <c r="A36515" s="4" t="s">
        <v>45918</v>
      </c>
      <c r="B36515" s="4" t="s">
        <v>45928</v>
      </c>
      <c r="C36515" s="5" t="str">
        <f>IFERROR(__xludf.DUMMYFUNCTION("GOOGLETRANSLATE(B36515,""en"",""fr"")"),"Les hommes hurlent de cornes.")</f>
        <v>Les hommes hurlent de cornes.</v>
      </c>
    </row>
    <row r="36516">
      <c r="A36516" s="4" t="s">
        <v>45918</v>
      </c>
      <c r="B36516" s="4" t="s">
        <v>45929</v>
      </c>
      <c r="C36516" s="5" t="str">
        <f>IFERROR(__xludf.DUMMYFUNCTION("GOOGLETRANSLATE(B36516,""en"",""fr"")"),"Deux femmes se détachent d'une position et se terminent dans l'air.")</f>
        <v>Deux femmes se détachent d'une position et se terminent dans l'air.</v>
      </c>
    </row>
    <row r="36517">
      <c r="A36517" s="4" t="s">
        <v>45930</v>
      </c>
      <c r="B36517" s="4" t="s">
        <v>45931</v>
      </c>
      <c r="C36517" s="5" t="str">
        <f>IFERROR(__xludf.DUMMYFUNCTION("GOOGLETRANSLATE(B36517,""en"",""fr"")"),"Il y a des nageurs qui jouent du water-polo dans une piscine intérieure.")</f>
        <v>Il y a des nageurs qui jouent du water-polo dans une piscine intérieure.</v>
      </c>
    </row>
    <row r="36518">
      <c r="A36518" s="4" t="s">
        <v>45930</v>
      </c>
      <c r="B36518" s="4" t="s">
        <v>45932</v>
      </c>
      <c r="C36518" s="5" t="str">
        <f>IFERROR(__xludf.DUMMYFUNCTION("GOOGLETRANSLATE(B36518,""en"",""fr"")"),"L'un des nageurs est sous l'eau, essayant d'atteindre le ballon.")</f>
        <v>L'un des nageurs est sous l'eau, essayant d'atteindre le ballon.</v>
      </c>
    </row>
    <row r="36519">
      <c r="A36519" s="4" t="s">
        <v>45930</v>
      </c>
      <c r="B36519" s="4" t="s">
        <v>45933</v>
      </c>
      <c r="C36519" s="5" t="str">
        <f>IFERROR(__xludf.DUMMYFUNCTION("GOOGLETRANSLATE(B36519,""en"",""fr"")"),"Il jette le ballon à un autre nageur qui attrape le ballon.")</f>
        <v>Il jette le ballon à un autre nageur qui attrape le ballon.</v>
      </c>
    </row>
    <row r="36520">
      <c r="A36520" s="4" t="s">
        <v>45930</v>
      </c>
      <c r="B36520" s="4" t="s">
        <v>45934</v>
      </c>
      <c r="C36520" s="5" t="str">
        <f>IFERROR(__xludf.DUMMYFUNCTION("GOOGLETRANSLATE(B36520,""en"",""fr"")"),"Deux nageurs sont sous l'eau en essayant d'atteindre le ballon.")</f>
        <v>Deux nageurs sont sous l'eau en essayant d'atteindre le ballon.</v>
      </c>
    </row>
    <row r="36521">
      <c r="A36521" s="4" t="s">
        <v>45930</v>
      </c>
      <c r="B36521" s="4" t="s">
        <v>45935</v>
      </c>
      <c r="C36521" s="5" t="str">
        <f>IFERROR(__xludf.DUMMYFUNCTION("GOOGLETRANSLATE(B36521,""en"",""fr"")"),"Ils passent le ballon pendant qu'ils nagent dans l'eau.")</f>
        <v>Ils passent le ballon pendant qu'ils nagent dans l'eau.</v>
      </c>
    </row>
    <row r="36522">
      <c r="A36522" s="4" t="s">
        <v>45930</v>
      </c>
      <c r="B36522" s="6" t="s">
        <v>45936</v>
      </c>
      <c r="C36522" s="5" t="str">
        <f>IFERROR(__xludf.DUMMYFUNCTION("GOOGLETRANSLATE(B36522,""en"",""fr"")"),"Ensuite, les nageurs nagent et sortent de la piscine tandis que certains autres nageurs sont toujours à l'intérieur de la piscine.")</f>
        <v>Ensuite, les nageurs nagent et sortent de la piscine tandis que certains autres nageurs sont toujours à l'intérieur de la piscine.</v>
      </c>
    </row>
    <row r="36523">
      <c r="A36523" s="4" t="s">
        <v>45930</v>
      </c>
      <c r="B36523" s="4" t="s">
        <v>45937</v>
      </c>
      <c r="C36523" s="5" t="str">
        <f>IFERROR(__xludf.DUMMYFUNCTION("GOOGLETRANSLATE(B36523,""en"",""fr"")"),"L'un des nageurs crache de l'eau sur la caméra alors qu'il était encore à l'intérieur de la piscine.")</f>
        <v>L'un des nageurs crache de l'eau sur la caméra alors qu'il était encore à l'intérieur de la piscine.</v>
      </c>
    </row>
    <row r="36524">
      <c r="A36524" s="4" t="s">
        <v>45930</v>
      </c>
      <c r="B36524" s="4" t="s">
        <v>45938</v>
      </c>
      <c r="C36524" s="5" t="str">
        <f>IFERROR(__xludf.DUMMYFUNCTION("GOOGLETRANSLATE(B36524,""en"",""fr"")"),"Quelques autres nageurs peuvent être vus dans les vestiaires se séchant après la baignade.")</f>
        <v>Quelques autres nageurs peuvent être vus dans les vestiaires se séchant après la baignade.</v>
      </c>
    </row>
    <row r="36525">
      <c r="A36525" s="4" t="s">
        <v>45939</v>
      </c>
      <c r="B36525" s="4" t="s">
        <v>45940</v>
      </c>
      <c r="C36525" s="5" t="str">
        <f>IFERROR(__xludf.DUMMYFUNCTION("GOOGLETRANSLATE(B36525,""en"",""fr"")"),"Un petit groupe de personnes se voit se déplacer dans une salle de sport qui donne un coup de pied à un ballon.")</f>
        <v>Un petit groupe de personnes se voit se déplacer dans une salle de sport qui donne un coup de pied à un ballon.</v>
      </c>
    </row>
    <row r="36526">
      <c r="A36526" s="4" t="s">
        <v>45939</v>
      </c>
      <c r="B36526" s="4" t="s">
        <v>45941</v>
      </c>
      <c r="C36526" s="5" t="str">
        <f>IFERROR(__xludf.DUMMYFUNCTION("GOOGLETRANSLATE(B36526,""en"",""fr"")"),"Les garçons se crient les uns les autres les mains et continuent de se promener dans le gymnase.")</f>
        <v>Les garçons se crient les uns les autres les mains et continuent de se promener dans le gymnase.</v>
      </c>
    </row>
    <row r="36527">
      <c r="A36527" s="4" t="s">
        <v>45942</v>
      </c>
      <c r="B36527" s="6" t="s">
        <v>45943</v>
      </c>
      <c r="C36527" s="5" t="str">
        <f>IFERROR(__xludf.DUMMYFUNCTION("GOOGLETRANSLATE(B36527,""en"",""fr"")"),"Il y a une personne qui tond la pelouse dans sa cour avec une tondeuse de pelouse tout en portant son enfant sur le dos.")</f>
        <v>Il y a une personne qui tond la pelouse dans sa cour avec une tondeuse de pelouse tout en portant son enfant sur le dos.</v>
      </c>
    </row>
    <row r="36528">
      <c r="A36528" s="4" t="s">
        <v>45942</v>
      </c>
      <c r="B36528" s="4" t="s">
        <v>45944</v>
      </c>
      <c r="C36528" s="5" t="str">
        <f>IFERROR(__xludf.DUMMYFUNCTION("GOOGLETRANSLATE(B36528,""en"",""fr"")"),"L'homme monte et descend, directement sur la cour alors qu'il tond la pelouse.")</f>
        <v>L'homme monte et descend, directement sur la cour alors qu'il tond la pelouse.</v>
      </c>
    </row>
    <row r="36529">
      <c r="A36529" s="4" t="s">
        <v>45942</v>
      </c>
      <c r="B36529" s="4" t="s">
        <v>45945</v>
      </c>
      <c r="C36529" s="5" t="str">
        <f>IFERROR(__xludf.DUMMYFUNCTION("GOOGLETRANSLATE(B36529,""en"",""fr"")"),"L'enfant regarde calmement tout en se reposant sur le dos de l'homme.")</f>
        <v>L'enfant regarde calmement tout en se reposant sur le dos de l'homme.</v>
      </c>
    </row>
    <row r="36530">
      <c r="A36530" s="4" t="s">
        <v>45942</v>
      </c>
      <c r="B36530" s="4" t="s">
        <v>45946</v>
      </c>
      <c r="C36530" s="5" t="str">
        <f>IFERROR(__xludf.DUMMYFUNCTION("GOOGLETRANSLATE(B36530,""en"",""fr"")"),"L'homme continue de tondre la pelouse avec sa tondeuse de pelouse noire.")</f>
        <v>L'homme continue de tondre la pelouse avec sa tondeuse de pelouse noire.</v>
      </c>
    </row>
    <row r="36531">
      <c r="A36531" s="4" t="s">
        <v>45947</v>
      </c>
      <c r="B36531" s="6" t="s">
        <v>45948</v>
      </c>
      <c r="C36531" s="5" t="str">
        <f>IFERROR(__xludf.DUMMYFUNCTION("GOOGLETRANSLATE(B36531,""en"",""fr"")"),"Il y a une personne du nom de Michael de la Wild Flower Tool Company qui fait un tutoriel sur des cisaillements de tête télescopiques pour le jardinage.")</f>
        <v>Il y a une personne du nom de Michael de la Wild Flower Tool Company qui fait un tutoriel sur des cisaillements de tête télescopiques pour le jardinage.</v>
      </c>
    </row>
    <row r="36532">
      <c r="A36532" s="4" t="s">
        <v>45947</v>
      </c>
      <c r="B36532" s="4" t="s">
        <v>45949</v>
      </c>
      <c r="C36532" s="5" t="str">
        <f>IFERROR(__xludf.DUMMYFUNCTION("GOOGLETRANSLATE(B36532,""en"",""fr"")"),"Il démontre les différentes caractéristiques des cisaillements tels que les poignées extensibles.")</f>
        <v>Il démontre les différentes caractéristiques des cisaillements tels que les poignées extensibles.</v>
      </c>
    </row>
    <row r="36533">
      <c r="A36533" s="4" t="s">
        <v>45947</v>
      </c>
      <c r="B36533" s="4" t="s">
        <v>45950</v>
      </c>
      <c r="C36533" s="5" t="str">
        <f>IFERROR(__xludf.DUMMYFUNCTION("GOOGLETRANSLATE(B36533,""en"",""fr"")"),"Il se tient près d'une grande haie dans un jardin.")</f>
        <v>Il se tient près d'une grande haie dans un jardin.</v>
      </c>
    </row>
    <row r="36534">
      <c r="A36534" s="4" t="s">
        <v>45947</v>
      </c>
      <c r="B36534" s="4" t="s">
        <v>45951</v>
      </c>
      <c r="C36534" s="5" t="str">
        <f>IFERROR(__xludf.DUMMYFUNCTION("GOOGLETRANSLATE(B36534,""en"",""fr"")"),"Il montre comment utiliser les cisaillements en coupant certaines des branches de la haie.")</f>
        <v>Il montre comment utiliser les cisaillements en coupant certaines des branches de la haie.</v>
      </c>
    </row>
    <row r="36535">
      <c r="A36535" s="4" t="s">
        <v>45947</v>
      </c>
      <c r="B36535" s="6" t="s">
        <v>45952</v>
      </c>
      <c r="C36535" s="5" t="str">
        <f>IFERROR(__xludf.DUMMYFUNCTION("GOOGLETRANSLATE(B36535,""en"",""fr"")"),"Il étend ensuite les poignées des cisaillements pour montrer à quel point il peut atteindre durement pour atteindre des endroits au-dessus de la haie.")</f>
        <v>Il étend ensuite les poignées des cisaillements pour montrer à quel point il peut atteindre durement pour atteindre des endroits au-dessus de la haie.</v>
      </c>
    </row>
    <row r="36536">
      <c r="A36536" s="4" t="s">
        <v>45953</v>
      </c>
      <c r="B36536" s="4" t="s">
        <v>45954</v>
      </c>
      <c r="C36536" s="5" t="str">
        <f>IFERROR(__xludf.DUMMYFUNCTION("GOOGLETRANSLATE(B36536,""en"",""fr"")"),"Une femme avance en parlant à la caméra et en mettant ses mains sur ses hanches.")</f>
        <v>Une femme avance en parlant à la caméra et en mettant ses mains sur ses hanches.</v>
      </c>
    </row>
    <row r="36537">
      <c r="A36537" s="4" t="s">
        <v>45953</v>
      </c>
      <c r="B36537" s="4" t="s">
        <v>45955</v>
      </c>
      <c r="C36537" s="5" t="str">
        <f>IFERROR(__xludf.DUMMYFUNCTION("GOOGLETRANSLATE(B36537,""en"",""fr"")"),"Une fille est montrée au hockey sur le terrain et présente divers clips d'elle-même faisant des mouvements.")</f>
        <v>Une fille est montrée au hockey sur le terrain et présente divers clips d'elle-même faisant des mouvements.</v>
      </c>
    </row>
    <row r="36538">
      <c r="A36538" s="4" t="s">
        <v>45953</v>
      </c>
      <c r="B36538" s="6" t="s">
        <v>45956</v>
      </c>
      <c r="C36538" s="5" t="str">
        <f>IFERROR(__xludf.DUMMYFUNCTION("GOOGLETRANSLATE(B36538,""en"",""fr"")"),"Plus tard, elle parle à la caméra de ses expériences avec le sport et de qui elle est exactement et pourquoi les autres l'aiment.")</f>
        <v>Plus tard, elle parle à la caméra de ses expériences avec le sport et de qui elle est exactement et pourquoi les autres l'aiment.</v>
      </c>
    </row>
    <row r="36539">
      <c r="A36539" s="4" t="s">
        <v>45957</v>
      </c>
      <c r="B36539" s="4" t="s">
        <v>45958</v>
      </c>
      <c r="C36539" s="5" t="str">
        <f>IFERROR(__xludf.DUMMYFUNCTION("GOOGLETRANSLATE(B36539,""en"",""fr"")"),"Nous voyons des gens marcher avec des radeaux dans un escalator sur un champ enneigé dans un parc de rafting.")</f>
        <v>Nous voyons des gens marcher avec des radeaux dans un escalator sur un champ enneigé dans un parc de rafting.</v>
      </c>
    </row>
    <row r="36540">
      <c r="A36540" s="4" t="s">
        <v>45957</v>
      </c>
      <c r="B36540" s="4" t="s">
        <v>45959</v>
      </c>
      <c r="C36540" s="5" t="str">
        <f>IFERROR(__xludf.DUMMYFUNCTION("GOOGLETRANSLATE(B36540,""en"",""fr"")"),"Un enfant tombe presque à gauche.")</f>
        <v>Un enfant tombe presque à gauche.</v>
      </c>
    </row>
    <row r="36541">
      <c r="A36541" s="4" t="s">
        <v>45957</v>
      </c>
      <c r="B36541" s="4" t="s">
        <v>45960</v>
      </c>
      <c r="C36541" s="5" t="str">
        <f>IFERROR(__xludf.DUMMYFUNCTION("GOOGLETRANSLATE(B36541,""en"",""fr"")"),"Nous voyons l'escalator bondé à distance.")</f>
        <v>Nous voyons l'escalator bondé à distance.</v>
      </c>
    </row>
    <row r="36542">
      <c r="A36542" s="4" t="s">
        <v>45957</v>
      </c>
      <c r="B36542" s="4" t="s">
        <v>45961</v>
      </c>
      <c r="C36542" s="5" t="str">
        <f>IFERROR(__xludf.DUMMYFUNCTION("GOOGLETRANSLATE(B36542,""en"",""fr"")"),"Nous voyons un garçon dans un manteau noir courir avec son radeau en remorque.")</f>
        <v>Nous voyons un garçon dans un manteau noir courir avec son radeau en remorque.</v>
      </c>
    </row>
    <row r="36543">
      <c r="A36543" s="4" t="s">
        <v>45962</v>
      </c>
      <c r="B36543" s="4" t="s">
        <v>45963</v>
      </c>
      <c r="C36543" s="5" t="str">
        <f>IFERROR(__xludf.DUMMYFUNCTION("GOOGLETRANSLATE(B36543,""en"",""fr"")"),"Un homme aux lunettes jouant un accordéon et souriant.")</f>
        <v>Un homme aux lunettes jouant un accordéon et souriant.</v>
      </c>
    </row>
    <row r="36544">
      <c r="A36544" s="4" t="s">
        <v>45962</v>
      </c>
      <c r="B36544" s="4" t="s">
        <v>45964</v>
      </c>
      <c r="C36544" s="5" t="str">
        <f>IFERROR(__xludf.DUMMYFUNCTION("GOOGLETRANSLATE(B36544,""en"",""fr"")"),"La caméra zoome sur ses doigts qui montent et descendent le cou de l'instrument.")</f>
        <v>La caméra zoome sur ses doigts qui montent et descendent le cou de l'instrument.</v>
      </c>
    </row>
    <row r="36545">
      <c r="A36545" s="4" t="s">
        <v>45962</v>
      </c>
      <c r="B36545" s="4" t="s">
        <v>45965</v>
      </c>
      <c r="C36545" s="5" t="str">
        <f>IFERROR(__xludf.DUMMYFUNCTION("GOOGLETRANSLATE(B36545,""en"",""fr"")"),"L'homme continue de jouer sa chanson et sourit à la caméra tout en montant de haut en bas.")</f>
        <v>L'homme continue de jouer sa chanson et sourit à la caméra tout en montant de haut en bas.</v>
      </c>
    </row>
    <row r="36546">
      <c r="A36546" s="4" t="s">
        <v>45966</v>
      </c>
      <c r="B36546" s="4" t="s">
        <v>45967</v>
      </c>
      <c r="C36546" s="5" t="str">
        <f>IFERROR(__xludf.DUMMYFUNCTION("GOOGLETRANSLATE(B36546,""en"",""fr"")"),"Un enfant se tient sur un tribunal alors qu'un groupe de juges le regardent rapidement.")</f>
        <v>Un enfant se tient sur un tribunal alors qu'un groupe de juges le regardent rapidement.</v>
      </c>
    </row>
    <row r="36547">
      <c r="A36547" s="4" t="s">
        <v>45966</v>
      </c>
      <c r="B36547" s="4" t="s">
        <v>45968</v>
      </c>
      <c r="C36547" s="5" t="str">
        <f>IFERROR(__xludf.DUMMYFUNCTION("GOOGLETRANSLATE(B36547,""en"",""fr"")"),"Derrière lui, d'autres concurrents sautent aussi la corde.")</f>
        <v>Derrière lui, d'autres concurrents sautent aussi la corde.</v>
      </c>
    </row>
    <row r="36548">
      <c r="A36548" s="4" t="s">
        <v>45969</v>
      </c>
      <c r="B36548" s="4" t="s">
        <v>45970</v>
      </c>
      <c r="C36548" s="5" t="str">
        <f>IFERROR(__xludf.DUMMYFUNCTION("GOOGLETRANSLATE(B36548,""en"",""fr"")"),"Un jeune garçon est assis contre le mur à faire une grimace alors que deux personnes se tiennent devant lui.")</f>
        <v>Un jeune garçon est assis contre le mur à faire une grimace alors que deux personnes se tiennent devant lui.</v>
      </c>
    </row>
    <row r="36549">
      <c r="A36549" s="4" t="s">
        <v>45969</v>
      </c>
      <c r="B36549" s="6" t="s">
        <v>45971</v>
      </c>
      <c r="C36549" s="5" t="str">
        <f>IFERROR(__xludf.DUMMYFUNCTION("GOOGLETRANSLATE(B36549,""en"",""fr"")"),"La fille de gauche prend alors un petit tube de vernis et commence à peindre l'ongle du garçon avec des paillettes rouges.")</f>
        <v>La fille de gauche prend alors un petit tube de vernis et commence à peindre l'ongle du garçon avec des paillettes rouges.</v>
      </c>
    </row>
    <row r="36550">
      <c r="A36550" s="4" t="s">
        <v>45969</v>
      </c>
      <c r="B36550" s="4" t="s">
        <v>45972</v>
      </c>
      <c r="C36550" s="5" t="str">
        <f>IFERROR(__xludf.DUMMYFUNCTION("GOOGLETRANSLATE(B36550,""en"",""fr"")"),"Quand elle a fini, le garçon est montré et il commence à rire de la situation.")</f>
        <v>Quand elle a fini, le garçon est montré et il commence à rire de la situation.</v>
      </c>
    </row>
    <row r="36551">
      <c r="A36551" s="4" t="s">
        <v>45973</v>
      </c>
      <c r="B36551" s="6" t="s">
        <v>45974</v>
      </c>
      <c r="C36551" s="5" t="str">
        <f>IFERROR(__xludf.DUMMYFUNCTION("GOOGLETRANSLATE(B36551,""en"",""fr"")"),"Un écran de toile de fond avec des pattes et des os de chien apparaît et les mots en rouge et noir apparaissent et lisent ""Teg's Canine Clippery Dog &amp; Cat Grooming"".")</f>
        <v>Un écran de toile de fond avec des pattes et des os de chien apparaît et les mots en rouge et noir apparaissent et lisent "Teg's Canine Clippery Dog &amp; Cat Grooming".</v>
      </c>
    </row>
    <row r="36552">
      <c r="A36552" s="4" t="s">
        <v>45973</v>
      </c>
      <c r="B36552" s="6" t="s">
        <v>45975</v>
      </c>
      <c r="C36552" s="5" t="str">
        <f>IFERROR(__xludf.DUMMYFUNCTION("GOOGLETRANSLATE(B36552,""en"",""fr"")"),"Des clips de différents chiens sont affichés en train de faire des bains, des coupes de cheveux et des coups de feu tandis que des photos d'images apparaissent entre des clips et ils incluent tous le nom de l'entreprise, le site Web et le numéro de téléph"&amp;"one.")</f>
        <v>Des clips de différents chiens sont affichés en train de faire des bains, des coupes de cheveux et des coups de feu tandis que des photos d'images apparaissent entre des clips et ils incluent tous le nom de l'entreprise, le site Web et le numéro de téléphone.</v>
      </c>
    </row>
    <row r="36553">
      <c r="A36553" s="4" t="s">
        <v>45973</v>
      </c>
      <c r="B36553" s="6" t="s">
        <v>45976</v>
      </c>
      <c r="C36553" s="5" t="str">
        <f>IFERROR(__xludf.DUMMYFUNCTION("GOOGLETRANSLATE(B36553,""en"",""fr"")"),"Le tout dernier écran est une photo d'un chien avec ses yeux fermés et 2 paires de mains soufflent avec un pinceau au-dessus de sa tête, le nom de l'entreprise, le site Web, le numéro de téléphone et l'adresse.")</f>
        <v>Le tout dernier écran est une photo d'un chien avec ses yeux fermés et 2 paires de mains soufflent avec un pinceau au-dessus de sa tête, le nom de l'entreprise, le site Web, le numéro de téléphone et l'adresse.</v>
      </c>
    </row>
    <row r="36554">
      <c r="A36554" s="4" t="s">
        <v>45977</v>
      </c>
      <c r="B36554" s="4" t="s">
        <v>45978</v>
      </c>
      <c r="C36554" s="5" t="str">
        <f>IFERROR(__xludf.DUMMYFUNCTION("GOOGLETRANSLATE(B36554,""en"",""fr"")"),"Un jeune homme est vu assis sur une chaise tenant un vide dans ses mains.")</f>
        <v>Un jeune homme est vu assis sur une chaise tenant un vide dans ses mains.</v>
      </c>
    </row>
    <row r="36555">
      <c r="A36555" s="4" t="s">
        <v>45977</v>
      </c>
      <c r="B36555" s="4" t="s">
        <v>45979</v>
      </c>
      <c r="C36555" s="5" t="str">
        <f>IFERROR(__xludf.DUMMYFUNCTION("GOOGLETRANSLATE(B36555,""en"",""fr"")"),"Le garçon parle à la caméra tout en repoussant l'aspirateur et quatrième.")</f>
        <v>Le garçon parle à la caméra tout en repoussant l'aspirateur et quatrième.</v>
      </c>
    </row>
    <row r="36556">
      <c r="A36556" s="4" t="s">
        <v>45977</v>
      </c>
      <c r="B36556" s="4" t="s">
        <v>45980</v>
      </c>
      <c r="C36556" s="5" t="str">
        <f>IFERROR(__xludf.DUMMYFUNCTION("GOOGLETRANSLATE(B36556,""en"",""fr"")"),"La caméra se rapproche du garçon et zoome sur son visage pendant l'aspirateur.")</f>
        <v>La caméra se rapproche du garçon et zoome sur son visage pendant l'aspirateur.</v>
      </c>
    </row>
    <row r="36557">
      <c r="A36557" s="4" t="s">
        <v>45981</v>
      </c>
      <c r="B36557" s="4" t="s">
        <v>45982</v>
      </c>
      <c r="C36557" s="5" t="str">
        <f>IFERROR(__xludf.DUMMYFUNCTION("GOOGLETRANSLATE(B36557,""en"",""fr"")"),"Un homme se tient au-dessus d'un camion.")</f>
        <v>Un homme se tient au-dessus d'un camion.</v>
      </c>
    </row>
    <row r="36558">
      <c r="A36558" s="4" t="s">
        <v>45981</v>
      </c>
      <c r="B36558" s="4" t="s">
        <v>45983</v>
      </c>
      <c r="C36558" s="5" t="str">
        <f>IFERROR(__xludf.DUMMYFUNCTION("GOOGLETRANSLATE(B36558,""en"",""fr"")"),"Deux hommes sautent sur un trampoline.")</f>
        <v>Deux hommes sautent sur un trampoline.</v>
      </c>
    </row>
    <row r="36559">
      <c r="A36559" s="4" t="s">
        <v>45981</v>
      </c>
      <c r="B36559" s="4" t="s">
        <v>45984</v>
      </c>
      <c r="C36559" s="5" t="str">
        <f>IFERROR(__xludf.DUMMYFUNCTION("GOOGLETRANSLATE(B36559,""en"",""fr"")"),"L'un des hommes se couche et l'autre homme le frappe.")</f>
        <v>L'un des hommes se couche et l'autre homme le frappe.</v>
      </c>
    </row>
    <row r="36560">
      <c r="A36560" s="4" t="s">
        <v>45981</v>
      </c>
      <c r="B36560" s="4" t="s">
        <v>45985</v>
      </c>
      <c r="C36560" s="5" t="str">
        <f>IFERROR(__xludf.DUMMYFUNCTION("GOOGLETRANSLATE(B36560,""en"",""fr"")"),"L'homme sur le camion saute sur le trampoline.")</f>
        <v>L'homme sur le camion saute sur le trampoline.</v>
      </c>
    </row>
    <row r="36561">
      <c r="A36561" s="4" t="s">
        <v>45986</v>
      </c>
      <c r="B36561" s="4" t="s">
        <v>45987</v>
      </c>
      <c r="C36561" s="5" t="str">
        <f>IFERROR(__xludf.DUMMYFUNCTION("GOOGLETRANSLATE(B36561,""en"",""fr"")"),"Le pied d'une personne est montré, puis il se remonte lentement vers son visage.")</f>
        <v>Le pied d'une personne est montré, puis il se remonte lentement vers son visage.</v>
      </c>
    </row>
    <row r="36562">
      <c r="A36562" s="4" t="s">
        <v>45986</v>
      </c>
      <c r="B36562" s="4" t="s">
        <v>45988</v>
      </c>
      <c r="C36562" s="5" t="str">
        <f>IFERROR(__xludf.DUMMYFUNCTION("GOOGLETRANSLATE(B36562,""en"",""fr"")"),"La caméra se déroule et montre une voiture en argent.")</f>
        <v>La caméra se déroule et montre une voiture en argent.</v>
      </c>
    </row>
    <row r="36563">
      <c r="A36563" s="4" t="s">
        <v>45986</v>
      </c>
      <c r="B36563" s="4" t="s">
        <v>45989</v>
      </c>
      <c r="C36563" s="5" t="str">
        <f>IFERROR(__xludf.DUMMYFUNCTION("GOOGLETRANSLATE(B36563,""en"",""fr"")"),"La personne tient un bâton entre leurs mains.")</f>
        <v>La personne tient un bâton entre leurs mains.</v>
      </c>
    </row>
    <row r="36564">
      <c r="A36564" s="4" t="s">
        <v>45986</v>
      </c>
      <c r="B36564" s="4" t="s">
        <v>45990</v>
      </c>
      <c r="C36564" s="5" t="str">
        <f>IFERROR(__xludf.DUMMYFUNCTION("GOOGLETRANSLATE(B36564,""en"",""fr"")"),"La personne tient un tuyau et lave la voiture.")</f>
        <v>La personne tient un tuyau et lave la voiture.</v>
      </c>
    </row>
    <row r="36565">
      <c r="A36565" s="4" t="s">
        <v>45986</v>
      </c>
      <c r="B36565" s="4" t="s">
        <v>45991</v>
      </c>
      <c r="C36565" s="5" t="str">
        <f>IFERROR(__xludf.DUMMYFUNCTION("GOOGLETRANSLATE(B36565,""en"",""fr"")"),"Ils plongent le bâton dans un seau d'eau savonneuse et continuent de laver la voiture.")</f>
        <v>Ils plongent le bâton dans un seau d'eau savonneuse et continuent de laver la voiture.</v>
      </c>
    </row>
    <row r="36566">
      <c r="A36566" s="4" t="s">
        <v>45986</v>
      </c>
      <c r="B36566" s="4" t="s">
        <v>45992</v>
      </c>
      <c r="C36566" s="5" t="str">
        <f>IFERROR(__xludf.DUMMYFUNCTION("GOOGLETRANSLATE(B36566,""en"",""fr"")"),"Ils tiennent le tuyau et versent l'eau sur leur visage.")</f>
        <v>Ils tiennent le tuyau et versent l'eau sur leur visage.</v>
      </c>
    </row>
    <row r="36567">
      <c r="A36567" s="4" t="s">
        <v>45986</v>
      </c>
      <c r="B36567" s="4" t="s">
        <v>45993</v>
      </c>
      <c r="C36567" s="5" t="str">
        <f>IFERROR(__xludf.DUMMYFUNCTION("GOOGLETRANSLATE(B36567,""en"",""fr"")"),"Ils enlèvent leurs lunettes de soleil à la fin et essuient leur visage.")</f>
        <v>Ils enlèvent leurs lunettes de soleil à la fin et essuient leur visage.</v>
      </c>
    </row>
    <row r="36568">
      <c r="A36568" s="4" t="s">
        <v>45994</v>
      </c>
      <c r="B36568" s="4" t="s">
        <v>45995</v>
      </c>
      <c r="C36568" s="5" t="str">
        <f>IFERROR(__xludf.DUMMYFUNCTION("GOOGLETRANSLATE(B36568,""en"",""fr"")"),"Deux personnes se tiennent devant une performance de rue.")</f>
        <v>Deux personnes se tiennent devant une performance de rue.</v>
      </c>
    </row>
    <row r="36569">
      <c r="A36569" s="4" t="s">
        <v>45994</v>
      </c>
      <c r="B36569" s="4" t="s">
        <v>45996</v>
      </c>
      <c r="C36569" s="5" t="str">
        <f>IFERROR(__xludf.DUMMYFUNCTION("GOOGLETRANSLATE(B36569,""en"",""fr"")"),"Nous voyons un groupe de personnes comme deux utilisent une corde de saut.")</f>
        <v>Nous voyons un groupe de personnes comme deux utilisent une corde de saut.</v>
      </c>
    </row>
    <row r="36570">
      <c r="A36570" s="4" t="s">
        <v>45994</v>
      </c>
      <c r="B36570" s="4" t="s">
        <v>45997</v>
      </c>
      <c r="C36570" s="5" t="str">
        <f>IFERROR(__xludf.DUMMYFUNCTION("GOOGLETRANSLATE(B36570,""en"",""fr"")"),"Plusieurs autres sautent, sautant par-dessus la corde, se retournant et faisant des cascades.")</f>
        <v>Plusieurs autres sautent, sautant par-dessus la corde, se retournant et faisant des cascades.</v>
      </c>
    </row>
    <row r="36571">
      <c r="A36571" s="4" t="s">
        <v>45998</v>
      </c>
      <c r="B36571" s="4" t="s">
        <v>45999</v>
      </c>
      <c r="C36571" s="5" t="str">
        <f>IFERROR(__xludf.DUMMYFUNCTION("GOOGLETRANSLATE(B36571,""en"",""fr"")"),"Un homme s'éloigne d'un bureau.")</f>
        <v>Un homme s'éloigne d'un bureau.</v>
      </c>
    </row>
    <row r="36572">
      <c r="A36572" s="4" t="s">
        <v>45998</v>
      </c>
      <c r="B36572" s="4" t="s">
        <v>46000</v>
      </c>
      <c r="C36572" s="5" t="str">
        <f>IFERROR(__xludf.DUMMYFUNCTION("GOOGLETRANSLATE(B36572,""en"",""fr"")"),"L'homme applique son gant à sa main gauche.")</f>
        <v>L'homme applique son gant à sa main gauche.</v>
      </c>
    </row>
    <row r="36573">
      <c r="A36573" s="4" t="s">
        <v>45998</v>
      </c>
      <c r="B36573" s="4" t="s">
        <v>46001</v>
      </c>
      <c r="C36573" s="5" t="str">
        <f>IFERROR(__xludf.DUMMYFUNCTION("GOOGLETRANSLATE(B36573,""en"",""fr"")"),"L'homme puise un métal avec un fer à souder.")</f>
        <v>L'homme puise un métal avec un fer à souder.</v>
      </c>
    </row>
    <row r="36574">
      <c r="A36574" s="4" t="s">
        <v>45998</v>
      </c>
      <c r="B36574" s="4" t="s">
        <v>46002</v>
      </c>
      <c r="C36574" s="5" t="str">
        <f>IFERROR(__xludf.DUMMYFUNCTION("GOOGLETRANSLATE(B36574,""en"",""fr"")"),"Les hommes soldats sur le morceau de métal.")</f>
        <v>Les hommes soldats sur le morceau de métal.</v>
      </c>
    </row>
    <row r="36575">
      <c r="A36575" s="4" t="s">
        <v>45998</v>
      </c>
      <c r="B36575" s="4" t="s">
        <v>46003</v>
      </c>
      <c r="C36575" s="5" t="str">
        <f>IFERROR(__xludf.DUMMYFUNCTION("GOOGLETRANSLATE(B36575,""en"",""fr"")"),"L'homme cesse de souder le métal.")</f>
        <v>L'homme cesse de souder le métal.</v>
      </c>
    </row>
    <row r="36576">
      <c r="A36576" s="4" t="s">
        <v>45998</v>
      </c>
      <c r="B36576" s="4" t="s">
        <v>46004</v>
      </c>
      <c r="C36576" s="5" t="str">
        <f>IFERROR(__xludf.DUMMYFUNCTION("GOOGLETRANSLATE(B36576,""en"",""fr"")"),"L'homme enlève son gant et souffle de la fumée loin de la pièce en métal.")</f>
        <v>L'homme enlève son gant et souffle de la fumée loin de la pièce en métal.</v>
      </c>
    </row>
    <row r="36577">
      <c r="A36577" s="4" t="s">
        <v>46005</v>
      </c>
      <c r="B36577" s="6" t="s">
        <v>46006</v>
      </c>
      <c r="C36577" s="5" t="str">
        <f>IFERROR(__xludf.DUMMYFUNCTION("GOOGLETRANSLATE(B36577,""en"",""fr"")"),"Un homme portant un pantalon noir, une chemise à carreaux et une casquette de baseball coupe une haie vert foncé avec une coupe-haie électrique.")</f>
        <v>Un homme portant un pantalon noir, une chemise à carreaux et une casquette de baseball coupe une haie vert foncé avec une coupe-haie électrique.</v>
      </c>
    </row>
    <row r="36578">
      <c r="A36578" s="4" t="s">
        <v>46005</v>
      </c>
      <c r="B36578" s="4" t="s">
        <v>46007</v>
      </c>
      <c r="C36578" s="5" t="str">
        <f>IFERROR(__xludf.DUMMYFUNCTION("GOOGLETRANSLATE(B36578,""en"",""fr"")"),"L'homme coupe une haie verte claire plus petite avec la coupe-coupe.")</f>
        <v>L'homme coupe une haie verte claire plus petite avec la coupe-coupe.</v>
      </c>
    </row>
    <row r="36579">
      <c r="A36579" s="4" t="s">
        <v>46005</v>
      </c>
      <c r="B36579" s="4" t="s">
        <v>46008</v>
      </c>
      <c r="C36579" s="5" t="str">
        <f>IFERROR(__xludf.DUMMYFUNCTION("GOOGLETRANSLATE(B36579,""en"",""fr"")"),"L'homme coupe une autre haie avec une coupe-coupe.")</f>
        <v>L'homme coupe une autre haie avec une coupe-coupe.</v>
      </c>
    </row>
    <row r="36580">
      <c r="A36580" s="4" t="s">
        <v>46005</v>
      </c>
      <c r="B36580" s="4" t="s">
        <v>46009</v>
      </c>
      <c r="C36580" s="5" t="str">
        <f>IFERROR(__xludf.DUMMYFUNCTION("GOOGLETRANSLATE(B36580,""en"",""fr"")"),"La scène est accélérée et contient des bruits ambiants.")</f>
        <v>La scène est accélérée et contient des bruits ambiants.</v>
      </c>
    </row>
    <row r="36581">
      <c r="A36581" s="4" t="s">
        <v>46010</v>
      </c>
      <c r="B36581" s="4" t="s">
        <v>46011</v>
      </c>
      <c r="C36581" s="5" t="str">
        <f>IFERROR(__xludf.DUMMYFUNCTION("GOOGLETRANSLATE(B36581,""en"",""fr"")"),"Un homme est vu parler à la caméra à l'intérieur ainsi qu'à l'extérieur.")</f>
        <v>Un homme est vu parler à la caméra à l'intérieur ainsi qu'à l'extérieur.</v>
      </c>
    </row>
    <row r="36582">
      <c r="A36582" s="4" t="s">
        <v>46010</v>
      </c>
      <c r="B36582" s="4" t="s">
        <v>46012</v>
      </c>
      <c r="C36582" s="5" t="str">
        <f>IFERROR(__xludf.DUMMYFUNCTION("GOOGLETRANSLATE(B36582,""en"",""fr"")"),"Il pointe plusieurs objets tout en menant à la saleté montrée ainsi qu'à du plâtre.")</f>
        <v>Il pointe plusieurs objets tout en menant à la saleté montrée ainsi qu'à du plâtre.</v>
      </c>
    </row>
    <row r="36583">
      <c r="A36583" s="4" t="s">
        <v>46010</v>
      </c>
      <c r="B36583" s="4" t="s">
        <v>46013</v>
      </c>
      <c r="C36583" s="5" t="str">
        <f>IFERROR(__xludf.DUMMYFUNCTION("GOOGLETRANSLATE(B36583,""en"",""fr"")"),"On voit des gens mettre du plâtre partout sur les murs pendant que l'homme continue de parler.")</f>
        <v>On voit des gens mettre du plâtre partout sur les murs pendant que l'homme continue de parler.</v>
      </c>
    </row>
    <row r="36584">
      <c r="A36584" s="4" t="s">
        <v>46014</v>
      </c>
      <c r="B36584" s="6" t="s">
        <v>46015</v>
      </c>
      <c r="C36584" s="5" t="str">
        <f>IFERROR(__xludf.DUMMYFUNCTION("GOOGLETRANSLATE(B36584,""en"",""fr"")"),"Il y a un entraîneur de fitness représentant le fitness Fitcast dans un gymnase démontrant comment faire une grande presse à genoux à genoux.")</f>
        <v>Il y a un entraîneur de fitness représentant le fitness Fitcast dans un gymnase démontrant comment faire une grande presse à genoux à genoux.</v>
      </c>
    </row>
    <row r="36585">
      <c r="A36585" s="4" t="s">
        <v>46014</v>
      </c>
      <c r="B36585" s="4" t="s">
        <v>46016</v>
      </c>
      <c r="C36585" s="5" t="str">
        <f>IFERROR(__xludf.DUMMYFUNCTION("GOOGLETRANSLATE(B36585,""en"",""fr"")"),"Il s'agenouille sur le sol dans une chemise noire et un pantalon de survêtement gris.")</f>
        <v>Il s'agenouille sur le sol dans une chemise noire et un pantalon de survêtement gris.</v>
      </c>
    </row>
    <row r="36586">
      <c r="A36586" s="4" t="s">
        <v>46014</v>
      </c>
      <c r="B36586" s="6" t="s">
        <v>46017</v>
      </c>
      <c r="C36586" s="5" t="str">
        <f>IFERROR(__xludf.DUMMYFUNCTION("GOOGLETRANSLATE(B36586,""en"",""fr"")"),"Il tire les poignées de la presse de Palloff avec les deux mains vers sa poitrine tout en gardant le dos et les épaules droites.")</f>
        <v>Il tire les poignées de la presse de Palloff avec les deux mains vers sa poitrine tout en gardant le dos et les épaules droites.</v>
      </c>
    </row>
    <row r="36587">
      <c r="A36587" s="4" t="s">
        <v>46018</v>
      </c>
      <c r="B36587" s="4" t="s">
        <v>46019</v>
      </c>
      <c r="C36587" s="5" t="str">
        <f>IFERROR(__xludf.DUMMYFUNCTION("GOOGLETRANSLATE(B36587,""en"",""fr"")"),"Un homme dans un garage se dresse sur une planche de bois.")</f>
        <v>Un homme dans un garage se dresse sur une planche de bois.</v>
      </c>
    </row>
    <row r="36588">
      <c r="A36588" s="4" t="s">
        <v>46018</v>
      </c>
      <c r="B36588" s="4" t="s">
        <v>46020</v>
      </c>
      <c r="C36588" s="5" t="str">
        <f>IFERROR(__xludf.DUMMYFUNCTION("GOOGLETRANSLATE(B36588,""en"",""fr"")"),"L'homme sort de la pâte blanche d'une boîte, ajoute de la coloration et la mélange.")</f>
        <v>L'homme sort de la pâte blanche d'une boîte, ajoute de la coloration et la mélange.</v>
      </c>
    </row>
    <row r="36589">
      <c r="A36589" s="4" t="s">
        <v>46018</v>
      </c>
      <c r="B36589" s="4" t="s">
        <v>46021</v>
      </c>
      <c r="C36589" s="5" t="str">
        <f>IFERROR(__xludf.DUMMYFUNCTION("GOOGLETRANSLATE(B36589,""en"",""fr"")"),"L'homme applique la pâte de couleur marron aux trous dans le bois.")</f>
        <v>L'homme applique la pâte de couleur marron aux trous dans le bois.</v>
      </c>
    </row>
    <row r="36590">
      <c r="A36590" s="4" t="s">
        <v>46022</v>
      </c>
      <c r="B36590" s="4" t="s">
        <v>46023</v>
      </c>
      <c r="C36590" s="5" t="str">
        <f>IFERROR(__xludf.DUMMYFUNCTION("GOOGLETRANSLATE(B36590,""en"",""fr"")"),"Un plan d'épingles est montré assis sur une voie suivie d'un homme entrant dans le cadre.")</f>
        <v>Un plan d'épingles est montré assis sur une voie suivie d'un homme entrant dans le cadre.</v>
      </c>
    </row>
    <row r="36591">
      <c r="A36591" s="4" t="s">
        <v>46022</v>
      </c>
      <c r="B36591" s="4" t="s">
        <v>46024</v>
      </c>
      <c r="C36591" s="5" t="str">
        <f>IFERROR(__xludf.DUMMYFUNCTION("GOOGLETRANSLATE(B36591,""en"",""fr"")"),"L'homme tourne une balle pour faire le tour des épingles pour frapper plus à la fin.")</f>
        <v>L'homme tourne une balle pour faire le tour des épingles pour frapper plus à la fin.</v>
      </c>
    </row>
    <row r="36592">
      <c r="A36592" s="4" t="s">
        <v>46022</v>
      </c>
      <c r="B36592" s="4" t="s">
        <v>46025</v>
      </c>
      <c r="C36592" s="5" t="str">
        <f>IFERROR(__xludf.DUMMYFUNCTION("GOOGLETRANSLATE(B36592,""en"",""fr"")"),"La personne fait tourner une autre balle qui est suivie peu de temps après.")</f>
        <v>La personne fait tourner une autre balle qui est suivie peu de temps après.</v>
      </c>
    </row>
    <row r="36593">
      <c r="A36593" s="4" t="s">
        <v>46026</v>
      </c>
      <c r="B36593" s="4" t="s">
        <v>46027</v>
      </c>
      <c r="C36593" s="5" t="str">
        <f>IFERROR(__xludf.DUMMYFUNCTION("GOOGLETRANSLATE(B36593,""en"",""fr"")"),"Une femme portant un tablier parle et ramasse un seau avec des fournitures.")</f>
        <v>Une femme portant un tablier parle et ramasse un seau avec des fournitures.</v>
      </c>
    </row>
    <row r="36594">
      <c r="A36594" s="4" t="s">
        <v>46026</v>
      </c>
      <c r="B36594" s="4" t="s">
        <v>46028</v>
      </c>
      <c r="C36594" s="5" t="str">
        <f>IFERROR(__xludf.DUMMYFUNCTION("GOOGLETRANSLATE(B36594,""en"",""fr"")"),"Elle attrape un pinceau et nettoie une fenêtre.")</f>
        <v>Elle attrape un pinceau et nettoie une fenêtre.</v>
      </c>
    </row>
    <row r="36595">
      <c r="A36595" s="4" t="s">
        <v>46026</v>
      </c>
      <c r="B36595" s="4" t="s">
        <v>46029</v>
      </c>
      <c r="C36595" s="5" t="str">
        <f>IFERROR(__xludf.DUMMYFUNCTION("GOOGLETRANSLATE(B36595,""en"",""fr"")"),"Elle attrape une raclette et retire l'excès d'eau de la fenêtre.")</f>
        <v>Elle attrape une raclette et retire l'excès d'eau de la fenêtre.</v>
      </c>
    </row>
    <row r="36596">
      <c r="A36596" s="4" t="s">
        <v>46030</v>
      </c>
      <c r="B36596" s="4" t="s">
        <v>9910</v>
      </c>
      <c r="C36596" s="5" t="str">
        <f>IFERROR(__xludf.DUMMYFUNCTION("GOOGLETRANSLATE(B36596,""en"",""fr"")"),"Un homme saute sur un faisceau d'équilibre.")</f>
        <v>Un homme saute sur un faisceau d'équilibre.</v>
      </c>
    </row>
    <row r="36597">
      <c r="A36597" s="4" t="s">
        <v>46030</v>
      </c>
      <c r="B36597" s="4" t="s">
        <v>46031</v>
      </c>
      <c r="C36597" s="5" t="str">
        <f>IFERROR(__xludf.DUMMYFUNCTION("GOOGLETRANSLATE(B36597,""en"",""fr"")"),"Il fait une routine de gymnastique sur la poutre.")</f>
        <v>Il fait une routine de gymnastique sur la poutre.</v>
      </c>
    </row>
    <row r="36598">
      <c r="A36598" s="4" t="s">
        <v>46030</v>
      </c>
      <c r="B36598" s="4" t="s">
        <v>46032</v>
      </c>
      <c r="C36598" s="5" t="str">
        <f>IFERROR(__xludf.DUMMYFUNCTION("GOOGLETRANSLATE(B36598,""en"",""fr"")"),"Il fait une main avant de sauter sur un tapis.")</f>
        <v>Il fait une main avant de sauter sur un tapis.</v>
      </c>
    </row>
    <row r="36599">
      <c r="A36599" s="4" t="s">
        <v>46033</v>
      </c>
      <c r="B36599" s="4" t="s">
        <v>46034</v>
      </c>
      <c r="C36599" s="5" t="str">
        <f>IFERROR(__xludf.DUMMYFUNCTION("GOOGLETRANSLATE(B36599,""en"",""fr"")"),"Un homme souffle des feuilles mortes d'une cour.")</f>
        <v>Un homme souffle des feuilles mortes d'une cour.</v>
      </c>
    </row>
    <row r="36600">
      <c r="A36600" s="4" t="s">
        <v>46033</v>
      </c>
      <c r="B36600" s="4" t="s">
        <v>46035</v>
      </c>
      <c r="C36600" s="5" t="str">
        <f>IFERROR(__xludf.DUMMYFUNCTION("GOOGLETRANSLATE(B36600,""en"",""fr"")"),"Une personne fait un tas de feuilles mortes.")</f>
        <v>Une personne fait un tas de feuilles mortes.</v>
      </c>
    </row>
    <row r="36601">
      <c r="A36601" s="4" t="s">
        <v>46036</v>
      </c>
      <c r="B36601" s="4" t="s">
        <v>46037</v>
      </c>
      <c r="C36601" s="5" t="str">
        <f>IFERROR(__xludf.DUMMYFUNCTION("GOOGLETRANSLATE(B36601,""en"",""fr"")"),"Un homme tient un énorme cerf-volant dans un grand champ.")</f>
        <v>Un homme tient un énorme cerf-volant dans un grand champ.</v>
      </c>
    </row>
    <row r="36602">
      <c r="A36602" s="4" t="s">
        <v>46036</v>
      </c>
      <c r="B36602" s="4" t="s">
        <v>46038</v>
      </c>
      <c r="C36602" s="5" t="str">
        <f>IFERROR(__xludf.DUMMYFUNCTION("GOOGLETRANSLATE(B36602,""en"",""fr"")"),"Un chien poursuit l'homme alors qu'il court et saute.")</f>
        <v>Un chien poursuit l'homme alors qu'il court et saute.</v>
      </c>
    </row>
    <row r="36603">
      <c r="A36603" s="4" t="s">
        <v>46036</v>
      </c>
      <c r="B36603" s="4" t="s">
        <v>46039</v>
      </c>
      <c r="C36603" s="5" t="str">
        <f>IFERROR(__xludf.DUMMYFUNCTION("GOOGLETRANSLATE(B36603,""en"",""fr"")"),"L'homme porte le cerf-volant au sol.")</f>
        <v>L'homme porte le cerf-volant au sol.</v>
      </c>
    </row>
    <row r="36604">
      <c r="A36604" s="4" t="s">
        <v>46040</v>
      </c>
      <c r="B36604" s="4" t="s">
        <v>46041</v>
      </c>
      <c r="C36604" s="5" t="str">
        <f>IFERROR(__xludf.DUMMYFUNCTION("GOOGLETRANSLATE(B36604,""en"",""fr"")"),"Un homme verse quelque chose sur un grand feu de camp.")</f>
        <v>Un homme verse quelque chose sur un grand feu de camp.</v>
      </c>
    </row>
    <row r="36605">
      <c r="A36605" s="4" t="s">
        <v>46040</v>
      </c>
      <c r="B36605" s="4" t="s">
        <v>46042</v>
      </c>
      <c r="C36605" s="5" t="str">
        <f>IFERROR(__xludf.DUMMYFUNCTION("GOOGLETRANSLATE(B36605,""en"",""fr"")"),"Un chien se promène dans le camping.")</f>
        <v>Un chien se promène dans le camping.</v>
      </c>
    </row>
    <row r="36606">
      <c r="A36606" s="4" t="s">
        <v>46040</v>
      </c>
      <c r="B36606" s="4" t="s">
        <v>46043</v>
      </c>
      <c r="C36606" s="5" t="str">
        <f>IFERROR(__xludf.DUMMYFUNCTION("GOOGLETRANSLATE(B36606,""en"",""fr"")"),"Une personne dans une chemise jaune tenant une couverture se promène dans le feu.")</f>
        <v>Une personne dans une chemise jaune tenant une couverture se promène dans le feu.</v>
      </c>
    </row>
    <row r="36607">
      <c r="A36607" s="4" t="s">
        <v>46044</v>
      </c>
      <c r="B36607" s="4" t="s">
        <v>46045</v>
      </c>
      <c r="C36607" s="5" t="str">
        <f>IFERROR(__xludf.DUMMYFUNCTION("GOOGLETRANSLATE(B36607,""en"",""fr"")"),"Une fille dans une tenue scintillante danse sur un plancher de bois franc.")</f>
        <v>Une fille dans une tenue scintillante danse sur un plancher de bois franc.</v>
      </c>
    </row>
    <row r="36608">
      <c r="A36608" s="4" t="s">
        <v>46044</v>
      </c>
      <c r="B36608" s="4" t="s">
        <v>46046</v>
      </c>
      <c r="C36608" s="5" t="str">
        <f>IFERROR(__xludf.DUMMYFUNCTION("GOOGLETRANSLATE(B36608,""en"",""fr"")"),"Elle fait ressortir des matraques et les tourbillonne en dansant.")</f>
        <v>Elle fait ressortir des matraques et les tourbillonne en dansant.</v>
      </c>
    </row>
    <row r="36609">
      <c r="A36609" s="4" t="s">
        <v>46044</v>
      </c>
      <c r="B36609" s="4" t="s">
        <v>46047</v>
      </c>
      <c r="C36609" s="5" t="str">
        <f>IFERROR(__xludf.DUMMYFUNCTION("GOOGLETRANSLATE(B36609,""en"",""fr"")"),"Elle est assise par terre après avoir terminé sa performance.")</f>
        <v>Elle est assise par terre après avoir terminé sa performance.</v>
      </c>
    </row>
    <row r="36610">
      <c r="A36610" s="4" t="s">
        <v>46048</v>
      </c>
      <c r="B36610" s="4" t="s">
        <v>6958</v>
      </c>
      <c r="C36610" s="5" t="str">
        <f>IFERROR(__xludf.DUMMYFUNCTION("GOOGLETRANSLATE(B36610,""en"",""fr"")"),"Nous voyons un écran d'ouverture blanc.")</f>
        <v>Nous voyons un écran d'ouverture blanc.</v>
      </c>
    </row>
    <row r="36611">
      <c r="A36611" s="4" t="s">
        <v>46048</v>
      </c>
      <c r="B36611" s="4" t="s">
        <v>46049</v>
      </c>
      <c r="C36611" s="5" t="str">
        <f>IFERROR(__xludf.DUMMYFUNCTION("GOOGLETRANSLATE(B36611,""en"",""fr"")"),"Nous voyons un homme tremper un basket-ball portant des échasses de saut.")</f>
        <v>Nous voyons un homme tremper un basket-ball portant des échasses de saut.</v>
      </c>
    </row>
    <row r="36612">
      <c r="A36612" s="4" t="s">
        <v>46048</v>
      </c>
      <c r="B36612" s="4" t="s">
        <v>46050</v>
      </c>
      <c r="C36612" s="5" t="str">
        <f>IFERROR(__xludf.DUMMYFUNCTION("GOOGLETRANSLATE(B36612,""en"",""fr"")"),"Nous voyons un autre homme rebondir sur le ballon et le saut sur des dunks de l'homme.")</f>
        <v>Nous voyons un autre homme rebondir sur le ballon et le saut sur des dunks de l'homme.</v>
      </c>
    </row>
    <row r="36613">
      <c r="A36613" s="4" t="s">
        <v>46048</v>
      </c>
      <c r="B36613" s="4" t="s">
        <v>46051</v>
      </c>
      <c r="C36613" s="5" t="str">
        <f>IFERROR(__xludf.DUMMYFUNCTION("GOOGLETRANSLATE(B36613,""en"",""fr"")"),"Nous voyons ensuite l'écran d'ouverture pour la fermeture.")</f>
        <v>Nous voyons ensuite l'écran d'ouverture pour la fermeture.</v>
      </c>
    </row>
    <row r="36614">
      <c r="A36614" s="4" t="s">
        <v>46052</v>
      </c>
      <c r="B36614" s="4" t="s">
        <v>46053</v>
      </c>
      <c r="C36614" s="5" t="str">
        <f>IFERROR(__xludf.DUMMYFUNCTION("GOOGLETRANSLATE(B36614,""en"",""fr"")"),"Un groupe de pom-pom girls coule sur une scène devant un public enthousiaste.")</f>
        <v>Un groupe de pom-pom girls coule sur une scène devant un public enthousiaste.</v>
      </c>
    </row>
    <row r="36615">
      <c r="A36615" s="4" t="s">
        <v>46052</v>
      </c>
      <c r="B36615" s="4" t="s">
        <v>46054</v>
      </c>
      <c r="C36615" s="5" t="str">
        <f>IFERROR(__xludf.DUMMYFUNCTION("GOOGLETRANSLATE(B36615,""en"",""fr"")"),"Ils entrent en formation, puis commencent à danser et à se retourner alors que les pom-pom girls masculines les rejoignent.")</f>
        <v>Ils entrent en formation, puis commencent à danser et à se retourner alors que les pom-pom girls masculines les rejoignent.</v>
      </c>
    </row>
    <row r="36616">
      <c r="A36616" s="4" t="s">
        <v>46052</v>
      </c>
      <c r="B36616" s="4" t="s">
        <v>46055</v>
      </c>
      <c r="C36616" s="5" t="str">
        <f>IFERROR(__xludf.DUMMYFUNCTION("GOOGLETRANSLATE(B36616,""en"",""fr"")"),"Ils continuent tous de danser et de se retourner, faisant des ressorts à main.")</f>
        <v>Ils continuent tous de danser et de se retourner, faisant des ressorts à main.</v>
      </c>
    </row>
    <row r="36617">
      <c r="A36617" s="4" t="s">
        <v>46052</v>
      </c>
      <c r="B36617" s="4" t="s">
        <v>46056</v>
      </c>
      <c r="C36617" s="5" t="str">
        <f>IFERROR(__xludf.DUMMYFUNCTION("GOOGLETRANSLATE(B36617,""en"",""fr"")"),"Quand ils ont fini, ils sautent de haut en bas joyeusement et quittent la scène, épuisés.")</f>
        <v>Quand ils ont fini, ils sautent de haut en bas joyeusement et quittent la scène, épuisés.</v>
      </c>
    </row>
    <row r="36618">
      <c r="A36618" s="4" t="s">
        <v>46057</v>
      </c>
      <c r="B36618" s="4" t="s">
        <v>46058</v>
      </c>
      <c r="C36618" s="5" t="str">
        <f>IFERROR(__xludf.DUMMYFUNCTION("GOOGLETRANSLATE(B36618,""en"",""fr"")"),"Un homme soulève une jeune fille pour atteindre l'évier dans une salle de bain.")</f>
        <v>Un homme soulève une jeune fille pour atteindre l'évier dans une salle de bain.</v>
      </c>
    </row>
    <row r="36619">
      <c r="A36619" s="4" t="s">
        <v>46057</v>
      </c>
      <c r="B36619" s="4" t="s">
        <v>46059</v>
      </c>
      <c r="C36619" s="5" t="str">
        <f>IFERROR(__xludf.DUMMYFUNCTION("GOOGLETRANSLATE(B36619,""en"",""fr"")"),"L'homme et la fille atteignent leur brosse à dents et ajoutent du dentifrice en même temps.")</f>
        <v>L'homme et la fille atteignent leur brosse à dents et ajoutent du dentifrice en même temps.</v>
      </c>
    </row>
    <row r="36620">
      <c r="A36620" s="4" t="s">
        <v>46057</v>
      </c>
      <c r="B36620" s="4" t="s">
        <v>46060</v>
      </c>
      <c r="C36620" s="5" t="str">
        <f>IFERROR(__xludf.DUMMYFUNCTION("GOOGLETRANSLATE(B36620,""en"",""fr"")"),"Ils regardent dans le miroir ensemble alors que l'homme montre à la fille comment se brosser correctement les dents.")</f>
        <v>Ils regardent dans le miroir ensemble alors que l'homme montre à la fille comment se brosser correctement les dents.</v>
      </c>
    </row>
    <row r="36621">
      <c r="A36621" s="4" t="s">
        <v>46057</v>
      </c>
      <c r="B36621" s="4" t="s">
        <v>46061</v>
      </c>
      <c r="C36621" s="5" t="str">
        <f>IFERROR(__xludf.DUMMYFUNCTION("GOOGLETRANSLATE(B36621,""en"",""fr"")"),"Ils rincent et sourient à leurs dents propres dans le miroir.")</f>
        <v>Ils rincent et sourient à leurs dents propres dans le miroir.</v>
      </c>
    </row>
    <row r="36622">
      <c r="A36622" s="4" t="s">
        <v>46057</v>
      </c>
      <c r="B36622" s="4" t="s">
        <v>46062</v>
      </c>
      <c r="C36622" s="5" t="str">
        <f>IFERROR(__xludf.DUMMYFUNCTION("GOOGLETRANSLATE(B36622,""en"",""fr"")"),"L'homme enseigne alors à la fille à la soie dentaire.")</f>
        <v>L'homme enseigne alors à la fille à la soie dentaire.</v>
      </c>
    </row>
    <row r="36623">
      <c r="A36623" s="4" t="s">
        <v>46057</v>
      </c>
      <c r="B36623" s="4" t="s">
        <v>46063</v>
      </c>
      <c r="C36623" s="5" t="str">
        <f>IFERROR(__xludf.DUMMYFUNCTION("GOOGLETRANSLATE(B36623,""en"",""fr"")"),"Ils rangent leurs brosses à dents et l'homme aide la jeune fille au sol.")</f>
        <v>Ils rangent leurs brosses à dents et l'homme aide la jeune fille au sol.</v>
      </c>
    </row>
    <row r="36624">
      <c r="A36624" s="4" t="s">
        <v>46057</v>
      </c>
      <c r="B36624" s="4" t="s">
        <v>46064</v>
      </c>
      <c r="C36624" s="5" t="str">
        <f>IFERROR(__xludf.DUMMYFUNCTION("GOOGLETRANSLATE(B36624,""en"",""fr"")"),"Ils s'éloignent ensemble et éteignent la lumière de la salle de bain.")</f>
        <v>Ils s'éloignent ensemble et éteignent la lumière de la salle de bain.</v>
      </c>
    </row>
    <row r="36625">
      <c r="A36625" s="4" t="s">
        <v>46065</v>
      </c>
      <c r="B36625" s="4" t="s">
        <v>46066</v>
      </c>
      <c r="C36625" s="5" t="str">
        <f>IFERROR(__xludf.DUMMYFUNCTION("GOOGLETRANSLATE(B36625,""en"",""fr"")"),"Un homme en chemise noire sourit à la caméra.")</f>
        <v>Un homme en chemise noire sourit à la caméra.</v>
      </c>
    </row>
    <row r="36626">
      <c r="A36626" s="4" t="s">
        <v>46065</v>
      </c>
      <c r="B36626" s="4" t="s">
        <v>46067</v>
      </c>
      <c r="C36626" s="5" t="str">
        <f>IFERROR(__xludf.DUMMYFUNCTION("GOOGLETRANSLATE(B36626,""en"",""fr"")"),"Il sort un harmonica et commence à le jouer.")</f>
        <v>Il sort un harmonica et commence à le jouer.</v>
      </c>
    </row>
    <row r="36627">
      <c r="A36627" s="4" t="s">
        <v>46065</v>
      </c>
      <c r="B36627" s="4" t="s">
        <v>46068</v>
      </c>
      <c r="C36627" s="5" t="str">
        <f>IFERROR(__xludf.DUMMYFUNCTION("GOOGLETRANSLATE(B36627,""en"",""fr"")"),"Il utilise sa main pour accentuer les notes.")</f>
        <v>Il utilise sa main pour accentuer les notes.</v>
      </c>
    </row>
    <row r="36628">
      <c r="A36628" s="4" t="s">
        <v>46065</v>
      </c>
      <c r="B36628" s="4" t="s">
        <v>46069</v>
      </c>
      <c r="C36628" s="5" t="str">
        <f>IFERROR(__xludf.DUMMYFUNCTION("GOOGLETRANSLATE(B36628,""en"",""fr"")"),"Il termine la chanson à la fin.")</f>
        <v>Il termine la chanson à la fin.</v>
      </c>
    </row>
    <row r="36629">
      <c r="A36629" s="4" t="s">
        <v>46070</v>
      </c>
      <c r="B36629" s="4" t="s">
        <v>46071</v>
      </c>
      <c r="C36629" s="5" t="str">
        <f>IFERROR(__xludf.DUMMYFUNCTION("GOOGLETRANSLATE(B36629,""en"",""fr"")"),"Une arène de voiture axée sur les voitures est montrée suivie par des gens qui conduisent et se heurtent les uns aux autres.")</f>
        <v>Une arène de voiture axée sur les voitures est montrée suivie par des gens qui conduisent et se heurtent les uns aux autres.</v>
      </c>
    </row>
    <row r="36630">
      <c r="A36630" s="4" t="s">
        <v>46070</v>
      </c>
      <c r="B36630" s="6" t="s">
        <v>46072</v>
      </c>
      <c r="C36630" s="5" t="str">
        <f>IFERROR(__xludf.DUMMYFUNCTION("GOOGLETRANSLATE(B36630,""en"",""fr"")"),"Plusieurs plans sont montrés de personnes s'écrasant les unes aux autres et un homme qui parle à la caméra à la fin.")</f>
        <v>Plusieurs plans sont montrés de personnes s'écrasant les unes aux autres et un homme qui parle à la caméra à la fin.</v>
      </c>
    </row>
    <row r="36631">
      <c r="A36631" s="4" t="s">
        <v>46073</v>
      </c>
      <c r="B36631" s="4" t="s">
        <v>46074</v>
      </c>
      <c r="C36631" s="5" t="str">
        <f>IFERROR(__xludf.DUMMYFUNCTION("GOOGLETRANSLATE(B36631,""en"",""fr"")"),"Une personne monte à l'intérieur d'un bateau sur l'eau.")</f>
        <v>Une personne monte à l'intérieur d'un bateau sur l'eau.</v>
      </c>
    </row>
    <row r="36632">
      <c r="A36632" s="4" t="s">
        <v>46073</v>
      </c>
      <c r="B36632" s="4" t="s">
        <v>46075</v>
      </c>
      <c r="C36632" s="5" t="str">
        <f>IFERROR(__xludf.DUMMYFUNCTION("GOOGLETRANSLATE(B36632,""en"",""fr"")"),"Ils traînent une personne sur des skis nautiques.")</f>
        <v>Ils traînent une personne sur des skis nautiques.</v>
      </c>
    </row>
    <row r="36633">
      <c r="A36633" s="4" t="s">
        <v>46073</v>
      </c>
      <c r="B36633" s="4" t="s">
        <v>46076</v>
      </c>
      <c r="C36633" s="5" t="str">
        <f>IFERROR(__xludf.DUMMYFUNCTION("GOOGLETRANSLATE(B36633,""en"",""fr"")"),"La personne reste debout lorsqu'elle est tirée rapidement dans l'eau.")</f>
        <v>La personne reste debout lorsqu'elle est tirée rapidement dans l'eau.</v>
      </c>
    </row>
    <row r="36634">
      <c r="A36634" s="4" t="s">
        <v>46077</v>
      </c>
      <c r="B36634" s="4" t="s">
        <v>46078</v>
      </c>
      <c r="C36634" s="5" t="str">
        <f>IFERROR(__xludf.DUMMYFUNCTION("GOOGLETRANSLATE(B36634,""en"",""fr"")"),"Une fille balance sur les bars de singe sur une aire de jeux en plein air.")</f>
        <v>Une fille balance sur les bars de singe sur une aire de jeux en plein air.</v>
      </c>
    </row>
    <row r="36635">
      <c r="A36635" s="4" t="s">
        <v>46077</v>
      </c>
      <c r="B36635" s="4" t="s">
        <v>46079</v>
      </c>
      <c r="C36635" s="5" t="str">
        <f>IFERROR(__xludf.DUMMYFUNCTION("GOOGLETRANSLATE(B36635,""en"",""fr"")"),"La fille manque une barre de singe puis perd sa poignée et tombe au sol.")</f>
        <v>La fille manque une barre de singe puis perd sa poignée et tombe au sol.</v>
      </c>
    </row>
    <row r="36636">
      <c r="A36636" s="4" t="s">
        <v>46080</v>
      </c>
      <c r="B36636" s="4" t="s">
        <v>46081</v>
      </c>
      <c r="C36636" s="5" t="str">
        <f>IFERROR(__xludf.DUMMYFUNCTION("GOOGLETRANSLATE(B36636,""en"",""fr"")"),"Les gens sont assis dans des gradins qui regardent les gens.")</f>
        <v>Les gens sont assis dans des gradins qui regardent les gens.</v>
      </c>
    </row>
    <row r="36637">
      <c r="A36637" s="4" t="s">
        <v>46080</v>
      </c>
      <c r="B36637" s="4" t="s">
        <v>46082</v>
      </c>
      <c r="C36637" s="5" t="str">
        <f>IFERROR(__xludf.DUMMYFUNCTION("GOOGLETRANSLATE(B36637,""en"",""fr"")"),"Les gens de la pièce jouent au ballon mural.")</f>
        <v>Les gens de la pièce jouent au ballon mural.</v>
      </c>
    </row>
    <row r="36638">
      <c r="A36638" s="4" t="s">
        <v>46080</v>
      </c>
      <c r="B36638" s="4" t="s">
        <v>46083</v>
      </c>
      <c r="C36638" s="5" t="str">
        <f>IFERROR(__xludf.DUMMYFUNCTION("GOOGLETRANSLATE(B36638,""en"",""fr"")"),"Un homme dans les tribunes met ses mains sur son visage.")</f>
        <v>Un homme dans les tribunes met ses mains sur son visage.</v>
      </c>
    </row>
    <row r="36639">
      <c r="A36639" s="4" t="s">
        <v>46084</v>
      </c>
      <c r="B36639" s="6" t="s">
        <v>46085</v>
      </c>
      <c r="C36639" s="5" t="str">
        <f>IFERROR(__xludf.DUMMYFUNCTION("GOOGLETRANSLATE(B36639,""en"",""fr"")"),"On voit une femme effectuant une routine de danse du ventre dans une pièce sombre avec une seule ligne montrée sur elle.")</f>
        <v>On voit une femme effectuant une routine de danse du ventre dans une pièce sombre avec une seule ligne montrée sur elle.</v>
      </c>
    </row>
    <row r="36640">
      <c r="A36640" s="4" t="s">
        <v>46084</v>
      </c>
      <c r="B36640" s="4" t="s">
        <v>46086</v>
      </c>
      <c r="C36640" s="5" t="str">
        <f>IFERROR(__xludf.DUMMYFUNCTION("GOOGLETRANSLATE(B36640,""en"",""fr"")"),"Elle continue de danser dans la pièce et se termine par la pièce devenant sombre alors qu'elle tourne.")</f>
        <v>Elle continue de danser dans la pièce et se termine par la pièce devenant sombre alors qu'elle tourne.</v>
      </c>
    </row>
    <row r="36641">
      <c r="A36641" s="4" t="s">
        <v>46087</v>
      </c>
      <c r="B36641" s="4" t="s">
        <v>46088</v>
      </c>
      <c r="C36641" s="5" t="str">
        <f>IFERROR(__xludf.DUMMYFUNCTION("GOOGLETRANSLATE(B36641,""en"",""fr"")"),"Une femme portant une chemise blanche est assise avec son chat noir et blanc sur ses genoux.")</f>
        <v>Une femme portant une chemise blanche est assise avec son chat noir et blanc sur ses genoux.</v>
      </c>
    </row>
    <row r="36642">
      <c r="A36642" s="4" t="s">
        <v>46087</v>
      </c>
      <c r="B36642" s="4" t="s">
        <v>46089</v>
      </c>
      <c r="C36642" s="5" t="str">
        <f>IFERROR(__xludf.DUMMYFUNCTION("GOOGLETRANSLATE(B36642,""en"",""fr"")"),"Elle coupe les ongles des chats en tenant les pattes du chat dans ses mains.")</f>
        <v>Elle coupe les ongles des chats en tenant les pattes du chat dans ses mains.</v>
      </c>
    </row>
    <row r="36643">
      <c r="A36643" s="4" t="s">
        <v>46087</v>
      </c>
      <c r="B36643" s="4" t="s">
        <v>46090</v>
      </c>
      <c r="C36643" s="5" t="str">
        <f>IFERROR(__xludf.DUMMYFUNCTION("GOOGLETRANSLATE(B36643,""en"",""fr"")"),"Elle continue d'écraser les ongles du chat un par un.")</f>
        <v>Elle continue d'écraser les ongles du chat un par un.</v>
      </c>
    </row>
    <row r="36644">
      <c r="A36644" s="4" t="s">
        <v>46087</v>
      </c>
      <c r="B36644" s="4" t="s">
        <v>46091</v>
      </c>
      <c r="C36644" s="5" t="str">
        <f>IFERROR(__xludf.DUMMYFUNCTION("GOOGLETRANSLATE(B36644,""en"",""fr"")"),"Quand elle a fini, elle embrasse le chat.")</f>
        <v>Quand elle a fini, elle embrasse le chat.</v>
      </c>
    </row>
    <row r="36645">
      <c r="A36645" s="4" t="s">
        <v>46087</v>
      </c>
      <c r="B36645" s="4" t="s">
        <v>46092</v>
      </c>
      <c r="C36645" s="5" t="str">
        <f>IFERROR(__xludf.DUMMYFUNCTION("GOOGLETRANSLATE(B36645,""en"",""fr"")"),"Puis elle commence à couper les ongles d'un chat brun.")</f>
        <v>Puis elle commence à couper les ongles d'un chat brun.</v>
      </c>
    </row>
    <row r="36646">
      <c r="A36646" s="4" t="s">
        <v>46087</v>
      </c>
      <c r="B36646" s="4" t="s">
        <v>46093</v>
      </c>
      <c r="C36646" s="5" t="str">
        <f>IFERROR(__xludf.DUMMYFUNCTION("GOOGLETRANSLATE(B36646,""en"",""fr"")"),"Le chat est assis calmement sur ses genoux alors qu'elle finit de couler ses ongles.")</f>
        <v>Le chat est assis calmement sur ses genoux alors qu'elle finit de couler ses ongles.</v>
      </c>
    </row>
    <row r="36647">
      <c r="A36647" s="4" t="s">
        <v>46094</v>
      </c>
      <c r="B36647" s="4" t="s">
        <v>46095</v>
      </c>
      <c r="C36647" s="5" t="str">
        <f>IFERROR(__xludf.DUMMYFUNCTION("GOOGLETRANSLATE(B36647,""en"",""fr"")"),"Une personne peint des fleurs sur une toile blanche avec une brosse fine.")</f>
        <v>Une personne peint des fleurs sur une toile blanche avec une brosse fine.</v>
      </c>
    </row>
    <row r="36648">
      <c r="A36648" s="4" t="s">
        <v>46094</v>
      </c>
      <c r="B36648" s="4" t="s">
        <v>46096</v>
      </c>
      <c r="C36648" s="5" t="str">
        <f>IFERROR(__xludf.DUMMYFUNCTION("GOOGLETRANSLATE(B36648,""en"",""fr"")"),"La personne retire la peinture de la table et montre le produit fini.")</f>
        <v>La personne retire la peinture de la table et montre le produit fini.</v>
      </c>
    </row>
    <row r="36649">
      <c r="A36649" s="4" t="s">
        <v>46097</v>
      </c>
      <c r="B36649" s="4" t="s">
        <v>46098</v>
      </c>
      <c r="C36649" s="5" t="str">
        <f>IFERROR(__xludf.DUMMYFUNCTION("GOOGLETRANSLATE(B36649,""en"",""fr"")"),"Les gens jouent et nagent dans une piscine.")</f>
        <v>Les gens jouent et nagent dans une piscine.</v>
      </c>
    </row>
    <row r="36650">
      <c r="A36650" s="4" t="s">
        <v>46097</v>
      </c>
      <c r="B36650" s="4" t="s">
        <v>46099</v>
      </c>
      <c r="C36650" s="5" t="str">
        <f>IFERROR(__xludf.DUMMYFUNCTION("GOOGLETRANSLATE(B36650,""en"",""fr"")"),"Une fille fait un retour au dos d'une planche.")</f>
        <v>Une fille fait un retour au dos d'une planche.</v>
      </c>
    </row>
    <row r="36651">
      <c r="A36651" s="4" t="s">
        <v>46100</v>
      </c>
      <c r="B36651" s="4" t="s">
        <v>46101</v>
      </c>
      <c r="C36651" s="5" t="str">
        <f>IFERROR(__xludf.DUMMYFUNCTION("GOOGLETRANSLATE(B36651,""en"",""fr"")"),"Une personne est vue remplir un évier d'eau et tenir un chiffon dans l'eau.")</f>
        <v>Une personne est vue remplir un évier d'eau et tenir un chiffon dans l'eau.</v>
      </c>
    </row>
    <row r="36652">
      <c r="A36652" s="4" t="s">
        <v>46100</v>
      </c>
      <c r="B36652" s="4" t="s">
        <v>46102</v>
      </c>
      <c r="C36652" s="5" t="str">
        <f>IFERROR(__xludf.DUMMYFUNCTION("GOOGLETRANSLATE(B36652,""en"",""fr"")"),"Elle frotte son visage et la lave avec le chiffon et sourit dans le miroir.")</f>
        <v>Elle frotte son visage et la lave avec le chiffon et sourit dans le miroir.</v>
      </c>
    </row>
    <row r="36653">
      <c r="A36653" s="4" t="s">
        <v>46103</v>
      </c>
      <c r="B36653" s="4" t="s">
        <v>46104</v>
      </c>
      <c r="C36653" s="5" t="str">
        <f>IFERROR(__xludf.DUMMYFUNCTION("GOOGLETRANSLATE(B36653,""en"",""fr"")"),"Une personne est accrochée aux poignées d'un cerf-volant volant au-dessus de la tête.")</f>
        <v>Une personne est accrochée aux poignées d'un cerf-volant volant au-dessus de la tête.</v>
      </c>
    </row>
    <row r="36654">
      <c r="A36654" s="4" t="s">
        <v>46103</v>
      </c>
      <c r="B36654" s="4" t="s">
        <v>46105</v>
      </c>
      <c r="C36654" s="5" t="str">
        <f>IFERROR(__xludf.DUMMYFUNCTION("GOOGLETRANSLATE(B36654,""en"",""fr"")"),"Le cerf-volant tombe à mesure que le vent diminue.")</f>
        <v>Le cerf-volant tombe à mesure que le vent diminue.</v>
      </c>
    </row>
    <row r="36655">
      <c r="A36655" s="4" t="s">
        <v>46103</v>
      </c>
      <c r="B36655" s="4" t="s">
        <v>46106</v>
      </c>
      <c r="C36655" s="5" t="str">
        <f>IFERROR(__xludf.DUMMYFUNCTION("GOOGLETRANSLATE(B36655,""en"",""fr"")"),"Le cerf-volant souffle fort dans l'air alors que le vent reprend.")</f>
        <v>Le cerf-volant souffle fort dans l'air alors que le vent reprend.</v>
      </c>
    </row>
    <row r="36656">
      <c r="A36656" s="4" t="s">
        <v>46107</v>
      </c>
      <c r="B36656" s="4" t="s">
        <v>46108</v>
      </c>
      <c r="C36656" s="5" t="str">
        <f>IFERROR(__xludf.DUMMYFUNCTION("GOOGLETRANSLATE(B36656,""en"",""fr"")"),"Un homme et une femme dansent sur un terrain en béton la nuit sous un réverbère.")</f>
        <v>Un homme et une femme dansent sur un terrain en béton la nuit sous un réverbère.</v>
      </c>
    </row>
    <row r="36657">
      <c r="A36657" s="4" t="s">
        <v>46107</v>
      </c>
      <c r="B36657" s="6" t="s">
        <v>46109</v>
      </c>
      <c r="C36657" s="5" t="str">
        <f>IFERROR(__xludf.DUMMYFUNCTION("GOOGLETRANSLATE(B36657,""en"",""fr"")"),"L'homme et la femme portent un débardeur noir et un short noir avec des chaussures noires.")</f>
        <v>L'homme et la femme portent un débardeur noir et un short noir avec des chaussures noires.</v>
      </c>
    </row>
    <row r="36658">
      <c r="A36658" s="4" t="s">
        <v>46107</v>
      </c>
      <c r="B36658" s="4" t="s">
        <v>46110</v>
      </c>
      <c r="C36658" s="5" t="str">
        <f>IFERROR(__xludf.DUMMYFUNCTION("GOOGLETRANSLATE(B36658,""en"",""fr"")"),"Ils dansent de manière synchronisée en suivant les étapes de danse chorégraphiées vers une chanson.")</f>
        <v>Ils dansent de manière synchronisée en suivant les étapes de danse chorégraphiées vers une chanson.</v>
      </c>
    </row>
    <row r="36659">
      <c r="A36659" s="4" t="s">
        <v>46107</v>
      </c>
      <c r="B36659" s="4" t="s">
        <v>46111</v>
      </c>
      <c r="C36659" s="5" t="str">
        <f>IFERROR(__xludf.DUMMYFUNCTION("GOOGLETRANSLATE(B36659,""en"",""fr"")"),"Ils bougent leurs mains alors qu'ils soulèvent leur jambe droite haut en dansant.")</f>
        <v>Ils bougent leurs mains alors qu'ils soulèvent leur jambe droite haut en dansant.</v>
      </c>
    </row>
    <row r="36660">
      <c r="A36660" s="4" t="s">
        <v>46107</v>
      </c>
      <c r="B36660" s="4" t="s">
        <v>46112</v>
      </c>
      <c r="C36660" s="5" t="str">
        <f>IFERROR(__xludf.DUMMYFUNCTION("GOOGLETRANSLATE(B36660,""en"",""fr"")"),"Ensuite, ils secouent leurs hanches et leurs têtes, ils se synchronisent avec la chanson.")</f>
        <v>Ensuite, ils secouent leurs hanches et leurs têtes, ils se synchronisent avec la chanson.</v>
      </c>
    </row>
    <row r="36661">
      <c r="A36661" s="4" t="s">
        <v>46107</v>
      </c>
      <c r="B36661" s="4" t="s">
        <v>46113</v>
      </c>
      <c r="C36661" s="5" t="str">
        <f>IFERROR(__xludf.DUMMYFUNCTION("GOOGLETRANSLATE(B36661,""en"",""fr"")"),"Lorsque la musique devient plus rapide, ils bougent leurs mains dans un mouvement circulaire.")</f>
        <v>Lorsque la musique devient plus rapide, ils bougent leurs mains dans un mouvement circulaire.</v>
      </c>
    </row>
    <row r="36662">
      <c r="A36662" s="4" t="s">
        <v>46107</v>
      </c>
      <c r="B36662" s="4" t="s">
        <v>46114</v>
      </c>
      <c r="C36662" s="5" t="str">
        <f>IFERROR(__xludf.DUMMYFUNCTION("GOOGLETRANSLATE(B36662,""en"",""fr"")"),"Ils soulèvent également leurs genoux en secouant leur corps.")</f>
        <v>Ils soulèvent également leurs genoux en secouant leur corps.</v>
      </c>
    </row>
    <row r="36663">
      <c r="A36663" s="4" t="s">
        <v>46107</v>
      </c>
      <c r="B36663" s="4" t="s">
        <v>46115</v>
      </c>
      <c r="C36663" s="5" t="str">
        <f>IFERROR(__xludf.DUMMYFUNCTION("GOOGLETRANSLATE(B36663,""en"",""fr"")"),"Ils répètent les étapes à chaque fois que le chœur de la chanson joue.")</f>
        <v>Ils répètent les étapes à chaque fois que le chœur de la chanson joue.</v>
      </c>
    </row>
    <row r="36664">
      <c r="A36664" s="4" t="s">
        <v>46107</v>
      </c>
      <c r="B36664" s="4" t="s">
        <v>46116</v>
      </c>
      <c r="C36664" s="5" t="str">
        <f>IFERROR(__xludf.DUMMYFUNCTION("GOOGLETRANSLATE(B36664,""en"",""fr"")"),"Ils soulèvent leurs genoux en alternant entre les deux jambes.")</f>
        <v>Ils soulèvent leurs genoux en alternant entre les deux jambes.</v>
      </c>
    </row>
    <row r="36665">
      <c r="A36665" s="4" t="s">
        <v>46107</v>
      </c>
      <c r="B36665" s="4" t="s">
        <v>46117</v>
      </c>
      <c r="C36665" s="5" t="str">
        <f>IFERROR(__xludf.DUMMYFUNCTION("GOOGLETRANSLATE(B36665,""en"",""fr"")"),"Ils continuent de danser alors qu'ils maintiennent la paume de leurs mains droit et bougent leurs hanches.")</f>
        <v>Ils continuent de danser alors qu'ils maintiennent la paume de leurs mains droit et bougent leurs hanches.</v>
      </c>
    </row>
    <row r="36666">
      <c r="A36666" s="4" t="s">
        <v>46107</v>
      </c>
      <c r="B36666" s="4" t="s">
        <v>46118</v>
      </c>
      <c r="C36666" s="5" t="str">
        <f>IFERROR(__xludf.DUMMYFUNCTION("GOOGLETRANSLATE(B36666,""en"",""fr"")"),"Ils répètent les étapes comme le refrain de la chanson se répète.")</f>
        <v>Ils répètent les étapes comme le refrain de la chanson se répète.</v>
      </c>
    </row>
    <row r="36667">
      <c r="A36667" s="4" t="s">
        <v>46107</v>
      </c>
      <c r="B36667" s="4" t="s">
        <v>46119</v>
      </c>
      <c r="C36667" s="5" t="str">
        <f>IFERROR(__xludf.DUMMYFUNCTION("GOOGLETRANSLATE(B36667,""en"",""fr"")"),"Finalement, après la fin de la chanson, ils restent immobiles les mains sur leurs hanches.")</f>
        <v>Finalement, après la fin de la chanson, ils restent immobiles les mains sur leurs hanches.</v>
      </c>
    </row>
    <row r="36668">
      <c r="A36668" s="4" t="s">
        <v>46120</v>
      </c>
      <c r="B36668" s="4" t="s">
        <v>46121</v>
      </c>
      <c r="C36668" s="5" t="str">
        <f>IFERROR(__xludf.DUMMYFUNCTION("GOOGLETRANSLATE(B36668,""en"",""fr"")"),"Un homme prend un patch et mis sur une roue tout en expliquant et en montrant des matériaux.")</f>
        <v>Un homme prend un patch et mis sur une roue tout en expliquant et en montrant des matériaux.</v>
      </c>
    </row>
    <row r="36669">
      <c r="A36669" s="4" t="s">
        <v>46120</v>
      </c>
      <c r="B36669" s="4" t="s">
        <v>46122</v>
      </c>
      <c r="C36669" s="5" t="str">
        <f>IFERROR(__xludf.DUMMYFUNCTION("GOOGLETRANSLATE(B36669,""en"",""fr"")"),"Ensuite, l'homme prend la roue d'un vélo pour fixer le trou du tube en appliquant un patch.")</f>
        <v>Ensuite, l'homme prend la roue d'un vélo pour fixer le trou du tube en appliquant un patch.</v>
      </c>
    </row>
    <row r="36670">
      <c r="A36670" s="4" t="s">
        <v>46120</v>
      </c>
      <c r="B36670" s="4" t="s">
        <v>46123</v>
      </c>
      <c r="C36670" s="5" t="str">
        <f>IFERROR(__xludf.DUMMYFUNCTION("GOOGLETRANSLATE(B36670,""en"",""fr"")"),"Après, l'homme a mis le tube sur la roue et de pomper l'air dans la roue.")</f>
        <v>Après, l'homme a mis le tube sur la roue et de pomper l'air dans la roue.</v>
      </c>
    </row>
    <row r="36671">
      <c r="A36671" s="4" t="s">
        <v>46120</v>
      </c>
      <c r="B36671" s="4" t="s">
        <v>46124</v>
      </c>
      <c r="C36671" s="5" t="str">
        <f>IFERROR(__xludf.DUMMYFUNCTION("GOOGLETRANSLATE(B36671,""en"",""fr"")"),"Ensuite, l'homme a mis et réparer la roue dans le vélo.")</f>
        <v>Ensuite, l'homme a mis et réparer la roue dans le vélo.</v>
      </c>
    </row>
    <row r="36672">
      <c r="A36672" s="4" t="s">
        <v>46125</v>
      </c>
      <c r="B36672" s="4" t="s">
        <v>46126</v>
      </c>
      <c r="C36672" s="5" t="str">
        <f>IFERROR(__xludf.DUMMYFUNCTION("GOOGLETRANSLATE(B36672,""en"",""fr"")"),"Un homme montre la bonne façon de soulever un kettlebell.")</f>
        <v>Un homme montre la bonne façon de soulever un kettlebell.</v>
      </c>
    </row>
    <row r="36673">
      <c r="A36673" s="4" t="s">
        <v>46125</v>
      </c>
      <c r="B36673" s="4" t="s">
        <v>46127</v>
      </c>
      <c r="C36673" s="5" t="str">
        <f>IFERROR(__xludf.DUMMYFUNCTION("GOOGLETRANSLATE(B36673,""en"",""fr"")"),"Il montre avec ses hanches comment ne pas le faire.")</f>
        <v>Il montre avec ses hanches comment ne pas le faire.</v>
      </c>
    </row>
    <row r="36674">
      <c r="A36674" s="4" t="s">
        <v>46128</v>
      </c>
      <c r="B36674" s="4" t="s">
        <v>46129</v>
      </c>
      <c r="C36674" s="5" t="str">
        <f>IFERROR(__xludf.DUMMYFUNCTION("GOOGLETRANSLATE(B36674,""en"",""fr"")"),"Un homme coupe les cheveux d'un autre homme.")</f>
        <v>Un homme coupe les cheveux d'un autre homme.</v>
      </c>
    </row>
    <row r="36675">
      <c r="A36675" s="4" t="s">
        <v>46128</v>
      </c>
      <c r="B36675" s="4" t="s">
        <v>46130</v>
      </c>
      <c r="C36675" s="5" t="str">
        <f>IFERROR(__xludf.DUMMYFUNCTION("GOOGLETRANSLATE(B36675,""en"",""fr"")"),"Il montre les types de coupes.")</f>
        <v>Il montre les types de coupes.</v>
      </c>
    </row>
    <row r="36676">
      <c r="A36676" s="4" t="s">
        <v>46128</v>
      </c>
      <c r="B36676" s="4" t="s">
        <v>46131</v>
      </c>
      <c r="C36676" s="5" t="str">
        <f>IFERROR(__xludf.DUMMYFUNCTION("GOOGLETRANSLATE(B36676,""en"",""fr"")"),"Il peigne et coupe le devant des cheveux de l'homme.")</f>
        <v>Il peigne et coupe le devant des cheveux de l'homme.</v>
      </c>
    </row>
    <row r="36677">
      <c r="A36677" s="4" t="s">
        <v>46128</v>
      </c>
      <c r="B36677" s="4" t="s">
        <v>46132</v>
      </c>
      <c r="C36677" s="5" t="str">
        <f>IFERROR(__xludf.DUMMYFUNCTION("GOOGLETRANSLATE(B36677,""en"",""fr"")"),"Il sépare les cheveux et continue de tirer et de couper le flip avant.")</f>
        <v>Il sépare les cheveux et continue de tirer et de couper le flip avant.</v>
      </c>
    </row>
    <row r="36678">
      <c r="A36678" s="4" t="s">
        <v>46128</v>
      </c>
      <c r="B36678" s="4" t="s">
        <v>46133</v>
      </c>
      <c r="C36678" s="5" t="str">
        <f>IFERROR(__xludf.DUMMYFUNCTION("GOOGLETRANSLATE(B36678,""en"",""fr"")"),"Il tourne ensuite la tête de l'homme et travaille sur le dos.")</f>
        <v>Il tourne ensuite la tête de l'homme et travaille sur le dos.</v>
      </c>
    </row>
    <row r="36679">
      <c r="A36679" s="4" t="s">
        <v>46128</v>
      </c>
      <c r="B36679" s="4" t="s">
        <v>46134</v>
      </c>
      <c r="C36679" s="5" t="str">
        <f>IFERROR(__xludf.DUMMYFUNCTION("GOOGLETRANSLATE(B36679,""en"",""fr"")"),"Il termine la coupe de cheveux sur l'homme.")</f>
        <v>Il termine la coupe de cheveux sur l'homme.</v>
      </c>
    </row>
    <row r="36680">
      <c r="A36680" s="4" t="s">
        <v>46135</v>
      </c>
      <c r="B36680" s="4" t="s">
        <v>46136</v>
      </c>
      <c r="C36680" s="5" t="str">
        <f>IFERROR(__xludf.DUMMYFUNCTION("GOOGLETRANSLATE(B36680,""en"",""fr"")"),"Les pieds d'une personne sont du spectacle suivis d'une femme mettant des chaussures sur ses chaussettes et se penchant en avant.")</f>
        <v>Les pieds d'une personne sont du spectacle suivis d'une femme mettant des chaussures sur ses chaussettes et se penchant en avant.</v>
      </c>
    </row>
    <row r="36681">
      <c r="A36681" s="4" t="s">
        <v>46135</v>
      </c>
      <c r="B36681" s="4" t="s">
        <v>46137</v>
      </c>
      <c r="C36681" s="5" t="str">
        <f>IFERROR(__xludf.DUMMYFUNCTION("GOOGLETRANSLATE(B36681,""en"",""fr"")"),"Elle tourbillonne autour de ses pieds et regardant la caméra tout en montrant sa chaussure complètement.")</f>
        <v>Elle tourbillonne autour de ses pieds et regardant la caméra tout en montrant sa chaussure complètement.</v>
      </c>
    </row>
    <row r="36682">
      <c r="A36682" s="4" t="s">
        <v>46138</v>
      </c>
      <c r="B36682" s="4" t="s">
        <v>46139</v>
      </c>
      <c r="C36682" s="5" t="str">
        <f>IFERROR(__xludf.DUMMYFUNCTION("GOOGLETRANSLATE(B36682,""en"",""fr"")"),"La femme porte un poids de levage de merde violette.")</f>
        <v>La femme porte un poids de levage de merde violette.</v>
      </c>
    </row>
    <row r="36683">
      <c r="A36683" s="4" t="s">
        <v>46138</v>
      </c>
      <c r="B36683" s="4" t="s">
        <v>46140</v>
      </c>
      <c r="C36683" s="5" t="str">
        <f>IFERROR(__xludf.DUMMYFUNCTION("GOOGLETRANSLATE(B36683,""en"",""fr"")"),"La femme est assise dans les escaliers à attacher les lacets.")</f>
        <v>La femme est assise dans les escaliers à attacher les lacets.</v>
      </c>
    </row>
    <row r="36684">
      <c r="A36684" s="4" t="s">
        <v>46138</v>
      </c>
      <c r="B36684" s="4" t="s">
        <v>46141</v>
      </c>
      <c r="C36684" s="5" t="str">
        <f>IFERROR(__xludf.DUMMYFUNCTION("GOOGLETRANSLATE(B36684,""en"",""fr"")"),"Deux femmes sont dans une salle de gym qui fait de l'exercice.")</f>
        <v>Deux femmes sont dans une salle de gym qui fait de l'exercice.</v>
      </c>
    </row>
    <row r="36685">
      <c r="A36685" s="4" t="s">
        <v>46142</v>
      </c>
      <c r="B36685" s="4" t="s">
        <v>46143</v>
      </c>
      <c r="C36685" s="5" t="str">
        <f>IFERROR(__xludf.DUMMYFUNCTION("GOOGLETRANSLATE(B36685,""en"",""fr"")"),"Un homme est montré à la caméra et mène à une femme qui coupe la fourrure sur un chien.")</f>
        <v>Un homme est montré à la caméra et mène à une femme qui coupe la fourrure sur un chien.</v>
      </c>
    </row>
    <row r="36686">
      <c r="A36686" s="4" t="s">
        <v>46142</v>
      </c>
      <c r="B36686" s="6" t="s">
        <v>46144</v>
      </c>
      <c r="C36686" s="5" t="str">
        <f>IFERROR(__xludf.DUMMYFUNCTION("GOOGLETRANSLATE(B36686,""en"",""fr"")"),"Le parle plus à la caméra tandis que d'autres chiens sont présentés et une femme s'éloigne en tenant deux chiens excités.")</f>
        <v>Le parle plus à la caméra tandis que d'autres chiens sont présentés et une femme s'éloigne en tenant deux chiens excités.</v>
      </c>
    </row>
    <row r="36687">
      <c r="A36687" s="4" t="s">
        <v>46142</v>
      </c>
      <c r="B36687" s="6" t="s">
        <v>46145</v>
      </c>
      <c r="C36687" s="5" t="str">
        <f>IFERROR(__xludf.DUMMYFUNCTION("GOOGLETRANSLATE(B36687,""en"",""fr"")"),"Plus de coups de chiens tenus sont montrés pendant que l'homme parle et que la caméra se déroule dans le bâtiment.")</f>
        <v>Plus de coups de chiens tenus sont montrés pendant que l'homme parle et que la caméra se déroule dans le bâtiment.</v>
      </c>
    </row>
    <row r="36688">
      <c r="A36688" s="4" t="s">
        <v>46146</v>
      </c>
      <c r="B36688" s="4" t="s">
        <v>46147</v>
      </c>
      <c r="C36688" s="5" t="str">
        <f>IFERROR(__xludf.DUMMYFUNCTION("GOOGLETRANSLATE(B36688,""en"",""fr"")"),"Un logo montre que cette vidéo est présentée par Expert Village.")</f>
        <v>Un logo montre que cette vidéo est présentée par Expert Village.</v>
      </c>
    </row>
    <row r="36689">
      <c r="A36689" s="4" t="s">
        <v>46146</v>
      </c>
      <c r="B36689" s="6" t="s">
        <v>46148</v>
      </c>
      <c r="C36689" s="5" t="str">
        <f>IFERROR(__xludf.DUMMYFUNCTION("GOOGLETRANSLATE(B36689,""en"",""fr"")"),"Un homme dans un petit bateau bleu discute du sujet du surf à la main dans un trou et donne des indices sur la façon d'effectuer cette activité.")</f>
        <v>Un homme dans un petit bateau bleu discute du sujet du surf à la main dans un trou et donne des indices sur la façon d'effectuer cette activité.</v>
      </c>
    </row>
    <row r="36690">
      <c r="A36690" s="4" t="s">
        <v>46146</v>
      </c>
      <c r="B36690" s="4" t="s">
        <v>46149</v>
      </c>
      <c r="C36690" s="5" t="str">
        <f>IFERROR(__xludf.DUMMYFUNCTION("GOOGLETRANSLATE(B36690,""en"",""fr"")"),"L'homme démontre des astuces qui peuvent être faites lors de l'exécution de cette activité.")</f>
        <v>L'homme démontre des astuces qui peuvent être faites lors de l'exécution de cette activité.</v>
      </c>
    </row>
    <row r="36691">
      <c r="A36691" s="4" t="s">
        <v>46150</v>
      </c>
      <c r="B36691" s="4" t="s">
        <v>46151</v>
      </c>
      <c r="C36691" s="5" t="str">
        <f>IFERROR(__xludf.DUMMYFUNCTION("GOOGLETRANSLATE(B36691,""en"",""fr"")"),"Les hôtes de nouvelles présentent une histoire assise à un bureau dans une salle de nouvelles.")</f>
        <v>Les hôtes de nouvelles présentent une histoire assise à un bureau dans une salle de nouvelles.</v>
      </c>
    </row>
    <row r="36692">
      <c r="A36692" s="4" t="s">
        <v>46150</v>
      </c>
      <c r="B36692" s="4" t="s">
        <v>46152</v>
      </c>
      <c r="C36692" s="5" t="str">
        <f>IFERROR(__xludf.DUMMYFUNCTION("GOOGLETRANSLATE(B36692,""en"",""fr"")"),"Un journaliste interviewe un homme sur une patinoire.")</f>
        <v>Un journaliste interviewe un homme sur une patinoire.</v>
      </c>
    </row>
    <row r="36693">
      <c r="A36693" s="4" t="s">
        <v>46150</v>
      </c>
      <c r="B36693" s="4" t="s">
        <v>46153</v>
      </c>
      <c r="C36693" s="5" t="str">
        <f>IFERROR(__xludf.DUMMYFUNCTION("GOOGLETRANSLATE(B36693,""en"",""fr"")"),"Un athlète glisse une pierre sur la glace.")</f>
        <v>Un athlète glisse une pierre sur la glace.</v>
      </c>
    </row>
    <row r="36694">
      <c r="A36694" s="4" t="s">
        <v>46150</v>
      </c>
      <c r="B36694" s="4" t="s">
        <v>46154</v>
      </c>
      <c r="C36694" s="5" t="str">
        <f>IFERROR(__xludf.DUMMYFUNCTION("GOOGLETRANSLATE(B36694,""en"",""fr"")"),"Le journaliste et l'homme s'entraînent à brosser la glace de balais.")</f>
        <v>Le journaliste et l'homme s'entraînent à brosser la glace de balais.</v>
      </c>
    </row>
    <row r="36695">
      <c r="A36695" s="4" t="s">
        <v>46150</v>
      </c>
      <c r="B36695" s="4" t="s">
        <v>46155</v>
      </c>
      <c r="C36695" s="5" t="str">
        <f>IFERROR(__xludf.DUMMYFUNCTION("GOOGLETRANSLATE(B36695,""en"",""fr"")"),"Une femme est assise dans un salon et a les cheveux bouclés.")</f>
        <v>Une femme est assise dans un salon et a les cheveux bouclés.</v>
      </c>
    </row>
    <row r="36696">
      <c r="A36696" s="4" t="s">
        <v>46150</v>
      </c>
      <c r="B36696" s="4" t="s">
        <v>46156</v>
      </c>
      <c r="C36696" s="5" t="str">
        <f>IFERROR(__xludf.DUMMYFUNCTION("GOOGLETRANSLATE(B36696,""en"",""fr"")"),"Les boucles sont retirées des cheveux de la femme après la cure de jouvence.")</f>
        <v>Les boucles sont retirées des cheveux de la femme après la cure de jouvence.</v>
      </c>
    </row>
    <row r="36697">
      <c r="A36697" s="4" t="s">
        <v>46150</v>
      </c>
      <c r="B36697" s="4" t="s">
        <v>46157</v>
      </c>
      <c r="C36697" s="5" t="str">
        <f>IFERROR(__xludf.DUMMYFUNCTION("GOOGLETRANSLATE(B36697,""en"",""fr"")"),"Les présentateurs de nouvelles terminent l'histoire.")</f>
        <v>Les présentateurs de nouvelles terminent l'histoire.</v>
      </c>
    </row>
    <row r="36698">
      <c r="A36698" s="4" t="s">
        <v>46158</v>
      </c>
      <c r="B36698" s="4" t="s">
        <v>46159</v>
      </c>
      <c r="C36698" s="5" t="str">
        <f>IFERROR(__xludf.DUMMYFUNCTION("GOOGLETRANSLATE(B36698,""en"",""fr"")"),"Un groupe d'enfants est sur une piste, et ils s'entraînent à sauter par-dessus un piste.")</f>
        <v>Un groupe d'enfants est sur une piste, et ils s'entraînent à sauter par-dessus un piste.</v>
      </c>
    </row>
    <row r="36699">
      <c r="A36699" s="4" t="s">
        <v>46158</v>
      </c>
      <c r="B36699" s="4" t="s">
        <v>46160</v>
      </c>
      <c r="C36699" s="5" t="str">
        <f>IFERROR(__xludf.DUMMYFUNCTION("GOOGLETRANSLATE(B36699,""en"",""fr"")"),"Ils effectuent le mouvement plusieurs fois, dépeignant l'acte au ralenti.")</f>
        <v>Ils effectuent le mouvement plusieurs fois, dépeignant l'acte au ralenti.</v>
      </c>
    </row>
    <row r="36700">
      <c r="A36700" s="4" t="s">
        <v>46161</v>
      </c>
      <c r="B36700" s="6" t="s">
        <v>46162</v>
      </c>
      <c r="C36700" s="5" t="str">
        <f>IFERROR(__xludf.DUMMYFUNCTION("GOOGLETRANSLATE(B36700,""en"",""fr"")"),"On voit deux personnes parler à la caméra portant un costume lorsqu'une autre personne entre dans le cadre.")</f>
        <v>On voit deux personnes parler à la caméra portant un costume lorsqu'une autre personne entre dans le cadre.</v>
      </c>
    </row>
    <row r="36701">
      <c r="A36701" s="4" t="s">
        <v>46161</v>
      </c>
      <c r="B36701" s="4" t="s">
        <v>46163</v>
      </c>
      <c r="C36701" s="5" t="str">
        <f>IFERROR(__xludf.DUMMYFUNCTION("GOOGLETRANSLATE(B36701,""en"",""fr"")"),"Deux personnes se battent ensuite dans les costumes et se heurtent.")</f>
        <v>Deux personnes se battent ensuite dans les costumes et se heurtent.</v>
      </c>
    </row>
    <row r="36702">
      <c r="A36702" s="4" t="s">
        <v>46161</v>
      </c>
      <c r="B36702" s="4" t="s">
        <v>46164</v>
      </c>
      <c r="C36702" s="5" t="str">
        <f>IFERROR(__xludf.DUMMYFUNCTION("GOOGLETRANSLATE(B36702,""en"",""fr"")"),"Une personne frappe l'autre par terre et montre un mouvement de lutte.")</f>
        <v>Une personne frappe l'autre par terre et montre un mouvement de lutte.</v>
      </c>
    </row>
    <row r="36703">
      <c r="A36703" s="4" t="s">
        <v>46165</v>
      </c>
      <c r="B36703" s="4" t="s">
        <v>46166</v>
      </c>
      <c r="C36703" s="5" t="str">
        <f>IFERROR(__xludf.DUMMYFUNCTION("GOOGLETRANSLATE(B36703,""en"",""fr"")"),"On voit un homme athlétique en agitant un bras dans les airs et debout prêt pour une poutre.")</f>
        <v>On voit un homme athlétique en agitant un bras dans les airs et debout prêt pour une poutre.</v>
      </c>
    </row>
    <row r="36704">
      <c r="A36704" s="4" t="s">
        <v>46165</v>
      </c>
      <c r="B36704" s="6" t="s">
        <v>46167</v>
      </c>
      <c r="C36704" s="5" t="str">
        <f>IFERROR(__xludf.DUMMYFUNCTION("GOOGLETRANSLATE(B36704,""en"",""fr"")"),"L'homme se tourne ensuite autour du faisceau en effectuant une routine de gymnastique et se termine avec lui sautant sur le côté et tenant ses bras, souriant et agitant à la foule.")</f>
        <v>L'homme se tourne ensuite autour du faisceau en effectuant une routine de gymnastique et se termine avec lui sautant sur le côté et tenant ses bras, souriant et agitant à la foule.</v>
      </c>
    </row>
    <row r="36705">
      <c r="A36705" s="4" t="s">
        <v>46168</v>
      </c>
      <c r="B36705" s="4" t="s">
        <v>46169</v>
      </c>
      <c r="C36705" s="5" t="str">
        <f>IFERROR(__xludf.DUMMYFUNCTION("GOOGLETRANSLATE(B36705,""en"",""fr"")"),"Un homme est vu debout dans un but, suivi d'une personne qui donne un coup de pied à une capsule.")</f>
        <v>Un homme est vu debout dans un but, suivi d'une personne qui donne un coup de pied à une capsule.</v>
      </c>
    </row>
    <row r="36706">
      <c r="A36706" s="4" t="s">
        <v>46168</v>
      </c>
      <c r="B36706" s="4" t="s">
        <v>46170</v>
      </c>
      <c r="C36706" s="5" t="str">
        <f>IFERROR(__xludf.DUMMYFUNCTION("GOOGLETRANSLATE(B36706,""en"",""fr"")"),"Plus de clips sont montrés des gens qui frappent un ballon vers le but pendant que les gens regardent sur les côtés.")</f>
        <v>Plus de clips sont montrés des gens qui frappent un ballon vers le but pendant que les gens regardent sur les côtés.</v>
      </c>
    </row>
    <row r="36707">
      <c r="A36707" s="4" t="s">
        <v>46168</v>
      </c>
      <c r="B36707" s="4" t="s">
        <v>46171</v>
      </c>
      <c r="C36707" s="5" t="str">
        <f>IFERROR(__xludf.DUMMYFUNCTION("GOOGLETRANSLATE(B36707,""en"",""fr"")"),"Plusieurs autres personnes prennent leur tour en bottant une balle et se terminant en courant tous ensemble et en applaudissant.")</f>
        <v>Plusieurs autres personnes prennent leur tour en bottant une balle et se terminant en courant tous ensemble et en applaudissant.</v>
      </c>
    </row>
    <row r="36708">
      <c r="A36708" s="4" t="s">
        <v>46172</v>
      </c>
      <c r="B36708" s="4" t="s">
        <v>46173</v>
      </c>
      <c r="C36708" s="5" t="str">
        <f>IFERROR(__xludf.DUMMYFUNCTION("GOOGLETRANSLATE(B36708,""en"",""fr"")"),"Une voiture roule derrière une autre tout en tournant plusieurs maisons enneigées et arbres montrées.")</f>
        <v>Une voiture roule derrière une autre tout en tournant plusieurs maisons enneigées et arbres montrées.</v>
      </c>
    </row>
    <row r="36709">
      <c r="A36709" s="4" t="s">
        <v>46172</v>
      </c>
      <c r="B36709" s="4" t="s">
        <v>46174</v>
      </c>
      <c r="C36709" s="5" t="str">
        <f>IFERROR(__xludf.DUMMYFUNCTION("GOOGLETRANSLATE(B36709,""en"",""fr"")"),"Finalement, deux snowboard sont montrés en faisant des sauts et des astuces sur une montagne.")</f>
        <v>Finalement, deux snowboard sont montrés en faisant des sauts et des astuces sur une montagne.</v>
      </c>
    </row>
    <row r="36710">
      <c r="A36710" s="4" t="s">
        <v>46172</v>
      </c>
      <c r="B36710" s="4" t="s">
        <v>46175</v>
      </c>
      <c r="C36710" s="5" t="str">
        <f>IFERROR(__xludf.DUMMYFUNCTION("GOOGLETRANSLATE(B36710,""en"",""fr"")"),"Un autre fait plusieurs flips et astuces tandis qu'un autre effectue la même chose en bas de la montagne.")</f>
        <v>Un autre fait plusieurs flips et astuces tandis qu'un autre effectue la même chose en bas de la montagne.</v>
      </c>
    </row>
    <row r="36711">
      <c r="A36711" s="4" t="s">
        <v>46176</v>
      </c>
      <c r="B36711" s="4" t="s">
        <v>46177</v>
      </c>
      <c r="C36711" s="5" t="str">
        <f>IFERROR(__xludf.DUMMYFUNCTION("GOOGLETRANSLATE(B36711,""en"",""fr"")"),"Un homme est assis sur une chaise tandis qu'un homme permanent utilise un rasoir électrique sur sa barbe.")</f>
        <v>Un homme est assis sur une chaise tandis qu'un homme permanent utilise un rasoir électrique sur sa barbe.</v>
      </c>
    </row>
    <row r="36712">
      <c r="A36712" s="4" t="s">
        <v>46176</v>
      </c>
      <c r="B36712" s="4" t="s">
        <v>46178</v>
      </c>
      <c r="C36712" s="5" t="str">
        <f>IFERROR(__xludf.DUMMYFUNCTION("GOOGLETRANSLATE(B36712,""en"",""fr"")"),"L'homme rose doucement la barbe de l'autre homme jusqu'à ce qu'il soit parti.")</f>
        <v>L'homme rose doucement la barbe de l'autre homme jusqu'à ce qu'il soit parti.</v>
      </c>
    </row>
    <row r="36713">
      <c r="A36713" s="4" t="s">
        <v>46176</v>
      </c>
      <c r="B36713" s="4" t="s">
        <v>46179</v>
      </c>
      <c r="C36713" s="5" t="str">
        <f>IFERROR(__xludf.DUMMYFUNCTION("GOOGLETRANSLATE(B36713,""en"",""fr"")"),"L'homme est assis sur la chaise, se essuyant avant de se lever.")</f>
        <v>L'homme est assis sur la chaise, se essuyant avant de se lever.</v>
      </c>
    </row>
    <row r="36714">
      <c r="A36714" s="4" t="s">
        <v>46180</v>
      </c>
      <c r="B36714" s="6" t="s">
        <v>46181</v>
      </c>
      <c r="C36714" s="5" t="str">
        <f>IFERROR(__xludf.DUMMYFUNCTION("GOOGLETRANSLATE(B36714,""en"",""fr"")"),"Deux personnes sont vues debout sur un champ devant le ballon quand on se penche pour équilibrer le ballon.")</f>
        <v>Deux personnes sont vues debout sur un champ devant le ballon quand on se penche pour équilibrer le ballon.</v>
      </c>
    </row>
    <row r="36715">
      <c r="A36715" s="4" t="s">
        <v>46180</v>
      </c>
      <c r="B36715" s="4" t="s">
        <v>46182</v>
      </c>
      <c r="C36715" s="5" t="str">
        <f>IFERROR(__xludf.DUMMYFUNCTION("GOOGLETRANSLATE(B36715,""en"",""fr"")"),"La femme effectue ensuite des exercices sur le ballon avec l'aide de l'homme.")</f>
        <v>La femme effectue ensuite des exercices sur le ballon avec l'aide de l'homme.</v>
      </c>
    </row>
    <row r="36716">
      <c r="A36716" s="4" t="s">
        <v>46183</v>
      </c>
      <c r="B36716" s="4" t="s">
        <v>46184</v>
      </c>
      <c r="C36716" s="5" t="str">
        <f>IFERROR(__xludf.DUMMYFUNCTION("GOOGLETRANSLATE(B36716,""en"",""fr"")"),"Plusieurs photos de vu d'un homme de wakeboard et l'a conduit à parler à la caméra.")</f>
        <v>Plusieurs photos de vu d'un homme de wakeboard et l'a conduit à parler à la caméra.</v>
      </c>
    </row>
    <row r="36717">
      <c r="A36717" s="4" t="s">
        <v>46183</v>
      </c>
      <c r="B36717" s="4" t="s">
        <v>46185</v>
      </c>
      <c r="C36717" s="5" t="str">
        <f>IFERROR(__xludf.DUMMYFUNCTION("GOOGLETRANSLATE(B36717,""en"",""fr"")"),"Il montre comment effectuer correctement des mouvements tout en se tenant sur la pelouse.")</f>
        <v>Il montre comment effectuer correctement des mouvements tout en se tenant sur la pelouse.</v>
      </c>
    </row>
    <row r="36718">
      <c r="A36718" s="4" t="s">
        <v>46183</v>
      </c>
      <c r="B36718" s="4" t="s">
        <v>46186</v>
      </c>
      <c r="C36718" s="5" t="str">
        <f>IFERROR(__xludf.DUMMYFUNCTION("GOOGLETRANSLATE(B36718,""en"",""fr"")"),"Il suit l'homme qui roule sur un wakeboard.")</f>
        <v>Il suit l'homme qui roule sur un wakeboard.</v>
      </c>
    </row>
    <row r="36719">
      <c r="A36719" s="4" t="s">
        <v>46187</v>
      </c>
      <c r="B36719" s="4" t="s">
        <v>46188</v>
      </c>
      <c r="C36719" s="5" t="str">
        <f>IFERROR(__xludf.DUMMYFUNCTION("GOOGLETRANSLATE(B36719,""en"",""fr"")"),"Un homme se tient devant une foule pointant et parlant de la disposition d'une bague en corrida.")</f>
        <v>Un homme se tient devant une foule pointant et parlant de la disposition d'une bague en corrida.</v>
      </c>
    </row>
    <row r="36720">
      <c r="A36720" s="4" t="s">
        <v>46187</v>
      </c>
      <c r="B36720" s="6" t="s">
        <v>46189</v>
      </c>
      <c r="C36720" s="5" t="str">
        <f>IFERROR(__xludf.DUMMYFUNCTION("GOOGLETRANSLATE(B36720,""en"",""fr"")"),"Une démonstration de corrida est effectuée par un homme avec une cape rose et un homme qui déplaçant un faux objet taureau avec une roue.")</f>
        <v>Une démonstration de corrida est effectuée par un homme avec une cape rose et un homme qui déplaçant un faux objet taureau avec une roue.</v>
      </c>
    </row>
    <row r="36721">
      <c r="A36721" s="4" t="s">
        <v>46187</v>
      </c>
      <c r="B36721" s="4" t="s">
        <v>46190</v>
      </c>
      <c r="C36721" s="5" t="str">
        <f>IFERROR(__xludf.DUMMYFUNCTION("GOOGLETRANSLATE(B36721,""en"",""fr"")"),"Le taureau montre ensuite comment utiliser son épée sur le taureau.")</f>
        <v>Le taureau montre ensuite comment utiliser son épée sur le taureau.</v>
      </c>
    </row>
    <row r="36722">
      <c r="A36722" s="4" t="s">
        <v>46187</v>
      </c>
      <c r="B36722" s="4" t="s">
        <v>46191</v>
      </c>
      <c r="C36722" s="5" t="str">
        <f>IFERROR(__xludf.DUMMYFUNCTION("GOOGLETRANSLATE(B36722,""en"",""fr"")"),"Ensuite, les étudiants veulent essayer.")</f>
        <v>Ensuite, les étudiants veulent essayer.</v>
      </c>
    </row>
    <row r="36723">
      <c r="A36723" s="4" t="s">
        <v>46192</v>
      </c>
      <c r="B36723" s="4" t="s">
        <v>46193</v>
      </c>
      <c r="C36723" s="5" t="str">
        <f>IFERROR(__xludf.DUMMYFUNCTION("GOOGLETRANSLATE(B36723,""en"",""fr"")"),"Deux hommes sont vus se battre et quatrième sur un ensemble de tapis utilisant des gants de boxe et des coussinets.")</f>
        <v>Deux hommes sont vus se battre et quatrième sur un ensemble de tapis utilisant des gants de boxe et des coussinets.</v>
      </c>
    </row>
    <row r="36724">
      <c r="A36724" s="4" t="s">
        <v>46192</v>
      </c>
      <c r="B36724" s="6" t="s">
        <v>46194</v>
      </c>
      <c r="C36724" s="5" t="str">
        <f>IFERROR(__xludf.DUMMYFUNCTION("GOOGLETRANSLATE(B36724,""en"",""fr"")"),"Les hommes continuent de frapper et de se détendre et de quatrième pendant que la caméra continue de les suivre.")</f>
        <v>Les hommes continuent de frapper et de se détendre et de quatrième pendant que la caméra continue de les suivre.</v>
      </c>
    </row>
    <row r="36725">
      <c r="A36725" s="4" t="s">
        <v>46195</v>
      </c>
      <c r="B36725" s="4" t="s">
        <v>46196</v>
      </c>
      <c r="C36725" s="5" t="str">
        <f>IFERROR(__xludf.DUMMYFUNCTION("GOOGLETRANSLATE(B36725,""en"",""fr"")"),"Une fille est vue agenouillée devant la caméra et mène à elle se promener dans sa maison.")</f>
        <v>Une fille est vue agenouillée devant la caméra et mène à elle se promener dans sa maison.</v>
      </c>
    </row>
    <row r="36726">
      <c r="A36726" s="4" t="s">
        <v>46195</v>
      </c>
      <c r="B36726" s="4" t="s">
        <v>46197</v>
      </c>
      <c r="C36726" s="5" t="str">
        <f>IFERROR(__xludf.DUMMYFUNCTION("GOOGLETRANSLATE(B36726,""en"",""fr"")"),"Elle zoome sur un four et est montrée en prenant une casserole pleine de biscuits.")</f>
        <v>Elle zoome sur un four et est montrée en prenant une casserole pleine de biscuits.</v>
      </c>
    </row>
    <row r="36727">
      <c r="A36727" s="4" t="s">
        <v>46195</v>
      </c>
      <c r="B36727" s="4" t="s">
        <v>46198</v>
      </c>
      <c r="C36727" s="5" t="str">
        <f>IFERROR(__xludf.DUMMYFUNCTION("GOOGLETRANSLATE(B36727,""en"",""fr"")"),"Elle expose une assiette pour nettoyer suit en saisissant les cookies et en les posant sur l'assiette.")</f>
        <v>Elle expose une assiette pour nettoyer suit en saisissant les cookies et en les posant sur l'assiette.</v>
      </c>
    </row>
    <row r="36728">
      <c r="A36728" s="4" t="s">
        <v>46199</v>
      </c>
      <c r="B36728" s="4" t="s">
        <v>46200</v>
      </c>
      <c r="C36728" s="5" t="str">
        <f>IFERROR(__xludf.DUMMYFUNCTION("GOOGLETRANSLATE(B36728,""en"",""fr"")"),"Un groupe d'enfants roule dans les tampres.")</f>
        <v>Un groupe d'enfants roule dans les tampres.</v>
      </c>
    </row>
    <row r="36729">
      <c r="A36729" s="4" t="s">
        <v>46199</v>
      </c>
      <c r="B36729" s="4" t="s">
        <v>46201</v>
      </c>
      <c r="C36729" s="5" t="str">
        <f>IFERROR(__xludf.DUMMYFUNCTION("GOOGLETRANSLATE(B36729,""en"",""fr"")"),"Ils tournent et se déplacent, se frappant.")</f>
        <v>Ils tournent et se déplacent, se frappant.</v>
      </c>
    </row>
    <row r="36730">
      <c r="A36730" s="4" t="s">
        <v>46199</v>
      </c>
      <c r="B36730" s="4" t="s">
        <v>46202</v>
      </c>
      <c r="C36730" s="5" t="str">
        <f>IFERROR(__xludf.DUMMYFUNCTION("GOOGLETRANSLATE(B36730,""en"",""fr"")"),"Les enfants sourient et se moquent les uns des autres alors qu'ils entrent en collision.")</f>
        <v>Les enfants sourient et se moquent les uns des autres alors qu'ils entrent en collision.</v>
      </c>
    </row>
    <row r="36731">
      <c r="A36731" s="4" t="s">
        <v>46203</v>
      </c>
      <c r="B36731" s="4" t="s">
        <v>40853</v>
      </c>
      <c r="C36731" s="5" t="str">
        <f>IFERROR(__xludf.DUMMYFUNCTION("GOOGLETRANSLATE(B36731,""en"",""fr"")"),"Un cow-boy sur un cheval est libéré d'une porte.")</f>
        <v>Un cow-boy sur un cheval est libéré d'une porte.</v>
      </c>
    </row>
    <row r="36732">
      <c r="A36732" s="4" t="s">
        <v>46203</v>
      </c>
      <c r="B36732" s="4" t="s">
        <v>46204</v>
      </c>
      <c r="C36732" s="5" t="str">
        <f>IFERROR(__xludf.DUMMYFUNCTION("GOOGLETRANSLATE(B36732,""en"",""fr"")"),"Il lassos un jeune veau sur la saleté.")</f>
        <v>Il lassos un jeune veau sur la saleté.</v>
      </c>
    </row>
    <row r="36733">
      <c r="A36733" s="4" t="s">
        <v>46203</v>
      </c>
      <c r="B36733" s="4" t="s">
        <v>46205</v>
      </c>
      <c r="C36733" s="5" t="str">
        <f>IFERROR(__xludf.DUMMYFUNCTION("GOOGLETRANSLATE(B36733,""en"",""fr"")"),"Il saute de son cheval et attache le veau.")</f>
        <v>Il saute de son cheval et attache le veau.</v>
      </c>
    </row>
    <row r="36734">
      <c r="A36734" s="4" t="s">
        <v>46206</v>
      </c>
      <c r="B36734" s="6" t="s">
        <v>46207</v>
      </c>
      <c r="C36734" s="5" t="str">
        <f>IFERROR(__xludf.DUMMYFUNCTION("GOOGLETRANSLATE(B36734,""en"",""fr"")"),"Il y a des gens qui se tenaient dans une grande cour d'intérieur, sur deux côtés différents, avec des balles au milieu du terrain.")</f>
        <v>Il y a des gens qui se tenaient dans une grande cour d'intérieur, sur deux côtés différents, avec des balles au milieu du terrain.</v>
      </c>
    </row>
    <row r="36735">
      <c r="A36735" s="4" t="s">
        <v>46206</v>
      </c>
      <c r="B36735" s="6" t="s">
        <v>46208</v>
      </c>
      <c r="C36735" s="5" t="str">
        <f>IFERROR(__xludf.DUMMYFUNCTION("GOOGLETRANSLATE(B36735,""en"",""fr"")"),"Soudain, les gens commencent à courir vers les balles et ils commencent à jouer au ballon Dodge et à les ramasser et à les jeter les uns aux autres jusqu'à ce que l'une des équipes n'ait plus qu'une personne à gauche.")</f>
        <v>Soudain, les gens commencent à courir vers les balles et ils commencent à jouer au ballon Dodge et à les ramasser et à les jeter les uns aux autres jusqu'à ce que l'une des équipes n'ait plus qu'une personne à gauche.</v>
      </c>
    </row>
    <row r="36736">
      <c r="A36736" s="4" t="s">
        <v>46206</v>
      </c>
      <c r="B36736" s="6" t="s">
        <v>46209</v>
      </c>
      <c r="C36736" s="5" t="str">
        <f>IFERROR(__xludf.DUMMYFUNCTION("GOOGLETRANSLATE(B36736,""en"",""fr"")"),"Un seul gars reste le classement et il tente de frapper quelqu'un d'autre dans l'autre équipe avec une balle, et en retour, ils font de même, ils font des allers frappe le sol.")</f>
        <v>Un seul gars reste le classement et il tente de frapper quelqu'un d'autre dans l'autre équipe avec une balle, et en retour, ils font de même, ils font des allers frappe le sol.</v>
      </c>
    </row>
    <row r="36737">
      <c r="A36737" s="4" t="s">
        <v>46210</v>
      </c>
      <c r="B36737" s="4" t="s">
        <v>46211</v>
      </c>
      <c r="C36737" s="5" t="str">
        <f>IFERROR(__xludf.DUMMYFUNCTION("GOOGLETRANSLATE(B36737,""en"",""fr"")"),"L'homme se tient dans un terrain en bois pour parler à la caméra.")</f>
        <v>L'homme se tient dans un terrain en bois pour parler à la caméra.</v>
      </c>
    </row>
    <row r="36738">
      <c r="A36738" s="4" t="s">
        <v>46210</v>
      </c>
      <c r="B36738" s="4" t="s">
        <v>46212</v>
      </c>
      <c r="C36738" s="5" t="str">
        <f>IFERROR(__xludf.DUMMYFUNCTION("GOOGLETRANSLATE(B36738,""en"",""fr"")"),"Les hommes jouent à la courge dans une pièce tenant des raquettes sur ses mains.")</f>
        <v>Les hommes jouent à la courge dans une pièce tenant des raquettes sur ses mains.</v>
      </c>
    </row>
    <row r="36739">
      <c r="A36739" s="4" t="s">
        <v>46210</v>
      </c>
      <c r="B36739" s="4" t="s">
        <v>46213</v>
      </c>
      <c r="C36739" s="5" t="str">
        <f>IFERROR(__xludf.DUMMYFUNCTION("GOOGLETRANSLATE(B36739,""en"",""fr"")"),"L'homme tient une raquette et parle à la caméra.")</f>
        <v>L'homme tient une raquette et parle à la caméra.</v>
      </c>
    </row>
    <row r="36740">
      <c r="A36740" s="4" t="s">
        <v>46214</v>
      </c>
      <c r="B36740" s="6" t="s">
        <v>46215</v>
      </c>
      <c r="C36740" s="5" t="str">
        <f>IFERROR(__xludf.DUMMYFUNCTION("GOOGLETRANSLATE(B36740,""en"",""fr"")"),"Un groupe est vu se produire sur scène pendant que la caméra se déroule et les capture sous plusieurs angles.")</f>
        <v>Un groupe est vu se produire sur scène pendant que la caméra se déroule et les capture sous plusieurs angles.</v>
      </c>
    </row>
    <row r="36741">
      <c r="A36741" s="4" t="s">
        <v>46214</v>
      </c>
      <c r="B36741" s="4" t="s">
        <v>46216</v>
      </c>
      <c r="C36741" s="5" t="str">
        <f>IFERROR(__xludf.DUMMYFUNCTION("GOOGLETRANSLATE(B36741,""en"",""fr"")"),"Le chanteur interagit avec le groupe et continue de jouer pendant que le public applaudit.")</f>
        <v>Le chanteur interagit avec le groupe et continue de jouer pendant que le public applaudit.</v>
      </c>
    </row>
    <row r="36742">
      <c r="A36742" s="4" t="s">
        <v>46217</v>
      </c>
      <c r="B36742" s="4" t="s">
        <v>46218</v>
      </c>
      <c r="C36742" s="5" t="str">
        <f>IFERROR(__xludf.DUMMYFUNCTION("GOOGLETRANSLATE(B36742,""en"",""fr"")"),"Un homme est dans un kayak dans l'eau qui fait des virages à l'aide d'une rame.")</f>
        <v>Un homme est dans un kayak dans l'eau qui fait des virages à l'aide d'une rame.</v>
      </c>
    </row>
    <row r="36743">
      <c r="A36743" s="4" t="s">
        <v>46217</v>
      </c>
      <c r="B36743" s="4" t="s">
        <v>46219</v>
      </c>
      <c r="C36743" s="5" t="str">
        <f>IFERROR(__xludf.DUMMYFUNCTION("GOOGLETRANSLATE(B36743,""en"",""fr"")"),"Ensuite, l'homme explique montrer et déplacer l'aviron.")</f>
        <v>Ensuite, l'homme explique montrer et déplacer l'aviron.</v>
      </c>
    </row>
    <row r="36744">
      <c r="A36744" s="4" t="s">
        <v>46217</v>
      </c>
      <c r="B36744" s="4" t="s">
        <v>46220</v>
      </c>
      <c r="C36744" s="5" t="str">
        <f>IFERROR(__xludf.DUMMYFUNCTION("GOOGLETRANSLATE(B36744,""en"",""fr"")"),"Après que l'homme commence à ramer dans la rivière et à tourner le kayak.")</f>
        <v>Après que l'homme commence à ramer dans la rivière et à tourner le kayak.</v>
      </c>
    </row>
    <row r="36745">
      <c r="A36745" s="4" t="s">
        <v>46221</v>
      </c>
      <c r="B36745" s="4" t="s">
        <v>46222</v>
      </c>
      <c r="C36745" s="5" t="str">
        <f>IFERROR(__xludf.DUMMYFUNCTION("GOOGLETRANSLATE(B36745,""en"",""fr"")"),"L'homme est debout sur une camionnette portant des échasses.")</f>
        <v>L'homme est debout sur une camionnette portant des échasses.</v>
      </c>
    </row>
    <row r="36746">
      <c r="A36746" s="4" t="s">
        <v>46221</v>
      </c>
      <c r="B36746" s="4" t="s">
        <v>46223</v>
      </c>
      <c r="C36746" s="5" t="str">
        <f>IFERROR(__xludf.DUMMYFUNCTION("GOOGLETRANSLATE(B36746,""en"",""fr"")"),"Un autre homme est assis sur la partie arrière d'une camionnette met les échasses sur ses pieds.")</f>
        <v>Un autre homme est assis sur la partie arrière d'une camionnette met les échasses sur ses pieds.</v>
      </c>
    </row>
    <row r="36747">
      <c r="A36747" s="4" t="s">
        <v>46221</v>
      </c>
      <c r="B36747" s="4" t="s">
        <v>46224</v>
      </c>
      <c r="C36747" s="5" t="str">
        <f>IFERROR(__xludf.DUMMYFUNCTION("GOOGLETRANSLATE(B36747,""en"",""fr"")"),"Les hommes portant des échasses marchent dans un parking dans la rue.")</f>
        <v>Les hommes portant des échasses marchent dans un parking dans la rue.</v>
      </c>
    </row>
    <row r="36748">
      <c r="A36748" s="4" t="s">
        <v>46221</v>
      </c>
      <c r="B36748" s="4" t="s">
        <v>46225</v>
      </c>
      <c r="C36748" s="5" t="str">
        <f>IFERROR(__xludf.DUMMYFUNCTION("GOOGLETRANSLATE(B36748,""en"",""fr"")"),"Les hommes s'agenouillent dans la rue et commencent à sauter sur la pente pavée.")</f>
        <v>Les hommes s'agenouillent dans la rue et commencent à sauter sur la pente pavée.</v>
      </c>
    </row>
    <row r="36749">
      <c r="A36749" s="4" t="s">
        <v>46226</v>
      </c>
      <c r="B36749" s="6" t="s">
        <v>46227</v>
      </c>
      <c r="C36749" s="5" t="str">
        <f>IFERROR(__xludf.DUMMYFUNCTION("GOOGLETRANSLATE(B36749,""en"",""fr"")"),"La femme se tient dans une cuisine en parlant à la caméra et en montrant les citrons, le pot et le bol sur le comptoir.")</f>
        <v>La femme se tient dans une cuisine en parlant à la caméra et en montrant les citrons, le pot et le bol sur le comptoir.</v>
      </c>
    </row>
    <row r="36750">
      <c r="A36750" s="4" t="s">
        <v>46226</v>
      </c>
      <c r="B36750" s="4" t="s">
        <v>46228</v>
      </c>
      <c r="C36750" s="5" t="str">
        <f>IFERROR(__xludf.DUMMYFUNCTION("GOOGLETRANSLATE(B36750,""en"",""fr"")"),"La femme serre le citron dans un bol et sur l'eau.")</f>
        <v>La femme serre le citron dans un bol et sur l'eau.</v>
      </c>
    </row>
    <row r="36751">
      <c r="A36751" s="4" t="s">
        <v>46226</v>
      </c>
      <c r="B36751" s="4" t="s">
        <v>46229</v>
      </c>
      <c r="C36751" s="5" t="str">
        <f>IFERROR(__xludf.DUMMYFUNCTION("GOOGLETRANSLATE(B36751,""en"",""fr"")"),"La femme est avant le poêle et verser du sucre dans l'eau dans une casserole jusqu'à ébullition.")</f>
        <v>La femme est avant le poêle et verser du sucre dans l'eau dans une casserole jusqu'à ébullition.</v>
      </c>
    </row>
    <row r="36752">
      <c r="A36752" s="4" t="s">
        <v>46226</v>
      </c>
      <c r="B36752" s="4" t="s">
        <v>46230</v>
      </c>
      <c r="C36752" s="5" t="str">
        <f>IFERROR(__xludf.DUMMYFUNCTION("GOOGLETRANSLATE(B36752,""en"",""fr"")"),"Femme verser du sucre dans le pot avec de la glace.")</f>
        <v>Femme verser du sucre dans le pot avec de la glace.</v>
      </c>
    </row>
    <row r="36753">
      <c r="A36753" s="4" t="s">
        <v>46231</v>
      </c>
      <c r="B36753" s="4" t="s">
        <v>46232</v>
      </c>
      <c r="C36753" s="5" t="str">
        <f>IFERROR(__xludf.DUMMYFUNCTION("GOOGLETRANSLATE(B36753,""en"",""fr"")"),"Une personne a mouillé une voiture avec de l'eau, puis il met un détergent à la voiture à l'aide d'une longue raclette.")</f>
        <v>Une personne a mouillé une voiture avec de l'eau, puis il met un détergent à la voiture à l'aide d'une longue raclette.</v>
      </c>
    </row>
    <row r="36754">
      <c r="A36754" s="4" t="s">
        <v>46231</v>
      </c>
      <c r="B36754" s="4" t="s">
        <v>46233</v>
      </c>
      <c r="C36754" s="5" t="str">
        <f>IFERROR(__xludf.DUMMYFUNCTION("GOOGLETRANSLATE(B36754,""en"",""fr"")"),"L'homme rince la voiture avec de l'eau.")</f>
        <v>L'homme rince la voiture avec de l'eau.</v>
      </c>
    </row>
    <row r="36755">
      <c r="A36755" s="4" t="s">
        <v>46231</v>
      </c>
      <c r="B36755" s="4" t="s">
        <v>46234</v>
      </c>
      <c r="C36755" s="5" t="str">
        <f>IFERROR(__xludf.DUMMYFUNCTION("GOOGLETRANSLATE(B36755,""en"",""fr"")"),"Ensuite, l'homme nettoie à nouveau avec du savon et de l'eau pour la deuxième fois.")</f>
        <v>Ensuite, l'homme nettoie à nouveau avec du savon et de l'eau pour la deuxième fois.</v>
      </c>
    </row>
    <row r="36756">
      <c r="A36756" s="4" t="s">
        <v>46231</v>
      </c>
      <c r="B36756" s="4" t="s">
        <v>46235</v>
      </c>
      <c r="C36756" s="5" t="str">
        <f>IFERROR(__xludf.DUMMYFUNCTION("GOOGLETRANSLATE(B36756,""en"",""fr"")"),"L'homme nettoie avec un chiffon et rince avec de l'eau les jantes de la voiture.")</f>
        <v>L'homme nettoie avec un chiffon et rince avec de l'eau les jantes de la voiture.</v>
      </c>
    </row>
    <row r="36757">
      <c r="A36757" s="4" t="s">
        <v>46231</v>
      </c>
      <c r="B36757" s="4" t="s">
        <v>46236</v>
      </c>
      <c r="C36757" s="5" t="str">
        <f>IFERROR(__xludf.DUMMYFUNCTION("GOOGLETRANSLATE(B36757,""en"",""fr"")"),"Après, l'homme sèche manuellement la voiture avec un tissu.")</f>
        <v>Après, l'homme sèche manuellement la voiture avec un tissu.</v>
      </c>
    </row>
    <row r="36758">
      <c r="A36758" s="4" t="s">
        <v>46231</v>
      </c>
      <c r="B36758" s="4" t="s">
        <v>46237</v>
      </c>
      <c r="C36758" s="5" t="str">
        <f>IFERROR(__xludf.DUMMYFUNCTION("GOOGLETRANSLATE(B36758,""en"",""fr"")"),"Ensuite, l'homme nettoie à l'intérieur de la voiture, puis conduit la voiture.")</f>
        <v>Ensuite, l'homme nettoie à l'intérieur de la voiture, puis conduit la voiture.</v>
      </c>
    </row>
    <row r="36759">
      <c r="A36759" s="4" t="s">
        <v>46238</v>
      </c>
      <c r="B36759" s="4" t="s">
        <v>46239</v>
      </c>
      <c r="C36759" s="5" t="str">
        <f>IFERROR(__xludf.DUMMYFUNCTION("GOOGLETRANSLATE(B36759,""en"",""fr"")"),"Un homme est assis à une table à parler.")</f>
        <v>Un homme est assis à une table à parler.</v>
      </c>
    </row>
    <row r="36760">
      <c r="A36760" s="4" t="s">
        <v>46238</v>
      </c>
      <c r="B36760" s="4" t="s">
        <v>46240</v>
      </c>
      <c r="C36760" s="5" t="str">
        <f>IFERROR(__xludf.DUMMYFUNCTION("GOOGLETRANSLATE(B36760,""en"",""fr"")"),"L'homme, maintenant debout, verse un diluant de peinture n un chiffon et essuie la table avec le chiffon.")</f>
        <v>L'homme, maintenant debout, verse un diluant de peinture n un chiffon et essuie la table avec le chiffon.</v>
      </c>
    </row>
    <row r="36761">
      <c r="A36761" s="4" t="s">
        <v>46238</v>
      </c>
      <c r="B36761" s="4" t="s">
        <v>46241</v>
      </c>
      <c r="C36761" s="5" t="str">
        <f>IFERROR(__xludf.DUMMYFUNCTION("GOOGLETRANSLATE(B36761,""en"",""fr"")"),"L'homme est à nouveau à la table en parlant.")</f>
        <v>L'homme est à nouveau à la table en parlant.</v>
      </c>
    </row>
    <row r="36762">
      <c r="A36762" s="4" t="s">
        <v>46238</v>
      </c>
      <c r="B36762" s="4" t="s">
        <v>46242</v>
      </c>
      <c r="C36762" s="5" t="str">
        <f>IFERROR(__xludf.DUMMYFUNCTION("GOOGLETRANSLATE(B36762,""en"",""fr"")"),"Maintenant, il met en place un vernis sur la table et le brille.")</f>
        <v>Maintenant, il met en place un vernis sur la table et le brille.</v>
      </c>
    </row>
    <row r="36763">
      <c r="A36763" s="4" t="s">
        <v>46238</v>
      </c>
      <c r="B36763" s="4" t="s">
        <v>46243</v>
      </c>
      <c r="C36763" s="5" t="str">
        <f>IFERROR(__xludf.DUMMYFUNCTION("GOOGLETRANSLATE(B36763,""en"",""fr"")"),"Il nettoie ensuite les jambes de table avec une brosse.")</f>
        <v>Il nettoie ensuite les jambes de table avec une brosse.</v>
      </c>
    </row>
    <row r="36764">
      <c r="A36764" s="4" t="s">
        <v>46238</v>
      </c>
      <c r="B36764" s="4" t="s">
        <v>46244</v>
      </c>
      <c r="C36764" s="5" t="str">
        <f>IFERROR(__xludf.DUMMYFUNCTION("GOOGLETRANSLATE(B36764,""en"",""fr"")"),"Il est assis à la table en train de parler pendant un autre moment.")</f>
        <v>Il est assis à la table en train de parler pendant un autre moment.</v>
      </c>
    </row>
    <row r="36765">
      <c r="A36765" s="4" t="s">
        <v>46238</v>
      </c>
      <c r="B36765" s="4" t="s">
        <v>46245</v>
      </c>
      <c r="C36765" s="5" t="str">
        <f>IFERROR(__xludf.DUMMYFUNCTION("GOOGLETRANSLATE(B36765,""en"",""fr"")"),"La scène change et l'homme est vu debout dans un garage.")</f>
        <v>La scène change et l'homme est vu debout dans un garage.</v>
      </c>
    </row>
    <row r="36766">
      <c r="A36766" s="4" t="s">
        <v>46246</v>
      </c>
      <c r="B36766" s="6" t="s">
        <v>46247</v>
      </c>
      <c r="C36766" s="5" t="str">
        <f>IFERROR(__xludf.DUMMYFUNCTION("GOOGLETRANSLATE(B36766,""en"",""fr"")"),"Deux personnes sont vues monter dans un canoë poussant une pagaie le long de l'eau et en regardant dans la caméra.")</f>
        <v>Deux personnes sont vues monter dans un canoë poussant une pagaie le long de l'eau et en regardant dans la caméra.</v>
      </c>
    </row>
    <row r="36767">
      <c r="A36767" s="4" t="s">
        <v>46246</v>
      </c>
      <c r="B36767" s="6" t="s">
        <v>46248</v>
      </c>
      <c r="C36767" s="5" t="str">
        <f>IFERROR(__xludf.DUMMYFUNCTION("GOOGLETRANSLATE(B36767,""en"",""fr"")"),"Plus de clips sont montrés du paysage ainsi que des gens qui roulent et rencontrent les autres.")</f>
        <v>Plus de clips sont montrés du paysage ainsi que des gens qui roulent et rencontrent les autres.</v>
      </c>
    </row>
    <row r="36768">
      <c r="A36768" s="4" t="s">
        <v>46249</v>
      </c>
      <c r="B36768" s="6" t="s">
        <v>46250</v>
      </c>
      <c r="C36768" s="5" t="str">
        <f>IFERROR(__xludf.DUMMYFUNCTION("GOOGLETRANSLATE(B36768,""en"",""fr"")"),"Un grand groupe de personnes est vue debout autour d'un ballet et mène à quatre dans la danse.")</f>
        <v>Un grand groupe de personnes est vue debout autour d'un ballet et mène à quatre dans la danse.</v>
      </c>
    </row>
    <row r="36769">
      <c r="A36769" s="4" t="s">
        <v>46249</v>
      </c>
      <c r="B36769" s="4" t="s">
        <v>46251</v>
      </c>
      <c r="C36769" s="5" t="str">
        <f>IFERROR(__xludf.DUMMYFUNCTION("GOOGLETRANSLATE(B36769,""en"",""fr"")"),"Les quatre se déplacent continuellement ensemble tout en se tenant la main et en faisant les mêmes mouvements.")</f>
        <v>Les quatre se déplacent continuellement ensemble tout en se tenant la main et en faisant les mêmes mouvements.</v>
      </c>
    </row>
    <row r="36770">
      <c r="A36770" s="4" t="s">
        <v>46249</v>
      </c>
      <c r="B36770" s="4" t="s">
        <v>46252</v>
      </c>
      <c r="C36770" s="5" t="str">
        <f>IFERROR(__xludf.DUMMYFUNCTION("GOOGLETRANSLATE(B36770,""en"",""fr"")"),"Les filles rient ensemble et continuent de danser et de terminer en tenant une pose.")</f>
        <v>Les filles rient ensemble et continuent de danser et de terminer en tenant une pose.</v>
      </c>
    </row>
    <row r="36771">
      <c r="A36771" s="4" t="s">
        <v>46253</v>
      </c>
      <c r="B36771" s="6" t="s">
        <v>46254</v>
      </c>
      <c r="C36771" s="5" t="str">
        <f>IFERROR(__xludf.DUMMYFUNCTION("GOOGLETRANSLATE(B36771,""en"",""fr"")"),"Une femme entre dans le cadre en parlant à la caméra et en pointant un panneau qui l'amène en parlant avec un homme devant un arc et une flèche.")</f>
        <v>Une femme entre dans le cadre en parlant à la caméra et en pointant un panneau qui l'amène en parlant avec un homme devant un arc et une flèche.</v>
      </c>
    </row>
    <row r="36772">
      <c r="A36772" s="4" t="s">
        <v>46253</v>
      </c>
      <c r="B36772" s="4" t="s">
        <v>46255</v>
      </c>
      <c r="C36772" s="5" t="str">
        <f>IFERROR(__xludf.DUMMYFUNCTION("GOOGLETRANSLATE(B36772,""en"",""fr"")"),"L'homme lui parle et met de l'équipement incliné sur la femme et lui tend la proue.")</f>
        <v>L'homme lui parle et met de l'équipement incliné sur la femme et lui tend la proue.</v>
      </c>
    </row>
    <row r="36773">
      <c r="A36773" s="4" t="s">
        <v>46253</v>
      </c>
      <c r="B36773" s="6" t="s">
        <v>46256</v>
      </c>
      <c r="C36773" s="5" t="str">
        <f>IFERROR(__xludf.DUMMYFUNCTION("GOOGLETRANSLATE(B36773,""en"",""fr"")"),"Il lui apprend à tenir correctement l'arc et la femme prend plusieurs tours en tirant sur l'arc et la flèche.")</f>
        <v>Il lui apprend à tenir correctement l'arc et la femme prend plusieurs tours en tirant sur l'arc et la flèche.</v>
      </c>
    </row>
    <row r="36774">
      <c r="A36774" s="4" t="s">
        <v>46253</v>
      </c>
      <c r="B36774" s="6" t="s">
        <v>46257</v>
      </c>
      <c r="C36774" s="5" t="str">
        <f>IFERROR(__xludf.DUMMYFUNCTION("GOOGLETRANSLATE(B36774,""en"",""fr"")"),"Elle applaudit et continue de tirer pendant que l'homme lui parle et lui serre la main alors qu'ils s'éloignent.")</f>
        <v>Elle applaudit et continue de tirer pendant que l'homme lui parle et lui serre la main alors qu'ils s'éloignent.</v>
      </c>
    </row>
    <row r="36775">
      <c r="A36775" s="4" t="s">
        <v>46258</v>
      </c>
      <c r="B36775" s="4" t="s">
        <v>46259</v>
      </c>
      <c r="C36775" s="5" t="str">
        <f>IFERROR(__xludf.DUMMYFUNCTION("GOOGLETRANSLATE(B36775,""en"",""fr"")"),"Une femme est vue assise sous un parapluie avec un bâton de narguilé dans sa bouche.")</f>
        <v>Une femme est vue assise sous un parapluie avec un bâton de narguilé dans sa bouche.</v>
      </c>
    </row>
    <row r="36776">
      <c r="A36776" s="4" t="s">
        <v>46258</v>
      </c>
      <c r="B36776" s="6" t="s">
        <v>46260</v>
      </c>
      <c r="C36776" s="5" t="str">
        <f>IFERROR(__xludf.DUMMYFUNCTION("GOOGLETRANSLATE(B36776,""en"",""fr"")"),"Elle prend quelques bouffées du bâton tout en le faisant sauter dans la caméra et en parlant à la caméra.")</f>
        <v>Elle prend quelques bouffées du bâton tout en le faisant sauter dans la caméra et en parlant à la caméra.</v>
      </c>
    </row>
    <row r="36777">
      <c r="A36777" s="4" t="s">
        <v>46261</v>
      </c>
      <c r="B36777" s="4" t="s">
        <v>46262</v>
      </c>
      <c r="C36777" s="5" t="str">
        <f>IFERROR(__xludf.DUMMYFUNCTION("GOOGLETRANSLATE(B36777,""en"",""fr"")"),"La femme essuie les meubles avec de l'acétone.")</f>
        <v>La femme essuie les meubles avec de l'acétone.</v>
      </c>
    </row>
    <row r="36778">
      <c r="A36778" s="4" t="s">
        <v>46261</v>
      </c>
      <c r="B36778" s="4" t="s">
        <v>46263</v>
      </c>
      <c r="C36778" s="5" t="str">
        <f>IFERROR(__xludf.DUMMYFUNCTION("GOOGLETRANSLATE(B36778,""en"",""fr"")"),"La femme pulvérise le silicone sur la table et l'essuie.")</f>
        <v>La femme pulvérise le silicone sur la table et l'essuie.</v>
      </c>
    </row>
    <row r="36779">
      <c r="A36779" s="4" t="s">
        <v>46261</v>
      </c>
      <c r="B36779" s="4" t="s">
        <v>46264</v>
      </c>
      <c r="C36779" s="5" t="str">
        <f>IFERROR(__xludf.DUMMYFUNCTION("GOOGLETRANSLATE(B36779,""en"",""fr"")"),"La femme compare la vieille section à la section nettoyée.")</f>
        <v>La femme compare la vieille section à la section nettoyée.</v>
      </c>
    </row>
    <row r="36780">
      <c r="A36780" s="4" t="s">
        <v>46265</v>
      </c>
      <c r="B36780" s="6" t="s">
        <v>46266</v>
      </c>
      <c r="C36780" s="5" t="str">
        <f>IFERROR(__xludf.DUMMYFUNCTION("GOOGLETRANSLATE(B36780,""en"",""fr"")"),"Un grand groupe de personnes est vue assise autour d'une fosse avec un homme qui tourne et jetant une balle au loin.")</f>
        <v>Un grand groupe de personnes est vue assise autour d'une fosse avec un homme qui tourne et jetant une balle au loin.</v>
      </c>
    </row>
    <row r="36781">
      <c r="A36781" s="4" t="s">
        <v>46265</v>
      </c>
      <c r="B36781" s="4" t="s">
        <v>46267</v>
      </c>
      <c r="C36781" s="5" t="str">
        <f>IFERROR(__xludf.DUMMYFUNCTION("GOOGLETRANSLATE(B36781,""en"",""fr"")"),"Les gens autour de lui applaudissent pendant que d'autres se restent et parlent et regardent les balles être lancées.")</f>
        <v>Les gens autour de lui applaudissent pendant que d'autres se restent et parlent et regardent les balles être lancées.</v>
      </c>
    </row>
    <row r="36782">
      <c r="A36782" s="4" t="s">
        <v>46265</v>
      </c>
      <c r="B36782" s="6" t="s">
        <v>46268</v>
      </c>
      <c r="C36782" s="5" t="str">
        <f>IFERROR(__xludf.DUMMYFUNCTION("GOOGLETRANSLATE(B36782,""en"",""fr"")"),"Les gens attrapent le ballon du sol encore et encore tout en regardant occasionnellement la caméra et en se dirigeant vers la grande foule.")</f>
        <v>Les gens attrapent le ballon du sol encore et encore tout en regardant occasionnellement la caméra et en se dirigeant vers la grande foule.</v>
      </c>
    </row>
    <row r="36783">
      <c r="A36783" s="4" t="s">
        <v>46269</v>
      </c>
      <c r="B36783" s="4" t="s">
        <v>46270</v>
      </c>
      <c r="C36783" s="5" t="str">
        <f>IFERROR(__xludf.DUMMYFUNCTION("GOOGLETRANSLATE(B36783,""en"",""fr"")"),"Une balle est représentée volant dans le ciel tandis qu'un grand groupe de personnes se tient.")</f>
        <v>Une balle est représentée volant dans le ciel tandis qu'un grand groupe de personnes se tient.</v>
      </c>
    </row>
    <row r="36784">
      <c r="A36784" s="4" t="s">
        <v>46269</v>
      </c>
      <c r="B36784" s="4" t="s">
        <v>46271</v>
      </c>
      <c r="C36784" s="5" t="str">
        <f>IFERROR(__xludf.DUMMYFUNCTION("GOOGLETRANSLATE(B36784,""en"",""fr"")"),"Une personne est ensuite vue en train de saisir le ballon sur le sol.")</f>
        <v>Une personne est ensuite vue en train de saisir le ballon sur le sol.</v>
      </c>
    </row>
    <row r="36785">
      <c r="A36785" s="4" t="s">
        <v>46269</v>
      </c>
      <c r="B36785" s="4" t="s">
        <v>46272</v>
      </c>
      <c r="C36785" s="5" t="str">
        <f>IFERROR(__xludf.DUMMYFUNCTION("GOOGLETRANSLATE(B36785,""en"",""fr"")"),"La personne attrape le ballon et le clip est à nouveau illustré au ralenti.")</f>
        <v>La personne attrape le ballon et le clip est à nouveau illustré au ralenti.</v>
      </c>
    </row>
    <row r="36786">
      <c r="A36786" s="4" t="s">
        <v>46273</v>
      </c>
      <c r="B36786" s="4" t="s">
        <v>46274</v>
      </c>
      <c r="C36786" s="5" t="str">
        <f>IFERROR(__xludf.DUMMYFUNCTION("GOOGLETRANSLATE(B36786,""en"",""fr"")"),"Dans une installation pauvre en plein air, les gens sont dans la piscine et d'autres sont à l'extérieur.")</f>
        <v>Dans une installation pauvre en plein air, les gens sont dans la piscine et d'autres sont à l'extérieur.</v>
      </c>
    </row>
    <row r="36787">
      <c r="A36787" s="4" t="s">
        <v>46273</v>
      </c>
      <c r="B36787" s="4" t="s">
        <v>46275</v>
      </c>
      <c r="C36787" s="5" t="str">
        <f>IFERROR(__xludf.DUMMYFUNCTION("GOOGLETRANSLATE(B36787,""en"",""fr"")"),"Il y a deux garçons à la plongée qui se préparent à sauter.")</f>
        <v>Il y a deux garçons à la plongée qui se préparent à sauter.</v>
      </c>
    </row>
    <row r="36788">
      <c r="A36788" s="4" t="s">
        <v>46273</v>
      </c>
      <c r="B36788" s="4" t="s">
        <v>46276</v>
      </c>
      <c r="C36788" s="5" t="str">
        <f>IFERROR(__xludf.DUMMYFUNCTION("GOOGLETRANSLATE(B36788,""en"",""fr"")"),"Ils entrent dans une position unique puis plongent simultanément ensemble.")</f>
        <v>Ils entrent dans une position unique puis plongent simultanément ensemble.</v>
      </c>
    </row>
    <row r="36789">
      <c r="A36789" s="4" t="s">
        <v>46273</v>
      </c>
      <c r="B36789" s="4" t="s">
        <v>46277</v>
      </c>
      <c r="C36789" s="5" t="str">
        <f>IFERROR(__xludf.DUMMYFUNCTION("GOOGLETRANSLATE(B36789,""en"",""fr"")"),"Ils font un énorme éclaboussures alors qu'ils atterrissent à l'intérieur de l'eau.")</f>
        <v>Ils font un énorme éclaboussures alors qu'ils atterrissent à l'intérieur de l'eau.</v>
      </c>
    </row>
    <row r="36790">
      <c r="A36790" s="4" t="s">
        <v>46278</v>
      </c>
      <c r="B36790" s="4" t="s">
        <v>46279</v>
      </c>
      <c r="C36790" s="5" t="str">
        <f>IFERROR(__xludf.DUMMYFUNCTION("GOOGLETRANSLATE(B36790,""en"",""fr"")"),"Une photo d'un ensemble de terrasse est montrée suivie d'une femme qui frotte les tables et les chaises.")</f>
        <v>Une photo d'un ensemble de terrasse est montrée suivie d'une femme qui frotte les tables et les chaises.</v>
      </c>
    </row>
    <row r="36791">
      <c r="A36791" s="4" t="s">
        <v>46278</v>
      </c>
      <c r="B36791" s="4" t="s">
        <v>46280</v>
      </c>
      <c r="C36791" s="5" t="str">
        <f>IFERROR(__xludf.DUMMYFUNCTION("GOOGLETRANSLATE(B36791,""en"",""fr"")"),"Elle les essuie avec un chiffon, puis secoue une boîte et Spray peint les meubles.")</f>
        <v>Elle les essuie avec un chiffon, puis secoue une boîte et Spray peint les meubles.</v>
      </c>
    </row>
    <row r="36792">
      <c r="A36792" s="4" t="s">
        <v>46278</v>
      </c>
      <c r="B36792" s="4" t="s">
        <v>46281</v>
      </c>
      <c r="C36792" s="5" t="str">
        <f>IFERROR(__xludf.DUMMYFUNCTION("GOOGLETRANSLATE(B36792,""en"",""fr"")"),"Plus de gros plans sont illustrés aux meubles tandis que les instructions de texte se pavent sur l'écran.")</f>
        <v>Plus de gros plans sont illustrés aux meubles tandis que les instructions de texte se pavent sur l'écran.</v>
      </c>
    </row>
    <row r="36793">
      <c r="A36793" s="4" t="s">
        <v>46282</v>
      </c>
      <c r="B36793" s="4" t="s">
        <v>46283</v>
      </c>
      <c r="C36793" s="5" t="str">
        <f>IFERROR(__xludf.DUMMYFUNCTION("GOOGLETRANSLATE(B36793,""en"",""fr"")"),"Un homme se tient dans un studio de danse et montre comment il se prépare à différentes postures de danse.")</f>
        <v>Un homme se tient dans un studio de danse et montre comment il se prépare à différentes postures de danse.</v>
      </c>
    </row>
    <row r="36794">
      <c r="A36794" s="4" t="s">
        <v>46282</v>
      </c>
      <c r="B36794" s="4" t="s">
        <v>46284</v>
      </c>
      <c r="C36794" s="5" t="str">
        <f>IFERROR(__xludf.DUMMYFUNCTION("GOOGLETRANSLATE(B36794,""en"",""fr"")"),"L'homme en tshirt blanc fait une touche pendant la rupture.")</f>
        <v>L'homme en tshirt blanc fait une touche pendant la rupture.</v>
      </c>
    </row>
    <row r="36795">
      <c r="A36795" s="4" t="s">
        <v>46285</v>
      </c>
      <c r="B36795" s="4" t="s">
        <v>46286</v>
      </c>
      <c r="C36795" s="5" t="str">
        <f>IFERROR(__xludf.DUMMYFUNCTION("GOOGLETRANSLATE(B36795,""en"",""fr"")"),"L'homme est en scène dans les nouvelles.")</f>
        <v>L'homme est en scène dans les nouvelles.</v>
      </c>
    </row>
    <row r="36796">
      <c r="A36796" s="4" t="s">
        <v>46285</v>
      </c>
      <c r="B36796" s="6" t="s">
        <v>46287</v>
      </c>
      <c r="C36796" s="5" t="str">
        <f>IFERROR(__xludf.DUMMYFUNCTION("GOOGLETRANSLATE(B36796,""en"",""fr"")"),"Les gens sont dans la rue qui sautent la corde et dansaient pendant que les gens rassemblés autour d'eux les regardent.")</f>
        <v>Les gens sont dans la rue qui sautent la corde et dansaient pendant que les gens rassemblés autour d'eux les regardent.</v>
      </c>
    </row>
    <row r="36797">
      <c r="A36797" s="4" t="s">
        <v>46285</v>
      </c>
      <c r="B36797" s="4" t="s">
        <v>46288</v>
      </c>
      <c r="C36797" s="5" t="str">
        <f>IFERROR(__xludf.DUMMYFUNCTION("GOOGLETRANSLATE(B36797,""en"",""fr"")"),"Une vieille femme chinoise est interviewée.")</f>
        <v>Une vieille femme chinoise est interviewée.</v>
      </c>
    </row>
    <row r="36798">
      <c r="A36798" s="4" t="s">
        <v>46285</v>
      </c>
      <c r="B36798" s="4" t="s">
        <v>46289</v>
      </c>
      <c r="C36798" s="5" t="str">
        <f>IFERROR(__xludf.DUMMYFUNCTION("GOOGLETRANSLATE(B36798,""en"",""fr"")"),"Le vieil homme parle à la caméra.")</f>
        <v>Le vieil homme parle à la caméra.</v>
      </c>
    </row>
    <row r="36799">
      <c r="A36799" s="4" t="s">
        <v>46285</v>
      </c>
      <c r="B36799" s="4" t="s">
        <v>46290</v>
      </c>
      <c r="C36799" s="5" t="str">
        <f>IFERROR(__xludf.DUMMYFUNCTION("GOOGLETRANSLATE(B36799,""en"",""fr"")"),"La femme tient un microphone parlant à la caméra sautant la corde.")</f>
        <v>La femme tient un microphone parlant à la caméra sautant la corde.</v>
      </c>
    </row>
    <row r="36800">
      <c r="A36800" s="4" t="s">
        <v>46285</v>
      </c>
      <c r="B36800" s="4" t="s">
        <v>46291</v>
      </c>
      <c r="C36800" s="5" t="str">
        <f>IFERROR(__xludf.DUMMYFUNCTION("GOOGLETRANSLATE(B36800,""en"",""fr"")"),"La femme saute la corde et fait des saut périlleuses.")</f>
        <v>La femme saute la corde et fait des saut périlleuses.</v>
      </c>
    </row>
    <row r="36801">
      <c r="A36801" s="4" t="s">
        <v>46285</v>
      </c>
      <c r="B36801" s="4" t="s">
        <v>46292</v>
      </c>
      <c r="C36801" s="5" t="str">
        <f>IFERROR(__xludf.DUMMYFUNCTION("GOOGLETRANSLATE(B36801,""en"",""fr"")"),"Les femmes sont interrogées et derrière son peuple saute la corde.")</f>
        <v>Les femmes sont interrogées et derrière son peuple saute la corde.</v>
      </c>
    </row>
    <row r="36802">
      <c r="A36802" s="4" t="s">
        <v>46285</v>
      </c>
      <c r="B36802" s="4" t="s">
        <v>46293</v>
      </c>
      <c r="C36802" s="5" t="str">
        <f>IFERROR(__xludf.DUMMYFUNCTION("GOOGLETRANSLATE(B36802,""en"",""fr"")"),"Les gens sont en scène en compétition en sautant la corde.")</f>
        <v>Les gens sont en scène en compétition en sautant la corde.</v>
      </c>
    </row>
    <row r="36803">
      <c r="A36803" s="4" t="s">
        <v>46285</v>
      </c>
      <c r="B36803" s="4" t="s">
        <v>46294</v>
      </c>
      <c r="C36803" s="5" t="str">
        <f>IFERROR(__xludf.DUMMYFUNCTION("GOOGLETRANSLATE(B36803,""en"",""fr"")"),"Les femmes sont dans la rue interrogées et les gens continuent de sauter la corde.")</f>
        <v>Les femmes sont dans la rue interrogées et les gens continuent de sauter la corde.</v>
      </c>
    </row>
    <row r="36804">
      <c r="A36804" s="4" t="s">
        <v>46295</v>
      </c>
      <c r="B36804" s="4" t="s">
        <v>46296</v>
      </c>
      <c r="C36804" s="5" t="str">
        <f>IFERROR(__xludf.DUMMYFUNCTION("GOOGLETRANSLATE(B36804,""en"",""fr"")"),"L'homme en justaucorps bleu leva le barbillon, mais il lâcha le barbel et il tomba sur le dos.")</f>
        <v>L'homme en justaucorps bleu leva le barbillon, mais il lâcha le barbel et il tomba sur le dos.</v>
      </c>
    </row>
    <row r="36805">
      <c r="A36805" s="4" t="s">
        <v>46295</v>
      </c>
      <c r="B36805" s="4" t="s">
        <v>46297</v>
      </c>
      <c r="C36805" s="5" t="str">
        <f>IFERROR(__xludf.DUMMYFUNCTION("GOOGLETRANSLATE(B36805,""en"",""fr"")"),"L'homme en justaucorps rouge a porté le barbillon tout le long de sa tête, la foule a applaudi.")</f>
        <v>L'homme en justaucorps rouge a porté le barbillon tout le long de sa tête, la foule a applaudi.</v>
      </c>
    </row>
    <row r="36806">
      <c r="A36806" s="4" t="s">
        <v>46295</v>
      </c>
      <c r="B36806" s="4" t="s">
        <v>46298</v>
      </c>
      <c r="C36806" s="5" t="str">
        <f>IFERROR(__xludf.DUMMYFUNCTION("GOOGLETRANSLATE(B36806,""en"",""fr"")"),"L'athlète a levé son barbel mais n'a pas pu monter dans sa tête.")</f>
        <v>L'athlète a levé son barbel mais n'a pas pu monter dans sa tête.</v>
      </c>
    </row>
    <row r="36807">
      <c r="A36807" s="4" t="s">
        <v>46295</v>
      </c>
      <c r="B36807" s="4" t="s">
        <v>46299</v>
      </c>
      <c r="C36807" s="5" t="str">
        <f>IFERROR(__xludf.DUMMYFUNCTION("GOOGLETRANSLATE(B36807,""en"",""fr"")"),"La foule applaudie tandis que les athlètes sont capables d'élever le barbillon dans la tête.")</f>
        <v>La foule applaudie tandis que les athlètes sont capables d'élever le barbillon dans la tête.</v>
      </c>
    </row>
    <row r="36808">
      <c r="A36808" s="4" t="s">
        <v>46300</v>
      </c>
      <c r="B36808" s="4" t="s">
        <v>46301</v>
      </c>
      <c r="C36808" s="5" t="str">
        <f>IFERROR(__xludf.DUMMYFUNCTION("GOOGLETRANSLATE(B36808,""en"",""fr"")"),"Un homme en short de gym bleu repose ses vêtements sur une planche à repasser à la maison.")</f>
        <v>Un homme en short de gym bleu repose ses vêtements sur une planche à repasser à la maison.</v>
      </c>
    </row>
    <row r="36809">
      <c r="A36809" s="4" t="s">
        <v>46300</v>
      </c>
      <c r="B36809" s="4" t="s">
        <v>46302</v>
      </c>
      <c r="C36809" s="5" t="str">
        <f>IFERROR(__xludf.DUMMYFUNCTION("GOOGLETRANSLATE(B36809,""en"",""fr"")"),"L'homme s'assoit sur le sol et plie ses vêtements et les empile.")</f>
        <v>L'homme s'assoit sur le sol et plie ses vêtements et les empile.</v>
      </c>
    </row>
    <row r="36810">
      <c r="A36810" s="4" t="s">
        <v>46300</v>
      </c>
      <c r="B36810" s="4" t="s">
        <v>46303</v>
      </c>
      <c r="C36810" s="5" t="str">
        <f>IFERROR(__xludf.DUMMYFUNCTION("GOOGLETRANSLATE(B36810,""en"",""fr"")"),"L'homme quitte la pièce et la pièce devient sombre.")</f>
        <v>L'homme quitte la pièce et la pièce devient sombre.</v>
      </c>
    </row>
    <row r="36811">
      <c r="A36811" s="4" t="s">
        <v>46304</v>
      </c>
      <c r="B36811" s="4" t="s">
        <v>46305</v>
      </c>
      <c r="C36811" s="5" t="str">
        <f>IFERROR(__xludf.DUMMYFUNCTION("GOOGLETRANSLATE(B36811,""en"",""fr"")"),"Un homme se tient dans une grande arène.")</f>
        <v>Un homme se tient dans une grande arène.</v>
      </c>
    </row>
    <row r="36812">
      <c r="A36812" s="4" t="s">
        <v>46304</v>
      </c>
      <c r="B36812" s="4" t="s">
        <v>46306</v>
      </c>
      <c r="C36812" s="5" t="str">
        <f>IFERROR(__xludf.DUMMYFUNCTION("GOOGLETRANSLATE(B36812,""en"",""fr"")"),"Elle lance une balle lourde très loin.")</f>
        <v>Elle lance une balle lourde très loin.</v>
      </c>
    </row>
    <row r="36813">
      <c r="A36813" s="4" t="s">
        <v>46304</v>
      </c>
      <c r="B36813" s="4" t="s">
        <v>46307</v>
      </c>
      <c r="C36813" s="5" t="str">
        <f>IFERROR(__xludf.DUMMYFUNCTION("GOOGLETRANSLATE(B36813,""en"",""fr"")"),"Il le fait encore et encore.")</f>
        <v>Il le fait encore et encore.</v>
      </c>
    </row>
    <row r="36814">
      <c r="A36814" s="4" t="s">
        <v>46304</v>
      </c>
      <c r="B36814" s="4" t="s">
        <v>46308</v>
      </c>
      <c r="C36814" s="5" t="str">
        <f>IFERROR(__xludf.DUMMYFUNCTION("GOOGLETRANSLATE(B36814,""en"",""fr"")"),"Il lance les balles très loin.")</f>
        <v>Il lance les balles très loin.</v>
      </c>
    </row>
    <row r="36815">
      <c r="A36815" s="4" t="s">
        <v>46309</v>
      </c>
      <c r="B36815" s="4" t="s">
        <v>46310</v>
      </c>
      <c r="C36815" s="5" t="str">
        <f>IFERROR(__xludf.DUMMYFUNCTION("GOOGLETRANSLATE(B36815,""en"",""fr"")"),"À l'extérieur, un chien est allongé sur le trottoir lorsqu'un humain ramasse un frisbee et le jette.")</f>
        <v>À l'extérieur, un chien est allongé sur le trottoir lorsqu'un humain ramasse un frisbee et le jette.</v>
      </c>
    </row>
    <row r="36816">
      <c r="A36816" s="4" t="s">
        <v>46309</v>
      </c>
      <c r="B36816" s="4" t="s">
        <v>46311</v>
      </c>
      <c r="C36816" s="5" t="str">
        <f>IFERROR(__xludf.DUMMYFUNCTION("GOOGLETRANSLATE(B36816,""en"",""fr"")"),"Le chien court avec enthousiasme et est revenu en courant avec lui, le ramenant à son humain.")</f>
        <v>Le chien court avec enthousiasme et est revenu en courant avec lui, le ramenant à son humain.</v>
      </c>
    </row>
    <row r="36817">
      <c r="A36817" s="4" t="s">
        <v>46309</v>
      </c>
      <c r="B36817" s="4" t="s">
        <v>46312</v>
      </c>
      <c r="C36817" s="5" t="str">
        <f>IFERROR(__xludf.DUMMYFUNCTION("GOOGLETRANSLATE(B36817,""en"",""fr"")"),"Il disparaît un peu et ensuite vous le voyez avec enthousiasme se préparer à courir à nouveau.")</f>
        <v>Il disparaît un peu et ensuite vous le voyez avec enthousiasme se préparer à courir à nouveau.</v>
      </c>
    </row>
    <row r="36818">
      <c r="A36818" s="4" t="s">
        <v>46309</v>
      </c>
      <c r="B36818" s="4" t="s">
        <v>46313</v>
      </c>
      <c r="C36818" s="5" t="str">
        <f>IFERROR(__xludf.DUMMYFUNCTION("GOOGLETRANSLATE(B36818,""en"",""fr"")"),"Une fois qu'il a vu le frisbee voler, il commence à courir pour cela et le ramène à chaque fois.")</f>
        <v>Une fois qu'il a vu le frisbee voler, il commence à courir pour cela et le ramène à chaque fois.</v>
      </c>
    </row>
    <row r="36819">
      <c r="A36819" s="4" t="s">
        <v>46314</v>
      </c>
      <c r="B36819" s="4" t="s">
        <v>46315</v>
      </c>
      <c r="C36819" s="5" t="str">
        <f>IFERROR(__xludf.DUMMYFUNCTION("GOOGLETRANSLATE(B36819,""en"",""fr"")"),"Il y a quelques adolescents de skateboard dans une rue calme dans un quartier.")</f>
        <v>Il y a quelques adolescents de skateboard dans une rue calme dans un quartier.</v>
      </c>
    </row>
    <row r="36820">
      <c r="A36820" s="4" t="s">
        <v>46314</v>
      </c>
      <c r="B36820" s="4" t="s">
        <v>46316</v>
      </c>
      <c r="C36820" s="5" t="str">
        <f>IFERROR(__xludf.DUMMYFUNCTION("GOOGLETRANSLATE(B36820,""en"",""fr"")"),"Ils descendent dans la rue, essayant des cascades sur la planche à roulettes.")</f>
        <v>Ils descendent dans la rue, essayant des cascades sur la planche à roulettes.</v>
      </c>
    </row>
    <row r="36821">
      <c r="A36821" s="4" t="s">
        <v>46314</v>
      </c>
      <c r="B36821" s="4" t="s">
        <v>46317</v>
      </c>
      <c r="C36821" s="5" t="str">
        <f>IFERROR(__xludf.DUMMYFUNCTION("GOOGLETRANSLATE(B36821,""en"",""fr"")"),"Il y a quelques feuilles tombées sur le trottoir.")</f>
        <v>Il y a quelques feuilles tombées sur le trottoir.</v>
      </c>
    </row>
    <row r="36822">
      <c r="A36822" s="4" t="s">
        <v>46314</v>
      </c>
      <c r="B36822" s="4" t="s">
        <v>46318</v>
      </c>
      <c r="C36822" s="5" t="str">
        <f>IFERROR(__xludf.DUMMYFUNCTION("GOOGLETRANSLATE(B36822,""en"",""fr"")"),"L'un des garçons se penche et patine dans une position assise.")</f>
        <v>L'un des garçons se penche et patine dans une position assise.</v>
      </c>
    </row>
    <row r="36823">
      <c r="A36823" s="4" t="s">
        <v>46314</v>
      </c>
      <c r="B36823" s="4" t="s">
        <v>46319</v>
      </c>
      <c r="C36823" s="5" t="str">
        <f>IFERROR(__xludf.DUMMYFUNCTION("GOOGLETRANSLATE(B36823,""en"",""fr"")"),"Les garçons continuent de rouler dans les rues, passant devant des maisons dans le quartier résidentiel.")</f>
        <v>Les garçons continuent de rouler dans les rues, passant devant des maisons dans le quartier résidentiel.</v>
      </c>
    </row>
    <row r="36824">
      <c r="A36824" s="4" t="s">
        <v>46320</v>
      </c>
      <c r="B36824" s="4" t="s">
        <v>46321</v>
      </c>
      <c r="C36824" s="5" t="str">
        <f>IFERROR(__xludf.DUMMYFUNCTION("GOOGLETRANSLATE(B36824,""en"",""fr"")"),"Un homme dans une chemise rayée se prépare à jeter des fléchettes sur une planche de fléchettes.")</f>
        <v>Un homme dans une chemise rayée se prépare à jeter des fléchettes sur une planche de fléchettes.</v>
      </c>
    </row>
    <row r="36825">
      <c r="A36825" s="4" t="s">
        <v>46320</v>
      </c>
      <c r="B36825" s="4" t="s">
        <v>46322</v>
      </c>
      <c r="C36825" s="5" t="str">
        <f>IFERROR(__xludf.DUMMYFUNCTION("GOOGLETRANSLATE(B36825,""en"",""fr"")"),"L'homme lance trois fléchettes au dartboard.")</f>
        <v>L'homme lance trois fléchettes au dartboard.</v>
      </c>
    </row>
    <row r="36826">
      <c r="A36826" s="4" t="s">
        <v>46320</v>
      </c>
      <c r="B36826" s="6" t="s">
        <v>46323</v>
      </c>
      <c r="C36826" s="5" t="str">
        <f>IFERROR(__xludf.DUMMYFUNCTION("GOOGLETRANSLATE(B36826,""en"",""fr"")"),"L'homme de la caméra se met sur le côté de la planche et zoome sur les fléchettes alors que l'homme de la chemise rayée atteint la planche de fléchettes.")</f>
        <v>L'homme de la caméra se met sur le côté de la planche et zoome sur les fléchettes alors que l'homme de la chemise rayée atteint la planche de fléchettes.</v>
      </c>
    </row>
    <row r="36827">
      <c r="A36827" s="4" t="s">
        <v>46324</v>
      </c>
      <c r="B36827" s="4" t="s">
        <v>46325</v>
      </c>
      <c r="C36827" s="5" t="str">
        <f>IFERROR(__xludf.DUMMYFUNCTION("GOOGLETRANSLATE(B36827,""en"",""fr"")"),"Une annonce pour Vidal Sassoon apparaît.")</f>
        <v>Une annonce pour Vidal Sassoon apparaît.</v>
      </c>
    </row>
    <row r="36828">
      <c r="A36828" s="4" t="s">
        <v>46324</v>
      </c>
      <c r="B36828" s="4" t="s">
        <v>46326</v>
      </c>
      <c r="C36828" s="5" t="str">
        <f>IFERROR(__xludf.DUMMYFUNCTION("GOOGLETRANSLATE(B36828,""en"",""fr"")"),"Nous voyons ensuite leur ensemble de fer à friser et de rouleaux chauds.")</f>
        <v>Nous voyons ensuite leur ensemble de fer à friser et de rouleaux chauds.</v>
      </c>
    </row>
    <row r="36829">
      <c r="A36829" s="4" t="s">
        <v>46324</v>
      </c>
      <c r="B36829" s="4" t="s">
        <v>46327</v>
      </c>
      <c r="C36829" s="5" t="str">
        <f>IFERROR(__xludf.DUMMYFUNCTION("GOOGLETRANSLATE(B36829,""en"",""fr"")"),"Une démonstration est montrée pour savoir comment régler et utiliser les rouleaux chauds et le fer sur les cheveux d'une femme.")</f>
        <v>Une démonstration est montrée pour savoir comment régler et utiliser les rouleaux chauds et le fer sur les cheveux d'une femme.</v>
      </c>
    </row>
    <row r="36830">
      <c r="A36830" s="4" t="s">
        <v>46324</v>
      </c>
      <c r="B36830" s="4" t="s">
        <v>46328</v>
      </c>
      <c r="C36830" s="5" t="str">
        <f>IFERROR(__xludf.DUMMYFUNCTION("GOOGLETRANSLATE(B36830,""en"",""fr"")"),"Ses cheveux sont montrés en jolies boucles tout autour de sa tête.")</f>
        <v>Ses cheveux sont montrés en jolies boucles tout autour de sa tête.</v>
      </c>
    </row>
    <row r="36831">
      <c r="A36831" s="4" t="s">
        <v>46329</v>
      </c>
      <c r="B36831" s="4" t="s">
        <v>46330</v>
      </c>
      <c r="C36831" s="5" t="str">
        <f>IFERROR(__xludf.DUMMYFUNCTION("GOOGLETRANSLATE(B36831,""en"",""fr"")"),"Un coup d'introduction de divers athlètes est montré.")</f>
        <v>Un coup d'introduction de divers athlètes est montré.</v>
      </c>
    </row>
    <row r="36832">
      <c r="A36832" s="4" t="s">
        <v>46329</v>
      </c>
      <c r="B36832" s="4" t="s">
        <v>46331</v>
      </c>
      <c r="C36832" s="5" t="str">
        <f>IFERROR(__xludf.DUMMYFUNCTION("GOOGLETRANSLATE(B36832,""en"",""fr"")"),"Un homme est ensuite montré en jetant un disque sur un grand champ.")</f>
        <v>Un homme est ensuite montré en jetant un disque sur un grand champ.</v>
      </c>
    </row>
    <row r="36833">
      <c r="A36833" s="4" t="s">
        <v>46329</v>
      </c>
      <c r="B36833" s="6" t="s">
        <v>46332</v>
      </c>
      <c r="C36833" s="5" t="str">
        <f>IFERROR(__xludf.DUMMYFUNCTION("GOOGLETRANSLATE(B36833,""en"",""fr"")"),"Un autre homme est également montré en faisant de même avec un coup encore de lui, montrant sa posture et son lancer au ralenti.")</f>
        <v>Un autre homme est également montré en faisant de même avec un coup encore de lui, montrant sa posture et son lancer au ralenti.</v>
      </c>
    </row>
    <row r="36834">
      <c r="A36834" s="4" t="s">
        <v>46329</v>
      </c>
      <c r="B36834" s="4" t="s">
        <v>46333</v>
      </c>
      <c r="C36834" s="5" t="str">
        <f>IFERROR(__xludf.DUMMYFUNCTION("GOOGLETRANSLATE(B36834,""en"",""fr"")"),"On lui montre ensuite s'éloigner et se sentir très confiant sur ce qu'il vient d'accomplir.")</f>
        <v>On lui montre ensuite s'éloigner et se sentir très confiant sur ce qu'il vient d'accomplir.</v>
      </c>
    </row>
    <row r="36835">
      <c r="A36835" s="4" t="s">
        <v>46334</v>
      </c>
      <c r="B36835" s="6" t="s">
        <v>46335</v>
      </c>
      <c r="C36835" s="5" t="str">
        <f>IFERROR(__xludf.DUMMYFUNCTION("GOOGLETRANSLATE(B36835,""en"",""fr"")"),"Diverses personnes sont vues errant autour d'une plage, suivies de vagues se déplaçant le long de l'eau et des gens assis dans l'eau.")</f>
        <v>Diverses personnes sont vues errant autour d'une plage, suivies de vagues se déplaçant le long de l'eau et des gens assis dans l'eau.</v>
      </c>
    </row>
    <row r="36836">
      <c r="A36836" s="4" t="s">
        <v>46334</v>
      </c>
      <c r="B36836" s="4" t="s">
        <v>46336</v>
      </c>
      <c r="C36836" s="5" t="str">
        <f>IFERROR(__xludf.DUMMYFUNCTION("GOOGLETRANSLATE(B36836,""en"",""fr"")"),"Plusieurs personnes surfant sur les vagues tandis que les gens sur la touche regardent les athlètes bouger.")</f>
        <v>Plusieurs personnes surfant sur les vagues tandis que les gens sur la touche regardent les athlètes bouger.</v>
      </c>
    </row>
    <row r="36837">
      <c r="A36837" s="4" t="s">
        <v>46337</v>
      </c>
      <c r="B36837" s="4" t="s">
        <v>46338</v>
      </c>
      <c r="C36837" s="5" t="str">
        <f>IFERROR(__xludf.DUMMYFUNCTION("GOOGLETRANSLATE(B36837,""en"",""fr"")"),"Une dame tient un javelot sur une piste qu'elle le pose.")</f>
        <v>Une dame tient un javelot sur une piste qu'elle le pose.</v>
      </c>
    </row>
    <row r="36838">
      <c r="A36838" s="4" t="s">
        <v>46337</v>
      </c>
      <c r="B36838" s="4" t="s">
        <v>46339</v>
      </c>
      <c r="C36838" s="5" t="str">
        <f>IFERROR(__xludf.DUMMYFUNCTION("GOOGLETRANSLATE(B36838,""en"",""fr"")"),"La scène recommence et nous voyons une dame jeter un javelot et s'éloigner.")</f>
        <v>La scène recommence et nous voyons une dame jeter un javelot et s'éloigner.</v>
      </c>
    </row>
    <row r="36839">
      <c r="A36839" s="4" t="s">
        <v>46337</v>
      </c>
      <c r="B36839" s="4" t="s">
        <v>46340</v>
      </c>
      <c r="C36839" s="5" t="str">
        <f>IFERROR(__xludf.DUMMYFUNCTION("GOOGLETRANSLATE(B36839,""en"",""fr"")"),"Nous voyons ensuite le lancer mesuré et un homme s'approche de la fille.")</f>
        <v>Nous voyons ensuite le lancer mesuré et un homme s'approche de la fille.</v>
      </c>
    </row>
    <row r="36840">
      <c r="A36840" s="4" t="s">
        <v>46341</v>
      </c>
      <c r="B36840" s="4" t="s">
        <v>46342</v>
      </c>
      <c r="C36840" s="5" t="str">
        <f>IFERROR(__xludf.DUMMYFUNCTION("GOOGLETRANSLATE(B36840,""en"",""fr"")"),"Un homme avec de longs favoris portant une robe de couleur rouge joue du piano.")</f>
        <v>Un homme avec de longs favoris portant une robe de couleur rouge joue du piano.</v>
      </c>
    </row>
    <row r="36841">
      <c r="A36841" s="4" t="s">
        <v>46341</v>
      </c>
      <c r="B36841" s="4" t="s">
        <v>46343</v>
      </c>
      <c r="C36841" s="5" t="str">
        <f>IFERROR(__xludf.DUMMYFUNCTION("GOOGLETRANSLATE(B36841,""en"",""fr"")"),"Il y a un autre homme dans une chemise bleue debout près de lui, occupée à emballer des sacs.")</f>
        <v>Il y a un autre homme dans une chemise bleue debout près de lui, occupée à emballer des sacs.</v>
      </c>
    </row>
    <row r="36842">
      <c r="A36842" s="4" t="s">
        <v>46341</v>
      </c>
      <c r="B36842" s="4" t="s">
        <v>46344</v>
      </c>
      <c r="C36842" s="5" t="str">
        <f>IFERROR(__xludf.DUMMYFUNCTION("GOOGLETRANSLATE(B36842,""en"",""fr"")"),"Le principal en rouge continue de jouer du piano alors que l'autre homme porte deux sacs et feuilles.")</f>
        <v>Le principal en rouge continue de jouer du piano alors que l'autre homme porte deux sacs et feuilles.</v>
      </c>
    </row>
    <row r="36843">
      <c r="A36843" s="4" t="s">
        <v>46341</v>
      </c>
      <c r="B36843" s="4" t="s">
        <v>46345</v>
      </c>
      <c r="C36843" s="5" t="str">
        <f>IFERROR(__xludf.DUMMYFUNCTION("GOOGLETRANSLATE(B36843,""en"",""fr"")"),"L'homme cesse de jouer du piano et de vagues à l'autre personne alors qu'il se lève et part.")</f>
        <v>L'homme cesse de jouer du piano et de vagues à l'autre personne alors qu'il se lève et part.</v>
      </c>
    </row>
    <row r="36844">
      <c r="A36844" s="4" t="s">
        <v>46346</v>
      </c>
      <c r="B36844" s="6" t="s">
        <v>46347</v>
      </c>
      <c r="C36844" s="5" t="str">
        <f>IFERROR(__xludf.DUMMYFUNCTION("GOOGLETRANSLATE(B36844,""en"",""fr"")"),"Il y a une personne portant des gants en latex bleus polissant une table en bois hexagonal pour démontrer la technique de polissage français.")</f>
        <v>Il y a une personne portant des gants en latex bleus polissant une table en bois hexagonal pour démontrer la technique de polissage français.</v>
      </c>
    </row>
    <row r="36845">
      <c r="A36845" s="4" t="s">
        <v>46346</v>
      </c>
      <c r="B36845" s="4" t="s">
        <v>46348</v>
      </c>
      <c r="C36845" s="5" t="str">
        <f>IFERROR(__xludf.DUMMYFUNCTION("GOOGLETRANSLATE(B36845,""en"",""fr"")"),"Il utilise une éponge de polissage pour polir la surface supérieure de la table en mouvement circulaire.")</f>
        <v>Il utilise une éponge de polissage pour polir la surface supérieure de la table en mouvement circulaire.</v>
      </c>
    </row>
    <row r="36846">
      <c r="A36846" s="4" t="s">
        <v>46346</v>
      </c>
      <c r="B36846" s="4" t="s">
        <v>46349</v>
      </c>
      <c r="C36846" s="5" t="str">
        <f>IFERROR(__xludf.DUMMYFUNCTION("GOOGLETRANSLATE(B36846,""en"",""fr"")"),"Il monte ensuite de haut en bas sur la surface de la table pour le rendre brillant.")</f>
        <v>Il monte ensuite de haut en bas sur la surface de la table pour le rendre brillant.</v>
      </c>
    </row>
    <row r="36847">
      <c r="A36847" s="4" t="s">
        <v>46346</v>
      </c>
      <c r="B36847" s="4" t="s">
        <v>46350</v>
      </c>
      <c r="C36847" s="5" t="str">
        <f>IFERROR(__xludf.DUMMYFUNCTION("GOOGLETRANSLATE(B36847,""en"",""fr"")"),"Il passe méticuleusement sur toute la surface en s'assurant qu'aucune partie de la table n'est restée intacte.")</f>
        <v>Il passe méticuleusement sur toute la surface en s'assurant qu'aucune partie de la table n'est restée intacte.</v>
      </c>
    </row>
    <row r="36848">
      <c r="A36848" s="4" t="s">
        <v>46346</v>
      </c>
      <c r="B36848" s="4" t="s">
        <v>46351</v>
      </c>
      <c r="C36848" s="5" t="str">
        <f>IFERROR(__xludf.DUMMYFUNCTION("GOOGLETRANSLATE(B36848,""en"",""fr"")"),"Il commence ensuite à polir la surface d'un buffet de salle à manger qui a des portes de finition en bambou.")</f>
        <v>Il commence ensuite à polir la surface d'un buffet de salle à manger qui a des portes de finition en bambou.</v>
      </c>
    </row>
    <row r="36849">
      <c r="A36849" s="4" t="s">
        <v>46346</v>
      </c>
      <c r="B36849" s="4" t="s">
        <v>46352</v>
      </c>
      <c r="C36849" s="5" t="str">
        <f>IFERROR(__xludf.DUMMYFUNCTION("GOOGLETRANSLATE(B36849,""en"",""fr"")"),"Il polir à nouveau en mouvements circulaires sur la surface supérieure.")</f>
        <v>Il polir à nouveau en mouvements circulaires sur la surface supérieure.</v>
      </c>
    </row>
    <row r="36850">
      <c r="A36850" s="4" t="s">
        <v>46353</v>
      </c>
      <c r="B36850" s="6" t="s">
        <v>46354</v>
      </c>
      <c r="C36850" s="5" t="str">
        <f>IFERROR(__xludf.DUMMYFUNCTION("GOOGLETRANSLATE(B36850,""en"",""fr"")"),"Un homme et une femme jouent la routine de danse d'un couple tandis que d'autres couples dansent autour d'eux.")</f>
        <v>Un homme et une femme jouent la routine de danse d'un couple tandis que d'autres couples dansent autour d'eux.</v>
      </c>
    </row>
    <row r="36851">
      <c r="A36851" s="4" t="s">
        <v>46353</v>
      </c>
      <c r="B36851" s="4" t="s">
        <v>46355</v>
      </c>
      <c r="C36851" s="5" t="str">
        <f>IFERROR(__xludf.DUMMYFUNCTION("GOOGLETRANSLATE(B36851,""en"",""fr"")"),"Un groupe de spectateurs regarde les couples tourner et continuer la routine de danse.")</f>
        <v>Un groupe de spectateurs regarde les couples tourner et continuer la routine de danse.</v>
      </c>
    </row>
    <row r="36852">
      <c r="A36852" s="4" t="s">
        <v>46356</v>
      </c>
      <c r="B36852" s="4" t="s">
        <v>46357</v>
      </c>
      <c r="C36852" s="5" t="str">
        <f>IFERROR(__xludf.DUMMYFUNCTION("GOOGLETRANSLATE(B36852,""en"",""fr"")"),"Nous voyons de petits enfants monter des vélos BMX sur une piste de terre dans une arène.")</f>
        <v>Nous voyons de petits enfants monter des vélos BMX sur une piste de terre dans une arène.</v>
      </c>
    </row>
    <row r="36853">
      <c r="A36853" s="4" t="s">
        <v>46356</v>
      </c>
      <c r="B36853" s="4" t="s">
        <v>46358</v>
      </c>
      <c r="C36853" s="5" t="str">
        <f>IFERROR(__xludf.DUMMYFUNCTION("GOOGLETRANSLATE(B36853,""en"",""fr"")"),"Les enfants passent devant la caméra.")</f>
        <v>Les enfants passent devant la caméra.</v>
      </c>
    </row>
    <row r="36854">
      <c r="A36854" s="4" t="s">
        <v>46356</v>
      </c>
      <c r="B36854" s="4" t="s">
        <v>46359</v>
      </c>
      <c r="C36854" s="5" t="str">
        <f>IFERROR(__xludf.DUMMYFUNCTION("GOOGLETRANSLATE(B36854,""en"",""fr"")"),"Les enfants commencent à passer la ligne d'arrivée.")</f>
        <v>Les enfants commencent à passer la ligne d'arrivée.</v>
      </c>
    </row>
    <row r="36855">
      <c r="A36855" s="4" t="s">
        <v>46360</v>
      </c>
      <c r="B36855" s="4" t="s">
        <v>46361</v>
      </c>
      <c r="C36855" s="5" t="str">
        <f>IFERROR(__xludf.DUMMYFUNCTION("GOOGLETRANSLATE(B36855,""en"",""fr"")"),"Une femme équilibre sur une corde serrée à l'extérieur.")</f>
        <v>Une femme équilibre sur une corde serrée à l'extérieur.</v>
      </c>
    </row>
    <row r="36856">
      <c r="A36856" s="4" t="s">
        <v>46360</v>
      </c>
      <c r="B36856" s="4" t="s">
        <v>46362</v>
      </c>
      <c r="C36856" s="5" t="str">
        <f>IFERROR(__xludf.DUMMYFUNCTION("GOOGLETRANSLATE(B36856,""en"",""fr"")"),"La femme montre divers mouvements acrobatiques.")</f>
        <v>La femme montre divers mouvements acrobatiques.</v>
      </c>
    </row>
    <row r="36857">
      <c r="A36857" s="4" t="s">
        <v>46360</v>
      </c>
      <c r="B36857" s="4" t="s">
        <v>46363</v>
      </c>
      <c r="C36857" s="5" t="str">
        <f>IFERROR(__xludf.DUMMYFUNCTION("GOOGLETRANSLATE(B36857,""en"",""fr"")"),"La femme rebondit sur le fil.")</f>
        <v>La femme rebondit sur le fil.</v>
      </c>
    </row>
    <row r="36858">
      <c r="A36858" s="4" t="s">
        <v>46360</v>
      </c>
      <c r="B36858" s="4" t="s">
        <v>46364</v>
      </c>
      <c r="C36858" s="5" t="str">
        <f>IFERROR(__xludf.DUMMYFUNCTION("GOOGLETRANSLATE(B36858,""en"",""fr"")"),"Un animal est sur le terrain en arrière-plan.")</f>
        <v>Un animal est sur le terrain en arrière-plan.</v>
      </c>
    </row>
    <row r="36859">
      <c r="A36859" s="4" t="s">
        <v>46365</v>
      </c>
      <c r="B36859" s="4" t="s">
        <v>46366</v>
      </c>
      <c r="C36859" s="5" t="str">
        <f>IFERROR(__xludf.DUMMYFUNCTION("GOOGLETRANSLATE(B36859,""en"",""fr"")"),"Un gros plan est vu des décorations de Noël.")</f>
        <v>Un gros plan est vu des décorations de Noël.</v>
      </c>
    </row>
    <row r="36860">
      <c r="A36860" s="4" t="s">
        <v>46365</v>
      </c>
      <c r="B36860" s="4" t="s">
        <v>46367</v>
      </c>
      <c r="C36860" s="5" t="str">
        <f>IFERROR(__xludf.DUMMYFUNCTION("GOOGLETRANSLATE(B36860,""en"",""fr"")"),"Un costume d'homme au Père Noël joue un tambour dans une maison avec un arbre de Noël éclairé.")</f>
        <v>Un costume d'homme au Père Noël joue un tambour dans une maison avec un arbre de Noël éclairé.</v>
      </c>
    </row>
    <row r="36861">
      <c r="A36861" s="4" t="s">
        <v>46365</v>
      </c>
      <c r="B36861" s="4" t="s">
        <v>46368</v>
      </c>
      <c r="C36861" s="5" t="str">
        <f>IFERROR(__xludf.DUMMYFUNCTION("GOOGLETRANSLATE(B36861,""en"",""fr"")"),"L'homme déguisé en Père Noël finit en jouant la chanson à la batterie.")</f>
        <v>L'homme déguisé en Père Noël finit en jouant la chanson à la batterie.</v>
      </c>
    </row>
    <row r="36862">
      <c r="A36862" s="4" t="s">
        <v>46369</v>
      </c>
      <c r="B36862" s="6" t="s">
        <v>46370</v>
      </c>
      <c r="C36862" s="5" t="str">
        <f>IFERROR(__xludf.DUMMYFUNCTION("GOOGLETRANSLATE(B36862,""en"",""fr"")"),"La vidéo commence par plusieurs plans d'une personne qui roule sur une colline sur une planche à roulettes et fait des tours.")</f>
        <v>La vidéo commence par plusieurs plans d'une personne qui roule sur une colline sur une planche à roulettes et fait des tours.</v>
      </c>
    </row>
    <row r="36863">
      <c r="A36863" s="4" t="s">
        <v>46369</v>
      </c>
      <c r="B36863" s="6" t="s">
        <v>46371</v>
      </c>
      <c r="C36863" s="5" t="str">
        <f>IFERROR(__xludf.DUMMYFUNCTION("GOOGLETRANSLATE(B36863,""en"",""fr"")"),"Le garçon continue de rouler sur une planche à roulettes en faisant des flips et des astuces et la caméra le capturant sous plusieurs angles.")</f>
        <v>Le garçon continue de rouler sur une planche à roulettes en faisant des flips et des astuces et la caméra le capturant sous plusieurs angles.</v>
      </c>
    </row>
    <row r="36864">
      <c r="A36864" s="4" t="s">
        <v>46372</v>
      </c>
      <c r="B36864" s="4" t="s">
        <v>46373</v>
      </c>
      <c r="C36864" s="5" t="str">
        <f>IFERROR(__xludf.DUMMYFUNCTION("GOOGLETRANSLATE(B36864,""en"",""fr"")"),"Un homme donne des instructions sur le jeu du Congo.")</f>
        <v>Un homme donne des instructions sur le jeu du Congo.</v>
      </c>
    </row>
    <row r="36865">
      <c r="A36865" s="4" t="s">
        <v>46372</v>
      </c>
      <c r="B36865" s="4" t="s">
        <v>46374</v>
      </c>
      <c r="C36865" s="5" t="str">
        <f>IFERROR(__xludf.DUMMYFUNCTION("GOOGLETRANSLATE(B36865,""en"",""fr"")"),"Il parle avec ses mains puis il tape très légèrement le haut du Congo.")</f>
        <v>Il parle avec ses mains puis il tape très légèrement le haut du Congo.</v>
      </c>
    </row>
    <row r="36866">
      <c r="A36866" s="4" t="s">
        <v>46372</v>
      </c>
      <c r="B36866" s="6" t="s">
        <v>46375</v>
      </c>
      <c r="C36866" s="5" t="str">
        <f>IFERROR(__xludf.DUMMYFUNCTION("GOOGLETRANSLATE(B36866,""en"",""fr"")"),"Il commence à taper légèrement sur le Congo à un tempo très lent et après un peu de fait, il s'arrête pour recommencer à parler.")</f>
        <v>Il commence à taper légèrement sur le Congo à un tempo très lent et après un peu de fait, il s'arrête pour recommencer à parler.</v>
      </c>
    </row>
    <row r="36867">
      <c r="A36867" s="4" t="s">
        <v>46372</v>
      </c>
      <c r="B36867" s="4" t="s">
        <v>46376</v>
      </c>
      <c r="C36867" s="5" t="str">
        <f>IFERROR(__xludf.DUMMYFUNCTION("GOOGLETRANSLATE(B36867,""en"",""fr"")"),"Enfin, il commence à utiliser ses deux mains pour construire un rythme réel et en parle plus.")</f>
        <v>Enfin, il commence à utiliser ses deux mains pour construire un rythme réel et en parle plus.</v>
      </c>
    </row>
    <row r="36868">
      <c r="A36868" s="4" t="s">
        <v>46377</v>
      </c>
      <c r="B36868" s="4" t="s">
        <v>46378</v>
      </c>
      <c r="C36868" s="5" t="str">
        <f>IFERROR(__xludf.DUMMYFUNCTION("GOOGLETRANSLATE(B36868,""en"",""fr"")"),"Il y a une femme vêtue de noir jouant des billards devant certains spectateurs.")</f>
        <v>Il y a une femme vêtue de noir jouant des billards devant certains spectateurs.</v>
      </c>
    </row>
    <row r="36869">
      <c r="A36869" s="4" t="s">
        <v>46377</v>
      </c>
      <c r="B36869" s="4" t="s">
        <v>46379</v>
      </c>
      <c r="C36869" s="5" t="str">
        <f>IFERROR(__xludf.DUMMYFUNCTION("GOOGLETRANSLATE(B36869,""en"",""fr"")"),"Après qu'elle ait fait une autre dame, prend son tour et frappe quelques coups de feu.")</f>
        <v>Après qu'elle ait fait une autre dame, prend son tour et frappe quelques coups de feu.</v>
      </c>
    </row>
    <row r="36870">
      <c r="A36870" s="4" t="s">
        <v>46377</v>
      </c>
      <c r="B36870" s="4" t="s">
        <v>46380</v>
      </c>
      <c r="C36870" s="5" t="str">
        <f>IFERROR(__xludf.DUMMYFUNCTION("GOOGLETRANSLATE(B36870,""en"",""fr"")"),"Le deuxième concurrent vise et tire le ballon dans le trou.")</f>
        <v>Le deuxième concurrent vise et tire le ballon dans le trou.</v>
      </c>
    </row>
    <row r="36871">
      <c r="A36871" s="4" t="s">
        <v>46377</v>
      </c>
      <c r="B36871" s="4" t="s">
        <v>46381</v>
      </c>
      <c r="C36871" s="5" t="str">
        <f>IFERROR(__xludf.DUMMYFUNCTION("GOOGLETRANSLATE(B36871,""en"",""fr"")"),"Elle vise avec précision et tire les balles dans les trous un par un, sans manquer un seul coup.")</f>
        <v>Elle vise avec précision et tire les balles dans les trous un par un, sans manquer un seul coup.</v>
      </c>
    </row>
    <row r="36872">
      <c r="A36872" s="4" t="s">
        <v>46377</v>
      </c>
      <c r="B36872" s="4" t="s">
        <v>46382</v>
      </c>
      <c r="C36872" s="5" t="str">
        <f>IFERROR(__xludf.DUMMYFUNCTION("GOOGLETRANSLATE(B36872,""en"",""fr"")"),"Elle continue de se concentrer et tire les balles jusqu'à ce qu'une seule balle soit laissée sur la table de billard.")</f>
        <v>Elle continue de se concentrer et tire les balles jusqu'à ce qu'une seule balle soit laissée sur la table de billard.</v>
      </c>
    </row>
    <row r="36873">
      <c r="A36873" s="4" t="s">
        <v>46383</v>
      </c>
      <c r="B36873" s="6" t="s">
        <v>46384</v>
      </c>
      <c r="C36873" s="5" t="str">
        <f>IFERROR(__xludf.DUMMYFUNCTION("GOOGLETRANSLATE(B36873,""en"",""fr"")"),"Deux hommes vêtus de costumes se font face avec une main sur l'autre, et se tenant la main avec l'autre et ils dansent dans une direction, puis dans un autre, puis rient et se séparent.")</f>
        <v>Deux hommes vêtus de costumes se font face avec une main sur l'autre, et se tenant la main avec l'autre et ils dansent dans une direction, puis dans un autre, puis rient et se séparent.</v>
      </c>
    </row>
    <row r="36874">
      <c r="A36874" s="4" t="s">
        <v>46383</v>
      </c>
      <c r="B36874" s="6" t="s">
        <v>46385</v>
      </c>
      <c r="C36874" s="5" t="str">
        <f>IFERROR(__xludf.DUMMYFUNCTION("GOOGLETRANSLATE(B36874,""en"",""fr"")"),"Juste là où les hommes se séparent de la danse, il y a une femme asiatique qui est maintenant l'objectif alors qu'elle joue sur un clavier d'accordéon.")</f>
        <v>Juste là où les hommes se séparent de la danse, il y a une femme asiatique qui est maintenant l'objectif alors qu'elle joue sur un clavier d'accordéon.</v>
      </c>
    </row>
    <row r="36875">
      <c r="A36875" s="4" t="s">
        <v>46383</v>
      </c>
      <c r="B36875" s="4" t="s">
        <v>46386</v>
      </c>
      <c r="C36875" s="5" t="str">
        <f>IFERROR(__xludf.DUMMYFUNCTION("GOOGLETRANSLATE(B36875,""en"",""fr"")"),"La femme arrête de jouer, rit et regarde et dit quelque chose.")</f>
        <v>La femme arrête de jouer, rit et regarde et dit quelque chose.</v>
      </c>
    </row>
    <row r="36876">
      <c r="A36876" s="4" t="s">
        <v>46387</v>
      </c>
      <c r="B36876" s="4" t="s">
        <v>46388</v>
      </c>
      <c r="C36876" s="5" t="str">
        <f>IFERROR(__xludf.DUMMYFUNCTION("GOOGLETRANSLATE(B36876,""en"",""fr"")"),"Un homme tient une guitare et regarde en arrière et quatrième entre la caméra et la guitare.")</f>
        <v>Un homme tient une guitare et regarde en arrière et quatrième entre la caméra et la guitare.</v>
      </c>
    </row>
    <row r="36877">
      <c r="A36877" s="4" t="s">
        <v>46387</v>
      </c>
      <c r="B36877" s="4" t="s">
        <v>46389</v>
      </c>
      <c r="C36877" s="5" t="str">
        <f>IFERROR(__xludf.DUMMYFUNCTION("GOOGLETRANSLATE(B36877,""en"",""fr"")"),"Il bouge les mains de haut en bas du cou de la guitare et chante doucement vers la caméra.")</f>
        <v>Il bouge les mains de haut en bas du cou de la guitare et chante doucement vers la caméra.</v>
      </c>
    </row>
    <row r="36878">
      <c r="A36878" s="4" t="s">
        <v>46390</v>
      </c>
      <c r="B36878" s="4" t="s">
        <v>46391</v>
      </c>
      <c r="C36878" s="5" t="str">
        <f>IFERROR(__xludf.DUMMYFUNCTION("GOOGLETRANSLATE(B36878,""en"",""fr"")"),"Une personne en rose fait du tai-chi.")</f>
        <v>Une personne en rose fait du tai-chi.</v>
      </c>
    </row>
    <row r="36879">
      <c r="A36879" s="4" t="s">
        <v>46390</v>
      </c>
      <c r="B36879" s="4" t="s">
        <v>46392</v>
      </c>
      <c r="C36879" s="5" t="str">
        <f>IFERROR(__xludf.DUMMYFUNCTION("GOOGLETRANSLATE(B36879,""en"",""fr"")"),"Elle se déplace mais fait essentiellement la même chose de base.")</f>
        <v>Elle se déplace mais fait essentiellement la même chose de base.</v>
      </c>
    </row>
    <row r="36880">
      <c r="A36880" s="4" t="s">
        <v>46390</v>
      </c>
      <c r="B36880" s="4" t="s">
        <v>46393</v>
      </c>
      <c r="C36880" s="5" t="str">
        <f>IFERROR(__xludf.DUMMYFUNCTION("GOOGLETRANSLATE(B36880,""en"",""fr"")"),"Elle s'arrête et est toujours à la fin.")</f>
        <v>Elle s'arrête et est toujours à la fin.</v>
      </c>
    </row>
    <row r="36881">
      <c r="A36881" s="4" t="s">
        <v>46394</v>
      </c>
      <c r="B36881" s="4" t="s">
        <v>46395</v>
      </c>
      <c r="C36881" s="5" t="str">
        <f>IFERROR(__xludf.DUMMYFUNCTION("GOOGLETRANSLATE(B36881,""en"",""fr"")"),"Plusieurs athlètes s'affrontent pour les championnats du monde du javelot.")</f>
        <v>Plusieurs athlètes s'affrontent pour les championnats du monde du javelot.</v>
      </c>
    </row>
    <row r="36882">
      <c r="A36882" s="4" t="s">
        <v>46394</v>
      </c>
      <c r="B36882" s="4" t="s">
        <v>46396</v>
      </c>
      <c r="C36882" s="5" t="str">
        <f>IFERROR(__xludf.DUMMYFUNCTION("GOOGLETRANSLATE(B36882,""en"",""fr"")"),"La Russie Dimitri est la 3e médaille de bronze de la compétition.")</f>
        <v>La Russie Dimitri est la 3e médaille de bronze de la compétition.</v>
      </c>
    </row>
    <row r="36883">
      <c r="A36883" s="4" t="s">
        <v>46394</v>
      </c>
      <c r="B36883" s="4" t="s">
        <v>46397</v>
      </c>
      <c r="C36883" s="5" t="str">
        <f>IFERROR(__xludf.DUMMYFUNCTION("GOOGLETRANSLATE(B36883,""en"",""fr"")"),"Le Japonais Jenki est une médaille d'argent.")</f>
        <v>Le Japonais Jenki est une médaille d'argent.</v>
      </c>
    </row>
    <row r="36884">
      <c r="A36884" s="4" t="s">
        <v>46394</v>
      </c>
      <c r="B36884" s="4" t="s">
        <v>46398</v>
      </c>
      <c r="C36884" s="5" t="str">
        <f>IFERROR(__xludf.DUMMYFUNCTION("GOOGLETRANSLATE(B36884,""en"",""fr"")"),"Jusqu'à ce que l'Allemagne ait remporté la médaille d'or.")</f>
        <v>Jusqu'à ce que l'Allemagne ait remporté la médaille d'or.</v>
      </c>
    </row>
    <row r="36885">
      <c r="A36885" s="4" t="s">
        <v>46399</v>
      </c>
      <c r="B36885" s="6" t="s">
        <v>46400</v>
      </c>
      <c r="C36885" s="5" t="str">
        <f>IFERROR(__xludf.DUMMYFUNCTION("GOOGLETRANSLATE(B36885,""en"",""fr"")"),"Une intro mène aux mains vues jouer un instrument de musique tout en arrêtant le point sur l'instrument.")</f>
        <v>Une intro mène aux mains vues jouer un instrument de musique tout en arrêtant le point sur l'instrument.</v>
      </c>
    </row>
    <row r="36886">
      <c r="A36886" s="4" t="s">
        <v>46399</v>
      </c>
      <c r="B36886" s="4" t="s">
        <v>46401</v>
      </c>
      <c r="C36886" s="5" t="str">
        <f>IFERROR(__xludf.DUMMYFUNCTION("GOOGLETRANSLATE(B36886,""en"",""fr"")"),"Il continue de bouger ses mains pour jouer et est ensuite vu parler à la caméra.")</f>
        <v>Il continue de bouger ses mains pour jouer et est ensuite vu parler à la caméra.</v>
      </c>
    </row>
    <row r="36887">
      <c r="A36887" s="4" t="s">
        <v>46402</v>
      </c>
      <c r="B36887" s="6" t="s">
        <v>46403</v>
      </c>
      <c r="C36887" s="5" t="str">
        <f>IFERROR(__xludf.DUMMYFUNCTION("GOOGLETRANSLATE(B36887,""en"",""fr"")"),"Un homme portant des vêtements chirurgicaux démontre la bonne façon de se laver les procédures chirurgicales et élimine d'abord les bijoux.")</f>
        <v>Un homme portant des vêtements chirurgicaux démontre la bonne façon de se laver les procédures chirurgicales et élimine d'abord les bijoux.</v>
      </c>
    </row>
    <row r="36888">
      <c r="A36888" s="4" t="s">
        <v>46402</v>
      </c>
      <c r="B36888" s="4" t="s">
        <v>46404</v>
      </c>
      <c r="C36888" s="5" t="str">
        <f>IFERROR(__xludf.DUMMYFUNCTION("GOOGLETRANSLATE(B36888,""en"",""fr"")"),"Le chirurgien assouplit alors ses mains et ses annonces de savon.")</f>
        <v>Le chirurgien assouplit alors ses mains et ses annonces de savon.</v>
      </c>
    </row>
    <row r="36889">
      <c r="A36889" s="4" t="s">
        <v>46402</v>
      </c>
      <c r="B36889" s="4" t="s">
        <v>46405</v>
      </c>
      <c r="C36889" s="5" t="str">
        <f>IFERROR(__xludf.DUMMYFUNCTION("GOOGLETRANSLATE(B36889,""en"",""fr"")"),"Le chirurgien frotte ensuite les paumes ensemble et construit une mousse.")</f>
        <v>Le chirurgien frotte ensuite les paumes ensemble et construit une mousse.</v>
      </c>
    </row>
    <row r="36890">
      <c r="A36890" s="4" t="s">
        <v>46402</v>
      </c>
      <c r="B36890" s="4" t="s">
        <v>46406</v>
      </c>
      <c r="C36890" s="5" t="str">
        <f>IFERROR(__xludf.DUMMYFUNCTION("GOOGLETRANSLATE(B36890,""en"",""fr"")"),"Il frotte ensuite à la main avec Palm.")</f>
        <v>Il frotte ensuite à la main avec Palm.</v>
      </c>
    </row>
    <row r="36891">
      <c r="A36891" s="4" t="s">
        <v>46402</v>
      </c>
      <c r="B36891" s="4" t="s">
        <v>46407</v>
      </c>
      <c r="C36891" s="5" t="str">
        <f>IFERROR(__xludf.DUMMYFUNCTION("GOOGLETRANSLATE(B36891,""en"",""fr"")"),"Le chirurgien frotte ensuite le dos des doigts avec les mains.")</f>
        <v>Le chirurgien frotte ensuite le dos des doigts avec les mains.</v>
      </c>
    </row>
    <row r="36892">
      <c r="A36892" s="4" t="s">
        <v>46402</v>
      </c>
      <c r="B36892" s="4" t="s">
        <v>46408</v>
      </c>
      <c r="C36892" s="5" t="str">
        <f>IFERROR(__xludf.DUMMYFUNCTION("GOOGLETRANSLATE(B36892,""en"",""fr"")"),"Il frotte ensuite les pouces avec le pouce en serrant le pouce.")</f>
        <v>Il frotte ensuite les pouces avec le pouce en serrant le pouce.</v>
      </c>
    </row>
    <row r="36893">
      <c r="A36893" s="4" t="s">
        <v>46402</v>
      </c>
      <c r="B36893" s="4" t="s">
        <v>46409</v>
      </c>
      <c r="C36893" s="5" t="str">
        <f>IFERROR(__xludf.DUMMYFUNCTION("GOOGLETRANSLATE(B36893,""en"",""fr"")"),"Puis il frotte les pointes des doigts dans la paume.")</f>
        <v>Puis il frotte les pointes des doigts dans la paume.</v>
      </c>
    </row>
    <row r="36894">
      <c r="A36894" s="4" t="s">
        <v>46402</v>
      </c>
      <c r="B36894" s="4" t="s">
        <v>46410</v>
      </c>
      <c r="C36894" s="5" t="str">
        <f>IFERROR(__xludf.DUMMYFUNCTION("GOOGLETRANSLATE(B36894,""en"",""fr"")"),"Puis il frotte les poignets et rince les mains en wter et sèche complètement ses mains.")</f>
        <v>Puis il frotte les poignets et rince les mains en wter et sèche complètement ses mains.</v>
      </c>
    </row>
    <row r="36895">
      <c r="A36895" s="4" t="s">
        <v>46411</v>
      </c>
      <c r="B36895" s="4" t="s">
        <v>46412</v>
      </c>
      <c r="C36895" s="5" t="str">
        <f>IFERROR(__xludf.DUMMYFUNCTION("GOOGLETRANSLATE(B36895,""en"",""fr"")"),"Un danseur se lève d'une chaise.")</f>
        <v>Un danseur se lève d'une chaise.</v>
      </c>
    </row>
    <row r="36896">
      <c r="A36896" s="4" t="s">
        <v>46411</v>
      </c>
      <c r="B36896" s="4" t="s">
        <v>46413</v>
      </c>
      <c r="C36896" s="5" t="str">
        <f>IFERROR(__xludf.DUMMYFUNCTION("GOOGLETRANSLATE(B36896,""en"",""fr"")"),"Il pousse la chaise vers lui partenaire de danse féminine.")</f>
        <v>Il pousse la chaise vers lui partenaire de danse féminine.</v>
      </c>
    </row>
    <row r="36897">
      <c r="A36897" s="4" t="s">
        <v>46411</v>
      </c>
      <c r="B36897" s="4" t="s">
        <v>46414</v>
      </c>
      <c r="C36897" s="5" t="str">
        <f>IFERROR(__xludf.DUMMYFUNCTION("GOOGLETRANSLATE(B36897,""en"",""fr"")"),"Elle est assise sur la chaise.")</f>
        <v>Elle est assise sur la chaise.</v>
      </c>
    </row>
    <row r="36898">
      <c r="A36898" s="4" t="s">
        <v>46411</v>
      </c>
      <c r="B36898" s="4" t="s">
        <v>46415</v>
      </c>
      <c r="C36898" s="5" t="str">
        <f>IFERROR(__xludf.DUMMYFUNCTION("GOOGLETRANSLATE(B36898,""en"",""fr"")"),"Il se dirige vers elle, la ramasse sur la chaise et ils dansent.")</f>
        <v>Il se dirige vers elle, la ramasse sur la chaise et ils dansent.</v>
      </c>
    </row>
    <row r="36899">
      <c r="A36899" s="4" t="s">
        <v>46411</v>
      </c>
      <c r="B36899" s="4" t="s">
        <v>46416</v>
      </c>
      <c r="C36899" s="5" t="str">
        <f>IFERROR(__xludf.DUMMYFUNCTION("GOOGLETRANSLATE(B36899,""en"",""fr"")"),"Les gens du public applaudissent.")</f>
        <v>Les gens du public applaudissent.</v>
      </c>
    </row>
    <row r="36900">
      <c r="A36900" s="4" t="s">
        <v>46417</v>
      </c>
      <c r="B36900" s="4" t="s">
        <v>46418</v>
      </c>
      <c r="C36900" s="5" t="str">
        <f>IFERROR(__xludf.DUMMYFUNCTION("GOOGLETRANSLATE(B36900,""en"",""fr"")"),"Une fille est devant une caméra.")</f>
        <v>Une fille est devant une caméra.</v>
      </c>
    </row>
    <row r="36901">
      <c r="A36901" s="4" t="s">
        <v>46417</v>
      </c>
      <c r="B36901" s="4" t="s">
        <v>46419</v>
      </c>
      <c r="C36901" s="5" t="str">
        <f>IFERROR(__xludf.DUMMYFUNCTION("GOOGLETRANSLATE(B36901,""en"",""fr"")"),"Elle applique un brillant à lèvres rose clair à ses lèvres.")</f>
        <v>Elle applique un brillant à lèvres rose clair à ses lèvres.</v>
      </c>
    </row>
    <row r="36902">
      <c r="A36902" s="4" t="s">
        <v>46420</v>
      </c>
      <c r="B36902" s="4" t="s">
        <v>46421</v>
      </c>
      <c r="C36902" s="5" t="str">
        <f>IFERROR(__xludf.DUMMYFUNCTION("GOOGLETRANSLATE(B36902,""en"",""fr"")"),"Un homme est vu assis devant une clôture assise sur une planche à roulettes et parlant à la caméra.")</f>
        <v>Un homme est vu assis devant une clôture assise sur une planche à roulettes et parlant à la caméra.</v>
      </c>
    </row>
    <row r="36903">
      <c r="A36903" s="4" t="s">
        <v>46420</v>
      </c>
      <c r="B36903" s="6" t="s">
        <v>46422</v>
      </c>
      <c r="C36903" s="5" t="str">
        <f>IFERROR(__xludf.DUMMYFUNCTION("GOOGLETRANSLATE(B36903,""en"",""fr"")"),"Plusieurs plans sont ensuite montrés sur lui parlant à la caméra et effectuant divers trucs de skateboard autour d'un parc.")</f>
        <v>Plusieurs plans sont ensuite montrés sur lui parlant à la caméra et effectuant divers trucs de skateboard autour d'un parc.</v>
      </c>
    </row>
    <row r="36904">
      <c r="A36904" s="4" t="s">
        <v>46423</v>
      </c>
      <c r="B36904" s="6" t="s">
        <v>46424</v>
      </c>
      <c r="C36904" s="5" t="str">
        <f>IFERROR(__xludf.DUMMYFUNCTION("GOOGLETRANSLATE(B36904,""en"",""fr"")"),"On voit deux jeunes enfants debout derrière une table avec un citrons épluchants et un garçon qui regarde sur le côté.")</f>
        <v>On voit deux jeunes enfants debout derrière une table avec un citrons épluchants et un garçon qui regarde sur le côté.</v>
      </c>
    </row>
    <row r="36905">
      <c r="A36905" s="4" t="s">
        <v>46423</v>
      </c>
      <c r="B36905" s="4" t="s">
        <v>46425</v>
      </c>
      <c r="C36905" s="5" t="str">
        <f>IFERROR(__xludf.DUMMYFUNCTION("GOOGLETRANSLATE(B36905,""en"",""fr"")"),"Un autre enfant est vu en serrant des citrons et zoome sur les enfants qui travaillent.")</f>
        <v>Un autre enfant est vu en serrant des citrons et zoome sur les enfants qui travaillent.</v>
      </c>
    </row>
    <row r="36906">
      <c r="A36906" s="4" t="s">
        <v>46423</v>
      </c>
      <c r="B36906" s="6" t="s">
        <v>46426</v>
      </c>
      <c r="C36906" s="5" t="str">
        <f>IFERROR(__xludf.DUMMYFUNCTION("GOOGLETRANSLATE(B36906,""en"",""fr"")"),"Les enfants continuent de serrer le citron tout en regardant et en agitant la caméra et en parlant sur le côté.")</f>
        <v>Les enfants continuent de serrer le citron tout en regardant et en agitant la caméra et en parlant sur le côté.</v>
      </c>
    </row>
    <row r="36907">
      <c r="A36907" s="4" t="s">
        <v>46427</v>
      </c>
      <c r="B36907" s="4" t="s">
        <v>46428</v>
      </c>
      <c r="C36907" s="5" t="str">
        <f>IFERROR(__xludf.DUMMYFUNCTION("GOOGLETRANSLATE(B36907,""en"",""fr"")"),"Un homme se prépare à lancer un disque.")</f>
        <v>Un homme se prépare à lancer un disque.</v>
      </c>
    </row>
    <row r="36908">
      <c r="A36908" s="4" t="s">
        <v>46427</v>
      </c>
      <c r="B36908" s="4" t="s">
        <v>46429</v>
      </c>
      <c r="C36908" s="5" t="str">
        <f>IFERROR(__xludf.DUMMYFUNCTION("GOOGLETRANSLATE(B36908,""en"",""fr"")"),"Plusieurs personnes se promènent et parlent en arrière-plan.")</f>
        <v>Plusieurs personnes se promènent et parlent en arrière-plan.</v>
      </c>
    </row>
    <row r="36909">
      <c r="A36909" s="4" t="s">
        <v>46427</v>
      </c>
      <c r="B36909" s="4" t="s">
        <v>46430</v>
      </c>
      <c r="C36909" s="5" t="str">
        <f>IFERROR(__xludf.DUMMYFUNCTION("GOOGLETRANSLATE(B36909,""en"",""fr"")"),"L'homme tourne et jette le disque.")</f>
        <v>L'homme tourne et jette le disque.</v>
      </c>
    </row>
    <row r="36910">
      <c r="A36910" s="4" t="s">
        <v>46431</v>
      </c>
      <c r="B36910" s="6" t="s">
        <v>46432</v>
      </c>
      <c r="C36910" s="5" t="str">
        <f>IFERROR(__xludf.DUMMYFUNCTION("GOOGLETRANSLATE(B36910,""en"",""fr"")"),"Un groupe de cyclistes est vu debout côte à côte les uns avec les autres et parler à un homme devant.")</f>
        <v>Un groupe de cyclistes est vu debout côte à côte les uns avec les autres et parler à un homme devant.</v>
      </c>
    </row>
    <row r="36911">
      <c r="A36911" s="4" t="s">
        <v>46431</v>
      </c>
      <c r="B36911" s="6" t="s">
        <v>46433</v>
      </c>
      <c r="C36911" s="5" t="str">
        <f>IFERROR(__xludf.DUMMYFUNCTION("GOOGLETRANSLATE(B36911,""en"",""fr"")"),"La caméra continue de se dérouler autour des coureurs en se préparant et enfin sauter et courir le long du chemin de terre.")</f>
        <v>La caméra continue de se dérouler autour des coureurs en se préparant et enfin sauter et courir le long du chemin de terre.</v>
      </c>
    </row>
    <row r="36912">
      <c r="A36912" s="4" t="s">
        <v>46434</v>
      </c>
      <c r="B36912" s="6" t="s">
        <v>46435</v>
      </c>
      <c r="C36912" s="5" t="str">
        <f>IFERROR(__xludf.DUMMYFUNCTION("GOOGLETRANSLATE(B36912,""en"",""fr"")"),"Une jeune fille est vue en train de couper un trou dans le haut d'une citrouille suivie de ses graines qui coulent et coupant les côtés.")</f>
        <v>Une jeune fille est vue en train de couper un trou dans le haut d'une citrouille suivie de ses graines qui coulent et coupant les côtés.</v>
      </c>
    </row>
    <row r="36913">
      <c r="A36913" s="4" t="s">
        <v>46434</v>
      </c>
      <c r="B36913" s="4" t="s">
        <v>46436</v>
      </c>
      <c r="C36913" s="5" t="str">
        <f>IFERROR(__xludf.DUMMYFUNCTION("GOOGLETRANSLATE(B36913,""en"",""fr"")"),"La fille essuie la citrouille et met sur le dessus et montre la citrouille dans l'obscurité.")</f>
        <v>La fille essuie la citrouille et met sur le dessus et montre la citrouille dans l'obscurité.</v>
      </c>
    </row>
    <row r="36914">
      <c r="A36914" s="4" t="s">
        <v>46437</v>
      </c>
      <c r="B36914" s="4" t="s">
        <v>46438</v>
      </c>
      <c r="C36914" s="5" t="str">
        <f>IFERROR(__xludf.DUMMYFUNCTION("GOOGLETRANSLATE(B36914,""en"",""fr"")"),"Une femme debout à un comptoir en parlant de fabriquer des biscuits aux pépites de chocolat.")</f>
        <v>Une femme debout à un comptoir en parlant de fabriquer des biscuits aux pépites de chocolat.</v>
      </c>
    </row>
    <row r="36915">
      <c r="A36915" s="4" t="s">
        <v>46437</v>
      </c>
      <c r="B36915" s="4" t="s">
        <v>46439</v>
      </c>
      <c r="C36915" s="5" t="str">
        <f>IFERROR(__xludf.DUMMYFUNCTION("GOOGLETRANSLATE(B36915,""en"",""fr"")"),"Elle combine et mélange les ingrédients avec un mélangeur à main.")</f>
        <v>Elle combine et mélange les ingrédients avec un mélangeur à main.</v>
      </c>
    </row>
    <row r="36916">
      <c r="A36916" s="4" t="s">
        <v>46437</v>
      </c>
      <c r="B36916" s="4" t="s">
        <v>46440</v>
      </c>
      <c r="C36916" s="5" t="str">
        <f>IFERROR(__xludf.DUMMYFUNCTION("GOOGLETRANSLATE(B36916,""en"",""fr"")"),"Elle place ensuite la farine dans un bol après qu'elle l'ait mesure avec du bicarbonate de soude.")</f>
        <v>Elle place ensuite la farine dans un bol après qu'elle l'ait mesure avec du bicarbonate de soude.</v>
      </c>
    </row>
    <row r="36917">
      <c r="A36917" s="4" t="s">
        <v>46437</v>
      </c>
      <c r="B36917" s="4" t="s">
        <v>46441</v>
      </c>
      <c r="C36917" s="5" t="str">
        <f>IFERROR(__xludf.DUMMYFUNCTION("GOOGLETRANSLATE(B36917,""en"",""fr"")"),"Elle l'ajoute à la pâte des biscuits et le mélange à la main puis ajoute les pépites de chocolat.")</f>
        <v>Elle l'ajoute à la pâte des biscuits et le mélange à la main puis ajoute les pépites de chocolat.</v>
      </c>
    </row>
    <row r="36918">
      <c r="A36918" s="4" t="s">
        <v>46437</v>
      </c>
      <c r="B36918" s="4" t="s">
        <v>46442</v>
      </c>
      <c r="C36918" s="5" t="str">
        <f>IFERROR(__xludf.DUMMYFUNCTION("GOOGLETRANSLATE(B36918,""en"",""fr"")"),"Elle mesure ensuite la pâte sur une plaque à pâtisserie pour la cuisson.")</f>
        <v>Elle mesure ensuite la pâte sur une plaque à pâtisserie pour la cuisson.</v>
      </c>
    </row>
    <row r="36919">
      <c r="A36919" s="4" t="s">
        <v>46437</v>
      </c>
      <c r="B36919" s="4" t="s">
        <v>46443</v>
      </c>
      <c r="C36919" s="5" t="str">
        <f>IFERROR(__xludf.DUMMYFUNCTION("GOOGLETRANSLATE(B36919,""en"",""fr"")"),"Placé dans le four et après avoir refroidi, vous avez des cookies.")</f>
        <v>Placé dans le four et après avoir refroidi, vous avez des cookies.</v>
      </c>
    </row>
    <row r="36920">
      <c r="A36920" s="4" t="s">
        <v>46444</v>
      </c>
      <c r="B36920" s="4" t="s">
        <v>46445</v>
      </c>
      <c r="C36920" s="5" t="str">
        <f>IFERROR(__xludf.DUMMYFUNCTION("GOOGLETRANSLATE(B36920,""en"",""fr"")"),"Une fille se lève d'une table dans une cuisine.")</f>
        <v>Une fille se lève d'une table dans une cuisine.</v>
      </c>
    </row>
    <row r="36921">
      <c r="A36921" s="4" t="s">
        <v>46444</v>
      </c>
      <c r="B36921" s="4" t="s">
        <v>46446</v>
      </c>
      <c r="C36921" s="5" t="str">
        <f>IFERROR(__xludf.DUMMYFUNCTION("GOOGLETRANSLATE(B36921,""en"",""fr"")"),"Elle et une autre fille ont des lunettes et des cuillères.")</f>
        <v>Elle et une autre fille ont des lunettes et des cuillères.</v>
      </c>
    </row>
    <row r="36922">
      <c r="A36922" s="4" t="s">
        <v>46444</v>
      </c>
      <c r="B36922" s="4" t="s">
        <v>46447</v>
      </c>
      <c r="C36922" s="5" t="str">
        <f>IFERROR(__xludf.DUMMYFUNCTION("GOOGLETRANSLATE(B36922,""en"",""fr"")"),"Ils procèdent à manger la substance alors qu'ils s'assoient par terre.")</f>
        <v>Ils procèdent à manger la substance alors qu'ils s'assoient par terre.</v>
      </c>
    </row>
    <row r="36923">
      <c r="A36923" s="4" t="s">
        <v>46448</v>
      </c>
      <c r="B36923" s="4" t="s">
        <v>46449</v>
      </c>
      <c r="C36923" s="5" t="str">
        <f>IFERROR(__xludf.DUMMYFUNCTION("GOOGLETRANSLATE(B36923,""en"",""fr"")"),"Une personne qui tient un orignal déplace la marionnette et mène à quelqu'un qui ouvre une boîte.")</f>
        <v>Une personne qui tient un orignal déplace la marionnette et mène à quelqu'un qui ouvre une boîte.</v>
      </c>
    </row>
    <row r="36924">
      <c r="A36924" s="4" t="s">
        <v>46448</v>
      </c>
      <c r="B36924" s="4" t="s">
        <v>46450</v>
      </c>
      <c r="C36924" s="5" t="str">
        <f>IFERROR(__xludf.DUMMYFUNCTION("GOOGLETRANSLATE(B36924,""en"",""fr"")"),"La personne sort des citrouilles de la boîte et coupe un cercle autour du sommet.")</f>
        <v>La personne sort des citrouilles de la boîte et coupe un cercle autour du sommet.</v>
      </c>
    </row>
    <row r="36925">
      <c r="A36925" s="4" t="s">
        <v>46448</v>
      </c>
      <c r="B36925" s="6" t="s">
        <v>46451</v>
      </c>
      <c r="C36925" s="5" t="str">
        <f>IFERROR(__xludf.DUMMYFUNCTION("GOOGLETRANSLATE(B36925,""en"",""fr"")"),"Il retire les graines de la citrouille tout en utilisant les orignaux et utilise un marqueur pour dessiner sur le côté.")</f>
        <v>Il retire les graines de la citrouille tout en utilisant les orignaux et utilise un marqueur pour dessiner sur le côté.</v>
      </c>
    </row>
    <row r="36926">
      <c r="A36926" s="4" t="s">
        <v>46448</v>
      </c>
      <c r="B36926" s="4" t="s">
        <v>46452</v>
      </c>
      <c r="C36926" s="5" t="str">
        <f>IFERROR(__xludf.DUMMYFUNCTION("GOOGLETRANSLATE(B36926,""en"",""fr"")"),"Il coupe les lignes de marqueur et met une bougie à l'intérieur pour faire une lanterne Jack O.")</f>
        <v>Il coupe les lignes de marqueur et met une bougie à l'intérieur pour faire une lanterne Jack O.</v>
      </c>
    </row>
    <row r="36927">
      <c r="A36927" s="4" t="s">
        <v>46453</v>
      </c>
      <c r="B36927" s="4" t="s">
        <v>46454</v>
      </c>
      <c r="C36927" s="5" t="str">
        <f>IFERROR(__xludf.DUMMYFUNCTION("GOOGLETRANSLATE(B36927,""en"",""fr"")"),"Un homme se filme dans une salle de bain tout en tenant un rasoir près de son visage.")</f>
        <v>Un homme se filme dans une salle de bain tout en tenant un rasoir près de son visage.</v>
      </c>
    </row>
    <row r="36928">
      <c r="A36928" s="4" t="s">
        <v>46453</v>
      </c>
      <c r="B36928" s="4" t="s">
        <v>46455</v>
      </c>
      <c r="C36928" s="5" t="str">
        <f>IFERROR(__xludf.DUMMYFUNCTION("GOOGLETRANSLATE(B36928,""en"",""fr"")"),"Il commence à raser doucement les côtés de son visage et se déplace vers sa barbe.")</f>
        <v>Il commence à raser doucement les côtés de son visage et se déplace vers sa barbe.</v>
      </c>
    </row>
    <row r="36929">
      <c r="A36929" s="4" t="s">
        <v>46453</v>
      </c>
      <c r="B36929" s="6" t="s">
        <v>46456</v>
      </c>
      <c r="C36929" s="5" t="str">
        <f>IFERROR(__xludf.DUMMYFUNCTION("GOOGLETRANSLATE(B36929,""en"",""fr"")"),"Il continue de raser la barbe sous tous les angles et ne laisse finalement rien d'autre qu'une ombre à cinq serrures.")</f>
        <v>Il continue de raser la barbe sous tous les angles et ne laisse finalement rien d'autre qu'une ombre à cinq serrures.</v>
      </c>
    </row>
    <row r="36930">
      <c r="A36930" s="4" t="s">
        <v>46457</v>
      </c>
      <c r="B36930" s="4" t="s">
        <v>46458</v>
      </c>
      <c r="C36930" s="5" t="str">
        <f>IFERROR(__xludf.DUMMYFUNCTION("GOOGLETRANSLATE(B36930,""en"",""fr"")"),"Une femme blanche d'âge moyen se tient dans un hall en quelque sorte à côté d'une image qui parle.")</f>
        <v>Une femme blanche d'âge moyen se tient dans un hall en quelque sorte à côté d'une image qui parle.</v>
      </c>
    </row>
    <row r="36931">
      <c r="A36931" s="4" t="s">
        <v>46457</v>
      </c>
      <c r="B36931" s="6" t="s">
        <v>46459</v>
      </c>
      <c r="C36931" s="5" t="str">
        <f>IFERROR(__xludf.DUMMYFUNCTION("GOOGLETRANSLATE(B36931,""en"",""fr"")"),"Elle réapparaît ensuite dans une autre pièce du même endroit et parle devant un miroir, un vase et une plante.")</f>
        <v>Elle réapparaît ensuite dans une autre pièce du même endroit et parle devant un miroir, un vase et une plante.</v>
      </c>
    </row>
    <row r="36932">
      <c r="A36932" s="4" t="s">
        <v>46457</v>
      </c>
      <c r="B36932" s="6" t="s">
        <v>46460</v>
      </c>
      <c r="C36932" s="5" t="str">
        <f>IFERROR(__xludf.DUMMYFUNCTION("GOOGLETRANSLATE(B36932,""en"",""fr"")"),"Dans sa main, elle a un petit récipient circulaire avec du vernis à chaussures et prend un chiffon et plonge le chiffon dans le récipient.")</f>
        <v>Dans sa main, elle a un petit récipient circulaire avec du vernis à chaussures et prend un chiffon et plonge le chiffon dans le récipient.</v>
      </c>
    </row>
    <row r="36933">
      <c r="A36933" s="4" t="s">
        <v>46457</v>
      </c>
      <c r="B36933" s="4" t="s">
        <v>46461</v>
      </c>
      <c r="C36933" s="5" t="str">
        <f>IFERROR(__xludf.DUMMYFUNCTION("GOOGLETRANSLATE(B36933,""en"",""fr"")"),"La femme procède ensuite à nettoyer la chaussure de robe masculine avec le tissu et le vernis.")</f>
        <v>La femme procède ensuite à nettoyer la chaussure de robe masculine avec le tissu et le vernis.</v>
      </c>
    </row>
    <row r="36934">
      <c r="A36934" s="4" t="s">
        <v>46457</v>
      </c>
      <c r="B36934" s="4" t="s">
        <v>46462</v>
      </c>
      <c r="C36934" s="5" t="str">
        <f>IFERROR(__xludf.DUMMYFUNCTION("GOOGLETRANSLATE(B36934,""en"",""fr"")"),"Elle prend ensuite un pinceau et commence à surmonter la chaussure avec elle et s'arrête brièvement et commence à parler.")</f>
        <v>Elle prend ensuite un pinceau et commence à surmonter la chaussure avec elle et s'arrête brièvement et commence à parler.</v>
      </c>
    </row>
    <row r="36935">
      <c r="A36935" s="4" t="s">
        <v>46463</v>
      </c>
      <c r="B36935" s="4" t="s">
        <v>46464</v>
      </c>
      <c r="C36935" s="5" t="str">
        <f>IFERROR(__xludf.DUMMYFUNCTION("GOOGLETRANSLATE(B36935,""en"",""fr"")"),"Un groupe de filles est montré autour d'un champ blotti ensemble.")</f>
        <v>Un groupe de filles est montré autour d'un champ blotti ensemble.</v>
      </c>
    </row>
    <row r="36936">
      <c r="A36936" s="4" t="s">
        <v>46463</v>
      </c>
      <c r="B36936" s="4" t="s">
        <v>46465</v>
      </c>
      <c r="C36936" s="5" t="str">
        <f>IFERROR(__xludf.DUMMYFUNCTION("GOOGLETRANSLATE(B36936,""en"",""fr"")"),"Les coups suivants sont des filles qui courent sur le terrain en reprenant le ballon et quatrième.")</f>
        <v>Les coups suivants sont des filles qui courent sur le terrain en reprenant le ballon et quatrième.</v>
      </c>
    </row>
    <row r="36937">
      <c r="A36937" s="4" t="s">
        <v>46463</v>
      </c>
      <c r="B36937" s="4" t="s">
        <v>46466</v>
      </c>
      <c r="C36937" s="5" t="str">
        <f>IFERROR(__xludf.DUMMYFUNCTION("GOOGLETRANSLATE(B36937,""en"",""fr"")"),"Une fille tire le ballon dans le but et atteint un point.")</f>
        <v>Une fille tire le ballon dans le but et atteint un point.</v>
      </c>
    </row>
    <row r="36938">
      <c r="A36938" s="4" t="s">
        <v>46463</v>
      </c>
      <c r="B36938" s="4" t="s">
        <v>46467</v>
      </c>
      <c r="C36938" s="5" t="str">
        <f>IFERROR(__xludf.DUMMYFUNCTION("GOOGLETRANSLATE(B36938,""en"",""fr"")"),"Un autre essaie plus tard de tirer un but mais est bloqué par le gardien de but.")</f>
        <v>Un autre essaie plus tard de tirer un but mais est bloqué par le gardien de but.</v>
      </c>
    </row>
    <row r="36939">
      <c r="A36939" s="4" t="s">
        <v>46468</v>
      </c>
      <c r="B36939" s="4" t="s">
        <v>46469</v>
      </c>
      <c r="C36939" s="5" t="str">
        <f>IFERROR(__xludf.DUMMYFUNCTION("GOOGLETRANSLATE(B36939,""en"",""fr"")"),"Un homme tient Windex près de sa portière.")</f>
        <v>Un homme tient Windex près de sa portière.</v>
      </c>
    </row>
    <row r="36940">
      <c r="A36940" s="4" t="s">
        <v>46468</v>
      </c>
      <c r="B36940" s="4" t="s">
        <v>46470</v>
      </c>
      <c r="C36940" s="5" t="str">
        <f>IFERROR(__xludf.DUMMYFUNCTION("GOOGLETRANSLATE(B36940,""en"",""fr"")"),"L'homme pulvérise ensuite la fenêtre avec Windex et essuie la fenêtre.")</f>
        <v>L'homme pulvérise ensuite la fenêtre avec Windex et essuie la fenêtre.</v>
      </c>
    </row>
    <row r="36941">
      <c r="A36941" s="4" t="s">
        <v>46468</v>
      </c>
      <c r="B36941" s="4" t="s">
        <v>46471</v>
      </c>
      <c r="C36941" s="5" t="str">
        <f>IFERROR(__xludf.DUMMYFUNCTION("GOOGLETRANSLATE(B36941,""en"",""fr"")"),"L'homme enroule la fenêtre.")</f>
        <v>L'homme enroule la fenêtre.</v>
      </c>
    </row>
    <row r="36942">
      <c r="A36942" s="4" t="s">
        <v>46468</v>
      </c>
      <c r="B36942" s="4" t="s">
        <v>46472</v>
      </c>
      <c r="C36942" s="5" t="str">
        <f>IFERROR(__xludf.DUMMYFUNCTION("GOOGLETRANSLATE(B36942,""en"",""fr"")"),"L'homme termine et roule la fenêtre vers le bas pour l'essuyer un peu plus.")</f>
        <v>L'homme termine et roule la fenêtre vers le bas pour l'essuyer un peu plus.</v>
      </c>
    </row>
    <row r="36943">
      <c r="A36943" s="4" t="s">
        <v>46473</v>
      </c>
      <c r="B36943" s="4" t="s">
        <v>25249</v>
      </c>
      <c r="C36943" s="5" t="str">
        <f>IFERROR(__xludf.DUMMYFUNCTION("GOOGLETRANSLATE(B36943,""en"",""fr"")"),"Les crédits des clips sont affichés.")</f>
        <v>Les crédits des clips sont affichés.</v>
      </c>
    </row>
    <row r="36944">
      <c r="A36944" s="4" t="s">
        <v>46473</v>
      </c>
      <c r="B36944" s="4" t="s">
        <v>46474</v>
      </c>
      <c r="C36944" s="5" t="str">
        <f>IFERROR(__xludf.DUMMYFUNCTION("GOOGLETRANSLATE(B36944,""en"",""fr"")"),"Les gars jouent à la crosse sur un terrain.")</f>
        <v>Les gars jouent à la crosse sur un terrain.</v>
      </c>
    </row>
    <row r="36945">
      <c r="A36945" s="4" t="s">
        <v>46473</v>
      </c>
      <c r="B36945" s="4" t="s">
        <v>46475</v>
      </c>
      <c r="C36945" s="5" t="str">
        <f>IFERROR(__xludf.DUMMYFUNCTION("GOOGLETRANSLATE(B36945,""en"",""fr"")"),"Un gars pousse un homme au sol.")</f>
        <v>Un gars pousse un homme au sol.</v>
      </c>
    </row>
    <row r="36946">
      <c r="A36946" s="4" t="s">
        <v>46473</v>
      </c>
      <c r="B36946" s="4" t="s">
        <v>573</v>
      </c>
      <c r="C36946" s="5" t="str">
        <f>IFERROR(__xludf.DUMMYFUNCTION("GOOGLETRANSLATE(B36946,""en"",""fr"")"),"Les crédits de la vidéo sont affichés.")</f>
        <v>Les crédits de la vidéo sont affichés.</v>
      </c>
    </row>
    <row r="36947">
      <c r="A36947" s="4" t="s">
        <v>46476</v>
      </c>
      <c r="B36947" s="6" t="s">
        <v>46477</v>
      </c>
      <c r="C36947" s="5" t="str">
        <f>IFERROR(__xludf.DUMMYFUNCTION("GOOGLETRANSLATE(B36947,""en"",""fr"")"),"Un écran d'intro d'effet spécial apparaît, il est principalement rouge et contient des mots qui disent ""comment améliorer votre pic de volleyball"".")</f>
        <v>Un écran d'intro d'effet spécial apparaît, il est principalement rouge et contient des mots qui disent "comment améliorer votre pic de volleyball".</v>
      </c>
    </row>
    <row r="36948">
      <c r="A36948" s="4" t="s">
        <v>46476</v>
      </c>
      <c r="B36948" s="6" t="s">
        <v>46478</v>
      </c>
      <c r="C36948" s="5" t="str">
        <f>IFERROR(__xludf.DUMMYFUNCTION("GOOGLETRANSLATE(B36948,""en"",""fr"")"),"Au ralenti, un homme est sur un terrain de volley-ball démontrant des mouvements alors que le texte blanc apparaît comme il fait certains mouvements.")</f>
        <v>Au ralenti, un homme est sur un terrain de volley-ball démontrant des mouvements alors que le texte blanc apparaît comme il fait certains mouvements.</v>
      </c>
    </row>
    <row r="36949">
      <c r="A36949" s="4" t="s">
        <v>46476</v>
      </c>
      <c r="B36949" s="6" t="s">
        <v>46479</v>
      </c>
      <c r="C36949" s="5" t="str">
        <f>IFERROR(__xludf.DUMMYFUNCTION("GOOGLETRANSLATE(B36949,""en"",""fr"")"),"Quand il a terminé un écran rouge apparaît qui inclut un site Web dans White Text qui dit ""ACUSPIKE DOT COM"" et il comprend un clip bleu qui le traverse avec un volleyball blanc.")</f>
        <v>Quand il a terminé un écran rouge apparaît qui inclut un site Web dans White Text qui dit "ACUSPIKE DOT COM" et il comprend un clip bleu qui le traverse avec un volleyball blanc.</v>
      </c>
    </row>
    <row r="36950">
      <c r="A36950" s="4" t="s">
        <v>46480</v>
      </c>
      <c r="B36950" s="4" t="s">
        <v>46481</v>
      </c>
      <c r="C36950" s="5" t="str">
        <f>IFERROR(__xludf.DUMMYFUNCTION("GOOGLETRANSLATE(B36950,""en"",""fr"")"),"Un gymnaste afro-américain masculin dans un justaucorps bleu passe sous deux barres et commence à s'étirer.")</f>
        <v>Un gymnaste afro-américain masculin dans un justaucorps bleu passe sous deux barres et commence à s'étirer.</v>
      </c>
    </row>
    <row r="36951">
      <c r="A36951" s="4" t="s">
        <v>46480</v>
      </c>
      <c r="B36951" s="4" t="s">
        <v>46482</v>
      </c>
      <c r="C36951" s="5" t="str">
        <f>IFERROR(__xludf.DUMMYFUNCTION("GOOGLETRANSLATE(B36951,""en"",""fr"")"),"Il attrape les barres et se tire dans un support à main sur les barres.")</f>
        <v>Il attrape les barres et se tire dans un support à main sur les barres.</v>
      </c>
    </row>
    <row r="36952">
      <c r="A36952" s="4" t="s">
        <v>46480</v>
      </c>
      <c r="B36952" s="4" t="s">
        <v>46483</v>
      </c>
      <c r="C36952" s="5" t="str">
        <f>IFERROR(__xludf.DUMMYFUNCTION("GOOGLETRANSLATE(B36952,""en"",""fr"")"),"Il continue de faire des flips acrobatiques et des flips continus.")</f>
        <v>Il continue de faire des flips acrobatiques et des flips continus.</v>
      </c>
    </row>
    <row r="36953">
      <c r="A36953" s="4" t="s">
        <v>46480</v>
      </c>
      <c r="B36953" s="4" t="s">
        <v>46484</v>
      </c>
      <c r="C36953" s="5" t="str">
        <f>IFERROR(__xludf.DUMMYFUNCTION("GOOGLETRANSLATE(B36953,""en"",""fr"")"),"Sa prochaine série de flips consiste en des divisions sur les barreaux, suivis des peuples de main.")</f>
        <v>Sa prochaine série de flips consiste en des divisions sur les barreaux, suivis des peuples de main.</v>
      </c>
    </row>
    <row r="36954">
      <c r="A36954" s="4" t="s">
        <v>46480</v>
      </c>
      <c r="B36954" s="4" t="s">
        <v>46485</v>
      </c>
      <c r="C36954" s="5" t="str">
        <f>IFERROR(__xludf.DUMMYFUNCTION("GOOGLETRANSLATE(B36954,""en"",""fr"")"),"Enfin, il détourne les barreaux et atterrit sur le tapis pour terminer sa performance.")</f>
        <v>Enfin, il détourne les barreaux et atterrit sur le tapis pour terminer sa performance.</v>
      </c>
    </row>
    <row r="36955">
      <c r="A36955" s="4" t="s">
        <v>46486</v>
      </c>
      <c r="B36955" s="4" t="s">
        <v>46487</v>
      </c>
      <c r="C36955" s="5" t="str">
        <f>IFERROR(__xludf.DUMMYFUNCTION("GOOGLETRANSLATE(B36955,""en"",""fr"")"),"Un ciel avec le soleil jette dans les nuages.")</f>
        <v>Un ciel avec le soleil jette dans les nuages.</v>
      </c>
    </row>
    <row r="36956">
      <c r="A36956" s="4" t="s">
        <v>46486</v>
      </c>
      <c r="B36956" s="4" t="s">
        <v>46488</v>
      </c>
      <c r="C36956" s="5" t="str">
        <f>IFERROR(__xludf.DUMMYFUNCTION("GOOGLETRANSLATE(B36956,""en"",""fr"")"),"Un homme est sur une piste devant une foule.")</f>
        <v>Un homme est sur une piste devant une foule.</v>
      </c>
    </row>
    <row r="36957">
      <c r="A36957" s="4" t="s">
        <v>46486</v>
      </c>
      <c r="B36957" s="4" t="s">
        <v>46489</v>
      </c>
      <c r="C36957" s="5" t="str">
        <f>IFERROR(__xludf.DUMMYFUNCTION("GOOGLETRANSLATE(B36957,""en"",""fr"")"),"Il court, faisant un saut en longueur au ralenti.")</f>
        <v>Il court, faisant un saut en longueur au ralenti.</v>
      </c>
    </row>
    <row r="36958">
      <c r="A36958" s="4" t="s">
        <v>46486</v>
      </c>
      <c r="B36958" s="4" t="s">
        <v>46490</v>
      </c>
      <c r="C36958" s="5" t="str">
        <f>IFERROR(__xludf.DUMMYFUNCTION("GOOGLETRANSLATE(B36958,""en"",""fr"")"),"Il célèbre alors qu'il remporte la médaille.")</f>
        <v>Il célèbre alors qu'il remporte la médaille.</v>
      </c>
    </row>
    <row r="36959">
      <c r="A36959" s="4" t="s">
        <v>46486</v>
      </c>
      <c r="B36959" s="4" t="s">
        <v>46491</v>
      </c>
      <c r="C36959" s="5" t="str">
        <f>IFERROR(__xludf.DUMMYFUNCTION("GOOGLETRANSLATE(B36959,""en"",""fr"")"),"Un homme est montré en parlant de lui.")</f>
        <v>Un homme est montré en parlant de lui.</v>
      </c>
    </row>
    <row r="36960">
      <c r="A36960" s="4" t="s">
        <v>46486</v>
      </c>
      <c r="B36960" s="4" t="s">
        <v>46492</v>
      </c>
      <c r="C36960" s="5" t="str">
        <f>IFERROR(__xludf.DUMMYFUNCTION("GOOGLETRANSLATE(B36960,""en"",""fr"")"),"Les crédits apparaissent à la fin.")</f>
        <v>Les crédits apparaissent à la fin.</v>
      </c>
    </row>
    <row r="36961">
      <c r="A36961" s="4" t="s">
        <v>46493</v>
      </c>
      <c r="B36961" s="4" t="s">
        <v>46494</v>
      </c>
      <c r="C36961" s="5" t="str">
        <f>IFERROR(__xludf.DUMMYFUNCTION("GOOGLETRANSLATE(B36961,""en"",""fr"")"),"Un homme et une femme se tiennent dans un salon avec de gros costumes de sumo.")</f>
        <v>Un homme et une femme se tiennent dans un salon avec de gros costumes de sumo.</v>
      </c>
    </row>
    <row r="36962">
      <c r="A36962" s="4" t="s">
        <v>46493</v>
      </c>
      <c r="B36962" s="4" t="s">
        <v>46495</v>
      </c>
      <c r="C36962" s="5" t="str">
        <f>IFERROR(__xludf.DUMMYFUNCTION("GOOGLETRANSLATE(B36962,""en"",""fr"")"),"La fille saute, puis l'homme essaie de voir à quel point l'uniforme est lourd.")</f>
        <v>La fille saute, puis l'homme essaie de voir à quel point l'uniforme est lourd.</v>
      </c>
    </row>
    <row r="36963">
      <c r="A36963" s="4" t="s">
        <v>46493</v>
      </c>
      <c r="B36963" s="6" t="s">
        <v>46496</v>
      </c>
      <c r="C36963" s="5" t="str">
        <f>IFERROR(__xludf.DUMMYFUNCTION("GOOGLETRANSLATE(B36963,""en"",""fr"")"),"Ensuite, l'homme tient un sac de citrons et commence à parler avant de mettre leur équipement de tête.")</f>
        <v>Ensuite, l'homme tient un sac de citrons et commence à parler avant de mettre leur équipement de tête.</v>
      </c>
    </row>
    <row r="36964">
      <c r="A36964" s="4" t="s">
        <v>46493</v>
      </c>
      <c r="B36964" s="4" t="s">
        <v>46497</v>
      </c>
      <c r="C36964" s="5" t="str">
        <f>IFERROR(__xludf.DUMMYFUNCTION("GOOGLETRANSLATE(B36964,""en"",""fr"")"),"Maintenant, il est temps pour le match et ils commencent à lutter les uns avec les autres.")</f>
        <v>Maintenant, il est temps pour le match et ils commencent à lutter les uns avec les autres.</v>
      </c>
    </row>
    <row r="36965">
      <c r="A36965" s="4" t="s">
        <v>46493</v>
      </c>
      <c r="B36965" s="6" t="s">
        <v>46498</v>
      </c>
      <c r="C36965" s="5" t="str">
        <f>IFERROR(__xludf.DUMMYFUNCTION("GOOGLETRANSLATE(B36965,""en"",""fr"")"),"Cependant, ils ont ajouté une fonctionnalité au match et chaque personne doit mettre des citrons dans le chapeau de l'autre pour gagner des points.")</f>
        <v>Cependant, ils ont ajouté une fonctionnalité au match et chaque personne doit mettre des citrons dans le chapeau de l'autre pour gagner des points.</v>
      </c>
    </row>
    <row r="36966">
      <c r="A36966" s="4" t="s">
        <v>46493</v>
      </c>
      <c r="B36966" s="4" t="s">
        <v>46499</v>
      </c>
      <c r="C36966" s="5" t="str">
        <f>IFERROR(__xludf.DUMMYFUNCTION("GOOGLETRANSLATE(B36966,""en"",""fr"")"),"Après plusieurs tentatives, la fille gagne et le score est de 4 à 0.")</f>
        <v>Après plusieurs tentatives, la fille gagne et le score est de 4 à 0.</v>
      </c>
    </row>
    <row r="36967">
      <c r="A36967" s="4" t="s">
        <v>46493</v>
      </c>
      <c r="B36967" s="4" t="s">
        <v>46500</v>
      </c>
      <c r="C36967" s="5" t="str">
        <f>IFERROR(__xludf.DUMMYFUNCTION("GOOGLETRANSLATE(B36967,""en"",""fr"")"),"Commence maintenant le deuxième tour et le résultat est le même que la fille triche pour gagner.")</f>
        <v>Commence maintenant le deuxième tour et le résultat est le même que la fille triche pour gagner.</v>
      </c>
    </row>
    <row r="36968">
      <c r="A36968" s="4" t="s">
        <v>46501</v>
      </c>
      <c r="B36968" s="4" t="s">
        <v>46502</v>
      </c>
      <c r="C36968" s="5" t="str">
        <f>IFERROR(__xludf.DUMMYFUNCTION("GOOGLETRANSLATE(B36968,""en"",""fr"")"),"Deux aspirateurs apparaissent dans une pièce grise.")</f>
        <v>Deux aspirateurs apparaissent dans une pièce grise.</v>
      </c>
    </row>
    <row r="36969">
      <c r="A36969" s="4" t="s">
        <v>46501</v>
      </c>
      <c r="B36969" s="4" t="s">
        <v>46503</v>
      </c>
      <c r="C36969" s="5" t="str">
        <f>IFERROR(__xludf.DUMMYFUNCTION("GOOGLETRANSLATE(B36969,""en"",""fr"")"),"L'un des aspirateurs disparaît.")</f>
        <v>L'un des aspirateurs disparaît.</v>
      </c>
    </row>
    <row r="36970">
      <c r="A36970" s="4" t="s">
        <v>46501</v>
      </c>
      <c r="B36970" s="4" t="s">
        <v>46504</v>
      </c>
      <c r="C36970" s="5" t="str">
        <f>IFERROR(__xludf.DUMMYFUNCTION("GOOGLETRANSLATE(B36970,""en"",""fr"")"),"Une dame aspire sa maison puis vide le vide.")</f>
        <v>Une dame aspire sa maison puis vide le vide.</v>
      </c>
    </row>
    <row r="36971">
      <c r="A36971" s="4" t="s">
        <v>46501</v>
      </c>
      <c r="B36971" s="4" t="s">
        <v>46505</v>
      </c>
      <c r="C36971" s="5" t="str">
        <f>IFERROR(__xludf.DUMMYFUNCTION("GOOGLETRANSLATE(B36971,""en"",""fr"")"),"La dame met le vide dans un placard.")</f>
        <v>La dame met le vide dans un placard.</v>
      </c>
    </row>
    <row r="36972">
      <c r="A36972" s="4" t="s">
        <v>46501</v>
      </c>
      <c r="B36972" s="4" t="s">
        <v>46506</v>
      </c>
      <c r="C36972" s="5" t="str">
        <f>IFERROR(__xludf.DUMMYFUNCTION("GOOGLETRANSLATE(B36972,""en"",""fr"")"),"Nous voyons une salle pleine de bureaux et d'ingénieurs concevant des produits.")</f>
        <v>Nous voyons une salle pleine de bureaux et d'ingénieurs concevant des produits.</v>
      </c>
    </row>
    <row r="36973">
      <c r="A36973" s="4" t="s">
        <v>46501</v>
      </c>
      <c r="B36973" s="4" t="s">
        <v>46507</v>
      </c>
      <c r="C36973" s="5" t="str">
        <f>IFERROR(__xludf.DUMMYFUNCTION("GOOGLETRANSLATE(B36973,""en"",""fr"")"),"Trois fans de Dyson se tournent vers la caméra.")</f>
        <v>Trois fans de Dyson se tournent vers la caméra.</v>
      </c>
    </row>
    <row r="36974">
      <c r="A36974" s="4" t="s">
        <v>46508</v>
      </c>
      <c r="B36974" s="4" t="s">
        <v>46509</v>
      </c>
      <c r="C36974" s="5" t="str">
        <f>IFERROR(__xludf.DUMMYFUNCTION("GOOGLETRANSLATE(B36974,""en"",""fr"")"),"Une femme est vue en parlant à la caméra et en tenant une boîte.")</f>
        <v>Une femme est vue en parlant à la caméra et en tenant une boîte.</v>
      </c>
    </row>
    <row r="36975">
      <c r="A36975" s="4" t="s">
        <v>46508</v>
      </c>
      <c r="B36975" s="4" t="s">
        <v>46510</v>
      </c>
      <c r="C36975" s="5" t="str">
        <f>IFERROR(__xludf.DUMMYFUNCTION("GOOGLETRANSLATE(B36975,""en"",""fr"")"),"Elle plie ensuite un morceau de papier dans un avion et le frotte le long de la casserole.")</f>
        <v>Elle plie ensuite un morceau de papier dans un avion et le frotte le long de la casserole.</v>
      </c>
    </row>
    <row r="36976">
      <c r="A36976" s="4" t="s">
        <v>46508</v>
      </c>
      <c r="B36976" s="4" t="s">
        <v>46511</v>
      </c>
      <c r="C36976" s="5" t="str">
        <f>IFERROR(__xludf.DUMMYFUNCTION("GOOGLETRANSLATE(B36976,""en"",""fr"")"),"Elle met ensuite un récipient dans la casserole tout en parlant à la caméra.")</f>
        <v>Elle met ensuite un récipient dans la casserole tout en parlant à la caméra.</v>
      </c>
    </row>
    <row r="36977">
      <c r="A36977" s="4" t="s">
        <v>46512</v>
      </c>
      <c r="B36977" s="4" t="s">
        <v>46513</v>
      </c>
      <c r="C36977" s="5" t="str">
        <f>IFERROR(__xludf.DUMMYFUNCTION("GOOGLETRANSLATE(B36977,""en"",""fr"")"),"Un homme est vu parler à la caméra tout en montrant des photos de personnes jouant du water-polo.")</f>
        <v>Un homme est vu parler à la caméra tout en montrant des photos de personnes jouant du water-polo.</v>
      </c>
    </row>
    <row r="36978">
      <c r="A36978" s="4" t="s">
        <v>46512</v>
      </c>
      <c r="B36978" s="4" t="s">
        <v>46514</v>
      </c>
      <c r="C36978" s="5" t="str">
        <f>IFERROR(__xludf.DUMMYFUNCTION("GOOGLETRANSLATE(B36978,""en"",""fr"")"),"Plus de clips sont montrés de personnes qui frappent le ballon ainsi que l'hôte parlant à un autre homme.")</f>
        <v>Plus de clips sont montrés de personnes qui frappent le ballon ainsi que l'hôte parlant à un autre homme.</v>
      </c>
    </row>
    <row r="36979">
      <c r="A36979" s="4" t="s">
        <v>46512</v>
      </c>
      <c r="B36979" s="4" t="s">
        <v>46515</v>
      </c>
      <c r="C36979" s="5" t="str">
        <f>IFERROR(__xludf.DUMMYFUNCTION("GOOGLETRANSLATE(B36979,""en"",""fr"")"),"Plus de clips sont montrés des gens qui jouent dans la piscine et rient les uns des autres.")</f>
        <v>Plus de clips sont montrés des gens qui jouent dans la piscine et rient les uns des autres.</v>
      </c>
    </row>
    <row r="36980">
      <c r="A36980" s="4" t="s">
        <v>46516</v>
      </c>
      <c r="B36980" s="4" t="s">
        <v>46517</v>
      </c>
      <c r="C36980" s="5" t="str">
        <f>IFERROR(__xludf.DUMMYFUNCTION("GOOGLETRANSLATE(B36980,""en"",""fr"")"),"Un homme court sur une paire de moulés dans une ruelle.")</f>
        <v>Un homme court sur une paire de moulés dans une ruelle.</v>
      </c>
    </row>
    <row r="36981">
      <c r="A36981" s="4" t="s">
        <v>46516</v>
      </c>
      <c r="B36981" s="4" t="s">
        <v>46518</v>
      </c>
      <c r="C36981" s="5" t="str">
        <f>IFERROR(__xludf.DUMMYFUNCTION("GOOGLETRANSLATE(B36981,""en"",""fr"")"),"Il rebondit sur un vélo pendant qu'il court.")</f>
        <v>Il rebondit sur un vélo pendant qu'il court.</v>
      </c>
    </row>
    <row r="36982">
      <c r="A36982" s="4" t="s">
        <v>46516</v>
      </c>
      <c r="B36982" s="4" t="s">
        <v>46519</v>
      </c>
      <c r="C36982" s="5" t="str">
        <f>IFERROR(__xludf.DUMMYFUNCTION("GOOGLETRANSLATE(B36982,""en"",""fr"")"),"Il monte ensuite la garniture latérale d'un bâtiment avant de disparaître au coin de la rue.")</f>
        <v>Il monte ensuite la garniture latérale d'un bâtiment avant de disparaître au coin de la rue.</v>
      </c>
    </row>
    <row r="36983">
      <c r="A36983" s="4" t="s">
        <v>46520</v>
      </c>
      <c r="B36983" s="4" t="s">
        <v>46521</v>
      </c>
      <c r="C36983" s="5" t="str">
        <f>IFERROR(__xludf.DUMMYFUNCTION("GOOGLETRANSLATE(B36983,""en"",""fr"")"),"Les bâtiments de dessins animés sont affichés, puis une paire d'anges.")</f>
        <v>Les bâtiments de dessins animés sont affichés, puis une paire d'anges.</v>
      </c>
    </row>
    <row r="36984">
      <c r="A36984" s="4" t="s">
        <v>46520</v>
      </c>
      <c r="B36984" s="4" t="s">
        <v>46522</v>
      </c>
      <c r="C36984" s="5" t="str">
        <f>IFERROR(__xludf.DUMMYFUNCTION("GOOGLETRANSLATE(B36984,""en"",""fr"")"),"Nous voyons un seau rempli de linge.")</f>
        <v>Nous voyons un seau rempli de linge.</v>
      </c>
    </row>
    <row r="36985">
      <c r="A36985" s="4" t="s">
        <v>46520</v>
      </c>
      <c r="B36985" s="4" t="s">
        <v>46523</v>
      </c>
      <c r="C36985" s="5" t="str">
        <f>IFERROR(__xludf.DUMMYFUNCTION("GOOGLETRANSLATE(B36985,""en"",""fr"")"),"La vidéo explique comment le lavage des vêtements devrait impliquer le trempage et le brossage et le lavage des mains.")</f>
        <v>La vidéo explique comment le lavage des vêtements devrait impliquer le trempage et le brossage et le lavage des mains.</v>
      </c>
    </row>
    <row r="36986">
      <c r="A36986" s="4" t="s">
        <v>46520</v>
      </c>
      <c r="B36986" s="4" t="s">
        <v>46524</v>
      </c>
      <c r="C36986" s="5" t="str">
        <f>IFERROR(__xludf.DUMMYFUNCTION("GOOGLETRANSLATE(B36986,""en"",""fr"")"),"Ensuite, il parle de rincer et de suspendre les vêtements pour sécher.")</f>
        <v>Ensuite, il parle de rincer et de suspendre les vêtements pour sécher.</v>
      </c>
    </row>
    <row r="36987">
      <c r="A36987" s="4" t="s">
        <v>46520</v>
      </c>
      <c r="B36987" s="4" t="s">
        <v>46525</v>
      </c>
      <c r="C36987" s="5" t="str">
        <f>IFERROR(__xludf.DUMMYFUNCTION("GOOGLETRANSLATE(B36987,""en"",""fr"")"),"Nous voyons enfin un sèche-linge vide avant une annonce pour le bac de lessive.")</f>
        <v>Nous voyons enfin un sèche-linge vide avant une annonce pour le bac de lessive.</v>
      </c>
    </row>
    <row r="36988">
      <c r="A36988" s="4" t="s">
        <v>46526</v>
      </c>
      <c r="B36988" s="4" t="s">
        <v>46527</v>
      </c>
      <c r="C36988" s="5" t="str">
        <f>IFERROR(__xludf.DUMMYFUNCTION("GOOGLETRANSLATE(B36988,""en"",""fr"")"),"Un groupe de petits enfants est sur une aire de jeux.")</f>
        <v>Un groupe de petits enfants est sur une aire de jeux.</v>
      </c>
    </row>
    <row r="36989">
      <c r="A36989" s="4" t="s">
        <v>46526</v>
      </c>
      <c r="B36989" s="4" t="s">
        <v>46528</v>
      </c>
      <c r="C36989" s="5" t="str">
        <f>IFERROR(__xludf.DUMMYFUNCTION("GOOGLETRANSLATE(B36989,""en"",""fr"")"),"Ils tournent à tour de rôle sur un jeu de marelle dessiné sur le trottoir.")</f>
        <v>Ils tournent à tour de rôle sur un jeu de marelle dessiné sur le trottoir.</v>
      </c>
    </row>
    <row r="36990">
      <c r="A36990" s="4" t="s">
        <v>46526</v>
      </c>
      <c r="B36990" s="4" t="s">
        <v>46529</v>
      </c>
      <c r="C36990" s="5" t="str">
        <f>IFERROR(__xludf.DUMMYFUNCTION("GOOGLETRANSLATE(B36990,""en"",""fr"")"),"Ils continuent à tour de rôle.")</f>
        <v>Ils continuent à tour de rôle.</v>
      </c>
    </row>
    <row r="36991">
      <c r="A36991" s="4" t="s">
        <v>46530</v>
      </c>
      <c r="B36991" s="4" t="s">
        <v>46531</v>
      </c>
      <c r="C36991" s="5" t="str">
        <f>IFERROR(__xludf.DUMMYFUNCTION("GOOGLETRANSLATE(B36991,""en"",""fr"")"),"Un homme fait un cube Rubiks derrière une table.")</f>
        <v>Un homme fait un cube Rubiks derrière une table.</v>
      </c>
    </row>
    <row r="36992">
      <c r="A36992" s="4" t="s">
        <v>46530</v>
      </c>
      <c r="B36992" s="4" t="s">
        <v>46532</v>
      </c>
      <c r="C36992" s="5" t="str">
        <f>IFERROR(__xludf.DUMMYFUNCTION("GOOGLETRANSLATE(B36992,""en"",""fr"")"),"Il y a une minuterie sur la table devant lui.")</f>
        <v>Il y a une minuterie sur la table devant lui.</v>
      </c>
    </row>
    <row r="36993">
      <c r="A36993" s="4" t="s">
        <v>46530</v>
      </c>
      <c r="B36993" s="4" t="s">
        <v>46533</v>
      </c>
      <c r="C36993" s="5" t="str">
        <f>IFERROR(__xludf.DUMMYFUNCTION("GOOGLETRANSLATE(B36993,""en"",""fr"")"),"Il ramasse un autre cube Rubiks et commence à le terminer.")</f>
        <v>Il ramasse un autre cube Rubiks et commence à le terminer.</v>
      </c>
    </row>
    <row r="36994">
      <c r="A36994" s="4" t="s">
        <v>46534</v>
      </c>
      <c r="B36994" s="4" t="s">
        <v>46535</v>
      </c>
      <c r="C36994" s="5" t="str">
        <f>IFERROR(__xludf.DUMMYFUNCTION("GOOGLETRANSLATE(B36994,""en"",""fr"")"),"Un homme est sur le point de faire un match de lutte de bras avec un messieurs plus âgés.")</f>
        <v>Un homme est sur le point de faire un match de lutte de bras avec un messieurs plus âgés.</v>
      </c>
    </row>
    <row r="36995">
      <c r="A36995" s="4" t="s">
        <v>46534</v>
      </c>
      <c r="B36995" s="4" t="s">
        <v>46536</v>
      </c>
      <c r="C36995" s="5" t="str">
        <f>IFERROR(__xludf.DUMMYFUNCTION("GOOGLETRANSLATE(B36995,""en"",""fr"")"),"L'homme plus âgé se débat des visages qu'il fait.")</f>
        <v>L'homme plus âgé se débat des visages qu'il fait.</v>
      </c>
    </row>
    <row r="36996">
      <c r="A36996" s="4" t="s">
        <v>46534</v>
      </c>
      <c r="B36996" s="4" t="s">
        <v>46537</v>
      </c>
      <c r="C36996" s="5" t="str">
        <f>IFERROR(__xludf.DUMMYFUNCTION("GOOGLETRANSLATE(B36996,""en"",""fr"")"),"La caméra se met en face à leurs visages.")</f>
        <v>La caméra se met en face à leurs visages.</v>
      </c>
    </row>
    <row r="36997">
      <c r="A36997" s="4" t="s">
        <v>46534</v>
      </c>
      <c r="B36997" s="4" t="s">
        <v>46538</v>
      </c>
      <c r="C36997" s="5" t="str">
        <f>IFERROR(__xludf.DUMMYFUNCTION("GOOGLETRANSLATE(B36997,""en"",""fr"")"),"L'homme plus âgé remporte le match et les arbitres et tout le monde commencent à parler.")</f>
        <v>L'homme plus âgé remporte le match et les arbitres et tout le monde commencent à parler.</v>
      </c>
    </row>
    <row r="36998">
      <c r="A36998" s="4" t="s">
        <v>46539</v>
      </c>
      <c r="B36998" s="6" t="s">
        <v>46540</v>
      </c>
      <c r="C36998" s="5" t="str">
        <f>IFERROR(__xludf.DUMMYFUNCTION("GOOGLETRANSLATE(B36998,""en"",""fr"")"),"Une introduction à Dancing with the Stars Shows suivie d'un homme jouant du piano et un couple regardant au loin.")</f>
        <v>Une introduction à Dancing with the Stars Shows suivie d'un homme jouant du piano et un couple regardant au loin.</v>
      </c>
    </row>
    <row r="36999">
      <c r="A36999" s="4" t="s">
        <v>46539</v>
      </c>
      <c r="B36999" s="4" t="s">
        <v>46541</v>
      </c>
      <c r="C36999" s="5" t="str">
        <f>IFERROR(__xludf.DUMMYFUNCTION("GOOGLETRANSLATE(B36999,""en"",""fr"")"),"La femme commence à jouer du piano lorsque l'homme debout joue et l'attrape.")</f>
        <v>La femme commence à jouer du piano lorsque l'homme debout joue et l'attrape.</v>
      </c>
    </row>
    <row r="37000">
      <c r="A37000" s="4" t="s">
        <v>46539</v>
      </c>
      <c r="B37000" s="4" t="s">
        <v>46542</v>
      </c>
      <c r="C37000" s="5" t="str">
        <f>IFERROR(__xludf.DUMMYFUNCTION("GOOGLETRANSLATE(B37000,""en"",""fr"")"),"Ils tournonnent autour d'une grande scène entourée de centaines de personnes les regardant danser.")</f>
        <v>Ils tournonnent autour d'une grande scène entourée de centaines de personnes les regardant danser.</v>
      </c>
    </row>
    <row r="37001">
      <c r="A37001" s="4" t="s">
        <v>46539</v>
      </c>
      <c r="B37001" s="4" t="s">
        <v>46543</v>
      </c>
      <c r="C37001" s="5" t="str">
        <f>IFERROR(__xludf.DUMMYFUNCTION("GOOGLETRANSLATE(B37001,""en"",""fr"")"),"L'homme la ramasse et la fait tourbillonner dans la musique et se termine avec le public applaudissant.")</f>
        <v>L'homme la ramasse et la fait tourbillonner dans la musique et se termine avec le public applaudissant.</v>
      </c>
    </row>
    <row r="37002">
      <c r="A37002" s="4" t="s">
        <v>46544</v>
      </c>
      <c r="B37002" s="4" t="s">
        <v>46545</v>
      </c>
      <c r="C37002" s="5" t="str">
        <f>IFERROR(__xludf.DUMMYFUNCTION("GOOGLETRANSLATE(B37002,""en"",""fr"")"),"Un groupe de personnes chevauchant des voitures tamponneuses.")</f>
        <v>Un groupe de personnes chevauchant des voitures tamponneuses.</v>
      </c>
    </row>
    <row r="37003">
      <c r="A37003" s="4" t="s">
        <v>46544</v>
      </c>
      <c r="B37003" s="4" t="s">
        <v>46546</v>
      </c>
      <c r="C37003" s="5" t="str">
        <f>IFERROR(__xludf.DUMMYFUNCTION("GOOGLETRANSLATE(B37003,""en"",""fr"")"),"Le préposé traverse le parcours en esquivant les tampants.")</f>
        <v>Le préposé traverse le parcours en esquivant les tampants.</v>
      </c>
    </row>
    <row r="37004">
      <c r="A37004" s="4" t="s">
        <v>46544</v>
      </c>
      <c r="B37004" s="4" t="s">
        <v>46547</v>
      </c>
      <c r="C37004" s="5" t="str">
        <f>IFERROR(__xludf.DUMMYFUNCTION("GOOGLETRANSLATE(B37004,""en"",""fr"")"),"Le préposé saute sur une voiture pour filles et l'aide à manœuvrer la voiture.")</f>
        <v>Le préposé saute sur une voiture pour filles et l'aide à manœuvrer la voiture.</v>
      </c>
    </row>
    <row r="37005">
      <c r="A37005" s="4" t="s">
        <v>46544</v>
      </c>
      <c r="B37005" s="6" t="s">
        <v>46548</v>
      </c>
      <c r="C37005" s="5" t="str">
        <f>IFERROR(__xludf.DUMMYFUNCTION("GOOGLETRANSLATE(B37005,""en"",""fr"")"),"Le préposé continue de parcourir le cours pour aider les conducteurs tandis que les autres conducteurs continuent de s'écraser les uns des autres.")</f>
        <v>Le préposé continue de parcourir le cours pour aider les conducteurs tandis que les autres conducteurs continuent de s'écraser les uns des autres.</v>
      </c>
    </row>
    <row r="37006">
      <c r="A37006" s="4" t="s">
        <v>46549</v>
      </c>
      <c r="B37006" s="6" t="s">
        <v>46550</v>
      </c>
      <c r="C37006" s="5" t="str">
        <f>IFERROR(__xludf.DUMMYFUNCTION("GOOGLETRANSLATE(B37006,""en"",""fr"")"),"Une jeune fille est assise devant un écran et commence à parler alors qu'elle tient une bouteille de rince-bouche bleue.")</f>
        <v>Une jeune fille est assise devant un écran et commence à parler alors qu'elle tient une bouteille de rince-bouche bleue.</v>
      </c>
    </row>
    <row r="37007">
      <c r="A37007" s="4" t="s">
        <v>46549</v>
      </c>
      <c r="B37007" s="6" t="s">
        <v>46551</v>
      </c>
      <c r="C37007" s="5" t="str">
        <f>IFERROR(__xludf.DUMMYFUNCTION("GOOGLETRANSLATE(B37007,""en"",""fr"")"),"La fille prend ensuite le rince-bouche et commence à le mettre sur la tête et jouer avec est en faisant des visages amusants.")</f>
        <v>La fille prend ensuite le rince-bouche et commence à le mettre sur la tête et jouer avec est en faisant des visages amusants.</v>
      </c>
    </row>
    <row r="37008">
      <c r="A37008" s="4" t="s">
        <v>46549</v>
      </c>
      <c r="B37008" s="4" t="s">
        <v>46552</v>
      </c>
      <c r="C37008" s="5" t="str">
        <f>IFERROR(__xludf.DUMMYFUNCTION("GOOGLETRANSLATE(B37008,""en"",""fr"")"),"Après avoir pris à ce sujet, les filles en prennent une gorge et commencent à la gargariser et à la tenir dans sa bouche.")</f>
        <v>Après avoir pris à ce sujet, les filles en prennent une gorge et commencent à la gargariser et à la tenir dans sa bouche.</v>
      </c>
    </row>
    <row r="37009">
      <c r="A37009" s="4" t="s">
        <v>46549</v>
      </c>
      <c r="B37009" s="4" t="s">
        <v>46553</v>
      </c>
      <c r="C37009" s="5" t="str">
        <f>IFERROR(__xludf.DUMMYFUNCTION("GOOGLETRANSLATE(B37009,""en"",""fr"")"),"Enfin, elle le crache et prend un verre d'eau avant que la rediffusion ne soit indiquée.")</f>
        <v>Enfin, elle le crache et prend un verre d'eau avant que la rediffusion ne soit indiquée.</v>
      </c>
    </row>
    <row r="37010">
      <c r="A37010" s="4" t="s">
        <v>46554</v>
      </c>
      <c r="B37010" s="4" t="s">
        <v>46555</v>
      </c>
      <c r="C37010" s="5" t="str">
        <f>IFERROR(__xludf.DUMMYFUNCTION("GOOGLETRANSLATE(B37010,""en"",""fr"")"),"Un homme dans une veste de neige est assis dans un lifting de ski.")</f>
        <v>Un homme dans une veste de neige est assis dans un lifting de ski.</v>
      </c>
    </row>
    <row r="37011">
      <c r="A37011" s="4" t="s">
        <v>46554</v>
      </c>
      <c r="B37011" s="6" t="s">
        <v>46556</v>
      </c>
      <c r="C37011" s="5" t="str">
        <f>IFERROR(__xludf.DUMMYFUNCTION("GOOGLETRANSLATE(B37011,""en"",""fr"")"),"Un homme en veste jaune tient un tube inter-en caoutchouc avec une corde et un enfant en vêtements de ski s'assoit à l'intérieur.")</f>
        <v>Un homme en veste jaune tient un tube inter-en caoutchouc avec une corde et un enfant en vêtements de ski s'assoit à l'intérieur.</v>
      </c>
    </row>
    <row r="37012">
      <c r="A37012" s="4" t="s">
        <v>46554</v>
      </c>
      <c r="B37012" s="4" t="s">
        <v>46557</v>
      </c>
      <c r="C37012" s="5" t="str">
        <f>IFERROR(__xludf.DUMMYFUNCTION("GOOGLETRANSLATE(B37012,""en"",""fr"")"),"L'homme pousse l'enfant sur une pente de ski.")</f>
        <v>L'homme pousse l'enfant sur une pente de ski.</v>
      </c>
    </row>
    <row r="37013">
      <c r="A37013" s="4" t="s">
        <v>46554</v>
      </c>
      <c r="B37013" s="4" t="s">
        <v>46558</v>
      </c>
      <c r="C37013" s="5" t="str">
        <f>IFERROR(__xludf.DUMMYFUNCTION("GOOGLETRANSLATE(B37013,""en"",""fr"")"),"L'enfant descend un ensemble de collines sur l'intertube.")</f>
        <v>L'enfant descend un ensemble de collines sur l'intertube.</v>
      </c>
    </row>
    <row r="37014">
      <c r="A37014" s="4" t="s">
        <v>46554</v>
      </c>
      <c r="B37014" s="4" t="s">
        <v>46559</v>
      </c>
      <c r="C37014" s="5" t="str">
        <f>IFERROR(__xludf.DUMMYFUNCTION("GOOGLETRANSLATE(B37014,""en"",""fr"")"),"Une femme tente d'arrêter l'enfant puis récupère son intertube.")</f>
        <v>Une femme tente d'arrêter l'enfant puis récupère son intertube.</v>
      </c>
    </row>
    <row r="37015">
      <c r="A37015" s="4" t="s">
        <v>46554</v>
      </c>
      <c r="B37015" s="4" t="s">
        <v>46560</v>
      </c>
      <c r="C37015" s="5" t="str">
        <f>IFERROR(__xludf.DUMMYFUNCTION("GOOGLETRANSLATE(B37015,""en"",""fr"")"),"Un groupe de jeunes filles et de garçons tire les intertubes sur une colline.")</f>
        <v>Un groupe de jeunes filles et de garçons tire les intertubes sur une colline.</v>
      </c>
    </row>
    <row r="37016">
      <c r="A37016" s="4" t="s">
        <v>46554</v>
      </c>
      <c r="B37016" s="4" t="s">
        <v>46561</v>
      </c>
      <c r="C37016" s="5" t="str">
        <f>IFERROR(__xludf.DUMMYFUNCTION("GOOGLETRANSLATE(B37016,""en"",""fr"")"),"Un enfant en veste verte pénètre dans un intertube.")</f>
        <v>Un enfant en veste verte pénètre dans un intertube.</v>
      </c>
    </row>
    <row r="37017">
      <c r="A37017" s="4" t="s">
        <v>46554</v>
      </c>
      <c r="B37017" s="4" t="s">
        <v>46562</v>
      </c>
      <c r="C37017" s="5" t="str">
        <f>IFERROR(__xludf.DUMMYFUNCTION("GOOGLETRANSLATE(B37017,""en"",""fr"")"),"L'enfant est poussé sur la piste de ski et les traîneaux en bas.")</f>
        <v>L'enfant est poussé sur la piste de ski et les traîneaux en bas.</v>
      </c>
    </row>
    <row r="37018">
      <c r="A37018" s="4" t="s">
        <v>46554</v>
      </c>
      <c r="B37018" s="4" t="s">
        <v>46563</v>
      </c>
      <c r="C37018" s="5" t="str">
        <f>IFERROR(__xludf.DUMMYFUNCTION("GOOGLETRANSLATE(B37018,""en"",""fr"")"),"Une femme en sweat gris récupère l'intertube au bas de la pente.")</f>
        <v>Une femme en sweat gris récupère l'intertube au bas de la pente.</v>
      </c>
    </row>
    <row r="37019">
      <c r="A37019" s="4" t="s">
        <v>46554</v>
      </c>
      <c r="B37019" s="4" t="s">
        <v>46564</v>
      </c>
      <c r="C37019" s="5" t="str">
        <f>IFERROR(__xludf.DUMMYFUNCTION("GOOGLETRANSLATE(B37019,""en"",""fr"")"),"Un garçon en veste verte est poussé sur la piste de ski.")</f>
        <v>Un garçon en veste verte est poussé sur la piste de ski.</v>
      </c>
    </row>
    <row r="37020">
      <c r="A37020" s="4" t="s">
        <v>46554</v>
      </c>
      <c r="B37020" s="4" t="s">
        <v>46565</v>
      </c>
      <c r="C37020" s="5" t="str">
        <f>IFERROR(__xludf.DUMMYFUNCTION("GOOGLETRANSLATE(B37020,""en"",""fr"")"),"Une femme un sweat-shirt gris récupère l'intertube au bas de la pente.")</f>
        <v>Une femme un sweat-shirt gris récupère l'intertube au bas de la pente.</v>
      </c>
    </row>
    <row r="37021">
      <c r="A37021" s="4" t="s">
        <v>46566</v>
      </c>
      <c r="B37021" s="4" t="s">
        <v>46567</v>
      </c>
      <c r="C37021" s="5" t="str">
        <f>IFERROR(__xludf.DUMMYFUNCTION("GOOGLETRANSLATE(B37021,""en"",""fr"")"),"Une dame parle à la caméra.")</f>
        <v>Une dame parle à la caméra.</v>
      </c>
    </row>
    <row r="37022">
      <c r="A37022" s="4" t="s">
        <v>46566</v>
      </c>
      <c r="B37022" s="4" t="s">
        <v>46568</v>
      </c>
      <c r="C37022" s="5" t="str">
        <f>IFERROR(__xludf.DUMMYFUNCTION("GOOGLETRANSLATE(B37022,""en"",""fr"")"),"Nous voyons la dame tenir une bouteille de Hazel de sorcière et un coton et des discussions.")</f>
        <v>Nous voyons la dame tenir une bouteille de Hazel de sorcière et un coton et des discussions.</v>
      </c>
    </row>
    <row r="37023">
      <c r="A37023" s="4" t="s">
        <v>46566</v>
      </c>
      <c r="B37023" s="4" t="s">
        <v>46569</v>
      </c>
      <c r="C37023" s="5" t="str">
        <f>IFERROR(__xludf.DUMMYFUNCTION("GOOGLETRANSLATE(B37023,""en"",""fr"")"),"La dame tient une bouteille de lotion.")</f>
        <v>La dame tient une bouteille de lotion.</v>
      </c>
    </row>
    <row r="37024">
      <c r="A37024" s="4" t="s">
        <v>46566</v>
      </c>
      <c r="B37024" s="4" t="s">
        <v>46570</v>
      </c>
      <c r="C37024" s="5" t="str">
        <f>IFERROR(__xludf.DUMMYFUNCTION("GOOGLETRANSLATE(B37024,""en"",""fr"")"),"Nous voyons la dame mettre une lotion sur son visage, puis tenir une petite bouteille de sérum qu'elle met sur son visage.")</f>
        <v>Nous voyons la dame mettre une lotion sur son visage, puis tenir une petite bouteille de sérum qu'elle met sur son visage.</v>
      </c>
    </row>
    <row r="37025">
      <c r="A37025" s="4" t="s">
        <v>46566</v>
      </c>
      <c r="B37025" s="4" t="s">
        <v>46571</v>
      </c>
      <c r="C37025" s="5" t="str">
        <f>IFERROR(__xludf.DUMMYFUNCTION("GOOGLETRANSLATE(B37025,""en"",""fr"")"),"Nous voyons la dame avec du maquillage sur la parole à la caméra.")</f>
        <v>Nous voyons la dame avec du maquillage sur la parole à la caméra.</v>
      </c>
    </row>
    <row r="37026">
      <c r="A37026" s="4" t="s">
        <v>46572</v>
      </c>
      <c r="B37026" s="4" t="s">
        <v>46573</v>
      </c>
      <c r="C37026" s="5" t="str">
        <f>IFERROR(__xludf.DUMMYFUNCTION("GOOGLETRANSLATE(B37026,""en"",""fr"")"),"1 Un appareil photo regarde des hommes sur des vélos qui sont sur le point de courir.")</f>
        <v>1 Un appareil photo regarde des hommes sur des vélos qui sont sur le point de courir.</v>
      </c>
    </row>
    <row r="37027">
      <c r="A37027" s="4" t="s">
        <v>46572</v>
      </c>
      <c r="B37027" s="4" t="s">
        <v>46574</v>
      </c>
      <c r="C37027" s="5" t="str">
        <f>IFERROR(__xludf.DUMMYFUNCTION("GOOGLETRANSLATE(B37027,""en"",""fr"")"),"2 La course commence avec les gars sur les vélos.")</f>
        <v>2 La course commence avec les gars sur les vélos.</v>
      </c>
    </row>
    <row r="37028">
      <c r="A37028" s="4" t="s">
        <v>46572</v>
      </c>
      <c r="B37028" s="4" t="s">
        <v>46575</v>
      </c>
      <c r="C37028" s="5" t="str">
        <f>IFERROR(__xludf.DUMMYFUNCTION("GOOGLETRANSLATE(B37028,""en"",""fr"")"),"3 Un homme essuie.")</f>
        <v>3 Un homme essuie.</v>
      </c>
    </row>
    <row r="37029">
      <c r="A37029" s="4" t="s">
        <v>46572</v>
      </c>
      <c r="B37029" s="4" t="s">
        <v>46576</v>
      </c>
      <c r="C37029" s="5" t="str">
        <f>IFERROR(__xludf.DUMMYFUNCTION("GOOGLETRANSLATE(B37029,""en"",""fr"")"),"4 La course se termine et les gars prennent leurs vélos.")</f>
        <v>4 La course se termine et les gars prennent leurs vélos.</v>
      </c>
    </row>
    <row r="37030">
      <c r="A37030" s="4" t="s">
        <v>46577</v>
      </c>
      <c r="B37030" s="6" t="s">
        <v>46578</v>
      </c>
      <c r="C37030" s="5" t="str">
        <f>IFERROR(__xludf.DUMMYFUNCTION("GOOGLETRANSLATE(B37030,""en"",""fr"")"),"Un homme conduit un bateau, puis deux hommes sont assis sur le côté du bateau, l'homme en gilet de vie noir est sur le côté du bateau puis lâchez le bateau puis commencez à wakeboard pendant qu'il tient le harnais .")</f>
        <v>Un homme conduit un bateau, puis deux hommes sont assis sur le côté du bateau, l'homme en gilet de vie noir est sur le côté du bateau puis lâchez le bateau puis commencez à wakeboard pendant qu'il tient le harnais .</v>
      </c>
    </row>
    <row r="37031">
      <c r="A37031" s="4" t="s">
        <v>46577</v>
      </c>
      <c r="B37031" s="4" t="s">
        <v>46579</v>
      </c>
      <c r="C37031" s="5" t="str">
        <f>IFERROR(__xludf.DUMMYFUNCTION("GOOGLETRANSLATE(B37031,""en"",""fr"")"),"L'homme continue de se réveiller, il s'est retourné puis de se réveiller sur l'eau.")</f>
        <v>L'homme continue de se réveiller, il s'est retourné puis de se réveiller sur l'eau.</v>
      </c>
    </row>
    <row r="37032">
      <c r="A37032" s="4" t="s">
        <v>46580</v>
      </c>
      <c r="B37032" s="4" t="s">
        <v>46581</v>
      </c>
      <c r="C37032" s="5" t="str">
        <f>IFERROR(__xludf.DUMMYFUNCTION("GOOGLETRANSLATE(B37032,""en"",""fr"")"),"Nous voyons un écran d'instructions d'ouverture.")</f>
        <v>Nous voyons un écran d'instructions d'ouverture.</v>
      </c>
    </row>
    <row r="37033">
      <c r="A37033" s="4" t="s">
        <v>46580</v>
      </c>
      <c r="B37033" s="4" t="s">
        <v>46582</v>
      </c>
      <c r="C37033" s="5" t="str">
        <f>IFERROR(__xludf.DUMMYFUNCTION("GOOGLETRANSLATE(B37033,""en"",""fr"")"),"Nous voyons une personne tenant une lentille de contact.")</f>
        <v>Nous voyons une personne tenant une lentille de contact.</v>
      </c>
    </row>
    <row r="37034">
      <c r="A37034" s="4" t="s">
        <v>46580</v>
      </c>
      <c r="B37034" s="4" t="s">
        <v>46583</v>
      </c>
      <c r="C37034" s="5" t="str">
        <f>IFERROR(__xludf.DUMMYFUNCTION("GOOGLETRANSLATE(B37034,""en"",""fr"")"),"Nous voyons un autre écran d'instructions et voyons la personne insère l'objectif à gauche.")</f>
        <v>Nous voyons un autre écran d'instructions et voyons la personne insère l'objectif à gauche.</v>
      </c>
    </row>
    <row r="37035">
      <c r="A37035" s="4" t="s">
        <v>46580</v>
      </c>
      <c r="B37035" s="4" t="s">
        <v>46584</v>
      </c>
      <c r="C37035" s="5" t="str">
        <f>IFERROR(__xludf.DUMMYFUNCTION("GOOGLETRANSLATE(B37035,""en"",""fr"")"),"Un autre écran d'instructions et la personne insère le bon objectif.")</f>
        <v>Un autre écran d'instructions et la personne insère le bon objectif.</v>
      </c>
    </row>
    <row r="37036">
      <c r="A37036" s="4" t="s">
        <v>46580</v>
      </c>
      <c r="B37036" s="4" t="s">
        <v>46585</v>
      </c>
      <c r="C37036" s="5" t="str">
        <f>IFERROR(__xludf.DUMMYFUNCTION("GOOGLETRANSLATE(B37036,""en"",""fr"")"),"Deux ensembles d'instructions apparaissent et la personne supprime l'objectif gauche et droit.")</f>
        <v>Deux ensembles d'instructions apparaissent et la personne supprime l'objectif gauche et droit.</v>
      </c>
    </row>
    <row r="37037">
      <c r="A37037" s="4" t="s">
        <v>46580</v>
      </c>
      <c r="B37037" s="4" t="s">
        <v>46586</v>
      </c>
      <c r="C37037" s="5" t="str">
        <f>IFERROR(__xludf.DUMMYFUNCTION("GOOGLETRANSLATE(B37037,""en"",""fr"")"),"La personne agite au revoir à la caméra.")</f>
        <v>La personne agite au revoir à la caméra.</v>
      </c>
    </row>
    <row r="37038">
      <c r="A37038" s="4" t="s">
        <v>46587</v>
      </c>
      <c r="B37038" s="4" t="s">
        <v>46588</v>
      </c>
      <c r="C37038" s="5" t="str">
        <f>IFERROR(__xludf.DUMMYFUNCTION("GOOGLETRANSLATE(B37038,""en"",""fr"")"),"Un homme skie très vite sur une colline et saute un pour le plaisir.")</f>
        <v>Un homme skie très vite sur une colline et saute un pour le plaisir.</v>
      </c>
    </row>
    <row r="37039">
      <c r="A37039" s="4" t="s">
        <v>46587</v>
      </c>
      <c r="B37039" s="4" t="s">
        <v>46589</v>
      </c>
      <c r="C37039" s="5" t="str">
        <f>IFERROR(__xludf.DUMMYFUNCTION("GOOGLETRANSLATE(B37039,""en"",""fr"")"),"Il remonte maintenant la montagne avec des difficultés.")</f>
        <v>Il remonte maintenant la montagne avec des difficultés.</v>
      </c>
    </row>
    <row r="37040">
      <c r="A37040" s="4" t="s">
        <v>46587</v>
      </c>
      <c r="B37040" s="4" t="s">
        <v>46590</v>
      </c>
      <c r="C37040" s="5" t="str">
        <f>IFERROR(__xludf.DUMMYFUNCTION("GOOGLETRANSLATE(B37040,""en"",""fr"")"),"Il skie et monte différentes collines.")</f>
        <v>Il skie et monte différentes collines.</v>
      </c>
    </row>
    <row r="37041">
      <c r="A37041" s="4" t="s">
        <v>46587</v>
      </c>
      <c r="B37041" s="4" t="s">
        <v>46591</v>
      </c>
      <c r="C37041" s="5" t="str">
        <f>IFERROR(__xludf.DUMMYFUNCTION("GOOGLETRANSLATE(B37041,""en"",""fr"")"),"Skiis sur une colline ou une montagne assez grande.")</f>
        <v>Skiis sur une colline ou une montagne assez grande.</v>
      </c>
    </row>
    <row r="37042">
      <c r="A37042" s="4" t="s">
        <v>46587</v>
      </c>
      <c r="B37042" s="4" t="s">
        <v>46592</v>
      </c>
      <c r="C37042" s="5" t="str">
        <f>IFERROR(__xludf.DUMMYFUNCTION("GOOGLETRANSLATE(B37042,""en"",""fr"")"),"Il saute d'une colline et essaie de faire un 360 mais tombe.")</f>
        <v>Il saute d'une colline et essaie de faire un 360 mais tombe.</v>
      </c>
    </row>
    <row r="37043">
      <c r="A37043" s="4" t="s">
        <v>46587</v>
      </c>
      <c r="B37043" s="4" t="s">
        <v>46593</v>
      </c>
      <c r="C37043" s="5" t="str">
        <f>IFERROR(__xludf.DUMMYFUNCTION("GOOGLETRANSLATE(B37043,""en"",""fr"")"),"Il skie entre certains arbres et sur un chemin.")</f>
        <v>Il skie entre certains arbres et sur un chemin.</v>
      </c>
    </row>
    <row r="37044">
      <c r="A37044" s="4" t="s">
        <v>46594</v>
      </c>
      <c r="B37044" s="4" t="s">
        <v>46595</v>
      </c>
      <c r="C37044" s="5" t="str">
        <f>IFERROR(__xludf.DUMMYFUNCTION("GOOGLETRANSLATE(B37044,""en"",""fr"")"),"Un match de tennis professionnel est joué lors d'un tournoi.")</f>
        <v>Un match de tennis professionnel est joué lors d'un tournoi.</v>
      </c>
    </row>
    <row r="37045">
      <c r="A37045" s="4" t="s">
        <v>46594</v>
      </c>
      <c r="B37045" s="4" t="s">
        <v>46596</v>
      </c>
      <c r="C37045" s="5" t="str">
        <f>IFERROR(__xludf.DUMMYFUNCTION("GOOGLETRANSLATE(B37045,""en"",""fr"")"),"Les joueurs parlent sur les casques pendant le match.")</f>
        <v>Les joueurs parlent sur les casques pendant le match.</v>
      </c>
    </row>
    <row r="37046">
      <c r="A37046" s="4" t="s">
        <v>46594</v>
      </c>
      <c r="B37046" s="4" t="s">
        <v>46597</v>
      </c>
      <c r="C37046" s="5" t="str">
        <f>IFERROR(__xludf.DUMMYFUNCTION("GOOGLETRANSLATE(B37046,""en"",""fr"")"),"Un homme se prépare à servir le ballon pour commencer le match.")</f>
        <v>Un homme se prépare à servir le ballon pour commencer le match.</v>
      </c>
    </row>
    <row r="37047">
      <c r="A37047" s="4" t="s">
        <v>46594</v>
      </c>
      <c r="B37047" s="4" t="s">
        <v>46598</v>
      </c>
      <c r="C37047" s="5" t="str">
        <f>IFERROR(__xludf.DUMMYFUNCTION("GOOGLETRANSLATE(B37047,""en"",""fr"")"),"L'homme sert le ballon et marque un point.")</f>
        <v>L'homme sert le ballon et marque un point.</v>
      </c>
    </row>
    <row r="37048">
      <c r="A37048" s="4" t="s">
        <v>46594</v>
      </c>
      <c r="B37048" s="4" t="s">
        <v>46599</v>
      </c>
      <c r="C37048" s="5" t="str">
        <f>IFERROR(__xludf.DUMMYFUNCTION("GOOGLETRANSLATE(B37048,""en"",""fr"")"),"L'équipe adverse a un tour pour servir le ballon.")</f>
        <v>L'équipe adverse a un tour pour servir le ballon.</v>
      </c>
    </row>
    <row r="37049">
      <c r="A37049" s="4" t="s">
        <v>46600</v>
      </c>
      <c r="B37049" s="4" t="s">
        <v>46601</v>
      </c>
      <c r="C37049" s="5" t="str">
        <f>IFERROR(__xludf.DUMMYFUNCTION("GOOGLETRANSLATE(B37049,""en"",""fr"")"),"Un homme travaille à l'extérieur d'une maison.")</f>
        <v>Un homme travaille à l'extérieur d'une maison.</v>
      </c>
    </row>
    <row r="37050">
      <c r="A37050" s="4" t="s">
        <v>46600</v>
      </c>
      <c r="B37050" s="4" t="s">
        <v>46602</v>
      </c>
      <c r="C37050" s="5" t="str">
        <f>IFERROR(__xludf.DUMMYFUNCTION("GOOGLETRANSLATE(B37050,""en"",""fr"")"),"Il utilise un marteau et serre les bardeaux.")</f>
        <v>Il utilise un marteau et serre les bardeaux.</v>
      </c>
    </row>
    <row r="37051">
      <c r="A37051" s="4" t="s">
        <v>46600</v>
      </c>
      <c r="B37051" s="4" t="s">
        <v>46603</v>
      </c>
      <c r="C37051" s="5" t="str">
        <f>IFERROR(__xludf.DUMMYFUNCTION("GOOGLETRANSLATE(B37051,""en"",""fr"")"),"Il fait tomber chaque galet de la maison avec le marteau.")</f>
        <v>Il fait tomber chaque galet de la maison avec le marteau.</v>
      </c>
    </row>
    <row r="37052">
      <c r="A37052" s="4" t="s">
        <v>46604</v>
      </c>
      <c r="B37052" s="4" t="s">
        <v>46605</v>
      </c>
      <c r="C37052" s="5" t="str">
        <f>IFERROR(__xludf.DUMMYFUNCTION("GOOGLETRANSLATE(B37052,""en"",""fr"")"),"D'abord, cette fille fait un virage arrière, puis une autre fille fait un walkover arrière.")</f>
        <v>D'abord, cette fille fait un virage arrière, puis une autre fille fait un walkover arrière.</v>
      </c>
    </row>
    <row r="37053">
      <c r="A37053" s="4" t="s">
        <v>46604</v>
      </c>
      <c r="B37053" s="4" t="s">
        <v>46606</v>
      </c>
      <c r="C37053" s="5" t="str">
        <f>IFERROR(__xludf.DUMMYFUNCTION("GOOGLETRANSLATE(B37053,""en"",""fr"")"),"Ensuite, quelqu'un d'autre fait une roue de charrette et cette même personne fait un tour.")</f>
        <v>Ensuite, quelqu'un d'autre fait une roue de charrette et cette même personne fait un tour.</v>
      </c>
    </row>
    <row r="37054">
      <c r="A37054" s="4" t="s">
        <v>46604</v>
      </c>
      <c r="B37054" s="6" t="s">
        <v>46607</v>
      </c>
      <c r="C37054" s="5" t="str">
        <f>IFERROR(__xludf.DUMMYFUNCTION("GOOGLETRANSLATE(B37054,""en"",""fr"")"),"Ensuite, quelqu'un fait un piste de marche avant et une autre fille fait unpring en arrière avec d'autres personnes qui font des mouvements de gymnastique.")</f>
        <v>Ensuite, quelqu'un fait un piste de marche avant et une autre fille fait unpring en arrière avec d'autres personnes qui font des mouvements de gymnastique.</v>
      </c>
    </row>
    <row r="37055">
      <c r="A37055" s="4" t="s">
        <v>46608</v>
      </c>
      <c r="B37055" s="6" t="s">
        <v>46609</v>
      </c>
      <c r="C37055" s="5" t="str">
        <f>IFERROR(__xludf.DUMMYFUNCTION("GOOGLETRANSLATE(B37055,""en"",""fr"")"),"Un homme portant un sac est vu à la caméra et mène à un groupe de personnes roulant dans un radeau.")</f>
        <v>Un homme portant un sac est vu à la caméra et mène à un groupe de personnes roulant dans un radeau.</v>
      </c>
    </row>
    <row r="37056">
      <c r="A37056" s="4" t="s">
        <v>46608</v>
      </c>
      <c r="B37056" s="6" t="s">
        <v>46610</v>
      </c>
      <c r="C37056" s="5" t="str">
        <f>IFERROR(__xludf.DUMMYFUNCTION("GOOGLETRANSLATE(B37056,""en"",""fr"")"),"Une personne pagaye et tourne le sol, conduisant à l'homme parlant à la caméra.")</f>
        <v>Une personne pagaye et tourne le sol, conduisant à l'homme parlant à la caméra.</v>
      </c>
    </row>
    <row r="37057">
      <c r="A37057" s="4" t="s">
        <v>46611</v>
      </c>
      <c r="B37057" s="4" t="s">
        <v>46612</v>
      </c>
      <c r="C37057" s="5" t="str">
        <f>IFERROR(__xludf.DUMMYFUNCTION("GOOGLETRANSLATE(B37057,""en"",""fr"")"),"Un groupe de batteurs vêtus de toutes tenues blanches interprète une chanson.")</f>
        <v>Un groupe de batteurs vêtus de toutes tenues blanches interprète une chanson.</v>
      </c>
    </row>
    <row r="37058">
      <c r="A37058" s="4" t="s">
        <v>46611</v>
      </c>
      <c r="B37058" s="4" t="s">
        <v>46613</v>
      </c>
      <c r="C37058" s="5" t="str">
        <f>IFERROR(__xludf.DUMMYFUNCTION("GOOGLETRANSLATE(B37058,""en"",""fr"")"),"Un instructeur se tient devant le groupe en donnant des instructions.")</f>
        <v>Un instructeur se tient devant le groupe en donnant des instructions.</v>
      </c>
    </row>
    <row r="37059">
      <c r="A37059" s="4" t="s">
        <v>46614</v>
      </c>
      <c r="B37059" s="4" t="s">
        <v>46615</v>
      </c>
      <c r="C37059" s="5" t="str">
        <f>IFERROR(__xludf.DUMMYFUNCTION("GOOGLETRANSLATE(B37059,""en"",""fr"")"),"L'homme est assis dans un OFICE parlant à la caméra.")</f>
        <v>L'homme est assis dans un OFICE parlant à la caméra.</v>
      </c>
    </row>
    <row r="37060">
      <c r="A37060" s="4" t="s">
        <v>46614</v>
      </c>
      <c r="B37060" s="4" t="s">
        <v>46616</v>
      </c>
      <c r="C37060" s="5" t="str">
        <f>IFERROR(__xludf.DUMMYFUNCTION("GOOGLETRANSLATE(B37060,""en"",""fr"")"),"Un tatouage est montré dans le dos d'un homme et l'homme le tatoue.")</f>
        <v>Un tatouage est montré dans le dos d'un homme et l'homme le tatoue.</v>
      </c>
    </row>
    <row r="37061">
      <c r="A37061" s="4" t="s">
        <v>46614</v>
      </c>
      <c r="B37061" s="4" t="s">
        <v>46617</v>
      </c>
      <c r="C37061" s="5" t="str">
        <f>IFERROR(__xludf.DUMMYFUNCTION("GOOGLETRANSLATE(B37061,""en"",""fr"")"),"L'homme est debout à ne pas être un stand en train de tatouer sur le dos.")</f>
        <v>L'homme est debout à ne pas être un stand en train de tatouer sur le dos.</v>
      </c>
    </row>
    <row r="37062">
      <c r="A37062" s="4" t="s">
        <v>46618</v>
      </c>
      <c r="B37062" s="4" t="s">
        <v>46619</v>
      </c>
      <c r="C37062" s="5" t="str">
        <f>IFERROR(__xludf.DUMMYFUNCTION("GOOGLETRANSLATE(B37062,""en"",""fr"")"),"Un groupe d'enfants joue sur un terrain.")</f>
        <v>Un groupe d'enfants joue sur un terrain.</v>
      </c>
    </row>
    <row r="37063">
      <c r="A37063" s="4" t="s">
        <v>46618</v>
      </c>
      <c r="B37063" s="4" t="s">
        <v>46620</v>
      </c>
      <c r="C37063" s="5" t="str">
        <f>IFERROR(__xludf.DUMMYFUNCTION("GOOGLETRANSLATE(B37063,""en"",""fr"")"),"Les entraîneurs leur parlent pendant qu'ils courent.")</f>
        <v>Les entraîneurs leur parlent pendant qu'ils courent.</v>
      </c>
    </row>
    <row r="37064">
      <c r="A37064" s="4" t="s">
        <v>46618</v>
      </c>
      <c r="B37064" s="4" t="s">
        <v>46621</v>
      </c>
      <c r="C37064" s="5" t="str">
        <f>IFERROR(__xludf.DUMMYFUNCTION("GOOGLETRANSLATE(B37064,""en"",""fr"")"),"Ils s'engagent dans un jeu de crosse ensemble.")</f>
        <v>Ils s'engagent dans un jeu de crosse ensemble.</v>
      </c>
    </row>
    <row r="37065">
      <c r="A37065" s="4" t="s">
        <v>46622</v>
      </c>
      <c r="B37065" s="6" t="s">
        <v>46623</v>
      </c>
      <c r="C37065" s="5" t="str">
        <f>IFERROR(__xludf.DUMMYFUNCTION("GOOGLETRANSLATE(B37065,""en"",""fr"")"),"Un grand groupe de personnes est vue debout sur la glace, suivie de divers plans d'outils de curling et de personnes qui jouent du sport.")</f>
        <v>Un grand groupe de personnes est vue debout sur la glace, suivie de divers plans d'outils de curling et de personnes qui jouent du sport.</v>
      </c>
    </row>
    <row r="37066">
      <c r="A37066" s="4" t="s">
        <v>46622</v>
      </c>
      <c r="B37066" s="4" t="s">
        <v>46624</v>
      </c>
      <c r="C37066" s="5" t="str">
        <f>IFERROR(__xludf.DUMMYFUNCTION("GOOGLETRANSLATE(B37066,""en"",""fr"")"),"Un homme est vu mettre des chaussures, marchant le long de la glace tandis qu'un autre l'aide à marcher.")</f>
        <v>Un homme est vu mettre des chaussures, marchant le long de la glace tandis qu'un autre l'aide à marcher.</v>
      </c>
    </row>
    <row r="37067">
      <c r="A37067" s="4" t="s">
        <v>46622</v>
      </c>
      <c r="B37067" s="6" t="s">
        <v>46625</v>
      </c>
      <c r="C37067" s="5" t="str">
        <f>IFERROR(__xludf.DUMMYFUNCTION("GOOGLETRANSLATE(B37067,""en"",""fr"")"),"Les hommes continuent de lui apprendre à glisser le long de la glace et à utiliser la brosse pour déplacer la rondelle.")</f>
        <v>Les hommes continuent de lui apprendre à glisser le long de la glace et à utiliser la brosse pour déplacer la rondelle.</v>
      </c>
    </row>
    <row r="37068">
      <c r="A37068" s="4" t="s">
        <v>46626</v>
      </c>
      <c r="B37068" s="4" t="s">
        <v>46627</v>
      </c>
      <c r="C37068" s="5" t="str">
        <f>IFERROR(__xludf.DUMMYFUNCTION("GOOGLETRANSLATE(B37068,""en"",""fr"")"),"Un groupe d'hommes est dans un désert sablonneux.")</f>
        <v>Un groupe d'hommes est dans un désert sablonneux.</v>
      </c>
    </row>
    <row r="37069">
      <c r="A37069" s="4" t="s">
        <v>46626</v>
      </c>
      <c r="B37069" s="4" t="s">
        <v>46628</v>
      </c>
      <c r="C37069" s="5" t="str">
        <f>IFERROR(__xludf.DUMMYFUNCTION("GOOGLETRANSLATE(B37069,""en"",""fr"")"),"Ils grimpent sur des chameaux et les montent.")</f>
        <v>Ils grimpent sur des chameaux et les montent.</v>
      </c>
    </row>
    <row r="37070">
      <c r="A37070" s="4" t="s">
        <v>46626</v>
      </c>
      <c r="B37070" s="4" t="s">
        <v>46629</v>
      </c>
      <c r="C37070" s="5" t="str">
        <f>IFERROR(__xludf.DUMMYFUNCTION("GOOGLETRANSLATE(B37070,""en"",""fr"")"),"Ils montent les chameaux vers un ensemble de pyramides.")</f>
        <v>Ils montent les chameaux vers un ensemble de pyramides.</v>
      </c>
    </row>
    <row r="37071">
      <c r="A37071" s="4" t="s">
        <v>46630</v>
      </c>
      <c r="B37071" s="4" t="s">
        <v>46631</v>
      </c>
      <c r="C37071" s="5" t="str">
        <f>IFERROR(__xludf.DUMMYFUNCTION("GOOGLETRANSLATE(B37071,""en"",""fr"")"),"Nous voyons un écran de titre s'estomper.")</f>
        <v>Nous voyons un écran de titre s'estomper.</v>
      </c>
    </row>
    <row r="37072">
      <c r="A37072" s="4" t="s">
        <v>46630</v>
      </c>
      <c r="B37072" s="4" t="s">
        <v>46632</v>
      </c>
      <c r="C37072" s="5" t="str">
        <f>IFERROR(__xludf.DUMMYFUNCTION("GOOGLETRANSLATE(B37072,""en"",""fr"")"),"Un homme et un chien marchent dans une salle d'entraînement.")</f>
        <v>Un homme et un chien marchent dans une salle d'entraînement.</v>
      </c>
    </row>
    <row r="37073">
      <c r="A37073" s="4" t="s">
        <v>46630</v>
      </c>
      <c r="B37073" s="4" t="s">
        <v>46633</v>
      </c>
      <c r="C37073" s="5" t="str">
        <f>IFERROR(__xludf.DUMMYFUNCTION("GOOGLETRANSLATE(B37073,""en"",""fr"")"),"L'homme jette des frisbees pour que le chien puisse attraper.")</f>
        <v>L'homme jette des frisbees pour que le chien puisse attraper.</v>
      </c>
    </row>
    <row r="37074">
      <c r="A37074" s="4" t="s">
        <v>46630</v>
      </c>
      <c r="B37074" s="4" t="s">
        <v>46634</v>
      </c>
      <c r="C37074" s="5" t="str">
        <f>IFERROR(__xludf.DUMMYFUNCTION("GOOGLETRANSLATE(B37074,""en"",""fr"")"),"Le chien se tient pour attraper le frisbee le se penche sur l'homme.")</f>
        <v>Le chien se tient pour attraper le frisbee le se penche sur l'homme.</v>
      </c>
    </row>
    <row r="37075">
      <c r="A37075" s="4" t="s">
        <v>46630</v>
      </c>
      <c r="B37075" s="4" t="s">
        <v>46635</v>
      </c>
      <c r="C37075" s="5" t="str">
        <f>IFERROR(__xludf.DUMMYFUNCTION("GOOGLETRANSLATE(B37075,""en"",""fr"")"),"Le chien saute dans les bras de l'homme.")</f>
        <v>Le chien saute dans les bras de l'homme.</v>
      </c>
    </row>
    <row r="37076">
      <c r="A37076" s="4" t="s">
        <v>46630</v>
      </c>
      <c r="B37076" s="4" t="s">
        <v>777</v>
      </c>
      <c r="C37076" s="5" t="str">
        <f>IFERROR(__xludf.DUMMYFUNCTION("GOOGLETRANSLATE(B37076,""en"",""fr"")"),"Nous voyons l'écran du titre de fin.")</f>
        <v>Nous voyons l'écran du titre de fin.</v>
      </c>
    </row>
    <row r="37077">
      <c r="A37077" s="4" t="s">
        <v>46636</v>
      </c>
      <c r="B37077" s="4" t="s">
        <v>46637</v>
      </c>
      <c r="C37077" s="5" t="str">
        <f>IFERROR(__xludf.DUMMYFUNCTION("GOOGLETRANSLATE(B37077,""en"",""fr"")"),"Une table de divers fruits coupés apparaît à l'écran avec le titre ""Making Drinks"".")</f>
        <v>Une table de divers fruits coupés apparaît à l'écran avec le titre "Making Drinks".</v>
      </c>
    </row>
    <row r="37078">
      <c r="A37078" s="4" t="s">
        <v>46636</v>
      </c>
      <c r="B37078" s="4" t="s">
        <v>46638</v>
      </c>
      <c r="C37078" s="5" t="str">
        <f>IFERROR(__xludf.DUMMYFUNCTION("GOOGLETRANSLATE(B37078,""en"",""fr"")"),"Une personne coupe et serre des citrons suivis du titre ""Making Lemonade est facile et amusant"".")</f>
        <v>Une personne coupe et serre des citrons suivis du titre "Making Lemonade est facile et amusant".</v>
      </c>
    </row>
    <row r="37079">
      <c r="A37079" s="4" t="s">
        <v>46636</v>
      </c>
      <c r="B37079" s="4" t="s">
        <v>46639</v>
      </c>
      <c r="C37079" s="5" t="str">
        <f>IFERROR(__xludf.DUMMYFUNCTION("GOOGLETRANSLATE(B37079,""en"",""fr"")"),"Différents articles nécessaires pour faire de la limonade sont affichés et intitulés suivis par des interviews.")</f>
        <v>Différents articles nécessaires pour faire de la limonade sont affichés et intitulés suivis par des interviews.</v>
      </c>
    </row>
    <row r="37080">
      <c r="A37080" s="4" t="s">
        <v>46636</v>
      </c>
      <c r="B37080" s="4" t="s">
        <v>46640</v>
      </c>
      <c r="C37080" s="5" t="str">
        <f>IFERROR(__xludf.DUMMYFUNCTION("GOOGLETRANSLATE(B37080,""en"",""fr"")"),"Chaque étape de la fabrication de limonade est montrée et intitulée.")</f>
        <v>Chaque étape de la fabrication de limonade est montrée et intitulée.</v>
      </c>
    </row>
    <row r="37081">
      <c r="A37081" s="4" t="s">
        <v>46636</v>
      </c>
      <c r="B37081" s="4" t="s">
        <v>46641</v>
      </c>
      <c r="C37081" s="5" t="str">
        <f>IFERROR(__xludf.DUMMYFUNCTION("GOOGLETRANSLATE(B37081,""en"",""fr"")"),"Les gens sont interrogés en buvant la limonade.")</f>
        <v>Les gens sont interrogés en buvant la limonade.</v>
      </c>
    </row>
    <row r="37082">
      <c r="A37082" s="4" t="s">
        <v>46636</v>
      </c>
      <c r="B37082" s="4" t="s">
        <v>46642</v>
      </c>
      <c r="C37082" s="5" t="str">
        <f>IFERROR(__xludf.DUMMYFUNCTION("GOOGLETRANSLATE(B37082,""en"",""fr"")"),"Un logo ""Citrus Saturday"" apparaît avec divers logos d'organisation de soutien en dessous.")</f>
        <v>Un logo "Citrus Saturday" apparaît avec divers logos d'organisation de soutien en dessous.</v>
      </c>
    </row>
    <row r="37083">
      <c r="A37083" s="4" t="s">
        <v>46643</v>
      </c>
      <c r="B37083" s="6" t="s">
        <v>46644</v>
      </c>
      <c r="C37083" s="5" t="str">
        <f>IFERROR(__xludf.DUMMYFUNCTION("GOOGLETRANSLATE(B37083,""en"",""fr"")"),"Une intro apparaît montrant des lunettes vides, une carte qui dit ""Audi Polo Challenge 2014"", un drapeau Audi soufflant dans le vent, des plans de gros plan d'un cheval blanc, des gens avec des boissons, des voitures conduisant, Grand groupe de personne"&amp;"s près et dans une tente debout et assise.")</f>
        <v>Une intro apparaît montrant des lunettes vides, une carte qui dit "Audi Polo Challenge 2014", un drapeau Audi soufflant dans le vent, des plans de gros plan d'un cheval blanc, des gens avec des boissons, des voitures conduisant, Grand groupe de personnes près et dans une tente debout et assise.</v>
      </c>
    </row>
    <row r="37084">
      <c r="A37084" s="4" t="s">
        <v>46643</v>
      </c>
      <c r="B37084" s="6" t="s">
        <v>46645</v>
      </c>
      <c r="C37084" s="5" t="str">
        <f>IFERROR(__xludf.DUMMYFUNCTION("GOOGLETRANSLATE(B37084,""en"",""fr"")"),"Le match de polo commence et les hommes roulent sur des hroses qui vont très vite car ils tentent tous de frapper le ballon avec leurs bâtons.")</f>
        <v>Le match de polo commence et les hommes roulent sur des hroses qui vont très vite car ils tentent tous de frapper le ballon avec leurs bâtons.</v>
      </c>
    </row>
    <row r="37085">
      <c r="A37085" s="4" t="s">
        <v>46643</v>
      </c>
      <c r="B37085" s="6" t="s">
        <v>46646</v>
      </c>
      <c r="C37085" s="5" t="str">
        <f>IFERROR(__xludf.DUMMYFUNCTION("GOOGLETRANSLATE(B37085,""en"",""fr"")"),"Il y a beaucoup de célébrités et même de royauté lors de cet événement de polo et de temps en temps, ils sont montrés, et parfois ils sont également interviewés.")</f>
        <v>Il y a beaucoup de célébrités et même de royauté lors de cet événement de polo et de temps en temps, ils sont montrés, et parfois ils sont également interviewés.</v>
      </c>
    </row>
    <row r="37086">
      <c r="A37086" s="4" t="s">
        <v>46643</v>
      </c>
      <c r="B37086" s="6" t="s">
        <v>46647</v>
      </c>
      <c r="C37086" s="5" t="str">
        <f>IFERROR(__xludf.DUMMYFUNCTION("GOOGLETRANSLATE(B37086,""en"",""fr"")"),"Entre les matchs, les gens sortent tous dans l'herbe et remettent les taches d'herbe dans les trous qui les manquent, et le jeu de polo continue pour un autre tour.")</f>
        <v>Entre les matchs, les gens sortent tous dans l'herbe et remettent les taches d'herbe dans les trous qui les manquent, et le jeu de polo continue pour un autre tour.</v>
      </c>
    </row>
    <row r="37087">
      <c r="A37087" s="4" t="s">
        <v>46643</v>
      </c>
      <c r="B37087" s="6" t="s">
        <v>46648</v>
      </c>
      <c r="C37087" s="5" t="str">
        <f>IFERROR(__xludf.DUMMYFUNCTION("GOOGLETRANSLATE(B37087,""en"",""fr"")"),"Le match de polo se termine et le prince Harry et le prince William sont vus séparément une boîte blanche d'un homme, pendant qu'ils parlent et se serrent la main tandis que les gens applaudissent et prennent des photos.")</f>
        <v>Le match de polo se termine et le prince Harry et le prince William sont vus séparément une boîte blanche d'un homme, pendant qu'ils parlent et se serrent la main tandis que les gens applaudissent et prennent des photos.</v>
      </c>
    </row>
    <row r="37088">
      <c r="A37088" s="4" t="s">
        <v>46649</v>
      </c>
      <c r="B37088" s="4" t="s">
        <v>46650</v>
      </c>
      <c r="C37088" s="5" t="str">
        <f>IFERROR(__xludf.DUMMYFUNCTION("GOOGLETRANSLATE(B37088,""en"",""fr"")"),"On voit des gens marcher dans la forêt transportant des tubes et les conduire assis dans l'eau.")</f>
        <v>On voit des gens marcher dans la forêt transportant des tubes et les conduire assis dans l'eau.</v>
      </c>
    </row>
    <row r="37089">
      <c r="A37089" s="4" t="s">
        <v>46649</v>
      </c>
      <c r="B37089" s="4" t="s">
        <v>46651</v>
      </c>
      <c r="C37089" s="5" t="str">
        <f>IFERROR(__xludf.DUMMYFUNCTION("GOOGLETRANSLATE(B37089,""en"",""fr"")"),"Plus de gens grimpent dans l'eau et s'asseyent sur leurs tubes.")</f>
        <v>Plus de gens grimpent dans l'eau et s'asseyent sur leurs tubes.</v>
      </c>
    </row>
    <row r="37090">
      <c r="A37090" s="4" t="s">
        <v>46649</v>
      </c>
      <c r="B37090" s="4" t="s">
        <v>46652</v>
      </c>
      <c r="C37090" s="5" t="str">
        <f>IFERROR(__xludf.DUMMYFUNCTION("GOOGLETRANSLATE(B37090,""en"",""fr"")"),"Plusieurs gros plans sont vus des personnes qui roulent sur les tubes ainsi que de la natation dans l'eau.")</f>
        <v>Plusieurs gros plans sont vus des personnes qui roulent sur les tubes ainsi que de la natation dans l'eau.</v>
      </c>
    </row>
    <row r="37091">
      <c r="A37091" s="4" t="s">
        <v>46653</v>
      </c>
      <c r="B37091" s="4" t="s">
        <v>46654</v>
      </c>
      <c r="C37091" s="5" t="str">
        <f>IFERROR(__xludf.DUMMYFUNCTION("GOOGLETRANSLATE(B37091,""en"",""fr"")"),"Des instructions écrites sur la façon de faire la main à la main sont à l'écran.")</f>
        <v>Des instructions écrites sur la façon de faire la main à la main sont à l'écran.</v>
      </c>
    </row>
    <row r="37092">
      <c r="A37092" s="4" t="s">
        <v>46653</v>
      </c>
      <c r="B37092" s="4" t="s">
        <v>46655</v>
      </c>
      <c r="C37092" s="5" t="str">
        <f>IFERROR(__xludf.DUMMYFUNCTION("GOOGLETRANSLATE(B37092,""en"",""fr"")"),"L'homme se tient dans une cour de panier dribblant le ballon et fait des liens vers le panier.")</f>
        <v>L'homme se tient dans une cour de panier dribblant le ballon et fait des liens vers le panier.</v>
      </c>
    </row>
    <row r="37093">
      <c r="A37093" s="4" t="s">
        <v>46653</v>
      </c>
      <c r="B37093" s="4" t="s">
        <v>46656</v>
      </c>
      <c r="C37093" s="5" t="str">
        <f>IFERROR(__xludf.DUMMYFUNCTION("GOOGLETRANSLATE(B37093,""en"",""fr"")"),"Trois joueurs du panier font des photos et montrent comment faire une technique de deux étapes.")</f>
        <v>Trois joueurs du panier font des photos et montrent comment faire une technique de deux étapes.</v>
      </c>
    </row>
    <row r="37094">
      <c r="A37094" s="4" t="s">
        <v>46657</v>
      </c>
      <c r="B37094" s="6" t="s">
        <v>46658</v>
      </c>
      <c r="C37094" s="5" t="str">
        <f>IFERROR(__xludf.DUMMYFUNCTION("GOOGLETRANSLATE(B37094,""en"",""fr"")"),"Deux enfants sont vus rouler dans un camion qui se déplacent sur une route ainsi que des photos de paysages et les enfants assis sur des vélos.")</f>
        <v>Deux enfants sont vus rouler dans un camion qui se déplacent sur une route ainsi que des photos de paysages et les enfants assis sur des vélos.</v>
      </c>
    </row>
    <row r="37095">
      <c r="A37095" s="4" t="s">
        <v>46657</v>
      </c>
      <c r="B37095" s="6" t="s">
        <v>46659</v>
      </c>
      <c r="C37095" s="5" t="str">
        <f>IFERROR(__xludf.DUMMYFUNCTION("GOOGLETRANSLATE(B37095,""en"",""fr"")"),"Plusieurs plans sont montrés des enfants qui roulent autour d'un piste de terre les uns avec les autres pendant que la caméra les capture partout.")</f>
        <v>Plusieurs plans sont montrés des enfants qui roulent autour d'un piste de terre les uns avec les autres pendant que la caméra les capture partout.</v>
      </c>
    </row>
    <row r="37096">
      <c r="A37096" s="4" t="s">
        <v>46660</v>
      </c>
      <c r="B37096" s="6" t="s">
        <v>46661</v>
      </c>
      <c r="C37096" s="5" t="str">
        <f>IFERROR(__xludf.DUMMYFUNCTION("GOOGLETRANSLATE(B37096,""en"",""fr"")"),"Il y a une femme aux cheveux de couleur rouge portant un débardeur noir et des collants noirs imprimés patinant sur des lames à rouleaux dans les rues d'une ville.")</f>
        <v>Il y a une femme aux cheveux de couleur rouge portant un débardeur noir et des collants noirs imprimés patinant sur des lames à rouleaux dans les rues d'une ville.</v>
      </c>
    </row>
    <row r="37097">
      <c r="A37097" s="4" t="s">
        <v>46660</v>
      </c>
      <c r="B37097" s="4" t="s">
        <v>46662</v>
      </c>
      <c r="C37097" s="5" t="str">
        <f>IFERROR(__xludf.DUMMYFUNCTION("GOOGLETRANSLATE(B37097,""en"",""fr"")"),"Les rues n'ont pas de voitures, mais les gens font du vélo ou du skateboard.")</f>
        <v>Les rues n'ont pas de voitures, mais les gens font du vélo ou du skateboard.</v>
      </c>
    </row>
    <row r="37098">
      <c r="A37098" s="4" t="s">
        <v>46660</v>
      </c>
      <c r="B37098" s="6" t="s">
        <v>46663</v>
      </c>
      <c r="C37098" s="5" t="str">
        <f>IFERROR(__xludf.DUMMYFUNCTION("GOOGLETRANSLATE(B37098,""en"",""fr"")"),"La femme patine rapidement dans les rues bondées alors qu'elle passe par plusieurs touristes marchant tranquillement.")</f>
        <v>La femme patine rapidement dans les rues bondées alors qu'elle passe par plusieurs touristes marchant tranquillement.</v>
      </c>
    </row>
    <row r="37099">
      <c r="A37099" s="4" t="s">
        <v>46664</v>
      </c>
      <c r="B37099" s="4" t="s">
        <v>46665</v>
      </c>
      <c r="C37099" s="5" t="str">
        <f>IFERROR(__xludf.DUMMYFUNCTION("GOOGLETRANSLATE(B37099,""en"",""fr"")"),"Un homme vole en l'air avec une moto.")</f>
        <v>Un homme vole en l'air avec une moto.</v>
      </c>
    </row>
    <row r="37100">
      <c r="A37100" s="4" t="s">
        <v>46664</v>
      </c>
      <c r="B37100" s="4" t="s">
        <v>46666</v>
      </c>
      <c r="C37100" s="5" t="str">
        <f>IFERROR(__xludf.DUMMYFUNCTION("GOOGLETRANSLATE(B37100,""en"",""fr"")"),"Un homme fait un circuit de motocross à l'aide d'une machine lourde.")</f>
        <v>Un homme fait un circuit de motocross à l'aide d'une machine lourde.</v>
      </c>
    </row>
    <row r="37101">
      <c r="A37101" s="4" t="s">
        <v>46664</v>
      </c>
      <c r="B37101" s="4" t="s">
        <v>46667</v>
      </c>
      <c r="C37101" s="5" t="str">
        <f>IFERROR(__xludf.DUMMYFUNCTION("GOOGLETRANSLATE(B37101,""en"",""fr"")"),"Les gens gèrent du motocross sur une route cahoteuse.")</f>
        <v>Les gens gèrent du motocross sur une route cahoteuse.</v>
      </c>
    </row>
    <row r="37102">
      <c r="A37102" s="4" t="s">
        <v>46664</v>
      </c>
      <c r="B37102" s="4" t="s">
        <v>46668</v>
      </c>
      <c r="C37102" s="5" t="str">
        <f>IFERROR(__xludf.DUMMYFUNCTION("GOOGLETRANSLATE(B37102,""en"",""fr"")"),"Les gens conduisent une moto sur des rampes, puis volent et tournent dans l'air.")</f>
        <v>Les gens conduisent une moto sur des rampes, puis volent et tournent dans l'air.</v>
      </c>
    </row>
    <row r="37103">
      <c r="A37103" s="4" t="s">
        <v>46669</v>
      </c>
      <c r="B37103" s="4" t="s">
        <v>46670</v>
      </c>
      <c r="C37103" s="5" t="str">
        <f>IFERROR(__xludf.DUMMYFUNCTION("GOOGLETRANSLATE(B37103,""en"",""fr"")"),"Les hommes se dirigent vers un magasin de vélos et parlent avec l'homme à l'intérieur.")</f>
        <v>Les hommes se dirigent vers un magasin de vélos et parlent avec l'homme à l'intérieur.</v>
      </c>
    </row>
    <row r="37104">
      <c r="A37104" s="4" t="s">
        <v>46669</v>
      </c>
      <c r="B37104" s="4" t="s">
        <v>46671</v>
      </c>
      <c r="C37104" s="5" t="str">
        <f>IFERROR(__xludf.DUMMYFUNCTION("GOOGLETRANSLATE(B37104,""en"",""fr"")"),"Ils assemblent différents morceaux du vélo.")</f>
        <v>Ils assemblent différents morceaux du vélo.</v>
      </c>
    </row>
    <row r="37105">
      <c r="A37105" s="4" t="s">
        <v>46669</v>
      </c>
      <c r="B37105" s="6" t="s">
        <v>46672</v>
      </c>
      <c r="C37105" s="5" t="str">
        <f>IFERROR(__xludf.DUMMYFUNCTION("GOOGLETRANSLATE(B37105,""en"",""fr"")"),"L'homme dit au revoir et quitte la boutique et rentre à la maison où l'homme porte le vélo et le met dans un salon.")</f>
        <v>L'homme dit au revoir et quitte la boutique et rentre à la maison où l'homme porte le vélo et le met dans un salon.</v>
      </c>
    </row>
    <row r="37106">
      <c r="A37106" s="4" t="s">
        <v>46669</v>
      </c>
      <c r="B37106" s="4" t="s">
        <v>46673</v>
      </c>
      <c r="C37106" s="5" t="str">
        <f>IFERROR(__xludf.DUMMYFUNCTION("GOOGLETRANSLATE(B37106,""en"",""fr"")"),"L'homme se détache sur des livres blancs et répare le vélo sur le garage.")</f>
        <v>L'homme se détache sur des livres blancs et répare le vélo sur le garage.</v>
      </c>
    </row>
    <row r="37107">
      <c r="A37107" s="4" t="s">
        <v>46674</v>
      </c>
      <c r="B37107" s="6" t="s">
        <v>46675</v>
      </c>
      <c r="C37107" s="5" t="str">
        <f>IFERROR(__xludf.DUMMYFUNCTION("GOOGLETRANSLATE(B37107,""en"",""fr"")"),"Un groupe de personnes portant des bonnets de natation se déplace dans une piscine et jette une balle avec un homme sur les côtés en agitant un drapeau.")</f>
        <v>Un groupe de personnes portant des bonnets de natation se déplace dans une piscine et jette une balle avec un homme sur les côtés en agitant un drapeau.</v>
      </c>
    </row>
    <row r="37108">
      <c r="A37108" s="4" t="s">
        <v>46674</v>
      </c>
      <c r="B37108" s="4" t="s">
        <v>46676</v>
      </c>
      <c r="C37108" s="5" t="str">
        <f>IFERROR(__xludf.DUMMYFUNCTION("GOOGLETRANSLATE(B37108,""en"",""fr"")"),"Ils jouent à un gibier de water-polo et se lancent le ballon.")</f>
        <v>Ils jouent à un gibier de water-polo et se lancent le ballon.</v>
      </c>
    </row>
    <row r="37109">
      <c r="A37109" s="4" t="s">
        <v>46674</v>
      </c>
      <c r="B37109" s="4" t="s">
        <v>46677</v>
      </c>
      <c r="C37109" s="5" t="str">
        <f>IFERROR(__xludf.DUMMYFUNCTION("GOOGLETRANSLATE(B37109,""en"",""fr"")"),"On jette le ballon dans le filet et fait sauter et encourager les gens sur le côté.")</f>
        <v>On jette le ballon dans le filet et fait sauter et encourager les gens sur le côté.</v>
      </c>
    </row>
    <row r="37110">
      <c r="A37110" s="4" t="s">
        <v>46674</v>
      </c>
      <c r="B37110" s="4" t="s">
        <v>46678</v>
      </c>
      <c r="C37110" s="5" t="str">
        <f>IFERROR(__xludf.DUMMYFUNCTION("GOOGLETRANSLATE(B37110,""en"",""fr"")"),"Une vidéo de l'événement montre au ralenti suivi par des hommes sur la touche.")</f>
        <v>Une vidéo de l'événement montre au ralenti suivi par des hommes sur la touche.</v>
      </c>
    </row>
    <row r="37111">
      <c r="A37111" s="4" t="s">
        <v>46679</v>
      </c>
      <c r="B37111" s="4" t="s">
        <v>46680</v>
      </c>
      <c r="C37111" s="5" t="str">
        <f>IFERROR(__xludf.DUMMYFUNCTION("GOOGLETRANSLATE(B37111,""en"",""fr"")"),"Les gens courent sur une piste et sautent dans un sable.")</f>
        <v>Les gens courent sur une piste et sautent dans un sable.</v>
      </c>
    </row>
    <row r="37112">
      <c r="A37112" s="4" t="s">
        <v>46679</v>
      </c>
      <c r="B37112" s="4" t="s">
        <v>46681</v>
      </c>
      <c r="C37112" s="5" t="str">
        <f>IFERROR(__xludf.DUMMYFUNCTION("GOOGLETRANSLATE(B37112,""en"",""fr"")"),"Les gens se tiennent sur le côté de la piste les regardant.")</f>
        <v>Les gens se tiennent sur le côté de la piste les regardant.</v>
      </c>
    </row>
    <row r="37113">
      <c r="A37113" s="4" t="s">
        <v>46679</v>
      </c>
      <c r="B37113" s="4" t="s">
        <v>46682</v>
      </c>
      <c r="C37113" s="5" t="str">
        <f>IFERROR(__xludf.DUMMYFUNCTION("GOOGLETRANSLATE(B37113,""en"",""fr"")"),"L'homme pose devant un signe.")</f>
        <v>L'homme pose devant un signe.</v>
      </c>
    </row>
    <row r="37114">
      <c r="A37114" s="4" t="s">
        <v>46683</v>
      </c>
      <c r="B37114" s="4" t="s">
        <v>12684</v>
      </c>
      <c r="C37114" s="5" t="str">
        <f>IFERROR(__xludf.DUMMYFUNCTION("GOOGLETRANSLATE(B37114,""en"",""fr"")"),"Un homme marche sur un plongeon.")</f>
        <v>Un homme marche sur un plongeon.</v>
      </c>
    </row>
    <row r="37115">
      <c r="A37115" s="4" t="s">
        <v>46683</v>
      </c>
      <c r="B37115" s="4" t="s">
        <v>46684</v>
      </c>
      <c r="C37115" s="5" t="str">
        <f>IFERROR(__xludf.DUMMYFUNCTION("GOOGLETRANSLATE(B37115,""en"",""fr"")"),"Il saute dans la piscine en dessous de lui.")</f>
        <v>Il saute dans la piscine en dessous de lui.</v>
      </c>
    </row>
    <row r="37116">
      <c r="A37116" s="4" t="s">
        <v>46683</v>
      </c>
      <c r="B37116" s="4" t="s">
        <v>46685</v>
      </c>
      <c r="C37116" s="5" t="str">
        <f>IFERROR(__xludf.DUMMYFUNCTION("GOOGLETRANSLATE(B37116,""en"",""fr"")"),"Une autre personne monte sur le bord de plongée.")</f>
        <v>Une autre personne monte sur le bord de plongée.</v>
      </c>
    </row>
    <row r="37117">
      <c r="A37117" s="4" t="s">
        <v>46686</v>
      </c>
      <c r="B37117" s="6" t="s">
        <v>46687</v>
      </c>
      <c r="C37117" s="5" t="str">
        <f>IFERROR(__xludf.DUMMYFUNCTION("GOOGLETRANSLATE(B37117,""en"",""fr"")"),"Deux personnes sont vues rouler sur des skis tout en parlant les unes aux autres et les mènent en descendant une colline enneigée.")</f>
        <v>Deux personnes sont vues rouler sur des skis tout en parlant les unes aux autres et les mènent en descendant une colline enneigée.</v>
      </c>
    </row>
    <row r="37118">
      <c r="A37118" s="4" t="s">
        <v>46686</v>
      </c>
      <c r="B37118" s="6" t="s">
        <v>46688</v>
      </c>
      <c r="C37118" s="5" t="str">
        <f>IFERROR(__xludf.DUMMYFUNCTION("GOOGLETRANSLATE(B37118,""en"",""fr"")"),"Les gens se poussent continuellement rapidement sur une colline en passant devant plusieurs personnes et se terminant en s'arrêtant à la fin.")</f>
        <v>Les gens se poussent continuellement rapidement sur une colline en passant devant plusieurs personnes et se terminant en s'arrêtant à la fin.</v>
      </c>
    </row>
    <row r="37119">
      <c r="A37119" s="4" t="s">
        <v>46689</v>
      </c>
      <c r="B37119" s="4" t="s">
        <v>46690</v>
      </c>
      <c r="C37119" s="5" t="str">
        <f>IFERROR(__xludf.DUMMYFUNCTION("GOOGLETRANSLATE(B37119,""en"",""fr"")"),"Un chien monte sur un bateau avec ses propriétaires.")</f>
        <v>Un chien monte sur un bateau avec ses propriétaires.</v>
      </c>
    </row>
    <row r="37120">
      <c r="A37120" s="4" t="s">
        <v>46689</v>
      </c>
      <c r="B37120" s="4" t="s">
        <v>46691</v>
      </c>
      <c r="C37120" s="5" t="str">
        <f>IFERROR(__xludf.DUMMYFUNCTION("GOOGLETRANSLATE(B37120,""en"",""fr"")"),"Un crabe est vu ramper au fond d'un lac.")</f>
        <v>Un crabe est vu ramper au fond d'un lac.</v>
      </c>
    </row>
    <row r="37121">
      <c r="A37121" s="4" t="s">
        <v>46689</v>
      </c>
      <c r="B37121" s="4" t="s">
        <v>46692</v>
      </c>
      <c r="C37121" s="5" t="str">
        <f>IFERROR(__xludf.DUMMYFUNCTION("GOOGLETRANSLATE(B37121,""en"",""fr"")"),"Les gens skient dans l'eau derrière un bateau sur un lac calme.")</f>
        <v>Les gens skient dans l'eau derrière un bateau sur un lac calme.</v>
      </c>
    </row>
    <row r="37122">
      <c r="A37122" s="4" t="s">
        <v>46689</v>
      </c>
      <c r="B37122" s="4" t="s">
        <v>46693</v>
      </c>
      <c r="C37122" s="5" t="str">
        <f>IFERROR(__xludf.DUMMYFUNCTION("GOOGLETRANSLATE(B37122,""en"",""fr"")"),"La personne lâche la corde de remorqueur et glisse vers le rivage du lac.")</f>
        <v>La personne lâche la corde de remorqueur et glisse vers le rivage du lac.</v>
      </c>
    </row>
    <row r="37123">
      <c r="A37123" s="4" t="s">
        <v>46689</v>
      </c>
      <c r="B37123" s="4" t="s">
        <v>46694</v>
      </c>
      <c r="C37123" s="5" t="str">
        <f>IFERROR(__xludf.DUMMYFUNCTION("GOOGLETRANSLATE(B37123,""en"",""fr"")"),"Le groupe prépare une chaise sur un traîneau avec une corde sur le rivage.")</f>
        <v>Le groupe prépare une chaise sur un traîneau avec une corde sur le rivage.</v>
      </c>
    </row>
    <row r="37124">
      <c r="A37124" s="4" t="s">
        <v>46689</v>
      </c>
      <c r="B37124" s="4" t="s">
        <v>46695</v>
      </c>
      <c r="C37124" s="5" t="str">
        <f>IFERROR(__xludf.DUMMYFUNCTION("GOOGLETRANSLATE(B37124,""en"",""fr"")"),"Un homme est tiré sur un traîneau du rivage puis sur le lac.")</f>
        <v>Un homme est tiré sur un traîneau du rivage puis sur le lac.</v>
      </c>
    </row>
    <row r="37125">
      <c r="A37125" s="4" t="s">
        <v>46689</v>
      </c>
      <c r="B37125" s="4" t="s">
        <v>46696</v>
      </c>
      <c r="C37125" s="5" t="str">
        <f>IFERROR(__xludf.DUMMYFUNCTION("GOOGLETRANSLATE(B37125,""en"",""fr"")"),"Le groupe retire le traîneau de l'eau et le soulève pour drainer l'eau.")</f>
        <v>Le groupe retire le traîneau de l'eau et le soulève pour drainer l'eau.</v>
      </c>
    </row>
    <row r="37126">
      <c r="A37126" s="4" t="s">
        <v>46697</v>
      </c>
      <c r="B37126" s="4" t="s">
        <v>46698</v>
      </c>
      <c r="C37126" s="5" t="str">
        <f>IFERROR(__xludf.DUMMYFUNCTION("GOOGLETRANSLATE(B37126,""en"",""fr"")"),"Un plancher brillant est montré.")</f>
        <v>Un plancher brillant est montré.</v>
      </c>
    </row>
    <row r="37127">
      <c r="A37127" s="4" t="s">
        <v>46697</v>
      </c>
      <c r="B37127" s="4" t="s">
        <v>46699</v>
      </c>
      <c r="C37127" s="5" t="str">
        <f>IFERROR(__xludf.DUMMYFUNCTION("GOOGLETRANSLATE(B37127,""en"",""fr"")"),"Un concierge est montré des tapis roulants, du grattage de la gomme, des panneaux éteignant des panneaux et des étages.")</f>
        <v>Un concierge est montré des tapis roulants, du grattage de la gomme, des panneaux éteignant des panneaux et des étages.</v>
      </c>
    </row>
    <row r="37128">
      <c r="A37128" s="4" t="s">
        <v>46697</v>
      </c>
      <c r="B37128" s="4" t="s">
        <v>46700</v>
      </c>
      <c r="C37128" s="5" t="str">
        <f>IFERROR(__xludf.DUMMYFUNCTION("GOOGLETRANSLATE(B37128,""en"",""fr"")"),"Il entre dans un placard et choisit le nettoyant qu'il utilise pendant qu'il en parle.")</f>
        <v>Il entre dans un placard et choisit le nettoyant qu'il utilise pendant qu'il en parle.</v>
      </c>
    </row>
    <row r="37129">
      <c r="A37129" s="4" t="s">
        <v>46697</v>
      </c>
      <c r="B37129" s="4" t="s">
        <v>46701</v>
      </c>
      <c r="C37129" s="5" t="str">
        <f>IFERROR(__xludf.DUMMYFUNCTION("GOOGLETRANSLATE(B37129,""en"",""fr"")"),"Il pulvérise de l'eau et la solution de nettoyage dans son chariot de vadrouille.")</f>
        <v>Il pulvérise de l'eau et la solution de nettoyage dans son chariot de vadrouille.</v>
      </c>
    </row>
    <row r="37130">
      <c r="A37130" s="4" t="s">
        <v>46697</v>
      </c>
      <c r="B37130" s="4" t="s">
        <v>46702</v>
      </c>
      <c r="C37130" s="5" t="str">
        <f>IFERROR(__xludf.DUMMYFUNCTION("GOOGLETRANSLATE(B37130,""en"",""fr"")"),"Il est ensuite montré en train de nettoyer le sol avec la solution.")</f>
        <v>Il est ensuite montré en train de nettoyer le sol avec la solution.</v>
      </c>
    </row>
    <row r="37131">
      <c r="A37131" s="4" t="s">
        <v>46697</v>
      </c>
      <c r="B37131" s="4" t="s">
        <v>46703</v>
      </c>
      <c r="C37131" s="5" t="str">
        <f>IFERROR(__xludf.DUMMYFUNCTION("GOOGLETRANSLATE(B37131,""en"",""fr"")"),"Il démonte tout et le range avant de se laver les mains pour la journée.")</f>
        <v>Il démonte tout et le range avant de se laver les mains pour la journée.</v>
      </c>
    </row>
    <row r="37132">
      <c r="A37132" s="4" t="s">
        <v>46704</v>
      </c>
      <c r="B37132" s="4" t="s">
        <v>46705</v>
      </c>
      <c r="C37132" s="5" t="str">
        <f>IFERROR(__xludf.DUMMYFUNCTION("GOOGLETRANSLATE(B37132,""en"",""fr"")"),"Les femmes jouent au hockey intérieur et sont en compétition.")</f>
        <v>Les femmes jouent au hockey intérieur et sont en compétition.</v>
      </c>
    </row>
    <row r="37133">
      <c r="A37133" s="4" t="s">
        <v>46704</v>
      </c>
      <c r="B37133" s="4" t="s">
        <v>46706</v>
      </c>
      <c r="C37133" s="5" t="str">
        <f>IFERROR(__xludf.DUMMYFUNCTION("GOOGLETRANSLATE(B37133,""en"",""fr"")"),"Ils commencent à se battre pour les rondelles gonflables.")</f>
        <v>Ils commencent à se battre pour les rondelles gonflables.</v>
      </c>
    </row>
    <row r="37134">
      <c r="A37134" s="4" t="s">
        <v>46704</v>
      </c>
      <c r="B37134" s="4" t="s">
        <v>46707</v>
      </c>
      <c r="C37134" s="5" t="str">
        <f>IFERROR(__xludf.DUMMYFUNCTION("GOOGLETRANSLATE(B37134,""en"",""fr"")"),"On leur montre à parler à la caméra du jeu.")</f>
        <v>On leur montre à parler à la caméra du jeu.</v>
      </c>
    </row>
    <row r="37135">
      <c r="A37135" s="4" t="s">
        <v>46704</v>
      </c>
      <c r="B37135" s="4" t="s">
        <v>46708</v>
      </c>
      <c r="C37135" s="5" t="str">
        <f>IFERROR(__xludf.DUMMYFUNCTION("GOOGLETRANSLATE(B37135,""en"",""fr"")"),"Les femmes sont à nouveau montrées en jouant au hockey en compétition les uns avec les autres.")</f>
        <v>Les femmes sont à nouveau montrées en jouant au hockey en compétition les uns avec les autres.</v>
      </c>
    </row>
    <row r="37136">
      <c r="A37136" s="4" t="s">
        <v>46704</v>
      </c>
      <c r="B37136" s="4" t="s">
        <v>46709</v>
      </c>
      <c r="C37136" s="5" t="str">
        <f>IFERROR(__xludf.DUMMYFUNCTION("GOOGLETRANSLATE(B37136,""en"",""fr"")"),"Un gros plan est illustré à la rondelle.")</f>
        <v>Un gros plan est illustré à la rondelle.</v>
      </c>
    </row>
    <row r="37137">
      <c r="A37137" s="4" t="s">
        <v>46710</v>
      </c>
      <c r="B37137" s="4" t="s">
        <v>46711</v>
      </c>
      <c r="C37137" s="5" t="str">
        <f>IFERROR(__xludf.DUMMYFUNCTION("GOOGLETRANSLATE(B37137,""en"",""fr"")"),"Plusieurs vues extérieures d'un casino sont présentées.")</f>
        <v>Plusieurs vues extérieures d'un casino sont présentées.</v>
      </c>
    </row>
    <row r="37138">
      <c r="A37138" s="4" t="s">
        <v>46710</v>
      </c>
      <c r="B37138" s="4" t="s">
        <v>46712</v>
      </c>
      <c r="C37138" s="5" t="str">
        <f>IFERROR(__xludf.DUMMYFUNCTION("GOOGLETRANSLATE(B37138,""en"",""fr"")"),"Les joueurs de carte et le concessionnaire d'une table sont présentés dans un jeu à l'intérieur du casino.")</f>
        <v>Les joueurs de carte et le concessionnaire d'une table sont présentés dans un jeu à l'intérieur du casino.</v>
      </c>
    </row>
    <row r="37139">
      <c r="A37139" s="4" t="s">
        <v>46710</v>
      </c>
      <c r="B37139" s="4" t="s">
        <v>46713</v>
      </c>
      <c r="C37139" s="5" t="str">
        <f>IFERROR(__xludf.DUMMYFUNCTION("GOOGLETRANSLATE(B37139,""en"",""fr"")"),"Le concessionnaire traite des cartes à chaque joueur.")</f>
        <v>Le concessionnaire traite des cartes à chaque joueur.</v>
      </c>
    </row>
    <row r="37140">
      <c r="A37140" s="4" t="s">
        <v>46710</v>
      </c>
      <c r="B37140" s="4" t="s">
        <v>46714</v>
      </c>
      <c r="C37140" s="5" t="str">
        <f>IFERROR(__xludf.DUMMYFUNCTION("GOOGLETRANSLATE(B37140,""en"",""fr"")"),"Le concessionnaire révèle la main du concessionnaire.")</f>
        <v>Le concessionnaire révèle la main du concessionnaire.</v>
      </c>
    </row>
    <row r="37141">
      <c r="A37141" s="4" t="s">
        <v>46710</v>
      </c>
      <c r="B37141" s="4" t="s">
        <v>46715</v>
      </c>
      <c r="C37141" s="5" t="str">
        <f>IFERROR(__xludf.DUMMYFUNCTION("GOOGLETRANSLATE(B37141,""en"",""fr"")"),"Un homme parle à la caméra tandis qu'un autre homme se tient à proximité.")</f>
        <v>Un homme parle à la caméra tandis qu'un autre homme se tient à proximité.</v>
      </c>
    </row>
    <row r="37142">
      <c r="A37142" s="4" t="s">
        <v>46716</v>
      </c>
      <c r="B37142" s="4" t="s">
        <v>46717</v>
      </c>
      <c r="C37142" s="5" t="str">
        <f>IFERROR(__xludf.DUMMYFUNCTION("GOOGLETRANSLATE(B37142,""en"",""fr"")"),"Plusieurs personnes sont vues debout autour d'une arène tandis que d'autres se tiennent pour jouer au shuffleboard.")</f>
        <v>Plusieurs personnes sont vues debout autour d'une arène tandis que d'autres se tiennent pour jouer au shuffleboard.</v>
      </c>
    </row>
    <row r="37143">
      <c r="A37143" s="4" t="s">
        <v>46716</v>
      </c>
      <c r="B37143" s="4" t="s">
        <v>46718</v>
      </c>
      <c r="C37143" s="5" t="str">
        <f>IFERROR(__xludf.DUMMYFUNCTION("GOOGLETRANSLATE(B37143,""en"",""fr"")"),"Un homme pousse une rondelle plusieurs fois tandis que d'autres font de même derrière lui.")</f>
        <v>Un homme pousse une rondelle plusieurs fois tandis que d'autres font de même derrière lui.</v>
      </c>
    </row>
    <row r="37144">
      <c r="A37144" s="4" t="s">
        <v>46716</v>
      </c>
      <c r="B37144" s="4" t="s">
        <v>46719</v>
      </c>
      <c r="C37144" s="5" t="str">
        <f>IFERROR(__xludf.DUMMYFUNCTION("GOOGLETRANSLATE(B37144,""en"",""fr"")"),"Les gens continuent de jouer et se terminent avec un homme parlant à la caméra à la fin.")</f>
        <v>Les gens continuent de jouer et se terminent avec un homme parlant à la caméra à la fin.</v>
      </c>
    </row>
    <row r="37145">
      <c r="A37145" s="4" t="s">
        <v>46720</v>
      </c>
      <c r="B37145" s="4" t="s">
        <v>46721</v>
      </c>
      <c r="C37145" s="5" t="str">
        <f>IFERROR(__xludf.DUMMYFUNCTION("GOOGLETRANSLATE(B37145,""en"",""fr"")"),"Une fille est vue allongée sur une table avec un homme perçant son nombril sous elle.")</f>
        <v>Une fille est vue allongée sur une table avec un homme perçant son nombril sous elle.</v>
      </c>
    </row>
    <row r="37146">
      <c r="A37146" s="4" t="s">
        <v>46720</v>
      </c>
      <c r="B37146" s="4" t="s">
        <v>46722</v>
      </c>
      <c r="C37146" s="5" t="str">
        <f>IFERROR(__xludf.DUMMYFUNCTION("GOOGLETRANSLATE(B37146,""en"",""fr"")"),"La fille crie de douleur et l'homme finit son piercing pendant qu'elle regarde vers la caméra.")</f>
        <v>La fille crie de douleur et l'homme finit son piercing pendant qu'elle regarde vers la caméra.</v>
      </c>
    </row>
    <row r="37147">
      <c r="A37147" s="4" t="s">
        <v>46723</v>
      </c>
      <c r="B37147" s="4" t="s">
        <v>46724</v>
      </c>
      <c r="C37147" s="5" t="str">
        <f>IFERROR(__xludf.DUMMYFUNCTION("GOOGLETRANSLATE(B37147,""en"",""fr"")"),"Une paire de chaussures Nike blanches et rouges est montrée.")</f>
        <v>Une paire de chaussures Nike blanches et rouges est montrée.</v>
      </c>
    </row>
    <row r="37148">
      <c r="A37148" s="4" t="s">
        <v>46723</v>
      </c>
      <c r="B37148" s="4" t="s">
        <v>46725</v>
      </c>
      <c r="C37148" s="5" t="str">
        <f>IFERROR(__xludf.DUMMYFUNCTION("GOOGLETRANSLATE(B37148,""en"",""fr"")"),"Un homme utilise des inserts pour préparer les chaussures.")</f>
        <v>Un homme utilise des inserts pour préparer les chaussures.</v>
      </c>
    </row>
    <row r="37149">
      <c r="A37149" s="4" t="s">
        <v>46723</v>
      </c>
      <c r="B37149" s="4" t="s">
        <v>46726</v>
      </c>
      <c r="C37149" s="5" t="str">
        <f>IFERROR(__xludf.DUMMYFUNCTION("GOOGLETRANSLATE(B37149,""en"",""fr"")"),"Il utilise ensuite un pinceau et une solution de nettoyage pour laver les chaussures.")</f>
        <v>Il utilise ensuite un pinceau et une solution de nettoyage pour laver les chaussures.</v>
      </c>
    </row>
    <row r="37150">
      <c r="A37150" s="4" t="s">
        <v>46727</v>
      </c>
      <c r="B37150" s="4" t="s">
        <v>46728</v>
      </c>
      <c r="C37150" s="5" t="str">
        <f>IFERROR(__xludf.DUMMYFUNCTION("GOOGLETRANSLATE(B37150,""en"",""fr"")"),"Nous voyons un skateboard pour hommes près d'un parking.")</f>
        <v>Nous voyons un skateboard pour hommes près d'un parking.</v>
      </c>
    </row>
    <row r="37151">
      <c r="A37151" s="4" t="s">
        <v>46727</v>
      </c>
      <c r="B37151" s="4" t="s">
        <v>46729</v>
      </c>
      <c r="C37151" s="5" t="str">
        <f>IFERROR(__xludf.DUMMYFUNCTION("GOOGLETRANSLATE(B37151,""en"",""fr"")"),"Nous voyons deux hommes se parler.")</f>
        <v>Nous voyons deux hommes se parler.</v>
      </c>
    </row>
    <row r="37152">
      <c r="A37152" s="4" t="s">
        <v>46727</v>
      </c>
      <c r="B37152" s="4" t="s">
        <v>46730</v>
      </c>
      <c r="C37152" s="5" t="str">
        <f>IFERROR(__xludf.DUMMYFUNCTION("GOOGLETRANSLATE(B37152,""en"",""fr"")"),"Nous voyons l'homme en khakis trébucher et échouer à plusieurs reprises.")</f>
        <v>Nous voyons l'homme en khakis trébucher et échouer à plusieurs reprises.</v>
      </c>
    </row>
    <row r="37153">
      <c r="A37153" s="4" t="s">
        <v>46727</v>
      </c>
      <c r="B37153" s="4" t="s">
        <v>46731</v>
      </c>
      <c r="C37153" s="5" t="str">
        <f>IFERROR(__xludf.DUMMYFUNCTION("GOOGLETRANSLATE(B37153,""en"",""fr"")"),"Nous voyons un homme tenir un téléphone portable et parler au patineur.")</f>
        <v>Nous voyons un homme tenir un téléphone portable et parler au patineur.</v>
      </c>
    </row>
    <row r="37154">
      <c r="A37154" s="4" t="s">
        <v>46727</v>
      </c>
      <c r="B37154" s="4" t="s">
        <v>46732</v>
      </c>
      <c r="C37154" s="5" t="str">
        <f>IFERROR(__xludf.DUMMYFUNCTION("GOOGLETRANSLATE(B37154,""en"",""fr"")"),"Les hommes se serrent la main et le caméraman pointe sur le patineur.")</f>
        <v>Les hommes se serrent la main et le caméraman pointe sur le patineur.</v>
      </c>
    </row>
    <row r="37155">
      <c r="A37155" s="4" t="s">
        <v>46727</v>
      </c>
      <c r="B37155" s="4" t="s">
        <v>46733</v>
      </c>
      <c r="C37155" s="5" t="str">
        <f>IFERROR(__xludf.DUMMYFUNCTION("GOOGLETRANSLATE(B37155,""en"",""fr"")"),"Nous voyons l'écran d'abonnement.")</f>
        <v>Nous voyons l'écran d'abonnement.</v>
      </c>
    </row>
    <row r="37156">
      <c r="A37156" s="4" t="s">
        <v>46727</v>
      </c>
      <c r="B37156" s="6" t="s">
        <v>46734</v>
      </c>
      <c r="C37156" s="5" t="str">
        <f>IFERROR(__xludf.DUMMYFUNCTION("GOOGLETRANSLATE(B37156,""en"",""fr"")"),"Nous voyons des gens rouler et voyons un homme monter sur un skateboard pour enfants rouge et le caméraman lui donne un coup de pied à travers le lot.")</f>
        <v>Nous voyons des gens rouler et voyons un homme monter sur un skateboard pour enfants rouge et le caméraman lui donne un coup de pied à travers le lot.</v>
      </c>
    </row>
    <row r="37157">
      <c r="A37157" s="4" t="s">
        <v>46727</v>
      </c>
      <c r="B37157" s="4" t="s">
        <v>4452</v>
      </c>
      <c r="C37157" s="5" t="str">
        <f>IFERROR(__xludf.DUMMYFUNCTION("GOOGLETRANSLATE(B37157,""en"",""fr"")"),"Nous voyons ensuite l'écran de fin.")</f>
        <v>Nous voyons ensuite l'écran de fin.</v>
      </c>
    </row>
    <row r="37158">
      <c r="A37158" s="4" t="s">
        <v>46735</v>
      </c>
      <c r="B37158" s="4" t="s">
        <v>46736</v>
      </c>
      <c r="C37158" s="5" t="str">
        <f>IFERROR(__xludf.DUMMYFUNCTION("GOOGLETRANSLATE(B37158,""en"",""fr"")"),"Il y a un homme portant un chapeau rouge et un entraînement de chemises noires et jouer avec son chien dans un parc pour chiens.")</f>
        <v>Il y a un homme portant un chapeau rouge et un entraînement de chemises noires et jouer avec son chien dans un parc pour chiens.</v>
      </c>
    </row>
    <row r="37159">
      <c r="A37159" s="4" t="s">
        <v>46735</v>
      </c>
      <c r="B37159" s="4" t="s">
        <v>46737</v>
      </c>
      <c r="C37159" s="5" t="str">
        <f>IFERROR(__xludf.DUMMYFUNCTION("GOOGLETRANSLATE(B37159,""en"",""fr"")"),"Il y a plusieurs autres personnes dans ce parc avec leurs chiens, assis sous des auvents.")</f>
        <v>Il y a plusieurs autres personnes dans ce parc avec leurs chiens, assis sous des auvents.</v>
      </c>
    </row>
    <row r="37160">
      <c r="A37160" s="4" t="s">
        <v>46735</v>
      </c>
      <c r="B37160" s="4" t="s">
        <v>46738</v>
      </c>
      <c r="C37160" s="5" t="str">
        <f>IFERROR(__xludf.DUMMYFUNCTION("GOOGLETRANSLATE(B37160,""en"",""fr"")"),"L'homme jette un frisbee pour que le chien s'approche.")</f>
        <v>L'homme jette un frisbee pour que le chien s'approche.</v>
      </c>
    </row>
    <row r="37161">
      <c r="A37161" s="4" t="s">
        <v>46735</v>
      </c>
      <c r="B37161" s="4" t="s">
        <v>46739</v>
      </c>
      <c r="C37161" s="5" t="str">
        <f>IFERROR(__xludf.DUMMYFUNCTION("GOOGLETRANSLATE(B37161,""en"",""fr"")"),"Le chien court et va chercher le frisbee pour son propriétaire.")</f>
        <v>Le chien court et va chercher le frisbee pour son propriétaire.</v>
      </c>
    </row>
    <row r="37162">
      <c r="A37162" s="4" t="s">
        <v>46735</v>
      </c>
      <c r="B37162" s="4" t="s">
        <v>46740</v>
      </c>
      <c r="C37162" s="5" t="str">
        <f>IFERROR(__xludf.DUMMYFUNCTION("GOOGLETRANSLATE(B37162,""en"",""fr"")"),"Le chien saute haut pour attraper le frisbee.")</f>
        <v>Le chien saute haut pour attraper le frisbee.</v>
      </c>
    </row>
    <row r="37163">
      <c r="A37163" s="4" t="s">
        <v>46735</v>
      </c>
      <c r="B37163" s="4" t="s">
        <v>46741</v>
      </c>
      <c r="C37163" s="5" t="str">
        <f>IFERROR(__xludf.DUMMYFUNCTION("GOOGLETRANSLATE(B37163,""en"",""fr"")"),"L'homme lance également une balle sur le chien pour qu'il puisse récupérer.")</f>
        <v>L'homme lance également une balle sur le chien pour qu'il puisse récupérer.</v>
      </c>
    </row>
    <row r="37164">
      <c r="A37164" s="4" t="s">
        <v>46735</v>
      </c>
      <c r="B37164" s="4" t="s">
        <v>46742</v>
      </c>
      <c r="C37164" s="5" t="str">
        <f>IFERROR(__xludf.DUMMYFUNCTION("GOOGLETRANSLATE(B37164,""en"",""fr"")"),"L'homme soulève le chien et s'en va.")</f>
        <v>L'homme soulève le chien et s'en va.</v>
      </c>
    </row>
    <row r="37165">
      <c r="A37165" s="4" t="s">
        <v>46743</v>
      </c>
      <c r="B37165" s="4" t="s">
        <v>46744</v>
      </c>
      <c r="C37165" s="5" t="str">
        <f>IFERROR(__xludf.DUMMYFUNCTION("GOOGLETRANSLATE(B37165,""en"",""fr"")"),"Nous voyons un écran noir et le titre.")</f>
        <v>Nous voyons un écran noir et le titre.</v>
      </c>
    </row>
    <row r="37166">
      <c r="A37166" s="4" t="s">
        <v>46743</v>
      </c>
      <c r="B37166" s="4" t="s">
        <v>46745</v>
      </c>
      <c r="C37166" s="5" t="str">
        <f>IFERROR(__xludf.DUMMYFUNCTION("GOOGLETRANSLATE(B37166,""en"",""fr"")"),"Nous voyons un garçon s'accrocher à un poteau tiré par un bateau.")</f>
        <v>Nous voyons un garçon s'accrocher à un poteau tiré par un bateau.</v>
      </c>
    </row>
    <row r="37167">
      <c r="A37167" s="4" t="s">
        <v>46743</v>
      </c>
      <c r="B37167" s="4" t="s">
        <v>46746</v>
      </c>
      <c r="C37167" s="5" t="str">
        <f>IFERROR(__xludf.DUMMYFUNCTION("GOOGLETRANSLATE(B37167,""en"",""fr"")"),"Il se lève et skis.")</f>
        <v>Il se lève et skis.</v>
      </c>
    </row>
    <row r="37168">
      <c r="A37168" s="4" t="s">
        <v>46743</v>
      </c>
      <c r="B37168" s="4" t="s">
        <v>46747</v>
      </c>
      <c r="C37168" s="5" t="str">
        <f>IFERROR(__xludf.DUMMYFUNCTION("GOOGLETRANSLATE(B37168,""en"",""fr"")"),"Le garçon perd son équilibre et tombe entièrement du poteau.")</f>
        <v>Le garçon perd son équilibre et tombe entièrement du poteau.</v>
      </c>
    </row>
    <row r="37169">
      <c r="A37169" s="4" t="s">
        <v>46743</v>
      </c>
      <c r="B37169" s="4" t="s">
        <v>46748</v>
      </c>
      <c r="C37169" s="5" t="str">
        <f>IFERROR(__xludf.DUMMYFUNCTION("GOOGLETRANSLATE(B37169,""en"",""fr"")"),"Une fille doit conserver la barre du bateau.")</f>
        <v>Une fille doit conserver la barre du bateau.</v>
      </c>
    </row>
    <row r="37170">
      <c r="A37170" s="4" t="s">
        <v>46743</v>
      </c>
      <c r="B37170" s="4" t="s">
        <v>46749</v>
      </c>
      <c r="C37170" s="5" t="str">
        <f>IFERROR(__xludf.DUMMYFUNCTION("GOOGLETRANSLATE(B37170,""en"",""fr"")"),"Les filles regardent la caméra avant qu'elle ne permette sa place et tombe du bar.")</f>
        <v>Les filles regardent la caméra avant qu'elle ne permette sa place et tombe du bar.</v>
      </c>
    </row>
    <row r="37171">
      <c r="A37171" s="4" t="s">
        <v>46750</v>
      </c>
      <c r="B37171" s="4" t="s">
        <v>539</v>
      </c>
      <c r="C37171" s="5" t="str">
        <f>IFERROR(__xludf.DUMMYFUNCTION("GOOGLETRANSLATE(B37171,""en"",""fr"")"),"Un homme parle à la caméra.")</f>
        <v>Un homme parle à la caméra.</v>
      </c>
    </row>
    <row r="37172">
      <c r="A37172" s="4" t="s">
        <v>46750</v>
      </c>
      <c r="B37172" s="4" t="s">
        <v>46751</v>
      </c>
      <c r="C37172" s="5" t="str">
        <f>IFERROR(__xludf.DUMMYFUNCTION("GOOGLETRANSLATE(B37172,""en"",""fr"")"),"Une femme dans une chemise orange fait divers mouvements de karaté.")</f>
        <v>Une femme dans une chemise orange fait divers mouvements de karaté.</v>
      </c>
    </row>
    <row r="37173">
      <c r="A37173" s="4" t="s">
        <v>46750</v>
      </c>
      <c r="B37173" s="4" t="s">
        <v>46752</v>
      </c>
      <c r="C37173" s="5" t="str">
        <f>IFERROR(__xludf.DUMMYFUNCTION("GOOGLETRANSLATE(B37173,""en"",""fr"")"),"Elle fait un retour en arrière sur le tapis.")</f>
        <v>Elle fait un retour en arrière sur le tapis.</v>
      </c>
    </row>
    <row r="37174">
      <c r="A37174" s="4" t="s">
        <v>46753</v>
      </c>
      <c r="B37174" s="4" t="s">
        <v>46754</v>
      </c>
      <c r="C37174" s="5" t="str">
        <f>IFERROR(__xludf.DUMMYFUNCTION("GOOGLETRANSLATE(B37174,""en"",""fr"")"),"Un homme montre comment installer des poignées sur des poignées de vélo.")</f>
        <v>Un homme montre comment installer des poignées sur des poignées de vélo.</v>
      </c>
    </row>
    <row r="37175">
      <c r="A37175" s="4" t="s">
        <v>46753</v>
      </c>
      <c r="B37175" s="4" t="s">
        <v>46755</v>
      </c>
      <c r="C37175" s="5" t="str">
        <f>IFERROR(__xludf.DUMMYFUNCTION("GOOGLETRANSLATE(B37175,""en"",""fr"")"),"Il installe d'abord quelques anneaux sur les poignées elles-mêmes.")</f>
        <v>Il installe d'abord quelques anneaux sur les poignées elles-mêmes.</v>
      </c>
    </row>
    <row r="37176">
      <c r="A37176" s="4" t="s">
        <v>46753</v>
      </c>
      <c r="B37176" s="4" t="s">
        <v>46756</v>
      </c>
      <c r="C37176" s="5" t="str">
        <f>IFERROR(__xludf.DUMMYFUNCTION("GOOGLETRANSLATE(B37176,""en"",""fr"")"),"Ensuite, il vissez quelques vis pour les préparer.")</f>
        <v>Ensuite, il vissez quelques vis pour les préparer.</v>
      </c>
    </row>
    <row r="37177">
      <c r="A37177" s="4" t="s">
        <v>46753</v>
      </c>
      <c r="B37177" s="4" t="s">
        <v>46757</v>
      </c>
      <c r="C37177" s="5" t="str">
        <f>IFERROR(__xludf.DUMMYFUNCTION("GOOGLETRANSLATE(B37177,""en"",""fr"")"),"Il glisse ensuite sur les poignées sur les poignées du vélo.")</f>
        <v>Il glisse ensuite sur les poignées sur les poignées du vélo.</v>
      </c>
    </row>
    <row r="37178">
      <c r="A37178" s="4" t="s">
        <v>46753</v>
      </c>
      <c r="B37178" s="4" t="s">
        <v>46758</v>
      </c>
      <c r="C37178" s="5" t="str">
        <f>IFERROR(__xludf.DUMMYFUNCTION("GOOGLETRANSLATE(B37178,""en"",""fr"")"),"Il complète le resserrement des poignées avec une clé alan.")</f>
        <v>Il complète le resserrement des poignées avec une clé alan.</v>
      </c>
    </row>
    <row r="37179">
      <c r="A37179" s="4" t="s">
        <v>46753</v>
      </c>
      <c r="B37179" s="4" t="s">
        <v>46759</v>
      </c>
      <c r="C37179" s="5" t="str">
        <f>IFERROR(__xludf.DUMMYFUNCTION("GOOGLETRANSLATE(B37179,""en"",""fr"")"),"Enfin, il insère des bouchons sur la fin des poignées et des barres de poignée.")</f>
        <v>Enfin, il insère des bouchons sur la fin des poignées et des barres de poignée.</v>
      </c>
    </row>
    <row r="37180">
      <c r="A37180" s="4" t="s">
        <v>46760</v>
      </c>
      <c r="B37180" s="4" t="s">
        <v>46761</v>
      </c>
      <c r="C37180" s="5" t="str">
        <f>IFERROR(__xludf.DUMMYFUNCTION("GOOGLETRANSLATE(B37180,""en"",""fr"")"),"Les hommes jouent au football de plage dans un terrain vide.")</f>
        <v>Les hommes jouent au football de plage dans un terrain vide.</v>
      </c>
    </row>
    <row r="37181">
      <c r="A37181" s="4" t="s">
        <v>46760</v>
      </c>
      <c r="B37181" s="4" t="s">
        <v>46762</v>
      </c>
      <c r="C37181" s="5" t="str">
        <f>IFERROR(__xludf.DUMMYFUNCTION("GOOGLETRANSLATE(B37181,""en"",""fr"")"),"L'homme donne un coup de pied à un autre joueur sur la tête et il tient la tête.")</f>
        <v>L'homme donne un coup de pied à un autre joueur sur la tête et il tient la tête.</v>
      </c>
    </row>
    <row r="37182">
      <c r="A37182" s="4" t="s">
        <v>46763</v>
      </c>
      <c r="B37182" s="4" t="s">
        <v>46764</v>
      </c>
      <c r="C37182" s="5" t="str">
        <f>IFERROR(__xludf.DUMMYFUNCTION("GOOGLETRANSLATE(B37182,""en"",""fr"")"),"Deux femmes roulent dans une voiture.")</f>
        <v>Deux femmes roulent dans une voiture.</v>
      </c>
    </row>
    <row r="37183">
      <c r="A37183" s="4" t="s">
        <v>46763</v>
      </c>
      <c r="B37183" s="4" t="s">
        <v>46765</v>
      </c>
      <c r="C37183" s="5" t="str">
        <f>IFERROR(__xludf.DUMMYFUNCTION("GOOGLETRANSLATE(B37183,""en"",""fr"")"),"Le passager parle à la caméra.")</f>
        <v>Le passager parle à la caméra.</v>
      </c>
    </row>
    <row r="37184">
      <c r="A37184" s="4" t="s">
        <v>46763</v>
      </c>
      <c r="B37184" s="4" t="s">
        <v>46766</v>
      </c>
      <c r="C37184" s="5" t="str">
        <f>IFERROR(__xludf.DUMMYFUNCTION("GOOGLETRANSLATE(B37184,""en"",""fr"")"),"Ils démontrent des mouvements de danse.")</f>
        <v>Ils démontrent des mouvements de danse.</v>
      </c>
    </row>
    <row r="37185">
      <c r="A37185" s="4" t="s">
        <v>46763</v>
      </c>
      <c r="B37185" s="4" t="s">
        <v>46767</v>
      </c>
      <c r="C37185" s="5" t="str">
        <f>IFERROR(__xludf.DUMMYFUNCTION("GOOGLETRANSLATE(B37185,""en"",""fr"")"),"Le conducteur parle à la caméra.")</f>
        <v>Le conducteur parle à la caméra.</v>
      </c>
    </row>
    <row r="37186">
      <c r="A37186" s="4" t="s">
        <v>46763</v>
      </c>
      <c r="B37186" s="4" t="s">
        <v>46768</v>
      </c>
      <c r="C37186" s="5" t="str">
        <f>IFERROR(__xludf.DUMMYFUNCTION("GOOGLETRANSLATE(B37186,""en"",""fr"")"),"Le passager parle maintenant à la caméra.")</f>
        <v>Le passager parle maintenant à la caméra.</v>
      </c>
    </row>
    <row r="37187">
      <c r="A37187" s="4" t="s">
        <v>46763</v>
      </c>
      <c r="B37187" s="4" t="s">
        <v>46769</v>
      </c>
      <c r="C37187" s="5" t="str">
        <f>IFERROR(__xludf.DUMMYFUNCTION("GOOGLETRANSLATE(B37187,""en"",""fr"")"),"Le conducteur regarde la caméra et sourit en conduisant.")</f>
        <v>Le conducteur regarde la caméra et sourit en conduisant.</v>
      </c>
    </row>
    <row r="37188">
      <c r="A37188" s="4" t="s">
        <v>46763</v>
      </c>
      <c r="B37188" s="4" t="s">
        <v>46770</v>
      </c>
      <c r="C37188" s="5" t="str">
        <f>IFERROR(__xludf.DUMMYFUNCTION("GOOGLETRANSLATE(B37188,""en"",""fr"")"),"Une fille regarde dans un miroir tenant un motif de tatouage sur son épaule.")</f>
        <v>Une fille regarde dans un miroir tenant un motif de tatouage sur son épaule.</v>
      </c>
    </row>
    <row r="37189">
      <c r="A37189" s="4" t="s">
        <v>46763</v>
      </c>
      <c r="B37189" s="4" t="s">
        <v>46771</v>
      </c>
      <c r="C37189" s="5" t="str">
        <f>IFERROR(__xludf.DUMMYFUNCTION("GOOGLETRANSLATE(B37189,""en"",""fr"")"),"Une autre fille est allongée sur un lit tandis qu'une autre fille lui fait un tatouage.")</f>
        <v>Une autre fille est allongée sur un lit tandis qu'une autre fille lui fait un tatouage.</v>
      </c>
    </row>
    <row r="37190">
      <c r="A37190" s="4" t="s">
        <v>46763</v>
      </c>
      <c r="B37190" s="4" t="s">
        <v>46772</v>
      </c>
      <c r="C37190" s="5" t="str">
        <f>IFERROR(__xludf.DUMMYFUNCTION("GOOGLETRANSLATE(B37190,""en"",""fr"")"),"L'autre fille est assise sur un tabouret pendant qu'un homme lui tatoue son épaule.")</f>
        <v>L'autre fille est assise sur un tabouret pendant qu'un homme lui tatoue son épaule.</v>
      </c>
    </row>
    <row r="37191">
      <c r="A37191" s="4" t="s">
        <v>46763</v>
      </c>
      <c r="B37191" s="4" t="s">
        <v>46773</v>
      </c>
      <c r="C37191" s="5" t="str">
        <f>IFERROR(__xludf.DUMMYFUNCTION("GOOGLETRANSLATE(B37191,""en"",""fr"")"),"Une main tend la main derrière la caméra.")</f>
        <v>Une main tend la main derrière la caméra.</v>
      </c>
    </row>
    <row r="37192">
      <c r="A37192" s="4" t="s">
        <v>46763</v>
      </c>
      <c r="B37192" s="4" t="s">
        <v>46774</v>
      </c>
      <c r="C37192" s="5" t="str">
        <f>IFERROR(__xludf.DUMMYFUNCTION("GOOGLETRANSLATE(B37192,""en"",""fr"")"),"Une fille parle à la caméra avec sa main sur son épaule.")</f>
        <v>Une fille parle à la caméra avec sa main sur son épaule.</v>
      </c>
    </row>
    <row r="37193">
      <c r="A37193" s="4" t="s">
        <v>46763</v>
      </c>
      <c r="B37193" s="4" t="s">
        <v>46775</v>
      </c>
      <c r="C37193" s="5" t="str">
        <f>IFERROR(__xludf.DUMMYFUNCTION("GOOGLETRANSLATE(B37193,""en"",""fr"")"),"Une autre fille parle à la caméra et fait des gestes de la main.")</f>
        <v>Une autre fille parle à la caméra et fait des gestes de la main.</v>
      </c>
    </row>
    <row r="37194">
      <c r="A37194" s="4" t="s">
        <v>46763</v>
      </c>
      <c r="B37194" s="4" t="s">
        <v>46776</v>
      </c>
      <c r="C37194" s="5" t="str">
        <f>IFERROR(__xludf.DUMMYFUNCTION("GOOGLETRANSLATE(B37194,""en"",""fr"")"),"Les deux filles parlent à la caméra.")</f>
        <v>Les deux filles parlent à la caméra.</v>
      </c>
    </row>
    <row r="37195">
      <c r="A37195" s="4" t="s">
        <v>46777</v>
      </c>
      <c r="B37195" s="4" t="s">
        <v>46778</v>
      </c>
      <c r="C37195" s="5" t="str">
        <f>IFERROR(__xludf.DUMMYFUNCTION("GOOGLETRANSLATE(B37195,""en"",""fr"")"),"Un homme en manteau noir pelle à la neige avec une pelle.")</f>
        <v>Un homme en manteau noir pelle à la neige avec une pelle.</v>
      </c>
    </row>
    <row r="37196">
      <c r="A37196" s="4" t="s">
        <v>46777</v>
      </c>
      <c r="B37196" s="4" t="s">
        <v>46779</v>
      </c>
      <c r="C37196" s="5" t="str">
        <f>IFERROR(__xludf.DUMMYFUNCTION("GOOGLETRANSLATE(B37196,""en"",""fr"")"),"Il ramasse une grande pelle pleine de neige et la jette à côté de lui.")</f>
        <v>Il ramasse une grande pelle pleine de neige et la jette à côté de lui.</v>
      </c>
    </row>
    <row r="37197">
      <c r="A37197" s="4" t="s">
        <v>46777</v>
      </c>
      <c r="B37197" s="4" t="s">
        <v>46780</v>
      </c>
      <c r="C37197" s="5" t="str">
        <f>IFERROR(__xludf.DUMMYFUNCTION("GOOGLETRANSLATE(B37197,""en"",""fr"")"),"Il continue de pelleter l'allée.")</f>
        <v>Il continue de pelleter l'allée.</v>
      </c>
    </row>
    <row r="37198">
      <c r="A37198" s="4" t="s">
        <v>46781</v>
      </c>
      <c r="B37198" s="4" t="s">
        <v>46782</v>
      </c>
      <c r="C37198" s="5" t="str">
        <f>IFERROR(__xludf.DUMMYFUNCTION("GOOGLETRANSLATE(B37198,""en"",""fr"")"),"Un homme est dans une arène combattant un taureau.")</f>
        <v>Un homme est dans une arène combattant un taureau.</v>
      </c>
    </row>
    <row r="37199">
      <c r="A37199" s="4" t="s">
        <v>46781</v>
      </c>
      <c r="B37199" s="4" t="s">
        <v>46783</v>
      </c>
      <c r="C37199" s="5" t="str">
        <f>IFERROR(__xludf.DUMMYFUNCTION("GOOGLETRANSLATE(B37199,""en"",""fr"")"),"Il balance le cap et court près d'autres hommes, taquinant le taureau pour le poursuivre.")</f>
        <v>Il balance le cap et court près d'autres hommes, taquinant le taureau pour le poursuivre.</v>
      </c>
    </row>
    <row r="37200">
      <c r="A37200" s="4" t="s">
        <v>46781</v>
      </c>
      <c r="B37200" s="6" t="s">
        <v>46784</v>
      </c>
      <c r="C37200" s="5" t="str">
        <f>IFERROR(__xludf.DUMMYFUNCTION("GOOGLETRANSLATE(B37200,""en"",""fr"")"),"Le taureau claque sur le côté d'un cheval monté par un homme avant de courir vers l'homme avec le cap.")</f>
        <v>Le taureau claque sur le côté d'un cheval monté par un homme avant de courir vers l'homme avec le cap.</v>
      </c>
    </row>
    <row r="37201">
      <c r="A37201" s="4" t="s">
        <v>46781</v>
      </c>
      <c r="B37201" s="4" t="s">
        <v>46785</v>
      </c>
      <c r="C37201" s="5" t="str">
        <f>IFERROR(__xludf.DUMMYFUNCTION("GOOGLETRANSLATE(B37201,""en"",""fr"")"),"L'homme à cheval s'éloigne sur le côté.")</f>
        <v>L'homme à cheval s'éloigne sur le côté.</v>
      </c>
    </row>
    <row r="37202">
      <c r="A37202" s="4" t="s">
        <v>46786</v>
      </c>
      <c r="B37202" s="4" t="s">
        <v>46787</v>
      </c>
      <c r="C37202" s="5" t="str">
        <f>IFERROR(__xludf.DUMMYFUNCTION("GOOGLETRANSLATE(B37202,""en"",""fr"")"),"Une intro arrive sur l'écran en introduisant le clip vidéo.")</f>
        <v>Une intro arrive sur l'écran en introduisant le clip vidéo.</v>
      </c>
    </row>
    <row r="37203">
      <c r="A37203" s="4" t="s">
        <v>46786</v>
      </c>
      <c r="B37203" s="4" t="s">
        <v>46788</v>
      </c>
      <c r="C37203" s="5" t="str">
        <f>IFERROR(__xludf.DUMMYFUNCTION("GOOGLETRANSLATE(B37203,""en"",""fr"")"),"Deux personnes se manifestent dans le lac.")</f>
        <v>Deux personnes se manifestent dans le lac.</v>
      </c>
    </row>
    <row r="37204">
      <c r="A37204" s="4" t="s">
        <v>46786</v>
      </c>
      <c r="B37204" s="4" t="s">
        <v>46789</v>
      </c>
      <c r="C37204" s="5" t="str">
        <f>IFERROR(__xludf.DUMMYFUNCTION("GOOGLETRANSLATE(B37204,""en"",""fr"")"),"Après cela, ils décollent en mouvement dans l'eau reliée par un cordon à un bateau à vitesse.")</f>
        <v>Après cela, ils décollent en mouvement dans l'eau reliée par un cordon à un bateau à vitesse.</v>
      </c>
    </row>
    <row r="37205">
      <c r="A37205" s="4" t="s">
        <v>46786</v>
      </c>
      <c r="B37205" s="4" t="s">
        <v>46790</v>
      </c>
      <c r="C37205" s="5" t="str">
        <f>IFERROR(__xludf.DUMMYFUNCTION("GOOGLETRANSLATE(B37205,""en"",""fr"")"),"La vidéo se termine lorsqu'ils tombent tous les deux dans l'eau.")</f>
        <v>La vidéo se termine lorsqu'ils tombent tous les deux dans l'eau.</v>
      </c>
    </row>
    <row r="37206">
      <c r="A37206" s="4" t="s">
        <v>46791</v>
      </c>
      <c r="B37206" s="4" t="s">
        <v>46792</v>
      </c>
      <c r="C37206" s="5" t="str">
        <f>IFERROR(__xludf.DUMMYFUNCTION("GOOGLETRANSLATE(B37206,""en"",""fr"")"),"Une dame peint ses ongles d'une couleur prune.")</f>
        <v>Une dame peint ses ongles d'une couleur prune.</v>
      </c>
    </row>
    <row r="37207">
      <c r="A37207" s="4" t="s">
        <v>46791</v>
      </c>
      <c r="B37207" s="4" t="s">
        <v>46793</v>
      </c>
      <c r="C37207" s="5" t="str">
        <f>IFERROR(__xludf.DUMMYFUNCTION("GOOGLETRANSLATE(B37207,""en"",""fr"")"),"Elle met ensuite des stries et des points de noir et d'argent sur les ongles pour créer un design.")</f>
        <v>Elle met ensuite des stries et des points de noir et d'argent sur les ongles pour créer un design.</v>
      </c>
    </row>
    <row r="37208">
      <c r="A37208" s="4" t="s">
        <v>46791</v>
      </c>
      <c r="B37208" s="4" t="s">
        <v>46794</v>
      </c>
      <c r="C37208" s="5" t="str">
        <f>IFERROR(__xludf.DUMMYFUNCTION("GOOGLETRANSLATE(B37208,""en"",""fr"")"),"Elle finit et montre ses ongles peints.")</f>
        <v>Elle finit et montre ses ongles peints.</v>
      </c>
    </row>
    <row r="37209">
      <c r="A37209" s="4" t="s">
        <v>46795</v>
      </c>
      <c r="B37209" s="4" t="s">
        <v>46796</v>
      </c>
      <c r="C37209" s="5" t="str">
        <f>IFERROR(__xludf.DUMMYFUNCTION("GOOGLETRANSLATE(B37209,""en"",""fr"")"),"Un homme est vu parler aux autres au loin et commence à pousser un homme dans une pièce.")</f>
        <v>Un homme est vu parler aux autres au loin et commence à pousser un homme dans une pièce.</v>
      </c>
    </row>
    <row r="37210">
      <c r="A37210" s="4" t="s">
        <v>46795</v>
      </c>
      <c r="B37210" s="4" t="s">
        <v>46797</v>
      </c>
      <c r="C37210" s="5" t="str">
        <f>IFERROR(__xludf.DUMMYFUNCTION("GOOGLETRANSLATE(B37210,""en"",""fr"")"),"Il continue de pousser l'homme pendant que beaucoup regardent sur le côté.")</f>
        <v>Il continue de pousser l'homme pendant que beaucoup regardent sur le côté.</v>
      </c>
    </row>
    <row r="37211">
      <c r="A37211" s="4" t="s">
        <v>46795</v>
      </c>
      <c r="B37211" s="4" t="s">
        <v>46798</v>
      </c>
      <c r="C37211" s="5" t="str">
        <f>IFERROR(__xludf.DUMMYFUNCTION("GOOGLETRANSLATE(B37211,""en"",""fr"")"),"L'homme se lève et a l'air surpris alors qu'il est continuellement poussé vers le bas.")</f>
        <v>L'homme se lève et a l'air surpris alors qu'il est continuellement poussé vers le bas.</v>
      </c>
    </row>
    <row r="37212">
      <c r="A37212" s="4" t="s">
        <v>46799</v>
      </c>
      <c r="B37212" s="4" t="s">
        <v>573</v>
      </c>
      <c r="C37212" s="5" t="str">
        <f>IFERROR(__xludf.DUMMYFUNCTION("GOOGLETRANSLATE(B37212,""en"",""fr"")"),"Les crédits de la vidéo sont affichés.")</f>
        <v>Les crédits de la vidéo sont affichés.</v>
      </c>
    </row>
    <row r="37213">
      <c r="A37213" s="4" t="s">
        <v>46799</v>
      </c>
      <c r="B37213" s="4" t="s">
        <v>46800</v>
      </c>
      <c r="C37213" s="5" t="str">
        <f>IFERROR(__xludf.DUMMYFUNCTION("GOOGLETRANSLATE(B37213,""en"",""fr"")"),"Une dame se tient dehors et parle.")</f>
        <v>Une dame se tient dehors et parle.</v>
      </c>
    </row>
    <row r="37214">
      <c r="A37214" s="4" t="s">
        <v>46799</v>
      </c>
      <c r="B37214" s="4" t="s">
        <v>46801</v>
      </c>
      <c r="C37214" s="5" t="str">
        <f>IFERROR(__xludf.DUMMYFUNCTION("GOOGLETRANSLATE(B37214,""en"",""fr"")"),"La dame est laissée entrer dans un bureau où elle subit un examen de la vue.")</f>
        <v>La dame est laissée entrer dans un bureau où elle subit un examen de la vue.</v>
      </c>
    </row>
    <row r="37215">
      <c r="A37215" s="4" t="s">
        <v>46799</v>
      </c>
      <c r="B37215" s="4" t="s">
        <v>46802</v>
      </c>
      <c r="C37215" s="5" t="str">
        <f>IFERROR(__xludf.DUMMYFUNCTION("GOOGLETRANSLATE(B37215,""en"",""fr"")"),"Un contact visuel est examiné à l'aide d'un outil et d'une main humaine.")</f>
        <v>Un contact visuel est examiné à l'aide d'un outil et d'une main humaine.</v>
      </c>
    </row>
    <row r="37216">
      <c r="A37216" s="4" t="s">
        <v>46799</v>
      </c>
      <c r="B37216" s="4" t="s">
        <v>46803</v>
      </c>
      <c r="C37216" s="5" t="str">
        <f>IFERROR(__xludf.DUMMYFUNCTION("GOOGLETRANSLATE(B37216,""en"",""fr"")"),"Plusieurs éléments associés à l'usure des objectifs de contacts sont affichés.")</f>
        <v>Plusieurs éléments associés à l'usure des objectifs de contacts sont affichés.</v>
      </c>
    </row>
    <row r="37217">
      <c r="A37217" s="4" t="s">
        <v>46799</v>
      </c>
      <c r="B37217" s="4" t="s">
        <v>46804</v>
      </c>
      <c r="C37217" s="5" t="str">
        <f>IFERROR(__xludf.DUMMYFUNCTION("GOOGLETRANSLATE(B37217,""en"",""fr"")"),"Un homme se lave la main.")</f>
        <v>Un homme se lave la main.</v>
      </c>
    </row>
    <row r="37218">
      <c r="A37218" s="4" t="s">
        <v>46799</v>
      </c>
      <c r="B37218" s="4" t="s">
        <v>46805</v>
      </c>
      <c r="C37218" s="5" t="str">
        <f>IFERROR(__xludf.DUMMYFUNCTION("GOOGLETRANSLATE(B37218,""en"",""fr"")"),"Une dame ramasse une lentille de contact.")</f>
        <v>Une dame ramasse une lentille de contact.</v>
      </c>
    </row>
    <row r="37219">
      <c r="A37219" s="4" t="s">
        <v>46799</v>
      </c>
      <c r="B37219" s="4" t="s">
        <v>46806</v>
      </c>
      <c r="C37219" s="5" t="str">
        <f>IFERROR(__xludf.DUMMYFUNCTION("GOOGLETRANSLATE(B37219,""en"",""fr"")"),"Un homme écrit la lettre L sur un papier.")</f>
        <v>Un homme écrit la lettre L sur un papier.</v>
      </c>
    </row>
    <row r="37220">
      <c r="A37220" s="4" t="s">
        <v>46799</v>
      </c>
      <c r="B37220" s="4" t="s">
        <v>46807</v>
      </c>
      <c r="C37220" s="5" t="str">
        <f>IFERROR(__xludf.DUMMYFUNCTION("GOOGLETRANSLATE(B37220,""en"",""fr"")"),"Une main plie une lentille de contact.")</f>
        <v>Une main plie une lentille de contact.</v>
      </c>
    </row>
    <row r="37221">
      <c r="A37221" s="4" t="s">
        <v>46799</v>
      </c>
      <c r="B37221" s="4" t="s">
        <v>46808</v>
      </c>
      <c r="C37221" s="5" t="str">
        <f>IFERROR(__xludf.DUMMYFUNCTION("GOOGLETRANSLATE(B37221,""en"",""fr"")"),"Un homme met une lentille de contact.")</f>
        <v>Un homme met une lentille de contact.</v>
      </c>
    </row>
    <row r="37222">
      <c r="A37222" s="4" t="s">
        <v>46799</v>
      </c>
      <c r="B37222" s="4" t="s">
        <v>46809</v>
      </c>
      <c r="C37222" s="5" t="str">
        <f>IFERROR(__xludf.DUMMYFUNCTION("GOOGLETRANSLATE(B37222,""en"",""fr"")"),"Une dame met chaque lentille de contact.")</f>
        <v>Une dame met chaque lentille de contact.</v>
      </c>
    </row>
    <row r="37223">
      <c r="A37223" s="4" t="s">
        <v>46799</v>
      </c>
      <c r="B37223" s="4" t="s">
        <v>46810</v>
      </c>
      <c r="C37223" s="5" t="str">
        <f>IFERROR(__xludf.DUMMYFUNCTION("GOOGLETRANSLATE(B37223,""en"",""fr"")"),"La dame serre la main de l'homme.")</f>
        <v>La dame serre la main de l'homme.</v>
      </c>
    </row>
    <row r="37224">
      <c r="A37224" s="4" t="s">
        <v>46799</v>
      </c>
      <c r="B37224" s="4" t="s">
        <v>21153</v>
      </c>
      <c r="C37224" s="5" t="str">
        <f>IFERROR(__xludf.DUMMYFUNCTION("GOOGLETRANSLATE(B37224,""en"",""fr"")"),"Les crédits de clip sont affichés.")</f>
        <v>Les crédits de clip sont affichés.</v>
      </c>
    </row>
    <row r="37225">
      <c r="A37225" s="4" t="s">
        <v>46811</v>
      </c>
      <c r="B37225" s="6" t="s">
        <v>46812</v>
      </c>
      <c r="C37225" s="5" t="str">
        <f>IFERROR(__xludf.DUMMYFUNCTION("GOOGLETRANSLATE(B37225,""en"",""fr"")"),"Un petit groupe de personnes est vu jouer à un jeu de crosse sur un terrain avec un homme marchant vers eux.")</f>
        <v>Un petit groupe de personnes est vu jouer à un jeu de crosse sur un terrain avec un homme marchant vers eux.</v>
      </c>
    </row>
    <row r="37226">
      <c r="A37226" s="4" t="s">
        <v>46811</v>
      </c>
      <c r="B37226" s="6" t="s">
        <v>46813</v>
      </c>
      <c r="C37226" s="5" t="str">
        <f>IFERROR(__xludf.DUMMYFUNCTION("GOOGLETRANSLATE(B37226,""en"",""fr"")"),"L'homme crie aux joueurs alors qu'ils montent et descendent sur le terrain et continuent de les regarder pendant qu'ils jouent.")</f>
        <v>L'homme crie aux joueurs alors qu'ils montent et descendent sur le terrain et continuent de les regarder pendant qu'ils jouent.</v>
      </c>
    </row>
    <row r="37227">
      <c r="A37227" s="4" t="s">
        <v>46814</v>
      </c>
      <c r="B37227" s="6" t="s">
        <v>46815</v>
      </c>
      <c r="C37227" s="5" t="str">
        <f>IFERROR(__xludf.DUMMYFUNCTION("GOOGLETRANSLATE(B37227,""en"",""fr"")"),"Une camionnette remorquant une voiture conduite par vue sur les panneaux de route bleue est montré et en lettres blanches, ils lisent ""Walton"", ""Ontario's West Coast"" et ""Motorcross Town"".")</f>
        <v>Une camionnette remorquant une voiture conduite par vue sur les panneaux de route bleue est montré et en lettres blanches, ils lisent "Walton", "Ontario's West Coast" et "Motorcross Town".</v>
      </c>
    </row>
    <row r="37228">
      <c r="A37228" s="4" t="s">
        <v>46814</v>
      </c>
      <c r="B37228" s="6" t="s">
        <v>46816</v>
      </c>
      <c r="C37228" s="5" t="str">
        <f>IFERROR(__xludf.DUMMYFUNCTION("GOOGLETRANSLATE(B37228,""en"",""fr"")"),"Beaucoup de gens sont maintenant montrés en train de marcher ou de faire du vélo lors d'un grand rassemblement alors que d'autres personnes traînent sous des tentes.")</f>
        <v>Beaucoup de gens sont maintenant montrés en train de marcher ou de faire du vélo lors d'un grand rassemblement alors que d'autres personnes traînent sous des tentes.</v>
      </c>
    </row>
    <row r="37229">
      <c r="A37229" s="4" t="s">
        <v>46814</v>
      </c>
      <c r="B37229" s="6" t="s">
        <v>46817</v>
      </c>
      <c r="C37229" s="5" t="str">
        <f>IFERROR(__xludf.DUMMYFUNCTION("GOOGLETRANSLATE(B37229,""en"",""fr"")"),"Un groupe d'hommes est dans une ligne de départ d'une grande voie de croisement et ils commencent à faire le tour et pendant les gens sur les gens.")</f>
        <v>Un groupe d'hommes est dans une ligne de départ d'une grande voie de croisement et ils commencent à faire le tour et pendant les gens sur les gens.</v>
      </c>
    </row>
    <row r="37230">
      <c r="A37230" s="4" t="s">
        <v>46814</v>
      </c>
      <c r="B37230" s="6" t="s">
        <v>46818</v>
      </c>
      <c r="C37230" s="5" t="str">
        <f>IFERROR(__xludf.DUMMYFUNCTION("GOOGLETRANSLATE(B37230,""en"",""fr"")"),"Quand ils ont fini de faire le tour de la piste, différents clips de personnes faisant différentes choses sont à nouveau montrés.")</f>
        <v>Quand ils ont fini de faire le tour de la piste, différents clips de personnes faisant différentes choses sont à nouveau montrés.</v>
      </c>
    </row>
    <row r="37231">
      <c r="A37231" s="4" t="s">
        <v>46819</v>
      </c>
      <c r="B37231" s="4" t="s">
        <v>46820</v>
      </c>
      <c r="C37231" s="5" t="str">
        <f>IFERROR(__xludf.DUMMYFUNCTION("GOOGLETRANSLATE(B37231,""en"",""fr"")"),"Les pom-pom girls se tiennent sur un tapis bleu.")</f>
        <v>Les pom-pom girls se tiennent sur un tapis bleu.</v>
      </c>
    </row>
    <row r="37232">
      <c r="A37232" s="4" t="s">
        <v>46819</v>
      </c>
      <c r="B37232" s="4" t="s">
        <v>46821</v>
      </c>
      <c r="C37232" s="5" t="str">
        <f>IFERROR(__xludf.DUMMYFUNCTION("GOOGLETRANSLATE(B37232,""en"",""fr"")"),"Ils commencent à faire une routine sur le tapis.")</f>
        <v>Ils commencent à faire une routine sur le tapis.</v>
      </c>
    </row>
    <row r="37233">
      <c r="A37233" s="4" t="s">
        <v>46819</v>
      </c>
      <c r="B37233" s="4" t="s">
        <v>46822</v>
      </c>
      <c r="C37233" s="5" t="str">
        <f>IFERROR(__xludf.DUMMYFUNCTION("GOOGLETRANSLATE(B37233,""en"",""fr"")"),"Ils tiennent des panneaux dans les airs.")</f>
        <v>Ils tiennent des panneaux dans les airs.</v>
      </c>
    </row>
    <row r="37234">
      <c r="A37234" s="4" t="s">
        <v>46819</v>
      </c>
      <c r="B37234" s="4" t="s">
        <v>46823</v>
      </c>
      <c r="C37234" s="5" t="str">
        <f>IFERROR(__xludf.DUMMYFUNCTION("GOOGLETRANSLATE(B37234,""en"",""fr"")"),"Ils terminent leur routine et saluent le public.")</f>
        <v>Ils terminent leur routine et saluent le public.</v>
      </c>
    </row>
    <row r="37235">
      <c r="A37235" s="4" t="s">
        <v>46824</v>
      </c>
      <c r="B37235" s="4" t="s">
        <v>46825</v>
      </c>
      <c r="C37235" s="5" t="str">
        <f>IFERROR(__xludf.DUMMYFUNCTION("GOOGLETRANSLATE(B37235,""en"",""fr"")"),"Une femme tient la cheville d'un athlète pendant que SH est sur la poutre.")</f>
        <v>Une femme tient la cheville d'un athlète pendant que SH est sur la poutre.</v>
      </c>
    </row>
    <row r="37236">
      <c r="A37236" s="4" t="s">
        <v>46824</v>
      </c>
      <c r="B37236" s="6" t="s">
        <v>46826</v>
      </c>
      <c r="C37236" s="5" t="str">
        <f>IFERROR(__xludf.DUMMYFUNCTION("GOOGLETRANSLATE(B37236,""en"",""fr"")"),"La femme fait la cheville de l'athlète et marche jusqu'à la poutre, elle guide l'athlète alors qu'elle marche.")</f>
        <v>La femme fait la cheville de l'athlète et marche jusqu'à la poutre, elle guide l'athlète alors qu'elle marche.</v>
      </c>
    </row>
    <row r="37237">
      <c r="A37237" s="4" t="s">
        <v>46824</v>
      </c>
      <c r="B37237" s="6" t="s">
        <v>46827</v>
      </c>
      <c r="C37237" s="5" t="str">
        <f>IFERROR(__xludf.DUMMYFUNCTION("GOOGLETRANSLATE(B37237,""en"",""fr"")"),"L'athlète a marché en arrière avec sa cheville levée, puis la femme l'a guidée alors qu'elle se retourne.")</f>
        <v>L'athlète a marché en arrière avec sa cheville levée, puis la femme l'a guidée alors qu'elle se retourne.</v>
      </c>
    </row>
    <row r="37238">
      <c r="A37238" s="4" t="s">
        <v>46828</v>
      </c>
      <c r="B37238" s="4" t="s">
        <v>46829</v>
      </c>
      <c r="C37238" s="5" t="str">
        <f>IFERROR(__xludf.DUMMYFUNCTION("GOOGLETRANSLATE(B37238,""en"",""fr"")"),"Un ventre en vert commence sa routine, souriant pour le public.")</f>
        <v>Un ventre en vert commence sa routine, souriant pour le public.</v>
      </c>
    </row>
    <row r="37239">
      <c r="A37239" s="4" t="s">
        <v>46828</v>
      </c>
      <c r="B37239" s="6" t="s">
        <v>46830</v>
      </c>
      <c r="C37239" s="5" t="str">
        <f>IFERROR(__xludf.DUMMYFUNCTION("GOOGLETRANSLATE(B37239,""en"",""fr"")"),"Elle est rejointe par deux autres danseurs qui sont en rouge et qui font chacun leurs propres mouvements avant de se réunir.")</f>
        <v>Elle est rejointe par deux autres danseurs qui sont en rouge et qui font chacun leurs propres mouvements avant de se réunir.</v>
      </c>
    </row>
    <row r="37240">
      <c r="A37240" s="4" t="s">
        <v>46828</v>
      </c>
      <c r="B37240" s="4" t="s">
        <v>46831</v>
      </c>
      <c r="C37240" s="5" t="str">
        <f>IFERROR(__xludf.DUMMYFUNCTION("GOOGLETRANSLATE(B37240,""en"",""fr"")"),"Ils se brisent à nouveau pour des performances en solo, chaque danseur obtenant un moment à montrer.")</f>
        <v>Ils se brisent à nouveau pour des performances en solo, chaque danseur obtenant un moment à montrer.</v>
      </c>
    </row>
    <row r="37241">
      <c r="A37241" s="4" t="s">
        <v>46828</v>
      </c>
      <c r="B37241" s="4" t="s">
        <v>46832</v>
      </c>
      <c r="C37241" s="5" t="str">
        <f>IFERROR(__xludf.DUMMYFUNCTION("GOOGLETRANSLATE(B37241,""en"",""fr"")"),"Ils reviennent à danser ensemble et les performances se terminent.")</f>
        <v>Ils reviennent à danser ensemble et les performances se terminent.</v>
      </c>
    </row>
    <row r="37242">
      <c r="A37242" s="4" t="s">
        <v>46833</v>
      </c>
      <c r="B37242" s="6" t="s">
        <v>46834</v>
      </c>
      <c r="C37242" s="5" t="str">
        <f>IFERROR(__xludf.DUMMYFUNCTION("GOOGLETRANSLATE(B37242,""en"",""fr"")"),"La vidéo mène à plusieurs plans de personnes chevauchant des planches à roulettes ainsi que sur un pneu et marchant côte à côte.")</f>
        <v>La vidéo mène à plusieurs plans de personnes chevauchant des planches à roulettes ainsi que sur un pneu et marchant côte à côte.</v>
      </c>
    </row>
    <row r="37243">
      <c r="A37243" s="4" t="s">
        <v>46833</v>
      </c>
      <c r="B37243" s="6" t="s">
        <v>46835</v>
      </c>
      <c r="C37243" s="5" t="str">
        <f>IFERROR(__xludf.DUMMYFUNCTION("GOOGLETRANSLATE(B37243,""en"",""fr"")"),"On les a vues et rire de la caméra tandis que davantage de coups de personnes qui descendent sur des planches à roulettes sont affichées.")</f>
        <v>On les a vues et rire de la caméra tandis que davantage de coups de personnes qui descendent sur des planches à roulettes sont affichées.</v>
      </c>
    </row>
    <row r="37244">
      <c r="A37244" s="4" t="s">
        <v>46836</v>
      </c>
      <c r="B37244" s="4" t="s">
        <v>46837</v>
      </c>
      <c r="C37244" s="5" t="str">
        <f>IFERROR(__xludf.DUMMYFUNCTION("GOOGLETRANSLATE(B37244,""en"",""fr"")"),"Trois personnes font un exercice de basket-ball de conduite au cerceau.")</f>
        <v>Trois personnes font un exercice de basket-ball de conduite au cerceau.</v>
      </c>
    </row>
    <row r="37245">
      <c r="A37245" s="4" t="s">
        <v>46836</v>
      </c>
      <c r="B37245" s="4" t="s">
        <v>46838</v>
      </c>
      <c r="C37245" s="5" t="str">
        <f>IFERROR(__xludf.DUMMYFUNCTION("GOOGLETRANSLATE(B37245,""en"",""fr"")"),"Ils jouent à tour de rôle différentes positions et font un lay-up.")</f>
        <v>Ils jouent à tour de rôle différentes positions et font un lay-up.</v>
      </c>
    </row>
    <row r="37246">
      <c r="A37246" s="4" t="s">
        <v>46839</v>
      </c>
      <c r="B37246" s="4" t="s">
        <v>46840</v>
      </c>
      <c r="C37246" s="5" t="str">
        <f>IFERROR(__xludf.DUMMYFUNCTION("GOOGLETRANSLATE(B37246,""en"",""fr"")"),"Un jeune homme est vu regarder au loin avec une lotion sur son visage.")</f>
        <v>Un jeune homme est vu regarder au loin avec une lotion sur son visage.</v>
      </c>
    </row>
    <row r="37247">
      <c r="A37247" s="4" t="s">
        <v>46839</v>
      </c>
      <c r="B37247" s="4" t="s">
        <v>46841</v>
      </c>
      <c r="C37247" s="5" t="str">
        <f>IFERROR(__xludf.DUMMYFUNCTION("GOOGLETRANSLATE(B37247,""en"",""fr"")"),"Il continue de frotter la lotion tout en regardant loin de la caméra.")</f>
        <v>Il continue de frotter la lotion tout en regardant loin de la caméra.</v>
      </c>
    </row>
    <row r="37248">
      <c r="A37248" s="4" t="s">
        <v>46839</v>
      </c>
      <c r="B37248" s="4" t="s">
        <v>46842</v>
      </c>
      <c r="C37248" s="5" t="str">
        <f>IFERROR(__xludf.DUMMYFUNCTION("GOOGLETRANSLATE(B37248,""en"",""fr"")"),"Il finit de mettre un écran solaire et de regarder loin de la caméra.")</f>
        <v>Il finit de mettre un écran solaire et de regarder loin de la caméra.</v>
      </c>
    </row>
    <row r="37249">
      <c r="A37249" s="4" t="s">
        <v>46843</v>
      </c>
      <c r="B37249" s="4" t="s">
        <v>46844</v>
      </c>
      <c r="C37249" s="5" t="str">
        <f>IFERROR(__xludf.DUMMYFUNCTION("GOOGLETRANSLATE(B37249,""en"",""fr"")"),"Plusieurs hommes sont vus debout autour d'un terrain intérieur qui donne un coup de pied à un ballon.")</f>
        <v>Plusieurs hommes sont vus debout autour d'un terrain intérieur qui donne un coup de pied à un ballon.</v>
      </c>
    </row>
    <row r="37250">
      <c r="A37250" s="4" t="s">
        <v>46843</v>
      </c>
      <c r="B37250" s="4" t="s">
        <v>46845</v>
      </c>
      <c r="C37250" s="5" t="str">
        <f>IFERROR(__xludf.DUMMYFUNCTION("GOOGLETRANSLATE(B37250,""en"",""fr"")"),"Les gens regardent le match sur la touche alors que les joueurs continuent de monter et descendre sur le terrain.")</f>
        <v>Les gens regardent le match sur la touche alors que les joueurs continuent de monter et descendre sur le terrain.</v>
      </c>
    </row>
    <row r="37251">
      <c r="A37251" s="4" t="s">
        <v>46843</v>
      </c>
      <c r="B37251" s="4" t="s">
        <v>46846</v>
      </c>
      <c r="C37251" s="5" t="str">
        <f>IFERROR(__xludf.DUMMYFUNCTION("GOOGLETRANSLATE(B37251,""en"",""fr"")"),"Différents jeux sont indiqués entre les deux et le groupe continue de jouer.")</f>
        <v>Différents jeux sont indiqués entre les deux et le groupe continue de jouer.</v>
      </c>
    </row>
    <row r="37252">
      <c r="A37252" s="4" t="s">
        <v>46847</v>
      </c>
      <c r="B37252" s="4" t="s">
        <v>46848</v>
      </c>
      <c r="C37252" s="5" t="str">
        <f>IFERROR(__xludf.DUMMYFUNCTION("GOOGLETRANSLATE(B37252,""en"",""fr"")"),"Il y a deux couvreurs debout en haut d'un toit de bâtiment en train de travailler sur l'ancien retrait du toit.")</f>
        <v>Il y a deux couvreurs debout en haut d'un toit de bâtiment en train de travailler sur l'ancien retrait du toit.</v>
      </c>
    </row>
    <row r="37253">
      <c r="A37253" s="4" t="s">
        <v>46847</v>
      </c>
      <c r="B37253" s="4" t="s">
        <v>46849</v>
      </c>
      <c r="C37253" s="5" t="str">
        <f>IFERROR(__xludf.DUMMYFUNCTION("GOOGLETRANSLATE(B37253,""en"",""fr"")"),"Ils utilisent une pelle de toiture pour retirer les bardeaux et la bâche.")</f>
        <v>Ils utilisent une pelle de toiture pour retirer les bardeaux et la bâche.</v>
      </c>
    </row>
    <row r="37254">
      <c r="A37254" s="4" t="s">
        <v>46847</v>
      </c>
      <c r="B37254" s="6" t="s">
        <v>46850</v>
      </c>
      <c r="C37254" s="5" t="str">
        <f>IFERROR(__xludf.DUMMYFUNCTION("GOOGLETRANSLATE(B37254,""en"",""fr"")"),"L'un des couvreurs quitte la bâche du toit alors qu'il creuse dans la pelle sous la bâche.")</f>
        <v>L'un des couvreurs quitte la bâche du toit alors qu'il creuse dans la pelle sous la bâche.</v>
      </c>
    </row>
    <row r="37255">
      <c r="A37255" s="4" t="s">
        <v>46847</v>
      </c>
      <c r="B37255" s="4" t="s">
        <v>46851</v>
      </c>
      <c r="C37255" s="5" t="str">
        <f>IFERROR(__xludf.DUMMYFUNCTION("GOOGLETRANSLATE(B37255,""en"",""fr"")"),"L'autre couvreur l'aide à enrouler la bâche alors qu'il le fait décoller.")</f>
        <v>L'autre couvreur l'aide à enrouler la bâche alors qu'il le fait décoller.</v>
      </c>
    </row>
    <row r="37256">
      <c r="A37256" s="4" t="s">
        <v>46852</v>
      </c>
      <c r="B37256" s="4" t="s">
        <v>46853</v>
      </c>
      <c r="C37256" s="5" t="str">
        <f>IFERROR(__xludf.DUMMYFUNCTION("GOOGLETRANSLATE(B37256,""en"",""fr"")"),"Une caméra se déroule sur un évier plein de plats suivis d'une femme qui joggingait.")</f>
        <v>Une caméra se déroule sur un évier plein de plats suivis d'une femme qui joggingait.</v>
      </c>
    </row>
    <row r="37257">
      <c r="A37257" s="4" t="s">
        <v>46852</v>
      </c>
      <c r="B37257" s="4" t="s">
        <v>46854</v>
      </c>
      <c r="C37257" s="5" t="str">
        <f>IFERROR(__xludf.DUMMYFUNCTION("GOOGLETRANSLATE(B37257,""en"",""fr"")"),"Elle danse avec la vaisselle et regarde la caméra pendant qu'elle les fait.")</f>
        <v>Elle danse avec la vaisselle et regarde la caméra pendant qu'elle les fait.</v>
      </c>
    </row>
    <row r="37258">
      <c r="A37258" s="4" t="s">
        <v>46852</v>
      </c>
      <c r="B37258" s="4" t="s">
        <v>46855</v>
      </c>
      <c r="C37258" s="5" t="str">
        <f>IFERROR(__xludf.DUMMYFUNCTION("GOOGLETRANSLATE(B37258,""en"",""fr"")"),"Une minuterie compte le nombre de plats qu'elle est lavée et elle sourit à la caméra.")</f>
        <v>Une minuterie compte le nombre de plats qu'elle est lavée et elle sourit à la caméra.</v>
      </c>
    </row>
    <row r="37259">
      <c r="A37259" s="4" t="s">
        <v>46856</v>
      </c>
      <c r="B37259" s="4" t="s">
        <v>46857</v>
      </c>
      <c r="C37259" s="5" t="str">
        <f>IFERROR(__xludf.DUMMYFUNCTION("GOOGLETRANSLATE(B37259,""en"",""fr"")"),"Un homme parle dans les bois tenant une boîte et une chaîne de clés.")</f>
        <v>Un homme parle dans les bois tenant une boîte et une chaîne de clés.</v>
      </c>
    </row>
    <row r="37260">
      <c r="A37260" s="4" t="s">
        <v>46856</v>
      </c>
      <c r="B37260" s="4" t="s">
        <v>46858</v>
      </c>
      <c r="C37260" s="5" t="str">
        <f>IFERROR(__xludf.DUMMYFUNCTION("GOOGLETRANSLATE(B37260,""en"",""fr"")"),"Ensuite, l'homme prend la chaîne de clés et pointe la partie inférieure de la boîte.")</f>
        <v>Ensuite, l'homme prend la chaîne de clés et pointe la partie inférieure de la boîte.</v>
      </c>
    </row>
    <row r="37261">
      <c r="A37261" s="4" t="s">
        <v>46856</v>
      </c>
      <c r="B37261" s="6" t="s">
        <v>46859</v>
      </c>
      <c r="C37261" s="5" t="str">
        <f>IFERROR(__xludf.DUMMYFUNCTION("GOOGLETRANSLATE(B37261,""en"",""fr"")"),"Après, l'homme balade la partie inférieure de la boîte et ouvre intermédiaire la boîte et les boissons du trou de la boîte.")</f>
        <v>Après, l'homme balade la partie inférieure de la boîte et ouvre intermédiaire la boîte et les boissons du trou de la boîte.</v>
      </c>
    </row>
    <row r="37262">
      <c r="A37262" s="4" t="s">
        <v>46860</v>
      </c>
      <c r="B37262" s="4" t="s">
        <v>46861</v>
      </c>
      <c r="C37262" s="5" t="str">
        <f>IFERROR(__xludf.DUMMYFUNCTION("GOOGLETRANSLATE(B37262,""en"",""fr"")"),"Une liste d'ingrédients est indiquée dans une liste.")</f>
        <v>Une liste d'ingrédients est indiquée dans une liste.</v>
      </c>
    </row>
    <row r="37263">
      <c r="A37263" s="4" t="s">
        <v>46860</v>
      </c>
      <c r="B37263" s="4" t="s">
        <v>46862</v>
      </c>
      <c r="C37263" s="5" t="str">
        <f>IFERROR(__xludf.DUMMYFUNCTION("GOOGLETRANSLATE(B37263,""en"",""fr"")"),"Les bols en verre sont placés sur un comptoir avec divers ingrédients pour un plat.")</f>
        <v>Les bols en verre sont placés sur un comptoir avec divers ingrédients pour un plat.</v>
      </c>
    </row>
    <row r="37264">
      <c r="A37264" s="4" t="s">
        <v>46860</v>
      </c>
      <c r="B37264" s="4" t="s">
        <v>46863</v>
      </c>
      <c r="C37264" s="5" t="str">
        <f>IFERROR(__xludf.DUMMYFUNCTION("GOOGLETRANSLATE(B37264,""en"",""fr"")"),"Une personne mesure et coupe du papier parchemin à l'aide d'une boîte de cuisson comme guide.")</f>
        <v>Une personne mesure et coupe du papier parchemin à l'aide d'une boîte de cuisson comme guide.</v>
      </c>
    </row>
    <row r="37265">
      <c r="A37265" s="4" t="s">
        <v>46860</v>
      </c>
      <c r="B37265" s="4" t="s">
        <v>46864</v>
      </c>
      <c r="C37265" s="5" t="str">
        <f>IFERROR(__xludf.DUMMYFUNCTION("GOOGLETRANSLATE(B37265,""en"",""fr"")"),"La personne mesure les ingrédients dans un bol en verre puis les ajoute à un mélangeur électrique à mélanger.")</f>
        <v>La personne mesure les ingrédients dans un bol en verre puis les ajoute à un mélangeur électrique à mélanger.</v>
      </c>
    </row>
    <row r="37266">
      <c r="A37266" s="4" t="s">
        <v>46860</v>
      </c>
      <c r="B37266" s="4" t="s">
        <v>46865</v>
      </c>
      <c r="C37266" s="5" t="str">
        <f>IFERROR(__xludf.DUMMYFUNCTION("GOOGLETRANSLATE(B37266,""en"",""fr"")"),"La personne se brosse sur l'huile sur le papier parchemin, puis la place dans une boîte de cuisson.")</f>
        <v>La personne se brosse sur l'huile sur le papier parchemin, puis la place dans une boîte de cuisson.</v>
      </c>
    </row>
    <row r="37267">
      <c r="A37267" s="4" t="s">
        <v>46860</v>
      </c>
      <c r="B37267" s="4" t="s">
        <v>46866</v>
      </c>
      <c r="C37267" s="5" t="str">
        <f>IFERROR(__xludf.DUMMYFUNCTION("GOOGLETRANSLATE(B37267,""en"",""fr"")"),"Les boîtes sont ajoutées à un four pour cuisiner.")</f>
        <v>Les boîtes sont ajoutées à un four pour cuisiner.</v>
      </c>
    </row>
    <row r="37268">
      <c r="A37268" s="4" t="s">
        <v>46860</v>
      </c>
      <c r="B37268" s="4" t="s">
        <v>46867</v>
      </c>
      <c r="C37268" s="5" t="str">
        <f>IFERROR(__xludf.DUMMYFUNCTION("GOOGLETRANSLATE(B37268,""en"",""fr"")"),"Les boîtes sont représentées entièrement cuites, puis retournées sur un gâteau vide sur la table.")</f>
        <v>Les boîtes sont représentées entièrement cuites, puis retournées sur un gâteau vide sur la table.</v>
      </c>
    </row>
    <row r="37269">
      <c r="A37269" s="4" t="s">
        <v>46860</v>
      </c>
      <c r="B37269" s="4" t="s">
        <v>46868</v>
      </c>
      <c r="C37269" s="5" t="str">
        <f>IFERROR(__xludf.DUMMYFUNCTION("GOOGLETRANSLATE(B37269,""en"",""fr"")"),"Le papier parchemin est décollé du gâteau.")</f>
        <v>Le papier parchemin est décollé du gâteau.</v>
      </c>
    </row>
    <row r="37270">
      <c r="A37270" s="4" t="s">
        <v>46860</v>
      </c>
      <c r="B37270" s="4" t="s">
        <v>46869</v>
      </c>
      <c r="C37270" s="5" t="str">
        <f>IFERROR(__xludf.DUMMYFUNCTION("GOOGLETRANSLATE(B37270,""en"",""fr"")"),"Le gâteau est tranché en pains avec un couteau dentelé.")</f>
        <v>Le gâteau est tranché en pains avec un couteau dentelé.</v>
      </c>
    </row>
    <row r="37271">
      <c r="A37271" s="4" t="s">
        <v>46860</v>
      </c>
      <c r="B37271" s="4" t="s">
        <v>46870</v>
      </c>
      <c r="C37271" s="5" t="str">
        <f>IFERROR(__xludf.DUMMYFUNCTION("GOOGLETRANSLATE(B37271,""en"",""fr"")"),"Le gâteau est vu sur des assiettes pour servir.")</f>
        <v>Le gâteau est vu sur des assiettes pour servir.</v>
      </c>
    </row>
    <row r="37272">
      <c r="A37272" s="4" t="s">
        <v>46871</v>
      </c>
      <c r="B37272" s="4" t="s">
        <v>46872</v>
      </c>
      <c r="C37272" s="5" t="str">
        <f>IFERROR(__xludf.DUMMYFUNCTION("GOOGLETRANSLATE(B37272,""en"",""fr"")"),"Une femme aide un petit garçon à glisser sur une diapositive.")</f>
        <v>Une femme aide un petit garçon à glisser sur une diapositive.</v>
      </c>
    </row>
    <row r="37273">
      <c r="A37273" s="4" t="s">
        <v>46871</v>
      </c>
      <c r="B37273" s="6" t="s">
        <v>46873</v>
      </c>
      <c r="C37273" s="5" t="str">
        <f>IFERROR(__xludf.DUMMYFUNCTION("GOOGLETRANSLATE(B37273,""en"",""fr"")"),"Une femme est au sommet d'une diapositive aidant un petit garçon à glisser dans les bras d'une autre personne dans un gilet rouge.")</f>
        <v>Une femme est au sommet d'une diapositive aidant un petit garçon à glisser dans les bras d'une autre personne dans un gilet rouge.</v>
      </c>
    </row>
    <row r="37274">
      <c r="A37274" s="4" t="s">
        <v>46871</v>
      </c>
      <c r="B37274" s="4" t="s">
        <v>46874</v>
      </c>
      <c r="C37274" s="5" t="str">
        <f>IFERROR(__xludf.DUMMYFUNCTION("GOOGLETRANSLATE(B37274,""en"",""fr"")"),"Une femme aide le garçon à descendre une diapositive et la même personne dans le gilet rouge les attrape.")</f>
        <v>Une femme aide le garçon à descendre une diapositive et la même personne dans le gilet rouge les attrape.</v>
      </c>
    </row>
    <row r="37275">
      <c r="A37275" s="4" t="s">
        <v>46871</v>
      </c>
      <c r="B37275" s="4" t="s">
        <v>46875</v>
      </c>
      <c r="C37275" s="5" t="str">
        <f>IFERROR(__xludf.DUMMYFUNCTION("GOOGLETRANSLATE(B37275,""en"",""fr"")"),"La personne dans le gilet rouge a ensuite embrassé l'enfant.")</f>
        <v>La personne dans le gilet rouge a ensuite embrassé l'enfant.</v>
      </c>
    </row>
    <row r="37276">
      <c r="A37276" s="4" t="s">
        <v>46876</v>
      </c>
      <c r="B37276" s="4" t="s">
        <v>21138</v>
      </c>
      <c r="C37276" s="5" t="str">
        <f>IFERROR(__xludf.DUMMYFUNCTION("GOOGLETRANSLATE(B37276,""en"",""fr"")"),"Les ballerines dansent sur une scène.")</f>
        <v>Les ballerines dansent sur une scène.</v>
      </c>
    </row>
    <row r="37277">
      <c r="A37277" s="4" t="s">
        <v>46876</v>
      </c>
      <c r="B37277" s="4" t="s">
        <v>46877</v>
      </c>
      <c r="C37277" s="5" t="str">
        <f>IFERROR(__xludf.DUMMYFUNCTION("GOOGLETRANSLATE(B37277,""en"",""fr"")"),"Ils viennent tous sur scène et posent à la fin.")</f>
        <v>Ils viennent tous sur scène et posent à la fin.</v>
      </c>
    </row>
    <row r="37278">
      <c r="A37278" s="4" t="s">
        <v>46876</v>
      </c>
      <c r="B37278" s="4" t="s">
        <v>46878</v>
      </c>
      <c r="C37278" s="5" t="str">
        <f>IFERROR(__xludf.DUMMYFUNCTION("GOOGLETRANSLATE(B37278,""en"",""fr"")"),"Ils s'inclinent et quittent la scène.")</f>
        <v>Ils s'inclinent et quittent la scène.</v>
      </c>
    </row>
    <row r="37279">
      <c r="A37279" s="4" t="s">
        <v>46879</v>
      </c>
      <c r="B37279" s="4" t="s">
        <v>46880</v>
      </c>
      <c r="C37279" s="5" t="str">
        <f>IFERROR(__xludf.DUMMYFUNCTION("GOOGLETRANSLATE(B37279,""en"",""fr"")"),"Une personne est montrée en nettoyage de l'extérieur d'une voiture.")</f>
        <v>Une personne est montrée en nettoyage de l'extérieur d'une voiture.</v>
      </c>
    </row>
    <row r="37280">
      <c r="A37280" s="4" t="s">
        <v>46879</v>
      </c>
      <c r="B37280" s="4" t="s">
        <v>46881</v>
      </c>
      <c r="C37280" s="5" t="str">
        <f>IFERROR(__xludf.DUMMYFUNCTION("GOOGLETRANSLATE(B37280,""en"",""fr"")"),"La voiture est ensuite conduite à l'intérieur d'un magasin.")</f>
        <v>La voiture est ensuite conduite à l'intérieur d'un magasin.</v>
      </c>
    </row>
    <row r="37281">
      <c r="A37281" s="4" t="s">
        <v>46879</v>
      </c>
      <c r="B37281" s="4" t="s">
        <v>46882</v>
      </c>
      <c r="C37281" s="5" t="str">
        <f>IFERROR(__xludf.DUMMYFUNCTION("GOOGLETRANSLATE(B37281,""en"",""fr"")"),"À l'intérieur, un homme commence à détail la voiture à nouveau et le nettoyage de l'extérieur.")</f>
        <v>À l'intérieur, un homme commence à détail la voiture à nouveau et le nettoyage de l'extérieur.</v>
      </c>
    </row>
    <row r="37282">
      <c r="A37282" s="4" t="s">
        <v>46879</v>
      </c>
      <c r="B37282" s="4" t="s">
        <v>46883</v>
      </c>
      <c r="C37282" s="5" t="str">
        <f>IFERROR(__xludf.DUMMYFUNCTION("GOOGLETRANSLATE(B37282,""en"",""fr"")"),"Il peint des parties de la voiture.")</f>
        <v>Il peint des parties de la voiture.</v>
      </c>
    </row>
    <row r="37283">
      <c r="A37283" s="4" t="s">
        <v>46879</v>
      </c>
      <c r="B37283" s="4" t="s">
        <v>46884</v>
      </c>
      <c r="C37283" s="5" t="str">
        <f>IFERROR(__xludf.DUMMYFUNCTION("GOOGLETRANSLATE(B37283,""en"",""fr"")"),"Il pulvérise plus propre à l'intérieur et à l'extérieur de la voiture.")</f>
        <v>Il pulvérise plus propre à l'intérieur et à l'extérieur de la voiture.</v>
      </c>
    </row>
    <row r="37284">
      <c r="A37284" s="4" t="s">
        <v>46879</v>
      </c>
      <c r="B37284" s="4" t="s">
        <v>46885</v>
      </c>
      <c r="C37284" s="5" t="str">
        <f>IFERROR(__xludf.DUMMYFUNCTION("GOOGLETRANSLATE(B37284,""en"",""fr"")"),"Il essuie toutes les surfaces de l'intérieur et de l'extérieur de la voiture.")</f>
        <v>Il essuie toutes les surfaces de l'intérieur et de l'extérieur de la voiture.</v>
      </c>
    </row>
    <row r="37285">
      <c r="A37285" s="4" t="s">
        <v>46886</v>
      </c>
      <c r="B37285" s="4" t="s">
        <v>46887</v>
      </c>
      <c r="C37285" s="5" t="str">
        <f>IFERROR(__xludf.DUMMYFUNCTION("GOOGLETRANSLATE(B37285,""en"",""fr"")"),"Deux hommes jouent au football en déplaçant les joueurs sur les tiges.")</f>
        <v>Deux hommes jouent au football en déplaçant les joueurs sur les tiges.</v>
      </c>
    </row>
    <row r="37286">
      <c r="A37286" s="4" t="s">
        <v>46886</v>
      </c>
      <c r="B37286" s="4" t="s">
        <v>46888</v>
      </c>
      <c r="C37286" s="5" t="str">
        <f>IFERROR(__xludf.DUMMYFUNCTION("GOOGLETRANSLATE(B37286,""en"",""fr"")"),"Un homme portant une chemise jaune caresse la tige forte pour frapper la boule blanche.")</f>
        <v>Un homme portant une chemise jaune caresse la tige forte pour frapper la boule blanche.</v>
      </c>
    </row>
    <row r="37287">
      <c r="A37287" s="4" t="s">
        <v>46886</v>
      </c>
      <c r="B37287" s="4" t="s">
        <v>46889</v>
      </c>
      <c r="C37287" s="5" t="str">
        <f>IFERROR(__xludf.DUMMYFUNCTION("GOOGLETRANSLATE(B37287,""en"",""fr"")"),"Une personne se tient sur la table de football.")</f>
        <v>Une personne se tient sur la table de football.</v>
      </c>
    </row>
    <row r="37288">
      <c r="A37288" s="4" t="s">
        <v>46890</v>
      </c>
      <c r="B37288" s="4" t="s">
        <v>46891</v>
      </c>
      <c r="C37288" s="5" t="str">
        <f>IFERROR(__xludf.DUMMYFUNCTION("GOOGLETRANSLATE(B37288,""en"",""fr"")"),"Une main est montrée en retournant un interrupteur.")</f>
        <v>Une main est montrée en retournant un interrupteur.</v>
      </c>
    </row>
    <row r="37289">
      <c r="A37289" s="4" t="s">
        <v>46890</v>
      </c>
      <c r="B37289" s="4" t="s">
        <v>46892</v>
      </c>
      <c r="C37289" s="5" t="str">
        <f>IFERROR(__xludf.DUMMYFUNCTION("GOOGLETRANSLATE(B37289,""en"",""fr"")"),"A Le tuyau d'un souffleur de feuilles est montré.")</f>
        <v>A Le tuyau d'un souffleur de feuilles est montré.</v>
      </c>
    </row>
    <row r="37290">
      <c r="A37290" s="4" t="s">
        <v>46890</v>
      </c>
      <c r="B37290" s="4" t="s">
        <v>46893</v>
      </c>
      <c r="C37290" s="5" t="str">
        <f>IFERROR(__xludf.DUMMYFUNCTION("GOOGLETRANSLATE(B37290,""en"",""fr"")"),"Le tuyau commence à souffler avec force les feuilles loin de la caméra.")</f>
        <v>Le tuyau commence à souffler avec force les feuilles loin de la caméra.</v>
      </c>
    </row>
    <row r="37291">
      <c r="A37291" s="4" t="s">
        <v>46890</v>
      </c>
      <c r="B37291" s="6" t="s">
        <v>46894</v>
      </c>
      <c r="C37291" s="5" t="str">
        <f>IFERROR(__xludf.DUMMYFUNCTION("GOOGLETRANSLATE(B37291,""en"",""fr"")"),"La personne tenant le souffleur de feuilles balance à plusieurs reprises le tuyau à gauche pour sonner les feuilles soufflantes dans un tas.")</f>
        <v>La personne tenant le souffleur de feuilles balance à plusieurs reprises le tuyau à gauche pour sonner les feuilles soufflantes dans un tas.</v>
      </c>
    </row>
    <row r="37292">
      <c r="A37292" s="4" t="s">
        <v>46895</v>
      </c>
      <c r="B37292" s="4" t="s">
        <v>46896</v>
      </c>
      <c r="C37292" s="5" t="str">
        <f>IFERROR(__xludf.DUMMYFUNCTION("GOOGLETRANSLATE(B37292,""en"",""fr"")"),"Une vidéo de sécurité résidentielle joue et montre une cour et une route vides.")</f>
        <v>Une vidéo de sécurité résidentielle joue et montre une cour et une route vides.</v>
      </c>
    </row>
    <row r="37293">
      <c r="A37293" s="4" t="s">
        <v>46895</v>
      </c>
      <c r="B37293" s="6" t="s">
        <v>46897</v>
      </c>
      <c r="C37293" s="5" t="str">
        <f>IFERROR(__xludf.DUMMYFUNCTION("GOOGLETRANSLATE(B37293,""en"",""fr"")"),"Un homme marchant à deux chiens se met en marche sur le côté plus près de la caméra, et il remarque rapidement un autre chien de l'autre côté de la route venant soudain alors il essaie de resserrer la laisse de ses chiens pour en prendre le contrôle, mais"&amp;" les Un autre chien commence à courir vers eux et commence à attaquer les chiens de l'homme.")</f>
        <v>Un homme marchant à deux chiens se met en marche sur le côté plus près de la caméra, et il remarque rapidement un autre chien de l'autre côté de la route venant soudain alors il essaie de resserrer la laisse de ses chiens pour en prendre le contrôle, mais les Un autre chien commence à courir vers eux et commence à attaquer les chiens de l'homme.</v>
      </c>
    </row>
    <row r="37294">
      <c r="A37294" s="4" t="s">
        <v>46895</v>
      </c>
      <c r="B37294" s="6" t="s">
        <v>46898</v>
      </c>
      <c r="C37294" s="5" t="str">
        <f>IFERROR(__xludf.DUMMYFUNCTION("GOOGLETRANSLATE(B37294,""en"",""fr"")"),"L'homme retire le chien d'attaque et essaie de reprendre le contrôle de ses deux chiens tandis que l'homme et l'autre chien sont de l'autre côté de la route.")</f>
        <v>L'homme retire le chien d'attaque et essaie de reprendre le contrôle de ses deux chiens tandis que l'homme et l'autre chien sont de l'autre côté de la route.</v>
      </c>
    </row>
    <row r="37295">
      <c r="A37295" s="4" t="s">
        <v>46895</v>
      </c>
      <c r="B37295" s="4" t="s">
        <v>46899</v>
      </c>
      <c r="C37295" s="5" t="str">
        <f>IFERROR(__xludf.DUMMYFUNCTION("GOOGLETRANSLATE(B37295,""en"",""fr"")"),"L'homme ramasse l'un de ses chiens et reprend la marche.")</f>
        <v>L'homme ramasse l'un de ses chiens et reprend la marche.</v>
      </c>
    </row>
    <row r="37296">
      <c r="A37296" s="4" t="s">
        <v>46900</v>
      </c>
      <c r="B37296" s="4" t="s">
        <v>46901</v>
      </c>
      <c r="C37296" s="5" t="str">
        <f>IFERROR(__xludf.DUMMYFUNCTION("GOOGLETRANSLATE(B37296,""en"",""fr"")"),"Nous voyons un homme et un garçon jouant en glissant une chose en plastique autour de la table.")</f>
        <v>Nous voyons un homme et un garçon jouant en glissant une chose en plastique autour de la table.</v>
      </c>
    </row>
    <row r="37297">
      <c r="A37297" s="4" t="s">
        <v>46900</v>
      </c>
      <c r="B37297" s="4" t="s">
        <v>46902</v>
      </c>
      <c r="C37297" s="5" t="str">
        <f>IFERROR(__xludf.DUMMYFUNCTION("GOOGLETRANSLATE(B37297,""en"",""fr"")"),"La caméra se déplace et nous voyons plus de la pièce.")</f>
        <v>La caméra se déplace et nous voyons plus de la pièce.</v>
      </c>
    </row>
    <row r="37298">
      <c r="A37298" s="4" t="s">
        <v>46900</v>
      </c>
      <c r="B37298" s="4" t="s">
        <v>46903</v>
      </c>
      <c r="C37298" s="5" t="str">
        <f>IFERROR(__xludf.DUMMYFUNCTION("GOOGLETRANSLATE(B37298,""en"",""fr"")"),"L'angle de la caméra change et nous les voyons jouer le jeu par derrière.")</f>
        <v>L'angle de la caméra change et nous les voyons jouer le jeu par derrière.</v>
      </c>
    </row>
    <row r="37299">
      <c r="A37299" s="4" t="s">
        <v>46900</v>
      </c>
      <c r="B37299" s="4" t="s">
        <v>46904</v>
      </c>
      <c r="C37299" s="5" t="str">
        <f>IFERROR(__xludf.DUMMYFUNCTION("GOOGLETRANSLATE(B37299,""en"",""fr"")"),"Une main de personne à gauche entre dans l'écran.")</f>
        <v>Une main de personne à gauche entre dans l'écran.</v>
      </c>
    </row>
    <row r="37300">
      <c r="A37300" s="4" t="s">
        <v>46900</v>
      </c>
      <c r="B37300" s="4" t="s">
        <v>46905</v>
      </c>
      <c r="C37300" s="5" t="str">
        <f>IFERROR(__xludf.DUMMYFUNCTION("GOOGLETRANSLATE(B37300,""en"",""fr"")"),"L'angle de la caméra change à nouveau et nous sommes devant les joueurs.")</f>
        <v>L'angle de la caméra change à nouveau et nous sommes devant les joueurs.</v>
      </c>
    </row>
    <row r="37301">
      <c r="A37301" s="4" t="s">
        <v>46900</v>
      </c>
      <c r="B37301" s="4" t="s">
        <v>46906</v>
      </c>
      <c r="C37301" s="5" t="str">
        <f>IFERROR(__xludf.DUMMYFUNCTION("GOOGLETRANSLATE(B37301,""en"",""fr"")"),"Nous voyons un garçon dans un pull déployant une chaise pour s'asseoir et rejoindre le jeu.")</f>
        <v>Nous voyons un garçon dans un pull déployant une chaise pour s'asseoir et rejoindre le jeu.</v>
      </c>
    </row>
    <row r="37302">
      <c r="A37302" s="4" t="s">
        <v>46907</v>
      </c>
      <c r="B37302" s="4" t="s">
        <v>46908</v>
      </c>
      <c r="C37302" s="5" t="str">
        <f>IFERROR(__xludf.DUMMYFUNCTION("GOOGLETRANSLATE(B37302,""en"",""fr"")"),"Un jeune enfant est vu en souriant à la caméra, puis commence à danser.")</f>
        <v>Un jeune enfant est vu en souriant à la caméra, puis commence à danser.</v>
      </c>
    </row>
    <row r="37303">
      <c r="A37303" s="4" t="s">
        <v>46907</v>
      </c>
      <c r="B37303" s="4" t="s">
        <v>46909</v>
      </c>
      <c r="C37303" s="5" t="str">
        <f>IFERROR(__xludf.DUMMYFUNCTION("GOOGLETRANSLATE(B37303,""en"",""fr"")"),"Le garçon continue de danser tandis que la caméra le capture en mouvement de haut en bas.")</f>
        <v>Le garçon continue de danser tandis que la caméra le capture en mouvement de haut en bas.</v>
      </c>
    </row>
    <row r="37304">
      <c r="A37304" s="4" t="s">
        <v>46910</v>
      </c>
      <c r="B37304" s="4" t="s">
        <v>46911</v>
      </c>
      <c r="C37304" s="5" t="str">
        <f>IFERROR(__xludf.DUMMYFUNCTION("GOOGLETRANSLATE(B37304,""en"",""fr"")"),"Une petite fille tient un compact, essuyant le maquillage contre sa joue.")</f>
        <v>Une petite fille tient un compact, essuyant le maquillage contre sa joue.</v>
      </c>
    </row>
    <row r="37305">
      <c r="A37305" s="4" t="s">
        <v>46910</v>
      </c>
      <c r="B37305" s="6" t="s">
        <v>46912</v>
      </c>
      <c r="C37305" s="5" t="str">
        <f>IFERROR(__xludf.DUMMYFUNCTION("GOOGLETRANSLATE(B37305,""en"",""fr"")"),"Elle est assise par terre, continuant à jouer avec le maquillage, à ouvrir et à fermer le boîtier, et à l'essuyer sur son visage.")</f>
        <v>Elle est assise par terre, continuant à jouer avec le maquillage, à ouvrir et à fermer le boîtier, et à l'essuyer sur son visage.</v>
      </c>
    </row>
    <row r="37306">
      <c r="A37306" s="4" t="s">
        <v>46913</v>
      </c>
      <c r="B37306" s="4" t="s">
        <v>46914</v>
      </c>
      <c r="C37306" s="5" t="str">
        <f>IFERROR(__xludf.DUMMYFUNCTION("GOOGLETRANSLATE(B37306,""en"",""fr"")"),"Trois hommes marchent avec les échasses.")</f>
        <v>Trois hommes marchent avec les échasses.</v>
      </c>
    </row>
    <row r="37307">
      <c r="A37307" s="4" t="s">
        <v>46913</v>
      </c>
      <c r="B37307" s="4" t="s">
        <v>46915</v>
      </c>
      <c r="C37307" s="5" t="str">
        <f>IFERROR(__xludf.DUMMYFUNCTION("GOOGLETRANSLATE(B37307,""en"",""fr"")"),"L'un des hommes avec des échasses se divise au centre.")</f>
        <v>L'un des hommes avec des échasses se divise au centre.</v>
      </c>
    </row>
    <row r="37308">
      <c r="A37308" s="4" t="s">
        <v>46913</v>
      </c>
      <c r="B37308" s="4" t="s">
        <v>46916</v>
      </c>
      <c r="C37308" s="5" t="str">
        <f>IFERROR(__xludf.DUMMYFUNCTION("GOOGLETRANSLATE(B37308,""en"",""fr"")"),"Un des hommes a sauté si haut plusieurs fois avec ses échasses.")</f>
        <v>Un des hommes a sauté si haut plusieurs fois avec ses échasses.</v>
      </c>
    </row>
    <row r="37309">
      <c r="A37309" s="4" t="s">
        <v>46917</v>
      </c>
      <c r="B37309" s="4" t="s">
        <v>46918</v>
      </c>
      <c r="C37309" s="5" t="str">
        <f>IFERROR(__xludf.DUMMYFUNCTION("GOOGLETRANSLATE(B37309,""en"",""fr"")"),"Une gymnaste attend patiemment pour commencer sa performance.")</f>
        <v>Une gymnaste attend patiemment pour commencer sa performance.</v>
      </c>
    </row>
    <row r="37310">
      <c r="A37310" s="4" t="s">
        <v>46917</v>
      </c>
      <c r="B37310" s="4" t="s">
        <v>46919</v>
      </c>
      <c r="C37310" s="5" t="str">
        <f>IFERROR(__xludf.DUMMYFUNCTION("GOOGLETRANSLATE(B37310,""en"",""fr"")"),"Il saute sur la planche et commence à tourner très vite avant de sauter et de se promouter.")</f>
        <v>Il saute sur la planche et commence à tourner très vite avant de sauter et de se promouter.</v>
      </c>
    </row>
    <row r="37311">
      <c r="A37311" s="4" t="s">
        <v>46917</v>
      </c>
      <c r="B37311" s="6" t="s">
        <v>46920</v>
      </c>
      <c r="C37311" s="5" t="str">
        <f>IFERROR(__xludf.DUMMYFUNCTION("GOOGLETRANSLATE(B37311,""en"",""fr"")"),"Il prend une respiration et le public applaudie pour lui avant de revenir dessus et recommencer à tourner.")</f>
        <v>Il prend une respiration et le public applaudie pour lui avant de revenir dessus et recommencer à tourner.</v>
      </c>
    </row>
    <row r="37312">
      <c r="A37312" s="4" t="s">
        <v>46917</v>
      </c>
      <c r="B37312" s="6" t="s">
        <v>46921</v>
      </c>
      <c r="C37312" s="5" t="str">
        <f>IFERROR(__xludf.DUMMYFUNCTION("GOOGLETRANSLATE(B37312,""en"",""fr"")"),"Quand il a fini, il descendit et serre la main avec tous les coéquipiers, avant qu'il n'en arrive une dernière fois.")</f>
        <v>Quand il a fini, il descendit et serre la main avec tous les coéquipiers, avant qu'il n'en arrive une dernière fois.</v>
      </c>
    </row>
    <row r="37313">
      <c r="A37313" s="4" t="s">
        <v>46922</v>
      </c>
      <c r="B37313" s="4" t="s">
        <v>46923</v>
      </c>
      <c r="C37313" s="5" t="str">
        <f>IFERROR(__xludf.DUMMYFUNCTION("GOOGLETRANSLATE(B37313,""en"",""fr"")"),"Un homme en chemise bleue se déplace pour prendre son tir.")</f>
        <v>Un homme en chemise bleue se déplace pour prendre son tir.</v>
      </c>
    </row>
    <row r="37314">
      <c r="A37314" s="4" t="s">
        <v>46922</v>
      </c>
      <c r="B37314" s="4" t="s">
        <v>46924</v>
      </c>
      <c r="C37314" s="5" t="str">
        <f>IFERROR(__xludf.DUMMYFUNCTION("GOOGLETRANSLATE(B37314,""en"",""fr"")"),"Il parle ensuite aux autres hommes.")</f>
        <v>Il parle ensuite aux autres hommes.</v>
      </c>
    </row>
    <row r="37315">
      <c r="A37315" s="4" t="s">
        <v>46922</v>
      </c>
      <c r="B37315" s="4" t="s">
        <v>46925</v>
      </c>
      <c r="C37315" s="5" t="str">
        <f>IFERROR(__xludf.DUMMYFUNCTION("GOOGLETRANSLATE(B37315,""en"",""fr"")"),"L'homme en noir sort du tir.")</f>
        <v>L'homme en noir sort du tir.</v>
      </c>
    </row>
    <row r="37316">
      <c r="A37316" s="4" t="s">
        <v>46922</v>
      </c>
      <c r="B37316" s="4" t="s">
        <v>46926</v>
      </c>
      <c r="C37316" s="5" t="str">
        <f>IFERROR(__xludf.DUMMYFUNCTION("GOOGLETRANSLATE(B37316,""en"",""fr"")"),"L'homme en noir et bleu jette les mains en l'air.")</f>
        <v>L'homme en noir et bleu jette les mains en l'air.</v>
      </c>
    </row>
    <row r="37317">
      <c r="A37317" s="4" t="s">
        <v>46922</v>
      </c>
      <c r="B37317" s="4" t="s">
        <v>46927</v>
      </c>
      <c r="C37317" s="5" t="str">
        <f>IFERROR(__xludf.DUMMYFUNCTION("GOOGLETRANSLATE(B37317,""en"",""fr"")"),"Tous les hommes éclatent et réagissent sauvagement au dernier coup.")</f>
        <v>Tous les hommes éclatent et réagissent sauvagement au dernier coup.</v>
      </c>
    </row>
    <row r="37318">
      <c r="A37318" s="4" t="s">
        <v>46928</v>
      </c>
      <c r="B37318" s="4" t="s">
        <v>4423</v>
      </c>
      <c r="C37318" s="5" t="str">
        <f>IFERROR(__xludf.DUMMYFUNCTION("GOOGLETRANSLATE(B37318,""en"",""fr"")"),"Les gens sont du snowboard sur une colline de neige.")</f>
        <v>Les gens sont du snowboard sur une colline de neige.</v>
      </c>
    </row>
    <row r="37319">
      <c r="A37319" s="4" t="s">
        <v>46928</v>
      </c>
      <c r="B37319" s="4" t="s">
        <v>46929</v>
      </c>
      <c r="C37319" s="5" t="str">
        <f>IFERROR(__xludf.DUMMYFUNCTION("GOOGLETRANSLATE(B37319,""en"",""fr"")"),"Ils sont assis à boire du café.")</f>
        <v>Ils sont assis à boire du café.</v>
      </c>
    </row>
    <row r="37320">
      <c r="A37320" s="4" t="s">
        <v>46928</v>
      </c>
      <c r="B37320" s="4" t="s">
        <v>46930</v>
      </c>
      <c r="C37320" s="5" t="str">
        <f>IFERROR(__xludf.DUMMYFUNCTION("GOOGLETRANSLATE(B37320,""en"",""fr"")"),"Ils se tiennent à côté d'un plan d'eau.")</f>
        <v>Ils se tiennent à côté d'un plan d'eau.</v>
      </c>
    </row>
    <row r="37321">
      <c r="A37321" s="4" t="s">
        <v>46928</v>
      </c>
      <c r="B37321" s="4" t="s">
        <v>46931</v>
      </c>
      <c r="C37321" s="5" t="str">
        <f>IFERROR(__xludf.DUMMYFUNCTION("GOOGLETRANSLATE(B37321,""en"",""fr"")"),"Ils sont à nouveau sur une colline sur une colline.")</f>
        <v>Ils sont à nouveau sur une colline sur une colline.</v>
      </c>
    </row>
    <row r="37322">
      <c r="A37322" s="4" t="s">
        <v>46928</v>
      </c>
      <c r="B37322" s="4" t="s">
        <v>46932</v>
      </c>
      <c r="C37322" s="5" t="str">
        <f>IFERROR(__xludf.DUMMYFUNCTION("GOOGLETRANSLATE(B37322,""en"",""fr"")"),"Une fille est allongée à dormir.")</f>
        <v>Une fille est allongée à dormir.</v>
      </c>
    </row>
    <row r="37323">
      <c r="A37323" s="4" t="s">
        <v>46928</v>
      </c>
      <c r="B37323" s="4" t="s">
        <v>46933</v>
      </c>
      <c r="C37323" s="5" t="str">
        <f>IFERROR(__xludf.DUMMYFUNCTION("GOOGLETRANSLATE(B37323,""en"",""fr"")"),"Ils dînent autour d'une table.")</f>
        <v>Ils dînent autour d'une table.</v>
      </c>
    </row>
    <row r="37324">
      <c r="A37324" s="4" t="s">
        <v>46928</v>
      </c>
      <c r="B37324" s="4" t="s">
        <v>46934</v>
      </c>
      <c r="C37324" s="5" t="str">
        <f>IFERROR(__xludf.DUMMYFUNCTION("GOOGLETRANSLATE(B37324,""en"",""fr"")"),"Ils quittent leurs snowboards et entrent dans une cabine.")</f>
        <v>Ils quittent leurs snowboards et entrent dans une cabine.</v>
      </c>
    </row>
    <row r="37325">
      <c r="A37325" s="4" t="s">
        <v>46935</v>
      </c>
      <c r="B37325" s="4" t="s">
        <v>46936</v>
      </c>
      <c r="C37325" s="5" t="str">
        <f>IFERROR(__xludf.DUMMYFUNCTION("GOOGLETRANSLATE(B37325,""en"",""fr"")"),"Une femme se tient devant un arbre de Noël, appliquant une couronne.")</f>
        <v>Une femme se tient devant un arbre de Noël, appliquant une couronne.</v>
      </c>
    </row>
    <row r="37326">
      <c r="A37326" s="4" t="s">
        <v>46935</v>
      </c>
      <c r="B37326" s="4" t="s">
        <v>46937</v>
      </c>
      <c r="C37326" s="5" t="str">
        <f>IFERROR(__xludf.DUMMYFUNCTION("GOOGLETRANSLATE(B37326,""en"",""fr"")"),"Elle accroche ensuite des lumières et des ornements.")</f>
        <v>Elle accroche ensuite des lumières et des ornements.</v>
      </c>
    </row>
    <row r="37327">
      <c r="A37327" s="4" t="s">
        <v>46935</v>
      </c>
      <c r="B37327" s="4" t="s">
        <v>46938</v>
      </c>
      <c r="C37327" s="5" t="str">
        <f>IFERROR(__xludf.DUMMYFUNCTION("GOOGLETRANSLATE(B37327,""en"",""fr"")"),"À la fin, elle ajuste les ornements et ajoute une étoile au sommet de l'arbre.")</f>
        <v>À la fin, elle ajuste les ornements et ajoute une étoile au sommet de l'arbre.</v>
      </c>
    </row>
    <row r="37328">
      <c r="A37328" s="4" t="s">
        <v>46939</v>
      </c>
      <c r="B37328" s="4" t="s">
        <v>46940</v>
      </c>
      <c r="C37328" s="5" t="str">
        <f>IFERROR(__xludf.DUMMYFUNCTION("GOOGLETRANSLATE(B37328,""en"",""fr"")"),"Un homme est assis sur le rocher, puis les gens grimpent les gros rochers sans harnais.")</f>
        <v>Un homme est assis sur le rocher, puis les gens grimpent les gros rochers sans harnais.</v>
      </c>
    </row>
    <row r="37329">
      <c r="A37329" s="4" t="s">
        <v>46939</v>
      </c>
      <c r="B37329" s="4" t="s">
        <v>46941</v>
      </c>
      <c r="C37329" s="5" t="str">
        <f>IFERROR(__xludf.DUMMYFUNCTION("GOOGLETRANSLATE(B37329,""en"",""fr"")"),"Les gens marchent dans une corde attachée à deux arbres.")</f>
        <v>Les gens marchent dans une corde attachée à deux arbres.</v>
      </c>
    </row>
    <row r="37330">
      <c r="A37330" s="4" t="s">
        <v>46942</v>
      </c>
      <c r="B37330" s="4" t="s">
        <v>46943</v>
      </c>
      <c r="C37330" s="5" t="str">
        <f>IFERROR(__xludf.DUMMYFUNCTION("GOOGLETRANSLATE(B37330,""en"",""fr"")"),"Le texte apparaît à l'écran en ce qui concerne le café éventuellement mauvais pour votre santé.")</f>
        <v>Le texte apparaît à l'écran en ce qui concerne le café éventuellement mauvais pour votre santé.</v>
      </c>
    </row>
    <row r="37331">
      <c r="A37331" s="4" t="s">
        <v>46942</v>
      </c>
      <c r="B37331" s="6" t="s">
        <v>46944</v>
      </c>
      <c r="C37331" s="5" t="str">
        <f>IFERROR(__xludf.DUMMYFUNCTION("GOOGLETRANSLATE(B37331,""en"",""fr"")"),"Il est ensuite mentionné avec du texte à l'écran qu'il peut entraîner une pression artérielle élevée. Il est ensuite mentionné qu'il peut nuire à la croissance de vos cheveux et qu'il n'y a pas de nutriments vitaux.")</f>
        <v>Il est ensuite mentionné avec du texte à l'écran qu'il peut entraîner une pression artérielle élevée. Il est ensuite mentionné qu'il peut nuire à la croissance de vos cheveux et qu'il n'y a pas de nutriments vitaux.</v>
      </c>
    </row>
    <row r="37332">
      <c r="A37332" s="4" t="s">
        <v>46942</v>
      </c>
      <c r="B37332" s="6" t="s">
        <v>46945</v>
      </c>
      <c r="C37332" s="5" t="str">
        <f>IFERROR(__xludf.DUMMYFUNCTION("GOOGLETRANSLATE(B37332,""en"",""fr"")"),"Il est alors démontré qu'il y a des avantages et qu'il faut modérer leur apport pour maintenir un équilibre.")</f>
        <v>Il est alors démontré qu'il y a des avantages et qu'il faut modérer leur apport pour maintenir un équilibre.</v>
      </c>
    </row>
    <row r="37333">
      <c r="A37333" s="4" t="s">
        <v>46942</v>
      </c>
      <c r="B37333" s="4" t="s">
        <v>46946</v>
      </c>
      <c r="C37333" s="5" t="str">
        <f>IFERROR(__xludf.DUMMYFUNCTION("GOOGLETRANSLATE(B37333,""en"",""fr"")"),"Un site Web est ensuite montré pour obtenir plus d'informations sur ce sujet.")</f>
        <v>Un site Web est ensuite montré pour obtenir plus d'informations sur ce sujet.</v>
      </c>
    </row>
    <row r="37334">
      <c r="A37334" s="4" t="s">
        <v>46947</v>
      </c>
      <c r="B37334" s="4" t="s">
        <v>46948</v>
      </c>
      <c r="C37334" s="5" t="str">
        <f>IFERROR(__xludf.DUMMYFUNCTION("GOOGLETRANSLATE(B37334,""en"",""fr"")"),"Plusieurs jeunes enfants sont dans un gymnase avec Dodge Wall avec des boules rouges de taille moyenne.")</f>
        <v>Plusieurs jeunes enfants sont dans un gymnase avec Dodge Wall avec des boules rouges de taille moyenne.</v>
      </c>
    </row>
    <row r="37335">
      <c r="A37335" s="4" t="s">
        <v>46947</v>
      </c>
      <c r="B37335" s="6" t="s">
        <v>46949</v>
      </c>
      <c r="C37335" s="5" t="str">
        <f>IFERROR(__xludf.DUMMYFUNCTION("GOOGLETRANSLATE(B37335,""en"",""fr"")"),"Alors qu'ils lancent les balles, une petite fille essaie de se joindre à l'action et commence à les suivre et à courir d'un côté du terrain à l'autre pour poursuivre les balles.")</f>
        <v>Alors qu'ils lancent les balles, une petite fille essaie de se joindre à l'action et commence à les suivre et à courir d'un côté du terrain à l'autre pour poursuivre les balles.</v>
      </c>
    </row>
    <row r="37336">
      <c r="A37336" s="4" t="s">
        <v>46950</v>
      </c>
      <c r="B37336" s="4" t="s">
        <v>46951</v>
      </c>
      <c r="C37336" s="5" t="str">
        <f>IFERROR(__xludf.DUMMYFUNCTION("GOOGLETRANSLATE(B37336,""en"",""fr"")"),"Une femme est allongée, montrant un tatouage de son côté.")</f>
        <v>Une femme est allongée, montrant un tatouage de son côté.</v>
      </c>
    </row>
    <row r="37337">
      <c r="A37337" s="4" t="s">
        <v>46950</v>
      </c>
      <c r="B37337" s="4" t="s">
        <v>46952</v>
      </c>
      <c r="C37337" s="5" t="str">
        <f>IFERROR(__xludf.DUMMYFUNCTION("GOOGLETRANSLATE(B37337,""en"",""fr"")"),"Un homme dans un masque chirurgical la prépare alors qu'il continue son travail sur le tatouage.")</f>
        <v>Un homme dans un masque chirurgical la prépare alors qu'il continue son travail sur le tatouage.</v>
      </c>
    </row>
    <row r="37338">
      <c r="A37338" s="4" t="s">
        <v>46950</v>
      </c>
      <c r="B37338" s="4" t="s">
        <v>46953</v>
      </c>
      <c r="C37338" s="5" t="str">
        <f>IFERROR(__xludf.DUMMYFUNCTION("GOOGLETRANSLATE(B37338,""en"",""fr"")"),"Il nettoie et essuie le tatouage.")</f>
        <v>Il nettoie et essuie le tatouage.</v>
      </c>
    </row>
    <row r="37339">
      <c r="A37339" s="4" t="s">
        <v>46950</v>
      </c>
      <c r="B37339" s="4" t="s">
        <v>46954</v>
      </c>
      <c r="C37339" s="5" t="str">
        <f>IFERROR(__xludf.DUMMYFUNCTION("GOOGLETRANSLATE(B37339,""en"",""fr"")"),"Elle a terminé, montrant le produit final.")</f>
        <v>Elle a terminé, montrant le produit final.</v>
      </c>
    </row>
    <row r="37340">
      <c r="A37340" s="4" t="s">
        <v>46955</v>
      </c>
      <c r="B37340" s="6" t="s">
        <v>46956</v>
      </c>
      <c r="C37340" s="5" t="str">
        <f>IFERROR(__xludf.DUMMYFUNCTION("GOOGLETRANSLATE(B37340,""en"",""fr"")"),"Un homme tient un autre homme sur ses épaules dans un ring de lutte alors que la foule applaudit et regarde.")</f>
        <v>Un homme tient un autre homme sur ses épaules dans un ring de lutte alors que la foule applaudit et regarde.</v>
      </c>
    </row>
    <row r="37341">
      <c r="A37341" s="4" t="s">
        <v>46955</v>
      </c>
      <c r="B37341" s="4" t="s">
        <v>46957</v>
      </c>
      <c r="C37341" s="5" t="str">
        <f>IFERROR(__xludf.DUMMYFUNCTION("GOOGLETRANSLATE(B37341,""en"",""fr"")"),"L'homme jette l'homme sur son épaule au sol.")</f>
        <v>L'homme jette l'homme sur son épaule au sol.</v>
      </c>
    </row>
    <row r="37342">
      <c r="A37342" s="4" t="s">
        <v>46955</v>
      </c>
      <c r="B37342" s="4" t="s">
        <v>46958</v>
      </c>
      <c r="C37342" s="5" t="str">
        <f>IFERROR(__xludf.DUMMYFUNCTION("GOOGLETRANSLATE(B37342,""en"",""fr"")"),"Les deux hommes étaient allongés sur le sol dans le sonnerie.")</f>
        <v>Les deux hommes étaient allongés sur le sol dans le sonnerie.</v>
      </c>
    </row>
    <row r="37343">
      <c r="A37343" s="4" t="s">
        <v>46959</v>
      </c>
      <c r="B37343" s="4" t="s">
        <v>46960</v>
      </c>
      <c r="C37343" s="5" t="str">
        <f>IFERROR(__xludf.DUMMYFUNCTION("GOOGLETRANSLATE(B37343,""en"",""fr"")"),"Les équipes jouent de la fusale dans un petit tribunal coulant d'un côté à l'autre du tribunal.")</f>
        <v>Les équipes jouent de la fusale dans un petit tribunal coulant d'un côté à l'autre du tribunal.</v>
      </c>
    </row>
    <row r="37344">
      <c r="A37344" s="4" t="s">
        <v>46959</v>
      </c>
      <c r="B37344" s="4" t="s">
        <v>46961</v>
      </c>
      <c r="C37344" s="5" t="str">
        <f>IFERROR(__xludf.DUMMYFUNCTION("GOOGLETRANSLATE(B37344,""en"",""fr"")"),"Beaucoup de gens célèbrent le vicory et se serpente.")</f>
        <v>Beaucoup de gens célèbrent le vicory et se serpente.</v>
      </c>
    </row>
    <row r="37345">
      <c r="A37345" s="4" t="s">
        <v>46962</v>
      </c>
      <c r="B37345" s="4" t="s">
        <v>46963</v>
      </c>
      <c r="C37345" s="5" t="str">
        <f>IFERROR(__xludf.DUMMYFUNCTION("GOOGLETRANSLATE(B37345,""en"",""fr"")"),"Une personne est vue entrer dans le cadre avec un bar dans ses mains.")</f>
        <v>Une personne est vue entrer dans le cadre avec un bar dans ses mains.</v>
      </c>
    </row>
    <row r="37346">
      <c r="A37346" s="4" t="s">
        <v>46962</v>
      </c>
      <c r="B37346" s="4" t="s">
        <v>46964</v>
      </c>
      <c r="C37346" s="5" t="str">
        <f>IFERROR(__xludf.DUMMYFUNCTION("GOOGLETRANSLATE(B37346,""en"",""fr"")"),"Elle pose la barre et commence à faire de l'exercice de manière humérus tout en parlant au public.")</f>
        <v>Elle pose la barre et commence à faire de l'exercice de manière humérus tout en parlant au public.</v>
      </c>
    </row>
    <row r="37347">
      <c r="A37347" s="4" t="s">
        <v>46962</v>
      </c>
      <c r="B37347" s="4" t="s">
        <v>46965</v>
      </c>
      <c r="C37347" s="5" t="str">
        <f>IFERROR(__xludf.DUMMYFUNCTION("GOOGLETRANSLATE(B37347,""en"",""fr"")"),"Le public rit de ses mouvements pendant qu'elle continue de bouger et de danser sur la scène.")</f>
        <v>Le public rit de ses mouvements pendant qu'elle continue de bouger et de danser sur la scène.</v>
      </c>
    </row>
    <row r="37348">
      <c r="A37348" s="4" t="s">
        <v>46966</v>
      </c>
      <c r="B37348" s="4" t="s">
        <v>46967</v>
      </c>
      <c r="C37348" s="5" t="str">
        <f>IFERROR(__xludf.DUMMYFUNCTION("GOOGLETRANSLATE(B37348,""en"",""fr"")"),"Un homme chauve est vu parler à la caméra tandis qu'un autre homme se tient au-dessus de lui et se coupe les cheveux.")</f>
        <v>Un homme chauve est vu parler à la caméra tandis qu'un autre homme se tient au-dessus de lui et se coupe les cheveux.</v>
      </c>
    </row>
    <row r="37349">
      <c r="A37349" s="4" t="s">
        <v>46966</v>
      </c>
      <c r="B37349" s="4" t="s">
        <v>46968</v>
      </c>
      <c r="C37349" s="5" t="str">
        <f>IFERROR(__xludf.DUMMYFUNCTION("GOOGLETRANSLATE(B37349,""en"",""fr"")"),"L'homme assis se frotte la main et tient son visage dans ses mains.")</f>
        <v>L'homme assis se frotte la main et tient son visage dans ses mains.</v>
      </c>
    </row>
    <row r="37350">
      <c r="A37350" s="4" t="s">
        <v>46969</v>
      </c>
      <c r="B37350" s="4" t="s">
        <v>46970</v>
      </c>
      <c r="C37350" s="5" t="str">
        <f>IFERROR(__xludf.DUMMYFUNCTION("GOOGLETRANSLATE(B37350,""en"",""fr"")"),"Une personne est vue assise derrière une table avec une tenant un morceau de papier autour de lui.")</f>
        <v>Une personne est vue assise derrière une table avec une tenant un morceau de papier autour de lui.</v>
      </c>
    </row>
    <row r="37351">
      <c r="A37351" s="4" t="s">
        <v>46969</v>
      </c>
      <c r="B37351" s="4" t="s">
        <v>46971</v>
      </c>
      <c r="C37351" s="5" t="str">
        <f>IFERROR(__xludf.DUMMYFUNCTION("GOOGLETRANSLATE(B37351,""en"",""fr"")"),"L'homme tente ensuite de résoudre un cube Rubix tandis qu'une minuterie attrape son score.")</f>
        <v>L'homme tente ensuite de résoudre un cube Rubix tandis qu'une minuterie attrape son score.</v>
      </c>
    </row>
    <row r="37352">
      <c r="A37352" s="4" t="s">
        <v>46969</v>
      </c>
      <c r="B37352" s="6" t="s">
        <v>46972</v>
      </c>
      <c r="C37352" s="5" t="str">
        <f>IFERROR(__xludf.DUMMYFUNCTION("GOOGLETRANSLATE(B37352,""en"",""fr"")"),"L'homme écrit son score et l'homme tente de résoudre le cube plusieurs fois pendant que le garçon aide.")</f>
        <v>L'homme écrit son score et l'homme tente de résoudre le cube plusieurs fois pendant que le garçon aide.</v>
      </c>
    </row>
    <row r="37353">
      <c r="A37353" s="4" t="s">
        <v>46973</v>
      </c>
      <c r="B37353" s="4" t="s">
        <v>46974</v>
      </c>
      <c r="C37353" s="5" t="str">
        <f>IFERROR(__xludf.DUMMYFUNCTION("GOOGLETRANSLATE(B37353,""en"",""fr"")"),"Un homme expliquant comment il affûtera les couteaux aujourd'hui.")</f>
        <v>Un homme expliquant comment il affûtera les couteaux aujourd'hui.</v>
      </c>
    </row>
    <row r="37354">
      <c r="A37354" s="4" t="s">
        <v>46973</v>
      </c>
      <c r="B37354" s="4" t="s">
        <v>46975</v>
      </c>
      <c r="C37354" s="5" t="str">
        <f>IFERROR(__xludf.DUMMYFUNCTION("GOOGLETRANSLATE(B37354,""en"",""fr"")"),"Il montre l'outil qu'il utilisera qui s'appelle Chefs Choice.")</f>
        <v>Il montre l'outil qu'il utilisera qui s'appelle Chefs Choice.</v>
      </c>
    </row>
    <row r="37355">
      <c r="A37355" s="4" t="s">
        <v>46973</v>
      </c>
      <c r="B37355" s="4" t="s">
        <v>46976</v>
      </c>
      <c r="C37355" s="5" t="str">
        <f>IFERROR(__xludf.DUMMYFUNCTION("GOOGLETRANSLATE(B37355,""en"",""fr"")"),"Il montre comment l'utiliser et comment vous pouvez l'utiliser avec l'une ou l'autre main.")</f>
        <v>Il montre comment l'utiliser et comment vous pouvez l'utiliser avec l'une ou l'autre main.</v>
      </c>
    </row>
    <row r="37356">
      <c r="A37356" s="4" t="s">
        <v>46973</v>
      </c>
      <c r="B37356" s="4" t="s">
        <v>46977</v>
      </c>
      <c r="C37356" s="5" t="str">
        <f>IFERROR(__xludf.DUMMYFUNCTION("GOOGLETRANSLATE(B37356,""en"",""fr"")"),"Puis il commence à aiguiser l'un de ses couteaux.")</f>
        <v>Puis il commence à aiguiser l'un de ses couteaux.</v>
      </c>
    </row>
    <row r="37357">
      <c r="A37357" s="4" t="s">
        <v>46973</v>
      </c>
      <c r="B37357" s="4" t="s">
        <v>46978</v>
      </c>
      <c r="C37357" s="5" t="str">
        <f>IFERROR(__xludf.DUMMYFUNCTION("GOOGLETRANSLATE(B37357,""en"",""fr"")"),"Après avoir fini de l'affûter, il démontre avec une tomate à quel point elle est utile.")</f>
        <v>Après avoir fini de l'affûter, il démontre avec une tomate à quel point elle est utile.</v>
      </c>
    </row>
    <row r="37358">
      <c r="A37358" s="4" t="s">
        <v>46979</v>
      </c>
      <c r="B37358" s="4" t="s">
        <v>46980</v>
      </c>
      <c r="C37358" s="5" t="str">
        <f>IFERROR(__xludf.DUMMYFUNCTION("GOOGLETRANSLATE(B37358,""en"",""fr"")"),"Un travailleur médical est assis à une table avec une femme et parle à la caméra.")</f>
        <v>Un travailleur médical est assis à une table avec une femme et parle à la caméra.</v>
      </c>
    </row>
    <row r="37359">
      <c r="A37359" s="4" t="s">
        <v>46979</v>
      </c>
      <c r="B37359" s="4" t="s">
        <v>46981</v>
      </c>
      <c r="C37359" s="5" t="str">
        <f>IFERROR(__xludf.DUMMYFUNCTION("GOOGLETRANSLATE(B37359,""en"",""fr"")"),"Il déplace une boîte et touche deux autres canettes.")</f>
        <v>Il déplace une boîte et touche deux autres canettes.</v>
      </c>
    </row>
    <row r="37360">
      <c r="A37360" s="4" t="s">
        <v>46979</v>
      </c>
      <c r="B37360" s="4" t="s">
        <v>46982</v>
      </c>
      <c r="C37360" s="5" t="str">
        <f>IFERROR(__xludf.DUMMYFUNCTION("GOOGLETRANSLATE(B37360,""en"",""fr"")"),"Il ramasse une boîte et le pulvérise sur le bras de la femme et le frotte.")</f>
        <v>Il ramasse une boîte et le pulvérise sur le bras de la femme et le frotte.</v>
      </c>
    </row>
    <row r="37361">
      <c r="A37361" s="4" t="s">
        <v>46979</v>
      </c>
      <c r="B37361" s="4" t="s">
        <v>46983</v>
      </c>
      <c r="C37361" s="5" t="str">
        <f>IFERROR(__xludf.DUMMYFUNCTION("GOOGLETRANSLATE(B37361,""en"",""fr"")"),"Il ramasse une autre canette et en parle, puis se répartit à nouveau son bras et frotte la crème.")</f>
        <v>Il ramasse une autre canette et en parle, puis se répartit à nouveau son bras et frotte la crème.</v>
      </c>
    </row>
    <row r="37362">
      <c r="A37362" s="4" t="s">
        <v>46979</v>
      </c>
      <c r="B37362" s="4" t="s">
        <v>46984</v>
      </c>
      <c r="C37362" s="5" t="str">
        <f>IFERROR(__xludf.DUMMYFUNCTION("GOOGLETRANSLATE(B37362,""en"",""fr"")"),"Il ramasse un troisième conteneur et le met sur son bras et le frotte également.")</f>
        <v>Il ramasse un troisième conteneur et le met sur son bras et le frotte également.</v>
      </c>
    </row>
    <row r="37363">
      <c r="A37363" s="4" t="s">
        <v>46979</v>
      </c>
      <c r="B37363" s="4" t="s">
        <v>46985</v>
      </c>
      <c r="C37363" s="5" t="str">
        <f>IFERROR(__xludf.DUMMYFUNCTION("GOOGLETRANSLATE(B37363,""en"",""fr"")"),"Il ramasse un quatrième tube et met la crème sur sa main et la frotte.")</f>
        <v>Il ramasse un quatrième tube et met la crème sur sa main et la frotte.</v>
      </c>
    </row>
    <row r="37364">
      <c r="A37364" s="4" t="s">
        <v>46979</v>
      </c>
      <c r="B37364" s="4" t="s">
        <v>46986</v>
      </c>
      <c r="C37364" s="5" t="str">
        <f>IFERROR(__xludf.DUMMYFUNCTION("GOOGLETRANSLATE(B37364,""en"",""fr"")"),"Il recommence avec une cinquième crème.")</f>
        <v>Il recommence avec une cinquième crème.</v>
      </c>
    </row>
    <row r="37365">
      <c r="A37365" s="4" t="s">
        <v>46979</v>
      </c>
      <c r="B37365" s="4" t="s">
        <v>46987</v>
      </c>
      <c r="C37365" s="5" t="str">
        <f>IFERROR(__xludf.DUMMYFUNCTION("GOOGLETRANSLATE(B37365,""en"",""fr"")"),"Il prend ensuite un compact de poudre brune, le présente à la caméra et le remet.")</f>
        <v>Il prend ensuite un compact de poudre brune, le présente à la caméra et le remet.</v>
      </c>
    </row>
    <row r="37366">
      <c r="A37366" s="4" t="s">
        <v>46988</v>
      </c>
      <c r="B37366" s="4" t="s">
        <v>46989</v>
      </c>
      <c r="C37366" s="5" t="str">
        <f>IFERROR(__xludf.DUMMYFUNCTION("GOOGLETRANSLATE(B37366,""en"",""fr"")"),"Une petite fille souffle des feuilles à l'extérieur d'une maison.")</f>
        <v>Une petite fille souffle des feuilles à l'extérieur d'une maison.</v>
      </c>
    </row>
    <row r="37367">
      <c r="A37367" s="4" t="s">
        <v>46988</v>
      </c>
      <c r="B37367" s="4" t="s">
        <v>46990</v>
      </c>
      <c r="C37367" s="5" t="str">
        <f>IFERROR(__xludf.DUMMYFUNCTION("GOOGLETRANSLATE(B37367,""en"",""fr"")"),"Elle s'arrête un instant pour obtenir une meilleure compréhension du souffleur de feuilles.")</f>
        <v>Elle s'arrête un instant pour obtenir une meilleure compréhension du souffleur de feuilles.</v>
      </c>
    </row>
    <row r="37368">
      <c r="A37368" s="4" t="s">
        <v>46988</v>
      </c>
      <c r="B37368" s="4" t="s">
        <v>46991</v>
      </c>
      <c r="C37368" s="5" t="str">
        <f>IFERROR(__xludf.DUMMYFUNCTION("GOOGLETRANSLATE(B37368,""en"",""fr"")"),"Elle passe par un petit garçon et continue de faire sauter les feuilles.")</f>
        <v>Elle passe par un petit garçon et continue de faire sauter les feuilles.</v>
      </c>
    </row>
    <row r="37369">
      <c r="A37369" s="4" t="s">
        <v>46992</v>
      </c>
      <c r="B37369" s="6" t="s">
        <v>46993</v>
      </c>
      <c r="C37369" s="5" t="str">
        <f>IFERROR(__xludf.DUMMYFUNCTION("GOOGLETRANSLATE(B37369,""en"",""fr"")"),"Un homme avec une queue de poney se voit marcher le long d'une corde avec un autre homme le regardant et souriant en arrière-plan.")</f>
        <v>Un homme avec une queue de poney se voit marcher le long d'une corde avec un autre homme le regardant et souriant en arrière-plan.</v>
      </c>
    </row>
    <row r="37370">
      <c r="A37370" s="4" t="s">
        <v>46992</v>
      </c>
      <c r="B37370" s="4" t="s">
        <v>46994</v>
      </c>
      <c r="C37370" s="5" t="str">
        <f>IFERROR(__xludf.DUMMYFUNCTION("GOOGLETRANSLATE(B37370,""en"",""fr"")"),"L'homme se retourne, perd son équilibre et tombe de la corde.")</f>
        <v>L'homme se retourne, perd son équilibre et tombe de la corde.</v>
      </c>
    </row>
    <row r="37371">
      <c r="A37371" s="4" t="s">
        <v>46992</v>
      </c>
      <c r="B37371" s="4" t="s">
        <v>46995</v>
      </c>
      <c r="C37371" s="5" t="str">
        <f>IFERROR(__xludf.DUMMYFUNCTION("GOOGLETRANSLATE(B37371,""en"",""fr"")"),"L'homme regarde tente de marcher et tombe également à la fin.")</f>
        <v>L'homme regarde tente de marcher et tombe également à la fin.</v>
      </c>
    </row>
    <row r="37372">
      <c r="A37372" s="4" t="s">
        <v>46996</v>
      </c>
      <c r="B37372" s="4" t="s">
        <v>46997</v>
      </c>
      <c r="C37372" s="5" t="str">
        <f>IFERROR(__xludf.DUMMYFUNCTION("GOOGLETRANSLATE(B37372,""en"",""fr"")"),"Un homme parle à la caméra tout en tenant un objet de type de laisse avec un sac à la main.")</f>
        <v>Un homme parle à la caméra tout en tenant un objet de type de laisse avec un sac à la main.</v>
      </c>
    </row>
    <row r="37373">
      <c r="A37373" s="4" t="s">
        <v>46996</v>
      </c>
      <c r="B37373" s="4" t="s">
        <v>46998</v>
      </c>
      <c r="C37373" s="5" t="str">
        <f>IFERROR(__xludf.DUMMYFUNCTION("GOOGLETRANSLATE(B37373,""en"",""fr"")"),"La scène passe à la laisse utilisée sur un chien.")</f>
        <v>La scène passe à la laisse utilisée sur un chien.</v>
      </c>
    </row>
    <row r="37374">
      <c r="A37374" s="4" t="s">
        <v>46996</v>
      </c>
      <c r="B37374" s="4" t="s">
        <v>46999</v>
      </c>
      <c r="C37374" s="5" t="str">
        <f>IFERROR(__xludf.DUMMYFUNCTION("GOOGLETRANSLATE(B37374,""en"",""fr"")"),"La scène passe à un gros plan de l'homme pour démonter et réassembler la laisse.")</f>
        <v>La scène passe à un gros plan de l'homme pour démonter et réassembler la laisse.</v>
      </c>
    </row>
    <row r="37375">
      <c r="A37375" s="4" t="s">
        <v>46996</v>
      </c>
      <c r="B37375" s="4" t="s">
        <v>47000</v>
      </c>
      <c r="C37375" s="5" t="str">
        <f>IFERROR(__xludf.DUMMYFUNCTION("GOOGLETRANSLATE(B37375,""en"",""fr"")"),"La scène passe à nouveau à la laisse utilisée sur un chien.")</f>
        <v>La scène passe à nouveau à la laisse utilisée sur un chien.</v>
      </c>
    </row>
    <row r="37376">
      <c r="A37376" s="4" t="s">
        <v>46996</v>
      </c>
      <c r="B37376" s="4" t="s">
        <v>47001</v>
      </c>
      <c r="C37376" s="5" t="str">
        <f>IFERROR(__xludf.DUMMYFUNCTION("GOOGLETRANSLATE(B37376,""en"",""fr"")"),"L'homme est montré dans un gros plan interagissant avec et caressant le chien.")</f>
        <v>L'homme est montré dans un gros plan interagissant avec et caressant le chien.</v>
      </c>
    </row>
    <row r="37377">
      <c r="A37377" s="4" t="s">
        <v>47002</v>
      </c>
      <c r="B37377" s="4" t="s">
        <v>47003</v>
      </c>
      <c r="C37377" s="5" t="str">
        <f>IFERROR(__xludf.DUMMYFUNCTION("GOOGLETRANSLATE(B37377,""en"",""fr"")"),"Une femme montre ses ongles.")</f>
        <v>Une femme montre ses ongles.</v>
      </c>
    </row>
    <row r="37378">
      <c r="A37378" s="4" t="s">
        <v>47002</v>
      </c>
      <c r="B37378" s="4" t="s">
        <v>47004</v>
      </c>
      <c r="C37378" s="5" t="str">
        <f>IFERROR(__xludf.DUMMYFUNCTION("GOOGLETRANSLATE(B37378,""en"",""fr"")"),"Une bouteille d'acétone est montrée.")</f>
        <v>Une bouteille d'acétone est montrée.</v>
      </c>
    </row>
    <row r="37379">
      <c r="A37379" s="4" t="s">
        <v>47002</v>
      </c>
      <c r="B37379" s="4" t="s">
        <v>47005</v>
      </c>
      <c r="C37379" s="5" t="str">
        <f>IFERROR(__xludf.DUMMYFUNCTION("GOOGLETRANSLATE(B37379,""en"",""fr"")"),"L'acétone est versée dans un petit verre.")</f>
        <v>L'acétone est versée dans un petit verre.</v>
      </c>
    </row>
    <row r="37380">
      <c r="A37380" s="4" t="s">
        <v>47002</v>
      </c>
      <c r="B37380" s="4" t="s">
        <v>47006</v>
      </c>
      <c r="C37380" s="5" t="str">
        <f>IFERROR(__xludf.DUMMYFUNCTION("GOOGLETRANSLATE(B37380,""en"",""fr"")"),"Une femme tient maintenant une serviette.")</f>
        <v>Une femme tient maintenant une serviette.</v>
      </c>
    </row>
    <row r="37381">
      <c r="A37381" s="4" t="s">
        <v>47002</v>
      </c>
      <c r="B37381" s="4" t="s">
        <v>47007</v>
      </c>
      <c r="C37381" s="5" t="str">
        <f>IFERROR(__xludf.DUMMYFUNCTION("GOOGLETRANSLATE(B37381,""en"",""fr"")"),"Un pinceau de maquillage a lieu.")</f>
        <v>Un pinceau de maquillage a lieu.</v>
      </c>
    </row>
    <row r="37382">
      <c r="A37382" s="4" t="s">
        <v>47002</v>
      </c>
      <c r="B37382" s="4" t="s">
        <v>47008</v>
      </c>
      <c r="C37382" s="5" t="str">
        <f>IFERROR(__xludf.DUMMYFUNCTION("GOOGLETRANSLATE(B37382,""en"",""fr"")"),"Une bouteille de vernis à ongles est montrée.")</f>
        <v>Une bouteille de vernis à ongles est montrée.</v>
      </c>
    </row>
    <row r="37383">
      <c r="A37383" s="4" t="s">
        <v>47002</v>
      </c>
      <c r="B37383" s="4" t="s">
        <v>47009</v>
      </c>
      <c r="C37383" s="5" t="str">
        <f>IFERROR(__xludf.DUMMYFUNCTION("GOOGLETRANSLATE(B37383,""en"",""fr"")"),"Une personne commence à peindre ses ongles.")</f>
        <v>Une personne commence à peindre ses ongles.</v>
      </c>
    </row>
    <row r="37384">
      <c r="A37384" s="4" t="s">
        <v>47002</v>
      </c>
      <c r="B37384" s="4" t="s">
        <v>47010</v>
      </c>
      <c r="C37384" s="5" t="str">
        <f>IFERROR(__xludf.DUMMYFUNCTION("GOOGLETRANSLATE(B37384,""en"",""fr"")"),"Une autre bouteille de vernis à ongles est montrée.")</f>
        <v>Une autre bouteille de vernis à ongles est montrée.</v>
      </c>
    </row>
    <row r="37385">
      <c r="A37385" s="4" t="s">
        <v>47002</v>
      </c>
      <c r="B37385" s="4" t="s">
        <v>47011</v>
      </c>
      <c r="C37385" s="5" t="str">
        <f>IFERROR(__xludf.DUMMYFUNCTION("GOOGLETRANSLATE(B37385,""en"",""fr"")"),"La personne continue de peindre leurs ongles.")</f>
        <v>La personne continue de peindre leurs ongles.</v>
      </c>
    </row>
    <row r="37386">
      <c r="A37386" s="4" t="s">
        <v>47002</v>
      </c>
      <c r="B37386" s="4" t="s">
        <v>47012</v>
      </c>
      <c r="C37386" s="5" t="str">
        <f>IFERROR(__xludf.DUMMYFUNCTION("GOOGLETRANSLATE(B37386,""en"",""fr"")"),"Ils utilisent le pinceau de maquillage et le trempent dans l'acétone.")</f>
        <v>Ils utilisent le pinceau de maquillage et le trempent dans l'acétone.</v>
      </c>
    </row>
    <row r="37387">
      <c r="A37387" s="4" t="s">
        <v>47002</v>
      </c>
      <c r="B37387" s="4" t="s">
        <v>47013</v>
      </c>
      <c r="C37387" s="5" t="str">
        <f>IFERROR(__xludf.DUMMYFUNCTION("GOOGLETRANSLATE(B37387,""en"",""fr"")"),"Ils frottent la brosse sur leur ongle.")</f>
        <v>Ils frottent la brosse sur leur ongle.</v>
      </c>
    </row>
    <row r="37388">
      <c r="A37388" s="4" t="s">
        <v>47002</v>
      </c>
      <c r="B37388" s="4" t="s">
        <v>47014</v>
      </c>
      <c r="C37388" s="5" t="str">
        <f>IFERROR(__xludf.DUMMYFUNCTION("GOOGLETRANSLATE(B37388,""en"",""fr"")"),"Ils utilisent un bâton en bois pour nettoyer le côté de leurs ongles.")</f>
        <v>Ils utilisent un bâton en bois pour nettoyer le côté de leurs ongles.</v>
      </c>
    </row>
    <row r="37389">
      <c r="A37389" s="4" t="s">
        <v>47002</v>
      </c>
      <c r="B37389" s="4" t="s">
        <v>47015</v>
      </c>
      <c r="C37389" s="5" t="str">
        <f>IFERROR(__xludf.DUMMYFUNCTION("GOOGLETRANSLATE(B37389,""en"",""fr"")"),"Une bouteille claire de vernis à ongles est montrée.")</f>
        <v>Une bouteille claire de vernis à ongles est montrée.</v>
      </c>
    </row>
    <row r="37390">
      <c r="A37390" s="4" t="s">
        <v>47002</v>
      </c>
      <c r="B37390" s="4" t="s">
        <v>47016</v>
      </c>
      <c r="C37390" s="5" t="str">
        <f>IFERROR(__xludf.DUMMYFUNCTION("GOOGLETRANSLATE(B37390,""en"",""fr"")"),"Elle peint ensuite cela sur ses ongles.")</f>
        <v>Elle peint ensuite cela sur ses ongles.</v>
      </c>
    </row>
    <row r="37391">
      <c r="A37391" s="4" t="s">
        <v>47017</v>
      </c>
      <c r="B37391" s="4" t="s">
        <v>47018</v>
      </c>
      <c r="C37391" s="5" t="str">
        <f>IFERROR(__xludf.DUMMYFUNCTION("GOOGLETRANSLATE(B37391,""en"",""fr"")"),"Nous voyons une dame tenant une flûte.")</f>
        <v>Nous voyons une dame tenant une flûte.</v>
      </c>
    </row>
    <row r="37392">
      <c r="A37392" s="4" t="s">
        <v>47017</v>
      </c>
      <c r="B37392" s="4" t="s">
        <v>47019</v>
      </c>
      <c r="C37392" s="5" t="str">
        <f>IFERROR(__xludf.DUMMYFUNCTION("GOOGLETRANSLATE(B37392,""en"",""fr"")"),"Nous voyons le titre de la chanson.")</f>
        <v>Nous voyons le titre de la chanson.</v>
      </c>
    </row>
    <row r="37393">
      <c r="A37393" s="4" t="s">
        <v>47017</v>
      </c>
      <c r="B37393" s="4" t="s">
        <v>47020</v>
      </c>
      <c r="C37393" s="5" t="str">
        <f>IFERROR(__xludf.DUMMYFUNCTION("GOOGLETRANSLATE(B37393,""en"",""fr"")"),"Nous voyons une dame interpréter une chanson sur une flûte.")</f>
        <v>Nous voyons une dame interpréter une chanson sur une flûte.</v>
      </c>
    </row>
    <row r="37394">
      <c r="A37394" s="4" t="s">
        <v>47017</v>
      </c>
      <c r="B37394" s="4" t="s">
        <v>47021</v>
      </c>
      <c r="C37394" s="5" t="str">
        <f>IFERROR(__xludf.DUMMYFUNCTION("GOOGLETRANSLATE(B37394,""en"",""fr"")"),"La fille s'arrête et joue à nouveau.")</f>
        <v>La fille s'arrête et joue à nouveau.</v>
      </c>
    </row>
    <row r="37395">
      <c r="A37395" s="4" t="s">
        <v>47017</v>
      </c>
      <c r="B37395" s="4" t="s">
        <v>47022</v>
      </c>
      <c r="C37395" s="5" t="str">
        <f>IFERROR(__xludf.DUMMYFUNCTION("GOOGLETRANSLATE(B37395,""en"",""fr"")"),"La fille finit de jouer et sourit à la caméra.")</f>
        <v>La fille finit de jouer et sourit à la caméra.</v>
      </c>
    </row>
    <row r="37396">
      <c r="A37396" s="4" t="s">
        <v>47023</v>
      </c>
      <c r="B37396" s="4" t="s">
        <v>47024</v>
      </c>
      <c r="C37396" s="5" t="str">
        <f>IFERROR(__xludf.DUMMYFUNCTION("GOOGLETRANSLATE(B37396,""en"",""fr"")"),"Les adolescents conduisent des voitures de pare-chocs électriques dans un circuit ovale tandis que les gens regardent derrière la clôture.")</f>
        <v>Les adolescents conduisent des voitures de pare-chocs électriques dans un circuit ovale tandis que les gens regardent derrière la clôture.</v>
      </c>
    </row>
    <row r="37397">
      <c r="A37397" s="4" t="s">
        <v>47023</v>
      </c>
      <c r="B37397" s="4" t="s">
        <v>47025</v>
      </c>
      <c r="C37397" s="5" t="str">
        <f>IFERROR(__xludf.DUMMYFUNCTION("GOOGLETRANSLATE(B37397,""en"",""fr"")"),"Deux filles dans une voiture jaune sont coincées, mais elles continuent ensuite de conduire.")</f>
        <v>Deux filles dans une voiture jaune sont coincées, mais elles continuent ensuite de conduire.</v>
      </c>
    </row>
    <row r="37398">
      <c r="A37398" s="4" t="s">
        <v>47023</v>
      </c>
      <c r="B37398" s="6" t="s">
        <v>47026</v>
      </c>
      <c r="C37398" s="5" t="str">
        <f>IFERROR(__xludf.DUMMYFUNCTION("GOOGLETRANSLATE(B37398,""en"",""fr"")"),"Toutes les voitures sont coincées sur la piste, puis une voiture sort et les autres se libèrent pour continuer à conduire.")</f>
        <v>Toutes les voitures sont coincées sur la piste, puis une voiture sort et les autres se libèrent pour continuer à conduire.</v>
      </c>
    </row>
    <row r="37399">
      <c r="A37399" s="4" t="s">
        <v>47023</v>
      </c>
      <c r="B37399" s="4" t="s">
        <v>47027</v>
      </c>
      <c r="C37399" s="5" t="str">
        <f>IFERROR(__xludf.DUMMYFUNCTION("GOOGLETRANSLATE(B37399,""en"",""fr"")"),"Ensuite, toutes les voitures s'arrêtent et l'adolescent sorte les voitures.")</f>
        <v>Ensuite, toutes les voitures s'arrêtent et l'adolescent sorte les voitures.</v>
      </c>
    </row>
    <row r="37400">
      <c r="A37400" s="4" t="s">
        <v>47028</v>
      </c>
      <c r="B37400" s="4" t="s">
        <v>1251</v>
      </c>
      <c r="C37400" s="5" t="str">
        <f>IFERROR(__xludf.DUMMYFUNCTION("GOOGLETRANSLATE(B37400,""en"",""fr"")"),"Les crédits du clip sont affichés.")</f>
        <v>Les crédits du clip sont affichés.</v>
      </c>
    </row>
    <row r="37401">
      <c r="A37401" s="4" t="s">
        <v>47028</v>
      </c>
      <c r="B37401" s="4" t="s">
        <v>47029</v>
      </c>
      <c r="C37401" s="5" t="str">
        <f>IFERROR(__xludf.DUMMYFUNCTION("GOOGLETRANSLATE(B37401,""en"",""fr"")"),"Des instructions sur la façon de faire du saut à la perche sont présentées.")</f>
        <v>Des instructions sur la façon de faire du saut à la perche sont présentées.</v>
      </c>
    </row>
    <row r="37402">
      <c r="A37402" s="4" t="s">
        <v>47028</v>
      </c>
      <c r="B37402" s="4" t="s">
        <v>47030</v>
      </c>
      <c r="C37402" s="5" t="str">
        <f>IFERROR(__xludf.DUMMYFUNCTION("GOOGLETRANSLATE(B37402,""en"",""fr"")"),"Une personne détient un bâton creux allongé.")</f>
        <v>Une personne détient un bâton creux allongé.</v>
      </c>
    </row>
    <row r="37403">
      <c r="A37403" s="4" t="s">
        <v>47028</v>
      </c>
      <c r="B37403" s="4" t="s">
        <v>47031</v>
      </c>
      <c r="C37403" s="5" t="str">
        <f>IFERROR(__xludf.DUMMYFUNCTION("GOOGLETRANSLATE(B37403,""en"",""fr"")"),"Un gars court avec un bâton allongé et l'utilise pour s'élever sur un obstacle accru.")</f>
        <v>Un gars court avec un bâton allongé et l'utilise pour s'élever sur un obstacle accru.</v>
      </c>
    </row>
    <row r="37404">
      <c r="A37404" s="4" t="s">
        <v>47028</v>
      </c>
      <c r="B37404" s="4" t="s">
        <v>47032</v>
      </c>
      <c r="C37404" s="5" t="str">
        <f>IFERROR(__xludf.DUMMYFUNCTION("GOOGLETRANSLATE(B37404,""en"",""fr"")"),"Le haut de l'obstacle s'effondre.")</f>
        <v>Le haut de l'obstacle s'effondre.</v>
      </c>
    </row>
    <row r="37405">
      <c r="A37405" s="4" t="s">
        <v>47028</v>
      </c>
      <c r="B37405" s="4" t="s">
        <v>47033</v>
      </c>
      <c r="C37405" s="5" t="str">
        <f>IFERROR(__xludf.DUMMYFUNCTION("GOOGLETRANSLATE(B37405,""en"",""fr"")"),"Un homme utilise un bâton allongé pour s'élever sur un obstacle accru.")</f>
        <v>Un homme utilise un bâton allongé pour s'élever sur un obstacle accru.</v>
      </c>
    </row>
    <row r="37406">
      <c r="A37406" s="4" t="s">
        <v>47028</v>
      </c>
      <c r="B37406" s="4" t="s">
        <v>573</v>
      </c>
      <c r="C37406" s="5" t="str">
        <f>IFERROR(__xludf.DUMMYFUNCTION("GOOGLETRANSLATE(B37406,""en"",""fr"")"),"Les crédits de la vidéo sont affichés.")</f>
        <v>Les crédits de la vidéo sont affichés.</v>
      </c>
    </row>
    <row r="37407">
      <c r="A37407" s="4" t="s">
        <v>47034</v>
      </c>
      <c r="B37407" s="4" t="s">
        <v>47035</v>
      </c>
      <c r="C37407" s="5" t="str">
        <f>IFERROR(__xludf.DUMMYFUNCTION("GOOGLETRANSLATE(B37407,""en"",""fr"")"),"Il y a deux garçons qui jouent du rock, du papier, des ciseaux.")</f>
        <v>Il y a deux garçons qui jouent du rock, du papier, des ciseaux.</v>
      </c>
    </row>
    <row r="37408">
      <c r="A37408" s="4" t="s">
        <v>47034</v>
      </c>
      <c r="B37408" s="4" t="s">
        <v>47036</v>
      </c>
      <c r="C37408" s="5" t="str">
        <f>IFERROR(__xludf.DUMMYFUNCTION("GOOGLETRANSLATE(B37408,""en"",""fr"")"),"Ils jouent d'abord à un jeu et le garçon qui est torse nu perd et se fait gifler.")</f>
        <v>Ils jouent d'abord à un jeu et le garçon qui est torse nu perd et se fait gifler.</v>
      </c>
    </row>
    <row r="37409">
      <c r="A37409" s="4" t="s">
        <v>47034</v>
      </c>
      <c r="B37409" s="4" t="s">
        <v>47037</v>
      </c>
      <c r="C37409" s="5" t="str">
        <f>IFERROR(__xludf.DUMMYFUNCTION("GOOGLETRANSLATE(B37409,""en"",""fr"")"),"Ensuite, ils jouent deux matchs supplémentaires, une personne gagne et le garçon torse nu perd.")</f>
        <v>Ensuite, ils jouent deux matchs supplémentaires, une personne gagne et le garçon torse nu perd.</v>
      </c>
    </row>
    <row r="37410">
      <c r="A37410" s="4" t="s">
        <v>47034</v>
      </c>
      <c r="B37410" s="4" t="s">
        <v>47038</v>
      </c>
      <c r="C37410" s="5" t="str">
        <f>IFERROR(__xludf.DUMMYFUNCTION("GOOGLETRANSLATE(B37410,""en"",""fr"")"),"Puis le garçon qui porte un pull perd et l'autre garçon le gifle.")</f>
        <v>Puis le garçon qui porte un pull perd et l'autre garçon le gifle.</v>
      </c>
    </row>
    <row r="37411">
      <c r="A37411" s="4" t="s">
        <v>47039</v>
      </c>
      <c r="B37411" s="4" t="s">
        <v>47040</v>
      </c>
      <c r="C37411" s="5" t="str">
        <f>IFERROR(__xludf.DUMMYFUNCTION("GOOGLETRANSLATE(B37411,""en"",""fr"")"),"Un homme chauve se tient dans un bâtiment industriel avec beaucoup de verre au plafond.")</f>
        <v>Un homme chauve se tient dans un bâtiment industriel avec beaucoup de verre au plafond.</v>
      </c>
    </row>
    <row r="37412">
      <c r="A37412" s="4" t="s">
        <v>47039</v>
      </c>
      <c r="B37412" s="4" t="s">
        <v>47041</v>
      </c>
      <c r="C37412" s="5" t="str">
        <f>IFERROR(__xludf.DUMMYFUNCTION("GOOGLETRANSLATE(B37412,""en"",""fr"")"),"L'ami du mâle attrape alors un bar et commence à soulever des poids et à secouer.")</f>
        <v>L'ami du mâle attrape alors un bar et commence à soulever des poids et à secouer.</v>
      </c>
    </row>
    <row r="37413">
      <c r="A37413" s="4" t="s">
        <v>47039</v>
      </c>
      <c r="B37413" s="4" t="s">
        <v>47042</v>
      </c>
      <c r="C37413" s="5" t="str">
        <f>IFERROR(__xludf.DUMMYFUNCTION("GOOGLETRANSLATE(B37413,""en"",""fr"")"),"Toutes les actions se poursuivent, mais avec différentes personnes alors que diverses personnes interviennent pour saisir la barre.")</f>
        <v>Toutes les actions se poursuivent, mais avec différentes personnes alors que diverses personnes interviennent pour saisir la barre.</v>
      </c>
    </row>
    <row r="37414">
      <c r="A37414" s="4" t="s">
        <v>47043</v>
      </c>
      <c r="B37414" s="4" t="s">
        <v>47044</v>
      </c>
      <c r="C37414" s="5" t="str">
        <f>IFERROR(__xludf.DUMMYFUNCTION("GOOGLETRANSLATE(B37414,""en"",""fr"")"),"Les gens surfent dans l'océan et un homme passe sous une énorme vague.")</f>
        <v>Les gens surfent dans l'océan et un homme passe sous une énorme vague.</v>
      </c>
    </row>
    <row r="37415">
      <c r="A37415" s="4" t="s">
        <v>47043</v>
      </c>
      <c r="B37415" s="4" t="s">
        <v>47045</v>
      </c>
      <c r="C37415" s="5" t="str">
        <f>IFERROR(__xludf.DUMMYFUNCTION("GOOGLETRANSLATE(B37415,""en"",""fr"")"),"Un homme surfait dans une petite vague le long de la plage.")</f>
        <v>Un homme surfait dans une petite vague le long de la plage.</v>
      </c>
    </row>
    <row r="37416">
      <c r="A37416" s="4" t="s">
        <v>47043</v>
      </c>
      <c r="B37416" s="4" t="s">
        <v>47046</v>
      </c>
      <c r="C37416" s="5" t="str">
        <f>IFERROR(__xludf.DUMMYFUNCTION("GOOGLETRANSLATE(B37416,""en"",""fr"")"),"Ensuite, l'homme sort l'eau, après avoir pris une planche de surf et retourné sur surf dans une vague élevée.")</f>
        <v>Ensuite, l'homme sort l'eau, après avoir pris une planche de surf et retourné sur surf dans une vague élevée.</v>
      </c>
    </row>
    <row r="37417">
      <c r="A37417" s="4" t="s">
        <v>47043</v>
      </c>
      <c r="B37417" s="4" t="s">
        <v>47047</v>
      </c>
      <c r="C37417" s="5" t="str">
        <f>IFERROR(__xludf.DUMMYFUNCTION("GOOGLETRANSLATE(B37417,""en"",""fr"")"),"Les gens nagent à la plage.")</f>
        <v>Les gens nagent à la plage.</v>
      </c>
    </row>
    <row r="37418">
      <c r="A37418" s="4" t="s">
        <v>47048</v>
      </c>
      <c r="B37418" s="4" t="s">
        <v>47049</v>
      </c>
      <c r="C37418" s="5" t="str">
        <f>IFERROR(__xludf.DUMMYFUNCTION("GOOGLETRANSLATE(B37418,""en"",""fr"")"),"Les gens se réunissent dans un restaurant, puis une cuisinière montre des pâtes et des ingrédients en parlant.")</f>
        <v>Les gens se réunissent dans un restaurant, puis une cuisinière montre des pâtes et des ingrédients en parlant.</v>
      </c>
    </row>
    <row r="37419">
      <c r="A37419" s="4" t="s">
        <v>47048</v>
      </c>
      <c r="B37419" s="4" t="s">
        <v>47050</v>
      </c>
      <c r="C37419" s="5" t="str">
        <f>IFERROR(__xludf.DUMMYFUNCTION("GOOGLETRANSLATE(B37419,""en"",""fr"")"),"La cuisinière coupe et frite le calmar dans un pot, puis il ajoute du sel et du vinaigre.")</f>
        <v>La cuisinière coupe et frite le calmar dans un pot, puis il ajoute du sel et du vinaigre.</v>
      </c>
    </row>
    <row r="37420">
      <c r="A37420" s="4" t="s">
        <v>47048</v>
      </c>
      <c r="B37420" s="6" t="s">
        <v>47051</v>
      </c>
      <c r="C37420" s="5" t="str">
        <f>IFERROR(__xludf.DUMMYFUNCTION("GOOGLETRANSLATE(B37420,""en"",""fr"")"),"Ensuite, la cuisinière a coupé les tomates et ajoute au calmar, ajoute également l'ail, le poivre et les légumes verts.")</f>
        <v>Ensuite, la cuisinière a coupé les tomates et ajoute au calmar, ajoute également l'ail, le poivre et les légumes verts.</v>
      </c>
    </row>
    <row r="37421">
      <c r="A37421" s="4" t="s">
        <v>47048</v>
      </c>
      <c r="B37421" s="4" t="s">
        <v>47052</v>
      </c>
      <c r="C37421" s="5" t="str">
        <f>IFERROR(__xludf.DUMMYFUNCTION("GOOGLETRANSLATE(B37421,""en"",""fr"")"),"Après, la cuisinière ajoute de l'eau et couvre le pot avec du papier en aluminium.")</f>
        <v>Après, la cuisinière ajoute de l'eau et couvre le pot avec du papier en aluminium.</v>
      </c>
    </row>
    <row r="37422">
      <c r="A37422" s="4" t="s">
        <v>47048</v>
      </c>
      <c r="B37422" s="4" t="s">
        <v>47053</v>
      </c>
      <c r="C37422" s="5" t="str">
        <f>IFERROR(__xludf.DUMMYFUNCTION("GOOGLETRANSLATE(B37422,""en"",""fr"")"),"Ensuite, la cuisinière ajoute les pâtes au calmar et mélangez, puis lui et sert dans un plat en parlant.")</f>
        <v>Ensuite, la cuisinière ajoute les pâtes au calmar et mélangez, puis lui et sert dans un plat en parlant.</v>
      </c>
    </row>
  </sheetData>
  <drawing r:id="rId1"/>
</worksheet>
</file>